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xxx\Desktop\"/>
    </mc:Choice>
  </mc:AlternateContent>
  <bookViews>
    <workbookView xWindow="780" yWindow="780" windowWidth="15015" windowHeight="12630" tabRatio="599" activeTab="2"/>
  </bookViews>
  <sheets>
    <sheet name="FVC" sheetId="1" r:id="rId1"/>
    <sheet name="POG" sheetId="2" r:id="rId2"/>
    <sheet name="AVOIR" sheetId="17" r:id="rId3"/>
    <sheet name="PROLON. OUVERT" sheetId="11" r:id="rId4"/>
    <sheet name="9CG" sheetId="13" r:id="rId5"/>
    <sheet name="VELOMID" sheetId="12" r:id="rId6"/>
    <sheet name="RECAP 2025" sheetId="28" r:id="rId7"/>
    <sheet name="RECAP 2024" sheetId="27" r:id="rId8"/>
    <sheet name="RECAP 2023" sheetId="26" r:id="rId9"/>
    <sheet name="RECAP 2022" sheetId="25" r:id="rId10"/>
    <sheet name="RECAP 2021" sheetId="24" r:id="rId11"/>
    <sheet name="RECAP 2020" sheetId="23" r:id="rId12"/>
    <sheet name="RECAP 2019" sheetId="22" r:id="rId13"/>
    <sheet name="RECAP 2018" sheetId="20" r:id="rId14"/>
    <sheet name="RECAP 2017" sheetId="19" r:id="rId15"/>
    <sheet name="RECAP 2016" sheetId="6" r:id="rId16"/>
    <sheet name="REMUNERATION DELEGUE" sheetId="15" r:id="rId17"/>
    <sheet name="revision " sheetId="14" r:id="rId18"/>
  </sheets>
  <definedNames>
    <definedName name="_xlnm.Print_Area" localSheetId="2">AVOIR!$A$1:$Z$3710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30" i="28" l="1"/>
  <c r="I526" i="28"/>
  <c r="I525" i="28"/>
  <c r="I528" i="28"/>
  <c r="M517" i="28" l="1"/>
  <c r="M515" i="28"/>
  <c r="E103" i="1" l="1"/>
  <c r="H103" i="1" s="1"/>
  <c r="G60" i="1"/>
  <c r="E60" i="1"/>
  <c r="G18" i="1"/>
  <c r="E18" i="1"/>
  <c r="O470" i="28"/>
  <c r="H18" i="1" l="1"/>
  <c r="H60" i="1"/>
  <c r="O431" i="28"/>
  <c r="O433" i="28"/>
  <c r="O435" i="28"/>
  <c r="O391" i="28"/>
  <c r="O393" i="28"/>
  <c r="O395" i="28"/>
  <c r="H508" i="2"/>
  <c r="D509" i="2" l="1"/>
  <c r="F508" i="2"/>
  <c r="D508" i="2"/>
  <c r="B508" i="2"/>
  <c r="G508" i="2" s="1"/>
  <c r="D466" i="2"/>
  <c r="F465" i="2"/>
  <c r="D465" i="2"/>
  <c r="B465" i="2"/>
  <c r="G465" i="2" s="1"/>
  <c r="D426" i="2"/>
  <c r="H425" i="2"/>
  <c r="F425" i="2"/>
  <c r="D425" i="2"/>
  <c r="B425" i="2"/>
  <c r="R23" i="1"/>
  <c r="V23" i="1" s="1"/>
  <c r="T23" i="1"/>
  <c r="U23" i="1"/>
  <c r="T24" i="1"/>
  <c r="U24" i="1"/>
  <c r="R66" i="1"/>
  <c r="T66" i="1"/>
  <c r="U66" i="1"/>
  <c r="V66" i="1"/>
  <c r="T104" i="1"/>
  <c r="V104" i="1" s="1"/>
  <c r="V109" i="1" s="1"/>
  <c r="T109" i="1"/>
  <c r="U109" i="1"/>
  <c r="T148" i="1"/>
  <c r="R153" i="1" s="1"/>
  <c r="V148" i="1"/>
  <c r="V153" i="1" s="1"/>
  <c r="T153" i="1"/>
  <c r="U153" i="1"/>
  <c r="W23" i="1"/>
  <c r="D334" i="2"/>
  <c r="G334" i="2"/>
  <c r="G425" i="2" l="1"/>
  <c r="R109" i="1"/>
  <c r="R24" i="1"/>
  <c r="V24" i="1" s="1"/>
  <c r="W24" i="1" s="1"/>
  <c r="G67" i="2"/>
  <c r="K300" i="28" l="1"/>
  <c r="I337" i="28"/>
  <c r="I334" i="28"/>
  <c r="I412" i="28" l="1"/>
  <c r="I371" i="28"/>
  <c r="J2386" i="28" l="1"/>
  <c r="D889" i="14" l="1"/>
  <c r="C889" i="14"/>
  <c r="B889" i="14"/>
  <c r="D888" i="14"/>
  <c r="D887" i="14"/>
  <c r="D886" i="14"/>
  <c r="D885" i="14"/>
  <c r="D884" i="14"/>
  <c r="F876" i="14"/>
  <c r="F875" i="14"/>
  <c r="F874" i="14"/>
  <c r="H873" i="14"/>
  <c r="H871" i="14"/>
  <c r="H869" i="14"/>
  <c r="A866" i="14"/>
  <c r="H865" i="14"/>
  <c r="D852" i="14"/>
  <c r="C852" i="14"/>
  <c r="B852" i="14"/>
  <c r="D851" i="14"/>
  <c r="D850" i="14"/>
  <c r="D849" i="14"/>
  <c r="D848" i="14"/>
  <c r="D847" i="14"/>
  <c r="F839" i="14"/>
  <c r="F838" i="14"/>
  <c r="F837" i="14"/>
  <c r="H836" i="14"/>
  <c r="A835" i="14"/>
  <c r="H834" i="14"/>
  <c r="A833" i="14"/>
  <c r="H832" i="14"/>
  <c r="A831" i="14"/>
  <c r="H830" i="14"/>
  <c r="A829" i="14"/>
  <c r="H828" i="14"/>
  <c r="D815" i="14"/>
  <c r="C815" i="14"/>
  <c r="B815" i="14"/>
  <c r="D814" i="14"/>
  <c r="D813" i="14"/>
  <c r="D812" i="14"/>
  <c r="D811" i="14"/>
  <c r="D810" i="14"/>
  <c r="F802" i="14"/>
  <c r="F801" i="14"/>
  <c r="F800" i="14"/>
  <c r="H799" i="14"/>
  <c r="H797" i="14"/>
  <c r="H795" i="14"/>
  <c r="A792" i="14"/>
  <c r="H791" i="14"/>
  <c r="D778" i="14"/>
  <c r="C778" i="14"/>
  <c r="B778" i="14"/>
  <c r="D777" i="14"/>
  <c r="D776" i="14"/>
  <c r="D775" i="14"/>
  <c r="D774" i="14"/>
  <c r="D773" i="14"/>
  <c r="F765" i="14"/>
  <c r="F764" i="14"/>
  <c r="F763" i="14"/>
  <c r="H762" i="14"/>
  <c r="A761" i="14"/>
  <c r="H760" i="14"/>
  <c r="A759" i="14"/>
  <c r="H758" i="14"/>
  <c r="A757" i="14"/>
  <c r="H756" i="14"/>
  <c r="A755" i="14"/>
  <c r="H754" i="14"/>
  <c r="D741" i="14"/>
  <c r="C741" i="14"/>
  <c r="B741" i="14"/>
  <c r="D740" i="14"/>
  <c r="D739" i="14"/>
  <c r="D738" i="14"/>
  <c r="D737" i="14"/>
  <c r="D736" i="14"/>
  <c r="F728" i="14"/>
  <c r="F727" i="14"/>
  <c r="F726" i="14"/>
  <c r="H725" i="14"/>
  <c r="H723" i="14"/>
  <c r="H721" i="14"/>
  <c r="A718" i="14"/>
  <c r="H717" i="14"/>
  <c r="D704" i="14"/>
  <c r="C704" i="14"/>
  <c r="B704" i="14"/>
  <c r="D703" i="14"/>
  <c r="D702" i="14"/>
  <c r="D701" i="14"/>
  <c r="D700" i="14"/>
  <c r="D699" i="14"/>
  <c r="F691" i="14"/>
  <c r="F690" i="14"/>
  <c r="F689" i="14"/>
  <c r="H688" i="14"/>
  <c r="A687" i="14"/>
  <c r="H686" i="14"/>
  <c r="A685" i="14"/>
  <c r="H684" i="14"/>
  <c r="A683" i="14"/>
  <c r="H682" i="14"/>
  <c r="A681" i="14"/>
  <c r="H680" i="14"/>
  <c r="D667" i="14"/>
  <c r="C667" i="14"/>
  <c r="B667" i="14"/>
  <c r="D666" i="14"/>
  <c r="D665" i="14"/>
  <c r="D664" i="14"/>
  <c r="D663" i="14"/>
  <c r="D662" i="14"/>
  <c r="F654" i="14"/>
  <c r="F653" i="14"/>
  <c r="F652" i="14"/>
  <c r="H651" i="14"/>
  <c r="H649" i="14"/>
  <c r="H647" i="14"/>
  <c r="A644" i="14"/>
  <c r="H643" i="14"/>
  <c r="D630" i="14"/>
  <c r="C630" i="14"/>
  <c r="B630" i="14"/>
  <c r="D629" i="14"/>
  <c r="D628" i="14"/>
  <c r="D627" i="14"/>
  <c r="D626" i="14"/>
  <c r="D625" i="14"/>
  <c r="F617" i="14"/>
  <c r="F616" i="14"/>
  <c r="F615" i="14"/>
  <c r="H614" i="14"/>
  <c r="A613" i="14"/>
  <c r="H612" i="14"/>
  <c r="A611" i="14"/>
  <c r="H610" i="14"/>
  <c r="A609" i="14"/>
  <c r="H608" i="14"/>
  <c r="A607" i="14"/>
  <c r="H606" i="14"/>
  <c r="D593" i="14"/>
  <c r="C593" i="14"/>
  <c r="B593" i="14"/>
  <c r="D592" i="14"/>
  <c r="D591" i="14"/>
  <c r="D590" i="14"/>
  <c r="D589" i="14"/>
  <c r="D588" i="14"/>
  <c r="F580" i="14"/>
  <c r="F579" i="14"/>
  <c r="F578" i="14"/>
  <c r="H577" i="14"/>
  <c r="H575" i="14"/>
  <c r="H573" i="14"/>
  <c r="A570" i="14"/>
  <c r="H569" i="14"/>
  <c r="D556" i="14"/>
  <c r="C556" i="14"/>
  <c r="B556" i="14"/>
  <c r="D555" i="14"/>
  <c r="D554" i="14"/>
  <c r="D553" i="14"/>
  <c r="D552" i="14"/>
  <c r="D551" i="14"/>
  <c r="F543" i="14"/>
  <c r="F542" i="14"/>
  <c r="F541" i="14"/>
  <c r="H540" i="14"/>
  <c r="A539" i="14"/>
  <c r="H538" i="14"/>
  <c r="A537" i="14"/>
  <c r="H536" i="14"/>
  <c r="A535" i="14"/>
  <c r="H534" i="14"/>
  <c r="A533" i="14"/>
  <c r="H532" i="14"/>
  <c r="D519" i="14"/>
  <c r="C519" i="14"/>
  <c r="B519" i="14"/>
  <c r="D518" i="14"/>
  <c r="D517" i="14"/>
  <c r="D516" i="14"/>
  <c r="D515" i="14"/>
  <c r="D514" i="14"/>
  <c r="F506" i="14"/>
  <c r="F505" i="14"/>
  <c r="F504" i="14"/>
  <c r="H503" i="14"/>
  <c r="H501" i="14"/>
  <c r="H499" i="14"/>
  <c r="A496" i="14"/>
  <c r="H495" i="14"/>
  <c r="D482" i="14"/>
  <c r="C482" i="14"/>
  <c r="B482" i="14"/>
  <c r="D481" i="14"/>
  <c r="D480" i="14"/>
  <c r="D479" i="14"/>
  <c r="D478" i="14"/>
  <c r="D477" i="14"/>
  <c r="F469" i="14"/>
  <c r="F468" i="14"/>
  <c r="F467" i="14"/>
  <c r="H466" i="14"/>
  <c r="A465" i="14"/>
  <c r="H464" i="14"/>
  <c r="A463" i="14"/>
  <c r="H462" i="14"/>
  <c r="A461" i="14"/>
  <c r="H460" i="14"/>
  <c r="A459" i="14"/>
  <c r="H458" i="14"/>
  <c r="D445" i="14"/>
  <c r="C445" i="14"/>
  <c r="B445" i="14"/>
  <c r="D444" i="14"/>
  <c r="D443" i="14"/>
  <c r="D442" i="14"/>
  <c r="D441" i="14"/>
  <c r="D440" i="14"/>
  <c r="F432" i="14"/>
  <c r="F431" i="14"/>
  <c r="F430" i="14"/>
  <c r="H429" i="14"/>
  <c r="H427" i="14"/>
  <c r="H425" i="14"/>
  <c r="A422" i="14"/>
  <c r="H421" i="14"/>
  <c r="D408" i="14"/>
  <c r="C408" i="14"/>
  <c r="B408" i="14"/>
  <c r="D407" i="14"/>
  <c r="D406" i="14"/>
  <c r="D405" i="14"/>
  <c r="D404" i="14"/>
  <c r="D403" i="14"/>
  <c r="F395" i="14"/>
  <c r="F394" i="14"/>
  <c r="F393" i="14"/>
  <c r="H392" i="14"/>
  <c r="A391" i="14"/>
  <c r="H390" i="14"/>
  <c r="A389" i="14"/>
  <c r="H388" i="14"/>
  <c r="A387" i="14"/>
  <c r="H386" i="14"/>
  <c r="A385" i="14"/>
  <c r="H384" i="14"/>
  <c r="D371" i="14"/>
  <c r="C371" i="14"/>
  <c r="B371" i="14"/>
  <c r="D370" i="14"/>
  <c r="D369" i="14"/>
  <c r="D368" i="14"/>
  <c r="D367" i="14"/>
  <c r="D366" i="14"/>
  <c r="F358" i="14"/>
  <c r="F357" i="14"/>
  <c r="F356" i="14"/>
  <c r="H355" i="14"/>
  <c r="H353" i="14"/>
  <c r="H351" i="14"/>
  <c r="A348" i="14"/>
  <c r="H347" i="14"/>
  <c r="D334" i="14"/>
  <c r="C334" i="14"/>
  <c r="B334" i="14"/>
  <c r="D333" i="14"/>
  <c r="D332" i="14"/>
  <c r="D331" i="14"/>
  <c r="D330" i="14"/>
  <c r="D329" i="14"/>
  <c r="F321" i="14"/>
  <c r="F320" i="14"/>
  <c r="F319" i="14"/>
  <c r="H318" i="14"/>
  <c r="A317" i="14"/>
  <c r="H316" i="14"/>
  <c r="A315" i="14"/>
  <c r="H314" i="14"/>
  <c r="A313" i="14"/>
  <c r="H312" i="14"/>
  <c r="A311" i="14"/>
  <c r="H310" i="14"/>
  <c r="D297" i="14"/>
  <c r="C297" i="14"/>
  <c r="B297" i="14"/>
  <c r="D296" i="14"/>
  <c r="C296" i="14"/>
  <c r="D295" i="14"/>
  <c r="C295" i="14"/>
  <c r="D294" i="14"/>
  <c r="C294" i="14"/>
  <c r="D293" i="14"/>
  <c r="C293" i="14"/>
  <c r="D292" i="14"/>
  <c r="C292" i="14"/>
  <c r="F284" i="14"/>
  <c r="F283" i="14"/>
  <c r="F282" i="14"/>
  <c r="H281" i="14"/>
  <c r="H279" i="14"/>
  <c r="H277" i="14"/>
  <c r="H273" i="14"/>
  <c r="D260" i="14"/>
  <c r="C260" i="14"/>
  <c r="B260" i="14"/>
  <c r="D259" i="14"/>
  <c r="C259" i="14"/>
  <c r="D258" i="14"/>
  <c r="C258" i="14"/>
  <c r="B258" i="14"/>
  <c r="D257" i="14"/>
  <c r="C257" i="14"/>
  <c r="D256" i="14"/>
  <c r="C256" i="14"/>
  <c r="D255" i="14"/>
  <c r="C255" i="14"/>
  <c r="F247" i="14"/>
  <c r="F246" i="14"/>
  <c r="F245" i="14"/>
  <c r="H244" i="14"/>
  <c r="H242" i="14"/>
  <c r="H240" i="14"/>
  <c r="H238" i="14"/>
  <c r="A237" i="14"/>
  <c r="H236" i="14"/>
  <c r="A235" i="14"/>
  <c r="D223" i="14"/>
  <c r="C223" i="14"/>
  <c r="B223" i="14"/>
  <c r="D222" i="14"/>
  <c r="C222" i="14"/>
  <c r="D221" i="14"/>
  <c r="C221" i="14"/>
  <c r="D220" i="14"/>
  <c r="C220" i="14"/>
  <c r="D219" i="14"/>
  <c r="C219" i="14"/>
  <c r="B219" i="14"/>
  <c r="D218" i="14"/>
  <c r="C218" i="14"/>
  <c r="B218" i="14"/>
  <c r="F210" i="14"/>
  <c r="F209" i="14"/>
  <c r="F208" i="14"/>
  <c r="H207" i="14"/>
  <c r="A206" i="14"/>
  <c r="H205" i="14"/>
  <c r="A204" i="14"/>
  <c r="H203" i="14"/>
  <c r="A202" i="14"/>
  <c r="H201" i="14"/>
  <c r="A200" i="14"/>
  <c r="H199" i="14"/>
  <c r="A198" i="14"/>
  <c r="D186" i="14"/>
  <c r="C186" i="14"/>
  <c r="B186" i="14"/>
  <c r="D185" i="14"/>
  <c r="C185" i="14"/>
  <c r="D184" i="14"/>
  <c r="C184" i="14"/>
  <c r="D183" i="14"/>
  <c r="C183" i="14"/>
  <c r="D182" i="14"/>
  <c r="C182" i="14"/>
  <c r="B182" i="14"/>
  <c r="D181" i="14"/>
  <c r="C181" i="14"/>
  <c r="B181" i="14"/>
  <c r="F173" i="14"/>
  <c r="F172" i="14"/>
  <c r="F171" i="14"/>
  <c r="H170" i="14"/>
  <c r="A169" i="14"/>
  <c r="H168" i="14"/>
  <c r="A167" i="14"/>
  <c r="H166" i="14"/>
  <c r="A165" i="14"/>
  <c r="H164" i="14"/>
  <c r="A163" i="14"/>
  <c r="H162" i="14"/>
  <c r="D149" i="14"/>
  <c r="C149" i="14"/>
  <c r="B149" i="14"/>
  <c r="D148" i="14"/>
  <c r="C148" i="14"/>
  <c r="D147" i="14"/>
  <c r="C147" i="14"/>
  <c r="D146" i="14"/>
  <c r="C146" i="14"/>
  <c r="D145" i="14"/>
  <c r="C145" i="14"/>
  <c r="D144" i="14"/>
  <c r="C144" i="14"/>
  <c r="B144" i="14"/>
  <c r="F136" i="14"/>
  <c r="F135" i="14"/>
  <c r="F134" i="14"/>
  <c r="H133" i="14"/>
  <c r="H132" i="14"/>
  <c r="A132" i="14"/>
  <c r="H131" i="14"/>
  <c r="H130" i="14"/>
  <c r="H129" i="14"/>
  <c r="H128" i="14"/>
  <c r="A128" i="14"/>
  <c r="H126" i="14"/>
  <c r="A126" i="14"/>
  <c r="H125" i="14"/>
  <c r="A124" i="14"/>
  <c r="D112" i="14"/>
  <c r="C112" i="14"/>
  <c r="B112" i="14"/>
  <c r="D111" i="14"/>
  <c r="C111" i="14"/>
  <c r="D110" i="14"/>
  <c r="C110" i="14"/>
  <c r="B110" i="14"/>
  <c r="D109" i="14"/>
  <c r="C109" i="14"/>
  <c r="D108" i="14"/>
  <c r="C108" i="14"/>
  <c r="B108" i="14"/>
  <c r="D107" i="14"/>
  <c r="C107" i="14"/>
  <c r="B107" i="14"/>
  <c r="F99" i="14"/>
  <c r="F97" i="14"/>
  <c r="F96" i="14"/>
  <c r="H95" i="14"/>
  <c r="A94" i="14"/>
  <c r="H93" i="14"/>
  <c r="A92" i="14"/>
  <c r="H91" i="14"/>
  <c r="A90" i="14"/>
  <c r="H89" i="14"/>
  <c r="A88" i="14"/>
  <c r="H87" i="14"/>
  <c r="A86" i="14"/>
  <c r="D74" i="14"/>
  <c r="C74" i="14"/>
  <c r="B74" i="14"/>
  <c r="D73" i="14"/>
  <c r="C73" i="14"/>
  <c r="D72" i="14"/>
  <c r="C72" i="14"/>
  <c r="D71" i="14"/>
  <c r="C71" i="14"/>
  <c r="D70" i="14"/>
  <c r="C70" i="14"/>
  <c r="B70" i="14"/>
  <c r="D69" i="14"/>
  <c r="C69" i="14"/>
  <c r="B69" i="14"/>
  <c r="F61" i="14"/>
  <c r="F60" i="14"/>
  <c r="F59" i="14"/>
  <c r="H58" i="14"/>
  <c r="A57" i="14"/>
  <c r="H56" i="14"/>
  <c r="A55" i="14"/>
  <c r="H54" i="14"/>
  <c r="A53" i="14"/>
  <c r="H52" i="14"/>
  <c r="A51" i="14"/>
  <c r="H50" i="14"/>
  <c r="D37" i="14"/>
  <c r="C37" i="14"/>
  <c r="B37" i="14"/>
  <c r="D36" i="14"/>
  <c r="D35" i="14"/>
  <c r="D34" i="14"/>
  <c r="D33" i="14"/>
  <c r="D32" i="14"/>
  <c r="F24" i="14"/>
  <c r="F23" i="14"/>
  <c r="F22" i="14"/>
  <c r="H21" i="14"/>
  <c r="H19" i="14"/>
  <c r="H17" i="14"/>
  <c r="A16" i="14"/>
  <c r="H15" i="14"/>
  <c r="A14" i="14"/>
  <c r="H13" i="14"/>
  <c r="N15" i="15"/>
  <c r="M15" i="15"/>
  <c r="L15" i="15"/>
  <c r="N13" i="15"/>
  <c r="L13" i="15"/>
  <c r="L3600" i="6"/>
  <c r="K3600" i="6"/>
  <c r="J3600" i="6"/>
  <c r="L3599" i="6"/>
  <c r="K3599" i="6"/>
  <c r="L3598" i="6"/>
  <c r="K3598" i="6"/>
  <c r="L3597" i="6"/>
  <c r="K3597" i="6"/>
  <c r="L3596" i="6"/>
  <c r="K3596" i="6"/>
  <c r="J3596" i="6"/>
  <c r="L3595" i="6"/>
  <c r="K3595" i="6"/>
  <c r="J3595" i="6"/>
  <c r="N3587" i="6"/>
  <c r="N3586" i="6"/>
  <c r="N3585" i="6"/>
  <c r="P3584" i="6"/>
  <c r="P3580" i="6"/>
  <c r="P3578" i="6"/>
  <c r="L3565" i="6"/>
  <c r="K3565" i="6"/>
  <c r="J3565" i="6"/>
  <c r="L3564" i="6"/>
  <c r="K3564" i="6"/>
  <c r="L3563" i="6"/>
  <c r="K3563" i="6"/>
  <c r="L3562" i="6"/>
  <c r="K3562" i="6"/>
  <c r="L3561" i="6"/>
  <c r="K3561" i="6"/>
  <c r="J3561" i="6"/>
  <c r="L3560" i="6"/>
  <c r="K3560" i="6"/>
  <c r="J3560" i="6"/>
  <c r="N3552" i="6"/>
  <c r="N3551" i="6"/>
  <c r="N3550" i="6"/>
  <c r="P3549" i="6"/>
  <c r="P3545" i="6"/>
  <c r="P3543" i="6"/>
  <c r="L3529" i="6"/>
  <c r="K3529" i="6"/>
  <c r="J3529" i="6"/>
  <c r="L3528" i="6"/>
  <c r="K3528" i="6"/>
  <c r="L3527" i="6"/>
  <c r="K3527" i="6"/>
  <c r="L3526" i="6"/>
  <c r="K3526" i="6"/>
  <c r="L3525" i="6"/>
  <c r="K3525" i="6"/>
  <c r="J3525" i="6"/>
  <c r="L3524" i="6"/>
  <c r="K3524" i="6"/>
  <c r="J3524" i="6"/>
  <c r="N3516" i="6"/>
  <c r="N3515" i="6"/>
  <c r="N3514" i="6"/>
  <c r="P3513" i="6"/>
  <c r="P3509" i="6"/>
  <c r="P3507" i="6"/>
  <c r="L3493" i="6"/>
  <c r="K3493" i="6"/>
  <c r="J3493" i="6"/>
  <c r="L3492" i="6"/>
  <c r="K3492" i="6"/>
  <c r="L3491" i="6"/>
  <c r="K3491" i="6"/>
  <c r="J3491" i="6"/>
  <c r="L3490" i="6"/>
  <c r="K3490" i="6"/>
  <c r="L3489" i="6"/>
  <c r="K3489" i="6"/>
  <c r="L3488" i="6"/>
  <c r="K3488" i="6"/>
  <c r="N3480" i="6"/>
  <c r="N3479" i="6"/>
  <c r="N3478" i="6"/>
  <c r="P3477" i="6"/>
  <c r="P3475" i="6"/>
  <c r="P3473" i="6"/>
  <c r="P3471" i="6"/>
  <c r="L3458" i="6"/>
  <c r="K3458" i="6"/>
  <c r="J3458" i="6"/>
  <c r="L3457" i="6"/>
  <c r="K3457" i="6"/>
  <c r="L3456" i="6"/>
  <c r="K3456" i="6"/>
  <c r="L3455" i="6"/>
  <c r="K3455" i="6"/>
  <c r="L3454" i="6"/>
  <c r="K3454" i="6"/>
  <c r="J3454" i="6"/>
  <c r="L3453" i="6"/>
  <c r="K3453" i="6"/>
  <c r="J3453" i="6"/>
  <c r="N3445" i="6"/>
  <c r="N3444" i="6"/>
  <c r="N3443" i="6"/>
  <c r="P3442" i="6"/>
  <c r="P3440" i="6"/>
  <c r="P3438" i="6"/>
  <c r="P3436" i="6"/>
  <c r="P3434" i="6"/>
  <c r="P3432" i="6"/>
  <c r="L3418" i="6"/>
  <c r="K3418" i="6"/>
  <c r="J3418" i="6"/>
  <c r="L3417" i="6"/>
  <c r="K3417" i="6"/>
  <c r="L3416" i="6"/>
  <c r="K3416" i="6"/>
  <c r="J3416" i="6"/>
  <c r="L3415" i="6"/>
  <c r="K3415" i="6"/>
  <c r="L3414" i="6"/>
  <c r="K3414" i="6"/>
  <c r="L3413" i="6"/>
  <c r="K3413" i="6"/>
  <c r="J3413" i="6"/>
  <c r="N3405" i="6"/>
  <c r="N3404" i="6"/>
  <c r="N3403" i="6"/>
  <c r="P3402" i="6"/>
  <c r="P3400" i="6"/>
  <c r="P3398" i="6"/>
  <c r="P3396" i="6"/>
  <c r="L3382" i="6"/>
  <c r="K3382" i="6"/>
  <c r="J3382" i="6"/>
  <c r="L3381" i="6"/>
  <c r="K3381" i="6"/>
  <c r="L3380" i="6"/>
  <c r="K3380" i="6"/>
  <c r="J3380" i="6"/>
  <c r="L3379" i="6"/>
  <c r="K3379" i="6"/>
  <c r="L3378" i="6"/>
  <c r="K3378" i="6"/>
  <c r="L3377" i="6"/>
  <c r="K3377" i="6"/>
  <c r="J3377" i="6"/>
  <c r="N3369" i="6"/>
  <c r="N3368" i="6"/>
  <c r="N3367" i="6"/>
  <c r="P3366" i="6"/>
  <c r="P3362" i="6"/>
  <c r="P3360" i="6"/>
  <c r="L3347" i="6"/>
  <c r="K3347" i="6"/>
  <c r="J3347" i="6"/>
  <c r="L3346" i="6"/>
  <c r="K3346" i="6"/>
  <c r="L3345" i="6"/>
  <c r="K3345" i="6"/>
  <c r="L3344" i="6"/>
  <c r="K3344" i="6"/>
  <c r="J3344" i="6"/>
  <c r="L3343" i="6"/>
  <c r="K3343" i="6"/>
  <c r="L3342" i="6"/>
  <c r="K3342" i="6"/>
  <c r="J3342" i="6"/>
  <c r="N3334" i="6"/>
  <c r="N3333" i="6"/>
  <c r="N3332" i="6"/>
  <c r="P3331" i="6"/>
  <c r="I3330" i="6"/>
  <c r="P3329" i="6"/>
  <c r="I3328" i="6"/>
  <c r="P3327" i="6"/>
  <c r="I3326" i="6"/>
  <c r="P3325" i="6"/>
  <c r="I3324" i="6"/>
  <c r="P3323" i="6"/>
  <c r="I3322" i="6"/>
  <c r="P3321" i="6"/>
  <c r="L3308" i="6"/>
  <c r="K3308" i="6"/>
  <c r="J3308" i="6"/>
  <c r="L3307" i="6"/>
  <c r="K3307" i="6"/>
  <c r="L3306" i="6"/>
  <c r="K3306" i="6"/>
  <c r="L3305" i="6"/>
  <c r="K3305" i="6"/>
  <c r="L3304" i="6"/>
  <c r="K3304" i="6"/>
  <c r="J3304" i="6"/>
  <c r="L3303" i="6"/>
  <c r="K3303" i="6"/>
  <c r="J3303" i="6"/>
  <c r="N3295" i="6"/>
  <c r="P3294" i="6"/>
  <c r="N3294" i="6"/>
  <c r="N3293" i="6"/>
  <c r="P3292" i="6"/>
  <c r="I3291" i="6"/>
  <c r="P3290" i="6"/>
  <c r="I3289" i="6"/>
  <c r="P3288" i="6"/>
  <c r="I3287" i="6"/>
  <c r="P3286" i="6"/>
  <c r="L3272" i="6"/>
  <c r="K3272" i="6"/>
  <c r="J3272" i="6"/>
  <c r="L3271" i="6"/>
  <c r="K3271" i="6"/>
  <c r="L3270" i="6"/>
  <c r="K3270" i="6"/>
  <c r="L3269" i="6"/>
  <c r="K3269" i="6"/>
  <c r="L3268" i="6"/>
  <c r="K3268" i="6"/>
  <c r="L3267" i="6"/>
  <c r="K3267" i="6"/>
  <c r="J3267" i="6"/>
  <c r="N3259" i="6"/>
  <c r="P3258" i="6"/>
  <c r="N3258" i="6"/>
  <c r="N3257" i="6"/>
  <c r="P3256" i="6"/>
  <c r="P3254" i="6"/>
  <c r="I3253" i="6"/>
  <c r="I3251" i="6"/>
  <c r="P3250" i="6"/>
  <c r="L3237" i="6"/>
  <c r="K3237" i="6"/>
  <c r="J3237" i="6"/>
  <c r="L3236" i="6"/>
  <c r="K3236" i="6"/>
  <c r="L3235" i="6"/>
  <c r="K3235" i="6"/>
  <c r="L3234" i="6"/>
  <c r="K3234" i="6"/>
  <c r="L3233" i="6"/>
  <c r="K3233" i="6"/>
  <c r="L3232" i="6"/>
  <c r="K3232" i="6"/>
  <c r="J3232" i="6"/>
  <c r="N3224" i="6"/>
  <c r="P3223" i="6"/>
  <c r="N3223" i="6"/>
  <c r="N3222" i="6"/>
  <c r="P3221" i="6"/>
  <c r="P3219" i="6"/>
  <c r="I3218" i="6"/>
  <c r="P3217" i="6"/>
  <c r="I3216" i="6"/>
  <c r="P3215" i="6"/>
  <c r="L3202" i="6"/>
  <c r="K3202" i="6"/>
  <c r="J3202" i="6"/>
  <c r="L3201" i="6"/>
  <c r="K3201" i="6"/>
  <c r="L3200" i="6"/>
  <c r="K3200" i="6"/>
  <c r="J3200" i="6"/>
  <c r="L3199" i="6"/>
  <c r="K3199" i="6"/>
  <c r="L3198" i="6"/>
  <c r="K3198" i="6"/>
  <c r="J3198" i="6"/>
  <c r="L3197" i="6"/>
  <c r="K3197" i="6"/>
  <c r="J3197" i="6"/>
  <c r="N3189" i="6"/>
  <c r="P3188" i="6"/>
  <c r="N3188" i="6"/>
  <c r="N3187" i="6"/>
  <c r="P3186" i="6"/>
  <c r="P3184" i="6"/>
  <c r="P3182" i="6"/>
  <c r="P3180" i="6"/>
  <c r="P3178" i="6"/>
  <c r="P3176" i="6"/>
  <c r="L3163" i="6"/>
  <c r="K3163" i="6"/>
  <c r="J3163" i="6"/>
  <c r="L3162" i="6"/>
  <c r="K3162" i="6"/>
  <c r="L3161" i="6"/>
  <c r="K3161" i="6"/>
  <c r="J3161" i="6"/>
  <c r="L3160" i="6"/>
  <c r="K3160" i="6"/>
  <c r="L3159" i="6"/>
  <c r="K3159" i="6"/>
  <c r="J3159" i="6"/>
  <c r="L3158" i="6"/>
  <c r="K3158" i="6"/>
  <c r="J3158" i="6"/>
  <c r="N3150" i="6"/>
  <c r="P3149" i="6"/>
  <c r="N3149" i="6"/>
  <c r="N3148" i="6"/>
  <c r="P3147" i="6"/>
  <c r="P3145" i="6"/>
  <c r="P3143" i="6"/>
  <c r="P3141" i="6"/>
  <c r="P3139" i="6"/>
  <c r="L3126" i="6"/>
  <c r="K3126" i="6"/>
  <c r="J3126" i="6"/>
  <c r="L3125" i="6"/>
  <c r="K3125" i="6"/>
  <c r="L3124" i="6"/>
  <c r="K3124" i="6"/>
  <c r="J3124" i="6"/>
  <c r="L3123" i="6"/>
  <c r="K3123" i="6"/>
  <c r="L3122" i="6"/>
  <c r="K3122" i="6"/>
  <c r="L3121" i="6"/>
  <c r="K3121" i="6"/>
  <c r="J3121" i="6"/>
  <c r="N3113" i="6"/>
  <c r="P3112" i="6"/>
  <c r="N3112" i="6"/>
  <c r="N3111" i="6"/>
  <c r="P3110" i="6"/>
  <c r="P3106" i="6"/>
  <c r="P3104" i="6"/>
  <c r="P3102" i="6"/>
  <c r="L3089" i="6"/>
  <c r="K3089" i="6"/>
  <c r="J3089" i="6"/>
  <c r="L3088" i="6"/>
  <c r="K3088" i="6"/>
  <c r="L3087" i="6"/>
  <c r="K3087" i="6"/>
  <c r="J3087" i="6"/>
  <c r="L3086" i="6"/>
  <c r="K3086" i="6"/>
  <c r="L3085" i="6"/>
  <c r="K3085" i="6"/>
  <c r="L3084" i="6"/>
  <c r="K3084" i="6"/>
  <c r="J3084" i="6"/>
  <c r="N3076" i="6"/>
  <c r="P3075" i="6"/>
  <c r="N3075" i="6"/>
  <c r="N3074" i="6"/>
  <c r="P3073" i="6"/>
  <c r="P3071" i="6"/>
  <c r="P3069" i="6"/>
  <c r="P3067" i="6"/>
  <c r="P3065" i="6"/>
  <c r="L3052" i="6"/>
  <c r="K3052" i="6"/>
  <c r="J3052" i="6"/>
  <c r="L3051" i="6"/>
  <c r="K3051" i="6"/>
  <c r="L3050" i="6"/>
  <c r="K3050" i="6"/>
  <c r="L3049" i="6"/>
  <c r="K3049" i="6"/>
  <c r="L3048" i="6"/>
  <c r="K3048" i="6"/>
  <c r="J3048" i="6"/>
  <c r="L3047" i="6"/>
  <c r="K3047" i="6"/>
  <c r="J3047" i="6"/>
  <c r="N3039" i="6"/>
  <c r="P3038" i="6"/>
  <c r="N3038" i="6"/>
  <c r="N3037" i="6"/>
  <c r="P3036" i="6"/>
  <c r="P3034" i="6"/>
  <c r="P3032" i="6"/>
  <c r="P3030" i="6"/>
  <c r="P3028" i="6"/>
  <c r="L3015" i="6"/>
  <c r="K3015" i="6"/>
  <c r="J3015" i="6"/>
  <c r="L3014" i="6"/>
  <c r="K3014" i="6"/>
  <c r="L3013" i="6"/>
  <c r="K3013" i="6"/>
  <c r="L3012" i="6"/>
  <c r="K3012" i="6"/>
  <c r="L3011" i="6"/>
  <c r="K3011" i="6"/>
  <c r="J3011" i="6"/>
  <c r="L3010" i="6"/>
  <c r="K3010" i="6"/>
  <c r="J3010" i="6"/>
  <c r="N3002" i="6"/>
  <c r="P3001" i="6"/>
  <c r="N3001" i="6"/>
  <c r="N3000" i="6"/>
  <c r="P2999" i="6"/>
  <c r="P2997" i="6"/>
  <c r="P2995" i="6"/>
  <c r="P2993" i="6"/>
  <c r="P2991" i="6"/>
  <c r="L2978" i="6"/>
  <c r="K2978" i="6"/>
  <c r="J2978" i="6"/>
  <c r="L2977" i="6"/>
  <c r="K2977" i="6"/>
  <c r="L2976" i="6"/>
  <c r="K2976" i="6"/>
  <c r="L2975" i="6"/>
  <c r="K2975" i="6"/>
  <c r="L2974" i="6"/>
  <c r="K2974" i="6"/>
  <c r="J2974" i="6"/>
  <c r="L2973" i="6"/>
  <c r="K2973" i="6"/>
  <c r="J2973" i="6"/>
  <c r="N2965" i="6"/>
  <c r="P2964" i="6"/>
  <c r="N2964" i="6"/>
  <c r="N2963" i="6"/>
  <c r="P2962" i="6"/>
  <c r="P2960" i="6"/>
  <c r="P2958" i="6"/>
  <c r="P2956" i="6"/>
  <c r="P2954" i="6"/>
  <c r="L2941" i="6"/>
  <c r="K2941" i="6"/>
  <c r="J2941" i="6"/>
  <c r="L2940" i="6"/>
  <c r="K2940" i="6"/>
  <c r="L2939" i="6"/>
  <c r="K2939" i="6"/>
  <c r="L2938" i="6"/>
  <c r="K2938" i="6"/>
  <c r="L2937" i="6"/>
  <c r="K2937" i="6"/>
  <c r="J2937" i="6"/>
  <c r="L2936" i="6"/>
  <c r="K2936" i="6"/>
  <c r="J2936" i="6"/>
  <c r="N2928" i="6"/>
  <c r="P2927" i="6"/>
  <c r="N2927" i="6"/>
  <c r="N2926" i="6"/>
  <c r="P2925" i="6"/>
  <c r="P2923" i="6"/>
  <c r="P2921" i="6"/>
  <c r="P2919" i="6"/>
  <c r="P2917" i="6"/>
  <c r="L2904" i="6"/>
  <c r="K2904" i="6"/>
  <c r="J2904" i="6"/>
  <c r="L2903" i="6"/>
  <c r="K2903" i="6"/>
  <c r="L2902" i="6"/>
  <c r="K2902" i="6"/>
  <c r="L2901" i="6"/>
  <c r="K2901" i="6"/>
  <c r="J2901" i="6"/>
  <c r="L2900" i="6"/>
  <c r="K2900" i="6"/>
  <c r="J2900" i="6"/>
  <c r="L2899" i="6"/>
  <c r="K2899" i="6"/>
  <c r="N2891" i="6"/>
  <c r="N2890" i="6"/>
  <c r="N2889" i="6"/>
  <c r="P2888" i="6"/>
  <c r="P2886" i="6"/>
  <c r="P2884" i="6"/>
  <c r="P2882" i="6"/>
  <c r="P2880" i="6"/>
  <c r="L2867" i="6"/>
  <c r="K2867" i="6"/>
  <c r="J2867" i="6"/>
  <c r="L2866" i="6"/>
  <c r="K2866" i="6"/>
  <c r="L2865" i="6"/>
  <c r="K2865" i="6"/>
  <c r="L2864" i="6"/>
  <c r="K2864" i="6"/>
  <c r="J2864" i="6"/>
  <c r="L2863" i="6"/>
  <c r="K2863" i="6"/>
  <c r="J2863" i="6"/>
  <c r="L2862" i="6"/>
  <c r="K2862" i="6"/>
  <c r="N2854" i="6"/>
  <c r="N2853" i="6"/>
  <c r="N2852" i="6"/>
  <c r="P2851" i="6"/>
  <c r="P2849" i="6"/>
  <c r="P2847" i="6"/>
  <c r="P2845" i="6"/>
  <c r="P2843" i="6"/>
  <c r="P2841" i="6"/>
  <c r="L2828" i="6"/>
  <c r="K2828" i="6"/>
  <c r="J2828" i="6"/>
  <c r="L2827" i="6"/>
  <c r="K2827" i="6"/>
  <c r="L2826" i="6"/>
  <c r="K2826" i="6"/>
  <c r="L2825" i="6"/>
  <c r="K2825" i="6"/>
  <c r="J2825" i="6"/>
  <c r="L2824" i="6"/>
  <c r="K2824" i="6"/>
  <c r="J2824" i="6"/>
  <c r="L2823" i="6"/>
  <c r="K2823" i="6"/>
  <c r="N2815" i="6"/>
  <c r="N2814" i="6"/>
  <c r="N2813" i="6"/>
  <c r="P2812" i="6"/>
  <c r="P2810" i="6"/>
  <c r="P2808" i="6"/>
  <c r="P2806" i="6"/>
  <c r="P2804" i="6"/>
  <c r="P2802" i="6"/>
  <c r="L2789" i="6"/>
  <c r="K2789" i="6"/>
  <c r="J2789" i="6"/>
  <c r="L2788" i="6"/>
  <c r="K2788" i="6"/>
  <c r="L2787" i="6"/>
  <c r="K2787" i="6"/>
  <c r="L2786" i="6"/>
  <c r="K2786" i="6"/>
  <c r="L2785" i="6"/>
  <c r="K2785" i="6"/>
  <c r="J2785" i="6"/>
  <c r="L2784" i="6"/>
  <c r="K2784" i="6"/>
  <c r="J2784" i="6"/>
  <c r="N2776" i="6"/>
  <c r="P2775" i="6"/>
  <c r="N2775" i="6"/>
  <c r="N2774" i="6"/>
  <c r="P2773" i="6"/>
  <c r="P2771" i="6"/>
  <c r="P2769" i="6"/>
  <c r="P2767" i="6"/>
  <c r="P2765" i="6"/>
  <c r="L2752" i="6"/>
  <c r="K2752" i="6"/>
  <c r="J2752" i="6"/>
  <c r="L2751" i="6"/>
  <c r="K2751" i="6"/>
  <c r="L2750" i="6"/>
  <c r="K2750" i="6"/>
  <c r="L2749" i="6"/>
  <c r="K2749" i="6"/>
  <c r="L2748" i="6"/>
  <c r="K2748" i="6"/>
  <c r="J2748" i="6"/>
  <c r="L2747" i="6"/>
  <c r="K2747" i="6"/>
  <c r="J2747" i="6"/>
  <c r="N2739" i="6"/>
  <c r="N2738" i="6"/>
  <c r="N2737" i="6"/>
  <c r="P2736" i="6"/>
  <c r="P2734" i="6"/>
  <c r="P2732" i="6"/>
  <c r="P2730" i="6"/>
  <c r="P2728" i="6"/>
  <c r="L2715" i="6"/>
  <c r="K2715" i="6"/>
  <c r="J2715" i="6"/>
  <c r="L2714" i="6"/>
  <c r="K2714" i="6"/>
  <c r="L2713" i="6"/>
  <c r="K2713" i="6"/>
  <c r="L2712" i="6"/>
  <c r="K2712" i="6"/>
  <c r="L2711" i="6"/>
  <c r="K2711" i="6"/>
  <c r="J2711" i="6"/>
  <c r="L2710" i="6"/>
  <c r="K2710" i="6"/>
  <c r="J2710" i="6"/>
  <c r="N2702" i="6"/>
  <c r="P2701" i="6"/>
  <c r="N2701" i="6"/>
  <c r="N2700" i="6"/>
  <c r="P2699" i="6"/>
  <c r="P2697" i="6"/>
  <c r="P2695" i="6"/>
  <c r="P2693" i="6"/>
  <c r="P2691" i="6"/>
  <c r="L2678" i="6"/>
  <c r="K2678" i="6"/>
  <c r="J2678" i="6"/>
  <c r="L2677" i="6"/>
  <c r="K2677" i="6"/>
  <c r="L2676" i="6"/>
  <c r="K2676" i="6"/>
  <c r="L2675" i="6"/>
  <c r="K2675" i="6"/>
  <c r="L2674" i="6"/>
  <c r="K2674" i="6"/>
  <c r="J2674" i="6"/>
  <c r="L2673" i="6"/>
  <c r="K2673" i="6"/>
  <c r="J2673" i="6"/>
  <c r="N2665" i="6"/>
  <c r="N2664" i="6"/>
  <c r="N2663" i="6"/>
  <c r="P2662" i="6"/>
  <c r="P2660" i="6"/>
  <c r="P2658" i="6"/>
  <c r="P2656" i="6"/>
  <c r="P2654" i="6"/>
  <c r="L2641" i="6"/>
  <c r="K2641" i="6"/>
  <c r="J2641" i="6"/>
  <c r="L2640" i="6"/>
  <c r="K2640" i="6"/>
  <c r="L2639" i="6"/>
  <c r="K2639" i="6"/>
  <c r="L2638" i="6"/>
  <c r="K2638" i="6"/>
  <c r="L2637" i="6"/>
  <c r="K2637" i="6"/>
  <c r="J2637" i="6"/>
  <c r="L2636" i="6"/>
  <c r="K2636" i="6"/>
  <c r="J2636" i="6"/>
  <c r="N2628" i="6"/>
  <c r="N2627" i="6"/>
  <c r="N2626" i="6"/>
  <c r="P2625" i="6"/>
  <c r="P2623" i="6"/>
  <c r="P2621" i="6"/>
  <c r="P2619" i="6"/>
  <c r="P2617" i="6"/>
  <c r="P2615" i="6"/>
  <c r="L2602" i="6"/>
  <c r="K2602" i="6"/>
  <c r="J2602" i="6"/>
  <c r="L2601" i="6"/>
  <c r="K2601" i="6"/>
  <c r="L2600" i="6"/>
  <c r="K2600" i="6"/>
  <c r="L2599" i="6"/>
  <c r="K2599" i="6"/>
  <c r="L2598" i="6"/>
  <c r="K2598" i="6"/>
  <c r="L2597" i="6"/>
  <c r="K2597" i="6"/>
  <c r="J2597" i="6"/>
  <c r="N2589" i="6"/>
  <c r="N2588" i="6"/>
  <c r="N2587" i="6"/>
  <c r="P2586" i="6"/>
  <c r="P2584" i="6"/>
  <c r="P2582" i="6"/>
  <c r="P2580" i="6"/>
  <c r="P2578" i="6"/>
  <c r="L2565" i="6"/>
  <c r="K2565" i="6"/>
  <c r="J2565" i="6"/>
  <c r="L2564" i="6"/>
  <c r="K2564" i="6"/>
  <c r="L2563" i="6"/>
  <c r="K2563" i="6"/>
  <c r="L2562" i="6"/>
  <c r="K2562" i="6"/>
  <c r="L2561" i="6"/>
  <c r="K2561" i="6"/>
  <c r="J2561" i="6"/>
  <c r="L2560" i="6"/>
  <c r="K2560" i="6"/>
  <c r="J2560" i="6"/>
  <c r="N2552" i="6"/>
  <c r="P2551" i="6"/>
  <c r="N2551" i="6"/>
  <c r="N2550" i="6"/>
  <c r="P2549" i="6"/>
  <c r="P2547" i="6"/>
  <c r="P2545" i="6"/>
  <c r="P2543" i="6"/>
  <c r="P2541" i="6"/>
  <c r="L2528" i="6"/>
  <c r="K2528" i="6"/>
  <c r="J2528" i="6"/>
  <c r="L2527" i="6"/>
  <c r="K2527" i="6"/>
  <c r="J2527" i="6"/>
  <c r="L2526" i="6"/>
  <c r="K2526" i="6"/>
  <c r="L2525" i="6"/>
  <c r="K2525" i="6"/>
  <c r="L2524" i="6"/>
  <c r="K2524" i="6"/>
  <c r="J2524" i="6"/>
  <c r="L2523" i="6"/>
  <c r="K2523" i="6"/>
  <c r="N2515" i="6"/>
  <c r="N2514" i="6"/>
  <c r="N2513" i="6"/>
  <c r="P2512" i="6"/>
  <c r="P2510" i="6"/>
  <c r="P2508" i="6"/>
  <c r="P2506" i="6"/>
  <c r="P2504" i="6"/>
  <c r="L2491" i="6"/>
  <c r="K2491" i="6"/>
  <c r="J2491" i="6"/>
  <c r="L2490" i="6"/>
  <c r="K2490" i="6"/>
  <c r="J2490" i="6"/>
  <c r="L2489" i="6"/>
  <c r="K2489" i="6"/>
  <c r="L2488" i="6"/>
  <c r="K2488" i="6"/>
  <c r="L2487" i="6"/>
  <c r="K2487" i="6"/>
  <c r="L2486" i="6"/>
  <c r="K2486" i="6"/>
  <c r="N2478" i="6"/>
  <c r="N2477" i="6"/>
  <c r="N2476" i="6"/>
  <c r="P2475" i="6"/>
  <c r="P2473" i="6"/>
  <c r="N2472" i="6"/>
  <c r="P2471" i="6"/>
  <c r="P2469" i="6"/>
  <c r="P2467" i="6"/>
  <c r="P2465" i="6"/>
  <c r="L2452" i="6"/>
  <c r="K2452" i="6"/>
  <c r="J2452" i="6"/>
  <c r="L2451" i="6"/>
  <c r="K2451" i="6"/>
  <c r="L2450" i="6"/>
  <c r="K2450" i="6"/>
  <c r="L2449" i="6"/>
  <c r="K2449" i="6"/>
  <c r="L2448" i="6"/>
  <c r="K2448" i="6"/>
  <c r="J2448" i="6"/>
  <c r="L2447" i="6"/>
  <c r="K2447" i="6"/>
  <c r="J2447" i="6"/>
  <c r="N2439" i="6"/>
  <c r="P2438" i="6"/>
  <c r="N2438" i="6"/>
  <c r="N2437" i="6"/>
  <c r="P2436" i="6"/>
  <c r="P2434" i="6"/>
  <c r="P2432" i="6"/>
  <c r="P2430" i="6"/>
  <c r="P2428" i="6"/>
  <c r="L2415" i="6"/>
  <c r="K2415" i="6"/>
  <c r="J2415" i="6"/>
  <c r="L2414" i="6"/>
  <c r="K2414" i="6"/>
  <c r="L2413" i="6"/>
  <c r="K2413" i="6"/>
  <c r="L2412" i="6"/>
  <c r="K2412" i="6"/>
  <c r="L2411" i="6"/>
  <c r="K2411" i="6"/>
  <c r="J2411" i="6"/>
  <c r="L2410" i="6"/>
  <c r="K2410" i="6"/>
  <c r="J2410" i="6"/>
  <c r="N2402" i="6"/>
  <c r="P2401" i="6"/>
  <c r="N2401" i="6"/>
  <c r="N2400" i="6"/>
  <c r="P2399" i="6"/>
  <c r="P2397" i="6"/>
  <c r="P2395" i="6"/>
  <c r="P2393" i="6"/>
  <c r="P2391" i="6"/>
  <c r="L2378" i="6"/>
  <c r="K2378" i="6"/>
  <c r="J2378" i="6"/>
  <c r="L2377" i="6"/>
  <c r="K2377" i="6"/>
  <c r="L2376" i="6"/>
  <c r="K2376" i="6"/>
  <c r="L2375" i="6"/>
  <c r="K2375" i="6"/>
  <c r="J2375" i="6"/>
  <c r="L2374" i="6"/>
  <c r="K2374" i="6"/>
  <c r="J2374" i="6"/>
  <c r="L2373" i="6"/>
  <c r="K2373" i="6"/>
  <c r="N2365" i="6"/>
  <c r="N2364" i="6"/>
  <c r="N2363" i="6"/>
  <c r="P2362" i="6"/>
  <c r="P2360" i="6"/>
  <c r="P2358" i="6"/>
  <c r="P2356" i="6"/>
  <c r="P2354" i="6"/>
  <c r="L2341" i="6"/>
  <c r="K2341" i="6"/>
  <c r="J2341" i="6"/>
  <c r="L2340" i="6"/>
  <c r="K2340" i="6"/>
  <c r="L2339" i="6"/>
  <c r="K2339" i="6"/>
  <c r="L2338" i="6"/>
  <c r="K2338" i="6"/>
  <c r="L2337" i="6"/>
  <c r="K2337" i="6"/>
  <c r="J2337" i="6"/>
  <c r="L2336" i="6"/>
  <c r="K2336" i="6"/>
  <c r="J2336" i="6"/>
  <c r="N2328" i="6"/>
  <c r="P2327" i="6"/>
  <c r="N2327" i="6"/>
  <c r="N2326" i="6"/>
  <c r="P2325" i="6"/>
  <c r="P2323" i="6"/>
  <c r="P2321" i="6"/>
  <c r="P2319" i="6"/>
  <c r="P2317" i="6"/>
  <c r="L2304" i="6"/>
  <c r="K2304" i="6"/>
  <c r="J2304" i="6"/>
  <c r="L2303" i="6"/>
  <c r="K2303" i="6"/>
  <c r="L2302" i="6"/>
  <c r="K2302" i="6"/>
  <c r="L2301" i="6"/>
  <c r="K2301" i="6"/>
  <c r="L2300" i="6"/>
  <c r="K2300" i="6"/>
  <c r="J2300" i="6"/>
  <c r="L2299" i="6"/>
  <c r="K2299" i="6"/>
  <c r="J2299" i="6"/>
  <c r="N2291" i="6"/>
  <c r="P2290" i="6"/>
  <c r="N2290" i="6"/>
  <c r="N2289" i="6"/>
  <c r="P2288" i="6"/>
  <c r="P2286" i="6"/>
  <c r="P2284" i="6"/>
  <c r="P2281" i="6"/>
  <c r="P2280" i="6"/>
  <c r="L2267" i="6"/>
  <c r="K2267" i="6"/>
  <c r="J2267" i="6"/>
  <c r="L2266" i="6"/>
  <c r="K2266" i="6"/>
  <c r="L2265" i="6"/>
  <c r="K2265" i="6"/>
  <c r="J2265" i="6"/>
  <c r="L2264" i="6"/>
  <c r="K2264" i="6"/>
  <c r="L2263" i="6"/>
  <c r="K2263" i="6"/>
  <c r="J2263" i="6"/>
  <c r="L2262" i="6"/>
  <c r="K2262" i="6"/>
  <c r="J2262" i="6"/>
  <c r="N2254" i="6"/>
  <c r="P2253" i="6"/>
  <c r="N2253" i="6"/>
  <c r="N2252" i="6"/>
  <c r="P2251" i="6"/>
  <c r="P2249" i="6"/>
  <c r="P2247" i="6"/>
  <c r="P2244" i="6"/>
  <c r="P2242" i="6"/>
  <c r="L2230" i="6"/>
  <c r="K2230" i="6"/>
  <c r="J2230" i="6"/>
  <c r="L2229" i="6"/>
  <c r="K2229" i="6"/>
  <c r="L2228" i="6"/>
  <c r="K2228" i="6"/>
  <c r="J2228" i="6"/>
  <c r="L2227" i="6"/>
  <c r="K2227" i="6"/>
  <c r="L2226" i="6"/>
  <c r="K2226" i="6"/>
  <c r="J2226" i="6"/>
  <c r="L2225" i="6"/>
  <c r="K2225" i="6"/>
  <c r="J2225" i="6"/>
  <c r="N2217" i="6"/>
  <c r="P2216" i="6"/>
  <c r="N2216" i="6"/>
  <c r="N2215" i="6"/>
  <c r="P2214" i="6"/>
  <c r="P2212" i="6"/>
  <c r="P2210" i="6"/>
  <c r="P2207" i="6"/>
  <c r="P2205" i="6"/>
  <c r="L2193" i="6"/>
  <c r="K2193" i="6"/>
  <c r="J2193" i="6"/>
  <c r="L2192" i="6"/>
  <c r="K2192" i="6"/>
  <c r="L2191" i="6"/>
  <c r="K2191" i="6"/>
  <c r="J2191" i="6"/>
  <c r="L2190" i="6"/>
  <c r="K2190" i="6"/>
  <c r="L2189" i="6"/>
  <c r="K2189" i="6"/>
  <c r="J2189" i="6"/>
  <c r="L2188" i="6"/>
  <c r="K2188" i="6"/>
  <c r="J2188" i="6"/>
  <c r="N2180" i="6"/>
  <c r="P2179" i="6"/>
  <c r="N2179" i="6"/>
  <c r="N2178" i="6"/>
  <c r="P2177" i="6"/>
  <c r="P2175" i="6"/>
  <c r="P2173" i="6"/>
  <c r="P2171" i="6"/>
  <c r="L2154" i="6"/>
  <c r="K2154" i="6"/>
  <c r="J2154" i="6"/>
  <c r="L2153" i="6"/>
  <c r="K2153" i="6"/>
  <c r="L2152" i="6"/>
  <c r="K2152" i="6"/>
  <c r="L2151" i="6"/>
  <c r="K2151" i="6"/>
  <c r="L2150" i="6"/>
  <c r="K2150" i="6"/>
  <c r="J2150" i="6"/>
  <c r="L2149" i="6"/>
  <c r="K2149" i="6"/>
  <c r="J2149" i="6"/>
  <c r="N2141" i="6"/>
  <c r="N2140" i="6"/>
  <c r="N2139" i="6"/>
  <c r="P2138" i="6"/>
  <c r="P2136" i="6"/>
  <c r="P2134" i="6"/>
  <c r="L2117" i="6"/>
  <c r="K2117" i="6"/>
  <c r="J2117" i="6"/>
  <c r="L2116" i="6"/>
  <c r="K2116" i="6"/>
  <c r="L2115" i="6"/>
  <c r="K2115" i="6"/>
  <c r="L2114" i="6"/>
  <c r="K2114" i="6"/>
  <c r="L2113" i="6"/>
  <c r="K2113" i="6"/>
  <c r="J2113" i="6"/>
  <c r="L2112" i="6"/>
  <c r="K2112" i="6"/>
  <c r="J2112" i="6"/>
  <c r="N2104" i="6"/>
  <c r="N2103" i="6"/>
  <c r="N2102" i="6"/>
  <c r="P2101" i="6"/>
  <c r="P2099" i="6"/>
  <c r="P2097" i="6"/>
  <c r="L2080" i="6"/>
  <c r="K2080" i="6"/>
  <c r="J2080" i="6"/>
  <c r="L2079" i="6"/>
  <c r="K2079" i="6"/>
  <c r="L2078" i="6"/>
  <c r="K2078" i="6"/>
  <c r="L2077" i="6"/>
  <c r="K2077" i="6"/>
  <c r="L2076" i="6"/>
  <c r="K2076" i="6"/>
  <c r="J2076" i="6"/>
  <c r="L2075" i="6"/>
  <c r="K2075" i="6"/>
  <c r="J2075" i="6"/>
  <c r="N2067" i="6"/>
  <c r="P2066" i="6"/>
  <c r="N2066" i="6"/>
  <c r="N2065" i="6"/>
  <c r="P2064" i="6"/>
  <c r="P2062" i="6"/>
  <c r="P2060" i="6"/>
  <c r="P2058" i="6"/>
  <c r="P2056" i="6"/>
  <c r="L2043" i="6"/>
  <c r="K2043" i="6"/>
  <c r="J2043" i="6"/>
  <c r="L2042" i="6"/>
  <c r="K2042" i="6"/>
  <c r="L2041" i="6"/>
  <c r="K2041" i="6"/>
  <c r="L2040" i="6"/>
  <c r="K2040" i="6"/>
  <c r="L2039" i="6"/>
  <c r="K2039" i="6"/>
  <c r="J2039" i="6"/>
  <c r="L2038" i="6"/>
  <c r="K2038" i="6"/>
  <c r="J2038" i="6"/>
  <c r="N2030" i="6"/>
  <c r="P2029" i="6"/>
  <c r="N2029" i="6"/>
  <c r="N2028" i="6"/>
  <c r="P2027" i="6"/>
  <c r="P2025" i="6"/>
  <c r="P2023" i="6"/>
  <c r="P2021" i="6"/>
  <c r="P2019" i="6"/>
  <c r="L2006" i="6"/>
  <c r="K2006" i="6"/>
  <c r="J2006" i="6"/>
  <c r="L2005" i="6"/>
  <c r="K2005" i="6"/>
  <c r="L2004" i="6"/>
  <c r="K2004" i="6"/>
  <c r="L2003" i="6"/>
  <c r="K2003" i="6"/>
  <c r="L2002" i="6"/>
  <c r="K2002" i="6"/>
  <c r="J2002" i="6"/>
  <c r="L2001" i="6"/>
  <c r="K2001" i="6"/>
  <c r="J2001" i="6"/>
  <c r="N1993" i="6"/>
  <c r="P1992" i="6"/>
  <c r="N1992" i="6"/>
  <c r="N1991" i="6"/>
  <c r="P1990" i="6"/>
  <c r="P1988" i="6"/>
  <c r="P1986" i="6"/>
  <c r="P1984" i="6"/>
  <c r="P1982" i="6"/>
  <c r="L1969" i="6"/>
  <c r="K1969" i="6"/>
  <c r="J1969" i="6"/>
  <c r="L1968" i="6"/>
  <c r="K1968" i="6"/>
  <c r="L1967" i="6"/>
  <c r="K1967" i="6"/>
  <c r="L1966" i="6"/>
  <c r="K1966" i="6"/>
  <c r="L1965" i="6"/>
  <c r="K1965" i="6"/>
  <c r="J1965" i="6"/>
  <c r="L1964" i="6"/>
  <c r="K1964" i="6"/>
  <c r="J1964" i="6"/>
  <c r="N1956" i="6"/>
  <c r="P1955" i="6"/>
  <c r="N1955" i="6"/>
  <c r="N1954" i="6"/>
  <c r="P1953" i="6"/>
  <c r="P1951" i="6"/>
  <c r="P1949" i="6"/>
  <c r="P1947" i="6"/>
  <c r="P1945" i="6"/>
  <c r="L1932" i="6"/>
  <c r="K1932" i="6"/>
  <c r="J1932" i="6"/>
  <c r="L1931" i="6"/>
  <c r="K1931" i="6"/>
  <c r="L1930" i="6"/>
  <c r="K1930" i="6"/>
  <c r="L1929" i="6"/>
  <c r="K1929" i="6"/>
  <c r="L1928" i="6"/>
  <c r="K1928" i="6"/>
  <c r="J1928" i="6"/>
  <c r="L1927" i="6"/>
  <c r="K1927" i="6"/>
  <c r="J1927" i="6"/>
  <c r="N1919" i="6"/>
  <c r="P1918" i="6"/>
  <c r="N1918" i="6"/>
  <c r="N1917" i="6"/>
  <c r="P1916" i="6"/>
  <c r="P1914" i="6"/>
  <c r="P1912" i="6"/>
  <c r="P1910" i="6"/>
  <c r="P1908" i="6"/>
  <c r="L1895" i="6"/>
  <c r="K1895" i="6"/>
  <c r="J1895" i="6"/>
  <c r="L1894" i="6"/>
  <c r="K1894" i="6"/>
  <c r="L1893" i="6"/>
  <c r="K1893" i="6"/>
  <c r="J1893" i="6"/>
  <c r="L1892" i="6"/>
  <c r="K1892" i="6"/>
  <c r="L1891" i="6"/>
  <c r="K1891" i="6"/>
  <c r="L1890" i="6"/>
  <c r="K1890" i="6"/>
  <c r="J1890" i="6"/>
  <c r="N1882" i="6"/>
  <c r="N1881" i="6"/>
  <c r="N1880" i="6"/>
  <c r="P1879" i="6"/>
  <c r="P1877" i="6"/>
  <c r="P1875" i="6"/>
  <c r="P1873" i="6"/>
  <c r="P1871" i="6"/>
  <c r="L1858" i="6"/>
  <c r="K1858" i="6"/>
  <c r="J1858" i="6"/>
  <c r="L1857" i="6"/>
  <c r="K1857" i="6"/>
  <c r="L1856" i="6"/>
  <c r="K1856" i="6"/>
  <c r="J1856" i="6"/>
  <c r="L1855" i="6"/>
  <c r="K1855" i="6"/>
  <c r="L1854" i="6"/>
  <c r="K1854" i="6"/>
  <c r="L1853" i="6"/>
  <c r="K1853" i="6"/>
  <c r="J1853" i="6"/>
  <c r="N1845" i="6"/>
  <c r="N1844" i="6"/>
  <c r="N1843" i="6"/>
  <c r="P1842" i="6"/>
  <c r="P1840" i="6"/>
  <c r="P1838" i="6"/>
  <c r="P1836" i="6"/>
  <c r="P1834" i="6"/>
  <c r="L1821" i="6"/>
  <c r="K1821" i="6"/>
  <c r="J1821" i="6"/>
  <c r="L1820" i="6"/>
  <c r="K1820" i="6"/>
  <c r="L1819" i="6"/>
  <c r="K1819" i="6"/>
  <c r="L1818" i="6"/>
  <c r="K1818" i="6"/>
  <c r="L1817" i="6"/>
  <c r="K1817" i="6"/>
  <c r="J1817" i="6"/>
  <c r="L1816" i="6"/>
  <c r="K1816" i="6"/>
  <c r="J1816" i="6"/>
  <c r="N1808" i="6"/>
  <c r="N1807" i="6"/>
  <c r="N1806" i="6"/>
  <c r="P1805" i="6"/>
  <c r="P1803" i="6"/>
  <c r="P1801" i="6"/>
  <c r="P1799" i="6"/>
  <c r="P1797" i="6"/>
  <c r="L1784" i="6"/>
  <c r="K1784" i="6"/>
  <c r="J1784" i="6"/>
  <c r="L1783" i="6"/>
  <c r="K1783" i="6"/>
  <c r="L1782" i="6"/>
  <c r="K1782" i="6"/>
  <c r="L1781" i="6"/>
  <c r="K1781" i="6"/>
  <c r="L1780" i="6"/>
  <c r="K1780" i="6"/>
  <c r="J1780" i="6"/>
  <c r="L1779" i="6"/>
  <c r="K1779" i="6"/>
  <c r="J1779" i="6"/>
  <c r="N1771" i="6"/>
  <c r="P1770" i="6"/>
  <c r="N1770" i="6"/>
  <c r="N1769" i="6"/>
  <c r="P1768" i="6"/>
  <c r="P1766" i="6"/>
  <c r="P1764" i="6"/>
  <c r="P1762" i="6"/>
  <c r="P1760" i="6"/>
  <c r="L1747" i="6"/>
  <c r="K1747" i="6"/>
  <c r="J1747" i="6"/>
  <c r="L1746" i="6"/>
  <c r="K1746" i="6"/>
  <c r="L1745" i="6"/>
  <c r="K1745" i="6"/>
  <c r="J1745" i="6"/>
  <c r="L1744" i="6"/>
  <c r="K1744" i="6"/>
  <c r="L1743" i="6"/>
  <c r="K1743" i="6"/>
  <c r="L1742" i="6"/>
  <c r="K1742" i="6"/>
  <c r="J1742" i="6"/>
  <c r="S1734" i="6"/>
  <c r="N1734" i="6"/>
  <c r="N1733" i="6"/>
  <c r="N1732" i="6"/>
  <c r="P1731" i="6"/>
  <c r="P1729" i="6"/>
  <c r="P1727" i="6"/>
  <c r="P1725" i="6"/>
  <c r="P1723" i="6"/>
  <c r="P1721" i="6"/>
  <c r="L1708" i="6"/>
  <c r="K1708" i="6"/>
  <c r="J1708" i="6"/>
  <c r="L1707" i="6"/>
  <c r="K1707" i="6"/>
  <c r="L1706" i="6"/>
  <c r="K1706" i="6"/>
  <c r="L1705" i="6"/>
  <c r="K1705" i="6"/>
  <c r="L1704" i="6"/>
  <c r="K1704" i="6"/>
  <c r="J1704" i="6"/>
  <c r="L1703" i="6"/>
  <c r="K1703" i="6"/>
  <c r="J1703" i="6"/>
  <c r="N1695" i="6"/>
  <c r="P1694" i="6"/>
  <c r="N1694" i="6"/>
  <c r="N1693" i="6"/>
  <c r="P1692" i="6"/>
  <c r="P1690" i="6"/>
  <c r="P1688" i="6"/>
  <c r="P1686" i="6"/>
  <c r="P1684" i="6"/>
  <c r="L1671" i="6"/>
  <c r="K1671" i="6"/>
  <c r="J1671" i="6"/>
  <c r="L1670" i="6"/>
  <c r="K1670" i="6"/>
  <c r="L1669" i="6"/>
  <c r="K1669" i="6"/>
  <c r="L1668" i="6"/>
  <c r="K1668" i="6"/>
  <c r="L1667" i="6"/>
  <c r="K1667" i="6"/>
  <c r="J1667" i="6"/>
  <c r="L1666" i="6"/>
  <c r="K1666" i="6"/>
  <c r="J1666" i="6"/>
  <c r="N1658" i="6"/>
  <c r="P1657" i="6"/>
  <c r="N1657" i="6"/>
  <c r="N1656" i="6"/>
  <c r="P1655" i="6"/>
  <c r="P1653" i="6"/>
  <c r="P1651" i="6"/>
  <c r="P1649" i="6"/>
  <c r="P1647" i="6"/>
  <c r="L1634" i="6"/>
  <c r="K1634" i="6"/>
  <c r="J1634" i="6"/>
  <c r="L1633" i="6"/>
  <c r="K1633" i="6"/>
  <c r="L1632" i="6"/>
  <c r="K1632" i="6"/>
  <c r="J1632" i="6"/>
  <c r="L1631" i="6"/>
  <c r="K1631" i="6"/>
  <c r="L1630" i="6"/>
  <c r="K1630" i="6"/>
  <c r="L1629" i="6"/>
  <c r="K1629" i="6"/>
  <c r="J1629" i="6"/>
  <c r="N1621" i="6"/>
  <c r="P1620" i="6"/>
  <c r="N1620" i="6"/>
  <c r="N1619" i="6"/>
  <c r="P1618" i="6"/>
  <c r="P1616" i="6"/>
  <c r="P1614" i="6"/>
  <c r="P1612" i="6"/>
  <c r="P1610" i="6"/>
  <c r="L1597" i="6"/>
  <c r="K1597" i="6"/>
  <c r="J1597" i="6"/>
  <c r="L1596" i="6"/>
  <c r="K1596" i="6"/>
  <c r="L1595" i="6"/>
  <c r="K1595" i="6"/>
  <c r="J1595" i="6"/>
  <c r="L1594" i="6"/>
  <c r="K1594" i="6"/>
  <c r="L1593" i="6"/>
  <c r="K1593" i="6"/>
  <c r="L1592" i="6"/>
  <c r="K1592" i="6"/>
  <c r="J1592" i="6"/>
  <c r="N1584" i="6"/>
  <c r="P1583" i="6"/>
  <c r="N1583" i="6"/>
  <c r="N1582" i="6"/>
  <c r="P1581" i="6"/>
  <c r="P1579" i="6"/>
  <c r="P1577" i="6"/>
  <c r="P1575" i="6"/>
  <c r="P1573" i="6"/>
  <c r="L1560" i="6"/>
  <c r="K1560" i="6"/>
  <c r="J1560" i="6"/>
  <c r="L1559" i="6"/>
  <c r="K1559" i="6"/>
  <c r="L1558" i="6"/>
  <c r="K1558" i="6"/>
  <c r="J1558" i="6"/>
  <c r="L1557" i="6"/>
  <c r="K1557" i="6"/>
  <c r="L1556" i="6"/>
  <c r="K1556" i="6"/>
  <c r="L1555" i="6"/>
  <c r="K1555" i="6"/>
  <c r="J1555" i="6"/>
  <c r="N1547" i="6"/>
  <c r="N1546" i="6"/>
  <c r="N1545" i="6"/>
  <c r="P1544" i="6"/>
  <c r="P1542" i="6"/>
  <c r="P1540" i="6"/>
  <c r="P1538" i="6"/>
  <c r="P1536" i="6"/>
  <c r="L1523" i="6"/>
  <c r="K1523" i="6"/>
  <c r="J1523" i="6"/>
  <c r="L1522" i="6"/>
  <c r="K1522" i="6"/>
  <c r="L1521" i="6"/>
  <c r="K1521" i="6"/>
  <c r="L1520" i="6"/>
  <c r="K1520" i="6"/>
  <c r="L1519" i="6"/>
  <c r="K1519" i="6"/>
  <c r="J1519" i="6"/>
  <c r="L1518" i="6"/>
  <c r="K1518" i="6"/>
  <c r="J1518" i="6"/>
  <c r="N1510" i="6"/>
  <c r="N1509" i="6"/>
  <c r="N1508" i="6"/>
  <c r="P1507" i="6"/>
  <c r="I1506" i="6"/>
  <c r="P1505" i="6"/>
  <c r="I1504" i="6"/>
  <c r="P1503" i="6"/>
  <c r="I1502" i="6"/>
  <c r="P1501" i="6"/>
  <c r="I1500" i="6"/>
  <c r="P1499" i="6"/>
  <c r="D1487" i="6"/>
  <c r="C1487" i="6"/>
  <c r="B1487" i="6"/>
  <c r="L1486" i="6"/>
  <c r="K1486" i="6"/>
  <c r="J1486" i="6"/>
  <c r="D1486" i="6"/>
  <c r="C1486" i="6"/>
  <c r="L1485" i="6"/>
  <c r="K1485" i="6"/>
  <c r="D1485" i="6"/>
  <c r="C1485" i="6"/>
  <c r="L1484" i="6"/>
  <c r="K1484" i="6"/>
  <c r="D1484" i="6"/>
  <c r="C1484" i="6"/>
  <c r="L1483" i="6"/>
  <c r="K1483" i="6"/>
  <c r="D1483" i="6"/>
  <c r="C1483" i="6"/>
  <c r="B1483" i="6"/>
  <c r="L1482" i="6"/>
  <c r="K1482" i="6"/>
  <c r="J1482" i="6"/>
  <c r="D1482" i="6"/>
  <c r="C1482" i="6"/>
  <c r="B1482" i="6"/>
  <c r="L1481" i="6"/>
  <c r="K1481" i="6"/>
  <c r="J1481" i="6"/>
  <c r="F1474" i="6"/>
  <c r="N1473" i="6"/>
  <c r="F1473" i="6"/>
  <c r="P1472" i="6"/>
  <c r="N1472" i="6"/>
  <c r="F1472" i="6"/>
  <c r="N1471" i="6"/>
  <c r="H1471" i="6"/>
  <c r="P1470" i="6"/>
  <c r="I1469" i="6"/>
  <c r="H1469" i="6"/>
  <c r="P1468" i="6"/>
  <c r="A1468" i="6"/>
  <c r="I1467" i="6"/>
  <c r="H1467" i="6"/>
  <c r="P1466" i="6"/>
  <c r="A1466" i="6"/>
  <c r="I1465" i="6"/>
  <c r="H1465" i="6"/>
  <c r="P1464" i="6"/>
  <c r="A1464" i="6"/>
  <c r="I1463" i="6"/>
  <c r="H1463" i="6"/>
  <c r="P1462" i="6"/>
  <c r="A1462" i="6"/>
  <c r="D1450" i="6"/>
  <c r="C1450" i="6"/>
  <c r="B1450" i="6"/>
  <c r="L1449" i="6"/>
  <c r="K1449" i="6"/>
  <c r="J1449" i="6"/>
  <c r="D1449" i="6"/>
  <c r="C1449" i="6"/>
  <c r="L1448" i="6"/>
  <c r="K1448" i="6"/>
  <c r="D1448" i="6"/>
  <c r="C1448" i="6"/>
  <c r="L1447" i="6"/>
  <c r="K1447" i="6"/>
  <c r="J1447" i="6"/>
  <c r="D1447" i="6"/>
  <c r="C1447" i="6"/>
  <c r="B1447" i="6"/>
  <c r="L1446" i="6"/>
  <c r="K1446" i="6"/>
  <c r="J1446" i="6"/>
  <c r="D1446" i="6"/>
  <c r="C1446" i="6"/>
  <c r="B1446" i="6"/>
  <c r="L1445" i="6"/>
  <c r="K1445" i="6"/>
  <c r="L1444" i="6"/>
  <c r="K1444" i="6"/>
  <c r="J1444" i="6"/>
  <c r="F1438" i="6"/>
  <c r="F1437" i="6"/>
  <c r="N1436" i="6"/>
  <c r="F1436" i="6"/>
  <c r="N1435" i="6"/>
  <c r="H1435" i="6"/>
  <c r="N1434" i="6"/>
  <c r="P1433" i="6"/>
  <c r="H1433" i="6"/>
  <c r="A1432" i="6"/>
  <c r="P1431" i="6"/>
  <c r="H1431" i="6"/>
  <c r="A1430" i="6"/>
  <c r="P1429" i="6"/>
  <c r="H1429" i="6"/>
  <c r="A1428" i="6"/>
  <c r="P1427" i="6"/>
  <c r="H1427" i="6"/>
  <c r="I1426" i="6"/>
  <c r="A1426" i="6"/>
  <c r="P1425" i="6"/>
  <c r="D1414" i="6"/>
  <c r="C1414" i="6"/>
  <c r="B1414" i="6"/>
  <c r="D1413" i="6"/>
  <c r="C1413" i="6"/>
  <c r="L1412" i="6"/>
  <c r="K1412" i="6"/>
  <c r="J1412" i="6"/>
  <c r="D1412" i="6"/>
  <c r="C1412" i="6"/>
  <c r="L1411" i="6"/>
  <c r="K1411" i="6"/>
  <c r="D1411" i="6"/>
  <c r="C1411" i="6"/>
  <c r="L1410" i="6"/>
  <c r="K1410" i="6"/>
  <c r="J1410" i="6"/>
  <c r="D1410" i="6"/>
  <c r="C1410" i="6"/>
  <c r="B1410" i="6"/>
  <c r="L1409" i="6"/>
  <c r="K1409" i="6"/>
  <c r="D1409" i="6"/>
  <c r="C1409" i="6"/>
  <c r="B1409" i="6"/>
  <c r="L1408" i="6"/>
  <c r="K1408" i="6"/>
  <c r="L1407" i="6"/>
  <c r="K1407" i="6"/>
  <c r="J1407" i="6"/>
  <c r="F1401" i="6"/>
  <c r="F1400" i="6"/>
  <c r="N1399" i="6"/>
  <c r="F1399" i="6"/>
  <c r="P1398" i="6"/>
  <c r="N1398" i="6"/>
  <c r="H1398" i="6"/>
  <c r="N1397" i="6"/>
  <c r="P1396" i="6"/>
  <c r="H1396" i="6"/>
  <c r="A1395" i="6"/>
  <c r="P1394" i="6"/>
  <c r="H1394" i="6"/>
  <c r="A1393" i="6"/>
  <c r="P1392" i="6"/>
  <c r="H1392" i="6"/>
  <c r="I1391" i="6"/>
  <c r="A1391" i="6"/>
  <c r="P1390" i="6"/>
  <c r="H1390" i="6"/>
  <c r="I1389" i="6"/>
  <c r="A1389" i="6"/>
  <c r="P1388" i="6"/>
  <c r="D1377" i="6"/>
  <c r="C1377" i="6"/>
  <c r="B1377" i="6"/>
  <c r="D1376" i="6"/>
  <c r="C1376" i="6"/>
  <c r="L1375" i="6"/>
  <c r="K1375" i="6"/>
  <c r="J1375" i="6"/>
  <c r="D1375" i="6"/>
  <c r="C1375" i="6"/>
  <c r="L1374" i="6"/>
  <c r="K1374" i="6"/>
  <c r="D1374" i="6"/>
  <c r="C1374" i="6"/>
  <c r="L1373" i="6"/>
  <c r="K1373" i="6"/>
  <c r="J1373" i="6"/>
  <c r="D1373" i="6"/>
  <c r="C1373" i="6"/>
  <c r="B1373" i="6"/>
  <c r="L1372" i="6"/>
  <c r="K1372" i="6"/>
  <c r="D1372" i="6"/>
  <c r="C1372" i="6"/>
  <c r="B1372" i="6"/>
  <c r="L1371" i="6"/>
  <c r="K1371" i="6"/>
  <c r="L1370" i="6"/>
  <c r="K1370" i="6"/>
  <c r="J1370" i="6"/>
  <c r="F1364" i="6"/>
  <c r="F1363" i="6"/>
  <c r="N1362" i="6"/>
  <c r="F1362" i="6"/>
  <c r="N1361" i="6"/>
  <c r="H1361" i="6"/>
  <c r="N1360" i="6"/>
  <c r="A1360" i="6"/>
  <c r="P1359" i="6"/>
  <c r="H1359" i="6"/>
  <c r="A1358" i="6"/>
  <c r="P1357" i="6"/>
  <c r="H1357" i="6"/>
  <c r="I1356" i="6"/>
  <c r="A1356" i="6"/>
  <c r="P1355" i="6"/>
  <c r="H1355" i="6"/>
  <c r="I1354" i="6"/>
  <c r="A1354" i="6"/>
  <c r="P1353" i="6"/>
  <c r="H1353" i="6"/>
  <c r="I1352" i="6"/>
  <c r="A1352" i="6"/>
  <c r="P1351" i="6"/>
  <c r="H1351" i="6"/>
  <c r="A1350" i="6"/>
  <c r="L1338" i="6"/>
  <c r="K1338" i="6"/>
  <c r="J1338" i="6"/>
  <c r="D1338" i="6"/>
  <c r="C1338" i="6"/>
  <c r="B1338" i="6"/>
  <c r="L1337" i="6"/>
  <c r="K1337" i="6"/>
  <c r="D1337" i="6"/>
  <c r="C1337" i="6"/>
  <c r="L1336" i="6"/>
  <c r="K1336" i="6"/>
  <c r="J1336" i="6"/>
  <c r="D1336" i="6"/>
  <c r="C1336" i="6"/>
  <c r="L1335" i="6"/>
  <c r="K1335" i="6"/>
  <c r="D1335" i="6"/>
  <c r="C1335" i="6"/>
  <c r="L1334" i="6"/>
  <c r="K1334" i="6"/>
  <c r="D1334" i="6"/>
  <c r="C1334" i="6"/>
  <c r="B1334" i="6"/>
  <c r="L1333" i="6"/>
  <c r="K1333" i="6"/>
  <c r="J1333" i="6"/>
  <c r="D1333" i="6"/>
  <c r="C1333" i="6"/>
  <c r="B1333" i="6"/>
  <c r="N1325" i="6"/>
  <c r="F1325" i="6"/>
  <c r="N1324" i="6"/>
  <c r="F1324" i="6"/>
  <c r="N1323" i="6"/>
  <c r="F1323" i="6"/>
  <c r="P1322" i="6"/>
  <c r="H1322" i="6"/>
  <c r="I1321" i="6"/>
  <c r="A1321" i="6"/>
  <c r="P1320" i="6"/>
  <c r="H1320" i="6"/>
  <c r="I1319" i="6"/>
  <c r="A1319" i="6"/>
  <c r="P1318" i="6"/>
  <c r="H1318" i="6"/>
  <c r="I1317" i="6"/>
  <c r="A1317" i="6"/>
  <c r="P1316" i="6"/>
  <c r="H1316" i="6"/>
  <c r="I1315" i="6"/>
  <c r="A1315" i="6"/>
  <c r="P1314" i="6"/>
  <c r="H1314" i="6"/>
  <c r="A1313" i="6"/>
  <c r="L1301" i="6"/>
  <c r="K1301" i="6"/>
  <c r="J1301" i="6"/>
  <c r="D1301" i="6"/>
  <c r="C1301" i="6"/>
  <c r="B1301" i="6"/>
  <c r="L1300" i="6"/>
  <c r="K1300" i="6"/>
  <c r="D1300" i="6"/>
  <c r="C1300" i="6"/>
  <c r="L1299" i="6"/>
  <c r="K1299" i="6"/>
  <c r="J1299" i="6"/>
  <c r="D1299" i="6"/>
  <c r="C1299" i="6"/>
  <c r="L1298" i="6"/>
  <c r="K1298" i="6"/>
  <c r="D1298" i="6"/>
  <c r="C1298" i="6"/>
  <c r="L1297" i="6"/>
  <c r="K1297" i="6"/>
  <c r="D1297" i="6"/>
  <c r="C1297" i="6"/>
  <c r="B1297" i="6"/>
  <c r="L1296" i="6"/>
  <c r="K1296" i="6"/>
  <c r="J1296" i="6"/>
  <c r="D1296" i="6"/>
  <c r="C1296" i="6"/>
  <c r="B1296" i="6"/>
  <c r="N1288" i="6"/>
  <c r="F1288" i="6"/>
  <c r="N1287" i="6"/>
  <c r="F1287" i="6"/>
  <c r="N1286" i="6"/>
  <c r="F1286" i="6"/>
  <c r="P1285" i="6"/>
  <c r="H1285" i="6"/>
  <c r="I1284" i="6"/>
  <c r="A1284" i="6"/>
  <c r="P1283" i="6"/>
  <c r="H1283" i="6"/>
  <c r="I1282" i="6"/>
  <c r="A1282" i="6"/>
  <c r="P1281" i="6"/>
  <c r="H1281" i="6"/>
  <c r="I1280" i="6"/>
  <c r="A1280" i="6"/>
  <c r="P1279" i="6"/>
  <c r="H1279" i="6"/>
  <c r="I1278" i="6"/>
  <c r="A1278" i="6"/>
  <c r="P1277" i="6"/>
  <c r="H1277" i="6"/>
  <c r="A1276" i="6"/>
  <c r="L1264" i="6"/>
  <c r="K1264" i="6"/>
  <c r="J1264" i="6"/>
  <c r="D1264" i="6"/>
  <c r="C1264" i="6"/>
  <c r="B1264" i="6"/>
  <c r="L1263" i="6"/>
  <c r="K1263" i="6"/>
  <c r="D1263" i="6"/>
  <c r="C1263" i="6"/>
  <c r="L1262" i="6"/>
  <c r="K1262" i="6"/>
  <c r="D1262" i="6"/>
  <c r="C1262" i="6"/>
  <c r="L1261" i="6"/>
  <c r="K1261" i="6"/>
  <c r="D1261" i="6"/>
  <c r="C1261" i="6"/>
  <c r="L1260" i="6"/>
  <c r="K1260" i="6"/>
  <c r="J1260" i="6"/>
  <c r="D1260" i="6"/>
  <c r="C1260" i="6"/>
  <c r="B1260" i="6"/>
  <c r="L1259" i="6"/>
  <c r="K1259" i="6"/>
  <c r="J1259" i="6"/>
  <c r="D1259" i="6"/>
  <c r="C1259" i="6"/>
  <c r="B1259" i="6"/>
  <c r="N1251" i="6"/>
  <c r="F1251" i="6"/>
  <c r="P1250" i="6"/>
  <c r="N1250" i="6"/>
  <c r="F1250" i="6"/>
  <c r="N1249" i="6"/>
  <c r="F1249" i="6"/>
  <c r="P1248" i="6"/>
  <c r="H1248" i="6"/>
  <c r="A1247" i="6"/>
  <c r="P1246" i="6"/>
  <c r="H1246" i="6"/>
  <c r="I1245" i="6"/>
  <c r="A1245" i="6"/>
  <c r="P1244" i="6"/>
  <c r="H1244" i="6"/>
  <c r="I1243" i="6"/>
  <c r="A1243" i="6"/>
  <c r="P1242" i="6"/>
  <c r="H1242" i="6"/>
  <c r="I1241" i="6"/>
  <c r="A1241" i="6"/>
  <c r="P1240" i="6"/>
  <c r="H1240" i="6"/>
  <c r="A1239" i="6"/>
  <c r="L1227" i="6"/>
  <c r="K1227" i="6"/>
  <c r="J1227" i="6"/>
  <c r="D1227" i="6"/>
  <c r="C1227" i="6"/>
  <c r="B1227" i="6"/>
  <c r="L1226" i="6"/>
  <c r="K1226" i="6"/>
  <c r="D1226" i="6"/>
  <c r="C1226" i="6"/>
  <c r="L1225" i="6"/>
  <c r="K1225" i="6"/>
  <c r="D1225" i="6"/>
  <c r="C1225" i="6"/>
  <c r="L1224" i="6"/>
  <c r="K1224" i="6"/>
  <c r="D1224" i="6"/>
  <c r="C1224" i="6"/>
  <c r="L1223" i="6"/>
  <c r="K1223" i="6"/>
  <c r="J1223" i="6"/>
  <c r="D1223" i="6"/>
  <c r="C1223" i="6"/>
  <c r="B1223" i="6"/>
  <c r="L1222" i="6"/>
  <c r="K1222" i="6"/>
  <c r="J1222" i="6"/>
  <c r="D1222" i="6"/>
  <c r="C1222" i="6"/>
  <c r="B1222" i="6"/>
  <c r="N1214" i="6"/>
  <c r="F1214" i="6"/>
  <c r="P1213" i="6"/>
  <c r="N1213" i="6"/>
  <c r="F1213" i="6"/>
  <c r="N1212" i="6"/>
  <c r="F1212" i="6"/>
  <c r="P1211" i="6"/>
  <c r="H1211" i="6"/>
  <c r="I1210" i="6"/>
  <c r="P1209" i="6"/>
  <c r="H1209" i="6"/>
  <c r="I1208" i="6"/>
  <c r="P1207" i="6"/>
  <c r="H1207" i="6"/>
  <c r="I1206" i="6"/>
  <c r="A1206" i="6"/>
  <c r="P1205" i="6"/>
  <c r="H1205" i="6"/>
  <c r="I1204" i="6"/>
  <c r="A1204" i="6"/>
  <c r="P1203" i="6"/>
  <c r="H1203" i="6"/>
  <c r="A1202" i="6"/>
  <c r="L1190" i="6"/>
  <c r="K1190" i="6"/>
  <c r="J1190" i="6"/>
  <c r="D1190" i="6"/>
  <c r="C1190" i="6"/>
  <c r="B1190" i="6"/>
  <c r="L1189" i="6"/>
  <c r="K1189" i="6"/>
  <c r="D1189" i="6"/>
  <c r="C1189" i="6"/>
  <c r="L1188" i="6"/>
  <c r="K1188" i="6"/>
  <c r="D1188" i="6"/>
  <c r="C1188" i="6"/>
  <c r="L1187" i="6"/>
  <c r="K1187" i="6"/>
  <c r="D1187" i="6"/>
  <c r="C1187" i="6"/>
  <c r="L1186" i="6"/>
  <c r="K1186" i="6"/>
  <c r="J1186" i="6"/>
  <c r="D1186" i="6"/>
  <c r="C1186" i="6"/>
  <c r="B1186" i="6"/>
  <c r="L1185" i="6"/>
  <c r="K1185" i="6"/>
  <c r="J1185" i="6"/>
  <c r="D1185" i="6"/>
  <c r="C1185" i="6"/>
  <c r="B1185" i="6"/>
  <c r="N1177" i="6"/>
  <c r="F1177" i="6"/>
  <c r="P1176" i="6"/>
  <c r="N1176" i="6"/>
  <c r="F1176" i="6"/>
  <c r="N1175" i="6"/>
  <c r="F1175" i="6"/>
  <c r="P1174" i="6"/>
  <c r="H1174" i="6"/>
  <c r="I1173" i="6"/>
  <c r="P1172" i="6"/>
  <c r="H1172" i="6"/>
  <c r="I1171" i="6"/>
  <c r="P1170" i="6"/>
  <c r="I1169" i="6"/>
  <c r="P1168" i="6"/>
  <c r="H1168" i="6"/>
  <c r="I1167" i="6"/>
  <c r="A1167" i="6"/>
  <c r="P1166" i="6"/>
  <c r="H1166" i="6"/>
  <c r="A1165" i="6"/>
  <c r="L1153" i="6"/>
  <c r="K1153" i="6"/>
  <c r="J1153" i="6"/>
  <c r="D1153" i="6"/>
  <c r="C1153" i="6"/>
  <c r="B1153" i="6"/>
  <c r="L1152" i="6"/>
  <c r="K1152" i="6"/>
  <c r="D1152" i="6"/>
  <c r="C1152" i="6"/>
  <c r="L1151" i="6"/>
  <c r="K1151" i="6"/>
  <c r="D1151" i="6"/>
  <c r="C1151" i="6"/>
  <c r="L1150" i="6"/>
  <c r="K1150" i="6"/>
  <c r="D1150" i="6"/>
  <c r="C1150" i="6"/>
  <c r="L1149" i="6"/>
  <c r="K1149" i="6"/>
  <c r="J1149" i="6"/>
  <c r="D1149" i="6"/>
  <c r="C1149" i="6"/>
  <c r="B1149" i="6"/>
  <c r="L1148" i="6"/>
  <c r="K1148" i="6"/>
  <c r="J1148" i="6"/>
  <c r="D1148" i="6"/>
  <c r="C1148" i="6"/>
  <c r="B1148" i="6"/>
  <c r="N1140" i="6"/>
  <c r="F1140" i="6"/>
  <c r="P1139" i="6"/>
  <c r="N1139" i="6"/>
  <c r="F1139" i="6"/>
  <c r="N1138" i="6"/>
  <c r="F1138" i="6"/>
  <c r="P1137" i="6"/>
  <c r="H1137" i="6"/>
  <c r="I1136" i="6"/>
  <c r="P1135" i="6"/>
  <c r="H1135" i="6"/>
  <c r="I1134" i="6"/>
  <c r="P1133" i="6"/>
  <c r="I1132" i="6"/>
  <c r="P1131" i="6"/>
  <c r="H1131" i="6"/>
  <c r="I1130" i="6"/>
  <c r="P1129" i="6"/>
  <c r="H1129" i="6"/>
  <c r="L1116" i="6"/>
  <c r="K1116" i="6"/>
  <c r="J1116" i="6"/>
  <c r="D1116" i="6"/>
  <c r="C1116" i="6"/>
  <c r="B1116" i="6"/>
  <c r="L1115" i="6"/>
  <c r="K1115" i="6"/>
  <c r="D1115" i="6"/>
  <c r="C1115" i="6"/>
  <c r="L1114" i="6"/>
  <c r="K1114" i="6"/>
  <c r="D1114" i="6"/>
  <c r="C1114" i="6"/>
  <c r="L1113" i="6"/>
  <c r="K1113" i="6"/>
  <c r="D1113" i="6"/>
  <c r="C1113" i="6"/>
  <c r="L1112" i="6"/>
  <c r="K1112" i="6"/>
  <c r="J1112" i="6"/>
  <c r="D1112" i="6"/>
  <c r="C1112" i="6"/>
  <c r="B1112" i="6"/>
  <c r="L1111" i="6"/>
  <c r="K1111" i="6"/>
  <c r="J1111" i="6"/>
  <c r="D1111" i="6"/>
  <c r="C1111" i="6"/>
  <c r="B1111" i="6"/>
  <c r="N1103" i="6"/>
  <c r="F1103" i="6"/>
  <c r="P1102" i="6"/>
  <c r="N1102" i="6"/>
  <c r="F1102" i="6"/>
  <c r="N1101" i="6"/>
  <c r="F1101" i="6"/>
  <c r="P1100" i="6"/>
  <c r="H1100" i="6"/>
  <c r="A1099" i="6"/>
  <c r="P1098" i="6"/>
  <c r="H1098" i="6"/>
  <c r="I1097" i="6"/>
  <c r="A1097" i="6"/>
  <c r="P1096" i="6"/>
  <c r="H1096" i="6"/>
  <c r="I1095" i="6"/>
  <c r="A1095" i="6"/>
  <c r="P1094" i="6"/>
  <c r="H1094" i="6"/>
  <c r="I1093" i="6"/>
  <c r="A1093" i="6"/>
  <c r="P1092" i="6"/>
  <c r="H1092" i="6"/>
  <c r="A1091" i="6"/>
  <c r="L1079" i="6"/>
  <c r="K1079" i="6"/>
  <c r="J1079" i="6"/>
  <c r="D1079" i="6"/>
  <c r="C1079" i="6"/>
  <c r="B1079" i="6"/>
  <c r="L1078" i="6"/>
  <c r="K1078" i="6"/>
  <c r="D1078" i="6"/>
  <c r="C1078" i="6"/>
  <c r="L1077" i="6"/>
  <c r="K1077" i="6"/>
  <c r="D1077" i="6"/>
  <c r="C1077" i="6"/>
  <c r="L1076" i="6"/>
  <c r="K1076" i="6"/>
  <c r="D1076" i="6"/>
  <c r="C1076" i="6"/>
  <c r="L1075" i="6"/>
  <c r="K1075" i="6"/>
  <c r="J1075" i="6"/>
  <c r="D1075" i="6"/>
  <c r="C1075" i="6"/>
  <c r="B1075" i="6"/>
  <c r="L1074" i="6"/>
  <c r="K1074" i="6"/>
  <c r="J1074" i="6"/>
  <c r="D1074" i="6"/>
  <c r="C1074" i="6"/>
  <c r="B1074" i="6"/>
  <c r="N1066" i="6"/>
  <c r="F1066" i="6"/>
  <c r="P1065" i="6"/>
  <c r="N1065" i="6"/>
  <c r="F1065" i="6"/>
  <c r="N1064" i="6"/>
  <c r="F1064" i="6"/>
  <c r="P1063" i="6"/>
  <c r="H1063" i="6"/>
  <c r="I1062" i="6"/>
  <c r="P1061" i="6"/>
  <c r="H1061" i="6"/>
  <c r="I1060" i="6"/>
  <c r="P1059" i="6"/>
  <c r="H1059" i="6"/>
  <c r="I1058" i="6"/>
  <c r="P1057" i="6"/>
  <c r="H1057" i="6"/>
  <c r="I1056" i="6"/>
  <c r="A1056" i="6"/>
  <c r="P1055" i="6"/>
  <c r="H1055" i="6"/>
  <c r="H1054" i="6"/>
  <c r="A1054" i="6"/>
  <c r="L1042" i="6"/>
  <c r="K1042" i="6"/>
  <c r="J1042" i="6"/>
  <c r="D1042" i="6"/>
  <c r="C1042" i="6"/>
  <c r="L1041" i="6"/>
  <c r="K1041" i="6"/>
  <c r="D1041" i="6"/>
  <c r="C1041" i="6"/>
  <c r="L1040" i="6"/>
  <c r="K1040" i="6"/>
  <c r="D1040" i="6"/>
  <c r="C1040" i="6"/>
  <c r="B1040" i="6"/>
  <c r="L1039" i="6"/>
  <c r="K1039" i="6"/>
  <c r="D1039" i="6"/>
  <c r="C1039" i="6"/>
  <c r="B1039" i="6"/>
  <c r="L1038" i="6"/>
  <c r="K1038" i="6"/>
  <c r="J1038" i="6"/>
  <c r="L1037" i="6"/>
  <c r="K1037" i="6"/>
  <c r="J1037" i="6"/>
  <c r="F1031" i="6"/>
  <c r="F1030" i="6"/>
  <c r="N1029" i="6"/>
  <c r="F1029" i="6"/>
  <c r="P1028" i="6"/>
  <c r="N1028" i="6"/>
  <c r="H1028" i="6"/>
  <c r="N1027" i="6"/>
  <c r="A1027" i="6"/>
  <c r="P1026" i="6"/>
  <c r="H1026" i="6"/>
  <c r="I1025" i="6"/>
  <c r="A1025" i="6"/>
  <c r="P1024" i="6"/>
  <c r="H1024" i="6"/>
  <c r="I1023" i="6"/>
  <c r="A1023" i="6"/>
  <c r="P1022" i="6"/>
  <c r="H1022" i="6"/>
  <c r="I1021" i="6"/>
  <c r="A1021" i="6"/>
  <c r="P1020" i="6"/>
  <c r="I1019" i="6"/>
  <c r="H1019" i="6"/>
  <c r="A1019" i="6"/>
  <c r="P1018" i="6"/>
  <c r="D1007" i="6"/>
  <c r="C1007" i="6"/>
  <c r="B1007" i="6"/>
  <c r="D1006" i="6"/>
  <c r="C1006" i="6"/>
  <c r="L1005" i="6"/>
  <c r="K1005" i="6"/>
  <c r="J1005" i="6"/>
  <c r="D1005" i="6"/>
  <c r="C1005" i="6"/>
  <c r="L1004" i="6"/>
  <c r="K1004" i="6"/>
  <c r="D1004" i="6"/>
  <c r="C1004" i="6"/>
  <c r="L1003" i="6"/>
  <c r="K1003" i="6"/>
  <c r="D1003" i="6"/>
  <c r="C1003" i="6"/>
  <c r="B1003" i="6"/>
  <c r="L1002" i="6"/>
  <c r="K1002" i="6"/>
  <c r="D1002" i="6"/>
  <c r="C1002" i="6"/>
  <c r="B1002" i="6"/>
  <c r="L1001" i="6"/>
  <c r="K1001" i="6"/>
  <c r="J1001" i="6"/>
  <c r="L1000" i="6"/>
  <c r="K1000" i="6"/>
  <c r="J1000" i="6"/>
  <c r="F994" i="6"/>
  <c r="F993" i="6"/>
  <c r="N992" i="6"/>
  <c r="F992" i="6"/>
  <c r="P991" i="6"/>
  <c r="N991" i="6"/>
  <c r="H991" i="6"/>
  <c r="N990" i="6"/>
  <c r="P989" i="6"/>
  <c r="H989" i="6"/>
  <c r="I988" i="6"/>
  <c r="A988" i="6"/>
  <c r="P987" i="6"/>
  <c r="H987" i="6"/>
  <c r="I986" i="6"/>
  <c r="A986" i="6"/>
  <c r="P985" i="6"/>
  <c r="I984" i="6"/>
  <c r="P983" i="6"/>
  <c r="H983" i="6"/>
  <c r="I982" i="6"/>
  <c r="A982" i="6"/>
  <c r="P981" i="6"/>
  <c r="H981" i="6"/>
  <c r="I980" i="6"/>
  <c r="H980" i="6"/>
  <c r="A980" i="6"/>
  <c r="P979" i="6"/>
  <c r="D968" i="6"/>
  <c r="C968" i="6"/>
  <c r="B968" i="6"/>
  <c r="D967" i="6"/>
  <c r="C967" i="6"/>
  <c r="L966" i="6"/>
  <c r="K966" i="6"/>
  <c r="J966" i="6"/>
  <c r="D966" i="6"/>
  <c r="C966" i="6"/>
  <c r="B966" i="6"/>
  <c r="L965" i="6"/>
  <c r="K965" i="6"/>
  <c r="D965" i="6"/>
  <c r="C965" i="6"/>
  <c r="L964" i="6"/>
  <c r="K964" i="6"/>
  <c r="D964" i="6"/>
  <c r="C964" i="6"/>
  <c r="B964" i="6"/>
  <c r="L963" i="6"/>
  <c r="K963" i="6"/>
  <c r="D963" i="6"/>
  <c r="C963" i="6"/>
  <c r="B963" i="6"/>
  <c r="L962" i="6"/>
  <c r="K962" i="6"/>
  <c r="J962" i="6"/>
  <c r="L961" i="6"/>
  <c r="K961" i="6"/>
  <c r="J961" i="6"/>
  <c r="F955" i="6"/>
  <c r="F954" i="6"/>
  <c r="N953" i="6"/>
  <c r="F953" i="6"/>
  <c r="P952" i="6"/>
  <c r="N952" i="6"/>
  <c r="H952" i="6"/>
  <c r="N951" i="6"/>
  <c r="P950" i="6"/>
  <c r="H950" i="6"/>
  <c r="I949" i="6"/>
  <c r="P948" i="6"/>
  <c r="H948" i="6"/>
  <c r="I947" i="6"/>
  <c r="P946" i="6"/>
  <c r="I945" i="6"/>
  <c r="P944" i="6"/>
  <c r="H944" i="6"/>
  <c r="I943" i="6"/>
  <c r="P942" i="6"/>
  <c r="H942" i="6"/>
  <c r="I941" i="6"/>
  <c r="H941" i="6"/>
  <c r="A941" i="6"/>
  <c r="P940" i="6"/>
  <c r="D929" i="6"/>
  <c r="C929" i="6"/>
  <c r="B929" i="6"/>
  <c r="D928" i="6"/>
  <c r="C928" i="6"/>
  <c r="L927" i="6"/>
  <c r="K927" i="6"/>
  <c r="J927" i="6"/>
  <c r="D927" i="6"/>
  <c r="C927" i="6"/>
  <c r="B927" i="6"/>
  <c r="L926" i="6"/>
  <c r="K926" i="6"/>
  <c r="D926" i="6"/>
  <c r="C926" i="6"/>
  <c r="L925" i="6"/>
  <c r="K925" i="6"/>
  <c r="J925" i="6"/>
  <c r="D925" i="6"/>
  <c r="C925" i="6"/>
  <c r="B925" i="6"/>
  <c r="L924" i="6"/>
  <c r="K924" i="6"/>
  <c r="D924" i="6"/>
  <c r="C924" i="6"/>
  <c r="B924" i="6"/>
  <c r="L923" i="6"/>
  <c r="K923" i="6"/>
  <c r="L922" i="6"/>
  <c r="K922" i="6"/>
  <c r="F916" i="6"/>
  <c r="F915" i="6"/>
  <c r="N914" i="6"/>
  <c r="F914" i="6"/>
  <c r="N913" i="6"/>
  <c r="H913" i="6"/>
  <c r="N912" i="6"/>
  <c r="P911" i="6"/>
  <c r="H911" i="6"/>
  <c r="I910" i="6"/>
  <c r="P909" i="6"/>
  <c r="H909" i="6"/>
  <c r="I908" i="6"/>
  <c r="A908" i="6"/>
  <c r="P907" i="6"/>
  <c r="H907" i="6"/>
  <c r="I906" i="6"/>
  <c r="A906" i="6"/>
  <c r="P905" i="6"/>
  <c r="H905" i="6"/>
  <c r="I904" i="6"/>
  <c r="A904" i="6"/>
  <c r="P903" i="6"/>
  <c r="I902" i="6"/>
  <c r="D892" i="6"/>
  <c r="C892" i="6"/>
  <c r="B892" i="6"/>
  <c r="D891" i="6"/>
  <c r="C891" i="6"/>
  <c r="L890" i="6"/>
  <c r="K890" i="6"/>
  <c r="J890" i="6"/>
  <c r="D890" i="6"/>
  <c r="C890" i="6"/>
  <c r="B890" i="6"/>
  <c r="L889" i="6"/>
  <c r="K889" i="6"/>
  <c r="D889" i="6"/>
  <c r="C889" i="6"/>
  <c r="L888" i="6"/>
  <c r="K888" i="6"/>
  <c r="J888" i="6"/>
  <c r="D888" i="6"/>
  <c r="C888" i="6"/>
  <c r="B888" i="6"/>
  <c r="L887" i="6"/>
  <c r="K887" i="6"/>
  <c r="D887" i="6"/>
  <c r="C887" i="6"/>
  <c r="B887" i="6"/>
  <c r="L886" i="6"/>
  <c r="K886" i="6"/>
  <c r="L885" i="6"/>
  <c r="K885" i="6"/>
  <c r="F879" i="6"/>
  <c r="F878" i="6"/>
  <c r="N877" i="6"/>
  <c r="F877" i="6"/>
  <c r="N876" i="6"/>
  <c r="H876" i="6"/>
  <c r="N875" i="6"/>
  <c r="A875" i="6"/>
  <c r="P874" i="6"/>
  <c r="H874" i="6"/>
  <c r="I873" i="6"/>
  <c r="A873" i="6"/>
  <c r="P872" i="6"/>
  <c r="H872" i="6"/>
  <c r="I871" i="6"/>
  <c r="A871" i="6"/>
  <c r="P870" i="6"/>
  <c r="H870" i="6"/>
  <c r="I869" i="6"/>
  <c r="A869" i="6"/>
  <c r="P868" i="6"/>
  <c r="H868" i="6"/>
  <c r="I867" i="6"/>
  <c r="A867" i="6"/>
  <c r="P866" i="6"/>
  <c r="I865" i="6"/>
  <c r="D855" i="6"/>
  <c r="C855" i="6"/>
  <c r="B855" i="6"/>
  <c r="D854" i="6"/>
  <c r="C854" i="6"/>
  <c r="L853" i="6"/>
  <c r="K853" i="6"/>
  <c r="J853" i="6"/>
  <c r="D853" i="6"/>
  <c r="C853" i="6"/>
  <c r="L852" i="6"/>
  <c r="K852" i="6"/>
  <c r="D852" i="6"/>
  <c r="C852" i="6"/>
  <c r="L851" i="6"/>
  <c r="K851" i="6"/>
  <c r="J851" i="6"/>
  <c r="D851" i="6"/>
  <c r="C851" i="6"/>
  <c r="B851" i="6"/>
  <c r="L850" i="6"/>
  <c r="K850" i="6"/>
  <c r="D850" i="6"/>
  <c r="C850" i="6"/>
  <c r="B850" i="6"/>
  <c r="L849" i="6"/>
  <c r="K849" i="6"/>
  <c r="L848" i="6"/>
  <c r="K848" i="6"/>
  <c r="F842" i="6"/>
  <c r="F841" i="6"/>
  <c r="N840" i="6"/>
  <c r="F840" i="6"/>
  <c r="P839" i="6"/>
  <c r="N839" i="6"/>
  <c r="H839" i="6"/>
  <c r="N838" i="6"/>
  <c r="A838" i="6"/>
  <c r="P837" i="6"/>
  <c r="H837" i="6"/>
  <c r="I836" i="6"/>
  <c r="A836" i="6"/>
  <c r="P835" i="6"/>
  <c r="H835" i="6"/>
  <c r="I834" i="6"/>
  <c r="A834" i="6"/>
  <c r="P833" i="6"/>
  <c r="H833" i="6"/>
  <c r="I832" i="6"/>
  <c r="A832" i="6"/>
  <c r="P831" i="6"/>
  <c r="H831" i="6"/>
  <c r="I830" i="6"/>
  <c r="A830" i="6"/>
  <c r="P829" i="6"/>
  <c r="D818" i="6"/>
  <c r="C818" i="6"/>
  <c r="B818" i="6"/>
  <c r="D817" i="6"/>
  <c r="C817" i="6"/>
  <c r="L816" i="6"/>
  <c r="K816" i="6"/>
  <c r="J816" i="6"/>
  <c r="D816" i="6"/>
  <c r="C816" i="6"/>
  <c r="B816" i="6"/>
  <c r="L815" i="6"/>
  <c r="K815" i="6"/>
  <c r="D815" i="6"/>
  <c r="C815" i="6"/>
  <c r="L814" i="6"/>
  <c r="K814" i="6"/>
  <c r="J814" i="6"/>
  <c r="D814" i="6"/>
  <c r="C814" i="6"/>
  <c r="B814" i="6"/>
  <c r="L813" i="6"/>
  <c r="K813" i="6"/>
  <c r="D813" i="6"/>
  <c r="C813" i="6"/>
  <c r="B813" i="6"/>
  <c r="L812" i="6"/>
  <c r="K812" i="6"/>
  <c r="L811" i="6"/>
  <c r="K811" i="6"/>
  <c r="J811" i="6"/>
  <c r="F805" i="6"/>
  <c r="F804" i="6"/>
  <c r="N803" i="6"/>
  <c r="F803" i="6"/>
  <c r="N802" i="6"/>
  <c r="H802" i="6"/>
  <c r="N801" i="6"/>
  <c r="P800" i="6"/>
  <c r="H800" i="6"/>
  <c r="P798" i="6"/>
  <c r="H798" i="6"/>
  <c r="A797" i="6"/>
  <c r="P796" i="6"/>
  <c r="H796" i="6"/>
  <c r="A795" i="6"/>
  <c r="P794" i="6"/>
  <c r="H794" i="6"/>
  <c r="A793" i="6"/>
  <c r="P792" i="6"/>
  <c r="D781" i="6"/>
  <c r="C781" i="6"/>
  <c r="B781" i="6"/>
  <c r="D780" i="6"/>
  <c r="C780" i="6"/>
  <c r="L779" i="6"/>
  <c r="K779" i="6"/>
  <c r="J779" i="6"/>
  <c r="D779" i="6"/>
  <c r="C779" i="6"/>
  <c r="L778" i="6"/>
  <c r="K778" i="6"/>
  <c r="D778" i="6"/>
  <c r="C778" i="6"/>
  <c r="L777" i="6"/>
  <c r="K777" i="6"/>
  <c r="J777" i="6"/>
  <c r="D777" i="6"/>
  <c r="C777" i="6"/>
  <c r="B777" i="6"/>
  <c r="L776" i="6"/>
  <c r="K776" i="6"/>
  <c r="D776" i="6"/>
  <c r="C776" i="6"/>
  <c r="B776" i="6"/>
  <c r="L775" i="6"/>
  <c r="K775" i="6"/>
  <c r="L774" i="6"/>
  <c r="K774" i="6"/>
  <c r="F768" i="6"/>
  <c r="F767" i="6"/>
  <c r="N766" i="6"/>
  <c r="F766" i="6"/>
  <c r="N765" i="6"/>
  <c r="H765" i="6"/>
  <c r="N764" i="6"/>
  <c r="A764" i="6"/>
  <c r="P763" i="6"/>
  <c r="H763" i="6"/>
  <c r="A762" i="6"/>
  <c r="P761" i="6"/>
  <c r="H761" i="6"/>
  <c r="A760" i="6"/>
  <c r="P759" i="6"/>
  <c r="H759" i="6"/>
  <c r="A758" i="6"/>
  <c r="P757" i="6"/>
  <c r="H757" i="6"/>
  <c r="A756" i="6"/>
  <c r="P755" i="6"/>
  <c r="D744" i="6"/>
  <c r="C744" i="6"/>
  <c r="B744" i="6"/>
  <c r="D743" i="6"/>
  <c r="C743" i="6"/>
  <c r="L742" i="6"/>
  <c r="K742" i="6"/>
  <c r="J742" i="6"/>
  <c r="D742" i="6"/>
  <c r="C742" i="6"/>
  <c r="B742" i="6"/>
  <c r="L741" i="6"/>
  <c r="K741" i="6"/>
  <c r="D741" i="6"/>
  <c r="C741" i="6"/>
  <c r="L740" i="6"/>
  <c r="K740" i="6"/>
  <c r="J740" i="6"/>
  <c r="D740" i="6"/>
  <c r="C740" i="6"/>
  <c r="B740" i="6"/>
  <c r="L739" i="6"/>
  <c r="K739" i="6"/>
  <c r="D739" i="6"/>
  <c r="C739" i="6"/>
  <c r="B739" i="6"/>
  <c r="L738" i="6"/>
  <c r="K738" i="6"/>
  <c r="L737" i="6"/>
  <c r="K737" i="6"/>
  <c r="J737" i="6"/>
  <c r="F731" i="6"/>
  <c r="F730" i="6"/>
  <c r="N729" i="6"/>
  <c r="F729" i="6"/>
  <c r="P728" i="6"/>
  <c r="N728" i="6"/>
  <c r="H728" i="6"/>
  <c r="N727" i="6"/>
  <c r="A727" i="6"/>
  <c r="P726" i="6"/>
  <c r="H725" i="6"/>
  <c r="A725" i="6"/>
  <c r="P724" i="6"/>
  <c r="H724" i="6"/>
  <c r="A723" i="6"/>
  <c r="P722" i="6"/>
  <c r="H722" i="6"/>
  <c r="A721" i="6"/>
  <c r="P720" i="6"/>
  <c r="H720" i="6"/>
  <c r="A719" i="6"/>
  <c r="P718" i="6"/>
  <c r="H718" i="6"/>
  <c r="A717" i="6"/>
  <c r="L705" i="6"/>
  <c r="K705" i="6"/>
  <c r="J705" i="6"/>
  <c r="D705" i="6"/>
  <c r="C705" i="6"/>
  <c r="B705" i="6"/>
  <c r="L704" i="6"/>
  <c r="K704" i="6"/>
  <c r="D704" i="6"/>
  <c r="C704" i="6"/>
  <c r="L703" i="6"/>
  <c r="K703" i="6"/>
  <c r="J703" i="6"/>
  <c r="D703" i="6"/>
  <c r="C703" i="6"/>
  <c r="L702" i="6"/>
  <c r="K702" i="6"/>
  <c r="D702" i="6"/>
  <c r="C702" i="6"/>
  <c r="L701" i="6"/>
  <c r="K701" i="6"/>
  <c r="D701" i="6"/>
  <c r="C701" i="6"/>
  <c r="B701" i="6"/>
  <c r="L700" i="6"/>
  <c r="K700" i="6"/>
  <c r="D700" i="6"/>
  <c r="C700" i="6"/>
  <c r="B700" i="6"/>
  <c r="N692" i="6"/>
  <c r="F692" i="6"/>
  <c r="N691" i="6"/>
  <c r="F691" i="6"/>
  <c r="N690" i="6"/>
  <c r="F690" i="6"/>
  <c r="P689" i="6"/>
  <c r="H689" i="6"/>
  <c r="A688" i="6"/>
  <c r="P687" i="6"/>
  <c r="P685" i="6"/>
  <c r="H685" i="6"/>
  <c r="A684" i="6"/>
  <c r="P683" i="6"/>
  <c r="H683" i="6"/>
  <c r="A682" i="6"/>
  <c r="P681" i="6"/>
  <c r="H681" i="6"/>
  <c r="A680" i="6"/>
  <c r="P679" i="6"/>
  <c r="H679" i="6"/>
  <c r="A678" i="6"/>
  <c r="L666" i="6"/>
  <c r="K666" i="6"/>
  <c r="J666" i="6"/>
  <c r="D666" i="6"/>
  <c r="C666" i="6"/>
  <c r="B666" i="6"/>
  <c r="L665" i="6"/>
  <c r="K665" i="6"/>
  <c r="D665" i="6"/>
  <c r="C665" i="6"/>
  <c r="L664" i="6"/>
  <c r="K664" i="6"/>
  <c r="J664" i="6"/>
  <c r="D664" i="6"/>
  <c r="C664" i="6"/>
  <c r="B664" i="6"/>
  <c r="L663" i="6"/>
  <c r="K663" i="6"/>
  <c r="D663" i="6"/>
  <c r="C663" i="6"/>
  <c r="L662" i="6"/>
  <c r="K662" i="6"/>
  <c r="D662" i="6"/>
  <c r="C662" i="6"/>
  <c r="B662" i="6"/>
  <c r="L661" i="6"/>
  <c r="K661" i="6"/>
  <c r="D661" i="6"/>
  <c r="C661" i="6"/>
  <c r="B661" i="6"/>
  <c r="N653" i="6"/>
  <c r="F653" i="6"/>
  <c r="N652" i="6"/>
  <c r="F652" i="6"/>
  <c r="N651" i="6"/>
  <c r="F651" i="6"/>
  <c r="P650" i="6"/>
  <c r="H650" i="6"/>
  <c r="P648" i="6"/>
  <c r="H648" i="6"/>
  <c r="P646" i="6"/>
  <c r="H646" i="6"/>
  <c r="P644" i="6"/>
  <c r="H644" i="6"/>
  <c r="A643" i="6"/>
  <c r="P642" i="6"/>
  <c r="H642" i="6"/>
  <c r="A641" i="6"/>
  <c r="L629" i="6"/>
  <c r="K629" i="6"/>
  <c r="J629" i="6"/>
  <c r="D629" i="6"/>
  <c r="C629" i="6"/>
  <c r="B629" i="6"/>
  <c r="L628" i="6"/>
  <c r="K628" i="6"/>
  <c r="D628" i="6"/>
  <c r="C628" i="6"/>
  <c r="L627" i="6"/>
  <c r="K627" i="6"/>
  <c r="J627" i="6"/>
  <c r="D627" i="6"/>
  <c r="C627" i="6"/>
  <c r="L626" i="6"/>
  <c r="K626" i="6"/>
  <c r="D626" i="6"/>
  <c r="C626" i="6"/>
  <c r="L625" i="6"/>
  <c r="K625" i="6"/>
  <c r="D625" i="6"/>
  <c r="C625" i="6"/>
  <c r="B625" i="6"/>
  <c r="L624" i="6"/>
  <c r="K624" i="6"/>
  <c r="D624" i="6"/>
  <c r="C624" i="6"/>
  <c r="B624" i="6"/>
  <c r="N616" i="6"/>
  <c r="F616" i="6"/>
  <c r="N615" i="6"/>
  <c r="F615" i="6"/>
  <c r="N614" i="6"/>
  <c r="F614" i="6"/>
  <c r="P613" i="6"/>
  <c r="H613" i="6"/>
  <c r="A612" i="6"/>
  <c r="P611" i="6"/>
  <c r="H611" i="6"/>
  <c r="A610" i="6"/>
  <c r="P609" i="6"/>
  <c r="H609" i="6"/>
  <c r="A608" i="6"/>
  <c r="P607" i="6"/>
  <c r="H607" i="6"/>
  <c r="A606" i="6"/>
  <c r="P605" i="6"/>
  <c r="H605" i="6"/>
  <c r="A604" i="6"/>
  <c r="L592" i="6"/>
  <c r="K592" i="6"/>
  <c r="J592" i="6"/>
  <c r="D592" i="6"/>
  <c r="C592" i="6"/>
  <c r="B592" i="6"/>
  <c r="L591" i="6"/>
  <c r="K591" i="6"/>
  <c r="D591" i="6"/>
  <c r="C591" i="6"/>
  <c r="L590" i="6"/>
  <c r="K590" i="6"/>
  <c r="J590" i="6"/>
  <c r="D590" i="6"/>
  <c r="C590" i="6"/>
  <c r="L589" i="6"/>
  <c r="K589" i="6"/>
  <c r="D589" i="6"/>
  <c r="C589" i="6"/>
  <c r="L588" i="6"/>
  <c r="K588" i="6"/>
  <c r="D588" i="6"/>
  <c r="C588" i="6"/>
  <c r="B588" i="6"/>
  <c r="L587" i="6"/>
  <c r="K587" i="6"/>
  <c r="D587" i="6"/>
  <c r="C587" i="6"/>
  <c r="B587" i="6"/>
  <c r="N579" i="6"/>
  <c r="F579" i="6"/>
  <c r="N578" i="6"/>
  <c r="F578" i="6"/>
  <c r="N577" i="6"/>
  <c r="F577" i="6"/>
  <c r="P576" i="6"/>
  <c r="H576" i="6"/>
  <c r="P574" i="6"/>
  <c r="H574" i="6"/>
  <c r="A573" i="6"/>
  <c r="P572" i="6"/>
  <c r="H572" i="6"/>
  <c r="A571" i="6"/>
  <c r="P570" i="6"/>
  <c r="H570" i="6"/>
  <c r="A569" i="6"/>
  <c r="P568" i="6"/>
  <c r="H568" i="6"/>
  <c r="A567" i="6"/>
  <c r="L555" i="6"/>
  <c r="K555" i="6"/>
  <c r="J555" i="6"/>
  <c r="D555" i="6"/>
  <c r="C555" i="6"/>
  <c r="B555" i="6"/>
  <c r="L554" i="6"/>
  <c r="K554" i="6"/>
  <c r="D554" i="6"/>
  <c r="C554" i="6"/>
  <c r="L553" i="6"/>
  <c r="K553" i="6"/>
  <c r="J553" i="6"/>
  <c r="D553" i="6"/>
  <c r="C553" i="6"/>
  <c r="L552" i="6"/>
  <c r="K552" i="6"/>
  <c r="D552" i="6"/>
  <c r="C552" i="6"/>
  <c r="L551" i="6"/>
  <c r="K551" i="6"/>
  <c r="D551" i="6"/>
  <c r="C551" i="6"/>
  <c r="B551" i="6"/>
  <c r="L550" i="6"/>
  <c r="K550" i="6"/>
  <c r="D550" i="6"/>
  <c r="C550" i="6"/>
  <c r="B550" i="6"/>
  <c r="N542" i="6"/>
  <c r="F542" i="6"/>
  <c r="N541" i="6"/>
  <c r="F541" i="6"/>
  <c r="N540" i="6"/>
  <c r="F540" i="6"/>
  <c r="P539" i="6"/>
  <c r="H539" i="6"/>
  <c r="A538" i="6"/>
  <c r="P537" i="6"/>
  <c r="H537" i="6"/>
  <c r="A536" i="6"/>
  <c r="P535" i="6"/>
  <c r="H535" i="6"/>
  <c r="A534" i="6"/>
  <c r="P533" i="6"/>
  <c r="H533" i="6"/>
  <c r="A532" i="6"/>
  <c r="P531" i="6"/>
  <c r="H531" i="6"/>
  <c r="A530" i="6"/>
  <c r="L518" i="6"/>
  <c r="K518" i="6"/>
  <c r="J518" i="6"/>
  <c r="D518" i="6"/>
  <c r="C518" i="6"/>
  <c r="B518" i="6"/>
  <c r="L517" i="6"/>
  <c r="K517" i="6"/>
  <c r="D517" i="6"/>
  <c r="C517" i="6"/>
  <c r="L516" i="6"/>
  <c r="K516" i="6"/>
  <c r="J516" i="6"/>
  <c r="D516" i="6"/>
  <c r="C516" i="6"/>
  <c r="L515" i="6"/>
  <c r="K515" i="6"/>
  <c r="D515" i="6"/>
  <c r="C515" i="6"/>
  <c r="L514" i="6"/>
  <c r="K514" i="6"/>
  <c r="D514" i="6"/>
  <c r="C514" i="6"/>
  <c r="B514" i="6"/>
  <c r="L513" i="6"/>
  <c r="K513" i="6"/>
  <c r="D513" i="6"/>
  <c r="C513" i="6"/>
  <c r="B513" i="6"/>
  <c r="N505" i="6"/>
  <c r="F505" i="6"/>
  <c r="N504" i="6"/>
  <c r="F504" i="6"/>
  <c r="N503" i="6"/>
  <c r="F503" i="6"/>
  <c r="P502" i="6"/>
  <c r="H502" i="6"/>
  <c r="P500" i="6"/>
  <c r="H500" i="6"/>
  <c r="P498" i="6"/>
  <c r="H498" i="6"/>
  <c r="A497" i="6"/>
  <c r="P496" i="6"/>
  <c r="H496" i="6"/>
  <c r="A495" i="6"/>
  <c r="P494" i="6"/>
  <c r="H494" i="6"/>
  <c r="A493" i="6"/>
  <c r="L481" i="6"/>
  <c r="K481" i="6"/>
  <c r="J481" i="6"/>
  <c r="D481" i="6"/>
  <c r="C481" i="6"/>
  <c r="B481" i="6"/>
  <c r="L480" i="6"/>
  <c r="K480" i="6"/>
  <c r="D480" i="6"/>
  <c r="C480" i="6"/>
  <c r="L479" i="6"/>
  <c r="K479" i="6"/>
  <c r="J479" i="6"/>
  <c r="D479" i="6"/>
  <c r="C479" i="6"/>
  <c r="L478" i="6"/>
  <c r="K478" i="6"/>
  <c r="D478" i="6"/>
  <c r="C478" i="6"/>
  <c r="L477" i="6"/>
  <c r="K477" i="6"/>
  <c r="J477" i="6"/>
  <c r="D477" i="6"/>
  <c r="C477" i="6"/>
  <c r="B477" i="6"/>
  <c r="L476" i="6"/>
  <c r="K476" i="6"/>
  <c r="D476" i="6"/>
  <c r="C476" i="6"/>
  <c r="B476" i="6"/>
  <c r="N468" i="6"/>
  <c r="F468" i="6"/>
  <c r="N467" i="6"/>
  <c r="F467" i="6"/>
  <c r="N466" i="6"/>
  <c r="F466" i="6"/>
  <c r="P465" i="6"/>
  <c r="H465" i="6"/>
  <c r="A464" i="6"/>
  <c r="P463" i="6"/>
  <c r="H463" i="6"/>
  <c r="A462" i="6"/>
  <c r="P461" i="6"/>
  <c r="H461" i="6"/>
  <c r="A460" i="6"/>
  <c r="P459" i="6"/>
  <c r="H459" i="6"/>
  <c r="A458" i="6"/>
  <c r="P457" i="6"/>
  <c r="H457" i="6"/>
  <c r="A456" i="6"/>
  <c r="L444" i="6"/>
  <c r="K444" i="6"/>
  <c r="J444" i="6"/>
  <c r="D444" i="6"/>
  <c r="C444" i="6"/>
  <c r="B444" i="6"/>
  <c r="L443" i="6"/>
  <c r="K443" i="6"/>
  <c r="D443" i="6"/>
  <c r="C443" i="6"/>
  <c r="L442" i="6"/>
  <c r="K442" i="6"/>
  <c r="J442" i="6"/>
  <c r="D442" i="6"/>
  <c r="C442" i="6"/>
  <c r="L441" i="6"/>
  <c r="K441" i="6"/>
  <c r="D441" i="6"/>
  <c r="C441" i="6"/>
  <c r="L440" i="6"/>
  <c r="K440" i="6"/>
  <c r="J440" i="6"/>
  <c r="D440" i="6"/>
  <c r="C440" i="6"/>
  <c r="B440" i="6"/>
  <c r="L439" i="6"/>
  <c r="K439" i="6"/>
  <c r="D439" i="6"/>
  <c r="C439" i="6"/>
  <c r="B439" i="6"/>
  <c r="N431" i="6"/>
  <c r="F431" i="6"/>
  <c r="N430" i="6"/>
  <c r="F430" i="6"/>
  <c r="N429" i="6"/>
  <c r="F429" i="6"/>
  <c r="P428" i="6"/>
  <c r="H428" i="6"/>
  <c r="P426" i="6"/>
  <c r="H426" i="6"/>
  <c r="P424" i="6"/>
  <c r="H424" i="6"/>
  <c r="A423" i="6"/>
  <c r="P422" i="6"/>
  <c r="H422" i="6"/>
  <c r="A421" i="6"/>
  <c r="P420" i="6"/>
  <c r="A419" i="6"/>
  <c r="L407" i="6"/>
  <c r="K407" i="6"/>
  <c r="J407" i="6"/>
  <c r="D407" i="6"/>
  <c r="C407" i="6"/>
  <c r="B407" i="6"/>
  <c r="L406" i="6"/>
  <c r="K406" i="6"/>
  <c r="D406" i="6"/>
  <c r="C406" i="6"/>
  <c r="L405" i="6"/>
  <c r="K405" i="6"/>
  <c r="D405" i="6"/>
  <c r="C405" i="6"/>
  <c r="L404" i="6"/>
  <c r="K404" i="6"/>
  <c r="D404" i="6"/>
  <c r="C404" i="6"/>
  <c r="L403" i="6"/>
  <c r="K403" i="6"/>
  <c r="J403" i="6"/>
  <c r="D403" i="6"/>
  <c r="C403" i="6"/>
  <c r="B403" i="6"/>
  <c r="L402" i="6"/>
  <c r="K402" i="6"/>
  <c r="J402" i="6"/>
  <c r="D402" i="6"/>
  <c r="C402" i="6"/>
  <c r="B402" i="6"/>
  <c r="N394" i="6"/>
  <c r="F394" i="6"/>
  <c r="P393" i="6"/>
  <c r="N393" i="6"/>
  <c r="F393" i="6"/>
  <c r="N392" i="6"/>
  <c r="F392" i="6"/>
  <c r="P391" i="6"/>
  <c r="H391" i="6"/>
  <c r="A390" i="6"/>
  <c r="P389" i="6"/>
  <c r="H389" i="6"/>
  <c r="A388" i="6"/>
  <c r="P387" i="6"/>
  <c r="H387" i="6"/>
  <c r="A386" i="6"/>
  <c r="P385" i="6"/>
  <c r="H385" i="6"/>
  <c r="A384" i="6"/>
  <c r="P383" i="6"/>
  <c r="H383" i="6"/>
  <c r="A382" i="6"/>
  <c r="L370" i="6"/>
  <c r="K370" i="6"/>
  <c r="J370" i="6"/>
  <c r="D370" i="6"/>
  <c r="C370" i="6"/>
  <c r="B370" i="6"/>
  <c r="L369" i="6"/>
  <c r="K369" i="6"/>
  <c r="D369" i="6"/>
  <c r="C369" i="6"/>
  <c r="L368" i="6"/>
  <c r="K368" i="6"/>
  <c r="D368" i="6"/>
  <c r="C368" i="6"/>
  <c r="B368" i="6"/>
  <c r="L367" i="6"/>
  <c r="K367" i="6"/>
  <c r="D367" i="6"/>
  <c r="C367" i="6"/>
  <c r="L366" i="6"/>
  <c r="K366" i="6"/>
  <c r="J366" i="6"/>
  <c r="D366" i="6"/>
  <c r="C366" i="6"/>
  <c r="L365" i="6"/>
  <c r="K365" i="6"/>
  <c r="J365" i="6"/>
  <c r="D365" i="6"/>
  <c r="C365" i="6"/>
  <c r="B365" i="6"/>
  <c r="N357" i="6"/>
  <c r="F357" i="6"/>
  <c r="P356" i="6"/>
  <c r="N356" i="6"/>
  <c r="F356" i="6"/>
  <c r="N355" i="6"/>
  <c r="F355" i="6"/>
  <c r="P354" i="6"/>
  <c r="H354" i="6"/>
  <c r="A353" i="6"/>
  <c r="P352" i="6"/>
  <c r="H352" i="6"/>
  <c r="A351" i="6"/>
  <c r="P350" i="6"/>
  <c r="H350" i="6"/>
  <c r="A349" i="6"/>
  <c r="P348" i="6"/>
  <c r="H348" i="6"/>
  <c r="A347" i="6"/>
  <c r="P346" i="6"/>
  <c r="H346" i="6"/>
  <c r="A345" i="6"/>
  <c r="L333" i="6"/>
  <c r="K333" i="6"/>
  <c r="J333" i="6"/>
  <c r="D333" i="6"/>
  <c r="C333" i="6"/>
  <c r="B333" i="6"/>
  <c r="L332" i="6"/>
  <c r="K332" i="6"/>
  <c r="D332" i="6"/>
  <c r="C332" i="6"/>
  <c r="L331" i="6"/>
  <c r="K331" i="6"/>
  <c r="D331" i="6"/>
  <c r="C331" i="6"/>
  <c r="L330" i="6"/>
  <c r="K330" i="6"/>
  <c r="D330" i="6"/>
  <c r="C330" i="6"/>
  <c r="L329" i="6"/>
  <c r="K329" i="6"/>
  <c r="J329" i="6"/>
  <c r="D329" i="6"/>
  <c r="C329" i="6"/>
  <c r="B329" i="6"/>
  <c r="L328" i="6"/>
  <c r="K328" i="6"/>
  <c r="J328" i="6"/>
  <c r="D328" i="6"/>
  <c r="C328" i="6"/>
  <c r="B328" i="6"/>
  <c r="N320" i="6"/>
  <c r="F320" i="6"/>
  <c r="P319" i="6"/>
  <c r="N319" i="6"/>
  <c r="F319" i="6"/>
  <c r="N318" i="6"/>
  <c r="F318" i="6"/>
  <c r="P317" i="6"/>
  <c r="H317" i="6"/>
  <c r="A316" i="6"/>
  <c r="P315" i="6"/>
  <c r="H315" i="6"/>
  <c r="A314" i="6"/>
  <c r="P313" i="6"/>
  <c r="H313" i="6"/>
  <c r="A312" i="6"/>
  <c r="P311" i="6"/>
  <c r="H311" i="6"/>
  <c r="A310" i="6"/>
  <c r="P309" i="6"/>
  <c r="H309" i="6"/>
  <c r="A308" i="6"/>
  <c r="L296" i="6"/>
  <c r="K296" i="6"/>
  <c r="J296" i="6"/>
  <c r="D296" i="6"/>
  <c r="C296" i="6"/>
  <c r="B296" i="6"/>
  <c r="L295" i="6"/>
  <c r="K295" i="6"/>
  <c r="D295" i="6"/>
  <c r="C295" i="6"/>
  <c r="L294" i="6"/>
  <c r="K294" i="6"/>
  <c r="D294" i="6"/>
  <c r="C294" i="6"/>
  <c r="L293" i="6"/>
  <c r="K293" i="6"/>
  <c r="D293" i="6"/>
  <c r="C293" i="6"/>
  <c r="L292" i="6"/>
  <c r="K292" i="6"/>
  <c r="J292" i="6"/>
  <c r="D292" i="6"/>
  <c r="C292" i="6"/>
  <c r="B292" i="6"/>
  <c r="L291" i="6"/>
  <c r="K291" i="6"/>
  <c r="J291" i="6"/>
  <c r="D291" i="6"/>
  <c r="C291" i="6"/>
  <c r="B291" i="6"/>
  <c r="N283" i="6"/>
  <c r="F283" i="6"/>
  <c r="P282" i="6"/>
  <c r="N282" i="6"/>
  <c r="F282" i="6"/>
  <c r="N281" i="6"/>
  <c r="F281" i="6"/>
  <c r="P280" i="6"/>
  <c r="H280" i="6"/>
  <c r="A279" i="6"/>
  <c r="P278" i="6"/>
  <c r="H278" i="6"/>
  <c r="A277" i="6"/>
  <c r="P276" i="6"/>
  <c r="H276" i="6"/>
  <c r="A275" i="6"/>
  <c r="P274" i="6"/>
  <c r="H274" i="6"/>
  <c r="A273" i="6"/>
  <c r="P272" i="6"/>
  <c r="H272" i="6"/>
  <c r="A271" i="6"/>
  <c r="L259" i="6"/>
  <c r="K259" i="6"/>
  <c r="J259" i="6"/>
  <c r="D259" i="6"/>
  <c r="C259" i="6"/>
  <c r="B259" i="6"/>
  <c r="L258" i="6"/>
  <c r="K258" i="6"/>
  <c r="D258" i="6"/>
  <c r="C258" i="6"/>
  <c r="L257" i="6"/>
  <c r="K257" i="6"/>
  <c r="D257" i="6"/>
  <c r="C257" i="6"/>
  <c r="L256" i="6"/>
  <c r="K256" i="6"/>
  <c r="D256" i="6"/>
  <c r="C256" i="6"/>
  <c r="L255" i="6"/>
  <c r="K255" i="6"/>
  <c r="J255" i="6"/>
  <c r="D255" i="6"/>
  <c r="C255" i="6"/>
  <c r="L254" i="6"/>
  <c r="K254" i="6"/>
  <c r="J254" i="6"/>
  <c r="D254" i="6"/>
  <c r="C254" i="6"/>
  <c r="B254" i="6"/>
  <c r="N246" i="6"/>
  <c r="F246" i="6"/>
  <c r="P245" i="6"/>
  <c r="N245" i="6"/>
  <c r="F245" i="6"/>
  <c r="N244" i="6"/>
  <c r="F244" i="6"/>
  <c r="P243" i="6"/>
  <c r="H243" i="6"/>
  <c r="P241" i="6"/>
  <c r="H241" i="6"/>
  <c r="P239" i="6"/>
  <c r="H239" i="6"/>
  <c r="A238" i="6"/>
  <c r="P237" i="6"/>
  <c r="H236" i="6"/>
  <c r="A236" i="6"/>
  <c r="P235" i="6"/>
  <c r="H235" i="6"/>
  <c r="A234" i="6"/>
  <c r="L222" i="6"/>
  <c r="K222" i="6"/>
  <c r="J222" i="6"/>
  <c r="D222" i="6"/>
  <c r="C222" i="6"/>
  <c r="B222" i="6"/>
  <c r="L221" i="6"/>
  <c r="K221" i="6"/>
  <c r="D221" i="6"/>
  <c r="C221" i="6"/>
  <c r="L220" i="6"/>
  <c r="K220" i="6"/>
  <c r="D220" i="6"/>
  <c r="C220" i="6"/>
  <c r="L219" i="6"/>
  <c r="K219" i="6"/>
  <c r="D219" i="6"/>
  <c r="C219" i="6"/>
  <c r="B219" i="6"/>
  <c r="L218" i="6"/>
  <c r="K218" i="6"/>
  <c r="J218" i="6"/>
  <c r="D218" i="6"/>
  <c r="C218" i="6"/>
  <c r="L217" i="6"/>
  <c r="K217" i="6"/>
  <c r="J217" i="6"/>
  <c r="D217" i="6"/>
  <c r="C217" i="6"/>
  <c r="B217" i="6"/>
  <c r="N209" i="6"/>
  <c r="F209" i="6"/>
  <c r="P208" i="6"/>
  <c r="N208" i="6"/>
  <c r="F208" i="6"/>
  <c r="N207" i="6"/>
  <c r="F207" i="6"/>
  <c r="P206" i="6"/>
  <c r="H206" i="6"/>
  <c r="P204" i="6"/>
  <c r="H204" i="6"/>
  <c r="A203" i="6"/>
  <c r="P202" i="6"/>
  <c r="H202" i="6"/>
  <c r="A201" i="6"/>
  <c r="P200" i="6"/>
  <c r="A199" i="6"/>
  <c r="P198" i="6"/>
  <c r="H198" i="6"/>
  <c r="A197" i="6"/>
  <c r="L185" i="6"/>
  <c r="K185" i="6"/>
  <c r="J185" i="6"/>
  <c r="D185" i="6"/>
  <c r="C185" i="6"/>
  <c r="B185" i="6"/>
  <c r="L184" i="6"/>
  <c r="K184" i="6"/>
  <c r="D184" i="6"/>
  <c r="C184" i="6"/>
  <c r="L183" i="6"/>
  <c r="K183" i="6"/>
  <c r="D183" i="6"/>
  <c r="C183" i="6"/>
  <c r="L182" i="6"/>
  <c r="K182" i="6"/>
  <c r="D182" i="6"/>
  <c r="C182" i="6"/>
  <c r="L181" i="6"/>
  <c r="K181" i="6"/>
  <c r="J181" i="6"/>
  <c r="D181" i="6"/>
  <c r="C181" i="6"/>
  <c r="B181" i="6"/>
  <c r="L180" i="6"/>
  <c r="K180" i="6"/>
  <c r="J180" i="6"/>
  <c r="D180" i="6"/>
  <c r="C180" i="6"/>
  <c r="B180" i="6"/>
  <c r="N172" i="6"/>
  <c r="F172" i="6"/>
  <c r="P171" i="6"/>
  <c r="N171" i="6"/>
  <c r="F171" i="6"/>
  <c r="N170" i="6"/>
  <c r="F170" i="6"/>
  <c r="P169" i="6"/>
  <c r="H169" i="6"/>
  <c r="I168" i="6"/>
  <c r="A168" i="6"/>
  <c r="P167" i="6"/>
  <c r="H167" i="6"/>
  <c r="I166" i="6"/>
  <c r="A166" i="6"/>
  <c r="P165" i="6"/>
  <c r="H165" i="6"/>
  <c r="I164" i="6"/>
  <c r="A164" i="6"/>
  <c r="P163" i="6"/>
  <c r="H163" i="6"/>
  <c r="I162" i="6"/>
  <c r="A162" i="6"/>
  <c r="P161" i="6"/>
  <c r="H161" i="6"/>
  <c r="A160" i="6"/>
  <c r="L148" i="6"/>
  <c r="K148" i="6"/>
  <c r="J148" i="6"/>
  <c r="D148" i="6"/>
  <c r="C148" i="6"/>
  <c r="B148" i="6"/>
  <c r="L147" i="6"/>
  <c r="K147" i="6"/>
  <c r="D147" i="6"/>
  <c r="C147" i="6"/>
  <c r="L146" i="6"/>
  <c r="K146" i="6"/>
  <c r="D146" i="6"/>
  <c r="C146" i="6"/>
  <c r="L145" i="6"/>
  <c r="K145" i="6"/>
  <c r="D145" i="6"/>
  <c r="C145" i="6"/>
  <c r="L144" i="6"/>
  <c r="K144" i="6"/>
  <c r="J144" i="6"/>
  <c r="D144" i="6"/>
  <c r="C144" i="6"/>
  <c r="B144" i="6"/>
  <c r="L143" i="6"/>
  <c r="K143" i="6"/>
  <c r="J143" i="6"/>
  <c r="D143" i="6"/>
  <c r="C143" i="6"/>
  <c r="B143" i="6"/>
  <c r="N135" i="6"/>
  <c r="F135" i="6"/>
  <c r="P134" i="6"/>
  <c r="N134" i="6"/>
  <c r="F134" i="6"/>
  <c r="N133" i="6"/>
  <c r="F133" i="6"/>
  <c r="P132" i="6"/>
  <c r="H132" i="6"/>
  <c r="A131" i="6"/>
  <c r="P130" i="6"/>
  <c r="H130" i="6"/>
  <c r="I129" i="6"/>
  <c r="A129" i="6"/>
  <c r="P128" i="6"/>
  <c r="H128" i="6"/>
  <c r="I127" i="6"/>
  <c r="A127" i="6"/>
  <c r="P126" i="6"/>
  <c r="H126" i="6"/>
  <c r="I125" i="6"/>
  <c r="A125" i="6"/>
  <c r="P124" i="6"/>
  <c r="H124" i="6"/>
  <c r="I123" i="6"/>
  <c r="A123" i="6"/>
  <c r="L111" i="6"/>
  <c r="K111" i="6"/>
  <c r="J111" i="6"/>
  <c r="D111" i="6"/>
  <c r="C111" i="6"/>
  <c r="B111" i="6"/>
  <c r="L110" i="6"/>
  <c r="K110" i="6"/>
  <c r="D110" i="6"/>
  <c r="C110" i="6"/>
  <c r="L109" i="6"/>
  <c r="K109" i="6"/>
  <c r="J109" i="6"/>
  <c r="D109" i="6"/>
  <c r="C109" i="6"/>
  <c r="L108" i="6"/>
  <c r="K108" i="6"/>
  <c r="J108" i="6"/>
  <c r="D108" i="6"/>
  <c r="C108" i="6"/>
  <c r="L107" i="6"/>
  <c r="K107" i="6"/>
  <c r="D107" i="6"/>
  <c r="C107" i="6"/>
  <c r="B107" i="6"/>
  <c r="L106" i="6"/>
  <c r="K106" i="6"/>
  <c r="J106" i="6"/>
  <c r="D106" i="6"/>
  <c r="C106" i="6"/>
  <c r="B106" i="6"/>
  <c r="N98" i="6"/>
  <c r="F98" i="6"/>
  <c r="N97" i="6"/>
  <c r="F97" i="6"/>
  <c r="N96" i="6"/>
  <c r="F96" i="6"/>
  <c r="P95" i="6"/>
  <c r="H95" i="6"/>
  <c r="A94" i="6"/>
  <c r="P93" i="6"/>
  <c r="H93" i="6"/>
  <c r="A92" i="6"/>
  <c r="P91" i="6"/>
  <c r="H91" i="6"/>
  <c r="A90" i="6"/>
  <c r="P89" i="6"/>
  <c r="H89" i="6"/>
  <c r="A88" i="6"/>
  <c r="P87" i="6"/>
  <c r="H87" i="6"/>
  <c r="I86" i="6"/>
  <c r="A86" i="6"/>
  <c r="L74" i="6"/>
  <c r="K74" i="6"/>
  <c r="J74" i="6"/>
  <c r="D74" i="6"/>
  <c r="C74" i="6"/>
  <c r="B74" i="6"/>
  <c r="L73" i="6"/>
  <c r="K73" i="6"/>
  <c r="D73" i="6"/>
  <c r="C73" i="6"/>
  <c r="L72" i="6"/>
  <c r="K72" i="6"/>
  <c r="D72" i="6"/>
  <c r="C72" i="6"/>
  <c r="L71" i="6"/>
  <c r="K71" i="6"/>
  <c r="D71" i="6"/>
  <c r="C71" i="6"/>
  <c r="L70" i="6"/>
  <c r="K70" i="6"/>
  <c r="J70" i="6"/>
  <c r="D70" i="6"/>
  <c r="C70" i="6"/>
  <c r="L69" i="6"/>
  <c r="K69" i="6"/>
  <c r="J69" i="6"/>
  <c r="D69" i="6"/>
  <c r="C69" i="6"/>
  <c r="B69" i="6"/>
  <c r="N61" i="6"/>
  <c r="F61" i="6"/>
  <c r="N60" i="6"/>
  <c r="F60" i="6"/>
  <c r="N59" i="6"/>
  <c r="F59" i="6"/>
  <c r="P58" i="6"/>
  <c r="H58" i="6"/>
  <c r="P56" i="6"/>
  <c r="H56" i="6"/>
  <c r="P54" i="6"/>
  <c r="H54" i="6"/>
  <c r="A53" i="6"/>
  <c r="P52" i="6"/>
  <c r="A51" i="6"/>
  <c r="P50" i="6"/>
  <c r="H50" i="6"/>
  <c r="A49" i="6"/>
  <c r="L37" i="6"/>
  <c r="K37" i="6"/>
  <c r="J37" i="6"/>
  <c r="D37" i="6"/>
  <c r="C37" i="6"/>
  <c r="B37" i="6"/>
  <c r="L36" i="6"/>
  <c r="D36" i="6"/>
  <c r="L35" i="6"/>
  <c r="D35" i="6"/>
  <c r="L34" i="6"/>
  <c r="D34" i="6"/>
  <c r="L33" i="6"/>
  <c r="J33" i="6"/>
  <c r="D33" i="6"/>
  <c r="L32" i="6"/>
  <c r="J32" i="6"/>
  <c r="D32" i="6"/>
  <c r="N24" i="6"/>
  <c r="F24" i="6"/>
  <c r="F23" i="6"/>
  <c r="N22" i="6"/>
  <c r="F22" i="6"/>
  <c r="P21" i="6"/>
  <c r="H21" i="6"/>
  <c r="P19" i="6"/>
  <c r="H19" i="6"/>
  <c r="P17" i="6"/>
  <c r="H17" i="6"/>
  <c r="P15" i="6"/>
  <c r="A14" i="6"/>
  <c r="P13" i="6"/>
  <c r="H13" i="6"/>
  <c r="L3598" i="19"/>
  <c r="K3598" i="19"/>
  <c r="J3598" i="19"/>
  <c r="L3597" i="19"/>
  <c r="K3597" i="19"/>
  <c r="L3596" i="19"/>
  <c r="K3596" i="19"/>
  <c r="L3595" i="19"/>
  <c r="K3595" i="19"/>
  <c r="L3594" i="19"/>
  <c r="K3594" i="19"/>
  <c r="J3594" i="19"/>
  <c r="L3593" i="19"/>
  <c r="K3593" i="19"/>
  <c r="J3593" i="19"/>
  <c r="N3585" i="19"/>
  <c r="N3584" i="19"/>
  <c r="N3583" i="19"/>
  <c r="P3582" i="19"/>
  <c r="P3578" i="19"/>
  <c r="P3576" i="19"/>
  <c r="L3563" i="19"/>
  <c r="K3563" i="19"/>
  <c r="J3563" i="19"/>
  <c r="L3562" i="19"/>
  <c r="K3562" i="19"/>
  <c r="L3561" i="19"/>
  <c r="K3561" i="19"/>
  <c r="L3560" i="19"/>
  <c r="K3560" i="19"/>
  <c r="L3559" i="19"/>
  <c r="K3559" i="19"/>
  <c r="J3559" i="19"/>
  <c r="L3558" i="19"/>
  <c r="K3558" i="19"/>
  <c r="J3558" i="19"/>
  <c r="N3550" i="19"/>
  <c r="N3549" i="19"/>
  <c r="N3548" i="19"/>
  <c r="P3547" i="19"/>
  <c r="P3543" i="19"/>
  <c r="P3541" i="19"/>
  <c r="L3527" i="19"/>
  <c r="K3527" i="19"/>
  <c r="J3527" i="19"/>
  <c r="L3526" i="19"/>
  <c r="K3526" i="19"/>
  <c r="L3525" i="19"/>
  <c r="K3525" i="19"/>
  <c r="L3524" i="19"/>
  <c r="K3524" i="19"/>
  <c r="L3523" i="19"/>
  <c r="K3523" i="19"/>
  <c r="J3523" i="19"/>
  <c r="L3522" i="19"/>
  <c r="K3522" i="19"/>
  <c r="J3522" i="19"/>
  <c r="N3514" i="19"/>
  <c r="N3513" i="19"/>
  <c r="N3512" i="19"/>
  <c r="P3511" i="19"/>
  <c r="P3507" i="19"/>
  <c r="P3505" i="19"/>
  <c r="L3491" i="19"/>
  <c r="K3491" i="19"/>
  <c r="J3491" i="19"/>
  <c r="L3490" i="19"/>
  <c r="K3490" i="19"/>
  <c r="L3489" i="19"/>
  <c r="K3489" i="19"/>
  <c r="J3489" i="19"/>
  <c r="L3488" i="19"/>
  <c r="K3488" i="19"/>
  <c r="L3487" i="19"/>
  <c r="K3487" i="19"/>
  <c r="L3486" i="19"/>
  <c r="K3486" i="19"/>
  <c r="N3478" i="19"/>
  <c r="N3477" i="19"/>
  <c r="N3476" i="19"/>
  <c r="P3475" i="19"/>
  <c r="P3473" i="19"/>
  <c r="P3471" i="19"/>
  <c r="P3469" i="19"/>
  <c r="L3456" i="19"/>
  <c r="K3456" i="19"/>
  <c r="J3456" i="19"/>
  <c r="L3455" i="19"/>
  <c r="K3455" i="19"/>
  <c r="L3454" i="19"/>
  <c r="K3454" i="19"/>
  <c r="L3453" i="19"/>
  <c r="K3453" i="19"/>
  <c r="L3452" i="19"/>
  <c r="K3452" i="19"/>
  <c r="J3452" i="19"/>
  <c r="L3451" i="19"/>
  <c r="K3451" i="19"/>
  <c r="J3451" i="19"/>
  <c r="N3443" i="19"/>
  <c r="N3442" i="19"/>
  <c r="N3441" i="19"/>
  <c r="P3440" i="19"/>
  <c r="P3438" i="19"/>
  <c r="P3436" i="19"/>
  <c r="P3434" i="19"/>
  <c r="P3432" i="19"/>
  <c r="P3430" i="19"/>
  <c r="L3416" i="19"/>
  <c r="K3416" i="19"/>
  <c r="J3416" i="19"/>
  <c r="L3415" i="19"/>
  <c r="K3415" i="19"/>
  <c r="L3414" i="19"/>
  <c r="K3414" i="19"/>
  <c r="J3414" i="19"/>
  <c r="L3413" i="19"/>
  <c r="K3413" i="19"/>
  <c r="L3412" i="19"/>
  <c r="K3412" i="19"/>
  <c r="L3411" i="19"/>
  <c r="K3411" i="19"/>
  <c r="J3411" i="19"/>
  <c r="N3403" i="19"/>
  <c r="N3402" i="19"/>
  <c r="N3401" i="19"/>
  <c r="P3400" i="19"/>
  <c r="P3398" i="19"/>
  <c r="P3396" i="19"/>
  <c r="P3394" i="19"/>
  <c r="L3380" i="19"/>
  <c r="K3380" i="19"/>
  <c r="J3380" i="19"/>
  <c r="L3379" i="19"/>
  <c r="K3379" i="19"/>
  <c r="L3378" i="19"/>
  <c r="K3378" i="19"/>
  <c r="J3378" i="19"/>
  <c r="L3377" i="19"/>
  <c r="K3377" i="19"/>
  <c r="L3376" i="19"/>
  <c r="K3376" i="19"/>
  <c r="L3375" i="19"/>
  <c r="K3375" i="19"/>
  <c r="J3375" i="19"/>
  <c r="N3367" i="19"/>
  <c r="N3366" i="19"/>
  <c r="N3365" i="19"/>
  <c r="P3364" i="19"/>
  <c r="P3360" i="19"/>
  <c r="P3358" i="19"/>
  <c r="L3345" i="19"/>
  <c r="K3345" i="19"/>
  <c r="J3345" i="19"/>
  <c r="L3344" i="19"/>
  <c r="K3344" i="19"/>
  <c r="L3343" i="19"/>
  <c r="K3343" i="19"/>
  <c r="L3342" i="19"/>
  <c r="K3342" i="19"/>
  <c r="J3342" i="19"/>
  <c r="L3341" i="19"/>
  <c r="K3341" i="19"/>
  <c r="L3340" i="19"/>
  <c r="K3340" i="19"/>
  <c r="J3340" i="19"/>
  <c r="N3332" i="19"/>
  <c r="N3331" i="19"/>
  <c r="N3330" i="19"/>
  <c r="P3329" i="19"/>
  <c r="I3328" i="19"/>
  <c r="P3327" i="19"/>
  <c r="I3326" i="19"/>
  <c r="P3325" i="19"/>
  <c r="I3324" i="19"/>
  <c r="P3323" i="19"/>
  <c r="I3322" i="19"/>
  <c r="P3321" i="19"/>
  <c r="I3320" i="19"/>
  <c r="P3319" i="19"/>
  <c r="L3306" i="19"/>
  <c r="K3306" i="19"/>
  <c r="J3306" i="19"/>
  <c r="L3305" i="19"/>
  <c r="K3305" i="19"/>
  <c r="L3304" i="19"/>
  <c r="K3304" i="19"/>
  <c r="L3303" i="19"/>
  <c r="K3303" i="19"/>
  <c r="L3302" i="19"/>
  <c r="K3302" i="19"/>
  <c r="J3302" i="19"/>
  <c r="L3301" i="19"/>
  <c r="K3301" i="19"/>
  <c r="J3301" i="19"/>
  <c r="N3293" i="19"/>
  <c r="P3292" i="19"/>
  <c r="N3292" i="19"/>
  <c r="N3291" i="19"/>
  <c r="P3290" i="19"/>
  <c r="I3289" i="19"/>
  <c r="P3288" i="19"/>
  <c r="I3287" i="19"/>
  <c r="P3286" i="19"/>
  <c r="I3285" i="19"/>
  <c r="P3284" i="19"/>
  <c r="L3270" i="19"/>
  <c r="K3270" i="19"/>
  <c r="J3270" i="19"/>
  <c r="L3269" i="19"/>
  <c r="K3269" i="19"/>
  <c r="L3268" i="19"/>
  <c r="K3268" i="19"/>
  <c r="L3267" i="19"/>
  <c r="K3267" i="19"/>
  <c r="L3266" i="19"/>
  <c r="K3266" i="19"/>
  <c r="L3265" i="19"/>
  <c r="K3265" i="19"/>
  <c r="J3265" i="19"/>
  <c r="N3257" i="19"/>
  <c r="P3256" i="19"/>
  <c r="N3256" i="19"/>
  <c r="N3255" i="19"/>
  <c r="P3254" i="19"/>
  <c r="P3252" i="19"/>
  <c r="I3251" i="19"/>
  <c r="I3249" i="19"/>
  <c r="P3248" i="19"/>
  <c r="L3235" i="19"/>
  <c r="K3235" i="19"/>
  <c r="J3235" i="19"/>
  <c r="L3234" i="19"/>
  <c r="K3234" i="19"/>
  <c r="L3233" i="19"/>
  <c r="K3233" i="19"/>
  <c r="L3232" i="19"/>
  <c r="K3232" i="19"/>
  <c r="L3231" i="19"/>
  <c r="K3231" i="19"/>
  <c r="L3230" i="19"/>
  <c r="K3230" i="19"/>
  <c r="J3230" i="19"/>
  <c r="N3222" i="19"/>
  <c r="P3221" i="19"/>
  <c r="N3221" i="19"/>
  <c r="N3220" i="19"/>
  <c r="P3219" i="19"/>
  <c r="P3217" i="19"/>
  <c r="I3216" i="19"/>
  <c r="P3215" i="19"/>
  <c r="I3214" i="19"/>
  <c r="P3213" i="19"/>
  <c r="L3200" i="19"/>
  <c r="K3200" i="19"/>
  <c r="J3200" i="19"/>
  <c r="L3199" i="19"/>
  <c r="K3199" i="19"/>
  <c r="L3198" i="19"/>
  <c r="K3198" i="19"/>
  <c r="J3198" i="19"/>
  <c r="L3197" i="19"/>
  <c r="K3197" i="19"/>
  <c r="L3196" i="19"/>
  <c r="K3196" i="19"/>
  <c r="J3196" i="19"/>
  <c r="L3195" i="19"/>
  <c r="K3195" i="19"/>
  <c r="J3195" i="19"/>
  <c r="N3187" i="19"/>
  <c r="P3186" i="19"/>
  <c r="N3186" i="19"/>
  <c r="N3185" i="19"/>
  <c r="P3184" i="19"/>
  <c r="P3182" i="19"/>
  <c r="P3180" i="19"/>
  <c r="P3178" i="19"/>
  <c r="P3176" i="19"/>
  <c r="P3174" i="19"/>
  <c r="L3161" i="19"/>
  <c r="K3161" i="19"/>
  <c r="J3161" i="19"/>
  <c r="L3160" i="19"/>
  <c r="K3160" i="19"/>
  <c r="L3159" i="19"/>
  <c r="K3159" i="19"/>
  <c r="J3159" i="19"/>
  <c r="L3158" i="19"/>
  <c r="K3158" i="19"/>
  <c r="L3157" i="19"/>
  <c r="K3157" i="19"/>
  <c r="J3157" i="19"/>
  <c r="L3156" i="19"/>
  <c r="K3156" i="19"/>
  <c r="J3156" i="19"/>
  <c r="N3148" i="19"/>
  <c r="P3147" i="19"/>
  <c r="N3147" i="19"/>
  <c r="N3146" i="19"/>
  <c r="P3145" i="19"/>
  <c r="P3143" i="19"/>
  <c r="P3141" i="19"/>
  <c r="P3139" i="19"/>
  <c r="P3137" i="19"/>
  <c r="L3124" i="19"/>
  <c r="K3124" i="19"/>
  <c r="J3124" i="19"/>
  <c r="L3123" i="19"/>
  <c r="K3123" i="19"/>
  <c r="L3122" i="19"/>
  <c r="K3122" i="19"/>
  <c r="J3122" i="19"/>
  <c r="L3121" i="19"/>
  <c r="K3121" i="19"/>
  <c r="L3120" i="19"/>
  <c r="K3120" i="19"/>
  <c r="L3119" i="19"/>
  <c r="K3119" i="19"/>
  <c r="J3119" i="19"/>
  <c r="N3111" i="19"/>
  <c r="P3110" i="19"/>
  <c r="N3110" i="19"/>
  <c r="N3109" i="19"/>
  <c r="P3108" i="19"/>
  <c r="P3104" i="19"/>
  <c r="P3102" i="19"/>
  <c r="P3100" i="19"/>
  <c r="L3087" i="19"/>
  <c r="K3087" i="19"/>
  <c r="J3087" i="19"/>
  <c r="L3086" i="19"/>
  <c r="K3086" i="19"/>
  <c r="L3085" i="19"/>
  <c r="K3085" i="19"/>
  <c r="J3085" i="19"/>
  <c r="L3084" i="19"/>
  <c r="K3084" i="19"/>
  <c r="L3083" i="19"/>
  <c r="K3083" i="19"/>
  <c r="L3082" i="19"/>
  <c r="K3082" i="19"/>
  <c r="J3082" i="19"/>
  <c r="N3074" i="19"/>
  <c r="P3073" i="19"/>
  <c r="N3073" i="19"/>
  <c r="N3072" i="19"/>
  <c r="P3071" i="19"/>
  <c r="P3069" i="19"/>
  <c r="P3067" i="19"/>
  <c r="P3065" i="19"/>
  <c r="P3063" i="19"/>
  <c r="L3050" i="19"/>
  <c r="K3050" i="19"/>
  <c r="J3050" i="19"/>
  <c r="L3049" i="19"/>
  <c r="K3049" i="19"/>
  <c r="L3048" i="19"/>
  <c r="K3048" i="19"/>
  <c r="L3047" i="19"/>
  <c r="K3047" i="19"/>
  <c r="L3046" i="19"/>
  <c r="K3046" i="19"/>
  <c r="J3046" i="19"/>
  <c r="L3045" i="19"/>
  <c r="K3045" i="19"/>
  <c r="J3045" i="19"/>
  <c r="N3037" i="19"/>
  <c r="P3036" i="19"/>
  <c r="N3036" i="19"/>
  <c r="N3035" i="19"/>
  <c r="P3034" i="19"/>
  <c r="P3032" i="19"/>
  <c r="P3030" i="19"/>
  <c r="P3028" i="19"/>
  <c r="P3026" i="19"/>
  <c r="L3013" i="19"/>
  <c r="K3013" i="19"/>
  <c r="J3013" i="19"/>
  <c r="L3012" i="19"/>
  <c r="K3012" i="19"/>
  <c r="L3011" i="19"/>
  <c r="K3011" i="19"/>
  <c r="L3010" i="19"/>
  <c r="K3010" i="19"/>
  <c r="L3009" i="19"/>
  <c r="K3009" i="19"/>
  <c r="J3009" i="19"/>
  <c r="L3008" i="19"/>
  <c r="K3008" i="19"/>
  <c r="J3008" i="19"/>
  <c r="N3000" i="19"/>
  <c r="P2999" i="19"/>
  <c r="N2999" i="19"/>
  <c r="N2998" i="19"/>
  <c r="P2997" i="19"/>
  <c r="P2995" i="19"/>
  <c r="P2993" i="19"/>
  <c r="P2991" i="19"/>
  <c r="P2989" i="19"/>
  <c r="L2976" i="19"/>
  <c r="K2976" i="19"/>
  <c r="J2976" i="19"/>
  <c r="L2975" i="19"/>
  <c r="K2975" i="19"/>
  <c r="L2974" i="19"/>
  <c r="K2974" i="19"/>
  <c r="L2973" i="19"/>
  <c r="K2973" i="19"/>
  <c r="L2972" i="19"/>
  <c r="K2972" i="19"/>
  <c r="J2972" i="19"/>
  <c r="L2971" i="19"/>
  <c r="K2971" i="19"/>
  <c r="J2971" i="19"/>
  <c r="N2963" i="19"/>
  <c r="P2962" i="19"/>
  <c r="N2962" i="19"/>
  <c r="N2961" i="19"/>
  <c r="P2960" i="19"/>
  <c r="P2958" i="19"/>
  <c r="P2956" i="19"/>
  <c r="P2954" i="19"/>
  <c r="P2952" i="19"/>
  <c r="L2939" i="19"/>
  <c r="K2939" i="19"/>
  <c r="J2939" i="19"/>
  <c r="L2938" i="19"/>
  <c r="K2938" i="19"/>
  <c r="L2937" i="19"/>
  <c r="K2937" i="19"/>
  <c r="L2936" i="19"/>
  <c r="K2936" i="19"/>
  <c r="L2935" i="19"/>
  <c r="K2935" i="19"/>
  <c r="J2935" i="19"/>
  <c r="L2934" i="19"/>
  <c r="K2934" i="19"/>
  <c r="J2934" i="19"/>
  <c r="N2926" i="19"/>
  <c r="P2925" i="19"/>
  <c r="N2925" i="19"/>
  <c r="N2924" i="19"/>
  <c r="P2923" i="19"/>
  <c r="P2921" i="19"/>
  <c r="P2919" i="19"/>
  <c r="P2917" i="19"/>
  <c r="P2915" i="19"/>
  <c r="L2902" i="19"/>
  <c r="K2902" i="19"/>
  <c r="J2902" i="19"/>
  <c r="L2901" i="19"/>
  <c r="K2901" i="19"/>
  <c r="L2900" i="19"/>
  <c r="K2900" i="19"/>
  <c r="L2899" i="19"/>
  <c r="K2899" i="19"/>
  <c r="J2899" i="19"/>
  <c r="L2898" i="19"/>
  <c r="K2898" i="19"/>
  <c r="J2898" i="19"/>
  <c r="L2897" i="19"/>
  <c r="K2897" i="19"/>
  <c r="N2889" i="19"/>
  <c r="N2888" i="19"/>
  <c r="N2887" i="19"/>
  <c r="P2886" i="19"/>
  <c r="P2884" i="19"/>
  <c r="P2882" i="19"/>
  <c r="P2880" i="19"/>
  <c r="P2878" i="19"/>
  <c r="L2865" i="19"/>
  <c r="K2865" i="19"/>
  <c r="J2865" i="19"/>
  <c r="L2864" i="19"/>
  <c r="K2864" i="19"/>
  <c r="L2863" i="19"/>
  <c r="K2863" i="19"/>
  <c r="L2862" i="19"/>
  <c r="K2862" i="19"/>
  <c r="J2862" i="19"/>
  <c r="L2861" i="19"/>
  <c r="K2861" i="19"/>
  <c r="J2861" i="19"/>
  <c r="L2860" i="19"/>
  <c r="K2860" i="19"/>
  <c r="N2852" i="19"/>
  <c r="N2851" i="19"/>
  <c r="N2850" i="19"/>
  <c r="P2849" i="19"/>
  <c r="P2847" i="19"/>
  <c r="P2845" i="19"/>
  <c r="P2843" i="19"/>
  <c r="P2841" i="19"/>
  <c r="P2839" i="19"/>
  <c r="L2826" i="19"/>
  <c r="K2826" i="19"/>
  <c r="J2826" i="19"/>
  <c r="L2825" i="19"/>
  <c r="K2825" i="19"/>
  <c r="L2824" i="19"/>
  <c r="K2824" i="19"/>
  <c r="L2823" i="19"/>
  <c r="K2823" i="19"/>
  <c r="J2823" i="19"/>
  <c r="L2822" i="19"/>
  <c r="K2822" i="19"/>
  <c r="J2822" i="19"/>
  <c r="L2821" i="19"/>
  <c r="K2821" i="19"/>
  <c r="N2813" i="19"/>
  <c r="N2812" i="19"/>
  <c r="N2811" i="19"/>
  <c r="P2810" i="19"/>
  <c r="P2808" i="19"/>
  <c r="P2806" i="19"/>
  <c r="P2804" i="19"/>
  <c r="P2802" i="19"/>
  <c r="P2800" i="19"/>
  <c r="L2787" i="19"/>
  <c r="K2787" i="19"/>
  <c r="J2787" i="19"/>
  <c r="L2786" i="19"/>
  <c r="K2786" i="19"/>
  <c r="L2785" i="19"/>
  <c r="K2785" i="19"/>
  <c r="L2784" i="19"/>
  <c r="K2784" i="19"/>
  <c r="L2783" i="19"/>
  <c r="K2783" i="19"/>
  <c r="J2783" i="19"/>
  <c r="L2782" i="19"/>
  <c r="K2782" i="19"/>
  <c r="J2782" i="19"/>
  <c r="N2774" i="19"/>
  <c r="P2773" i="19"/>
  <c r="N2773" i="19"/>
  <c r="N2772" i="19"/>
  <c r="P2771" i="19"/>
  <c r="P2769" i="19"/>
  <c r="P2767" i="19"/>
  <c r="P2765" i="19"/>
  <c r="P2763" i="19"/>
  <c r="L2750" i="19"/>
  <c r="K2750" i="19"/>
  <c r="J2750" i="19"/>
  <c r="L2749" i="19"/>
  <c r="K2749" i="19"/>
  <c r="L2748" i="19"/>
  <c r="K2748" i="19"/>
  <c r="L2747" i="19"/>
  <c r="K2747" i="19"/>
  <c r="L2746" i="19"/>
  <c r="K2746" i="19"/>
  <c r="J2746" i="19"/>
  <c r="L2745" i="19"/>
  <c r="K2745" i="19"/>
  <c r="J2745" i="19"/>
  <c r="N2737" i="19"/>
  <c r="N2736" i="19"/>
  <c r="N2735" i="19"/>
  <c r="P2734" i="19"/>
  <c r="P2732" i="19"/>
  <c r="P2730" i="19"/>
  <c r="P2728" i="19"/>
  <c r="P2726" i="19"/>
  <c r="L2713" i="19"/>
  <c r="K2713" i="19"/>
  <c r="J2713" i="19"/>
  <c r="L2712" i="19"/>
  <c r="K2712" i="19"/>
  <c r="L2711" i="19"/>
  <c r="K2711" i="19"/>
  <c r="L2710" i="19"/>
  <c r="K2710" i="19"/>
  <c r="L2709" i="19"/>
  <c r="K2709" i="19"/>
  <c r="J2709" i="19"/>
  <c r="L2708" i="19"/>
  <c r="K2708" i="19"/>
  <c r="J2708" i="19"/>
  <c r="N2700" i="19"/>
  <c r="P2699" i="19"/>
  <c r="N2699" i="19"/>
  <c r="N2698" i="19"/>
  <c r="P2697" i="19"/>
  <c r="P2695" i="19"/>
  <c r="P2693" i="19"/>
  <c r="P2691" i="19"/>
  <c r="P2689" i="19"/>
  <c r="L2676" i="19"/>
  <c r="K2676" i="19"/>
  <c r="J2676" i="19"/>
  <c r="L2675" i="19"/>
  <c r="K2675" i="19"/>
  <c r="L2674" i="19"/>
  <c r="K2674" i="19"/>
  <c r="L2673" i="19"/>
  <c r="K2673" i="19"/>
  <c r="L2672" i="19"/>
  <c r="K2672" i="19"/>
  <c r="J2672" i="19"/>
  <c r="L2671" i="19"/>
  <c r="K2671" i="19"/>
  <c r="J2671" i="19"/>
  <c r="N2663" i="19"/>
  <c r="N2662" i="19"/>
  <c r="N2661" i="19"/>
  <c r="P2660" i="19"/>
  <c r="P2658" i="19"/>
  <c r="P2656" i="19"/>
  <c r="P2654" i="19"/>
  <c r="P2652" i="19"/>
  <c r="L2639" i="19"/>
  <c r="K2639" i="19"/>
  <c r="J2639" i="19"/>
  <c r="L2638" i="19"/>
  <c r="K2638" i="19"/>
  <c r="L2637" i="19"/>
  <c r="K2637" i="19"/>
  <c r="L2636" i="19"/>
  <c r="K2636" i="19"/>
  <c r="L2635" i="19"/>
  <c r="K2635" i="19"/>
  <c r="J2635" i="19"/>
  <c r="L2634" i="19"/>
  <c r="K2634" i="19"/>
  <c r="J2634" i="19"/>
  <c r="N2626" i="19"/>
  <c r="N2625" i="19"/>
  <c r="N2624" i="19"/>
  <c r="P2623" i="19"/>
  <c r="P2621" i="19"/>
  <c r="P2619" i="19"/>
  <c r="P2617" i="19"/>
  <c r="P2615" i="19"/>
  <c r="P2613" i="19"/>
  <c r="L2600" i="19"/>
  <c r="K2600" i="19"/>
  <c r="J2600" i="19"/>
  <c r="L2599" i="19"/>
  <c r="K2599" i="19"/>
  <c r="L2598" i="19"/>
  <c r="K2598" i="19"/>
  <c r="L2597" i="19"/>
  <c r="K2597" i="19"/>
  <c r="L2596" i="19"/>
  <c r="K2596" i="19"/>
  <c r="L2595" i="19"/>
  <c r="K2595" i="19"/>
  <c r="J2595" i="19"/>
  <c r="N2587" i="19"/>
  <c r="N2586" i="19"/>
  <c r="N2585" i="19"/>
  <c r="P2584" i="19"/>
  <c r="P2582" i="19"/>
  <c r="P2580" i="19"/>
  <c r="P2578" i="19"/>
  <c r="P2576" i="19"/>
  <c r="L2563" i="19"/>
  <c r="K2563" i="19"/>
  <c r="J2563" i="19"/>
  <c r="L2562" i="19"/>
  <c r="K2562" i="19"/>
  <c r="L2561" i="19"/>
  <c r="K2561" i="19"/>
  <c r="L2560" i="19"/>
  <c r="K2560" i="19"/>
  <c r="L2559" i="19"/>
  <c r="K2559" i="19"/>
  <c r="J2559" i="19"/>
  <c r="L2558" i="19"/>
  <c r="K2558" i="19"/>
  <c r="J2558" i="19"/>
  <c r="N2550" i="19"/>
  <c r="P2549" i="19"/>
  <c r="N2549" i="19"/>
  <c r="N2548" i="19"/>
  <c r="P2547" i="19"/>
  <c r="P2545" i="19"/>
  <c r="P2543" i="19"/>
  <c r="P2541" i="19"/>
  <c r="P2539" i="19"/>
  <c r="L2526" i="19"/>
  <c r="K2526" i="19"/>
  <c r="J2526" i="19"/>
  <c r="L2525" i="19"/>
  <c r="K2525" i="19"/>
  <c r="J2525" i="19"/>
  <c r="L2524" i="19"/>
  <c r="K2524" i="19"/>
  <c r="L2523" i="19"/>
  <c r="K2523" i="19"/>
  <c r="L2522" i="19"/>
  <c r="K2522" i="19"/>
  <c r="J2522" i="19"/>
  <c r="L2521" i="19"/>
  <c r="K2521" i="19"/>
  <c r="N2513" i="19"/>
  <c r="N2512" i="19"/>
  <c r="N2511" i="19"/>
  <c r="P2510" i="19"/>
  <c r="P2508" i="19"/>
  <c r="P2506" i="19"/>
  <c r="P2504" i="19"/>
  <c r="P2502" i="19"/>
  <c r="L2489" i="19"/>
  <c r="K2489" i="19"/>
  <c r="J2489" i="19"/>
  <c r="L2488" i="19"/>
  <c r="K2488" i="19"/>
  <c r="J2488" i="19"/>
  <c r="L2487" i="19"/>
  <c r="K2487" i="19"/>
  <c r="L2486" i="19"/>
  <c r="K2486" i="19"/>
  <c r="L2485" i="19"/>
  <c r="K2485" i="19"/>
  <c r="L2484" i="19"/>
  <c r="K2484" i="19"/>
  <c r="N2476" i="19"/>
  <c r="N2475" i="19"/>
  <c r="N2474" i="19"/>
  <c r="P2473" i="19"/>
  <c r="P2471" i="19"/>
  <c r="N2470" i="19"/>
  <c r="P2469" i="19"/>
  <c r="P2467" i="19"/>
  <c r="P2465" i="19"/>
  <c r="P2463" i="19"/>
  <c r="L2450" i="19"/>
  <c r="K2450" i="19"/>
  <c r="J2450" i="19"/>
  <c r="L2449" i="19"/>
  <c r="K2449" i="19"/>
  <c r="L2448" i="19"/>
  <c r="K2448" i="19"/>
  <c r="L2447" i="19"/>
  <c r="K2447" i="19"/>
  <c r="L2446" i="19"/>
  <c r="K2446" i="19"/>
  <c r="J2446" i="19"/>
  <c r="L2445" i="19"/>
  <c r="K2445" i="19"/>
  <c r="J2445" i="19"/>
  <c r="N2437" i="19"/>
  <c r="P2436" i="19"/>
  <c r="N2436" i="19"/>
  <c r="N2435" i="19"/>
  <c r="P2434" i="19"/>
  <c r="P2432" i="19"/>
  <c r="P2430" i="19"/>
  <c r="P2428" i="19"/>
  <c r="P2426" i="19"/>
  <c r="L2413" i="19"/>
  <c r="K2413" i="19"/>
  <c r="J2413" i="19"/>
  <c r="L2412" i="19"/>
  <c r="K2412" i="19"/>
  <c r="L2411" i="19"/>
  <c r="K2411" i="19"/>
  <c r="L2410" i="19"/>
  <c r="K2410" i="19"/>
  <c r="L2409" i="19"/>
  <c r="K2409" i="19"/>
  <c r="J2409" i="19"/>
  <c r="L2408" i="19"/>
  <c r="K2408" i="19"/>
  <c r="J2408" i="19"/>
  <c r="N2400" i="19"/>
  <c r="P2399" i="19"/>
  <c r="N2399" i="19"/>
  <c r="N2398" i="19"/>
  <c r="P2397" i="19"/>
  <c r="P2395" i="19"/>
  <c r="P2393" i="19"/>
  <c r="P2391" i="19"/>
  <c r="P2389" i="19"/>
  <c r="L2376" i="19"/>
  <c r="K2376" i="19"/>
  <c r="J2376" i="19"/>
  <c r="L2375" i="19"/>
  <c r="K2375" i="19"/>
  <c r="L2374" i="19"/>
  <c r="K2374" i="19"/>
  <c r="L2373" i="19"/>
  <c r="K2373" i="19"/>
  <c r="J2373" i="19"/>
  <c r="L2372" i="19"/>
  <c r="K2372" i="19"/>
  <c r="J2372" i="19"/>
  <c r="L2371" i="19"/>
  <c r="K2371" i="19"/>
  <c r="N2363" i="19"/>
  <c r="N2362" i="19"/>
  <c r="N2361" i="19"/>
  <c r="P2360" i="19"/>
  <c r="P2358" i="19"/>
  <c r="P2356" i="19"/>
  <c r="P2354" i="19"/>
  <c r="P2352" i="19"/>
  <c r="L2339" i="19"/>
  <c r="K2339" i="19"/>
  <c r="J2339" i="19"/>
  <c r="L2338" i="19"/>
  <c r="K2338" i="19"/>
  <c r="L2337" i="19"/>
  <c r="K2337" i="19"/>
  <c r="L2336" i="19"/>
  <c r="K2336" i="19"/>
  <c r="L2335" i="19"/>
  <c r="K2335" i="19"/>
  <c r="J2335" i="19"/>
  <c r="L2334" i="19"/>
  <c r="K2334" i="19"/>
  <c r="J2334" i="19"/>
  <c r="N2326" i="19"/>
  <c r="P2325" i="19"/>
  <c r="N2325" i="19"/>
  <c r="N2324" i="19"/>
  <c r="P2323" i="19"/>
  <c r="P2321" i="19"/>
  <c r="P2319" i="19"/>
  <c r="P2317" i="19"/>
  <c r="P2315" i="19"/>
  <c r="L2302" i="19"/>
  <c r="K2302" i="19"/>
  <c r="J2302" i="19"/>
  <c r="L2301" i="19"/>
  <c r="K2301" i="19"/>
  <c r="L2300" i="19"/>
  <c r="K2300" i="19"/>
  <c r="L2299" i="19"/>
  <c r="K2299" i="19"/>
  <c r="L2298" i="19"/>
  <c r="K2298" i="19"/>
  <c r="J2298" i="19"/>
  <c r="L2297" i="19"/>
  <c r="K2297" i="19"/>
  <c r="J2297" i="19"/>
  <c r="N2289" i="19"/>
  <c r="P2288" i="19"/>
  <c r="N2288" i="19"/>
  <c r="N2287" i="19"/>
  <c r="P2286" i="19"/>
  <c r="P2284" i="19"/>
  <c r="P2282" i="19"/>
  <c r="P2279" i="19"/>
  <c r="P2278" i="19"/>
  <c r="L2265" i="19"/>
  <c r="K2265" i="19"/>
  <c r="J2265" i="19"/>
  <c r="L2264" i="19"/>
  <c r="K2264" i="19"/>
  <c r="L2263" i="19"/>
  <c r="K2263" i="19"/>
  <c r="J2263" i="19"/>
  <c r="L2262" i="19"/>
  <c r="K2262" i="19"/>
  <c r="L2261" i="19"/>
  <c r="K2261" i="19"/>
  <c r="J2261" i="19"/>
  <c r="L2260" i="19"/>
  <c r="K2260" i="19"/>
  <c r="J2260" i="19"/>
  <c r="N2252" i="19"/>
  <c r="P2251" i="19"/>
  <c r="N2251" i="19"/>
  <c r="N2250" i="19"/>
  <c r="P2249" i="19"/>
  <c r="P2247" i="19"/>
  <c r="P2245" i="19"/>
  <c r="P2242" i="19"/>
  <c r="P2240" i="19"/>
  <c r="L2228" i="19"/>
  <c r="K2228" i="19"/>
  <c r="J2228" i="19"/>
  <c r="L2227" i="19"/>
  <c r="K2227" i="19"/>
  <c r="L2226" i="19"/>
  <c r="K2226" i="19"/>
  <c r="J2226" i="19"/>
  <c r="L2225" i="19"/>
  <c r="K2225" i="19"/>
  <c r="L2224" i="19"/>
  <c r="K2224" i="19"/>
  <c r="J2224" i="19"/>
  <c r="L2223" i="19"/>
  <c r="K2223" i="19"/>
  <c r="J2223" i="19"/>
  <c r="N2215" i="19"/>
  <c r="P2214" i="19"/>
  <c r="N2214" i="19"/>
  <c r="N2213" i="19"/>
  <c r="P2212" i="19"/>
  <c r="P2210" i="19"/>
  <c r="P2208" i="19"/>
  <c r="P2205" i="19"/>
  <c r="P2203" i="19"/>
  <c r="L2191" i="19"/>
  <c r="K2191" i="19"/>
  <c r="J2191" i="19"/>
  <c r="L2190" i="19"/>
  <c r="K2190" i="19"/>
  <c r="L2189" i="19"/>
  <c r="K2189" i="19"/>
  <c r="J2189" i="19"/>
  <c r="L2188" i="19"/>
  <c r="K2188" i="19"/>
  <c r="L2187" i="19"/>
  <c r="K2187" i="19"/>
  <c r="J2187" i="19"/>
  <c r="L2186" i="19"/>
  <c r="K2186" i="19"/>
  <c r="J2186" i="19"/>
  <c r="N2178" i="19"/>
  <c r="P2177" i="19"/>
  <c r="N2177" i="19"/>
  <c r="N2176" i="19"/>
  <c r="P2175" i="19"/>
  <c r="P2173" i="19"/>
  <c r="P2171" i="19"/>
  <c r="P2169" i="19"/>
  <c r="L2152" i="19"/>
  <c r="K2152" i="19"/>
  <c r="J2152" i="19"/>
  <c r="L2151" i="19"/>
  <c r="K2151" i="19"/>
  <c r="L2150" i="19"/>
  <c r="K2150" i="19"/>
  <c r="L2149" i="19"/>
  <c r="K2149" i="19"/>
  <c r="L2148" i="19"/>
  <c r="K2148" i="19"/>
  <c r="J2148" i="19"/>
  <c r="L2147" i="19"/>
  <c r="K2147" i="19"/>
  <c r="J2147" i="19"/>
  <c r="N2139" i="19"/>
  <c r="N2138" i="19"/>
  <c r="N2137" i="19"/>
  <c r="P2136" i="19"/>
  <c r="P2134" i="19"/>
  <c r="P2132" i="19"/>
  <c r="L2115" i="19"/>
  <c r="K2115" i="19"/>
  <c r="J2115" i="19"/>
  <c r="L2114" i="19"/>
  <c r="K2114" i="19"/>
  <c r="L2113" i="19"/>
  <c r="K2113" i="19"/>
  <c r="L2112" i="19"/>
  <c r="K2112" i="19"/>
  <c r="L2111" i="19"/>
  <c r="K2111" i="19"/>
  <c r="J2111" i="19"/>
  <c r="L2110" i="19"/>
  <c r="K2110" i="19"/>
  <c r="J2110" i="19"/>
  <c r="N2102" i="19"/>
  <c r="N2101" i="19"/>
  <c r="N2100" i="19"/>
  <c r="P2099" i="19"/>
  <c r="P2097" i="19"/>
  <c r="P2095" i="19"/>
  <c r="L2078" i="19"/>
  <c r="K2078" i="19"/>
  <c r="J2078" i="19"/>
  <c r="L2077" i="19"/>
  <c r="K2077" i="19"/>
  <c r="L2076" i="19"/>
  <c r="K2076" i="19"/>
  <c r="L2075" i="19"/>
  <c r="K2075" i="19"/>
  <c r="L2074" i="19"/>
  <c r="K2074" i="19"/>
  <c r="J2074" i="19"/>
  <c r="L2073" i="19"/>
  <c r="K2073" i="19"/>
  <c r="J2073" i="19"/>
  <c r="N2065" i="19"/>
  <c r="P2064" i="19"/>
  <c r="N2064" i="19"/>
  <c r="N2063" i="19"/>
  <c r="P2062" i="19"/>
  <c r="P2060" i="19"/>
  <c r="P2058" i="19"/>
  <c r="P2056" i="19"/>
  <c r="P2054" i="19"/>
  <c r="L2041" i="19"/>
  <c r="K2041" i="19"/>
  <c r="J2041" i="19"/>
  <c r="L2040" i="19"/>
  <c r="K2040" i="19"/>
  <c r="L2039" i="19"/>
  <c r="K2039" i="19"/>
  <c r="L2038" i="19"/>
  <c r="K2038" i="19"/>
  <c r="L2037" i="19"/>
  <c r="K2037" i="19"/>
  <c r="J2037" i="19"/>
  <c r="L2036" i="19"/>
  <c r="K2036" i="19"/>
  <c r="J2036" i="19"/>
  <c r="N2028" i="19"/>
  <c r="P2027" i="19"/>
  <c r="N2027" i="19"/>
  <c r="N2026" i="19"/>
  <c r="P2025" i="19"/>
  <c r="P2023" i="19"/>
  <c r="P2021" i="19"/>
  <c r="P2019" i="19"/>
  <c r="P2017" i="19"/>
  <c r="L2004" i="19"/>
  <c r="K2004" i="19"/>
  <c r="J2004" i="19"/>
  <c r="L2003" i="19"/>
  <c r="K2003" i="19"/>
  <c r="L2002" i="19"/>
  <c r="K2002" i="19"/>
  <c r="L2001" i="19"/>
  <c r="K2001" i="19"/>
  <c r="L2000" i="19"/>
  <c r="K2000" i="19"/>
  <c r="J2000" i="19"/>
  <c r="L1999" i="19"/>
  <c r="K1999" i="19"/>
  <c r="J1999" i="19"/>
  <c r="N1991" i="19"/>
  <c r="P1990" i="19"/>
  <c r="N1990" i="19"/>
  <c r="N1989" i="19"/>
  <c r="P1988" i="19"/>
  <c r="P1986" i="19"/>
  <c r="P1984" i="19"/>
  <c r="P1982" i="19"/>
  <c r="P1980" i="19"/>
  <c r="L1967" i="19"/>
  <c r="K1967" i="19"/>
  <c r="J1967" i="19"/>
  <c r="L1966" i="19"/>
  <c r="K1966" i="19"/>
  <c r="L1965" i="19"/>
  <c r="K1965" i="19"/>
  <c r="L1964" i="19"/>
  <c r="K1964" i="19"/>
  <c r="L1963" i="19"/>
  <c r="K1963" i="19"/>
  <c r="J1963" i="19"/>
  <c r="L1962" i="19"/>
  <c r="K1962" i="19"/>
  <c r="J1962" i="19"/>
  <c r="N1954" i="19"/>
  <c r="P1953" i="19"/>
  <c r="N1953" i="19"/>
  <c r="N1952" i="19"/>
  <c r="P1951" i="19"/>
  <c r="P1949" i="19"/>
  <c r="P1947" i="19"/>
  <c r="P1945" i="19"/>
  <c r="P1943" i="19"/>
  <c r="L1930" i="19"/>
  <c r="K1930" i="19"/>
  <c r="J1930" i="19"/>
  <c r="L1929" i="19"/>
  <c r="K1929" i="19"/>
  <c r="L1928" i="19"/>
  <c r="K1928" i="19"/>
  <c r="L1927" i="19"/>
  <c r="K1927" i="19"/>
  <c r="L1926" i="19"/>
  <c r="K1926" i="19"/>
  <c r="J1926" i="19"/>
  <c r="L1925" i="19"/>
  <c r="K1925" i="19"/>
  <c r="J1925" i="19"/>
  <c r="N1917" i="19"/>
  <c r="P1916" i="19"/>
  <c r="N1916" i="19"/>
  <c r="N1915" i="19"/>
  <c r="P1914" i="19"/>
  <c r="P1912" i="19"/>
  <c r="P1910" i="19"/>
  <c r="P1908" i="19"/>
  <c r="P1906" i="19"/>
  <c r="L1893" i="19"/>
  <c r="K1893" i="19"/>
  <c r="J1893" i="19"/>
  <c r="L1892" i="19"/>
  <c r="K1892" i="19"/>
  <c r="L1891" i="19"/>
  <c r="K1891" i="19"/>
  <c r="J1891" i="19"/>
  <c r="L1890" i="19"/>
  <c r="K1890" i="19"/>
  <c r="L1889" i="19"/>
  <c r="K1889" i="19"/>
  <c r="L1888" i="19"/>
  <c r="K1888" i="19"/>
  <c r="J1888" i="19"/>
  <c r="N1880" i="19"/>
  <c r="N1879" i="19"/>
  <c r="N1878" i="19"/>
  <c r="P1877" i="19"/>
  <c r="P1875" i="19"/>
  <c r="P1873" i="19"/>
  <c r="P1871" i="19"/>
  <c r="P1869" i="19"/>
  <c r="L1856" i="19"/>
  <c r="K1856" i="19"/>
  <c r="J1856" i="19"/>
  <c r="L1855" i="19"/>
  <c r="K1855" i="19"/>
  <c r="L1854" i="19"/>
  <c r="K1854" i="19"/>
  <c r="J1854" i="19"/>
  <c r="L1853" i="19"/>
  <c r="K1853" i="19"/>
  <c r="L1852" i="19"/>
  <c r="K1852" i="19"/>
  <c r="L1851" i="19"/>
  <c r="K1851" i="19"/>
  <c r="J1851" i="19"/>
  <c r="N1843" i="19"/>
  <c r="N1842" i="19"/>
  <c r="N1841" i="19"/>
  <c r="P1840" i="19"/>
  <c r="P1838" i="19"/>
  <c r="P1836" i="19"/>
  <c r="P1834" i="19"/>
  <c r="P1832" i="19"/>
  <c r="L1819" i="19"/>
  <c r="K1819" i="19"/>
  <c r="J1819" i="19"/>
  <c r="L1818" i="19"/>
  <c r="K1818" i="19"/>
  <c r="L1817" i="19"/>
  <c r="K1817" i="19"/>
  <c r="L1816" i="19"/>
  <c r="K1816" i="19"/>
  <c r="L1815" i="19"/>
  <c r="K1815" i="19"/>
  <c r="J1815" i="19"/>
  <c r="L1814" i="19"/>
  <c r="K1814" i="19"/>
  <c r="J1814" i="19"/>
  <c r="N1806" i="19"/>
  <c r="N1805" i="19"/>
  <c r="N1804" i="19"/>
  <c r="P1803" i="19"/>
  <c r="P1801" i="19"/>
  <c r="P1799" i="19"/>
  <c r="P1797" i="19"/>
  <c r="P1795" i="19"/>
  <c r="L1782" i="19"/>
  <c r="K1782" i="19"/>
  <c r="J1782" i="19"/>
  <c r="L1781" i="19"/>
  <c r="K1781" i="19"/>
  <c r="L1780" i="19"/>
  <c r="K1780" i="19"/>
  <c r="L1779" i="19"/>
  <c r="K1779" i="19"/>
  <c r="L1778" i="19"/>
  <c r="K1778" i="19"/>
  <c r="J1778" i="19"/>
  <c r="L1777" i="19"/>
  <c r="K1777" i="19"/>
  <c r="J1777" i="19"/>
  <c r="N1769" i="19"/>
  <c r="P1768" i="19"/>
  <c r="N1768" i="19"/>
  <c r="N1767" i="19"/>
  <c r="P1766" i="19"/>
  <c r="P1764" i="19"/>
  <c r="P1762" i="19"/>
  <c r="P1760" i="19"/>
  <c r="P1758" i="19"/>
  <c r="L1745" i="19"/>
  <c r="K1745" i="19"/>
  <c r="J1745" i="19"/>
  <c r="L1744" i="19"/>
  <c r="K1744" i="19"/>
  <c r="L1743" i="19"/>
  <c r="K1743" i="19"/>
  <c r="J1743" i="19"/>
  <c r="L1742" i="19"/>
  <c r="K1742" i="19"/>
  <c r="L1741" i="19"/>
  <c r="K1741" i="19"/>
  <c r="L1740" i="19"/>
  <c r="K1740" i="19"/>
  <c r="J1740" i="19"/>
  <c r="S1732" i="19"/>
  <c r="N1732" i="19"/>
  <c r="N1731" i="19"/>
  <c r="N1730" i="19"/>
  <c r="P1729" i="19"/>
  <c r="P1727" i="19"/>
  <c r="P1725" i="19"/>
  <c r="P1723" i="19"/>
  <c r="P1721" i="19"/>
  <c r="P1719" i="19"/>
  <c r="L1706" i="19"/>
  <c r="K1706" i="19"/>
  <c r="J1706" i="19"/>
  <c r="L1705" i="19"/>
  <c r="K1705" i="19"/>
  <c r="L1704" i="19"/>
  <c r="K1704" i="19"/>
  <c r="L1703" i="19"/>
  <c r="K1703" i="19"/>
  <c r="L1702" i="19"/>
  <c r="K1702" i="19"/>
  <c r="J1702" i="19"/>
  <c r="L1701" i="19"/>
  <c r="K1701" i="19"/>
  <c r="J1701" i="19"/>
  <c r="N1693" i="19"/>
  <c r="P1692" i="19"/>
  <c r="N1692" i="19"/>
  <c r="N1691" i="19"/>
  <c r="P1690" i="19"/>
  <c r="P1688" i="19"/>
  <c r="P1686" i="19"/>
  <c r="P1684" i="19"/>
  <c r="P1682" i="19"/>
  <c r="L1669" i="19"/>
  <c r="K1669" i="19"/>
  <c r="J1669" i="19"/>
  <c r="L1668" i="19"/>
  <c r="K1668" i="19"/>
  <c r="L1667" i="19"/>
  <c r="K1667" i="19"/>
  <c r="L1666" i="19"/>
  <c r="K1666" i="19"/>
  <c r="L1665" i="19"/>
  <c r="K1665" i="19"/>
  <c r="J1665" i="19"/>
  <c r="L1664" i="19"/>
  <c r="K1664" i="19"/>
  <c r="J1664" i="19"/>
  <c r="N1656" i="19"/>
  <c r="P1655" i="19"/>
  <c r="N1655" i="19"/>
  <c r="N1654" i="19"/>
  <c r="P1653" i="19"/>
  <c r="P1651" i="19"/>
  <c r="P1649" i="19"/>
  <c r="P1647" i="19"/>
  <c r="P1645" i="19"/>
  <c r="L1632" i="19"/>
  <c r="K1632" i="19"/>
  <c r="J1632" i="19"/>
  <c r="L1631" i="19"/>
  <c r="K1631" i="19"/>
  <c r="L1630" i="19"/>
  <c r="K1630" i="19"/>
  <c r="L1629" i="19"/>
  <c r="K1629" i="19"/>
  <c r="J1629" i="19"/>
  <c r="L1628" i="19"/>
  <c r="K1628" i="19"/>
  <c r="L1627" i="19"/>
  <c r="K1627" i="19"/>
  <c r="N1619" i="19"/>
  <c r="N1618" i="19"/>
  <c r="N1617" i="19"/>
  <c r="P1616" i="19"/>
  <c r="P1614" i="19"/>
  <c r="P1612" i="19"/>
  <c r="P1610" i="19"/>
  <c r="L1597" i="19"/>
  <c r="K1597" i="19"/>
  <c r="J1597" i="19"/>
  <c r="L1596" i="19"/>
  <c r="K1596" i="19"/>
  <c r="L1595" i="19"/>
  <c r="K1595" i="19"/>
  <c r="J1595" i="19"/>
  <c r="L1594" i="19"/>
  <c r="K1594" i="19"/>
  <c r="L1593" i="19"/>
  <c r="K1593" i="19"/>
  <c r="L1592" i="19"/>
  <c r="K1592" i="19"/>
  <c r="J1592" i="19"/>
  <c r="N1584" i="19"/>
  <c r="P1583" i="19"/>
  <c r="N1583" i="19"/>
  <c r="N1582" i="19"/>
  <c r="P1581" i="19"/>
  <c r="P1579" i="19"/>
  <c r="P1577" i="19"/>
  <c r="P1575" i="19"/>
  <c r="L1562" i="19"/>
  <c r="K1562" i="19"/>
  <c r="J1562" i="19"/>
  <c r="L1561" i="19"/>
  <c r="K1561" i="19"/>
  <c r="L1560" i="19"/>
  <c r="K1560" i="19"/>
  <c r="J1560" i="19"/>
  <c r="L1559" i="19"/>
  <c r="K1559" i="19"/>
  <c r="L1558" i="19"/>
  <c r="K1558" i="19"/>
  <c r="L1557" i="19"/>
  <c r="K1557" i="19"/>
  <c r="J1557" i="19"/>
  <c r="N1549" i="19"/>
  <c r="P1548" i="19"/>
  <c r="N1548" i="19"/>
  <c r="N1547" i="19"/>
  <c r="P1546" i="19"/>
  <c r="P1544" i="19"/>
  <c r="P1542" i="19"/>
  <c r="P1540" i="19"/>
  <c r="L1525" i="19"/>
  <c r="K1525" i="19"/>
  <c r="J1525" i="19"/>
  <c r="L1524" i="19"/>
  <c r="K1524" i="19"/>
  <c r="L1523" i="19"/>
  <c r="K1523" i="19"/>
  <c r="L1522" i="19"/>
  <c r="K1522" i="19"/>
  <c r="L1521" i="19"/>
  <c r="K1521" i="19"/>
  <c r="J1521" i="19"/>
  <c r="L1520" i="19"/>
  <c r="K1520" i="19"/>
  <c r="J1520" i="19"/>
  <c r="N1512" i="19"/>
  <c r="P1511" i="19"/>
  <c r="N1511" i="19"/>
  <c r="N1510" i="19"/>
  <c r="P1509" i="19"/>
  <c r="I1508" i="19"/>
  <c r="P1507" i="19"/>
  <c r="I1506" i="19"/>
  <c r="P1505" i="19"/>
  <c r="I1504" i="19"/>
  <c r="P1503" i="19"/>
  <c r="I1502" i="19"/>
  <c r="P1501" i="19"/>
  <c r="I1500" i="19"/>
  <c r="P1499" i="19"/>
  <c r="D1487" i="19"/>
  <c r="C1487" i="19"/>
  <c r="B1487" i="19"/>
  <c r="L1486" i="19"/>
  <c r="K1486" i="19"/>
  <c r="J1486" i="19"/>
  <c r="D1486" i="19"/>
  <c r="C1486" i="19"/>
  <c r="L1485" i="19"/>
  <c r="K1485" i="19"/>
  <c r="D1485" i="19"/>
  <c r="C1485" i="19"/>
  <c r="L1484" i="19"/>
  <c r="K1484" i="19"/>
  <c r="D1484" i="19"/>
  <c r="C1484" i="19"/>
  <c r="L1483" i="19"/>
  <c r="K1483" i="19"/>
  <c r="D1483" i="19"/>
  <c r="C1483" i="19"/>
  <c r="B1483" i="19"/>
  <c r="L1482" i="19"/>
  <c r="K1482" i="19"/>
  <c r="J1482" i="19"/>
  <c r="D1482" i="19"/>
  <c r="C1482" i="19"/>
  <c r="B1482" i="19"/>
  <c r="L1481" i="19"/>
  <c r="K1481" i="19"/>
  <c r="J1481" i="19"/>
  <c r="F1474" i="19"/>
  <c r="N1473" i="19"/>
  <c r="F1473" i="19"/>
  <c r="N1472" i="19"/>
  <c r="F1472" i="19"/>
  <c r="N1471" i="19"/>
  <c r="H1471" i="19"/>
  <c r="P1470" i="19"/>
  <c r="H1469" i="19"/>
  <c r="P1468" i="19"/>
  <c r="A1468" i="19"/>
  <c r="H1467" i="19"/>
  <c r="A1464" i="19"/>
  <c r="H1463" i="19"/>
  <c r="P1462" i="19"/>
  <c r="A1462" i="19"/>
  <c r="H1461" i="19"/>
  <c r="P1460" i="19"/>
  <c r="A1460" i="19"/>
  <c r="D1448" i="19"/>
  <c r="C1448" i="19"/>
  <c r="B1448" i="19"/>
  <c r="L1447" i="19"/>
  <c r="K1447" i="19"/>
  <c r="J1447" i="19"/>
  <c r="D1447" i="19"/>
  <c r="C1447" i="19"/>
  <c r="L1446" i="19"/>
  <c r="K1446" i="19"/>
  <c r="D1446" i="19"/>
  <c r="C1446" i="19"/>
  <c r="L1445" i="19"/>
  <c r="K1445" i="19"/>
  <c r="J1445" i="19"/>
  <c r="D1445" i="19"/>
  <c r="C1445" i="19"/>
  <c r="B1445" i="19"/>
  <c r="L1444" i="19"/>
  <c r="K1444" i="19"/>
  <c r="D1444" i="19"/>
  <c r="C1444" i="19"/>
  <c r="B1444" i="19"/>
  <c r="L1443" i="19"/>
  <c r="K1443" i="19"/>
  <c r="L1442" i="19"/>
  <c r="K1442" i="19"/>
  <c r="J1442" i="19"/>
  <c r="F1436" i="19"/>
  <c r="F1435" i="19"/>
  <c r="N1434" i="19"/>
  <c r="F1434" i="19"/>
  <c r="N1433" i="19"/>
  <c r="H1433" i="19"/>
  <c r="N1432" i="19"/>
  <c r="P1431" i="19"/>
  <c r="H1431" i="19"/>
  <c r="A1430" i="19"/>
  <c r="P1429" i="19"/>
  <c r="H1429" i="19"/>
  <c r="A1428" i="19"/>
  <c r="P1427" i="19"/>
  <c r="H1427" i="19"/>
  <c r="A1426" i="19"/>
  <c r="P1425" i="19"/>
  <c r="H1425" i="19"/>
  <c r="A1424" i="19"/>
  <c r="P1423" i="19"/>
  <c r="D1412" i="19"/>
  <c r="C1412" i="19"/>
  <c r="B1412" i="19"/>
  <c r="D1411" i="19"/>
  <c r="C1411" i="19"/>
  <c r="L1410" i="19"/>
  <c r="K1410" i="19"/>
  <c r="J1410" i="19"/>
  <c r="D1410" i="19"/>
  <c r="C1410" i="19"/>
  <c r="L1409" i="19"/>
  <c r="K1409" i="19"/>
  <c r="D1409" i="19"/>
  <c r="C1409" i="19"/>
  <c r="L1408" i="19"/>
  <c r="K1408" i="19"/>
  <c r="D1408" i="19"/>
  <c r="C1408" i="19"/>
  <c r="B1408" i="19"/>
  <c r="L1407" i="19"/>
  <c r="K1407" i="19"/>
  <c r="D1407" i="19"/>
  <c r="C1407" i="19"/>
  <c r="B1407" i="19"/>
  <c r="L1406" i="19"/>
  <c r="K1406" i="19"/>
  <c r="J1406" i="19"/>
  <c r="L1405" i="19"/>
  <c r="K1405" i="19"/>
  <c r="J1405" i="19"/>
  <c r="F1399" i="19"/>
  <c r="F1398" i="19"/>
  <c r="N1397" i="19"/>
  <c r="F1397" i="19"/>
  <c r="P1396" i="19"/>
  <c r="N1396" i="19"/>
  <c r="H1396" i="19"/>
  <c r="N1395" i="19"/>
  <c r="P1394" i="19"/>
  <c r="H1394" i="19"/>
  <c r="A1393" i="19"/>
  <c r="P1392" i="19"/>
  <c r="H1392" i="19"/>
  <c r="A1391" i="19"/>
  <c r="P1390" i="19"/>
  <c r="H1390" i="19"/>
  <c r="I1389" i="19"/>
  <c r="A1389" i="19"/>
  <c r="P1388" i="19"/>
  <c r="H1388" i="19"/>
  <c r="I1387" i="19"/>
  <c r="A1387" i="19"/>
  <c r="P1386" i="19"/>
  <c r="D1375" i="19"/>
  <c r="C1375" i="19"/>
  <c r="B1375" i="19"/>
  <c r="D1374" i="19"/>
  <c r="C1374" i="19"/>
  <c r="L1373" i="19"/>
  <c r="K1373" i="19"/>
  <c r="J1373" i="19"/>
  <c r="D1373" i="19"/>
  <c r="C1373" i="19"/>
  <c r="L1372" i="19"/>
  <c r="K1372" i="19"/>
  <c r="D1372" i="19"/>
  <c r="C1372" i="19"/>
  <c r="L1371" i="19"/>
  <c r="K1371" i="19"/>
  <c r="D1371" i="19"/>
  <c r="C1371" i="19"/>
  <c r="B1371" i="19"/>
  <c r="L1370" i="19"/>
  <c r="K1370" i="19"/>
  <c r="D1370" i="19"/>
  <c r="C1370" i="19"/>
  <c r="B1370" i="19"/>
  <c r="L1369" i="19"/>
  <c r="K1369" i="19"/>
  <c r="L1368" i="19"/>
  <c r="K1368" i="19"/>
  <c r="J1368" i="19"/>
  <c r="F1362" i="19"/>
  <c r="F1361" i="19"/>
  <c r="N1360" i="19"/>
  <c r="F1360" i="19"/>
  <c r="P1359" i="19"/>
  <c r="N1359" i="19"/>
  <c r="H1359" i="19"/>
  <c r="N1358" i="19"/>
  <c r="A1358" i="19"/>
  <c r="P1357" i="19"/>
  <c r="H1357" i="19"/>
  <c r="I1356" i="19"/>
  <c r="A1356" i="19"/>
  <c r="P1355" i="19"/>
  <c r="H1355" i="19"/>
  <c r="I1354" i="19"/>
  <c r="A1354" i="19"/>
  <c r="P1353" i="19"/>
  <c r="H1353" i="19"/>
  <c r="I1352" i="19"/>
  <c r="A1352" i="19"/>
  <c r="P1351" i="19"/>
  <c r="H1351" i="19"/>
  <c r="I1350" i="19"/>
  <c r="A1350" i="19"/>
  <c r="P1349" i="19"/>
  <c r="H1349" i="19"/>
  <c r="A1348" i="19"/>
  <c r="L1336" i="19"/>
  <c r="K1336" i="19"/>
  <c r="J1336" i="19"/>
  <c r="D1336" i="19"/>
  <c r="C1336" i="19"/>
  <c r="B1336" i="19"/>
  <c r="L1335" i="19"/>
  <c r="K1335" i="19"/>
  <c r="D1335" i="19"/>
  <c r="C1335" i="19"/>
  <c r="L1334" i="19"/>
  <c r="K1334" i="19"/>
  <c r="D1334" i="19"/>
  <c r="C1334" i="19"/>
  <c r="L1333" i="19"/>
  <c r="K1333" i="19"/>
  <c r="D1333" i="19"/>
  <c r="C1333" i="19"/>
  <c r="L1332" i="19"/>
  <c r="K1332" i="19"/>
  <c r="J1332" i="19"/>
  <c r="D1332" i="19"/>
  <c r="C1332" i="19"/>
  <c r="B1332" i="19"/>
  <c r="L1331" i="19"/>
  <c r="K1331" i="19"/>
  <c r="J1331" i="19"/>
  <c r="D1331" i="19"/>
  <c r="C1331" i="19"/>
  <c r="B1331" i="19"/>
  <c r="N1323" i="19"/>
  <c r="F1323" i="19"/>
  <c r="P1322" i="19"/>
  <c r="N1322" i="19"/>
  <c r="F1322" i="19"/>
  <c r="N1321" i="19"/>
  <c r="F1321" i="19"/>
  <c r="P1320" i="19"/>
  <c r="H1320" i="19"/>
  <c r="I1319" i="19"/>
  <c r="A1319" i="19"/>
  <c r="P1318" i="19"/>
  <c r="H1318" i="19"/>
  <c r="I1317" i="19"/>
  <c r="A1317" i="19"/>
  <c r="P1316" i="19"/>
  <c r="H1316" i="19"/>
  <c r="I1315" i="19"/>
  <c r="A1315" i="19"/>
  <c r="P1314" i="19"/>
  <c r="H1314" i="19"/>
  <c r="I1313" i="19"/>
  <c r="A1313" i="19"/>
  <c r="P1312" i="19"/>
  <c r="H1312" i="19"/>
  <c r="A1311" i="19"/>
  <c r="L1299" i="19"/>
  <c r="K1299" i="19"/>
  <c r="J1299" i="19"/>
  <c r="D1299" i="19"/>
  <c r="C1299" i="19"/>
  <c r="B1299" i="19"/>
  <c r="L1298" i="19"/>
  <c r="K1298" i="19"/>
  <c r="D1298" i="19"/>
  <c r="C1298" i="19"/>
  <c r="L1297" i="19"/>
  <c r="K1297" i="19"/>
  <c r="J1297" i="19"/>
  <c r="D1297" i="19"/>
  <c r="C1297" i="19"/>
  <c r="L1296" i="19"/>
  <c r="K1296" i="19"/>
  <c r="D1296" i="19"/>
  <c r="C1296" i="19"/>
  <c r="L1295" i="19"/>
  <c r="K1295" i="19"/>
  <c r="D1295" i="19"/>
  <c r="C1295" i="19"/>
  <c r="B1295" i="19"/>
  <c r="L1294" i="19"/>
  <c r="K1294" i="19"/>
  <c r="J1294" i="19"/>
  <c r="D1294" i="19"/>
  <c r="C1294" i="19"/>
  <c r="B1294" i="19"/>
  <c r="N1286" i="19"/>
  <c r="F1286" i="19"/>
  <c r="N1285" i="19"/>
  <c r="F1285" i="19"/>
  <c r="N1284" i="19"/>
  <c r="F1284" i="19"/>
  <c r="H1283" i="19"/>
  <c r="A1282" i="19"/>
  <c r="H1281" i="19"/>
  <c r="A1280" i="19"/>
  <c r="H1279" i="19"/>
  <c r="A1278" i="19"/>
  <c r="H1277" i="19"/>
  <c r="P1276" i="19"/>
  <c r="A1276" i="19"/>
  <c r="H1275" i="19"/>
  <c r="P1274" i="19"/>
  <c r="A1274" i="19"/>
  <c r="L1262" i="19"/>
  <c r="K1262" i="19"/>
  <c r="J1262" i="19"/>
  <c r="D1262" i="19"/>
  <c r="C1262" i="19"/>
  <c r="B1262" i="19"/>
  <c r="L1261" i="19"/>
  <c r="K1261" i="19"/>
  <c r="D1261" i="19"/>
  <c r="C1261" i="19"/>
  <c r="L1260" i="19"/>
  <c r="K1260" i="19"/>
  <c r="J1260" i="19"/>
  <c r="D1260" i="19"/>
  <c r="C1260" i="19"/>
  <c r="L1259" i="19"/>
  <c r="K1259" i="19"/>
  <c r="D1259" i="19"/>
  <c r="C1259" i="19"/>
  <c r="L1258" i="19"/>
  <c r="K1258" i="19"/>
  <c r="J1258" i="19"/>
  <c r="D1258" i="19"/>
  <c r="C1258" i="19"/>
  <c r="B1258" i="19"/>
  <c r="L1257" i="19"/>
  <c r="K1257" i="19"/>
  <c r="J1257" i="19"/>
  <c r="D1257" i="19"/>
  <c r="C1257" i="19"/>
  <c r="B1257" i="19"/>
  <c r="N1249" i="19"/>
  <c r="F1249" i="19"/>
  <c r="N1248" i="19"/>
  <c r="F1248" i="19"/>
  <c r="N1247" i="19"/>
  <c r="F1247" i="19"/>
  <c r="P1246" i="19"/>
  <c r="H1246" i="19"/>
  <c r="A1245" i="19"/>
  <c r="P1244" i="19"/>
  <c r="H1244" i="19"/>
  <c r="A1243" i="19"/>
  <c r="P1242" i="19"/>
  <c r="H1242" i="19"/>
  <c r="A1241" i="19"/>
  <c r="H1240" i="19"/>
  <c r="P1239" i="19"/>
  <c r="A1239" i="19"/>
  <c r="H1238" i="19"/>
  <c r="P1237" i="19"/>
  <c r="A1237" i="19"/>
  <c r="L1225" i="19"/>
  <c r="K1225" i="19"/>
  <c r="J1225" i="19"/>
  <c r="D1225" i="19"/>
  <c r="C1225" i="19"/>
  <c r="B1225" i="19"/>
  <c r="L1224" i="19"/>
  <c r="K1224" i="19"/>
  <c r="D1224" i="19"/>
  <c r="C1224" i="19"/>
  <c r="L1223" i="19"/>
  <c r="K1223" i="19"/>
  <c r="D1223" i="19"/>
  <c r="C1223" i="19"/>
  <c r="L1222" i="19"/>
  <c r="K1222" i="19"/>
  <c r="D1222" i="19"/>
  <c r="C1222" i="19"/>
  <c r="L1221" i="19"/>
  <c r="K1221" i="19"/>
  <c r="J1221" i="19"/>
  <c r="D1221" i="19"/>
  <c r="C1221" i="19"/>
  <c r="B1221" i="19"/>
  <c r="L1220" i="19"/>
  <c r="K1220" i="19"/>
  <c r="J1220" i="19"/>
  <c r="D1220" i="19"/>
  <c r="C1220" i="19"/>
  <c r="B1220" i="19"/>
  <c r="N1212" i="19"/>
  <c r="F1212" i="19"/>
  <c r="P1211" i="19"/>
  <c r="N1211" i="19"/>
  <c r="F1211" i="19"/>
  <c r="N1210" i="19"/>
  <c r="F1210" i="19"/>
  <c r="H1209" i="19"/>
  <c r="P1207" i="19"/>
  <c r="I1206" i="19"/>
  <c r="H1205" i="19"/>
  <c r="I1204" i="19"/>
  <c r="H1203" i="19"/>
  <c r="I1202" i="19"/>
  <c r="A1202" i="19"/>
  <c r="H1201" i="19"/>
  <c r="P1200" i="19"/>
  <c r="I1200" i="19"/>
  <c r="A1200" i="19"/>
  <c r="H1199" i="19"/>
  <c r="P1198" i="19"/>
  <c r="A1198" i="19"/>
  <c r="L1186" i="19"/>
  <c r="K1186" i="19"/>
  <c r="J1186" i="19"/>
  <c r="D1186" i="19"/>
  <c r="C1186" i="19"/>
  <c r="B1186" i="19"/>
  <c r="L1185" i="19"/>
  <c r="K1185" i="19"/>
  <c r="D1185" i="19"/>
  <c r="C1185" i="19"/>
  <c r="L1184" i="19"/>
  <c r="K1184" i="19"/>
  <c r="J1184" i="19"/>
  <c r="D1184" i="19"/>
  <c r="C1184" i="19"/>
  <c r="L1183" i="19"/>
  <c r="K1183" i="19"/>
  <c r="D1183" i="19"/>
  <c r="C1183" i="19"/>
  <c r="L1182" i="19"/>
  <c r="K1182" i="19"/>
  <c r="J1182" i="19"/>
  <c r="D1182" i="19"/>
  <c r="C1182" i="19"/>
  <c r="B1182" i="19"/>
  <c r="L1181" i="19"/>
  <c r="K1181" i="19"/>
  <c r="J1181" i="19"/>
  <c r="D1181" i="19"/>
  <c r="C1181" i="19"/>
  <c r="B1181" i="19"/>
  <c r="N1173" i="19"/>
  <c r="F1173" i="19"/>
  <c r="N1172" i="19"/>
  <c r="F1172" i="19"/>
  <c r="N1171" i="19"/>
  <c r="F1171" i="19"/>
  <c r="H1170" i="19"/>
  <c r="P1169" i="19"/>
  <c r="I1169" i="19"/>
  <c r="H1168" i="19"/>
  <c r="P1167" i="19"/>
  <c r="I1167" i="19"/>
  <c r="P1165" i="19"/>
  <c r="I1165" i="19"/>
  <c r="P1164" i="19"/>
  <c r="H1164" i="19"/>
  <c r="I1163" i="19"/>
  <c r="A1163" i="19"/>
  <c r="H1162" i="19"/>
  <c r="P1161" i="19"/>
  <c r="A1161" i="19"/>
  <c r="L1149" i="19"/>
  <c r="K1149" i="19"/>
  <c r="J1149" i="19"/>
  <c r="D1149" i="19"/>
  <c r="C1149" i="19"/>
  <c r="B1149" i="19"/>
  <c r="L1148" i="19"/>
  <c r="K1148" i="19"/>
  <c r="D1148" i="19"/>
  <c r="C1148" i="19"/>
  <c r="L1147" i="19"/>
  <c r="K1147" i="19"/>
  <c r="D1147" i="19"/>
  <c r="C1147" i="19"/>
  <c r="L1146" i="19"/>
  <c r="K1146" i="19"/>
  <c r="D1146" i="19"/>
  <c r="C1146" i="19"/>
  <c r="L1145" i="19"/>
  <c r="K1145" i="19"/>
  <c r="J1145" i="19"/>
  <c r="D1145" i="19"/>
  <c r="C1145" i="19"/>
  <c r="B1145" i="19"/>
  <c r="L1144" i="19"/>
  <c r="K1144" i="19"/>
  <c r="J1144" i="19"/>
  <c r="D1144" i="19"/>
  <c r="C1144" i="19"/>
  <c r="B1144" i="19"/>
  <c r="N1136" i="19"/>
  <c r="F1136" i="19"/>
  <c r="N1135" i="19"/>
  <c r="F1135" i="19"/>
  <c r="N1134" i="19"/>
  <c r="F1134" i="19"/>
  <c r="P1133" i="19"/>
  <c r="H1133" i="19"/>
  <c r="I1132" i="19"/>
  <c r="P1131" i="19"/>
  <c r="H1131" i="19"/>
  <c r="I1130" i="19"/>
  <c r="P1129" i="19"/>
  <c r="I1128" i="19"/>
  <c r="H1127" i="19"/>
  <c r="I1126" i="19"/>
  <c r="P1125" i="19"/>
  <c r="H1125" i="19"/>
  <c r="P1124" i="19"/>
  <c r="L1112" i="19"/>
  <c r="K1112" i="19"/>
  <c r="J1112" i="19"/>
  <c r="D1112" i="19"/>
  <c r="C1112" i="19"/>
  <c r="B1112" i="19"/>
  <c r="L1111" i="19"/>
  <c r="K1111" i="19"/>
  <c r="D1111" i="19"/>
  <c r="C1111" i="19"/>
  <c r="L1110" i="19"/>
  <c r="K1110" i="19"/>
  <c r="J1110" i="19"/>
  <c r="D1110" i="19"/>
  <c r="C1110" i="19"/>
  <c r="L1109" i="19"/>
  <c r="K1109" i="19"/>
  <c r="D1109" i="19"/>
  <c r="C1109" i="19"/>
  <c r="L1108" i="19"/>
  <c r="K1108" i="19"/>
  <c r="J1108" i="19"/>
  <c r="D1108" i="19"/>
  <c r="C1108" i="19"/>
  <c r="B1108" i="19"/>
  <c r="L1107" i="19"/>
  <c r="K1107" i="19"/>
  <c r="J1107" i="19"/>
  <c r="D1107" i="19"/>
  <c r="C1107" i="19"/>
  <c r="B1107" i="19"/>
  <c r="N1099" i="19"/>
  <c r="F1099" i="19"/>
  <c r="N1098" i="19"/>
  <c r="F1098" i="19"/>
  <c r="N1097" i="19"/>
  <c r="F1097" i="19"/>
  <c r="P1096" i="19"/>
  <c r="H1096" i="19"/>
  <c r="A1095" i="19"/>
  <c r="P1094" i="19"/>
  <c r="H1094" i="19"/>
  <c r="I1093" i="19"/>
  <c r="A1093" i="19"/>
  <c r="P1092" i="19"/>
  <c r="H1092" i="19"/>
  <c r="I1091" i="19"/>
  <c r="A1091" i="19"/>
  <c r="P1090" i="19"/>
  <c r="H1090" i="19"/>
  <c r="I1089" i="19"/>
  <c r="A1089" i="19"/>
  <c r="P1088" i="19"/>
  <c r="H1088" i="19"/>
  <c r="A1087" i="19"/>
  <c r="L1075" i="19"/>
  <c r="K1075" i="19"/>
  <c r="J1075" i="19"/>
  <c r="D1075" i="19"/>
  <c r="C1075" i="19"/>
  <c r="B1075" i="19"/>
  <c r="L1074" i="19"/>
  <c r="K1074" i="19"/>
  <c r="D1074" i="19"/>
  <c r="C1074" i="19"/>
  <c r="L1073" i="19"/>
  <c r="K1073" i="19"/>
  <c r="J1073" i="19"/>
  <c r="D1073" i="19"/>
  <c r="C1073" i="19"/>
  <c r="L1072" i="19"/>
  <c r="K1072" i="19"/>
  <c r="D1072" i="19"/>
  <c r="C1072" i="19"/>
  <c r="L1071" i="19"/>
  <c r="K1071" i="19"/>
  <c r="J1071" i="19"/>
  <c r="D1071" i="19"/>
  <c r="C1071" i="19"/>
  <c r="B1071" i="19"/>
  <c r="L1070" i="19"/>
  <c r="K1070" i="19"/>
  <c r="D1070" i="19"/>
  <c r="C1070" i="19"/>
  <c r="B1070" i="19"/>
  <c r="N1062" i="19"/>
  <c r="F1062" i="19"/>
  <c r="N1061" i="19"/>
  <c r="F1061" i="19"/>
  <c r="N1060" i="19"/>
  <c r="F1060" i="19"/>
  <c r="P1059" i="19"/>
  <c r="H1059" i="19"/>
  <c r="I1058" i="19"/>
  <c r="P1057" i="19"/>
  <c r="H1057" i="19"/>
  <c r="I1056" i="19"/>
  <c r="P1055" i="19"/>
  <c r="H1055" i="19"/>
  <c r="I1054" i="19"/>
  <c r="P1053" i="19"/>
  <c r="H1053" i="19"/>
  <c r="I1052" i="19"/>
  <c r="A1052" i="19"/>
  <c r="P1051" i="19"/>
  <c r="H1051" i="19"/>
  <c r="H1050" i="19"/>
  <c r="A1050" i="19"/>
  <c r="L1038" i="19"/>
  <c r="K1038" i="19"/>
  <c r="J1038" i="19"/>
  <c r="D1038" i="19"/>
  <c r="C1038" i="19"/>
  <c r="L1037" i="19"/>
  <c r="K1037" i="19"/>
  <c r="D1037" i="19"/>
  <c r="C1037" i="19"/>
  <c r="L1036" i="19"/>
  <c r="K1036" i="19"/>
  <c r="D1036" i="19"/>
  <c r="C1036" i="19"/>
  <c r="B1036" i="19"/>
  <c r="L1035" i="19"/>
  <c r="K1035" i="19"/>
  <c r="D1035" i="19"/>
  <c r="C1035" i="19"/>
  <c r="B1035" i="19"/>
  <c r="L1034" i="19"/>
  <c r="K1034" i="19"/>
  <c r="J1034" i="19"/>
  <c r="L1033" i="19"/>
  <c r="K1033" i="19"/>
  <c r="J1033" i="19"/>
  <c r="F1027" i="19"/>
  <c r="F1026" i="19"/>
  <c r="N1025" i="19"/>
  <c r="F1025" i="19"/>
  <c r="N1024" i="19"/>
  <c r="H1024" i="19"/>
  <c r="N1023" i="19"/>
  <c r="A1023" i="19"/>
  <c r="P1022" i="19"/>
  <c r="H1022" i="19"/>
  <c r="I1021" i="19"/>
  <c r="A1021" i="19"/>
  <c r="P1020" i="19"/>
  <c r="H1020" i="19"/>
  <c r="I1019" i="19"/>
  <c r="A1019" i="19"/>
  <c r="P1018" i="19"/>
  <c r="H1018" i="19"/>
  <c r="I1017" i="19"/>
  <c r="A1017" i="19"/>
  <c r="P1016" i="19"/>
  <c r="H1015" i="19"/>
  <c r="A1015" i="19"/>
  <c r="P1014" i="19"/>
  <c r="D1003" i="19"/>
  <c r="C1003" i="19"/>
  <c r="B1003" i="19"/>
  <c r="D1002" i="19"/>
  <c r="C1002" i="19"/>
  <c r="L1001" i="19"/>
  <c r="K1001" i="19"/>
  <c r="J1001" i="19"/>
  <c r="D1001" i="19"/>
  <c r="C1001" i="19"/>
  <c r="L1000" i="19"/>
  <c r="K1000" i="19"/>
  <c r="D1000" i="19"/>
  <c r="C1000" i="19"/>
  <c r="L999" i="19"/>
  <c r="K999" i="19"/>
  <c r="D999" i="19"/>
  <c r="C999" i="19"/>
  <c r="B999" i="19"/>
  <c r="L998" i="19"/>
  <c r="K998" i="19"/>
  <c r="D998" i="19"/>
  <c r="C998" i="19"/>
  <c r="B998" i="19"/>
  <c r="L997" i="19"/>
  <c r="K997" i="19"/>
  <c r="J997" i="19"/>
  <c r="L996" i="19"/>
  <c r="K996" i="19"/>
  <c r="J996" i="19"/>
  <c r="F990" i="19"/>
  <c r="F989" i="19"/>
  <c r="N988" i="19"/>
  <c r="F988" i="19"/>
  <c r="P987" i="19"/>
  <c r="N987" i="19"/>
  <c r="H987" i="19"/>
  <c r="N986" i="19"/>
  <c r="P985" i="19"/>
  <c r="H985" i="19"/>
  <c r="A984" i="19"/>
  <c r="P983" i="19"/>
  <c r="H983" i="19"/>
  <c r="I982" i="19"/>
  <c r="A982" i="19"/>
  <c r="P981" i="19"/>
  <c r="I980" i="19"/>
  <c r="P979" i="19"/>
  <c r="H979" i="19"/>
  <c r="I978" i="19"/>
  <c r="A978" i="19"/>
  <c r="P977" i="19"/>
  <c r="H977" i="19"/>
  <c r="I976" i="19"/>
  <c r="H976" i="19"/>
  <c r="A976" i="19"/>
  <c r="P975" i="19"/>
  <c r="D964" i="19"/>
  <c r="C964" i="19"/>
  <c r="B964" i="19"/>
  <c r="D963" i="19"/>
  <c r="C963" i="19"/>
  <c r="L962" i="19"/>
  <c r="K962" i="19"/>
  <c r="J962" i="19"/>
  <c r="D962" i="19"/>
  <c r="C962" i="19"/>
  <c r="B962" i="19"/>
  <c r="L961" i="19"/>
  <c r="K961" i="19"/>
  <c r="D961" i="19"/>
  <c r="C961" i="19"/>
  <c r="L960" i="19"/>
  <c r="K960" i="19"/>
  <c r="D960" i="19"/>
  <c r="C960" i="19"/>
  <c r="B960" i="19"/>
  <c r="L959" i="19"/>
  <c r="K959" i="19"/>
  <c r="D959" i="19"/>
  <c r="C959" i="19"/>
  <c r="B959" i="19"/>
  <c r="L958" i="19"/>
  <c r="K958" i="19"/>
  <c r="J958" i="19"/>
  <c r="L957" i="19"/>
  <c r="K957" i="19"/>
  <c r="J957" i="19"/>
  <c r="F951" i="19"/>
  <c r="F950" i="19"/>
  <c r="N949" i="19"/>
  <c r="F949" i="19"/>
  <c r="P948" i="19"/>
  <c r="N948" i="19"/>
  <c r="H948" i="19"/>
  <c r="N947" i="19"/>
  <c r="P946" i="19"/>
  <c r="H946" i="19"/>
  <c r="I945" i="19"/>
  <c r="P944" i="19"/>
  <c r="H944" i="19"/>
  <c r="I943" i="19"/>
  <c r="P942" i="19"/>
  <c r="I941" i="19"/>
  <c r="P940" i="19"/>
  <c r="H940" i="19"/>
  <c r="I939" i="19"/>
  <c r="P938" i="19"/>
  <c r="H938" i="19"/>
  <c r="I937" i="19"/>
  <c r="H937" i="19"/>
  <c r="A937" i="19"/>
  <c r="P936" i="19"/>
  <c r="D925" i="19"/>
  <c r="C925" i="19"/>
  <c r="B925" i="19"/>
  <c r="D924" i="19"/>
  <c r="C924" i="19"/>
  <c r="L923" i="19"/>
  <c r="K923" i="19"/>
  <c r="J923" i="19"/>
  <c r="D923" i="19"/>
  <c r="C923" i="19"/>
  <c r="B923" i="19"/>
  <c r="L922" i="19"/>
  <c r="K922" i="19"/>
  <c r="D922" i="19"/>
  <c r="C922" i="19"/>
  <c r="L921" i="19"/>
  <c r="K921" i="19"/>
  <c r="D921" i="19"/>
  <c r="C921" i="19"/>
  <c r="B921" i="19"/>
  <c r="L920" i="19"/>
  <c r="K920" i="19"/>
  <c r="D920" i="19"/>
  <c r="C920" i="19"/>
  <c r="B920" i="19"/>
  <c r="L919" i="19"/>
  <c r="K919" i="19"/>
  <c r="J919" i="19"/>
  <c r="L918" i="19"/>
  <c r="K918" i="19"/>
  <c r="J918" i="19"/>
  <c r="F912" i="19"/>
  <c r="F911" i="19"/>
  <c r="N910" i="19"/>
  <c r="F910" i="19"/>
  <c r="P909" i="19"/>
  <c r="N909" i="19"/>
  <c r="H909" i="19"/>
  <c r="N908" i="19"/>
  <c r="P907" i="19"/>
  <c r="H907" i="19"/>
  <c r="I906" i="19"/>
  <c r="P905" i="19"/>
  <c r="H905" i="19"/>
  <c r="I904" i="19"/>
  <c r="A904" i="19"/>
  <c r="P903" i="19"/>
  <c r="H903" i="19"/>
  <c r="I902" i="19"/>
  <c r="A902" i="19"/>
  <c r="P901" i="19"/>
  <c r="H901" i="19"/>
  <c r="I900" i="19"/>
  <c r="A900" i="19"/>
  <c r="P899" i="19"/>
  <c r="I898" i="19"/>
  <c r="D888" i="19"/>
  <c r="C888" i="19"/>
  <c r="B888" i="19"/>
  <c r="D887" i="19"/>
  <c r="C887" i="19"/>
  <c r="L886" i="19"/>
  <c r="K886" i="19"/>
  <c r="J886" i="19"/>
  <c r="D886" i="19"/>
  <c r="C886" i="19"/>
  <c r="B886" i="19"/>
  <c r="L885" i="19"/>
  <c r="K885" i="19"/>
  <c r="D885" i="19"/>
  <c r="C885" i="19"/>
  <c r="L884" i="19"/>
  <c r="K884" i="19"/>
  <c r="D884" i="19"/>
  <c r="C884" i="19"/>
  <c r="B884" i="19"/>
  <c r="L883" i="19"/>
  <c r="K883" i="19"/>
  <c r="D883" i="19"/>
  <c r="C883" i="19"/>
  <c r="B883" i="19"/>
  <c r="L882" i="19"/>
  <c r="K882" i="19"/>
  <c r="J882" i="19"/>
  <c r="L881" i="19"/>
  <c r="K881" i="19"/>
  <c r="J881" i="19"/>
  <c r="F875" i="19"/>
  <c r="F874" i="19"/>
  <c r="N873" i="19"/>
  <c r="F873" i="19"/>
  <c r="P872" i="19"/>
  <c r="N872" i="19"/>
  <c r="H872" i="19"/>
  <c r="N871" i="19"/>
  <c r="A871" i="19"/>
  <c r="P870" i="19"/>
  <c r="H870" i="19"/>
  <c r="I869" i="19"/>
  <c r="A869" i="19"/>
  <c r="P868" i="19"/>
  <c r="H868" i="19"/>
  <c r="I867" i="19"/>
  <c r="A867" i="19"/>
  <c r="P866" i="19"/>
  <c r="H866" i="19"/>
  <c r="I865" i="19"/>
  <c r="A865" i="19"/>
  <c r="P864" i="19"/>
  <c r="H864" i="19"/>
  <c r="I863" i="19"/>
  <c r="A863" i="19"/>
  <c r="P862" i="19"/>
  <c r="I861" i="19"/>
  <c r="D851" i="19"/>
  <c r="C851" i="19"/>
  <c r="B851" i="19"/>
  <c r="D850" i="19"/>
  <c r="C850" i="19"/>
  <c r="L849" i="19"/>
  <c r="K849" i="19"/>
  <c r="J849" i="19"/>
  <c r="D849" i="19"/>
  <c r="C849" i="19"/>
  <c r="L848" i="19"/>
  <c r="K848" i="19"/>
  <c r="D848" i="19"/>
  <c r="C848" i="19"/>
  <c r="L847" i="19"/>
  <c r="K847" i="19"/>
  <c r="D847" i="19"/>
  <c r="C847" i="19"/>
  <c r="B847" i="19"/>
  <c r="L846" i="19"/>
  <c r="K846" i="19"/>
  <c r="D846" i="19"/>
  <c r="C846" i="19"/>
  <c r="B846" i="19"/>
  <c r="L845" i="19"/>
  <c r="K845" i="19"/>
  <c r="J845" i="19"/>
  <c r="L844" i="19"/>
  <c r="K844" i="19"/>
  <c r="J844" i="19"/>
  <c r="F838" i="19"/>
  <c r="F837" i="19"/>
  <c r="N836" i="19"/>
  <c r="F836" i="19"/>
  <c r="P835" i="19"/>
  <c r="N835" i="19"/>
  <c r="H835" i="19"/>
  <c r="N834" i="19"/>
  <c r="A834" i="19"/>
  <c r="P833" i="19"/>
  <c r="H833" i="19"/>
  <c r="I832" i="19"/>
  <c r="A832" i="19"/>
  <c r="P831" i="19"/>
  <c r="H831" i="19"/>
  <c r="I830" i="19"/>
  <c r="A830" i="19"/>
  <c r="P829" i="19"/>
  <c r="H829" i="19"/>
  <c r="I828" i="19"/>
  <c r="A828" i="19"/>
  <c r="P827" i="19"/>
  <c r="H827" i="19"/>
  <c r="I826" i="19"/>
  <c r="A826" i="19"/>
  <c r="P825" i="19"/>
  <c r="D814" i="19"/>
  <c r="C814" i="19"/>
  <c r="B814" i="19"/>
  <c r="D813" i="19"/>
  <c r="C813" i="19"/>
  <c r="L812" i="19"/>
  <c r="K812" i="19"/>
  <c r="J812" i="19"/>
  <c r="D812" i="19"/>
  <c r="C812" i="19"/>
  <c r="B812" i="19"/>
  <c r="L811" i="19"/>
  <c r="K811" i="19"/>
  <c r="D811" i="19"/>
  <c r="C811" i="19"/>
  <c r="L810" i="19"/>
  <c r="K810" i="19"/>
  <c r="J810" i="19"/>
  <c r="D810" i="19"/>
  <c r="C810" i="19"/>
  <c r="B810" i="19"/>
  <c r="L809" i="19"/>
  <c r="K809" i="19"/>
  <c r="D809" i="19"/>
  <c r="C809" i="19"/>
  <c r="B809" i="19"/>
  <c r="L808" i="19"/>
  <c r="K808" i="19"/>
  <c r="L807" i="19"/>
  <c r="K807" i="19"/>
  <c r="J807" i="19"/>
  <c r="F801" i="19"/>
  <c r="F800" i="19"/>
  <c r="N799" i="19"/>
  <c r="F799" i="19"/>
  <c r="N798" i="19"/>
  <c r="H798" i="19"/>
  <c r="N797" i="19"/>
  <c r="P796" i="19"/>
  <c r="H796" i="19"/>
  <c r="P794" i="19"/>
  <c r="H794" i="19"/>
  <c r="A793" i="19"/>
  <c r="P792" i="19"/>
  <c r="H792" i="19"/>
  <c r="A791" i="19"/>
  <c r="P790" i="19"/>
  <c r="H790" i="19"/>
  <c r="A789" i="19"/>
  <c r="P788" i="19"/>
  <c r="P787" i="19"/>
  <c r="D777" i="19"/>
  <c r="C777" i="19"/>
  <c r="B777" i="19"/>
  <c r="D776" i="19"/>
  <c r="C776" i="19"/>
  <c r="L775" i="19"/>
  <c r="K775" i="19"/>
  <c r="J775" i="19"/>
  <c r="D775" i="19"/>
  <c r="C775" i="19"/>
  <c r="L774" i="19"/>
  <c r="K774" i="19"/>
  <c r="D774" i="19"/>
  <c r="C774" i="19"/>
  <c r="L773" i="19"/>
  <c r="K773" i="19"/>
  <c r="D773" i="19"/>
  <c r="C773" i="19"/>
  <c r="B773" i="19"/>
  <c r="L772" i="19"/>
  <c r="K772" i="19"/>
  <c r="D772" i="19"/>
  <c r="C772" i="19"/>
  <c r="B772" i="19"/>
  <c r="L771" i="19"/>
  <c r="K771" i="19"/>
  <c r="J771" i="19"/>
  <c r="L770" i="19"/>
  <c r="K770" i="19"/>
  <c r="J770" i="19"/>
  <c r="F764" i="19"/>
  <c r="F763" i="19"/>
  <c r="N762" i="19"/>
  <c r="F762" i="19"/>
  <c r="P761" i="19"/>
  <c r="N761" i="19"/>
  <c r="H761" i="19"/>
  <c r="N760" i="19"/>
  <c r="A760" i="19"/>
  <c r="P759" i="19"/>
  <c r="H759" i="19"/>
  <c r="A758" i="19"/>
  <c r="P757" i="19"/>
  <c r="H757" i="19"/>
  <c r="A756" i="19"/>
  <c r="P755" i="19"/>
  <c r="H755" i="19"/>
  <c r="A754" i="19"/>
  <c r="P753" i="19"/>
  <c r="H753" i="19"/>
  <c r="A752" i="19"/>
  <c r="P751" i="19"/>
  <c r="D740" i="19"/>
  <c r="C740" i="19"/>
  <c r="B740" i="19"/>
  <c r="D739" i="19"/>
  <c r="C739" i="19"/>
  <c r="L738" i="19"/>
  <c r="K738" i="19"/>
  <c r="J738" i="19"/>
  <c r="D738" i="19"/>
  <c r="C738" i="19"/>
  <c r="B738" i="19"/>
  <c r="L737" i="19"/>
  <c r="K737" i="19"/>
  <c r="D737" i="19"/>
  <c r="C737" i="19"/>
  <c r="L736" i="19"/>
  <c r="K736" i="19"/>
  <c r="J736" i="19"/>
  <c r="D736" i="19"/>
  <c r="C736" i="19"/>
  <c r="B736" i="19"/>
  <c r="L735" i="19"/>
  <c r="K735" i="19"/>
  <c r="D735" i="19"/>
  <c r="C735" i="19"/>
  <c r="B735" i="19"/>
  <c r="L734" i="19"/>
  <c r="K734" i="19"/>
  <c r="J734" i="19"/>
  <c r="L733" i="19"/>
  <c r="K733" i="19"/>
  <c r="J733" i="19"/>
  <c r="F727" i="19"/>
  <c r="F726" i="19"/>
  <c r="N725" i="19"/>
  <c r="F725" i="19"/>
  <c r="N724" i="19"/>
  <c r="H724" i="19"/>
  <c r="N723" i="19"/>
  <c r="A723" i="19"/>
  <c r="P722" i="19"/>
  <c r="H721" i="19"/>
  <c r="A721" i="19"/>
  <c r="P720" i="19"/>
  <c r="H720" i="19"/>
  <c r="A719" i="19"/>
  <c r="P718" i="19"/>
  <c r="H718" i="19"/>
  <c r="A717" i="19"/>
  <c r="P716" i="19"/>
  <c r="H716" i="19"/>
  <c r="A715" i="19"/>
  <c r="P714" i="19"/>
  <c r="H714" i="19"/>
  <c r="A713" i="19"/>
  <c r="L701" i="19"/>
  <c r="K701" i="19"/>
  <c r="J701" i="19"/>
  <c r="D701" i="19"/>
  <c r="C701" i="19"/>
  <c r="B701" i="19"/>
  <c r="L700" i="19"/>
  <c r="K700" i="19"/>
  <c r="D700" i="19"/>
  <c r="C700" i="19"/>
  <c r="L699" i="19"/>
  <c r="K699" i="19"/>
  <c r="D699" i="19"/>
  <c r="C699" i="19"/>
  <c r="L698" i="19"/>
  <c r="K698" i="19"/>
  <c r="D698" i="19"/>
  <c r="C698" i="19"/>
  <c r="L697" i="19"/>
  <c r="K697" i="19"/>
  <c r="J697" i="19"/>
  <c r="D697" i="19"/>
  <c r="C697" i="19"/>
  <c r="B697" i="19"/>
  <c r="L696" i="19"/>
  <c r="K696" i="19"/>
  <c r="J696" i="19"/>
  <c r="D696" i="19"/>
  <c r="C696" i="19"/>
  <c r="B696" i="19"/>
  <c r="N688" i="19"/>
  <c r="F688" i="19"/>
  <c r="P687" i="19"/>
  <c r="N687" i="19"/>
  <c r="F687" i="19"/>
  <c r="N686" i="19"/>
  <c r="F686" i="19"/>
  <c r="P685" i="19"/>
  <c r="H685" i="19"/>
  <c r="A684" i="19"/>
  <c r="P683" i="19"/>
  <c r="P681" i="19"/>
  <c r="H681" i="19"/>
  <c r="A680" i="19"/>
  <c r="P679" i="19"/>
  <c r="H679" i="19"/>
  <c r="A678" i="19"/>
  <c r="P677" i="19"/>
  <c r="H677" i="19"/>
  <c r="A676" i="19"/>
  <c r="P675" i="19"/>
  <c r="H675" i="19"/>
  <c r="A674" i="19"/>
  <c r="L662" i="19"/>
  <c r="K662" i="19"/>
  <c r="J662" i="19"/>
  <c r="D662" i="19"/>
  <c r="C662" i="19"/>
  <c r="B662" i="19"/>
  <c r="L661" i="19"/>
  <c r="K661" i="19"/>
  <c r="D661" i="19"/>
  <c r="C661" i="19"/>
  <c r="L660" i="19"/>
  <c r="K660" i="19"/>
  <c r="J660" i="19"/>
  <c r="D660" i="19"/>
  <c r="C660" i="19"/>
  <c r="B660" i="19"/>
  <c r="L659" i="19"/>
  <c r="K659" i="19"/>
  <c r="D659" i="19"/>
  <c r="C659" i="19"/>
  <c r="L658" i="19"/>
  <c r="K658" i="19"/>
  <c r="J658" i="19"/>
  <c r="D658" i="19"/>
  <c r="C658" i="19"/>
  <c r="B658" i="19"/>
  <c r="L657" i="19"/>
  <c r="K657" i="19"/>
  <c r="J657" i="19"/>
  <c r="D657" i="19"/>
  <c r="C657" i="19"/>
  <c r="B657" i="19"/>
  <c r="N649" i="19"/>
  <c r="F649" i="19"/>
  <c r="P648" i="19"/>
  <c r="N648" i="19"/>
  <c r="F648" i="19"/>
  <c r="N647" i="19"/>
  <c r="F647" i="19"/>
  <c r="P646" i="19"/>
  <c r="H646" i="19"/>
  <c r="P644" i="19"/>
  <c r="H644" i="19"/>
  <c r="P642" i="19"/>
  <c r="H642" i="19"/>
  <c r="P640" i="19"/>
  <c r="H640" i="19"/>
  <c r="A639" i="19"/>
  <c r="P638" i="19"/>
  <c r="H638" i="19"/>
  <c r="A637" i="19"/>
  <c r="L625" i="19"/>
  <c r="K625" i="19"/>
  <c r="J625" i="19"/>
  <c r="D625" i="19"/>
  <c r="C625" i="19"/>
  <c r="B625" i="19"/>
  <c r="L624" i="19"/>
  <c r="K624" i="19"/>
  <c r="D624" i="19"/>
  <c r="C624" i="19"/>
  <c r="L623" i="19"/>
  <c r="J623" i="19"/>
  <c r="D623" i="19"/>
  <c r="C623" i="19"/>
  <c r="L622" i="19"/>
  <c r="K622" i="19"/>
  <c r="D622" i="19"/>
  <c r="C622" i="19"/>
  <c r="L621" i="19"/>
  <c r="K621" i="19"/>
  <c r="D621" i="19"/>
  <c r="C621" i="19"/>
  <c r="B621" i="19"/>
  <c r="L620" i="19"/>
  <c r="K620" i="19"/>
  <c r="D620" i="19"/>
  <c r="C620" i="19"/>
  <c r="B620" i="19"/>
  <c r="N612" i="19"/>
  <c r="F612" i="19"/>
  <c r="F611" i="19"/>
  <c r="N610" i="19"/>
  <c r="F610" i="19"/>
  <c r="P609" i="19"/>
  <c r="H609" i="19"/>
  <c r="A608" i="19"/>
  <c r="P607" i="19"/>
  <c r="H607" i="19"/>
  <c r="A606" i="19"/>
  <c r="H605" i="19"/>
  <c r="A604" i="19"/>
  <c r="P603" i="19"/>
  <c r="H603" i="19"/>
  <c r="A602" i="19"/>
  <c r="P601" i="19"/>
  <c r="H601" i="19"/>
  <c r="A600" i="19"/>
  <c r="L588" i="19"/>
  <c r="K588" i="19"/>
  <c r="J588" i="19"/>
  <c r="D588" i="19"/>
  <c r="C588" i="19"/>
  <c r="B588" i="19"/>
  <c r="L587" i="19"/>
  <c r="K587" i="19"/>
  <c r="D587" i="19"/>
  <c r="C587" i="19"/>
  <c r="L586" i="19"/>
  <c r="K586" i="19"/>
  <c r="J586" i="19"/>
  <c r="D586" i="19"/>
  <c r="C586" i="19"/>
  <c r="L585" i="19"/>
  <c r="K585" i="19"/>
  <c r="D585" i="19"/>
  <c r="C585" i="19"/>
  <c r="L584" i="19"/>
  <c r="K584" i="19"/>
  <c r="D584" i="19"/>
  <c r="C584" i="19"/>
  <c r="B584" i="19"/>
  <c r="L583" i="19"/>
  <c r="K583" i="19"/>
  <c r="D583" i="19"/>
  <c r="C583" i="19"/>
  <c r="B583" i="19"/>
  <c r="N575" i="19"/>
  <c r="F575" i="19"/>
  <c r="N574" i="19"/>
  <c r="F574" i="19"/>
  <c r="N573" i="19"/>
  <c r="F573" i="19"/>
  <c r="P572" i="19"/>
  <c r="H572" i="19"/>
  <c r="P570" i="19"/>
  <c r="H570" i="19"/>
  <c r="A569" i="19"/>
  <c r="P568" i="19"/>
  <c r="H568" i="19"/>
  <c r="A567" i="19"/>
  <c r="P566" i="19"/>
  <c r="H566" i="19"/>
  <c r="A565" i="19"/>
  <c r="P564" i="19"/>
  <c r="H564" i="19"/>
  <c r="A563" i="19"/>
  <c r="L551" i="19"/>
  <c r="K551" i="19"/>
  <c r="J551" i="19"/>
  <c r="D551" i="19"/>
  <c r="C551" i="19"/>
  <c r="B551" i="19"/>
  <c r="L550" i="19"/>
  <c r="K550" i="19"/>
  <c r="D550" i="19"/>
  <c r="C550" i="19"/>
  <c r="L549" i="19"/>
  <c r="K549" i="19"/>
  <c r="J549" i="19"/>
  <c r="D549" i="19"/>
  <c r="C549" i="19"/>
  <c r="L548" i="19"/>
  <c r="K548" i="19"/>
  <c r="D548" i="19"/>
  <c r="C548" i="19"/>
  <c r="L547" i="19"/>
  <c r="K547" i="19"/>
  <c r="D547" i="19"/>
  <c r="C547" i="19"/>
  <c r="B547" i="19"/>
  <c r="L546" i="19"/>
  <c r="K546" i="19"/>
  <c r="D546" i="19"/>
  <c r="C546" i="19"/>
  <c r="B546" i="19"/>
  <c r="N538" i="19"/>
  <c r="F538" i="19"/>
  <c r="N537" i="19"/>
  <c r="F537" i="19"/>
  <c r="N536" i="19"/>
  <c r="F536" i="19"/>
  <c r="P535" i="19"/>
  <c r="H535" i="19"/>
  <c r="A534" i="19"/>
  <c r="P533" i="19"/>
  <c r="H533" i="19"/>
  <c r="A532" i="19"/>
  <c r="P531" i="19"/>
  <c r="H531" i="19"/>
  <c r="A530" i="19"/>
  <c r="P529" i="19"/>
  <c r="H529" i="19"/>
  <c r="A528" i="19"/>
  <c r="P527" i="19"/>
  <c r="H527" i="19"/>
  <c r="A526" i="19"/>
  <c r="L514" i="19"/>
  <c r="K514" i="19"/>
  <c r="J514" i="19"/>
  <c r="D514" i="19"/>
  <c r="C514" i="19"/>
  <c r="B514" i="19"/>
  <c r="L513" i="19"/>
  <c r="K513" i="19"/>
  <c r="D513" i="19"/>
  <c r="C513" i="19"/>
  <c r="L512" i="19"/>
  <c r="K512" i="19"/>
  <c r="J512" i="19"/>
  <c r="D512" i="19"/>
  <c r="C512" i="19"/>
  <c r="L511" i="19"/>
  <c r="K511" i="19"/>
  <c r="D511" i="19"/>
  <c r="C511" i="19"/>
  <c r="L510" i="19"/>
  <c r="K510" i="19"/>
  <c r="D510" i="19"/>
  <c r="C510" i="19"/>
  <c r="B510" i="19"/>
  <c r="L509" i="19"/>
  <c r="K509" i="19"/>
  <c r="D509" i="19"/>
  <c r="C509" i="19"/>
  <c r="B509" i="19"/>
  <c r="N501" i="19"/>
  <c r="F501" i="19"/>
  <c r="N500" i="19"/>
  <c r="F500" i="19"/>
  <c r="N499" i="19"/>
  <c r="F499" i="19"/>
  <c r="P498" i="19"/>
  <c r="H498" i="19"/>
  <c r="P496" i="19"/>
  <c r="H496" i="19"/>
  <c r="P494" i="19"/>
  <c r="H494" i="19"/>
  <c r="A493" i="19"/>
  <c r="P492" i="19"/>
  <c r="H492" i="19"/>
  <c r="A491" i="19"/>
  <c r="P490" i="19"/>
  <c r="H490" i="19"/>
  <c r="A489" i="19"/>
  <c r="L477" i="19"/>
  <c r="K477" i="19"/>
  <c r="J477" i="19"/>
  <c r="D477" i="19"/>
  <c r="C477" i="19"/>
  <c r="B477" i="19"/>
  <c r="L476" i="19"/>
  <c r="K476" i="19"/>
  <c r="D476" i="19"/>
  <c r="C476" i="19"/>
  <c r="L475" i="19"/>
  <c r="K475" i="19"/>
  <c r="J475" i="19"/>
  <c r="D475" i="19"/>
  <c r="C475" i="19"/>
  <c r="L474" i="19"/>
  <c r="K474" i="19"/>
  <c r="D474" i="19"/>
  <c r="C474" i="19"/>
  <c r="L473" i="19"/>
  <c r="K473" i="19"/>
  <c r="J473" i="19"/>
  <c r="D473" i="19"/>
  <c r="C473" i="19"/>
  <c r="B473" i="19"/>
  <c r="L472" i="19"/>
  <c r="K472" i="19"/>
  <c r="D472" i="19"/>
  <c r="C472" i="19"/>
  <c r="B472" i="19"/>
  <c r="N464" i="19"/>
  <c r="F464" i="19"/>
  <c r="N463" i="19"/>
  <c r="F463" i="19"/>
  <c r="N462" i="19"/>
  <c r="F462" i="19"/>
  <c r="P461" i="19"/>
  <c r="H461" i="19"/>
  <c r="P460" i="19"/>
  <c r="A460" i="19"/>
  <c r="P459" i="19"/>
  <c r="H459" i="19"/>
  <c r="P458" i="19"/>
  <c r="A458" i="19"/>
  <c r="P457" i="19"/>
  <c r="H457" i="19"/>
  <c r="A456" i="19"/>
  <c r="P455" i="19"/>
  <c r="H455" i="19"/>
  <c r="A454" i="19"/>
  <c r="P453" i="19"/>
  <c r="H453" i="19"/>
  <c r="A452" i="19"/>
  <c r="L440" i="19"/>
  <c r="K440" i="19"/>
  <c r="J440" i="19"/>
  <c r="D440" i="19"/>
  <c r="C440" i="19"/>
  <c r="B440" i="19"/>
  <c r="L439" i="19"/>
  <c r="K439" i="19"/>
  <c r="D439" i="19"/>
  <c r="C439" i="19"/>
  <c r="L438" i="19"/>
  <c r="K438" i="19"/>
  <c r="J438" i="19"/>
  <c r="D438" i="19"/>
  <c r="C438" i="19"/>
  <c r="L437" i="19"/>
  <c r="K437" i="19"/>
  <c r="D437" i="19"/>
  <c r="C437" i="19"/>
  <c r="L436" i="19"/>
  <c r="K436" i="19"/>
  <c r="J436" i="19"/>
  <c r="D436" i="19"/>
  <c r="C436" i="19"/>
  <c r="B436" i="19"/>
  <c r="L435" i="19"/>
  <c r="K435" i="19"/>
  <c r="D435" i="19"/>
  <c r="C435" i="19"/>
  <c r="B435" i="19"/>
  <c r="N427" i="19"/>
  <c r="F427" i="19"/>
  <c r="N426" i="19"/>
  <c r="F426" i="19"/>
  <c r="N425" i="19"/>
  <c r="F425" i="19"/>
  <c r="P424" i="19"/>
  <c r="H424" i="19"/>
  <c r="P423" i="19"/>
  <c r="P422" i="19"/>
  <c r="H422" i="19"/>
  <c r="P421" i="19"/>
  <c r="P420" i="19"/>
  <c r="H420" i="19"/>
  <c r="P419" i="19"/>
  <c r="A419" i="19"/>
  <c r="P418" i="19"/>
  <c r="H418" i="19"/>
  <c r="P417" i="19"/>
  <c r="A417" i="19"/>
  <c r="P416" i="19"/>
  <c r="P415" i="19"/>
  <c r="A415" i="19"/>
  <c r="L403" i="19"/>
  <c r="K403" i="19"/>
  <c r="J403" i="19"/>
  <c r="D403" i="19"/>
  <c r="C403" i="19"/>
  <c r="B403" i="19"/>
  <c r="L402" i="19"/>
  <c r="K402" i="19"/>
  <c r="D402" i="19"/>
  <c r="C402" i="19"/>
  <c r="L401" i="19"/>
  <c r="K401" i="19"/>
  <c r="J401" i="19"/>
  <c r="D401" i="19"/>
  <c r="C401" i="19"/>
  <c r="L400" i="19"/>
  <c r="K400" i="19"/>
  <c r="D400" i="19"/>
  <c r="C400" i="19"/>
  <c r="L399" i="19"/>
  <c r="K399" i="19"/>
  <c r="D399" i="19"/>
  <c r="C399" i="19"/>
  <c r="B399" i="19"/>
  <c r="L398" i="19"/>
  <c r="K398" i="19"/>
  <c r="J398" i="19"/>
  <c r="D398" i="19"/>
  <c r="C398" i="19"/>
  <c r="B398" i="19"/>
  <c r="N390" i="19"/>
  <c r="F390" i="19"/>
  <c r="N389" i="19"/>
  <c r="F389" i="19"/>
  <c r="N388" i="19"/>
  <c r="F388" i="19"/>
  <c r="P387" i="19"/>
  <c r="H387" i="19"/>
  <c r="A386" i="19"/>
  <c r="P385" i="19"/>
  <c r="H385" i="19"/>
  <c r="A384" i="19"/>
  <c r="P383" i="19"/>
  <c r="H383" i="19"/>
  <c r="A382" i="19"/>
  <c r="P381" i="19"/>
  <c r="H381" i="19"/>
  <c r="A380" i="19"/>
  <c r="P379" i="19"/>
  <c r="H379" i="19"/>
  <c r="A378" i="19"/>
  <c r="L366" i="19"/>
  <c r="K366" i="19"/>
  <c r="J366" i="19"/>
  <c r="D366" i="19"/>
  <c r="C366" i="19"/>
  <c r="B366" i="19"/>
  <c r="L365" i="19"/>
  <c r="K365" i="19"/>
  <c r="D365" i="19"/>
  <c r="C365" i="19"/>
  <c r="L364" i="19"/>
  <c r="K364" i="19"/>
  <c r="J364" i="19"/>
  <c r="D364" i="19"/>
  <c r="C364" i="19"/>
  <c r="B364" i="19"/>
  <c r="L363" i="19"/>
  <c r="K363" i="19"/>
  <c r="D363" i="19"/>
  <c r="C363" i="19"/>
  <c r="L362" i="19"/>
  <c r="K362" i="19"/>
  <c r="D362" i="19"/>
  <c r="C362" i="19"/>
  <c r="L361" i="19"/>
  <c r="K361" i="19"/>
  <c r="J361" i="19"/>
  <c r="D361" i="19"/>
  <c r="C361" i="19"/>
  <c r="B361" i="19"/>
  <c r="N353" i="19"/>
  <c r="F353" i="19"/>
  <c r="N352" i="19"/>
  <c r="F352" i="19"/>
  <c r="N351" i="19"/>
  <c r="F351" i="19"/>
  <c r="P350" i="19"/>
  <c r="H350" i="19"/>
  <c r="A349" i="19"/>
  <c r="P348" i="19"/>
  <c r="H348" i="19"/>
  <c r="A347" i="19"/>
  <c r="P346" i="19"/>
  <c r="H346" i="19"/>
  <c r="A345" i="19"/>
  <c r="P344" i="19"/>
  <c r="H344" i="19"/>
  <c r="A343" i="19"/>
  <c r="P342" i="19"/>
  <c r="H342" i="19"/>
  <c r="A341" i="19"/>
  <c r="L329" i="19"/>
  <c r="K329" i="19"/>
  <c r="J329" i="19"/>
  <c r="D329" i="19"/>
  <c r="C329" i="19"/>
  <c r="B329" i="19"/>
  <c r="L328" i="19"/>
  <c r="K328" i="19"/>
  <c r="D328" i="19"/>
  <c r="C328" i="19"/>
  <c r="L327" i="19"/>
  <c r="K327" i="19"/>
  <c r="J327" i="19"/>
  <c r="D327" i="19"/>
  <c r="C327" i="19"/>
  <c r="L326" i="19"/>
  <c r="D326" i="19"/>
  <c r="C326" i="19"/>
  <c r="L325" i="19"/>
  <c r="K325" i="19"/>
  <c r="D325" i="19"/>
  <c r="C325" i="19"/>
  <c r="B325" i="19"/>
  <c r="L324" i="19"/>
  <c r="K324" i="19"/>
  <c r="J324" i="19"/>
  <c r="D324" i="19"/>
  <c r="C324" i="19"/>
  <c r="B324" i="19"/>
  <c r="N316" i="19"/>
  <c r="F316" i="19"/>
  <c r="N315" i="19"/>
  <c r="F315" i="19"/>
  <c r="N314" i="19"/>
  <c r="F314" i="19"/>
  <c r="P313" i="19"/>
  <c r="H313" i="19"/>
  <c r="A312" i="19"/>
  <c r="P311" i="19"/>
  <c r="H311" i="19"/>
  <c r="A310" i="19"/>
  <c r="P309" i="19"/>
  <c r="H309" i="19"/>
  <c r="A308" i="19"/>
  <c r="P307" i="19"/>
  <c r="H307" i="19"/>
  <c r="A306" i="19"/>
  <c r="P305" i="19"/>
  <c r="H305" i="19"/>
  <c r="A304" i="19"/>
  <c r="L292" i="19"/>
  <c r="K292" i="19"/>
  <c r="J292" i="19"/>
  <c r="D292" i="19"/>
  <c r="C292" i="19"/>
  <c r="B292" i="19"/>
  <c r="L291" i="19"/>
  <c r="K291" i="19"/>
  <c r="D291" i="19"/>
  <c r="C291" i="19"/>
  <c r="L290" i="19"/>
  <c r="K290" i="19"/>
  <c r="J290" i="19"/>
  <c r="D290" i="19"/>
  <c r="C290" i="19"/>
  <c r="L289" i="19"/>
  <c r="K289" i="19"/>
  <c r="D289" i="19"/>
  <c r="C289" i="19"/>
  <c r="L288" i="19"/>
  <c r="K288" i="19"/>
  <c r="D288" i="19"/>
  <c r="C288" i="19"/>
  <c r="B288" i="19"/>
  <c r="L287" i="19"/>
  <c r="K287" i="19"/>
  <c r="J287" i="19"/>
  <c r="D287" i="19"/>
  <c r="C287" i="19"/>
  <c r="B287" i="19"/>
  <c r="N279" i="19"/>
  <c r="F279" i="19"/>
  <c r="N278" i="19"/>
  <c r="F278" i="19"/>
  <c r="N277" i="19"/>
  <c r="F277" i="19"/>
  <c r="P276" i="19"/>
  <c r="H276" i="19"/>
  <c r="A275" i="19"/>
  <c r="P274" i="19"/>
  <c r="H274" i="19"/>
  <c r="A273" i="19"/>
  <c r="P272" i="19"/>
  <c r="H272" i="19"/>
  <c r="A271" i="19"/>
  <c r="P270" i="19"/>
  <c r="H270" i="19"/>
  <c r="A269" i="19"/>
  <c r="P268" i="19"/>
  <c r="H268" i="19"/>
  <c r="A267" i="19"/>
  <c r="L255" i="19"/>
  <c r="K255" i="19"/>
  <c r="J255" i="19"/>
  <c r="D255" i="19"/>
  <c r="C255" i="19"/>
  <c r="B255" i="19"/>
  <c r="L254" i="19"/>
  <c r="K254" i="19"/>
  <c r="D254" i="19"/>
  <c r="C254" i="19"/>
  <c r="L253" i="19"/>
  <c r="K253" i="19"/>
  <c r="J253" i="19"/>
  <c r="D253" i="19"/>
  <c r="C253" i="19"/>
  <c r="L252" i="19"/>
  <c r="K252" i="19"/>
  <c r="D252" i="19"/>
  <c r="C252" i="19"/>
  <c r="L251" i="19"/>
  <c r="K251" i="19"/>
  <c r="D251" i="19"/>
  <c r="C251" i="19"/>
  <c r="L250" i="19"/>
  <c r="K250" i="19"/>
  <c r="J250" i="19"/>
  <c r="D250" i="19"/>
  <c r="C250" i="19"/>
  <c r="B250" i="19"/>
  <c r="N242" i="19"/>
  <c r="F242" i="19"/>
  <c r="N241" i="19"/>
  <c r="F241" i="19"/>
  <c r="N240" i="19"/>
  <c r="F240" i="19"/>
  <c r="P239" i="19"/>
  <c r="H239" i="19"/>
  <c r="P237" i="19"/>
  <c r="H237" i="19"/>
  <c r="P235" i="19"/>
  <c r="H235" i="19"/>
  <c r="A234" i="19"/>
  <c r="P233" i="19"/>
  <c r="H232" i="19"/>
  <c r="A232" i="19"/>
  <c r="P231" i="19"/>
  <c r="H231" i="19"/>
  <c r="A230" i="19"/>
  <c r="L218" i="19"/>
  <c r="K218" i="19"/>
  <c r="J218" i="19"/>
  <c r="D218" i="19"/>
  <c r="C218" i="19"/>
  <c r="B218" i="19"/>
  <c r="L217" i="19"/>
  <c r="K217" i="19"/>
  <c r="D217" i="19"/>
  <c r="C217" i="19"/>
  <c r="L216" i="19"/>
  <c r="K216" i="19"/>
  <c r="J216" i="19"/>
  <c r="D216" i="19"/>
  <c r="C216" i="19"/>
  <c r="L215" i="19"/>
  <c r="K215" i="19"/>
  <c r="D215" i="19"/>
  <c r="C215" i="19"/>
  <c r="B215" i="19"/>
  <c r="L214" i="19"/>
  <c r="K214" i="19"/>
  <c r="D214" i="19"/>
  <c r="C214" i="19"/>
  <c r="L213" i="19"/>
  <c r="K213" i="19"/>
  <c r="D213" i="19"/>
  <c r="C213" i="19"/>
  <c r="B213" i="19"/>
  <c r="N205" i="19"/>
  <c r="F205" i="19"/>
  <c r="N204" i="19"/>
  <c r="F204" i="19"/>
  <c r="N203" i="19"/>
  <c r="F203" i="19"/>
  <c r="P202" i="19"/>
  <c r="H202" i="19"/>
  <c r="P200" i="19"/>
  <c r="H200" i="19"/>
  <c r="A199" i="19"/>
  <c r="P198" i="19"/>
  <c r="H198" i="19"/>
  <c r="A197" i="19"/>
  <c r="P196" i="19"/>
  <c r="A195" i="19"/>
  <c r="P194" i="19"/>
  <c r="H194" i="19"/>
  <c r="A193" i="19"/>
  <c r="L181" i="19"/>
  <c r="K181" i="19"/>
  <c r="J181" i="19"/>
  <c r="D181" i="19"/>
  <c r="C181" i="19"/>
  <c r="B181" i="19"/>
  <c r="L180" i="19"/>
  <c r="K180" i="19"/>
  <c r="D180" i="19"/>
  <c r="C180" i="19"/>
  <c r="L179" i="19"/>
  <c r="K179" i="19"/>
  <c r="J179" i="19"/>
  <c r="D179" i="19"/>
  <c r="C179" i="19"/>
  <c r="L178" i="19"/>
  <c r="K178" i="19"/>
  <c r="D178" i="19"/>
  <c r="C178" i="19"/>
  <c r="L177" i="19"/>
  <c r="K177" i="19"/>
  <c r="D177" i="19"/>
  <c r="C177" i="19"/>
  <c r="B177" i="19"/>
  <c r="L176" i="19"/>
  <c r="K176" i="19"/>
  <c r="J176" i="19"/>
  <c r="D176" i="19"/>
  <c r="C176" i="19"/>
  <c r="B176" i="19"/>
  <c r="N168" i="19"/>
  <c r="F168" i="19"/>
  <c r="N167" i="19"/>
  <c r="F167" i="19"/>
  <c r="N166" i="19"/>
  <c r="F166" i="19"/>
  <c r="P165" i="19"/>
  <c r="H165" i="19"/>
  <c r="A164" i="19"/>
  <c r="P163" i="19"/>
  <c r="H163" i="19"/>
  <c r="A162" i="19"/>
  <c r="P161" i="19"/>
  <c r="H161" i="19"/>
  <c r="A160" i="19"/>
  <c r="P159" i="19"/>
  <c r="H159" i="19"/>
  <c r="A158" i="19"/>
  <c r="P157" i="19"/>
  <c r="H157" i="19"/>
  <c r="A156" i="19"/>
  <c r="L144" i="19"/>
  <c r="K144" i="19"/>
  <c r="J144" i="19"/>
  <c r="D144" i="19"/>
  <c r="C144" i="19"/>
  <c r="B144" i="19"/>
  <c r="L143" i="19"/>
  <c r="K143" i="19"/>
  <c r="D143" i="19"/>
  <c r="C143" i="19"/>
  <c r="L142" i="19"/>
  <c r="K142" i="19"/>
  <c r="D142" i="19"/>
  <c r="C142" i="19"/>
  <c r="L141" i="19"/>
  <c r="D141" i="19"/>
  <c r="C141" i="19"/>
  <c r="L140" i="19"/>
  <c r="J140" i="19"/>
  <c r="D140" i="19"/>
  <c r="C140" i="19"/>
  <c r="B140" i="19"/>
  <c r="L139" i="19"/>
  <c r="J139" i="19"/>
  <c r="D139" i="19"/>
  <c r="C139" i="19"/>
  <c r="B139" i="19"/>
  <c r="N131" i="19"/>
  <c r="F131" i="19"/>
  <c r="P130" i="19"/>
  <c r="N130" i="19"/>
  <c r="F130" i="19"/>
  <c r="N129" i="19"/>
  <c r="F129" i="19"/>
  <c r="P128" i="19"/>
  <c r="H128" i="19"/>
  <c r="P127" i="19"/>
  <c r="A127" i="19"/>
  <c r="P126" i="19"/>
  <c r="H126" i="19"/>
  <c r="A125" i="19"/>
  <c r="P124" i="19"/>
  <c r="H124" i="19"/>
  <c r="A123" i="19"/>
  <c r="P122" i="19"/>
  <c r="H122" i="19"/>
  <c r="A121" i="19"/>
  <c r="P120" i="19"/>
  <c r="H120" i="19"/>
  <c r="A119" i="19"/>
  <c r="L107" i="19"/>
  <c r="K107" i="19"/>
  <c r="J107" i="19"/>
  <c r="D107" i="19"/>
  <c r="C107" i="19"/>
  <c r="B107" i="19"/>
  <c r="L106" i="19"/>
  <c r="K106" i="19"/>
  <c r="D106" i="19"/>
  <c r="C106" i="19"/>
  <c r="L105" i="19"/>
  <c r="J105" i="19"/>
  <c r="D105" i="19"/>
  <c r="C105" i="19"/>
  <c r="K104" i="19"/>
  <c r="D104" i="19"/>
  <c r="C104" i="19"/>
  <c r="D103" i="19"/>
  <c r="C103" i="19"/>
  <c r="B103" i="19"/>
  <c r="D102" i="19"/>
  <c r="C102" i="19"/>
  <c r="B102" i="19"/>
  <c r="N94" i="19"/>
  <c r="F94" i="19"/>
  <c r="N93" i="19"/>
  <c r="F93" i="19"/>
  <c r="F92" i="19"/>
  <c r="P91" i="19"/>
  <c r="H91" i="19"/>
  <c r="A90" i="19"/>
  <c r="P89" i="19"/>
  <c r="H89" i="19"/>
  <c r="A88" i="19"/>
  <c r="P87" i="19"/>
  <c r="H87" i="19"/>
  <c r="A86" i="19"/>
  <c r="P85" i="19"/>
  <c r="H85" i="19"/>
  <c r="I84" i="19"/>
  <c r="A84" i="19"/>
  <c r="L72" i="19"/>
  <c r="K72" i="19"/>
  <c r="J72" i="19"/>
  <c r="D72" i="19"/>
  <c r="C72" i="19"/>
  <c r="B72" i="19"/>
  <c r="L71" i="19"/>
  <c r="K71" i="19"/>
  <c r="D71" i="19"/>
  <c r="C71" i="19"/>
  <c r="L70" i="19"/>
  <c r="K70" i="19"/>
  <c r="J70" i="19"/>
  <c r="D70" i="19"/>
  <c r="C70" i="19"/>
  <c r="L69" i="19"/>
  <c r="K69" i="19"/>
  <c r="D69" i="19"/>
  <c r="C69" i="19"/>
  <c r="L68" i="19"/>
  <c r="K68" i="19"/>
  <c r="D68" i="19"/>
  <c r="C68" i="19"/>
  <c r="L67" i="19"/>
  <c r="K67" i="19"/>
  <c r="D67" i="19"/>
  <c r="C67" i="19"/>
  <c r="B67" i="19"/>
  <c r="N59" i="19"/>
  <c r="F59" i="19"/>
  <c r="N58" i="19"/>
  <c r="F58" i="19"/>
  <c r="N57" i="19"/>
  <c r="F57" i="19"/>
  <c r="P56" i="19"/>
  <c r="H56" i="19"/>
  <c r="P54" i="19"/>
  <c r="H54" i="19"/>
  <c r="P52" i="19"/>
  <c r="H52" i="19"/>
  <c r="A51" i="19"/>
  <c r="P50" i="19"/>
  <c r="A49" i="19"/>
  <c r="P48" i="19"/>
  <c r="H48" i="19"/>
  <c r="A47" i="19"/>
  <c r="L35" i="19"/>
  <c r="K35" i="19"/>
  <c r="J35" i="19"/>
  <c r="D35" i="19"/>
  <c r="C35" i="19"/>
  <c r="B35" i="19"/>
  <c r="L34" i="19"/>
  <c r="D34" i="19"/>
  <c r="L33" i="19"/>
  <c r="J33" i="19"/>
  <c r="D33" i="19"/>
  <c r="L32" i="19"/>
  <c r="D32" i="19"/>
  <c r="L31" i="19"/>
  <c r="D31" i="19"/>
  <c r="L30" i="19"/>
  <c r="D30" i="19"/>
  <c r="N22" i="19"/>
  <c r="F22" i="19"/>
  <c r="F21" i="19"/>
  <c r="N20" i="19"/>
  <c r="F20" i="19"/>
  <c r="P19" i="19"/>
  <c r="H19" i="19"/>
  <c r="P17" i="19"/>
  <c r="H17" i="19"/>
  <c r="P15" i="19"/>
  <c r="A14" i="19"/>
  <c r="P13" i="19"/>
  <c r="H13" i="19"/>
  <c r="R3598" i="20"/>
  <c r="L3597" i="20"/>
  <c r="K3597" i="20"/>
  <c r="J3597" i="20"/>
  <c r="L3596" i="20"/>
  <c r="L3595" i="20"/>
  <c r="L3594" i="20"/>
  <c r="J3594" i="20"/>
  <c r="L3593" i="20"/>
  <c r="J3593" i="20"/>
  <c r="L3592" i="20"/>
  <c r="J3592" i="20"/>
  <c r="N3584" i="20"/>
  <c r="N3582" i="20"/>
  <c r="P3581" i="20"/>
  <c r="P3579" i="20"/>
  <c r="P3577" i="20"/>
  <c r="L3564" i="20"/>
  <c r="K3564" i="20"/>
  <c r="J3564" i="20"/>
  <c r="L3563" i="20"/>
  <c r="K3563" i="20"/>
  <c r="L3562" i="20"/>
  <c r="K3562" i="20"/>
  <c r="L3561" i="20"/>
  <c r="K3561" i="20"/>
  <c r="L3560" i="20"/>
  <c r="K3560" i="20"/>
  <c r="J3560" i="20"/>
  <c r="L3559" i="20"/>
  <c r="K3559" i="20"/>
  <c r="J3559" i="20"/>
  <c r="N3551" i="20"/>
  <c r="N3550" i="20"/>
  <c r="N3549" i="20"/>
  <c r="P3548" i="20"/>
  <c r="P3543" i="20"/>
  <c r="P3541" i="20"/>
  <c r="L3527" i="20"/>
  <c r="K3527" i="20"/>
  <c r="J3527" i="20"/>
  <c r="L3526" i="20"/>
  <c r="K3526" i="20"/>
  <c r="L3525" i="20"/>
  <c r="K3525" i="20"/>
  <c r="L3524" i="20"/>
  <c r="K3524" i="20"/>
  <c r="L3523" i="20"/>
  <c r="K3523" i="20"/>
  <c r="J3523" i="20"/>
  <c r="L3522" i="20"/>
  <c r="K3522" i="20"/>
  <c r="J3522" i="20"/>
  <c r="N3514" i="20"/>
  <c r="N3513" i="20"/>
  <c r="N3512" i="20"/>
  <c r="P3511" i="20"/>
  <c r="P3503" i="20"/>
  <c r="P3501" i="20"/>
  <c r="L3487" i="20"/>
  <c r="K3487" i="20"/>
  <c r="J3487" i="20"/>
  <c r="L3486" i="20"/>
  <c r="K3486" i="20"/>
  <c r="L3485" i="20"/>
  <c r="K3485" i="20"/>
  <c r="J3485" i="20"/>
  <c r="L3484" i="20"/>
  <c r="K3484" i="20"/>
  <c r="L3483" i="20"/>
  <c r="K3483" i="20"/>
  <c r="L3482" i="20"/>
  <c r="K3482" i="20"/>
  <c r="N3474" i="20"/>
  <c r="N3473" i="20"/>
  <c r="N3472" i="20"/>
  <c r="P3471" i="20"/>
  <c r="P3469" i="20"/>
  <c r="P3467" i="20"/>
  <c r="P3465" i="20"/>
  <c r="L3452" i="20"/>
  <c r="K3452" i="20"/>
  <c r="J3452" i="20"/>
  <c r="L3451" i="20"/>
  <c r="K3451" i="20"/>
  <c r="L3450" i="20"/>
  <c r="K3450" i="20"/>
  <c r="L3449" i="20"/>
  <c r="K3449" i="20"/>
  <c r="L3448" i="20"/>
  <c r="K3448" i="20"/>
  <c r="J3448" i="20"/>
  <c r="L3447" i="20"/>
  <c r="K3447" i="20"/>
  <c r="J3447" i="20"/>
  <c r="N3439" i="20"/>
  <c r="N3438" i="20"/>
  <c r="N3437" i="20"/>
  <c r="P3436" i="20"/>
  <c r="P3434" i="20"/>
  <c r="P3432" i="20"/>
  <c r="P3430" i="20"/>
  <c r="P3428" i="20"/>
  <c r="P3426" i="20"/>
  <c r="L3412" i="20"/>
  <c r="K3412" i="20"/>
  <c r="J3412" i="20"/>
  <c r="L3411" i="20"/>
  <c r="K3411" i="20"/>
  <c r="L3410" i="20"/>
  <c r="K3410" i="20"/>
  <c r="J3410" i="20"/>
  <c r="L3409" i="20"/>
  <c r="K3409" i="20"/>
  <c r="L3408" i="20"/>
  <c r="K3408" i="20"/>
  <c r="L3407" i="20"/>
  <c r="K3407" i="20"/>
  <c r="J3407" i="20"/>
  <c r="N3399" i="20"/>
  <c r="N3398" i="20"/>
  <c r="N3397" i="20"/>
  <c r="P3396" i="20"/>
  <c r="P3394" i="20"/>
  <c r="P3392" i="20"/>
  <c r="P3390" i="20"/>
  <c r="L3376" i="20"/>
  <c r="K3376" i="20"/>
  <c r="J3376" i="20"/>
  <c r="L3375" i="20"/>
  <c r="K3375" i="20"/>
  <c r="L3374" i="20"/>
  <c r="K3374" i="20"/>
  <c r="J3374" i="20"/>
  <c r="L3373" i="20"/>
  <c r="K3373" i="20"/>
  <c r="L3372" i="20"/>
  <c r="K3372" i="20"/>
  <c r="L3371" i="20"/>
  <c r="K3371" i="20"/>
  <c r="J3371" i="20"/>
  <c r="N3363" i="20"/>
  <c r="N3362" i="20"/>
  <c r="N3361" i="20"/>
  <c r="P3360" i="20"/>
  <c r="P3356" i="20"/>
  <c r="P3354" i="20"/>
  <c r="L3341" i="20"/>
  <c r="K3341" i="20"/>
  <c r="J3341" i="20"/>
  <c r="L3340" i="20"/>
  <c r="K3340" i="20"/>
  <c r="L3339" i="20"/>
  <c r="K3339" i="20"/>
  <c r="L3338" i="20"/>
  <c r="K3338" i="20"/>
  <c r="J3338" i="20"/>
  <c r="L3337" i="20"/>
  <c r="K3337" i="20"/>
  <c r="L3336" i="20"/>
  <c r="K3336" i="20"/>
  <c r="J3336" i="20"/>
  <c r="N3328" i="20"/>
  <c r="N3327" i="20"/>
  <c r="N3326" i="20"/>
  <c r="P3325" i="20"/>
  <c r="I3324" i="20"/>
  <c r="P3323" i="20"/>
  <c r="I3322" i="20"/>
  <c r="P3321" i="20"/>
  <c r="I3320" i="20"/>
  <c r="P3319" i="20"/>
  <c r="I3318" i="20"/>
  <c r="P3317" i="20"/>
  <c r="I3316" i="20"/>
  <c r="P3315" i="20"/>
  <c r="L3302" i="20"/>
  <c r="K3302" i="20"/>
  <c r="J3302" i="20"/>
  <c r="L3301" i="20"/>
  <c r="K3301" i="20"/>
  <c r="L3300" i="20"/>
  <c r="K3300" i="20"/>
  <c r="L3299" i="20"/>
  <c r="K3299" i="20"/>
  <c r="L3298" i="20"/>
  <c r="K3298" i="20"/>
  <c r="J3298" i="20"/>
  <c r="L3297" i="20"/>
  <c r="K3297" i="20"/>
  <c r="J3297" i="20"/>
  <c r="N3289" i="20"/>
  <c r="P3288" i="20"/>
  <c r="N3288" i="20"/>
  <c r="N3287" i="20"/>
  <c r="P3286" i="20"/>
  <c r="I3285" i="20"/>
  <c r="P3284" i="20"/>
  <c r="I3283" i="20"/>
  <c r="P3282" i="20"/>
  <c r="I3281" i="20"/>
  <c r="P3280" i="20"/>
  <c r="L3266" i="20"/>
  <c r="K3266" i="20"/>
  <c r="J3266" i="20"/>
  <c r="L3265" i="20"/>
  <c r="K3265" i="20"/>
  <c r="L3264" i="20"/>
  <c r="K3264" i="20"/>
  <c r="L3263" i="20"/>
  <c r="K3263" i="20"/>
  <c r="L3262" i="20"/>
  <c r="K3262" i="20"/>
  <c r="L3261" i="20"/>
  <c r="K3261" i="20"/>
  <c r="J3261" i="20"/>
  <c r="N3253" i="20"/>
  <c r="P3252" i="20"/>
  <c r="N3252" i="20"/>
  <c r="N3251" i="20"/>
  <c r="P3250" i="20"/>
  <c r="P3248" i="20"/>
  <c r="I3247" i="20"/>
  <c r="I3245" i="20"/>
  <c r="P3244" i="20"/>
  <c r="L3231" i="20"/>
  <c r="K3231" i="20"/>
  <c r="J3231" i="20"/>
  <c r="L3230" i="20"/>
  <c r="K3230" i="20"/>
  <c r="L3229" i="20"/>
  <c r="K3229" i="20"/>
  <c r="L3228" i="20"/>
  <c r="K3228" i="20"/>
  <c r="L3227" i="20"/>
  <c r="K3227" i="20"/>
  <c r="L3226" i="20"/>
  <c r="K3226" i="20"/>
  <c r="J3226" i="20"/>
  <c r="N3218" i="20"/>
  <c r="P3217" i="20"/>
  <c r="N3217" i="20"/>
  <c r="N3216" i="20"/>
  <c r="P3215" i="20"/>
  <c r="P3213" i="20"/>
  <c r="I3212" i="20"/>
  <c r="P3211" i="20"/>
  <c r="I3210" i="20"/>
  <c r="P3209" i="20"/>
  <c r="L3196" i="20"/>
  <c r="K3196" i="20"/>
  <c r="J3196" i="20"/>
  <c r="L3195" i="20"/>
  <c r="K3195" i="20"/>
  <c r="L3194" i="20"/>
  <c r="K3194" i="20"/>
  <c r="J3194" i="20"/>
  <c r="L3193" i="20"/>
  <c r="K3193" i="20"/>
  <c r="L3192" i="20"/>
  <c r="K3192" i="20"/>
  <c r="J3192" i="20"/>
  <c r="L3191" i="20"/>
  <c r="K3191" i="20"/>
  <c r="J3191" i="20"/>
  <c r="N3183" i="20"/>
  <c r="P3182" i="20"/>
  <c r="N3182" i="20"/>
  <c r="N3181" i="20"/>
  <c r="P3180" i="20"/>
  <c r="P3178" i="20"/>
  <c r="P3176" i="20"/>
  <c r="P3174" i="20"/>
  <c r="P3172" i="20"/>
  <c r="P3170" i="20"/>
  <c r="L3157" i="20"/>
  <c r="K3157" i="20"/>
  <c r="J3157" i="20"/>
  <c r="L3156" i="20"/>
  <c r="K3156" i="20"/>
  <c r="L3155" i="20"/>
  <c r="K3155" i="20"/>
  <c r="J3155" i="20"/>
  <c r="L3154" i="20"/>
  <c r="K3154" i="20"/>
  <c r="L3153" i="20"/>
  <c r="K3153" i="20"/>
  <c r="J3153" i="20"/>
  <c r="L3152" i="20"/>
  <c r="K3152" i="20"/>
  <c r="J3152" i="20"/>
  <c r="N3144" i="20"/>
  <c r="P3143" i="20"/>
  <c r="N3143" i="20"/>
  <c r="N3142" i="20"/>
  <c r="P3141" i="20"/>
  <c r="P3139" i="20"/>
  <c r="P3137" i="20"/>
  <c r="P3135" i="20"/>
  <c r="P3133" i="20"/>
  <c r="L3120" i="20"/>
  <c r="K3120" i="20"/>
  <c r="J3120" i="20"/>
  <c r="L3119" i="20"/>
  <c r="K3119" i="20"/>
  <c r="L3118" i="20"/>
  <c r="K3118" i="20"/>
  <c r="J3118" i="20"/>
  <c r="L3117" i="20"/>
  <c r="K3117" i="20"/>
  <c r="L3116" i="20"/>
  <c r="K3116" i="20"/>
  <c r="L3115" i="20"/>
  <c r="K3115" i="20"/>
  <c r="J3115" i="20"/>
  <c r="N3107" i="20"/>
  <c r="P3106" i="20"/>
  <c r="N3106" i="20"/>
  <c r="N3105" i="20"/>
  <c r="P3104" i="20"/>
  <c r="P3100" i="20"/>
  <c r="P3098" i="20"/>
  <c r="P3096" i="20"/>
  <c r="L3083" i="20"/>
  <c r="K3083" i="20"/>
  <c r="J3083" i="20"/>
  <c r="L3082" i="20"/>
  <c r="K3082" i="20"/>
  <c r="L3081" i="20"/>
  <c r="K3081" i="20"/>
  <c r="J3081" i="20"/>
  <c r="L3080" i="20"/>
  <c r="K3080" i="20"/>
  <c r="L3079" i="20"/>
  <c r="K3079" i="20"/>
  <c r="L3078" i="20"/>
  <c r="K3078" i="20"/>
  <c r="J3078" i="20"/>
  <c r="N3070" i="20"/>
  <c r="P3069" i="20"/>
  <c r="N3069" i="20"/>
  <c r="N3068" i="20"/>
  <c r="P3067" i="20"/>
  <c r="P3065" i="20"/>
  <c r="P3063" i="20"/>
  <c r="P3061" i="20"/>
  <c r="P3059" i="20"/>
  <c r="L3046" i="20"/>
  <c r="K3046" i="20"/>
  <c r="J3046" i="20"/>
  <c r="L3045" i="20"/>
  <c r="K3045" i="20"/>
  <c r="L3044" i="20"/>
  <c r="K3044" i="20"/>
  <c r="L3043" i="20"/>
  <c r="K3043" i="20"/>
  <c r="L3042" i="20"/>
  <c r="K3042" i="20"/>
  <c r="J3042" i="20"/>
  <c r="L3041" i="20"/>
  <c r="K3041" i="20"/>
  <c r="J3041" i="20"/>
  <c r="N3033" i="20"/>
  <c r="P3032" i="20"/>
  <c r="N3032" i="20"/>
  <c r="N3031" i="20"/>
  <c r="P3030" i="20"/>
  <c r="P3028" i="20"/>
  <c r="P3026" i="20"/>
  <c r="P3024" i="20"/>
  <c r="P3022" i="20"/>
  <c r="L3009" i="20"/>
  <c r="K3009" i="20"/>
  <c r="J3009" i="20"/>
  <c r="L3008" i="20"/>
  <c r="K3008" i="20"/>
  <c r="L3007" i="20"/>
  <c r="K3007" i="20"/>
  <c r="L3006" i="20"/>
  <c r="K3006" i="20"/>
  <c r="L3005" i="20"/>
  <c r="K3005" i="20"/>
  <c r="J3005" i="20"/>
  <c r="L3004" i="20"/>
  <c r="K3004" i="20"/>
  <c r="J3004" i="20"/>
  <c r="N2996" i="20"/>
  <c r="P2995" i="20"/>
  <c r="N2995" i="20"/>
  <c r="N2994" i="20"/>
  <c r="P2993" i="20"/>
  <c r="P2991" i="20"/>
  <c r="P2989" i="20"/>
  <c r="P2987" i="20"/>
  <c r="P2985" i="20"/>
  <c r="L2972" i="20"/>
  <c r="K2972" i="20"/>
  <c r="J2972" i="20"/>
  <c r="L2971" i="20"/>
  <c r="K2971" i="20"/>
  <c r="L2970" i="20"/>
  <c r="K2970" i="20"/>
  <c r="L2969" i="20"/>
  <c r="K2969" i="20"/>
  <c r="L2968" i="20"/>
  <c r="K2968" i="20"/>
  <c r="J2968" i="20"/>
  <c r="L2967" i="20"/>
  <c r="K2967" i="20"/>
  <c r="J2967" i="20"/>
  <c r="N2959" i="20"/>
  <c r="P2958" i="20"/>
  <c r="N2958" i="20"/>
  <c r="N2957" i="20"/>
  <c r="P2956" i="20"/>
  <c r="P2954" i="20"/>
  <c r="P2952" i="20"/>
  <c r="P2950" i="20"/>
  <c r="P2948" i="20"/>
  <c r="L2935" i="20"/>
  <c r="K2935" i="20"/>
  <c r="J2935" i="20"/>
  <c r="L2934" i="20"/>
  <c r="K2934" i="20"/>
  <c r="L2933" i="20"/>
  <c r="K2933" i="20"/>
  <c r="L2932" i="20"/>
  <c r="K2932" i="20"/>
  <c r="L2931" i="20"/>
  <c r="K2931" i="20"/>
  <c r="J2931" i="20"/>
  <c r="L2930" i="20"/>
  <c r="K2930" i="20"/>
  <c r="J2930" i="20"/>
  <c r="N2922" i="20"/>
  <c r="P2921" i="20"/>
  <c r="N2921" i="20"/>
  <c r="N2920" i="20"/>
  <c r="P2919" i="20"/>
  <c r="P2917" i="20"/>
  <c r="P2915" i="20"/>
  <c r="P2913" i="20"/>
  <c r="P2911" i="20"/>
  <c r="L2898" i="20"/>
  <c r="K2898" i="20"/>
  <c r="J2898" i="20"/>
  <c r="L2897" i="20"/>
  <c r="K2897" i="20"/>
  <c r="L2896" i="20"/>
  <c r="K2896" i="20"/>
  <c r="L2895" i="20"/>
  <c r="K2895" i="20"/>
  <c r="J2895" i="20"/>
  <c r="L2894" i="20"/>
  <c r="K2894" i="20"/>
  <c r="J2894" i="20"/>
  <c r="L2893" i="20"/>
  <c r="K2893" i="20"/>
  <c r="N2885" i="20"/>
  <c r="N2884" i="20"/>
  <c r="N2883" i="20"/>
  <c r="P2882" i="20"/>
  <c r="P2880" i="20"/>
  <c r="P2878" i="20"/>
  <c r="P2876" i="20"/>
  <c r="P2874" i="20"/>
  <c r="L2861" i="20"/>
  <c r="K2861" i="20"/>
  <c r="J2861" i="20"/>
  <c r="L2860" i="20"/>
  <c r="K2860" i="20"/>
  <c r="L2859" i="20"/>
  <c r="K2859" i="20"/>
  <c r="L2858" i="20"/>
  <c r="K2858" i="20"/>
  <c r="J2858" i="20"/>
  <c r="L2857" i="20"/>
  <c r="K2857" i="20"/>
  <c r="J2857" i="20"/>
  <c r="L2856" i="20"/>
  <c r="K2856" i="20"/>
  <c r="N2848" i="20"/>
  <c r="N2847" i="20"/>
  <c r="N2846" i="20"/>
  <c r="P2845" i="20"/>
  <c r="P2843" i="20"/>
  <c r="P2841" i="20"/>
  <c r="P2839" i="20"/>
  <c r="P2837" i="20"/>
  <c r="P2835" i="20"/>
  <c r="L2822" i="20"/>
  <c r="K2822" i="20"/>
  <c r="J2822" i="20"/>
  <c r="L2821" i="20"/>
  <c r="K2821" i="20"/>
  <c r="L2820" i="20"/>
  <c r="K2820" i="20"/>
  <c r="L2819" i="20"/>
  <c r="K2819" i="20"/>
  <c r="J2819" i="20"/>
  <c r="L2818" i="20"/>
  <c r="K2818" i="20"/>
  <c r="J2818" i="20"/>
  <c r="L2817" i="20"/>
  <c r="K2817" i="20"/>
  <c r="N2809" i="20"/>
  <c r="N2808" i="20"/>
  <c r="N2807" i="20"/>
  <c r="P2806" i="20"/>
  <c r="P2804" i="20"/>
  <c r="P2802" i="20"/>
  <c r="P2800" i="20"/>
  <c r="P2798" i="20"/>
  <c r="P2796" i="20"/>
  <c r="L2783" i="20"/>
  <c r="K2783" i="20"/>
  <c r="J2783" i="20"/>
  <c r="L2782" i="20"/>
  <c r="K2782" i="20"/>
  <c r="L2781" i="20"/>
  <c r="K2781" i="20"/>
  <c r="L2780" i="20"/>
  <c r="K2780" i="20"/>
  <c r="L2779" i="20"/>
  <c r="K2779" i="20"/>
  <c r="J2779" i="20"/>
  <c r="L2778" i="20"/>
  <c r="K2778" i="20"/>
  <c r="J2778" i="20"/>
  <c r="N2770" i="20"/>
  <c r="P2769" i="20"/>
  <c r="N2769" i="20"/>
  <c r="N2768" i="20"/>
  <c r="P2767" i="20"/>
  <c r="P2765" i="20"/>
  <c r="P2763" i="20"/>
  <c r="P2761" i="20"/>
  <c r="P2759" i="20"/>
  <c r="L2746" i="20"/>
  <c r="K2746" i="20"/>
  <c r="J2746" i="20"/>
  <c r="L2745" i="20"/>
  <c r="K2745" i="20"/>
  <c r="L2744" i="20"/>
  <c r="K2744" i="20"/>
  <c r="L2743" i="20"/>
  <c r="K2743" i="20"/>
  <c r="L2742" i="20"/>
  <c r="K2742" i="20"/>
  <c r="J2742" i="20"/>
  <c r="L2741" i="20"/>
  <c r="K2741" i="20"/>
  <c r="J2741" i="20"/>
  <c r="N2733" i="20"/>
  <c r="N2732" i="20"/>
  <c r="N2731" i="20"/>
  <c r="P2730" i="20"/>
  <c r="P2728" i="20"/>
  <c r="P2726" i="20"/>
  <c r="P2724" i="20"/>
  <c r="P2722" i="20"/>
  <c r="L2709" i="20"/>
  <c r="K2709" i="20"/>
  <c r="J2709" i="20"/>
  <c r="L2708" i="20"/>
  <c r="K2708" i="20"/>
  <c r="L2707" i="20"/>
  <c r="K2707" i="20"/>
  <c r="L2706" i="20"/>
  <c r="K2706" i="20"/>
  <c r="L2705" i="20"/>
  <c r="K2705" i="20"/>
  <c r="J2705" i="20"/>
  <c r="L2704" i="20"/>
  <c r="K2704" i="20"/>
  <c r="J2704" i="20"/>
  <c r="N2696" i="20"/>
  <c r="P2695" i="20"/>
  <c r="N2695" i="20"/>
  <c r="N2694" i="20"/>
  <c r="P2693" i="20"/>
  <c r="P2691" i="20"/>
  <c r="P2689" i="20"/>
  <c r="P2687" i="20"/>
  <c r="P2685" i="20"/>
  <c r="L2672" i="20"/>
  <c r="K2672" i="20"/>
  <c r="J2672" i="20"/>
  <c r="L2671" i="20"/>
  <c r="K2671" i="20"/>
  <c r="L2670" i="20"/>
  <c r="K2670" i="20"/>
  <c r="L2669" i="20"/>
  <c r="K2669" i="20"/>
  <c r="L2668" i="20"/>
  <c r="K2668" i="20"/>
  <c r="J2668" i="20"/>
  <c r="L2667" i="20"/>
  <c r="K2667" i="20"/>
  <c r="J2667" i="20"/>
  <c r="N2659" i="20"/>
  <c r="N2658" i="20"/>
  <c r="N2657" i="20"/>
  <c r="P2656" i="20"/>
  <c r="P2654" i="20"/>
  <c r="P2652" i="20"/>
  <c r="P2650" i="20"/>
  <c r="P2648" i="20"/>
  <c r="L2635" i="20"/>
  <c r="K2635" i="20"/>
  <c r="J2635" i="20"/>
  <c r="L2634" i="20"/>
  <c r="K2634" i="20"/>
  <c r="L2633" i="20"/>
  <c r="K2633" i="20"/>
  <c r="L2632" i="20"/>
  <c r="K2632" i="20"/>
  <c r="L2631" i="20"/>
  <c r="K2631" i="20"/>
  <c r="J2631" i="20"/>
  <c r="L2630" i="20"/>
  <c r="K2630" i="20"/>
  <c r="J2630" i="20"/>
  <c r="N2622" i="20"/>
  <c r="N2621" i="20"/>
  <c r="N2620" i="20"/>
  <c r="P2619" i="20"/>
  <c r="P2617" i="20"/>
  <c r="P2615" i="20"/>
  <c r="P2613" i="20"/>
  <c r="P2611" i="20"/>
  <c r="P2609" i="20"/>
  <c r="L2596" i="20"/>
  <c r="K2596" i="20"/>
  <c r="J2596" i="20"/>
  <c r="L2595" i="20"/>
  <c r="K2595" i="20"/>
  <c r="L2594" i="20"/>
  <c r="K2594" i="20"/>
  <c r="L2593" i="20"/>
  <c r="K2593" i="20"/>
  <c r="L2592" i="20"/>
  <c r="K2592" i="20"/>
  <c r="L2591" i="20"/>
  <c r="K2591" i="20"/>
  <c r="J2591" i="20"/>
  <c r="N2583" i="20"/>
  <c r="N2582" i="20"/>
  <c r="N2581" i="20"/>
  <c r="P2580" i="20"/>
  <c r="P2578" i="20"/>
  <c r="P2576" i="20"/>
  <c r="P2574" i="20"/>
  <c r="P2572" i="20"/>
  <c r="L2559" i="20"/>
  <c r="K2559" i="20"/>
  <c r="J2559" i="20"/>
  <c r="L2558" i="20"/>
  <c r="K2558" i="20"/>
  <c r="L2557" i="20"/>
  <c r="K2557" i="20"/>
  <c r="L2556" i="20"/>
  <c r="K2556" i="20"/>
  <c r="L2555" i="20"/>
  <c r="K2555" i="20"/>
  <c r="J2555" i="20"/>
  <c r="L2554" i="20"/>
  <c r="K2554" i="20"/>
  <c r="J2554" i="20"/>
  <c r="N2546" i="20"/>
  <c r="P2545" i="20"/>
  <c r="N2545" i="20"/>
  <c r="N2544" i="20"/>
  <c r="P2543" i="20"/>
  <c r="P2541" i="20"/>
  <c r="P2539" i="20"/>
  <c r="P2537" i="20"/>
  <c r="P2535" i="20"/>
  <c r="L2522" i="20"/>
  <c r="K2522" i="20"/>
  <c r="J2522" i="20"/>
  <c r="L2521" i="20"/>
  <c r="K2521" i="20"/>
  <c r="J2521" i="20"/>
  <c r="L2520" i="20"/>
  <c r="K2520" i="20"/>
  <c r="L2519" i="20"/>
  <c r="K2519" i="20"/>
  <c r="L2518" i="20"/>
  <c r="K2518" i="20"/>
  <c r="J2518" i="20"/>
  <c r="L2517" i="20"/>
  <c r="K2517" i="20"/>
  <c r="N2509" i="20"/>
  <c r="N2508" i="20"/>
  <c r="N2507" i="20"/>
  <c r="P2506" i="20"/>
  <c r="P2504" i="20"/>
  <c r="P2502" i="20"/>
  <c r="P2500" i="20"/>
  <c r="P2498" i="20"/>
  <c r="L2485" i="20"/>
  <c r="K2485" i="20"/>
  <c r="J2485" i="20"/>
  <c r="L2484" i="20"/>
  <c r="K2484" i="20"/>
  <c r="J2484" i="20"/>
  <c r="L2483" i="20"/>
  <c r="K2483" i="20"/>
  <c r="L2482" i="20"/>
  <c r="K2482" i="20"/>
  <c r="L2481" i="20"/>
  <c r="K2481" i="20"/>
  <c r="L2480" i="20"/>
  <c r="K2480" i="20"/>
  <c r="N2472" i="20"/>
  <c r="N2471" i="20"/>
  <c r="N2470" i="20"/>
  <c r="P2469" i="20"/>
  <c r="P2467" i="20"/>
  <c r="N2466" i="20"/>
  <c r="P2465" i="20"/>
  <c r="P2463" i="20"/>
  <c r="P2461" i="20"/>
  <c r="P2459" i="20"/>
  <c r="L2446" i="20"/>
  <c r="K2446" i="20"/>
  <c r="J2446" i="20"/>
  <c r="L2445" i="20"/>
  <c r="K2445" i="20"/>
  <c r="L2444" i="20"/>
  <c r="K2444" i="20"/>
  <c r="L2443" i="20"/>
  <c r="K2443" i="20"/>
  <c r="L2442" i="20"/>
  <c r="K2442" i="20"/>
  <c r="J2442" i="20"/>
  <c r="L2441" i="20"/>
  <c r="K2441" i="20"/>
  <c r="J2441" i="20"/>
  <c r="N2433" i="20"/>
  <c r="P2432" i="20"/>
  <c r="N2432" i="20"/>
  <c r="N2431" i="20"/>
  <c r="P2430" i="20"/>
  <c r="P2428" i="20"/>
  <c r="P2426" i="20"/>
  <c r="P2424" i="20"/>
  <c r="P2422" i="20"/>
  <c r="L2409" i="20"/>
  <c r="K2409" i="20"/>
  <c r="J2409" i="20"/>
  <c r="L2408" i="20"/>
  <c r="K2408" i="20"/>
  <c r="L2407" i="20"/>
  <c r="K2407" i="20"/>
  <c r="L2406" i="20"/>
  <c r="K2406" i="20"/>
  <c r="L2405" i="20"/>
  <c r="K2405" i="20"/>
  <c r="J2405" i="20"/>
  <c r="L2404" i="20"/>
  <c r="K2404" i="20"/>
  <c r="J2404" i="20"/>
  <c r="N2396" i="20"/>
  <c r="P2395" i="20"/>
  <c r="N2395" i="20"/>
  <c r="N2394" i="20"/>
  <c r="P2393" i="20"/>
  <c r="P2391" i="20"/>
  <c r="P2389" i="20"/>
  <c r="P2387" i="20"/>
  <c r="P2385" i="20"/>
  <c r="L2372" i="20"/>
  <c r="K2372" i="20"/>
  <c r="J2372" i="20"/>
  <c r="L2371" i="20"/>
  <c r="K2371" i="20"/>
  <c r="L2370" i="20"/>
  <c r="K2370" i="20"/>
  <c r="L2369" i="20"/>
  <c r="K2369" i="20"/>
  <c r="J2369" i="20"/>
  <c r="L2368" i="20"/>
  <c r="K2368" i="20"/>
  <c r="J2368" i="20"/>
  <c r="L2367" i="20"/>
  <c r="K2367" i="20"/>
  <c r="N2359" i="20"/>
  <c r="N2358" i="20"/>
  <c r="N2357" i="20"/>
  <c r="P2356" i="20"/>
  <c r="P2354" i="20"/>
  <c r="P2352" i="20"/>
  <c r="P2350" i="20"/>
  <c r="P2348" i="20"/>
  <c r="L2335" i="20"/>
  <c r="K2335" i="20"/>
  <c r="J2335" i="20"/>
  <c r="L2334" i="20"/>
  <c r="K2334" i="20"/>
  <c r="L2333" i="20"/>
  <c r="K2333" i="20"/>
  <c r="L2332" i="20"/>
  <c r="K2332" i="20"/>
  <c r="L2331" i="20"/>
  <c r="K2331" i="20"/>
  <c r="J2331" i="20"/>
  <c r="L2330" i="20"/>
  <c r="K2330" i="20"/>
  <c r="J2330" i="20"/>
  <c r="N2322" i="20"/>
  <c r="P2321" i="20"/>
  <c r="N2321" i="20"/>
  <c r="N2320" i="20"/>
  <c r="P2319" i="20"/>
  <c r="P2317" i="20"/>
  <c r="P2315" i="20"/>
  <c r="P2313" i="20"/>
  <c r="P2311" i="20"/>
  <c r="L2298" i="20"/>
  <c r="K2298" i="20"/>
  <c r="J2298" i="20"/>
  <c r="L2297" i="20"/>
  <c r="K2297" i="20"/>
  <c r="L2296" i="20"/>
  <c r="K2296" i="20"/>
  <c r="L2295" i="20"/>
  <c r="K2295" i="20"/>
  <c r="L2294" i="20"/>
  <c r="K2294" i="20"/>
  <c r="J2294" i="20"/>
  <c r="L2293" i="20"/>
  <c r="K2293" i="20"/>
  <c r="J2293" i="20"/>
  <c r="N2285" i="20"/>
  <c r="P2284" i="20"/>
  <c r="N2284" i="20"/>
  <c r="N2283" i="20"/>
  <c r="P2282" i="20"/>
  <c r="P2280" i="20"/>
  <c r="P2278" i="20"/>
  <c r="P2275" i="20"/>
  <c r="P2274" i="20"/>
  <c r="L2261" i="20"/>
  <c r="K2261" i="20"/>
  <c r="J2261" i="20"/>
  <c r="L2260" i="20"/>
  <c r="K2260" i="20"/>
  <c r="L2259" i="20"/>
  <c r="K2259" i="20"/>
  <c r="J2259" i="20"/>
  <c r="L2258" i="20"/>
  <c r="K2258" i="20"/>
  <c r="L2257" i="20"/>
  <c r="K2257" i="20"/>
  <c r="J2257" i="20"/>
  <c r="L2256" i="20"/>
  <c r="K2256" i="20"/>
  <c r="J2256" i="20"/>
  <c r="N2248" i="20"/>
  <c r="P2247" i="20"/>
  <c r="N2247" i="20"/>
  <c r="N2246" i="20"/>
  <c r="P2245" i="20"/>
  <c r="P2243" i="20"/>
  <c r="P2241" i="20"/>
  <c r="P2238" i="20"/>
  <c r="P2236" i="20"/>
  <c r="L2224" i="20"/>
  <c r="K2224" i="20"/>
  <c r="J2224" i="20"/>
  <c r="L2223" i="20"/>
  <c r="K2223" i="20"/>
  <c r="L2222" i="20"/>
  <c r="K2222" i="20"/>
  <c r="J2222" i="20"/>
  <c r="L2221" i="20"/>
  <c r="K2221" i="20"/>
  <c r="L2220" i="20"/>
  <c r="K2220" i="20"/>
  <c r="J2220" i="20"/>
  <c r="L2219" i="20"/>
  <c r="K2219" i="20"/>
  <c r="J2219" i="20"/>
  <c r="N2211" i="20"/>
  <c r="P2210" i="20"/>
  <c r="N2210" i="20"/>
  <c r="N2209" i="20"/>
  <c r="P2208" i="20"/>
  <c r="P2206" i="20"/>
  <c r="P2204" i="20"/>
  <c r="P2201" i="20"/>
  <c r="P2199" i="20"/>
  <c r="L2187" i="20"/>
  <c r="K2187" i="20"/>
  <c r="J2187" i="20"/>
  <c r="L2186" i="20"/>
  <c r="K2186" i="20"/>
  <c r="L2185" i="20"/>
  <c r="K2185" i="20"/>
  <c r="J2185" i="20"/>
  <c r="L2184" i="20"/>
  <c r="K2184" i="20"/>
  <c r="L2183" i="20"/>
  <c r="K2183" i="20"/>
  <c r="J2183" i="20"/>
  <c r="L2182" i="20"/>
  <c r="K2182" i="20"/>
  <c r="J2182" i="20"/>
  <c r="N2174" i="20"/>
  <c r="P2173" i="20"/>
  <c r="N2173" i="20"/>
  <c r="N2172" i="20"/>
  <c r="P2171" i="20"/>
  <c r="P2169" i="20"/>
  <c r="P2167" i="20"/>
  <c r="P2165" i="20"/>
  <c r="L2148" i="20"/>
  <c r="K2148" i="20"/>
  <c r="J2148" i="20"/>
  <c r="L2147" i="20"/>
  <c r="K2147" i="20"/>
  <c r="L2146" i="20"/>
  <c r="K2146" i="20"/>
  <c r="L2145" i="20"/>
  <c r="K2145" i="20"/>
  <c r="L2144" i="20"/>
  <c r="K2144" i="20"/>
  <c r="J2144" i="20"/>
  <c r="L2143" i="20"/>
  <c r="K2143" i="20"/>
  <c r="J2143" i="20"/>
  <c r="N2135" i="20"/>
  <c r="N2134" i="20"/>
  <c r="N2133" i="20"/>
  <c r="P2132" i="20"/>
  <c r="P2130" i="20"/>
  <c r="P2128" i="20"/>
  <c r="L2111" i="20"/>
  <c r="K2111" i="20"/>
  <c r="J2111" i="20"/>
  <c r="L2110" i="20"/>
  <c r="K2110" i="20"/>
  <c r="L2109" i="20"/>
  <c r="K2109" i="20"/>
  <c r="L2108" i="20"/>
  <c r="K2108" i="20"/>
  <c r="L2107" i="20"/>
  <c r="K2107" i="20"/>
  <c r="J2107" i="20"/>
  <c r="L2106" i="20"/>
  <c r="K2106" i="20"/>
  <c r="J2106" i="20"/>
  <c r="N2098" i="20"/>
  <c r="N2097" i="20"/>
  <c r="N2096" i="20"/>
  <c r="P2095" i="20"/>
  <c r="P2093" i="20"/>
  <c r="P2091" i="20"/>
  <c r="L2074" i="20"/>
  <c r="K2074" i="20"/>
  <c r="J2074" i="20"/>
  <c r="L2073" i="20"/>
  <c r="K2073" i="20"/>
  <c r="L2072" i="20"/>
  <c r="K2072" i="20"/>
  <c r="L2071" i="20"/>
  <c r="K2071" i="20"/>
  <c r="L2070" i="20"/>
  <c r="K2070" i="20"/>
  <c r="J2070" i="20"/>
  <c r="L2069" i="20"/>
  <c r="K2069" i="20"/>
  <c r="J2069" i="20"/>
  <c r="N2061" i="20"/>
  <c r="P2060" i="20"/>
  <c r="N2060" i="20"/>
  <c r="N2059" i="20"/>
  <c r="P2058" i="20"/>
  <c r="P2056" i="20"/>
  <c r="P2054" i="20"/>
  <c r="P2052" i="20"/>
  <c r="P2050" i="20"/>
  <c r="L2037" i="20"/>
  <c r="K2037" i="20"/>
  <c r="J2037" i="20"/>
  <c r="L2036" i="20"/>
  <c r="K2036" i="20"/>
  <c r="L2035" i="20"/>
  <c r="K2035" i="20"/>
  <c r="L2034" i="20"/>
  <c r="K2034" i="20"/>
  <c r="L2033" i="20"/>
  <c r="K2033" i="20"/>
  <c r="J2033" i="20"/>
  <c r="L2032" i="20"/>
  <c r="K2032" i="20"/>
  <c r="J2032" i="20"/>
  <c r="N2024" i="20"/>
  <c r="P2023" i="20"/>
  <c r="N2023" i="20"/>
  <c r="N2022" i="20"/>
  <c r="P2021" i="20"/>
  <c r="P2019" i="20"/>
  <c r="P2017" i="20"/>
  <c r="P2015" i="20"/>
  <c r="P2013" i="20"/>
  <c r="L2000" i="20"/>
  <c r="K2000" i="20"/>
  <c r="J2000" i="20"/>
  <c r="L1999" i="20"/>
  <c r="K1999" i="20"/>
  <c r="L1998" i="20"/>
  <c r="K1998" i="20"/>
  <c r="L1997" i="20"/>
  <c r="K1997" i="20"/>
  <c r="L1996" i="20"/>
  <c r="K1996" i="20"/>
  <c r="J1996" i="20"/>
  <c r="L1995" i="20"/>
  <c r="K1995" i="20"/>
  <c r="J1995" i="20"/>
  <c r="N1987" i="20"/>
  <c r="P1986" i="20"/>
  <c r="N1986" i="20"/>
  <c r="N1985" i="20"/>
  <c r="P1984" i="20"/>
  <c r="P1982" i="20"/>
  <c r="P1980" i="20"/>
  <c r="P1978" i="20"/>
  <c r="P1976" i="20"/>
  <c r="L1963" i="20"/>
  <c r="K1963" i="20"/>
  <c r="J1963" i="20"/>
  <c r="L1962" i="20"/>
  <c r="K1962" i="20"/>
  <c r="L1961" i="20"/>
  <c r="K1961" i="20"/>
  <c r="L1960" i="20"/>
  <c r="K1960" i="20"/>
  <c r="L1959" i="20"/>
  <c r="K1959" i="20"/>
  <c r="J1959" i="20"/>
  <c r="L1958" i="20"/>
  <c r="K1958" i="20"/>
  <c r="J1958" i="20"/>
  <c r="N1950" i="20"/>
  <c r="P1949" i="20"/>
  <c r="N1949" i="20"/>
  <c r="N1948" i="20"/>
  <c r="P1947" i="20"/>
  <c r="P1945" i="20"/>
  <c r="P1943" i="20"/>
  <c r="P1941" i="20"/>
  <c r="P1939" i="20"/>
  <c r="L1926" i="20"/>
  <c r="K1926" i="20"/>
  <c r="J1926" i="20"/>
  <c r="L1925" i="20"/>
  <c r="K1925" i="20"/>
  <c r="L1924" i="20"/>
  <c r="K1924" i="20"/>
  <c r="L1923" i="20"/>
  <c r="K1923" i="20"/>
  <c r="L1922" i="20"/>
  <c r="K1922" i="20"/>
  <c r="J1922" i="20"/>
  <c r="L1921" i="20"/>
  <c r="K1921" i="20"/>
  <c r="J1921" i="20"/>
  <c r="N1913" i="20"/>
  <c r="P1912" i="20"/>
  <c r="N1912" i="20"/>
  <c r="N1911" i="20"/>
  <c r="P1910" i="20"/>
  <c r="P1908" i="20"/>
  <c r="P1906" i="20"/>
  <c r="P1904" i="20"/>
  <c r="P1902" i="20"/>
  <c r="L1889" i="20"/>
  <c r="K1889" i="20"/>
  <c r="J1889" i="20"/>
  <c r="L1888" i="20"/>
  <c r="K1888" i="20"/>
  <c r="L1887" i="20"/>
  <c r="K1887" i="20"/>
  <c r="J1887" i="20"/>
  <c r="L1886" i="20"/>
  <c r="K1886" i="20"/>
  <c r="L1885" i="20"/>
  <c r="K1885" i="20"/>
  <c r="L1884" i="20"/>
  <c r="K1884" i="20"/>
  <c r="J1884" i="20"/>
  <c r="N1876" i="20"/>
  <c r="N1875" i="20"/>
  <c r="N1874" i="20"/>
  <c r="P1873" i="20"/>
  <c r="P1871" i="20"/>
  <c r="P1869" i="20"/>
  <c r="P1867" i="20"/>
  <c r="P1865" i="20"/>
  <c r="L1852" i="20"/>
  <c r="K1852" i="20"/>
  <c r="J1852" i="20"/>
  <c r="L1851" i="20"/>
  <c r="K1851" i="20"/>
  <c r="L1850" i="20"/>
  <c r="K1850" i="20"/>
  <c r="J1850" i="20"/>
  <c r="L1849" i="20"/>
  <c r="K1849" i="20"/>
  <c r="L1848" i="20"/>
  <c r="K1848" i="20"/>
  <c r="L1847" i="20"/>
  <c r="K1847" i="20"/>
  <c r="J1847" i="20"/>
  <c r="N1839" i="20"/>
  <c r="N1838" i="20"/>
  <c r="N1837" i="20"/>
  <c r="P1836" i="20"/>
  <c r="P1834" i="20"/>
  <c r="P1832" i="20"/>
  <c r="P1830" i="20"/>
  <c r="P1828" i="20"/>
  <c r="L1815" i="20"/>
  <c r="K1815" i="20"/>
  <c r="J1815" i="20"/>
  <c r="L1814" i="20"/>
  <c r="K1814" i="20"/>
  <c r="L1813" i="20"/>
  <c r="K1813" i="20"/>
  <c r="L1812" i="20"/>
  <c r="K1812" i="20"/>
  <c r="L1811" i="20"/>
  <c r="K1811" i="20"/>
  <c r="J1811" i="20"/>
  <c r="L1810" i="20"/>
  <c r="K1810" i="20"/>
  <c r="J1810" i="20"/>
  <c r="N1802" i="20"/>
  <c r="N1801" i="20"/>
  <c r="N1800" i="20"/>
  <c r="P1799" i="20"/>
  <c r="P1797" i="20"/>
  <c r="P1795" i="20"/>
  <c r="P1793" i="20"/>
  <c r="P1791" i="20"/>
  <c r="L1778" i="20"/>
  <c r="K1778" i="20"/>
  <c r="J1778" i="20"/>
  <c r="L1777" i="20"/>
  <c r="K1777" i="20"/>
  <c r="L1776" i="20"/>
  <c r="K1776" i="20"/>
  <c r="L1775" i="20"/>
  <c r="K1775" i="20"/>
  <c r="L1774" i="20"/>
  <c r="K1774" i="20"/>
  <c r="J1774" i="20"/>
  <c r="L1773" i="20"/>
  <c r="K1773" i="20"/>
  <c r="J1773" i="20"/>
  <c r="N1765" i="20"/>
  <c r="P1764" i="20"/>
  <c r="N1764" i="20"/>
  <c r="N1763" i="20"/>
  <c r="P1762" i="20"/>
  <c r="P1760" i="20"/>
  <c r="P1758" i="20"/>
  <c r="P1756" i="20"/>
  <c r="P1754" i="20"/>
  <c r="L1741" i="20"/>
  <c r="K1741" i="20"/>
  <c r="J1741" i="20"/>
  <c r="L1740" i="20"/>
  <c r="K1740" i="20"/>
  <c r="L1739" i="20"/>
  <c r="K1739" i="20"/>
  <c r="J1739" i="20"/>
  <c r="L1738" i="20"/>
  <c r="K1738" i="20"/>
  <c r="L1737" i="20"/>
  <c r="K1737" i="20"/>
  <c r="L1736" i="20"/>
  <c r="K1736" i="20"/>
  <c r="J1736" i="20"/>
  <c r="S1728" i="20"/>
  <c r="N1728" i="20"/>
  <c r="N1727" i="20"/>
  <c r="N1726" i="20"/>
  <c r="P1725" i="20"/>
  <c r="P1723" i="20"/>
  <c r="P1721" i="20"/>
  <c r="P1719" i="20"/>
  <c r="P1717" i="20"/>
  <c r="P1715" i="20"/>
  <c r="L1702" i="20"/>
  <c r="K1702" i="20"/>
  <c r="J1702" i="20"/>
  <c r="L1701" i="20"/>
  <c r="K1701" i="20"/>
  <c r="L1700" i="20"/>
  <c r="K1700" i="20"/>
  <c r="L1699" i="20"/>
  <c r="K1699" i="20"/>
  <c r="L1698" i="20"/>
  <c r="K1698" i="20"/>
  <c r="J1698" i="20"/>
  <c r="L1697" i="20"/>
  <c r="K1697" i="20"/>
  <c r="J1697" i="20"/>
  <c r="N1689" i="20"/>
  <c r="P1688" i="20"/>
  <c r="N1688" i="20"/>
  <c r="N1687" i="20"/>
  <c r="P1686" i="20"/>
  <c r="P1684" i="20"/>
  <c r="P1682" i="20"/>
  <c r="P1680" i="20"/>
  <c r="P1678" i="20"/>
  <c r="L1665" i="20"/>
  <c r="K1665" i="20"/>
  <c r="J1665" i="20"/>
  <c r="L1664" i="20"/>
  <c r="K1664" i="20"/>
  <c r="L1663" i="20"/>
  <c r="K1663" i="20"/>
  <c r="L1662" i="20"/>
  <c r="K1662" i="20"/>
  <c r="L1661" i="20"/>
  <c r="K1661" i="20"/>
  <c r="J1661" i="20"/>
  <c r="L1660" i="20"/>
  <c r="K1660" i="20"/>
  <c r="J1660" i="20"/>
  <c r="N1652" i="20"/>
  <c r="P1651" i="20"/>
  <c r="N1651" i="20"/>
  <c r="N1650" i="20"/>
  <c r="P1649" i="20"/>
  <c r="P1647" i="20"/>
  <c r="P1645" i="20"/>
  <c r="P1643" i="20"/>
  <c r="P1641" i="20"/>
  <c r="L1628" i="20"/>
  <c r="K1628" i="20"/>
  <c r="J1628" i="20"/>
  <c r="L1627" i="20"/>
  <c r="K1627" i="20"/>
  <c r="L1626" i="20"/>
  <c r="K1626" i="20"/>
  <c r="J1626" i="20"/>
  <c r="L1625" i="20"/>
  <c r="K1625" i="20"/>
  <c r="L1624" i="20"/>
  <c r="K1624" i="20"/>
  <c r="L1623" i="20"/>
  <c r="K1623" i="20"/>
  <c r="J1623" i="20"/>
  <c r="N1615" i="20"/>
  <c r="P1614" i="20"/>
  <c r="N1614" i="20"/>
  <c r="N1613" i="20"/>
  <c r="P1612" i="20"/>
  <c r="P1610" i="20"/>
  <c r="P1608" i="20"/>
  <c r="P1606" i="20"/>
  <c r="P1604" i="20"/>
  <c r="L1591" i="20"/>
  <c r="K1591" i="20"/>
  <c r="J1591" i="20"/>
  <c r="L1590" i="20"/>
  <c r="K1590" i="20"/>
  <c r="L1589" i="20"/>
  <c r="K1589" i="20"/>
  <c r="J1589" i="20"/>
  <c r="L1588" i="20"/>
  <c r="K1588" i="20"/>
  <c r="L1587" i="20"/>
  <c r="K1587" i="20"/>
  <c r="L1586" i="20"/>
  <c r="K1586" i="20"/>
  <c r="J1586" i="20"/>
  <c r="N1578" i="20"/>
  <c r="P1577" i="20"/>
  <c r="N1577" i="20"/>
  <c r="N1576" i="20"/>
  <c r="P1575" i="20"/>
  <c r="P1573" i="20"/>
  <c r="P1571" i="20"/>
  <c r="P1569" i="20"/>
  <c r="P1567" i="20"/>
  <c r="L1554" i="20"/>
  <c r="K1554" i="20"/>
  <c r="J1554" i="20"/>
  <c r="L1553" i="20"/>
  <c r="K1553" i="20"/>
  <c r="L1552" i="20"/>
  <c r="K1552" i="20"/>
  <c r="J1552" i="20"/>
  <c r="L1551" i="20"/>
  <c r="K1551" i="20"/>
  <c r="L1550" i="20"/>
  <c r="K1550" i="20"/>
  <c r="L1549" i="20"/>
  <c r="K1549" i="20"/>
  <c r="J1549" i="20"/>
  <c r="N1541" i="20"/>
  <c r="P1540" i="20"/>
  <c r="N1540" i="20"/>
  <c r="N1539" i="20"/>
  <c r="P1538" i="20"/>
  <c r="P1536" i="20"/>
  <c r="P1534" i="20"/>
  <c r="P1532" i="20"/>
  <c r="L1517" i="20"/>
  <c r="K1517" i="20"/>
  <c r="J1517" i="20"/>
  <c r="L1516" i="20"/>
  <c r="K1516" i="20"/>
  <c r="L1515" i="20"/>
  <c r="K1515" i="20"/>
  <c r="L1514" i="20"/>
  <c r="K1514" i="20"/>
  <c r="L1513" i="20"/>
  <c r="K1513" i="20"/>
  <c r="J1513" i="20"/>
  <c r="L1512" i="20"/>
  <c r="K1512" i="20"/>
  <c r="J1512" i="20"/>
  <c r="N1504" i="20"/>
  <c r="P1503" i="20"/>
  <c r="N1503" i="20"/>
  <c r="N1502" i="20"/>
  <c r="P1501" i="20"/>
  <c r="I1500" i="20"/>
  <c r="P1499" i="20"/>
  <c r="I1498" i="20"/>
  <c r="P1497" i="20"/>
  <c r="I1496" i="20"/>
  <c r="P1495" i="20"/>
  <c r="I1494" i="20"/>
  <c r="P1493" i="20"/>
  <c r="I1492" i="20"/>
  <c r="P1491" i="20"/>
  <c r="D1479" i="20"/>
  <c r="C1479" i="20"/>
  <c r="B1479" i="20"/>
  <c r="L1478" i="20"/>
  <c r="K1478" i="20"/>
  <c r="J1478" i="20"/>
  <c r="D1478" i="20"/>
  <c r="C1478" i="20"/>
  <c r="L1477" i="20"/>
  <c r="K1477" i="20"/>
  <c r="D1477" i="20"/>
  <c r="C1477" i="20"/>
  <c r="L1476" i="20"/>
  <c r="K1476" i="20"/>
  <c r="D1476" i="20"/>
  <c r="C1476" i="20"/>
  <c r="L1475" i="20"/>
  <c r="K1475" i="20"/>
  <c r="D1475" i="20"/>
  <c r="C1475" i="20"/>
  <c r="B1475" i="20"/>
  <c r="L1474" i="20"/>
  <c r="K1474" i="20"/>
  <c r="J1474" i="20"/>
  <c r="D1474" i="20"/>
  <c r="C1474" i="20"/>
  <c r="B1474" i="20"/>
  <c r="L1473" i="20"/>
  <c r="K1473" i="20"/>
  <c r="J1473" i="20"/>
  <c r="F1466" i="20"/>
  <c r="N1465" i="20"/>
  <c r="F1465" i="20"/>
  <c r="N1464" i="20"/>
  <c r="F1464" i="20"/>
  <c r="N1463" i="20"/>
  <c r="H1463" i="20"/>
  <c r="P1462" i="20"/>
  <c r="H1461" i="20"/>
  <c r="P1460" i="20"/>
  <c r="A1460" i="20"/>
  <c r="H1459" i="20"/>
  <c r="A1456" i="20"/>
  <c r="H1455" i="20"/>
  <c r="P1454" i="20"/>
  <c r="A1454" i="20"/>
  <c r="H1453" i="20"/>
  <c r="P1452" i="20"/>
  <c r="A1452" i="20"/>
  <c r="D1440" i="20"/>
  <c r="C1440" i="20"/>
  <c r="B1440" i="20"/>
  <c r="L1439" i="20"/>
  <c r="K1439" i="20"/>
  <c r="J1439" i="20"/>
  <c r="D1439" i="20"/>
  <c r="C1439" i="20"/>
  <c r="L1438" i="20"/>
  <c r="K1438" i="20"/>
  <c r="D1438" i="20"/>
  <c r="C1438" i="20"/>
  <c r="L1437" i="20"/>
  <c r="K1437" i="20"/>
  <c r="J1437" i="20"/>
  <c r="D1437" i="20"/>
  <c r="C1437" i="20"/>
  <c r="B1437" i="20"/>
  <c r="L1436" i="20"/>
  <c r="K1436" i="20"/>
  <c r="D1436" i="20"/>
  <c r="C1436" i="20"/>
  <c r="B1436" i="20"/>
  <c r="L1435" i="20"/>
  <c r="K1435" i="20"/>
  <c r="L1434" i="20"/>
  <c r="K1434" i="20"/>
  <c r="J1434" i="20"/>
  <c r="F1428" i="20"/>
  <c r="F1427" i="20"/>
  <c r="N1426" i="20"/>
  <c r="F1426" i="20"/>
  <c r="N1425" i="20"/>
  <c r="H1425" i="20"/>
  <c r="N1424" i="20"/>
  <c r="P1423" i="20"/>
  <c r="H1423" i="20"/>
  <c r="A1422" i="20"/>
  <c r="P1421" i="20"/>
  <c r="H1421" i="20"/>
  <c r="A1420" i="20"/>
  <c r="P1419" i="20"/>
  <c r="H1419" i="20"/>
  <c r="A1418" i="20"/>
  <c r="P1417" i="20"/>
  <c r="H1417" i="20"/>
  <c r="A1416" i="20"/>
  <c r="P1415" i="20"/>
  <c r="D1404" i="20"/>
  <c r="C1404" i="20"/>
  <c r="B1404" i="20"/>
  <c r="D1403" i="20"/>
  <c r="C1403" i="20"/>
  <c r="L1402" i="20"/>
  <c r="K1402" i="20"/>
  <c r="J1402" i="20"/>
  <c r="D1402" i="20"/>
  <c r="C1402" i="20"/>
  <c r="L1401" i="20"/>
  <c r="K1401" i="20"/>
  <c r="D1401" i="20"/>
  <c r="C1401" i="20"/>
  <c r="L1400" i="20"/>
  <c r="K1400" i="20"/>
  <c r="D1400" i="20"/>
  <c r="C1400" i="20"/>
  <c r="B1400" i="20"/>
  <c r="L1399" i="20"/>
  <c r="K1399" i="20"/>
  <c r="D1399" i="20"/>
  <c r="C1399" i="20"/>
  <c r="B1399" i="20"/>
  <c r="L1398" i="20"/>
  <c r="K1398" i="20"/>
  <c r="J1398" i="20"/>
  <c r="L1397" i="20"/>
  <c r="K1397" i="20"/>
  <c r="J1397" i="20"/>
  <c r="F1391" i="20"/>
  <c r="F1390" i="20"/>
  <c r="N1389" i="20"/>
  <c r="F1389" i="20"/>
  <c r="P1388" i="20"/>
  <c r="N1388" i="20"/>
  <c r="H1388" i="20"/>
  <c r="N1387" i="20"/>
  <c r="P1386" i="20"/>
  <c r="H1386" i="20"/>
  <c r="A1385" i="20"/>
  <c r="P1384" i="20"/>
  <c r="H1384" i="20"/>
  <c r="A1383" i="20"/>
  <c r="P1382" i="20"/>
  <c r="H1382" i="20"/>
  <c r="I1381" i="20"/>
  <c r="A1381" i="20"/>
  <c r="P1380" i="20"/>
  <c r="H1380" i="20"/>
  <c r="I1379" i="20"/>
  <c r="A1379" i="20"/>
  <c r="P1378" i="20"/>
  <c r="D1367" i="20"/>
  <c r="C1367" i="20"/>
  <c r="B1367" i="20"/>
  <c r="D1366" i="20"/>
  <c r="C1366" i="20"/>
  <c r="L1365" i="20"/>
  <c r="K1365" i="20"/>
  <c r="J1365" i="20"/>
  <c r="D1365" i="20"/>
  <c r="C1365" i="20"/>
  <c r="L1364" i="20"/>
  <c r="K1364" i="20"/>
  <c r="D1364" i="20"/>
  <c r="C1364" i="20"/>
  <c r="L1363" i="20"/>
  <c r="K1363" i="20"/>
  <c r="D1363" i="20"/>
  <c r="C1363" i="20"/>
  <c r="B1363" i="20"/>
  <c r="L1362" i="20"/>
  <c r="K1362" i="20"/>
  <c r="D1362" i="20"/>
  <c r="C1362" i="20"/>
  <c r="B1362" i="20"/>
  <c r="L1361" i="20"/>
  <c r="K1361" i="20"/>
  <c r="L1360" i="20"/>
  <c r="K1360" i="20"/>
  <c r="J1360" i="20"/>
  <c r="F1354" i="20"/>
  <c r="F1353" i="20"/>
  <c r="N1352" i="20"/>
  <c r="F1352" i="20"/>
  <c r="P1351" i="20"/>
  <c r="N1351" i="20"/>
  <c r="H1351" i="20"/>
  <c r="N1350" i="20"/>
  <c r="A1350" i="20"/>
  <c r="P1349" i="20"/>
  <c r="H1349" i="20"/>
  <c r="I1348" i="20"/>
  <c r="A1348" i="20"/>
  <c r="P1347" i="20"/>
  <c r="H1347" i="20"/>
  <c r="I1346" i="20"/>
  <c r="A1346" i="20"/>
  <c r="P1345" i="20"/>
  <c r="H1345" i="20"/>
  <c r="I1344" i="20"/>
  <c r="A1344" i="20"/>
  <c r="P1343" i="20"/>
  <c r="H1343" i="20"/>
  <c r="I1342" i="20"/>
  <c r="A1342" i="20"/>
  <c r="P1341" i="20"/>
  <c r="H1341" i="20"/>
  <c r="A1340" i="20"/>
  <c r="L1328" i="20"/>
  <c r="K1328" i="20"/>
  <c r="J1328" i="20"/>
  <c r="D1328" i="20"/>
  <c r="C1328" i="20"/>
  <c r="B1328" i="20"/>
  <c r="L1327" i="20"/>
  <c r="K1327" i="20"/>
  <c r="D1327" i="20"/>
  <c r="C1327" i="20"/>
  <c r="L1326" i="20"/>
  <c r="K1326" i="20"/>
  <c r="D1326" i="20"/>
  <c r="C1326" i="20"/>
  <c r="L1325" i="20"/>
  <c r="K1325" i="20"/>
  <c r="D1325" i="20"/>
  <c r="C1325" i="20"/>
  <c r="L1324" i="20"/>
  <c r="K1324" i="20"/>
  <c r="J1324" i="20"/>
  <c r="D1324" i="20"/>
  <c r="C1324" i="20"/>
  <c r="B1324" i="20"/>
  <c r="L1323" i="20"/>
  <c r="K1323" i="20"/>
  <c r="J1323" i="20"/>
  <c r="D1323" i="20"/>
  <c r="C1323" i="20"/>
  <c r="B1323" i="20"/>
  <c r="N1315" i="20"/>
  <c r="F1315" i="20"/>
  <c r="P1314" i="20"/>
  <c r="N1314" i="20"/>
  <c r="F1314" i="20"/>
  <c r="N1313" i="20"/>
  <c r="F1313" i="20"/>
  <c r="P1312" i="20"/>
  <c r="H1312" i="20"/>
  <c r="I1311" i="20"/>
  <c r="A1311" i="20"/>
  <c r="P1310" i="20"/>
  <c r="H1310" i="20"/>
  <c r="I1309" i="20"/>
  <c r="A1309" i="20"/>
  <c r="P1308" i="20"/>
  <c r="H1308" i="20"/>
  <c r="I1307" i="20"/>
  <c r="A1307" i="20"/>
  <c r="P1306" i="20"/>
  <c r="H1306" i="20"/>
  <c r="I1305" i="20"/>
  <c r="A1305" i="20"/>
  <c r="P1304" i="20"/>
  <c r="H1304" i="20"/>
  <c r="A1303" i="20"/>
  <c r="L1291" i="20"/>
  <c r="K1291" i="20"/>
  <c r="J1291" i="20"/>
  <c r="D1291" i="20"/>
  <c r="C1291" i="20"/>
  <c r="B1291" i="20"/>
  <c r="L1290" i="20"/>
  <c r="K1290" i="20"/>
  <c r="D1290" i="20"/>
  <c r="C1290" i="20"/>
  <c r="L1289" i="20"/>
  <c r="K1289" i="20"/>
  <c r="J1289" i="20"/>
  <c r="D1289" i="20"/>
  <c r="C1289" i="20"/>
  <c r="L1288" i="20"/>
  <c r="K1288" i="20"/>
  <c r="D1288" i="20"/>
  <c r="C1288" i="20"/>
  <c r="L1287" i="20"/>
  <c r="K1287" i="20"/>
  <c r="D1287" i="20"/>
  <c r="C1287" i="20"/>
  <c r="B1287" i="20"/>
  <c r="L1286" i="20"/>
  <c r="K1286" i="20"/>
  <c r="J1286" i="20"/>
  <c r="D1286" i="20"/>
  <c r="C1286" i="20"/>
  <c r="B1286" i="20"/>
  <c r="N1278" i="20"/>
  <c r="F1278" i="20"/>
  <c r="N1277" i="20"/>
  <c r="F1277" i="20"/>
  <c r="N1276" i="20"/>
  <c r="F1276" i="20"/>
  <c r="H1275" i="20"/>
  <c r="A1274" i="20"/>
  <c r="H1273" i="20"/>
  <c r="A1272" i="20"/>
  <c r="H1271" i="20"/>
  <c r="A1270" i="20"/>
  <c r="H1269" i="20"/>
  <c r="P1268" i="20"/>
  <c r="A1268" i="20"/>
  <c r="H1267" i="20"/>
  <c r="P1266" i="20"/>
  <c r="A1266" i="20"/>
  <c r="L1254" i="20"/>
  <c r="K1254" i="20"/>
  <c r="J1254" i="20"/>
  <c r="D1254" i="20"/>
  <c r="C1254" i="20"/>
  <c r="B1254" i="20"/>
  <c r="L1253" i="20"/>
  <c r="K1253" i="20"/>
  <c r="D1253" i="20"/>
  <c r="C1253" i="20"/>
  <c r="L1252" i="20"/>
  <c r="K1252" i="20"/>
  <c r="J1252" i="20"/>
  <c r="D1252" i="20"/>
  <c r="C1252" i="20"/>
  <c r="L1251" i="20"/>
  <c r="K1251" i="20"/>
  <c r="D1251" i="20"/>
  <c r="C1251" i="20"/>
  <c r="L1250" i="20"/>
  <c r="K1250" i="20"/>
  <c r="J1250" i="20"/>
  <c r="D1250" i="20"/>
  <c r="C1250" i="20"/>
  <c r="B1250" i="20"/>
  <c r="L1249" i="20"/>
  <c r="K1249" i="20"/>
  <c r="J1249" i="20"/>
  <c r="D1249" i="20"/>
  <c r="C1249" i="20"/>
  <c r="B1249" i="20"/>
  <c r="N1241" i="20"/>
  <c r="F1241" i="20"/>
  <c r="N1240" i="20"/>
  <c r="F1240" i="20"/>
  <c r="N1239" i="20"/>
  <c r="F1239" i="20"/>
  <c r="P1238" i="20"/>
  <c r="H1238" i="20"/>
  <c r="A1237" i="20"/>
  <c r="P1236" i="20"/>
  <c r="H1236" i="20"/>
  <c r="A1235" i="20"/>
  <c r="P1234" i="20"/>
  <c r="H1234" i="20"/>
  <c r="A1233" i="20"/>
  <c r="H1232" i="20"/>
  <c r="P1231" i="20"/>
  <c r="A1231" i="20"/>
  <c r="H1230" i="20"/>
  <c r="P1229" i="20"/>
  <c r="A1229" i="20"/>
  <c r="L1217" i="20"/>
  <c r="K1217" i="20"/>
  <c r="J1217" i="20"/>
  <c r="D1217" i="20"/>
  <c r="C1217" i="20"/>
  <c r="B1217" i="20"/>
  <c r="L1216" i="20"/>
  <c r="K1216" i="20"/>
  <c r="D1216" i="20"/>
  <c r="C1216" i="20"/>
  <c r="L1215" i="20"/>
  <c r="K1215" i="20"/>
  <c r="D1215" i="20"/>
  <c r="C1215" i="20"/>
  <c r="L1214" i="20"/>
  <c r="K1214" i="20"/>
  <c r="D1214" i="20"/>
  <c r="C1214" i="20"/>
  <c r="L1213" i="20"/>
  <c r="K1213" i="20"/>
  <c r="J1213" i="20"/>
  <c r="D1213" i="20"/>
  <c r="C1213" i="20"/>
  <c r="B1213" i="20"/>
  <c r="L1212" i="20"/>
  <c r="K1212" i="20"/>
  <c r="J1212" i="20"/>
  <c r="D1212" i="20"/>
  <c r="C1212" i="20"/>
  <c r="B1212" i="20"/>
  <c r="N1204" i="20"/>
  <c r="F1204" i="20"/>
  <c r="P1203" i="20"/>
  <c r="N1203" i="20"/>
  <c r="F1203" i="20"/>
  <c r="N1202" i="20"/>
  <c r="F1202" i="20"/>
  <c r="H1201" i="20"/>
  <c r="P1199" i="20"/>
  <c r="I1198" i="20"/>
  <c r="H1197" i="20"/>
  <c r="I1196" i="20"/>
  <c r="H1195" i="20"/>
  <c r="I1194" i="20"/>
  <c r="A1194" i="20"/>
  <c r="H1193" i="20"/>
  <c r="P1192" i="20"/>
  <c r="I1192" i="20"/>
  <c r="A1192" i="20"/>
  <c r="H1191" i="20"/>
  <c r="P1190" i="20"/>
  <c r="A1190" i="20"/>
  <c r="L1178" i="20"/>
  <c r="K1178" i="20"/>
  <c r="J1178" i="20"/>
  <c r="D1178" i="20"/>
  <c r="C1178" i="20"/>
  <c r="B1178" i="20"/>
  <c r="L1177" i="20"/>
  <c r="K1177" i="20"/>
  <c r="D1177" i="20"/>
  <c r="C1177" i="20"/>
  <c r="L1176" i="20"/>
  <c r="K1176" i="20"/>
  <c r="J1176" i="20"/>
  <c r="D1176" i="20"/>
  <c r="C1176" i="20"/>
  <c r="L1175" i="20"/>
  <c r="K1175" i="20"/>
  <c r="D1175" i="20"/>
  <c r="C1175" i="20"/>
  <c r="L1174" i="20"/>
  <c r="K1174" i="20"/>
  <c r="J1174" i="20"/>
  <c r="D1174" i="20"/>
  <c r="C1174" i="20"/>
  <c r="B1174" i="20"/>
  <c r="L1173" i="20"/>
  <c r="K1173" i="20"/>
  <c r="J1173" i="20"/>
  <c r="D1173" i="20"/>
  <c r="C1173" i="20"/>
  <c r="B1173" i="20"/>
  <c r="N1165" i="20"/>
  <c r="F1165" i="20"/>
  <c r="N1164" i="20"/>
  <c r="F1164" i="20"/>
  <c r="N1163" i="20"/>
  <c r="F1163" i="20"/>
  <c r="H1162" i="20"/>
  <c r="P1161" i="20"/>
  <c r="I1161" i="20"/>
  <c r="H1160" i="20"/>
  <c r="P1159" i="20"/>
  <c r="I1159" i="20"/>
  <c r="P1157" i="20"/>
  <c r="I1157" i="20"/>
  <c r="P1156" i="20"/>
  <c r="H1156" i="20"/>
  <c r="I1155" i="20"/>
  <c r="A1155" i="20"/>
  <c r="H1154" i="20"/>
  <c r="P1153" i="20"/>
  <c r="A1153" i="20"/>
  <c r="L1141" i="20"/>
  <c r="K1141" i="20"/>
  <c r="J1141" i="20"/>
  <c r="D1141" i="20"/>
  <c r="C1141" i="20"/>
  <c r="B1141" i="20"/>
  <c r="L1140" i="20"/>
  <c r="K1140" i="20"/>
  <c r="D1140" i="20"/>
  <c r="C1140" i="20"/>
  <c r="L1139" i="20"/>
  <c r="K1139" i="20"/>
  <c r="D1139" i="20"/>
  <c r="C1139" i="20"/>
  <c r="L1138" i="20"/>
  <c r="K1138" i="20"/>
  <c r="D1138" i="20"/>
  <c r="C1138" i="20"/>
  <c r="L1137" i="20"/>
  <c r="K1137" i="20"/>
  <c r="J1137" i="20"/>
  <c r="D1137" i="20"/>
  <c r="C1137" i="20"/>
  <c r="B1137" i="20"/>
  <c r="L1136" i="20"/>
  <c r="K1136" i="20"/>
  <c r="J1136" i="20"/>
  <c r="D1136" i="20"/>
  <c r="C1136" i="20"/>
  <c r="B1136" i="20"/>
  <c r="N1128" i="20"/>
  <c r="F1128" i="20"/>
  <c r="N1127" i="20"/>
  <c r="F1127" i="20"/>
  <c r="N1126" i="20"/>
  <c r="F1126" i="20"/>
  <c r="P1125" i="20"/>
  <c r="H1125" i="20"/>
  <c r="I1124" i="20"/>
  <c r="P1123" i="20"/>
  <c r="H1123" i="20"/>
  <c r="I1122" i="20"/>
  <c r="P1121" i="20"/>
  <c r="I1120" i="20"/>
  <c r="H1119" i="20"/>
  <c r="I1118" i="20"/>
  <c r="P1117" i="20"/>
  <c r="H1117" i="20"/>
  <c r="P1116" i="20"/>
  <c r="L1104" i="20"/>
  <c r="K1104" i="20"/>
  <c r="J1104" i="20"/>
  <c r="D1104" i="20"/>
  <c r="C1104" i="20"/>
  <c r="B1104" i="20"/>
  <c r="L1103" i="20"/>
  <c r="K1103" i="20"/>
  <c r="D1103" i="20"/>
  <c r="C1103" i="20"/>
  <c r="L1102" i="20"/>
  <c r="K1102" i="20"/>
  <c r="J1102" i="20"/>
  <c r="D1102" i="20"/>
  <c r="C1102" i="20"/>
  <c r="L1101" i="20"/>
  <c r="K1101" i="20"/>
  <c r="D1101" i="20"/>
  <c r="C1101" i="20"/>
  <c r="L1100" i="20"/>
  <c r="K1100" i="20"/>
  <c r="J1100" i="20"/>
  <c r="D1100" i="20"/>
  <c r="C1100" i="20"/>
  <c r="B1100" i="20"/>
  <c r="L1099" i="20"/>
  <c r="K1099" i="20"/>
  <c r="J1099" i="20"/>
  <c r="D1099" i="20"/>
  <c r="C1099" i="20"/>
  <c r="B1099" i="20"/>
  <c r="N1091" i="20"/>
  <c r="F1091" i="20"/>
  <c r="N1090" i="20"/>
  <c r="F1090" i="20"/>
  <c r="N1089" i="20"/>
  <c r="F1089" i="20"/>
  <c r="P1088" i="20"/>
  <c r="H1088" i="20"/>
  <c r="A1087" i="20"/>
  <c r="P1086" i="20"/>
  <c r="H1086" i="20"/>
  <c r="I1085" i="20"/>
  <c r="A1085" i="20"/>
  <c r="P1084" i="20"/>
  <c r="H1084" i="20"/>
  <c r="I1083" i="20"/>
  <c r="A1083" i="20"/>
  <c r="P1082" i="20"/>
  <c r="H1082" i="20"/>
  <c r="I1081" i="20"/>
  <c r="A1081" i="20"/>
  <c r="P1080" i="20"/>
  <c r="H1080" i="20"/>
  <c r="A1079" i="20"/>
  <c r="L1067" i="20"/>
  <c r="K1067" i="20"/>
  <c r="J1067" i="20"/>
  <c r="D1067" i="20"/>
  <c r="C1067" i="20"/>
  <c r="B1067" i="20"/>
  <c r="L1066" i="20"/>
  <c r="K1066" i="20"/>
  <c r="D1066" i="20"/>
  <c r="C1066" i="20"/>
  <c r="L1065" i="20"/>
  <c r="K1065" i="20"/>
  <c r="J1065" i="20"/>
  <c r="D1065" i="20"/>
  <c r="C1065" i="20"/>
  <c r="L1064" i="20"/>
  <c r="K1064" i="20"/>
  <c r="D1064" i="20"/>
  <c r="C1064" i="20"/>
  <c r="L1063" i="20"/>
  <c r="K1063" i="20"/>
  <c r="J1063" i="20"/>
  <c r="D1063" i="20"/>
  <c r="C1063" i="20"/>
  <c r="B1063" i="20"/>
  <c r="L1062" i="20"/>
  <c r="K1062" i="20"/>
  <c r="D1062" i="20"/>
  <c r="C1062" i="20"/>
  <c r="B1062" i="20"/>
  <c r="N1054" i="20"/>
  <c r="F1054" i="20"/>
  <c r="N1053" i="20"/>
  <c r="F1053" i="20"/>
  <c r="N1052" i="20"/>
  <c r="F1052" i="20"/>
  <c r="P1051" i="20"/>
  <c r="H1051" i="20"/>
  <c r="I1050" i="20"/>
  <c r="P1049" i="20"/>
  <c r="H1049" i="20"/>
  <c r="I1048" i="20"/>
  <c r="P1047" i="20"/>
  <c r="H1047" i="20"/>
  <c r="I1046" i="20"/>
  <c r="P1045" i="20"/>
  <c r="H1045" i="20"/>
  <c r="I1044" i="20"/>
  <c r="A1044" i="20"/>
  <c r="P1043" i="20"/>
  <c r="H1043" i="20"/>
  <c r="H1042" i="20"/>
  <c r="A1042" i="20"/>
  <c r="L1030" i="20"/>
  <c r="K1030" i="20"/>
  <c r="J1030" i="20"/>
  <c r="D1030" i="20"/>
  <c r="C1030" i="20"/>
  <c r="L1029" i="20"/>
  <c r="K1029" i="20"/>
  <c r="D1029" i="20"/>
  <c r="C1029" i="20"/>
  <c r="L1028" i="20"/>
  <c r="K1028" i="20"/>
  <c r="D1028" i="20"/>
  <c r="C1028" i="20"/>
  <c r="B1028" i="20"/>
  <c r="L1027" i="20"/>
  <c r="K1027" i="20"/>
  <c r="D1027" i="20"/>
  <c r="C1027" i="20"/>
  <c r="B1027" i="20"/>
  <c r="L1026" i="20"/>
  <c r="K1026" i="20"/>
  <c r="J1026" i="20"/>
  <c r="L1025" i="20"/>
  <c r="K1025" i="20"/>
  <c r="J1025" i="20"/>
  <c r="F1019" i="20"/>
  <c r="F1018" i="20"/>
  <c r="N1017" i="20"/>
  <c r="F1017" i="20"/>
  <c r="N1016" i="20"/>
  <c r="H1016" i="20"/>
  <c r="N1015" i="20"/>
  <c r="A1015" i="20"/>
  <c r="P1014" i="20"/>
  <c r="H1014" i="20"/>
  <c r="I1013" i="20"/>
  <c r="A1013" i="20"/>
  <c r="P1012" i="20"/>
  <c r="H1012" i="20"/>
  <c r="I1011" i="20"/>
  <c r="A1011" i="20"/>
  <c r="P1010" i="20"/>
  <c r="H1010" i="20"/>
  <c r="I1009" i="20"/>
  <c r="A1009" i="20"/>
  <c r="P1008" i="20"/>
  <c r="H1007" i="20"/>
  <c r="A1007" i="20"/>
  <c r="P1006" i="20"/>
  <c r="D995" i="20"/>
  <c r="C995" i="20"/>
  <c r="B995" i="20"/>
  <c r="D994" i="20"/>
  <c r="C994" i="20"/>
  <c r="L993" i="20"/>
  <c r="K993" i="20"/>
  <c r="J993" i="20"/>
  <c r="D993" i="20"/>
  <c r="C993" i="20"/>
  <c r="L992" i="20"/>
  <c r="K992" i="20"/>
  <c r="D992" i="20"/>
  <c r="C992" i="20"/>
  <c r="L991" i="20"/>
  <c r="K991" i="20"/>
  <c r="D991" i="20"/>
  <c r="C991" i="20"/>
  <c r="B991" i="20"/>
  <c r="L990" i="20"/>
  <c r="K990" i="20"/>
  <c r="D990" i="20"/>
  <c r="C990" i="20"/>
  <c r="B990" i="20"/>
  <c r="L989" i="20"/>
  <c r="K989" i="20"/>
  <c r="J989" i="20"/>
  <c r="L988" i="20"/>
  <c r="K988" i="20"/>
  <c r="J988" i="20"/>
  <c r="F982" i="20"/>
  <c r="F981" i="20"/>
  <c r="N980" i="20"/>
  <c r="F980" i="20"/>
  <c r="P979" i="20"/>
  <c r="N979" i="20"/>
  <c r="H979" i="20"/>
  <c r="N978" i="20"/>
  <c r="P977" i="20"/>
  <c r="H977" i="20"/>
  <c r="A976" i="20"/>
  <c r="P975" i="20"/>
  <c r="H975" i="20"/>
  <c r="I974" i="20"/>
  <c r="A974" i="20"/>
  <c r="P973" i="20"/>
  <c r="I972" i="20"/>
  <c r="P971" i="20"/>
  <c r="H971" i="20"/>
  <c r="I970" i="20"/>
  <c r="A970" i="20"/>
  <c r="P969" i="20"/>
  <c r="H969" i="20"/>
  <c r="I968" i="20"/>
  <c r="H968" i="20"/>
  <c r="A968" i="20"/>
  <c r="P967" i="20"/>
  <c r="D956" i="20"/>
  <c r="C956" i="20"/>
  <c r="B956" i="20"/>
  <c r="D955" i="20"/>
  <c r="C955" i="20"/>
  <c r="L954" i="20"/>
  <c r="K954" i="20"/>
  <c r="J954" i="20"/>
  <c r="D954" i="20"/>
  <c r="C954" i="20"/>
  <c r="B954" i="20"/>
  <c r="L953" i="20"/>
  <c r="K953" i="20"/>
  <c r="D953" i="20"/>
  <c r="C953" i="20"/>
  <c r="L952" i="20"/>
  <c r="K952" i="20"/>
  <c r="D952" i="20"/>
  <c r="C952" i="20"/>
  <c r="B952" i="20"/>
  <c r="L951" i="20"/>
  <c r="K951" i="20"/>
  <c r="D951" i="20"/>
  <c r="C951" i="20"/>
  <c r="B951" i="20"/>
  <c r="L950" i="20"/>
  <c r="K950" i="20"/>
  <c r="J950" i="20"/>
  <c r="L949" i="20"/>
  <c r="K949" i="20"/>
  <c r="J949" i="20"/>
  <c r="F943" i="20"/>
  <c r="F942" i="20"/>
  <c r="N941" i="20"/>
  <c r="F941" i="20"/>
  <c r="P940" i="20"/>
  <c r="N940" i="20"/>
  <c r="H940" i="20"/>
  <c r="N939" i="20"/>
  <c r="P938" i="20"/>
  <c r="H938" i="20"/>
  <c r="I937" i="20"/>
  <c r="P936" i="20"/>
  <c r="H936" i="20"/>
  <c r="I935" i="20"/>
  <c r="P934" i="20"/>
  <c r="I933" i="20"/>
  <c r="P932" i="20"/>
  <c r="H932" i="20"/>
  <c r="I931" i="20"/>
  <c r="P930" i="20"/>
  <c r="H930" i="20"/>
  <c r="I929" i="20"/>
  <c r="H929" i="20"/>
  <c r="A929" i="20"/>
  <c r="P928" i="20"/>
  <c r="D917" i="20"/>
  <c r="C917" i="20"/>
  <c r="B917" i="20"/>
  <c r="D916" i="20"/>
  <c r="C916" i="20"/>
  <c r="L915" i="20"/>
  <c r="K915" i="20"/>
  <c r="J915" i="20"/>
  <c r="D915" i="20"/>
  <c r="C915" i="20"/>
  <c r="B915" i="20"/>
  <c r="L914" i="20"/>
  <c r="K914" i="20"/>
  <c r="D914" i="20"/>
  <c r="C914" i="20"/>
  <c r="L913" i="20"/>
  <c r="K913" i="20"/>
  <c r="D913" i="20"/>
  <c r="C913" i="20"/>
  <c r="B913" i="20"/>
  <c r="L912" i="20"/>
  <c r="K912" i="20"/>
  <c r="D912" i="20"/>
  <c r="C912" i="20"/>
  <c r="B912" i="20"/>
  <c r="L911" i="20"/>
  <c r="K911" i="20"/>
  <c r="J911" i="20"/>
  <c r="L910" i="20"/>
  <c r="K910" i="20"/>
  <c r="J910" i="20"/>
  <c r="F904" i="20"/>
  <c r="F903" i="20"/>
  <c r="N902" i="20"/>
  <c r="F902" i="20"/>
  <c r="P901" i="20"/>
  <c r="N901" i="20"/>
  <c r="H901" i="20"/>
  <c r="N900" i="20"/>
  <c r="P899" i="20"/>
  <c r="H899" i="20"/>
  <c r="I898" i="20"/>
  <c r="P897" i="20"/>
  <c r="H897" i="20"/>
  <c r="I896" i="20"/>
  <c r="A896" i="20"/>
  <c r="P895" i="20"/>
  <c r="H895" i="20"/>
  <c r="I894" i="20"/>
  <c r="A894" i="20"/>
  <c r="P893" i="20"/>
  <c r="H893" i="20"/>
  <c r="I892" i="20"/>
  <c r="A892" i="20"/>
  <c r="P891" i="20"/>
  <c r="I890" i="20"/>
  <c r="D880" i="20"/>
  <c r="C880" i="20"/>
  <c r="B880" i="20"/>
  <c r="D879" i="20"/>
  <c r="C879" i="20"/>
  <c r="L878" i="20"/>
  <c r="K878" i="20"/>
  <c r="J878" i="20"/>
  <c r="D878" i="20"/>
  <c r="C878" i="20"/>
  <c r="B878" i="20"/>
  <c r="L877" i="20"/>
  <c r="K877" i="20"/>
  <c r="D877" i="20"/>
  <c r="C877" i="20"/>
  <c r="L876" i="20"/>
  <c r="K876" i="20"/>
  <c r="D876" i="20"/>
  <c r="C876" i="20"/>
  <c r="B876" i="20"/>
  <c r="L875" i="20"/>
  <c r="K875" i="20"/>
  <c r="D875" i="20"/>
  <c r="C875" i="20"/>
  <c r="B875" i="20"/>
  <c r="L874" i="20"/>
  <c r="K874" i="20"/>
  <c r="J874" i="20"/>
  <c r="L873" i="20"/>
  <c r="K873" i="20"/>
  <c r="J873" i="20"/>
  <c r="F867" i="20"/>
  <c r="F866" i="20"/>
  <c r="N865" i="20"/>
  <c r="F865" i="20"/>
  <c r="P864" i="20"/>
  <c r="N864" i="20"/>
  <c r="H864" i="20"/>
  <c r="N863" i="20"/>
  <c r="A863" i="20"/>
  <c r="P862" i="20"/>
  <c r="H862" i="20"/>
  <c r="I861" i="20"/>
  <c r="A861" i="20"/>
  <c r="P860" i="20"/>
  <c r="H860" i="20"/>
  <c r="I859" i="20"/>
  <c r="A859" i="20"/>
  <c r="P858" i="20"/>
  <c r="H858" i="20"/>
  <c r="I857" i="20"/>
  <c r="A857" i="20"/>
  <c r="P856" i="20"/>
  <c r="H856" i="20"/>
  <c r="I855" i="20"/>
  <c r="A855" i="20"/>
  <c r="P854" i="20"/>
  <c r="I853" i="20"/>
  <c r="D843" i="20"/>
  <c r="C843" i="20"/>
  <c r="B843" i="20"/>
  <c r="D842" i="20"/>
  <c r="C842" i="20"/>
  <c r="L841" i="20"/>
  <c r="K841" i="20"/>
  <c r="J841" i="20"/>
  <c r="D841" i="20"/>
  <c r="C841" i="20"/>
  <c r="L840" i="20"/>
  <c r="K840" i="20"/>
  <c r="D840" i="20"/>
  <c r="C840" i="20"/>
  <c r="L839" i="20"/>
  <c r="K839" i="20"/>
  <c r="D839" i="20"/>
  <c r="C839" i="20"/>
  <c r="B839" i="20"/>
  <c r="L838" i="20"/>
  <c r="K838" i="20"/>
  <c r="D838" i="20"/>
  <c r="C838" i="20"/>
  <c r="B838" i="20"/>
  <c r="L837" i="20"/>
  <c r="K837" i="20"/>
  <c r="J837" i="20"/>
  <c r="L836" i="20"/>
  <c r="K836" i="20"/>
  <c r="J836" i="20"/>
  <c r="F830" i="20"/>
  <c r="F829" i="20"/>
  <c r="N828" i="20"/>
  <c r="F828" i="20"/>
  <c r="P827" i="20"/>
  <c r="N827" i="20"/>
  <c r="H827" i="20"/>
  <c r="N826" i="20"/>
  <c r="A826" i="20"/>
  <c r="P825" i="20"/>
  <c r="H825" i="20"/>
  <c r="I824" i="20"/>
  <c r="A824" i="20"/>
  <c r="P823" i="20"/>
  <c r="H823" i="20"/>
  <c r="I822" i="20"/>
  <c r="A822" i="20"/>
  <c r="P821" i="20"/>
  <c r="H821" i="20"/>
  <c r="I820" i="20"/>
  <c r="A820" i="20"/>
  <c r="P819" i="20"/>
  <c r="H819" i="20"/>
  <c r="I818" i="20"/>
  <c r="A818" i="20"/>
  <c r="P817" i="20"/>
  <c r="D806" i="20"/>
  <c r="C806" i="20"/>
  <c r="B806" i="20"/>
  <c r="D805" i="20"/>
  <c r="C805" i="20"/>
  <c r="L804" i="20"/>
  <c r="K804" i="20"/>
  <c r="J804" i="20"/>
  <c r="D804" i="20"/>
  <c r="C804" i="20"/>
  <c r="B804" i="20"/>
  <c r="L803" i="20"/>
  <c r="K803" i="20"/>
  <c r="D803" i="20"/>
  <c r="C803" i="20"/>
  <c r="L802" i="20"/>
  <c r="K802" i="20"/>
  <c r="J802" i="20"/>
  <c r="D802" i="20"/>
  <c r="C802" i="20"/>
  <c r="B802" i="20"/>
  <c r="L801" i="20"/>
  <c r="K801" i="20"/>
  <c r="D801" i="20"/>
  <c r="C801" i="20"/>
  <c r="B801" i="20"/>
  <c r="L800" i="20"/>
  <c r="K800" i="20"/>
  <c r="L799" i="20"/>
  <c r="K799" i="20"/>
  <c r="J799" i="20"/>
  <c r="F793" i="20"/>
  <c r="F792" i="20"/>
  <c r="N791" i="20"/>
  <c r="F791" i="20"/>
  <c r="N790" i="20"/>
  <c r="H790" i="20"/>
  <c r="N789" i="20"/>
  <c r="P788" i="20"/>
  <c r="H788" i="20"/>
  <c r="P786" i="20"/>
  <c r="H786" i="20"/>
  <c r="A785" i="20"/>
  <c r="P784" i="20"/>
  <c r="H784" i="20"/>
  <c r="A783" i="20"/>
  <c r="P782" i="20"/>
  <c r="H782" i="20"/>
  <c r="A781" i="20"/>
  <c r="P780" i="20"/>
  <c r="P779" i="20"/>
  <c r="D769" i="20"/>
  <c r="C769" i="20"/>
  <c r="B769" i="20"/>
  <c r="D768" i="20"/>
  <c r="C768" i="20"/>
  <c r="L767" i="20"/>
  <c r="K767" i="20"/>
  <c r="J767" i="20"/>
  <c r="D767" i="20"/>
  <c r="C767" i="20"/>
  <c r="L766" i="20"/>
  <c r="K766" i="20"/>
  <c r="D766" i="20"/>
  <c r="C766" i="20"/>
  <c r="L765" i="20"/>
  <c r="K765" i="20"/>
  <c r="D765" i="20"/>
  <c r="C765" i="20"/>
  <c r="B765" i="20"/>
  <c r="L764" i="20"/>
  <c r="K764" i="20"/>
  <c r="D764" i="20"/>
  <c r="C764" i="20"/>
  <c r="B764" i="20"/>
  <c r="L763" i="20"/>
  <c r="K763" i="20"/>
  <c r="J763" i="20"/>
  <c r="L762" i="20"/>
  <c r="K762" i="20"/>
  <c r="J762" i="20"/>
  <c r="F756" i="20"/>
  <c r="F755" i="20"/>
  <c r="N754" i="20"/>
  <c r="F754" i="20"/>
  <c r="P753" i="20"/>
  <c r="N753" i="20"/>
  <c r="H753" i="20"/>
  <c r="N752" i="20"/>
  <c r="A752" i="20"/>
  <c r="P751" i="20"/>
  <c r="H751" i="20"/>
  <c r="A750" i="20"/>
  <c r="P749" i="20"/>
  <c r="H749" i="20"/>
  <c r="A748" i="20"/>
  <c r="P747" i="20"/>
  <c r="H747" i="20"/>
  <c r="A746" i="20"/>
  <c r="P745" i="20"/>
  <c r="H745" i="20"/>
  <c r="A744" i="20"/>
  <c r="P743" i="20"/>
  <c r="D732" i="20"/>
  <c r="C732" i="20"/>
  <c r="B732" i="20"/>
  <c r="D731" i="20"/>
  <c r="C731" i="20"/>
  <c r="L730" i="20"/>
  <c r="K730" i="20"/>
  <c r="J730" i="20"/>
  <c r="D730" i="20"/>
  <c r="C730" i="20"/>
  <c r="B730" i="20"/>
  <c r="L729" i="20"/>
  <c r="K729" i="20"/>
  <c r="D729" i="20"/>
  <c r="C729" i="20"/>
  <c r="L728" i="20"/>
  <c r="K728" i="20"/>
  <c r="J728" i="20"/>
  <c r="D728" i="20"/>
  <c r="C728" i="20"/>
  <c r="B728" i="20"/>
  <c r="L727" i="20"/>
  <c r="K727" i="20"/>
  <c r="D727" i="20"/>
  <c r="C727" i="20"/>
  <c r="B727" i="20"/>
  <c r="L726" i="20"/>
  <c r="K726" i="20"/>
  <c r="J726" i="20"/>
  <c r="L725" i="20"/>
  <c r="K725" i="20"/>
  <c r="J725" i="20"/>
  <c r="F719" i="20"/>
  <c r="F718" i="20"/>
  <c r="N717" i="20"/>
  <c r="F717" i="20"/>
  <c r="N716" i="20"/>
  <c r="H716" i="20"/>
  <c r="N715" i="20"/>
  <c r="A715" i="20"/>
  <c r="P714" i="20"/>
  <c r="H713" i="20"/>
  <c r="A713" i="20"/>
  <c r="P712" i="20"/>
  <c r="H712" i="20"/>
  <c r="A711" i="20"/>
  <c r="P710" i="20"/>
  <c r="H710" i="20"/>
  <c r="A709" i="20"/>
  <c r="P708" i="20"/>
  <c r="H708" i="20"/>
  <c r="A707" i="20"/>
  <c r="P706" i="20"/>
  <c r="H706" i="20"/>
  <c r="A705" i="20"/>
  <c r="L693" i="20"/>
  <c r="K693" i="20"/>
  <c r="J693" i="20"/>
  <c r="D693" i="20"/>
  <c r="C693" i="20"/>
  <c r="B693" i="20"/>
  <c r="L692" i="20"/>
  <c r="K692" i="20"/>
  <c r="D692" i="20"/>
  <c r="C692" i="20"/>
  <c r="L691" i="20"/>
  <c r="K691" i="20"/>
  <c r="D691" i="20"/>
  <c r="C691" i="20"/>
  <c r="L690" i="20"/>
  <c r="K690" i="20"/>
  <c r="D690" i="20"/>
  <c r="C690" i="20"/>
  <c r="L689" i="20"/>
  <c r="K689" i="20"/>
  <c r="J689" i="20"/>
  <c r="D689" i="20"/>
  <c r="C689" i="20"/>
  <c r="B689" i="20"/>
  <c r="L688" i="20"/>
  <c r="K688" i="20"/>
  <c r="J688" i="20"/>
  <c r="D688" i="20"/>
  <c r="C688" i="20"/>
  <c r="B688" i="20"/>
  <c r="N680" i="20"/>
  <c r="F680" i="20"/>
  <c r="P679" i="20"/>
  <c r="N679" i="20"/>
  <c r="F679" i="20"/>
  <c r="N678" i="20"/>
  <c r="F678" i="20"/>
  <c r="P677" i="20"/>
  <c r="H677" i="20"/>
  <c r="A676" i="20"/>
  <c r="P675" i="20"/>
  <c r="P673" i="20"/>
  <c r="H673" i="20"/>
  <c r="A672" i="20"/>
  <c r="P671" i="20"/>
  <c r="H671" i="20"/>
  <c r="A670" i="20"/>
  <c r="P669" i="20"/>
  <c r="H669" i="20"/>
  <c r="A668" i="20"/>
  <c r="P667" i="20"/>
  <c r="H667" i="20"/>
  <c r="A666" i="20"/>
  <c r="L654" i="20"/>
  <c r="K654" i="20"/>
  <c r="J654" i="20"/>
  <c r="D654" i="20"/>
  <c r="C654" i="20"/>
  <c r="B654" i="20"/>
  <c r="L653" i="20"/>
  <c r="K653" i="20"/>
  <c r="D653" i="20"/>
  <c r="C653" i="20"/>
  <c r="L652" i="20"/>
  <c r="K652" i="20"/>
  <c r="J652" i="20"/>
  <c r="D652" i="20"/>
  <c r="C652" i="20"/>
  <c r="B652" i="20"/>
  <c r="L651" i="20"/>
  <c r="K651" i="20"/>
  <c r="D651" i="20"/>
  <c r="C651" i="20"/>
  <c r="L650" i="20"/>
  <c r="K650" i="20"/>
  <c r="J650" i="20"/>
  <c r="D650" i="20"/>
  <c r="C650" i="20"/>
  <c r="B650" i="20"/>
  <c r="L649" i="20"/>
  <c r="K649" i="20"/>
  <c r="J649" i="20"/>
  <c r="D649" i="20"/>
  <c r="C649" i="20"/>
  <c r="B649" i="20"/>
  <c r="N641" i="20"/>
  <c r="F641" i="20"/>
  <c r="P640" i="20"/>
  <c r="N640" i="20"/>
  <c r="F640" i="20"/>
  <c r="N639" i="20"/>
  <c r="F639" i="20"/>
  <c r="P638" i="20"/>
  <c r="H638" i="20"/>
  <c r="P636" i="20"/>
  <c r="H636" i="20"/>
  <c r="P634" i="20"/>
  <c r="H634" i="20"/>
  <c r="P632" i="20"/>
  <c r="H632" i="20"/>
  <c r="A631" i="20"/>
  <c r="P630" i="20"/>
  <c r="H630" i="20"/>
  <c r="A629" i="20"/>
  <c r="L617" i="20"/>
  <c r="K617" i="20"/>
  <c r="J617" i="20"/>
  <c r="D617" i="20"/>
  <c r="C617" i="20"/>
  <c r="B617" i="20"/>
  <c r="L616" i="20"/>
  <c r="K616" i="20"/>
  <c r="D616" i="20"/>
  <c r="C616" i="20"/>
  <c r="L615" i="20"/>
  <c r="J615" i="20"/>
  <c r="D615" i="20"/>
  <c r="C615" i="20"/>
  <c r="L614" i="20"/>
  <c r="K614" i="20"/>
  <c r="D614" i="20"/>
  <c r="C614" i="20"/>
  <c r="L613" i="20"/>
  <c r="K613" i="20"/>
  <c r="D613" i="20"/>
  <c r="C613" i="20"/>
  <c r="B613" i="20"/>
  <c r="L612" i="20"/>
  <c r="K612" i="20"/>
  <c r="D612" i="20"/>
  <c r="C612" i="20"/>
  <c r="B612" i="20"/>
  <c r="N604" i="20"/>
  <c r="F604" i="20"/>
  <c r="F603" i="20"/>
  <c r="N602" i="20"/>
  <c r="F602" i="20"/>
  <c r="P601" i="20"/>
  <c r="H601" i="20"/>
  <c r="A600" i="20"/>
  <c r="P599" i="20"/>
  <c r="H599" i="20"/>
  <c r="A598" i="20"/>
  <c r="H597" i="20"/>
  <c r="A596" i="20"/>
  <c r="P595" i="20"/>
  <c r="H595" i="20"/>
  <c r="A594" i="20"/>
  <c r="P593" i="20"/>
  <c r="H593" i="20"/>
  <c r="A592" i="20"/>
  <c r="L580" i="20"/>
  <c r="K580" i="20"/>
  <c r="J580" i="20"/>
  <c r="D580" i="20"/>
  <c r="C580" i="20"/>
  <c r="B580" i="20"/>
  <c r="L579" i="20"/>
  <c r="K579" i="20"/>
  <c r="D579" i="20"/>
  <c r="C579" i="20"/>
  <c r="L578" i="20"/>
  <c r="K578" i="20"/>
  <c r="J578" i="20"/>
  <c r="D578" i="20"/>
  <c r="C578" i="20"/>
  <c r="L577" i="20"/>
  <c r="K577" i="20"/>
  <c r="D577" i="20"/>
  <c r="C577" i="20"/>
  <c r="L576" i="20"/>
  <c r="K576" i="20"/>
  <c r="D576" i="20"/>
  <c r="C576" i="20"/>
  <c r="B576" i="20"/>
  <c r="L575" i="20"/>
  <c r="K575" i="20"/>
  <c r="D575" i="20"/>
  <c r="C575" i="20"/>
  <c r="B575" i="20"/>
  <c r="N567" i="20"/>
  <c r="F567" i="20"/>
  <c r="N566" i="20"/>
  <c r="F566" i="20"/>
  <c r="N565" i="20"/>
  <c r="F565" i="20"/>
  <c r="P564" i="20"/>
  <c r="H564" i="20"/>
  <c r="P562" i="20"/>
  <c r="H562" i="20"/>
  <c r="A561" i="20"/>
  <c r="P560" i="20"/>
  <c r="H560" i="20"/>
  <c r="A559" i="20"/>
  <c r="P558" i="20"/>
  <c r="H558" i="20"/>
  <c r="A557" i="20"/>
  <c r="P556" i="20"/>
  <c r="H556" i="20"/>
  <c r="A555" i="20"/>
  <c r="L543" i="20"/>
  <c r="K543" i="20"/>
  <c r="J543" i="20"/>
  <c r="D543" i="20"/>
  <c r="C543" i="20"/>
  <c r="B543" i="20"/>
  <c r="L542" i="20"/>
  <c r="K542" i="20"/>
  <c r="D542" i="20"/>
  <c r="C542" i="20"/>
  <c r="L541" i="20"/>
  <c r="K541" i="20"/>
  <c r="J541" i="20"/>
  <c r="D541" i="20"/>
  <c r="C541" i="20"/>
  <c r="L540" i="20"/>
  <c r="K540" i="20"/>
  <c r="D540" i="20"/>
  <c r="C540" i="20"/>
  <c r="L539" i="20"/>
  <c r="K539" i="20"/>
  <c r="D539" i="20"/>
  <c r="C539" i="20"/>
  <c r="B539" i="20"/>
  <c r="L538" i="20"/>
  <c r="K538" i="20"/>
  <c r="J538" i="20"/>
  <c r="D538" i="20"/>
  <c r="C538" i="20"/>
  <c r="B538" i="20"/>
  <c r="N530" i="20"/>
  <c r="F530" i="20"/>
  <c r="P529" i="20"/>
  <c r="N529" i="20"/>
  <c r="F529" i="20"/>
  <c r="N528" i="20"/>
  <c r="F528" i="20"/>
  <c r="P527" i="20"/>
  <c r="H527" i="20"/>
  <c r="A526" i="20"/>
  <c r="P525" i="20"/>
  <c r="H525" i="20"/>
  <c r="A524" i="20"/>
  <c r="P523" i="20"/>
  <c r="H523" i="20"/>
  <c r="A522" i="20"/>
  <c r="P521" i="20"/>
  <c r="H521" i="20"/>
  <c r="A520" i="20"/>
  <c r="P519" i="20"/>
  <c r="H519" i="20"/>
  <c r="A518" i="20"/>
  <c r="L506" i="20"/>
  <c r="K506" i="20"/>
  <c r="J506" i="20"/>
  <c r="D506" i="20"/>
  <c r="C506" i="20"/>
  <c r="B506" i="20"/>
  <c r="L505" i="20"/>
  <c r="K505" i="20"/>
  <c r="D505" i="20"/>
  <c r="C505" i="20"/>
  <c r="L504" i="20"/>
  <c r="K504" i="20"/>
  <c r="D504" i="20"/>
  <c r="C504" i="20"/>
  <c r="L503" i="20"/>
  <c r="K503" i="20"/>
  <c r="D503" i="20"/>
  <c r="C503" i="20"/>
  <c r="L502" i="20"/>
  <c r="K502" i="20"/>
  <c r="J502" i="20"/>
  <c r="D502" i="20"/>
  <c r="C502" i="20"/>
  <c r="B502" i="20"/>
  <c r="L501" i="20"/>
  <c r="K501" i="20"/>
  <c r="J501" i="20"/>
  <c r="D501" i="20"/>
  <c r="C501" i="20"/>
  <c r="B501" i="20"/>
  <c r="N493" i="20"/>
  <c r="F493" i="20"/>
  <c r="P492" i="20"/>
  <c r="N492" i="20"/>
  <c r="F492" i="20"/>
  <c r="N491" i="20"/>
  <c r="F491" i="20"/>
  <c r="H490" i="20"/>
  <c r="P488" i="20"/>
  <c r="H488" i="20"/>
  <c r="P486" i="20"/>
  <c r="H486" i="20"/>
  <c r="A485" i="20"/>
  <c r="P484" i="20"/>
  <c r="H484" i="20"/>
  <c r="A483" i="20"/>
  <c r="P482" i="20"/>
  <c r="H482" i="20"/>
  <c r="A481" i="20"/>
  <c r="L469" i="20"/>
  <c r="K469" i="20"/>
  <c r="J469" i="20"/>
  <c r="D469" i="20"/>
  <c r="C469" i="20"/>
  <c r="B469" i="20"/>
  <c r="L468" i="20"/>
  <c r="K468" i="20"/>
  <c r="D468" i="20"/>
  <c r="C468" i="20"/>
  <c r="L467" i="20"/>
  <c r="K467" i="20"/>
  <c r="J467" i="20"/>
  <c r="D467" i="20"/>
  <c r="C467" i="20"/>
  <c r="L466" i="20"/>
  <c r="K466" i="20"/>
  <c r="D466" i="20"/>
  <c r="C466" i="20"/>
  <c r="L465" i="20"/>
  <c r="K465" i="20"/>
  <c r="D465" i="20"/>
  <c r="C465" i="20"/>
  <c r="B465" i="20"/>
  <c r="L464" i="20"/>
  <c r="K464" i="20"/>
  <c r="D464" i="20"/>
  <c r="C464" i="20"/>
  <c r="B464" i="20"/>
  <c r="N456" i="20"/>
  <c r="F456" i="20"/>
  <c r="N455" i="20"/>
  <c r="F455" i="20"/>
  <c r="N454" i="20"/>
  <c r="F454" i="20"/>
  <c r="P453" i="20"/>
  <c r="H453" i="20"/>
  <c r="A452" i="20"/>
  <c r="P451" i="20"/>
  <c r="H451" i="20"/>
  <c r="A450" i="20"/>
  <c r="P449" i="20"/>
  <c r="H449" i="20"/>
  <c r="A448" i="20"/>
  <c r="P447" i="20"/>
  <c r="H447" i="20"/>
  <c r="A446" i="20"/>
  <c r="L434" i="20"/>
  <c r="K434" i="20"/>
  <c r="J434" i="20"/>
  <c r="D434" i="20"/>
  <c r="C434" i="20"/>
  <c r="B434" i="20"/>
  <c r="L433" i="20"/>
  <c r="K433" i="20"/>
  <c r="D433" i="20"/>
  <c r="C433" i="20"/>
  <c r="L432" i="20"/>
  <c r="K432" i="20"/>
  <c r="J432" i="20"/>
  <c r="D432" i="20"/>
  <c r="C432" i="20"/>
  <c r="L431" i="20"/>
  <c r="K431" i="20"/>
  <c r="D431" i="20"/>
  <c r="C431" i="20"/>
  <c r="L430" i="20"/>
  <c r="K430" i="20"/>
  <c r="J430" i="20"/>
  <c r="D430" i="20"/>
  <c r="C430" i="20"/>
  <c r="B430" i="20"/>
  <c r="L429" i="20"/>
  <c r="K429" i="20"/>
  <c r="D429" i="20"/>
  <c r="C429" i="20"/>
  <c r="B429" i="20"/>
  <c r="N421" i="20"/>
  <c r="F421" i="20"/>
  <c r="N420" i="20"/>
  <c r="F420" i="20"/>
  <c r="N419" i="20"/>
  <c r="F419" i="20"/>
  <c r="P418" i="20"/>
  <c r="H418" i="20"/>
  <c r="P417" i="20"/>
  <c r="P416" i="20"/>
  <c r="H416" i="20"/>
  <c r="P415" i="20"/>
  <c r="P414" i="20"/>
  <c r="H414" i="20"/>
  <c r="P413" i="20"/>
  <c r="A413" i="20"/>
  <c r="P412" i="20"/>
  <c r="H412" i="20"/>
  <c r="P411" i="20"/>
  <c r="A411" i="20"/>
  <c r="P410" i="20"/>
  <c r="P409" i="20"/>
  <c r="A409" i="20"/>
  <c r="L397" i="20"/>
  <c r="K397" i="20"/>
  <c r="J397" i="20"/>
  <c r="D397" i="20"/>
  <c r="C397" i="20"/>
  <c r="B397" i="20"/>
  <c r="L396" i="20"/>
  <c r="K396" i="20"/>
  <c r="D396" i="20"/>
  <c r="C396" i="20"/>
  <c r="L395" i="20"/>
  <c r="K395" i="20"/>
  <c r="J395" i="20"/>
  <c r="D395" i="20"/>
  <c r="C395" i="20"/>
  <c r="L394" i="20"/>
  <c r="K394" i="20"/>
  <c r="D394" i="20"/>
  <c r="C394" i="20"/>
  <c r="L393" i="20"/>
  <c r="K393" i="20"/>
  <c r="D393" i="20"/>
  <c r="C393" i="20"/>
  <c r="B393" i="20"/>
  <c r="L392" i="20"/>
  <c r="K392" i="20"/>
  <c r="J392" i="20"/>
  <c r="D392" i="20"/>
  <c r="C392" i="20"/>
  <c r="B392" i="20"/>
  <c r="N384" i="20"/>
  <c r="F384" i="20"/>
  <c r="N383" i="20"/>
  <c r="F383" i="20"/>
  <c r="N382" i="20"/>
  <c r="F382" i="20"/>
  <c r="P381" i="20"/>
  <c r="H381" i="20"/>
  <c r="A380" i="20"/>
  <c r="P379" i="20"/>
  <c r="H379" i="20"/>
  <c r="A378" i="20"/>
  <c r="P377" i="20"/>
  <c r="H377" i="20"/>
  <c r="A376" i="20"/>
  <c r="P375" i="20"/>
  <c r="H375" i="20"/>
  <c r="A374" i="20"/>
  <c r="P373" i="20"/>
  <c r="H373" i="20"/>
  <c r="A372" i="20"/>
  <c r="L360" i="20"/>
  <c r="K360" i="20"/>
  <c r="J360" i="20"/>
  <c r="D360" i="20"/>
  <c r="C360" i="20"/>
  <c r="B360" i="20"/>
  <c r="L359" i="20"/>
  <c r="K359" i="20"/>
  <c r="D359" i="20"/>
  <c r="C359" i="20"/>
  <c r="L358" i="20"/>
  <c r="K358" i="20"/>
  <c r="J358" i="20"/>
  <c r="D358" i="20"/>
  <c r="C358" i="20"/>
  <c r="B358" i="20"/>
  <c r="L357" i="20"/>
  <c r="K357" i="20"/>
  <c r="D357" i="20"/>
  <c r="C357" i="20"/>
  <c r="L356" i="20"/>
  <c r="K356" i="20"/>
  <c r="D356" i="20"/>
  <c r="C356" i="20"/>
  <c r="L355" i="20"/>
  <c r="K355" i="20"/>
  <c r="J355" i="20"/>
  <c r="D355" i="20"/>
  <c r="C355" i="20"/>
  <c r="B355" i="20"/>
  <c r="N347" i="20"/>
  <c r="F347" i="20"/>
  <c r="N346" i="20"/>
  <c r="F346" i="20"/>
  <c r="N345" i="20"/>
  <c r="F345" i="20"/>
  <c r="P344" i="20"/>
  <c r="H344" i="20"/>
  <c r="A343" i="20"/>
  <c r="P342" i="20"/>
  <c r="H342" i="20"/>
  <c r="A341" i="20"/>
  <c r="P340" i="20"/>
  <c r="H340" i="20"/>
  <c r="A339" i="20"/>
  <c r="P338" i="20"/>
  <c r="H338" i="20"/>
  <c r="A337" i="20"/>
  <c r="P336" i="20"/>
  <c r="H336" i="20"/>
  <c r="A335" i="20"/>
  <c r="L323" i="20"/>
  <c r="K323" i="20"/>
  <c r="J323" i="20"/>
  <c r="D323" i="20"/>
  <c r="C323" i="20"/>
  <c r="B323" i="20"/>
  <c r="L322" i="20"/>
  <c r="K322" i="20"/>
  <c r="D322" i="20"/>
  <c r="C322" i="20"/>
  <c r="L321" i="20"/>
  <c r="K321" i="20"/>
  <c r="J321" i="20"/>
  <c r="D321" i="20"/>
  <c r="C321" i="20"/>
  <c r="L320" i="20"/>
  <c r="K320" i="20"/>
  <c r="D320" i="20"/>
  <c r="C320" i="20"/>
  <c r="L319" i="20"/>
  <c r="K319" i="20"/>
  <c r="D319" i="20"/>
  <c r="C319" i="20"/>
  <c r="B319" i="20"/>
  <c r="L318" i="20"/>
  <c r="K318" i="20"/>
  <c r="J318" i="20"/>
  <c r="D318" i="20"/>
  <c r="C318" i="20"/>
  <c r="B318" i="20"/>
  <c r="N310" i="20"/>
  <c r="F310" i="20"/>
  <c r="N309" i="20"/>
  <c r="F309" i="20"/>
  <c r="N308" i="20"/>
  <c r="F308" i="20"/>
  <c r="P307" i="20"/>
  <c r="H307" i="20"/>
  <c r="A306" i="20"/>
  <c r="P305" i="20"/>
  <c r="H305" i="20"/>
  <c r="A304" i="20"/>
  <c r="P303" i="20"/>
  <c r="H303" i="20"/>
  <c r="A302" i="20"/>
  <c r="P301" i="20"/>
  <c r="H301" i="20"/>
  <c r="A300" i="20"/>
  <c r="P299" i="20"/>
  <c r="H299" i="20"/>
  <c r="A298" i="20"/>
  <c r="L286" i="20"/>
  <c r="K286" i="20"/>
  <c r="J286" i="20"/>
  <c r="D286" i="20"/>
  <c r="C286" i="20"/>
  <c r="B286" i="20"/>
  <c r="L285" i="20"/>
  <c r="K285" i="20"/>
  <c r="D285" i="20"/>
  <c r="C285" i="20"/>
  <c r="L284" i="20"/>
  <c r="K284" i="20"/>
  <c r="J284" i="20"/>
  <c r="D284" i="20"/>
  <c r="C284" i="20"/>
  <c r="L283" i="20"/>
  <c r="K283" i="20"/>
  <c r="D283" i="20"/>
  <c r="C283" i="20"/>
  <c r="L282" i="20"/>
  <c r="K282" i="20"/>
  <c r="D282" i="20"/>
  <c r="C282" i="20"/>
  <c r="B282" i="20"/>
  <c r="L281" i="20"/>
  <c r="K281" i="20"/>
  <c r="J281" i="20"/>
  <c r="D281" i="20"/>
  <c r="C281" i="20"/>
  <c r="B281" i="20"/>
  <c r="N273" i="20"/>
  <c r="F273" i="20"/>
  <c r="N272" i="20"/>
  <c r="F272" i="20"/>
  <c r="N271" i="20"/>
  <c r="F271" i="20"/>
  <c r="P270" i="20"/>
  <c r="H270" i="20"/>
  <c r="A269" i="20"/>
  <c r="P268" i="20"/>
  <c r="H268" i="20"/>
  <c r="A267" i="20"/>
  <c r="P266" i="20"/>
  <c r="H266" i="20"/>
  <c r="A265" i="20"/>
  <c r="P264" i="20"/>
  <c r="H264" i="20"/>
  <c r="A263" i="20"/>
  <c r="P262" i="20"/>
  <c r="H262" i="20"/>
  <c r="A261" i="20"/>
  <c r="L249" i="20"/>
  <c r="K249" i="20"/>
  <c r="J249" i="20"/>
  <c r="D249" i="20"/>
  <c r="C249" i="20"/>
  <c r="B249" i="20"/>
  <c r="L248" i="20"/>
  <c r="K248" i="20"/>
  <c r="D248" i="20"/>
  <c r="C248" i="20"/>
  <c r="L247" i="20"/>
  <c r="K247" i="20"/>
  <c r="J247" i="20"/>
  <c r="D247" i="20"/>
  <c r="C247" i="20"/>
  <c r="L246" i="20"/>
  <c r="K246" i="20"/>
  <c r="D246" i="20"/>
  <c r="C246" i="20"/>
  <c r="L245" i="20"/>
  <c r="K245" i="20"/>
  <c r="D245" i="20"/>
  <c r="C245" i="20"/>
  <c r="L244" i="20"/>
  <c r="K244" i="20"/>
  <c r="J244" i="20"/>
  <c r="D244" i="20"/>
  <c r="C244" i="20"/>
  <c r="B244" i="20"/>
  <c r="N236" i="20"/>
  <c r="F236" i="20"/>
  <c r="N235" i="20"/>
  <c r="F235" i="20"/>
  <c r="N234" i="20"/>
  <c r="F234" i="20"/>
  <c r="P233" i="20"/>
  <c r="H233" i="20"/>
  <c r="P231" i="20"/>
  <c r="H231" i="20"/>
  <c r="P229" i="20"/>
  <c r="H229" i="20"/>
  <c r="A228" i="20"/>
  <c r="P227" i="20"/>
  <c r="H226" i="20"/>
  <c r="A226" i="20"/>
  <c r="P225" i="20"/>
  <c r="H225" i="20"/>
  <c r="A224" i="20"/>
  <c r="L212" i="20"/>
  <c r="K212" i="20"/>
  <c r="J212" i="20"/>
  <c r="D212" i="20"/>
  <c r="C212" i="20"/>
  <c r="B212" i="20"/>
  <c r="L211" i="20"/>
  <c r="K211" i="20"/>
  <c r="D211" i="20"/>
  <c r="C211" i="20"/>
  <c r="L210" i="20"/>
  <c r="K210" i="20"/>
  <c r="J210" i="20"/>
  <c r="D210" i="20"/>
  <c r="C210" i="20"/>
  <c r="L209" i="20"/>
  <c r="K209" i="20"/>
  <c r="D209" i="20"/>
  <c r="C209" i="20"/>
  <c r="B209" i="20"/>
  <c r="L208" i="20"/>
  <c r="K208" i="20"/>
  <c r="D208" i="20"/>
  <c r="C208" i="20"/>
  <c r="L207" i="20"/>
  <c r="K207" i="20"/>
  <c r="D207" i="20"/>
  <c r="C207" i="20"/>
  <c r="B207" i="20"/>
  <c r="N199" i="20"/>
  <c r="F199" i="20"/>
  <c r="N198" i="20"/>
  <c r="F198" i="20"/>
  <c r="N197" i="20"/>
  <c r="F197" i="20"/>
  <c r="P196" i="20"/>
  <c r="H196" i="20"/>
  <c r="P194" i="20"/>
  <c r="H194" i="20"/>
  <c r="A193" i="20"/>
  <c r="P192" i="20"/>
  <c r="H192" i="20"/>
  <c r="A191" i="20"/>
  <c r="P190" i="20"/>
  <c r="A189" i="20"/>
  <c r="P188" i="20"/>
  <c r="H188" i="20"/>
  <c r="A187" i="20"/>
  <c r="L175" i="20"/>
  <c r="K175" i="20"/>
  <c r="J175" i="20"/>
  <c r="D175" i="20"/>
  <c r="C175" i="20"/>
  <c r="B175" i="20"/>
  <c r="L174" i="20"/>
  <c r="K174" i="20"/>
  <c r="D174" i="20"/>
  <c r="C174" i="20"/>
  <c r="L173" i="20"/>
  <c r="K173" i="20"/>
  <c r="J173" i="20"/>
  <c r="D173" i="20"/>
  <c r="C173" i="20"/>
  <c r="L172" i="20"/>
  <c r="K172" i="20"/>
  <c r="D172" i="20"/>
  <c r="C172" i="20"/>
  <c r="L171" i="20"/>
  <c r="K171" i="20"/>
  <c r="D171" i="20"/>
  <c r="C171" i="20"/>
  <c r="B171" i="20"/>
  <c r="L170" i="20"/>
  <c r="K170" i="20"/>
  <c r="D170" i="20"/>
  <c r="C170" i="20"/>
  <c r="B170" i="20"/>
  <c r="N162" i="20"/>
  <c r="F162" i="20"/>
  <c r="N161" i="20"/>
  <c r="F161" i="20"/>
  <c r="N160" i="20"/>
  <c r="F160" i="20"/>
  <c r="P159" i="20"/>
  <c r="H159" i="20"/>
  <c r="A158" i="20"/>
  <c r="P157" i="20"/>
  <c r="H157" i="20"/>
  <c r="A156" i="20"/>
  <c r="P155" i="20"/>
  <c r="H155" i="20"/>
  <c r="A154" i="20"/>
  <c r="L142" i="20"/>
  <c r="K142" i="20"/>
  <c r="J142" i="20"/>
  <c r="D142" i="20"/>
  <c r="C142" i="20"/>
  <c r="B142" i="20"/>
  <c r="L141" i="20"/>
  <c r="K141" i="20"/>
  <c r="D141" i="20"/>
  <c r="C141" i="20"/>
  <c r="L140" i="20"/>
  <c r="K140" i="20"/>
  <c r="J140" i="20"/>
  <c r="D140" i="20"/>
  <c r="C140" i="20"/>
  <c r="L139" i="20"/>
  <c r="D139" i="20"/>
  <c r="C139" i="20"/>
  <c r="L138" i="20"/>
  <c r="D138" i="20"/>
  <c r="C138" i="20"/>
  <c r="B138" i="20"/>
  <c r="L137" i="20"/>
  <c r="D137" i="20"/>
  <c r="C137" i="20"/>
  <c r="B137" i="20"/>
  <c r="N129" i="20"/>
  <c r="F129" i="20"/>
  <c r="P128" i="20"/>
  <c r="N128" i="20"/>
  <c r="F128" i="20"/>
  <c r="N127" i="20"/>
  <c r="F127" i="20"/>
  <c r="P126" i="20"/>
  <c r="H126" i="20"/>
  <c r="A125" i="20"/>
  <c r="P124" i="20"/>
  <c r="H124" i="20"/>
  <c r="A123" i="20"/>
  <c r="P122" i="20"/>
  <c r="H122" i="20"/>
  <c r="A121" i="20"/>
  <c r="P120" i="20"/>
  <c r="H120" i="20"/>
  <c r="A119" i="20"/>
  <c r="L107" i="20"/>
  <c r="K107" i="20"/>
  <c r="J107" i="20"/>
  <c r="D107" i="20"/>
  <c r="C107" i="20"/>
  <c r="B107" i="20"/>
  <c r="L106" i="20"/>
  <c r="K106" i="20"/>
  <c r="D106" i="20"/>
  <c r="C106" i="20"/>
  <c r="L105" i="20"/>
  <c r="K105" i="20"/>
  <c r="J105" i="20"/>
  <c r="D105" i="20"/>
  <c r="C105" i="20"/>
  <c r="K104" i="20"/>
  <c r="D104" i="20"/>
  <c r="C104" i="20"/>
  <c r="D103" i="20"/>
  <c r="C103" i="20"/>
  <c r="B103" i="20"/>
  <c r="D102" i="20"/>
  <c r="C102" i="20"/>
  <c r="B102" i="20"/>
  <c r="N94" i="20"/>
  <c r="F94" i="20"/>
  <c r="N93" i="20"/>
  <c r="F93" i="20"/>
  <c r="N92" i="20"/>
  <c r="F92" i="20"/>
  <c r="P91" i="20"/>
  <c r="H91" i="20"/>
  <c r="A90" i="20"/>
  <c r="P89" i="20"/>
  <c r="P87" i="20"/>
  <c r="H87" i="20"/>
  <c r="A86" i="20"/>
  <c r="P85" i="20"/>
  <c r="H85" i="20"/>
  <c r="A84" i="20"/>
  <c r="P83" i="20"/>
  <c r="H83" i="20"/>
  <c r="A82" i="20"/>
  <c r="L70" i="20"/>
  <c r="K70" i="20"/>
  <c r="J70" i="20"/>
  <c r="D70" i="20"/>
  <c r="C70" i="20"/>
  <c r="B70" i="20"/>
  <c r="L69" i="20"/>
  <c r="K69" i="20"/>
  <c r="D69" i="20"/>
  <c r="C69" i="20"/>
  <c r="L68" i="20"/>
  <c r="K68" i="20"/>
  <c r="J68" i="20"/>
  <c r="D68" i="20"/>
  <c r="C68" i="20"/>
  <c r="L67" i="20"/>
  <c r="K67" i="20"/>
  <c r="D67" i="20"/>
  <c r="C67" i="20"/>
  <c r="L66" i="20"/>
  <c r="K66" i="20"/>
  <c r="D66" i="20"/>
  <c r="C66" i="20"/>
  <c r="L65" i="20"/>
  <c r="K65" i="20"/>
  <c r="D65" i="20"/>
  <c r="C65" i="20"/>
  <c r="B65" i="20"/>
  <c r="N57" i="20"/>
  <c r="F57" i="20"/>
  <c r="N56" i="20"/>
  <c r="F56" i="20"/>
  <c r="N55" i="20"/>
  <c r="F55" i="20"/>
  <c r="P54" i="20"/>
  <c r="H54" i="20"/>
  <c r="P52" i="20"/>
  <c r="H52" i="20"/>
  <c r="A51" i="20"/>
  <c r="P50" i="20"/>
  <c r="A49" i="20"/>
  <c r="P48" i="20"/>
  <c r="H48" i="20"/>
  <c r="A47" i="20"/>
  <c r="L35" i="20"/>
  <c r="K35" i="20"/>
  <c r="J35" i="20"/>
  <c r="D35" i="20"/>
  <c r="C35" i="20"/>
  <c r="B35" i="20"/>
  <c r="L34" i="20"/>
  <c r="D34" i="20"/>
  <c r="L33" i="20"/>
  <c r="J33" i="20"/>
  <c r="D33" i="20"/>
  <c r="L32" i="20"/>
  <c r="D32" i="20"/>
  <c r="L31" i="20"/>
  <c r="D31" i="20"/>
  <c r="L30" i="20"/>
  <c r="D30" i="20"/>
  <c r="N22" i="20"/>
  <c r="F22" i="20"/>
  <c r="F21" i="20"/>
  <c r="N20" i="20"/>
  <c r="F20" i="20"/>
  <c r="P19" i="20"/>
  <c r="H19" i="20"/>
  <c r="P17" i="20"/>
  <c r="H17" i="20"/>
  <c r="P15" i="20"/>
  <c r="A14" i="20"/>
  <c r="P13" i="20"/>
  <c r="H13" i="20"/>
  <c r="R3598" i="22"/>
  <c r="L3597" i="22"/>
  <c r="K3597" i="22"/>
  <c r="J3597" i="22"/>
  <c r="L3596" i="22"/>
  <c r="L3595" i="22"/>
  <c r="L3594" i="22"/>
  <c r="J3594" i="22"/>
  <c r="L3593" i="22"/>
  <c r="J3593" i="22"/>
  <c r="L3592" i="22"/>
  <c r="J3592" i="22"/>
  <c r="N3584" i="22"/>
  <c r="N3582" i="22"/>
  <c r="P3581" i="22"/>
  <c r="P3579" i="22"/>
  <c r="P3577" i="22"/>
  <c r="L3564" i="22"/>
  <c r="K3564" i="22"/>
  <c r="J3564" i="22"/>
  <c r="L3563" i="22"/>
  <c r="K3563" i="22"/>
  <c r="L3562" i="22"/>
  <c r="K3562" i="22"/>
  <c r="L3561" i="22"/>
  <c r="K3561" i="22"/>
  <c r="L3560" i="22"/>
  <c r="K3560" i="22"/>
  <c r="J3560" i="22"/>
  <c r="L3559" i="22"/>
  <c r="K3559" i="22"/>
  <c r="J3559" i="22"/>
  <c r="N3551" i="22"/>
  <c r="N3550" i="22"/>
  <c r="N3549" i="22"/>
  <c r="P3548" i="22"/>
  <c r="P3532" i="22"/>
  <c r="P3530" i="22"/>
  <c r="L3516" i="22"/>
  <c r="K3516" i="22"/>
  <c r="J3516" i="22"/>
  <c r="L3515" i="22"/>
  <c r="K3515" i="22"/>
  <c r="L3514" i="22"/>
  <c r="K3514" i="22"/>
  <c r="L3513" i="22"/>
  <c r="K3513" i="22"/>
  <c r="L3512" i="22"/>
  <c r="K3512" i="22"/>
  <c r="J3512" i="22"/>
  <c r="L3511" i="22"/>
  <c r="K3511" i="22"/>
  <c r="J3511" i="22"/>
  <c r="N3503" i="22"/>
  <c r="N3502" i="22"/>
  <c r="N3501" i="22"/>
  <c r="P3500" i="22"/>
  <c r="P3492" i="22"/>
  <c r="P3490" i="22"/>
  <c r="L3476" i="22"/>
  <c r="K3476" i="22"/>
  <c r="J3476" i="22"/>
  <c r="L3475" i="22"/>
  <c r="K3475" i="22"/>
  <c r="L3474" i="22"/>
  <c r="K3474" i="22"/>
  <c r="J3474" i="22"/>
  <c r="L3473" i="22"/>
  <c r="K3473" i="22"/>
  <c r="L3472" i="22"/>
  <c r="K3472" i="22"/>
  <c r="L3471" i="22"/>
  <c r="K3471" i="22"/>
  <c r="N3463" i="22"/>
  <c r="N3462" i="22"/>
  <c r="N3461" i="22"/>
  <c r="P3460" i="22"/>
  <c r="P3458" i="22"/>
  <c r="P3456" i="22"/>
  <c r="P3454" i="22"/>
  <c r="L3441" i="22"/>
  <c r="K3441" i="22"/>
  <c r="J3441" i="22"/>
  <c r="L3440" i="22"/>
  <c r="K3440" i="22"/>
  <c r="L3439" i="22"/>
  <c r="K3439" i="22"/>
  <c r="L3438" i="22"/>
  <c r="K3438" i="22"/>
  <c r="L3437" i="22"/>
  <c r="K3437" i="22"/>
  <c r="J3437" i="22"/>
  <c r="L3436" i="22"/>
  <c r="K3436" i="22"/>
  <c r="J3436" i="22"/>
  <c r="N3428" i="22"/>
  <c r="N3427" i="22"/>
  <c r="N3426" i="22"/>
  <c r="P3425" i="22"/>
  <c r="P3423" i="22"/>
  <c r="P3421" i="22"/>
  <c r="P3419" i="22"/>
  <c r="P3417" i="22"/>
  <c r="P3415" i="22"/>
  <c r="L3401" i="22"/>
  <c r="K3401" i="22"/>
  <c r="J3401" i="22"/>
  <c r="L3400" i="22"/>
  <c r="K3400" i="22"/>
  <c r="L3399" i="22"/>
  <c r="K3399" i="22"/>
  <c r="J3399" i="22"/>
  <c r="L3398" i="22"/>
  <c r="K3398" i="22"/>
  <c r="L3397" i="22"/>
  <c r="K3397" i="22"/>
  <c r="L3396" i="22"/>
  <c r="K3396" i="22"/>
  <c r="J3396" i="22"/>
  <c r="N3388" i="22"/>
  <c r="N3387" i="22"/>
  <c r="N3386" i="22"/>
  <c r="P3385" i="22"/>
  <c r="P3383" i="22"/>
  <c r="P3381" i="22"/>
  <c r="P3379" i="22"/>
  <c r="L3365" i="22"/>
  <c r="K3365" i="22"/>
  <c r="J3365" i="22"/>
  <c r="L3364" i="22"/>
  <c r="K3364" i="22"/>
  <c r="L3363" i="22"/>
  <c r="K3363" i="22"/>
  <c r="J3363" i="22"/>
  <c r="L3362" i="22"/>
  <c r="K3362" i="22"/>
  <c r="L3361" i="22"/>
  <c r="K3361" i="22"/>
  <c r="L3360" i="22"/>
  <c r="K3360" i="22"/>
  <c r="J3360" i="22"/>
  <c r="N3352" i="22"/>
  <c r="N3351" i="22"/>
  <c r="N3350" i="22"/>
  <c r="P3349" i="22"/>
  <c r="P3345" i="22"/>
  <c r="P3343" i="22"/>
  <c r="L3330" i="22"/>
  <c r="K3330" i="22"/>
  <c r="J3330" i="22"/>
  <c r="L3329" i="22"/>
  <c r="K3329" i="22"/>
  <c r="L3328" i="22"/>
  <c r="K3328" i="22"/>
  <c r="L3327" i="22"/>
  <c r="K3327" i="22"/>
  <c r="J3327" i="22"/>
  <c r="L3326" i="22"/>
  <c r="K3326" i="22"/>
  <c r="L3325" i="22"/>
  <c r="K3325" i="22"/>
  <c r="J3325" i="22"/>
  <c r="N3317" i="22"/>
  <c r="N3316" i="22"/>
  <c r="N3315" i="22"/>
  <c r="P3314" i="22"/>
  <c r="I3313" i="22"/>
  <c r="P3312" i="22"/>
  <c r="I3311" i="22"/>
  <c r="P3310" i="22"/>
  <c r="I3309" i="22"/>
  <c r="P3308" i="22"/>
  <c r="I3307" i="22"/>
  <c r="P3306" i="22"/>
  <c r="I3305" i="22"/>
  <c r="P3304" i="22"/>
  <c r="L3291" i="22"/>
  <c r="K3291" i="22"/>
  <c r="J3291" i="22"/>
  <c r="L3290" i="22"/>
  <c r="K3290" i="22"/>
  <c r="L3289" i="22"/>
  <c r="K3289" i="22"/>
  <c r="L3288" i="22"/>
  <c r="K3288" i="22"/>
  <c r="L3287" i="22"/>
  <c r="K3287" i="22"/>
  <c r="J3287" i="22"/>
  <c r="L3286" i="22"/>
  <c r="K3286" i="22"/>
  <c r="J3286" i="22"/>
  <c r="N3278" i="22"/>
  <c r="P3277" i="22"/>
  <c r="N3277" i="22"/>
  <c r="N3276" i="22"/>
  <c r="P3275" i="22"/>
  <c r="I3274" i="22"/>
  <c r="P3273" i="22"/>
  <c r="I3272" i="22"/>
  <c r="P3271" i="22"/>
  <c r="I3270" i="22"/>
  <c r="P3269" i="22"/>
  <c r="L3255" i="22"/>
  <c r="K3255" i="22"/>
  <c r="J3255" i="22"/>
  <c r="L3254" i="22"/>
  <c r="K3254" i="22"/>
  <c r="L3253" i="22"/>
  <c r="K3253" i="22"/>
  <c r="L3252" i="22"/>
  <c r="K3252" i="22"/>
  <c r="L3251" i="22"/>
  <c r="K3251" i="22"/>
  <c r="L3250" i="22"/>
  <c r="K3250" i="22"/>
  <c r="J3250" i="22"/>
  <c r="N3242" i="22"/>
  <c r="P3241" i="22"/>
  <c r="N3241" i="22"/>
  <c r="N3240" i="22"/>
  <c r="P3239" i="22"/>
  <c r="P3237" i="22"/>
  <c r="I3236" i="22"/>
  <c r="I3234" i="22"/>
  <c r="P3233" i="22"/>
  <c r="L3220" i="22"/>
  <c r="K3220" i="22"/>
  <c r="J3220" i="22"/>
  <c r="L3219" i="22"/>
  <c r="K3219" i="22"/>
  <c r="L3218" i="22"/>
  <c r="K3218" i="22"/>
  <c r="L3217" i="22"/>
  <c r="K3217" i="22"/>
  <c r="L3216" i="22"/>
  <c r="K3216" i="22"/>
  <c r="L3215" i="22"/>
  <c r="K3215" i="22"/>
  <c r="J3215" i="22"/>
  <c r="N3207" i="22"/>
  <c r="P3206" i="22"/>
  <c r="N3206" i="22"/>
  <c r="N3205" i="22"/>
  <c r="P3204" i="22"/>
  <c r="P3202" i="22"/>
  <c r="I3201" i="22"/>
  <c r="P3200" i="22"/>
  <c r="I3199" i="22"/>
  <c r="P3198" i="22"/>
  <c r="L3185" i="22"/>
  <c r="K3185" i="22"/>
  <c r="J3185" i="22"/>
  <c r="L3184" i="22"/>
  <c r="K3184" i="22"/>
  <c r="L3183" i="22"/>
  <c r="K3183" i="22"/>
  <c r="J3183" i="22"/>
  <c r="L3182" i="22"/>
  <c r="K3182" i="22"/>
  <c r="L3181" i="22"/>
  <c r="K3181" i="22"/>
  <c r="J3181" i="22"/>
  <c r="L3180" i="22"/>
  <c r="K3180" i="22"/>
  <c r="J3180" i="22"/>
  <c r="N3172" i="22"/>
  <c r="P3171" i="22"/>
  <c r="N3171" i="22"/>
  <c r="N3170" i="22"/>
  <c r="P3169" i="22"/>
  <c r="P3167" i="22"/>
  <c r="P3165" i="22"/>
  <c r="P3163" i="22"/>
  <c r="P3161" i="22"/>
  <c r="P3159" i="22"/>
  <c r="L3146" i="22"/>
  <c r="K3146" i="22"/>
  <c r="J3146" i="22"/>
  <c r="L3145" i="22"/>
  <c r="K3145" i="22"/>
  <c r="L3144" i="22"/>
  <c r="K3144" i="22"/>
  <c r="J3144" i="22"/>
  <c r="L3143" i="22"/>
  <c r="K3143" i="22"/>
  <c r="L3142" i="22"/>
  <c r="K3142" i="22"/>
  <c r="J3142" i="22"/>
  <c r="L3141" i="22"/>
  <c r="K3141" i="22"/>
  <c r="J3141" i="22"/>
  <c r="N3133" i="22"/>
  <c r="P3132" i="22"/>
  <c r="N3132" i="22"/>
  <c r="N3131" i="22"/>
  <c r="P3130" i="22"/>
  <c r="P3128" i="22"/>
  <c r="P3126" i="22"/>
  <c r="P3124" i="22"/>
  <c r="P3122" i="22"/>
  <c r="L3109" i="22"/>
  <c r="K3109" i="22"/>
  <c r="J3109" i="22"/>
  <c r="L3108" i="22"/>
  <c r="K3108" i="22"/>
  <c r="L3107" i="22"/>
  <c r="K3107" i="22"/>
  <c r="J3107" i="22"/>
  <c r="L3106" i="22"/>
  <c r="K3106" i="22"/>
  <c r="L3105" i="22"/>
  <c r="K3105" i="22"/>
  <c r="L3104" i="22"/>
  <c r="K3104" i="22"/>
  <c r="J3104" i="22"/>
  <c r="N3096" i="22"/>
  <c r="P3095" i="22"/>
  <c r="N3095" i="22"/>
  <c r="N3094" i="22"/>
  <c r="P3093" i="22"/>
  <c r="P3089" i="22"/>
  <c r="P3087" i="22"/>
  <c r="P3085" i="22"/>
  <c r="L3072" i="22"/>
  <c r="K3072" i="22"/>
  <c r="J3072" i="22"/>
  <c r="L3071" i="22"/>
  <c r="K3071" i="22"/>
  <c r="L3070" i="22"/>
  <c r="K3070" i="22"/>
  <c r="J3070" i="22"/>
  <c r="L3069" i="22"/>
  <c r="K3069" i="22"/>
  <c r="L3068" i="22"/>
  <c r="K3068" i="22"/>
  <c r="L3067" i="22"/>
  <c r="K3067" i="22"/>
  <c r="J3067" i="22"/>
  <c r="N3059" i="22"/>
  <c r="P3058" i="22"/>
  <c r="N3058" i="22"/>
  <c r="N3057" i="22"/>
  <c r="P3056" i="22"/>
  <c r="P3054" i="22"/>
  <c r="P3052" i="22"/>
  <c r="P3050" i="22"/>
  <c r="P3048" i="22"/>
  <c r="L3035" i="22"/>
  <c r="K3035" i="22"/>
  <c r="J3035" i="22"/>
  <c r="L3034" i="22"/>
  <c r="K3034" i="22"/>
  <c r="L3033" i="22"/>
  <c r="K3033" i="22"/>
  <c r="L3032" i="22"/>
  <c r="K3032" i="22"/>
  <c r="L3031" i="22"/>
  <c r="K3031" i="22"/>
  <c r="J3031" i="22"/>
  <c r="L3030" i="22"/>
  <c r="K3030" i="22"/>
  <c r="J3030" i="22"/>
  <c r="N3022" i="22"/>
  <c r="P3021" i="22"/>
  <c r="N3021" i="22"/>
  <c r="N3020" i="22"/>
  <c r="P3019" i="22"/>
  <c r="P3017" i="22"/>
  <c r="P3015" i="22"/>
  <c r="P3013" i="22"/>
  <c r="P3011" i="22"/>
  <c r="L2998" i="22"/>
  <c r="K2998" i="22"/>
  <c r="J2998" i="22"/>
  <c r="L2997" i="22"/>
  <c r="K2997" i="22"/>
  <c r="L2996" i="22"/>
  <c r="K2996" i="22"/>
  <c r="L2995" i="22"/>
  <c r="K2995" i="22"/>
  <c r="L2994" i="22"/>
  <c r="K2994" i="22"/>
  <c r="J2994" i="22"/>
  <c r="L2993" i="22"/>
  <c r="K2993" i="22"/>
  <c r="J2993" i="22"/>
  <c r="N2985" i="22"/>
  <c r="P2984" i="22"/>
  <c r="N2984" i="22"/>
  <c r="N2983" i="22"/>
  <c r="P2982" i="22"/>
  <c r="P2980" i="22"/>
  <c r="P2978" i="22"/>
  <c r="P2976" i="22"/>
  <c r="P2974" i="22"/>
  <c r="L2961" i="22"/>
  <c r="K2961" i="22"/>
  <c r="J2961" i="22"/>
  <c r="L2960" i="22"/>
  <c r="K2960" i="22"/>
  <c r="L2959" i="22"/>
  <c r="K2959" i="22"/>
  <c r="L2958" i="22"/>
  <c r="K2958" i="22"/>
  <c r="L2957" i="22"/>
  <c r="K2957" i="22"/>
  <c r="J2957" i="22"/>
  <c r="L2956" i="22"/>
  <c r="K2956" i="22"/>
  <c r="J2956" i="22"/>
  <c r="N2948" i="22"/>
  <c r="P2947" i="22"/>
  <c r="N2947" i="22"/>
  <c r="N2946" i="22"/>
  <c r="P2945" i="22"/>
  <c r="P2943" i="22"/>
  <c r="P2941" i="22"/>
  <c r="P2939" i="22"/>
  <c r="P2937" i="22"/>
  <c r="L2924" i="22"/>
  <c r="K2924" i="22"/>
  <c r="J2924" i="22"/>
  <c r="L2923" i="22"/>
  <c r="K2923" i="22"/>
  <c r="L2922" i="22"/>
  <c r="K2922" i="22"/>
  <c r="L2921" i="22"/>
  <c r="K2921" i="22"/>
  <c r="L2920" i="22"/>
  <c r="K2920" i="22"/>
  <c r="J2920" i="22"/>
  <c r="L2919" i="22"/>
  <c r="K2919" i="22"/>
  <c r="J2919" i="22"/>
  <c r="N2911" i="22"/>
  <c r="P2910" i="22"/>
  <c r="N2910" i="22"/>
  <c r="N2909" i="22"/>
  <c r="P2908" i="22"/>
  <c r="P2906" i="22"/>
  <c r="P2904" i="22"/>
  <c r="P2902" i="22"/>
  <c r="P2900" i="22"/>
  <c r="L2887" i="22"/>
  <c r="K2887" i="22"/>
  <c r="J2887" i="22"/>
  <c r="L2886" i="22"/>
  <c r="K2886" i="22"/>
  <c r="L2885" i="22"/>
  <c r="K2885" i="22"/>
  <c r="L2884" i="22"/>
  <c r="K2884" i="22"/>
  <c r="J2884" i="22"/>
  <c r="L2883" i="22"/>
  <c r="K2883" i="22"/>
  <c r="J2883" i="22"/>
  <c r="L2882" i="22"/>
  <c r="K2882" i="22"/>
  <c r="N2874" i="22"/>
  <c r="N2873" i="22"/>
  <c r="N2872" i="22"/>
  <c r="P2871" i="22"/>
  <c r="P2869" i="22"/>
  <c r="P2867" i="22"/>
  <c r="P2865" i="22"/>
  <c r="P2863" i="22"/>
  <c r="L2850" i="22"/>
  <c r="K2850" i="22"/>
  <c r="J2850" i="22"/>
  <c r="L2849" i="22"/>
  <c r="K2849" i="22"/>
  <c r="L2848" i="22"/>
  <c r="K2848" i="22"/>
  <c r="L2847" i="22"/>
  <c r="K2847" i="22"/>
  <c r="J2847" i="22"/>
  <c r="L2846" i="22"/>
  <c r="K2846" i="22"/>
  <c r="J2846" i="22"/>
  <c r="L2845" i="22"/>
  <c r="K2845" i="22"/>
  <c r="N2837" i="22"/>
  <c r="N2836" i="22"/>
  <c r="N2835" i="22"/>
  <c r="P2834" i="22"/>
  <c r="P2832" i="22"/>
  <c r="P2830" i="22"/>
  <c r="P2828" i="22"/>
  <c r="P2826" i="22"/>
  <c r="P2824" i="22"/>
  <c r="L2811" i="22"/>
  <c r="K2811" i="22"/>
  <c r="J2811" i="22"/>
  <c r="L2810" i="22"/>
  <c r="K2810" i="22"/>
  <c r="L2809" i="22"/>
  <c r="K2809" i="22"/>
  <c r="L2808" i="22"/>
  <c r="K2808" i="22"/>
  <c r="J2808" i="22"/>
  <c r="L2807" i="22"/>
  <c r="K2807" i="22"/>
  <c r="J2807" i="22"/>
  <c r="L2806" i="22"/>
  <c r="K2806" i="22"/>
  <c r="N2798" i="22"/>
  <c r="N2797" i="22"/>
  <c r="N2796" i="22"/>
  <c r="P2795" i="22"/>
  <c r="P2793" i="22"/>
  <c r="P2791" i="22"/>
  <c r="P2789" i="22"/>
  <c r="P2787" i="22"/>
  <c r="P2785" i="22"/>
  <c r="L2772" i="22"/>
  <c r="K2772" i="22"/>
  <c r="J2772" i="22"/>
  <c r="L2771" i="22"/>
  <c r="K2771" i="22"/>
  <c r="L2770" i="22"/>
  <c r="K2770" i="22"/>
  <c r="L2769" i="22"/>
  <c r="K2769" i="22"/>
  <c r="L2768" i="22"/>
  <c r="K2768" i="22"/>
  <c r="J2768" i="22"/>
  <c r="L2767" i="22"/>
  <c r="K2767" i="22"/>
  <c r="J2767" i="22"/>
  <c r="N2759" i="22"/>
  <c r="P2758" i="22"/>
  <c r="N2758" i="22"/>
  <c r="N2757" i="22"/>
  <c r="P2756" i="22"/>
  <c r="P2754" i="22"/>
  <c r="P2752" i="22"/>
  <c r="P2750" i="22"/>
  <c r="P2748" i="22"/>
  <c r="L2735" i="22"/>
  <c r="K2735" i="22"/>
  <c r="J2735" i="22"/>
  <c r="L2734" i="22"/>
  <c r="K2734" i="22"/>
  <c r="L2733" i="22"/>
  <c r="K2733" i="22"/>
  <c r="L2732" i="22"/>
  <c r="K2732" i="22"/>
  <c r="L2731" i="22"/>
  <c r="K2731" i="22"/>
  <c r="J2731" i="22"/>
  <c r="L2730" i="22"/>
  <c r="K2730" i="22"/>
  <c r="J2730" i="22"/>
  <c r="N2722" i="22"/>
  <c r="N2721" i="22"/>
  <c r="N2720" i="22"/>
  <c r="P2719" i="22"/>
  <c r="P2717" i="22"/>
  <c r="P2715" i="22"/>
  <c r="P2713" i="22"/>
  <c r="P2711" i="22"/>
  <c r="L2698" i="22"/>
  <c r="K2698" i="22"/>
  <c r="J2698" i="22"/>
  <c r="L2697" i="22"/>
  <c r="K2697" i="22"/>
  <c r="L2696" i="22"/>
  <c r="K2696" i="22"/>
  <c r="L2695" i="22"/>
  <c r="K2695" i="22"/>
  <c r="L2694" i="22"/>
  <c r="K2694" i="22"/>
  <c r="J2694" i="22"/>
  <c r="L2693" i="22"/>
  <c r="K2693" i="22"/>
  <c r="J2693" i="22"/>
  <c r="N2685" i="22"/>
  <c r="P2684" i="22"/>
  <c r="N2684" i="22"/>
  <c r="N2683" i="22"/>
  <c r="P2682" i="22"/>
  <c r="P2680" i="22"/>
  <c r="P2678" i="22"/>
  <c r="P2676" i="22"/>
  <c r="P2674" i="22"/>
  <c r="L2661" i="22"/>
  <c r="K2661" i="22"/>
  <c r="J2661" i="22"/>
  <c r="L2660" i="22"/>
  <c r="K2660" i="22"/>
  <c r="L2659" i="22"/>
  <c r="K2659" i="22"/>
  <c r="L2658" i="22"/>
  <c r="K2658" i="22"/>
  <c r="L2657" i="22"/>
  <c r="K2657" i="22"/>
  <c r="J2657" i="22"/>
  <c r="L2656" i="22"/>
  <c r="K2656" i="22"/>
  <c r="J2656" i="22"/>
  <c r="N2648" i="22"/>
  <c r="N2647" i="22"/>
  <c r="N2646" i="22"/>
  <c r="P2645" i="22"/>
  <c r="P2643" i="22"/>
  <c r="P2641" i="22"/>
  <c r="P2639" i="22"/>
  <c r="P2637" i="22"/>
  <c r="L2624" i="22"/>
  <c r="K2624" i="22"/>
  <c r="J2624" i="22"/>
  <c r="L2623" i="22"/>
  <c r="K2623" i="22"/>
  <c r="L2622" i="22"/>
  <c r="K2622" i="22"/>
  <c r="L2621" i="22"/>
  <c r="K2621" i="22"/>
  <c r="L2620" i="22"/>
  <c r="K2620" i="22"/>
  <c r="J2620" i="22"/>
  <c r="L2619" i="22"/>
  <c r="K2619" i="22"/>
  <c r="J2619" i="22"/>
  <c r="N2611" i="22"/>
  <c r="N2610" i="22"/>
  <c r="N2609" i="22"/>
  <c r="P2608" i="22"/>
  <c r="P2606" i="22"/>
  <c r="P2604" i="22"/>
  <c r="P2602" i="22"/>
  <c r="P2600" i="22"/>
  <c r="P2598" i="22"/>
  <c r="L2585" i="22"/>
  <c r="K2585" i="22"/>
  <c r="J2585" i="22"/>
  <c r="L2584" i="22"/>
  <c r="K2584" i="22"/>
  <c r="L2583" i="22"/>
  <c r="K2583" i="22"/>
  <c r="L2582" i="22"/>
  <c r="K2582" i="22"/>
  <c r="L2581" i="22"/>
  <c r="K2581" i="22"/>
  <c r="L2580" i="22"/>
  <c r="K2580" i="22"/>
  <c r="J2580" i="22"/>
  <c r="N2572" i="22"/>
  <c r="N2571" i="22"/>
  <c r="N2570" i="22"/>
  <c r="P2569" i="22"/>
  <c r="P2567" i="22"/>
  <c r="P2565" i="22"/>
  <c r="P2563" i="22"/>
  <c r="P2561" i="22"/>
  <c r="L2548" i="22"/>
  <c r="K2548" i="22"/>
  <c r="J2548" i="22"/>
  <c r="L2547" i="22"/>
  <c r="K2547" i="22"/>
  <c r="L2546" i="22"/>
  <c r="K2546" i="22"/>
  <c r="L2545" i="22"/>
  <c r="K2545" i="22"/>
  <c r="L2544" i="22"/>
  <c r="K2544" i="22"/>
  <c r="J2544" i="22"/>
  <c r="L2543" i="22"/>
  <c r="K2543" i="22"/>
  <c r="J2543" i="22"/>
  <c r="N2535" i="22"/>
  <c r="P2534" i="22"/>
  <c r="N2534" i="22"/>
  <c r="N2533" i="22"/>
  <c r="P2532" i="22"/>
  <c r="P2530" i="22"/>
  <c r="P2528" i="22"/>
  <c r="P2526" i="22"/>
  <c r="P2524" i="22"/>
  <c r="L2511" i="22"/>
  <c r="K2511" i="22"/>
  <c r="J2511" i="22"/>
  <c r="L2510" i="22"/>
  <c r="K2510" i="22"/>
  <c r="J2510" i="22"/>
  <c r="L2509" i="22"/>
  <c r="K2509" i="22"/>
  <c r="L2508" i="22"/>
  <c r="K2508" i="22"/>
  <c r="L2507" i="22"/>
  <c r="K2507" i="22"/>
  <c r="J2507" i="22"/>
  <c r="L2506" i="22"/>
  <c r="K2506" i="22"/>
  <c r="N2498" i="22"/>
  <c r="N2497" i="22"/>
  <c r="N2496" i="22"/>
  <c r="P2495" i="22"/>
  <c r="P2493" i="22"/>
  <c r="P2491" i="22"/>
  <c r="P2489" i="22"/>
  <c r="P2487" i="22"/>
  <c r="L2474" i="22"/>
  <c r="K2474" i="22"/>
  <c r="J2474" i="22"/>
  <c r="L2473" i="22"/>
  <c r="K2473" i="22"/>
  <c r="J2473" i="22"/>
  <c r="L2472" i="22"/>
  <c r="K2472" i="22"/>
  <c r="L2471" i="22"/>
  <c r="K2471" i="22"/>
  <c r="L2470" i="22"/>
  <c r="K2470" i="22"/>
  <c r="L2469" i="22"/>
  <c r="K2469" i="22"/>
  <c r="N2461" i="22"/>
  <c r="N2460" i="22"/>
  <c r="N2459" i="22"/>
  <c r="P2458" i="22"/>
  <c r="P2456" i="22"/>
  <c r="N2455" i="22"/>
  <c r="P2454" i="22"/>
  <c r="P2452" i="22"/>
  <c r="P2450" i="22"/>
  <c r="P2448" i="22"/>
  <c r="L2435" i="22"/>
  <c r="K2435" i="22"/>
  <c r="J2435" i="22"/>
  <c r="L2434" i="22"/>
  <c r="K2434" i="22"/>
  <c r="L2433" i="22"/>
  <c r="K2433" i="22"/>
  <c r="L2432" i="22"/>
  <c r="K2432" i="22"/>
  <c r="L2431" i="22"/>
  <c r="K2431" i="22"/>
  <c r="J2431" i="22"/>
  <c r="L2430" i="22"/>
  <c r="K2430" i="22"/>
  <c r="J2430" i="22"/>
  <c r="N2422" i="22"/>
  <c r="P2421" i="22"/>
  <c r="N2421" i="22"/>
  <c r="N2420" i="22"/>
  <c r="P2419" i="22"/>
  <c r="P2417" i="22"/>
  <c r="P2415" i="22"/>
  <c r="P2413" i="22"/>
  <c r="P2411" i="22"/>
  <c r="L2398" i="22"/>
  <c r="K2398" i="22"/>
  <c r="J2398" i="22"/>
  <c r="L2397" i="22"/>
  <c r="K2397" i="22"/>
  <c r="L2396" i="22"/>
  <c r="K2396" i="22"/>
  <c r="L2395" i="22"/>
  <c r="K2395" i="22"/>
  <c r="L2394" i="22"/>
  <c r="K2394" i="22"/>
  <c r="J2394" i="22"/>
  <c r="L2393" i="22"/>
  <c r="K2393" i="22"/>
  <c r="J2393" i="22"/>
  <c r="N2385" i="22"/>
  <c r="P2384" i="22"/>
  <c r="N2384" i="22"/>
  <c r="N2383" i="22"/>
  <c r="P2382" i="22"/>
  <c r="P2380" i="22"/>
  <c r="P2378" i="22"/>
  <c r="P2376" i="22"/>
  <c r="P2374" i="22"/>
  <c r="L2361" i="22"/>
  <c r="K2361" i="22"/>
  <c r="J2361" i="22"/>
  <c r="L2360" i="22"/>
  <c r="K2360" i="22"/>
  <c r="L2359" i="22"/>
  <c r="K2359" i="22"/>
  <c r="L2358" i="22"/>
  <c r="K2358" i="22"/>
  <c r="J2358" i="22"/>
  <c r="L2357" i="22"/>
  <c r="K2357" i="22"/>
  <c r="J2357" i="22"/>
  <c r="L2356" i="22"/>
  <c r="K2356" i="22"/>
  <c r="N2348" i="22"/>
  <c r="N2347" i="22"/>
  <c r="N2346" i="22"/>
  <c r="P2345" i="22"/>
  <c r="P2343" i="22"/>
  <c r="P2341" i="22"/>
  <c r="P2339" i="22"/>
  <c r="P2337" i="22"/>
  <c r="L2324" i="22"/>
  <c r="K2324" i="22"/>
  <c r="J2324" i="22"/>
  <c r="L2323" i="22"/>
  <c r="K2323" i="22"/>
  <c r="L2322" i="22"/>
  <c r="K2322" i="22"/>
  <c r="L2321" i="22"/>
  <c r="K2321" i="22"/>
  <c r="L2320" i="22"/>
  <c r="K2320" i="22"/>
  <c r="J2320" i="22"/>
  <c r="L2319" i="22"/>
  <c r="K2319" i="22"/>
  <c r="J2319" i="22"/>
  <c r="N2311" i="22"/>
  <c r="P2310" i="22"/>
  <c r="N2310" i="22"/>
  <c r="N2309" i="22"/>
  <c r="P2308" i="22"/>
  <c r="P2306" i="22"/>
  <c r="P2304" i="22"/>
  <c r="P2302" i="22"/>
  <c r="P2300" i="22"/>
  <c r="L2287" i="22"/>
  <c r="K2287" i="22"/>
  <c r="J2287" i="22"/>
  <c r="L2286" i="22"/>
  <c r="K2286" i="22"/>
  <c r="L2285" i="22"/>
  <c r="K2285" i="22"/>
  <c r="L2284" i="22"/>
  <c r="K2284" i="22"/>
  <c r="L2283" i="22"/>
  <c r="K2283" i="22"/>
  <c r="J2283" i="22"/>
  <c r="L2282" i="22"/>
  <c r="K2282" i="22"/>
  <c r="J2282" i="22"/>
  <c r="N2274" i="22"/>
  <c r="P2273" i="22"/>
  <c r="N2273" i="22"/>
  <c r="N2272" i="22"/>
  <c r="P2271" i="22"/>
  <c r="P2269" i="22"/>
  <c r="P2267" i="22"/>
  <c r="P2264" i="22"/>
  <c r="P2263" i="22"/>
  <c r="L2250" i="22"/>
  <c r="K2250" i="22"/>
  <c r="J2250" i="22"/>
  <c r="L2249" i="22"/>
  <c r="K2249" i="22"/>
  <c r="L2248" i="22"/>
  <c r="K2248" i="22"/>
  <c r="J2248" i="22"/>
  <c r="L2247" i="22"/>
  <c r="K2247" i="22"/>
  <c r="L2246" i="22"/>
  <c r="K2246" i="22"/>
  <c r="J2246" i="22"/>
  <c r="L2245" i="22"/>
  <c r="K2245" i="22"/>
  <c r="J2245" i="22"/>
  <c r="N2237" i="22"/>
  <c r="P2236" i="22"/>
  <c r="N2236" i="22"/>
  <c r="N2235" i="22"/>
  <c r="P2234" i="22"/>
  <c r="P2232" i="22"/>
  <c r="P2230" i="22"/>
  <c r="P2227" i="22"/>
  <c r="P2225" i="22"/>
  <c r="L2213" i="22"/>
  <c r="K2213" i="22"/>
  <c r="J2213" i="22"/>
  <c r="L2212" i="22"/>
  <c r="K2212" i="22"/>
  <c r="L2211" i="22"/>
  <c r="K2211" i="22"/>
  <c r="J2211" i="22"/>
  <c r="L2210" i="22"/>
  <c r="K2210" i="22"/>
  <c r="L2209" i="22"/>
  <c r="K2209" i="22"/>
  <c r="J2209" i="22"/>
  <c r="L2208" i="22"/>
  <c r="K2208" i="22"/>
  <c r="J2208" i="22"/>
  <c r="N2200" i="22"/>
  <c r="P2199" i="22"/>
  <c r="N2199" i="22"/>
  <c r="N2198" i="22"/>
  <c r="P2197" i="22"/>
  <c r="P2195" i="22"/>
  <c r="P2193" i="22"/>
  <c r="P2190" i="22"/>
  <c r="P2188" i="22"/>
  <c r="L2176" i="22"/>
  <c r="K2176" i="22"/>
  <c r="J2176" i="22"/>
  <c r="L2175" i="22"/>
  <c r="K2175" i="22"/>
  <c r="L2174" i="22"/>
  <c r="K2174" i="22"/>
  <c r="J2174" i="22"/>
  <c r="L2173" i="22"/>
  <c r="K2173" i="22"/>
  <c r="L2172" i="22"/>
  <c r="K2172" i="22"/>
  <c r="J2172" i="22"/>
  <c r="L2171" i="22"/>
  <c r="K2171" i="22"/>
  <c r="J2171" i="22"/>
  <c r="N2163" i="22"/>
  <c r="P2162" i="22"/>
  <c r="N2162" i="22"/>
  <c r="N2161" i="22"/>
  <c r="P2160" i="22"/>
  <c r="P2158" i="22"/>
  <c r="P2156" i="22"/>
  <c r="P2154" i="22"/>
  <c r="L2137" i="22"/>
  <c r="K2137" i="22"/>
  <c r="J2137" i="22"/>
  <c r="L2136" i="22"/>
  <c r="K2136" i="22"/>
  <c r="L2135" i="22"/>
  <c r="K2135" i="22"/>
  <c r="L2134" i="22"/>
  <c r="K2134" i="22"/>
  <c r="L2133" i="22"/>
  <c r="K2133" i="22"/>
  <c r="J2133" i="22"/>
  <c r="L2132" i="22"/>
  <c r="K2132" i="22"/>
  <c r="J2132" i="22"/>
  <c r="N2124" i="22"/>
  <c r="N2123" i="22"/>
  <c r="N2122" i="22"/>
  <c r="P2121" i="22"/>
  <c r="P2119" i="22"/>
  <c r="P2117" i="22"/>
  <c r="L2100" i="22"/>
  <c r="K2100" i="22"/>
  <c r="J2100" i="22"/>
  <c r="L2099" i="22"/>
  <c r="K2099" i="22"/>
  <c r="L2098" i="22"/>
  <c r="K2098" i="22"/>
  <c r="L2097" i="22"/>
  <c r="K2097" i="22"/>
  <c r="L2096" i="22"/>
  <c r="K2096" i="22"/>
  <c r="J2096" i="22"/>
  <c r="L2095" i="22"/>
  <c r="K2095" i="22"/>
  <c r="J2095" i="22"/>
  <c r="N2087" i="22"/>
  <c r="N2086" i="22"/>
  <c r="N2085" i="22"/>
  <c r="P2084" i="22"/>
  <c r="P2082" i="22"/>
  <c r="P2080" i="22"/>
  <c r="L2063" i="22"/>
  <c r="K2063" i="22"/>
  <c r="J2063" i="22"/>
  <c r="L2062" i="22"/>
  <c r="K2062" i="22"/>
  <c r="L2061" i="22"/>
  <c r="K2061" i="22"/>
  <c r="L2060" i="22"/>
  <c r="K2060" i="22"/>
  <c r="L2059" i="22"/>
  <c r="K2059" i="22"/>
  <c r="J2059" i="22"/>
  <c r="L2058" i="22"/>
  <c r="K2058" i="22"/>
  <c r="J2058" i="22"/>
  <c r="N2050" i="22"/>
  <c r="P2049" i="22"/>
  <c r="N2049" i="22"/>
  <c r="N2048" i="22"/>
  <c r="P2047" i="22"/>
  <c r="P2045" i="22"/>
  <c r="P2043" i="22"/>
  <c r="P2041" i="22"/>
  <c r="P2039" i="22"/>
  <c r="L2026" i="22"/>
  <c r="K2026" i="22"/>
  <c r="J2026" i="22"/>
  <c r="L2025" i="22"/>
  <c r="K2025" i="22"/>
  <c r="L2024" i="22"/>
  <c r="K2024" i="22"/>
  <c r="L2023" i="22"/>
  <c r="K2023" i="22"/>
  <c r="L2022" i="22"/>
  <c r="K2022" i="22"/>
  <c r="J2022" i="22"/>
  <c r="L2021" i="22"/>
  <c r="K2021" i="22"/>
  <c r="J2021" i="22"/>
  <c r="N2013" i="22"/>
  <c r="P2012" i="22"/>
  <c r="N2012" i="22"/>
  <c r="N2011" i="22"/>
  <c r="P2010" i="22"/>
  <c r="P2008" i="22"/>
  <c r="P2006" i="22"/>
  <c r="P2004" i="22"/>
  <c r="P2002" i="22"/>
  <c r="L1989" i="22"/>
  <c r="K1989" i="22"/>
  <c r="J1989" i="22"/>
  <c r="L1988" i="22"/>
  <c r="K1988" i="22"/>
  <c r="L1987" i="22"/>
  <c r="K1987" i="22"/>
  <c r="L1986" i="22"/>
  <c r="K1986" i="22"/>
  <c r="L1985" i="22"/>
  <c r="K1985" i="22"/>
  <c r="J1985" i="22"/>
  <c r="L1984" i="22"/>
  <c r="K1984" i="22"/>
  <c r="J1984" i="22"/>
  <c r="N1976" i="22"/>
  <c r="P1975" i="22"/>
  <c r="N1975" i="22"/>
  <c r="N1974" i="22"/>
  <c r="P1973" i="22"/>
  <c r="P1971" i="22"/>
  <c r="P1969" i="22"/>
  <c r="P1967" i="22"/>
  <c r="P1965" i="22"/>
  <c r="L1952" i="22"/>
  <c r="K1952" i="22"/>
  <c r="J1952" i="22"/>
  <c r="L1951" i="22"/>
  <c r="K1951" i="22"/>
  <c r="L1950" i="22"/>
  <c r="K1950" i="22"/>
  <c r="L1949" i="22"/>
  <c r="K1949" i="22"/>
  <c r="L1948" i="22"/>
  <c r="K1948" i="22"/>
  <c r="J1948" i="22"/>
  <c r="L1947" i="22"/>
  <c r="K1947" i="22"/>
  <c r="J1947" i="22"/>
  <c r="N1939" i="22"/>
  <c r="P1938" i="22"/>
  <c r="N1938" i="22"/>
  <c r="N1937" i="22"/>
  <c r="P1936" i="22"/>
  <c r="P1934" i="22"/>
  <c r="P1932" i="22"/>
  <c r="P1930" i="22"/>
  <c r="P1928" i="22"/>
  <c r="L1915" i="22"/>
  <c r="K1915" i="22"/>
  <c r="J1915" i="22"/>
  <c r="L1914" i="22"/>
  <c r="K1914" i="22"/>
  <c r="L1913" i="22"/>
  <c r="K1913" i="22"/>
  <c r="L1912" i="22"/>
  <c r="K1912" i="22"/>
  <c r="L1911" i="22"/>
  <c r="K1911" i="22"/>
  <c r="J1911" i="22"/>
  <c r="L1910" i="22"/>
  <c r="K1910" i="22"/>
  <c r="J1910" i="22"/>
  <c r="N1902" i="22"/>
  <c r="P1901" i="22"/>
  <c r="N1901" i="22"/>
  <c r="N1900" i="22"/>
  <c r="P1899" i="22"/>
  <c r="P1897" i="22"/>
  <c r="P1895" i="22"/>
  <c r="P1893" i="22"/>
  <c r="P1891" i="22"/>
  <c r="L1878" i="22"/>
  <c r="K1878" i="22"/>
  <c r="J1878" i="22"/>
  <c r="L1877" i="22"/>
  <c r="K1877" i="22"/>
  <c r="L1876" i="22"/>
  <c r="K1876" i="22"/>
  <c r="J1876" i="22"/>
  <c r="L1875" i="22"/>
  <c r="K1875" i="22"/>
  <c r="L1874" i="22"/>
  <c r="K1874" i="22"/>
  <c r="L1873" i="22"/>
  <c r="K1873" i="22"/>
  <c r="J1873" i="22"/>
  <c r="N1865" i="22"/>
  <c r="N1864" i="22"/>
  <c r="N1863" i="22"/>
  <c r="P1862" i="22"/>
  <c r="P1860" i="22"/>
  <c r="P1858" i="22"/>
  <c r="P1856" i="22"/>
  <c r="P1854" i="22"/>
  <c r="L1841" i="22"/>
  <c r="K1841" i="22"/>
  <c r="J1841" i="22"/>
  <c r="L1840" i="22"/>
  <c r="K1840" i="22"/>
  <c r="L1839" i="22"/>
  <c r="K1839" i="22"/>
  <c r="J1839" i="22"/>
  <c r="L1838" i="22"/>
  <c r="K1838" i="22"/>
  <c r="L1837" i="22"/>
  <c r="K1837" i="22"/>
  <c r="L1836" i="22"/>
  <c r="K1836" i="22"/>
  <c r="J1836" i="22"/>
  <c r="N1828" i="22"/>
  <c r="N1827" i="22"/>
  <c r="N1826" i="22"/>
  <c r="P1825" i="22"/>
  <c r="P1823" i="22"/>
  <c r="P1821" i="22"/>
  <c r="P1819" i="22"/>
  <c r="P1817" i="22"/>
  <c r="L1804" i="22"/>
  <c r="K1804" i="22"/>
  <c r="J1804" i="22"/>
  <c r="L1803" i="22"/>
  <c r="K1803" i="22"/>
  <c r="L1802" i="22"/>
  <c r="K1802" i="22"/>
  <c r="L1801" i="22"/>
  <c r="K1801" i="22"/>
  <c r="L1800" i="22"/>
  <c r="K1800" i="22"/>
  <c r="J1800" i="22"/>
  <c r="L1799" i="22"/>
  <c r="K1799" i="22"/>
  <c r="J1799" i="22"/>
  <c r="N1791" i="22"/>
  <c r="N1790" i="22"/>
  <c r="N1789" i="22"/>
  <c r="P1788" i="22"/>
  <c r="P1786" i="22"/>
  <c r="P1784" i="22"/>
  <c r="P1782" i="22"/>
  <c r="P1780" i="22"/>
  <c r="L1767" i="22"/>
  <c r="K1767" i="22"/>
  <c r="J1767" i="22"/>
  <c r="L1766" i="22"/>
  <c r="K1766" i="22"/>
  <c r="L1765" i="22"/>
  <c r="K1765" i="22"/>
  <c r="L1764" i="22"/>
  <c r="K1764" i="22"/>
  <c r="L1763" i="22"/>
  <c r="K1763" i="22"/>
  <c r="J1763" i="22"/>
  <c r="L1762" i="22"/>
  <c r="K1762" i="22"/>
  <c r="J1762" i="22"/>
  <c r="N1754" i="22"/>
  <c r="P1753" i="22"/>
  <c r="N1753" i="22"/>
  <c r="N1752" i="22"/>
  <c r="P1751" i="22"/>
  <c r="P1749" i="22"/>
  <c r="P1747" i="22"/>
  <c r="P1745" i="22"/>
  <c r="P1743" i="22"/>
  <c r="L1730" i="22"/>
  <c r="K1730" i="22"/>
  <c r="J1730" i="22"/>
  <c r="L1729" i="22"/>
  <c r="K1729" i="22"/>
  <c r="L1728" i="22"/>
  <c r="K1728" i="22"/>
  <c r="J1728" i="22"/>
  <c r="L1727" i="22"/>
  <c r="K1727" i="22"/>
  <c r="L1726" i="22"/>
  <c r="K1726" i="22"/>
  <c r="L1725" i="22"/>
  <c r="K1725" i="22"/>
  <c r="J1725" i="22"/>
  <c r="S1717" i="22"/>
  <c r="N1717" i="22"/>
  <c r="N1716" i="22"/>
  <c r="N1715" i="22"/>
  <c r="P1714" i="22"/>
  <c r="P1712" i="22"/>
  <c r="P1710" i="22"/>
  <c r="P1708" i="22"/>
  <c r="P1706" i="22"/>
  <c r="P1704" i="22"/>
  <c r="L1691" i="22"/>
  <c r="K1691" i="22"/>
  <c r="J1691" i="22"/>
  <c r="L1690" i="22"/>
  <c r="K1690" i="22"/>
  <c r="L1689" i="22"/>
  <c r="K1689" i="22"/>
  <c r="L1688" i="22"/>
  <c r="K1688" i="22"/>
  <c r="L1687" i="22"/>
  <c r="K1687" i="22"/>
  <c r="J1687" i="22"/>
  <c r="L1686" i="22"/>
  <c r="K1686" i="22"/>
  <c r="J1686" i="22"/>
  <c r="N1678" i="22"/>
  <c r="P1677" i="22"/>
  <c r="N1677" i="22"/>
  <c r="N1676" i="22"/>
  <c r="P1675" i="22"/>
  <c r="P1673" i="22"/>
  <c r="P1671" i="22"/>
  <c r="P1669" i="22"/>
  <c r="P1667" i="22"/>
  <c r="L1654" i="22"/>
  <c r="K1654" i="22"/>
  <c r="J1654" i="22"/>
  <c r="L1653" i="22"/>
  <c r="K1653" i="22"/>
  <c r="L1652" i="22"/>
  <c r="K1652" i="22"/>
  <c r="L1651" i="22"/>
  <c r="K1651" i="22"/>
  <c r="L1650" i="22"/>
  <c r="K1650" i="22"/>
  <c r="J1650" i="22"/>
  <c r="L1649" i="22"/>
  <c r="K1649" i="22"/>
  <c r="J1649" i="22"/>
  <c r="N1641" i="22"/>
  <c r="P1640" i="22"/>
  <c r="N1640" i="22"/>
  <c r="N1639" i="22"/>
  <c r="P1638" i="22"/>
  <c r="P1636" i="22"/>
  <c r="P1634" i="22"/>
  <c r="P1632" i="22"/>
  <c r="P1630" i="22"/>
  <c r="L1617" i="22"/>
  <c r="K1617" i="22"/>
  <c r="J1617" i="22"/>
  <c r="L1616" i="22"/>
  <c r="K1616" i="22"/>
  <c r="L1615" i="22"/>
  <c r="K1615" i="22"/>
  <c r="J1615" i="22"/>
  <c r="L1614" i="22"/>
  <c r="K1614" i="22"/>
  <c r="L1613" i="22"/>
  <c r="K1613" i="22"/>
  <c r="L1612" i="22"/>
  <c r="K1612" i="22"/>
  <c r="J1612" i="22"/>
  <c r="N1604" i="22"/>
  <c r="P1603" i="22"/>
  <c r="N1603" i="22"/>
  <c r="N1602" i="22"/>
  <c r="P1601" i="22"/>
  <c r="P1599" i="22"/>
  <c r="P1597" i="22"/>
  <c r="P1595" i="22"/>
  <c r="P1593" i="22"/>
  <c r="L1580" i="22"/>
  <c r="K1580" i="22"/>
  <c r="J1580" i="22"/>
  <c r="L1579" i="22"/>
  <c r="K1579" i="22"/>
  <c r="L1578" i="22"/>
  <c r="K1578" i="22"/>
  <c r="J1578" i="22"/>
  <c r="L1577" i="22"/>
  <c r="K1577" i="22"/>
  <c r="L1576" i="22"/>
  <c r="K1576" i="22"/>
  <c r="L1575" i="22"/>
  <c r="K1575" i="22"/>
  <c r="J1575" i="22"/>
  <c r="N1567" i="22"/>
  <c r="P1566" i="22"/>
  <c r="N1566" i="22"/>
  <c r="N1565" i="22"/>
  <c r="P1564" i="22"/>
  <c r="P1562" i="22"/>
  <c r="P1560" i="22"/>
  <c r="P1558" i="22"/>
  <c r="P1556" i="22"/>
  <c r="L1543" i="22"/>
  <c r="K1543" i="22"/>
  <c r="J1543" i="22"/>
  <c r="L1542" i="22"/>
  <c r="K1542" i="22"/>
  <c r="L1541" i="22"/>
  <c r="K1541" i="22"/>
  <c r="J1541" i="22"/>
  <c r="L1540" i="22"/>
  <c r="K1540" i="22"/>
  <c r="L1539" i="22"/>
  <c r="K1539" i="22"/>
  <c r="L1538" i="22"/>
  <c r="K1538" i="22"/>
  <c r="J1538" i="22"/>
  <c r="N1530" i="22"/>
  <c r="P1529" i="22"/>
  <c r="N1529" i="22"/>
  <c r="N1528" i="22"/>
  <c r="P1527" i="22"/>
  <c r="P1525" i="22"/>
  <c r="P1523" i="22"/>
  <c r="P1521" i="22"/>
  <c r="L1506" i="22"/>
  <c r="K1506" i="22"/>
  <c r="J1506" i="22"/>
  <c r="L1505" i="22"/>
  <c r="K1505" i="22"/>
  <c r="L1504" i="22"/>
  <c r="K1504" i="22"/>
  <c r="L1503" i="22"/>
  <c r="K1503" i="22"/>
  <c r="L1502" i="22"/>
  <c r="K1502" i="22"/>
  <c r="J1502" i="22"/>
  <c r="L1501" i="22"/>
  <c r="K1501" i="22"/>
  <c r="J1501" i="22"/>
  <c r="N1493" i="22"/>
  <c r="P1492" i="22"/>
  <c r="N1492" i="22"/>
  <c r="N1491" i="22"/>
  <c r="P1490" i="22"/>
  <c r="I1489" i="22"/>
  <c r="P1488" i="22"/>
  <c r="I1487" i="22"/>
  <c r="P1486" i="22"/>
  <c r="I1485" i="22"/>
  <c r="P1484" i="22"/>
  <c r="I1483" i="22"/>
  <c r="P1482" i="22"/>
  <c r="I1481" i="22"/>
  <c r="P1480" i="22"/>
  <c r="D1468" i="22"/>
  <c r="C1468" i="22"/>
  <c r="B1468" i="22"/>
  <c r="L1467" i="22"/>
  <c r="K1467" i="22"/>
  <c r="J1467" i="22"/>
  <c r="D1467" i="22"/>
  <c r="C1467" i="22"/>
  <c r="L1466" i="22"/>
  <c r="K1466" i="22"/>
  <c r="D1466" i="22"/>
  <c r="C1466" i="22"/>
  <c r="L1465" i="22"/>
  <c r="K1465" i="22"/>
  <c r="D1465" i="22"/>
  <c r="C1465" i="22"/>
  <c r="L1464" i="22"/>
  <c r="K1464" i="22"/>
  <c r="D1464" i="22"/>
  <c r="C1464" i="22"/>
  <c r="B1464" i="22"/>
  <c r="L1463" i="22"/>
  <c r="K1463" i="22"/>
  <c r="J1463" i="22"/>
  <c r="D1463" i="22"/>
  <c r="C1463" i="22"/>
  <c r="B1463" i="22"/>
  <c r="L1462" i="22"/>
  <c r="K1462" i="22"/>
  <c r="J1462" i="22"/>
  <c r="F1455" i="22"/>
  <c r="N1454" i="22"/>
  <c r="F1454" i="22"/>
  <c r="N1453" i="22"/>
  <c r="F1453" i="22"/>
  <c r="N1452" i="22"/>
  <c r="H1452" i="22"/>
  <c r="P1451" i="22"/>
  <c r="H1450" i="22"/>
  <c r="P1449" i="22"/>
  <c r="A1449" i="22"/>
  <c r="H1448" i="22"/>
  <c r="A1445" i="22"/>
  <c r="H1444" i="22"/>
  <c r="P1443" i="22"/>
  <c r="A1443" i="22"/>
  <c r="H1442" i="22"/>
  <c r="P1441" i="22"/>
  <c r="A1441" i="22"/>
  <c r="D1429" i="22"/>
  <c r="C1429" i="22"/>
  <c r="B1429" i="22"/>
  <c r="L1428" i="22"/>
  <c r="K1428" i="22"/>
  <c r="J1428" i="22"/>
  <c r="D1428" i="22"/>
  <c r="C1428" i="22"/>
  <c r="L1427" i="22"/>
  <c r="K1427" i="22"/>
  <c r="D1427" i="22"/>
  <c r="C1427" i="22"/>
  <c r="L1426" i="22"/>
  <c r="K1426" i="22"/>
  <c r="J1426" i="22"/>
  <c r="D1426" i="22"/>
  <c r="C1426" i="22"/>
  <c r="B1426" i="22"/>
  <c r="L1425" i="22"/>
  <c r="K1425" i="22"/>
  <c r="D1425" i="22"/>
  <c r="C1425" i="22"/>
  <c r="B1425" i="22"/>
  <c r="L1424" i="22"/>
  <c r="K1424" i="22"/>
  <c r="L1423" i="22"/>
  <c r="K1423" i="22"/>
  <c r="J1423" i="22"/>
  <c r="F1417" i="22"/>
  <c r="F1416" i="22"/>
  <c r="N1415" i="22"/>
  <c r="F1415" i="22"/>
  <c r="N1414" i="22"/>
  <c r="H1414" i="22"/>
  <c r="N1413" i="22"/>
  <c r="P1412" i="22"/>
  <c r="H1412" i="22"/>
  <c r="A1411" i="22"/>
  <c r="P1410" i="22"/>
  <c r="H1410" i="22"/>
  <c r="A1409" i="22"/>
  <c r="P1408" i="22"/>
  <c r="H1408" i="22"/>
  <c r="A1407" i="22"/>
  <c r="P1406" i="22"/>
  <c r="H1406" i="22"/>
  <c r="A1405" i="22"/>
  <c r="P1404" i="22"/>
  <c r="D1393" i="22"/>
  <c r="C1393" i="22"/>
  <c r="B1393" i="22"/>
  <c r="D1392" i="22"/>
  <c r="C1392" i="22"/>
  <c r="L1391" i="22"/>
  <c r="K1391" i="22"/>
  <c r="J1391" i="22"/>
  <c r="D1391" i="22"/>
  <c r="C1391" i="22"/>
  <c r="L1390" i="22"/>
  <c r="K1390" i="22"/>
  <c r="D1390" i="22"/>
  <c r="C1390" i="22"/>
  <c r="L1389" i="22"/>
  <c r="K1389" i="22"/>
  <c r="D1389" i="22"/>
  <c r="C1389" i="22"/>
  <c r="B1389" i="22"/>
  <c r="L1388" i="22"/>
  <c r="K1388" i="22"/>
  <c r="D1388" i="22"/>
  <c r="C1388" i="22"/>
  <c r="B1388" i="22"/>
  <c r="L1387" i="22"/>
  <c r="K1387" i="22"/>
  <c r="J1387" i="22"/>
  <c r="L1386" i="22"/>
  <c r="K1386" i="22"/>
  <c r="J1386" i="22"/>
  <c r="F1380" i="22"/>
  <c r="F1379" i="22"/>
  <c r="N1378" i="22"/>
  <c r="F1378" i="22"/>
  <c r="P1377" i="22"/>
  <c r="N1377" i="22"/>
  <c r="H1377" i="22"/>
  <c r="N1376" i="22"/>
  <c r="P1375" i="22"/>
  <c r="H1375" i="22"/>
  <c r="A1374" i="22"/>
  <c r="P1373" i="22"/>
  <c r="H1373" i="22"/>
  <c r="A1372" i="22"/>
  <c r="P1371" i="22"/>
  <c r="H1371" i="22"/>
  <c r="I1370" i="22"/>
  <c r="A1370" i="22"/>
  <c r="P1369" i="22"/>
  <c r="H1369" i="22"/>
  <c r="I1368" i="22"/>
  <c r="A1368" i="22"/>
  <c r="P1367" i="22"/>
  <c r="D1356" i="22"/>
  <c r="C1356" i="22"/>
  <c r="B1356" i="22"/>
  <c r="D1355" i="22"/>
  <c r="C1355" i="22"/>
  <c r="L1354" i="22"/>
  <c r="K1354" i="22"/>
  <c r="J1354" i="22"/>
  <c r="D1354" i="22"/>
  <c r="C1354" i="22"/>
  <c r="L1353" i="22"/>
  <c r="K1353" i="22"/>
  <c r="D1353" i="22"/>
  <c r="C1353" i="22"/>
  <c r="L1352" i="22"/>
  <c r="K1352" i="22"/>
  <c r="D1352" i="22"/>
  <c r="C1352" i="22"/>
  <c r="B1352" i="22"/>
  <c r="L1351" i="22"/>
  <c r="K1351" i="22"/>
  <c r="D1351" i="22"/>
  <c r="C1351" i="22"/>
  <c r="B1351" i="22"/>
  <c r="L1350" i="22"/>
  <c r="K1350" i="22"/>
  <c r="L1349" i="22"/>
  <c r="K1349" i="22"/>
  <c r="J1349" i="22"/>
  <c r="F1343" i="22"/>
  <c r="F1342" i="22"/>
  <c r="N1341" i="22"/>
  <c r="F1341" i="22"/>
  <c r="P1340" i="22"/>
  <c r="N1340" i="22"/>
  <c r="H1340" i="22"/>
  <c r="N1339" i="22"/>
  <c r="A1339" i="22"/>
  <c r="P1338" i="22"/>
  <c r="H1338" i="22"/>
  <c r="I1337" i="22"/>
  <c r="A1337" i="22"/>
  <c r="P1336" i="22"/>
  <c r="H1336" i="22"/>
  <c r="I1335" i="22"/>
  <c r="A1335" i="22"/>
  <c r="P1334" i="22"/>
  <c r="H1334" i="22"/>
  <c r="I1333" i="22"/>
  <c r="A1333" i="22"/>
  <c r="P1332" i="22"/>
  <c r="H1332" i="22"/>
  <c r="I1331" i="22"/>
  <c r="A1331" i="22"/>
  <c r="P1330" i="22"/>
  <c r="H1330" i="22"/>
  <c r="A1329" i="22"/>
  <c r="L1317" i="22"/>
  <c r="K1317" i="22"/>
  <c r="J1317" i="22"/>
  <c r="D1317" i="22"/>
  <c r="C1317" i="22"/>
  <c r="B1317" i="22"/>
  <c r="L1316" i="22"/>
  <c r="K1316" i="22"/>
  <c r="D1316" i="22"/>
  <c r="C1316" i="22"/>
  <c r="L1315" i="22"/>
  <c r="K1315" i="22"/>
  <c r="D1315" i="22"/>
  <c r="C1315" i="22"/>
  <c r="L1314" i="22"/>
  <c r="K1314" i="22"/>
  <c r="D1314" i="22"/>
  <c r="C1314" i="22"/>
  <c r="L1313" i="22"/>
  <c r="K1313" i="22"/>
  <c r="J1313" i="22"/>
  <c r="D1313" i="22"/>
  <c r="C1313" i="22"/>
  <c r="B1313" i="22"/>
  <c r="L1312" i="22"/>
  <c r="K1312" i="22"/>
  <c r="J1312" i="22"/>
  <c r="D1312" i="22"/>
  <c r="C1312" i="22"/>
  <c r="B1312" i="22"/>
  <c r="N1304" i="22"/>
  <c r="F1304" i="22"/>
  <c r="P1303" i="22"/>
  <c r="N1303" i="22"/>
  <c r="F1303" i="22"/>
  <c r="N1302" i="22"/>
  <c r="F1302" i="22"/>
  <c r="P1301" i="22"/>
  <c r="H1301" i="22"/>
  <c r="I1300" i="22"/>
  <c r="A1300" i="22"/>
  <c r="P1299" i="22"/>
  <c r="H1299" i="22"/>
  <c r="I1298" i="22"/>
  <c r="A1298" i="22"/>
  <c r="P1297" i="22"/>
  <c r="H1297" i="22"/>
  <c r="I1296" i="22"/>
  <c r="A1296" i="22"/>
  <c r="P1295" i="22"/>
  <c r="H1295" i="22"/>
  <c r="I1294" i="22"/>
  <c r="A1294" i="22"/>
  <c r="P1293" i="22"/>
  <c r="H1293" i="22"/>
  <c r="A1292" i="22"/>
  <c r="L1280" i="22"/>
  <c r="K1280" i="22"/>
  <c r="J1280" i="22"/>
  <c r="D1280" i="22"/>
  <c r="C1280" i="22"/>
  <c r="B1280" i="22"/>
  <c r="L1279" i="22"/>
  <c r="K1279" i="22"/>
  <c r="D1279" i="22"/>
  <c r="C1279" i="22"/>
  <c r="L1278" i="22"/>
  <c r="K1278" i="22"/>
  <c r="J1278" i="22"/>
  <c r="D1278" i="22"/>
  <c r="C1278" i="22"/>
  <c r="L1277" i="22"/>
  <c r="K1277" i="22"/>
  <c r="D1277" i="22"/>
  <c r="C1277" i="22"/>
  <c r="L1276" i="22"/>
  <c r="K1276" i="22"/>
  <c r="D1276" i="22"/>
  <c r="C1276" i="22"/>
  <c r="B1276" i="22"/>
  <c r="L1275" i="22"/>
  <c r="K1275" i="22"/>
  <c r="J1275" i="22"/>
  <c r="D1275" i="22"/>
  <c r="C1275" i="22"/>
  <c r="B1275" i="22"/>
  <c r="N1267" i="22"/>
  <c r="F1267" i="22"/>
  <c r="N1266" i="22"/>
  <c r="F1266" i="22"/>
  <c r="N1265" i="22"/>
  <c r="F1265" i="22"/>
  <c r="H1264" i="22"/>
  <c r="A1263" i="22"/>
  <c r="H1262" i="22"/>
  <c r="A1261" i="22"/>
  <c r="H1260" i="22"/>
  <c r="A1259" i="22"/>
  <c r="H1258" i="22"/>
  <c r="P1257" i="22"/>
  <c r="A1257" i="22"/>
  <c r="H1256" i="22"/>
  <c r="P1255" i="22"/>
  <c r="A1255" i="22"/>
  <c r="L1243" i="22"/>
  <c r="K1243" i="22"/>
  <c r="J1243" i="22"/>
  <c r="D1243" i="22"/>
  <c r="C1243" i="22"/>
  <c r="B1243" i="22"/>
  <c r="L1242" i="22"/>
  <c r="K1242" i="22"/>
  <c r="D1242" i="22"/>
  <c r="C1242" i="22"/>
  <c r="L1241" i="22"/>
  <c r="K1241" i="22"/>
  <c r="J1241" i="22"/>
  <c r="D1241" i="22"/>
  <c r="C1241" i="22"/>
  <c r="L1240" i="22"/>
  <c r="K1240" i="22"/>
  <c r="D1240" i="22"/>
  <c r="C1240" i="22"/>
  <c r="L1239" i="22"/>
  <c r="K1239" i="22"/>
  <c r="J1239" i="22"/>
  <c r="D1239" i="22"/>
  <c r="C1239" i="22"/>
  <c r="B1239" i="22"/>
  <c r="L1238" i="22"/>
  <c r="K1238" i="22"/>
  <c r="J1238" i="22"/>
  <c r="D1238" i="22"/>
  <c r="C1238" i="22"/>
  <c r="B1238" i="22"/>
  <c r="N1230" i="22"/>
  <c r="F1230" i="22"/>
  <c r="N1229" i="22"/>
  <c r="F1229" i="22"/>
  <c r="N1228" i="22"/>
  <c r="F1228" i="22"/>
  <c r="P1227" i="22"/>
  <c r="H1227" i="22"/>
  <c r="A1226" i="22"/>
  <c r="P1225" i="22"/>
  <c r="H1225" i="22"/>
  <c r="A1224" i="22"/>
  <c r="P1223" i="22"/>
  <c r="H1223" i="22"/>
  <c r="A1222" i="22"/>
  <c r="H1221" i="22"/>
  <c r="P1220" i="22"/>
  <c r="A1220" i="22"/>
  <c r="H1219" i="22"/>
  <c r="P1218" i="22"/>
  <c r="A1218" i="22"/>
  <c r="L1206" i="22"/>
  <c r="K1206" i="22"/>
  <c r="J1206" i="22"/>
  <c r="D1206" i="22"/>
  <c r="C1206" i="22"/>
  <c r="B1206" i="22"/>
  <c r="L1205" i="22"/>
  <c r="K1205" i="22"/>
  <c r="D1205" i="22"/>
  <c r="C1205" i="22"/>
  <c r="L1204" i="22"/>
  <c r="K1204" i="22"/>
  <c r="D1204" i="22"/>
  <c r="C1204" i="22"/>
  <c r="L1203" i="22"/>
  <c r="K1203" i="22"/>
  <c r="D1203" i="22"/>
  <c r="C1203" i="22"/>
  <c r="L1202" i="22"/>
  <c r="K1202" i="22"/>
  <c r="J1202" i="22"/>
  <c r="D1202" i="22"/>
  <c r="C1202" i="22"/>
  <c r="B1202" i="22"/>
  <c r="L1201" i="22"/>
  <c r="K1201" i="22"/>
  <c r="J1201" i="22"/>
  <c r="D1201" i="22"/>
  <c r="C1201" i="22"/>
  <c r="B1201" i="22"/>
  <c r="N1193" i="22"/>
  <c r="F1193" i="22"/>
  <c r="P1192" i="22"/>
  <c r="N1192" i="22"/>
  <c r="F1192" i="22"/>
  <c r="N1191" i="22"/>
  <c r="F1191" i="22"/>
  <c r="H1190" i="22"/>
  <c r="P1188" i="22"/>
  <c r="I1187" i="22"/>
  <c r="H1186" i="22"/>
  <c r="I1185" i="22"/>
  <c r="H1184" i="22"/>
  <c r="I1183" i="22"/>
  <c r="A1183" i="22"/>
  <c r="H1182" i="22"/>
  <c r="P1181" i="22"/>
  <c r="I1181" i="22"/>
  <c r="A1181" i="22"/>
  <c r="H1180" i="22"/>
  <c r="P1179" i="22"/>
  <c r="A1179" i="22"/>
  <c r="L1167" i="22"/>
  <c r="K1167" i="22"/>
  <c r="J1167" i="22"/>
  <c r="D1167" i="22"/>
  <c r="C1167" i="22"/>
  <c r="B1167" i="22"/>
  <c r="L1166" i="22"/>
  <c r="K1166" i="22"/>
  <c r="D1166" i="22"/>
  <c r="C1166" i="22"/>
  <c r="L1165" i="22"/>
  <c r="K1165" i="22"/>
  <c r="J1165" i="22"/>
  <c r="D1165" i="22"/>
  <c r="C1165" i="22"/>
  <c r="L1164" i="22"/>
  <c r="K1164" i="22"/>
  <c r="D1164" i="22"/>
  <c r="C1164" i="22"/>
  <c r="L1163" i="22"/>
  <c r="K1163" i="22"/>
  <c r="J1163" i="22"/>
  <c r="D1163" i="22"/>
  <c r="C1163" i="22"/>
  <c r="B1163" i="22"/>
  <c r="L1162" i="22"/>
  <c r="K1162" i="22"/>
  <c r="J1162" i="22"/>
  <c r="D1162" i="22"/>
  <c r="C1162" i="22"/>
  <c r="B1162" i="22"/>
  <c r="N1154" i="22"/>
  <c r="F1154" i="22"/>
  <c r="N1153" i="22"/>
  <c r="F1153" i="22"/>
  <c r="N1152" i="22"/>
  <c r="F1152" i="22"/>
  <c r="H1151" i="22"/>
  <c r="P1150" i="22"/>
  <c r="I1150" i="22"/>
  <c r="H1149" i="22"/>
  <c r="P1148" i="22"/>
  <c r="I1148" i="22"/>
  <c r="P1146" i="22"/>
  <c r="I1146" i="22"/>
  <c r="P1145" i="22"/>
  <c r="H1145" i="22"/>
  <c r="I1144" i="22"/>
  <c r="A1144" i="22"/>
  <c r="H1143" i="22"/>
  <c r="P1142" i="22"/>
  <c r="A1142" i="22"/>
  <c r="L1130" i="22"/>
  <c r="K1130" i="22"/>
  <c r="J1130" i="22"/>
  <c r="D1130" i="22"/>
  <c r="C1130" i="22"/>
  <c r="B1130" i="22"/>
  <c r="L1129" i="22"/>
  <c r="K1129" i="22"/>
  <c r="D1129" i="22"/>
  <c r="C1129" i="22"/>
  <c r="L1128" i="22"/>
  <c r="K1128" i="22"/>
  <c r="D1128" i="22"/>
  <c r="C1128" i="22"/>
  <c r="L1127" i="22"/>
  <c r="K1127" i="22"/>
  <c r="D1127" i="22"/>
  <c r="C1127" i="22"/>
  <c r="L1126" i="22"/>
  <c r="K1126" i="22"/>
  <c r="J1126" i="22"/>
  <c r="D1126" i="22"/>
  <c r="C1126" i="22"/>
  <c r="B1126" i="22"/>
  <c r="L1125" i="22"/>
  <c r="K1125" i="22"/>
  <c r="J1125" i="22"/>
  <c r="D1125" i="22"/>
  <c r="C1125" i="22"/>
  <c r="B1125" i="22"/>
  <c r="N1117" i="22"/>
  <c r="F1117" i="22"/>
  <c r="N1116" i="22"/>
  <c r="F1116" i="22"/>
  <c r="N1115" i="22"/>
  <c r="F1115" i="22"/>
  <c r="P1114" i="22"/>
  <c r="H1114" i="22"/>
  <c r="I1113" i="22"/>
  <c r="P1112" i="22"/>
  <c r="H1112" i="22"/>
  <c r="I1111" i="22"/>
  <c r="P1110" i="22"/>
  <c r="I1109" i="22"/>
  <c r="H1108" i="22"/>
  <c r="I1107" i="22"/>
  <c r="P1106" i="22"/>
  <c r="H1106" i="22"/>
  <c r="P1105" i="22"/>
  <c r="L1093" i="22"/>
  <c r="K1093" i="22"/>
  <c r="J1093" i="22"/>
  <c r="D1093" i="22"/>
  <c r="C1093" i="22"/>
  <c r="B1093" i="22"/>
  <c r="L1092" i="22"/>
  <c r="K1092" i="22"/>
  <c r="D1092" i="22"/>
  <c r="C1092" i="22"/>
  <c r="L1091" i="22"/>
  <c r="K1091" i="22"/>
  <c r="J1091" i="22"/>
  <c r="D1091" i="22"/>
  <c r="C1091" i="22"/>
  <c r="L1090" i="22"/>
  <c r="K1090" i="22"/>
  <c r="D1090" i="22"/>
  <c r="C1090" i="22"/>
  <c r="L1089" i="22"/>
  <c r="K1089" i="22"/>
  <c r="J1089" i="22"/>
  <c r="D1089" i="22"/>
  <c r="C1089" i="22"/>
  <c r="B1089" i="22"/>
  <c r="L1088" i="22"/>
  <c r="K1088" i="22"/>
  <c r="J1088" i="22"/>
  <c r="D1088" i="22"/>
  <c r="C1088" i="22"/>
  <c r="B1088" i="22"/>
  <c r="N1080" i="22"/>
  <c r="F1080" i="22"/>
  <c r="N1079" i="22"/>
  <c r="F1079" i="22"/>
  <c r="N1078" i="22"/>
  <c r="F1078" i="22"/>
  <c r="P1077" i="22"/>
  <c r="I1076" i="22"/>
  <c r="P1075" i="22"/>
  <c r="I1074" i="22"/>
  <c r="P1073" i="22"/>
  <c r="I1072" i="22"/>
  <c r="P1071" i="22"/>
  <c r="H1071" i="22"/>
  <c r="I1070" i="22"/>
  <c r="A1070" i="22"/>
  <c r="P1069" i="22"/>
  <c r="H1069" i="22"/>
  <c r="I1068" i="22"/>
  <c r="A1068" i="22"/>
  <c r="P1067" i="22"/>
  <c r="H1067" i="22"/>
  <c r="A1066" i="22"/>
  <c r="L1054" i="22"/>
  <c r="K1054" i="22"/>
  <c r="J1054" i="22"/>
  <c r="D1054" i="22"/>
  <c r="C1054" i="22"/>
  <c r="B1054" i="22"/>
  <c r="L1053" i="22"/>
  <c r="K1053" i="22"/>
  <c r="D1053" i="22"/>
  <c r="C1053" i="22"/>
  <c r="L1052" i="22"/>
  <c r="K1052" i="22"/>
  <c r="J1052" i="22"/>
  <c r="D1052" i="22"/>
  <c r="C1052" i="22"/>
  <c r="L1051" i="22"/>
  <c r="K1051" i="22"/>
  <c r="J1051" i="22"/>
  <c r="D1051" i="22"/>
  <c r="C1051" i="22"/>
  <c r="L1050" i="22"/>
  <c r="K1050" i="22"/>
  <c r="J1050" i="22"/>
  <c r="D1050" i="22"/>
  <c r="C1050" i="22"/>
  <c r="B1050" i="22"/>
  <c r="L1049" i="22"/>
  <c r="K1049" i="22"/>
  <c r="J1049" i="22"/>
  <c r="D1049" i="22"/>
  <c r="C1049" i="22"/>
  <c r="B1049" i="22"/>
  <c r="N1041" i="22"/>
  <c r="F1041" i="22"/>
  <c r="N1040" i="22"/>
  <c r="F1040" i="22"/>
  <c r="N1039" i="22"/>
  <c r="F1039" i="22"/>
  <c r="P1038" i="22"/>
  <c r="H1038" i="22"/>
  <c r="I1037" i="22"/>
  <c r="P1036" i="22"/>
  <c r="H1036" i="22"/>
  <c r="I1035" i="22"/>
  <c r="P1034" i="22"/>
  <c r="H1034" i="22"/>
  <c r="I1033" i="22"/>
  <c r="A1033" i="22"/>
  <c r="P1032" i="22"/>
  <c r="H1032" i="22"/>
  <c r="H1031" i="22"/>
  <c r="A1031" i="22"/>
  <c r="L1019" i="22"/>
  <c r="K1019" i="22"/>
  <c r="J1019" i="22"/>
  <c r="D1019" i="22"/>
  <c r="C1019" i="22"/>
  <c r="L1018" i="22"/>
  <c r="K1018" i="22"/>
  <c r="D1018" i="22"/>
  <c r="C1018" i="22"/>
  <c r="L1017" i="22"/>
  <c r="K1017" i="22"/>
  <c r="J1017" i="22"/>
  <c r="D1017" i="22"/>
  <c r="C1017" i="22"/>
  <c r="B1017" i="22"/>
  <c r="L1016" i="22"/>
  <c r="K1016" i="22"/>
  <c r="D1016" i="22"/>
  <c r="C1016" i="22"/>
  <c r="B1016" i="22"/>
  <c r="L1015" i="22"/>
  <c r="K1015" i="22"/>
  <c r="J1015" i="22"/>
  <c r="L1014" i="22"/>
  <c r="K1014" i="22"/>
  <c r="J1014" i="22"/>
  <c r="F1008" i="22"/>
  <c r="F1007" i="22"/>
  <c r="N1006" i="22"/>
  <c r="F1006" i="22"/>
  <c r="P1005" i="22"/>
  <c r="N1005" i="22"/>
  <c r="H1005" i="22"/>
  <c r="N1004" i="22"/>
  <c r="A1004" i="22"/>
  <c r="P1003" i="22"/>
  <c r="H1003" i="22"/>
  <c r="I1002" i="22"/>
  <c r="A1002" i="22"/>
  <c r="P1001" i="22"/>
  <c r="H1001" i="22"/>
  <c r="I1000" i="22"/>
  <c r="A1000" i="22"/>
  <c r="P999" i="22"/>
  <c r="H999" i="22"/>
  <c r="I998" i="22"/>
  <c r="A998" i="22"/>
  <c r="P997" i="22"/>
  <c r="H996" i="22"/>
  <c r="A996" i="22"/>
  <c r="P994" i="22"/>
  <c r="D984" i="22"/>
  <c r="C984" i="22"/>
  <c r="B984" i="22"/>
  <c r="D983" i="22"/>
  <c r="C983" i="22"/>
  <c r="L982" i="22"/>
  <c r="K982" i="22"/>
  <c r="J982" i="22"/>
  <c r="D982" i="22"/>
  <c r="C982" i="22"/>
  <c r="L981" i="22"/>
  <c r="K981" i="22"/>
  <c r="D981" i="22"/>
  <c r="C981" i="22"/>
  <c r="L980" i="22"/>
  <c r="K980" i="22"/>
  <c r="J980" i="22"/>
  <c r="D980" i="22"/>
  <c r="C980" i="22"/>
  <c r="B980" i="22"/>
  <c r="L979" i="22"/>
  <c r="K979" i="22"/>
  <c r="D979" i="22"/>
  <c r="C979" i="22"/>
  <c r="B979" i="22"/>
  <c r="L978" i="22"/>
  <c r="K978" i="22"/>
  <c r="J978" i="22"/>
  <c r="L977" i="22"/>
  <c r="K977" i="22"/>
  <c r="F971" i="22"/>
  <c r="F970" i="22"/>
  <c r="N969" i="22"/>
  <c r="F969" i="22"/>
  <c r="P968" i="22"/>
  <c r="N968" i="22"/>
  <c r="H968" i="22"/>
  <c r="N967" i="22"/>
  <c r="P966" i="22"/>
  <c r="H966" i="22"/>
  <c r="A965" i="22"/>
  <c r="H964" i="22"/>
  <c r="A963" i="22"/>
  <c r="P962" i="22"/>
  <c r="I961" i="22"/>
  <c r="P960" i="22"/>
  <c r="H960" i="22"/>
  <c r="I959" i="22"/>
  <c r="A959" i="22"/>
  <c r="P958" i="22"/>
  <c r="H958" i="22"/>
  <c r="I957" i="22"/>
  <c r="H957" i="22"/>
  <c r="A957" i="22"/>
  <c r="P956" i="22"/>
  <c r="D945" i="22"/>
  <c r="C945" i="22"/>
  <c r="B945" i="22"/>
  <c r="D944" i="22"/>
  <c r="C944" i="22"/>
  <c r="L943" i="22"/>
  <c r="K943" i="22"/>
  <c r="J943" i="22"/>
  <c r="D943" i="22"/>
  <c r="C943" i="22"/>
  <c r="B943" i="22"/>
  <c r="L942" i="22"/>
  <c r="K942" i="22"/>
  <c r="D942" i="22"/>
  <c r="C942" i="22"/>
  <c r="L941" i="22"/>
  <c r="K941" i="22"/>
  <c r="J941" i="22"/>
  <c r="D941" i="22"/>
  <c r="C941" i="22"/>
  <c r="B941" i="22"/>
  <c r="L940" i="22"/>
  <c r="K940" i="22"/>
  <c r="D940" i="22"/>
  <c r="C940" i="22"/>
  <c r="B940" i="22"/>
  <c r="L939" i="22"/>
  <c r="K939" i="22"/>
  <c r="J939" i="22"/>
  <c r="L938" i="22"/>
  <c r="K938" i="22"/>
  <c r="J938" i="22"/>
  <c r="F932" i="22"/>
  <c r="F931" i="22"/>
  <c r="N930" i="22"/>
  <c r="F930" i="22"/>
  <c r="P929" i="22"/>
  <c r="N929" i="22"/>
  <c r="H929" i="22"/>
  <c r="N928" i="22"/>
  <c r="H927" i="22"/>
  <c r="H925" i="22"/>
  <c r="H921" i="22"/>
  <c r="P919" i="22"/>
  <c r="H919" i="22"/>
  <c r="I918" i="22"/>
  <c r="H918" i="22"/>
  <c r="A918" i="22"/>
  <c r="P917" i="22"/>
  <c r="D906" i="22"/>
  <c r="C906" i="22"/>
  <c r="B906" i="22"/>
  <c r="D905" i="22"/>
  <c r="C905" i="22"/>
  <c r="L904" i="22"/>
  <c r="K904" i="22"/>
  <c r="J904" i="22"/>
  <c r="D904" i="22"/>
  <c r="C904" i="22"/>
  <c r="B904" i="22"/>
  <c r="L903" i="22"/>
  <c r="K903" i="22"/>
  <c r="D903" i="22"/>
  <c r="C903" i="22"/>
  <c r="L902" i="22"/>
  <c r="K902" i="22"/>
  <c r="J902" i="22"/>
  <c r="D902" i="22"/>
  <c r="C902" i="22"/>
  <c r="B902" i="22"/>
  <c r="L901" i="22"/>
  <c r="K901" i="22"/>
  <c r="D901" i="22"/>
  <c r="C901" i="22"/>
  <c r="B901" i="22"/>
  <c r="L900" i="22"/>
  <c r="K900" i="22"/>
  <c r="J900" i="22"/>
  <c r="L899" i="22"/>
  <c r="K899" i="22"/>
  <c r="J899" i="22"/>
  <c r="F893" i="22"/>
  <c r="F892" i="22"/>
  <c r="N891" i="22"/>
  <c r="F891" i="22"/>
  <c r="P890" i="22"/>
  <c r="N890" i="22"/>
  <c r="H890" i="22"/>
  <c r="N889" i="22"/>
  <c r="P888" i="22"/>
  <c r="H888" i="22"/>
  <c r="P886" i="22"/>
  <c r="H886" i="22"/>
  <c r="A885" i="22"/>
  <c r="P884" i="22"/>
  <c r="H884" i="22"/>
  <c r="I883" i="22"/>
  <c r="A883" i="22"/>
  <c r="P882" i="22"/>
  <c r="H882" i="22"/>
  <c r="I881" i="22"/>
  <c r="A881" i="22"/>
  <c r="P880" i="22"/>
  <c r="I879" i="22"/>
  <c r="D869" i="22"/>
  <c r="C869" i="22"/>
  <c r="B869" i="22"/>
  <c r="D868" i="22"/>
  <c r="C868" i="22"/>
  <c r="L867" i="22"/>
  <c r="K867" i="22"/>
  <c r="J867" i="22"/>
  <c r="D867" i="22"/>
  <c r="C867" i="22"/>
  <c r="B867" i="22"/>
  <c r="L866" i="22"/>
  <c r="K866" i="22"/>
  <c r="D866" i="22"/>
  <c r="C866" i="22"/>
  <c r="L865" i="22"/>
  <c r="K865" i="22"/>
  <c r="J865" i="22"/>
  <c r="D865" i="22"/>
  <c r="C865" i="22"/>
  <c r="B865" i="22"/>
  <c r="L864" i="22"/>
  <c r="K864" i="22"/>
  <c r="D864" i="22"/>
  <c r="C864" i="22"/>
  <c r="B864" i="22"/>
  <c r="L863" i="22"/>
  <c r="K863" i="22"/>
  <c r="J863" i="22"/>
  <c r="L862" i="22"/>
  <c r="K862" i="22"/>
  <c r="J862" i="22"/>
  <c r="F856" i="22"/>
  <c r="F855" i="22"/>
  <c r="N854" i="22"/>
  <c r="F854" i="22"/>
  <c r="P853" i="22"/>
  <c r="N853" i="22"/>
  <c r="H853" i="22"/>
  <c r="N852" i="22"/>
  <c r="A852" i="22"/>
  <c r="P851" i="22"/>
  <c r="H851" i="22"/>
  <c r="I850" i="22"/>
  <c r="A850" i="22"/>
  <c r="P848" i="22"/>
  <c r="I848" i="22"/>
  <c r="P847" i="22"/>
  <c r="H847" i="22"/>
  <c r="I846" i="22"/>
  <c r="A846" i="22"/>
  <c r="P845" i="22"/>
  <c r="H845" i="22"/>
  <c r="I844" i="22"/>
  <c r="A844" i="22"/>
  <c r="P843" i="22"/>
  <c r="H843" i="22"/>
  <c r="I842" i="22"/>
  <c r="A842" i="22"/>
  <c r="P841" i="22"/>
  <c r="I840" i="22"/>
  <c r="D830" i="22"/>
  <c r="C830" i="22"/>
  <c r="B830" i="22"/>
  <c r="D829" i="22"/>
  <c r="C829" i="22"/>
  <c r="L828" i="22"/>
  <c r="K828" i="22"/>
  <c r="J828" i="22"/>
  <c r="D828" i="22"/>
  <c r="C828" i="22"/>
  <c r="L827" i="22"/>
  <c r="K827" i="22"/>
  <c r="D827" i="22"/>
  <c r="C827" i="22"/>
  <c r="L826" i="22"/>
  <c r="K826" i="22"/>
  <c r="J826" i="22"/>
  <c r="D826" i="22"/>
  <c r="C826" i="22"/>
  <c r="B826" i="22"/>
  <c r="L825" i="22"/>
  <c r="K825" i="22"/>
  <c r="D825" i="22"/>
  <c r="C825" i="22"/>
  <c r="B825" i="22"/>
  <c r="L824" i="22"/>
  <c r="K824" i="22"/>
  <c r="J824" i="22"/>
  <c r="L823" i="22"/>
  <c r="K823" i="22"/>
  <c r="J823" i="22"/>
  <c r="F817" i="22"/>
  <c r="F816" i="22"/>
  <c r="N815" i="22"/>
  <c r="F815" i="22"/>
  <c r="P814" i="22"/>
  <c r="N814" i="22"/>
  <c r="H814" i="22"/>
  <c r="N813" i="22"/>
  <c r="A813" i="22"/>
  <c r="P812" i="22"/>
  <c r="H812" i="22"/>
  <c r="I811" i="22"/>
  <c r="A811" i="22"/>
  <c r="P810" i="22"/>
  <c r="H810" i="22"/>
  <c r="I809" i="22"/>
  <c r="A809" i="22"/>
  <c r="P808" i="22"/>
  <c r="H808" i="22"/>
  <c r="I807" i="22"/>
  <c r="A807" i="22"/>
  <c r="P806" i="22"/>
  <c r="H806" i="22"/>
  <c r="I805" i="22"/>
  <c r="A805" i="22"/>
  <c r="P803" i="22"/>
  <c r="D793" i="22"/>
  <c r="C793" i="22"/>
  <c r="B793" i="22"/>
  <c r="D792" i="22"/>
  <c r="C792" i="22"/>
  <c r="L791" i="22"/>
  <c r="K791" i="22"/>
  <c r="J791" i="22"/>
  <c r="D791" i="22"/>
  <c r="C791" i="22"/>
  <c r="B791" i="22"/>
  <c r="L790" i="22"/>
  <c r="K790" i="22"/>
  <c r="D790" i="22"/>
  <c r="C790" i="22"/>
  <c r="L789" i="22"/>
  <c r="K789" i="22"/>
  <c r="J789" i="22"/>
  <c r="D789" i="22"/>
  <c r="C789" i="22"/>
  <c r="B789" i="22"/>
  <c r="L788" i="22"/>
  <c r="K788" i="22"/>
  <c r="D788" i="22"/>
  <c r="C788" i="22"/>
  <c r="B788" i="22"/>
  <c r="L787" i="22"/>
  <c r="K787" i="22"/>
  <c r="L786" i="22"/>
  <c r="K786" i="22"/>
  <c r="J786" i="22"/>
  <c r="F780" i="22"/>
  <c r="F779" i="22"/>
  <c r="N778" i="22"/>
  <c r="F778" i="22"/>
  <c r="N777" i="22"/>
  <c r="H777" i="22"/>
  <c r="N776" i="22"/>
  <c r="P775" i="22"/>
  <c r="H775" i="22"/>
  <c r="P773" i="22"/>
  <c r="H773" i="22"/>
  <c r="A772" i="22"/>
  <c r="P771" i="22"/>
  <c r="H771" i="22"/>
  <c r="A770" i="22"/>
  <c r="P769" i="22"/>
  <c r="P768" i="22"/>
  <c r="D758" i="22"/>
  <c r="C758" i="22"/>
  <c r="B758" i="22"/>
  <c r="D757" i="22"/>
  <c r="C757" i="22"/>
  <c r="L756" i="22"/>
  <c r="K756" i="22"/>
  <c r="J756" i="22"/>
  <c r="D756" i="22"/>
  <c r="C756" i="22"/>
  <c r="L755" i="22"/>
  <c r="K755" i="22"/>
  <c r="D755" i="22"/>
  <c r="C755" i="22"/>
  <c r="L754" i="22"/>
  <c r="K754" i="22"/>
  <c r="J754" i="22"/>
  <c r="D754" i="22"/>
  <c r="C754" i="22"/>
  <c r="B754" i="22"/>
  <c r="L753" i="22"/>
  <c r="K753" i="22"/>
  <c r="D753" i="22"/>
  <c r="C753" i="22"/>
  <c r="B753" i="22"/>
  <c r="L752" i="22"/>
  <c r="K752" i="22"/>
  <c r="L751" i="22"/>
  <c r="K751" i="22"/>
  <c r="J751" i="22"/>
  <c r="F745" i="22"/>
  <c r="F744" i="22"/>
  <c r="N743" i="22"/>
  <c r="F743" i="22"/>
  <c r="P742" i="22"/>
  <c r="N742" i="22"/>
  <c r="H742" i="22"/>
  <c r="N741" i="22"/>
  <c r="A741" i="22"/>
  <c r="P740" i="22"/>
  <c r="H740" i="22"/>
  <c r="A739" i="22"/>
  <c r="H738" i="22"/>
  <c r="A737" i="22"/>
  <c r="P736" i="22"/>
  <c r="H736" i="22"/>
  <c r="A735" i="22"/>
  <c r="P734" i="22"/>
  <c r="D723" i="22"/>
  <c r="C723" i="22"/>
  <c r="B723" i="22"/>
  <c r="D722" i="22"/>
  <c r="C722" i="22"/>
  <c r="L721" i="22"/>
  <c r="K721" i="22"/>
  <c r="J721" i="22"/>
  <c r="D721" i="22"/>
  <c r="C721" i="22"/>
  <c r="B721" i="22"/>
  <c r="L720" i="22"/>
  <c r="K720" i="22"/>
  <c r="D720" i="22"/>
  <c r="C720" i="22"/>
  <c r="L719" i="22"/>
  <c r="K719" i="22"/>
  <c r="J719" i="22"/>
  <c r="D719" i="22"/>
  <c r="C719" i="22"/>
  <c r="B719" i="22"/>
  <c r="L718" i="22"/>
  <c r="K718" i="22"/>
  <c r="D718" i="22"/>
  <c r="C718" i="22"/>
  <c r="B718" i="22"/>
  <c r="L717" i="22"/>
  <c r="K717" i="22"/>
  <c r="J717" i="22"/>
  <c r="L716" i="22"/>
  <c r="K716" i="22"/>
  <c r="F710" i="22"/>
  <c r="F709" i="22"/>
  <c r="N708" i="22"/>
  <c r="F708" i="22"/>
  <c r="N707" i="22"/>
  <c r="H707" i="22"/>
  <c r="N706" i="22"/>
  <c r="A706" i="22"/>
  <c r="P705" i="22"/>
  <c r="H704" i="22"/>
  <c r="A704" i="22"/>
  <c r="P703" i="22"/>
  <c r="H703" i="22"/>
  <c r="A702" i="22"/>
  <c r="P701" i="22"/>
  <c r="H701" i="22"/>
  <c r="A700" i="22"/>
  <c r="P699" i="22"/>
  <c r="H699" i="22"/>
  <c r="A698" i="22"/>
  <c r="L686" i="22"/>
  <c r="K686" i="22"/>
  <c r="J686" i="22"/>
  <c r="D686" i="22"/>
  <c r="C686" i="22"/>
  <c r="B686" i="22"/>
  <c r="L685" i="22"/>
  <c r="K685" i="22"/>
  <c r="D685" i="22"/>
  <c r="C685" i="22"/>
  <c r="L684" i="22"/>
  <c r="K684" i="22"/>
  <c r="J684" i="22"/>
  <c r="D684" i="22"/>
  <c r="C684" i="22"/>
  <c r="L683" i="22"/>
  <c r="K683" i="22"/>
  <c r="D683" i="22"/>
  <c r="C683" i="22"/>
  <c r="L682" i="22"/>
  <c r="K682" i="22"/>
  <c r="J682" i="22"/>
  <c r="D682" i="22"/>
  <c r="C682" i="22"/>
  <c r="B682" i="22"/>
  <c r="L681" i="22"/>
  <c r="K681" i="22"/>
  <c r="J681" i="22"/>
  <c r="D681" i="22"/>
  <c r="C681" i="22"/>
  <c r="B681" i="22"/>
  <c r="N673" i="22"/>
  <c r="F673" i="22"/>
  <c r="P672" i="22"/>
  <c r="N672" i="22"/>
  <c r="F672" i="22"/>
  <c r="N671" i="22"/>
  <c r="F671" i="22"/>
  <c r="P670" i="22"/>
  <c r="H670" i="22"/>
  <c r="A669" i="22"/>
  <c r="P668" i="22"/>
  <c r="H668" i="22"/>
  <c r="A667" i="22"/>
  <c r="P666" i="22"/>
  <c r="P664" i="22"/>
  <c r="H664" i="22"/>
  <c r="A663" i="22"/>
  <c r="P662" i="22"/>
  <c r="H662" i="22"/>
  <c r="A661" i="22"/>
  <c r="L649" i="22"/>
  <c r="K649" i="22"/>
  <c r="J649" i="22"/>
  <c r="D649" i="22"/>
  <c r="C649" i="22"/>
  <c r="B649" i="22"/>
  <c r="D648" i="22"/>
  <c r="C648" i="22"/>
  <c r="L647" i="22"/>
  <c r="K647" i="22"/>
  <c r="J647" i="22"/>
  <c r="D647" i="22"/>
  <c r="C647" i="22"/>
  <c r="B647" i="22"/>
  <c r="L646" i="22"/>
  <c r="K646" i="22"/>
  <c r="D646" i="22"/>
  <c r="C646" i="22"/>
  <c r="L645" i="22"/>
  <c r="K645" i="22"/>
  <c r="J645" i="22"/>
  <c r="D645" i="22"/>
  <c r="C645" i="22"/>
  <c r="B645" i="22"/>
  <c r="L644" i="22"/>
  <c r="K644" i="22"/>
  <c r="J644" i="22"/>
  <c r="D644" i="22"/>
  <c r="C644" i="22"/>
  <c r="B644" i="22"/>
  <c r="N636" i="22"/>
  <c r="F636" i="22"/>
  <c r="N635" i="22"/>
  <c r="F635" i="22"/>
  <c r="N634" i="22"/>
  <c r="F634" i="22"/>
  <c r="H633" i="22"/>
  <c r="H631" i="22"/>
  <c r="P629" i="22"/>
  <c r="H629" i="22"/>
  <c r="A628" i="22"/>
  <c r="P627" i="22"/>
  <c r="H627" i="22"/>
  <c r="A626" i="22"/>
  <c r="L614" i="22"/>
  <c r="K614" i="22"/>
  <c r="J614" i="22"/>
  <c r="D614" i="22"/>
  <c r="C614" i="22"/>
  <c r="B614" i="22"/>
  <c r="L613" i="22"/>
  <c r="K613" i="22"/>
  <c r="J613" i="22"/>
  <c r="D613" i="22"/>
  <c r="C613" i="22"/>
  <c r="L612" i="22"/>
  <c r="K612" i="22"/>
  <c r="D612" i="22"/>
  <c r="C612" i="22"/>
  <c r="L611" i="22"/>
  <c r="K611" i="22"/>
  <c r="J611" i="22"/>
  <c r="D611" i="22"/>
  <c r="C611" i="22"/>
  <c r="B611" i="22"/>
  <c r="L610" i="22"/>
  <c r="K610" i="22"/>
  <c r="J610" i="22"/>
  <c r="D610" i="22"/>
  <c r="C610" i="22"/>
  <c r="B610" i="22"/>
  <c r="N602" i="22"/>
  <c r="F602" i="22"/>
  <c r="N601" i="22"/>
  <c r="F601" i="22"/>
  <c r="N600" i="22"/>
  <c r="F600" i="22"/>
  <c r="P599" i="22"/>
  <c r="H599" i="22"/>
  <c r="A598" i="22"/>
  <c r="P597" i="22"/>
  <c r="H597" i="22"/>
  <c r="A596" i="22"/>
  <c r="P595" i="22"/>
  <c r="H595" i="22"/>
  <c r="A594" i="22"/>
  <c r="P593" i="22"/>
  <c r="H593" i="22"/>
  <c r="A592" i="22"/>
  <c r="P591" i="22"/>
  <c r="H591" i="22"/>
  <c r="A590" i="22"/>
  <c r="L578" i="22"/>
  <c r="K578" i="22"/>
  <c r="J578" i="22"/>
  <c r="D578" i="22"/>
  <c r="C578" i="22"/>
  <c r="B578" i="22"/>
  <c r="L577" i="22"/>
  <c r="K577" i="22"/>
  <c r="D577" i="22"/>
  <c r="C577" i="22"/>
  <c r="L576" i="22"/>
  <c r="K576" i="22"/>
  <c r="D576" i="22"/>
  <c r="C576" i="22"/>
  <c r="L575" i="22"/>
  <c r="K575" i="22"/>
  <c r="D575" i="22"/>
  <c r="C575" i="22"/>
  <c r="B575" i="22"/>
  <c r="L574" i="22"/>
  <c r="K574" i="22"/>
  <c r="J574" i="22"/>
  <c r="D574" i="22"/>
  <c r="C574" i="22"/>
  <c r="B574" i="22"/>
  <c r="N566" i="22"/>
  <c r="F566" i="22"/>
  <c r="P565" i="22"/>
  <c r="N565" i="22"/>
  <c r="F565" i="22"/>
  <c r="N564" i="22"/>
  <c r="F564" i="22"/>
  <c r="P563" i="22"/>
  <c r="H563" i="22"/>
  <c r="P561" i="22"/>
  <c r="H561" i="22"/>
  <c r="P560" i="22"/>
  <c r="A560" i="22"/>
  <c r="P559" i="22"/>
  <c r="H559" i="22"/>
  <c r="P558" i="22"/>
  <c r="A558" i="22"/>
  <c r="H557" i="22"/>
  <c r="P556" i="22"/>
  <c r="A556" i="22"/>
  <c r="P555" i="22"/>
  <c r="H555" i="22"/>
  <c r="P554" i="22"/>
  <c r="A554" i="22"/>
  <c r="L542" i="22"/>
  <c r="K542" i="22"/>
  <c r="J542" i="22"/>
  <c r="D542" i="22"/>
  <c r="C542" i="22"/>
  <c r="B542" i="22"/>
  <c r="L541" i="22"/>
  <c r="K541" i="22"/>
  <c r="J541" i="22"/>
  <c r="D541" i="22"/>
  <c r="C541" i="22"/>
  <c r="L540" i="22"/>
  <c r="K540" i="22"/>
  <c r="D540" i="22"/>
  <c r="C540" i="22"/>
  <c r="L539" i="22"/>
  <c r="K539" i="22"/>
  <c r="D539" i="22"/>
  <c r="C539" i="22"/>
  <c r="B539" i="22"/>
  <c r="L538" i="22"/>
  <c r="K538" i="22"/>
  <c r="J538" i="22"/>
  <c r="D538" i="22"/>
  <c r="C538" i="22"/>
  <c r="B538" i="22"/>
  <c r="N530" i="22"/>
  <c r="F530" i="22"/>
  <c r="P529" i="22"/>
  <c r="N529" i="22"/>
  <c r="F529" i="22"/>
  <c r="N528" i="22"/>
  <c r="F528" i="22"/>
  <c r="P527" i="22"/>
  <c r="H527" i="22"/>
  <c r="A526" i="22"/>
  <c r="P525" i="22"/>
  <c r="H525" i="22"/>
  <c r="A524" i="22"/>
  <c r="P523" i="22"/>
  <c r="H523" i="22"/>
  <c r="A522" i="22"/>
  <c r="P521" i="22"/>
  <c r="H521" i="22"/>
  <c r="A520" i="22"/>
  <c r="L508" i="22"/>
  <c r="K508" i="22"/>
  <c r="J508" i="22"/>
  <c r="D508" i="22"/>
  <c r="C508" i="22"/>
  <c r="B508" i="22"/>
  <c r="L507" i="22"/>
  <c r="K507" i="22"/>
  <c r="D507" i="22"/>
  <c r="C507" i="22"/>
  <c r="L506" i="22"/>
  <c r="K506" i="22"/>
  <c r="J506" i="22"/>
  <c r="D506" i="22"/>
  <c r="C506" i="22"/>
  <c r="L505" i="22"/>
  <c r="K505" i="22"/>
  <c r="D505" i="22"/>
  <c r="C505" i="22"/>
  <c r="L504" i="22"/>
  <c r="K504" i="22"/>
  <c r="D504" i="22"/>
  <c r="C504" i="22"/>
  <c r="B504" i="22"/>
  <c r="L503" i="22"/>
  <c r="K503" i="22"/>
  <c r="D503" i="22"/>
  <c r="C503" i="22"/>
  <c r="B503" i="22"/>
  <c r="N495" i="22"/>
  <c r="F495" i="22"/>
  <c r="N494" i="22"/>
  <c r="F494" i="22"/>
  <c r="N493" i="22"/>
  <c r="F493" i="22"/>
  <c r="P492" i="22"/>
  <c r="H492" i="22"/>
  <c r="P490" i="22"/>
  <c r="H490" i="22"/>
  <c r="P488" i="22"/>
  <c r="H488" i="22"/>
  <c r="A487" i="22"/>
  <c r="P486" i="22"/>
  <c r="H486" i="22"/>
  <c r="A485" i="22"/>
  <c r="P484" i="22"/>
  <c r="H484" i="22"/>
  <c r="A483" i="22"/>
  <c r="L471" i="22"/>
  <c r="K471" i="22"/>
  <c r="J471" i="22"/>
  <c r="D471" i="22"/>
  <c r="C471" i="22"/>
  <c r="B471" i="22"/>
  <c r="L470" i="22"/>
  <c r="K470" i="22"/>
  <c r="D470" i="22"/>
  <c r="C470" i="22"/>
  <c r="L469" i="22"/>
  <c r="K469" i="22"/>
  <c r="J469" i="22"/>
  <c r="D469" i="22"/>
  <c r="C469" i="22"/>
  <c r="L468" i="22"/>
  <c r="K468" i="22"/>
  <c r="D468" i="22"/>
  <c r="C468" i="22"/>
  <c r="L467" i="22"/>
  <c r="K467" i="22"/>
  <c r="D467" i="22"/>
  <c r="C467" i="22"/>
  <c r="B467" i="22"/>
  <c r="L466" i="22"/>
  <c r="K466" i="22"/>
  <c r="D466" i="22"/>
  <c r="C466" i="22"/>
  <c r="B466" i="22"/>
  <c r="N458" i="22"/>
  <c r="F458" i="22"/>
  <c r="N457" i="22"/>
  <c r="F457" i="22"/>
  <c r="N456" i="22"/>
  <c r="F456" i="22"/>
  <c r="P455" i="22"/>
  <c r="H455" i="22"/>
  <c r="A454" i="22"/>
  <c r="P453" i="22"/>
  <c r="H453" i="22"/>
  <c r="A452" i="22"/>
  <c r="P451" i="22"/>
  <c r="H451" i="22"/>
  <c r="A450" i="22"/>
  <c r="P449" i="22"/>
  <c r="H449" i="22"/>
  <c r="A448" i="22"/>
  <c r="L436" i="22"/>
  <c r="K436" i="22"/>
  <c r="J436" i="22"/>
  <c r="D436" i="22"/>
  <c r="C436" i="22"/>
  <c r="B436" i="22"/>
  <c r="L435" i="22"/>
  <c r="K435" i="22"/>
  <c r="D435" i="22"/>
  <c r="C435" i="22"/>
  <c r="L434" i="22"/>
  <c r="K434" i="22"/>
  <c r="J434" i="22"/>
  <c r="D434" i="22"/>
  <c r="C434" i="22"/>
  <c r="L433" i="22"/>
  <c r="K433" i="22"/>
  <c r="D433" i="22"/>
  <c r="C433" i="22"/>
  <c r="L432" i="22"/>
  <c r="K432" i="22"/>
  <c r="J432" i="22"/>
  <c r="D432" i="22"/>
  <c r="C432" i="22"/>
  <c r="B432" i="22"/>
  <c r="L431" i="22"/>
  <c r="K431" i="22"/>
  <c r="D431" i="22"/>
  <c r="C431" i="22"/>
  <c r="B431" i="22"/>
  <c r="N423" i="22"/>
  <c r="F423" i="22"/>
  <c r="N422" i="22"/>
  <c r="F422" i="22"/>
  <c r="N421" i="22"/>
  <c r="F421" i="22"/>
  <c r="P420" i="22"/>
  <c r="H420" i="22"/>
  <c r="P419" i="22"/>
  <c r="P418" i="22"/>
  <c r="H418" i="22"/>
  <c r="P417" i="22"/>
  <c r="P416" i="22"/>
  <c r="H416" i="22"/>
  <c r="P415" i="22"/>
  <c r="A415" i="22"/>
  <c r="P414" i="22"/>
  <c r="H414" i="22"/>
  <c r="P413" i="22"/>
  <c r="A413" i="22"/>
  <c r="P412" i="22"/>
  <c r="P411" i="22"/>
  <c r="A411" i="22"/>
  <c r="L399" i="22"/>
  <c r="K399" i="22"/>
  <c r="J399" i="22"/>
  <c r="D399" i="22"/>
  <c r="C399" i="22"/>
  <c r="B399" i="22"/>
  <c r="L398" i="22"/>
  <c r="K398" i="22"/>
  <c r="D398" i="22"/>
  <c r="C398" i="22"/>
  <c r="L397" i="22"/>
  <c r="K397" i="22"/>
  <c r="J397" i="22"/>
  <c r="D397" i="22"/>
  <c r="C397" i="22"/>
  <c r="L396" i="22"/>
  <c r="K396" i="22"/>
  <c r="D396" i="22"/>
  <c r="C396" i="22"/>
  <c r="L395" i="22"/>
  <c r="K395" i="22"/>
  <c r="D395" i="22"/>
  <c r="C395" i="22"/>
  <c r="B395" i="22"/>
  <c r="L394" i="22"/>
  <c r="K394" i="22"/>
  <c r="J394" i="22"/>
  <c r="D394" i="22"/>
  <c r="C394" i="22"/>
  <c r="B394" i="22"/>
  <c r="N386" i="22"/>
  <c r="F386" i="22"/>
  <c r="N385" i="22"/>
  <c r="F385" i="22"/>
  <c r="N384" i="22"/>
  <c r="F384" i="22"/>
  <c r="P383" i="22"/>
  <c r="H383" i="22"/>
  <c r="A382" i="22"/>
  <c r="P381" i="22"/>
  <c r="H381" i="22"/>
  <c r="A380" i="22"/>
  <c r="P379" i="22"/>
  <c r="H379" i="22"/>
  <c r="A378" i="22"/>
  <c r="P377" i="22"/>
  <c r="H377" i="22"/>
  <c r="A376" i="22"/>
  <c r="P375" i="22"/>
  <c r="H375" i="22"/>
  <c r="A374" i="22"/>
  <c r="L362" i="22"/>
  <c r="K362" i="22"/>
  <c r="J362" i="22"/>
  <c r="D362" i="22"/>
  <c r="C362" i="22"/>
  <c r="B362" i="22"/>
  <c r="L361" i="22"/>
  <c r="K361" i="22"/>
  <c r="D361" i="22"/>
  <c r="C361" i="22"/>
  <c r="L360" i="22"/>
  <c r="K360" i="22"/>
  <c r="J360" i="22"/>
  <c r="D360" i="22"/>
  <c r="C360" i="22"/>
  <c r="B360" i="22"/>
  <c r="L359" i="22"/>
  <c r="K359" i="22"/>
  <c r="D359" i="22"/>
  <c r="C359" i="22"/>
  <c r="L358" i="22"/>
  <c r="K358" i="22"/>
  <c r="D358" i="22"/>
  <c r="C358" i="22"/>
  <c r="L357" i="22"/>
  <c r="K357" i="22"/>
  <c r="J357" i="22"/>
  <c r="D357" i="22"/>
  <c r="C357" i="22"/>
  <c r="B357" i="22"/>
  <c r="N349" i="22"/>
  <c r="F349" i="22"/>
  <c r="N348" i="22"/>
  <c r="F348" i="22"/>
  <c r="N347" i="22"/>
  <c r="F347" i="22"/>
  <c r="P346" i="22"/>
  <c r="H346" i="22"/>
  <c r="A345" i="22"/>
  <c r="P344" i="22"/>
  <c r="H344" i="22"/>
  <c r="A343" i="22"/>
  <c r="P342" i="22"/>
  <c r="H342" i="22"/>
  <c r="A341" i="22"/>
  <c r="P340" i="22"/>
  <c r="H340" i="22"/>
  <c r="A339" i="22"/>
  <c r="P338" i="22"/>
  <c r="H338" i="22"/>
  <c r="A337" i="22"/>
  <c r="L325" i="22"/>
  <c r="K325" i="22"/>
  <c r="J325" i="22"/>
  <c r="D325" i="22"/>
  <c r="C325" i="22"/>
  <c r="B325" i="22"/>
  <c r="L324" i="22"/>
  <c r="K324" i="22"/>
  <c r="D324" i="22"/>
  <c r="C324" i="22"/>
  <c r="L323" i="22"/>
  <c r="K323" i="22"/>
  <c r="J323" i="22"/>
  <c r="D323" i="22"/>
  <c r="C323" i="22"/>
  <c r="L322" i="22"/>
  <c r="K322" i="22"/>
  <c r="D322" i="22"/>
  <c r="C322" i="22"/>
  <c r="L321" i="22"/>
  <c r="K321" i="22"/>
  <c r="D321" i="22"/>
  <c r="C321" i="22"/>
  <c r="B321" i="22"/>
  <c r="L320" i="22"/>
  <c r="K320" i="22"/>
  <c r="J320" i="22"/>
  <c r="D320" i="22"/>
  <c r="C320" i="22"/>
  <c r="B320" i="22"/>
  <c r="N312" i="22"/>
  <c r="F312" i="22"/>
  <c r="N311" i="22"/>
  <c r="F311" i="22"/>
  <c r="N310" i="22"/>
  <c r="F310" i="22"/>
  <c r="P309" i="22"/>
  <c r="H309" i="22"/>
  <c r="A308" i="22"/>
  <c r="P307" i="22"/>
  <c r="H307" i="22"/>
  <c r="A306" i="22"/>
  <c r="P305" i="22"/>
  <c r="H305" i="22"/>
  <c r="A304" i="22"/>
  <c r="P303" i="22"/>
  <c r="H303" i="22"/>
  <c r="A302" i="22"/>
  <c r="P301" i="22"/>
  <c r="H301" i="22"/>
  <c r="A300" i="22"/>
  <c r="L288" i="22"/>
  <c r="K288" i="22"/>
  <c r="J288" i="22"/>
  <c r="D288" i="22"/>
  <c r="C288" i="22"/>
  <c r="B288" i="22"/>
  <c r="L287" i="22"/>
  <c r="K287" i="22"/>
  <c r="D287" i="22"/>
  <c r="C287" i="22"/>
  <c r="L286" i="22"/>
  <c r="K286" i="22"/>
  <c r="J286" i="22"/>
  <c r="D286" i="22"/>
  <c r="C286" i="22"/>
  <c r="L285" i="22"/>
  <c r="K285" i="22"/>
  <c r="D285" i="22"/>
  <c r="C285" i="22"/>
  <c r="L284" i="22"/>
  <c r="K284" i="22"/>
  <c r="D284" i="22"/>
  <c r="C284" i="22"/>
  <c r="B284" i="22"/>
  <c r="L283" i="22"/>
  <c r="K283" i="22"/>
  <c r="J283" i="22"/>
  <c r="D283" i="22"/>
  <c r="C283" i="22"/>
  <c r="B283" i="22"/>
  <c r="N275" i="22"/>
  <c r="F275" i="22"/>
  <c r="N274" i="22"/>
  <c r="F274" i="22"/>
  <c r="N273" i="22"/>
  <c r="F273" i="22"/>
  <c r="P272" i="22"/>
  <c r="H272" i="22"/>
  <c r="A271" i="22"/>
  <c r="P270" i="22"/>
  <c r="H270" i="22"/>
  <c r="A269" i="22"/>
  <c r="P268" i="22"/>
  <c r="H268" i="22"/>
  <c r="A267" i="22"/>
  <c r="P266" i="22"/>
  <c r="H266" i="22"/>
  <c r="A265" i="22"/>
  <c r="P264" i="22"/>
  <c r="H264" i="22"/>
  <c r="A263" i="22"/>
  <c r="L251" i="22"/>
  <c r="K251" i="22"/>
  <c r="J251" i="22"/>
  <c r="D251" i="22"/>
  <c r="C251" i="22"/>
  <c r="B251" i="22"/>
  <c r="L250" i="22"/>
  <c r="K250" i="22"/>
  <c r="D250" i="22"/>
  <c r="C250" i="22"/>
  <c r="L249" i="22"/>
  <c r="K249" i="22"/>
  <c r="J249" i="22"/>
  <c r="D249" i="22"/>
  <c r="C249" i="22"/>
  <c r="L248" i="22"/>
  <c r="K248" i="22"/>
  <c r="D248" i="22"/>
  <c r="C248" i="22"/>
  <c r="L247" i="22"/>
  <c r="K247" i="22"/>
  <c r="D247" i="22"/>
  <c r="C247" i="22"/>
  <c r="L246" i="22"/>
  <c r="K246" i="22"/>
  <c r="J246" i="22"/>
  <c r="D246" i="22"/>
  <c r="C246" i="22"/>
  <c r="B246" i="22"/>
  <c r="N238" i="22"/>
  <c r="F238" i="22"/>
  <c r="N237" i="22"/>
  <c r="F237" i="22"/>
  <c r="N236" i="22"/>
  <c r="F236" i="22"/>
  <c r="P235" i="22"/>
  <c r="H235" i="22"/>
  <c r="P233" i="22"/>
  <c r="H233" i="22"/>
  <c r="P231" i="22"/>
  <c r="H231" i="22"/>
  <c r="A230" i="22"/>
  <c r="P229" i="22"/>
  <c r="H228" i="22"/>
  <c r="A228" i="22"/>
  <c r="P227" i="22"/>
  <c r="H227" i="22"/>
  <c r="A226" i="22"/>
  <c r="L214" i="22"/>
  <c r="K214" i="22"/>
  <c r="J214" i="22"/>
  <c r="D214" i="22"/>
  <c r="C214" i="22"/>
  <c r="B214" i="22"/>
  <c r="L213" i="22"/>
  <c r="K213" i="22"/>
  <c r="D213" i="22"/>
  <c r="C213" i="22"/>
  <c r="L212" i="22"/>
  <c r="K212" i="22"/>
  <c r="J212" i="22"/>
  <c r="D212" i="22"/>
  <c r="C212" i="22"/>
  <c r="L211" i="22"/>
  <c r="K211" i="22"/>
  <c r="D211" i="22"/>
  <c r="C211" i="22"/>
  <c r="B211" i="22"/>
  <c r="L210" i="22"/>
  <c r="K210" i="22"/>
  <c r="D210" i="22"/>
  <c r="C210" i="22"/>
  <c r="L209" i="22"/>
  <c r="K209" i="22"/>
  <c r="D209" i="22"/>
  <c r="C209" i="22"/>
  <c r="B209" i="22"/>
  <c r="N201" i="22"/>
  <c r="F201" i="22"/>
  <c r="N200" i="22"/>
  <c r="F200" i="22"/>
  <c r="N199" i="22"/>
  <c r="F199" i="22"/>
  <c r="P198" i="22"/>
  <c r="H198" i="22"/>
  <c r="P196" i="22"/>
  <c r="H196" i="22"/>
  <c r="A195" i="22"/>
  <c r="P194" i="22"/>
  <c r="H194" i="22"/>
  <c r="A193" i="22"/>
  <c r="P192" i="22"/>
  <c r="A191" i="22"/>
  <c r="P190" i="22"/>
  <c r="H190" i="22"/>
  <c r="A189" i="22"/>
  <c r="L177" i="22"/>
  <c r="K177" i="22"/>
  <c r="J177" i="22"/>
  <c r="D177" i="22"/>
  <c r="C177" i="22"/>
  <c r="B177" i="22"/>
  <c r="L176" i="22"/>
  <c r="K176" i="22"/>
  <c r="D176" i="22"/>
  <c r="C176" i="22"/>
  <c r="L175" i="22"/>
  <c r="K175" i="22"/>
  <c r="J175" i="22"/>
  <c r="D175" i="22"/>
  <c r="C175" i="22"/>
  <c r="L174" i="22"/>
  <c r="K174" i="22"/>
  <c r="D174" i="22"/>
  <c r="C174" i="22"/>
  <c r="L173" i="22"/>
  <c r="K173" i="22"/>
  <c r="D173" i="22"/>
  <c r="C173" i="22"/>
  <c r="B173" i="22"/>
  <c r="L172" i="22"/>
  <c r="K172" i="22"/>
  <c r="D172" i="22"/>
  <c r="C172" i="22"/>
  <c r="B172" i="22"/>
  <c r="N164" i="22"/>
  <c r="F164" i="22"/>
  <c r="N163" i="22"/>
  <c r="F163" i="22"/>
  <c r="N162" i="22"/>
  <c r="F162" i="22"/>
  <c r="P161" i="22"/>
  <c r="H161" i="22"/>
  <c r="A160" i="22"/>
  <c r="P159" i="22"/>
  <c r="H159" i="22"/>
  <c r="A158" i="22"/>
  <c r="P157" i="22"/>
  <c r="P155" i="22"/>
  <c r="H155" i="22"/>
  <c r="A154" i="22"/>
  <c r="L142" i="22"/>
  <c r="K142" i="22"/>
  <c r="J142" i="22"/>
  <c r="D142" i="22"/>
  <c r="C142" i="22"/>
  <c r="B142" i="22"/>
  <c r="L141" i="22"/>
  <c r="K141" i="22"/>
  <c r="D141" i="22"/>
  <c r="C141" i="22"/>
  <c r="L140" i="22"/>
  <c r="K140" i="22"/>
  <c r="J140" i="22"/>
  <c r="D140" i="22"/>
  <c r="C140" i="22"/>
  <c r="L139" i="22"/>
  <c r="K139" i="22"/>
  <c r="D139" i="22"/>
  <c r="C139" i="22"/>
  <c r="L138" i="22"/>
  <c r="K138" i="22"/>
  <c r="D138" i="22"/>
  <c r="C138" i="22"/>
  <c r="B138" i="22"/>
  <c r="L137" i="22"/>
  <c r="K137" i="22"/>
  <c r="D137" i="22"/>
  <c r="C137" i="22"/>
  <c r="B137" i="22"/>
  <c r="N129" i="22"/>
  <c r="F129" i="22"/>
  <c r="N128" i="22"/>
  <c r="F128" i="22"/>
  <c r="N127" i="22"/>
  <c r="F127" i="22"/>
  <c r="P126" i="22"/>
  <c r="H126" i="22"/>
  <c r="A125" i="22"/>
  <c r="P124" i="22"/>
  <c r="H124" i="22"/>
  <c r="A123" i="22"/>
  <c r="P122" i="22"/>
  <c r="H122" i="22"/>
  <c r="A121" i="22"/>
  <c r="P120" i="22"/>
  <c r="H120" i="22"/>
  <c r="A119" i="22"/>
  <c r="L107" i="22"/>
  <c r="K107" i="22"/>
  <c r="J107" i="22"/>
  <c r="D107" i="22"/>
  <c r="C107" i="22"/>
  <c r="B107" i="22"/>
  <c r="L106" i="22"/>
  <c r="K106" i="22"/>
  <c r="D106" i="22"/>
  <c r="C106" i="22"/>
  <c r="L105" i="22"/>
  <c r="K105" i="22"/>
  <c r="J105" i="22"/>
  <c r="D105" i="22"/>
  <c r="C105" i="22"/>
  <c r="L104" i="22"/>
  <c r="K104" i="22"/>
  <c r="D104" i="22"/>
  <c r="C104" i="22"/>
  <c r="L103" i="22"/>
  <c r="D103" i="22"/>
  <c r="C103" i="22"/>
  <c r="B103" i="22"/>
  <c r="L102" i="22"/>
  <c r="K102" i="22"/>
  <c r="D102" i="22"/>
  <c r="C102" i="22"/>
  <c r="B102" i="22"/>
  <c r="N94" i="22"/>
  <c r="F94" i="22"/>
  <c r="N93" i="22"/>
  <c r="F93" i="22"/>
  <c r="N92" i="22"/>
  <c r="F92" i="22"/>
  <c r="P91" i="22"/>
  <c r="H91" i="22"/>
  <c r="A90" i="22"/>
  <c r="P89" i="22"/>
  <c r="P87" i="22"/>
  <c r="H87" i="22"/>
  <c r="A86" i="22"/>
  <c r="P85" i="22"/>
  <c r="H85" i="22"/>
  <c r="A84" i="22"/>
  <c r="P83" i="22"/>
  <c r="H83" i="22"/>
  <c r="A82" i="22"/>
  <c r="L70" i="22"/>
  <c r="K70" i="22"/>
  <c r="J70" i="22"/>
  <c r="D70" i="22"/>
  <c r="C70" i="22"/>
  <c r="B70" i="22"/>
  <c r="L69" i="22"/>
  <c r="K69" i="22"/>
  <c r="D69" i="22"/>
  <c r="C69" i="22"/>
  <c r="L68" i="22"/>
  <c r="K68" i="22"/>
  <c r="D68" i="22"/>
  <c r="C68" i="22"/>
  <c r="L67" i="22"/>
  <c r="K67" i="22"/>
  <c r="D67" i="22"/>
  <c r="C67" i="22"/>
  <c r="L66" i="22"/>
  <c r="K66" i="22"/>
  <c r="D66" i="22"/>
  <c r="C66" i="22"/>
  <c r="L65" i="22"/>
  <c r="K65" i="22"/>
  <c r="J65" i="22"/>
  <c r="D65" i="22"/>
  <c r="C65" i="22"/>
  <c r="B65" i="22"/>
  <c r="N57" i="22"/>
  <c r="F57" i="22"/>
  <c r="N56" i="22"/>
  <c r="F56" i="22"/>
  <c r="N55" i="22"/>
  <c r="F55" i="22"/>
  <c r="H54" i="22"/>
  <c r="P52" i="22"/>
  <c r="H52" i="22"/>
  <c r="A51" i="22"/>
  <c r="P50" i="22"/>
  <c r="A49" i="22"/>
  <c r="P48" i="22"/>
  <c r="H48" i="22"/>
  <c r="A47" i="22"/>
  <c r="L35" i="22"/>
  <c r="K35" i="22"/>
  <c r="J35" i="22"/>
  <c r="D35" i="22"/>
  <c r="C35" i="22"/>
  <c r="B35" i="22"/>
  <c r="L34" i="22"/>
  <c r="D34" i="22"/>
  <c r="L33" i="22"/>
  <c r="J33" i="22"/>
  <c r="D33" i="22"/>
  <c r="L32" i="22"/>
  <c r="D32" i="22"/>
  <c r="L31" i="22"/>
  <c r="D31" i="22"/>
  <c r="L30" i="22"/>
  <c r="K30" i="22"/>
  <c r="J30" i="22"/>
  <c r="D30" i="22"/>
  <c r="N22" i="22"/>
  <c r="F22" i="22"/>
  <c r="P21" i="22"/>
  <c r="F21" i="22"/>
  <c r="N20" i="22"/>
  <c r="F20" i="22"/>
  <c r="P19" i="22"/>
  <c r="H19" i="22"/>
  <c r="P17" i="22"/>
  <c r="H17" i="22"/>
  <c r="P15" i="22"/>
  <c r="A14" i="22"/>
  <c r="P13" i="22"/>
  <c r="H13" i="22"/>
  <c r="R3608" i="23"/>
  <c r="L3607" i="23"/>
  <c r="K3607" i="23"/>
  <c r="J3607" i="23"/>
  <c r="L3606" i="23"/>
  <c r="L3605" i="23"/>
  <c r="L3604" i="23"/>
  <c r="J3604" i="23"/>
  <c r="L3603" i="23"/>
  <c r="J3603" i="23"/>
  <c r="L3602" i="23"/>
  <c r="J3602" i="23"/>
  <c r="N3594" i="23"/>
  <c r="N3592" i="23"/>
  <c r="P3591" i="23"/>
  <c r="P3589" i="23"/>
  <c r="P3587" i="23"/>
  <c r="L3574" i="23"/>
  <c r="K3574" i="23"/>
  <c r="J3574" i="23"/>
  <c r="L3573" i="23"/>
  <c r="K3573" i="23"/>
  <c r="L3572" i="23"/>
  <c r="K3572" i="23"/>
  <c r="L3571" i="23"/>
  <c r="K3571" i="23"/>
  <c r="L3570" i="23"/>
  <c r="K3570" i="23"/>
  <c r="J3570" i="23"/>
  <c r="L3569" i="23"/>
  <c r="K3569" i="23"/>
  <c r="J3569" i="23"/>
  <c r="N3561" i="23"/>
  <c r="N3560" i="23"/>
  <c r="N3559" i="23"/>
  <c r="P3558" i="23"/>
  <c r="P3542" i="23"/>
  <c r="P3540" i="23"/>
  <c r="L3526" i="23"/>
  <c r="K3526" i="23"/>
  <c r="J3526" i="23"/>
  <c r="L3525" i="23"/>
  <c r="K3525" i="23"/>
  <c r="L3524" i="23"/>
  <c r="K3524" i="23"/>
  <c r="L3523" i="23"/>
  <c r="K3523" i="23"/>
  <c r="L3522" i="23"/>
  <c r="K3522" i="23"/>
  <c r="J3522" i="23"/>
  <c r="L3521" i="23"/>
  <c r="K3521" i="23"/>
  <c r="J3521" i="23"/>
  <c r="N3513" i="23"/>
  <c r="N3512" i="23"/>
  <c r="N3511" i="23"/>
  <c r="P3510" i="23"/>
  <c r="P3502" i="23"/>
  <c r="P3500" i="23"/>
  <c r="L3486" i="23"/>
  <c r="K3486" i="23"/>
  <c r="J3486" i="23"/>
  <c r="L3485" i="23"/>
  <c r="K3485" i="23"/>
  <c r="L3484" i="23"/>
  <c r="K3484" i="23"/>
  <c r="J3484" i="23"/>
  <c r="L3483" i="23"/>
  <c r="K3483" i="23"/>
  <c r="L3482" i="23"/>
  <c r="K3482" i="23"/>
  <c r="L3481" i="23"/>
  <c r="K3481" i="23"/>
  <c r="N3473" i="23"/>
  <c r="N3472" i="23"/>
  <c r="N3471" i="23"/>
  <c r="P3470" i="23"/>
  <c r="P3468" i="23"/>
  <c r="P3466" i="23"/>
  <c r="P3464" i="23"/>
  <c r="L3451" i="23"/>
  <c r="K3451" i="23"/>
  <c r="J3451" i="23"/>
  <c r="L3450" i="23"/>
  <c r="K3450" i="23"/>
  <c r="L3449" i="23"/>
  <c r="K3449" i="23"/>
  <c r="L3448" i="23"/>
  <c r="K3448" i="23"/>
  <c r="L3447" i="23"/>
  <c r="K3447" i="23"/>
  <c r="J3447" i="23"/>
  <c r="L3446" i="23"/>
  <c r="K3446" i="23"/>
  <c r="J3446" i="23"/>
  <c r="N3438" i="23"/>
  <c r="N3437" i="23"/>
  <c r="N3436" i="23"/>
  <c r="P3435" i="23"/>
  <c r="P3433" i="23"/>
  <c r="P3431" i="23"/>
  <c r="P3429" i="23"/>
  <c r="P3427" i="23"/>
  <c r="P3425" i="23"/>
  <c r="L3411" i="23"/>
  <c r="K3411" i="23"/>
  <c r="J3411" i="23"/>
  <c r="L3410" i="23"/>
  <c r="K3410" i="23"/>
  <c r="L3409" i="23"/>
  <c r="K3409" i="23"/>
  <c r="J3409" i="23"/>
  <c r="L3408" i="23"/>
  <c r="K3408" i="23"/>
  <c r="L3407" i="23"/>
  <c r="K3407" i="23"/>
  <c r="L3406" i="23"/>
  <c r="K3406" i="23"/>
  <c r="J3406" i="23"/>
  <c r="N3398" i="23"/>
  <c r="N3397" i="23"/>
  <c r="N3396" i="23"/>
  <c r="P3395" i="23"/>
  <c r="P3393" i="23"/>
  <c r="P3391" i="23"/>
  <c r="P3389" i="23"/>
  <c r="L3375" i="23"/>
  <c r="K3375" i="23"/>
  <c r="J3375" i="23"/>
  <c r="L3374" i="23"/>
  <c r="K3374" i="23"/>
  <c r="L3373" i="23"/>
  <c r="K3373" i="23"/>
  <c r="J3373" i="23"/>
  <c r="L3372" i="23"/>
  <c r="K3372" i="23"/>
  <c r="L3371" i="23"/>
  <c r="K3371" i="23"/>
  <c r="L3370" i="23"/>
  <c r="K3370" i="23"/>
  <c r="J3370" i="23"/>
  <c r="N3362" i="23"/>
  <c r="N3361" i="23"/>
  <c r="N3360" i="23"/>
  <c r="P3359" i="23"/>
  <c r="P3355" i="23"/>
  <c r="P3353" i="23"/>
  <c r="L3340" i="23"/>
  <c r="K3340" i="23"/>
  <c r="J3340" i="23"/>
  <c r="L3339" i="23"/>
  <c r="K3339" i="23"/>
  <c r="L3338" i="23"/>
  <c r="K3338" i="23"/>
  <c r="L3337" i="23"/>
  <c r="K3337" i="23"/>
  <c r="J3337" i="23"/>
  <c r="L3336" i="23"/>
  <c r="K3336" i="23"/>
  <c r="L3335" i="23"/>
  <c r="K3335" i="23"/>
  <c r="J3335" i="23"/>
  <c r="N3327" i="23"/>
  <c r="N3326" i="23"/>
  <c r="N3325" i="23"/>
  <c r="P3324" i="23"/>
  <c r="I3323" i="23"/>
  <c r="P3322" i="23"/>
  <c r="I3321" i="23"/>
  <c r="P3320" i="23"/>
  <c r="I3319" i="23"/>
  <c r="P3318" i="23"/>
  <c r="I3317" i="23"/>
  <c r="P3316" i="23"/>
  <c r="I3315" i="23"/>
  <c r="P3314" i="23"/>
  <c r="L3301" i="23"/>
  <c r="K3301" i="23"/>
  <c r="J3301" i="23"/>
  <c r="L3300" i="23"/>
  <c r="K3300" i="23"/>
  <c r="L3299" i="23"/>
  <c r="K3299" i="23"/>
  <c r="L3298" i="23"/>
  <c r="K3298" i="23"/>
  <c r="L3297" i="23"/>
  <c r="K3297" i="23"/>
  <c r="J3297" i="23"/>
  <c r="L3296" i="23"/>
  <c r="K3296" i="23"/>
  <c r="J3296" i="23"/>
  <c r="N3288" i="23"/>
  <c r="P3287" i="23"/>
  <c r="N3287" i="23"/>
  <c r="N3286" i="23"/>
  <c r="P3285" i="23"/>
  <c r="I3284" i="23"/>
  <c r="P3283" i="23"/>
  <c r="I3282" i="23"/>
  <c r="P3281" i="23"/>
  <c r="I3280" i="23"/>
  <c r="P3279" i="23"/>
  <c r="L3265" i="23"/>
  <c r="K3265" i="23"/>
  <c r="J3265" i="23"/>
  <c r="L3264" i="23"/>
  <c r="K3264" i="23"/>
  <c r="L3263" i="23"/>
  <c r="K3263" i="23"/>
  <c r="L3262" i="23"/>
  <c r="K3262" i="23"/>
  <c r="L3261" i="23"/>
  <c r="K3261" i="23"/>
  <c r="L3260" i="23"/>
  <c r="K3260" i="23"/>
  <c r="J3260" i="23"/>
  <c r="N3252" i="23"/>
  <c r="P3251" i="23"/>
  <c r="N3251" i="23"/>
  <c r="N3250" i="23"/>
  <c r="P3249" i="23"/>
  <c r="P3247" i="23"/>
  <c r="I3246" i="23"/>
  <c r="I3244" i="23"/>
  <c r="P3243" i="23"/>
  <c r="L3230" i="23"/>
  <c r="K3230" i="23"/>
  <c r="J3230" i="23"/>
  <c r="L3229" i="23"/>
  <c r="K3229" i="23"/>
  <c r="L3228" i="23"/>
  <c r="K3228" i="23"/>
  <c r="L3227" i="23"/>
  <c r="K3227" i="23"/>
  <c r="L3226" i="23"/>
  <c r="K3226" i="23"/>
  <c r="L3225" i="23"/>
  <c r="K3225" i="23"/>
  <c r="J3225" i="23"/>
  <c r="N3217" i="23"/>
  <c r="P3216" i="23"/>
  <c r="N3216" i="23"/>
  <c r="N3215" i="23"/>
  <c r="P3214" i="23"/>
  <c r="P3212" i="23"/>
  <c r="I3211" i="23"/>
  <c r="P3210" i="23"/>
  <c r="I3209" i="23"/>
  <c r="P3208" i="23"/>
  <c r="L3195" i="23"/>
  <c r="K3195" i="23"/>
  <c r="J3195" i="23"/>
  <c r="L3194" i="23"/>
  <c r="K3194" i="23"/>
  <c r="L3193" i="23"/>
  <c r="K3193" i="23"/>
  <c r="J3193" i="23"/>
  <c r="L3192" i="23"/>
  <c r="K3192" i="23"/>
  <c r="L3191" i="23"/>
  <c r="K3191" i="23"/>
  <c r="J3191" i="23"/>
  <c r="L3190" i="23"/>
  <c r="K3190" i="23"/>
  <c r="J3190" i="23"/>
  <c r="N3182" i="23"/>
  <c r="P3181" i="23"/>
  <c r="N3181" i="23"/>
  <c r="N3180" i="23"/>
  <c r="P3179" i="23"/>
  <c r="P3177" i="23"/>
  <c r="P3175" i="23"/>
  <c r="P3173" i="23"/>
  <c r="P3171" i="23"/>
  <c r="P3169" i="23"/>
  <c r="L3156" i="23"/>
  <c r="K3156" i="23"/>
  <c r="J3156" i="23"/>
  <c r="L3155" i="23"/>
  <c r="K3155" i="23"/>
  <c r="L3154" i="23"/>
  <c r="K3154" i="23"/>
  <c r="J3154" i="23"/>
  <c r="L3153" i="23"/>
  <c r="K3153" i="23"/>
  <c r="L3152" i="23"/>
  <c r="K3152" i="23"/>
  <c r="J3152" i="23"/>
  <c r="L3151" i="23"/>
  <c r="K3151" i="23"/>
  <c r="J3151" i="23"/>
  <c r="N3143" i="23"/>
  <c r="P3142" i="23"/>
  <c r="N3142" i="23"/>
  <c r="N3141" i="23"/>
  <c r="P3140" i="23"/>
  <c r="P3138" i="23"/>
  <c r="P3136" i="23"/>
  <c r="P3134" i="23"/>
  <c r="P3132" i="23"/>
  <c r="L3119" i="23"/>
  <c r="K3119" i="23"/>
  <c r="J3119" i="23"/>
  <c r="L3118" i="23"/>
  <c r="K3118" i="23"/>
  <c r="L3117" i="23"/>
  <c r="K3117" i="23"/>
  <c r="J3117" i="23"/>
  <c r="L3116" i="23"/>
  <c r="K3116" i="23"/>
  <c r="L3115" i="23"/>
  <c r="K3115" i="23"/>
  <c r="L3114" i="23"/>
  <c r="K3114" i="23"/>
  <c r="J3114" i="23"/>
  <c r="N3106" i="23"/>
  <c r="P3105" i="23"/>
  <c r="N3105" i="23"/>
  <c r="N3104" i="23"/>
  <c r="P3103" i="23"/>
  <c r="P3099" i="23"/>
  <c r="P3097" i="23"/>
  <c r="P3095" i="23"/>
  <c r="L3082" i="23"/>
  <c r="K3082" i="23"/>
  <c r="J3082" i="23"/>
  <c r="L3081" i="23"/>
  <c r="K3081" i="23"/>
  <c r="L3080" i="23"/>
  <c r="K3080" i="23"/>
  <c r="J3080" i="23"/>
  <c r="L3079" i="23"/>
  <c r="K3079" i="23"/>
  <c r="L3078" i="23"/>
  <c r="K3078" i="23"/>
  <c r="L3077" i="23"/>
  <c r="K3077" i="23"/>
  <c r="J3077" i="23"/>
  <c r="N3069" i="23"/>
  <c r="P3068" i="23"/>
  <c r="N3068" i="23"/>
  <c r="N3067" i="23"/>
  <c r="P3066" i="23"/>
  <c r="P3064" i="23"/>
  <c r="P3062" i="23"/>
  <c r="P3060" i="23"/>
  <c r="P3058" i="23"/>
  <c r="L3045" i="23"/>
  <c r="K3045" i="23"/>
  <c r="J3045" i="23"/>
  <c r="L3044" i="23"/>
  <c r="K3044" i="23"/>
  <c r="L3043" i="23"/>
  <c r="K3043" i="23"/>
  <c r="L3042" i="23"/>
  <c r="K3042" i="23"/>
  <c r="L3041" i="23"/>
  <c r="K3041" i="23"/>
  <c r="J3041" i="23"/>
  <c r="L3040" i="23"/>
  <c r="K3040" i="23"/>
  <c r="J3040" i="23"/>
  <c r="N3032" i="23"/>
  <c r="P3031" i="23"/>
  <c r="N3031" i="23"/>
  <c r="N3030" i="23"/>
  <c r="P3029" i="23"/>
  <c r="P3027" i="23"/>
  <c r="P3025" i="23"/>
  <c r="P3023" i="23"/>
  <c r="P3021" i="23"/>
  <c r="L3008" i="23"/>
  <c r="K3008" i="23"/>
  <c r="J3008" i="23"/>
  <c r="L3007" i="23"/>
  <c r="K3007" i="23"/>
  <c r="L3006" i="23"/>
  <c r="K3006" i="23"/>
  <c r="L3005" i="23"/>
  <c r="K3005" i="23"/>
  <c r="L3004" i="23"/>
  <c r="K3004" i="23"/>
  <c r="J3004" i="23"/>
  <c r="L3003" i="23"/>
  <c r="K3003" i="23"/>
  <c r="J3003" i="23"/>
  <c r="N2995" i="23"/>
  <c r="P2994" i="23"/>
  <c r="N2994" i="23"/>
  <c r="N2993" i="23"/>
  <c r="P2992" i="23"/>
  <c r="P2990" i="23"/>
  <c r="P2988" i="23"/>
  <c r="P2986" i="23"/>
  <c r="P2984" i="23"/>
  <c r="L2971" i="23"/>
  <c r="K2971" i="23"/>
  <c r="J2971" i="23"/>
  <c r="L2970" i="23"/>
  <c r="K2970" i="23"/>
  <c r="L2969" i="23"/>
  <c r="K2969" i="23"/>
  <c r="L2968" i="23"/>
  <c r="K2968" i="23"/>
  <c r="L2967" i="23"/>
  <c r="K2967" i="23"/>
  <c r="J2967" i="23"/>
  <c r="L2966" i="23"/>
  <c r="K2966" i="23"/>
  <c r="J2966" i="23"/>
  <c r="N2958" i="23"/>
  <c r="P2957" i="23"/>
  <c r="N2957" i="23"/>
  <c r="N2956" i="23"/>
  <c r="P2955" i="23"/>
  <c r="P2953" i="23"/>
  <c r="P2951" i="23"/>
  <c r="P2949" i="23"/>
  <c r="P2947" i="23"/>
  <c r="L2934" i="23"/>
  <c r="K2934" i="23"/>
  <c r="J2934" i="23"/>
  <c r="L2933" i="23"/>
  <c r="K2933" i="23"/>
  <c r="L2932" i="23"/>
  <c r="K2932" i="23"/>
  <c r="L2931" i="23"/>
  <c r="K2931" i="23"/>
  <c r="L2930" i="23"/>
  <c r="K2930" i="23"/>
  <c r="J2930" i="23"/>
  <c r="L2929" i="23"/>
  <c r="K2929" i="23"/>
  <c r="J2929" i="23"/>
  <c r="N2921" i="23"/>
  <c r="P2920" i="23"/>
  <c r="N2920" i="23"/>
  <c r="N2919" i="23"/>
  <c r="P2918" i="23"/>
  <c r="P2916" i="23"/>
  <c r="P2914" i="23"/>
  <c r="P2912" i="23"/>
  <c r="P2910" i="23"/>
  <c r="L2897" i="23"/>
  <c r="K2897" i="23"/>
  <c r="J2897" i="23"/>
  <c r="L2896" i="23"/>
  <c r="K2896" i="23"/>
  <c r="L2895" i="23"/>
  <c r="K2895" i="23"/>
  <c r="L2894" i="23"/>
  <c r="K2894" i="23"/>
  <c r="J2894" i="23"/>
  <c r="L2893" i="23"/>
  <c r="K2893" i="23"/>
  <c r="J2893" i="23"/>
  <c r="L2892" i="23"/>
  <c r="K2892" i="23"/>
  <c r="N2884" i="23"/>
  <c r="N2883" i="23"/>
  <c r="N2882" i="23"/>
  <c r="P2881" i="23"/>
  <c r="P2879" i="23"/>
  <c r="P2877" i="23"/>
  <c r="P2875" i="23"/>
  <c r="P2873" i="23"/>
  <c r="L2860" i="23"/>
  <c r="K2860" i="23"/>
  <c r="J2860" i="23"/>
  <c r="L2859" i="23"/>
  <c r="K2859" i="23"/>
  <c r="L2858" i="23"/>
  <c r="K2858" i="23"/>
  <c r="L2857" i="23"/>
  <c r="K2857" i="23"/>
  <c r="J2857" i="23"/>
  <c r="L2856" i="23"/>
  <c r="K2856" i="23"/>
  <c r="J2856" i="23"/>
  <c r="L2855" i="23"/>
  <c r="K2855" i="23"/>
  <c r="N2847" i="23"/>
  <c r="N2846" i="23"/>
  <c r="N2845" i="23"/>
  <c r="P2844" i="23"/>
  <c r="P2842" i="23"/>
  <c r="P2840" i="23"/>
  <c r="P2838" i="23"/>
  <c r="P2836" i="23"/>
  <c r="P2834" i="23"/>
  <c r="L2821" i="23"/>
  <c r="K2821" i="23"/>
  <c r="J2821" i="23"/>
  <c r="L2820" i="23"/>
  <c r="K2820" i="23"/>
  <c r="L2819" i="23"/>
  <c r="K2819" i="23"/>
  <c r="L2818" i="23"/>
  <c r="K2818" i="23"/>
  <c r="J2818" i="23"/>
  <c r="L2817" i="23"/>
  <c r="K2817" i="23"/>
  <c r="J2817" i="23"/>
  <c r="L2816" i="23"/>
  <c r="K2816" i="23"/>
  <c r="N2808" i="23"/>
  <c r="N2807" i="23"/>
  <c r="N2806" i="23"/>
  <c r="P2805" i="23"/>
  <c r="P2803" i="23"/>
  <c r="P2801" i="23"/>
  <c r="P2799" i="23"/>
  <c r="P2797" i="23"/>
  <c r="P2795" i="23"/>
  <c r="L2782" i="23"/>
  <c r="K2782" i="23"/>
  <c r="J2782" i="23"/>
  <c r="L2781" i="23"/>
  <c r="K2781" i="23"/>
  <c r="L2780" i="23"/>
  <c r="K2780" i="23"/>
  <c r="L2779" i="23"/>
  <c r="K2779" i="23"/>
  <c r="L2778" i="23"/>
  <c r="K2778" i="23"/>
  <c r="J2778" i="23"/>
  <c r="L2777" i="23"/>
  <c r="K2777" i="23"/>
  <c r="J2777" i="23"/>
  <c r="N2769" i="23"/>
  <c r="P2768" i="23"/>
  <c r="N2768" i="23"/>
  <c r="N2767" i="23"/>
  <c r="P2766" i="23"/>
  <c r="P2764" i="23"/>
  <c r="P2762" i="23"/>
  <c r="P2760" i="23"/>
  <c r="P2758" i="23"/>
  <c r="L2745" i="23"/>
  <c r="K2745" i="23"/>
  <c r="J2745" i="23"/>
  <c r="L2744" i="23"/>
  <c r="K2744" i="23"/>
  <c r="L2743" i="23"/>
  <c r="K2743" i="23"/>
  <c r="L2742" i="23"/>
  <c r="K2742" i="23"/>
  <c r="L2741" i="23"/>
  <c r="K2741" i="23"/>
  <c r="J2741" i="23"/>
  <c r="L2740" i="23"/>
  <c r="K2740" i="23"/>
  <c r="J2740" i="23"/>
  <c r="N2732" i="23"/>
  <c r="N2731" i="23"/>
  <c r="N2730" i="23"/>
  <c r="P2729" i="23"/>
  <c r="P2727" i="23"/>
  <c r="P2725" i="23"/>
  <c r="P2723" i="23"/>
  <c r="P2721" i="23"/>
  <c r="L2708" i="23"/>
  <c r="K2708" i="23"/>
  <c r="J2708" i="23"/>
  <c r="L2707" i="23"/>
  <c r="K2707" i="23"/>
  <c r="L2706" i="23"/>
  <c r="K2706" i="23"/>
  <c r="L2705" i="23"/>
  <c r="K2705" i="23"/>
  <c r="L2704" i="23"/>
  <c r="K2704" i="23"/>
  <c r="J2704" i="23"/>
  <c r="L2703" i="23"/>
  <c r="K2703" i="23"/>
  <c r="J2703" i="23"/>
  <c r="N2695" i="23"/>
  <c r="P2694" i="23"/>
  <c r="N2694" i="23"/>
  <c r="N2693" i="23"/>
  <c r="P2692" i="23"/>
  <c r="P2690" i="23"/>
  <c r="P2688" i="23"/>
  <c r="P2686" i="23"/>
  <c r="P2684" i="23"/>
  <c r="L2671" i="23"/>
  <c r="K2671" i="23"/>
  <c r="J2671" i="23"/>
  <c r="L2670" i="23"/>
  <c r="K2670" i="23"/>
  <c r="L2669" i="23"/>
  <c r="K2669" i="23"/>
  <c r="L2668" i="23"/>
  <c r="K2668" i="23"/>
  <c r="L2667" i="23"/>
  <c r="K2667" i="23"/>
  <c r="J2667" i="23"/>
  <c r="L2666" i="23"/>
  <c r="K2666" i="23"/>
  <c r="J2666" i="23"/>
  <c r="N2658" i="23"/>
  <c r="N2657" i="23"/>
  <c r="N2656" i="23"/>
  <c r="P2655" i="23"/>
  <c r="P2653" i="23"/>
  <c r="P2651" i="23"/>
  <c r="P2649" i="23"/>
  <c r="P2647" i="23"/>
  <c r="L2634" i="23"/>
  <c r="K2634" i="23"/>
  <c r="J2634" i="23"/>
  <c r="L2633" i="23"/>
  <c r="K2633" i="23"/>
  <c r="L2632" i="23"/>
  <c r="K2632" i="23"/>
  <c r="L2631" i="23"/>
  <c r="K2631" i="23"/>
  <c r="L2630" i="23"/>
  <c r="K2630" i="23"/>
  <c r="J2630" i="23"/>
  <c r="L2629" i="23"/>
  <c r="K2629" i="23"/>
  <c r="J2629" i="23"/>
  <c r="N2621" i="23"/>
  <c r="N2620" i="23"/>
  <c r="N2619" i="23"/>
  <c r="P2618" i="23"/>
  <c r="P2616" i="23"/>
  <c r="P2614" i="23"/>
  <c r="P2612" i="23"/>
  <c r="P2610" i="23"/>
  <c r="P2608" i="23"/>
  <c r="L2595" i="23"/>
  <c r="K2595" i="23"/>
  <c r="J2595" i="23"/>
  <c r="L2594" i="23"/>
  <c r="K2594" i="23"/>
  <c r="L2593" i="23"/>
  <c r="K2593" i="23"/>
  <c r="L2592" i="23"/>
  <c r="K2592" i="23"/>
  <c r="L2591" i="23"/>
  <c r="K2591" i="23"/>
  <c r="L2590" i="23"/>
  <c r="K2590" i="23"/>
  <c r="J2590" i="23"/>
  <c r="N2582" i="23"/>
  <c r="N2581" i="23"/>
  <c r="N2580" i="23"/>
  <c r="P2579" i="23"/>
  <c r="P2577" i="23"/>
  <c r="P2575" i="23"/>
  <c r="P2573" i="23"/>
  <c r="P2571" i="23"/>
  <c r="L2558" i="23"/>
  <c r="K2558" i="23"/>
  <c r="J2558" i="23"/>
  <c r="L2557" i="23"/>
  <c r="K2557" i="23"/>
  <c r="L2556" i="23"/>
  <c r="K2556" i="23"/>
  <c r="L2555" i="23"/>
  <c r="K2555" i="23"/>
  <c r="L2554" i="23"/>
  <c r="K2554" i="23"/>
  <c r="J2554" i="23"/>
  <c r="L2553" i="23"/>
  <c r="K2553" i="23"/>
  <c r="J2553" i="23"/>
  <c r="N2545" i="23"/>
  <c r="P2544" i="23"/>
  <c r="N2544" i="23"/>
  <c r="N2543" i="23"/>
  <c r="P2542" i="23"/>
  <c r="P2540" i="23"/>
  <c r="P2538" i="23"/>
  <c r="P2536" i="23"/>
  <c r="P2534" i="23"/>
  <c r="L2521" i="23"/>
  <c r="K2521" i="23"/>
  <c r="J2521" i="23"/>
  <c r="L2520" i="23"/>
  <c r="K2520" i="23"/>
  <c r="J2520" i="23"/>
  <c r="L2519" i="23"/>
  <c r="K2519" i="23"/>
  <c r="L2518" i="23"/>
  <c r="K2518" i="23"/>
  <c r="L2517" i="23"/>
  <c r="K2517" i="23"/>
  <c r="J2517" i="23"/>
  <c r="L2516" i="23"/>
  <c r="K2516" i="23"/>
  <c r="N2508" i="23"/>
  <c r="N2507" i="23"/>
  <c r="N2506" i="23"/>
  <c r="P2505" i="23"/>
  <c r="P2503" i="23"/>
  <c r="P2501" i="23"/>
  <c r="P2499" i="23"/>
  <c r="P2497" i="23"/>
  <c r="L2484" i="23"/>
  <c r="K2484" i="23"/>
  <c r="J2484" i="23"/>
  <c r="L2483" i="23"/>
  <c r="K2483" i="23"/>
  <c r="J2483" i="23"/>
  <c r="L2482" i="23"/>
  <c r="K2482" i="23"/>
  <c r="L2481" i="23"/>
  <c r="K2481" i="23"/>
  <c r="L2480" i="23"/>
  <c r="K2480" i="23"/>
  <c r="L2479" i="23"/>
  <c r="K2479" i="23"/>
  <c r="N2471" i="23"/>
  <c r="N2470" i="23"/>
  <c r="N2469" i="23"/>
  <c r="P2468" i="23"/>
  <c r="P2466" i="23"/>
  <c r="N2465" i="23"/>
  <c r="P2464" i="23"/>
  <c r="P2462" i="23"/>
  <c r="P2460" i="23"/>
  <c r="P2458" i="23"/>
  <c r="L2445" i="23"/>
  <c r="K2445" i="23"/>
  <c r="J2445" i="23"/>
  <c r="L2444" i="23"/>
  <c r="K2444" i="23"/>
  <c r="L2443" i="23"/>
  <c r="K2443" i="23"/>
  <c r="L2442" i="23"/>
  <c r="K2442" i="23"/>
  <c r="L2441" i="23"/>
  <c r="K2441" i="23"/>
  <c r="J2441" i="23"/>
  <c r="L2440" i="23"/>
  <c r="K2440" i="23"/>
  <c r="J2440" i="23"/>
  <c r="N2432" i="23"/>
  <c r="P2431" i="23"/>
  <c r="N2431" i="23"/>
  <c r="N2430" i="23"/>
  <c r="P2429" i="23"/>
  <c r="P2427" i="23"/>
  <c r="P2425" i="23"/>
  <c r="P2423" i="23"/>
  <c r="P2421" i="23"/>
  <c r="L2408" i="23"/>
  <c r="K2408" i="23"/>
  <c r="J2408" i="23"/>
  <c r="L2407" i="23"/>
  <c r="K2407" i="23"/>
  <c r="L2406" i="23"/>
  <c r="K2406" i="23"/>
  <c r="L2405" i="23"/>
  <c r="K2405" i="23"/>
  <c r="L2404" i="23"/>
  <c r="K2404" i="23"/>
  <c r="J2404" i="23"/>
  <c r="L2403" i="23"/>
  <c r="K2403" i="23"/>
  <c r="J2403" i="23"/>
  <c r="N2395" i="23"/>
  <c r="P2394" i="23"/>
  <c r="N2394" i="23"/>
  <c r="N2393" i="23"/>
  <c r="P2392" i="23"/>
  <c r="P2390" i="23"/>
  <c r="P2388" i="23"/>
  <c r="P2386" i="23"/>
  <c r="P2384" i="23"/>
  <c r="L2371" i="23"/>
  <c r="K2371" i="23"/>
  <c r="J2371" i="23"/>
  <c r="L2370" i="23"/>
  <c r="K2370" i="23"/>
  <c r="L2369" i="23"/>
  <c r="K2369" i="23"/>
  <c r="L2368" i="23"/>
  <c r="K2368" i="23"/>
  <c r="J2368" i="23"/>
  <c r="L2367" i="23"/>
  <c r="K2367" i="23"/>
  <c r="J2367" i="23"/>
  <c r="L2366" i="23"/>
  <c r="K2366" i="23"/>
  <c r="N2358" i="23"/>
  <c r="N2357" i="23"/>
  <c r="N2356" i="23"/>
  <c r="P2355" i="23"/>
  <c r="P2353" i="23"/>
  <c r="P2351" i="23"/>
  <c r="P2349" i="23"/>
  <c r="P2347" i="23"/>
  <c r="L2334" i="23"/>
  <c r="K2334" i="23"/>
  <c r="J2334" i="23"/>
  <c r="L2333" i="23"/>
  <c r="K2333" i="23"/>
  <c r="L2332" i="23"/>
  <c r="K2332" i="23"/>
  <c r="L2331" i="23"/>
  <c r="K2331" i="23"/>
  <c r="L2330" i="23"/>
  <c r="K2330" i="23"/>
  <c r="J2330" i="23"/>
  <c r="L2329" i="23"/>
  <c r="K2329" i="23"/>
  <c r="J2329" i="23"/>
  <c r="N2321" i="23"/>
  <c r="P2320" i="23"/>
  <c r="N2320" i="23"/>
  <c r="N2319" i="23"/>
  <c r="P2318" i="23"/>
  <c r="P2316" i="23"/>
  <c r="P2314" i="23"/>
  <c r="P2312" i="23"/>
  <c r="P2310" i="23"/>
  <c r="L2297" i="23"/>
  <c r="K2297" i="23"/>
  <c r="J2297" i="23"/>
  <c r="L2296" i="23"/>
  <c r="K2296" i="23"/>
  <c r="L2295" i="23"/>
  <c r="K2295" i="23"/>
  <c r="L2294" i="23"/>
  <c r="K2294" i="23"/>
  <c r="L2293" i="23"/>
  <c r="K2293" i="23"/>
  <c r="J2293" i="23"/>
  <c r="L2292" i="23"/>
  <c r="K2292" i="23"/>
  <c r="J2292" i="23"/>
  <c r="N2284" i="23"/>
  <c r="P2283" i="23"/>
  <c r="N2283" i="23"/>
  <c r="N2282" i="23"/>
  <c r="P2281" i="23"/>
  <c r="P2279" i="23"/>
  <c r="P2277" i="23"/>
  <c r="P2274" i="23"/>
  <c r="P2273" i="23"/>
  <c r="L2260" i="23"/>
  <c r="K2260" i="23"/>
  <c r="J2260" i="23"/>
  <c r="L2259" i="23"/>
  <c r="K2259" i="23"/>
  <c r="L2258" i="23"/>
  <c r="K2258" i="23"/>
  <c r="J2258" i="23"/>
  <c r="L2257" i="23"/>
  <c r="K2257" i="23"/>
  <c r="L2256" i="23"/>
  <c r="K2256" i="23"/>
  <c r="J2256" i="23"/>
  <c r="L2255" i="23"/>
  <c r="K2255" i="23"/>
  <c r="J2255" i="23"/>
  <c r="N2247" i="23"/>
  <c r="P2246" i="23"/>
  <c r="N2246" i="23"/>
  <c r="N2245" i="23"/>
  <c r="P2244" i="23"/>
  <c r="P2242" i="23"/>
  <c r="P2240" i="23"/>
  <c r="P2237" i="23"/>
  <c r="P2235" i="23"/>
  <c r="L2223" i="23"/>
  <c r="K2223" i="23"/>
  <c r="J2223" i="23"/>
  <c r="L2222" i="23"/>
  <c r="K2222" i="23"/>
  <c r="L2221" i="23"/>
  <c r="K2221" i="23"/>
  <c r="J2221" i="23"/>
  <c r="L2220" i="23"/>
  <c r="K2220" i="23"/>
  <c r="L2219" i="23"/>
  <c r="K2219" i="23"/>
  <c r="J2219" i="23"/>
  <c r="L2218" i="23"/>
  <c r="K2218" i="23"/>
  <c r="J2218" i="23"/>
  <c r="N2210" i="23"/>
  <c r="P2209" i="23"/>
  <c r="N2209" i="23"/>
  <c r="N2208" i="23"/>
  <c r="P2207" i="23"/>
  <c r="P2205" i="23"/>
  <c r="P2203" i="23"/>
  <c r="P2200" i="23"/>
  <c r="P2198" i="23"/>
  <c r="L2186" i="23"/>
  <c r="K2186" i="23"/>
  <c r="J2186" i="23"/>
  <c r="L2185" i="23"/>
  <c r="K2185" i="23"/>
  <c r="L2184" i="23"/>
  <c r="K2184" i="23"/>
  <c r="J2184" i="23"/>
  <c r="L2183" i="23"/>
  <c r="K2183" i="23"/>
  <c r="L2182" i="23"/>
  <c r="K2182" i="23"/>
  <c r="J2182" i="23"/>
  <c r="L2181" i="23"/>
  <c r="K2181" i="23"/>
  <c r="J2181" i="23"/>
  <c r="N2173" i="23"/>
  <c r="P2172" i="23"/>
  <c r="N2172" i="23"/>
  <c r="N2171" i="23"/>
  <c r="P2170" i="23"/>
  <c r="P2168" i="23"/>
  <c r="P2166" i="23"/>
  <c r="P2164" i="23"/>
  <c r="L2147" i="23"/>
  <c r="K2147" i="23"/>
  <c r="J2147" i="23"/>
  <c r="L2146" i="23"/>
  <c r="K2146" i="23"/>
  <c r="L2145" i="23"/>
  <c r="K2145" i="23"/>
  <c r="L2144" i="23"/>
  <c r="K2144" i="23"/>
  <c r="L2143" i="23"/>
  <c r="K2143" i="23"/>
  <c r="J2143" i="23"/>
  <c r="L2142" i="23"/>
  <c r="K2142" i="23"/>
  <c r="J2142" i="23"/>
  <c r="N2134" i="23"/>
  <c r="N2133" i="23"/>
  <c r="N2132" i="23"/>
  <c r="P2131" i="23"/>
  <c r="P2129" i="23"/>
  <c r="P2127" i="23"/>
  <c r="L2110" i="23"/>
  <c r="K2110" i="23"/>
  <c r="J2110" i="23"/>
  <c r="L2109" i="23"/>
  <c r="K2109" i="23"/>
  <c r="L2108" i="23"/>
  <c r="K2108" i="23"/>
  <c r="L2107" i="23"/>
  <c r="K2107" i="23"/>
  <c r="L2106" i="23"/>
  <c r="K2106" i="23"/>
  <c r="J2106" i="23"/>
  <c r="L2105" i="23"/>
  <c r="K2105" i="23"/>
  <c r="J2105" i="23"/>
  <c r="N2097" i="23"/>
  <c r="N2096" i="23"/>
  <c r="N2095" i="23"/>
  <c r="P2094" i="23"/>
  <c r="P2092" i="23"/>
  <c r="P2090" i="23"/>
  <c r="L2073" i="23"/>
  <c r="K2073" i="23"/>
  <c r="J2073" i="23"/>
  <c r="L2072" i="23"/>
  <c r="K2072" i="23"/>
  <c r="L2071" i="23"/>
  <c r="K2071" i="23"/>
  <c r="L2070" i="23"/>
  <c r="K2070" i="23"/>
  <c r="L2069" i="23"/>
  <c r="K2069" i="23"/>
  <c r="J2069" i="23"/>
  <c r="L2068" i="23"/>
  <c r="K2068" i="23"/>
  <c r="J2068" i="23"/>
  <c r="N2060" i="23"/>
  <c r="P2059" i="23"/>
  <c r="N2059" i="23"/>
  <c r="N2058" i="23"/>
  <c r="P2057" i="23"/>
  <c r="P2055" i="23"/>
  <c r="P2053" i="23"/>
  <c r="P2051" i="23"/>
  <c r="P2049" i="23"/>
  <c r="L2036" i="23"/>
  <c r="K2036" i="23"/>
  <c r="J2036" i="23"/>
  <c r="L2035" i="23"/>
  <c r="K2035" i="23"/>
  <c r="L2034" i="23"/>
  <c r="K2034" i="23"/>
  <c r="L2033" i="23"/>
  <c r="K2033" i="23"/>
  <c r="L2032" i="23"/>
  <c r="K2032" i="23"/>
  <c r="J2032" i="23"/>
  <c r="L2031" i="23"/>
  <c r="K2031" i="23"/>
  <c r="J2031" i="23"/>
  <c r="N2023" i="23"/>
  <c r="P2022" i="23"/>
  <c r="N2022" i="23"/>
  <c r="N2021" i="23"/>
  <c r="P2020" i="23"/>
  <c r="P2018" i="23"/>
  <c r="P2016" i="23"/>
  <c r="P2014" i="23"/>
  <c r="P2012" i="23"/>
  <c r="L1999" i="23"/>
  <c r="K1999" i="23"/>
  <c r="J1999" i="23"/>
  <c r="L1998" i="23"/>
  <c r="K1998" i="23"/>
  <c r="L1997" i="23"/>
  <c r="K1997" i="23"/>
  <c r="L1996" i="23"/>
  <c r="K1996" i="23"/>
  <c r="L1995" i="23"/>
  <c r="K1995" i="23"/>
  <c r="J1995" i="23"/>
  <c r="L1994" i="23"/>
  <c r="K1994" i="23"/>
  <c r="J1994" i="23"/>
  <c r="N1986" i="23"/>
  <c r="P1985" i="23"/>
  <c r="N1985" i="23"/>
  <c r="N1984" i="23"/>
  <c r="P1983" i="23"/>
  <c r="P1981" i="23"/>
  <c r="P1979" i="23"/>
  <c r="P1977" i="23"/>
  <c r="P1975" i="23"/>
  <c r="L1962" i="23"/>
  <c r="K1962" i="23"/>
  <c r="J1962" i="23"/>
  <c r="L1961" i="23"/>
  <c r="K1961" i="23"/>
  <c r="L1960" i="23"/>
  <c r="K1960" i="23"/>
  <c r="L1959" i="23"/>
  <c r="K1959" i="23"/>
  <c r="L1958" i="23"/>
  <c r="K1958" i="23"/>
  <c r="J1958" i="23"/>
  <c r="L1957" i="23"/>
  <c r="K1957" i="23"/>
  <c r="J1957" i="23"/>
  <c r="N1949" i="23"/>
  <c r="P1948" i="23"/>
  <c r="N1948" i="23"/>
  <c r="N1947" i="23"/>
  <c r="P1946" i="23"/>
  <c r="P1944" i="23"/>
  <c r="P1942" i="23"/>
  <c r="P1940" i="23"/>
  <c r="P1938" i="23"/>
  <c r="L1925" i="23"/>
  <c r="K1925" i="23"/>
  <c r="J1925" i="23"/>
  <c r="L1924" i="23"/>
  <c r="K1924" i="23"/>
  <c r="L1923" i="23"/>
  <c r="K1923" i="23"/>
  <c r="L1922" i="23"/>
  <c r="K1922" i="23"/>
  <c r="L1921" i="23"/>
  <c r="K1921" i="23"/>
  <c r="J1921" i="23"/>
  <c r="L1920" i="23"/>
  <c r="K1920" i="23"/>
  <c r="J1920" i="23"/>
  <c r="N1912" i="23"/>
  <c r="P1911" i="23"/>
  <c r="N1911" i="23"/>
  <c r="N1910" i="23"/>
  <c r="P1909" i="23"/>
  <c r="P1907" i="23"/>
  <c r="P1905" i="23"/>
  <c r="P1903" i="23"/>
  <c r="P1901" i="23"/>
  <c r="L1888" i="23"/>
  <c r="K1888" i="23"/>
  <c r="J1888" i="23"/>
  <c r="L1887" i="23"/>
  <c r="K1887" i="23"/>
  <c r="L1886" i="23"/>
  <c r="K1886" i="23"/>
  <c r="J1886" i="23"/>
  <c r="L1885" i="23"/>
  <c r="K1885" i="23"/>
  <c r="L1884" i="23"/>
  <c r="K1884" i="23"/>
  <c r="L1883" i="23"/>
  <c r="K1883" i="23"/>
  <c r="J1883" i="23"/>
  <c r="N1875" i="23"/>
  <c r="N1874" i="23"/>
  <c r="N1873" i="23"/>
  <c r="P1872" i="23"/>
  <c r="P1870" i="23"/>
  <c r="P1868" i="23"/>
  <c r="P1866" i="23"/>
  <c r="P1864" i="23"/>
  <c r="L1851" i="23"/>
  <c r="K1851" i="23"/>
  <c r="J1851" i="23"/>
  <c r="L1850" i="23"/>
  <c r="K1850" i="23"/>
  <c r="L1849" i="23"/>
  <c r="K1849" i="23"/>
  <c r="J1849" i="23"/>
  <c r="L1848" i="23"/>
  <c r="K1848" i="23"/>
  <c r="L1847" i="23"/>
  <c r="K1847" i="23"/>
  <c r="L1846" i="23"/>
  <c r="K1846" i="23"/>
  <c r="J1846" i="23"/>
  <c r="N1838" i="23"/>
  <c r="N1837" i="23"/>
  <c r="N1836" i="23"/>
  <c r="P1835" i="23"/>
  <c r="P1833" i="23"/>
  <c r="P1831" i="23"/>
  <c r="P1829" i="23"/>
  <c r="P1827" i="23"/>
  <c r="L1814" i="23"/>
  <c r="K1814" i="23"/>
  <c r="J1814" i="23"/>
  <c r="L1813" i="23"/>
  <c r="K1813" i="23"/>
  <c r="L1812" i="23"/>
  <c r="K1812" i="23"/>
  <c r="L1811" i="23"/>
  <c r="K1811" i="23"/>
  <c r="L1810" i="23"/>
  <c r="K1810" i="23"/>
  <c r="J1810" i="23"/>
  <c r="L1809" i="23"/>
  <c r="K1809" i="23"/>
  <c r="J1809" i="23"/>
  <c r="N1801" i="23"/>
  <c r="N1800" i="23"/>
  <c r="N1799" i="23"/>
  <c r="P1798" i="23"/>
  <c r="P1796" i="23"/>
  <c r="P1794" i="23"/>
  <c r="P1792" i="23"/>
  <c r="P1790" i="23"/>
  <c r="L1777" i="23"/>
  <c r="K1777" i="23"/>
  <c r="J1777" i="23"/>
  <c r="L1776" i="23"/>
  <c r="K1776" i="23"/>
  <c r="L1775" i="23"/>
  <c r="K1775" i="23"/>
  <c r="L1774" i="23"/>
  <c r="K1774" i="23"/>
  <c r="L1773" i="23"/>
  <c r="K1773" i="23"/>
  <c r="J1773" i="23"/>
  <c r="L1772" i="23"/>
  <c r="K1772" i="23"/>
  <c r="J1772" i="23"/>
  <c r="N1764" i="23"/>
  <c r="P1763" i="23"/>
  <c r="N1763" i="23"/>
  <c r="N1762" i="23"/>
  <c r="P1761" i="23"/>
  <c r="P1759" i="23"/>
  <c r="P1757" i="23"/>
  <c r="P1755" i="23"/>
  <c r="P1753" i="23"/>
  <c r="L1740" i="23"/>
  <c r="K1740" i="23"/>
  <c r="J1740" i="23"/>
  <c r="L1739" i="23"/>
  <c r="K1739" i="23"/>
  <c r="L1738" i="23"/>
  <c r="K1738" i="23"/>
  <c r="J1738" i="23"/>
  <c r="L1737" i="23"/>
  <c r="K1737" i="23"/>
  <c r="L1736" i="23"/>
  <c r="K1736" i="23"/>
  <c r="L1735" i="23"/>
  <c r="K1735" i="23"/>
  <c r="J1735" i="23"/>
  <c r="S1727" i="23"/>
  <c r="N1727" i="23"/>
  <c r="N1726" i="23"/>
  <c r="N1725" i="23"/>
  <c r="P1724" i="23"/>
  <c r="P1722" i="23"/>
  <c r="P1720" i="23"/>
  <c r="P1718" i="23"/>
  <c r="P1716" i="23"/>
  <c r="P1714" i="23"/>
  <c r="L1701" i="23"/>
  <c r="K1701" i="23"/>
  <c r="J1701" i="23"/>
  <c r="L1700" i="23"/>
  <c r="K1700" i="23"/>
  <c r="L1699" i="23"/>
  <c r="K1699" i="23"/>
  <c r="L1698" i="23"/>
  <c r="K1698" i="23"/>
  <c r="L1697" i="23"/>
  <c r="K1697" i="23"/>
  <c r="J1697" i="23"/>
  <c r="L1696" i="23"/>
  <c r="K1696" i="23"/>
  <c r="J1696" i="23"/>
  <c r="N1688" i="23"/>
  <c r="P1687" i="23"/>
  <c r="N1687" i="23"/>
  <c r="N1686" i="23"/>
  <c r="P1685" i="23"/>
  <c r="P1683" i="23"/>
  <c r="P1681" i="23"/>
  <c r="P1679" i="23"/>
  <c r="P1677" i="23"/>
  <c r="L1664" i="23"/>
  <c r="K1664" i="23"/>
  <c r="J1664" i="23"/>
  <c r="L1663" i="23"/>
  <c r="K1663" i="23"/>
  <c r="L1662" i="23"/>
  <c r="K1662" i="23"/>
  <c r="L1661" i="23"/>
  <c r="K1661" i="23"/>
  <c r="L1660" i="23"/>
  <c r="K1660" i="23"/>
  <c r="J1660" i="23"/>
  <c r="L1659" i="23"/>
  <c r="K1659" i="23"/>
  <c r="J1659" i="23"/>
  <c r="N1651" i="23"/>
  <c r="P1650" i="23"/>
  <c r="N1650" i="23"/>
  <c r="N1649" i="23"/>
  <c r="P1648" i="23"/>
  <c r="P1646" i="23"/>
  <c r="P1644" i="23"/>
  <c r="P1642" i="23"/>
  <c r="P1640" i="23"/>
  <c r="L1627" i="23"/>
  <c r="K1627" i="23"/>
  <c r="J1627" i="23"/>
  <c r="L1626" i="23"/>
  <c r="K1626" i="23"/>
  <c r="L1625" i="23"/>
  <c r="K1625" i="23"/>
  <c r="J1625" i="23"/>
  <c r="L1624" i="23"/>
  <c r="K1624" i="23"/>
  <c r="L1623" i="23"/>
  <c r="K1623" i="23"/>
  <c r="L1622" i="23"/>
  <c r="K1622" i="23"/>
  <c r="J1622" i="23"/>
  <c r="N1614" i="23"/>
  <c r="P1613" i="23"/>
  <c r="N1613" i="23"/>
  <c r="N1612" i="23"/>
  <c r="P1611" i="23"/>
  <c r="P1609" i="23"/>
  <c r="P1607" i="23"/>
  <c r="P1605" i="23"/>
  <c r="P1603" i="23"/>
  <c r="L1590" i="23"/>
  <c r="K1590" i="23"/>
  <c r="J1590" i="23"/>
  <c r="L1589" i="23"/>
  <c r="K1589" i="23"/>
  <c r="L1588" i="23"/>
  <c r="K1588" i="23"/>
  <c r="J1588" i="23"/>
  <c r="L1587" i="23"/>
  <c r="K1587" i="23"/>
  <c r="L1586" i="23"/>
  <c r="K1586" i="23"/>
  <c r="L1585" i="23"/>
  <c r="K1585" i="23"/>
  <c r="J1585" i="23"/>
  <c r="N1577" i="23"/>
  <c r="P1576" i="23"/>
  <c r="N1576" i="23"/>
  <c r="N1575" i="23"/>
  <c r="P1574" i="23"/>
  <c r="P1572" i="23"/>
  <c r="P1570" i="23"/>
  <c r="P1568" i="23"/>
  <c r="P1566" i="23"/>
  <c r="L1553" i="23"/>
  <c r="K1553" i="23"/>
  <c r="J1553" i="23"/>
  <c r="L1552" i="23"/>
  <c r="K1552" i="23"/>
  <c r="L1551" i="23"/>
  <c r="K1551" i="23"/>
  <c r="J1551" i="23"/>
  <c r="L1550" i="23"/>
  <c r="K1550" i="23"/>
  <c r="L1549" i="23"/>
  <c r="K1549" i="23"/>
  <c r="L1548" i="23"/>
  <c r="K1548" i="23"/>
  <c r="J1548" i="23"/>
  <c r="N1540" i="23"/>
  <c r="P1539" i="23"/>
  <c r="N1539" i="23"/>
  <c r="N1538" i="23"/>
  <c r="P1537" i="23"/>
  <c r="P1535" i="23"/>
  <c r="P1533" i="23"/>
  <c r="P1531" i="23"/>
  <c r="L1516" i="23"/>
  <c r="K1516" i="23"/>
  <c r="J1516" i="23"/>
  <c r="L1515" i="23"/>
  <c r="K1515" i="23"/>
  <c r="L1514" i="23"/>
  <c r="K1514" i="23"/>
  <c r="L1513" i="23"/>
  <c r="K1513" i="23"/>
  <c r="L1512" i="23"/>
  <c r="K1512" i="23"/>
  <c r="J1512" i="23"/>
  <c r="L1511" i="23"/>
  <c r="K1511" i="23"/>
  <c r="J1511" i="23"/>
  <c r="N1503" i="23"/>
  <c r="P1502" i="23"/>
  <c r="N1502" i="23"/>
  <c r="N1501" i="23"/>
  <c r="P1500" i="23"/>
  <c r="I1499" i="23"/>
  <c r="P1498" i="23"/>
  <c r="I1497" i="23"/>
  <c r="P1496" i="23"/>
  <c r="I1495" i="23"/>
  <c r="P1494" i="23"/>
  <c r="I1493" i="23"/>
  <c r="P1492" i="23"/>
  <c r="I1491" i="23"/>
  <c r="P1490" i="23"/>
  <c r="D1478" i="23"/>
  <c r="C1478" i="23"/>
  <c r="B1478" i="23"/>
  <c r="L1477" i="23"/>
  <c r="K1477" i="23"/>
  <c r="J1477" i="23"/>
  <c r="D1477" i="23"/>
  <c r="C1477" i="23"/>
  <c r="L1476" i="23"/>
  <c r="K1476" i="23"/>
  <c r="D1476" i="23"/>
  <c r="C1476" i="23"/>
  <c r="L1475" i="23"/>
  <c r="K1475" i="23"/>
  <c r="D1475" i="23"/>
  <c r="C1475" i="23"/>
  <c r="L1474" i="23"/>
  <c r="K1474" i="23"/>
  <c r="D1474" i="23"/>
  <c r="C1474" i="23"/>
  <c r="B1474" i="23"/>
  <c r="L1473" i="23"/>
  <c r="K1473" i="23"/>
  <c r="J1473" i="23"/>
  <c r="D1473" i="23"/>
  <c r="C1473" i="23"/>
  <c r="B1473" i="23"/>
  <c r="L1472" i="23"/>
  <c r="K1472" i="23"/>
  <c r="J1472" i="23"/>
  <c r="F1465" i="23"/>
  <c r="N1464" i="23"/>
  <c r="F1464" i="23"/>
  <c r="N1463" i="23"/>
  <c r="F1463" i="23"/>
  <c r="N1462" i="23"/>
  <c r="H1462" i="23"/>
  <c r="P1461" i="23"/>
  <c r="H1460" i="23"/>
  <c r="P1459" i="23"/>
  <c r="A1459" i="23"/>
  <c r="H1458" i="23"/>
  <c r="A1455" i="23"/>
  <c r="H1454" i="23"/>
  <c r="P1453" i="23"/>
  <c r="A1453" i="23"/>
  <c r="H1452" i="23"/>
  <c r="P1451" i="23"/>
  <c r="A1451" i="23"/>
  <c r="D1439" i="23"/>
  <c r="C1439" i="23"/>
  <c r="B1439" i="23"/>
  <c r="L1438" i="23"/>
  <c r="K1438" i="23"/>
  <c r="J1438" i="23"/>
  <c r="D1438" i="23"/>
  <c r="C1438" i="23"/>
  <c r="L1437" i="23"/>
  <c r="K1437" i="23"/>
  <c r="D1437" i="23"/>
  <c r="C1437" i="23"/>
  <c r="L1436" i="23"/>
  <c r="K1436" i="23"/>
  <c r="J1436" i="23"/>
  <c r="D1436" i="23"/>
  <c r="C1436" i="23"/>
  <c r="B1436" i="23"/>
  <c r="L1435" i="23"/>
  <c r="K1435" i="23"/>
  <c r="D1435" i="23"/>
  <c r="C1435" i="23"/>
  <c r="B1435" i="23"/>
  <c r="L1434" i="23"/>
  <c r="K1434" i="23"/>
  <c r="L1433" i="23"/>
  <c r="K1433" i="23"/>
  <c r="J1433" i="23"/>
  <c r="F1427" i="23"/>
  <c r="F1426" i="23"/>
  <c r="N1425" i="23"/>
  <c r="F1425" i="23"/>
  <c r="N1424" i="23"/>
  <c r="H1424" i="23"/>
  <c r="N1423" i="23"/>
  <c r="P1422" i="23"/>
  <c r="H1422" i="23"/>
  <c r="A1421" i="23"/>
  <c r="P1420" i="23"/>
  <c r="H1420" i="23"/>
  <c r="A1419" i="23"/>
  <c r="P1418" i="23"/>
  <c r="H1418" i="23"/>
  <c r="A1417" i="23"/>
  <c r="P1416" i="23"/>
  <c r="H1416" i="23"/>
  <c r="A1415" i="23"/>
  <c r="P1414" i="23"/>
  <c r="D1403" i="23"/>
  <c r="C1403" i="23"/>
  <c r="B1403" i="23"/>
  <c r="D1402" i="23"/>
  <c r="C1402" i="23"/>
  <c r="L1401" i="23"/>
  <c r="K1401" i="23"/>
  <c r="J1401" i="23"/>
  <c r="D1401" i="23"/>
  <c r="C1401" i="23"/>
  <c r="L1400" i="23"/>
  <c r="K1400" i="23"/>
  <c r="D1400" i="23"/>
  <c r="C1400" i="23"/>
  <c r="L1399" i="23"/>
  <c r="K1399" i="23"/>
  <c r="D1399" i="23"/>
  <c r="C1399" i="23"/>
  <c r="B1399" i="23"/>
  <c r="L1398" i="23"/>
  <c r="K1398" i="23"/>
  <c r="D1398" i="23"/>
  <c r="C1398" i="23"/>
  <c r="B1398" i="23"/>
  <c r="L1397" i="23"/>
  <c r="K1397" i="23"/>
  <c r="J1397" i="23"/>
  <c r="L1396" i="23"/>
  <c r="K1396" i="23"/>
  <c r="J1396" i="23"/>
  <c r="F1390" i="23"/>
  <c r="F1389" i="23"/>
  <c r="N1388" i="23"/>
  <c r="F1388" i="23"/>
  <c r="P1387" i="23"/>
  <c r="N1387" i="23"/>
  <c r="H1387" i="23"/>
  <c r="N1386" i="23"/>
  <c r="P1385" i="23"/>
  <c r="H1385" i="23"/>
  <c r="A1384" i="23"/>
  <c r="P1383" i="23"/>
  <c r="H1383" i="23"/>
  <c r="A1382" i="23"/>
  <c r="P1381" i="23"/>
  <c r="H1381" i="23"/>
  <c r="I1380" i="23"/>
  <c r="A1380" i="23"/>
  <c r="P1379" i="23"/>
  <c r="H1379" i="23"/>
  <c r="I1378" i="23"/>
  <c r="A1378" i="23"/>
  <c r="P1377" i="23"/>
  <c r="D1366" i="23"/>
  <c r="C1366" i="23"/>
  <c r="B1366" i="23"/>
  <c r="D1365" i="23"/>
  <c r="C1365" i="23"/>
  <c r="L1364" i="23"/>
  <c r="K1364" i="23"/>
  <c r="J1364" i="23"/>
  <c r="D1364" i="23"/>
  <c r="C1364" i="23"/>
  <c r="L1363" i="23"/>
  <c r="K1363" i="23"/>
  <c r="D1363" i="23"/>
  <c r="C1363" i="23"/>
  <c r="L1362" i="23"/>
  <c r="K1362" i="23"/>
  <c r="D1362" i="23"/>
  <c r="C1362" i="23"/>
  <c r="B1362" i="23"/>
  <c r="L1361" i="23"/>
  <c r="K1361" i="23"/>
  <c r="D1361" i="23"/>
  <c r="C1361" i="23"/>
  <c r="B1361" i="23"/>
  <c r="L1360" i="23"/>
  <c r="K1360" i="23"/>
  <c r="L1359" i="23"/>
  <c r="K1359" i="23"/>
  <c r="J1359" i="23"/>
  <c r="F1353" i="23"/>
  <c r="F1352" i="23"/>
  <c r="N1351" i="23"/>
  <c r="F1351" i="23"/>
  <c r="P1350" i="23"/>
  <c r="N1350" i="23"/>
  <c r="H1350" i="23"/>
  <c r="N1349" i="23"/>
  <c r="A1349" i="23"/>
  <c r="P1348" i="23"/>
  <c r="H1348" i="23"/>
  <c r="I1347" i="23"/>
  <c r="A1347" i="23"/>
  <c r="P1346" i="23"/>
  <c r="H1346" i="23"/>
  <c r="I1345" i="23"/>
  <c r="A1345" i="23"/>
  <c r="P1344" i="23"/>
  <c r="H1344" i="23"/>
  <c r="I1343" i="23"/>
  <c r="A1343" i="23"/>
  <c r="P1342" i="23"/>
  <c r="H1342" i="23"/>
  <c r="I1341" i="23"/>
  <c r="A1341" i="23"/>
  <c r="P1340" i="23"/>
  <c r="H1340" i="23"/>
  <c r="A1339" i="23"/>
  <c r="L1327" i="23"/>
  <c r="K1327" i="23"/>
  <c r="J1327" i="23"/>
  <c r="D1327" i="23"/>
  <c r="C1327" i="23"/>
  <c r="B1327" i="23"/>
  <c r="L1326" i="23"/>
  <c r="K1326" i="23"/>
  <c r="D1326" i="23"/>
  <c r="C1326" i="23"/>
  <c r="L1325" i="23"/>
  <c r="K1325" i="23"/>
  <c r="D1325" i="23"/>
  <c r="C1325" i="23"/>
  <c r="L1324" i="23"/>
  <c r="K1324" i="23"/>
  <c r="D1324" i="23"/>
  <c r="C1324" i="23"/>
  <c r="L1323" i="23"/>
  <c r="K1323" i="23"/>
  <c r="J1323" i="23"/>
  <c r="D1323" i="23"/>
  <c r="C1323" i="23"/>
  <c r="B1323" i="23"/>
  <c r="L1322" i="23"/>
  <c r="K1322" i="23"/>
  <c r="J1322" i="23"/>
  <c r="D1322" i="23"/>
  <c r="C1322" i="23"/>
  <c r="B1322" i="23"/>
  <c r="N1314" i="23"/>
  <c r="F1314" i="23"/>
  <c r="P1313" i="23"/>
  <c r="N1313" i="23"/>
  <c r="F1313" i="23"/>
  <c r="N1312" i="23"/>
  <c r="F1312" i="23"/>
  <c r="P1311" i="23"/>
  <c r="H1311" i="23"/>
  <c r="I1310" i="23"/>
  <c r="A1310" i="23"/>
  <c r="P1309" i="23"/>
  <c r="H1309" i="23"/>
  <c r="I1308" i="23"/>
  <c r="A1308" i="23"/>
  <c r="P1307" i="23"/>
  <c r="H1307" i="23"/>
  <c r="I1306" i="23"/>
  <c r="A1306" i="23"/>
  <c r="P1305" i="23"/>
  <c r="H1305" i="23"/>
  <c r="I1304" i="23"/>
  <c r="A1304" i="23"/>
  <c r="P1303" i="23"/>
  <c r="H1303" i="23"/>
  <c r="A1302" i="23"/>
  <c r="L1290" i="23"/>
  <c r="K1290" i="23"/>
  <c r="J1290" i="23"/>
  <c r="D1290" i="23"/>
  <c r="C1290" i="23"/>
  <c r="B1290" i="23"/>
  <c r="L1289" i="23"/>
  <c r="K1289" i="23"/>
  <c r="D1289" i="23"/>
  <c r="C1289" i="23"/>
  <c r="L1288" i="23"/>
  <c r="K1288" i="23"/>
  <c r="J1288" i="23"/>
  <c r="D1288" i="23"/>
  <c r="C1288" i="23"/>
  <c r="L1287" i="23"/>
  <c r="K1287" i="23"/>
  <c r="D1287" i="23"/>
  <c r="C1287" i="23"/>
  <c r="L1286" i="23"/>
  <c r="K1286" i="23"/>
  <c r="D1286" i="23"/>
  <c r="C1286" i="23"/>
  <c r="B1286" i="23"/>
  <c r="L1285" i="23"/>
  <c r="K1285" i="23"/>
  <c r="J1285" i="23"/>
  <c r="D1285" i="23"/>
  <c r="C1285" i="23"/>
  <c r="B1285" i="23"/>
  <c r="N1277" i="23"/>
  <c r="F1277" i="23"/>
  <c r="N1276" i="23"/>
  <c r="F1276" i="23"/>
  <c r="N1275" i="23"/>
  <c r="F1275" i="23"/>
  <c r="H1274" i="23"/>
  <c r="A1273" i="23"/>
  <c r="H1272" i="23"/>
  <c r="A1271" i="23"/>
  <c r="H1270" i="23"/>
  <c r="A1269" i="23"/>
  <c r="H1268" i="23"/>
  <c r="P1267" i="23"/>
  <c r="A1267" i="23"/>
  <c r="H1266" i="23"/>
  <c r="P1265" i="23"/>
  <c r="A1265" i="23"/>
  <c r="L1253" i="23"/>
  <c r="K1253" i="23"/>
  <c r="J1253" i="23"/>
  <c r="D1253" i="23"/>
  <c r="C1253" i="23"/>
  <c r="B1253" i="23"/>
  <c r="L1252" i="23"/>
  <c r="K1252" i="23"/>
  <c r="D1252" i="23"/>
  <c r="C1252" i="23"/>
  <c r="L1251" i="23"/>
  <c r="K1251" i="23"/>
  <c r="J1251" i="23"/>
  <c r="D1251" i="23"/>
  <c r="C1251" i="23"/>
  <c r="L1250" i="23"/>
  <c r="K1250" i="23"/>
  <c r="D1250" i="23"/>
  <c r="C1250" i="23"/>
  <c r="L1249" i="23"/>
  <c r="K1249" i="23"/>
  <c r="J1249" i="23"/>
  <c r="D1249" i="23"/>
  <c r="C1249" i="23"/>
  <c r="B1249" i="23"/>
  <c r="L1248" i="23"/>
  <c r="K1248" i="23"/>
  <c r="J1248" i="23"/>
  <c r="D1248" i="23"/>
  <c r="C1248" i="23"/>
  <c r="B1248" i="23"/>
  <c r="N1240" i="23"/>
  <c r="F1240" i="23"/>
  <c r="N1239" i="23"/>
  <c r="F1239" i="23"/>
  <c r="N1238" i="23"/>
  <c r="F1238" i="23"/>
  <c r="P1237" i="23"/>
  <c r="H1237" i="23"/>
  <c r="A1236" i="23"/>
  <c r="P1235" i="23"/>
  <c r="H1235" i="23"/>
  <c r="A1234" i="23"/>
  <c r="P1233" i="23"/>
  <c r="H1233" i="23"/>
  <c r="A1232" i="23"/>
  <c r="H1231" i="23"/>
  <c r="P1230" i="23"/>
  <c r="A1230" i="23"/>
  <c r="H1229" i="23"/>
  <c r="P1228" i="23"/>
  <c r="A1228" i="23"/>
  <c r="L1216" i="23"/>
  <c r="K1216" i="23"/>
  <c r="J1216" i="23"/>
  <c r="D1216" i="23"/>
  <c r="C1216" i="23"/>
  <c r="B1216" i="23"/>
  <c r="L1215" i="23"/>
  <c r="K1215" i="23"/>
  <c r="D1215" i="23"/>
  <c r="C1215" i="23"/>
  <c r="L1214" i="23"/>
  <c r="K1214" i="23"/>
  <c r="D1214" i="23"/>
  <c r="C1214" i="23"/>
  <c r="L1213" i="23"/>
  <c r="K1213" i="23"/>
  <c r="D1213" i="23"/>
  <c r="C1213" i="23"/>
  <c r="L1212" i="23"/>
  <c r="K1212" i="23"/>
  <c r="J1212" i="23"/>
  <c r="D1212" i="23"/>
  <c r="C1212" i="23"/>
  <c r="B1212" i="23"/>
  <c r="L1211" i="23"/>
  <c r="K1211" i="23"/>
  <c r="J1211" i="23"/>
  <c r="D1211" i="23"/>
  <c r="C1211" i="23"/>
  <c r="B1211" i="23"/>
  <c r="N1203" i="23"/>
  <c r="F1203" i="23"/>
  <c r="P1202" i="23"/>
  <c r="N1202" i="23"/>
  <c r="F1202" i="23"/>
  <c r="N1201" i="23"/>
  <c r="F1201" i="23"/>
  <c r="H1200" i="23"/>
  <c r="P1198" i="23"/>
  <c r="I1197" i="23"/>
  <c r="H1196" i="23"/>
  <c r="I1195" i="23"/>
  <c r="H1194" i="23"/>
  <c r="I1193" i="23"/>
  <c r="A1193" i="23"/>
  <c r="H1192" i="23"/>
  <c r="P1191" i="23"/>
  <c r="I1191" i="23"/>
  <c r="A1191" i="23"/>
  <c r="H1190" i="23"/>
  <c r="P1189" i="23"/>
  <c r="A1189" i="23"/>
  <c r="L1177" i="23"/>
  <c r="K1177" i="23"/>
  <c r="J1177" i="23"/>
  <c r="D1177" i="23"/>
  <c r="C1177" i="23"/>
  <c r="B1177" i="23"/>
  <c r="L1176" i="23"/>
  <c r="K1176" i="23"/>
  <c r="D1176" i="23"/>
  <c r="C1176" i="23"/>
  <c r="L1175" i="23"/>
  <c r="K1175" i="23"/>
  <c r="J1175" i="23"/>
  <c r="D1175" i="23"/>
  <c r="C1175" i="23"/>
  <c r="L1174" i="23"/>
  <c r="K1174" i="23"/>
  <c r="D1174" i="23"/>
  <c r="C1174" i="23"/>
  <c r="L1173" i="23"/>
  <c r="K1173" i="23"/>
  <c r="J1173" i="23"/>
  <c r="D1173" i="23"/>
  <c r="C1173" i="23"/>
  <c r="B1173" i="23"/>
  <c r="L1172" i="23"/>
  <c r="K1172" i="23"/>
  <c r="J1172" i="23"/>
  <c r="D1172" i="23"/>
  <c r="C1172" i="23"/>
  <c r="B1172" i="23"/>
  <c r="N1164" i="23"/>
  <c r="F1164" i="23"/>
  <c r="N1163" i="23"/>
  <c r="F1163" i="23"/>
  <c r="N1162" i="23"/>
  <c r="F1162" i="23"/>
  <c r="H1161" i="23"/>
  <c r="P1160" i="23"/>
  <c r="I1160" i="23"/>
  <c r="H1159" i="23"/>
  <c r="P1158" i="23"/>
  <c r="I1158" i="23"/>
  <c r="P1156" i="23"/>
  <c r="I1156" i="23"/>
  <c r="P1155" i="23"/>
  <c r="H1155" i="23"/>
  <c r="I1154" i="23"/>
  <c r="A1154" i="23"/>
  <c r="H1153" i="23"/>
  <c r="P1152" i="23"/>
  <c r="A1152" i="23"/>
  <c r="L1140" i="23"/>
  <c r="K1140" i="23"/>
  <c r="J1140" i="23"/>
  <c r="D1140" i="23"/>
  <c r="C1140" i="23"/>
  <c r="B1140" i="23"/>
  <c r="L1139" i="23"/>
  <c r="K1139" i="23"/>
  <c r="D1139" i="23"/>
  <c r="C1139" i="23"/>
  <c r="L1138" i="23"/>
  <c r="K1138" i="23"/>
  <c r="D1138" i="23"/>
  <c r="C1138" i="23"/>
  <c r="L1137" i="23"/>
  <c r="K1137" i="23"/>
  <c r="D1137" i="23"/>
  <c r="C1137" i="23"/>
  <c r="L1136" i="23"/>
  <c r="K1136" i="23"/>
  <c r="J1136" i="23"/>
  <c r="D1136" i="23"/>
  <c r="C1136" i="23"/>
  <c r="B1136" i="23"/>
  <c r="L1135" i="23"/>
  <c r="K1135" i="23"/>
  <c r="J1135" i="23"/>
  <c r="D1135" i="23"/>
  <c r="C1135" i="23"/>
  <c r="B1135" i="23"/>
  <c r="N1127" i="23"/>
  <c r="F1127" i="23"/>
  <c r="N1126" i="23"/>
  <c r="F1126" i="23"/>
  <c r="N1125" i="23"/>
  <c r="F1125" i="23"/>
  <c r="P1124" i="23"/>
  <c r="H1124" i="23"/>
  <c r="I1123" i="23"/>
  <c r="P1122" i="23"/>
  <c r="H1122" i="23"/>
  <c r="I1121" i="23"/>
  <c r="P1120" i="23"/>
  <c r="I1119" i="23"/>
  <c r="H1118" i="23"/>
  <c r="I1117" i="23"/>
  <c r="P1116" i="23"/>
  <c r="H1116" i="23"/>
  <c r="P1115" i="23"/>
  <c r="L1103" i="23"/>
  <c r="K1103" i="23"/>
  <c r="J1103" i="23"/>
  <c r="D1103" i="23"/>
  <c r="C1103" i="23"/>
  <c r="B1103" i="23"/>
  <c r="L1102" i="23"/>
  <c r="K1102" i="23"/>
  <c r="D1102" i="23"/>
  <c r="C1102" i="23"/>
  <c r="L1101" i="23"/>
  <c r="K1101" i="23"/>
  <c r="J1101" i="23"/>
  <c r="D1101" i="23"/>
  <c r="C1101" i="23"/>
  <c r="L1100" i="23"/>
  <c r="K1100" i="23"/>
  <c r="D1100" i="23"/>
  <c r="C1100" i="23"/>
  <c r="L1099" i="23"/>
  <c r="K1099" i="23"/>
  <c r="J1099" i="23"/>
  <c r="D1099" i="23"/>
  <c r="C1099" i="23"/>
  <c r="B1099" i="23"/>
  <c r="L1098" i="23"/>
  <c r="K1098" i="23"/>
  <c r="J1098" i="23"/>
  <c r="D1098" i="23"/>
  <c r="C1098" i="23"/>
  <c r="B1098" i="23"/>
  <c r="N1090" i="23"/>
  <c r="F1090" i="23"/>
  <c r="N1089" i="23"/>
  <c r="F1089" i="23"/>
  <c r="N1088" i="23"/>
  <c r="F1088" i="23"/>
  <c r="P1087" i="23"/>
  <c r="I1086" i="23"/>
  <c r="P1085" i="23"/>
  <c r="I1084" i="23"/>
  <c r="P1083" i="23"/>
  <c r="I1082" i="23"/>
  <c r="P1081" i="23"/>
  <c r="H1081" i="23"/>
  <c r="I1080" i="23"/>
  <c r="A1080" i="23"/>
  <c r="P1079" i="23"/>
  <c r="H1079" i="23"/>
  <c r="I1078" i="23"/>
  <c r="A1078" i="23"/>
  <c r="P1077" i="23"/>
  <c r="H1077" i="23"/>
  <c r="A1076" i="23"/>
  <c r="L1064" i="23"/>
  <c r="K1064" i="23"/>
  <c r="J1064" i="23"/>
  <c r="D1064" i="23"/>
  <c r="C1064" i="23"/>
  <c r="B1064" i="23"/>
  <c r="L1063" i="23"/>
  <c r="K1063" i="23"/>
  <c r="D1063" i="23"/>
  <c r="C1063" i="23"/>
  <c r="L1062" i="23"/>
  <c r="K1062" i="23"/>
  <c r="J1062" i="23"/>
  <c r="D1062" i="23"/>
  <c r="C1062" i="23"/>
  <c r="L1061" i="23"/>
  <c r="K1061" i="23"/>
  <c r="J1061" i="23"/>
  <c r="D1061" i="23"/>
  <c r="C1061" i="23"/>
  <c r="L1060" i="23"/>
  <c r="K1060" i="23"/>
  <c r="J1060" i="23"/>
  <c r="D1060" i="23"/>
  <c r="C1060" i="23"/>
  <c r="B1060" i="23"/>
  <c r="L1059" i="23"/>
  <c r="K1059" i="23"/>
  <c r="J1059" i="23"/>
  <c r="D1059" i="23"/>
  <c r="C1059" i="23"/>
  <c r="B1059" i="23"/>
  <c r="N1051" i="23"/>
  <c r="F1051" i="23"/>
  <c r="N1050" i="23"/>
  <c r="F1050" i="23"/>
  <c r="N1049" i="23"/>
  <c r="F1049" i="23"/>
  <c r="P1048" i="23"/>
  <c r="H1048" i="23"/>
  <c r="I1047" i="23"/>
  <c r="P1046" i="23"/>
  <c r="H1046" i="23"/>
  <c r="I1045" i="23"/>
  <c r="P1044" i="23"/>
  <c r="H1044" i="23"/>
  <c r="I1043" i="23"/>
  <c r="A1043" i="23"/>
  <c r="P1042" i="23"/>
  <c r="H1042" i="23"/>
  <c r="H1041" i="23"/>
  <c r="A1041" i="23"/>
  <c r="L1029" i="23"/>
  <c r="K1029" i="23"/>
  <c r="J1029" i="23"/>
  <c r="D1029" i="23"/>
  <c r="C1029" i="23"/>
  <c r="L1028" i="23"/>
  <c r="K1028" i="23"/>
  <c r="D1028" i="23"/>
  <c r="C1028" i="23"/>
  <c r="L1027" i="23"/>
  <c r="K1027" i="23"/>
  <c r="J1027" i="23"/>
  <c r="D1027" i="23"/>
  <c r="C1027" i="23"/>
  <c r="B1027" i="23"/>
  <c r="L1026" i="23"/>
  <c r="K1026" i="23"/>
  <c r="D1026" i="23"/>
  <c r="C1026" i="23"/>
  <c r="B1026" i="23"/>
  <c r="L1025" i="23"/>
  <c r="K1025" i="23"/>
  <c r="J1025" i="23"/>
  <c r="L1024" i="23"/>
  <c r="K1024" i="23"/>
  <c r="J1024" i="23"/>
  <c r="F1018" i="23"/>
  <c r="F1017" i="23"/>
  <c r="N1016" i="23"/>
  <c r="F1016" i="23"/>
  <c r="P1015" i="23"/>
  <c r="N1015" i="23"/>
  <c r="H1015" i="23"/>
  <c r="N1014" i="23"/>
  <c r="A1014" i="23"/>
  <c r="P1013" i="23"/>
  <c r="H1013" i="23"/>
  <c r="I1012" i="23"/>
  <c r="A1012" i="23"/>
  <c r="P1011" i="23"/>
  <c r="H1011" i="23"/>
  <c r="I1010" i="23"/>
  <c r="A1010" i="23"/>
  <c r="P1009" i="23"/>
  <c r="H1009" i="23"/>
  <c r="I1008" i="23"/>
  <c r="A1008" i="23"/>
  <c r="P1007" i="23"/>
  <c r="H1006" i="23"/>
  <c r="A1006" i="23"/>
  <c r="P1004" i="23"/>
  <c r="D994" i="23"/>
  <c r="C994" i="23"/>
  <c r="B994" i="23"/>
  <c r="D993" i="23"/>
  <c r="C993" i="23"/>
  <c r="L992" i="23"/>
  <c r="K992" i="23"/>
  <c r="J992" i="23"/>
  <c r="D992" i="23"/>
  <c r="C992" i="23"/>
  <c r="L991" i="23"/>
  <c r="K991" i="23"/>
  <c r="D991" i="23"/>
  <c r="C991" i="23"/>
  <c r="L990" i="23"/>
  <c r="K990" i="23"/>
  <c r="J990" i="23"/>
  <c r="D990" i="23"/>
  <c r="C990" i="23"/>
  <c r="B990" i="23"/>
  <c r="L989" i="23"/>
  <c r="K989" i="23"/>
  <c r="D989" i="23"/>
  <c r="C989" i="23"/>
  <c r="B989" i="23"/>
  <c r="L988" i="23"/>
  <c r="K988" i="23"/>
  <c r="J988" i="23"/>
  <c r="L987" i="23"/>
  <c r="K987" i="23"/>
  <c r="F981" i="23"/>
  <c r="F980" i="23"/>
  <c r="N979" i="23"/>
  <c r="F979" i="23"/>
  <c r="P978" i="23"/>
  <c r="N978" i="23"/>
  <c r="H978" i="23"/>
  <c r="N977" i="23"/>
  <c r="P976" i="23"/>
  <c r="H976" i="23"/>
  <c r="A975" i="23"/>
  <c r="H974" i="23"/>
  <c r="A973" i="23"/>
  <c r="P972" i="23"/>
  <c r="I971" i="23"/>
  <c r="P970" i="23"/>
  <c r="H970" i="23"/>
  <c r="I969" i="23"/>
  <c r="A969" i="23"/>
  <c r="P968" i="23"/>
  <c r="H968" i="23"/>
  <c r="I967" i="23"/>
  <c r="H967" i="23"/>
  <c r="A967" i="23"/>
  <c r="P966" i="23"/>
  <c r="D955" i="23"/>
  <c r="C955" i="23"/>
  <c r="B955" i="23"/>
  <c r="D954" i="23"/>
  <c r="C954" i="23"/>
  <c r="L953" i="23"/>
  <c r="K953" i="23"/>
  <c r="J953" i="23"/>
  <c r="D953" i="23"/>
  <c r="C953" i="23"/>
  <c r="B953" i="23"/>
  <c r="L952" i="23"/>
  <c r="K952" i="23"/>
  <c r="D952" i="23"/>
  <c r="C952" i="23"/>
  <c r="L951" i="23"/>
  <c r="K951" i="23"/>
  <c r="J951" i="23"/>
  <c r="D951" i="23"/>
  <c r="C951" i="23"/>
  <c r="B951" i="23"/>
  <c r="L950" i="23"/>
  <c r="K950" i="23"/>
  <c r="D950" i="23"/>
  <c r="C950" i="23"/>
  <c r="B950" i="23"/>
  <c r="L949" i="23"/>
  <c r="K949" i="23"/>
  <c r="J949" i="23"/>
  <c r="L948" i="23"/>
  <c r="K948" i="23"/>
  <c r="J948" i="23"/>
  <c r="F942" i="23"/>
  <c r="F941" i="23"/>
  <c r="N940" i="23"/>
  <c r="F940" i="23"/>
  <c r="P939" i="23"/>
  <c r="N939" i="23"/>
  <c r="H939" i="23"/>
  <c r="N938" i="23"/>
  <c r="H937" i="23"/>
  <c r="H935" i="23"/>
  <c r="H931" i="23"/>
  <c r="P929" i="23"/>
  <c r="H929" i="23"/>
  <c r="I928" i="23"/>
  <c r="H928" i="23"/>
  <c r="A928" i="23"/>
  <c r="P927" i="23"/>
  <c r="D916" i="23"/>
  <c r="C916" i="23"/>
  <c r="B916" i="23"/>
  <c r="D915" i="23"/>
  <c r="C915" i="23"/>
  <c r="L914" i="23"/>
  <c r="K914" i="23"/>
  <c r="J914" i="23"/>
  <c r="D914" i="23"/>
  <c r="C914" i="23"/>
  <c r="B914" i="23"/>
  <c r="L913" i="23"/>
  <c r="K913" i="23"/>
  <c r="D913" i="23"/>
  <c r="C913" i="23"/>
  <c r="L912" i="23"/>
  <c r="K912" i="23"/>
  <c r="J912" i="23"/>
  <c r="D912" i="23"/>
  <c r="C912" i="23"/>
  <c r="B912" i="23"/>
  <c r="L911" i="23"/>
  <c r="K911" i="23"/>
  <c r="D911" i="23"/>
  <c r="C911" i="23"/>
  <c r="B911" i="23"/>
  <c r="L910" i="23"/>
  <c r="K910" i="23"/>
  <c r="J910" i="23"/>
  <c r="L909" i="23"/>
  <c r="K909" i="23"/>
  <c r="J909" i="23"/>
  <c r="F903" i="23"/>
  <c r="F902" i="23"/>
  <c r="N901" i="23"/>
  <c r="F901" i="23"/>
  <c r="P900" i="23"/>
  <c r="N900" i="23"/>
  <c r="H900" i="23"/>
  <c r="N899" i="23"/>
  <c r="P898" i="23"/>
  <c r="H898" i="23"/>
  <c r="P896" i="23"/>
  <c r="H896" i="23"/>
  <c r="A895" i="23"/>
  <c r="P894" i="23"/>
  <c r="H894" i="23"/>
  <c r="I893" i="23"/>
  <c r="A893" i="23"/>
  <c r="P892" i="23"/>
  <c r="H892" i="23"/>
  <c r="I891" i="23"/>
  <c r="A891" i="23"/>
  <c r="P890" i="23"/>
  <c r="I889" i="23"/>
  <c r="D879" i="23"/>
  <c r="C879" i="23"/>
  <c r="B879" i="23"/>
  <c r="D878" i="23"/>
  <c r="C878" i="23"/>
  <c r="L877" i="23"/>
  <c r="K877" i="23"/>
  <c r="J877" i="23"/>
  <c r="D877" i="23"/>
  <c r="C877" i="23"/>
  <c r="B877" i="23"/>
  <c r="L876" i="23"/>
  <c r="K876" i="23"/>
  <c r="D876" i="23"/>
  <c r="C876" i="23"/>
  <c r="L875" i="23"/>
  <c r="K875" i="23"/>
  <c r="J875" i="23"/>
  <c r="D875" i="23"/>
  <c r="C875" i="23"/>
  <c r="B875" i="23"/>
  <c r="L874" i="23"/>
  <c r="K874" i="23"/>
  <c r="D874" i="23"/>
  <c r="C874" i="23"/>
  <c r="B874" i="23"/>
  <c r="L873" i="23"/>
  <c r="K873" i="23"/>
  <c r="J873" i="23"/>
  <c r="L872" i="23"/>
  <c r="K872" i="23"/>
  <c r="J872" i="23"/>
  <c r="F866" i="23"/>
  <c r="F865" i="23"/>
  <c r="N864" i="23"/>
  <c r="F864" i="23"/>
  <c r="P863" i="23"/>
  <c r="N863" i="23"/>
  <c r="H863" i="23"/>
  <c r="N862" i="23"/>
  <c r="A862" i="23"/>
  <c r="P861" i="23"/>
  <c r="H861" i="23"/>
  <c r="I860" i="23"/>
  <c r="A860" i="23"/>
  <c r="P858" i="23"/>
  <c r="I858" i="23"/>
  <c r="P857" i="23"/>
  <c r="H857" i="23"/>
  <c r="I856" i="23"/>
  <c r="A856" i="23"/>
  <c r="P855" i="23"/>
  <c r="H855" i="23"/>
  <c r="I854" i="23"/>
  <c r="A854" i="23"/>
  <c r="P853" i="23"/>
  <c r="H853" i="23"/>
  <c r="I852" i="23"/>
  <c r="A852" i="23"/>
  <c r="P851" i="23"/>
  <c r="I850" i="23"/>
  <c r="D840" i="23"/>
  <c r="C840" i="23"/>
  <c r="B840" i="23"/>
  <c r="D839" i="23"/>
  <c r="C839" i="23"/>
  <c r="L838" i="23"/>
  <c r="K838" i="23"/>
  <c r="J838" i="23"/>
  <c r="D838" i="23"/>
  <c r="C838" i="23"/>
  <c r="L837" i="23"/>
  <c r="K837" i="23"/>
  <c r="D837" i="23"/>
  <c r="C837" i="23"/>
  <c r="L836" i="23"/>
  <c r="K836" i="23"/>
  <c r="J836" i="23"/>
  <c r="D836" i="23"/>
  <c r="C836" i="23"/>
  <c r="B836" i="23"/>
  <c r="L835" i="23"/>
  <c r="K835" i="23"/>
  <c r="D835" i="23"/>
  <c r="C835" i="23"/>
  <c r="B835" i="23"/>
  <c r="L834" i="23"/>
  <c r="K834" i="23"/>
  <c r="L833" i="23"/>
  <c r="K833" i="23"/>
  <c r="F827" i="23"/>
  <c r="F826" i="23"/>
  <c r="N825" i="23"/>
  <c r="F825" i="23"/>
  <c r="N824" i="23"/>
  <c r="H824" i="23"/>
  <c r="N823" i="23"/>
  <c r="A823" i="23"/>
  <c r="P822" i="23"/>
  <c r="H822" i="23"/>
  <c r="A821" i="23"/>
  <c r="P820" i="23"/>
  <c r="P818" i="23"/>
  <c r="H818" i="23"/>
  <c r="A817" i="23"/>
  <c r="P816" i="23"/>
  <c r="H816" i="23"/>
  <c r="A815" i="23"/>
  <c r="P814" i="23"/>
  <c r="H814" i="23"/>
  <c r="A813" i="23"/>
  <c r="D803" i="23"/>
  <c r="C803" i="23"/>
  <c r="B803" i="23"/>
  <c r="D802" i="23"/>
  <c r="C802" i="23"/>
  <c r="L801" i="23"/>
  <c r="K801" i="23"/>
  <c r="J801" i="23"/>
  <c r="D801" i="23"/>
  <c r="C801" i="23"/>
  <c r="B801" i="23"/>
  <c r="L800" i="23"/>
  <c r="K800" i="23"/>
  <c r="D800" i="23"/>
  <c r="C800" i="23"/>
  <c r="L799" i="23"/>
  <c r="K799" i="23"/>
  <c r="J799" i="23"/>
  <c r="D799" i="23"/>
  <c r="C799" i="23"/>
  <c r="B799" i="23"/>
  <c r="L798" i="23"/>
  <c r="K798" i="23"/>
  <c r="D798" i="23"/>
  <c r="C798" i="23"/>
  <c r="B798" i="23"/>
  <c r="L797" i="23"/>
  <c r="K797" i="23"/>
  <c r="J797" i="23"/>
  <c r="L796" i="23"/>
  <c r="K796" i="23"/>
  <c r="J796" i="23"/>
  <c r="F790" i="23"/>
  <c r="F789" i="23"/>
  <c r="N788" i="23"/>
  <c r="F788" i="23"/>
  <c r="N787" i="23"/>
  <c r="H787" i="23"/>
  <c r="N786" i="23"/>
  <c r="P785" i="23"/>
  <c r="H785" i="23"/>
  <c r="P783" i="23"/>
  <c r="P781" i="23"/>
  <c r="H781" i="23"/>
  <c r="A780" i="23"/>
  <c r="P779" i="23"/>
  <c r="H779" i="23"/>
  <c r="A778" i="23"/>
  <c r="P777" i="23"/>
  <c r="D766" i="23"/>
  <c r="C766" i="23"/>
  <c r="B766" i="23"/>
  <c r="D765" i="23"/>
  <c r="C765" i="23"/>
  <c r="L764" i="23"/>
  <c r="K764" i="23"/>
  <c r="J764" i="23"/>
  <c r="D764" i="23"/>
  <c r="C764" i="23"/>
  <c r="L763" i="23"/>
  <c r="K763" i="23"/>
  <c r="D763" i="23"/>
  <c r="C763" i="23"/>
  <c r="L762" i="23"/>
  <c r="K762" i="23"/>
  <c r="D762" i="23"/>
  <c r="C762" i="23"/>
  <c r="B762" i="23"/>
  <c r="L761" i="23"/>
  <c r="K761" i="23"/>
  <c r="D761" i="23"/>
  <c r="C761" i="23"/>
  <c r="B761" i="23"/>
  <c r="L760" i="23"/>
  <c r="K760" i="23"/>
  <c r="J760" i="23"/>
  <c r="L759" i="23"/>
  <c r="K759" i="23"/>
  <c r="J759" i="23"/>
  <c r="F753" i="23"/>
  <c r="F752" i="23"/>
  <c r="N751" i="23"/>
  <c r="F751" i="23"/>
  <c r="P750" i="23"/>
  <c r="N750" i="23"/>
  <c r="H750" i="23"/>
  <c r="N749" i="23"/>
  <c r="A749" i="23"/>
  <c r="P748" i="23"/>
  <c r="H748" i="23"/>
  <c r="A747" i="23"/>
  <c r="P746" i="23"/>
  <c r="H746" i="23"/>
  <c r="A745" i="23"/>
  <c r="P744" i="23"/>
  <c r="H744" i="23"/>
  <c r="A743" i="23"/>
  <c r="P742" i="23"/>
  <c r="P740" i="23"/>
  <c r="D729" i="23"/>
  <c r="C729" i="23"/>
  <c r="B729" i="23"/>
  <c r="D728" i="23"/>
  <c r="C728" i="23"/>
  <c r="L727" i="23"/>
  <c r="K727" i="23"/>
  <c r="J727" i="23"/>
  <c r="D727" i="23"/>
  <c r="C727" i="23"/>
  <c r="B727" i="23"/>
  <c r="L726" i="23"/>
  <c r="K726" i="23"/>
  <c r="D726" i="23"/>
  <c r="C726" i="23"/>
  <c r="L725" i="23"/>
  <c r="K725" i="23"/>
  <c r="D725" i="23"/>
  <c r="C725" i="23"/>
  <c r="B725" i="23"/>
  <c r="L724" i="23"/>
  <c r="K724" i="23"/>
  <c r="D724" i="23"/>
  <c r="C724" i="23"/>
  <c r="B724" i="23"/>
  <c r="L723" i="23"/>
  <c r="K723" i="23"/>
  <c r="J723" i="23"/>
  <c r="L722" i="23"/>
  <c r="K722" i="23"/>
  <c r="J722" i="23"/>
  <c r="F716" i="23"/>
  <c r="F715" i="23"/>
  <c r="N714" i="23"/>
  <c r="F714" i="23"/>
  <c r="N713" i="23"/>
  <c r="H713" i="23"/>
  <c r="N712" i="23"/>
  <c r="A712" i="23"/>
  <c r="P711" i="23"/>
  <c r="H710" i="23"/>
  <c r="A710" i="23"/>
  <c r="P709" i="23"/>
  <c r="H709" i="23"/>
  <c r="A708" i="23"/>
  <c r="P707" i="23"/>
  <c r="P705" i="23"/>
  <c r="H705" i="23"/>
  <c r="A704" i="23"/>
  <c r="P703" i="23"/>
  <c r="H703" i="23"/>
  <c r="A702" i="23"/>
  <c r="L690" i="23"/>
  <c r="K690" i="23"/>
  <c r="J690" i="23"/>
  <c r="D690" i="23"/>
  <c r="C690" i="23"/>
  <c r="B690" i="23"/>
  <c r="L689" i="23"/>
  <c r="K689" i="23"/>
  <c r="D689" i="23"/>
  <c r="C689" i="23"/>
  <c r="L688" i="23"/>
  <c r="K688" i="23"/>
  <c r="J688" i="23"/>
  <c r="D688" i="23"/>
  <c r="C688" i="23"/>
  <c r="L687" i="23"/>
  <c r="K687" i="23"/>
  <c r="D687" i="23"/>
  <c r="C687" i="23"/>
  <c r="L686" i="23"/>
  <c r="K686" i="23"/>
  <c r="J686" i="23"/>
  <c r="D686" i="23"/>
  <c r="C686" i="23"/>
  <c r="B686" i="23"/>
  <c r="L685" i="23"/>
  <c r="K685" i="23"/>
  <c r="D685" i="23"/>
  <c r="C685" i="23"/>
  <c r="B685" i="23"/>
  <c r="N677" i="23"/>
  <c r="F677" i="23"/>
  <c r="N676" i="23"/>
  <c r="F676" i="23"/>
  <c r="N675" i="23"/>
  <c r="F675" i="23"/>
  <c r="P674" i="23"/>
  <c r="H674" i="23"/>
  <c r="A673" i="23"/>
  <c r="P672" i="23"/>
  <c r="H672" i="23"/>
  <c r="A671" i="23"/>
  <c r="P670" i="23"/>
  <c r="H670" i="23"/>
  <c r="P669" i="23"/>
  <c r="A669" i="23"/>
  <c r="P668" i="23"/>
  <c r="H668" i="23"/>
  <c r="P667" i="23"/>
  <c r="A667" i="23"/>
  <c r="L655" i="23"/>
  <c r="K655" i="23"/>
  <c r="J655" i="23"/>
  <c r="D655" i="23"/>
  <c r="C655" i="23"/>
  <c r="B655" i="23"/>
  <c r="D654" i="23"/>
  <c r="C654" i="23"/>
  <c r="L653" i="23"/>
  <c r="K653" i="23"/>
  <c r="J653" i="23"/>
  <c r="D653" i="23"/>
  <c r="C653" i="23"/>
  <c r="B653" i="23"/>
  <c r="L652" i="23"/>
  <c r="K652" i="23"/>
  <c r="D652" i="23"/>
  <c r="C652" i="23"/>
  <c r="L651" i="23"/>
  <c r="K651" i="23"/>
  <c r="J651" i="23"/>
  <c r="D651" i="23"/>
  <c r="C651" i="23"/>
  <c r="B651" i="23"/>
  <c r="L650" i="23"/>
  <c r="K650" i="23"/>
  <c r="J650" i="23"/>
  <c r="D650" i="23"/>
  <c r="C650" i="23"/>
  <c r="B650" i="23"/>
  <c r="N642" i="23"/>
  <c r="F642" i="23"/>
  <c r="N641" i="23"/>
  <c r="F641" i="23"/>
  <c r="N640" i="23"/>
  <c r="F640" i="23"/>
  <c r="H639" i="23"/>
  <c r="P637" i="23"/>
  <c r="H637" i="23"/>
  <c r="P636" i="23"/>
  <c r="P635" i="23"/>
  <c r="H635" i="23"/>
  <c r="A634" i="23"/>
  <c r="P633" i="23"/>
  <c r="H633" i="23"/>
  <c r="A632" i="23"/>
  <c r="L620" i="23"/>
  <c r="K620" i="23"/>
  <c r="J620" i="23"/>
  <c r="D620" i="23"/>
  <c r="C620" i="23"/>
  <c r="B620" i="23"/>
  <c r="L619" i="23"/>
  <c r="K619" i="23"/>
  <c r="J619" i="23"/>
  <c r="D619" i="23"/>
  <c r="C619" i="23"/>
  <c r="L618" i="23"/>
  <c r="K618" i="23"/>
  <c r="D618" i="23"/>
  <c r="C618" i="23"/>
  <c r="L617" i="23"/>
  <c r="K617" i="23"/>
  <c r="J617" i="23"/>
  <c r="D617" i="23"/>
  <c r="C617" i="23"/>
  <c r="B617" i="23"/>
  <c r="L616" i="23"/>
  <c r="K616" i="23"/>
  <c r="J616" i="23"/>
  <c r="D616" i="23"/>
  <c r="C616" i="23"/>
  <c r="B616" i="23"/>
  <c r="N608" i="23"/>
  <c r="F608" i="23"/>
  <c r="N607" i="23"/>
  <c r="F607" i="23"/>
  <c r="N606" i="23"/>
  <c r="F606" i="23"/>
  <c r="H605" i="23"/>
  <c r="A604" i="23"/>
  <c r="H603" i="23"/>
  <c r="A602" i="23"/>
  <c r="P599" i="23"/>
  <c r="H599" i="23"/>
  <c r="A598" i="23"/>
  <c r="L586" i="23"/>
  <c r="K586" i="23"/>
  <c r="J586" i="23"/>
  <c r="D586" i="23"/>
  <c r="C586" i="23"/>
  <c r="B586" i="23"/>
  <c r="L585" i="23"/>
  <c r="K585" i="23"/>
  <c r="J585" i="23"/>
  <c r="D585" i="23"/>
  <c r="C585" i="23"/>
  <c r="L584" i="23"/>
  <c r="K584" i="23"/>
  <c r="D584" i="23"/>
  <c r="C584" i="23"/>
  <c r="L583" i="23"/>
  <c r="K583" i="23"/>
  <c r="D583" i="23"/>
  <c r="C583" i="23"/>
  <c r="B583" i="23"/>
  <c r="L582" i="23"/>
  <c r="K582" i="23"/>
  <c r="D582" i="23"/>
  <c r="C582" i="23"/>
  <c r="B582" i="23"/>
  <c r="N574" i="23"/>
  <c r="F574" i="23"/>
  <c r="P573" i="23"/>
  <c r="N573" i="23"/>
  <c r="F573" i="23"/>
  <c r="N572" i="23"/>
  <c r="F572" i="23"/>
  <c r="P571" i="23"/>
  <c r="H571" i="23"/>
  <c r="P570" i="23"/>
  <c r="A570" i="23"/>
  <c r="P569" i="23"/>
  <c r="H569" i="23"/>
  <c r="P568" i="23"/>
  <c r="A568" i="23"/>
  <c r="H567" i="23"/>
  <c r="P566" i="23"/>
  <c r="A566" i="23"/>
  <c r="P565" i="23"/>
  <c r="H565" i="23"/>
  <c r="P564" i="23"/>
  <c r="A564" i="23"/>
  <c r="L552" i="23"/>
  <c r="K552" i="23"/>
  <c r="J552" i="23"/>
  <c r="D552" i="23"/>
  <c r="C552" i="23"/>
  <c r="B552" i="23"/>
  <c r="L551" i="23"/>
  <c r="K551" i="23"/>
  <c r="J551" i="23"/>
  <c r="D551" i="23"/>
  <c r="C551" i="23"/>
  <c r="L550" i="23"/>
  <c r="K550" i="23"/>
  <c r="D550" i="23"/>
  <c r="C550" i="23"/>
  <c r="L549" i="23"/>
  <c r="K549" i="23"/>
  <c r="D549" i="23"/>
  <c r="C549" i="23"/>
  <c r="B549" i="23"/>
  <c r="L548" i="23"/>
  <c r="K548" i="23"/>
  <c r="J548" i="23"/>
  <c r="D548" i="23"/>
  <c r="C548" i="23"/>
  <c r="B548" i="23"/>
  <c r="N540" i="23"/>
  <c r="F540" i="23"/>
  <c r="P539" i="23"/>
  <c r="N539" i="23"/>
  <c r="F539" i="23"/>
  <c r="N538" i="23"/>
  <c r="F538" i="23"/>
  <c r="P537" i="23"/>
  <c r="H537" i="23"/>
  <c r="A536" i="23"/>
  <c r="P535" i="23"/>
  <c r="H535" i="23"/>
  <c r="A534" i="23"/>
  <c r="P533" i="23"/>
  <c r="H533" i="23"/>
  <c r="A532" i="23"/>
  <c r="P531" i="23"/>
  <c r="H531" i="23"/>
  <c r="A530" i="23"/>
  <c r="L518" i="23"/>
  <c r="K518" i="23"/>
  <c r="J518" i="23"/>
  <c r="D518" i="23"/>
  <c r="C518" i="23"/>
  <c r="B518" i="23"/>
  <c r="L517" i="23"/>
  <c r="K517" i="23"/>
  <c r="D517" i="23"/>
  <c r="C517" i="23"/>
  <c r="L516" i="23"/>
  <c r="K516" i="23"/>
  <c r="J516" i="23"/>
  <c r="D516" i="23"/>
  <c r="C516" i="23"/>
  <c r="L515" i="23"/>
  <c r="K515" i="23"/>
  <c r="D515" i="23"/>
  <c r="C515" i="23"/>
  <c r="L514" i="23"/>
  <c r="K514" i="23"/>
  <c r="D514" i="23"/>
  <c r="C514" i="23"/>
  <c r="B514" i="23"/>
  <c r="L513" i="23"/>
  <c r="K513" i="23"/>
  <c r="D513" i="23"/>
  <c r="C513" i="23"/>
  <c r="B513" i="23"/>
  <c r="N505" i="23"/>
  <c r="F505" i="23"/>
  <c r="N504" i="23"/>
  <c r="F504" i="23"/>
  <c r="N503" i="23"/>
  <c r="F503" i="23"/>
  <c r="P502" i="23"/>
  <c r="H502" i="23"/>
  <c r="P500" i="23"/>
  <c r="H500" i="23"/>
  <c r="A499" i="23"/>
  <c r="P496" i="23"/>
  <c r="H496" i="23"/>
  <c r="A495" i="23"/>
  <c r="L483" i="23"/>
  <c r="K483" i="23"/>
  <c r="J483" i="23"/>
  <c r="D483" i="23"/>
  <c r="C483" i="23"/>
  <c r="B483" i="23"/>
  <c r="L482" i="23"/>
  <c r="K482" i="23"/>
  <c r="D482" i="23"/>
  <c r="C482" i="23"/>
  <c r="L481" i="23"/>
  <c r="K481" i="23"/>
  <c r="J481" i="23"/>
  <c r="D481" i="23"/>
  <c r="C481" i="23"/>
  <c r="L480" i="23"/>
  <c r="K480" i="23"/>
  <c r="D480" i="23"/>
  <c r="C480" i="23"/>
  <c r="L479" i="23"/>
  <c r="K479" i="23"/>
  <c r="D479" i="23"/>
  <c r="C479" i="23"/>
  <c r="B479" i="23"/>
  <c r="L478" i="23"/>
  <c r="K478" i="23"/>
  <c r="D478" i="23"/>
  <c r="C478" i="23"/>
  <c r="B478" i="23"/>
  <c r="N470" i="23"/>
  <c r="F470" i="23"/>
  <c r="N469" i="23"/>
  <c r="F469" i="23"/>
  <c r="N468" i="23"/>
  <c r="F468" i="23"/>
  <c r="P467" i="23"/>
  <c r="H467" i="23"/>
  <c r="A466" i="23"/>
  <c r="P465" i="23"/>
  <c r="H465" i="23"/>
  <c r="A464" i="23"/>
  <c r="P463" i="23"/>
  <c r="H463" i="23"/>
  <c r="A462" i="23"/>
  <c r="P461" i="23"/>
  <c r="H461" i="23"/>
  <c r="A460" i="23"/>
  <c r="L448" i="23"/>
  <c r="K448" i="23"/>
  <c r="J448" i="23"/>
  <c r="D448" i="23"/>
  <c r="C448" i="23"/>
  <c r="B448" i="23"/>
  <c r="L447" i="23"/>
  <c r="K447" i="23"/>
  <c r="D447" i="23"/>
  <c r="C447" i="23"/>
  <c r="L446" i="23"/>
  <c r="K446" i="23"/>
  <c r="J446" i="23"/>
  <c r="D446" i="23"/>
  <c r="C446" i="23"/>
  <c r="L445" i="23"/>
  <c r="K445" i="23"/>
  <c r="D445" i="23"/>
  <c r="C445" i="23"/>
  <c r="L444" i="23"/>
  <c r="K444" i="23"/>
  <c r="J444" i="23"/>
  <c r="D444" i="23"/>
  <c r="C444" i="23"/>
  <c r="B444" i="23"/>
  <c r="L443" i="23"/>
  <c r="K443" i="23"/>
  <c r="D443" i="23"/>
  <c r="C443" i="23"/>
  <c r="B443" i="23"/>
  <c r="N435" i="23"/>
  <c r="F435" i="23"/>
  <c r="N434" i="23"/>
  <c r="F434" i="23"/>
  <c r="N433" i="23"/>
  <c r="F433" i="23"/>
  <c r="P432" i="23"/>
  <c r="H432" i="23"/>
  <c r="P431" i="23"/>
  <c r="P430" i="23"/>
  <c r="H430" i="23"/>
  <c r="P429" i="23"/>
  <c r="P428" i="23"/>
  <c r="H428" i="23"/>
  <c r="P427" i="23"/>
  <c r="A427" i="23"/>
  <c r="P426" i="23"/>
  <c r="H426" i="23"/>
  <c r="P425" i="23"/>
  <c r="A425" i="23"/>
  <c r="P424" i="23"/>
  <c r="P423" i="23"/>
  <c r="A423" i="23"/>
  <c r="L411" i="23"/>
  <c r="K411" i="23"/>
  <c r="J411" i="23"/>
  <c r="D411" i="23"/>
  <c r="C411" i="23"/>
  <c r="B411" i="23"/>
  <c r="L410" i="23"/>
  <c r="K410" i="23"/>
  <c r="D410" i="23"/>
  <c r="C410" i="23"/>
  <c r="L409" i="23"/>
  <c r="K409" i="23"/>
  <c r="J409" i="23"/>
  <c r="D409" i="23"/>
  <c r="C409" i="23"/>
  <c r="L408" i="23"/>
  <c r="K408" i="23"/>
  <c r="D408" i="23"/>
  <c r="C408" i="23"/>
  <c r="L407" i="23"/>
  <c r="K407" i="23"/>
  <c r="J407" i="23"/>
  <c r="D407" i="23"/>
  <c r="C407" i="23"/>
  <c r="B407" i="23"/>
  <c r="L406" i="23"/>
  <c r="K406" i="23"/>
  <c r="J406" i="23"/>
  <c r="D406" i="23"/>
  <c r="C406" i="23"/>
  <c r="B406" i="23"/>
  <c r="N398" i="23"/>
  <c r="F398" i="23"/>
  <c r="N397" i="23"/>
  <c r="F397" i="23"/>
  <c r="N396" i="23"/>
  <c r="F396" i="23"/>
  <c r="P395" i="23"/>
  <c r="H395" i="23"/>
  <c r="A394" i="23"/>
  <c r="P393" i="23"/>
  <c r="H393" i="23"/>
  <c r="A392" i="23"/>
  <c r="P391" i="23"/>
  <c r="H391" i="23"/>
  <c r="A390" i="23"/>
  <c r="P389" i="23"/>
  <c r="H389" i="23"/>
  <c r="A388" i="23"/>
  <c r="P387" i="23"/>
  <c r="H387" i="23"/>
  <c r="A386" i="23"/>
  <c r="L374" i="23"/>
  <c r="K374" i="23"/>
  <c r="J374" i="23"/>
  <c r="D374" i="23"/>
  <c r="C374" i="23"/>
  <c r="B374" i="23"/>
  <c r="L373" i="23"/>
  <c r="K373" i="23"/>
  <c r="D373" i="23"/>
  <c r="C373" i="23"/>
  <c r="L372" i="23"/>
  <c r="K372" i="23"/>
  <c r="J372" i="23"/>
  <c r="D372" i="23"/>
  <c r="C372" i="23"/>
  <c r="B372" i="23"/>
  <c r="L371" i="23"/>
  <c r="K371" i="23"/>
  <c r="D371" i="23"/>
  <c r="C371" i="23"/>
  <c r="L370" i="23"/>
  <c r="K370" i="23"/>
  <c r="J370" i="23"/>
  <c r="D370" i="23"/>
  <c r="C370" i="23"/>
  <c r="L369" i="23"/>
  <c r="K369" i="23"/>
  <c r="J369" i="23"/>
  <c r="D369" i="23"/>
  <c r="C369" i="23"/>
  <c r="B369" i="23"/>
  <c r="N361" i="23"/>
  <c r="F361" i="23"/>
  <c r="P360" i="23"/>
  <c r="N360" i="23"/>
  <c r="F360" i="23"/>
  <c r="N359" i="23"/>
  <c r="F359" i="23"/>
  <c r="P358" i="23"/>
  <c r="H358" i="23"/>
  <c r="A357" i="23"/>
  <c r="P356" i="23"/>
  <c r="H356" i="23"/>
  <c r="A355" i="23"/>
  <c r="P354" i="23"/>
  <c r="H354" i="23"/>
  <c r="A353" i="23"/>
  <c r="P352" i="23"/>
  <c r="H352" i="23"/>
  <c r="A351" i="23"/>
  <c r="P350" i="23"/>
  <c r="H350" i="23"/>
  <c r="A349" i="23"/>
  <c r="L337" i="23"/>
  <c r="K337" i="23"/>
  <c r="J337" i="23"/>
  <c r="D337" i="23"/>
  <c r="C337" i="23"/>
  <c r="B337" i="23"/>
  <c r="L336" i="23"/>
  <c r="K336" i="23"/>
  <c r="D336" i="23"/>
  <c r="C336" i="23"/>
  <c r="L335" i="23"/>
  <c r="K335" i="23"/>
  <c r="J335" i="23"/>
  <c r="D335" i="23"/>
  <c r="C335" i="23"/>
  <c r="L334" i="23"/>
  <c r="K334" i="23"/>
  <c r="D334" i="23"/>
  <c r="C334" i="23"/>
  <c r="L333" i="23"/>
  <c r="K333" i="23"/>
  <c r="D333" i="23"/>
  <c r="C333" i="23"/>
  <c r="B333" i="23"/>
  <c r="L332" i="23"/>
  <c r="K332" i="23"/>
  <c r="J332" i="23"/>
  <c r="D332" i="23"/>
  <c r="C332" i="23"/>
  <c r="B332" i="23"/>
  <c r="N324" i="23"/>
  <c r="F324" i="23"/>
  <c r="N323" i="23"/>
  <c r="F323" i="23"/>
  <c r="N322" i="23"/>
  <c r="F322" i="23"/>
  <c r="P321" i="23"/>
  <c r="H321" i="23"/>
  <c r="A320" i="23"/>
  <c r="P319" i="23"/>
  <c r="P317" i="23"/>
  <c r="H317" i="23"/>
  <c r="A316" i="23"/>
  <c r="P315" i="23"/>
  <c r="H315" i="23"/>
  <c r="A314" i="23"/>
  <c r="P313" i="23"/>
  <c r="H313" i="23"/>
  <c r="A312" i="23"/>
  <c r="P311" i="23"/>
  <c r="H311" i="23"/>
  <c r="A310" i="23"/>
  <c r="L298" i="23"/>
  <c r="K298" i="23"/>
  <c r="J298" i="23"/>
  <c r="D298" i="23"/>
  <c r="C298" i="23"/>
  <c r="B298" i="23"/>
  <c r="L297" i="23"/>
  <c r="K297" i="23"/>
  <c r="D297" i="23"/>
  <c r="C297" i="23"/>
  <c r="L296" i="23"/>
  <c r="K296" i="23"/>
  <c r="J296" i="23"/>
  <c r="D296" i="23"/>
  <c r="C296" i="23"/>
  <c r="L295" i="23"/>
  <c r="K295" i="23"/>
  <c r="D295" i="23"/>
  <c r="C295" i="23"/>
  <c r="L294" i="23"/>
  <c r="K294" i="23"/>
  <c r="D294" i="23"/>
  <c r="C294" i="23"/>
  <c r="B294" i="23"/>
  <c r="L293" i="23"/>
  <c r="K293" i="23"/>
  <c r="J293" i="23"/>
  <c r="D293" i="23"/>
  <c r="C293" i="23"/>
  <c r="B293" i="23"/>
  <c r="N285" i="23"/>
  <c r="F285" i="23"/>
  <c r="N284" i="23"/>
  <c r="F284" i="23"/>
  <c r="N283" i="23"/>
  <c r="F283" i="23"/>
  <c r="P282" i="23"/>
  <c r="H282" i="23"/>
  <c r="A281" i="23"/>
  <c r="P280" i="23"/>
  <c r="H280" i="23"/>
  <c r="A279" i="23"/>
  <c r="P278" i="23"/>
  <c r="H278" i="23"/>
  <c r="A277" i="23"/>
  <c r="P276" i="23"/>
  <c r="H276" i="23"/>
  <c r="A275" i="23"/>
  <c r="P274" i="23"/>
  <c r="H274" i="23"/>
  <c r="A273" i="23"/>
  <c r="L261" i="23"/>
  <c r="K261" i="23"/>
  <c r="J261" i="23"/>
  <c r="D261" i="23"/>
  <c r="C261" i="23"/>
  <c r="B261" i="23"/>
  <c r="L260" i="23"/>
  <c r="K260" i="23"/>
  <c r="D260" i="23"/>
  <c r="C260" i="23"/>
  <c r="L259" i="23"/>
  <c r="K259" i="23"/>
  <c r="J259" i="23"/>
  <c r="D259" i="23"/>
  <c r="C259" i="23"/>
  <c r="L258" i="23"/>
  <c r="K258" i="23"/>
  <c r="D258" i="23"/>
  <c r="C258" i="23"/>
  <c r="L257" i="23"/>
  <c r="K257" i="23"/>
  <c r="D257" i="23"/>
  <c r="C257" i="23"/>
  <c r="L256" i="23"/>
  <c r="K256" i="23"/>
  <c r="J256" i="23"/>
  <c r="D256" i="23"/>
  <c r="C256" i="23"/>
  <c r="B256" i="23"/>
  <c r="N248" i="23"/>
  <c r="F248" i="23"/>
  <c r="N247" i="23"/>
  <c r="F247" i="23"/>
  <c r="N246" i="23"/>
  <c r="F246" i="23"/>
  <c r="P245" i="23"/>
  <c r="H245" i="23"/>
  <c r="P243" i="23"/>
  <c r="H243" i="23"/>
  <c r="P241" i="23"/>
  <c r="P239" i="23"/>
  <c r="H239" i="23"/>
  <c r="A238" i="23"/>
  <c r="P237" i="23"/>
  <c r="H236" i="23"/>
  <c r="A236" i="23"/>
  <c r="P235" i="23"/>
  <c r="H235" i="23"/>
  <c r="A234" i="23"/>
  <c r="L222" i="23"/>
  <c r="K222" i="23"/>
  <c r="J222" i="23"/>
  <c r="D222" i="23"/>
  <c r="C222" i="23"/>
  <c r="B222" i="23"/>
  <c r="L221" i="23"/>
  <c r="K221" i="23"/>
  <c r="D221" i="23"/>
  <c r="C221" i="23"/>
  <c r="L220" i="23"/>
  <c r="K220" i="23"/>
  <c r="J220" i="23"/>
  <c r="D220" i="23"/>
  <c r="C220" i="23"/>
  <c r="L219" i="23"/>
  <c r="K219" i="23"/>
  <c r="D219" i="23"/>
  <c r="C219" i="23"/>
  <c r="B219" i="23"/>
  <c r="L218" i="23"/>
  <c r="K218" i="23"/>
  <c r="D218" i="23"/>
  <c r="C218" i="23"/>
  <c r="L217" i="23"/>
  <c r="K217" i="23"/>
  <c r="D217" i="23"/>
  <c r="C217" i="23"/>
  <c r="B217" i="23"/>
  <c r="N209" i="23"/>
  <c r="F209" i="23"/>
  <c r="N208" i="23"/>
  <c r="F208" i="23"/>
  <c r="N207" i="23"/>
  <c r="F207" i="23"/>
  <c r="P206" i="23"/>
  <c r="H206" i="23"/>
  <c r="P204" i="23"/>
  <c r="H204" i="23"/>
  <c r="A203" i="23"/>
  <c r="P202" i="23"/>
  <c r="H202" i="23"/>
  <c r="A201" i="23"/>
  <c r="P200" i="23"/>
  <c r="A199" i="23"/>
  <c r="P198" i="23"/>
  <c r="H198" i="23"/>
  <c r="A197" i="23"/>
  <c r="L185" i="23"/>
  <c r="K185" i="23"/>
  <c r="J185" i="23"/>
  <c r="D185" i="23"/>
  <c r="C185" i="23"/>
  <c r="B185" i="23"/>
  <c r="L184" i="23"/>
  <c r="K184" i="23"/>
  <c r="D184" i="23"/>
  <c r="C184" i="23"/>
  <c r="L183" i="23"/>
  <c r="K183" i="23"/>
  <c r="J183" i="23"/>
  <c r="D183" i="23"/>
  <c r="C183" i="23"/>
  <c r="L182" i="23"/>
  <c r="K182" i="23"/>
  <c r="D182" i="23"/>
  <c r="C182" i="23"/>
  <c r="L181" i="23"/>
  <c r="K181" i="23"/>
  <c r="D181" i="23"/>
  <c r="C181" i="23"/>
  <c r="B181" i="23"/>
  <c r="L180" i="23"/>
  <c r="K180" i="23"/>
  <c r="D180" i="23"/>
  <c r="C180" i="23"/>
  <c r="B180" i="23"/>
  <c r="N172" i="23"/>
  <c r="F172" i="23"/>
  <c r="N171" i="23"/>
  <c r="F171" i="23"/>
  <c r="N170" i="23"/>
  <c r="F170" i="23"/>
  <c r="P169" i="23"/>
  <c r="H169" i="23"/>
  <c r="A168" i="23"/>
  <c r="P167" i="23"/>
  <c r="P165" i="23"/>
  <c r="H165" i="23"/>
  <c r="A164" i="23"/>
  <c r="P163" i="23"/>
  <c r="P161" i="23"/>
  <c r="H161" i="23"/>
  <c r="A160" i="23"/>
  <c r="L148" i="23"/>
  <c r="K148" i="23"/>
  <c r="J148" i="23"/>
  <c r="D148" i="23"/>
  <c r="C148" i="23"/>
  <c r="B148" i="23"/>
  <c r="L147" i="23"/>
  <c r="K147" i="23"/>
  <c r="D147" i="23"/>
  <c r="C147" i="23"/>
  <c r="L146" i="23"/>
  <c r="K146" i="23"/>
  <c r="J146" i="23"/>
  <c r="D146" i="23"/>
  <c r="C146" i="23"/>
  <c r="L145" i="23"/>
  <c r="K145" i="23"/>
  <c r="D145" i="23"/>
  <c r="C145" i="23"/>
  <c r="L144" i="23"/>
  <c r="K144" i="23"/>
  <c r="D144" i="23"/>
  <c r="C144" i="23"/>
  <c r="B144" i="23"/>
  <c r="L143" i="23"/>
  <c r="K143" i="23"/>
  <c r="D143" i="23"/>
  <c r="C143" i="23"/>
  <c r="B143" i="23"/>
  <c r="N135" i="23"/>
  <c r="F135" i="23"/>
  <c r="N134" i="23"/>
  <c r="F134" i="23"/>
  <c r="N133" i="23"/>
  <c r="F133" i="23"/>
  <c r="P132" i="23"/>
  <c r="H132" i="23"/>
  <c r="A131" i="23"/>
  <c r="P130" i="23"/>
  <c r="P128" i="23"/>
  <c r="H128" i="23"/>
  <c r="A127" i="23"/>
  <c r="P126" i="23"/>
  <c r="H126" i="23"/>
  <c r="A125" i="23"/>
  <c r="P124" i="23"/>
  <c r="H124" i="23"/>
  <c r="A123" i="23"/>
  <c r="L111" i="23"/>
  <c r="K111" i="23"/>
  <c r="J111" i="23"/>
  <c r="D111" i="23"/>
  <c r="C111" i="23"/>
  <c r="B111" i="23"/>
  <c r="L110" i="23"/>
  <c r="K110" i="23"/>
  <c r="D110" i="23"/>
  <c r="C110" i="23"/>
  <c r="L109" i="23"/>
  <c r="K109" i="23"/>
  <c r="J109" i="23"/>
  <c r="D109" i="23"/>
  <c r="C109" i="23"/>
  <c r="L108" i="23"/>
  <c r="K108" i="23"/>
  <c r="D108" i="23"/>
  <c r="C108" i="23"/>
  <c r="L107" i="23"/>
  <c r="D107" i="23"/>
  <c r="C107" i="23"/>
  <c r="B107" i="23"/>
  <c r="L106" i="23"/>
  <c r="D106" i="23"/>
  <c r="C106" i="23"/>
  <c r="B106" i="23"/>
  <c r="N98" i="23"/>
  <c r="F98" i="23"/>
  <c r="N97" i="23"/>
  <c r="F97" i="23"/>
  <c r="N96" i="23"/>
  <c r="F96" i="23"/>
  <c r="P95" i="23"/>
  <c r="H95" i="23"/>
  <c r="A94" i="23"/>
  <c r="P93" i="23"/>
  <c r="P91" i="23"/>
  <c r="H91" i="23"/>
  <c r="A90" i="23"/>
  <c r="P89" i="23"/>
  <c r="H89" i="23"/>
  <c r="A88" i="23"/>
  <c r="P87" i="23"/>
  <c r="H87" i="23"/>
  <c r="A86" i="23"/>
  <c r="L74" i="23"/>
  <c r="K74" i="23"/>
  <c r="J74" i="23"/>
  <c r="D74" i="23"/>
  <c r="C74" i="23"/>
  <c r="B74" i="23"/>
  <c r="L73" i="23"/>
  <c r="K73" i="23"/>
  <c r="D73" i="23"/>
  <c r="C73" i="23"/>
  <c r="L72" i="23"/>
  <c r="K72" i="23"/>
  <c r="J72" i="23"/>
  <c r="D72" i="23"/>
  <c r="C72" i="23"/>
  <c r="L71" i="23"/>
  <c r="K71" i="23"/>
  <c r="D71" i="23"/>
  <c r="C71" i="23"/>
  <c r="L70" i="23"/>
  <c r="K70" i="23"/>
  <c r="D70" i="23"/>
  <c r="C70" i="23"/>
  <c r="L69" i="23"/>
  <c r="K69" i="23"/>
  <c r="J69" i="23"/>
  <c r="D69" i="23"/>
  <c r="C69" i="23"/>
  <c r="B69" i="23"/>
  <c r="N61" i="23"/>
  <c r="F61" i="23"/>
  <c r="N60" i="23"/>
  <c r="F60" i="23"/>
  <c r="N59" i="23"/>
  <c r="F59" i="23"/>
  <c r="P58" i="23"/>
  <c r="H58" i="23"/>
  <c r="P56" i="23"/>
  <c r="H56" i="23"/>
  <c r="A55" i="23"/>
  <c r="P54" i="23"/>
  <c r="P52" i="23"/>
  <c r="A51" i="23"/>
  <c r="P50" i="23"/>
  <c r="H50" i="23"/>
  <c r="A49" i="23"/>
  <c r="L37" i="23"/>
  <c r="K37" i="23"/>
  <c r="J37" i="23"/>
  <c r="D37" i="23"/>
  <c r="C37" i="23"/>
  <c r="B37" i="23"/>
  <c r="L36" i="23"/>
  <c r="D36" i="23"/>
  <c r="L35" i="23"/>
  <c r="J35" i="23"/>
  <c r="D35" i="23"/>
  <c r="L34" i="23"/>
  <c r="D34" i="23"/>
  <c r="L33" i="23"/>
  <c r="D33" i="23"/>
  <c r="L32" i="23"/>
  <c r="K32" i="23"/>
  <c r="J32" i="23"/>
  <c r="D32" i="23"/>
  <c r="N24" i="23"/>
  <c r="F24" i="23"/>
  <c r="F23" i="23"/>
  <c r="N22" i="23"/>
  <c r="F22" i="23"/>
  <c r="P21" i="23"/>
  <c r="H21" i="23"/>
  <c r="P19" i="23"/>
  <c r="H19" i="23"/>
  <c r="P17" i="23"/>
  <c r="P15" i="23"/>
  <c r="A14" i="23"/>
  <c r="P13" i="23"/>
  <c r="H13" i="23"/>
  <c r="R3601" i="24"/>
  <c r="L3600" i="24"/>
  <c r="K3600" i="24"/>
  <c r="J3600" i="24"/>
  <c r="L3599" i="24"/>
  <c r="L3598" i="24"/>
  <c r="L3597" i="24"/>
  <c r="J3597" i="24"/>
  <c r="L3596" i="24"/>
  <c r="J3596" i="24"/>
  <c r="L3595" i="24"/>
  <c r="J3595" i="24"/>
  <c r="N3587" i="24"/>
  <c r="N3585" i="24"/>
  <c r="P3584" i="24"/>
  <c r="P3582" i="24"/>
  <c r="P3580" i="24"/>
  <c r="L3567" i="24"/>
  <c r="K3567" i="24"/>
  <c r="J3567" i="24"/>
  <c r="L3566" i="24"/>
  <c r="K3566" i="24"/>
  <c r="L3565" i="24"/>
  <c r="K3565" i="24"/>
  <c r="L3564" i="24"/>
  <c r="K3564" i="24"/>
  <c r="L3563" i="24"/>
  <c r="K3563" i="24"/>
  <c r="J3563" i="24"/>
  <c r="L3562" i="24"/>
  <c r="K3562" i="24"/>
  <c r="J3562" i="24"/>
  <c r="N3554" i="24"/>
  <c r="N3553" i="24"/>
  <c r="N3552" i="24"/>
  <c r="P3551" i="24"/>
  <c r="P3535" i="24"/>
  <c r="P3533" i="24"/>
  <c r="L3519" i="24"/>
  <c r="K3519" i="24"/>
  <c r="J3519" i="24"/>
  <c r="L3518" i="24"/>
  <c r="K3518" i="24"/>
  <c r="L3517" i="24"/>
  <c r="K3517" i="24"/>
  <c r="L3516" i="24"/>
  <c r="K3516" i="24"/>
  <c r="L3515" i="24"/>
  <c r="K3515" i="24"/>
  <c r="J3515" i="24"/>
  <c r="L3514" i="24"/>
  <c r="K3514" i="24"/>
  <c r="J3514" i="24"/>
  <c r="N3506" i="24"/>
  <c r="N3505" i="24"/>
  <c r="N3504" i="24"/>
  <c r="P3503" i="24"/>
  <c r="P3495" i="24"/>
  <c r="P3493" i="24"/>
  <c r="L3479" i="24"/>
  <c r="K3479" i="24"/>
  <c r="J3479" i="24"/>
  <c r="L3478" i="24"/>
  <c r="K3478" i="24"/>
  <c r="L3477" i="24"/>
  <c r="K3477" i="24"/>
  <c r="J3477" i="24"/>
  <c r="L3476" i="24"/>
  <c r="K3476" i="24"/>
  <c r="L3475" i="24"/>
  <c r="K3475" i="24"/>
  <c r="L3474" i="24"/>
  <c r="K3474" i="24"/>
  <c r="N3466" i="24"/>
  <c r="N3465" i="24"/>
  <c r="N3464" i="24"/>
  <c r="P3463" i="24"/>
  <c r="P3461" i="24"/>
  <c r="P3459" i="24"/>
  <c r="P3457" i="24"/>
  <c r="L3444" i="24"/>
  <c r="K3444" i="24"/>
  <c r="J3444" i="24"/>
  <c r="L3443" i="24"/>
  <c r="K3443" i="24"/>
  <c r="L3442" i="24"/>
  <c r="K3442" i="24"/>
  <c r="L3441" i="24"/>
  <c r="K3441" i="24"/>
  <c r="L3440" i="24"/>
  <c r="K3440" i="24"/>
  <c r="J3440" i="24"/>
  <c r="L3439" i="24"/>
  <c r="K3439" i="24"/>
  <c r="J3439" i="24"/>
  <c r="N3431" i="24"/>
  <c r="N3430" i="24"/>
  <c r="N3429" i="24"/>
  <c r="P3428" i="24"/>
  <c r="P3426" i="24"/>
  <c r="P3424" i="24"/>
  <c r="P3422" i="24"/>
  <c r="P3420" i="24"/>
  <c r="P3418" i="24"/>
  <c r="L3404" i="24"/>
  <c r="K3404" i="24"/>
  <c r="J3404" i="24"/>
  <c r="L3403" i="24"/>
  <c r="K3403" i="24"/>
  <c r="L3402" i="24"/>
  <c r="K3402" i="24"/>
  <c r="J3402" i="24"/>
  <c r="L3401" i="24"/>
  <c r="K3401" i="24"/>
  <c r="L3400" i="24"/>
  <c r="K3400" i="24"/>
  <c r="L3399" i="24"/>
  <c r="K3399" i="24"/>
  <c r="J3399" i="24"/>
  <c r="N3391" i="24"/>
  <c r="N3390" i="24"/>
  <c r="N3389" i="24"/>
  <c r="P3388" i="24"/>
  <c r="P3386" i="24"/>
  <c r="P3384" i="24"/>
  <c r="P3382" i="24"/>
  <c r="L3368" i="24"/>
  <c r="K3368" i="24"/>
  <c r="J3368" i="24"/>
  <c r="L3367" i="24"/>
  <c r="K3367" i="24"/>
  <c r="L3366" i="24"/>
  <c r="K3366" i="24"/>
  <c r="J3366" i="24"/>
  <c r="L3365" i="24"/>
  <c r="K3365" i="24"/>
  <c r="L3364" i="24"/>
  <c r="K3364" i="24"/>
  <c r="L3363" i="24"/>
  <c r="K3363" i="24"/>
  <c r="J3363" i="24"/>
  <c r="N3355" i="24"/>
  <c r="N3354" i="24"/>
  <c r="N3353" i="24"/>
  <c r="P3352" i="24"/>
  <c r="P3348" i="24"/>
  <c r="P3346" i="24"/>
  <c r="L3333" i="24"/>
  <c r="K3333" i="24"/>
  <c r="J3333" i="24"/>
  <c r="L3332" i="24"/>
  <c r="K3332" i="24"/>
  <c r="L3331" i="24"/>
  <c r="K3331" i="24"/>
  <c r="L3330" i="24"/>
  <c r="K3330" i="24"/>
  <c r="J3330" i="24"/>
  <c r="L3329" i="24"/>
  <c r="K3329" i="24"/>
  <c r="L3328" i="24"/>
  <c r="K3328" i="24"/>
  <c r="J3328" i="24"/>
  <c r="N3320" i="24"/>
  <c r="N3319" i="24"/>
  <c r="N3318" i="24"/>
  <c r="P3317" i="24"/>
  <c r="I3316" i="24"/>
  <c r="P3315" i="24"/>
  <c r="I3314" i="24"/>
  <c r="P3313" i="24"/>
  <c r="I3312" i="24"/>
  <c r="P3311" i="24"/>
  <c r="I3310" i="24"/>
  <c r="P3309" i="24"/>
  <c r="I3308" i="24"/>
  <c r="P3307" i="24"/>
  <c r="L3294" i="24"/>
  <c r="K3294" i="24"/>
  <c r="J3294" i="24"/>
  <c r="L3293" i="24"/>
  <c r="K3293" i="24"/>
  <c r="L3292" i="24"/>
  <c r="K3292" i="24"/>
  <c r="L3291" i="24"/>
  <c r="K3291" i="24"/>
  <c r="L3290" i="24"/>
  <c r="K3290" i="24"/>
  <c r="J3290" i="24"/>
  <c r="L3289" i="24"/>
  <c r="K3289" i="24"/>
  <c r="J3289" i="24"/>
  <c r="N3281" i="24"/>
  <c r="P3280" i="24"/>
  <c r="N3280" i="24"/>
  <c r="N3279" i="24"/>
  <c r="P3278" i="24"/>
  <c r="I3277" i="24"/>
  <c r="P3276" i="24"/>
  <c r="I3275" i="24"/>
  <c r="P3274" i="24"/>
  <c r="I3273" i="24"/>
  <c r="P3272" i="24"/>
  <c r="L3258" i="24"/>
  <c r="K3258" i="24"/>
  <c r="J3258" i="24"/>
  <c r="L3257" i="24"/>
  <c r="K3257" i="24"/>
  <c r="L3256" i="24"/>
  <c r="K3256" i="24"/>
  <c r="L3255" i="24"/>
  <c r="K3255" i="24"/>
  <c r="L3254" i="24"/>
  <c r="K3254" i="24"/>
  <c r="L3253" i="24"/>
  <c r="K3253" i="24"/>
  <c r="J3253" i="24"/>
  <c r="N3245" i="24"/>
  <c r="P3244" i="24"/>
  <c r="N3244" i="24"/>
  <c r="N3243" i="24"/>
  <c r="P3242" i="24"/>
  <c r="P3240" i="24"/>
  <c r="I3239" i="24"/>
  <c r="I3237" i="24"/>
  <c r="P3236" i="24"/>
  <c r="L3223" i="24"/>
  <c r="K3223" i="24"/>
  <c r="J3223" i="24"/>
  <c r="L3222" i="24"/>
  <c r="K3222" i="24"/>
  <c r="L3221" i="24"/>
  <c r="K3221" i="24"/>
  <c r="L3220" i="24"/>
  <c r="K3220" i="24"/>
  <c r="L3219" i="24"/>
  <c r="K3219" i="24"/>
  <c r="L3218" i="24"/>
  <c r="K3218" i="24"/>
  <c r="J3218" i="24"/>
  <c r="N3210" i="24"/>
  <c r="P3209" i="24"/>
  <c r="N3209" i="24"/>
  <c r="N3208" i="24"/>
  <c r="P3207" i="24"/>
  <c r="P3205" i="24"/>
  <c r="I3204" i="24"/>
  <c r="P3203" i="24"/>
  <c r="I3202" i="24"/>
  <c r="P3201" i="24"/>
  <c r="L3188" i="24"/>
  <c r="K3188" i="24"/>
  <c r="J3188" i="24"/>
  <c r="L3187" i="24"/>
  <c r="K3187" i="24"/>
  <c r="L3186" i="24"/>
  <c r="K3186" i="24"/>
  <c r="J3186" i="24"/>
  <c r="L3185" i="24"/>
  <c r="K3185" i="24"/>
  <c r="L3184" i="24"/>
  <c r="K3184" i="24"/>
  <c r="J3184" i="24"/>
  <c r="L3183" i="24"/>
  <c r="K3183" i="24"/>
  <c r="J3183" i="24"/>
  <c r="N3175" i="24"/>
  <c r="P3174" i="24"/>
  <c r="N3174" i="24"/>
  <c r="N3173" i="24"/>
  <c r="P3172" i="24"/>
  <c r="P3170" i="24"/>
  <c r="P3168" i="24"/>
  <c r="P3166" i="24"/>
  <c r="P3164" i="24"/>
  <c r="P3162" i="24"/>
  <c r="L3149" i="24"/>
  <c r="K3149" i="24"/>
  <c r="J3149" i="24"/>
  <c r="L3148" i="24"/>
  <c r="K3148" i="24"/>
  <c r="L3147" i="24"/>
  <c r="K3147" i="24"/>
  <c r="J3147" i="24"/>
  <c r="L3146" i="24"/>
  <c r="K3146" i="24"/>
  <c r="L3145" i="24"/>
  <c r="K3145" i="24"/>
  <c r="J3145" i="24"/>
  <c r="L3144" i="24"/>
  <c r="K3144" i="24"/>
  <c r="J3144" i="24"/>
  <c r="N3136" i="24"/>
  <c r="P3135" i="24"/>
  <c r="N3135" i="24"/>
  <c r="N3134" i="24"/>
  <c r="P3133" i="24"/>
  <c r="P3131" i="24"/>
  <c r="P3129" i="24"/>
  <c r="P3127" i="24"/>
  <c r="P3125" i="24"/>
  <c r="L3112" i="24"/>
  <c r="K3112" i="24"/>
  <c r="J3112" i="24"/>
  <c r="L3111" i="24"/>
  <c r="K3111" i="24"/>
  <c r="L3110" i="24"/>
  <c r="K3110" i="24"/>
  <c r="J3110" i="24"/>
  <c r="L3109" i="24"/>
  <c r="K3109" i="24"/>
  <c r="L3108" i="24"/>
  <c r="K3108" i="24"/>
  <c r="L3107" i="24"/>
  <c r="K3107" i="24"/>
  <c r="J3107" i="24"/>
  <c r="N3099" i="24"/>
  <c r="P3098" i="24"/>
  <c r="N3098" i="24"/>
  <c r="N3097" i="24"/>
  <c r="P3096" i="24"/>
  <c r="P3092" i="24"/>
  <c r="P3090" i="24"/>
  <c r="P3088" i="24"/>
  <c r="L3075" i="24"/>
  <c r="K3075" i="24"/>
  <c r="J3075" i="24"/>
  <c r="L3074" i="24"/>
  <c r="K3074" i="24"/>
  <c r="L3073" i="24"/>
  <c r="K3073" i="24"/>
  <c r="J3073" i="24"/>
  <c r="L3072" i="24"/>
  <c r="K3072" i="24"/>
  <c r="L3071" i="24"/>
  <c r="K3071" i="24"/>
  <c r="L3070" i="24"/>
  <c r="K3070" i="24"/>
  <c r="J3070" i="24"/>
  <c r="N3062" i="24"/>
  <c r="P3061" i="24"/>
  <c r="N3061" i="24"/>
  <c r="N3060" i="24"/>
  <c r="P3059" i="24"/>
  <c r="P3057" i="24"/>
  <c r="P3055" i="24"/>
  <c r="P3053" i="24"/>
  <c r="P3051" i="24"/>
  <c r="L3038" i="24"/>
  <c r="K3038" i="24"/>
  <c r="J3038" i="24"/>
  <c r="L3037" i="24"/>
  <c r="K3037" i="24"/>
  <c r="L3036" i="24"/>
  <c r="K3036" i="24"/>
  <c r="L3035" i="24"/>
  <c r="K3035" i="24"/>
  <c r="L3034" i="24"/>
  <c r="K3034" i="24"/>
  <c r="J3034" i="24"/>
  <c r="L3033" i="24"/>
  <c r="K3033" i="24"/>
  <c r="J3033" i="24"/>
  <c r="N3025" i="24"/>
  <c r="P3024" i="24"/>
  <c r="N3024" i="24"/>
  <c r="N3023" i="24"/>
  <c r="P3022" i="24"/>
  <c r="P3020" i="24"/>
  <c r="P3018" i="24"/>
  <c r="P3016" i="24"/>
  <c r="P3014" i="24"/>
  <c r="L3001" i="24"/>
  <c r="K3001" i="24"/>
  <c r="J3001" i="24"/>
  <c r="L3000" i="24"/>
  <c r="K3000" i="24"/>
  <c r="L2999" i="24"/>
  <c r="K2999" i="24"/>
  <c r="L2998" i="24"/>
  <c r="K2998" i="24"/>
  <c r="L2997" i="24"/>
  <c r="K2997" i="24"/>
  <c r="J2997" i="24"/>
  <c r="L2996" i="24"/>
  <c r="K2996" i="24"/>
  <c r="J2996" i="24"/>
  <c r="N2988" i="24"/>
  <c r="P2987" i="24"/>
  <c r="N2987" i="24"/>
  <c r="N2986" i="24"/>
  <c r="P2985" i="24"/>
  <c r="P2983" i="24"/>
  <c r="P2981" i="24"/>
  <c r="P2979" i="24"/>
  <c r="P2977" i="24"/>
  <c r="L2964" i="24"/>
  <c r="K2964" i="24"/>
  <c r="J2964" i="24"/>
  <c r="L2963" i="24"/>
  <c r="K2963" i="24"/>
  <c r="L2962" i="24"/>
  <c r="K2962" i="24"/>
  <c r="L2961" i="24"/>
  <c r="K2961" i="24"/>
  <c r="L2960" i="24"/>
  <c r="K2960" i="24"/>
  <c r="J2960" i="24"/>
  <c r="L2959" i="24"/>
  <c r="K2959" i="24"/>
  <c r="J2959" i="24"/>
  <c r="N2951" i="24"/>
  <c r="P2950" i="24"/>
  <c r="N2950" i="24"/>
  <c r="N2949" i="24"/>
  <c r="P2948" i="24"/>
  <c r="P2946" i="24"/>
  <c r="P2944" i="24"/>
  <c r="P2942" i="24"/>
  <c r="P2940" i="24"/>
  <c r="L2927" i="24"/>
  <c r="K2927" i="24"/>
  <c r="J2927" i="24"/>
  <c r="L2926" i="24"/>
  <c r="K2926" i="24"/>
  <c r="L2925" i="24"/>
  <c r="K2925" i="24"/>
  <c r="L2924" i="24"/>
  <c r="K2924" i="24"/>
  <c r="L2923" i="24"/>
  <c r="K2923" i="24"/>
  <c r="J2923" i="24"/>
  <c r="L2922" i="24"/>
  <c r="K2922" i="24"/>
  <c r="J2922" i="24"/>
  <c r="N2914" i="24"/>
  <c r="P2913" i="24"/>
  <c r="N2913" i="24"/>
  <c r="N2912" i="24"/>
  <c r="P2911" i="24"/>
  <c r="P2909" i="24"/>
  <c r="P2907" i="24"/>
  <c r="P2905" i="24"/>
  <c r="P2903" i="24"/>
  <c r="L2890" i="24"/>
  <c r="K2890" i="24"/>
  <c r="J2890" i="24"/>
  <c r="L2889" i="24"/>
  <c r="K2889" i="24"/>
  <c r="L2888" i="24"/>
  <c r="K2888" i="24"/>
  <c r="L2887" i="24"/>
  <c r="K2887" i="24"/>
  <c r="J2887" i="24"/>
  <c r="L2886" i="24"/>
  <c r="K2886" i="24"/>
  <c r="J2886" i="24"/>
  <c r="L2885" i="24"/>
  <c r="K2885" i="24"/>
  <c r="N2877" i="24"/>
  <c r="N2876" i="24"/>
  <c r="N2875" i="24"/>
  <c r="P2874" i="24"/>
  <c r="P2872" i="24"/>
  <c r="P2870" i="24"/>
  <c r="P2868" i="24"/>
  <c r="P2866" i="24"/>
  <c r="L2853" i="24"/>
  <c r="K2853" i="24"/>
  <c r="J2853" i="24"/>
  <c r="L2852" i="24"/>
  <c r="K2852" i="24"/>
  <c r="L2851" i="24"/>
  <c r="K2851" i="24"/>
  <c r="L2850" i="24"/>
  <c r="K2850" i="24"/>
  <c r="J2850" i="24"/>
  <c r="L2849" i="24"/>
  <c r="K2849" i="24"/>
  <c r="J2849" i="24"/>
  <c r="L2848" i="24"/>
  <c r="K2848" i="24"/>
  <c r="N2840" i="24"/>
  <c r="N2839" i="24"/>
  <c r="N2838" i="24"/>
  <c r="P2837" i="24"/>
  <c r="P2835" i="24"/>
  <c r="P2833" i="24"/>
  <c r="P2831" i="24"/>
  <c r="P2829" i="24"/>
  <c r="P2827" i="24"/>
  <c r="L2814" i="24"/>
  <c r="K2814" i="24"/>
  <c r="J2814" i="24"/>
  <c r="L2813" i="24"/>
  <c r="K2813" i="24"/>
  <c r="L2812" i="24"/>
  <c r="K2812" i="24"/>
  <c r="L2811" i="24"/>
  <c r="K2811" i="24"/>
  <c r="J2811" i="24"/>
  <c r="L2810" i="24"/>
  <c r="K2810" i="24"/>
  <c r="J2810" i="24"/>
  <c r="L2809" i="24"/>
  <c r="K2809" i="24"/>
  <c r="N2801" i="24"/>
  <c r="N2800" i="24"/>
  <c r="N2799" i="24"/>
  <c r="P2798" i="24"/>
  <c r="P2796" i="24"/>
  <c r="P2794" i="24"/>
  <c r="P2792" i="24"/>
  <c r="P2790" i="24"/>
  <c r="P2788" i="24"/>
  <c r="L2775" i="24"/>
  <c r="K2775" i="24"/>
  <c r="J2775" i="24"/>
  <c r="L2774" i="24"/>
  <c r="K2774" i="24"/>
  <c r="L2773" i="24"/>
  <c r="K2773" i="24"/>
  <c r="L2772" i="24"/>
  <c r="K2772" i="24"/>
  <c r="L2771" i="24"/>
  <c r="K2771" i="24"/>
  <c r="J2771" i="24"/>
  <c r="L2770" i="24"/>
  <c r="K2770" i="24"/>
  <c r="J2770" i="24"/>
  <c r="N2762" i="24"/>
  <c r="P2761" i="24"/>
  <c r="N2761" i="24"/>
  <c r="N2760" i="24"/>
  <c r="P2759" i="24"/>
  <c r="P2757" i="24"/>
  <c r="P2755" i="24"/>
  <c r="P2753" i="24"/>
  <c r="P2751" i="24"/>
  <c r="L2738" i="24"/>
  <c r="K2738" i="24"/>
  <c r="J2738" i="24"/>
  <c r="L2737" i="24"/>
  <c r="K2737" i="24"/>
  <c r="L2736" i="24"/>
  <c r="K2736" i="24"/>
  <c r="L2735" i="24"/>
  <c r="K2735" i="24"/>
  <c r="L2734" i="24"/>
  <c r="K2734" i="24"/>
  <c r="J2734" i="24"/>
  <c r="L2733" i="24"/>
  <c r="K2733" i="24"/>
  <c r="J2733" i="24"/>
  <c r="N2725" i="24"/>
  <c r="N2724" i="24"/>
  <c r="N2723" i="24"/>
  <c r="P2722" i="24"/>
  <c r="P2720" i="24"/>
  <c r="P2718" i="24"/>
  <c r="P2716" i="24"/>
  <c r="P2714" i="24"/>
  <c r="L2701" i="24"/>
  <c r="K2701" i="24"/>
  <c r="J2701" i="24"/>
  <c r="L2700" i="24"/>
  <c r="K2700" i="24"/>
  <c r="L2699" i="24"/>
  <c r="K2699" i="24"/>
  <c r="L2698" i="24"/>
  <c r="K2698" i="24"/>
  <c r="L2697" i="24"/>
  <c r="K2697" i="24"/>
  <c r="J2697" i="24"/>
  <c r="L2696" i="24"/>
  <c r="K2696" i="24"/>
  <c r="J2696" i="24"/>
  <c r="N2688" i="24"/>
  <c r="P2687" i="24"/>
  <c r="N2687" i="24"/>
  <c r="N2686" i="24"/>
  <c r="P2685" i="24"/>
  <c r="P2683" i="24"/>
  <c r="P2681" i="24"/>
  <c r="P2679" i="24"/>
  <c r="P2677" i="24"/>
  <c r="L2664" i="24"/>
  <c r="K2664" i="24"/>
  <c r="J2664" i="24"/>
  <c r="L2663" i="24"/>
  <c r="K2663" i="24"/>
  <c r="L2662" i="24"/>
  <c r="K2662" i="24"/>
  <c r="L2661" i="24"/>
  <c r="K2661" i="24"/>
  <c r="L2660" i="24"/>
  <c r="K2660" i="24"/>
  <c r="J2660" i="24"/>
  <c r="L2659" i="24"/>
  <c r="K2659" i="24"/>
  <c r="J2659" i="24"/>
  <c r="N2651" i="24"/>
  <c r="N2650" i="24"/>
  <c r="N2649" i="24"/>
  <c r="P2648" i="24"/>
  <c r="P2646" i="24"/>
  <c r="P2644" i="24"/>
  <c r="P2642" i="24"/>
  <c r="P2640" i="24"/>
  <c r="L2627" i="24"/>
  <c r="K2627" i="24"/>
  <c r="J2627" i="24"/>
  <c r="L2626" i="24"/>
  <c r="K2626" i="24"/>
  <c r="L2625" i="24"/>
  <c r="K2625" i="24"/>
  <c r="L2624" i="24"/>
  <c r="K2624" i="24"/>
  <c r="L2623" i="24"/>
  <c r="K2623" i="24"/>
  <c r="J2623" i="24"/>
  <c r="L2622" i="24"/>
  <c r="K2622" i="24"/>
  <c r="J2622" i="24"/>
  <c r="N2614" i="24"/>
  <c r="N2613" i="24"/>
  <c r="N2612" i="24"/>
  <c r="P2611" i="24"/>
  <c r="P2609" i="24"/>
  <c r="P2607" i="24"/>
  <c r="P2605" i="24"/>
  <c r="P2603" i="24"/>
  <c r="P2601" i="24"/>
  <c r="L2588" i="24"/>
  <c r="K2588" i="24"/>
  <c r="J2588" i="24"/>
  <c r="L2587" i="24"/>
  <c r="K2587" i="24"/>
  <c r="L2586" i="24"/>
  <c r="K2586" i="24"/>
  <c r="L2585" i="24"/>
  <c r="K2585" i="24"/>
  <c r="L2584" i="24"/>
  <c r="K2584" i="24"/>
  <c r="L2583" i="24"/>
  <c r="K2583" i="24"/>
  <c r="J2583" i="24"/>
  <c r="N2575" i="24"/>
  <c r="N2574" i="24"/>
  <c r="N2573" i="24"/>
  <c r="P2572" i="24"/>
  <c r="P2570" i="24"/>
  <c r="P2568" i="24"/>
  <c r="P2566" i="24"/>
  <c r="P2564" i="24"/>
  <c r="L2551" i="24"/>
  <c r="K2551" i="24"/>
  <c r="J2551" i="24"/>
  <c r="L2550" i="24"/>
  <c r="K2550" i="24"/>
  <c r="L2549" i="24"/>
  <c r="K2549" i="24"/>
  <c r="L2548" i="24"/>
  <c r="K2548" i="24"/>
  <c r="L2547" i="24"/>
  <c r="K2547" i="24"/>
  <c r="J2547" i="24"/>
  <c r="L2546" i="24"/>
  <c r="K2546" i="24"/>
  <c r="J2546" i="24"/>
  <c r="N2538" i="24"/>
  <c r="P2537" i="24"/>
  <c r="N2537" i="24"/>
  <c r="N2536" i="24"/>
  <c r="P2535" i="24"/>
  <c r="P2533" i="24"/>
  <c r="P2531" i="24"/>
  <c r="P2529" i="24"/>
  <c r="P2527" i="24"/>
  <c r="L2514" i="24"/>
  <c r="K2514" i="24"/>
  <c r="J2514" i="24"/>
  <c r="L2513" i="24"/>
  <c r="K2513" i="24"/>
  <c r="J2513" i="24"/>
  <c r="L2512" i="24"/>
  <c r="K2512" i="24"/>
  <c r="L2511" i="24"/>
  <c r="K2511" i="24"/>
  <c r="L2510" i="24"/>
  <c r="K2510" i="24"/>
  <c r="J2510" i="24"/>
  <c r="L2509" i="24"/>
  <c r="K2509" i="24"/>
  <c r="N2501" i="24"/>
  <c r="N2500" i="24"/>
  <c r="N2499" i="24"/>
  <c r="P2498" i="24"/>
  <c r="P2496" i="24"/>
  <c r="P2494" i="24"/>
  <c r="P2492" i="24"/>
  <c r="P2490" i="24"/>
  <c r="L2477" i="24"/>
  <c r="K2477" i="24"/>
  <c r="J2477" i="24"/>
  <c r="L2476" i="24"/>
  <c r="K2476" i="24"/>
  <c r="J2476" i="24"/>
  <c r="L2475" i="24"/>
  <c r="K2475" i="24"/>
  <c r="L2474" i="24"/>
  <c r="K2474" i="24"/>
  <c r="L2473" i="24"/>
  <c r="K2473" i="24"/>
  <c r="L2472" i="24"/>
  <c r="K2472" i="24"/>
  <c r="N2464" i="24"/>
  <c r="N2463" i="24"/>
  <c r="N2462" i="24"/>
  <c r="P2461" i="24"/>
  <c r="P2459" i="24"/>
  <c r="N2458" i="24"/>
  <c r="P2457" i="24"/>
  <c r="P2455" i="24"/>
  <c r="P2453" i="24"/>
  <c r="P2451" i="24"/>
  <c r="L2438" i="24"/>
  <c r="K2438" i="24"/>
  <c r="J2438" i="24"/>
  <c r="L2437" i="24"/>
  <c r="K2437" i="24"/>
  <c r="L2436" i="24"/>
  <c r="K2436" i="24"/>
  <c r="L2435" i="24"/>
  <c r="K2435" i="24"/>
  <c r="L2434" i="24"/>
  <c r="K2434" i="24"/>
  <c r="J2434" i="24"/>
  <c r="L2433" i="24"/>
  <c r="K2433" i="24"/>
  <c r="J2433" i="24"/>
  <c r="N2425" i="24"/>
  <c r="P2424" i="24"/>
  <c r="N2424" i="24"/>
  <c r="N2423" i="24"/>
  <c r="P2422" i="24"/>
  <c r="P2420" i="24"/>
  <c r="P2418" i="24"/>
  <c r="P2416" i="24"/>
  <c r="P2414" i="24"/>
  <c r="L2401" i="24"/>
  <c r="K2401" i="24"/>
  <c r="J2401" i="24"/>
  <c r="L2400" i="24"/>
  <c r="K2400" i="24"/>
  <c r="L2399" i="24"/>
  <c r="K2399" i="24"/>
  <c r="L2398" i="24"/>
  <c r="K2398" i="24"/>
  <c r="L2397" i="24"/>
  <c r="K2397" i="24"/>
  <c r="J2397" i="24"/>
  <c r="L2396" i="24"/>
  <c r="K2396" i="24"/>
  <c r="J2396" i="24"/>
  <c r="N2388" i="24"/>
  <c r="P2387" i="24"/>
  <c r="N2387" i="24"/>
  <c r="N2386" i="24"/>
  <c r="P2385" i="24"/>
  <c r="P2383" i="24"/>
  <c r="P2381" i="24"/>
  <c r="P2379" i="24"/>
  <c r="P2377" i="24"/>
  <c r="L2364" i="24"/>
  <c r="K2364" i="24"/>
  <c r="J2364" i="24"/>
  <c r="L2363" i="24"/>
  <c r="K2363" i="24"/>
  <c r="L2362" i="24"/>
  <c r="K2362" i="24"/>
  <c r="L2361" i="24"/>
  <c r="K2361" i="24"/>
  <c r="J2361" i="24"/>
  <c r="L2360" i="24"/>
  <c r="K2360" i="24"/>
  <c r="J2360" i="24"/>
  <c r="L2359" i="24"/>
  <c r="K2359" i="24"/>
  <c r="N2351" i="24"/>
  <c r="N2350" i="24"/>
  <c r="N2349" i="24"/>
  <c r="P2348" i="24"/>
  <c r="P2346" i="24"/>
  <c r="P2344" i="24"/>
  <c r="P2342" i="24"/>
  <c r="P2340" i="24"/>
  <c r="L2327" i="24"/>
  <c r="K2327" i="24"/>
  <c r="J2327" i="24"/>
  <c r="L2326" i="24"/>
  <c r="K2326" i="24"/>
  <c r="L2325" i="24"/>
  <c r="K2325" i="24"/>
  <c r="L2324" i="24"/>
  <c r="K2324" i="24"/>
  <c r="L2323" i="24"/>
  <c r="K2323" i="24"/>
  <c r="J2323" i="24"/>
  <c r="L2322" i="24"/>
  <c r="K2322" i="24"/>
  <c r="J2322" i="24"/>
  <c r="N2314" i="24"/>
  <c r="P2313" i="24"/>
  <c r="N2313" i="24"/>
  <c r="N2312" i="24"/>
  <c r="P2311" i="24"/>
  <c r="P2309" i="24"/>
  <c r="P2307" i="24"/>
  <c r="P2305" i="24"/>
  <c r="P2303" i="24"/>
  <c r="L2290" i="24"/>
  <c r="K2290" i="24"/>
  <c r="J2290" i="24"/>
  <c r="L2289" i="24"/>
  <c r="K2289" i="24"/>
  <c r="L2288" i="24"/>
  <c r="K2288" i="24"/>
  <c r="L2287" i="24"/>
  <c r="K2287" i="24"/>
  <c r="L2286" i="24"/>
  <c r="K2286" i="24"/>
  <c r="J2286" i="24"/>
  <c r="L2285" i="24"/>
  <c r="K2285" i="24"/>
  <c r="J2285" i="24"/>
  <c r="N2277" i="24"/>
  <c r="P2276" i="24"/>
  <c r="N2276" i="24"/>
  <c r="N2275" i="24"/>
  <c r="P2274" i="24"/>
  <c r="P2272" i="24"/>
  <c r="P2270" i="24"/>
  <c r="P2267" i="24"/>
  <c r="P2266" i="24"/>
  <c r="L2253" i="24"/>
  <c r="K2253" i="24"/>
  <c r="J2253" i="24"/>
  <c r="L2252" i="24"/>
  <c r="K2252" i="24"/>
  <c r="L2251" i="24"/>
  <c r="K2251" i="24"/>
  <c r="J2251" i="24"/>
  <c r="L2250" i="24"/>
  <c r="K2250" i="24"/>
  <c r="L2249" i="24"/>
  <c r="K2249" i="24"/>
  <c r="J2249" i="24"/>
  <c r="L2248" i="24"/>
  <c r="K2248" i="24"/>
  <c r="J2248" i="24"/>
  <c r="N2240" i="24"/>
  <c r="P2239" i="24"/>
  <c r="N2239" i="24"/>
  <c r="N2238" i="24"/>
  <c r="P2237" i="24"/>
  <c r="P2235" i="24"/>
  <c r="P2233" i="24"/>
  <c r="P2230" i="24"/>
  <c r="P2228" i="24"/>
  <c r="L2216" i="24"/>
  <c r="K2216" i="24"/>
  <c r="J2216" i="24"/>
  <c r="L2215" i="24"/>
  <c r="K2215" i="24"/>
  <c r="L2214" i="24"/>
  <c r="K2214" i="24"/>
  <c r="J2214" i="24"/>
  <c r="L2213" i="24"/>
  <c r="K2213" i="24"/>
  <c r="L2212" i="24"/>
  <c r="K2212" i="24"/>
  <c r="J2212" i="24"/>
  <c r="L2211" i="24"/>
  <c r="K2211" i="24"/>
  <c r="J2211" i="24"/>
  <c r="N2203" i="24"/>
  <c r="P2202" i="24"/>
  <c r="N2202" i="24"/>
  <c r="N2201" i="24"/>
  <c r="P2200" i="24"/>
  <c r="P2198" i="24"/>
  <c r="P2196" i="24"/>
  <c r="P2193" i="24"/>
  <c r="P2191" i="24"/>
  <c r="L2179" i="24"/>
  <c r="K2179" i="24"/>
  <c r="J2179" i="24"/>
  <c r="L2178" i="24"/>
  <c r="K2178" i="24"/>
  <c r="L2177" i="24"/>
  <c r="K2177" i="24"/>
  <c r="J2177" i="24"/>
  <c r="L2176" i="24"/>
  <c r="K2176" i="24"/>
  <c r="L2175" i="24"/>
  <c r="K2175" i="24"/>
  <c r="J2175" i="24"/>
  <c r="L2174" i="24"/>
  <c r="K2174" i="24"/>
  <c r="J2174" i="24"/>
  <c r="N2166" i="24"/>
  <c r="P2165" i="24"/>
  <c r="N2165" i="24"/>
  <c r="N2164" i="24"/>
  <c r="P2163" i="24"/>
  <c r="P2161" i="24"/>
  <c r="P2159" i="24"/>
  <c r="P2157" i="24"/>
  <c r="L2140" i="24"/>
  <c r="K2140" i="24"/>
  <c r="J2140" i="24"/>
  <c r="L2139" i="24"/>
  <c r="K2139" i="24"/>
  <c r="L2138" i="24"/>
  <c r="K2138" i="24"/>
  <c r="L2137" i="24"/>
  <c r="K2137" i="24"/>
  <c r="L2136" i="24"/>
  <c r="K2136" i="24"/>
  <c r="J2136" i="24"/>
  <c r="L2135" i="24"/>
  <c r="K2135" i="24"/>
  <c r="J2135" i="24"/>
  <c r="N2127" i="24"/>
  <c r="N2126" i="24"/>
  <c r="N2125" i="24"/>
  <c r="P2124" i="24"/>
  <c r="P2122" i="24"/>
  <c r="P2120" i="24"/>
  <c r="L2103" i="24"/>
  <c r="K2103" i="24"/>
  <c r="J2103" i="24"/>
  <c r="L2102" i="24"/>
  <c r="K2102" i="24"/>
  <c r="L2101" i="24"/>
  <c r="K2101" i="24"/>
  <c r="L2100" i="24"/>
  <c r="K2100" i="24"/>
  <c r="L2099" i="24"/>
  <c r="K2099" i="24"/>
  <c r="J2099" i="24"/>
  <c r="L2098" i="24"/>
  <c r="K2098" i="24"/>
  <c r="J2098" i="24"/>
  <c r="N2090" i="24"/>
  <c r="N2089" i="24"/>
  <c r="N2088" i="24"/>
  <c r="P2087" i="24"/>
  <c r="P2085" i="24"/>
  <c r="P2083" i="24"/>
  <c r="L2066" i="24"/>
  <c r="K2066" i="24"/>
  <c r="J2066" i="24"/>
  <c r="L2065" i="24"/>
  <c r="K2065" i="24"/>
  <c r="L2064" i="24"/>
  <c r="K2064" i="24"/>
  <c r="L2063" i="24"/>
  <c r="K2063" i="24"/>
  <c r="L2062" i="24"/>
  <c r="K2062" i="24"/>
  <c r="J2062" i="24"/>
  <c r="L2061" i="24"/>
  <c r="K2061" i="24"/>
  <c r="J2061" i="24"/>
  <c r="N2053" i="24"/>
  <c r="P2052" i="24"/>
  <c r="N2052" i="24"/>
  <c r="N2051" i="24"/>
  <c r="P2050" i="24"/>
  <c r="P2048" i="24"/>
  <c r="P2046" i="24"/>
  <c r="P2044" i="24"/>
  <c r="P2042" i="24"/>
  <c r="L2029" i="24"/>
  <c r="K2029" i="24"/>
  <c r="J2029" i="24"/>
  <c r="L2028" i="24"/>
  <c r="K2028" i="24"/>
  <c r="L2027" i="24"/>
  <c r="K2027" i="24"/>
  <c r="L2026" i="24"/>
  <c r="K2026" i="24"/>
  <c r="L2025" i="24"/>
  <c r="K2025" i="24"/>
  <c r="J2025" i="24"/>
  <c r="L2024" i="24"/>
  <c r="K2024" i="24"/>
  <c r="J2024" i="24"/>
  <c r="N2016" i="24"/>
  <c r="P2015" i="24"/>
  <c r="N2015" i="24"/>
  <c r="N2014" i="24"/>
  <c r="P2013" i="24"/>
  <c r="P2011" i="24"/>
  <c r="P2009" i="24"/>
  <c r="P2007" i="24"/>
  <c r="P2005" i="24"/>
  <c r="L1992" i="24"/>
  <c r="K1992" i="24"/>
  <c r="J1992" i="24"/>
  <c r="L1991" i="24"/>
  <c r="K1991" i="24"/>
  <c r="L1990" i="24"/>
  <c r="K1990" i="24"/>
  <c r="L1989" i="24"/>
  <c r="K1989" i="24"/>
  <c r="L1988" i="24"/>
  <c r="K1988" i="24"/>
  <c r="J1988" i="24"/>
  <c r="L1987" i="24"/>
  <c r="K1987" i="24"/>
  <c r="J1987" i="24"/>
  <c r="N1979" i="24"/>
  <c r="P1978" i="24"/>
  <c r="N1978" i="24"/>
  <c r="N1977" i="24"/>
  <c r="P1976" i="24"/>
  <c r="P1974" i="24"/>
  <c r="P1972" i="24"/>
  <c r="P1970" i="24"/>
  <c r="P1968" i="24"/>
  <c r="L1955" i="24"/>
  <c r="K1955" i="24"/>
  <c r="J1955" i="24"/>
  <c r="L1954" i="24"/>
  <c r="K1954" i="24"/>
  <c r="L1953" i="24"/>
  <c r="K1953" i="24"/>
  <c r="L1952" i="24"/>
  <c r="K1952" i="24"/>
  <c r="L1951" i="24"/>
  <c r="K1951" i="24"/>
  <c r="J1951" i="24"/>
  <c r="L1950" i="24"/>
  <c r="K1950" i="24"/>
  <c r="J1950" i="24"/>
  <c r="N1942" i="24"/>
  <c r="P1941" i="24"/>
  <c r="N1941" i="24"/>
  <c r="N1940" i="24"/>
  <c r="P1939" i="24"/>
  <c r="P1937" i="24"/>
  <c r="P1935" i="24"/>
  <c r="P1933" i="24"/>
  <c r="P1931" i="24"/>
  <c r="L1918" i="24"/>
  <c r="K1918" i="24"/>
  <c r="J1918" i="24"/>
  <c r="L1917" i="24"/>
  <c r="K1917" i="24"/>
  <c r="L1916" i="24"/>
  <c r="K1916" i="24"/>
  <c r="L1915" i="24"/>
  <c r="K1915" i="24"/>
  <c r="L1914" i="24"/>
  <c r="K1914" i="24"/>
  <c r="J1914" i="24"/>
  <c r="L1913" i="24"/>
  <c r="K1913" i="24"/>
  <c r="J1913" i="24"/>
  <c r="N1905" i="24"/>
  <c r="P1904" i="24"/>
  <c r="N1904" i="24"/>
  <c r="N1903" i="24"/>
  <c r="P1902" i="24"/>
  <c r="P1900" i="24"/>
  <c r="P1898" i="24"/>
  <c r="P1896" i="24"/>
  <c r="P1894" i="24"/>
  <c r="L1881" i="24"/>
  <c r="K1881" i="24"/>
  <c r="J1881" i="24"/>
  <c r="L1880" i="24"/>
  <c r="K1880" i="24"/>
  <c r="L1879" i="24"/>
  <c r="K1879" i="24"/>
  <c r="J1879" i="24"/>
  <c r="L1878" i="24"/>
  <c r="K1878" i="24"/>
  <c r="L1877" i="24"/>
  <c r="K1877" i="24"/>
  <c r="L1876" i="24"/>
  <c r="K1876" i="24"/>
  <c r="J1876" i="24"/>
  <c r="N1868" i="24"/>
  <c r="N1867" i="24"/>
  <c r="N1866" i="24"/>
  <c r="P1865" i="24"/>
  <c r="P1863" i="24"/>
  <c r="P1861" i="24"/>
  <c r="P1859" i="24"/>
  <c r="P1857" i="24"/>
  <c r="L1844" i="24"/>
  <c r="K1844" i="24"/>
  <c r="J1844" i="24"/>
  <c r="L1843" i="24"/>
  <c r="K1843" i="24"/>
  <c r="L1842" i="24"/>
  <c r="K1842" i="24"/>
  <c r="J1842" i="24"/>
  <c r="L1841" i="24"/>
  <c r="K1841" i="24"/>
  <c r="L1840" i="24"/>
  <c r="K1840" i="24"/>
  <c r="L1839" i="24"/>
  <c r="K1839" i="24"/>
  <c r="J1839" i="24"/>
  <c r="N1831" i="24"/>
  <c r="N1830" i="24"/>
  <c r="N1829" i="24"/>
  <c r="P1828" i="24"/>
  <c r="P1826" i="24"/>
  <c r="P1824" i="24"/>
  <c r="P1822" i="24"/>
  <c r="P1820" i="24"/>
  <c r="L1807" i="24"/>
  <c r="K1807" i="24"/>
  <c r="J1807" i="24"/>
  <c r="L1806" i="24"/>
  <c r="K1806" i="24"/>
  <c r="L1805" i="24"/>
  <c r="K1805" i="24"/>
  <c r="L1804" i="24"/>
  <c r="K1804" i="24"/>
  <c r="L1803" i="24"/>
  <c r="K1803" i="24"/>
  <c r="J1803" i="24"/>
  <c r="L1802" i="24"/>
  <c r="K1802" i="24"/>
  <c r="J1802" i="24"/>
  <c r="N1794" i="24"/>
  <c r="N1793" i="24"/>
  <c r="N1792" i="24"/>
  <c r="P1791" i="24"/>
  <c r="P1789" i="24"/>
  <c r="P1787" i="24"/>
  <c r="P1785" i="24"/>
  <c r="P1783" i="24"/>
  <c r="L1770" i="24"/>
  <c r="K1770" i="24"/>
  <c r="J1770" i="24"/>
  <c r="L1769" i="24"/>
  <c r="K1769" i="24"/>
  <c r="L1768" i="24"/>
  <c r="K1768" i="24"/>
  <c r="L1767" i="24"/>
  <c r="K1767" i="24"/>
  <c r="L1766" i="24"/>
  <c r="K1766" i="24"/>
  <c r="J1766" i="24"/>
  <c r="L1765" i="24"/>
  <c r="K1765" i="24"/>
  <c r="J1765" i="24"/>
  <c r="N1757" i="24"/>
  <c r="P1756" i="24"/>
  <c r="N1756" i="24"/>
  <c r="N1755" i="24"/>
  <c r="P1754" i="24"/>
  <c r="P1752" i="24"/>
  <c r="P1750" i="24"/>
  <c r="P1748" i="24"/>
  <c r="P1746" i="24"/>
  <c r="L1733" i="24"/>
  <c r="K1733" i="24"/>
  <c r="J1733" i="24"/>
  <c r="L1732" i="24"/>
  <c r="K1732" i="24"/>
  <c r="L1731" i="24"/>
  <c r="K1731" i="24"/>
  <c r="J1731" i="24"/>
  <c r="L1730" i="24"/>
  <c r="K1730" i="24"/>
  <c r="L1729" i="24"/>
  <c r="K1729" i="24"/>
  <c r="L1728" i="24"/>
  <c r="K1728" i="24"/>
  <c r="J1728" i="24"/>
  <c r="S1720" i="24"/>
  <c r="N1720" i="24"/>
  <c r="N1719" i="24"/>
  <c r="N1718" i="24"/>
  <c r="P1717" i="24"/>
  <c r="P1715" i="24"/>
  <c r="P1713" i="24"/>
  <c r="P1711" i="24"/>
  <c r="P1709" i="24"/>
  <c r="P1707" i="24"/>
  <c r="L1694" i="24"/>
  <c r="K1694" i="24"/>
  <c r="J1694" i="24"/>
  <c r="L1693" i="24"/>
  <c r="K1693" i="24"/>
  <c r="L1692" i="24"/>
  <c r="K1692" i="24"/>
  <c r="L1691" i="24"/>
  <c r="K1691" i="24"/>
  <c r="L1690" i="24"/>
  <c r="K1690" i="24"/>
  <c r="J1690" i="24"/>
  <c r="L1689" i="24"/>
  <c r="K1689" i="24"/>
  <c r="J1689" i="24"/>
  <c r="N1681" i="24"/>
  <c r="P1680" i="24"/>
  <c r="N1680" i="24"/>
  <c r="N1679" i="24"/>
  <c r="P1678" i="24"/>
  <c r="P1676" i="24"/>
  <c r="P1674" i="24"/>
  <c r="P1672" i="24"/>
  <c r="P1670" i="24"/>
  <c r="L1657" i="24"/>
  <c r="K1657" i="24"/>
  <c r="J1657" i="24"/>
  <c r="L1656" i="24"/>
  <c r="K1656" i="24"/>
  <c r="L1655" i="24"/>
  <c r="K1655" i="24"/>
  <c r="L1654" i="24"/>
  <c r="K1654" i="24"/>
  <c r="L1653" i="24"/>
  <c r="K1653" i="24"/>
  <c r="J1653" i="24"/>
  <c r="L1652" i="24"/>
  <c r="K1652" i="24"/>
  <c r="J1652" i="24"/>
  <c r="N1644" i="24"/>
  <c r="P1643" i="24"/>
  <c r="N1643" i="24"/>
  <c r="N1642" i="24"/>
  <c r="P1641" i="24"/>
  <c r="P1639" i="24"/>
  <c r="P1637" i="24"/>
  <c r="P1635" i="24"/>
  <c r="P1633" i="24"/>
  <c r="L1620" i="24"/>
  <c r="K1620" i="24"/>
  <c r="J1620" i="24"/>
  <c r="L1619" i="24"/>
  <c r="K1619" i="24"/>
  <c r="L1618" i="24"/>
  <c r="K1618" i="24"/>
  <c r="J1618" i="24"/>
  <c r="L1617" i="24"/>
  <c r="K1617" i="24"/>
  <c r="L1616" i="24"/>
  <c r="K1616" i="24"/>
  <c r="L1615" i="24"/>
  <c r="K1615" i="24"/>
  <c r="J1615" i="24"/>
  <c r="N1607" i="24"/>
  <c r="P1606" i="24"/>
  <c r="N1606" i="24"/>
  <c r="N1605" i="24"/>
  <c r="P1604" i="24"/>
  <c r="P1602" i="24"/>
  <c r="P1600" i="24"/>
  <c r="P1598" i="24"/>
  <c r="P1596" i="24"/>
  <c r="L1583" i="24"/>
  <c r="K1583" i="24"/>
  <c r="J1583" i="24"/>
  <c r="L1582" i="24"/>
  <c r="K1582" i="24"/>
  <c r="L1581" i="24"/>
  <c r="K1581" i="24"/>
  <c r="J1581" i="24"/>
  <c r="L1580" i="24"/>
  <c r="K1580" i="24"/>
  <c r="L1579" i="24"/>
  <c r="K1579" i="24"/>
  <c r="L1578" i="24"/>
  <c r="K1578" i="24"/>
  <c r="J1578" i="24"/>
  <c r="N1570" i="24"/>
  <c r="P1569" i="24"/>
  <c r="N1569" i="24"/>
  <c r="N1568" i="24"/>
  <c r="P1567" i="24"/>
  <c r="P1565" i="24"/>
  <c r="P1563" i="24"/>
  <c r="P1561" i="24"/>
  <c r="P1559" i="24"/>
  <c r="L1546" i="24"/>
  <c r="K1546" i="24"/>
  <c r="J1546" i="24"/>
  <c r="L1545" i="24"/>
  <c r="K1545" i="24"/>
  <c r="L1544" i="24"/>
  <c r="K1544" i="24"/>
  <c r="J1544" i="24"/>
  <c r="L1543" i="24"/>
  <c r="K1543" i="24"/>
  <c r="L1542" i="24"/>
  <c r="K1542" i="24"/>
  <c r="L1541" i="24"/>
  <c r="K1541" i="24"/>
  <c r="J1541" i="24"/>
  <c r="N1533" i="24"/>
  <c r="P1532" i="24"/>
  <c r="N1532" i="24"/>
  <c r="N1531" i="24"/>
  <c r="P1530" i="24"/>
  <c r="P1528" i="24"/>
  <c r="P1526" i="24"/>
  <c r="P1524" i="24"/>
  <c r="L1509" i="24"/>
  <c r="K1509" i="24"/>
  <c r="J1509" i="24"/>
  <c r="L1508" i="24"/>
  <c r="K1508" i="24"/>
  <c r="L1507" i="24"/>
  <c r="K1507" i="24"/>
  <c r="L1506" i="24"/>
  <c r="K1506" i="24"/>
  <c r="L1505" i="24"/>
  <c r="K1505" i="24"/>
  <c r="J1505" i="24"/>
  <c r="L1504" i="24"/>
  <c r="K1504" i="24"/>
  <c r="J1504" i="24"/>
  <c r="N1496" i="24"/>
  <c r="P1495" i="24"/>
  <c r="N1495" i="24"/>
  <c r="N1494" i="24"/>
  <c r="P1493" i="24"/>
  <c r="I1492" i="24"/>
  <c r="P1491" i="24"/>
  <c r="I1490" i="24"/>
  <c r="P1489" i="24"/>
  <c r="I1488" i="24"/>
  <c r="P1487" i="24"/>
  <c r="I1486" i="24"/>
  <c r="P1485" i="24"/>
  <c r="I1484" i="24"/>
  <c r="P1483" i="24"/>
  <c r="D1471" i="24"/>
  <c r="C1471" i="24"/>
  <c r="B1471" i="24"/>
  <c r="L1470" i="24"/>
  <c r="K1470" i="24"/>
  <c r="J1470" i="24"/>
  <c r="D1470" i="24"/>
  <c r="C1470" i="24"/>
  <c r="L1469" i="24"/>
  <c r="K1469" i="24"/>
  <c r="D1469" i="24"/>
  <c r="C1469" i="24"/>
  <c r="L1468" i="24"/>
  <c r="K1468" i="24"/>
  <c r="D1468" i="24"/>
  <c r="C1468" i="24"/>
  <c r="L1467" i="24"/>
  <c r="K1467" i="24"/>
  <c r="D1467" i="24"/>
  <c r="C1467" i="24"/>
  <c r="B1467" i="24"/>
  <c r="L1466" i="24"/>
  <c r="K1466" i="24"/>
  <c r="J1466" i="24"/>
  <c r="D1466" i="24"/>
  <c r="C1466" i="24"/>
  <c r="B1466" i="24"/>
  <c r="L1465" i="24"/>
  <c r="K1465" i="24"/>
  <c r="J1465" i="24"/>
  <c r="F1458" i="24"/>
  <c r="N1457" i="24"/>
  <c r="F1457" i="24"/>
  <c r="N1456" i="24"/>
  <c r="F1456" i="24"/>
  <c r="N1455" i="24"/>
  <c r="H1455" i="24"/>
  <c r="P1454" i="24"/>
  <c r="H1453" i="24"/>
  <c r="P1452" i="24"/>
  <c r="A1452" i="24"/>
  <c r="H1451" i="24"/>
  <c r="A1448" i="24"/>
  <c r="H1447" i="24"/>
  <c r="P1446" i="24"/>
  <c r="A1446" i="24"/>
  <c r="H1445" i="24"/>
  <c r="P1444" i="24"/>
  <c r="A1444" i="24"/>
  <c r="D1432" i="24"/>
  <c r="C1432" i="24"/>
  <c r="B1432" i="24"/>
  <c r="L1431" i="24"/>
  <c r="K1431" i="24"/>
  <c r="J1431" i="24"/>
  <c r="D1431" i="24"/>
  <c r="C1431" i="24"/>
  <c r="L1430" i="24"/>
  <c r="K1430" i="24"/>
  <c r="D1430" i="24"/>
  <c r="C1430" i="24"/>
  <c r="L1429" i="24"/>
  <c r="K1429" i="24"/>
  <c r="J1429" i="24"/>
  <c r="D1429" i="24"/>
  <c r="C1429" i="24"/>
  <c r="B1429" i="24"/>
  <c r="L1428" i="24"/>
  <c r="K1428" i="24"/>
  <c r="D1428" i="24"/>
  <c r="C1428" i="24"/>
  <c r="B1428" i="24"/>
  <c r="L1427" i="24"/>
  <c r="K1427" i="24"/>
  <c r="L1426" i="24"/>
  <c r="K1426" i="24"/>
  <c r="J1426" i="24"/>
  <c r="F1420" i="24"/>
  <c r="F1419" i="24"/>
  <c r="N1418" i="24"/>
  <c r="F1418" i="24"/>
  <c r="N1417" i="24"/>
  <c r="H1417" i="24"/>
  <c r="N1416" i="24"/>
  <c r="P1415" i="24"/>
  <c r="H1415" i="24"/>
  <c r="A1414" i="24"/>
  <c r="P1413" i="24"/>
  <c r="H1413" i="24"/>
  <c r="A1412" i="24"/>
  <c r="P1411" i="24"/>
  <c r="H1411" i="24"/>
  <c r="A1410" i="24"/>
  <c r="P1409" i="24"/>
  <c r="H1409" i="24"/>
  <c r="A1408" i="24"/>
  <c r="P1407" i="24"/>
  <c r="D1396" i="24"/>
  <c r="C1396" i="24"/>
  <c r="B1396" i="24"/>
  <c r="D1395" i="24"/>
  <c r="C1395" i="24"/>
  <c r="L1394" i="24"/>
  <c r="K1394" i="24"/>
  <c r="J1394" i="24"/>
  <c r="D1394" i="24"/>
  <c r="C1394" i="24"/>
  <c r="L1393" i="24"/>
  <c r="K1393" i="24"/>
  <c r="D1393" i="24"/>
  <c r="C1393" i="24"/>
  <c r="L1392" i="24"/>
  <c r="K1392" i="24"/>
  <c r="D1392" i="24"/>
  <c r="C1392" i="24"/>
  <c r="B1392" i="24"/>
  <c r="L1391" i="24"/>
  <c r="K1391" i="24"/>
  <c r="D1391" i="24"/>
  <c r="C1391" i="24"/>
  <c r="B1391" i="24"/>
  <c r="L1390" i="24"/>
  <c r="K1390" i="24"/>
  <c r="J1390" i="24"/>
  <c r="L1389" i="24"/>
  <c r="K1389" i="24"/>
  <c r="J1389" i="24"/>
  <c r="F1383" i="24"/>
  <c r="F1382" i="24"/>
  <c r="N1381" i="24"/>
  <c r="F1381" i="24"/>
  <c r="P1380" i="24"/>
  <c r="N1380" i="24"/>
  <c r="H1380" i="24"/>
  <c r="N1379" i="24"/>
  <c r="P1378" i="24"/>
  <c r="H1378" i="24"/>
  <c r="A1377" i="24"/>
  <c r="P1376" i="24"/>
  <c r="H1376" i="24"/>
  <c r="A1375" i="24"/>
  <c r="P1374" i="24"/>
  <c r="H1374" i="24"/>
  <c r="I1373" i="24"/>
  <c r="A1373" i="24"/>
  <c r="P1372" i="24"/>
  <c r="H1372" i="24"/>
  <c r="I1371" i="24"/>
  <c r="A1371" i="24"/>
  <c r="P1370" i="24"/>
  <c r="D1359" i="24"/>
  <c r="C1359" i="24"/>
  <c r="B1359" i="24"/>
  <c r="D1358" i="24"/>
  <c r="C1358" i="24"/>
  <c r="L1357" i="24"/>
  <c r="K1357" i="24"/>
  <c r="J1357" i="24"/>
  <c r="D1357" i="24"/>
  <c r="C1357" i="24"/>
  <c r="L1356" i="24"/>
  <c r="K1356" i="24"/>
  <c r="D1356" i="24"/>
  <c r="C1356" i="24"/>
  <c r="L1355" i="24"/>
  <c r="K1355" i="24"/>
  <c r="D1355" i="24"/>
  <c r="C1355" i="24"/>
  <c r="B1355" i="24"/>
  <c r="L1354" i="24"/>
  <c r="K1354" i="24"/>
  <c r="D1354" i="24"/>
  <c r="C1354" i="24"/>
  <c r="B1354" i="24"/>
  <c r="L1353" i="24"/>
  <c r="K1353" i="24"/>
  <c r="L1352" i="24"/>
  <c r="K1352" i="24"/>
  <c r="J1352" i="24"/>
  <c r="F1346" i="24"/>
  <c r="F1345" i="24"/>
  <c r="N1344" i="24"/>
  <c r="F1344" i="24"/>
  <c r="P1343" i="24"/>
  <c r="N1343" i="24"/>
  <c r="H1343" i="24"/>
  <c r="N1342" i="24"/>
  <c r="A1342" i="24"/>
  <c r="P1341" i="24"/>
  <c r="H1341" i="24"/>
  <c r="I1340" i="24"/>
  <c r="A1340" i="24"/>
  <c r="P1339" i="24"/>
  <c r="H1339" i="24"/>
  <c r="I1338" i="24"/>
  <c r="A1338" i="24"/>
  <c r="P1337" i="24"/>
  <c r="H1337" i="24"/>
  <c r="I1336" i="24"/>
  <c r="A1336" i="24"/>
  <c r="P1335" i="24"/>
  <c r="H1335" i="24"/>
  <c r="I1334" i="24"/>
  <c r="A1334" i="24"/>
  <c r="P1333" i="24"/>
  <c r="H1333" i="24"/>
  <c r="A1332" i="24"/>
  <c r="L1320" i="24"/>
  <c r="K1320" i="24"/>
  <c r="J1320" i="24"/>
  <c r="D1320" i="24"/>
  <c r="C1320" i="24"/>
  <c r="B1320" i="24"/>
  <c r="L1319" i="24"/>
  <c r="K1319" i="24"/>
  <c r="D1319" i="24"/>
  <c r="C1319" i="24"/>
  <c r="L1318" i="24"/>
  <c r="K1318" i="24"/>
  <c r="D1318" i="24"/>
  <c r="C1318" i="24"/>
  <c r="L1317" i="24"/>
  <c r="K1317" i="24"/>
  <c r="D1317" i="24"/>
  <c r="C1317" i="24"/>
  <c r="L1316" i="24"/>
  <c r="K1316" i="24"/>
  <c r="J1316" i="24"/>
  <c r="D1316" i="24"/>
  <c r="C1316" i="24"/>
  <c r="B1316" i="24"/>
  <c r="L1315" i="24"/>
  <c r="K1315" i="24"/>
  <c r="J1315" i="24"/>
  <c r="D1315" i="24"/>
  <c r="C1315" i="24"/>
  <c r="B1315" i="24"/>
  <c r="N1307" i="24"/>
  <c r="F1307" i="24"/>
  <c r="P1306" i="24"/>
  <c r="N1306" i="24"/>
  <c r="F1306" i="24"/>
  <c r="N1305" i="24"/>
  <c r="F1305" i="24"/>
  <c r="P1304" i="24"/>
  <c r="H1304" i="24"/>
  <c r="I1303" i="24"/>
  <c r="A1303" i="24"/>
  <c r="P1302" i="24"/>
  <c r="H1302" i="24"/>
  <c r="I1301" i="24"/>
  <c r="A1301" i="24"/>
  <c r="P1300" i="24"/>
  <c r="H1300" i="24"/>
  <c r="I1299" i="24"/>
  <c r="A1299" i="24"/>
  <c r="P1298" i="24"/>
  <c r="H1298" i="24"/>
  <c r="I1297" i="24"/>
  <c r="A1297" i="24"/>
  <c r="P1296" i="24"/>
  <c r="H1296" i="24"/>
  <c r="A1295" i="24"/>
  <c r="L1283" i="24"/>
  <c r="K1283" i="24"/>
  <c r="J1283" i="24"/>
  <c r="D1283" i="24"/>
  <c r="C1283" i="24"/>
  <c r="B1283" i="24"/>
  <c r="L1282" i="24"/>
  <c r="K1282" i="24"/>
  <c r="D1282" i="24"/>
  <c r="C1282" i="24"/>
  <c r="L1281" i="24"/>
  <c r="K1281" i="24"/>
  <c r="J1281" i="24"/>
  <c r="D1281" i="24"/>
  <c r="C1281" i="24"/>
  <c r="L1280" i="24"/>
  <c r="K1280" i="24"/>
  <c r="D1280" i="24"/>
  <c r="C1280" i="24"/>
  <c r="L1279" i="24"/>
  <c r="K1279" i="24"/>
  <c r="D1279" i="24"/>
  <c r="C1279" i="24"/>
  <c r="B1279" i="24"/>
  <c r="L1278" i="24"/>
  <c r="K1278" i="24"/>
  <c r="J1278" i="24"/>
  <c r="D1278" i="24"/>
  <c r="C1278" i="24"/>
  <c r="B1278" i="24"/>
  <c r="N1270" i="24"/>
  <c r="F1270" i="24"/>
  <c r="N1269" i="24"/>
  <c r="F1269" i="24"/>
  <c r="N1268" i="24"/>
  <c r="F1268" i="24"/>
  <c r="H1267" i="24"/>
  <c r="A1266" i="24"/>
  <c r="H1265" i="24"/>
  <c r="A1264" i="24"/>
  <c r="H1263" i="24"/>
  <c r="A1262" i="24"/>
  <c r="H1261" i="24"/>
  <c r="P1260" i="24"/>
  <c r="A1260" i="24"/>
  <c r="H1259" i="24"/>
  <c r="P1258" i="24"/>
  <c r="A1258" i="24"/>
  <c r="L1246" i="24"/>
  <c r="K1246" i="24"/>
  <c r="J1246" i="24"/>
  <c r="D1246" i="24"/>
  <c r="C1246" i="24"/>
  <c r="B1246" i="24"/>
  <c r="L1245" i="24"/>
  <c r="K1245" i="24"/>
  <c r="D1245" i="24"/>
  <c r="C1245" i="24"/>
  <c r="L1244" i="24"/>
  <c r="K1244" i="24"/>
  <c r="J1244" i="24"/>
  <c r="D1244" i="24"/>
  <c r="C1244" i="24"/>
  <c r="L1243" i="24"/>
  <c r="K1243" i="24"/>
  <c r="D1243" i="24"/>
  <c r="C1243" i="24"/>
  <c r="L1242" i="24"/>
  <c r="K1242" i="24"/>
  <c r="J1242" i="24"/>
  <c r="D1242" i="24"/>
  <c r="C1242" i="24"/>
  <c r="B1242" i="24"/>
  <c r="L1241" i="24"/>
  <c r="K1241" i="24"/>
  <c r="J1241" i="24"/>
  <c r="D1241" i="24"/>
  <c r="C1241" i="24"/>
  <c r="B1241" i="24"/>
  <c r="N1233" i="24"/>
  <c r="F1233" i="24"/>
  <c r="N1232" i="24"/>
  <c r="F1232" i="24"/>
  <c r="N1231" i="24"/>
  <c r="F1231" i="24"/>
  <c r="P1230" i="24"/>
  <c r="H1230" i="24"/>
  <c r="A1229" i="24"/>
  <c r="P1228" i="24"/>
  <c r="H1228" i="24"/>
  <c r="A1227" i="24"/>
  <c r="P1226" i="24"/>
  <c r="H1226" i="24"/>
  <c r="A1225" i="24"/>
  <c r="H1224" i="24"/>
  <c r="P1223" i="24"/>
  <c r="A1223" i="24"/>
  <c r="H1222" i="24"/>
  <c r="P1221" i="24"/>
  <c r="A1221" i="24"/>
  <c r="L1209" i="24"/>
  <c r="K1209" i="24"/>
  <c r="J1209" i="24"/>
  <c r="D1209" i="24"/>
  <c r="C1209" i="24"/>
  <c r="B1209" i="24"/>
  <c r="L1208" i="24"/>
  <c r="K1208" i="24"/>
  <c r="D1208" i="24"/>
  <c r="C1208" i="24"/>
  <c r="L1207" i="24"/>
  <c r="K1207" i="24"/>
  <c r="D1207" i="24"/>
  <c r="C1207" i="24"/>
  <c r="L1206" i="24"/>
  <c r="K1206" i="24"/>
  <c r="D1206" i="24"/>
  <c r="C1206" i="24"/>
  <c r="L1205" i="24"/>
  <c r="K1205" i="24"/>
  <c r="J1205" i="24"/>
  <c r="D1205" i="24"/>
  <c r="C1205" i="24"/>
  <c r="B1205" i="24"/>
  <c r="L1204" i="24"/>
  <c r="K1204" i="24"/>
  <c r="J1204" i="24"/>
  <c r="D1204" i="24"/>
  <c r="C1204" i="24"/>
  <c r="B1204" i="24"/>
  <c r="N1196" i="24"/>
  <c r="F1196" i="24"/>
  <c r="P1195" i="24"/>
  <c r="N1195" i="24"/>
  <c r="F1195" i="24"/>
  <c r="N1194" i="24"/>
  <c r="F1194" i="24"/>
  <c r="H1193" i="24"/>
  <c r="P1191" i="24"/>
  <c r="I1190" i="24"/>
  <c r="H1189" i="24"/>
  <c r="I1188" i="24"/>
  <c r="H1187" i="24"/>
  <c r="I1186" i="24"/>
  <c r="A1186" i="24"/>
  <c r="H1185" i="24"/>
  <c r="P1184" i="24"/>
  <c r="I1184" i="24"/>
  <c r="A1184" i="24"/>
  <c r="H1183" i="24"/>
  <c r="P1182" i="24"/>
  <c r="A1182" i="24"/>
  <c r="L1170" i="24"/>
  <c r="K1170" i="24"/>
  <c r="J1170" i="24"/>
  <c r="D1170" i="24"/>
  <c r="C1170" i="24"/>
  <c r="B1170" i="24"/>
  <c r="L1169" i="24"/>
  <c r="K1169" i="24"/>
  <c r="D1169" i="24"/>
  <c r="C1169" i="24"/>
  <c r="L1168" i="24"/>
  <c r="K1168" i="24"/>
  <c r="J1168" i="24"/>
  <c r="D1168" i="24"/>
  <c r="C1168" i="24"/>
  <c r="L1167" i="24"/>
  <c r="K1167" i="24"/>
  <c r="D1167" i="24"/>
  <c r="C1167" i="24"/>
  <c r="L1166" i="24"/>
  <c r="K1166" i="24"/>
  <c r="J1166" i="24"/>
  <c r="D1166" i="24"/>
  <c r="C1166" i="24"/>
  <c r="B1166" i="24"/>
  <c r="L1165" i="24"/>
  <c r="K1165" i="24"/>
  <c r="J1165" i="24"/>
  <c r="D1165" i="24"/>
  <c r="C1165" i="24"/>
  <c r="B1165" i="24"/>
  <c r="N1157" i="24"/>
  <c r="F1157" i="24"/>
  <c r="N1156" i="24"/>
  <c r="F1156" i="24"/>
  <c r="N1155" i="24"/>
  <c r="F1155" i="24"/>
  <c r="H1154" i="24"/>
  <c r="P1153" i="24"/>
  <c r="I1153" i="24"/>
  <c r="H1152" i="24"/>
  <c r="P1151" i="24"/>
  <c r="I1151" i="24"/>
  <c r="P1149" i="24"/>
  <c r="I1149" i="24"/>
  <c r="P1148" i="24"/>
  <c r="H1148" i="24"/>
  <c r="I1147" i="24"/>
  <c r="A1147" i="24"/>
  <c r="H1146" i="24"/>
  <c r="P1145" i="24"/>
  <c r="A1145" i="24"/>
  <c r="L1133" i="24"/>
  <c r="K1133" i="24"/>
  <c r="J1133" i="24"/>
  <c r="D1133" i="24"/>
  <c r="C1133" i="24"/>
  <c r="B1133" i="24"/>
  <c r="L1132" i="24"/>
  <c r="K1132" i="24"/>
  <c r="D1132" i="24"/>
  <c r="C1132" i="24"/>
  <c r="L1131" i="24"/>
  <c r="K1131" i="24"/>
  <c r="D1131" i="24"/>
  <c r="C1131" i="24"/>
  <c r="L1130" i="24"/>
  <c r="K1130" i="24"/>
  <c r="D1130" i="24"/>
  <c r="C1130" i="24"/>
  <c r="L1129" i="24"/>
  <c r="K1129" i="24"/>
  <c r="J1129" i="24"/>
  <c r="D1129" i="24"/>
  <c r="C1129" i="24"/>
  <c r="B1129" i="24"/>
  <c r="L1128" i="24"/>
  <c r="K1128" i="24"/>
  <c r="J1128" i="24"/>
  <c r="D1128" i="24"/>
  <c r="C1128" i="24"/>
  <c r="B1128" i="24"/>
  <c r="N1120" i="24"/>
  <c r="F1120" i="24"/>
  <c r="N1119" i="24"/>
  <c r="F1119" i="24"/>
  <c r="N1118" i="24"/>
  <c r="F1118" i="24"/>
  <c r="P1117" i="24"/>
  <c r="H1117" i="24"/>
  <c r="I1116" i="24"/>
  <c r="P1115" i="24"/>
  <c r="H1115" i="24"/>
  <c r="I1114" i="24"/>
  <c r="P1113" i="24"/>
  <c r="I1112" i="24"/>
  <c r="H1111" i="24"/>
  <c r="I1110" i="24"/>
  <c r="P1109" i="24"/>
  <c r="H1109" i="24"/>
  <c r="P1108" i="24"/>
  <c r="L1096" i="24"/>
  <c r="K1096" i="24"/>
  <c r="J1096" i="24"/>
  <c r="D1096" i="24"/>
  <c r="C1096" i="24"/>
  <c r="B1096" i="24"/>
  <c r="L1095" i="24"/>
  <c r="K1095" i="24"/>
  <c r="D1095" i="24"/>
  <c r="C1095" i="24"/>
  <c r="L1094" i="24"/>
  <c r="K1094" i="24"/>
  <c r="J1094" i="24"/>
  <c r="D1094" i="24"/>
  <c r="C1094" i="24"/>
  <c r="L1093" i="24"/>
  <c r="K1093" i="24"/>
  <c r="D1093" i="24"/>
  <c r="C1093" i="24"/>
  <c r="L1092" i="24"/>
  <c r="K1092" i="24"/>
  <c r="J1092" i="24"/>
  <c r="D1092" i="24"/>
  <c r="C1092" i="24"/>
  <c r="B1092" i="24"/>
  <c r="L1091" i="24"/>
  <c r="K1091" i="24"/>
  <c r="J1091" i="24"/>
  <c r="D1091" i="24"/>
  <c r="C1091" i="24"/>
  <c r="B1091" i="24"/>
  <c r="N1083" i="24"/>
  <c r="F1083" i="24"/>
  <c r="N1082" i="24"/>
  <c r="F1082" i="24"/>
  <c r="N1081" i="24"/>
  <c r="F1081" i="24"/>
  <c r="P1080" i="24"/>
  <c r="I1079" i="24"/>
  <c r="P1078" i="24"/>
  <c r="I1077" i="24"/>
  <c r="P1076" i="24"/>
  <c r="I1075" i="24"/>
  <c r="P1074" i="24"/>
  <c r="H1074" i="24"/>
  <c r="I1073" i="24"/>
  <c r="A1073" i="24"/>
  <c r="P1072" i="24"/>
  <c r="H1072" i="24"/>
  <c r="I1071" i="24"/>
  <c r="A1071" i="24"/>
  <c r="P1070" i="24"/>
  <c r="H1070" i="24"/>
  <c r="A1069" i="24"/>
  <c r="L1057" i="24"/>
  <c r="K1057" i="24"/>
  <c r="J1057" i="24"/>
  <c r="D1057" i="24"/>
  <c r="C1057" i="24"/>
  <c r="B1057" i="24"/>
  <c r="L1056" i="24"/>
  <c r="K1056" i="24"/>
  <c r="D1056" i="24"/>
  <c r="C1056" i="24"/>
  <c r="L1055" i="24"/>
  <c r="K1055" i="24"/>
  <c r="J1055" i="24"/>
  <c r="D1055" i="24"/>
  <c r="C1055" i="24"/>
  <c r="L1054" i="24"/>
  <c r="K1054" i="24"/>
  <c r="J1054" i="24"/>
  <c r="D1054" i="24"/>
  <c r="C1054" i="24"/>
  <c r="L1053" i="24"/>
  <c r="K1053" i="24"/>
  <c r="J1053" i="24"/>
  <c r="D1053" i="24"/>
  <c r="C1053" i="24"/>
  <c r="B1053" i="24"/>
  <c r="L1052" i="24"/>
  <c r="K1052" i="24"/>
  <c r="J1052" i="24"/>
  <c r="D1052" i="24"/>
  <c r="C1052" i="24"/>
  <c r="B1052" i="24"/>
  <c r="N1044" i="24"/>
  <c r="F1044" i="24"/>
  <c r="N1043" i="24"/>
  <c r="F1043" i="24"/>
  <c r="N1042" i="24"/>
  <c r="F1042" i="24"/>
  <c r="P1041" i="24"/>
  <c r="H1041" i="24"/>
  <c r="I1040" i="24"/>
  <c r="P1039" i="24"/>
  <c r="H1039" i="24"/>
  <c r="I1038" i="24"/>
  <c r="P1037" i="24"/>
  <c r="H1037" i="24"/>
  <c r="I1036" i="24"/>
  <c r="A1036" i="24"/>
  <c r="P1035" i="24"/>
  <c r="H1035" i="24"/>
  <c r="H1034" i="24"/>
  <c r="A1034" i="24"/>
  <c r="L1022" i="24"/>
  <c r="K1022" i="24"/>
  <c r="J1022" i="24"/>
  <c r="D1022" i="24"/>
  <c r="C1022" i="24"/>
  <c r="L1021" i="24"/>
  <c r="K1021" i="24"/>
  <c r="D1021" i="24"/>
  <c r="C1021" i="24"/>
  <c r="L1020" i="24"/>
  <c r="K1020" i="24"/>
  <c r="J1020" i="24"/>
  <c r="D1020" i="24"/>
  <c r="C1020" i="24"/>
  <c r="B1020" i="24"/>
  <c r="L1019" i="24"/>
  <c r="K1019" i="24"/>
  <c r="D1019" i="24"/>
  <c r="C1019" i="24"/>
  <c r="B1019" i="24"/>
  <c r="L1018" i="24"/>
  <c r="K1018" i="24"/>
  <c r="J1018" i="24"/>
  <c r="L1017" i="24"/>
  <c r="K1017" i="24"/>
  <c r="J1017" i="24"/>
  <c r="F1011" i="24"/>
  <c r="F1010" i="24"/>
  <c r="N1009" i="24"/>
  <c r="F1009" i="24"/>
  <c r="P1008" i="24"/>
  <c r="N1008" i="24"/>
  <c r="H1008" i="24"/>
  <c r="N1007" i="24"/>
  <c r="A1007" i="24"/>
  <c r="P1006" i="24"/>
  <c r="H1006" i="24"/>
  <c r="I1005" i="24"/>
  <c r="A1005" i="24"/>
  <c r="P1004" i="24"/>
  <c r="H1004" i="24"/>
  <c r="I1003" i="24"/>
  <c r="A1003" i="24"/>
  <c r="P1002" i="24"/>
  <c r="H1002" i="24"/>
  <c r="I1001" i="24"/>
  <c r="A1001" i="24"/>
  <c r="P1000" i="24"/>
  <c r="H999" i="24"/>
  <c r="A999" i="24"/>
  <c r="P997" i="24"/>
  <c r="D987" i="24"/>
  <c r="C987" i="24"/>
  <c r="B987" i="24"/>
  <c r="D986" i="24"/>
  <c r="C986" i="24"/>
  <c r="L985" i="24"/>
  <c r="K985" i="24"/>
  <c r="J985" i="24"/>
  <c r="D985" i="24"/>
  <c r="C985" i="24"/>
  <c r="L984" i="24"/>
  <c r="K984" i="24"/>
  <c r="D984" i="24"/>
  <c r="C984" i="24"/>
  <c r="L983" i="24"/>
  <c r="K983" i="24"/>
  <c r="J983" i="24"/>
  <c r="D983" i="24"/>
  <c r="C983" i="24"/>
  <c r="B983" i="24"/>
  <c r="L982" i="24"/>
  <c r="K982" i="24"/>
  <c r="D982" i="24"/>
  <c r="C982" i="24"/>
  <c r="B982" i="24"/>
  <c r="L981" i="24"/>
  <c r="K981" i="24"/>
  <c r="J981" i="24"/>
  <c r="L980" i="24"/>
  <c r="K980" i="24"/>
  <c r="F974" i="24"/>
  <c r="F973" i="24"/>
  <c r="N972" i="24"/>
  <c r="F972" i="24"/>
  <c r="P971" i="24"/>
  <c r="N971" i="24"/>
  <c r="H971" i="24"/>
  <c r="N970" i="24"/>
  <c r="P969" i="24"/>
  <c r="H969" i="24"/>
  <c r="A968" i="24"/>
  <c r="H967" i="24"/>
  <c r="A966" i="24"/>
  <c r="P965" i="24"/>
  <c r="I964" i="24"/>
  <c r="P963" i="24"/>
  <c r="H963" i="24"/>
  <c r="I962" i="24"/>
  <c r="A962" i="24"/>
  <c r="P961" i="24"/>
  <c r="H961" i="24"/>
  <c r="I960" i="24"/>
  <c r="H960" i="24"/>
  <c r="A960" i="24"/>
  <c r="P959" i="24"/>
  <c r="D948" i="24"/>
  <c r="C948" i="24"/>
  <c r="B948" i="24"/>
  <c r="D947" i="24"/>
  <c r="C947" i="24"/>
  <c r="L946" i="24"/>
  <c r="K946" i="24"/>
  <c r="J946" i="24"/>
  <c r="D946" i="24"/>
  <c r="C946" i="24"/>
  <c r="B946" i="24"/>
  <c r="L945" i="24"/>
  <c r="K945" i="24"/>
  <c r="D945" i="24"/>
  <c r="C945" i="24"/>
  <c r="L944" i="24"/>
  <c r="K944" i="24"/>
  <c r="J944" i="24"/>
  <c r="D944" i="24"/>
  <c r="C944" i="24"/>
  <c r="B944" i="24"/>
  <c r="L943" i="24"/>
  <c r="K943" i="24"/>
  <c r="D943" i="24"/>
  <c r="C943" i="24"/>
  <c r="B943" i="24"/>
  <c r="L942" i="24"/>
  <c r="K942" i="24"/>
  <c r="J942" i="24"/>
  <c r="L941" i="24"/>
  <c r="K941" i="24"/>
  <c r="J941" i="24"/>
  <c r="F935" i="24"/>
  <c r="F934" i="24"/>
  <c r="N933" i="24"/>
  <c r="F933" i="24"/>
  <c r="P932" i="24"/>
  <c r="N932" i="24"/>
  <c r="H932" i="24"/>
  <c r="N931" i="24"/>
  <c r="H930" i="24"/>
  <c r="H928" i="24"/>
  <c r="H924" i="24"/>
  <c r="P922" i="24"/>
  <c r="H922" i="24"/>
  <c r="I921" i="24"/>
  <c r="H921" i="24"/>
  <c r="A921" i="24"/>
  <c r="P920" i="24"/>
  <c r="D909" i="24"/>
  <c r="C909" i="24"/>
  <c r="B909" i="24"/>
  <c r="D908" i="24"/>
  <c r="C908" i="24"/>
  <c r="L907" i="24"/>
  <c r="K907" i="24"/>
  <c r="J907" i="24"/>
  <c r="D907" i="24"/>
  <c r="C907" i="24"/>
  <c r="B907" i="24"/>
  <c r="L906" i="24"/>
  <c r="K906" i="24"/>
  <c r="D906" i="24"/>
  <c r="C906" i="24"/>
  <c r="L905" i="24"/>
  <c r="K905" i="24"/>
  <c r="J905" i="24"/>
  <c r="D905" i="24"/>
  <c r="C905" i="24"/>
  <c r="B905" i="24"/>
  <c r="L904" i="24"/>
  <c r="K904" i="24"/>
  <c r="D904" i="24"/>
  <c r="C904" i="24"/>
  <c r="B904" i="24"/>
  <c r="L903" i="24"/>
  <c r="K903" i="24"/>
  <c r="J903" i="24"/>
  <c r="L902" i="24"/>
  <c r="K902" i="24"/>
  <c r="J902" i="24"/>
  <c r="F896" i="24"/>
  <c r="F895" i="24"/>
  <c r="N894" i="24"/>
  <c r="F894" i="24"/>
  <c r="P893" i="24"/>
  <c r="N893" i="24"/>
  <c r="H893" i="24"/>
  <c r="N892" i="24"/>
  <c r="P891" i="24"/>
  <c r="H891" i="24"/>
  <c r="P889" i="24"/>
  <c r="H889" i="24"/>
  <c r="A888" i="24"/>
  <c r="P887" i="24"/>
  <c r="H887" i="24"/>
  <c r="I886" i="24"/>
  <c r="A886" i="24"/>
  <c r="P885" i="24"/>
  <c r="H885" i="24"/>
  <c r="I884" i="24"/>
  <c r="A884" i="24"/>
  <c r="P883" i="24"/>
  <c r="I882" i="24"/>
  <c r="D872" i="24"/>
  <c r="C872" i="24"/>
  <c r="B872" i="24"/>
  <c r="D871" i="24"/>
  <c r="C871" i="24"/>
  <c r="L870" i="24"/>
  <c r="K870" i="24"/>
  <c r="J870" i="24"/>
  <c r="D870" i="24"/>
  <c r="C870" i="24"/>
  <c r="B870" i="24"/>
  <c r="L869" i="24"/>
  <c r="K869" i="24"/>
  <c r="D869" i="24"/>
  <c r="C869" i="24"/>
  <c r="L868" i="24"/>
  <c r="K868" i="24"/>
  <c r="J868" i="24"/>
  <c r="D868" i="24"/>
  <c r="C868" i="24"/>
  <c r="B868" i="24"/>
  <c r="L867" i="24"/>
  <c r="K867" i="24"/>
  <c r="D867" i="24"/>
  <c r="C867" i="24"/>
  <c r="B867" i="24"/>
  <c r="L866" i="24"/>
  <c r="K866" i="24"/>
  <c r="J866" i="24"/>
  <c r="L865" i="24"/>
  <c r="K865" i="24"/>
  <c r="J865" i="24"/>
  <c r="F859" i="24"/>
  <c r="F858" i="24"/>
  <c r="N857" i="24"/>
  <c r="F857" i="24"/>
  <c r="P856" i="24"/>
  <c r="N856" i="24"/>
  <c r="H856" i="24"/>
  <c r="N855" i="24"/>
  <c r="A855" i="24"/>
  <c r="P854" i="24"/>
  <c r="H854" i="24"/>
  <c r="I853" i="24"/>
  <c r="A853" i="24"/>
  <c r="P851" i="24"/>
  <c r="I851" i="24"/>
  <c r="P850" i="24"/>
  <c r="H850" i="24"/>
  <c r="I849" i="24"/>
  <c r="A849" i="24"/>
  <c r="P848" i="24"/>
  <c r="H848" i="24"/>
  <c r="I847" i="24"/>
  <c r="A847" i="24"/>
  <c r="P846" i="24"/>
  <c r="H846" i="24"/>
  <c r="I845" i="24"/>
  <c r="A845" i="24"/>
  <c r="P844" i="24"/>
  <c r="I843" i="24"/>
  <c r="D833" i="24"/>
  <c r="C833" i="24"/>
  <c r="B833" i="24"/>
  <c r="D832" i="24"/>
  <c r="C832" i="24"/>
  <c r="L831" i="24"/>
  <c r="K831" i="24"/>
  <c r="J831" i="24"/>
  <c r="D831" i="24"/>
  <c r="C831" i="24"/>
  <c r="L830" i="24"/>
  <c r="K830" i="24"/>
  <c r="D830" i="24"/>
  <c r="C830" i="24"/>
  <c r="L829" i="24"/>
  <c r="K829" i="24"/>
  <c r="J829" i="24"/>
  <c r="D829" i="24"/>
  <c r="C829" i="24"/>
  <c r="B829" i="24"/>
  <c r="L828" i="24"/>
  <c r="K828" i="24"/>
  <c r="D828" i="24"/>
  <c r="C828" i="24"/>
  <c r="B828" i="24"/>
  <c r="L827" i="24"/>
  <c r="K827" i="24"/>
  <c r="L826" i="24"/>
  <c r="K826" i="24"/>
  <c r="F820" i="24"/>
  <c r="F819" i="24"/>
  <c r="N818" i="24"/>
  <c r="F818" i="24"/>
  <c r="N817" i="24"/>
  <c r="H817" i="24"/>
  <c r="N816" i="24"/>
  <c r="A816" i="24"/>
  <c r="H815" i="24"/>
  <c r="A814" i="24"/>
  <c r="H813" i="24"/>
  <c r="A812" i="24"/>
  <c r="H811" i="24"/>
  <c r="A810" i="24"/>
  <c r="P809" i="24"/>
  <c r="H809" i="24"/>
  <c r="A808" i="24"/>
  <c r="D798" i="24"/>
  <c r="C798" i="24"/>
  <c r="B798" i="24"/>
  <c r="D797" i="24"/>
  <c r="C797" i="24"/>
  <c r="L796" i="24"/>
  <c r="K796" i="24"/>
  <c r="J796" i="24"/>
  <c r="D796" i="24"/>
  <c r="C796" i="24"/>
  <c r="B796" i="24"/>
  <c r="L795" i="24"/>
  <c r="K795" i="24"/>
  <c r="D795" i="24"/>
  <c r="C795" i="24"/>
  <c r="L794" i="24"/>
  <c r="K794" i="24"/>
  <c r="J794" i="24"/>
  <c r="D794" i="24"/>
  <c r="C794" i="24"/>
  <c r="B794" i="24"/>
  <c r="L793" i="24"/>
  <c r="K793" i="24"/>
  <c r="D793" i="24"/>
  <c r="C793" i="24"/>
  <c r="B793" i="24"/>
  <c r="L792" i="24"/>
  <c r="K792" i="24"/>
  <c r="J792" i="24"/>
  <c r="L791" i="24"/>
  <c r="K791" i="24"/>
  <c r="J791" i="24"/>
  <c r="F785" i="24"/>
  <c r="F784" i="24"/>
  <c r="N783" i="24"/>
  <c r="F783" i="24"/>
  <c r="N782" i="24"/>
  <c r="H782" i="24"/>
  <c r="N781" i="24"/>
  <c r="H780" i="24"/>
  <c r="P778" i="24"/>
  <c r="P776" i="24"/>
  <c r="H776" i="24"/>
  <c r="A775" i="24"/>
  <c r="P774" i="24"/>
  <c r="D763" i="24"/>
  <c r="C763" i="24"/>
  <c r="B763" i="24"/>
  <c r="D762" i="24"/>
  <c r="C762" i="24"/>
  <c r="L761" i="24"/>
  <c r="K761" i="24"/>
  <c r="J761" i="24"/>
  <c r="D761" i="24"/>
  <c r="C761" i="24"/>
  <c r="L760" i="24"/>
  <c r="K760" i="24"/>
  <c r="D760" i="24"/>
  <c r="C760" i="24"/>
  <c r="L759" i="24"/>
  <c r="K759" i="24"/>
  <c r="J759" i="24"/>
  <c r="D759" i="24"/>
  <c r="C759" i="24"/>
  <c r="B759" i="24"/>
  <c r="L758" i="24"/>
  <c r="K758" i="24"/>
  <c r="D758" i="24"/>
  <c r="C758" i="24"/>
  <c r="B758" i="24"/>
  <c r="L757" i="24"/>
  <c r="K757" i="24"/>
  <c r="J757" i="24"/>
  <c r="L756" i="24"/>
  <c r="K756" i="24"/>
  <c r="J756" i="24"/>
  <c r="F750" i="24"/>
  <c r="F749" i="24"/>
  <c r="N748" i="24"/>
  <c r="F748" i="24"/>
  <c r="P747" i="24"/>
  <c r="N747" i="24"/>
  <c r="H747" i="24"/>
  <c r="N746" i="24"/>
  <c r="A746" i="24"/>
  <c r="P745" i="24"/>
  <c r="H745" i="24"/>
  <c r="A744" i="24"/>
  <c r="P743" i="24"/>
  <c r="H743" i="24"/>
  <c r="A742" i="24"/>
  <c r="P741" i="24"/>
  <c r="H741" i="24"/>
  <c r="A740" i="24"/>
  <c r="P739" i="24"/>
  <c r="P737" i="24"/>
  <c r="D726" i="24"/>
  <c r="C726" i="24"/>
  <c r="B726" i="24"/>
  <c r="D725" i="24"/>
  <c r="C725" i="24"/>
  <c r="L724" i="24"/>
  <c r="K724" i="24"/>
  <c r="J724" i="24"/>
  <c r="D724" i="24"/>
  <c r="C724" i="24"/>
  <c r="B724" i="24"/>
  <c r="L723" i="24"/>
  <c r="K723" i="24"/>
  <c r="D723" i="24"/>
  <c r="C723" i="24"/>
  <c r="L722" i="24"/>
  <c r="K722" i="24"/>
  <c r="J722" i="24"/>
  <c r="D722" i="24"/>
  <c r="C722" i="24"/>
  <c r="B722" i="24"/>
  <c r="L721" i="24"/>
  <c r="K721" i="24"/>
  <c r="D721" i="24"/>
  <c r="C721" i="24"/>
  <c r="B721" i="24"/>
  <c r="L720" i="24"/>
  <c r="K720" i="24"/>
  <c r="L719" i="24"/>
  <c r="K719" i="24"/>
  <c r="F713" i="24"/>
  <c r="F712" i="24"/>
  <c r="N711" i="24"/>
  <c r="F711" i="24"/>
  <c r="N710" i="24"/>
  <c r="H710" i="24"/>
  <c r="N709" i="24"/>
  <c r="A709" i="24"/>
  <c r="P708" i="24"/>
  <c r="H707" i="24"/>
  <c r="A707" i="24"/>
  <c r="P706" i="24"/>
  <c r="P704" i="24"/>
  <c r="H704" i="24"/>
  <c r="A703" i="24"/>
  <c r="P702" i="24"/>
  <c r="H702" i="24"/>
  <c r="A701" i="24"/>
  <c r="L689" i="24"/>
  <c r="K689" i="24"/>
  <c r="J689" i="24"/>
  <c r="D689" i="24"/>
  <c r="C689" i="24"/>
  <c r="B689" i="24"/>
  <c r="L688" i="24"/>
  <c r="K688" i="24"/>
  <c r="D688" i="24"/>
  <c r="C688" i="24"/>
  <c r="L687" i="24"/>
  <c r="K687" i="24"/>
  <c r="J687" i="24"/>
  <c r="D687" i="24"/>
  <c r="C687" i="24"/>
  <c r="L686" i="24"/>
  <c r="K686" i="24"/>
  <c r="D686" i="24"/>
  <c r="C686" i="24"/>
  <c r="L685" i="24"/>
  <c r="K685" i="24"/>
  <c r="J685" i="24"/>
  <c r="D685" i="24"/>
  <c r="C685" i="24"/>
  <c r="B685" i="24"/>
  <c r="L684" i="24"/>
  <c r="K684" i="24"/>
  <c r="J684" i="24"/>
  <c r="D684" i="24"/>
  <c r="C684" i="24"/>
  <c r="B684" i="24"/>
  <c r="N676" i="24"/>
  <c r="F676" i="24"/>
  <c r="P675" i="24"/>
  <c r="N675" i="24"/>
  <c r="F675" i="24"/>
  <c r="N674" i="24"/>
  <c r="F674" i="24"/>
  <c r="P673" i="24"/>
  <c r="H673" i="24"/>
  <c r="A672" i="24"/>
  <c r="P671" i="24"/>
  <c r="H671" i="24"/>
  <c r="A670" i="24"/>
  <c r="P669" i="24"/>
  <c r="H669" i="24"/>
  <c r="A668" i="24"/>
  <c r="P667" i="24"/>
  <c r="H667" i="24"/>
  <c r="A666" i="24"/>
  <c r="L654" i="24"/>
  <c r="K654" i="24"/>
  <c r="J654" i="24"/>
  <c r="D654" i="24"/>
  <c r="C654" i="24"/>
  <c r="B654" i="24"/>
  <c r="L653" i="24"/>
  <c r="K653" i="24"/>
  <c r="D653" i="24"/>
  <c r="C653" i="24"/>
  <c r="L652" i="24"/>
  <c r="K652" i="24"/>
  <c r="D652" i="24"/>
  <c r="C652" i="24"/>
  <c r="B652" i="24"/>
  <c r="L651" i="24"/>
  <c r="K651" i="24"/>
  <c r="D651" i="24"/>
  <c r="C651" i="24"/>
  <c r="L650" i="24"/>
  <c r="K650" i="24"/>
  <c r="J650" i="24"/>
  <c r="D650" i="24"/>
  <c r="C650" i="24"/>
  <c r="B650" i="24"/>
  <c r="L649" i="24"/>
  <c r="K649" i="24"/>
  <c r="J649" i="24"/>
  <c r="D649" i="24"/>
  <c r="C649" i="24"/>
  <c r="B649" i="24"/>
  <c r="N641" i="24"/>
  <c r="F641" i="24"/>
  <c r="P640" i="24"/>
  <c r="N640" i="24"/>
  <c r="F640" i="24"/>
  <c r="N639" i="24"/>
  <c r="F639" i="24"/>
  <c r="P638" i="24"/>
  <c r="P636" i="24"/>
  <c r="P634" i="24"/>
  <c r="H634" i="24"/>
  <c r="P632" i="24"/>
  <c r="H632" i="24"/>
  <c r="A631" i="24"/>
  <c r="P630" i="24"/>
  <c r="H630" i="24"/>
  <c r="A629" i="24"/>
  <c r="L617" i="24"/>
  <c r="K617" i="24"/>
  <c r="J617" i="24"/>
  <c r="D617" i="24"/>
  <c r="C617" i="24"/>
  <c r="B617" i="24"/>
  <c r="L616" i="24"/>
  <c r="K616" i="24"/>
  <c r="I616" i="24"/>
  <c r="L615" i="24"/>
  <c r="K615" i="24"/>
  <c r="J615" i="24"/>
  <c r="D615" i="24"/>
  <c r="C615" i="24"/>
  <c r="L614" i="24"/>
  <c r="K614" i="24"/>
  <c r="D614" i="24"/>
  <c r="C614" i="24"/>
  <c r="L613" i="24"/>
  <c r="K613" i="24"/>
  <c r="J613" i="24"/>
  <c r="D613" i="24"/>
  <c r="C613" i="24"/>
  <c r="B613" i="24"/>
  <c r="L612" i="24"/>
  <c r="K612" i="24"/>
  <c r="J612" i="24"/>
  <c r="D612" i="24"/>
  <c r="C612" i="24"/>
  <c r="B612" i="24"/>
  <c r="N604" i="24"/>
  <c r="F604" i="24"/>
  <c r="P603" i="24"/>
  <c r="N603" i="24"/>
  <c r="F603" i="24"/>
  <c r="N602" i="24"/>
  <c r="F602" i="24"/>
  <c r="P601" i="24"/>
  <c r="H601" i="24"/>
  <c r="A600" i="24"/>
  <c r="P599" i="24"/>
  <c r="P597" i="24"/>
  <c r="H597" i="24"/>
  <c r="A596" i="24"/>
  <c r="P595" i="24"/>
  <c r="P593" i="24"/>
  <c r="H593" i="24"/>
  <c r="A592" i="24"/>
  <c r="L580" i="24"/>
  <c r="K580" i="24"/>
  <c r="J580" i="24"/>
  <c r="D580" i="24"/>
  <c r="C580" i="24"/>
  <c r="B580" i="24"/>
  <c r="L579" i="24"/>
  <c r="K579" i="24"/>
  <c r="L578" i="24"/>
  <c r="K578" i="24"/>
  <c r="D578" i="24"/>
  <c r="C578" i="24"/>
  <c r="L577" i="24"/>
  <c r="K577" i="24"/>
  <c r="D577" i="24"/>
  <c r="C577" i="24"/>
  <c r="L576" i="24"/>
  <c r="K576" i="24"/>
  <c r="J576" i="24"/>
  <c r="D576" i="24"/>
  <c r="C576" i="24"/>
  <c r="B576" i="24"/>
  <c r="L575" i="24"/>
  <c r="K575" i="24"/>
  <c r="J575" i="24"/>
  <c r="D575" i="24"/>
  <c r="C575" i="24"/>
  <c r="B575" i="24"/>
  <c r="N567" i="24"/>
  <c r="F567" i="24"/>
  <c r="P566" i="24"/>
  <c r="N566" i="24"/>
  <c r="F566" i="24"/>
  <c r="N565" i="24"/>
  <c r="F565" i="24"/>
  <c r="P564" i="24"/>
  <c r="H564" i="24"/>
  <c r="P563" i="24"/>
  <c r="A563" i="24"/>
  <c r="P562" i="24"/>
  <c r="H562" i="24"/>
  <c r="A561" i="24"/>
  <c r="P560" i="24"/>
  <c r="H560" i="24"/>
  <c r="A559" i="24"/>
  <c r="L547" i="24"/>
  <c r="K547" i="24"/>
  <c r="J547" i="24"/>
  <c r="D547" i="24"/>
  <c r="C547" i="24"/>
  <c r="B547" i="24"/>
  <c r="L546" i="24"/>
  <c r="K546" i="24"/>
  <c r="L545" i="24"/>
  <c r="K545" i="24"/>
  <c r="D545" i="24"/>
  <c r="C545" i="24"/>
  <c r="L544" i="24"/>
  <c r="K544" i="24"/>
  <c r="J544" i="24"/>
  <c r="D544" i="24"/>
  <c r="C544" i="24"/>
  <c r="L543" i="24"/>
  <c r="K543" i="24"/>
  <c r="J543" i="24"/>
  <c r="D543" i="24"/>
  <c r="C543" i="24"/>
  <c r="B543" i="24"/>
  <c r="L542" i="24"/>
  <c r="K542" i="24"/>
  <c r="J542" i="24"/>
  <c r="D542" i="24"/>
  <c r="C542" i="24"/>
  <c r="B542" i="24"/>
  <c r="N534" i="24"/>
  <c r="F534" i="24"/>
  <c r="P533" i="24"/>
  <c r="N533" i="24"/>
  <c r="F533" i="24"/>
  <c r="N532" i="24"/>
  <c r="F532" i="24"/>
  <c r="P531" i="24"/>
  <c r="H531" i="24"/>
  <c r="A530" i="24"/>
  <c r="P529" i="24"/>
  <c r="H529" i="24"/>
  <c r="A528" i="24"/>
  <c r="P527" i="24"/>
  <c r="H527" i="24"/>
  <c r="A526" i="24"/>
  <c r="L514" i="24"/>
  <c r="K514" i="24"/>
  <c r="J514" i="24"/>
  <c r="D514" i="24"/>
  <c r="C514" i="24"/>
  <c r="B514" i="24"/>
  <c r="L513" i="24"/>
  <c r="K513" i="24"/>
  <c r="D513" i="24"/>
  <c r="C513" i="24"/>
  <c r="L512" i="24"/>
  <c r="K512" i="24"/>
  <c r="J512" i="24"/>
  <c r="D512" i="24"/>
  <c r="C512" i="24"/>
  <c r="L511" i="24"/>
  <c r="K511" i="24"/>
  <c r="D511" i="24"/>
  <c r="C511" i="24"/>
  <c r="L510" i="24"/>
  <c r="K510" i="24"/>
  <c r="J510" i="24"/>
  <c r="D510" i="24"/>
  <c r="C510" i="24"/>
  <c r="B510" i="24"/>
  <c r="L509" i="24"/>
  <c r="K509" i="24"/>
  <c r="J509" i="24"/>
  <c r="D509" i="24"/>
  <c r="C509" i="24"/>
  <c r="B509" i="24"/>
  <c r="N501" i="24"/>
  <c r="F501" i="24"/>
  <c r="N500" i="24"/>
  <c r="F500" i="24"/>
  <c r="N499" i="24"/>
  <c r="F499" i="24"/>
  <c r="P498" i="24"/>
  <c r="H498" i="24"/>
  <c r="P496" i="24"/>
  <c r="H496" i="24"/>
  <c r="A495" i="24"/>
  <c r="P494" i="24"/>
  <c r="P492" i="24"/>
  <c r="H492" i="24"/>
  <c r="A491" i="24"/>
  <c r="L479" i="24"/>
  <c r="K479" i="24"/>
  <c r="J479" i="24"/>
  <c r="D479" i="24"/>
  <c r="C479" i="24"/>
  <c r="B479" i="24"/>
  <c r="L478" i="24"/>
  <c r="K478" i="24"/>
  <c r="D478" i="24"/>
  <c r="C478" i="24"/>
  <c r="L477" i="24"/>
  <c r="K477" i="24"/>
  <c r="D477" i="24"/>
  <c r="C477" i="24"/>
  <c r="L476" i="24"/>
  <c r="K476" i="24"/>
  <c r="D476" i="24"/>
  <c r="C476" i="24"/>
  <c r="L475" i="24"/>
  <c r="K475" i="24"/>
  <c r="J475" i="24"/>
  <c r="D475" i="24"/>
  <c r="C475" i="24"/>
  <c r="B475" i="24"/>
  <c r="L474" i="24"/>
  <c r="K474" i="24"/>
  <c r="J474" i="24"/>
  <c r="D474" i="24"/>
  <c r="C474" i="24"/>
  <c r="B474" i="24"/>
  <c r="N466" i="24"/>
  <c r="F466" i="24"/>
  <c r="N465" i="24"/>
  <c r="F465" i="24"/>
  <c r="N464" i="24"/>
  <c r="F464" i="24"/>
  <c r="P463" i="24"/>
  <c r="H463" i="24"/>
  <c r="A462" i="24"/>
  <c r="P461" i="24"/>
  <c r="H461" i="24"/>
  <c r="A460" i="24"/>
  <c r="P459" i="24"/>
  <c r="H459" i="24"/>
  <c r="A458" i="24"/>
  <c r="P457" i="24"/>
  <c r="H457" i="24"/>
  <c r="A456" i="24"/>
  <c r="L444" i="24"/>
  <c r="K444" i="24"/>
  <c r="J444" i="24"/>
  <c r="D444" i="24"/>
  <c r="C444" i="24"/>
  <c r="B444" i="24"/>
  <c r="L443" i="24"/>
  <c r="K443" i="24"/>
  <c r="D443" i="24"/>
  <c r="C443" i="24"/>
  <c r="L442" i="24"/>
  <c r="K442" i="24"/>
  <c r="D442" i="24"/>
  <c r="C442" i="24"/>
  <c r="L441" i="24"/>
  <c r="K441" i="24"/>
  <c r="D441" i="24"/>
  <c r="C441" i="24"/>
  <c r="L440" i="24"/>
  <c r="K440" i="24"/>
  <c r="J440" i="24"/>
  <c r="D440" i="24"/>
  <c r="C440" i="24"/>
  <c r="B440" i="24"/>
  <c r="L439" i="24"/>
  <c r="K439" i="24"/>
  <c r="J439" i="24"/>
  <c r="D439" i="24"/>
  <c r="C439" i="24"/>
  <c r="B439" i="24"/>
  <c r="N431" i="24"/>
  <c r="F431" i="24"/>
  <c r="N430" i="24"/>
  <c r="F430" i="24"/>
  <c r="N429" i="24"/>
  <c r="F429" i="24"/>
  <c r="P428" i="24"/>
  <c r="H428" i="24"/>
  <c r="P427" i="24"/>
  <c r="P426" i="24"/>
  <c r="H426" i="24"/>
  <c r="P425" i="24"/>
  <c r="A425" i="24"/>
  <c r="P424" i="24"/>
  <c r="H424" i="24"/>
  <c r="A423" i="24"/>
  <c r="P422" i="24"/>
  <c r="A421" i="24"/>
  <c r="L409" i="24"/>
  <c r="K409" i="24"/>
  <c r="J409" i="24"/>
  <c r="D409" i="24"/>
  <c r="C409" i="24"/>
  <c r="B409" i="24"/>
  <c r="L408" i="24"/>
  <c r="K408" i="24"/>
  <c r="D408" i="24"/>
  <c r="C408" i="24"/>
  <c r="L407" i="24"/>
  <c r="K407" i="24"/>
  <c r="D407" i="24"/>
  <c r="C407" i="24"/>
  <c r="L406" i="24"/>
  <c r="K406" i="24"/>
  <c r="D406" i="24"/>
  <c r="C406" i="24"/>
  <c r="L405" i="24"/>
  <c r="K405" i="24"/>
  <c r="J405" i="24"/>
  <c r="D405" i="24"/>
  <c r="C405" i="24"/>
  <c r="B405" i="24"/>
  <c r="L404" i="24"/>
  <c r="K404" i="24"/>
  <c r="J404" i="24"/>
  <c r="D404" i="24"/>
  <c r="C404" i="24"/>
  <c r="B404" i="24"/>
  <c r="N396" i="24"/>
  <c r="F396" i="24"/>
  <c r="P395" i="24"/>
  <c r="N395" i="24"/>
  <c r="F395" i="24"/>
  <c r="N394" i="24"/>
  <c r="F394" i="24"/>
  <c r="P393" i="24"/>
  <c r="H393" i="24"/>
  <c r="A392" i="24"/>
  <c r="P391" i="24"/>
  <c r="H391" i="24"/>
  <c r="A390" i="24"/>
  <c r="P389" i="24"/>
  <c r="H389" i="24"/>
  <c r="A388" i="24"/>
  <c r="P387" i="24"/>
  <c r="H387" i="24"/>
  <c r="A386" i="24"/>
  <c r="P385" i="24"/>
  <c r="H385" i="24"/>
  <c r="A384" i="24"/>
  <c r="L372" i="24"/>
  <c r="K372" i="24"/>
  <c r="J372" i="24"/>
  <c r="D372" i="24"/>
  <c r="C372" i="24"/>
  <c r="B372" i="24"/>
  <c r="L371" i="24"/>
  <c r="K371" i="24"/>
  <c r="J371" i="24"/>
  <c r="D371" i="24"/>
  <c r="C371" i="24"/>
  <c r="L370" i="24"/>
  <c r="K370" i="24"/>
  <c r="D370" i="24"/>
  <c r="C370" i="24"/>
  <c r="B370" i="24"/>
  <c r="L369" i="24"/>
  <c r="K369" i="24"/>
  <c r="D369" i="24"/>
  <c r="C369" i="24"/>
  <c r="L368" i="24"/>
  <c r="K368" i="24"/>
  <c r="D368" i="24"/>
  <c r="C368" i="24"/>
  <c r="L367" i="24"/>
  <c r="K367" i="24"/>
  <c r="D367" i="24"/>
  <c r="C367" i="24"/>
  <c r="B367" i="24"/>
  <c r="N359" i="24"/>
  <c r="F359" i="24"/>
  <c r="N358" i="24"/>
  <c r="F358" i="24"/>
  <c r="N357" i="24"/>
  <c r="F357" i="24"/>
  <c r="P356" i="24"/>
  <c r="H356" i="24"/>
  <c r="A355" i="24"/>
  <c r="P354" i="24"/>
  <c r="H354" i="24"/>
  <c r="A353" i="24"/>
  <c r="P352" i="24"/>
  <c r="P350" i="24"/>
  <c r="H350" i="24"/>
  <c r="A349" i="24"/>
  <c r="L337" i="24"/>
  <c r="K337" i="24"/>
  <c r="J337" i="24"/>
  <c r="D337" i="24"/>
  <c r="C337" i="24"/>
  <c r="B337" i="24"/>
  <c r="L336" i="24"/>
  <c r="K336" i="24"/>
  <c r="D336" i="24"/>
  <c r="C336" i="24"/>
  <c r="L335" i="24"/>
  <c r="K335" i="24"/>
  <c r="J335" i="24"/>
  <c r="D335" i="24"/>
  <c r="C335" i="24"/>
  <c r="L334" i="24"/>
  <c r="K334" i="24"/>
  <c r="D334" i="24"/>
  <c r="C334" i="24"/>
  <c r="L333" i="24"/>
  <c r="K333" i="24"/>
  <c r="D333" i="24"/>
  <c r="C333" i="24"/>
  <c r="B333" i="24"/>
  <c r="L332" i="24"/>
  <c r="K332" i="24"/>
  <c r="J332" i="24"/>
  <c r="D332" i="24"/>
  <c r="C332" i="24"/>
  <c r="B332" i="24"/>
  <c r="N324" i="24"/>
  <c r="F324" i="24"/>
  <c r="N323" i="24"/>
  <c r="F323" i="24"/>
  <c r="N322" i="24"/>
  <c r="F322" i="24"/>
  <c r="P321" i="24"/>
  <c r="H321" i="24"/>
  <c r="A320" i="24"/>
  <c r="P319" i="24"/>
  <c r="P317" i="24"/>
  <c r="H317" i="24"/>
  <c r="A316" i="24"/>
  <c r="P315" i="24"/>
  <c r="H315" i="24"/>
  <c r="A314" i="24"/>
  <c r="P313" i="24"/>
  <c r="H313" i="24"/>
  <c r="A312" i="24"/>
  <c r="P311" i="24"/>
  <c r="H311" i="24"/>
  <c r="A310" i="24"/>
  <c r="L298" i="24"/>
  <c r="K298" i="24"/>
  <c r="J298" i="24"/>
  <c r="D298" i="24"/>
  <c r="C298" i="24"/>
  <c r="B298" i="24"/>
  <c r="L297" i="24"/>
  <c r="K297" i="24"/>
  <c r="D297" i="24"/>
  <c r="C297" i="24"/>
  <c r="L296" i="24"/>
  <c r="K296" i="24"/>
  <c r="J296" i="24"/>
  <c r="D296" i="24"/>
  <c r="C296" i="24"/>
  <c r="L295" i="24"/>
  <c r="K295" i="24"/>
  <c r="D295" i="24"/>
  <c r="C295" i="24"/>
  <c r="L294" i="24"/>
  <c r="K294" i="24"/>
  <c r="D294" i="24"/>
  <c r="C294" i="24"/>
  <c r="B294" i="24"/>
  <c r="L293" i="24"/>
  <c r="K293" i="24"/>
  <c r="J293" i="24"/>
  <c r="D293" i="24"/>
  <c r="C293" i="24"/>
  <c r="B293" i="24"/>
  <c r="N285" i="24"/>
  <c r="F285" i="24"/>
  <c r="N284" i="24"/>
  <c r="F284" i="24"/>
  <c r="N283" i="24"/>
  <c r="F283" i="24"/>
  <c r="P282" i="24"/>
  <c r="H282" i="24"/>
  <c r="A281" i="24"/>
  <c r="P280" i="24"/>
  <c r="H280" i="24"/>
  <c r="A279" i="24"/>
  <c r="P278" i="24"/>
  <c r="H278" i="24"/>
  <c r="A277" i="24"/>
  <c r="P276" i="24"/>
  <c r="H276" i="24"/>
  <c r="A275" i="24"/>
  <c r="P274" i="24"/>
  <c r="H274" i="24"/>
  <c r="A273" i="24"/>
  <c r="L261" i="24"/>
  <c r="K261" i="24"/>
  <c r="J261" i="24"/>
  <c r="D261" i="24"/>
  <c r="C261" i="24"/>
  <c r="B261" i="24"/>
  <c r="L260" i="24"/>
  <c r="K260" i="24"/>
  <c r="D260" i="24"/>
  <c r="C260" i="24"/>
  <c r="L259" i="24"/>
  <c r="K259" i="24"/>
  <c r="J259" i="24"/>
  <c r="D259" i="24"/>
  <c r="C259" i="24"/>
  <c r="L258" i="24"/>
  <c r="K258" i="24"/>
  <c r="D258" i="24"/>
  <c r="C258" i="24"/>
  <c r="L257" i="24"/>
  <c r="K257" i="24"/>
  <c r="D257" i="24"/>
  <c r="C257" i="24"/>
  <c r="L256" i="24"/>
  <c r="K256" i="24"/>
  <c r="J256" i="24"/>
  <c r="D256" i="24"/>
  <c r="C256" i="24"/>
  <c r="B256" i="24"/>
  <c r="N248" i="24"/>
  <c r="F248" i="24"/>
  <c r="N247" i="24"/>
  <c r="F247" i="24"/>
  <c r="N246" i="24"/>
  <c r="F246" i="24"/>
  <c r="P245" i="24"/>
  <c r="H245" i="24"/>
  <c r="P243" i="24"/>
  <c r="H243" i="24"/>
  <c r="P241" i="24"/>
  <c r="P239" i="24"/>
  <c r="H239" i="24"/>
  <c r="A238" i="24"/>
  <c r="P237" i="24"/>
  <c r="H236" i="24"/>
  <c r="A236" i="24"/>
  <c r="P235" i="24"/>
  <c r="H235" i="24"/>
  <c r="A234" i="24"/>
  <c r="L222" i="24"/>
  <c r="K222" i="24"/>
  <c r="J222" i="24"/>
  <c r="D222" i="24"/>
  <c r="C222" i="24"/>
  <c r="B222" i="24"/>
  <c r="L221" i="24"/>
  <c r="K221" i="24"/>
  <c r="D221" i="24"/>
  <c r="C221" i="24"/>
  <c r="L220" i="24"/>
  <c r="K220" i="24"/>
  <c r="J220" i="24"/>
  <c r="D220" i="24"/>
  <c r="C220" i="24"/>
  <c r="L219" i="24"/>
  <c r="K219" i="24"/>
  <c r="D219" i="24"/>
  <c r="C219" i="24"/>
  <c r="B219" i="24"/>
  <c r="L218" i="24"/>
  <c r="K218" i="24"/>
  <c r="D218" i="24"/>
  <c r="C218" i="24"/>
  <c r="L217" i="24"/>
  <c r="K217" i="24"/>
  <c r="D217" i="24"/>
  <c r="C217" i="24"/>
  <c r="B217" i="24"/>
  <c r="N209" i="24"/>
  <c r="F209" i="24"/>
  <c r="N208" i="24"/>
  <c r="F208" i="24"/>
  <c r="N207" i="24"/>
  <c r="F207" i="24"/>
  <c r="P206" i="24"/>
  <c r="H206" i="24"/>
  <c r="P204" i="24"/>
  <c r="H204" i="24"/>
  <c r="A203" i="24"/>
  <c r="P202" i="24"/>
  <c r="H202" i="24"/>
  <c r="A201" i="24"/>
  <c r="P200" i="24"/>
  <c r="A199" i="24"/>
  <c r="P198" i="24"/>
  <c r="H198" i="24"/>
  <c r="A197" i="24"/>
  <c r="L185" i="24"/>
  <c r="K185" i="24"/>
  <c r="J185" i="24"/>
  <c r="D185" i="24"/>
  <c r="C185" i="24"/>
  <c r="B185" i="24"/>
  <c r="L184" i="24"/>
  <c r="K184" i="24"/>
  <c r="D184" i="24"/>
  <c r="C184" i="24"/>
  <c r="L183" i="24"/>
  <c r="K183" i="24"/>
  <c r="J183" i="24"/>
  <c r="D183" i="24"/>
  <c r="C183" i="24"/>
  <c r="L182" i="24"/>
  <c r="K182" i="24"/>
  <c r="D182" i="24"/>
  <c r="C182" i="24"/>
  <c r="L181" i="24"/>
  <c r="K181" i="24"/>
  <c r="D181" i="24"/>
  <c r="C181" i="24"/>
  <c r="B181" i="24"/>
  <c r="L180" i="24"/>
  <c r="K180" i="24"/>
  <c r="D180" i="24"/>
  <c r="C180" i="24"/>
  <c r="B180" i="24"/>
  <c r="N172" i="24"/>
  <c r="F172" i="24"/>
  <c r="N171" i="24"/>
  <c r="F171" i="24"/>
  <c r="N170" i="24"/>
  <c r="F170" i="24"/>
  <c r="P169" i="24"/>
  <c r="H169" i="24"/>
  <c r="A168" i="24"/>
  <c r="P167" i="24"/>
  <c r="P165" i="24"/>
  <c r="H165" i="24"/>
  <c r="A164" i="24"/>
  <c r="P163" i="24"/>
  <c r="P161" i="24"/>
  <c r="H161" i="24"/>
  <c r="A160" i="24"/>
  <c r="L148" i="24"/>
  <c r="K148" i="24"/>
  <c r="J148" i="24"/>
  <c r="D148" i="24"/>
  <c r="C148" i="24"/>
  <c r="B148" i="24"/>
  <c r="L147" i="24"/>
  <c r="K147" i="24"/>
  <c r="D147" i="24"/>
  <c r="C147" i="24"/>
  <c r="L146" i="24"/>
  <c r="K146" i="24"/>
  <c r="J146" i="24"/>
  <c r="D146" i="24"/>
  <c r="C146" i="24"/>
  <c r="L145" i="24"/>
  <c r="K145" i="24"/>
  <c r="D145" i="24"/>
  <c r="C145" i="24"/>
  <c r="L144" i="24"/>
  <c r="K144" i="24"/>
  <c r="D144" i="24"/>
  <c r="C144" i="24"/>
  <c r="B144" i="24"/>
  <c r="L143" i="24"/>
  <c r="K143" i="24"/>
  <c r="D143" i="24"/>
  <c r="C143" i="24"/>
  <c r="B143" i="24"/>
  <c r="N135" i="24"/>
  <c r="F135" i="24"/>
  <c r="N134" i="24"/>
  <c r="F134" i="24"/>
  <c r="N133" i="24"/>
  <c r="F133" i="24"/>
  <c r="P132" i="24"/>
  <c r="H132" i="24"/>
  <c r="A131" i="24"/>
  <c r="P130" i="24"/>
  <c r="P128" i="24"/>
  <c r="H128" i="24"/>
  <c r="A127" i="24"/>
  <c r="P126" i="24"/>
  <c r="H126" i="24"/>
  <c r="A125" i="24"/>
  <c r="P124" i="24"/>
  <c r="H124" i="24"/>
  <c r="A123" i="24"/>
  <c r="L111" i="24"/>
  <c r="K111" i="24"/>
  <c r="J111" i="24"/>
  <c r="D111" i="24"/>
  <c r="C111" i="24"/>
  <c r="B111" i="24"/>
  <c r="L110" i="24"/>
  <c r="K110" i="24"/>
  <c r="D110" i="24"/>
  <c r="C110" i="24"/>
  <c r="L109" i="24"/>
  <c r="K109" i="24"/>
  <c r="J109" i="24"/>
  <c r="D109" i="24"/>
  <c r="C109" i="24"/>
  <c r="L108" i="24"/>
  <c r="K108" i="24"/>
  <c r="D108" i="24"/>
  <c r="C108" i="24"/>
  <c r="L107" i="24"/>
  <c r="D107" i="24"/>
  <c r="C107" i="24"/>
  <c r="B107" i="24"/>
  <c r="L106" i="24"/>
  <c r="D106" i="24"/>
  <c r="C106" i="24"/>
  <c r="B106" i="24"/>
  <c r="N98" i="24"/>
  <c r="F98" i="24"/>
  <c r="N97" i="24"/>
  <c r="F97" i="24"/>
  <c r="N96" i="24"/>
  <c r="F96" i="24"/>
  <c r="P95" i="24"/>
  <c r="H95" i="24"/>
  <c r="A94" i="24"/>
  <c r="P93" i="24"/>
  <c r="P91" i="24"/>
  <c r="H91" i="24"/>
  <c r="A90" i="24"/>
  <c r="P89" i="24"/>
  <c r="H89" i="24"/>
  <c r="A88" i="24"/>
  <c r="P87" i="24"/>
  <c r="H87" i="24"/>
  <c r="A86" i="24"/>
  <c r="L74" i="24"/>
  <c r="K74" i="24"/>
  <c r="J74" i="24"/>
  <c r="D74" i="24"/>
  <c r="C74" i="24"/>
  <c r="B74" i="24"/>
  <c r="L73" i="24"/>
  <c r="K73" i="24"/>
  <c r="D73" i="24"/>
  <c r="C73" i="24"/>
  <c r="L72" i="24"/>
  <c r="K72" i="24"/>
  <c r="J72" i="24"/>
  <c r="D72" i="24"/>
  <c r="C72" i="24"/>
  <c r="L71" i="24"/>
  <c r="K71" i="24"/>
  <c r="D71" i="24"/>
  <c r="C71" i="24"/>
  <c r="L70" i="24"/>
  <c r="K70" i="24"/>
  <c r="D70" i="24"/>
  <c r="C70" i="24"/>
  <c r="L69" i="24"/>
  <c r="K69" i="24"/>
  <c r="J69" i="24"/>
  <c r="D69" i="24"/>
  <c r="C69" i="24"/>
  <c r="B69" i="24"/>
  <c r="N61" i="24"/>
  <c r="F61" i="24"/>
  <c r="N60" i="24"/>
  <c r="F60" i="24"/>
  <c r="N59" i="24"/>
  <c r="F59" i="24"/>
  <c r="P58" i="24"/>
  <c r="H58" i="24"/>
  <c r="P56" i="24"/>
  <c r="H56" i="24"/>
  <c r="A55" i="24"/>
  <c r="P54" i="24"/>
  <c r="P52" i="24"/>
  <c r="A51" i="24"/>
  <c r="P50" i="24"/>
  <c r="H50" i="24"/>
  <c r="A49" i="24"/>
  <c r="L37" i="24"/>
  <c r="K37" i="24"/>
  <c r="J37" i="24"/>
  <c r="D37" i="24"/>
  <c r="C37" i="24"/>
  <c r="B37" i="24"/>
  <c r="L36" i="24"/>
  <c r="D36" i="24"/>
  <c r="L35" i="24"/>
  <c r="J35" i="24"/>
  <c r="D35" i="24"/>
  <c r="L34" i="24"/>
  <c r="D34" i="24"/>
  <c r="L33" i="24"/>
  <c r="D33" i="24"/>
  <c r="L32" i="24"/>
  <c r="K32" i="24"/>
  <c r="J32" i="24"/>
  <c r="D32" i="24"/>
  <c r="N24" i="24"/>
  <c r="F24" i="24"/>
  <c r="F23" i="24"/>
  <c r="N22" i="24"/>
  <c r="F22" i="24"/>
  <c r="P21" i="24"/>
  <c r="H21" i="24"/>
  <c r="P19" i="24"/>
  <c r="H19" i="24"/>
  <c r="P17" i="24"/>
  <c r="P15" i="24"/>
  <c r="A14" i="24"/>
  <c r="P13" i="24"/>
  <c r="H13" i="24"/>
  <c r="R3607" i="25"/>
  <c r="L3606" i="25"/>
  <c r="K3606" i="25"/>
  <c r="J3606" i="25"/>
  <c r="L3605" i="25"/>
  <c r="L3604" i="25"/>
  <c r="L3603" i="25"/>
  <c r="J3603" i="25"/>
  <c r="L3602" i="25"/>
  <c r="J3602" i="25"/>
  <c r="L3601" i="25"/>
  <c r="J3601" i="25"/>
  <c r="N3593" i="25"/>
  <c r="N3591" i="25"/>
  <c r="P3590" i="25"/>
  <c r="P3588" i="25"/>
  <c r="P3586" i="25"/>
  <c r="L3573" i="25"/>
  <c r="K3573" i="25"/>
  <c r="J3573" i="25"/>
  <c r="L3572" i="25"/>
  <c r="K3572" i="25"/>
  <c r="L3571" i="25"/>
  <c r="K3571" i="25"/>
  <c r="L3570" i="25"/>
  <c r="K3570" i="25"/>
  <c r="L3569" i="25"/>
  <c r="K3569" i="25"/>
  <c r="J3569" i="25"/>
  <c r="L3568" i="25"/>
  <c r="K3568" i="25"/>
  <c r="J3568" i="25"/>
  <c r="N3560" i="25"/>
  <c r="N3559" i="25"/>
  <c r="N3558" i="25"/>
  <c r="P3557" i="25"/>
  <c r="P3541" i="25"/>
  <c r="P3539" i="25"/>
  <c r="L3525" i="25"/>
  <c r="K3525" i="25"/>
  <c r="J3525" i="25"/>
  <c r="L3524" i="25"/>
  <c r="K3524" i="25"/>
  <c r="L3523" i="25"/>
  <c r="K3523" i="25"/>
  <c r="L3522" i="25"/>
  <c r="K3522" i="25"/>
  <c r="L3521" i="25"/>
  <c r="K3521" i="25"/>
  <c r="J3521" i="25"/>
  <c r="L3520" i="25"/>
  <c r="K3520" i="25"/>
  <c r="J3520" i="25"/>
  <c r="N3512" i="25"/>
  <c r="N3511" i="25"/>
  <c r="N3510" i="25"/>
  <c r="P3509" i="25"/>
  <c r="P3501" i="25"/>
  <c r="P3499" i="25"/>
  <c r="L3485" i="25"/>
  <c r="K3485" i="25"/>
  <c r="J3485" i="25"/>
  <c r="L3484" i="25"/>
  <c r="K3484" i="25"/>
  <c r="L3483" i="25"/>
  <c r="K3483" i="25"/>
  <c r="J3483" i="25"/>
  <c r="L3482" i="25"/>
  <c r="K3482" i="25"/>
  <c r="L3481" i="25"/>
  <c r="K3481" i="25"/>
  <c r="L3480" i="25"/>
  <c r="K3480" i="25"/>
  <c r="N3472" i="25"/>
  <c r="N3471" i="25"/>
  <c r="N3470" i="25"/>
  <c r="P3469" i="25"/>
  <c r="P3467" i="25"/>
  <c r="P3465" i="25"/>
  <c r="P3463" i="25"/>
  <c r="L3450" i="25"/>
  <c r="K3450" i="25"/>
  <c r="J3450" i="25"/>
  <c r="L3449" i="25"/>
  <c r="K3449" i="25"/>
  <c r="L3448" i="25"/>
  <c r="K3448" i="25"/>
  <c r="L3447" i="25"/>
  <c r="K3447" i="25"/>
  <c r="L3446" i="25"/>
  <c r="K3446" i="25"/>
  <c r="J3446" i="25"/>
  <c r="L3445" i="25"/>
  <c r="K3445" i="25"/>
  <c r="J3445" i="25"/>
  <c r="N3437" i="25"/>
  <c r="N3436" i="25"/>
  <c r="N3435" i="25"/>
  <c r="P3434" i="25"/>
  <c r="P3432" i="25"/>
  <c r="P3430" i="25"/>
  <c r="P3428" i="25"/>
  <c r="P3426" i="25"/>
  <c r="P3424" i="25"/>
  <c r="L3410" i="25"/>
  <c r="K3410" i="25"/>
  <c r="J3410" i="25"/>
  <c r="L3409" i="25"/>
  <c r="K3409" i="25"/>
  <c r="L3408" i="25"/>
  <c r="K3408" i="25"/>
  <c r="J3408" i="25"/>
  <c r="L3407" i="25"/>
  <c r="K3407" i="25"/>
  <c r="L3406" i="25"/>
  <c r="K3406" i="25"/>
  <c r="L3405" i="25"/>
  <c r="K3405" i="25"/>
  <c r="J3405" i="25"/>
  <c r="N3397" i="25"/>
  <c r="N3396" i="25"/>
  <c r="N3395" i="25"/>
  <c r="P3394" i="25"/>
  <c r="P3392" i="25"/>
  <c r="P3390" i="25"/>
  <c r="P3388" i="25"/>
  <c r="L3374" i="25"/>
  <c r="K3374" i="25"/>
  <c r="J3374" i="25"/>
  <c r="L3373" i="25"/>
  <c r="K3373" i="25"/>
  <c r="L3372" i="25"/>
  <c r="K3372" i="25"/>
  <c r="J3372" i="25"/>
  <c r="L3371" i="25"/>
  <c r="K3371" i="25"/>
  <c r="L3370" i="25"/>
  <c r="K3370" i="25"/>
  <c r="L3369" i="25"/>
  <c r="K3369" i="25"/>
  <c r="J3369" i="25"/>
  <c r="N3361" i="25"/>
  <c r="N3360" i="25"/>
  <c r="N3359" i="25"/>
  <c r="P3358" i="25"/>
  <c r="P3354" i="25"/>
  <c r="P3352" i="25"/>
  <c r="L3339" i="25"/>
  <c r="K3339" i="25"/>
  <c r="J3339" i="25"/>
  <c r="L3338" i="25"/>
  <c r="K3338" i="25"/>
  <c r="L3337" i="25"/>
  <c r="K3337" i="25"/>
  <c r="L3336" i="25"/>
  <c r="K3336" i="25"/>
  <c r="J3336" i="25"/>
  <c r="L3335" i="25"/>
  <c r="K3335" i="25"/>
  <c r="L3334" i="25"/>
  <c r="K3334" i="25"/>
  <c r="J3334" i="25"/>
  <c r="N3326" i="25"/>
  <c r="N3325" i="25"/>
  <c r="N3324" i="25"/>
  <c r="P3323" i="25"/>
  <c r="I3322" i="25"/>
  <c r="P3321" i="25"/>
  <c r="I3320" i="25"/>
  <c r="P3319" i="25"/>
  <c r="I3318" i="25"/>
  <c r="P3317" i="25"/>
  <c r="I3316" i="25"/>
  <c r="P3315" i="25"/>
  <c r="I3314" i="25"/>
  <c r="P3313" i="25"/>
  <c r="L3300" i="25"/>
  <c r="K3300" i="25"/>
  <c r="J3300" i="25"/>
  <c r="L3299" i="25"/>
  <c r="K3299" i="25"/>
  <c r="L3298" i="25"/>
  <c r="K3298" i="25"/>
  <c r="L3297" i="25"/>
  <c r="K3297" i="25"/>
  <c r="L3296" i="25"/>
  <c r="K3296" i="25"/>
  <c r="J3296" i="25"/>
  <c r="L3295" i="25"/>
  <c r="K3295" i="25"/>
  <c r="J3295" i="25"/>
  <c r="N3287" i="25"/>
  <c r="P3286" i="25"/>
  <c r="N3286" i="25"/>
  <c r="N3285" i="25"/>
  <c r="P3284" i="25"/>
  <c r="I3283" i="25"/>
  <c r="P3282" i="25"/>
  <c r="I3281" i="25"/>
  <c r="P3280" i="25"/>
  <c r="I3279" i="25"/>
  <c r="P3278" i="25"/>
  <c r="L3264" i="25"/>
  <c r="K3264" i="25"/>
  <c r="J3264" i="25"/>
  <c r="L3263" i="25"/>
  <c r="K3263" i="25"/>
  <c r="L3262" i="25"/>
  <c r="K3262" i="25"/>
  <c r="L3261" i="25"/>
  <c r="K3261" i="25"/>
  <c r="L3260" i="25"/>
  <c r="K3260" i="25"/>
  <c r="L3259" i="25"/>
  <c r="K3259" i="25"/>
  <c r="J3259" i="25"/>
  <c r="N3251" i="25"/>
  <c r="P3250" i="25"/>
  <c r="N3250" i="25"/>
  <c r="N3249" i="25"/>
  <c r="P3248" i="25"/>
  <c r="P3246" i="25"/>
  <c r="I3245" i="25"/>
  <c r="I3243" i="25"/>
  <c r="P3242" i="25"/>
  <c r="L3229" i="25"/>
  <c r="K3229" i="25"/>
  <c r="J3229" i="25"/>
  <c r="L3228" i="25"/>
  <c r="K3228" i="25"/>
  <c r="L3227" i="25"/>
  <c r="K3227" i="25"/>
  <c r="L3226" i="25"/>
  <c r="K3226" i="25"/>
  <c r="L3225" i="25"/>
  <c r="K3225" i="25"/>
  <c r="L3224" i="25"/>
  <c r="K3224" i="25"/>
  <c r="J3224" i="25"/>
  <c r="N3216" i="25"/>
  <c r="P3215" i="25"/>
  <c r="N3215" i="25"/>
  <c r="N3214" i="25"/>
  <c r="P3213" i="25"/>
  <c r="P3211" i="25"/>
  <c r="I3210" i="25"/>
  <c r="P3209" i="25"/>
  <c r="I3208" i="25"/>
  <c r="P3207" i="25"/>
  <c r="L3194" i="25"/>
  <c r="K3194" i="25"/>
  <c r="J3194" i="25"/>
  <c r="L3193" i="25"/>
  <c r="K3193" i="25"/>
  <c r="L3192" i="25"/>
  <c r="K3192" i="25"/>
  <c r="J3192" i="25"/>
  <c r="L3191" i="25"/>
  <c r="K3191" i="25"/>
  <c r="L3190" i="25"/>
  <c r="K3190" i="25"/>
  <c r="J3190" i="25"/>
  <c r="L3189" i="25"/>
  <c r="K3189" i="25"/>
  <c r="J3189" i="25"/>
  <c r="N3181" i="25"/>
  <c r="P3180" i="25"/>
  <c r="N3180" i="25"/>
  <c r="N3179" i="25"/>
  <c r="P3178" i="25"/>
  <c r="P3176" i="25"/>
  <c r="P3174" i="25"/>
  <c r="P3172" i="25"/>
  <c r="P3170" i="25"/>
  <c r="P3168" i="25"/>
  <c r="L3155" i="25"/>
  <c r="K3155" i="25"/>
  <c r="J3155" i="25"/>
  <c r="L3154" i="25"/>
  <c r="K3154" i="25"/>
  <c r="L3153" i="25"/>
  <c r="K3153" i="25"/>
  <c r="J3153" i="25"/>
  <c r="L3152" i="25"/>
  <c r="K3152" i="25"/>
  <c r="L3151" i="25"/>
  <c r="K3151" i="25"/>
  <c r="J3151" i="25"/>
  <c r="L3150" i="25"/>
  <c r="K3150" i="25"/>
  <c r="J3150" i="25"/>
  <c r="N3142" i="25"/>
  <c r="P3141" i="25"/>
  <c r="N3141" i="25"/>
  <c r="N3140" i="25"/>
  <c r="P3139" i="25"/>
  <c r="P3137" i="25"/>
  <c r="P3135" i="25"/>
  <c r="P3133" i="25"/>
  <c r="P3131" i="25"/>
  <c r="L3118" i="25"/>
  <c r="K3118" i="25"/>
  <c r="J3118" i="25"/>
  <c r="L3117" i="25"/>
  <c r="K3117" i="25"/>
  <c r="L3116" i="25"/>
  <c r="K3116" i="25"/>
  <c r="J3116" i="25"/>
  <c r="L3115" i="25"/>
  <c r="K3115" i="25"/>
  <c r="L3114" i="25"/>
  <c r="K3114" i="25"/>
  <c r="L3113" i="25"/>
  <c r="K3113" i="25"/>
  <c r="J3113" i="25"/>
  <c r="N3105" i="25"/>
  <c r="P3104" i="25"/>
  <c r="N3104" i="25"/>
  <c r="N3103" i="25"/>
  <c r="P3102" i="25"/>
  <c r="P3098" i="25"/>
  <c r="P3096" i="25"/>
  <c r="P3094" i="25"/>
  <c r="L3081" i="25"/>
  <c r="K3081" i="25"/>
  <c r="J3081" i="25"/>
  <c r="L3080" i="25"/>
  <c r="K3080" i="25"/>
  <c r="L3079" i="25"/>
  <c r="K3079" i="25"/>
  <c r="J3079" i="25"/>
  <c r="L3078" i="25"/>
  <c r="K3078" i="25"/>
  <c r="L3077" i="25"/>
  <c r="K3077" i="25"/>
  <c r="L3076" i="25"/>
  <c r="K3076" i="25"/>
  <c r="J3076" i="25"/>
  <c r="N3068" i="25"/>
  <c r="P3067" i="25"/>
  <c r="N3067" i="25"/>
  <c r="N3066" i="25"/>
  <c r="P3065" i="25"/>
  <c r="P3063" i="25"/>
  <c r="P3061" i="25"/>
  <c r="P3059" i="25"/>
  <c r="P3057" i="25"/>
  <c r="L3044" i="25"/>
  <c r="K3044" i="25"/>
  <c r="J3044" i="25"/>
  <c r="L3043" i="25"/>
  <c r="K3043" i="25"/>
  <c r="L3042" i="25"/>
  <c r="K3042" i="25"/>
  <c r="L3041" i="25"/>
  <c r="K3041" i="25"/>
  <c r="L3040" i="25"/>
  <c r="K3040" i="25"/>
  <c r="J3040" i="25"/>
  <c r="L3039" i="25"/>
  <c r="K3039" i="25"/>
  <c r="J3039" i="25"/>
  <c r="N3031" i="25"/>
  <c r="P3030" i="25"/>
  <c r="N3030" i="25"/>
  <c r="N3029" i="25"/>
  <c r="P3028" i="25"/>
  <c r="P3026" i="25"/>
  <c r="P3024" i="25"/>
  <c r="P3022" i="25"/>
  <c r="P3020" i="25"/>
  <c r="L3007" i="25"/>
  <c r="K3007" i="25"/>
  <c r="J3007" i="25"/>
  <c r="L3006" i="25"/>
  <c r="K3006" i="25"/>
  <c r="L3005" i="25"/>
  <c r="K3005" i="25"/>
  <c r="L3004" i="25"/>
  <c r="K3004" i="25"/>
  <c r="L3003" i="25"/>
  <c r="K3003" i="25"/>
  <c r="J3003" i="25"/>
  <c r="L3002" i="25"/>
  <c r="K3002" i="25"/>
  <c r="J3002" i="25"/>
  <c r="N2994" i="25"/>
  <c r="P2993" i="25"/>
  <c r="N2993" i="25"/>
  <c r="N2992" i="25"/>
  <c r="P2991" i="25"/>
  <c r="P2989" i="25"/>
  <c r="P2987" i="25"/>
  <c r="P2985" i="25"/>
  <c r="P2983" i="25"/>
  <c r="L2970" i="25"/>
  <c r="K2970" i="25"/>
  <c r="J2970" i="25"/>
  <c r="L2969" i="25"/>
  <c r="K2969" i="25"/>
  <c r="L2968" i="25"/>
  <c r="K2968" i="25"/>
  <c r="L2967" i="25"/>
  <c r="K2967" i="25"/>
  <c r="L2966" i="25"/>
  <c r="K2966" i="25"/>
  <c r="J2966" i="25"/>
  <c r="L2965" i="25"/>
  <c r="K2965" i="25"/>
  <c r="J2965" i="25"/>
  <c r="N2957" i="25"/>
  <c r="P2956" i="25"/>
  <c r="N2956" i="25"/>
  <c r="N2955" i="25"/>
  <c r="P2954" i="25"/>
  <c r="P2952" i="25"/>
  <c r="P2950" i="25"/>
  <c r="P2948" i="25"/>
  <c r="P2946" i="25"/>
  <c r="L2933" i="25"/>
  <c r="K2933" i="25"/>
  <c r="J2933" i="25"/>
  <c r="L2932" i="25"/>
  <c r="K2932" i="25"/>
  <c r="L2931" i="25"/>
  <c r="K2931" i="25"/>
  <c r="L2930" i="25"/>
  <c r="K2930" i="25"/>
  <c r="L2929" i="25"/>
  <c r="K2929" i="25"/>
  <c r="J2929" i="25"/>
  <c r="L2928" i="25"/>
  <c r="K2928" i="25"/>
  <c r="J2928" i="25"/>
  <c r="N2920" i="25"/>
  <c r="P2919" i="25"/>
  <c r="N2919" i="25"/>
  <c r="N2918" i="25"/>
  <c r="P2917" i="25"/>
  <c r="P2915" i="25"/>
  <c r="P2913" i="25"/>
  <c r="P2911" i="25"/>
  <c r="P2909" i="25"/>
  <c r="L2896" i="25"/>
  <c r="K2896" i="25"/>
  <c r="J2896" i="25"/>
  <c r="L2895" i="25"/>
  <c r="K2895" i="25"/>
  <c r="L2894" i="25"/>
  <c r="K2894" i="25"/>
  <c r="L2893" i="25"/>
  <c r="K2893" i="25"/>
  <c r="J2893" i="25"/>
  <c r="L2892" i="25"/>
  <c r="K2892" i="25"/>
  <c r="J2892" i="25"/>
  <c r="L2891" i="25"/>
  <c r="K2891" i="25"/>
  <c r="N2883" i="25"/>
  <c r="N2882" i="25"/>
  <c r="N2881" i="25"/>
  <c r="P2880" i="25"/>
  <c r="P2878" i="25"/>
  <c r="P2876" i="25"/>
  <c r="P2874" i="25"/>
  <c r="P2872" i="25"/>
  <c r="L2859" i="25"/>
  <c r="K2859" i="25"/>
  <c r="J2859" i="25"/>
  <c r="L2858" i="25"/>
  <c r="K2858" i="25"/>
  <c r="L2857" i="25"/>
  <c r="K2857" i="25"/>
  <c r="L2856" i="25"/>
  <c r="K2856" i="25"/>
  <c r="J2856" i="25"/>
  <c r="L2855" i="25"/>
  <c r="K2855" i="25"/>
  <c r="J2855" i="25"/>
  <c r="L2854" i="25"/>
  <c r="K2854" i="25"/>
  <c r="N2846" i="25"/>
  <c r="N2845" i="25"/>
  <c r="N2844" i="25"/>
  <c r="P2843" i="25"/>
  <c r="P2841" i="25"/>
  <c r="P2839" i="25"/>
  <c r="P2837" i="25"/>
  <c r="P2835" i="25"/>
  <c r="P2833" i="25"/>
  <c r="L2820" i="25"/>
  <c r="K2820" i="25"/>
  <c r="J2820" i="25"/>
  <c r="L2819" i="25"/>
  <c r="K2819" i="25"/>
  <c r="L2818" i="25"/>
  <c r="K2818" i="25"/>
  <c r="L2817" i="25"/>
  <c r="K2817" i="25"/>
  <c r="J2817" i="25"/>
  <c r="L2816" i="25"/>
  <c r="K2816" i="25"/>
  <c r="J2816" i="25"/>
  <c r="L2815" i="25"/>
  <c r="K2815" i="25"/>
  <c r="N2807" i="25"/>
  <c r="N2806" i="25"/>
  <c r="N2805" i="25"/>
  <c r="P2804" i="25"/>
  <c r="P2802" i="25"/>
  <c r="P2800" i="25"/>
  <c r="P2798" i="25"/>
  <c r="P2796" i="25"/>
  <c r="P2794" i="25"/>
  <c r="L2781" i="25"/>
  <c r="K2781" i="25"/>
  <c r="J2781" i="25"/>
  <c r="L2780" i="25"/>
  <c r="K2780" i="25"/>
  <c r="L2779" i="25"/>
  <c r="K2779" i="25"/>
  <c r="L2778" i="25"/>
  <c r="K2778" i="25"/>
  <c r="L2777" i="25"/>
  <c r="K2777" i="25"/>
  <c r="J2777" i="25"/>
  <c r="L2776" i="25"/>
  <c r="K2776" i="25"/>
  <c r="J2776" i="25"/>
  <c r="N2768" i="25"/>
  <c r="P2767" i="25"/>
  <c r="N2767" i="25"/>
  <c r="N2766" i="25"/>
  <c r="P2765" i="25"/>
  <c r="P2763" i="25"/>
  <c r="P2761" i="25"/>
  <c r="P2759" i="25"/>
  <c r="P2757" i="25"/>
  <c r="L2744" i="25"/>
  <c r="K2744" i="25"/>
  <c r="J2744" i="25"/>
  <c r="L2743" i="25"/>
  <c r="K2743" i="25"/>
  <c r="L2742" i="25"/>
  <c r="K2742" i="25"/>
  <c r="L2741" i="25"/>
  <c r="K2741" i="25"/>
  <c r="L2740" i="25"/>
  <c r="K2740" i="25"/>
  <c r="J2740" i="25"/>
  <c r="L2739" i="25"/>
  <c r="K2739" i="25"/>
  <c r="J2739" i="25"/>
  <c r="N2731" i="25"/>
  <c r="N2730" i="25"/>
  <c r="N2729" i="25"/>
  <c r="P2728" i="25"/>
  <c r="P2726" i="25"/>
  <c r="P2724" i="25"/>
  <c r="P2722" i="25"/>
  <c r="P2720" i="25"/>
  <c r="L2707" i="25"/>
  <c r="K2707" i="25"/>
  <c r="J2707" i="25"/>
  <c r="L2706" i="25"/>
  <c r="K2706" i="25"/>
  <c r="L2705" i="25"/>
  <c r="K2705" i="25"/>
  <c r="L2704" i="25"/>
  <c r="K2704" i="25"/>
  <c r="L2703" i="25"/>
  <c r="K2703" i="25"/>
  <c r="J2703" i="25"/>
  <c r="L2702" i="25"/>
  <c r="K2702" i="25"/>
  <c r="J2702" i="25"/>
  <c r="N2694" i="25"/>
  <c r="P2693" i="25"/>
  <c r="N2693" i="25"/>
  <c r="N2692" i="25"/>
  <c r="P2691" i="25"/>
  <c r="P2689" i="25"/>
  <c r="P2687" i="25"/>
  <c r="P2685" i="25"/>
  <c r="P2683" i="25"/>
  <c r="L2670" i="25"/>
  <c r="K2670" i="25"/>
  <c r="J2670" i="25"/>
  <c r="L2669" i="25"/>
  <c r="K2669" i="25"/>
  <c r="L2668" i="25"/>
  <c r="K2668" i="25"/>
  <c r="L2667" i="25"/>
  <c r="K2667" i="25"/>
  <c r="L2666" i="25"/>
  <c r="K2666" i="25"/>
  <c r="J2666" i="25"/>
  <c r="L2665" i="25"/>
  <c r="K2665" i="25"/>
  <c r="J2665" i="25"/>
  <c r="N2657" i="25"/>
  <c r="N2656" i="25"/>
  <c r="N2655" i="25"/>
  <c r="P2654" i="25"/>
  <c r="P2652" i="25"/>
  <c r="P2650" i="25"/>
  <c r="P2648" i="25"/>
  <c r="P2646" i="25"/>
  <c r="L2633" i="25"/>
  <c r="K2633" i="25"/>
  <c r="J2633" i="25"/>
  <c r="L2632" i="25"/>
  <c r="K2632" i="25"/>
  <c r="L2631" i="25"/>
  <c r="K2631" i="25"/>
  <c r="L2630" i="25"/>
  <c r="K2630" i="25"/>
  <c r="L2629" i="25"/>
  <c r="K2629" i="25"/>
  <c r="J2629" i="25"/>
  <c r="L2628" i="25"/>
  <c r="K2628" i="25"/>
  <c r="J2628" i="25"/>
  <c r="N2620" i="25"/>
  <c r="N2619" i="25"/>
  <c r="N2618" i="25"/>
  <c r="P2617" i="25"/>
  <c r="P2615" i="25"/>
  <c r="P2613" i="25"/>
  <c r="P2611" i="25"/>
  <c r="P2609" i="25"/>
  <c r="P2607" i="25"/>
  <c r="L2594" i="25"/>
  <c r="K2594" i="25"/>
  <c r="J2594" i="25"/>
  <c r="L2593" i="25"/>
  <c r="K2593" i="25"/>
  <c r="L2592" i="25"/>
  <c r="K2592" i="25"/>
  <c r="L2591" i="25"/>
  <c r="K2591" i="25"/>
  <c r="L2590" i="25"/>
  <c r="K2590" i="25"/>
  <c r="L2589" i="25"/>
  <c r="K2589" i="25"/>
  <c r="J2589" i="25"/>
  <c r="N2581" i="25"/>
  <c r="N2580" i="25"/>
  <c r="N2579" i="25"/>
  <c r="P2578" i="25"/>
  <c r="P2576" i="25"/>
  <c r="P2574" i="25"/>
  <c r="P2572" i="25"/>
  <c r="P2570" i="25"/>
  <c r="L2557" i="25"/>
  <c r="K2557" i="25"/>
  <c r="J2557" i="25"/>
  <c r="L2556" i="25"/>
  <c r="K2556" i="25"/>
  <c r="L2555" i="25"/>
  <c r="K2555" i="25"/>
  <c r="L2554" i="25"/>
  <c r="K2554" i="25"/>
  <c r="L2553" i="25"/>
  <c r="K2553" i="25"/>
  <c r="J2553" i="25"/>
  <c r="L2552" i="25"/>
  <c r="K2552" i="25"/>
  <c r="J2552" i="25"/>
  <c r="N2544" i="25"/>
  <c r="P2543" i="25"/>
  <c r="N2543" i="25"/>
  <c r="N2542" i="25"/>
  <c r="P2541" i="25"/>
  <c r="P2539" i="25"/>
  <c r="P2537" i="25"/>
  <c r="P2535" i="25"/>
  <c r="P2533" i="25"/>
  <c r="L2520" i="25"/>
  <c r="K2520" i="25"/>
  <c r="J2520" i="25"/>
  <c r="L2519" i="25"/>
  <c r="K2519" i="25"/>
  <c r="J2519" i="25"/>
  <c r="L2518" i="25"/>
  <c r="K2518" i="25"/>
  <c r="L2517" i="25"/>
  <c r="K2517" i="25"/>
  <c r="L2516" i="25"/>
  <c r="K2516" i="25"/>
  <c r="J2516" i="25"/>
  <c r="L2515" i="25"/>
  <c r="K2515" i="25"/>
  <c r="N2507" i="25"/>
  <c r="N2506" i="25"/>
  <c r="N2505" i="25"/>
  <c r="P2504" i="25"/>
  <c r="P2502" i="25"/>
  <c r="P2500" i="25"/>
  <c r="P2498" i="25"/>
  <c r="P2496" i="25"/>
  <c r="L2483" i="25"/>
  <c r="K2483" i="25"/>
  <c r="J2483" i="25"/>
  <c r="L2482" i="25"/>
  <c r="K2482" i="25"/>
  <c r="J2482" i="25"/>
  <c r="L2481" i="25"/>
  <c r="K2481" i="25"/>
  <c r="L2480" i="25"/>
  <c r="K2480" i="25"/>
  <c r="L2479" i="25"/>
  <c r="K2479" i="25"/>
  <c r="L2478" i="25"/>
  <c r="K2478" i="25"/>
  <c r="N2470" i="25"/>
  <c r="N2469" i="25"/>
  <c r="N2468" i="25"/>
  <c r="P2467" i="25"/>
  <c r="P2465" i="25"/>
  <c r="N2464" i="25"/>
  <c r="P2463" i="25"/>
  <c r="P2461" i="25"/>
  <c r="P2459" i="25"/>
  <c r="P2457" i="25"/>
  <c r="L2444" i="25"/>
  <c r="K2444" i="25"/>
  <c r="J2444" i="25"/>
  <c r="L2443" i="25"/>
  <c r="K2443" i="25"/>
  <c r="L2442" i="25"/>
  <c r="K2442" i="25"/>
  <c r="L2441" i="25"/>
  <c r="K2441" i="25"/>
  <c r="L2440" i="25"/>
  <c r="K2440" i="25"/>
  <c r="J2440" i="25"/>
  <c r="L2439" i="25"/>
  <c r="K2439" i="25"/>
  <c r="J2439" i="25"/>
  <c r="N2431" i="25"/>
  <c r="P2430" i="25"/>
  <c r="N2430" i="25"/>
  <c r="N2429" i="25"/>
  <c r="P2428" i="25"/>
  <c r="P2426" i="25"/>
  <c r="P2424" i="25"/>
  <c r="P2422" i="25"/>
  <c r="P2420" i="25"/>
  <c r="L2407" i="25"/>
  <c r="K2407" i="25"/>
  <c r="J2407" i="25"/>
  <c r="L2406" i="25"/>
  <c r="K2406" i="25"/>
  <c r="L2405" i="25"/>
  <c r="K2405" i="25"/>
  <c r="L2404" i="25"/>
  <c r="K2404" i="25"/>
  <c r="L2403" i="25"/>
  <c r="K2403" i="25"/>
  <c r="J2403" i="25"/>
  <c r="L2402" i="25"/>
  <c r="K2402" i="25"/>
  <c r="J2402" i="25"/>
  <c r="N2394" i="25"/>
  <c r="P2393" i="25"/>
  <c r="N2393" i="25"/>
  <c r="N2392" i="25"/>
  <c r="P2391" i="25"/>
  <c r="P2389" i="25"/>
  <c r="P2387" i="25"/>
  <c r="P2385" i="25"/>
  <c r="P2383" i="25"/>
  <c r="L2370" i="25"/>
  <c r="K2370" i="25"/>
  <c r="J2370" i="25"/>
  <c r="L2369" i="25"/>
  <c r="K2369" i="25"/>
  <c r="L2368" i="25"/>
  <c r="K2368" i="25"/>
  <c r="L2367" i="25"/>
  <c r="K2367" i="25"/>
  <c r="J2367" i="25"/>
  <c r="L2366" i="25"/>
  <c r="K2366" i="25"/>
  <c r="J2366" i="25"/>
  <c r="L2365" i="25"/>
  <c r="K2365" i="25"/>
  <c r="N2357" i="25"/>
  <c r="N2356" i="25"/>
  <c r="N2355" i="25"/>
  <c r="P2354" i="25"/>
  <c r="P2352" i="25"/>
  <c r="P2350" i="25"/>
  <c r="P2348" i="25"/>
  <c r="P2346" i="25"/>
  <c r="L2333" i="25"/>
  <c r="K2333" i="25"/>
  <c r="J2333" i="25"/>
  <c r="L2332" i="25"/>
  <c r="K2332" i="25"/>
  <c r="L2331" i="25"/>
  <c r="K2331" i="25"/>
  <c r="L2330" i="25"/>
  <c r="K2330" i="25"/>
  <c r="L2329" i="25"/>
  <c r="K2329" i="25"/>
  <c r="J2329" i="25"/>
  <c r="L2328" i="25"/>
  <c r="K2328" i="25"/>
  <c r="J2328" i="25"/>
  <c r="N2320" i="25"/>
  <c r="P2319" i="25"/>
  <c r="N2319" i="25"/>
  <c r="N2318" i="25"/>
  <c r="P2317" i="25"/>
  <c r="P2315" i="25"/>
  <c r="P2313" i="25"/>
  <c r="P2311" i="25"/>
  <c r="P2309" i="25"/>
  <c r="L2296" i="25"/>
  <c r="K2296" i="25"/>
  <c r="J2296" i="25"/>
  <c r="L2295" i="25"/>
  <c r="K2295" i="25"/>
  <c r="L2294" i="25"/>
  <c r="K2294" i="25"/>
  <c r="L2293" i="25"/>
  <c r="K2293" i="25"/>
  <c r="L2292" i="25"/>
  <c r="K2292" i="25"/>
  <c r="J2292" i="25"/>
  <c r="L2291" i="25"/>
  <c r="K2291" i="25"/>
  <c r="J2291" i="25"/>
  <c r="N2283" i="25"/>
  <c r="P2282" i="25"/>
  <c r="N2282" i="25"/>
  <c r="N2281" i="25"/>
  <c r="P2280" i="25"/>
  <c r="P2278" i="25"/>
  <c r="P2276" i="25"/>
  <c r="P2273" i="25"/>
  <c r="P2272" i="25"/>
  <c r="L2259" i="25"/>
  <c r="K2259" i="25"/>
  <c r="J2259" i="25"/>
  <c r="L2258" i="25"/>
  <c r="K2258" i="25"/>
  <c r="L2257" i="25"/>
  <c r="K2257" i="25"/>
  <c r="J2257" i="25"/>
  <c r="L2256" i="25"/>
  <c r="K2256" i="25"/>
  <c r="L2255" i="25"/>
  <c r="K2255" i="25"/>
  <c r="J2255" i="25"/>
  <c r="L2254" i="25"/>
  <c r="K2254" i="25"/>
  <c r="J2254" i="25"/>
  <c r="N2246" i="25"/>
  <c r="P2245" i="25"/>
  <c r="N2245" i="25"/>
  <c r="N2244" i="25"/>
  <c r="P2243" i="25"/>
  <c r="P2241" i="25"/>
  <c r="P2239" i="25"/>
  <c r="P2236" i="25"/>
  <c r="P2234" i="25"/>
  <c r="L2222" i="25"/>
  <c r="K2222" i="25"/>
  <c r="J2222" i="25"/>
  <c r="L2221" i="25"/>
  <c r="K2221" i="25"/>
  <c r="L2220" i="25"/>
  <c r="K2220" i="25"/>
  <c r="J2220" i="25"/>
  <c r="L2219" i="25"/>
  <c r="K2219" i="25"/>
  <c r="L2218" i="25"/>
  <c r="K2218" i="25"/>
  <c r="J2218" i="25"/>
  <c r="L2217" i="25"/>
  <c r="K2217" i="25"/>
  <c r="J2217" i="25"/>
  <c r="N2209" i="25"/>
  <c r="P2208" i="25"/>
  <c r="N2208" i="25"/>
  <c r="N2207" i="25"/>
  <c r="P2206" i="25"/>
  <c r="P2204" i="25"/>
  <c r="P2202" i="25"/>
  <c r="P2199" i="25"/>
  <c r="P2197" i="25"/>
  <c r="L2185" i="25"/>
  <c r="K2185" i="25"/>
  <c r="J2185" i="25"/>
  <c r="L2184" i="25"/>
  <c r="K2184" i="25"/>
  <c r="L2183" i="25"/>
  <c r="K2183" i="25"/>
  <c r="J2183" i="25"/>
  <c r="L2182" i="25"/>
  <c r="K2182" i="25"/>
  <c r="L2181" i="25"/>
  <c r="K2181" i="25"/>
  <c r="J2181" i="25"/>
  <c r="L2180" i="25"/>
  <c r="K2180" i="25"/>
  <c r="J2180" i="25"/>
  <c r="N2172" i="25"/>
  <c r="P2171" i="25"/>
  <c r="N2171" i="25"/>
  <c r="N2170" i="25"/>
  <c r="P2169" i="25"/>
  <c r="P2167" i="25"/>
  <c r="P2165" i="25"/>
  <c r="P2163" i="25"/>
  <c r="L2146" i="25"/>
  <c r="K2146" i="25"/>
  <c r="J2146" i="25"/>
  <c r="L2145" i="25"/>
  <c r="K2145" i="25"/>
  <c r="L2144" i="25"/>
  <c r="K2144" i="25"/>
  <c r="L2143" i="25"/>
  <c r="K2143" i="25"/>
  <c r="L2142" i="25"/>
  <c r="K2142" i="25"/>
  <c r="J2142" i="25"/>
  <c r="L2141" i="25"/>
  <c r="K2141" i="25"/>
  <c r="J2141" i="25"/>
  <c r="N2133" i="25"/>
  <c r="N2132" i="25"/>
  <c r="N2131" i="25"/>
  <c r="P2130" i="25"/>
  <c r="P2128" i="25"/>
  <c r="P2126" i="25"/>
  <c r="L2109" i="25"/>
  <c r="K2109" i="25"/>
  <c r="J2109" i="25"/>
  <c r="L2108" i="25"/>
  <c r="K2108" i="25"/>
  <c r="L2107" i="25"/>
  <c r="K2107" i="25"/>
  <c r="L2106" i="25"/>
  <c r="K2106" i="25"/>
  <c r="L2105" i="25"/>
  <c r="K2105" i="25"/>
  <c r="J2105" i="25"/>
  <c r="L2104" i="25"/>
  <c r="K2104" i="25"/>
  <c r="J2104" i="25"/>
  <c r="N2096" i="25"/>
  <c r="N2095" i="25"/>
  <c r="N2094" i="25"/>
  <c r="P2093" i="25"/>
  <c r="P2091" i="25"/>
  <c r="P2089" i="25"/>
  <c r="L2072" i="25"/>
  <c r="K2072" i="25"/>
  <c r="J2072" i="25"/>
  <c r="L2071" i="25"/>
  <c r="K2071" i="25"/>
  <c r="L2070" i="25"/>
  <c r="K2070" i="25"/>
  <c r="L2069" i="25"/>
  <c r="K2069" i="25"/>
  <c r="L2068" i="25"/>
  <c r="K2068" i="25"/>
  <c r="J2068" i="25"/>
  <c r="L2067" i="25"/>
  <c r="K2067" i="25"/>
  <c r="J2067" i="25"/>
  <c r="N2059" i="25"/>
  <c r="P2058" i="25"/>
  <c r="N2058" i="25"/>
  <c r="N2057" i="25"/>
  <c r="P2056" i="25"/>
  <c r="P2054" i="25"/>
  <c r="P2052" i="25"/>
  <c r="P2050" i="25"/>
  <c r="P2048" i="25"/>
  <c r="L2035" i="25"/>
  <c r="K2035" i="25"/>
  <c r="J2035" i="25"/>
  <c r="L2034" i="25"/>
  <c r="K2034" i="25"/>
  <c r="L2033" i="25"/>
  <c r="K2033" i="25"/>
  <c r="L2032" i="25"/>
  <c r="K2032" i="25"/>
  <c r="L2031" i="25"/>
  <c r="K2031" i="25"/>
  <c r="J2031" i="25"/>
  <c r="L2030" i="25"/>
  <c r="K2030" i="25"/>
  <c r="J2030" i="25"/>
  <c r="N2022" i="25"/>
  <c r="P2021" i="25"/>
  <c r="N2021" i="25"/>
  <c r="N2020" i="25"/>
  <c r="P2019" i="25"/>
  <c r="P2017" i="25"/>
  <c r="P2015" i="25"/>
  <c r="P2013" i="25"/>
  <c r="P2011" i="25"/>
  <c r="L1998" i="25"/>
  <c r="K1998" i="25"/>
  <c r="J1998" i="25"/>
  <c r="L1997" i="25"/>
  <c r="K1997" i="25"/>
  <c r="L1996" i="25"/>
  <c r="K1996" i="25"/>
  <c r="L1995" i="25"/>
  <c r="K1995" i="25"/>
  <c r="L1994" i="25"/>
  <c r="K1994" i="25"/>
  <c r="J1994" i="25"/>
  <c r="L1993" i="25"/>
  <c r="K1993" i="25"/>
  <c r="J1993" i="25"/>
  <c r="N1985" i="25"/>
  <c r="P1984" i="25"/>
  <c r="N1984" i="25"/>
  <c r="N1983" i="25"/>
  <c r="P1982" i="25"/>
  <c r="P1980" i="25"/>
  <c r="P1978" i="25"/>
  <c r="P1976" i="25"/>
  <c r="P1974" i="25"/>
  <c r="L1961" i="25"/>
  <c r="K1961" i="25"/>
  <c r="J1961" i="25"/>
  <c r="L1960" i="25"/>
  <c r="K1960" i="25"/>
  <c r="L1959" i="25"/>
  <c r="K1959" i="25"/>
  <c r="L1958" i="25"/>
  <c r="K1958" i="25"/>
  <c r="L1957" i="25"/>
  <c r="K1957" i="25"/>
  <c r="J1957" i="25"/>
  <c r="L1956" i="25"/>
  <c r="K1956" i="25"/>
  <c r="J1956" i="25"/>
  <c r="N1948" i="25"/>
  <c r="P1947" i="25"/>
  <c r="N1947" i="25"/>
  <c r="N1946" i="25"/>
  <c r="P1945" i="25"/>
  <c r="P1943" i="25"/>
  <c r="P1941" i="25"/>
  <c r="P1939" i="25"/>
  <c r="P1937" i="25"/>
  <c r="L1924" i="25"/>
  <c r="K1924" i="25"/>
  <c r="J1924" i="25"/>
  <c r="L1923" i="25"/>
  <c r="K1923" i="25"/>
  <c r="L1922" i="25"/>
  <c r="K1922" i="25"/>
  <c r="L1921" i="25"/>
  <c r="K1921" i="25"/>
  <c r="L1920" i="25"/>
  <c r="K1920" i="25"/>
  <c r="J1920" i="25"/>
  <c r="L1919" i="25"/>
  <c r="K1919" i="25"/>
  <c r="J1919" i="25"/>
  <c r="N1911" i="25"/>
  <c r="P1910" i="25"/>
  <c r="N1910" i="25"/>
  <c r="N1909" i="25"/>
  <c r="P1908" i="25"/>
  <c r="P1906" i="25"/>
  <c r="P1904" i="25"/>
  <c r="P1902" i="25"/>
  <c r="P1900" i="25"/>
  <c r="L1887" i="25"/>
  <c r="K1887" i="25"/>
  <c r="J1887" i="25"/>
  <c r="L1886" i="25"/>
  <c r="K1886" i="25"/>
  <c r="L1885" i="25"/>
  <c r="K1885" i="25"/>
  <c r="J1885" i="25"/>
  <c r="L1884" i="25"/>
  <c r="K1884" i="25"/>
  <c r="L1883" i="25"/>
  <c r="K1883" i="25"/>
  <c r="L1882" i="25"/>
  <c r="K1882" i="25"/>
  <c r="J1882" i="25"/>
  <c r="N1874" i="25"/>
  <c r="N1873" i="25"/>
  <c r="N1872" i="25"/>
  <c r="P1871" i="25"/>
  <c r="P1869" i="25"/>
  <c r="P1867" i="25"/>
  <c r="P1865" i="25"/>
  <c r="P1863" i="25"/>
  <c r="L1850" i="25"/>
  <c r="K1850" i="25"/>
  <c r="J1850" i="25"/>
  <c r="L1849" i="25"/>
  <c r="K1849" i="25"/>
  <c r="L1848" i="25"/>
  <c r="K1848" i="25"/>
  <c r="J1848" i="25"/>
  <c r="L1847" i="25"/>
  <c r="K1847" i="25"/>
  <c r="L1846" i="25"/>
  <c r="K1846" i="25"/>
  <c r="L1845" i="25"/>
  <c r="K1845" i="25"/>
  <c r="J1845" i="25"/>
  <c r="N1837" i="25"/>
  <c r="N1836" i="25"/>
  <c r="N1835" i="25"/>
  <c r="P1834" i="25"/>
  <c r="P1832" i="25"/>
  <c r="P1830" i="25"/>
  <c r="P1828" i="25"/>
  <c r="P1826" i="25"/>
  <c r="L1813" i="25"/>
  <c r="K1813" i="25"/>
  <c r="J1813" i="25"/>
  <c r="L1812" i="25"/>
  <c r="K1812" i="25"/>
  <c r="L1811" i="25"/>
  <c r="K1811" i="25"/>
  <c r="L1810" i="25"/>
  <c r="K1810" i="25"/>
  <c r="L1809" i="25"/>
  <c r="K1809" i="25"/>
  <c r="J1809" i="25"/>
  <c r="L1808" i="25"/>
  <c r="K1808" i="25"/>
  <c r="J1808" i="25"/>
  <c r="N1800" i="25"/>
  <c r="N1799" i="25"/>
  <c r="N1798" i="25"/>
  <c r="P1797" i="25"/>
  <c r="P1795" i="25"/>
  <c r="P1793" i="25"/>
  <c r="P1791" i="25"/>
  <c r="P1789" i="25"/>
  <c r="L1776" i="25"/>
  <c r="K1776" i="25"/>
  <c r="J1776" i="25"/>
  <c r="L1775" i="25"/>
  <c r="K1775" i="25"/>
  <c r="L1774" i="25"/>
  <c r="K1774" i="25"/>
  <c r="L1773" i="25"/>
  <c r="K1773" i="25"/>
  <c r="L1772" i="25"/>
  <c r="K1772" i="25"/>
  <c r="J1772" i="25"/>
  <c r="L1771" i="25"/>
  <c r="K1771" i="25"/>
  <c r="J1771" i="25"/>
  <c r="N1763" i="25"/>
  <c r="P1762" i="25"/>
  <c r="N1762" i="25"/>
  <c r="N1761" i="25"/>
  <c r="P1760" i="25"/>
  <c r="P1758" i="25"/>
  <c r="P1756" i="25"/>
  <c r="P1754" i="25"/>
  <c r="P1752" i="25"/>
  <c r="L1739" i="25"/>
  <c r="K1739" i="25"/>
  <c r="J1739" i="25"/>
  <c r="L1738" i="25"/>
  <c r="K1738" i="25"/>
  <c r="L1737" i="25"/>
  <c r="K1737" i="25"/>
  <c r="J1737" i="25"/>
  <c r="L1736" i="25"/>
  <c r="K1736" i="25"/>
  <c r="L1735" i="25"/>
  <c r="K1735" i="25"/>
  <c r="L1734" i="25"/>
  <c r="K1734" i="25"/>
  <c r="J1734" i="25"/>
  <c r="S1726" i="25"/>
  <c r="N1726" i="25"/>
  <c r="N1725" i="25"/>
  <c r="N1724" i="25"/>
  <c r="P1723" i="25"/>
  <c r="P1721" i="25"/>
  <c r="P1719" i="25"/>
  <c r="P1717" i="25"/>
  <c r="P1715" i="25"/>
  <c r="P1713" i="25"/>
  <c r="L1700" i="25"/>
  <c r="K1700" i="25"/>
  <c r="J1700" i="25"/>
  <c r="L1699" i="25"/>
  <c r="K1699" i="25"/>
  <c r="L1698" i="25"/>
  <c r="K1698" i="25"/>
  <c r="L1697" i="25"/>
  <c r="K1697" i="25"/>
  <c r="L1696" i="25"/>
  <c r="K1696" i="25"/>
  <c r="J1696" i="25"/>
  <c r="L1695" i="25"/>
  <c r="K1695" i="25"/>
  <c r="J1695" i="25"/>
  <c r="N1687" i="25"/>
  <c r="P1686" i="25"/>
  <c r="N1686" i="25"/>
  <c r="N1685" i="25"/>
  <c r="P1684" i="25"/>
  <c r="P1682" i="25"/>
  <c r="P1680" i="25"/>
  <c r="P1678" i="25"/>
  <c r="P1676" i="25"/>
  <c r="L1663" i="25"/>
  <c r="K1663" i="25"/>
  <c r="J1663" i="25"/>
  <c r="L1662" i="25"/>
  <c r="K1662" i="25"/>
  <c r="L1661" i="25"/>
  <c r="K1661" i="25"/>
  <c r="L1660" i="25"/>
  <c r="K1660" i="25"/>
  <c r="L1659" i="25"/>
  <c r="K1659" i="25"/>
  <c r="J1659" i="25"/>
  <c r="L1658" i="25"/>
  <c r="K1658" i="25"/>
  <c r="J1658" i="25"/>
  <c r="N1650" i="25"/>
  <c r="P1649" i="25"/>
  <c r="N1649" i="25"/>
  <c r="N1648" i="25"/>
  <c r="P1647" i="25"/>
  <c r="P1645" i="25"/>
  <c r="P1643" i="25"/>
  <c r="P1641" i="25"/>
  <c r="P1639" i="25"/>
  <c r="L1626" i="25"/>
  <c r="K1626" i="25"/>
  <c r="J1626" i="25"/>
  <c r="L1625" i="25"/>
  <c r="K1625" i="25"/>
  <c r="L1624" i="25"/>
  <c r="K1624" i="25"/>
  <c r="J1624" i="25"/>
  <c r="L1623" i="25"/>
  <c r="K1623" i="25"/>
  <c r="L1622" i="25"/>
  <c r="K1622" i="25"/>
  <c r="L1621" i="25"/>
  <c r="K1621" i="25"/>
  <c r="J1621" i="25"/>
  <c r="N1613" i="25"/>
  <c r="P1612" i="25"/>
  <c r="N1612" i="25"/>
  <c r="N1611" i="25"/>
  <c r="P1610" i="25"/>
  <c r="P1608" i="25"/>
  <c r="P1606" i="25"/>
  <c r="P1604" i="25"/>
  <c r="P1602" i="25"/>
  <c r="L1589" i="25"/>
  <c r="K1589" i="25"/>
  <c r="J1589" i="25"/>
  <c r="L1588" i="25"/>
  <c r="K1588" i="25"/>
  <c r="L1587" i="25"/>
  <c r="K1587" i="25"/>
  <c r="J1587" i="25"/>
  <c r="L1586" i="25"/>
  <c r="K1586" i="25"/>
  <c r="L1585" i="25"/>
  <c r="K1585" i="25"/>
  <c r="L1584" i="25"/>
  <c r="K1584" i="25"/>
  <c r="J1584" i="25"/>
  <c r="N1576" i="25"/>
  <c r="P1575" i="25"/>
  <c r="N1575" i="25"/>
  <c r="N1574" i="25"/>
  <c r="P1573" i="25"/>
  <c r="P1571" i="25"/>
  <c r="P1569" i="25"/>
  <c r="P1567" i="25"/>
  <c r="P1565" i="25"/>
  <c r="L1552" i="25"/>
  <c r="K1552" i="25"/>
  <c r="J1552" i="25"/>
  <c r="L1551" i="25"/>
  <c r="K1551" i="25"/>
  <c r="L1550" i="25"/>
  <c r="K1550" i="25"/>
  <c r="J1550" i="25"/>
  <c r="L1549" i="25"/>
  <c r="K1549" i="25"/>
  <c r="L1548" i="25"/>
  <c r="K1548" i="25"/>
  <c r="L1547" i="25"/>
  <c r="K1547" i="25"/>
  <c r="J1547" i="25"/>
  <c r="N1539" i="25"/>
  <c r="P1538" i="25"/>
  <c r="N1538" i="25"/>
  <c r="N1537" i="25"/>
  <c r="P1536" i="25"/>
  <c r="P1534" i="25"/>
  <c r="P1532" i="25"/>
  <c r="P1530" i="25"/>
  <c r="L1515" i="25"/>
  <c r="K1515" i="25"/>
  <c r="J1515" i="25"/>
  <c r="L1514" i="25"/>
  <c r="K1514" i="25"/>
  <c r="L1513" i="25"/>
  <c r="K1513" i="25"/>
  <c r="L1512" i="25"/>
  <c r="K1512" i="25"/>
  <c r="L1511" i="25"/>
  <c r="K1511" i="25"/>
  <c r="J1511" i="25"/>
  <c r="L1510" i="25"/>
  <c r="K1510" i="25"/>
  <c r="J1510" i="25"/>
  <c r="N1502" i="25"/>
  <c r="P1501" i="25"/>
  <c r="N1501" i="25"/>
  <c r="N1500" i="25"/>
  <c r="P1499" i="25"/>
  <c r="I1498" i="25"/>
  <c r="P1497" i="25"/>
  <c r="I1496" i="25"/>
  <c r="P1495" i="25"/>
  <c r="I1494" i="25"/>
  <c r="P1493" i="25"/>
  <c r="I1492" i="25"/>
  <c r="P1491" i="25"/>
  <c r="I1490" i="25"/>
  <c r="P1489" i="25"/>
  <c r="D1477" i="25"/>
  <c r="C1477" i="25"/>
  <c r="B1477" i="25"/>
  <c r="L1476" i="25"/>
  <c r="K1476" i="25"/>
  <c r="J1476" i="25"/>
  <c r="D1476" i="25"/>
  <c r="C1476" i="25"/>
  <c r="L1475" i="25"/>
  <c r="K1475" i="25"/>
  <c r="D1475" i="25"/>
  <c r="C1475" i="25"/>
  <c r="L1474" i="25"/>
  <c r="K1474" i="25"/>
  <c r="D1474" i="25"/>
  <c r="C1474" i="25"/>
  <c r="L1473" i="25"/>
  <c r="K1473" i="25"/>
  <c r="D1473" i="25"/>
  <c r="C1473" i="25"/>
  <c r="B1473" i="25"/>
  <c r="L1472" i="25"/>
  <c r="K1472" i="25"/>
  <c r="J1472" i="25"/>
  <c r="D1472" i="25"/>
  <c r="C1472" i="25"/>
  <c r="B1472" i="25"/>
  <c r="L1471" i="25"/>
  <c r="K1471" i="25"/>
  <c r="J1471" i="25"/>
  <c r="F1464" i="25"/>
  <c r="N1463" i="25"/>
  <c r="F1463" i="25"/>
  <c r="N1462" i="25"/>
  <c r="F1462" i="25"/>
  <c r="N1461" i="25"/>
  <c r="H1461" i="25"/>
  <c r="P1460" i="25"/>
  <c r="H1459" i="25"/>
  <c r="P1458" i="25"/>
  <c r="A1458" i="25"/>
  <c r="H1457" i="25"/>
  <c r="A1454" i="25"/>
  <c r="H1453" i="25"/>
  <c r="P1452" i="25"/>
  <c r="A1452" i="25"/>
  <c r="H1451" i="25"/>
  <c r="P1450" i="25"/>
  <c r="A1450" i="25"/>
  <c r="D1438" i="25"/>
  <c r="C1438" i="25"/>
  <c r="B1438" i="25"/>
  <c r="L1437" i="25"/>
  <c r="K1437" i="25"/>
  <c r="J1437" i="25"/>
  <c r="D1437" i="25"/>
  <c r="C1437" i="25"/>
  <c r="L1436" i="25"/>
  <c r="K1436" i="25"/>
  <c r="D1436" i="25"/>
  <c r="C1436" i="25"/>
  <c r="L1435" i="25"/>
  <c r="K1435" i="25"/>
  <c r="J1435" i="25"/>
  <c r="D1435" i="25"/>
  <c r="C1435" i="25"/>
  <c r="B1435" i="25"/>
  <c r="L1434" i="25"/>
  <c r="K1434" i="25"/>
  <c r="D1434" i="25"/>
  <c r="C1434" i="25"/>
  <c r="B1434" i="25"/>
  <c r="L1433" i="25"/>
  <c r="K1433" i="25"/>
  <c r="L1432" i="25"/>
  <c r="K1432" i="25"/>
  <c r="J1432" i="25"/>
  <c r="F1426" i="25"/>
  <c r="F1425" i="25"/>
  <c r="N1424" i="25"/>
  <c r="F1424" i="25"/>
  <c r="N1423" i="25"/>
  <c r="H1423" i="25"/>
  <c r="N1422" i="25"/>
  <c r="P1421" i="25"/>
  <c r="H1421" i="25"/>
  <c r="A1420" i="25"/>
  <c r="P1419" i="25"/>
  <c r="H1419" i="25"/>
  <c r="A1418" i="25"/>
  <c r="P1417" i="25"/>
  <c r="H1417" i="25"/>
  <c r="A1416" i="25"/>
  <c r="P1415" i="25"/>
  <c r="H1415" i="25"/>
  <c r="A1414" i="25"/>
  <c r="P1413" i="25"/>
  <c r="D1402" i="25"/>
  <c r="C1402" i="25"/>
  <c r="B1402" i="25"/>
  <c r="D1401" i="25"/>
  <c r="C1401" i="25"/>
  <c r="L1400" i="25"/>
  <c r="K1400" i="25"/>
  <c r="J1400" i="25"/>
  <c r="D1400" i="25"/>
  <c r="C1400" i="25"/>
  <c r="L1399" i="25"/>
  <c r="K1399" i="25"/>
  <c r="D1399" i="25"/>
  <c r="C1399" i="25"/>
  <c r="L1398" i="25"/>
  <c r="K1398" i="25"/>
  <c r="D1398" i="25"/>
  <c r="C1398" i="25"/>
  <c r="B1398" i="25"/>
  <c r="L1397" i="25"/>
  <c r="K1397" i="25"/>
  <c r="D1397" i="25"/>
  <c r="C1397" i="25"/>
  <c r="B1397" i="25"/>
  <c r="L1396" i="25"/>
  <c r="K1396" i="25"/>
  <c r="J1396" i="25"/>
  <c r="L1395" i="25"/>
  <c r="K1395" i="25"/>
  <c r="J1395" i="25"/>
  <c r="F1389" i="25"/>
  <c r="F1388" i="25"/>
  <c r="N1387" i="25"/>
  <c r="F1387" i="25"/>
  <c r="P1386" i="25"/>
  <c r="N1386" i="25"/>
  <c r="H1386" i="25"/>
  <c r="N1385" i="25"/>
  <c r="P1384" i="25"/>
  <c r="H1384" i="25"/>
  <c r="A1383" i="25"/>
  <c r="P1382" i="25"/>
  <c r="H1382" i="25"/>
  <c r="A1381" i="25"/>
  <c r="P1380" i="25"/>
  <c r="H1380" i="25"/>
  <c r="I1379" i="25"/>
  <c r="A1379" i="25"/>
  <c r="P1378" i="25"/>
  <c r="H1378" i="25"/>
  <c r="I1377" i="25"/>
  <c r="A1377" i="25"/>
  <c r="P1376" i="25"/>
  <c r="D1365" i="25"/>
  <c r="C1365" i="25"/>
  <c r="B1365" i="25"/>
  <c r="D1364" i="25"/>
  <c r="C1364" i="25"/>
  <c r="L1363" i="25"/>
  <c r="K1363" i="25"/>
  <c r="J1363" i="25"/>
  <c r="D1363" i="25"/>
  <c r="C1363" i="25"/>
  <c r="L1362" i="25"/>
  <c r="K1362" i="25"/>
  <c r="D1362" i="25"/>
  <c r="C1362" i="25"/>
  <c r="L1361" i="25"/>
  <c r="K1361" i="25"/>
  <c r="D1361" i="25"/>
  <c r="C1361" i="25"/>
  <c r="B1361" i="25"/>
  <c r="L1360" i="25"/>
  <c r="K1360" i="25"/>
  <c r="D1360" i="25"/>
  <c r="C1360" i="25"/>
  <c r="B1360" i="25"/>
  <c r="L1359" i="25"/>
  <c r="K1359" i="25"/>
  <c r="L1358" i="25"/>
  <c r="K1358" i="25"/>
  <c r="J1358" i="25"/>
  <c r="F1352" i="25"/>
  <c r="F1351" i="25"/>
  <c r="N1350" i="25"/>
  <c r="F1350" i="25"/>
  <c r="P1349" i="25"/>
  <c r="N1349" i="25"/>
  <c r="H1349" i="25"/>
  <c r="N1348" i="25"/>
  <c r="A1348" i="25"/>
  <c r="P1347" i="25"/>
  <c r="H1347" i="25"/>
  <c r="I1346" i="25"/>
  <c r="A1346" i="25"/>
  <c r="P1345" i="25"/>
  <c r="H1345" i="25"/>
  <c r="I1344" i="25"/>
  <c r="A1344" i="25"/>
  <c r="P1343" i="25"/>
  <c r="H1343" i="25"/>
  <c r="I1342" i="25"/>
  <c r="A1342" i="25"/>
  <c r="P1341" i="25"/>
  <c r="H1341" i="25"/>
  <c r="I1340" i="25"/>
  <c r="A1340" i="25"/>
  <c r="P1339" i="25"/>
  <c r="H1339" i="25"/>
  <c r="A1338" i="25"/>
  <c r="L1326" i="25"/>
  <c r="K1326" i="25"/>
  <c r="J1326" i="25"/>
  <c r="D1326" i="25"/>
  <c r="C1326" i="25"/>
  <c r="B1326" i="25"/>
  <c r="L1325" i="25"/>
  <c r="K1325" i="25"/>
  <c r="D1325" i="25"/>
  <c r="C1325" i="25"/>
  <c r="L1324" i="25"/>
  <c r="K1324" i="25"/>
  <c r="D1324" i="25"/>
  <c r="C1324" i="25"/>
  <c r="L1323" i="25"/>
  <c r="K1323" i="25"/>
  <c r="D1323" i="25"/>
  <c r="C1323" i="25"/>
  <c r="L1322" i="25"/>
  <c r="K1322" i="25"/>
  <c r="J1322" i="25"/>
  <c r="D1322" i="25"/>
  <c r="C1322" i="25"/>
  <c r="B1322" i="25"/>
  <c r="L1321" i="25"/>
  <c r="K1321" i="25"/>
  <c r="J1321" i="25"/>
  <c r="D1321" i="25"/>
  <c r="C1321" i="25"/>
  <c r="B1321" i="25"/>
  <c r="N1313" i="25"/>
  <c r="F1313" i="25"/>
  <c r="P1312" i="25"/>
  <c r="N1312" i="25"/>
  <c r="F1312" i="25"/>
  <c r="N1311" i="25"/>
  <c r="F1311" i="25"/>
  <c r="P1310" i="25"/>
  <c r="H1310" i="25"/>
  <c r="I1309" i="25"/>
  <c r="A1309" i="25"/>
  <c r="P1308" i="25"/>
  <c r="H1308" i="25"/>
  <c r="I1307" i="25"/>
  <c r="A1307" i="25"/>
  <c r="P1306" i="25"/>
  <c r="H1306" i="25"/>
  <c r="I1305" i="25"/>
  <c r="A1305" i="25"/>
  <c r="P1304" i="25"/>
  <c r="H1304" i="25"/>
  <c r="I1303" i="25"/>
  <c r="A1303" i="25"/>
  <c r="P1302" i="25"/>
  <c r="H1302" i="25"/>
  <c r="A1301" i="25"/>
  <c r="L1289" i="25"/>
  <c r="K1289" i="25"/>
  <c r="J1289" i="25"/>
  <c r="D1289" i="25"/>
  <c r="C1289" i="25"/>
  <c r="B1289" i="25"/>
  <c r="L1288" i="25"/>
  <c r="K1288" i="25"/>
  <c r="D1288" i="25"/>
  <c r="C1288" i="25"/>
  <c r="L1287" i="25"/>
  <c r="K1287" i="25"/>
  <c r="J1287" i="25"/>
  <c r="D1287" i="25"/>
  <c r="C1287" i="25"/>
  <c r="L1286" i="25"/>
  <c r="K1286" i="25"/>
  <c r="D1286" i="25"/>
  <c r="C1286" i="25"/>
  <c r="L1285" i="25"/>
  <c r="K1285" i="25"/>
  <c r="D1285" i="25"/>
  <c r="C1285" i="25"/>
  <c r="B1285" i="25"/>
  <c r="L1284" i="25"/>
  <c r="K1284" i="25"/>
  <c r="J1284" i="25"/>
  <c r="D1284" i="25"/>
  <c r="C1284" i="25"/>
  <c r="B1284" i="25"/>
  <c r="N1276" i="25"/>
  <c r="F1276" i="25"/>
  <c r="N1275" i="25"/>
  <c r="F1275" i="25"/>
  <c r="N1274" i="25"/>
  <c r="F1274" i="25"/>
  <c r="H1273" i="25"/>
  <c r="A1272" i="25"/>
  <c r="H1271" i="25"/>
  <c r="A1270" i="25"/>
  <c r="H1269" i="25"/>
  <c r="A1268" i="25"/>
  <c r="H1267" i="25"/>
  <c r="P1266" i="25"/>
  <c r="A1266" i="25"/>
  <c r="H1265" i="25"/>
  <c r="P1264" i="25"/>
  <c r="A1264" i="25"/>
  <c r="L1252" i="25"/>
  <c r="K1252" i="25"/>
  <c r="J1252" i="25"/>
  <c r="D1252" i="25"/>
  <c r="C1252" i="25"/>
  <c r="B1252" i="25"/>
  <c r="L1251" i="25"/>
  <c r="K1251" i="25"/>
  <c r="D1251" i="25"/>
  <c r="C1251" i="25"/>
  <c r="L1250" i="25"/>
  <c r="K1250" i="25"/>
  <c r="J1250" i="25"/>
  <c r="D1250" i="25"/>
  <c r="C1250" i="25"/>
  <c r="L1249" i="25"/>
  <c r="K1249" i="25"/>
  <c r="D1249" i="25"/>
  <c r="C1249" i="25"/>
  <c r="L1248" i="25"/>
  <c r="K1248" i="25"/>
  <c r="J1248" i="25"/>
  <c r="D1248" i="25"/>
  <c r="C1248" i="25"/>
  <c r="B1248" i="25"/>
  <c r="L1247" i="25"/>
  <c r="K1247" i="25"/>
  <c r="J1247" i="25"/>
  <c r="D1247" i="25"/>
  <c r="C1247" i="25"/>
  <c r="B1247" i="25"/>
  <c r="N1239" i="25"/>
  <c r="F1239" i="25"/>
  <c r="N1238" i="25"/>
  <c r="F1238" i="25"/>
  <c r="N1237" i="25"/>
  <c r="F1237" i="25"/>
  <c r="P1236" i="25"/>
  <c r="H1236" i="25"/>
  <c r="A1235" i="25"/>
  <c r="P1234" i="25"/>
  <c r="H1234" i="25"/>
  <c r="A1233" i="25"/>
  <c r="P1232" i="25"/>
  <c r="H1232" i="25"/>
  <c r="A1231" i="25"/>
  <c r="H1230" i="25"/>
  <c r="P1229" i="25"/>
  <c r="A1229" i="25"/>
  <c r="H1228" i="25"/>
  <c r="P1227" i="25"/>
  <c r="A1227" i="25"/>
  <c r="L1215" i="25"/>
  <c r="K1215" i="25"/>
  <c r="J1215" i="25"/>
  <c r="D1215" i="25"/>
  <c r="C1215" i="25"/>
  <c r="B1215" i="25"/>
  <c r="L1214" i="25"/>
  <c r="K1214" i="25"/>
  <c r="D1214" i="25"/>
  <c r="C1214" i="25"/>
  <c r="L1213" i="25"/>
  <c r="K1213" i="25"/>
  <c r="D1213" i="25"/>
  <c r="C1213" i="25"/>
  <c r="L1212" i="25"/>
  <c r="K1212" i="25"/>
  <c r="D1212" i="25"/>
  <c r="C1212" i="25"/>
  <c r="L1211" i="25"/>
  <c r="K1211" i="25"/>
  <c r="J1211" i="25"/>
  <c r="D1211" i="25"/>
  <c r="C1211" i="25"/>
  <c r="B1211" i="25"/>
  <c r="L1210" i="25"/>
  <c r="K1210" i="25"/>
  <c r="J1210" i="25"/>
  <c r="D1210" i="25"/>
  <c r="C1210" i="25"/>
  <c r="B1210" i="25"/>
  <c r="N1202" i="25"/>
  <c r="F1202" i="25"/>
  <c r="P1201" i="25"/>
  <c r="N1201" i="25"/>
  <c r="F1201" i="25"/>
  <c r="N1200" i="25"/>
  <c r="F1200" i="25"/>
  <c r="H1199" i="25"/>
  <c r="P1197" i="25"/>
  <c r="I1196" i="25"/>
  <c r="H1195" i="25"/>
  <c r="I1194" i="25"/>
  <c r="H1193" i="25"/>
  <c r="I1192" i="25"/>
  <c r="A1192" i="25"/>
  <c r="H1191" i="25"/>
  <c r="P1190" i="25"/>
  <c r="I1190" i="25"/>
  <c r="A1190" i="25"/>
  <c r="H1189" i="25"/>
  <c r="P1188" i="25"/>
  <c r="A1188" i="25"/>
  <c r="L1176" i="25"/>
  <c r="K1176" i="25"/>
  <c r="J1176" i="25"/>
  <c r="D1176" i="25"/>
  <c r="C1176" i="25"/>
  <c r="B1176" i="25"/>
  <c r="L1175" i="25"/>
  <c r="K1175" i="25"/>
  <c r="D1175" i="25"/>
  <c r="C1175" i="25"/>
  <c r="L1174" i="25"/>
  <c r="K1174" i="25"/>
  <c r="J1174" i="25"/>
  <c r="D1174" i="25"/>
  <c r="C1174" i="25"/>
  <c r="L1173" i="25"/>
  <c r="K1173" i="25"/>
  <c r="D1173" i="25"/>
  <c r="C1173" i="25"/>
  <c r="L1172" i="25"/>
  <c r="K1172" i="25"/>
  <c r="J1172" i="25"/>
  <c r="D1172" i="25"/>
  <c r="C1172" i="25"/>
  <c r="B1172" i="25"/>
  <c r="L1171" i="25"/>
  <c r="K1171" i="25"/>
  <c r="J1171" i="25"/>
  <c r="D1171" i="25"/>
  <c r="C1171" i="25"/>
  <c r="B1171" i="25"/>
  <c r="N1163" i="25"/>
  <c r="F1163" i="25"/>
  <c r="N1162" i="25"/>
  <c r="F1162" i="25"/>
  <c r="N1161" i="25"/>
  <c r="F1161" i="25"/>
  <c r="H1160" i="25"/>
  <c r="P1159" i="25"/>
  <c r="I1159" i="25"/>
  <c r="H1158" i="25"/>
  <c r="P1157" i="25"/>
  <c r="I1157" i="25"/>
  <c r="P1155" i="25"/>
  <c r="I1155" i="25"/>
  <c r="P1154" i="25"/>
  <c r="H1154" i="25"/>
  <c r="I1153" i="25"/>
  <c r="A1153" i="25"/>
  <c r="H1152" i="25"/>
  <c r="P1151" i="25"/>
  <c r="A1151" i="25"/>
  <c r="L1139" i="25"/>
  <c r="K1139" i="25"/>
  <c r="J1139" i="25"/>
  <c r="D1139" i="25"/>
  <c r="C1139" i="25"/>
  <c r="B1139" i="25"/>
  <c r="L1138" i="25"/>
  <c r="K1138" i="25"/>
  <c r="D1138" i="25"/>
  <c r="C1138" i="25"/>
  <c r="L1137" i="25"/>
  <c r="K1137" i="25"/>
  <c r="D1137" i="25"/>
  <c r="C1137" i="25"/>
  <c r="L1136" i="25"/>
  <c r="K1136" i="25"/>
  <c r="D1136" i="25"/>
  <c r="C1136" i="25"/>
  <c r="L1135" i="25"/>
  <c r="K1135" i="25"/>
  <c r="J1135" i="25"/>
  <c r="D1135" i="25"/>
  <c r="C1135" i="25"/>
  <c r="B1135" i="25"/>
  <c r="L1134" i="25"/>
  <c r="K1134" i="25"/>
  <c r="J1134" i="25"/>
  <c r="D1134" i="25"/>
  <c r="C1134" i="25"/>
  <c r="B1134" i="25"/>
  <c r="N1126" i="25"/>
  <c r="F1126" i="25"/>
  <c r="N1125" i="25"/>
  <c r="F1125" i="25"/>
  <c r="N1124" i="25"/>
  <c r="F1124" i="25"/>
  <c r="P1123" i="25"/>
  <c r="H1123" i="25"/>
  <c r="I1122" i="25"/>
  <c r="P1121" i="25"/>
  <c r="H1121" i="25"/>
  <c r="I1120" i="25"/>
  <c r="P1119" i="25"/>
  <c r="I1118" i="25"/>
  <c r="H1117" i="25"/>
  <c r="I1116" i="25"/>
  <c r="P1115" i="25"/>
  <c r="H1115" i="25"/>
  <c r="P1114" i="25"/>
  <c r="L1102" i="25"/>
  <c r="K1102" i="25"/>
  <c r="J1102" i="25"/>
  <c r="D1102" i="25"/>
  <c r="C1102" i="25"/>
  <c r="B1102" i="25"/>
  <c r="L1101" i="25"/>
  <c r="K1101" i="25"/>
  <c r="D1101" i="25"/>
  <c r="C1101" i="25"/>
  <c r="L1100" i="25"/>
  <c r="K1100" i="25"/>
  <c r="J1100" i="25"/>
  <c r="D1100" i="25"/>
  <c r="C1100" i="25"/>
  <c r="L1099" i="25"/>
  <c r="K1099" i="25"/>
  <c r="D1099" i="25"/>
  <c r="C1099" i="25"/>
  <c r="L1098" i="25"/>
  <c r="K1098" i="25"/>
  <c r="J1098" i="25"/>
  <c r="D1098" i="25"/>
  <c r="C1098" i="25"/>
  <c r="B1098" i="25"/>
  <c r="L1097" i="25"/>
  <c r="K1097" i="25"/>
  <c r="J1097" i="25"/>
  <c r="D1097" i="25"/>
  <c r="C1097" i="25"/>
  <c r="B1097" i="25"/>
  <c r="N1089" i="25"/>
  <c r="F1089" i="25"/>
  <c r="N1088" i="25"/>
  <c r="F1088" i="25"/>
  <c r="N1087" i="25"/>
  <c r="F1087" i="25"/>
  <c r="P1086" i="25"/>
  <c r="I1085" i="25"/>
  <c r="P1084" i="25"/>
  <c r="I1083" i="25"/>
  <c r="P1082" i="25"/>
  <c r="I1081" i="25"/>
  <c r="P1080" i="25"/>
  <c r="H1080" i="25"/>
  <c r="I1079" i="25"/>
  <c r="A1079" i="25"/>
  <c r="P1078" i="25"/>
  <c r="H1078" i="25"/>
  <c r="I1077" i="25"/>
  <c r="A1077" i="25"/>
  <c r="P1076" i="25"/>
  <c r="H1076" i="25"/>
  <c r="A1075" i="25"/>
  <c r="L1063" i="25"/>
  <c r="K1063" i="25"/>
  <c r="J1063" i="25"/>
  <c r="D1063" i="25"/>
  <c r="C1063" i="25"/>
  <c r="B1063" i="25"/>
  <c r="L1062" i="25"/>
  <c r="K1062" i="25"/>
  <c r="D1062" i="25"/>
  <c r="C1062" i="25"/>
  <c r="L1061" i="25"/>
  <c r="K1061" i="25"/>
  <c r="J1061" i="25"/>
  <c r="D1061" i="25"/>
  <c r="C1061" i="25"/>
  <c r="L1060" i="25"/>
  <c r="K1060" i="25"/>
  <c r="J1060" i="25"/>
  <c r="D1060" i="25"/>
  <c r="C1060" i="25"/>
  <c r="L1059" i="25"/>
  <c r="K1059" i="25"/>
  <c r="J1059" i="25"/>
  <c r="D1059" i="25"/>
  <c r="C1059" i="25"/>
  <c r="B1059" i="25"/>
  <c r="L1058" i="25"/>
  <c r="K1058" i="25"/>
  <c r="J1058" i="25"/>
  <c r="D1058" i="25"/>
  <c r="C1058" i="25"/>
  <c r="B1058" i="25"/>
  <c r="N1050" i="25"/>
  <c r="F1050" i="25"/>
  <c r="N1049" i="25"/>
  <c r="F1049" i="25"/>
  <c r="N1048" i="25"/>
  <c r="F1048" i="25"/>
  <c r="P1047" i="25"/>
  <c r="H1047" i="25"/>
  <c r="I1046" i="25"/>
  <c r="P1045" i="25"/>
  <c r="H1045" i="25"/>
  <c r="I1044" i="25"/>
  <c r="P1043" i="25"/>
  <c r="H1043" i="25"/>
  <c r="I1042" i="25"/>
  <c r="A1042" i="25"/>
  <c r="P1041" i="25"/>
  <c r="H1041" i="25"/>
  <c r="H1040" i="25"/>
  <c r="A1040" i="25"/>
  <c r="L1028" i="25"/>
  <c r="K1028" i="25"/>
  <c r="J1028" i="25"/>
  <c r="D1028" i="25"/>
  <c r="C1028" i="25"/>
  <c r="L1027" i="25"/>
  <c r="K1027" i="25"/>
  <c r="D1027" i="25"/>
  <c r="C1027" i="25"/>
  <c r="L1026" i="25"/>
  <c r="K1026" i="25"/>
  <c r="J1026" i="25"/>
  <c r="D1026" i="25"/>
  <c r="C1026" i="25"/>
  <c r="B1026" i="25"/>
  <c r="L1025" i="25"/>
  <c r="K1025" i="25"/>
  <c r="D1025" i="25"/>
  <c r="C1025" i="25"/>
  <c r="B1025" i="25"/>
  <c r="L1024" i="25"/>
  <c r="K1024" i="25"/>
  <c r="J1024" i="25"/>
  <c r="L1023" i="25"/>
  <c r="K1023" i="25"/>
  <c r="J1023" i="25"/>
  <c r="F1017" i="25"/>
  <c r="F1016" i="25"/>
  <c r="N1015" i="25"/>
  <c r="F1015" i="25"/>
  <c r="P1014" i="25"/>
  <c r="N1014" i="25"/>
  <c r="H1014" i="25"/>
  <c r="N1013" i="25"/>
  <c r="A1013" i="25"/>
  <c r="P1012" i="25"/>
  <c r="H1012" i="25"/>
  <c r="I1011" i="25"/>
  <c r="A1011" i="25"/>
  <c r="P1010" i="25"/>
  <c r="H1010" i="25"/>
  <c r="I1009" i="25"/>
  <c r="A1009" i="25"/>
  <c r="P1008" i="25"/>
  <c r="H1008" i="25"/>
  <c r="I1007" i="25"/>
  <c r="A1007" i="25"/>
  <c r="P1006" i="25"/>
  <c r="H1005" i="25"/>
  <c r="A1005" i="25"/>
  <c r="P1003" i="25"/>
  <c r="D993" i="25"/>
  <c r="C993" i="25"/>
  <c r="B993" i="25"/>
  <c r="D992" i="25"/>
  <c r="C992" i="25"/>
  <c r="L991" i="25"/>
  <c r="K991" i="25"/>
  <c r="J991" i="25"/>
  <c r="D991" i="25"/>
  <c r="C991" i="25"/>
  <c r="L990" i="25"/>
  <c r="K990" i="25"/>
  <c r="D990" i="25"/>
  <c r="C990" i="25"/>
  <c r="L989" i="25"/>
  <c r="K989" i="25"/>
  <c r="J989" i="25"/>
  <c r="D989" i="25"/>
  <c r="C989" i="25"/>
  <c r="B989" i="25"/>
  <c r="L988" i="25"/>
  <c r="K988" i="25"/>
  <c r="D988" i="25"/>
  <c r="C988" i="25"/>
  <c r="B988" i="25"/>
  <c r="L987" i="25"/>
  <c r="K987" i="25"/>
  <c r="J987" i="25"/>
  <c r="L986" i="25"/>
  <c r="K986" i="25"/>
  <c r="F980" i="25"/>
  <c r="F979" i="25"/>
  <c r="N978" i="25"/>
  <c r="F978" i="25"/>
  <c r="P977" i="25"/>
  <c r="N977" i="25"/>
  <c r="H977" i="25"/>
  <c r="N976" i="25"/>
  <c r="P975" i="25"/>
  <c r="H975" i="25"/>
  <c r="A974" i="25"/>
  <c r="H973" i="25"/>
  <c r="A972" i="25"/>
  <c r="P971" i="25"/>
  <c r="I970" i="25"/>
  <c r="P969" i="25"/>
  <c r="H969" i="25"/>
  <c r="I968" i="25"/>
  <c r="A968" i="25"/>
  <c r="P967" i="25"/>
  <c r="H967" i="25"/>
  <c r="I966" i="25"/>
  <c r="H966" i="25"/>
  <c r="A966" i="25"/>
  <c r="P965" i="25"/>
  <c r="D954" i="25"/>
  <c r="C954" i="25"/>
  <c r="B954" i="25"/>
  <c r="D953" i="25"/>
  <c r="C953" i="25"/>
  <c r="L952" i="25"/>
  <c r="K952" i="25"/>
  <c r="J952" i="25"/>
  <c r="D952" i="25"/>
  <c r="C952" i="25"/>
  <c r="B952" i="25"/>
  <c r="L951" i="25"/>
  <c r="K951" i="25"/>
  <c r="D951" i="25"/>
  <c r="C951" i="25"/>
  <c r="L950" i="25"/>
  <c r="K950" i="25"/>
  <c r="J950" i="25"/>
  <c r="D950" i="25"/>
  <c r="C950" i="25"/>
  <c r="B950" i="25"/>
  <c r="L949" i="25"/>
  <c r="K949" i="25"/>
  <c r="D949" i="25"/>
  <c r="C949" i="25"/>
  <c r="B949" i="25"/>
  <c r="L948" i="25"/>
  <c r="K948" i="25"/>
  <c r="J948" i="25"/>
  <c r="L947" i="25"/>
  <c r="K947" i="25"/>
  <c r="J947" i="25"/>
  <c r="F941" i="25"/>
  <c r="F940" i="25"/>
  <c r="N939" i="25"/>
  <c r="F939" i="25"/>
  <c r="P938" i="25"/>
  <c r="N938" i="25"/>
  <c r="H938" i="25"/>
  <c r="N937" i="25"/>
  <c r="H936" i="25"/>
  <c r="H934" i="25"/>
  <c r="H930" i="25"/>
  <c r="P928" i="25"/>
  <c r="H928" i="25"/>
  <c r="I927" i="25"/>
  <c r="H927" i="25"/>
  <c r="A927" i="25"/>
  <c r="P926" i="25"/>
  <c r="D915" i="25"/>
  <c r="C915" i="25"/>
  <c r="B915" i="25"/>
  <c r="D914" i="25"/>
  <c r="C914" i="25"/>
  <c r="L913" i="25"/>
  <c r="K913" i="25"/>
  <c r="J913" i="25"/>
  <c r="D913" i="25"/>
  <c r="C913" i="25"/>
  <c r="B913" i="25"/>
  <c r="L912" i="25"/>
  <c r="K912" i="25"/>
  <c r="D912" i="25"/>
  <c r="C912" i="25"/>
  <c r="L911" i="25"/>
  <c r="K911" i="25"/>
  <c r="J911" i="25"/>
  <c r="D911" i="25"/>
  <c r="C911" i="25"/>
  <c r="B911" i="25"/>
  <c r="L910" i="25"/>
  <c r="K910" i="25"/>
  <c r="D910" i="25"/>
  <c r="C910" i="25"/>
  <c r="B910" i="25"/>
  <c r="L909" i="25"/>
  <c r="K909" i="25"/>
  <c r="J909" i="25"/>
  <c r="L908" i="25"/>
  <c r="K908" i="25"/>
  <c r="J908" i="25"/>
  <c r="F902" i="25"/>
  <c r="F901" i="25"/>
  <c r="N900" i="25"/>
  <c r="F900" i="25"/>
  <c r="P899" i="25"/>
  <c r="N899" i="25"/>
  <c r="H899" i="25"/>
  <c r="N898" i="25"/>
  <c r="P897" i="25"/>
  <c r="H897" i="25"/>
  <c r="P895" i="25"/>
  <c r="H895" i="25"/>
  <c r="A894" i="25"/>
  <c r="P893" i="25"/>
  <c r="H893" i="25"/>
  <c r="I892" i="25"/>
  <c r="A892" i="25"/>
  <c r="P891" i="25"/>
  <c r="H891" i="25"/>
  <c r="I890" i="25"/>
  <c r="A890" i="25"/>
  <c r="P889" i="25"/>
  <c r="I888" i="25"/>
  <c r="D878" i="25"/>
  <c r="C878" i="25"/>
  <c r="B878" i="25"/>
  <c r="D877" i="25"/>
  <c r="C877" i="25"/>
  <c r="L876" i="25"/>
  <c r="K876" i="25"/>
  <c r="J876" i="25"/>
  <c r="D876" i="25"/>
  <c r="C876" i="25"/>
  <c r="B876" i="25"/>
  <c r="L875" i="25"/>
  <c r="K875" i="25"/>
  <c r="D875" i="25"/>
  <c r="C875" i="25"/>
  <c r="L874" i="25"/>
  <c r="K874" i="25"/>
  <c r="J874" i="25"/>
  <c r="D874" i="25"/>
  <c r="C874" i="25"/>
  <c r="B874" i="25"/>
  <c r="L873" i="25"/>
  <c r="K873" i="25"/>
  <c r="D873" i="25"/>
  <c r="C873" i="25"/>
  <c r="B873" i="25"/>
  <c r="L872" i="25"/>
  <c r="K872" i="25"/>
  <c r="J872" i="25"/>
  <c r="L871" i="25"/>
  <c r="K871" i="25"/>
  <c r="J871" i="25"/>
  <c r="F865" i="25"/>
  <c r="F864" i="25"/>
  <c r="N863" i="25"/>
  <c r="F863" i="25"/>
  <c r="P862" i="25"/>
  <c r="N862" i="25"/>
  <c r="H862" i="25"/>
  <c r="N861" i="25"/>
  <c r="A861" i="25"/>
  <c r="P860" i="25"/>
  <c r="H860" i="25"/>
  <c r="I859" i="25"/>
  <c r="A859" i="25"/>
  <c r="P857" i="25"/>
  <c r="I857" i="25"/>
  <c r="P856" i="25"/>
  <c r="H856" i="25"/>
  <c r="I855" i="25"/>
  <c r="A855" i="25"/>
  <c r="P854" i="25"/>
  <c r="H854" i="25"/>
  <c r="I853" i="25"/>
  <c r="A853" i="25"/>
  <c r="P852" i="25"/>
  <c r="H852" i="25"/>
  <c r="I851" i="25"/>
  <c r="A851" i="25"/>
  <c r="P850" i="25"/>
  <c r="I849" i="25"/>
  <c r="D839" i="25"/>
  <c r="C839" i="25"/>
  <c r="B839" i="25"/>
  <c r="D838" i="25"/>
  <c r="C838" i="25"/>
  <c r="L837" i="25"/>
  <c r="K837" i="25"/>
  <c r="J837" i="25"/>
  <c r="D837" i="25"/>
  <c r="C837" i="25"/>
  <c r="L836" i="25"/>
  <c r="K836" i="25"/>
  <c r="D836" i="25"/>
  <c r="C836" i="25"/>
  <c r="L835" i="25"/>
  <c r="K835" i="25"/>
  <c r="J835" i="25"/>
  <c r="D835" i="25"/>
  <c r="C835" i="25"/>
  <c r="B835" i="25"/>
  <c r="L834" i="25"/>
  <c r="K834" i="25"/>
  <c r="D834" i="25"/>
  <c r="C834" i="25"/>
  <c r="B834" i="25"/>
  <c r="L833" i="25"/>
  <c r="K833" i="25"/>
  <c r="L832" i="25"/>
  <c r="K832" i="25"/>
  <c r="F826" i="25"/>
  <c r="F825" i="25"/>
  <c r="N824" i="25"/>
  <c r="F824" i="25"/>
  <c r="N823" i="25"/>
  <c r="H823" i="25"/>
  <c r="N822" i="25"/>
  <c r="A822" i="25"/>
  <c r="P821" i="25"/>
  <c r="H821" i="25"/>
  <c r="A820" i="25"/>
  <c r="P819" i="25"/>
  <c r="P817" i="25"/>
  <c r="H817" i="25"/>
  <c r="A816" i="25"/>
  <c r="P815" i="25"/>
  <c r="H815" i="25"/>
  <c r="A814" i="25"/>
  <c r="P813" i="25"/>
  <c r="H813" i="25"/>
  <c r="A812" i="25"/>
  <c r="D802" i="25"/>
  <c r="C802" i="25"/>
  <c r="B802" i="25"/>
  <c r="D801" i="25"/>
  <c r="C801" i="25"/>
  <c r="L800" i="25"/>
  <c r="K800" i="25"/>
  <c r="J800" i="25"/>
  <c r="D800" i="25"/>
  <c r="C800" i="25"/>
  <c r="B800" i="25"/>
  <c r="L799" i="25"/>
  <c r="K799" i="25"/>
  <c r="D799" i="25"/>
  <c r="C799" i="25"/>
  <c r="L798" i="25"/>
  <c r="K798" i="25"/>
  <c r="J798" i="25"/>
  <c r="D798" i="25"/>
  <c r="C798" i="25"/>
  <c r="B798" i="25"/>
  <c r="L797" i="25"/>
  <c r="K797" i="25"/>
  <c r="D797" i="25"/>
  <c r="C797" i="25"/>
  <c r="B797" i="25"/>
  <c r="L796" i="25"/>
  <c r="K796" i="25"/>
  <c r="L795" i="25"/>
  <c r="K795" i="25"/>
  <c r="F789" i="25"/>
  <c r="F788" i="25"/>
  <c r="N787" i="25"/>
  <c r="F787" i="25"/>
  <c r="N786" i="25"/>
  <c r="H786" i="25"/>
  <c r="N785" i="25"/>
  <c r="H784" i="25"/>
  <c r="H780" i="25"/>
  <c r="A779" i="25"/>
  <c r="P778" i="25"/>
  <c r="D767" i="25"/>
  <c r="C767" i="25"/>
  <c r="B767" i="25"/>
  <c r="D766" i="25"/>
  <c r="C766" i="25"/>
  <c r="L765" i="25"/>
  <c r="K765" i="25"/>
  <c r="J765" i="25"/>
  <c r="D765" i="25"/>
  <c r="C765" i="25"/>
  <c r="L764" i="25"/>
  <c r="K764" i="25"/>
  <c r="D764" i="25"/>
  <c r="C764" i="25"/>
  <c r="L763" i="25"/>
  <c r="K763" i="25"/>
  <c r="J763" i="25"/>
  <c r="D763" i="25"/>
  <c r="C763" i="25"/>
  <c r="B763" i="25"/>
  <c r="L762" i="25"/>
  <c r="K762" i="25"/>
  <c r="D762" i="25"/>
  <c r="C762" i="25"/>
  <c r="B762" i="25"/>
  <c r="L761" i="25"/>
  <c r="K761" i="25"/>
  <c r="J761" i="25"/>
  <c r="L760" i="25"/>
  <c r="K760" i="25"/>
  <c r="J760" i="25"/>
  <c r="F754" i="25"/>
  <c r="F753" i="25"/>
  <c r="N752" i="25"/>
  <c r="F752" i="25"/>
  <c r="P751" i="25"/>
  <c r="N751" i="25"/>
  <c r="H751" i="25"/>
  <c r="N750" i="25"/>
  <c r="A750" i="25"/>
  <c r="P749" i="25"/>
  <c r="H749" i="25"/>
  <c r="A748" i="25"/>
  <c r="P747" i="25"/>
  <c r="H747" i="25"/>
  <c r="A746" i="25"/>
  <c r="P745" i="25"/>
  <c r="H745" i="25"/>
  <c r="A744" i="25"/>
  <c r="P743" i="25"/>
  <c r="P741" i="25"/>
  <c r="D730" i="25"/>
  <c r="C730" i="25"/>
  <c r="B730" i="25"/>
  <c r="D729" i="25"/>
  <c r="C729" i="25"/>
  <c r="L728" i="25"/>
  <c r="K728" i="25"/>
  <c r="J728" i="25"/>
  <c r="D728" i="25"/>
  <c r="C728" i="25"/>
  <c r="B728" i="25"/>
  <c r="L727" i="25"/>
  <c r="K727" i="25"/>
  <c r="D727" i="25"/>
  <c r="C727" i="25"/>
  <c r="L726" i="25"/>
  <c r="K726" i="25"/>
  <c r="J726" i="25"/>
  <c r="D726" i="25"/>
  <c r="C726" i="25"/>
  <c r="B726" i="25"/>
  <c r="L725" i="25"/>
  <c r="K725" i="25"/>
  <c r="D725" i="25"/>
  <c r="C725" i="25"/>
  <c r="B725" i="25"/>
  <c r="L724" i="25"/>
  <c r="K724" i="25"/>
  <c r="L723" i="25"/>
  <c r="K723" i="25"/>
  <c r="F717" i="25"/>
  <c r="F716" i="25"/>
  <c r="N715" i="25"/>
  <c r="F715" i="25"/>
  <c r="N714" i="25"/>
  <c r="H714" i="25"/>
  <c r="N713" i="25"/>
  <c r="A713" i="25"/>
  <c r="P712" i="25"/>
  <c r="H711" i="25"/>
  <c r="A711" i="25"/>
  <c r="P710" i="25"/>
  <c r="P708" i="25"/>
  <c r="H708" i="25"/>
  <c r="A707" i="25"/>
  <c r="P706" i="25"/>
  <c r="H706" i="25"/>
  <c r="A705" i="25"/>
  <c r="L693" i="25"/>
  <c r="K693" i="25"/>
  <c r="J693" i="25"/>
  <c r="D693" i="25"/>
  <c r="C693" i="25"/>
  <c r="B693" i="25"/>
  <c r="L692" i="25"/>
  <c r="K692" i="25"/>
  <c r="D692" i="25"/>
  <c r="C692" i="25"/>
  <c r="L691" i="25"/>
  <c r="K691" i="25"/>
  <c r="J691" i="25"/>
  <c r="D691" i="25"/>
  <c r="C691" i="25"/>
  <c r="L690" i="25"/>
  <c r="K690" i="25"/>
  <c r="D690" i="25"/>
  <c r="C690" i="25"/>
  <c r="L689" i="25"/>
  <c r="K689" i="25"/>
  <c r="J689" i="25"/>
  <c r="D689" i="25"/>
  <c r="C689" i="25"/>
  <c r="B689" i="25"/>
  <c r="L688" i="25"/>
  <c r="K688" i="25"/>
  <c r="J688" i="25"/>
  <c r="D688" i="25"/>
  <c r="C688" i="25"/>
  <c r="B688" i="25"/>
  <c r="N680" i="25"/>
  <c r="F680" i="25"/>
  <c r="P679" i="25"/>
  <c r="N679" i="25"/>
  <c r="F679" i="25"/>
  <c r="N678" i="25"/>
  <c r="F678" i="25"/>
  <c r="P677" i="25"/>
  <c r="H677" i="25"/>
  <c r="A676" i="25"/>
  <c r="P675" i="25"/>
  <c r="H675" i="25"/>
  <c r="A674" i="25"/>
  <c r="P673" i="25"/>
  <c r="H673" i="25"/>
  <c r="A672" i="25"/>
  <c r="P671" i="25"/>
  <c r="H671" i="25"/>
  <c r="A670" i="25"/>
  <c r="R668" i="25"/>
  <c r="L658" i="25"/>
  <c r="K658" i="25"/>
  <c r="J658" i="25"/>
  <c r="D658" i="25"/>
  <c r="C658" i="25"/>
  <c r="B658" i="25"/>
  <c r="L657" i="25"/>
  <c r="K657" i="25"/>
  <c r="D657" i="25"/>
  <c r="C657" i="25"/>
  <c r="L656" i="25"/>
  <c r="K656" i="25"/>
  <c r="J656" i="25"/>
  <c r="D656" i="25"/>
  <c r="C656" i="25"/>
  <c r="B656" i="25"/>
  <c r="L655" i="25"/>
  <c r="K655" i="25"/>
  <c r="D655" i="25"/>
  <c r="C655" i="25"/>
  <c r="L654" i="25"/>
  <c r="K654" i="25"/>
  <c r="J654" i="25"/>
  <c r="D654" i="25"/>
  <c r="C654" i="25"/>
  <c r="B654" i="25"/>
  <c r="L653" i="25"/>
  <c r="K653" i="25"/>
  <c r="J653" i="25"/>
  <c r="D653" i="25"/>
  <c r="C653" i="25"/>
  <c r="B653" i="25"/>
  <c r="N645" i="25"/>
  <c r="F645" i="25"/>
  <c r="P644" i="25"/>
  <c r="N644" i="25"/>
  <c r="F644" i="25"/>
  <c r="N643" i="25"/>
  <c r="F643" i="25"/>
  <c r="P642" i="25"/>
  <c r="P640" i="25"/>
  <c r="P638" i="25"/>
  <c r="H638" i="25"/>
  <c r="P636" i="25"/>
  <c r="H636" i="25"/>
  <c r="A635" i="25"/>
  <c r="P634" i="25"/>
  <c r="H634" i="25"/>
  <c r="A633" i="25"/>
  <c r="L621" i="25"/>
  <c r="K621" i="25"/>
  <c r="J621" i="25"/>
  <c r="D621" i="25"/>
  <c r="C621" i="25"/>
  <c r="B621" i="25"/>
  <c r="L620" i="25"/>
  <c r="K620" i="25"/>
  <c r="I620" i="25"/>
  <c r="L619" i="25"/>
  <c r="K619" i="25"/>
  <c r="J619" i="25"/>
  <c r="D619" i="25"/>
  <c r="C619" i="25"/>
  <c r="L618" i="25"/>
  <c r="K618" i="25"/>
  <c r="D618" i="25"/>
  <c r="C618" i="25"/>
  <c r="L617" i="25"/>
  <c r="K617" i="25"/>
  <c r="J617" i="25"/>
  <c r="D617" i="25"/>
  <c r="C617" i="25"/>
  <c r="B617" i="25"/>
  <c r="L616" i="25"/>
  <c r="K616" i="25"/>
  <c r="J616" i="25"/>
  <c r="D616" i="25"/>
  <c r="C616" i="25"/>
  <c r="B616" i="25"/>
  <c r="N608" i="25"/>
  <c r="F608" i="25"/>
  <c r="P607" i="25"/>
  <c r="N607" i="25"/>
  <c r="F607" i="25"/>
  <c r="N606" i="25"/>
  <c r="F606" i="25"/>
  <c r="P605" i="25"/>
  <c r="H605" i="25"/>
  <c r="A604" i="25"/>
  <c r="P603" i="25"/>
  <c r="P601" i="25"/>
  <c r="H601" i="25"/>
  <c r="A600" i="25"/>
  <c r="P599" i="25"/>
  <c r="P597" i="25"/>
  <c r="H597" i="25"/>
  <c r="A596" i="25"/>
  <c r="L584" i="25"/>
  <c r="K584" i="25"/>
  <c r="J584" i="25"/>
  <c r="D584" i="25"/>
  <c r="C584" i="25"/>
  <c r="B584" i="25"/>
  <c r="L583" i="25"/>
  <c r="K583" i="25"/>
  <c r="L582" i="25"/>
  <c r="K582" i="25"/>
  <c r="J582" i="25"/>
  <c r="D582" i="25"/>
  <c r="C582" i="25"/>
  <c r="L581" i="25"/>
  <c r="K581" i="25"/>
  <c r="D581" i="25"/>
  <c r="C581" i="25"/>
  <c r="L580" i="25"/>
  <c r="K580" i="25"/>
  <c r="J580" i="25"/>
  <c r="D580" i="25"/>
  <c r="C580" i="25"/>
  <c r="B580" i="25"/>
  <c r="L579" i="25"/>
  <c r="K579" i="25"/>
  <c r="J579" i="25"/>
  <c r="D579" i="25"/>
  <c r="C579" i="25"/>
  <c r="B579" i="25"/>
  <c r="N571" i="25"/>
  <c r="F571" i="25"/>
  <c r="N570" i="25"/>
  <c r="F570" i="25"/>
  <c r="N569" i="25"/>
  <c r="F569" i="25"/>
  <c r="P568" i="25"/>
  <c r="H568" i="25"/>
  <c r="P567" i="25"/>
  <c r="A567" i="25"/>
  <c r="P566" i="25"/>
  <c r="H566" i="25"/>
  <c r="A565" i="25"/>
  <c r="P564" i="25"/>
  <c r="H564" i="25"/>
  <c r="A563" i="25"/>
  <c r="L551" i="25"/>
  <c r="K551" i="25"/>
  <c r="J551" i="25"/>
  <c r="D551" i="25"/>
  <c r="C551" i="25"/>
  <c r="B551" i="25"/>
  <c r="L550" i="25"/>
  <c r="K550" i="25"/>
  <c r="L549" i="25"/>
  <c r="K549" i="25"/>
  <c r="J549" i="25"/>
  <c r="D549" i="25"/>
  <c r="C549" i="25"/>
  <c r="L548" i="25"/>
  <c r="K548" i="25"/>
  <c r="D548" i="25"/>
  <c r="C548" i="25"/>
  <c r="L547" i="25"/>
  <c r="K547" i="25"/>
  <c r="J547" i="25"/>
  <c r="D547" i="25"/>
  <c r="C547" i="25"/>
  <c r="B547" i="25"/>
  <c r="L546" i="25"/>
  <c r="K546" i="25"/>
  <c r="J546" i="25"/>
  <c r="D546" i="25"/>
  <c r="C546" i="25"/>
  <c r="B546" i="25"/>
  <c r="N538" i="25"/>
  <c r="F538" i="25"/>
  <c r="P537" i="25"/>
  <c r="N537" i="25"/>
  <c r="F537" i="25"/>
  <c r="N536" i="25"/>
  <c r="F536" i="25"/>
  <c r="P535" i="25"/>
  <c r="H535" i="25"/>
  <c r="A534" i="25"/>
  <c r="P533" i="25"/>
  <c r="H533" i="25"/>
  <c r="A532" i="25"/>
  <c r="P531" i="25"/>
  <c r="P529" i="25"/>
  <c r="H529" i="25"/>
  <c r="A528" i="25"/>
  <c r="L516" i="25"/>
  <c r="K516" i="25"/>
  <c r="J516" i="25"/>
  <c r="D516" i="25"/>
  <c r="C516" i="25"/>
  <c r="B516" i="25"/>
  <c r="L515" i="25"/>
  <c r="K515" i="25"/>
  <c r="J515" i="25"/>
  <c r="D515" i="25"/>
  <c r="C515" i="25"/>
  <c r="L514" i="25"/>
  <c r="K514" i="25"/>
  <c r="J514" i="25"/>
  <c r="D514" i="25"/>
  <c r="C514" i="25"/>
  <c r="L513" i="25"/>
  <c r="K513" i="25"/>
  <c r="D513" i="25"/>
  <c r="C513" i="25"/>
  <c r="L512" i="25"/>
  <c r="K512" i="25"/>
  <c r="J512" i="25"/>
  <c r="D512" i="25"/>
  <c r="C512" i="25"/>
  <c r="B512" i="25"/>
  <c r="L511" i="25"/>
  <c r="K511" i="25"/>
  <c r="D511" i="25"/>
  <c r="C511" i="25"/>
  <c r="B511" i="25"/>
  <c r="N503" i="25"/>
  <c r="F503" i="25"/>
  <c r="N502" i="25"/>
  <c r="F502" i="25"/>
  <c r="N501" i="25"/>
  <c r="F501" i="25"/>
  <c r="P500" i="25"/>
  <c r="H500" i="25"/>
  <c r="P498" i="25"/>
  <c r="H498" i="25"/>
  <c r="A497" i="25"/>
  <c r="P496" i="25"/>
  <c r="P494" i="25"/>
  <c r="H494" i="25"/>
  <c r="P493" i="25"/>
  <c r="A493" i="25"/>
  <c r="L481" i="25"/>
  <c r="K481" i="25"/>
  <c r="J481" i="25"/>
  <c r="D481" i="25"/>
  <c r="C481" i="25"/>
  <c r="B481" i="25"/>
  <c r="L480" i="25"/>
  <c r="K480" i="25"/>
  <c r="D480" i="25"/>
  <c r="C480" i="25"/>
  <c r="L479" i="25"/>
  <c r="K479" i="25"/>
  <c r="D479" i="25"/>
  <c r="C479" i="25"/>
  <c r="L478" i="25"/>
  <c r="K478" i="25"/>
  <c r="D478" i="25"/>
  <c r="C478" i="25"/>
  <c r="L477" i="25"/>
  <c r="K477" i="25"/>
  <c r="J477" i="25"/>
  <c r="D477" i="25"/>
  <c r="C477" i="25"/>
  <c r="B477" i="25"/>
  <c r="L476" i="25"/>
  <c r="K476" i="25"/>
  <c r="J476" i="25"/>
  <c r="D476" i="25"/>
  <c r="C476" i="25"/>
  <c r="B476" i="25"/>
  <c r="N468" i="25"/>
  <c r="F468" i="25"/>
  <c r="N467" i="25"/>
  <c r="F467" i="25"/>
  <c r="N466" i="25"/>
  <c r="F466" i="25"/>
  <c r="P465" i="25"/>
  <c r="H465" i="25"/>
  <c r="A464" i="25"/>
  <c r="P463" i="25"/>
  <c r="H463" i="25"/>
  <c r="A462" i="25"/>
  <c r="P461" i="25"/>
  <c r="H461" i="25"/>
  <c r="A460" i="25"/>
  <c r="P459" i="25"/>
  <c r="H459" i="25"/>
  <c r="A458" i="25"/>
  <c r="L446" i="25"/>
  <c r="K446" i="25"/>
  <c r="J446" i="25"/>
  <c r="D446" i="25"/>
  <c r="C446" i="25"/>
  <c r="B446" i="25"/>
  <c r="L445" i="25"/>
  <c r="K445" i="25"/>
  <c r="D445" i="25"/>
  <c r="C445" i="25"/>
  <c r="L444" i="25"/>
  <c r="K444" i="25"/>
  <c r="D444" i="25"/>
  <c r="C444" i="25"/>
  <c r="L443" i="25"/>
  <c r="K443" i="25"/>
  <c r="D443" i="25"/>
  <c r="C443" i="25"/>
  <c r="L442" i="25"/>
  <c r="K442" i="25"/>
  <c r="J442" i="25"/>
  <c r="D442" i="25"/>
  <c r="C442" i="25"/>
  <c r="B442" i="25"/>
  <c r="L441" i="25"/>
  <c r="K441" i="25"/>
  <c r="J441" i="25"/>
  <c r="D441" i="25"/>
  <c r="C441" i="25"/>
  <c r="B441" i="25"/>
  <c r="N433" i="25"/>
  <c r="F433" i="25"/>
  <c r="N432" i="25"/>
  <c r="F432" i="25"/>
  <c r="N431" i="25"/>
  <c r="F431" i="25"/>
  <c r="P430" i="25"/>
  <c r="H430" i="25"/>
  <c r="P429" i="25"/>
  <c r="P428" i="25"/>
  <c r="H428" i="25"/>
  <c r="A427" i="25"/>
  <c r="P426" i="25"/>
  <c r="H426" i="25"/>
  <c r="A425" i="25"/>
  <c r="P424" i="25"/>
  <c r="P423" i="25"/>
  <c r="A423" i="25"/>
  <c r="L411" i="25"/>
  <c r="K411" i="25"/>
  <c r="J411" i="25"/>
  <c r="D411" i="25"/>
  <c r="C411" i="25"/>
  <c r="B411" i="25"/>
  <c r="L410" i="25"/>
  <c r="K410" i="25"/>
  <c r="D410" i="25"/>
  <c r="C410" i="25"/>
  <c r="L409" i="25"/>
  <c r="K409" i="25"/>
  <c r="J409" i="25"/>
  <c r="D409" i="25"/>
  <c r="C409" i="25"/>
  <c r="L408" i="25"/>
  <c r="K408" i="25"/>
  <c r="D408" i="25"/>
  <c r="C408" i="25"/>
  <c r="L407" i="25"/>
  <c r="K407" i="25"/>
  <c r="D407" i="25"/>
  <c r="C407" i="25"/>
  <c r="B407" i="25"/>
  <c r="L406" i="25"/>
  <c r="K406" i="25"/>
  <c r="J406" i="25"/>
  <c r="D406" i="25"/>
  <c r="C406" i="25"/>
  <c r="B406" i="25"/>
  <c r="N398" i="25"/>
  <c r="F398" i="25"/>
  <c r="N397" i="25"/>
  <c r="F397" i="25"/>
  <c r="N396" i="25"/>
  <c r="F396" i="25"/>
  <c r="P395" i="25"/>
  <c r="H395" i="25"/>
  <c r="A394" i="25"/>
  <c r="P393" i="25"/>
  <c r="H393" i="25"/>
  <c r="A392" i="25"/>
  <c r="P391" i="25"/>
  <c r="H391" i="25"/>
  <c r="A390" i="25"/>
  <c r="P389" i="25"/>
  <c r="H389" i="25"/>
  <c r="A388" i="25"/>
  <c r="P387" i="25"/>
  <c r="H387" i="25"/>
  <c r="A386" i="25"/>
  <c r="L374" i="25"/>
  <c r="K374" i="25"/>
  <c r="J374" i="25"/>
  <c r="D374" i="25"/>
  <c r="C374" i="25"/>
  <c r="B374" i="25"/>
  <c r="L373" i="25"/>
  <c r="K373" i="25"/>
  <c r="D373" i="25"/>
  <c r="C373" i="25"/>
  <c r="L372" i="25"/>
  <c r="K372" i="25"/>
  <c r="J372" i="25"/>
  <c r="D372" i="25"/>
  <c r="C372" i="25"/>
  <c r="B372" i="25"/>
  <c r="L371" i="25"/>
  <c r="K371" i="25"/>
  <c r="D371" i="25"/>
  <c r="C371" i="25"/>
  <c r="L370" i="25"/>
  <c r="K370" i="25"/>
  <c r="J370" i="25"/>
  <c r="D370" i="25"/>
  <c r="C370" i="25"/>
  <c r="L369" i="25"/>
  <c r="K369" i="25"/>
  <c r="J369" i="25"/>
  <c r="D369" i="25"/>
  <c r="C369" i="25"/>
  <c r="B369" i="25"/>
  <c r="N361" i="25"/>
  <c r="F361" i="25"/>
  <c r="N360" i="25"/>
  <c r="F360" i="25"/>
  <c r="N359" i="25"/>
  <c r="F359" i="25"/>
  <c r="P358" i="25"/>
  <c r="H358" i="25"/>
  <c r="A357" i="25"/>
  <c r="P356" i="25"/>
  <c r="P354" i="25"/>
  <c r="H354" i="25"/>
  <c r="A353" i="25"/>
  <c r="P352" i="25"/>
  <c r="P350" i="25"/>
  <c r="H350" i="25"/>
  <c r="A349" i="25"/>
  <c r="L337" i="25"/>
  <c r="K337" i="25"/>
  <c r="J337" i="25"/>
  <c r="D337" i="25"/>
  <c r="C337" i="25"/>
  <c r="B337" i="25"/>
  <c r="L336" i="25"/>
  <c r="K336" i="25"/>
  <c r="D336" i="25"/>
  <c r="C336" i="25"/>
  <c r="L335" i="25"/>
  <c r="K335" i="25"/>
  <c r="J335" i="25"/>
  <c r="D335" i="25"/>
  <c r="C335" i="25"/>
  <c r="L334" i="25"/>
  <c r="K334" i="25"/>
  <c r="D334" i="25"/>
  <c r="C334" i="25"/>
  <c r="L333" i="25"/>
  <c r="K333" i="25"/>
  <c r="J333" i="25"/>
  <c r="D333" i="25"/>
  <c r="C333" i="25"/>
  <c r="B333" i="25"/>
  <c r="L332" i="25"/>
  <c r="K332" i="25"/>
  <c r="J332" i="25"/>
  <c r="D332" i="25"/>
  <c r="C332" i="25"/>
  <c r="B332" i="25"/>
  <c r="N324" i="25"/>
  <c r="F324" i="25"/>
  <c r="P323" i="25"/>
  <c r="N323" i="25"/>
  <c r="F323" i="25"/>
  <c r="N322" i="25"/>
  <c r="F322" i="25"/>
  <c r="P321" i="25"/>
  <c r="P319" i="25"/>
  <c r="H319" i="25"/>
  <c r="A318" i="25"/>
  <c r="P317" i="25"/>
  <c r="H317" i="25"/>
  <c r="A316" i="25"/>
  <c r="P315" i="25"/>
  <c r="H315" i="25"/>
  <c r="A314" i="25"/>
  <c r="P313" i="25"/>
  <c r="H313" i="25"/>
  <c r="A312" i="25"/>
  <c r="L300" i="25"/>
  <c r="K300" i="25"/>
  <c r="J300" i="25"/>
  <c r="D300" i="25"/>
  <c r="C300" i="25"/>
  <c r="B300" i="25"/>
  <c r="L299" i="25"/>
  <c r="K299" i="25"/>
  <c r="D299" i="25"/>
  <c r="C299" i="25"/>
  <c r="L298" i="25"/>
  <c r="K298" i="25"/>
  <c r="J298" i="25"/>
  <c r="D298" i="25"/>
  <c r="C298" i="25"/>
  <c r="L297" i="25"/>
  <c r="K297" i="25"/>
  <c r="D297" i="25"/>
  <c r="C297" i="25"/>
  <c r="L296" i="25"/>
  <c r="K296" i="25"/>
  <c r="D296" i="25"/>
  <c r="C296" i="25"/>
  <c r="B296" i="25"/>
  <c r="L295" i="25"/>
  <c r="K295" i="25"/>
  <c r="J295" i="25"/>
  <c r="D295" i="25"/>
  <c r="C295" i="25"/>
  <c r="B295" i="25"/>
  <c r="N287" i="25"/>
  <c r="F287" i="25"/>
  <c r="N286" i="25"/>
  <c r="F286" i="25"/>
  <c r="N285" i="25"/>
  <c r="F285" i="25"/>
  <c r="P284" i="25"/>
  <c r="H284" i="25"/>
  <c r="A283" i="25"/>
  <c r="P282" i="25"/>
  <c r="P280" i="25"/>
  <c r="H280" i="25"/>
  <c r="A279" i="25"/>
  <c r="P278" i="25"/>
  <c r="H278" i="25"/>
  <c r="A277" i="25"/>
  <c r="P276" i="25"/>
  <c r="H276" i="25"/>
  <c r="A275" i="25"/>
  <c r="P274" i="25"/>
  <c r="H274" i="25"/>
  <c r="A273" i="25"/>
  <c r="L261" i="25"/>
  <c r="K261" i="25"/>
  <c r="J261" i="25"/>
  <c r="D261" i="25"/>
  <c r="C261" i="25"/>
  <c r="B261" i="25"/>
  <c r="L260" i="25"/>
  <c r="K260" i="25"/>
  <c r="D260" i="25"/>
  <c r="C260" i="25"/>
  <c r="L259" i="25"/>
  <c r="K259" i="25"/>
  <c r="J259" i="25"/>
  <c r="D259" i="25"/>
  <c r="C259" i="25"/>
  <c r="L258" i="25"/>
  <c r="K258" i="25"/>
  <c r="D258" i="25"/>
  <c r="C258" i="25"/>
  <c r="L257" i="25"/>
  <c r="K257" i="25"/>
  <c r="D257" i="25"/>
  <c r="C257" i="25"/>
  <c r="L256" i="25"/>
  <c r="K256" i="25"/>
  <c r="J256" i="25"/>
  <c r="D256" i="25"/>
  <c r="C256" i="25"/>
  <c r="B256" i="25"/>
  <c r="N248" i="25"/>
  <c r="F248" i="25"/>
  <c r="N247" i="25"/>
  <c r="F247" i="25"/>
  <c r="N246" i="25"/>
  <c r="F246" i="25"/>
  <c r="P245" i="25"/>
  <c r="H245" i="25"/>
  <c r="P243" i="25"/>
  <c r="H243" i="25"/>
  <c r="P241" i="25"/>
  <c r="P239" i="25"/>
  <c r="H239" i="25"/>
  <c r="A238" i="25"/>
  <c r="P237" i="25"/>
  <c r="H236" i="25"/>
  <c r="A236" i="25"/>
  <c r="P235" i="25"/>
  <c r="H235" i="25"/>
  <c r="A234" i="25"/>
  <c r="L222" i="25"/>
  <c r="K222" i="25"/>
  <c r="J222" i="25"/>
  <c r="D222" i="25"/>
  <c r="C222" i="25"/>
  <c r="B222" i="25"/>
  <c r="L221" i="25"/>
  <c r="K221" i="25"/>
  <c r="D221" i="25"/>
  <c r="C221" i="25"/>
  <c r="L220" i="25"/>
  <c r="K220" i="25"/>
  <c r="J220" i="25"/>
  <c r="D220" i="25"/>
  <c r="C220" i="25"/>
  <c r="L219" i="25"/>
  <c r="K219" i="25"/>
  <c r="D219" i="25"/>
  <c r="C219" i="25"/>
  <c r="B219" i="25"/>
  <c r="L218" i="25"/>
  <c r="K218" i="25"/>
  <c r="D218" i="25"/>
  <c r="C218" i="25"/>
  <c r="L217" i="25"/>
  <c r="K217" i="25"/>
  <c r="D217" i="25"/>
  <c r="C217" i="25"/>
  <c r="B217" i="25"/>
  <c r="N209" i="25"/>
  <c r="F209" i="25"/>
  <c r="N208" i="25"/>
  <c r="F208" i="25"/>
  <c r="N207" i="25"/>
  <c r="F207" i="25"/>
  <c r="P206" i="25"/>
  <c r="H206" i="25"/>
  <c r="P204" i="25"/>
  <c r="H204" i="25"/>
  <c r="A203" i="25"/>
  <c r="P202" i="25"/>
  <c r="H202" i="25"/>
  <c r="A201" i="25"/>
  <c r="P200" i="25"/>
  <c r="A199" i="25"/>
  <c r="P198" i="25"/>
  <c r="H198" i="25"/>
  <c r="A197" i="25"/>
  <c r="L185" i="25"/>
  <c r="K185" i="25"/>
  <c r="J185" i="25"/>
  <c r="D185" i="25"/>
  <c r="C185" i="25"/>
  <c r="B185" i="25"/>
  <c r="L184" i="25"/>
  <c r="K184" i="25"/>
  <c r="D184" i="25"/>
  <c r="C184" i="25"/>
  <c r="L183" i="25"/>
  <c r="K183" i="25"/>
  <c r="J183" i="25"/>
  <c r="D183" i="25"/>
  <c r="C183" i="25"/>
  <c r="L182" i="25"/>
  <c r="K182" i="25"/>
  <c r="D182" i="25"/>
  <c r="C182" i="25"/>
  <c r="L181" i="25"/>
  <c r="K181" i="25"/>
  <c r="D181" i="25"/>
  <c r="C181" i="25"/>
  <c r="B181" i="25"/>
  <c r="L180" i="25"/>
  <c r="K180" i="25"/>
  <c r="D180" i="25"/>
  <c r="C180" i="25"/>
  <c r="B180" i="25"/>
  <c r="N172" i="25"/>
  <c r="F172" i="25"/>
  <c r="N171" i="25"/>
  <c r="F171" i="25"/>
  <c r="N170" i="25"/>
  <c r="F170" i="25"/>
  <c r="P169" i="25"/>
  <c r="H169" i="25"/>
  <c r="A168" i="25"/>
  <c r="P167" i="25"/>
  <c r="P165" i="25"/>
  <c r="H165" i="25"/>
  <c r="A164" i="25"/>
  <c r="P163" i="25"/>
  <c r="P161" i="25"/>
  <c r="H161" i="25"/>
  <c r="A160" i="25"/>
  <c r="L148" i="25"/>
  <c r="K148" i="25"/>
  <c r="J148" i="25"/>
  <c r="D148" i="25"/>
  <c r="C148" i="25"/>
  <c r="B148" i="25"/>
  <c r="L147" i="25"/>
  <c r="K147" i="25"/>
  <c r="D147" i="25"/>
  <c r="C147" i="25"/>
  <c r="L146" i="25"/>
  <c r="K146" i="25"/>
  <c r="J146" i="25"/>
  <c r="D146" i="25"/>
  <c r="C146" i="25"/>
  <c r="L145" i="25"/>
  <c r="K145" i="25"/>
  <c r="D145" i="25"/>
  <c r="C145" i="25"/>
  <c r="L144" i="25"/>
  <c r="K144" i="25"/>
  <c r="D144" i="25"/>
  <c r="C144" i="25"/>
  <c r="B144" i="25"/>
  <c r="L143" i="25"/>
  <c r="K143" i="25"/>
  <c r="D143" i="25"/>
  <c r="C143" i="25"/>
  <c r="B143" i="25"/>
  <c r="N135" i="25"/>
  <c r="F135" i="25"/>
  <c r="N134" i="25"/>
  <c r="F134" i="25"/>
  <c r="N133" i="25"/>
  <c r="F133" i="25"/>
  <c r="P132" i="25"/>
  <c r="H132" i="25"/>
  <c r="A131" i="25"/>
  <c r="P130" i="25"/>
  <c r="P128" i="25"/>
  <c r="H128" i="25"/>
  <c r="A127" i="25"/>
  <c r="P126" i="25"/>
  <c r="H126" i="25"/>
  <c r="A125" i="25"/>
  <c r="P124" i="25"/>
  <c r="H124" i="25"/>
  <c r="A123" i="25"/>
  <c r="L111" i="25"/>
  <c r="K111" i="25"/>
  <c r="J111" i="25"/>
  <c r="D111" i="25"/>
  <c r="C111" i="25"/>
  <c r="B111" i="25"/>
  <c r="L110" i="25"/>
  <c r="K110" i="25"/>
  <c r="D110" i="25"/>
  <c r="C110" i="25"/>
  <c r="L109" i="25"/>
  <c r="K109" i="25"/>
  <c r="J109" i="25"/>
  <c r="D109" i="25"/>
  <c r="C109" i="25"/>
  <c r="L108" i="25"/>
  <c r="K108" i="25"/>
  <c r="D108" i="25"/>
  <c r="C108" i="25"/>
  <c r="L107" i="25"/>
  <c r="D107" i="25"/>
  <c r="C107" i="25"/>
  <c r="B107" i="25"/>
  <c r="L106" i="25"/>
  <c r="D106" i="25"/>
  <c r="C106" i="25"/>
  <c r="B106" i="25"/>
  <c r="N98" i="25"/>
  <c r="F98" i="25"/>
  <c r="N97" i="25"/>
  <c r="F97" i="25"/>
  <c r="N96" i="25"/>
  <c r="F96" i="25"/>
  <c r="P95" i="25"/>
  <c r="H95" i="25"/>
  <c r="A94" i="25"/>
  <c r="P93" i="25"/>
  <c r="P91" i="25"/>
  <c r="H91" i="25"/>
  <c r="A90" i="25"/>
  <c r="P89" i="25"/>
  <c r="H89" i="25"/>
  <c r="A88" i="25"/>
  <c r="P87" i="25"/>
  <c r="H87" i="25"/>
  <c r="A86" i="25"/>
  <c r="L74" i="25"/>
  <c r="K74" i="25"/>
  <c r="J74" i="25"/>
  <c r="D74" i="25"/>
  <c r="C74" i="25"/>
  <c r="B74" i="25"/>
  <c r="L73" i="25"/>
  <c r="K73" i="25"/>
  <c r="D73" i="25"/>
  <c r="C73" i="25"/>
  <c r="L72" i="25"/>
  <c r="K72" i="25"/>
  <c r="J72" i="25"/>
  <c r="D72" i="25"/>
  <c r="C72" i="25"/>
  <c r="L71" i="25"/>
  <c r="K71" i="25"/>
  <c r="D71" i="25"/>
  <c r="C71" i="25"/>
  <c r="L70" i="25"/>
  <c r="K70" i="25"/>
  <c r="D70" i="25"/>
  <c r="C70" i="25"/>
  <c r="L69" i="25"/>
  <c r="K69" i="25"/>
  <c r="J69" i="25"/>
  <c r="D69" i="25"/>
  <c r="C69" i="25"/>
  <c r="B69" i="25"/>
  <c r="N61" i="25"/>
  <c r="F61" i="25"/>
  <c r="N60" i="25"/>
  <c r="F60" i="25"/>
  <c r="N59" i="25"/>
  <c r="F59" i="25"/>
  <c r="P58" i="25"/>
  <c r="H58" i="25"/>
  <c r="P56" i="25"/>
  <c r="H56" i="25"/>
  <c r="A55" i="25"/>
  <c r="P54" i="25"/>
  <c r="P52" i="25"/>
  <c r="A51" i="25"/>
  <c r="P50" i="25"/>
  <c r="H50" i="25"/>
  <c r="A49" i="25"/>
  <c r="L37" i="25"/>
  <c r="K37" i="25"/>
  <c r="J37" i="25"/>
  <c r="D37" i="25"/>
  <c r="C37" i="25"/>
  <c r="B37" i="25"/>
  <c r="L36" i="25"/>
  <c r="D36" i="25"/>
  <c r="L35" i="25"/>
  <c r="J35" i="25"/>
  <c r="D35" i="25"/>
  <c r="L34" i="25"/>
  <c r="D34" i="25"/>
  <c r="L33" i="25"/>
  <c r="D33" i="25"/>
  <c r="L32" i="25"/>
  <c r="K32" i="25"/>
  <c r="J32" i="25"/>
  <c r="D32" i="25"/>
  <c r="N24" i="25"/>
  <c r="F24" i="25"/>
  <c r="F23" i="25"/>
  <c r="N22" i="25"/>
  <c r="F22" i="25"/>
  <c r="P21" i="25"/>
  <c r="H21" i="25"/>
  <c r="P19" i="25"/>
  <c r="H19" i="25"/>
  <c r="P17" i="25"/>
  <c r="P15" i="25"/>
  <c r="A14" i="25"/>
  <c r="P13" i="25"/>
  <c r="H13" i="25"/>
  <c r="Q3613" i="26"/>
  <c r="K3612" i="26"/>
  <c r="J3612" i="26"/>
  <c r="I3612" i="26"/>
  <c r="K3611" i="26"/>
  <c r="K3610" i="26"/>
  <c r="K3609" i="26"/>
  <c r="I3609" i="26"/>
  <c r="K3608" i="26"/>
  <c r="I3608" i="26"/>
  <c r="K3607" i="26"/>
  <c r="I3607" i="26"/>
  <c r="M3599" i="26"/>
  <c r="M3597" i="26"/>
  <c r="O3596" i="26"/>
  <c r="O3594" i="26"/>
  <c r="O3592" i="26"/>
  <c r="K3579" i="26"/>
  <c r="J3579" i="26"/>
  <c r="I3579" i="26"/>
  <c r="K3578" i="26"/>
  <c r="J3578" i="26"/>
  <c r="K3577" i="26"/>
  <c r="J3577" i="26"/>
  <c r="K3576" i="26"/>
  <c r="J3576" i="26"/>
  <c r="K3575" i="26"/>
  <c r="J3575" i="26"/>
  <c r="I3575" i="26"/>
  <c r="K3574" i="26"/>
  <c r="J3574" i="26"/>
  <c r="I3574" i="26"/>
  <c r="M3566" i="26"/>
  <c r="M3565" i="26"/>
  <c r="M3564" i="26"/>
  <c r="O3563" i="26"/>
  <c r="O3547" i="26"/>
  <c r="O3545" i="26"/>
  <c r="K3531" i="26"/>
  <c r="J3531" i="26"/>
  <c r="I3531" i="26"/>
  <c r="K3530" i="26"/>
  <c r="J3530" i="26"/>
  <c r="K3529" i="26"/>
  <c r="J3529" i="26"/>
  <c r="K3528" i="26"/>
  <c r="J3528" i="26"/>
  <c r="K3527" i="26"/>
  <c r="J3527" i="26"/>
  <c r="I3527" i="26"/>
  <c r="K3526" i="26"/>
  <c r="J3526" i="26"/>
  <c r="I3526" i="26"/>
  <c r="M3518" i="26"/>
  <c r="M3517" i="26"/>
  <c r="M3516" i="26"/>
  <c r="O3515" i="26"/>
  <c r="O3507" i="26"/>
  <c r="O3505" i="26"/>
  <c r="K3491" i="26"/>
  <c r="J3491" i="26"/>
  <c r="I3491" i="26"/>
  <c r="K3490" i="26"/>
  <c r="J3490" i="26"/>
  <c r="K3489" i="26"/>
  <c r="J3489" i="26"/>
  <c r="I3489" i="26"/>
  <c r="K3488" i="26"/>
  <c r="J3488" i="26"/>
  <c r="K3487" i="26"/>
  <c r="J3487" i="26"/>
  <c r="K3486" i="26"/>
  <c r="J3486" i="26"/>
  <c r="M3478" i="26"/>
  <c r="M3477" i="26"/>
  <c r="M3476" i="26"/>
  <c r="O3475" i="26"/>
  <c r="O3473" i="26"/>
  <c r="O3471" i="26"/>
  <c r="O3469" i="26"/>
  <c r="K3456" i="26"/>
  <c r="J3456" i="26"/>
  <c r="I3456" i="26"/>
  <c r="K3455" i="26"/>
  <c r="J3455" i="26"/>
  <c r="K3454" i="26"/>
  <c r="J3454" i="26"/>
  <c r="K3453" i="26"/>
  <c r="J3453" i="26"/>
  <c r="K3452" i="26"/>
  <c r="J3452" i="26"/>
  <c r="I3452" i="26"/>
  <c r="K3451" i="26"/>
  <c r="J3451" i="26"/>
  <c r="I3451" i="26"/>
  <c r="M3443" i="26"/>
  <c r="M3442" i="26"/>
  <c r="M3441" i="26"/>
  <c r="O3440" i="26"/>
  <c r="O3438" i="26"/>
  <c r="O3436" i="26"/>
  <c r="O3434" i="26"/>
  <c r="O3432" i="26"/>
  <c r="O3430" i="26"/>
  <c r="K3416" i="26"/>
  <c r="J3416" i="26"/>
  <c r="I3416" i="26"/>
  <c r="K3415" i="26"/>
  <c r="J3415" i="26"/>
  <c r="K3414" i="26"/>
  <c r="J3414" i="26"/>
  <c r="I3414" i="26"/>
  <c r="K3413" i="26"/>
  <c r="J3413" i="26"/>
  <c r="K3412" i="26"/>
  <c r="J3412" i="26"/>
  <c r="K3411" i="26"/>
  <c r="J3411" i="26"/>
  <c r="I3411" i="26"/>
  <c r="M3403" i="26"/>
  <c r="M3402" i="26"/>
  <c r="M3401" i="26"/>
  <c r="O3400" i="26"/>
  <c r="O3398" i="26"/>
  <c r="O3396" i="26"/>
  <c r="O3394" i="26"/>
  <c r="K3380" i="26"/>
  <c r="J3380" i="26"/>
  <c r="I3380" i="26"/>
  <c r="K3379" i="26"/>
  <c r="J3379" i="26"/>
  <c r="K3378" i="26"/>
  <c r="J3378" i="26"/>
  <c r="I3378" i="26"/>
  <c r="K3377" i="26"/>
  <c r="J3377" i="26"/>
  <c r="K3376" i="26"/>
  <c r="J3376" i="26"/>
  <c r="K3375" i="26"/>
  <c r="J3375" i="26"/>
  <c r="I3375" i="26"/>
  <c r="M3367" i="26"/>
  <c r="M3366" i="26"/>
  <c r="M3365" i="26"/>
  <c r="O3364" i="26"/>
  <c r="O3360" i="26"/>
  <c r="O3358" i="26"/>
  <c r="K3345" i="26"/>
  <c r="J3345" i="26"/>
  <c r="I3345" i="26"/>
  <c r="K3344" i="26"/>
  <c r="J3344" i="26"/>
  <c r="K3343" i="26"/>
  <c r="J3343" i="26"/>
  <c r="K3342" i="26"/>
  <c r="J3342" i="26"/>
  <c r="I3342" i="26"/>
  <c r="K3341" i="26"/>
  <c r="J3341" i="26"/>
  <c r="K3340" i="26"/>
  <c r="J3340" i="26"/>
  <c r="I3340" i="26"/>
  <c r="M3332" i="26"/>
  <c r="M3331" i="26"/>
  <c r="M3330" i="26"/>
  <c r="O3329" i="26"/>
  <c r="H3328" i="26"/>
  <c r="O3327" i="26"/>
  <c r="H3326" i="26"/>
  <c r="O3325" i="26"/>
  <c r="H3324" i="26"/>
  <c r="O3323" i="26"/>
  <c r="H3322" i="26"/>
  <c r="O3321" i="26"/>
  <c r="H3320" i="26"/>
  <c r="O3319" i="26"/>
  <c r="K3306" i="26"/>
  <c r="J3306" i="26"/>
  <c r="I3306" i="26"/>
  <c r="K3305" i="26"/>
  <c r="J3305" i="26"/>
  <c r="K3304" i="26"/>
  <c r="J3304" i="26"/>
  <c r="K3303" i="26"/>
  <c r="J3303" i="26"/>
  <c r="K3302" i="26"/>
  <c r="J3302" i="26"/>
  <c r="I3302" i="26"/>
  <c r="K3301" i="26"/>
  <c r="J3301" i="26"/>
  <c r="I3301" i="26"/>
  <c r="M3293" i="26"/>
  <c r="O3292" i="26"/>
  <c r="M3292" i="26"/>
  <c r="M3291" i="26"/>
  <c r="O3290" i="26"/>
  <c r="H3289" i="26"/>
  <c r="O3288" i="26"/>
  <c r="H3287" i="26"/>
  <c r="O3286" i="26"/>
  <c r="H3285" i="26"/>
  <c r="O3284" i="26"/>
  <c r="K3270" i="26"/>
  <c r="J3270" i="26"/>
  <c r="I3270" i="26"/>
  <c r="K3269" i="26"/>
  <c r="J3269" i="26"/>
  <c r="K3268" i="26"/>
  <c r="J3268" i="26"/>
  <c r="K3267" i="26"/>
  <c r="J3267" i="26"/>
  <c r="K3266" i="26"/>
  <c r="J3266" i="26"/>
  <c r="K3265" i="26"/>
  <c r="J3265" i="26"/>
  <c r="I3265" i="26"/>
  <c r="M3257" i="26"/>
  <c r="O3256" i="26"/>
  <c r="M3256" i="26"/>
  <c r="M3255" i="26"/>
  <c r="O3254" i="26"/>
  <c r="O3252" i="26"/>
  <c r="H3251" i="26"/>
  <c r="H3249" i="26"/>
  <c r="O3248" i="26"/>
  <c r="K3235" i="26"/>
  <c r="J3235" i="26"/>
  <c r="I3235" i="26"/>
  <c r="K3234" i="26"/>
  <c r="J3234" i="26"/>
  <c r="K3233" i="26"/>
  <c r="J3233" i="26"/>
  <c r="K3232" i="26"/>
  <c r="J3232" i="26"/>
  <c r="K3231" i="26"/>
  <c r="J3231" i="26"/>
  <c r="K3230" i="26"/>
  <c r="J3230" i="26"/>
  <c r="I3230" i="26"/>
  <c r="M3222" i="26"/>
  <c r="O3221" i="26"/>
  <c r="M3221" i="26"/>
  <c r="M3220" i="26"/>
  <c r="O3219" i="26"/>
  <c r="O3217" i="26"/>
  <c r="H3216" i="26"/>
  <c r="O3215" i="26"/>
  <c r="H3214" i="26"/>
  <c r="O3213" i="26"/>
  <c r="K3200" i="26"/>
  <c r="J3200" i="26"/>
  <c r="I3200" i="26"/>
  <c r="K3199" i="26"/>
  <c r="J3199" i="26"/>
  <c r="K3198" i="26"/>
  <c r="J3198" i="26"/>
  <c r="I3198" i="26"/>
  <c r="K3197" i="26"/>
  <c r="J3197" i="26"/>
  <c r="K3196" i="26"/>
  <c r="J3196" i="26"/>
  <c r="I3196" i="26"/>
  <c r="K3195" i="26"/>
  <c r="J3195" i="26"/>
  <c r="I3195" i="26"/>
  <c r="M3187" i="26"/>
  <c r="O3186" i="26"/>
  <c r="M3186" i="26"/>
  <c r="M3185" i="26"/>
  <c r="O3184" i="26"/>
  <c r="O3182" i="26"/>
  <c r="O3180" i="26"/>
  <c r="O3178" i="26"/>
  <c r="O3176" i="26"/>
  <c r="O3174" i="26"/>
  <c r="K3161" i="26"/>
  <c r="J3161" i="26"/>
  <c r="I3161" i="26"/>
  <c r="K3160" i="26"/>
  <c r="J3160" i="26"/>
  <c r="K3159" i="26"/>
  <c r="J3159" i="26"/>
  <c r="I3159" i="26"/>
  <c r="K3158" i="26"/>
  <c r="J3158" i="26"/>
  <c r="K3157" i="26"/>
  <c r="J3157" i="26"/>
  <c r="I3157" i="26"/>
  <c r="K3156" i="26"/>
  <c r="J3156" i="26"/>
  <c r="I3156" i="26"/>
  <c r="M3148" i="26"/>
  <c r="O3147" i="26"/>
  <c r="M3147" i="26"/>
  <c r="M3146" i="26"/>
  <c r="O3145" i="26"/>
  <c r="O3143" i="26"/>
  <c r="O3141" i="26"/>
  <c r="O3139" i="26"/>
  <c r="O3137" i="26"/>
  <c r="K3124" i="26"/>
  <c r="J3124" i="26"/>
  <c r="I3124" i="26"/>
  <c r="K3123" i="26"/>
  <c r="J3123" i="26"/>
  <c r="K3122" i="26"/>
  <c r="J3122" i="26"/>
  <c r="I3122" i="26"/>
  <c r="K3121" i="26"/>
  <c r="J3121" i="26"/>
  <c r="K3120" i="26"/>
  <c r="J3120" i="26"/>
  <c r="K3119" i="26"/>
  <c r="J3119" i="26"/>
  <c r="I3119" i="26"/>
  <c r="M3111" i="26"/>
  <c r="O3110" i="26"/>
  <c r="M3110" i="26"/>
  <c r="M3109" i="26"/>
  <c r="O3108" i="26"/>
  <c r="O3104" i="26"/>
  <c r="O3102" i="26"/>
  <c r="O3100" i="26"/>
  <c r="K3087" i="26"/>
  <c r="J3087" i="26"/>
  <c r="I3087" i="26"/>
  <c r="K3086" i="26"/>
  <c r="J3086" i="26"/>
  <c r="K3085" i="26"/>
  <c r="J3085" i="26"/>
  <c r="I3085" i="26"/>
  <c r="K3084" i="26"/>
  <c r="J3084" i="26"/>
  <c r="K3083" i="26"/>
  <c r="J3083" i="26"/>
  <c r="K3082" i="26"/>
  <c r="J3082" i="26"/>
  <c r="I3082" i="26"/>
  <c r="M3074" i="26"/>
  <c r="O3073" i="26"/>
  <c r="M3073" i="26"/>
  <c r="M3072" i="26"/>
  <c r="O3071" i="26"/>
  <c r="O3069" i="26"/>
  <c r="O3067" i="26"/>
  <c r="O3065" i="26"/>
  <c r="O3063" i="26"/>
  <c r="K3050" i="26"/>
  <c r="J3050" i="26"/>
  <c r="I3050" i="26"/>
  <c r="K3049" i="26"/>
  <c r="J3049" i="26"/>
  <c r="K3048" i="26"/>
  <c r="J3048" i="26"/>
  <c r="K3047" i="26"/>
  <c r="J3047" i="26"/>
  <c r="K3046" i="26"/>
  <c r="J3046" i="26"/>
  <c r="I3046" i="26"/>
  <c r="K3045" i="26"/>
  <c r="J3045" i="26"/>
  <c r="I3045" i="26"/>
  <c r="M3037" i="26"/>
  <c r="O3036" i="26"/>
  <c r="M3036" i="26"/>
  <c r="M3035" i="26"/>
  <c r="O3034" i="26"/>
  <c r="O3032" i="26"/>
  <c r="O3030" i="26"/>
  <c r="O3028" i="26"/>
  <c r="O3026" i="26"/>
  <c r="K3013" i="26"/>
  <c r="J3013" i="26"/>
  <c r="I3013" i="26"/>
  <c r="K3012" i="26"/>
  <c r="J3012" i="26"/>
  <c r="K3011" i="26"/>
  <c r="J3011" i="26"/>
  <c r="K3010" i="26"/>
  <c r="J3010" i="26"/>
  <c r="K3009" i="26"/>
  <c r="J3009" i="26"/>
  <c r="I3009" i="26"/>
  <c r="K3008" i="26"/>
  <c r="J3008" i="26"/>
  <c r="I3008" i="26"/>
  <c r="M3000" i="26"/>
  <c r="O2999" i="26"/>
  <c r="M2999" i="26"/>
  <c r="M2998" i="26"/>
  <c r="O2997" i="26"/>
  <c r="O2995" i="26"/>
  <c r="O2993" i="26"/>
  <c r="O2991" i="26"/>
  <c r="O2989" i="26"/>
  <c r="K2976" i="26"/>
  <c r="J2976" i="26"/>
  <c r="I2976" i="26"/>
  <c r="K2975" i="26"/>
  <c r="J2975" i="26"/>
  <c r="K2974" i="26"/>
  <c r="J2974" i="26"/>
  <c r="K2973" i="26"/>
  <c r="J2973" i="26"/>
  <c r="K2972" i="26"/>
  <c r="J2972" i="26"/>
  <c r="I2972" i="26"/>
  <c r="K2971" i="26"/>
  <c r="J2971" i="26"/>
  <c r="I2971" i="26"/>
  <c r="M2963" i="26"/>
  <c r="O2962" i="26"/>
  <c r="M2962" i="26"/>
  <c r="M2961" i="26"/>
  <c r="O2960" i="26"/>
  <c r="O2958" i="26"/>
  <c r="O2956" i="26"/>
  <c r="O2954" i="26"/>
  <c r="O2952" i="26"/>
  <c r="K2939" i="26"/>
  <c r="J2939" i="26"/>
  <c r="I2939" i="26"/>
  <c r="K2938" i="26"/>
  <c r="J2938" i="26"/>
  <c r="K2937" i="26"/>
  <c r="J2937" i="26"/>
  <c r="K2936" i="26"/>
  <c r="J2936" i="26"/>
  <c r="K2935" i="26"/>
  <c r="J2935" i="26"/>
  <c r="I2935" i="26"/>
  <c r="K2934" i="26"/>
  <c r="J2934" i="26"/>
  <c r="I2934" i="26"/>
  <c r="M2926" i="26"/>
  <c r="O2925" i="26"/>
  <c r="M2925" i="26"/>
  <c r="M2924" i="26"/>
  <c r="O2923" i="26"/>
  <c r="O2921" i="26"/>
  <c r="O2919" i="26"/>
  <c r="O2917" i="26"/>
  <c r="O2915" i="26"/>
  <c r="K2902" i="26"/>
  <c r="J2902" i="26"/>
  <c r="I2902" i="26"/>
  <c r="K2901" i="26"/>
  <c r="J2901" i="26"/>
  <c r="K2900" i="26"/>
  <c r="J2900" i="26"/>
  <c r="K2899" i="26"/>
  <c r="J2899" i="26"/>
  <c r="I2899" i="26"/>
  <c r="K2898" i="26"/>
  <c r="J2898" i="26"/>
  <c r="I2898" i="26"/>
  <c r="K2897" i="26"/>
  <c r="J2897" i="26"/>
  <c r="M2889" i="26"/>
  <c r="M2888" i="26"/>
  <c r="M2887" i="26"/>
  <c r="O2886" i="26"/>
  <c r="O2884" i="26"/>
  <c r="O2882" i="26"/>
  <c r="O2880" i="26"/>
  <c r="O2878" i="26"/>
  <c r="K2865" i="26"/>
  <c r="J2865" i="26"/>
  <c r="I2865" i="26"/>
  <c r="K2864" i="26"/>
  <c r="J2864" i="26"/>
  <c r="K2863" i="26"/>
  <c r="J2863" i="26"/>
  <c r="K2862" i="26"/>
  <c r="J2862" i="26"/>
  <c r="I2862" i="26"/>
  <c r="K2861" i="26"/>
  <c r="J2861" i="26"/>
  <c r="I2861" i="26"/>
  <c r="K2860" i="26"/>
  <c r="J2860" i="26"/>
  <c r="M2852" i="26"/>
  <c r="M2851" i="26"/>
  <c r="M2850" i="26"/>
  <c r="O2849" i="26"/>
  <c r="O2847" i="26"/>
  <c r="O2845" i="26"/>
  <c r="O2843" i="26"/>
  <c r="O2841" i="26"/>
  <c r="O2839" i="26"/>
  <c r="K2826" i="26"/>
  <c r="J2826" i="26"/>
  <c r="I2826" i="26"/>
  <c r="K2825" i="26"/>
  <c r="J2825" i="26"/>
  <c r="K2824" i="26"/>
  <c r="J2824" i="26"/>
  <c r="K2823" i="26"/>
  <c r="J2823" i="26"/>
  <c r="I2823" i="26"/>
  <c r="K2822" i="26"/>
  <c r="J2822" i="26"/>
  <c r="I2822" i="26"/>
  <c r="K2821" i="26"/>
  <c r="J2821" i="26"/>
  <c r="M2813" i="26"/>
  <c r="M2812" i="26"/>
  <c r="M2811" i="26"/>
  <c r="O2810" i="26"/>
  <c r="O2808" i="26"/>
  <c r="O2806" i="26"/>
  <c r="O2804" i="26"/>
  <c r="O2802" i="26"/>
  <c r="O2800" i="26"/>
  <c r="K2787" i="26"/>
  <c r="J2787" i="26"/>
  <c r="I2787" i="26"/>
  <c r="K2786" i="26"/>
  <c r="J2786" i="26"/>
  <c r="K2785" i="26"/>
  <c r="J2785" i="26"/>
  <c r="K2784" i="26"/>
  <c r="J2784" i="26"/>
  <c r="K2783" i="26"/>
  <c r="J2783" i="26"/>
  <c r="I2783" i="26"/>
  <c r="K2782" i="26"/>
  <c r="J2782" i="26"/>
  <c r="I2782" i="26"/>
  <c r="M2774" i="26"/>
  <c r="O2773" i="26"/>
  <c r="M2773" i="26"/>
  <c r="M2772" i="26"/>
  <c r="O2771" i="26"/>
  <c r="O2769" i="26"/>
  <c r="O2767" i="26"/>
  <c r="O2765" i="26"/>
  <c r="O2763" i="26"/>
  <c r="K2750" i="26"/>
  <c r="J2750" i="26"/>
  <c r="I2750" i="26"/>
  <c r="K2749" i="26"/>
  <c r="J2749" i="26"/>
  <c r="K2748" i="26"/>
  <c r="J2748" i="26"/>
  <c r="K2747" i="26"/>
  <c r="J2747" i="26"/>
  <c r="K2746" i="26"/>
  <c r="J2746" i="26"/>
  <c r="I2746" i="26"/>
  <c r="K2745" i="26"/>
  <c r="J2745" i="26"/>
  <c r="I2745" i="26"/>
  <c r="M2737" i="26"/>
  <c r="M2736" i="26"/>
  <c r="M2735" i="26"/>
  <c r="O2734" i="26"/>
  <c r="O2732" i="26"/>
  <c r="O2730" i="26"/>
  <c r="O2728" i="26"/>
  <c r="O2726" i="26"/>
  <c r="K2713" i="26"/>
  <c r="J2713" i="26"/>
  <c r="I2713" i="26"/>
  <c r="K2712" i="26"/>
  <c r="J2712" i="26"/>
  <c r="K2711" i="26"/>
  <c r="J2711" i="26"/>
  <c r="K2710" i="26"/>
  <c r="J2710" i="26"/>
  <c r="K2709" i="26"/>
  <c r="J2709" i="26"/>
  <c r="I2709" i="26"/>
  <c r="K2708" i="26"/>
  <c r="J2708" i="26"/>
  <c r="I2708" i="26"/>
  <c r="M2700" i="26"/>
  <c r="O2699" i="26"/>
  <c r="M2699" i="26"/>
  <c r="M2698" i="26"/>
  <c r="O2697" i="26"/>
  <c r="O2695" i="26"/>
  <c r="O2693" i="26"/>
  <c r="O2691" i="26"/>
  <c r="O2689" i="26"/>
  <c r="K2676" i="26"/>
  <c r="J2676" i="26"/>
  <c r="I2676" i="26"/>
  <c r="K2675" i="26"/>
  <c r="J2675" i="26"/>
  <c r="K2674" i="26"/>
  <c r="J2674" i="26"/>
  <c r="K2673" i="26"/>
  <c r="J2673" i="26"/>
  <c r="K2672" i="26"/>
  <c r="J2672" i="26"/>
  <c r="I2672" i="26"/>
  <c r="K2671" i="26"/>
  <c r="J2671" i="26"/>
  <c r="I2671" i="26"/>
  <c r="M2663" i="26"/>
  <c r="M2662" i="26"/>
  <c r="M2661" i="26"/>
  <c r="O2660" i="26"/>
  <c r="O2658" i="26"/>
  <c r="O2656" i="26"/>
  <c r="O2654" i="26"/>
  <c r="O2652" i="26"/>
  <c r="K2639" i="26"/>
  <c r="J2639" i="26"/>
  <c r="I2639" i="26"/>
  <c r="K2638" i="26"/>
  <c r="J2638" i="26"/>
  <c r="K2637" i="26"/>
  <c r="J2637" i="26"/>
  <c r="K2636" i="26"/>
  <c r="J2636" i="26"/>
  <c r="K2635" i="26"/>
  <c r="J2635" i="26"/>
  <c r="I2635" i="26"/>
  <c r="K2634" i="26"/>
  <c r="J2634" i="26"/>
  <c r="I2634" i="26"/>
  <c r="M2626" i="26"/>
  <c r="M2625" i="26"/>
  <c r="M2624" i="26"/>
  <c r="O2623" i="26"/>
  <c r="O2621" i="26"/>
  <c r="O2619" i="26"/>
  <c r="O2617" i="26"/>
  <c r="O2615" i="26"/>
  <c r="O2613" i="26"/>
  <c r="K2600" i="26"/>
  <c r="J2600" i="26"/>
  <c r="I2600" i="26"/>
  <c r="K2599" i="26"/>
  <c r="J2599" i="26"/>
  <c r="K2598" i="26"/>
  <c r="J2598" i="26"/>
  <c r="K2597" i="26"/>
  <c r="J2597" i="26"/>
  <c r="K2596" i="26"/>
  <c r="J2596" i="26"/>
  <c r="K2595" i="26"/>
  <c r="J2595" i="26"/>
  <c r="I2595" i="26"/>
  <c r="M2587" i="26"/>
  <c r="M2586" i="26"/>
  <c r="M2585" i="26"/>
  <c r="O2584" i="26"/>
  <c r="O2582" i="26"/>
  <c r="O2580" i="26"/>
  <c r="O2578" i="26"/>
  <c r="O2576" i="26"/>
  <c r="K2563" i="26"/>
  <c r="J2563" i="26"/>
  <c r="I2563" i="26"/>
  <c r="K2562" i="26"/>
  <c r="J2562" i="26"/>
  <c r="K2561" i="26"/>
  <c r="J2561" i="26"/>
  <c r="K2560" i="26"/>
  <c r="J2560" i="26"/>
  <c r="K2559" i="26"/>
  <c r="J2559" i="26"/>
  <c r="I2559" i="26"/>
  <c r="K2558" i="26"/>
  <c r="J2558" i="26"/>
  <c r="I2558" i="26"/>
  <c r="M2550" i="26"/>
  <c r="O2549" i="26"/>
  <c r="M2549" i="26"/>
  <c r="M2548" i="26"/>
  <c r="O2547" i="26"/>
  <c r="O2545" i="26"/>
  <c r="O2543" i="26"/>
  <c r="O2541" i="26"/>
  <c r="O2539" i="26"/>
  <c r="K2526" i="26"/>
  <c r="J2526" i="26"/>
  <c r="I2526" i="26"/>
  <c r="K2525" i="26"/>
  <c r="J2525" i="26"/>
  <c r="I2525" i="26"/>
  <c r="K2524" i="26"/>
  <c r="J2524" i="26"/>
  <c r="K2523" i="26"/>
  <c r="J2523" i="26"/>
  <c r="K2522" i="26"/>
  <c r="J2522" i="26"/>
  <c r="I2522" i="26"/>
  <c r="K2521" i="26"/>
  <c r="J2521" i="26"/>
  <c r="M2513" i="26"/>
  <c r="M2512" i="26"/>
  <c r="M2511" i="26"/>
  <c r="O2510" i="26"/>
  <c r="O2508" i="26"/>
  <c r="O2506" i="26"/>
  <c r="O2504" i="26"/>
  <c r="O2502" i="26"/>
  <c r="K2489" i="26"/>
  <c r="J2489" i="26"/>
  <c r="I2489" i="26"/>
  <c r="K2488" i="26"/>
  <c r="J2488" i="26"/>
  <c r="I2488" i="26"/>
  <c r="K2487" i="26"/>
  <c r="J2487" i="26"/>
  <c r="K2486" i="26"/>
  <c r="J2486" i="26"/>
  <c r="K2485" i="26"/>
  <c r="J2485" i="26"/>
  <c r="K2484" i="26"/>
  <c r="J2484" i="26"/>
  <c r="M2476" i="26"/>
  <c r="M2475" i="26"/>
  <c r="M2474" i="26"/>
  <c r="O2473" i="26"/>
  <c r="O2471" i="26"/>
  <c r="M2470" i="26"/>
  <c r="O2469" i="26"/>
  <c r="O2467" i="26"/>
  <c r="O2465" i="26"/>
  <c r="O2463" i="26"/>
  <c r="K2450" i="26"/>
  <c r="J2450" i="26"/>
  <c r="I2450" i="26"/>
  <c r="K2449" i="26"/>
  <c r="J2449" i="26"/>
  <c r="K2448" i="26"/>
  <c r="J2448" i="26"/>
  <c r="K2447" i="26"/>
  <c r="J2447" i="26"/>
  <c r="K2446" i="26"/>
  <c r="J2446" i="26"/>
  <c r="I2446" i="26"/>
  <c r="K2445" i="26"/>
  <c r="J2445" i="26"/>
  <c r="I2445" i="26"/>
  <c r="M2437" i="26"/>
  <c r="O2436" i="26"/>
  <c r="M2436" i="26"/>
  <c r="M2435" i="26"/>
  <c r="O2434" i="26"/>
  <c r="O2432" i="26"/>
  <c r="O2430" i="26"/>
  <c r="O2428" i="26"/>
  <c r="O2426" i="26"/>
  <c r="K2413" i="26"/>
  <c r="J2413" i="26"/>
  <c r="I2413" i="26"/>
  <c r="K2412" i="26"/>
  <c r="J2412" i="26"/>
  <c r="K2411" i="26"/>
  <c r="J2411" i="26"/>
  <c r="K2410" i="26"/>
  <c r="J2410" i="26"/>
  <c r="K2409" i="26"/>
  <c r="J2409" i="26"/>
  <c r="I2409" i="26"/>
  <c r="K2408" i="26"/>
  <c r="J2408" i="26"/>
  <c r="I2408" i="26"/>
  <c r="M2400" i="26"/>
  <c r="O2399" i="26"/>
  <c r="M2399" i="26"/>
  <c r="M2398" i="26"/>
  <c r="O2397" i="26"/>
  <c r="O2395" i="26"/>
  <c r="O2393" i="26"/>
  <c r="O2391" i="26"/>
  <c r="O2389" i="26"/>
  <c r="K2376" i="26"/>
  <c r="J2376" i="26"/>
  <c r="I2376" i="26"/>
  <c r="K2375" i="26"/>
  <c r="J2375" i="26"/>
  <c r="K2374" i="26"/>
  <c r="J2374" i="26"/>
  <c r="K2373" i="26"/>
  <c r="J2373" i="26"/>
  <c r="I2373" i="26"/>
  <c r="K2372" i="26"/>
  <c r="J2372" i="26"/>
  <c r="I2372" i="26"/>
  <c r="K2371" i="26"/>
  <c r="J2371" i="26"/>
  <c r="M2363" i="26"/>
  <c r="M2362" i="26"/>
  <c r="M2361" i="26"/>
  <c r="O2360" i="26"/>
  <c r="O2358" i="26"/>
  <c r="O2356" i="26"/>
  <c r="O2354" i="26"/>
  <c r="O2352" i="26"/>
  <c r="K2339" i="26"/>
  <c r="J2339" i="26"/>
  <c r="I2339" i="26"/>
  <c r="K2338" i="26"/>
  <c r="J2338" i="26"/>
  <c r="K2337" i="26"/>
  <c r="J2337" i="26"/>
  <c r="K2336" i="26"/>
  <c r="J2336" i="26"/>
  <c r="K2335" i="26"/>
  <c r="J2335" i="26"/>
  <c r="I2335" i="26"/>
  <c r="K2334" i="26"/>
  <c r="J2334" i="26"/>
  <c r="I2334" i="26"/>
  <c r="M2326" i="26"/>
  <c r="O2325" i="26"/>
  <c r="M2325" i="26"/>
  <c r="M2324" i="26"/>
  <c r="O2323" i="26"/>
  <c r="O2321" i="26"/>
  <c r="O2319" i="26"/>
  <c r="O2317" i="26"/>
  <c r="O2315" i="26"/>
  <c r="K2302" i="26"/>
  <c r="J2302" i="26"/>
  <c r="I2302" i="26"/>
  <c r="K2301" i="26"/>
  <c r="J2301" i="26"/>
  <c r="K2300" i="26"/>
  <c r="J2300" i="26"/>
  <c r="K2299" i="26"/>
  <c r="J2299" i="26"/>
  <c r="K2298" i="26"/>
  <c r="J2298" i="26"/>
  <c r="I2298" i="26"/>
  <c r="K2297" i="26"/>
  <c r="J2297" i="26"/>
  <c r="I2297" i="26"/>
  <c r="M2289" i="26"/>
  <c r="O2288" i="26"/>
  <c r="M2288" i="26"/>
  <c r="M2287" i="26"/>
  <c r="O2286" i="26"/>
  <c r="O2284" i="26"/>
  <c r="O2282" i="26"/>
  <c r="O2279" i="26"/>
  <c r="O2278" i="26"/>
  <c r="K2265" i="26"/>
  <c r="J2265" i="26"/>
  <c r="I2265" i="26"/>
  <c r="K2264" i="26"/>
  <c r="J2264" i="26"/>
  <c r="K2263" i="26"/>
  <c r="J2263" i="26"/>
  <c r="I2263" i="26"/>
  <c r="K2262" i="26"/>
  <c r="J2262" i="26"/>
  <c r="K2261" i="26"/>
  <c r="J2261" i="26"/>
  <c r="I2261" i="26"/>
  <c r="K2260" i="26"/>
  <c r="J2260" i="26"/>
  <c r="I2260" i="26"/>
  <c r="M2252" i="26"/>
  <c r="O2251" i="26"/>
  <c r="M2251" i="26"/>
  <c r="M2250" i="26"/>
  <c r="O2249" i="26"/>
  <c r="O2247" i="26"/>
  <c r="O2245" i="26"/>
  <c r="O2242" i="26"/>
  <c r="O2240" i="26"/>
  <c r="K2228" i="26"/>
  <c r="J2228" i="26"/>
  <c r="I2228" i="26"/>
  <c r="K2227" i="26"/>
  <c r="J2227" i="26"/>
  <c r="K2226" i="26"/>
  <c r="J2226" i="26"/>
  <c r="I2226" i="26"/>
  <c r="K2225" i="26"/>
  <c r="J2225" i="26"/>
  <c r="K2224" i="26"/>
  <c r="J2224" i="26"/>
  <c r="I2224" i="26"/>
  <c r="K2223" i="26"/>
  <c r="J2223" i="26"/>
  <c r="I2223" i="26"/>
  <c r="M2215" i="26"/>
  <c r="O2214" i="26"/>
  <c r="M2214" i="26"/>
  <c r="M2213" i="26"/>
  <c r="O2212" i="26"/>
  <c r="O2210" i="26"/>
  <c r="O2208" i="26"/>
  <c r="O2205" i="26"/>
  <c r="O2203" i="26"/>
  <c r="K2191" i="26"/>
  <c r="J2191" i="26"/>
  <c r="I2191" i="26"/>
  <c r="K2190" i="26"/>
  <c r="J2190" i="26"/>
  <c r="K2189" i="26"/>
  <c r="J2189" i="26"/>
  <c r="I2189" i="26"/>
  <c r="K2188" i="26"/>
  <c r="J2188" i="26"/>
  <c r="K2187" i="26"/>
  <c r="J2187" i="26"/>
  <c r="I2187" i="26"/>
  <c r="K2186" i="26"/>
  <c r="J2186" i="26"/>
  <c r="I2186" i="26"/>
  <c r="M2178" i="26"/>
  <c r="O2177" i="26"/>
  <c r="M2177" i="26"/>
  <c r="M2176" i="26"/>
  <c r="O2175" i="26"/>
  <c r="O2173" i="26"/>
  <c r="O2171" i="26"/>
  <c r="O2169" i="26"/>
  <c r="K2152" i="26"/>
  <c r="J2152" i="26"/>
  <c r="I2152" i="26"/>
  <c r="K2151" i="26"/>
  <c r="J2151" i="26"/>
  <c r="K2150" i="26"/>
  <c r="J2150" i="26"/>
  <c r="K2149" i="26"/>
  <c r="J2149" i="26"/>
  <c r="K2148" i="26"/>
  <c r="J2148" i="26"/>
  <c r="I2148" i="26"/>
  <c r="K2147" i="26"/>
  <c r="J2147" i="26"/>
  <c r="I2147" i="26"/>
  <c r="M2139" i="26"/>
  <c r="M2138" i="26"/>
  <c r="M2137" i="26"/>
  <c r="O2136" i="26"/>
  <c r="O2134" i="26"/>
  <c r="O2132" i="26"/>
  <c r="K2115" i="26"/>
  <c r="J2115" i="26"/>
  <c r="I2115" i="26"/>
  <c r="K2114" i="26"/>
  <c r="J2114" i="26"/>
  <c r="K2113" i="26"/>
  <c r="J2113" i="26"/>
  <c r="K2112" i="26"/>
  <c r="J2112" i="26"/>
  <c r="K2111" i="26"/>
  <c r="J2111" i="26"/>
  <c r="I2111" i="26"/>
  <c r="K2110" i="26"/>
  <c r="J2110" i="26"/>
  <c r="I2110" i="26"/>
  <c r="M2102" i="26"/>
  <c r="M2101" i="26"/>
  <c r="M2100" i="26"/>
  <c r="O2099" i="26"/>
  <c r="O2097" i="26"/>
  <c r="O2095" i="26"/>
  <c r="K2078" i="26"/>
  <c r="J2078" i="26"/>
  <c r="I2078" i="26"/>
  <c r="K2077" i="26"/>
  <c r="J2077" i="26"/>
  <c r="K2076" i="26"/>
  <c r="J2076" i="26"/>
  <c r="K2075" i="26"/>
  <c r="J2075" i="26"/>
  <c r="K2074" i="26"/>
  <c r="J2074" i="26"/>
  <c r="I2074" i="26"/>
  <c r="K2073" i="26"/>
  <c r="J2073" i="26"/>
  <c r="I2073" i="26"/>
  <c r="M2065" i="26"/>
  <c r="O2064" i="26"/>
  <c r="M2064" i="26"/>
  <c r="M2063" i="26"/>
  <c r="O2062" i="26"/>
  <c r="O2060" i="26"/>
  <c r="O2058" i="26"/>
  <c r="O2056" i="26"/>
  <c r="O2054" i="26"/>
  <c r="K2041" i="26"/>
  <c r="J2041" i="26"/>
  <c r="I2041" i="26"/>
  <c r="K2040" i="26"/>
  <c r="J2040" i="26"/>
  <c r="K2039" i="26"/>
  <c r="J2039" i="26"/>
  <c r="K2038" i="26"/>
  <c r="J2038" i="26"/>
  <c r="K2037" i="26"/>
  <c r="J2037" i="26"/>
  <c r="I2037" i="26"/>
  <c r="K2036" i="26"/>
  <c r="J2036" i="26"/>
  <c r="I2036" i="26"/>
  <c r="M2028" i="26"/>
  <c r="O2027" i="26"/>
  <c r="M2027" i="26"/>
  <c r="M2026" i="26"/>
  <c r="O2025" i="26"/>
  <c r="O2023" i="26"/>
  <c r="O2021" i="26"/>
  <c r="O2019" i="26"/>
  <c r="O2017" i="26"/>
  <c r="K2004" i="26"/>
  <c r="J2004" i="26"/>
  <c r="I2004" i="26"/>
  <c r="K2003" i="26"/>
  <c r="J2003" i="26"/>
  <c r="K2002" i="26"/>
  <c r="J2002" i="26"/>
  <c r="K2001" i="26"/>
  <c r="J2001" i="26"/>
  <c r="K2000" i="26"/>
  <c r="J2000" i="26"/>
  <c r="I2000" i="26"/>
  <c r="K1999" i="26"/>
  <c r="J1999" i="26"/>
  <c r="I1999" i="26"/>
  <c r="M1991" i="26"/>
  <c r="O1990" i="26"/>
  <c r="M1990" i="26"/>
  <c r="M1989" i="26"/>
  <c r="O1988" i="26"/>
  <c r="O1986" i="26"/>
  <c r="O1984" i="26"/>
  <c r="O1982" i="26"/>
  <c r="O1980" i="26"/>
  <c r="K1967" i="26"/>
  <c r="J1967" i="26"/>
  <c r="I1967" i="26"/>
  <c r="K1966" i="26"/>
  <c r="J1966" i="26"/>
  <c r="K1965" i="26"/>
  <c r="J1965" i="26"/>
  <c r="K1964" i="26"/>
  <c r="J1964" i="26"/>
  <c r="K1963" i="26"/>
  <c r="J1963" i="26"/>
  <c r="I1963" i="26"/>
  <c r="K1962" i="26"/>
  <c r="J1962" i="26"/>
  <c r="I1962" i="26"/>
  <c r="M1954" i="26"/>
  <c r="O1953" i="26"/>
  <c r="M1953" i="26"/>
  <c r="M1952" i="26"/>
  <c r="O1951" i="26"/>
  <c r="O1949" i="26"/>
  <c r="O1947" i="26"/>
  <c r="O1945" i="26"/>
  <c r="O1943" i="26"/>
  <c r="K1930" i="26"/>
  <c r="J1930" i="26"/>
  <c r="I1930" i="26"/>
  <c r="K1929" i="26"/>
  <c r="J1929" i="26"/>
  <c r="K1928" i="26"/>
  <c r="J1928" i="26"/>
  <c r="K1927" i="26"/>
  <c r="J1927" i="26"/>
  <c r="K1926" i="26"/>
  <c r="J1926" i="26"/>
  <c r="I1926" i="26"/>
  <c r="K1925" i="26"/>
  <c r="J1925" i="26"/>
  <c r="I1925" i="26"/>
  <c r="M1917" i="26"/>
  <c r="O1916" i="26"/>
  <c r="M1916" i="26"/>
  <c r="M1915" i="26"/>
  <c r="O1914" i="26"/>
  <c r="O1912" i="26"/>
  <c r="O1910" i="26"/>
  <c r="O1908" i="26"/>
  <c r="O1906" i="26"/>
  <c r="K1893" i="26"/>
  <c r="J1893" i="26"/>
  <c r="I1893" i="26"/>
  <c r="K1892" i="26"/>
  <c r="J1892" i="26"/>
  <c r="K1891" i="26"/>
  <c r="J1891" i="26"/>
  <c r="I1891" i="26"/>
  <c r="K1890" i="26"/>
  <c r="J1890" i="26"/>
  <c r="K1889" i="26"/>
  <c r="J1889" i="26"/>
  <c r="K1888" i="26"/>
  <c r="J1888" i="26"/>
  <c r="I1888" i="26"/>
  <c r="M1880" i="26"/>
  <c r="M1879" i="26"/>
  <c r="M1878" i="26"/>
  <c r="O1877" i="26"/>
  <c r="O1875" i="26"/>
  <c r="O1873" i="26"/>
  <c r="O1871" i="26"/>
  <c r="O1869" i="26"/>
  <c r="K1856" i="26"/>
  <c r="J1856" i="26"/>
  <c r="I1856" i="26"/>
  <c r="K1855" i="26"/>
  <c r="J1855" i="26"/>
  <c r="K1854" i="26"/>
  <c r="J1854" i="26"/>
  <c r="I1854" i="26"/>
  <c r="K1853" i="26"/>
  <c r="J1853" i="26"/>
  <c r="K1852" i="26"/>
  <c r="J1852" i="26"/>
  <c r="K1851" i="26"/>
  <c r="J1851" i="26"/>
  <c r="I1851" i="26"/>
  <c r="M1843" i="26"/>
  <c r="M1842" i="26"/>
  <c r="M1841" i="26"/>
  <c r="O1840" i="26"/>
  <c r="O1838" i="26"/>
  <c r="O1836" i="26"/>
  <c r="O1834" i="26"/>
  <c r="O1832" i="26"/>
  <c r="K1819" i="26"/>
  <c r="J1819" i="26"/>
  <c r="I1819" i="26"/>
  <c r="K1818" i="26"/>
  <c r="J1818" i="26"/>
  <c r="K1817" i="26"/>
  <c r="J1817" i="26"/>
  <c r="K1816" i="26"/>
  <c r="J1816" i="26"/>
  <c r="K1815" i="26"/>
  <c r="J1815" i="26"/>
  <c r="I1815" i="26"/>
  <c r="K1814" i="26"/>
  <c r="J1814" i="26"/>
  <c r="I1814" i="26"/>
  <c r="M1806" i="26"/>
  <c r="M1805" i="26"/>
  <c r="M1804" i="26"/>
  <c r="O1803" i="26"/>
  <c r="O1801" i="26"/>
  <c r="O1799" i="26"/>
  <c r="O1797" i="26"/>
  <c r="O1795" i="26"/>
  <c r="K1782" i="26"/>
  <c r="J1782" i="26"/>
  <c r="I1782" i="26"/>
  <c r="K1781" i="26"/>
  <c r="J1781" i="26"/>
  <c r="K1780" i="26"/>
  <c r="J1780" i="26"/>
  <c r="K1779" i="26"/>
  <c r="J1779" i="26"/>
  <c r="K1778" i="26"/>
  <c r="J1778" i="26"/>
  <c r="I1778" i="26"/>
  <c r="K1777" i="26"/>
  <c r="J1777" i="26"/>
  <c r="I1777" i="26"/>
  <c r="M1769" i="26"/>
  <c r="O1768" i="26"/>
  <c r="M1768" i="26"/>
  <c r="M1767" i="26"/>
  <c r="O1766" i="26"/>
  <c r="O1764" i="26"/>
  <c r="O1762" i="26"/>
  <c r="O1760" i="26"/>
  <c r="O1758" i="26"/>
  <c r="K1745" i="26"/>
  <c r="J1745" i="26"/>
  <c r="I1745" i="26"/>
  <c r="K1744" i="26"/>
  <c r="J1744" i="26"/>
  <c r="K1743" i="26"/>
  <c r="J1743" i="26"/>
  <c r="I1743" i="26"/>
  <c r="K1742" i="26"/>
  <c r="J1742" i="26"/>
  <c r="K1741" i="26"/>
  <c r="J1741" i="26"/>
  <c r="K1740" i="26"/>
  <c r="J1740" i="26"/>
  <c r="I1740" i="26"/>
  <c r="R1732" i="26"/>
  <c r="M1732" i="26"/>
  <c r="M1731" i="26"/>
  <c r="M1730" i="26"/>
  <c r="O1729" i="26"/>
  <c r="O1727" i="26"/>
  <c r="O1725" i="26"/>
  <c r="O1723" i="26"/>
  <c r="O1721" i="26"/>
  <c r="O1719" i="26"/>
  <c r="K1706" i="26"/>
  <c r="J1706" i="26"/>
  <c r="I1706" i="26"/>
  <c r="K1705" i="26"/>
  <c r="J1705" i="26"/>
  <c r="K1704" i="26"/>
  <c r="J1704" i="26"/>
  <c r="K1703" i="26"/>
  <c r="J1703" i="26"/>
  <c r="K1702" i="26"/>
  <c r="J1702" i="26"/>
  <c r="I1702" i="26"/>
  <c r="K1701" i="26"/>
  <c r="J1701" i="26"/>
  <c r="I1701" i="26"/>
  <c r="M1693" i="26"/>
  <c r="O1692" i="26"/>
  <c r="M1692" i="26"/>
  <c r="M1691" i="26"/>
  <c r="O1690" i="26"/>
  <c r="O1688" i="26"/>
  <c r="O1686" i="26"/>
  <c r="O1684" i="26"/>
  <c r="O1682" i="26"/>
  <c r="K1669" i="26"/>
  <c r="J1669" i="26"/>
  <c r="I1669" i="26"/>
  <c r="K1668" i="26"/>
  <c r="J1668" i="26"/>
  <c r="K1667" i="26"/>
  <c r="J1667" i="26"/>
  <c r="K1666" i="26"/>
  <c r="J1666" i="26"/>
  <c r="K1665" i="26"/>
  <c r="J1665" i="26"/>
  <c r="I1665" i="26"/>
  <c r="K1664" i="26"/>
  <c r="J1664" i="26"/>
  <c r="I1664" i="26"/>
  <c r="M1656" i="26"/>
  <c r="O1655" i="26"/>
  <c r="M1655" i="26"/>
  <c r="M1654" i="26"/>
  <c r="O1653" i="26"/>
  <c r="O1651" i="26"/>
  <c r="O1649" i="26"/>
  <c r="O1647" i="26"/>
  <c r="O1645" i="26"/>
  <c r="K1632" i="26"/>
  <c r="J1632" i="26"/>
  <c r="I1632" i="26"/>
  <c r="K1631" i="26"/>
  <c r="J1631" i="26"/>
  <c r="K1630" i="26"/>
  <c r="J1630" i="26"/>
  <c r="I1630" i="26"/>
  <c r="K1629" i="26"/>
  <c r="J1629" i="26"/>
  <c r="K1628" i="26"/>
  <c r="J1628" i="26"/>
  <c r="K1627" i="26"/>
  <c r="J1627" i="26"/>
  <c r="I1627" i="26"/>
  <c r="M1619" i="26"/>
  <c r="O1618" i="26"/>
  <c r="M1618" i="26"/>
  <c r="M1617" i="26"/>
  <c r="O1616" i="26"/>
  <c r="O1614" i="26"/>
  <c r="O1612" i="26"/>
  <c r="O1610" i="26"/>
  <c r="O1608" i="26"/>
  <c r="K1595" i="26"/>
  <c r="J1595" i="26"/>
  <c r="I1595" i="26"/>
  <c r="K1594" i="26"/>
  <c r="J1594" i="26"/>
  <c r="K1593" i="26"/>
  <c r="J1593" i="26"/>
  <c r="I1593" i="26"/>
  <c r="K1592" i="26"/>
  <c r="J1592" i="26"/>
  <c r="K1591" i="26"/>
  <c r="J1591" i="26"/>
  <c r="K1590" i="26"/>
  <c r="J1590" i="26"/>
  <c r="I1590" i="26"/>
  <c r="M1582" i="26"/>
  <c r="O1581" i="26"/>
  <c r="M1581" i="26"/>
  <c r="M1580" i="26"/>
  <c r="O1579" i="26"/>
  <c r="O1577" i="26"/>
  <c r="O1575" i="26"/>
  <c r="O1573" i="26"/>
  <c r="O1571" i="26"/>
  <c r="K1558" i="26"/>
  <c r="J1558" i="26"/>
  <c r="I1558" i="26"/>
  <c r="K1557" i="26"/>
  <c r="J1557" i="26"/>
  <c r="K1556" i="26"/>
  <c r="J1556" i="26"/>
  <c r="I1556" i="26"/>
  <c r="K1555" i="26"/>
  <c r="J1555" i="26"/>
  <c r="K1554" i="26"/>
  <c r="J1554" i="26"/>
  <c r="K1553" i="26"/>
  <c r="J1553" i="26"/>
  <c r="I1553" i="26"/>
  <c r="M1545" i="26"/>
  <c r="O1544" i="26"/>
  <c r="M1544" i="26"/>
  <c r="M1543" i="26"/>
  <c r="O1542" i="26"/>
  <c r="O1540" i="26"/>
  <c r="O1538" i="26"/>
  <c r="O1536" i="26"/>
  <c r="K1521" i="26"/>
  <c r="J1521" i="26"/>
  <c r="I1521" i="26"/>
  <c r="K1520" i="26"/>
  <c r="J1520" i="26"/>
  <c r="K1519" i="26"/>
  <c r="J1519" i="26"/>
  <c r="K1518" i="26"/>
  <c r="J1518" i="26"/>
  <c r="K1517" i="26"/>
  <c r="J1517" i="26"/>
  <c r="I1517" i="26"/>
  <c r="K1516" i="26"/>
  <c r="J1516" i="26"/>
  <c r="I1516" i="26"/>
  <c r="M1508" i="26"/>
  <c r="O1507" i="26"/>
  <c r="M1507" i="26"/>
  <c r="M1506" i="26"/>
  <c r="O1505" i="26"/>
  <c r="H1504" i="26"/>
  <c r="O1503" i="26"/>
  <c r="H1502" i="26"/>
  <c r="O1501" i="26"/>
  <c r="H1500" i="26"/>
  <c r="O1499" i="26"/>
  <c r="H1498" i="26"/>
  <c r="O1497" i="26"/>
  <c r="H1496" i="26"/>
  <c r="O1495" i="26"/>
  <c r="D1483" i="26"/>
  <c r="C1483" i="26"/>
  <c r="B1483" i="26"/>
  <c r="K1482" i="26"/>
  <c r="J1482" i="26"/>
  <c r="I1482" i="26"/>
  <c r="D1482" i="26"/>
  <c r="C1482" i="26"/>
  <c r="K1481" i="26"/>
  <c r="J1481" i="26"/>
  <c r="D1481" i="26"/>
  <c r="C1481" i="26"/>
  <c r="K1480" i="26"/>
  <c r="J1480" i="26"/>
  <c r="D1480" i="26"/>
  <c r="C1480" i="26"/>
  <c r="K1479" i="26"/>
  <c r="J1479" i="26"/>
  <c r="D1479" i="26"/>
  <c r="C1479" i="26"/>
  <c r="B1479" i="26"/>
  <c r="K1478" i="26"/>
  <c r="J1478" i="26"/>
  <c r="I1478" i="26"/>
  <c r="D1478" i="26"/>
  <c r="C1478" i="26"/>
  <c r="B1478" i="26"/>
  <c r="K1477" i="26"/>
  <c r="J1477" i="26"/>
  <c r="I1477" i="26"/>
  <c r="F1470" i="26"/>
  <c r="M1469" i="26"/>
  <c r="F1469" i="26"/>
  <c r="M1468" i="26"/>
  <c r="F1468" i="26"/>
  <c r="M1467" i="26"/>
  <c r="O1466" i="26"/>
  <c r="O1464" i="26"/>
  <c r="A1464" i="26"/>
  <c r="A1460" i="26"/>
  <c r="O1458" i="26"/>
  <c r="A1458" i="26"/>
  <c r="O1456" i="26"/>
  <c r="A1456" i="26"/>
  <c r="D1444" i="26"/>
  <c r="C1444" i="26"/>
  <c r="B1444" i="26"/>
  <c r="K1443" i="26"/>
  <c r="J1443" i="26"/>
  <c r="I1443" i="26"/>
  <c r="D1443" i="26"/>
  <c r="C1443" i="26"/>
  <c r="K1442" i="26"/>
  <c r="J1442" i="26"/>
  <c r="D1442" i="26"/>
  <c r="C1442" i="26"/>
  <c r="K1441" i="26"/>
  <c r="J1441" i="26"/>
  <c r="I1441" i="26"/>
  <c r="D1441" i="26"/>
  <c r="C1441" i="26"/>
  <c r="B1441" i="26"/>
  <c r="K1440" i="26"/>
  <c r="J1440" i="26"/>
  <c r="D1440" i="26"/>
  <c r="C1440" i="26"/>
  <c r="B1440" i="26"/>
  <c r="K1439" i="26"/>
  <c r="J1439" i="26"/>
  <c r="K1438" i="26"/>
  <c r="J1438" i="26"/>
  <c r="I1438" i="26"/>
  <c r="F1432" i="26"/>
  <c r="F1431" i="26"/>
  <c r="M1430" i="26"/>
  <c r="F1430" i="26"/>
  <c r="M1429" i="26"/>
  <c r="M1428" i="26"/>
  <c r="O1427" i="26"/>
  <c r="A1426" i="26"/>
  <c r="O1425" i="26"/>
  <c r="A1424" i="26"/>
  <c r="O1423" i="26"/>
  <c r="A1422" i="26"/>
  <c r="O1421" i="26"/>
  <c r="A1420" i="26"/>
  <c r="O1419" i="26"/>
  <c r="D1408" i="26"/>
  <c r="C1408" i="26"/>
  <c r="B1408" i="26"/>
  <c r="D1407" i="26"/>
  <c r="C1407" i="26"/>
  <c r="K1406" i="26"/>
  <c r="J1406" i="26"/>
  <c r="I1406" i="26"/>
  <c r="D1406" i="26"/>
  <c r="C1406" i="26"/>
  <c r="K1405" i="26"/>
  <c r="J1405" i="26"/>
  <c r="D1405" i="26"/>
  <c r="C1405" i="26"/>
  <c r="K1404" i="26"/>
  <c r="J1404" i="26"/>
  <c r="D1404" i="26"/>
  <c r="C1404" i="26"/>
  <c r="B1404" i="26"/>
  <c r="K1403" i="26"/>
  <c r="J1403" i="26"/>
  <c r="D1403" i="26"/>
  <c r="C1403" i="26"/>
  <c r="B1403" i="26"/>
  <c r="K1402" i="26"/>
  <c r="J1402" i="26"/>
  <c r="I1402" i="26"/>
  <c r="K1401" i="26"/>
  <c r="J1401" i="26"/>
  <c r="I1401" i="26"/>
  <c r="F1395" i="26"/>
  <c r="F1394" i="26"/>
  <c r="M1393" i="26"/>
  <c r="F1393" i="26"/>
  <c r="O1392" i="26"/>
  <c r="M1392" i="26"/>
  <c r="M1391" i="26"/>
  <c r="O1390" i="26"/>
  <c r="A1389" i="26"/>
  <c r="O1388" i="26"/>
  <c r="A1387" i="26"/>
  <c r="O1386" i="26"/>
  <c r="H1385" i="26"/>
  <c r="A1385" i="26"/>
  <c r="O1384" i="26"/>
  <c r="H1383" i="26"/>
  <c r="A1383" i="26"/>
  <c r="O1382" i="26"/>
  <c r="D1371" i="26"/>
  <c r="C1371" i="26"/>
  <c r="B1371" i="26"/>
  <c r="D1370" i="26"/>
  <c r="C1370" i="26"/>
  <c r="K1369" i="26"/>
  <c r="J1369" i="26"/>
  <c r="I1369" i="26"/>
  <c r="D1369" i="26"/>
  <c r="C1369" i="26"/>
  <c r="K1368" i="26"/>
  <c r="J1368" i="26"/>
  <c r="D1368" i="26"/>
  <c r="C1368" i="26"/>
  <c r="K1367" i="26"/>
  <c r="J1367" i="26"/>
  <c r="D1367" i="26"/>
  <c r="C1367" i="26"/>
  <c r="B1367" i="26"/>
  <c r="K1366" i="26"/>
  <c r="J1366" i="26"/>
  <c r="D1366" i="26"/>
  <c r="C1366" i="26"/>
  <c r="B1366" i="26"/>
  <c r="K1365" i="26"/>
  <c r="J1365" i="26"/>
  <c r="K1364" i="26"/>
  <c r="J1364" i="26"/>
  <c r="I1364" i="26"/>
  <c r="F1358" i="26"/>
  <c r="F1357" i="26"/>
  <c r="M1356" i="26"/>
  <c r="F1356" i="26"/>
  <c r="O1355" i="26"/>
  <c r="M1355" i="26"/>
  <c r="M1354" i="26"/>
  <c r="A1354" i="26"/>
  <c r="O1353" i="26"/>
  <c r="H1352" i="26"/>
  <c r="A1352" i="26"/>
  <c r="O1351" i="26"/>
  <c r="H1350" i="26"/>
  <c r="A1350" i="26"/>
  <c r="O1349" i="26"/>
  <c r="H1348" i="26"/>
  <c r="A1348" i="26"/>
  <c r="O1347" i="26"/>
  <c r="H1346" i="26"/>
  <c r="A1346" i="26"/>
  <c r="O1345" i="26"/>
  <c r="A1344" i="26"/>
  <c r="K1332" i="26"/>
  <c r="J1332" i="26"/>
  <c r="I1332" i="26"/>
  <c r="D1332" i="26"/>
  <c r="C1332" i="26"/>
  <c r="B1332" i="26"/>
  <c r="K1331" i="26"/>
  <c r="J1331" i="26"/>
  <c r="D1331" i="26"/>
  <c r="C1331" i="26"/>
  <c r="K1330" i="26"/>
  <c r="J1330" i="26"/>
  <c r="D1330" i="26"/>
  <c r="C1330" i="26"/>
  <c r="K1329" i="26"/>
  <c r="J1329" i="26"/>
  <c r="D1329" i="26"/>
  <c r="C1329" i="26"/>
  <c r="K1328" i="26"/>
  <c r="J1328" i="26"/>
  <c r="I1328" i="26"/>
  <c r="D1328" i="26"/>
  <c r="C1328" i="26"/>
  <c r="B1328" i="26"/>
  <c r="K1327" i="26"/>
  <c r="J1327" i="26"/>
  <c r="I1327" i="26"/>
  <c r="D1327" i="26"/>
  <c r="C1327" i="26"/>
  <c r="B1327" i="26"/>
  <c r="M1319" i="26"/>
  <c r="F1319" i="26"/>
  <c r="O1318" i="26"/>
  <c r="M1318" i="26"/>
  <c r="F1318" i="26"/>
  <c r="M1317" i="26"/>
  <c r="F1317" i="26"/>
  <c r="O1316" i="26"/>
  <c r="H1315" i="26"/>
  <c r="A1315" i="26"/>
  <c r="O1314" i="26"/>
  <c r="H1313" i="26"/>
  <c r="A1313" i="26"/>
  <c r="O1312" i="26"/>
  <c r="H1311" i="26"/>
  <c r="A1311" i="26"/>
  <c r="O1310" i="26"/>
  <c r="H1309" i="26"/>
  <c r="A1309" i="26"/>
  <c r="O1308" i="26"/>
  <c r="A1307" i="26"/>
  <c r="K1295" i="26"/>
  <c r="J1295" i="26"/>
  <c r="I1295" i="26"/>
  <c r="D1295" i="26"/>
  <c r="C1295" i="26"/>
  <c r="B1295" i="26"/>
  <c r="K1294" i="26"/>
  <c r="J1294" i="26"/>
  <c r="D1294" i="26"/>
  <c r="C1294" i="26"/>
  <c r="K1293" i="26"/>
  <c r="J1293" i="26"/>
  <c r="I1293" i="26"/>
  <c r="D1293" i="26"/>
  <c r="C1293" i="26"/>
  <c r="K1292" i="26"/>
  <c r="J1292" i="26"/>
  <c r="D1292" i="26"/>
  <c r="C1292" i="26"/>
  <c r="K1291" i="26"/>
  <c r="J1291" i="26"/>
  <c r="D1291" i="26"/>
  <c r="C1291" i="26"/>
  <c r="B1291" i="26"/>
  <c r="K1290" i="26"/>
  <c r="J1290" i="26"/>
  <c r="I1290" i="26"/>
  <c r="D1290" i="26"/>
  <c r="C1290" i="26"/>
  <c r="B1290" i="26"/>
  <c r="M1282" i="26"/>
  <c r="F1282" i="26"/>
  <c r="M1281" i="26"/>
  <c r="F1281" i="26"/>
  <c r="M1280" i="26"/>
  <c r="F1280" i="26"/>
  <c r="A1278" i="26"/>
  <c r="A1276" i="26"/>
  <c r="A1274" i="26"/>
  <c r="O1272" i="26"/>
  <c r="A1272" i="26"/>
  <c r="O1270" i="26"/>
  <c r="A1270" i="26"/>
  <c r="K1258" i="26"/>
  <c r="J1258" i="26"/>
  <c r="I1258" i="26"/>
  <c r="D1258" i="26"/>
  <c r="C1258" i="26"/>
  <c r="B1258" i="26"/>
  <c r="K1257" i="26"/>
  <c r="J1257" i="26"/>
  <c r="D1257" i="26"/>
  <c r="C1257" i="26"/>
  <c r="K1256" i="26"/>
  <c r="J1256" i="26"/>
  <c r="I1256" i="26"/>
  <c r="D1256" i="26"/>
  <c r="C1256" i="26"/>
  <c r="K1255" i="26"/>
  <c r="J1255" i="26"/>
  <c r="D1255" i="26"/>
  <c r="C1255" i="26"/>
  <c r="K1254" i="26"/>
  <c r="J1254" i="26"/>
  <c r="I1254" i="26"/>
  <c r="D1254" i="26"/>
  <c r="C1254" i="26"/>
  <c r="B1254" i="26"/>
  <c r="K1253" i="26"/>
  <c r="J1253" i="26"/>
  <c r="I1253" i="26"/>
  <c r="D1253" i="26"/>
  <c r="C1253" i="26"/>
  <c r="B1253" i="26"/>
  <c r="M1245" i="26"/>
  <c r="F1245" i="26"/>
  <c r="M1244" i="26"/>
  <c r="F1244" i="26"/>
  <c r="M1243" i="26"/>
  <c r="F1243" i="26"/>
  <c r="O1242" i="26"/>
  <c r="A1241" i="26"/>
  <c r="O1240" i="26"/>
  <c r="A1239" i="26"/>
  <c r="O1238" i="26"/>
  <c r="A1237" i="26"/>
  <c r="O1235" i="26"/>
  <c r="A1235" i="26"/>
  <c r="O1233" i="26"/>
  <c r="A1233" i="26"/>
  <c r="K1221" i="26"/>
  <c r="J1221" i="26"/>
  <c r="I1221" i="26"/>
  <c r="D1221" i="26"/>
  <c r="C1221" i="26"/>
  <c r="B1221" i="26"/>
  <c r="K1220" i="26"/>
  <c r="J1220" i="26"/>
  <c r="D1220" i="26"/>
  <c r="C1220" i="26"/>
  <c r="K1219" i="26"/>
  <c r="J1219" i="26"/>
  <c r="D1219" i="26"/>
  <c r="C1219" i="26"/>
  <c r="K1218" i="26"/>
  <c r="J1218" i="26"/>
  <c r="D1218" i="26"/>
  <c r="C1218" i="26"/>
  <c r="K1217" i="26"/>
  <c r="J1217" i="26"/>
  <c r="I1217" i="26"/>
  <c r="D1217" i="26"/>
  <c r="C1217" i="26"/>
  <c r="B1217" i="26"/>
  <c r="K1216" i="26"/>
  <c r="J1216" i="26"/>
  <c r="I1216" i="26"/>
  <c r="D1216" i="26"/>
  <c r="C1216" i="26"/>
  <c r="B1216" i="26"/>
  <c r="M1208" i="26"/>
  <c r="F1208" i="26"/>
  <c r="O1207" i="26"/>
  <c r="M1207" i="26"/>
  <c r="F1207" i="26"/>
  <c r="M1206" i="26"/>
  <c r="F1206" i="26"/>
  <c r="O1203" i="26"/>
  <c r="H1202" i="26"/>
  <c r="H1200" i="26"/>
  <c r="H1198" i="26"/>
  <c r="A1198" i="26"/>
  <c r="O1196" i="26"/>
  <c r="H1196" i="26"/>
  <c r="A1196" i="26"/>
  <c r="O1194" i="26"/>
  <c r="A1194" i="26"/>
  <c r="K1182" i="26"/>
  <c r="J1182" i="26"/>
  <c r="I1182" i="26"/>
  <c r="D1182" i="26"/>
  <c r="C1182" i="26"/>
  <c r="B1182" i="26"/>
  <c r="K1181" i="26"/>
  <c r="J1181" i="26"/>
  <c r="D1181" i="26"/>
  <c r="C1181" i="26"/>
  <c r="K1180" i="26"/>
  <c r="J1180" i="26"/>
  <c r="I1180" i="26"/>
  <c r="D1180" i="26"/>
  <c r="C1180" i="26"/>
  <c r="K1179" i="26"/>
  <c r="J1179" i="26"/>
  <c r="D1179" i="26"/>
  <c r="C1179" i="26"/>
  <c r="K1178" i="26"/>
  <c r="J1178" i="26"/>
  <c r="I1178" i="26"/>
  <c r="D1178" i="26"/>
  <c r="C1178" i="26"/>
  <c r="B1178" i="26"/>
  <c r="K1177" i="26"/>
  <c r="J1177" i="26"/>
  <c r="I1177" i="26"/>
  <c r="D1177" i="26"/>
  <c r="C1177" i="26"/>
  <c r="B1177" i="26"/>
  <c r="M1169" i="26"/>
  <c r="F1169" i="26"/>
  <c r="M1168" i="26"/>
  <c r="F1168" i="26"/>
  <c r="M1167" i="26"/>
  <c r="F1167" i="26"/>
  <c r="O1165" i="26"/>
  <c r="H1165" i="26"/>
  <c r="O1163" i="26"/>
  <c r="H1163" i="26"/>
  <c r="O1161" i="26"/>
  <c r="H1161" i="26"/>
  <c r="O1160" i="26"/>
  <c r="H1159" i="26"/>
  <c r="A1159" i="26"/>
  <c r="O1157" i="26"/>
  <c r="A1157" i="26"/>
  <c r="K1145" i="26"/>
  <c r="J1145" i="26"/>
  <c r="I1145" i="26"/>
  <c r="D1145" i="26"/>
  <c r="C1145" i="26"/>
  <c r="B1145" i="26"/>
  <c r="K1144" i="26"/>
  <c r="J1144" i="26"/>
  <c r="D1144" i="26"/>
  <c r="C1144" i="26"/>
  <c r="K1143" i="26"/>
  <c r="J1143" i="26"/>
  <c r="D1143" i="26"/>
  <c r="C1143" i="26"/>
  <c r="K1142" i="26"/>
  <c r="J1142" i="26"/>
  <c r="D1142" i="26"/>
  <c r="C1142" i="26"/>
  <c r="K1141" i="26"/>
  <c r="J1141" i="26"/>
  <c r="I1141" i="26"/>
  <c r="D1141" i="26"/>
  <c r="C1141" i="26"/>
  <c r="B1141" i="26"/>
  <c r="K1140" i="26"/>
  <c r="J1140" i="26"/>
  <c r="I1140" i="26"/>
  <c r="D1140" i="26"/>
  <c r="C1140" i="26"/>
  <c r="B1140" i="26"/>
  <c r="M1132" i="26"/>
  <c r="F1132" i="26"/>
  <c r="M1131" i="26"/>
  <c r="F1131" i="26"/>
  <c r="M1130" i="26"/>
  <c r="F1130" i="26"/>
  <c r="O1129" i="26"/>
  <c r="H1128" i="26"/>
  <c r="O1127" i="26"/>
  <c r="H1126" i="26"/>
  <c r="O1125" i="26"/>
  <c r="H1124" i="26"/>
  <c r="H1122" i="26"/>
  <c r="O1121" i="26"/>
  <c r="O1120" i="26"/>
  <c r="K1108" i="26"/>
  <c r="J1108" i="26"/>
  <c r="I1108" i="26"/>
  <c r="D1108" i="26"/>
  <c r="C1108" i="26"/>
  <c r="B1108" i="26"/>
  <c r="K1107" i="26"/>
  <c r="J1107" i="26"/>
  <c r="D1107" i="26"/>
  <c r="C1107" i="26"/>
  <c r="K1106" i="26"/>
  <c r="J1106" i="26"/>
  <c r="I1106" i="26"/>
  <c r="D1106" i="26"/>
  <c r="C1106" i="26"/>
  <c r="K1105" i="26"/>
  <c r="J1105" i="26"/>
  <c r="D1105" i="26"/>
  <c r="C1105" i="26"/>
  <c r="K1104" i="26"/>
  <c r="J1104" i="26"/>
  <c r="I1104" i="26"/>
  <c r="D1104" i="26"/>
  <c r="C1104" i="26"/>
  <c r="B1104" i="26"/>
  <c r="K1103" i="26"/>
  <c r="J1103" i="26"/>
  <c r="I1103" i="26"/>
  <c r="D1103" i="26"/>
  <c r="C1103" i="26"/>
  <c r="B1103" i="26"/>
  <c r="M1095" i="26"/>
  <c r="F1095" i="26"/>
  <c r="M1094" i="26"/>
  <c r="F1094" i="26"/>
  <c r="M1093" i="26"/>
  <c r="F1093" i="26"/>
  <c r="O1092" i="26"/>
  <c r="H1091" i="26"/>
  <c r="O1090" i="26"/>
  <c r="H1089" i="26"/>
  <c r="O1088" i="26"/>
  <c r="H1087" i="26"/>
  <c r="O1086" i="26"/>
  <c r="H1085" i="26"/>
  <c r="A1085" i="26"/>
  <c r="O1084" i="26"/>
  <c r="H1083" i="26"/>
  <c r="A1083" i="26"/>
  <c r="O1082" i="26"/>
  <c r="A1081" i="26"/>
  <c r="K1069" i="26"/>
  <c r="J1069" i="26"/>
  <c r="I1069" i="26"/>
  <c r="D1069" i="26"/>
  <c r="C1069" i="26"/>
  <c r="B1069" i="26"/>
  <c r="K1068" i="26"/>
  <c r="J1068" i="26"/>
  <c r="D1068" i="26"/>
  <c r="C1068" i="26"/>
  <c r="K1067" i="26"/>
  <c r="J1067" i="26"/>
  <c r="I1067" i="26"/>
  <c r="D1067" i="26"/>
  <c r="C1067" i="26"/>
  <c r="K1066" i="26"/>
  <c r="J1066" i="26"/>
  <c r="I1066" i="26"/>
  <c r="D1066" i="26"/>
  <c r="C1066" i="26"/>
  <c r="K1065" i="26"/>
  <c r="J1065" i="26"/>
  <c r="I1065" i="26"/>
  <c r="D1065" i="26"/>
  <c r="C1065" i="26"/>
  <c r="B1065" i="26"/>
  <c r="K1064" i="26"/>
  <c r="J1064" i="26"/>
  <c r="I1064" i="26"/>
  <c r="D1064" i="26"/>
  <c r="C1064" i="26"/>
  <c r="B1064" i="26"/>
  <c r="M1056" i="26"/>
  <c r="F1056" i="26"/>
  <c r="M1055" i="26"/>
  <c r="F1055" i="26"/>
  <c r="M1054" i="26"/>
  <c r="F1054" i="26"/>
  <c r="O1053" i="26"/>
  <c r="H1052" i="26"/>
  <c r="O1051" i="26"/>
  <c r="H1050" i="26"/>
  <c r="O1049" i="26"/>
  <c r="H1048" i="26"/>
  <c r="A1048" i="26"/>
  <c r="O1047" i="26"/>
  <c r="A1046" i="26"/>
  <c r="K1034" i="26"/>
  <c r="J1034" i="26"/>
  <c r="I1034" i="26"/>
  <c r="D1034" i="26"/>
  <c r="C1034" i="26"/>
  <c r="K1033" i="26"/>
  <c r="J1033" i="26"/>
  <c r="D1033" i="26"/>
  <c r="C1033" i="26"/>
  <c r="K1032" i="26"/>
  <c r="J1032" i="26"/>
  <c r="I1032" i="26"/>
  <c r="D1032" i="26"/>
  <c r="C1032" i="26"/>
  <c r="B1032" i="26"/>
  <c r="K1031" i="26"/>
  <c r="J1031" i="26"/>
  <c r="D1031" i="26"/>
  <c r="C1031" i="26"/>
  <c r="B1031" i="26"/>
  <c r="K1030" i="26"/>
  <c r="J1030" i="26"/>
  <c r="I1030" i="26"/>
  <c r="K1029" i="26"/>
  <c r="J1029" i="26"/>
  <c r="I1029" i="26"/>
  <c r="F1023" i="26"/>
  <c r="F1022" i="26"/>
  <c r="M1021" i="26"/>
  <c r="F1021" i="26"/>
  <c r="O1020" i="26"/>
  <c r="M1020" i="26"/>
  <c r="M1019" i="26"/>
  <c r="A1019" i="26"/>
  <c r="O1018" i="26"/>
  <c r="H1017" i="26"/>
  <c r="A1017" i="26"/>
  <c r="O1016" i="26"/>
  <c r="H1015" i="26"/>
  <c r="A1015" i="26"/>
  <c r="O1014" i="26"/>
  <c r="H1013" i="26"/>
  <c r="A1013" i="26"/>
  <c r="O1012" i="26"/>
  <c r="A1011" i="26"/>
  <c r="O1009" i="26"/>
  <c r="D999" i="26"/>
  <c r="C999" i="26"/>
  <c r="B999" i="26"/>
  <c r="D998" i="26"/>
  <c r="C998" i="26"/>
  <c r="K997" i="26"/>
  <c r="J997" i="26"/>
  <c r="I997" i="26"/>
  <c r="D997" i="26"/>
  <c r="C997" i="26"/>
  <c r="K996" i="26"/>
  <c r="J996" i="26"/>
  <c r="D996" i="26"/>
  <c r="C996" i="26"/>
  <c r="K995" i="26"/>
  <c r="J995" i="26"/>
  <c r="I995" i="26"/>
  <c r="D995" i="26"/>
  <c r="C995" i="26"/>
  <c r="B995" i="26"/>
  <c r="K994" i="26"/>
  <c r="J994" i="26"/>
  <c r="D994" i="26"/>
  <c r="C994" i="26"/>
  <c r="B994" i="26"/>
  <c r="K993" i="26"/>
  <c r="J993" i="26"/>
  <c r="I993" i="26"/>
  <c r="K992" i="26"/>
  <c r="J992" i="26"/>
  <c r="F986" i="26"/>
  <c r="F985" i="26"/>
  <c r="M984" i="26"/>
  <c r="F984" i="26"/>
  <c r="O983" i="26"/>
  <c r="M983" i="26"/>
  <c r="M982" i="26"/>
  <c r="O981" i="26"/>
  <c r="A980" i="26"/>
  <c r="A978" i="26"/>
  <c r="O977" i="26"/>
  <c r="H976" i="26"/>
  <c r="O975" i="26"/>
  <c r="H974" i="26"/>
  <c r="A974" i="26"/>
  <c r="O973" i="26"/>
  <c r="H972" i="26"/>
  <c r="A972" i="26"/>
  <c r="O971" i="26"/>
  <c r="D960" i="26"/>
  <c r="C960" i="26"/>
  <c r="B960" i="26"/>
  <c r="D959" i="26"/>
  <c r="C959" i="26"/>
  <c r="K958" i="26"/>
  <c r="J958" i="26"/>
  <c r="I958" i="26"/>
  <c r="D958" i="26"/>
  <c r="C958" i="26"/>
  <c r="B958" i="26"/>
  <c r="K957" i="26"/>
  <c r="J957" i="26"/>
  <c r="D957" i="26"/>
  <c r="C957" i="26"/>
  <c r="K956" i="26"/>
  <c r="J956" i="26"/>
  <c r="I956" i="26"/>
  <c r="D956" i="26"/>
  <c r="C956" i="26"/>
  <c r="B956" i="26"/>
  <c r="K955" i="26"/>
  <c r="J955" i="26"/>
  <c r="D955" i="26"/>
  <c r="C955" i="26"/>
  <c r="B955" i="26"/>
  <c r="K954" i="26"/>
  <c r="J954" i="26"/>
  <c r="I954" i="26"/>
  <c r="K953" i="26"/>
  <c r="J953" i="26"/>
  <c r="I953" i="26"/>
  <c r="F947" i="26"/>
  <c r="F946" i="26"/>
  <c r="M945" i="26"/>
  <c r="F945" i="26"/>
  <c r="O944" i="26"/>
  <c r="M944" i="26"/>
  <c r="M943" i="26"/>
  <c r="O934" i="26"/>
  <c r="H933" i="26"/>
  <c r="A933" i="26"/>
  <c r="O932" i="26"/>
  <c r="D921" i="26"/>
  <c r="C921" i="26"/>
  <c r="B921" i="26"/>
  <c r="D920" i="26"/>
  <c r="C920" i="26"/>
  <c r="K919" i="26"/>
  <c r="J919" i="26"/>
  <c r="I919" i="26"/>
  <c r="D919" i="26"/>
  <c r="C919" i="26"/>
  <c r="B919" i="26"/>
  <c r="K918" i="26"/>
  <c r="J918" i="26"/>
  <c r="D918" i="26"/>
  <c r="C918" i="26"/>
  <c r="K917" i="26"/>
  <c r="J917" i="26"/>
  <c r="I917" i="26"/>
  <c r="D917" i="26"/>
  <c r="C917" i="26"/>
  <c r="B917" i="26"/>
  <c r="K916" i="26"/>
  <c r="J916" i="26"/>
  <c r="D916" i="26"/>
  <c r="C916" i="26"/>
  <c r="B916" i="26"/>
  <c r="K915" i="26"/>
  <c r="J915" i="26"/>
  <c r="I915" i="26"/>
  <c r="K914" i="26"/>
  <c r="J914" i="26"/>
  <c r="I914" i="26"/>
  <c r="F908" i="26"/>
  <c r="F907" i="26"/>
  <c r="M906" i="26"/>
  <c r="F906" i="26"/>
  <c r="O905" i="26"/>
  <c r="M905" i="26"/>
  <c r="M904" i="26"/>
  <c r="O903" i="26"/>
  <c r="O901" i="26"/>
  <c r="A900" i="26"/>
  <c r="O899" i="26"/>
  <c r="H898" i="26"/>
  <c r="A898" i="26"/>
  <c r="O897" i="26"/>
  <c r="H896" i="26"/>
  <c r="A896" i="26"/>
  <c r="O895" i="26"/>
  <c r="H894" i="26"/>
  <c r="D884" i="26"/>
  <c r="C884" i="26"/>
  <c r="B884" i="26"/>
  <c r="D883" i="26"/>
  <c r="C883" i="26"/>
  <c r="K882" i="26"/>
  <c r="J882" i="26"/>
  <c r="I882" i="26"/>
  <c r="D882" i="26"/>
  <c r="C882" i="26"/>
  <c r="B882" i="26"/>
  <c r="K881" i="26"/>
  <c r="J881" i="26"/>
  <c r="D881" i="26"/>
  <c r="C881" i="26"/>
  <c r="K880" i="26"/>
  <c r="J880" i="26"/>
  <c r="I880" i="26"/>
  <c r="D880" i="26"/>
  <c r="C880" i="26"/>
  <c r="B880" i="26"/>
  <c r="K879" i="26"/>
  <c r="J879" i="26"/>
  <c r="D879" i="26"/>
  <c r="C879" i="26"/>
  <c r="B879" i="26"/>
  <c r="K878" i="26"/>
  <c r="J878" i="26"/>
  <c r="I878" i="26"/>
  <c r="K877" i="26"/>
  <c r="J877" i="26"/>
  <c r="I877" i="26"/>
  <c r="F871" i="26"/>
  <c r="F870" i="26"/>
  <c r="M869" i="26"/>
  <c r="F869" i="26"/>
  <c r="O868" i="26"/>
  <c r="M868" i="26"/>
  <c r="M867" i="26"/>
  <c r="A867" i="26"/>
  <c r="O866" i="26"/>
  <c r="H865" i="26"/>
  <c r="A865" i="26"/>
  <c r="O863" i="26"/>
  <c r="H863" i="26"/>
  <c r="O862" i="26"/>
  <c r="H861" i="26"/>
  <c r="A861" i="26"/>
  <c r="O860" i="26"/>
  <c r="H859" i="26"/>
  <c r="A859" i="26"/>
  <c r="O858" i="26"/>
  <c r="H857" i="26"/>
  <c r="A857" i="26"/>
  <c r="O856" i="26"/>
  <c r="H855" i="26"/>
  <c r="D845" i="26"/>
  <c r="C845" i="26"/>
  <c r="B845" i="26"/>
  <c r="D844" i="26"/>
  <c r="C844" i="26"/>
  <c r="K843" i="26"/>
  <c r="J843" i="26"/>
  <c r="I843" i="26"/>
  <c r="D843" i="26"/>
  <c r="C843" i="26"/>
  <c r="K842" i="26"/>
  <c r="J842" i="26"/>
  <c r="D842" i="26"/>
  <c r="C842" i="26"/>
  <c r="K841" i="26"/>
  <c r="J841" i="26"/>
  <c r="I841" i="26"/>
  <c r="D841" i="26"/>
  <c r="C841" i="26"/>
  <c r="B841" i="26"/>
  <c r="K840" i="26"/>
  <c r="J840" i="26"/>
  <c r="D840" i="26"/>
  <c r="C840" i="26"/>
  <c r="B840" i="26"/>
  <c r="K839" i="26"/>
  <c r="J839" i="26"/>
  <c r="K838" i="26"/>
  <c r="J838" i="26"/>
  <c r="F832" i="26"/>
  <c r="F831" i="26"/>
  <c r="M830" i="26"/>
  <c r="F830" i="26"/>
  <c r="M829" i="26"/>
  <c r="M828" i="26"/>
  <c r="A828" i="26"/>
  <c r="O827" i="26"/>
  <c r="A826" i="26"/>
  <c r="O825" i="26"/>
  <c r="O823" i="26"/>
  <c r="A822" i="26"/>
  <c r="O821" i="26"/>
  <c r="A820" i="26"/>
  <c r="O819" i="26"/>
  <c r="A818" i="26"/>
  <c r="D808" i="26"/>
  <c r="C808" i="26"/>
  <c r="B808" i="26"/>
  <c r="D807" i="26"/>
  <c r="C807" i="26"/>
  <c r="K806" i="26"/>
  <c r="J806" i="26"/>
  <c r="I806" i="26"/>
  <c r="D806" i="26"/>
  <c r="C806" i="26"/>
  <c r="B806" i="26"/>
  <c r="K805" i="26"/>
  <c r="J805" i="26"/>
  <c r="D805" i="26"/>
  <c r="C805" i="26"/>
  <c r="K804" i="26"/>
  <c r="J804" i="26"/>
  <c r="I804" i="26"/>
  <c r="D804" i="26"/>
  <c r="C804" i="26"/>
  <c r="B804" i="26"/>
  <c r="K803" i="26"/>
  <c r="J803" i="26"/>
  <c r="D803" i="26"/>
  <c r="C803" i="26"/>
  <c r="B803" i="26"/>
  <c r="K802" i="26"/>
  <c r="J802" i="26"/>
  <c r="K801" i="26"/>
  <c r="J801" i="26"/>
  <c r="F795" i="26"/>
  <c r="F794" i="26"/>
  <c r="M793" i="26"/>
  <c r="F793" i="26"/>
  <c r="M792" i="26"/>
  <c r="M791" i="26"/>
  <c r="A785" i="26"/>
  <c r="O784" i="26"/>
  <c r="D773" i="26"/>
  <c r="C773" i="26"/>
  <c r="B773" i="26"/>
  <c r="D772" i="26"/>
  <c r="C772" i="26"/>
  <c r="K771" i="26"/>
  <c r="J771" i="26"/>
  <c r="I771" i="26"/>
  <c r="D771" i="26"/>
  <c r="C771" i="26"/>
  <c r="K770" i="26"/>
  <c r="J770" i="26"/>
  <c r="D770" i="26"/>
  <c r="C770" i="26"/>
  <c r="K769" i="26"/>
  <c r="J769" i="26"/>
  <c r="I769" i="26"/>
  <c r="D769" i="26"/>
  <c r="C769" i="26"/>
  <c r="B769" i="26"/>
  <c r="K768" i="26"/>
  <c r="J768" i="26"/>
  <c r="D768" i="26"/>
  <c r="C768" i="26"/>
  <c r="B768" i="26"/>
  <c r="K767" i="26"/>
  <c r="J767" i="26"/>
  <c r="I767" i="26"/>
  <c r="K766" i="26"/>
  <c r="J766" i="26"/>
  <c r="I766" i="26"/>
  <c r="F760" i="26"/>
  <c r="F759" i="26"/>
  <c r="M758" i="26"/>
  <c r="F758" i="26"/>
  <c r="O757" i="26"/>
  <c r="M757" i="26"/>
  <c r="M756" i="26"/>
  <c r="A756" i="26"/>
  <c r="O755" i="26"/>
  <c r="A754" i="26"/>
  <c r="O753" i="26"/>
  <c r="A752" i="26"/>
  <c r="O751" i="26"/>
  <c r="A750" i="26"/>
  <c r="O749" i="26"/>
  <c r="O747" i="26"/>
  <c r="D736" i="26"/>
  <c r="C736" i="26"/>
  <c r="B736" i="26"/>
  <c r="D735" i="26"/>
  <c r="C735" i="26"/>
  <c r="K734" i="26"/>
  <c r="J734" i="26"/>
  <c r="I734" i="26"/>
  <c r="D734" i="26"/>
  <c r="C734" i="26"/>
  <c r="B734" i="26"/>
  <c r="K733" i="26"/>
  <c r="J733" i="26"/>
  <c r="D733" i="26"/>
  <c r="C733" i="26"/>
  <c r="K732" i="26"/>
  <c r="J732" i="26"/>
  <c r="I732" i="26"/>
  <c r="D732" i="26"/>
  <c r="C732" i="26"/>
  <c r="B732" i="26"/>
  <c r="K731" i="26"/>
  <c r="J731" i="26"/>
  <c r="D731" i="26"/>
  <c r="C731" i="26"/>
  <c r="B731" i="26"/>
  <c r="K730" i="26"/>
  <c r="J730" i="26"/>
  <c r="I730" i="26"/>
  <c r="K729" i="26"/>
  <c r="J729" i="26"/>
  <c r="I729" i="26"/>
  <c r="F723" i="26"/>
  <c r="F722" i="26"/>
  <c r="M721" i="26"/>
  <c r="F721" i="26"/>
  <c r="O720" i="26"/>
  <c r="M720" i="26"/>
  <c r="M719" i="26"/>
  <c r="A719" i="26"/>
  <c r="O718" i="26"/>
  <c r="A717" i="26"/>
  <c r="O716" i="26"/>
  <c r="O714" i="26"/>
  <c r="A713" i="26"/>
  <c r="O712" i="26"/>
  <c r="A711" i="26"/>
  <c r="K699" i="26"/>
  <c r="J699" i="26"/>
  <c r="I699" i="26"/>
  <c r="D699" i="26"/>
  <c r="C699" i="26"/>
  <c r="B699" i="26"/>
  <c r="K698" i="26"/>
  <c r="J698" i="26"/>
  <c r="D698" i="26"/>
  <c r="C698" i="26"/>
  <c r="K697" i="26"/>
  <c r="J697" i="26"/>
  <c r="I697" i="26"/>
  <c r="D697" i="26"/>
  <c r="C697" i="26"/>
  <c r="K696" i="26"/>
  <c r="J696" i="26"/>
  <c r="D696" i="26"/>
  <c r="C696" i="26"/>
  <c r="K695" i="26"/>
  <c r="J695" i="26"/>
  <c r="I695" i="26"/>
  <c r="D695" i="26"/>
  <c r="C695" i="26"/>
  <c r="B695" i="26"/>
  <c r="K694" i="26"/>
  <c r="J694" i="26"/>
  <c r="I694" i="26"/>
  <c r="D694" i="26"/>
  <c r="C694" i="26"/>
  <c r="B694" i="26"/>
  <c r="M686" i="26"/>
  <c r="F686" i="26"/>
  <c r="O685" i="26"/>
  <c r="M685" i="26"/>
  <c r="F685" i="26"/>
  <c r="M684" i="26"/>
  <c r="F684" i="26"/>
  <c r="O683" i="26"/>
  <c r="A682" i="26"/>
  <c r="O681" i="26"/>
  <c r="O679" i="26"/>
  <c r="A678" i="26"/>
  <c r="O677" i="26"/>
  <c r="A676" i="26"/>
  <c r="O675" i="26"/>
  <c r="A674" i="26"/>
  <c r="K662" i="26"/>
  <c r="J662" i="26"/>
  <c r="I662" i="26"/>
  <c r="D662" i="26"/>
  <c r="C662" i="26"/>
  <c r="B662" i="26"/>
  <c r="K661" i="26"/>
  <c r="J661" i="26"/>
  <c r="D661" i="26"/>
  <c r="C661" i="26"/>
  <c r="K660" i="26"/>
  <c r="J660" i="26"/>
  <c r="I660" i="26"/>
  <c r="D660" i="26"/>
  <c r="C660" i="26"/>
  <c r="B660" i="26"/>
  <c r="K659" i="26"/>
  <c r="J659" i="26"/>
  <c r="D659" i="26"/>
  <c r="C659" i="26"/>
  <c r="K658" i="26"/>
  <c r="J658" i="26"/>
  <c r="I658" i="26"/>
  <c r="D658" i="26"/>
  <c r="C658" i="26"/>
  <c r="B658" i="26"/>
  <c r="K657" i="26"/>
  <c r="J657" i="26"/>
  <c r="I657" i="26"/>
  <c r="D657" i="26"/>
  <c r="C657" i="26"/>
  <c r="B657" i="26"/>
  <c r="M649" i="26"/>
  <c r="F649" i="26"/>
  <c r="M648" i="26"/>
  <c r="F648" i="26"/>
  <c r="M647" i="26"/>
  <c r="F647" i="26"/>
  <c r="O646" i="26"/>
  <c r="O644" i="26"/>
  <c r="O642" i="26"/>
  <c r="A641" i="26"/>
  <c r="O640" i="26"/>
  <c r="O638" i="26"/>
  <c r="A637" i="26"/>
  <c r="K625" i="26"/>
  <c r="J625" i="26"/>
  <c r="I625" i="26"/>
  <c r="D625" i="26"/>
  <c r="C625" i="26"/>
  <c r="B625" i="26"/>
  <c r="K624" i="26"/>
  <c r="J624" i="26"/>
  <c r="H624" i="26"/>
  <c r="K623" i="26"/>
  <c r="J623" i="26"/>
  <c r="I623" i="26"/>
  <c r="D623" i="26"/>
  <c r="C623" i="26"/>
  <c r="K622" i="26"/>
  <c r="J622" i="26"/>
  <c r="D622" i="26"/>
  <c r="C622" i="26"/>
  <c r="K621" i="26"/>
  <c r="J621" i="26"/>
  <c r="I621" i="26"/>
  <c r="D621" i="26"/>
  <c r="C621" i="26"/>
  <c r="B621" i="26"/>
  <c r="K620" i="26"/>
  <c r="J620" i="26"/>
  <c r="I620" i="26"/>
  <c r="D620" i="26"/>
  <c r="C620" i="26"/>
  <c r="B620" i="26"/>
  <c r="M612" i="26"/>
  <c r="F612" i="26"/>
  <c r="M611" i="26"/>
  <c r="F611" i="26"/>
  <c r="M610" i="26"/>
  <c r="F610" i="26"/>
  <c r="O609" i="26"/>
  <c r="A608" i="26"/>
  <c r="O607" i="26"/>
  <c r="O605" i="26"/>
  <c r="A604" i="26"/>
  <c r="O603" i="26"/>
  <c r="O601" i="26"/>
  <c r="Q600" i="26"/>
  <c r="A600" i="26"/>
  <c r="K588" i="26"/>
  <c r="J588" i="26"/>
  <c r="I588" i="26"/>
  <c r="D588" i="26"/>
  <c r="C588" i="26"/>
  <c r="B588" i="26"/>
  <c r="K587" i="26"/>
  <c r="J587" i="26"/>
  <c r="K586" i="26"/>
  <c r="J586" i="26"/>
  <c r="I586" i="26"/>
  <c r="D586" i="26"/>
  <c r="C586" i="26"/>
  <c r="K585" i="26"/>
  <c r="J585" i="26"/>
  <c r="I585" i="26"/>
  <c r="D585" i="26"/>
  <c r="C585" i="26"/>
  <c r="K584" i="26"/>
  <c r="J584" i="26"/>
  <c r="I584" i="26"/>
  <c r="D584" i="26"/>
  <c r="C584" i="26"/>
  <c r="B584" i="26"/>
  <c r="K583" i="26"/>
  <c r="J583" i="26"/>
  <c r="I583" i="26"/>
  <c r="D583" i="26"/>
  <c r="C583" i="26"/>
  <c r="B583" i="26"/>
  <c r="M575" i="26"/>
  <c r="F575" i="26"/>
  <c r="M574" i="26"/>
  <c r="F574" i="26"/>
  <c r="M573" i="26"/>
  <c r="F573" i="26"/>
  <c r="O572" i="26"/>
  <c r="O571" i="26"/>
  <c r="A571" i="26"/>
  <c r="O570" i="26"/>
  <c r="O568" i="26"/>
  <c r="A567" i="26"/>
  <c r="O566" i="26"/>
  <c r="A565" i="26"/>
  <c r="K553" i="26"/>
  <c r="J553" i="26"/>
  <c r="I553" i="26"/>
  <c r="D553" i="26"/>
  <c r="C553" i="26"/>
  <c r="B553" i="26"/>
  <c r="K552" i="26"/>
  <c r="J552" i="26"/>
  <c r="K551" i="26"/>
  <c r="J551" i="26"/>
  <c r="I551" i="26"/>
  <c r="D551" i="26"/>
  <c r="C551" i="26"/>
  <c r="K550" i="26"/>
  <c r="J550" i="26"/>
  <c r="D550" i="26"/>
  <c r="C550" i="26"/>
  <c r="K549" i="26"/>
  <c r="J549" i="26"/>
  <c r="D549" i="26"/>
  <c r="C549" i="26"/>
  <c r="B549" i="26"/>
  <c r="K548" i="26"/>
  <c r="J548" i="26"/>
  <c r="D548" i="26"/>
  <c r="C548" i="26"/>
  <c r="B548" i="26"/>
  <c r="M540" i="26"/>
  <c r="F540" i="26"/>
  <c r="M539" i="26"/>
  <c r="F539" i="26"/>
  <c r="M538" i="26"/>
  <c r="F538" i="26"/>
  <c r="O537" i="26"/>
  <c r="A536" i="26"/>
  <c r="O535" i="26"/>
  <c r="A534" i="26"/>
  <c r="O533" i="26"/>
  <c r="O531" i="26"/>
  <c r="A530" i="26"/>
  <c r="K518" i="26"/>
  <c r="J518" i="26"/>
  <c r="I518" i="26"/>
  <c r="D518" i="26"/>
  <c r="C518" i="26"/>
  <c r="B518" i="26"/>
  <c r="K517" i="26"/>
  <c r="J517" i="26"/>
  <c r="D517" i="26"/>
  <c r="C517" i="26"/>
  <c r="K516" i="26"/>
  <c r="J516" i="26"/>
  <c r="I516" i="26"/>
  <c r="D516" i="26"/>
  <c r="C516" i="26"/>
  <c r="K515" i="26"/>
  <c r="J515" i="26"/>
  <c r="D515" i="26"/>
  <c r="C515" i="26"/>
  <c r="K514" i="26"/>
  <c r="J514" i="26"/>
  <c r="I514" i="26"/>
  <c r="D514" i="26"/>
  <c r="C514" i="26"/>
  <c r="B514" i="26"/>
  <c r="K513" i="26"/>
  <c r="J513" i="26"/>
  <c r="I513" i="26"/>
  <c r="D513" i="26"/>
  <c r="C513" i="26"/>
  <c r="B513" i="26"/>
  <c r="M505" i="26"/>
  <c r="F505" i="26"/>
  <c r="M504" i="26"/>
  <c r="F504" i="26"/>
  <c r="M503" i="26"/>
  <c r="F503" i="26"/>
  <c r="O502" i="26"/>
  <c r="O500" i="26"/>
  <c r="A499" i="26"/>
  <c r="O498" i="26"/>
  <c r="O496" i="26"/>
  <c r="A495" i="26"/>
  <c r="K483" i="26"/>
  <c r="J483" i="26"/>
  <c r="I483" i="26"/>
  <c r="D483" i="26"/>
  <c r="C483" i="26"/>
  <c r="B483" i="26"/>
  <c r="K482" i="26"/>
  <c r="J482" i="26"/>
  <c r="D482" i="26"/>
  <c r="C482" i="26"/>
  <c r="K481" i="26"/>
  <c r="J481" i="26"/>
  <c r="I481" i="26"/>
  <c r="D481" i="26"/>
  <c r="C481" i="26"/>
  <c r="K480" i="26"/>
  <c r="J480" i="26"/>
  <c r="D480" i="26"/>
  <c r="C480" i="26"/>
  <c r="K479" i="26"/>
  <c r="J479" i="26"/>
  <c r="I479" i="26"/>
  <c r="D479" i="26"/>
  <c r="C479" i="26"/>
  <c r="B479" i="26"/>
  <c r="K478" i="26"/>
  <c r="J478" i="26"/>
  <c r="I478" i="26"/>
  <c r="D478" i="26"/>
  <c r="C478" i="26"/>
  <c r="B478" i="26"/>
  <c r="M470" i="26"/>
  <c r="F470" i="26"/>
  <c r="M469" i="26"/>
  <c r="F469" i="26"/>
  <c r="M468" i="26"/>
  <c r="F468" i="26"/>
  <c r="O467" i="26"/>
  <c r="A466" i="26"/>
  <c r="O465" i="26"/>
  <c r="A464" i="26"/>
  <c r="O463" i="26"/>
  <c r="A462" i="26"/>
  <c r="O461" i="26"/>
  <c r="A460" i="26"/>
  <c r="K448" i="26"/>
  <c r="J448" i="26"/>
  <c r="I448" i="26"/>
  <c r="D448" i="26"/>
  <c r="C448" i="26"/>
  <c r="B448" i="26"/>
  <c r="K447" i="26"/>
  <c r="J447" i="26"/>
  <c r="D447" i="26"/>
  <c r="C447" i="26"/>
  <c r="K446" i="26"/>
  <c r="J446" i="26"/>
  <c r="I446" i="26"/>
  <c r="D446" i="26"/>
  <c r="C446" i="26"/>
  <c r="K445" i="26"/>
  <c r="J445" i="26"/>
  <c r="D445" i="26"/>
  <c r="C445" i="26"/>
  <c r="K444" i="26"/>
  <c r="J444" i="26"/>
  <c r="I444" i="26"/>
  <c r="D444" i="26"/>
  <c r="C444" i="26"/>
  <c r="B444" i="26"/>
  <c r="K443" i="26"/>
  <c r="J443" i="26"/>
  <c r="I443" i="26"/>
  <c r="D443" i="26"/>
  <c r="C443" i="26"/>
  <c r="B443" i="26"/>
  <c r="M435" i="26"/>
  <c r="F435" i="26"/>
  <c r="O434" i="26"/>
  <c r="M434" i="26"/>
  <c r="F434" i="26"/>
  <c r="M433" i="26"/>
  <c r="F433" i="26"/>
  <c r="O432" i="26"/>
  <c r="O431" i="26"/>
  <c r="O430" i="26"/>
  <c r="A429" i="26"/>
  <c r="O428" i="26"/>
  <c r="A427" i="26"/>
  <c r="O426" i="26"/>
  <c r="A425" i="26"/>
  <c r="K413" i="26"/>
  <c r="J413" i="26"/>
  <c r="I413" i="26"/>
  <c r="D413" i="26"/>
  <c r="C413" i="26"/>
  <c r="B413" i="26"/>
  <c r="K412" i="26"/>
  <c r="J412" i="26"/>
  <c r="D412" i="26"/>
  <c r="C412" i="26"/>
  <c r="K411" i="26"/>
  <c r="J411" i="26"/>
  <c r="I411" i="26"/>
  <c r="D411" i="26"/>
  <c r="C411" i="26"/>
  <c r="K410" i="26"/>
  <c r="J410" i="26"/>
  <c r="D410" i="26"/>
  <c r="C410" i="26"/>
  <c r="K409" i="26"/>
  <c r="J409" i="26"/>
  <c r="D409" i="26"/>
  <c r="C409" i="26"/>
  <c r="B409" i="26"/>
  <c r="K408" i="26"/>
  <c r="J408" i="26"/>
  <c r="I408" i="26"/>
  <c r="D408" i="26"/>
  <c r="C408" i="26"/>
  <c r="B408" i="26"/>
  <c r="M400" i="26"/>
  <c r="F400" i="26"/>
  <c r="M399" i="26"/>
  <c r="F399" i="26"/>
  <c r="M398" i="26"/>
  <c r="F398" i="26"/>
  <c r="O397" i="26"/>
  <c r="A396" i="26"/>
  <c r="O395" i="26"/>
  <c r="A394" i="26"/>
  <c r="O393" i="26"/>
  <c r="A392" i="26"/>
  <c r="O391" i="26"/>
  <c r="A390" i="26"/>
  <c r="O389" i="26"/>
  <c r="A388" i="26"/>
  <c r="K376" i="26"/>
  <c r="J376" i="26"/>
  <c r="I376" i="26"/>
  <c r="D376" i="26"/>
  <c r="C376" i="26"/>
  <c r="B376" i="26"/>
  <c r="K375" i="26"/>
  <c r="J375" i="26"/>
  <c r="D375" i="26"/>
  <c r="C375" i="26"/>
  <c r="K374" i="26"/>
  <c r="I374" i="26"/>
  <c r="D374" i="26"/>
  <c r="C374" i="26"/>
  <c r="B374" i="26"/>
  <c r="K373" i="26"/>
  <c r="J373" i="26"/>
  <c r="D373" i="26"/>
  <c r="C373" i="26"/>
  <c r="K372" i="26"/>
  <c r="I372" i="26"/>
  <c r="D372" i="26"/>
  <c r="C372" i="26"/>
  <c r="K371" i="26"/>
  <c r="I371" i="26"/>
  <c r="D371" i="26"/>
  <c r="C371" i="26"/>
  <c r="B371" i="26"/>
  <c r="M363" i="26"/>
  <c r="F363" i="26"/>
  <c r="F362" i="26"/>
  <c r="M361" i="26"/>
  <c r="F361" i="26"/>
  <c r="O360" i="26"/>
  <c r="A359" i="26"/>
  <c r="O358" i="26"/>
  <c r="O356" i="26"/>
  <c r="A355" i="26"/>
  <c r="O354" i="26"/>
  <c r="O352" i="26"/>
  <c r="A351" i="26"/>
  <c r="K339" i="26"/>
  <c r="J339" i="26"/>
  <c r="I339" i="26"/>
  <c r="D339" i="26"/>
  <c r="C339" i="26"/>
  <c r="B339" i="26"/>
  <c r="K338" i="26"/>
  <c r="J338" i="26"/>
  <c r="D338" i="26"/>
  <c r="C338" i="26"/>
  <c r="K337" i="26"/>
  <c r="J337" i="26"/>
  <c r="I337" i="26"/>
  <c r="D337" i="26"/>
  <c r="C337" i="26"/>
  <c r="K336" i="26"/>
  <c r="J336" i="26"/>
  <c r="D336" i="26"/>
  <c r="C336" i="26"/>
  <c r="K335" i="26"/>
  <c r="J335" i="26"/>
  <c r="D335" i="26"/>
  <c r="C335" i="26"/>
  <c r="B335" i="26"/>
  <c r="K334" i="26"/>
  <c r="J334" i="26"/>
  <c r="I334" i="26"/>
  <c r="D334" i="26"/>
  <c r="C334" i="26"/>
  <c r="B334" i="26"/>
  <c r="M326" i="26"/>
  <c r="F326" i="26"/>
  <c r="M325" i="26"/>
  <c r="F325" i="26"/>
  <c r="M324" i="26"/>
  <c r="F324" i="26"/>
  <c r="O323" i="26"/>
  <c r="O321" i="26"/>
  <c r="O319" i="26"/>
  <c r="A318" i="26"/>
  <c r="O317" i="26"/>
  <c r="A316" i="26"/>
  <c r="O315" i="26"/>
  <c r="A314" i="26"/>
  <c r="O313" i="26"/>
  <c r="A312" i="26"/>
  <c r="K300" i="26"/>
  <c r="J300" i="26"/>
  <c r="I300" i="26"/>
  <c r="D300" i="26"/>
  <c r="C300" i="26"/>
  <c r="B300" i="26"/>
  <c r="K299" i="26"/>
  <c r="J299" i="26"/>
  <c r="D299" i="26"/>
  <c r="C299" i="26"/>
  <c r="K298" i="26"/>
  <c r="J298" i="26"/>
  <c r="I298" i="26"/>
  <c r="D298" i="26"/>
  <c r="C298" i="26"/>
  <c r="K297" i="26"/>
  <c r="J297" i="26"/>
  <c r="D297" i="26"/>
  <c r="C297" i="26"/>
  <c r="K296" i="26"/>
  <c r="J296" i="26"/>
  <c r="D296" i="26"/>
  <c r="C296" i="26"/>
  <c r="B296" i="26"/>
  <c r="K295" i="26"/>
  <c r="J295" i="26"/>
  <c r="I295" i="26"/>
  <c r="D295" i="26"/>
  <c r="C295" i="26"/>
  <c r="B295" i="26"/>
  <c r="M287" i="26"/>
  <c r="F287" i="26"/>
  <c r="M286" i="26"/>
  <c r="F286" i="26"/>
  <c r="M285" i="26"/>
  <c r="F285" i="26"/>
  <c r="O284" i="26"/>
  <c r="A283" i="26"/>
  <c r="O282" i="26"/>
  <c r="O280" i="26"/>
  <c r="A279" i="26"/>
  <c r="O278" i="26"/>
  <c r="A277" i="26"/>
  <c r="O276" i="26"/>
  <c r="A275" i="26"/>
  <c r="O274" i="26"/>
  <c r="A273" i="26"/>
  <c r="K261" i="26"/>
  <c r="J261" i="26"/>
  <c r="I261" i="26"/>
  <c r="D261" i="26"/>
  <c r="C261" i="26"/>
  <c r="B261" i="26"/>
  <c r="K260" i="26"/>
  <c r="J260" i="26"/>
  <c r="D260" i="26"/>
  <c r="C260" i="26"/>
  <c r="K259" i="26"/>
  <c r="J259" i="26"/>
  <c r="I259" i="26"/>
  <c r="D259" i="26"/>
  <c r="C259" i="26"/>
  <c r="K258" i="26"/>
  <c r="J258" i="26"/>
  <c r="D258" i="26"/>
  <c r="C258" i="26"/>
  <c r="K257" i="26"/>
  <c r="J257" i="26"/>
  <c r="D257" i="26"/>
  <c r="C257" i="26"/>
  <c r="K256" i="26"/>
  <c r="J256" i="26"/>
  <c r="I256" i="26"/>
  <c r="D256" i="26"/>
  <c r="C256" i="26"/>
  <c r="B256" i="26"/>
  <c r="M248" i="26"/>
  <c r="F248" i="26"/>
  <c r="M247" i="26"/>
  <c r="F247" i="26"/>
  <c r="M246" i="26"/>
  <c r="F246" i="26"/>
  <c r="O245" i="26"/>
  <c r="O243" i="26"/>
  <c r="O241" i="26"/>
  <c r="O239" i="26"/>
  <c r="A238" i="26"/>
  <c r="O237" i="26"/>
  <c r="A236" i="26"/>
  <c r="O235" i="26"/>
  <c r="A234" i="26"/>
  <c r="K222" i="26"/>
  <c r="J222" i="26"/>
  <c r="I222" i="26"/>
  <c r="D222" i="26"/>
  <c r="C222" i="26"/>
  <c r="B222" i="26"/>
  <c r="K221" i="26"/>
  <c r="J221" i="26"/>
  <c r="D221" i="26"/>
  <c r="C221" i="26"/>
  <c r="K220" i="26"/>
  <c r="J220" i="26"/>
  <c r="I220" i="26"/>
  <c r="D220" i="26"/>
  <c r="C220" i="26"/>
  <c r="K219" i="26"/>
  <c r="J219" i="26"/>
  <c r="D219" i="26"/>
  <c r="C219" i="26"/>
  <c r="B219" i="26"/>
  <c r="K218" i="26"/>
  <c r="J218" i="26"/>
  <c r="D218" i="26"/>
  <c r="C218" i="26"/>
  <c r="K217" i="26"/>
  <c r="J217" i="26"/>
  <c r="D217" i="26"/>
  <c r="C217" i="26"/>
  <c r="B217" i="26"/>
  <c r="M209" i="26"/>
  <c r="F209" i="26"/>
  <c r="M208" i="26"/>
  <c r="F208" i="26"/>
  <c r="M207" i="26"/>
  <c r="F207" i="26"/>
  <c r="O206" i="26"/>
  <c r="O204" i="26"/>
  <c r="A203" i="26"/>
  <c r="O202" i="26"/>
  <c r="A201" i="26"/>
  <c r="O200" i="26"/>
  <c r="A199" i="26"/>
  <c r="O198" i="26"/>
  <c r="A197" i="26"/>
  <c r="K185" i="26"/>
  <c r="J185" i="26"/>
  <c r="I185" i="26"/>
  <c r="D185" i="26"/>
  <c r="C185" i="26"/>
  <c r="B185" i="26"/>
  <c r="K184" i="26"/>
  <c r="J184" i="26"/>
  <c r="D184" i="26"/>
  <c r="C184" i="26"/>
  <c r="K183" i="26"/>
  <c r="J183" i="26"/>
  <c r="I183" i="26"/>
  <c r="D183" i="26"/>
  <c r="C183" i="26"/>
  <c r="K182" i="26"/>
  <c r="J182" i="26"/>
  <c r="D182" i="26"/>
  <c r="C182" i="26"/>
  <c r="K181" i="26"/>
  <c r="J181" i="26"/>
  <c r="D181" i="26"/>
  <c r="C181" i="26"/>
  <c r="B181" i="26"/>
  <c r="K180" i="26"/>
  <c r="J180" i="26"/>
  <c r="D180" i="26"/>
  <c r="C180" i="26"/>
  <c r="B180" i="26"/>
  <c r="M172" i="26"/>
  <c r="F172" i="26"/>
  <c r="M171" i="26"/>
  <c r="F171" i="26"/>
  <c r="M170" i="26"/>
  <c r="F170" i="26"/>
  <c r="O169" i="26"/>
  <c r="A168" i="26"/>
  <c r="O167" i="26"/>
  <c r="O165" i="26"/>
  <c r="A164" i="26"/>
  <c r="O163" i="26"/>
  <c r="O161" i="26"/>
  <c r="A160" i="26"/>
  <c r="K148" i="26"/>
  <c r="J148" i="26"/>
  <c r="I148" i="26"/>
  <c r="D148" i="26"/>
  <c r="C148" i="26"/>
  <c r="B148" i="26"/>
  <c r="K147" i="26"/>
  <c r="J147" i="26"/>
  <c r="D147" i="26"/>
  <c r="C147" i="26"/>
  <c r="K146" i="26"/>
  <c r="J146" i="26"/>
  <c r="I146" i="26"/>
  <c r="D146" i="26"/>
  <c r="C146" i="26"/>
  <c r="K145" i="26"/>
  <c r="J145" i="26"/>
  <c r="D145" i="26"/>
  <c r="C145" i="26"/>
  <c r="K144" i="26"/>
  <c r="J144" i="26"/>
  <c r="D144" i="26"/>
  <c r="C144" i="26"/>
  <c r="B144" i="26"/>
  <c r="K143" i="26"/>
  <c r="J143" i="26"/>
  <c r="D143" i="26"/>
  <c r="C143" i="26"/>
  <c r="B143" i="26"/>
  <c r="M135" i="26"/>
  <c r="F135" i="26"/>
  <c r="M134" i="26"/>
  <c r="F134" i="26"/>
  <c r="M133" i="26"/>
  <c r="F133" i="26"/>
  <c r="O132" i="26"/>
  <c r="A131" i="26"/>
  <c r="O130" i="26"/>
  <c r="O128" i="26"/>
  <c r="A127" i="26"/>
  <c r="O126" i="26"/>
  <c r="A125" i="26"/>
  <c r="O124" i="26"/>
  <c r="A123" i="26"/>
  <c r="K111" i="26"/>
  <c r="J111" i="26"/>
  <c r="I111" i="26"/>
  <c r="D111" i="26"/>
  <c r="C111" i="26"/>
  <c r="B111" i="26"/>
  <c r="K110" i="26"/>
  <c r="J110" i="26"/>
  <c r="D110" i="26"/>
  <c r="C110" i="26"/>
  <c r="K109" i="26"/>
  <c r="J109" i="26"/>
  <c r="I109" i="26"/>
  <c r="D109" i="26"/>
  <c r="C109" i="26"/>
  <c r="K108" i="26"/>
  <c r="J108" i="26"/>
  <c r="D108" i="26"/>
  <c r="C108" i="26"/>
  <c r="K107" i="26"/>
  <c r="D107" i="26"/>
  <c r="C107" i="26"/>
  <c r="B107" i="26"/>
  <c r="K106" i="26"/>
  <c r="D106" i="26"/>
  <c r="C106" i="26"/>
  <c r="B106" i="26"/>
  <c r="M98" i="26"/>
  <c r="F98" i="26"/>
  <c r="M97" i="26"/>
  <c r="F97" i="26"/>
  <c r="M96" i="26"/>
  <c r="F96" i="26"/>
  <c r="O95" i="26"/>
  <c r="A94" i="26"/>
  <c r="O93" i="26"/>
  <c r="O91" i="26"/>
  <c r="A90" i="26"/>
  <c r="O89" i="26"/>
  <c r="A88" i="26"/>
  <c r="O87" i="26"/>
  <c r="A86" i="26"/>
  <c r="K74" i="26"/>
  <c r="J74" i="26"/>
  <c r="I74" i="26"/>
  <c r="D74" i="26"/>
  <c r="C74" i="26"/>
  <c r="B74" i="26"/>
  <c r="K73" i="26"/>
  <c r="J73" i="26"/>
  <c r="D73" i="26"/>
  <c r="C73" i="26"/>
  <c r="K72" i="26"/>
  <c r="J72" i="26"/>
  <c r="I72" i="26"/>
  <c r="D72" i="26"/>
  <c r="C72" i="26"/>
  <c r="K71" i="26"/>
  <c r="J71" i="26"/>
  <c r="D71" i="26"/>
  <c r="C71" i="26"/>
  <c r="K70" i="26"/>
  <c r="J70" i="26"/>
  <c r="D70" i="26"/>
  <c r="C70" i="26"/>
  <c r="K69" i="26"/>
  <c r="J69" i="26"/>
  <c r="I69" i="26"/>
  <c r="D69" i="26"/>
  <c r="C69" i="26"/>
  <c r="B69" i="26"/>
  <c r="M61" i="26"/>
  <c r="F61" i="26"/>
  <c r="M60" i="26"/>
  <c r="F60" i="26"/>
  <c r="M59" i="26"/>
  <c r="F59" i="26"/>
  <c r="O58" i="26"/>
  <c r="O56" i="26"/>
  <c r="A55" i="26"/>
  <c r="O54" i="26"/>
  <c r="O52" i="26"/>
  <c r="A51" i="26"/>
  <c r="O50" i="26"/>
  <c r="A49" i="26"/>
  <c r="K37" i="26"/>
  <c r="J37" i="26"/>
  <c r="I37" i="26"/>
  <c r="D37" i="26"/>
  <c r="C37" i="26"/>
  <c r="B37" i="26"/>
  <c r="K36" i="26"/>
  <c r="D36" i="26"/>
  <c r="K35" i="26"/>
  <c r="I35" i="26"/>
  <c r="D35" i="26"/>
  <c r="K34" i="26"/>
  <c r="D34" i="26"/>
  <c r="K33" i="26"/>
  <c r="D33" i="26"/>
  <c r="K32" i="26"/>
  <c r="J32" i="26"/>
  <c r="I32" i="26"/>
  <c r="D32" i="26"/>
  <c r="M24" i="26"/>
  <c r="F24" i="26"/>
  <c r="F23" i="26"/>
  <c r="M22" i="26"/>
  <c r="F22" i="26"/>
  <c r="O21" i="26"/>
  <c r="O19" i="26"/>
  <c r="O17" i="26"/>
  <c r="O15" i="26"/>
  <c r="A14" i="26"/>
  <c r="O13" i="26"/>
  <c r="Q3629" i="27"/>
  <c r="K3628" i="27"/>
  <c r="J3628" i="27"/>
  <c r="I3628" i="27"/>
  <c r="K3627" i="27"/>
  <c r="K3626" i="27"/>
  <c r="K3625" i="27"/>
  <c r="I3625" i="27"/>
  <c r="K3624" i="27"/>
  <c r="I3624" i="27"/>
  <c r="K3623" i="27"/>
  <c r="I3623" i="27"/>
  <c r="M3615" i="27"/>
  <c r="M3613" i="27"/>
  <c r="O3612" i="27"/>
  <c r="O3610" i="27"/>
  <c r="O3608" i="27"/>
  <c r="K3595" i="27"/>
  <c r="J3595" i="27"/>
  <c r="I3595" i="27"/>
  <c r="K3594" i="27"/>
  <c r="J3594" i="27"/>
  <c r="K3593" i="27"/>
  <c r="J3593" i="27"/>
  <c r="K3592" i="27"/>
  <c r="J3592" i="27"/>
  <c r="K3591" i="27"/>
  <c r="J3591" i="27"/>
  <c r="I3591" i="27"/>
  <c r="K3590" i="27"/>
  <c r="J3590" i="27"/>
  <c r="I3590" i="27"/>
  <c r="M3582" i="27"/>
  <c r="M3581" i="27"/>
  <c r="M3580" i="27"/>
  <c r="O3579" i="27"/>
  <c r="O3563" i="27"/>
  <c r="O3561" i="27"/>
  <c r="K3547" i="27"/>
  <c r="J3547" i="27"/>
  <c r="I3547" i="27"/>
  <c r="K3546" i="27"/>
  <c r="J3546" i="27"/>
  <c r="K3545" i="27"/>
  <c r="J3545" i="27"/>
  <c r="K3544" i="27"/>
  <c r="J3544" i="27"/>
  <c r="K3543" i="27"/>
  <c r="J3543" i="27"/>
  <c r="I3543" i="27"/>
  <c r="K3542" i="27"/>
  <c r="J3542" i="27"/>
  <c r="I3542" i="27"/>
  <c r="M3534" i="27"/>
  <c r="M3533" i="27"/>
  <c r="M3532" i="27"/>
  <c r="O3531" i="27"/>
  <c r="O3523" i="27"/>
  <c r="O3521" i="27"/>
  <c r="K3507" i="27"/>
  <c r="J3507" i="27"/>
  <c r="I3507" i="27"/>
  <c r="K3506" i="27"/>
  <c r="J3506" i="27"/>
  <c r="K3505" i="27"/>
  <c r="J3505" i="27"/>
  <c r="I3505" i="27"/>
  <c r="K3504" i="27"/>
  <c r="J3504" i="27"/>
  <c r="K3503" i="27"/>
  <c r="J3503" i="27"/>
  <c r="K3502" i="27"/>
  <c r="J3502" i="27"/>
  <c r="M3494" i="27"/>
  <c r="M3493" i="27"/>
  <c r="M3492" i="27"/>
  <c r="O3491" i="27"/>
  <c r="O3489" i="27"/>
  <c r="O3487" i="27"/>
  <c r="O3485" i="27"/>
  <c r="K3472" i="27"/>
  <c r="J3472" i="27"/>
  <c r="I3472" i="27"/>
  <c r="K3471" i="27"/>
  <c r="J3471" i="27"/>
  <c r="K3470" i="27"/>
  <c r="J3470" i="27"/>
  <c r="K3469" i="27"/>
  <c r="J3469" i="27"/>
  <c r="K3468" i="27"/>
  <c r="J3468" i="27"/>
  <c r="I3468" i="27"/>
  <c r="K3467" i="27"/>
  <c r="J3467" i="27"/>
  <c r="I3467" i="27"/>
  <c r="M3459" i="27"/>
  <c r="M3458" i="27"/>
  <c r="M3457" i="27"/>
  <c r="O3456" i="27"/>
  <c r="O3454" i="27"/>
  <c r="O3452" i="27"/>
  <c r="O3450" i="27"/>
  <c r="O3448" i="27"/>
  <c r="O3446" i="27"/>
  <c r="K3432" i="27"/>
  <c r="J3432" i="27"/>
  <c r="I3432" i="27"/>
  <c r="K3431" i="27"/>
  <c r="J3431" i="27"/>
  <c r="K3430" i="27"/>
  <c r="J3430" i="27"/>
  <c r="I3430" i="27"/>
  <c r="K3429" i="27"/>
  <c r="J3429" i="27"/>
  <c r="K3428" i="27"/>
  <c r="J3428" i="27"/>
  <c r="K3427" i="27"/>
  <c r="J3427" i="27"/>
  <c r="I3427" i="27"/>
  <c r="M3419" i="27"/>
  <c r="M3418" i="27"/>
  <c r="M3417" i="27"/>
  <c r="O3416" i="27"/>
  <c r="O3414" i="27"/>
  <c r="O3412" i="27"/>
  <c r="O3410" i="27"/>
  <c r="K3396" i="27"/>
  <c r="J3396" i="27"/>
  <c r="I3396" i="27"/>
  <c r="K3395" i="27"/>
  <c r="J3395" i="27"/>
  <c r="K3394" i="27"/>
  <c r="J3394" i="27"/>
  <c r="I3394" i="27"/>
  <c r="K3393" i="27"/>
  <c r="J3393" i="27"/>
  <c r="K3392" i="27"/>
  <c r="J3392" i="27"/>
  <c r="K3391" i="27"/>
  <c r="J3391" i="27"/>
  <c r="I3391" i="27"/>
  <c r="M3383" i="27"/>
  <c r="M3382" i="27"/>
  <c r="M3381" i="27"/>
  <c r="O3380" i="27"/>
  <c r="O3376" i="27"/>
  <c r="O3374" i="27"/>
  <c r="K3361" i="27"/>
  <c r="J3361" i="27"/>
  <c r="I3361" i="27"/>
  <c r="K3360" i="27"/>
  <c r="J3360" i="27"/>
  <c r="K3359" i="27"/>
  <c r="J3359" i="27"/>
  <c r="K3358" i="27"/>
  <c r="J3358" i="27"/>
  <c r="I3358" i="27"/>
  <c r="K3357" i="27"/>
  <c r="J3357" i="27"/>
  <c r="K3356" i="27"/>
  <c r="J3356" i="27"/>
  <c r="I3356" i="27"/>
  <c r="M3348" i="27"/>
  <c r="M3347" i="27"/>
  <c r="M3346" i="27"/>
  <c r="O3345" i="27"/>
  <c r="H3344" i="27"/>
  <c r="O3343" i="27"/>
  <c r="H3342" i="27"/>
  <c r="O3341" i="27"/>
  <c r="H3340" i="27"/>
  <c r="O3339" i="27"/>
  <c r="H3338" i="27"/>
  <c r="O3337" i="27"/>
  <c r="H3336" i="27"/>
  <c r="O3335" i="27"/>
  <c r="K3322" i="27"/>
  <c r="J3322" i="27"/>
  <c r="I3322" i="27"/>
  <c r="K3321" i="27"/>
  <c r="J3321" i="27"/>
  <c r="K3320" i="27"/>
  <c r="J3320" i="27"/>
  <c r="K3319" i="27"/>
  <c r="J3319" i="27"/>
  <c r="K3318" i="27"/>
  <c r="J3318" i="27"/>
  <c r="I3318" i="27"/>
  <c r="K3317" i="27"/>
  <c r="J3317" i="27"/>
  <c r="I3317" i="27"/>
  <c r="M3309" i="27"/>
  <c r="O3308" i="27"/>
  <c r="M3308" i="27"/>
  <c r="M3307" i="27"/>
  <c r="O3306" i="27"/>
  <c r="H3305" i="27"/>
  <c r="O3304" i="27"/>
  <c r="H3303" i="27"/>
  <c r="O3302" i="27"/>
  <c r="H3301" i="27"/>
  <c r="O3300" i="27"/>
  <c r="K3286" i="27"/>
  <c r="J3286" i="27"/>
  <c r="I3286" i="27"/>
  <c r="K3285" i="27"/>
  <c r="J3285" i="27"/>
  <c r="K3284" i="27"/>
  <c r="J3284" i="27"/>
  <c r="K3283" i="27"/>
  <c r="J3283" i="27"/>
  <c r="K3282" i="27"/>
  <c r="J3282" i="27"/>
  <c r="K3281" i="27"/>
  <c r="J3281" i="27"/>
  <c r="I3281" i="27"/>
  <c r="M3273" i="27"/>
  <c r="O3272" i="27"/>
  <c r="M3272" i="27"/>
  <c r="M3271" i="27"/>
  <c r="O3270" i="27"/>
  <c r="O3268" i="27"/>
  <c r="H3267" i="27"/>
  <c r="H3265" i="27"/>
  <c r="O3264" i="27"/>
  <c r="K3251" i="27"/>
  <c r="J3251" i="27"/>
  <c r="I3251" i="27"/>
  <c r="K3250" i="27"/>
  <c r="J3250" i="27"/>
  <c r="K3249" i="27"/>
  <c r="J3249" i="27"/>
  <c r="K3248" i="27"/>
  <c r="J3248" i="27"/>
  <c r="K3247" i="27"/>
  <c r="J3247" i="27"/>
  <c r="K3246" i="27"/>
  <c r="J3246" i="27"/>
  <c r="I3246" i="27"/>
  <c r="M3238" i="27"/>
  <c r="O3237" i="27"/>
  <c r="M3237" i="27"/>
  <c r="M3236" i="27"/>
  <c r="O3235" i="27"/>
  <c r="O3233" i="27"/>
  <c r="H3232" i="27"/>
  <c r="O3231" i="27"/>
  <c r="H3230" i="27"/>
  <c r="O3229" i="27"/>
  <c r="K3216" i="27"/>
  <c r="J3216" i="27"/>
  <c r="I3216" i="27"/>
  <c r="K3215" i="27"/>
  <c r="J3215" i="27"/>
  <c r="K3214" i="27"/>
  <c r="J3214" i="27"/>
  <c r="I3214" i="27"/>
  <c r="K3213" i="27"/>
  <c r="J3213" i="27"/>
  <c r="K3212" i="27"/>
  <c r="J3212" i="27"/>
  <c r="I3212" i="27"/>
  <c r="K3211" i="27"/>
  <c r="J3211" i="27"/>
  <c r="I3211" i="27"/>
  <c r="M3203" i="27"/>
  <c r="O3202" i="27"/>
  <c r="M3202" i="27"/>
  <c r="M3201" i="27"/>
  <c r="O3200" i="27"/>
  <c r="O3198" i="27"/>
  <c r="O3196" i="27"/>
  <c r="O3194" i="27"/>
  <c r="O3192" i="27"/>
  <c r="O3190" i="27"/>
  <c r="K3177" i="27"/>
  <c r="J3177" i="27"/>
  <c r="I3177" i="27"/>
  <c r="K3176" i="27"/>
  <c r="J3176" i="27"/>
  <c r="K3175" i="27"/>
  <c r="J3175" i="27"/>
  <c r="I3175" i="27"/>
  <c r="K3174" i="27"/>
  <c r="J3174" i="27"/>
  <c r="K3173" i="27"/>
  <c r="J3173" i="27"/>
  <c r="I3173" i="27"/>
  <c r="K3172" i="27"/>
  <c r="J3172" i="27"/>
  <c r="I3172" i="27"/>
  <c r="M3164" i="27"/>
  <c r="O3163" i="27"/>
  <c r="M3163" i="27"/>
  <c r="M3162" i="27"/>
  <c r="O3161" i="27"/>
  <c r="O3159" i="27"/>
  <c r="O3157" i="27"/>
  <c r="O3155" i="27"/>
  <c r="O3153" i="27"/>
  <c r="K3140" i="27"/>
  <c r="J3140" i="27"/>
  <c r="I3140" i="27"/>
  <c r="K3139" i="27"/>
  <c r="J3139" i="27"/>
  <c r="K3138" i="27"/>
  <c r="J3138" i="27"/>
  <c r="I3138" i="27"/>
  <c r="K3137" i="27"/>
  <c r="J3137" i="27"/>
  <c r="K3136" i="27"/>
  <c r="J3136" i="27"/>
  <c r="K3135" i="27"/>
  <c r="J3135" i="27"/>
  <c r="I3135" i="27"/>
  <c r="M3127" i="27"/>
  <c r="O3126" i="27"/>
  <c r="M3126" i="27"/>
  <c r="M3125" i="27"/>
  <c r="O3124" i="27"/>
  <c r="O3120" i="27"/>
  <c r="O3118" i="27"/>
  <c r="O3116" i="27"/>
  <c r="K3103" i="27"/>
  <c r="J3103" i="27"/>
  <c r="I3103" i="27"/>
  <c r="K3102" i="27"/>
  <c r="J3102" i="27"/>
  <c r="K3101" i="27"/>
  <c r="J3101" i="27"/>
  <c r="I3101" i="27"/>
  <c r="K3100" i="27"/>
  <c r="J3100" i="27"/>
  <c r="K3099" i="27"/>
  <c r="J3099" i="27"/>
  <c r="K3098" i="27"/>
  <c r="J3098" i="27"/>
  <c r="I3098" i="27"/>
  <c r="M3090" i="27"/>
  <c r="O3089" i="27"/>
  <c r="M3089" i="27"/>
  <c r="M3088" i="27"/>
  <c r="O3087" i="27"/>
  <c r="O3085" i="27"/>
  <c r="O3083" i="27"/>
  <c r="O3081" i="27"/>
  <c r="O3079" i="27"/>
  <c r="K3066" i="27"/>
  <c r="J3066" i="27"/>
  <c r="I3066" i="27"/>
  <c r="K3065" i="27"/>
  <c r="J3065" i="27"/>
  <c r="K3064" i="27"/>
  <c r="J3064" i="27"/>
  <c r="K3063" i="27"/>
  <c r="J3063" i="27"/>
  <c r="K3062" i="27"/>
  <c r="J3062" i="27"/>
  <c r="I3062" i="27"/>
  <c r="K3061" i="27"/>
  <c r="J3061" i="27"/>
  <c r="I3061" i="27"/>
  <c r="M3053" i="27"/>
  <c r="O3052" i="27"/>
  <c r="M3052" i="27"/>
  <c r="M3051" i="27"/>
  <c r="O3050" i="27"/>
  <c r="O3048" i="27"/>
  <c r="O3046" i="27"/>
  <c r="O3044" i="27"/>
  <c r="O3042" i="27"/>
  <c r="K3029" i="27"/>
  <c r="J3029" i="27"/>
  <c r="I3029" i="27"/>
  <c r="K3028" i="27"/>
  <c r="J3028" i="27"/>
  <c r="K3027" i="27"/>
  <c r="J3027" i="27"/>
  <c r="K3026" i="27"/>
  <c r="J3026" i="27"/>
  <c r="K3025" i="27"/>
  <c r="J3025" i="27"/>
  <c r="I3025" i="27"/>
  <c r="K3024" i="27"/>
  <c r="J3024" i="27"/>
  <c r="I3024" i="27"/>
  <c r="M3016" i="27"/>
  <c r="O3015" i="27"/>
  <c r="M3015" i="27"/>
  <c r="M3014" i="27"/>
  <c r="O3013" i="27"/>
  <c r="O3011" i="27"/>
  <c r="O3009" i="27"/>
  <c r="O3007" i="27"/>
  <c r="O3005" i="27"/>
  <c r="K2992" i="27"/>
  <c r="J2992" i="27"/>
  <c r="I2992" i="27"/>
  <c r="K2991" i="27"/>
  <c r="J2991" i="27"/>
  <c r="K2990" i="27"/>
  <c r="J2990" i="27"/>
  <c r="K2989" i="27"/>
  <c r="J2989" i="27"/>
  <c r="K2988" i="27"/>
  <c r="J2988" i="27"/>
  <c r="I2988" i="27"/>
  <c r="K2987" i="27"/>
  <c r="J2987" i="27"/>
  <c r="I2987" i="27"/>
  <c r="M2979" i="27"/>
  <c r="O2978" i="27"/>
  <c r="M2978" i="27"/>
  <c r="M2977" i="27"/>
  <c r="O2976" i="27"/>
  <c r="O2974" i="27"/>
  <c r="O2972" i="27"/>
  <c r="O2970" i="27"/>
  <c r="O2968" i="27"/>
  <c r="K2955" i="27"/>
  <c r="J2955" i="27"/>
  <c r="I2955" i="27"/>
  <c r="K2954" i="27"/>
  <c r="J2954" i="27"/>
  <c r="K2953" i="27"/>
  <c r="J2953" i="27"/>
  <c r="K2952" i="27"/>
  <c r="J2952" i="27"/>
  <c r="K2951" i="27"/>
  <c r="J2951" i="27"/>
  <c r="I2951" i="27"/>
  <c r="K2950" i="27"/>
  <c r="J2950" i="27"/>
  <c r="I2950" i="27"/>
  <c r="M2942" i="27"/>
  <c r="O2941" i="27"/>
  <c r="M2941" i="27"/>
  <c r="M2940" i="27"/>
  <c r="O2939" i="27"/>
  <c r="O2937" i="27"/>
  <c r="O2935" i="27"/>
  <c r="O2933" i="27"/>
  <c r="O2931" i="27"/>
  <c r="K2918" i="27"/>
  <c r="J2918" i="27"/>
  <c r="I2918" i="27"/>
  <c r="K2917" i="27"/>
  <c r="J2917" i="27"/>
  <c r="K2916" i="27"/>
  <c r="J2916" i="27"/>
  <c r="K2915" i="27"/>
  <c r="J2915" i="27"/>
  <c r="I2915" i="27"/>
  <c r="K2914" i="27"/>
  <c r="J2914" i="27"/>
  <c r="I2914" i="27"/>
  <c r="K2913" i="27"/>
  <c r="J2913" i="27"/>
  <c r="M2905" i="27"/>
  <c r="M2904" i="27"/>
  <c r="M2903" i="27"/>
  <c r="O2902" i="27"/>
  <c r="O2900" i="27"/>
  <c r="O2898" i="27"/>
  <c r="O2896" i="27"/>
  <c r="O2894" i="27"/>
  <c r="K2881" i="27"/>
  <c r="J2881" i="27"/>
  <c r="I2881" i="27"/>
  <c r="K2880" i="27"/>
  <c r="J2880" i="27"/>
  <c r="K2879" i="27"/>
  <c r="J2879" i="27"/>
  <c r="K2878" i="27"/>
  <c r="J2878" i="27"/>
  <c r="I2878" i="27"/>
  <c r="K2877" i="27"/>
  <c r="J2877" i="27"/>
  <c r="I2877" i="27"/>
  <c r="K2876" i="27"/>
  <c r="J2876" i="27"/>
  <c r="M2868" i="27"/>
  <c r="M2867" i="27"/>
  <c r="M2866" i="27"/>
  <c r="O2865" i="27"/>
  <c r="O2863" i="27"/>
  <c r="O2861" i="27"/>
  <c r="O2859" i="27"/>
  <c r="O2857" i="27"/>
  <c r="O2855" i="27"/>
  <c r="K2842" i="27"/>
  <c r="J2842" i="27"/>
  <c r="I2842" i="27"/>
  <c r="K2841" i="27"/>
  <c r="J2841" i="27"/>
  <c r="K2840" i="27"/>
  <c r="J2840" i="27"/>
  <c r="K2839" i="27"/>
  <c r="J2839" i="27"/>
  <c r="I2839" i="27"/>
  <c r="K2838" i="27"/>
  <c r="J2838" i="27"/>
  <c r="I2838" i="27"/>
  <c r="K2837" i="27"/>
  <c r="J2837" i="27"/>
  <c r="M2829" i="27"/>
  <c r="M2828" i="27"/>
  <c r="M2827" i="27"/>
  <c r="O2826" i="27"/>
  <c r="O2824" i="27"/>
  <c r="O2822" i="27"/>
  <c r="O2820" i="27"/>
  <c r="O2818" i="27"/>
  <c r="O2816" i="27"/>
  <c r="K2803" i="27"/>
  <c r="J2803" i="27"/>
  <c r="I2803" i="27"/>
  <c r="K2802" i="27"/>
  <c r="J2802" i="27"/>
  <c r="K2801" i="27"/>
  <c r="J2801" i="27"/>
  <c r="K2800" i="27"/>
  <c r="J2800" i="27"/>
  <c r="K2799" i="27"/>
  <c r="J2799" i="27"/>
  <c r="I2799" i="27"/>
  <c r="K2798" i="27"/>
  <c r="J2798" i="27"/>
  <c r="I2798" i="27"/>
  <c r="M2790" i="27"/>
  <c r="O2789" i="27"/>
  <c r="M2789" i="27"/>
  <c r="M2788" i="27"/>
  <c r="O2787" i="27"/>
  <c r="O2785" i="27"/>
  <c r="O2783" i="27"/>
  <c r="O2781" i="27"/>
  <c r="O2779" i="27"/>
  <c r="K2766" i="27"/>
  <c r="J2766" i="27"/>
  <c r="I2766" i="27"/>
  <c r="K2765" i="27"/>
  <c r="J2765" i="27"/>
  <c r="K2764" i="27"/>
  <c r="J2764" i="27"/>
  <c r="K2763" i="27"/>
  <c r="J2763" i="27"/>
  <c r="K2762" i="27"/>
  <c r="J2762" i="27"/>
  <c r="I2762" i="27"/>
  <c r="K2761" i="27"/>
  <c r="J2761" i="27"/>
  <c r="I2761" i="27"/>
  <c r="M2753" i="27"/>
  <c r="M2752" i="27"/>
  <c r="M2751" i="27"/>
  <c r="O2750" i="27"/>
  <c r="O2748" i="27"/>
  <c r="O2746" i="27"/>
  <c r="O2744" i="27"/>
  <c r="O2742" i="27"/>
  <c r="K2729" i="27"/>
  <c r="J2729" i="27"/>
  <c r="I2729" i="27"/>
  <c r="K2728" i="27"/>
  <c r="J2728" i="27"/>
  <c r="K2727" i="27"/>
  <c r="J2727" i="27"/>
  <c r="K2726" i="27"/>
  <c r="J2726" i="27"/>
  <c r="K2725" i="27"/>
  <c r="J2725" i="27"/>
  <c r="I2725" i="27"/>
  <c r="K2724" i="27"/>
  <c r="J2724" i="27"/>
  <c r="I2724" i="27"/>
  <c r="M2716" i="27"/>
  <c r="O2715" i="27"/>
  <c r="M2715" i="27"/>
  <c r="M2714" i="27"/>
  <c r="O2713" i="27"/>
  <c r="O2711" i="27"/>
  <c r="O2709" i="27"/>
  <c r="O2707" i="27"/>
  <c r="O2705" i="27"/>
  <c r="K2692" i="27"/>
  <c r="J2692" i="27"/>
  <c r="I2692" i="27"/>
  <c r="K2691" i="27"/>
  <c r="J2691" i="27"/>
  <c r="K2690" i="27"/>
  <c r="J2690" i="27"/>
  <c r="K2689" i="27"/>
  <c r="J2689" i="27"/>
  <c r="K2688" i="27"/>
  <c r="J2688" i="27"/>
  <c r="I2688" i="27"/>
  <c r="K2687" i="27"/>
  <c r="J2687" i="27"/>
  <c r="I2687" i="27"/>
  <c r="M2679" i="27"/>
  <c r="M2678" i="27"/>
  <c r="M2677" i="27"/>
  <c r="O2676" i="27"/>
  <c r="O2674" i="27"/>
  <c r="O2672" i="27"/>
  <c r="O2670" i="27"/>
  <c r="O2668" i="27"/>
  <c r="K2655" i="27"/>
  <c r="J2655" i="27"/>
  <c r="I2655" i="27"/>
  <c r="K2654" i="27"/>
  <c r="J2654" i="27"/>
  <c r="K2653" i="27"/>
  <c r="J2653" i="27"/>
  <c r="K2652" i="27"/>
  <c r="J2652" i="27"/>
  <c r="K2651" i="27"/>
  <c r="J2651" i="27"/>
  <c r="I2651" i="27"/>
  <c r="K2650" i="27"/>
  <c r="J2650" i="27"/>
  <c r="I2650" i="27"/>
  <c r="M2642" i="27"/>
  <c r="M2641" i="27"/>
  <c r="M2640" i="27"/>
  <c r="O2639" i="27"/>
  <c r="O2637" i="27"/>
  <c r="O2635" i="27"/>
  <c r="O2633" i="27"/>
  <c r="O2631" i="27"/>
  <c r="O2629" i="27"/>
  <c r="K2616" i="27"/>
  <c r="J2616" i="27"/>
  <c r="I2616" i="27"/>
  <c r="K2615" i="27"/>
  <c r="J2615" i="27"/>
  <c r="K2614" i="27"/>
  <c r="J2614" i="27"/>
  <c r="K2613" i="27"/>
  <c r="J2613" i="27"/>
  <c r="K2612" i="27"/>
  <c r="J2612" i="27"/>
  <c r="K2611" i="27"/>
  <c r="J2611" i="27"/>
  <c r="I2611" i="27"/>
  <c r="M2603" i="27"/>
  <c r="M2602" i="27"/>
  <c r="M2601" i="27"/>
  <c r="O2600" i="27"/>
  <c r="O2598" i="27"/>
  <c r="O2596" i="27"/>
  <c r="O2594" i="27"/>
  <c r="O2592" i="27"/>
  <c r="K2579" i="27"/>
  <c r="J2579" i="27"/>
  <c r="I2579" i="27"/>
  <c r="K2578" i="27"/>
  <c r="J2578" i="27"/>
  <c r="K2577" i="27"/>
  <c r="J2577" i="27"/>
  <c r="K2576" i="27"/>
  <c r="J2576" i="27"/>
  <c r="K2575" i="27"/>
  <c r="J2575" i="27"/>
  <c r="I2575" i="27"/>
  <c r="K2574" i="27"/>
  <c r="J2574" i="27"/>
  <c r="I2574" i="27"/>
  <c r="M2566" i="27"/>
  <c r="O2565" i="27"/>
  <c r="M2565" i="27"/>
  <c r="M2564" i="27"/>
  <c r="O2563" i="27"/>
  <c r="O2561" i="27"/>
  <c r="O2559" i="27"/>
  <c r="O2557" i="27"/>
  <c r="O2555" i="27"/>
  <c r="K2542" i="27"/>
  <c r="J2542" i="27"/>
  <c r="I2542" i="27"/>
  <c r="K2541" i="27"/>
  <c r="J2541" i="27"/>
  <c r="I2541" i="27"/>
  <c r="K2540" i="27"/>
  <c r="J2540" i="27"/>
  <c r="K2539" i="27"/>
  <c r="J2539" i="27"/>
  <c r="K2538" i="27"/>
  <c r="J2538" i="27"/>
  <c r="I2538" i="27"/>
  <c r="K2537" i="27"/>
  <c r="J2537" i="27"/>
  <c r="M2529" i="27"/>
  <c r="M2528" i="27"/>
  <c r="M2527" i="27"/>
  <c r="O2526" i="27"/>
  <c r="O2524" i="27"/>
  <c r="O2522" i="27"/>
  <c r="O2520" i="27"/>
  <c r="O2518" i="27"/>
  <c r="K2505" i="27"/>
  <c r="J2505" i="27"/>
  <c r="I2505" i="27"/>
  <c r="K2504" i="27"/>
  <c r="J2504" i="27"/>
  <c r="I2504" i="27"/>
  <c r="K2503" i="27"/>
  <c r="J2503" i="27"/>
  <c r="K2502" i="27"/>
  <c r="J2502" i="27"/>
  <c r="K2501" i="27"/>
  <c r="J2501" i="27"/>
  <c r="K2500" i="27"/>
  <c r="J2500" i="27"/>
  <c r="M2492" i="27"/>
  <c r="M2491" i="27"/>
  <c r="M2490" i="27"/>
  <c r="O2489" i="27"/>
  <c r="O2487" i="27"/>
  <c r="M2486" i="27"/>
  <c r="O2485" i="27"/>
  <c r="O2483" i="27"/>
  <c r="O2481" i="27"/>
  <c r="O2479" i="27"/>
  <c r="K2466" i="27"/>
  <c r="J2466" i="27"/>
  <c r="I2466" i="27"/>
  <c r="K2465" i="27"/>
  <c r="J2465" i="27"/>
  <c r="K2464" i="27"/>
  <c r="J2464" i="27"/>
  <c r="K2463" i="27"/>
  <c r="J2463" i="27"/>
  <c r="K2462" i="27"/>
  <c r="J2462" i="27"/>
  <c r="I2462" i="27"/>
  <c r="K2461" i="27"/>
  <c r="J2461" i="27"/>
  <c r="I2461" i="27"/>
  <c r="M2453" i="27"/>
  <c r="O2452" i="27"/>
  <c r="M2452" i="27"/>
  <c r="M2451" i="27"/>
  <c r="O2450" i="27"/>
  <c r="O2448" i="27"/>
  <c r="O2446" i="27"/>
  <c r="O2444" i="27"/>
  <c r="O2442" i="27"/>
  <c r="K2429" i="27"/>
  <c r="J2429" i="27"/>
  <c r="I2429" i="27"/>
  <c r="K2428" i="27"/>
  <c r="J2428" i="27"/>
  <c r="K2427" i="27"/>
  <c r="J2427" i="27"/>
  <c r="K2426" i="27"/>
  <c r="J2426" i="27"/>
  <c r="K2425" i="27"/>
  <c r="J2425" i="27"/>
  <c r="I2425" i="27"/>
  <c r="K2424" i="27"/>
  <c r="J2424" i="27"/>
  <c r="I2424" i="27"/>
  <c r="M2416" i="27"/>
  <c r="O2415" i="27"/>
  <c r="M2415" i="27"/>
  <c r="M2414" i="27"/>
  <c r="O2413" i="27"/>
  <c r="O2411" i="27"/>
  <c r="O2409" i="27"/>
  <c r="O2407" i="27"/>
  <c r="O2405" i="27"/>
  <c r="K2392" i="27"/>
  <c r="J2392" i="27"/>
  <c r="I2392" i="27"/>
  <c r="K2391" i="27"/>
  <c r="J2391" i="27"/>
  <c r="K2390" i="27"/>
  <c r="J2390" i="27"/>
  <c r="K2389" i="27"/>
  <c r="J2389" i="27"/>
  <c r="I2389" i="27"/>
  <c r="K2388" i="27"/>
  <c r="J2388" i="27"/>
  <c r="I2388" i="27"/>
  <c r="K2387" i="27"/>
  <c r="J2387" i="27"/>
  <c r="M2379" i="27"/>
  <c r="M2378" i="27"/>
  <c r="M2377" i="27"/>
  <c r="O2376" i="27"/>
  <c r="O2374" i="27"/>
  <c r="O2372" i="27"/>
  <c r="O2370" i="27"/>
  <c r="O2368" i="27"/>
  <c r="K2355" i="27"/>
  <c r="J2355" i="27"/>
  <c r="I2355" i="27"/>
  <c r="K2354" i="27"/>
  <c r="J2354" i="27"/>
  <c r="K2353" i="27"/>
  <c r="J2353" i="27"/>
  <c r="K2352" i="27"/>
  <c r="J2352" i="27"/>
  <c r="K2351" i="27"/>
  <c r="J2351" i="27"/>
  <c r="I2351" i="27"/>
  <c r="K2350" i="27"/>
  <c r="J2350" i="27"/>
  <c r="I2350" i="27"/>
  <c r="M2342" i="27"/>
  <c r="O2341" i="27"/>
  <c r="M2341" i="27"/>
  <c r="M2340" i="27"/>
  <c r="O2339" i="27"/>
  <c r="O2337" i="27"/>
  <c r="O2335" i="27"/>
  <c r="O2333" i="27"/>
  <c r="O2331" i="27"/>
  <c r="K2318" i="27"/>
  <c r="J2318" i="27"/>
  <c r="I2318" i="27"/>
  <c r="K2317" i="27"/>
  <c r="J2317" i="27"/>
  <c r="K2316" i="27"/>
  <c r="J2316" i="27"/>
  <c r="K2315" i="27"/>
  <c r="J2315" i="27"/>
  <c r="K2314" i="27"/>
  <c r="J2314" i="27"/>
  <c r="I2314" i="27"/>
  <c r="K2313" i="27"/>
  <c r="J2313" i="27"/>
  <c r="I2313" i="27"/>
  <c r="M2305" i="27"/>
  <c r="O2304" i="27"/>
  <c r="M2304" i="27"/>
  <c r="M2303" i="27"/>
  <c r="O2302" i="27"/>
  <c r="O2300" i="27"/>
  <c r="O2298" i="27"/>
  <c r="O2295" i="27"/>
  <c r="O2294" i="27"/>
  <c r="K2281" i="27"/>
  <c r="J2281" i="27"/>
  <c r="I2281" i="27"/>
  <c r="K2280" i="27"/>
  <c r="J2280" i="27"/>
  <c r="K2279" i="27"/>
  <c r="J2279" i="27"/>
  <c r="I2279" i="27"/>
  <c r="K2278" i="27"/>
  <c r="J2278" i="27"/>
  <c r="K2277" i="27"/>
  <c r="J2277" i="27"/>
  <c r="I2277" i="27"/>
  <c r="K2276" i="27"/>
  <c r="J2276" i="27"/>
  <c r="I2276" i="27"/>
  <c r="M2268" i="27"/>
  <c r="O2267" i="27"/>
  <c r="M2267" i="27"/>
  <c r="M2266" i="27"/>
  <c r="O2265" i="27"/>
  <c r="O2263" i="27"/>
  <c r="O2261" i="27"/>
  <c r="O2258" i="27"/>
  <c r="O2256" i="27"/>
  <c r="K2244" i="27"/>
  <c r="J2244" i="27"/>
  <c r="I2244" i="27"/>
  <c r="K2243" i="27"/>
  <c r="J2243" i="27"/>
  <c r="K2242" i="27"/>
  <c r="J2242" i="27"/>
  <c r="I2242" i="27"/>
  <c r="K2241" i="27"/>
  <c r="J2241" i="27"/>
  <c r="K2240" i="27"/>
  <c r="J2240" i="27"/>
  <c r="I2240" i="27"/>
  <c r="K2239" i="27"/>
  <c r="J2239" i="27"/>
  <c r="I2239" i="27"/>
  <c r="M2231" i="27"/>
  <c r="O2230" i="27"/>
  <c r="M2230" i="27"/>
  <c r="M2229" i="27"/>
  <c r="O2228" i="27"/>
  <c r="O2226" i="27"/>
  <c r="O2224" i="27"/>
  <c r="O2221" i="27"/>
  <c r="O2219" i="27"/>
  <c r="K2207" i="27"/>
  <c r="J2207" i="27"/>
  <c r="I2207" i="27"/>
  <c r="K2206" i="27"/>
  <c r="J2206" i="27"/>
  <c r="K2205" i="27"/>
  <c r="J2205" i="27"/>
  <c r="I2205" i="27"/>
  <c r="K2204" i="27"/>
  <c r="J2204" i="27"/>
  <c r="K2203" i="27"/>
  <c r="J2203" i="27"/>
  <c r="I2203" i="27"/>
  <c r="K2202" i="27"/>
  <c r="J2202" i="27"/>
  <c r="I2202" i="27"/>
  <c r="M2194" i="27"/>
  <c r="O2193" i="27"/>
  <c r="M2193" i="27"/>
  <c r="M2192" i="27"/>
  <c r="O2191" i="27"/>
  <c r="O2189" i="27"/>
  <c r="O2187" i="27"/>
  <c r="O2185" i="27"/>
  <c r="K2168" i="27"/>
  <c r="J2168" i="27"/>
  <c r="I2168" i="27"/>
  <c r="K2167" i="27"/>
  <c r="J2167" i="27"/>
  <c r="K2166" i="27"/>
  <c r="J2166" i="27"/>
  <c r="K2165" i="27"/>
  <c r="J2165" i="27"/>
  <c r="K2164" i="27"/>
  <c r="J2164" i="27"/>
  <c r="I2164" i="27"/>
  <c r="K2163" i="27"/>
  <c r="J2163" i="27"/>
  <c r="I2163" i="27"/>
  <c r="M2155" i="27"/>
  <c r="M2154" i="27"/>
  <c r="M2153" i="27"/>
  <c r="O2152" i="27"/>
  <c r="O2150" i="27"/>
  <c r="O2148" i="27"/>
  <c r="K2131" i="27"/>
  <c r="J2131" i="27"/>
  <c r="I2131" i="27"/>
  <c r="K2130" i="27"/>
  <c r="J2130" i="27"/>
  <c r="K2129" i="27"/>
  <c r="J2129" i="27"/>
  <c r="K2128" i="27"/>
  <c r="J2128" i="27"/>
  <c r="K2127" i="27"/>
  <c r="J2127" i="27"/>
  <c r="I2127" i="27"/>
  <c r="K2126" i="27"/>
  <c r="J2126" i="27"/>
  <c r="I2126" i="27"/>
  <c r="M2118" i="27"/>
  <c r="M2117" i="27"/>
  <c r="M2116" i="27"/>
  <c r="O2115" i="27"/>
  <c r="O2113" i="27"/>
  <c r="O2111" i="27"/>
  <c r="K2094" i="27"/>
  <c r="J2094" i="27"/>
  <c r="I2094" i="27"/>
  <c r="K2093" i="27"/>
  <c r="J2093" i="27"/>
  <c r="K2092" i="27"/>
  <c r="J2092" i="27"/>
  <c r="K2091" i="27"/>
  <c r="J2091" i="27"/>
  <c r="K2090" i="27"/>
  <c r="J2090" i="27"/>
  <c r="I2090" i="27"/>
  <c r="K2089" i="27"/>
  <c r="J2089" i="27"/>
  <c r="I2089" i="27"/>
  <c r="M2081" i="27"/>
  <c r="O2080" i="27"/>
  <c r="M2080" i="27"/>
  <c r="M2079" i="27"/>
  <c r="O2078" i="27"/>
  <c r="O2076" i="27"/>
  <c r="O2074" i="27"/>
  <c r="O2072" i="27"/>
  <c r="O2070" i="27"/>
  <c r="K2057" i="27"/>
  <c r="J2057" i="27"/>
  <c r="I2057" i="27"/>
  <c r="K2056" i="27"/>
  <c r="J2056" i="27"/>
  <c r="K2055" i="27"/>
  <c r="J2055" i="27"/>
  <c r="K2054" i="27"/>
  <c r="J2054" i="27"/>
  <c r="K2053" i="27"/>
  <c r="J2053" i="27"/>
  <c r="I2053" i="27"/>
  <c r="K2052" i="27"/>
  <c r="J2052" i="27"/>
  <c r="I2052" i="27"/>
  <c r="M2044" i="27"/>
  <c r="O2043" i="27"/>
  <c r="M2043" i="27"/>
  <c r="M2042" i="27"/>
  <c r="O2041" i="27"/>
  <c r="O2039" i="27"/>
  <c r="O2037" i="27"/>
  <c r="O2035" i="27"/>
  <c r="O2033" i="27"/>
  <c r="K2020" i="27"/>
  <c r="J2020" i="27"/>
  <c r="I2020" i="27"/>
  <c r="K2019" i="27"/>
  <c r="J2019" i="27"/>
  <c r="K2018" i="27"/>
  <c r="J2018" i="27"/>
  <c r="K2017" i="27"/>
  <c r="J2017" i="27"/>
  <c r="K2016" i="27"/>
  <c r="J2016" i="27"/>
  <c r="I2016" i="27"/>
  <c r="K2015" i="27"/>
  <c r="J2015" i="27"/>
  <c r="I2015" i="27"/>
  <c r="M2007" i="27"/>
  <c r="O2006" i="27"/>
  <c r="M2006" i="27"/>
  <c r="M2005" i="27"/>
  <c r="O2004" i="27"/>
  <c r="O2002" i="27"/>
  <c r="O2000" i="27"/>
  <c r="O1998" i="27"/>
  <c r="O1996" i="27"/>
  <c r="K1983" i="27"/>
  <c r="J1983" i="27"/>
  <c r="I1983" i="27"/>
  <c r="K1982" i="27"/>
  <c r="J1982" i="27"/>
  <c r="K1981" i="27"/>
  <c r="J1981" i="27"/>
  <c r="K1980" i="27"/>
  <c r="J1980" i="27"/>
  <c r="K1979" i="27"/>
  <c r="J1979" i="27"/>
  <c r="I1979" i="27"/>
  <c r="K1978" i="27"/>
  <c r="J1978" i="27"/>
  <c r="I1978" i="27"/>
  <c r="M1970" i="27"/>
  <c r="O1969" i="27"/>
  <c r="M1969" i="27"/>
  <c r="M1968" i="27"/>
  <c r="O1967" i="27"/>
  <c r="O1965" i="27"/>
  <c r="O1963" i="27"/>
  <c r="O1961" i="27"/>
  <c r="O1959" i="27"/>
  <c r="K1946" i="27"/>
  <c r="J1946" i="27"/>
  <c r="I1946" i="27"/>
  <c r="K1945" i="27"/>
  <c r="J1945" i="27"/>
  <c r="K1944" i="27"/>
  <c r="J1944" i="27"/>
  <c r="K1943" i="27"/>
  <c r="J1943" i="27"/>
  <c r="K1942" i="27"/>
  <c r="J1942" i="27"/>
  <c r="I1942" i="27"/>
  <c r="K1941" i="27"/>
  <c r="J1941" i="27"/>
  <c r="I1941" i="27"/>
  <c r="M1933" i="27"/>
  <c r="O1932" i="27"/>
  <c r="M1932" i="27"/>
  <c r="M1931" i="27"/>
  <c r="O1930" i="27"/>
  <c r="O1928" i="27"/>
  <c r="O1926" i="27"/>
  <c r="O1924" i="27"/>
  <c r="O1922" i="27"/>
  <c r="K1909" i="27"/>
  <c r="J1909" i="27"/>
  <c r="I1909" i="27"/>
  <c r="K1908" i="27"/>
  <c r="J1908" i="27"/>
  <c r="K1907" i="27"/>
  <c r="J1907" i="27"/>
  <c r="I1907" i="27"/>
  <c r="K1906" i="27"/>
  <c r="J1906" i="27"/>
  <c r="K1905" i="27"/>
  <c r="J1905" i="27"/>
  <c r="K1904" i="27"/>
  <c r="J1904" i="27"/>
  <c r="I1904" i="27"/>
  <c r="M1896" i="27"/>
  <c r="M1895" i="27"/>
  <c r="M1894" i="27"/>
  <c r="O1893" i="27"/>
  <c r="O1891" i="27"/>
  <c r="O1889" i="27"/>
  <c r="O1887" i="27"/>
  <c r="O1885" i="27"/>
  <c r="K1872" i="27"/>
  <c r="J1872" i="27"/>
  <c r="I1872" i="27"/>
  <c r="K1871" i="27"/>
  <c r="J1871" i="27"/>
  <c r="K1870" i="27"/>
  <c r="J1870" i="27"/>
  <c r="I1870" i="27"/>
  <c r="K1869" i="27"/>
  <c r="J1869" i="27"/>
  <c r="K1868" i="27"/>
  <c r="J1868" i="27"/>
  <c r="K1867" i="27"/>
  <c r="J1867" i="27"/>
  <c r="I1867" i="27"/>
  <c r="M1859" i="27"/>
  <c r="M1858" i="27"/>
  <c r="M1857" i="27"/>
  <c r="O1856" i="27"/>
  <c r="O1854" i="27"/>
  <c r="O1852" i="27"/>
  <c r="O1850" i="27"/>
  <c r="O1848" i="27"/>
  <c r="K1835" i="27"/>
  <c r="J1835" i="27"/>
  <c r="I1835" i="27"/>
  <c r="K1834" i="27"/>
  <c r="J1834" i="27"/>
  <c r="K1833" i="27"/>
  <c r="J1833" i="27"/>
  <c r="K1832" i="27"/>
  <c r="J1832" i="27"/>
  <c r="K1831" i="27"/>
  <c r="J1831" i="27"/>
  <c r="I1831" i="27"/>
  <c r="K1830" i="27"/>
  <c r="J1830" i="27"/>
  <c r="I1830" i="27"/>
  <c r="M1822" i="27"/>
  <c r="M1821" i="27"/>
  <c r="M1820" i="27"/>
  <c r="O1819" i="27"/>
  <c r="O1817" i="27"/>
  <c r="O1815" i="27"/>
  <c r="O1813" i="27"/>
  <c r="O1811" i="27"/>
  <c r="K1798" i="27"/>
  <c r="J1798" i="27"/>
  <c r="I1798" i="27"/>
  <c r="K1797" i="27"/>
  <c r="J1797" i="27"/>
  <c r="K1796" i="27"/>
  <c r="J1796" i="27"/>
  <c r="K1795" i="27"/>
  <c r="J1795" i="27"/>
  <c r="K1794" i="27"/>
  <c r="J1794" i="27"/>
  <c r="I1794" i="27"/>
  <c r="K1793" i="27"/>
  <c r="J1793" i="27"/>
  <c r="I1793" i="27"/>
  <c r="M1785" i="27"/>
  <c r="O1784" i="27"/>
  <c r="M1784" i="27"/>
  <c r="M1783" i="27"/>
  <c r="O1782" i="27"/>
  <c r="O1780" i="27"/>
  <c r="O1778" i="27"/>
  <c r="O1776" i="27"/>
  <c r="O1774" i="27"/>
  <c r="K1761" i="27"/>
  <c r="J1761" i="27"/>
  <c r="I1761" i="27"/>
  <c r="K1760" i="27"/>
  <c r="J1760" i="27"/>
  <c r="K1759" i="27"/>
  <c r="J1759" i="27"/>
  <c r="I1759" i="27"/>
  <c r="K1758" i="27"/>
  <c r="J1758" i="27"/>
  <c r="K1757" i="27"/>
  <c r="J1757" i="27"/>
  <c r="K1756" i="27"/>
  <c r="J1756" i="27"/>
  <c r="I1756" i="27"/>
  <c r="R1748" i="27"/>
  <c r="M1748" i="27"/>
  <c r="M1747" i="27"/>
  <c r="M1746" i="27"/>
  <c r="O1745" i="27"/>
  <c r="O1743" i="27"/>
  <c r="O1741" i="27"/>
  <c r="O1739" i="27"/>
  <c r="O1737" i="27"/>
  <c r="O1735" i="27"/>
  <c r="K1722" i="27"/>
  <c r="J1722" i="27"/>
  <c r="I1722" i="27"/>
  <c r="K1721" i="27"/>
  <c r="J1721" i="27"/>
  <c r="K1720" i="27"/>
  <c r="J1720" i="27"/>
  <c r="K1719" i="27"/>
  <c r="J1719" i="27"/>
  <c r="K1718" i="27"/>
  <c r="J1718" i="27"/>
  <c r="I1718" i="27"/>
  <c r="K1717" i="27"/>
  <c r="J1717" i="27"/>
  <c r="I1717" i="27"/>
  <c r="M1709" i="27"/>
  <c r="O1708" i="27"/>
  <c r="M1708" i="27"/>
  <c r="M1707" i="27"/>
  <c r="O1706" i="27"/>
  <c r="O1704" i="27"/>
  <c r="O1702" i="27"/>
  <c r="O1700" i="27"/>
  <c r="O1698" i="27"/>
  <c r="K1685" i="27"/>
  <c r="J1685" i="27"/>
  <c r="I1685" i="27"/>
  <c r="K1684" i="27"/>
  <c r="J1684" i="27"/>
  <c r="K1683" i="27"/>
  <c r="J1683" i="27"/>
  <c r="K1682" i="27"/>
  <c r="J1682" i="27"/>
  <c r="K1681" i="27"/>
  <c r="J1681" i="27"/>
  <c r="I1681" i="27"/>
  <c r="K1680" i="27"/>
  <c r="J1680" i="27"/>
  <c r="I1680" i="27"/>
  <c r="M1672" i="27"/>
  <c r="O1671" i="27"/>
  <c r="M1671" i="27"/>
  <c r="M1670" i="27"/>
  <c r="O1669" i="27"/>
  <c r="O1667" i="27"/>
  <c r="O1665" i="27"/>
  <c r="O1663" i="27"/>
  <c r="O1661" i="27"/>
  <c r="K1648" i="27"/>
  <c r="J1648" i="27"/>
  <c r="I1648" i="27"/>
  <c r="K1647" i="27"/>
  <c r="J1647" i="27"/>
  <c r="K1646" i="27"/>
  <c r="J1646" i="27"/>
  <c r="I1646" i="27"/>
  <c r="K1645" i="27"/>
  <c r="J1645" i="27"/>
  <c r="K1644" i="27"/>
  <c r="J1644" i="27"/>
  <c r="K1643" i="27"/>
  <c r="J1643" i="27"/>
  <c r="I1643" i="27"/>
  <c r="M1635" i="27"/>
  <c r="O1634" i="27"/>
  <c r="M1634" i="27"/>
  <c r="M1633" i="27"/>
  <c r="O1632" i="27"/>
  <c r="O1630" i="27"/>
  <c r="O1628" i="27"/>
  <c r="O1626" i="27"/>
  <c r="O1624" i="27"/>
  <c r="K1611" i="27"/>
  <c r="J1611" i="27"/>
  <c r="I1611" i="27"/>
  <c r="K1610" i="27"/>
  <c r="J1610" i="27"/>
  <c r="K1609" i="27"/>
  <c r="J1609" i="27"/>
  <c r="I1609" i="27"/>
  <c r="K1608" i="27"/>
  <c r="J1608" i="27"/>
  <c r="K1607" i="27"/>
  <c r="J1607" i="27"/>
  <c r="K1606" i="27"/>
  <c r="J1606" i="27"/>
  <c r="I1606" i="27"/>
  <c r="M1598" i="27"/>
  <c r="O1597" i="27"/>
  <c r="M1597" i="27"/>
  <c r="M1596" i="27"/>
  <c r="O1595" i="27"/>
  <c r="O1593" i="27"/>
  <c r="O1591" i="27"/>
  <c r="O1589" i="27"/>
  <c r="O1587" i="27"/>
  <c r="K1574" i="27"/>
  <c r="J1574" i="27"/>
  <c r="I1574" i="27"/>
  <c r="K1573" i="27"/>
  <c r="J1573" i="27"/>
  <c r="K1572" i="27"/>
  <c r="J1572" i="27"/>
  <c r="I1572" i="27"/>
  <c r="K1571" i="27"/>
  <c r="J1571" i="27"/>
  <c r="K1570" i="27"/>
  <c r="J1570" i="27"/>
  <c r="K1569" i="27"/>
  <c r="J1569" i="27"/>
  <c r="I1569" i="27"/>
  <c r="M1561" i="27"/>
  <c r="O1560" i="27"/>
  <c r="M1560" i="27"/>
  <c r="M1559" i="27"/>
  <c r="O1558" i="27"/>
  <c r="O1556" i="27"/>
  <c r="O1554" i="27"/>
  <c r="O1552" i="27"/>
  <c r="K1537" i="27"/>
  <c r="J1537" i="27"/>
  <c r="I1537" i="27"/>
  <c r="K1536" i="27"/>
  <c r="J1536" i="27"/>
  <c r="K1535" i="27"/>
  <c r="J1535" i="27"/>
  <c r="K1534" i="27"/>
  <c r="J1534" i="27"/>
  <c r="K1533" i="27"/>
  <c r="J1533" i="27"/>
  <c r="I1533" i="27"/>
  <c r="K1532" i="27"/>
  <c r="J1532" i="27"/>
  <c r="I1532" i="27"/>
  <c r="M1524" i="27"/>
  <c r="O1523" i="27"/>
  <c r="M1523" i="27"/>
  <c r="M1522" i="27"/>
  <c r="O1521" i="27"/>
  <c r="H1520" i="27"/>
  <c r="O1519" i="27"/>
  <c r="H1518" i="27"/>
  <c r="O1517" i="27"/>
  <c r="H1516" i="27"/>
  <c r="O1515" i="27"/>
  <c r="H1514" i="27"/>
  <c r="O1513" i="27"/>
  <c r="H1512" i="27"/>
  <c r="O1511" i="27"/>
  <c r="D1499" i="27"/>
  <c r="C1499" i="27"/>
  <c r="B1499" i="27"/>
  <c r="K1498" i="27"/>
  <c r="J1498" i="27"/>
  <c r="I1498" i="27"/>
  <c r="D1498" i="27"/>
  <c r="C1498" i="27"/>
  <c r="K1497" i="27"/>
  <c r="J1497" i="27"/>
  <c r="D1497" i="27"/>
  <c r="C1497" i="27"/>
  <c r="K1496" i="27"/>
  <c r="J1496" i="27"/>
  <c r="D1496" i="27"/>
  <c r="C1496" i="27"/>
  <c r="K1495" i="27"/>
  <c r="J1495" i="27"/>
  <c r="D1495" i="27"/>
  <c r="C1495" i="27"/>
  <c r="B1495" i="27"/>
  <c r="K1494" i="27"/>
  <c r="J1494" i="27"/>
  <c r="I1494" i="27"/>
  <c r="D1494" i="27"/>
  <c r="C1494" i="27"/>
  <c r="B1494" i="27"/>
  <c r="K1493" i="27"/>
  <c r="J1493" i="27"/>
  <c r="I1493" i="27"/>
  <c r="F1486" i="27"/>
  <c r="M1485" i="27"/>
  <c r="F1485" i="27"/>
  <c r="M1484" i="27"/>
  <c r="F1484" i="27"/>
  <c r="M1483" i="27"/>
  <c r="O1482" i="27"/>
  <c r="O1480" i="27"/>
  <c r="A1480" i="27"/>
  <c r="A1476" i="27"/>
  <c r="O1474" i="27"/>
  <c r="A1474" i="27"/>
  <c r="O1472" i="27"/>
  <c r="A1472" i="27"/>
  <c r="D1460" i="27"/>
  <c r="C1460" i="27"/>
  <c r="B1460" i="27"/>
  <c r="K1459" i="27"/>
  <c r="J1459" i="27"/>
  <c r="I1459" i="27"/>
  <c r="D1459" i="27"/>
  <c r="C1459" i="27"/>
  <c r="K1458" i="27"/>
  <c r="J1458" i="27"/>
  <c r="D1458" i="27"/>
  <c r="C1458" i="27"/>
  <c r="K1457" i="27"/>
  <c r="J1457" i="27"/>
  <c r="I1457" i="27"/>
  <c r="D1457" i="27"/>
  <c r="C1457" i="27"/>
  <c r="B1457" i="27"/>
  <c r="K1456" i="27"/>
  <c r="J1456" i="27"/>
  <c r="D1456" i="27"/>
  <c r="C1456" i="27"/>
  <c r="B1456" i="27"/>
  <c r="K1455" i="27"/>
  <c r="J1455" i="27"/>
  <c r="K1454" i="27"/>
  <c r="J1454" i="27"/>
  <c r="I1454" i="27"/>
  <c r="F1448" i="27"/>
  <c r="F1447" i="27"/>
  <c r="M1446" i="27"/>
  <c r="F1446" i="27"/>
  <c r="M1445" i="27"/>
  <c r="M1444" i="27"/>
  <c r="O1443" i="27"/>
  <c r="A1442" i="27"/>
  <c r="O1441" i="27"/>
  <c r="A1440" i="27"/>
  <c r="O1439" i="27"/>
  <c r="A1438" i="27"/>
  <c r="O1437" i="27"/>
  <c r="A1436" i="27"/>
  <c r="O1435" i="27"/>
  <c r="D1424" i="27"/>
  <c r="C1424" i="27"/>
  <c r="B1424" i="27"/>
  <c r="D1423" i="27"/>
  <c r="C1423" i="27"/>
  <c r="K1422" i="27"/>
  <c r="J1422" i="27"/>
  <c r="I1422" i="27"/>
  <c r="D1422" i="27"/>
  <c r="C1422" i="27"/>
  <c r="K1421" i="27"/>
  <c r="J1421" i="27"/>
  <c r="D1421" i="27"/>
  <c r="C1421" i="27"/>
  <c r="K1420" i="27"/>
  <c r="J1420" i="27"/>
  <c r="D1420" i="27"/>
  <c r="C1420" i="27"/>
  <c r="B1420" i="27"/>
  <c r="K1419" i="27"/>
  <c r="J1419" i="27"/>
  <c r="D1419" i="27"/>
  <c r="C1419" i="27"/>
  <c r="B1419" i="27"/>
  <c r="K1418" i="27"/>
  <c r="J1418" i="27"/>
  <c r="I1418" i="27"/>
  <c r="K1417" i="27"/>
  <c r="J1417" i="27"/>
  <c r="I1417" i="27"/>
  <c r="F1411" i="27"/>
  <c r="F1410" i="27"/>
  <c r="M1409" i="27"/>
  <c r="F1409" i="27"/>
  <c r="O1408" i="27"/>
  <c r="M1408" i="27"/>
  <c r="M1407" i="27"/>
  <c r="O1406" i="27"/>
  <c r="A1405" i="27"/>
  <c r="O1404" i="27"/>
  <c r="A1403" i="27"/>
  <c r="O1402" i="27"/>
  <c r="H1401" i="27"/>
  <c r="A1401" i="27"/>
  <c r="O1400" i="27"/>
  <c r="H1399" i="27"/>
  <c r="A1399" i="27"/>
  <c r="O1398" i="27"/>
  <c r="D1387" i="27"/>
  <c r="C1387" i="27"/>
  <c r="B1387" i="27"/>
  <c r="D1386" i="27"/>
  <c r="C1386" i="27"/>
  <c r="K1385" i="27"/>
  <c r="J1385" i="27"/>
  <c r="I1385" i="27"/>
  <c r="D1385" i="27"/>
  <c r="C1385" i="27"/>
  <c r="K1384" i="27"/>
  <c r="J1384" i="27"/>
  <c r="D1384" i="27"/>
  <c r="C1384" i="27"/>
  <c r="K1383" i="27"/>
  <c r="J1383" i="27"/>
  <c r="D1383" i="27"/>
  <c r="C1383" i="27"/>
  <c r="B1383" i="27"/>
  <c r="K1382" i="27"/>
  <c r="J1382" i="27"/>
  <c r="D1382" i="27"/>
  <c r="C1382" i="27"/>
  <c r="B1382" i="27"/>
  <c r="K1381" i="27"/>
  <c r="J1381" i="27"/>
  <c r="K1380" i="27"/>
  <c r="J1380" i="27"/>
  <c r="I1380" i="27"/>
  <c r="F1374" i="27"/>
  <c r="F1373" i="27"/>
  <c r="M1372" i="27"/>
  <c r="F1372" i="27"/>
  <c r="O1371" i="27"/>
  <c r="M1371" i="27"/>
  <c r="M1370" i="27"/>
  <c r="A1370" i="27"/>
  <c r="O1369" i="27"/>
  <c r="H1368" i="27"/>
  <c r="A1368" i="27"/>
  <c r="O1367" i="27"/>
  <c r="H1366" i="27"/>
  <c r="A1366" i="27"/>
  <c r="O1365" i="27"/>
  <c r="H1364" i="27"/>
  <c r="A1364" i="27"/>
  <c r="O1363" i="27"/>
  <c r="H1362" i="27"/>
  <c r="A1362" i="27"/>
  <c r="O1361" i="27"/>
  <c r="A1360" i="27"/>
  <c r="K1348" i="27"/>
  <c r="J1348" i="27"/>
  <c r="I1348" i="27"/>
  <c r="D1348" i="27"/>
  <c r="C1348" i="27"/>
  <c r="B1348" i="27"/>
  <c r="K1347" i="27"/>
  <c r="J1347" i="27"/>
  <c r="D1347" i="27"/>
  <c r="C1347" i="27"/>
  <c r="K1346" i="27"/>
  <c r="J1346" i="27"/>
  <c r="D1346" i="27"/>
  <c r="C1346" i="27"/>
  <c r="K1345" i="27"/>
  <c r="J1345" i="27"/>
  <c r="D1345" i="27"/>
  <c r="C1345" i="27"/>
  <c r="K1344" i="27"/>
  <c r="J1344" i="27"/>
  <c r="I1344" i="27"/>
  <c r="D1344" i="27"/>
  <c r="C1344" i="27"/>
  <c r="B1344" i="27"/>
  <c r="K1343" i="27"/>
  <c r="J1343" i="27"/>
  <c r="I1343" i="27"/>
  <c r="D1343" i="27"/>
  <c r="C1343" i="27"/>
  <c r="B1343" i="27"/>
  <c r="M1335" i="27"/>
  <c r="F1335" i="27"/>
  <c r="O1334" i="27"/>
  <c r="M1334" i="27"/>
  <c r="F1334" i="27"/>
  <c r="M1333" i="27"/>
  <c r="F1333" i="27"/>
  <c r="O1332" i="27"/>
  <c r="H1331" i="27"/>
  <c r="A1331" i="27"/>
  <c r="O1330" i="27"/>
  <c r="H1329" i="27"/>
  <c r="A1329" i="27"/>
  <c r="O1328" i="27"/>
  <c r="H1327" i="27"/>
  <c r="A1327" i="27"/>
  <c r="O1326" i="27"/>
  <c r="H1325" i="27"/>
  <c r="A1325" i="27"/>
  <c r="O1324" i="27"/>
  <c r="A1323" i="27"/>
  <c r="K1311" i="27"/>
  <c r="J1311" i="27"/>
  <c r="I1311" i="27"/>
  <c r="D1311" i="27"/>
  <c r="C1311" i="27"/>
  <c r="B1311" i="27"/>
  <c r="K1310" i="27"/>
  <c r="J1310" i="27"/>
  <c r="D1310" i="27"/>
  <c r="C1310" i="27"/>
  <c r="K1309" i="27"/>
  <c r="J1309" i="27"/>
  <c r="I1309" i="27"/>
  <c r="D1309" i="27"/>
  <c r="C1309" i="27"/>
  <c r="K1308" i="27"/>
  <c r="J1308" i="27"/>
  <c r="D1308" i="27"/>
  <c r="C1308" i="27"/>
  <c r="K1307" i="27"/>
  <c r="J1307" i="27"/>
  <c r="D1307" i="27"/>
  <c r="C1307" i="27"/>
  <c r="B1307" i="27"/>
  <c r="K1306" i="27"/>
  <c r="J1306" i="27"/>
  <c r="I1306" i="27"/>
  <c r="D1306" i="27"/>
  <c r="C1306" i="27"/>
  <c r="B1306" i="27"/>
  <c r="M1298" i="27"/>
  <c r="F1298" i="27"/>
  <c r="M1297" i="27"/>
  <c r="F1297" i="27"/>
  <c r="M1296" i="27"/>
  <c r="F1296" i="27"/>
  <c r="A1294" i="27"/>
  <c r="A1292" i="27"/>
  <c r="A1290" i="27"/>
  <c r="O1288" i="27"/>
  <c r="A1288" i="27"/>
  <c r="O1286" i="27"/>
  <c r="A1286" i="27"/>
  <c r="K1274" i="27"/>
  <c r="J1274" i="27"/>
  <c r="I1274" i="27"/>
  <c r="D1274" i="27"/>
  <c r="C1274" i="27"/>
  <c r="B1274" i="27"/>
  <c r="K1273" i="27"/>
  <c r="J1273" i="27"/>
  <c r="D1273" i="27"/>
  <c r="C1273" i="27"/>
  <c r="K1272" i="27"/>
  <c r="J1272" i="27"/>
  <c r="I1272" i="27"/>
  <c r="D1272" i="27"/>
  <c r="C1272" i="27"/>
  <c r="K1271" i="27"/>
  <c r="J1271" i="27"/>
  <c r="D1271" i="27"/>
  <c r="C1271" i="27"/>
  <c r="K1270" i="27"/>
  <c r="J1270" i="27"/>
  <c r="I1270" i="27"/>
  <c r="D1270" i="27"/>
  <c r="C1270" i="27"/>
  <c r="B1270" i="27"/>
  <c r="K1269" i="27"/>
  <c r="J1269" i="27"/>
  <c r="I1269" i="27"/>
  <c r="D1269" i="27"/>
  <c r="C1269" i="27"/>
  <c r="B1269" i="27"/>
  <c r="M1261" i="27"/>
  <c r="F1261" i="27"/>
  <c r="M1260" i="27"/>
  <c r="F1260" i="27"/>
  <c r="M1259" i="27"/>
  <c r="F1259" i="27"/>
  <c r="O1258" i="27"/>
  <c r="A1257" i="27"/>
  <c r="O1256" i="27"/>
  <c r="A1255" i="27"/>
  <c r="O1254" i="27"/>
  <c r="A1253" i="27"/>
  <c r="O1251" i="27"/>
  <c r="A1251" i="27"/>
  <c r="O1249" i="27"/>
  <c r="A1249" i="27"/>
  <c r="K1237" i="27"/>
  <c r="J1237" i="27"/>
  <c r="I1237" i="27"/>
  <c r="D1237" i="27"/>
  <c r="C1237" i="27"/>
  <c r="B1237" i="27"/>
  <c r="K1236" i="27"/>
  <c r="J1236" i="27"/>
  <c r="D1236" i="27"/>
  <c r="C1236" i="27"/>
  <c r="K1235" i="27"/>
  <c r="J1235" i="27"/>
  <c r="D1235" i="27"/>
  <c r="C1235" i="27"/>
  <c r="K1234" i="27"/>
  <c r="J1234" i="27"/>
  <c r="D1234" i="27"/>
  <c r="C1234" i="27"/>
  <c r="K1233" i="27"/>
  <c r="J1233" i="27"/>
  <c r="I1233" i="27"/>
  <c r="D1233" i="27"/>
  <c r="C1233" i="27"/>
  <c r="B1233" i="27"/>
  <c r="K1232" i="27"/>
  <c r="J1232" i="27"/>
  <c r="I1232" i="27"/>
  <c r="D1232" i="27"/>
  <c r="C1232" i="27"/>
  <c r="B1232" i="27"/>
  <c r="M1224" i="27"/>
  <c r="F1224" i="27"/>
  <c r="O1223" i="27"/>
  <c r="M1223" i="27"/>
  <c r="F1223" i="27"/>
  <c r="M1222" i="27"/>
  <c r="F1222" i="27"/>
  <c r="O1219" i="27"/>
  <c r="H1218" i="27"/>
  <c r="H1216" i="27"/>
  <c r="H1214" i="27"/>
  <c r="A1214" i="27"/>
  <c r="O1212" i="27"/>
  <c r="H1212" i="27"/>
  <c r="A1212" i="27"/>
  <c r="O1210" i="27"/>
  <c r="A1210" i="27"/>
  <c r="K1198" i="27"/>
  <c r="J1198" i="27"/>
  <c r="I1198" i="27"/>
  <c r="D1198" i="27"/>
  <c r="C1198" i="27"/>
  <c r="B1198" i="27"/>
  <c r="K1197" i="27"/>
  <c r="J1197" i="27"/>
  <c r="D1197" i="27"/>
  <c r="C1197" i="27"/>
  <c r="K1196" i="27"/>
  <c r="J1196" i="27"/>
  <c r="I1196" i="27"/>
  <c r="D1196" i="27"/>
  <c r="C1196" i="27"/>
  <c r="K1195" i="27"/>
  <c r="J1195" i="27"/>
  <c r="D1195" i="27"/>
  <c r="C1195" i="27"/>
  <c r="K1194" i="27"/>
  <c r="J1194" i="27"/>
  <c r="I1194" i="27"/>
  <c r="D1194" i="27"/>
  <c r="C1194" i="27"/>
  <c r="B1194" i="27"/>
  <c r="K1193" i="27"/>
  <c r="J1193" i="27"/>
  <c r="I1193" i="27"/>
  <c r="D1193" i="27"/>
  <c r="C1193" i="27"/>
  <c r="B1193" i="27"/>
  <c r="M1185" i="27"/>
  <c r="F1185" i="27"/>
  <c r="M1184" i="27"/>
  <c r="F1184" i="27"/>
  <c r="M1183" i="27"/>
  <c r="F1183" i="27"/>
  <c r="O1181" i="27"/>
  <c r="H1181" i="27"/>
  <c r="O1179" i="27"/>
  <c r="H1179" i="27"/>
  <c r="O1177" i="27"/>
  <c r="H1177" i="27"/>
  <c r="O1176" i="27"/>
  <c r="H1175" i="27"/>
  <c r="A1175" i="27"/>
  <c r="O1173" i="27"/>
  <c r="A1173" i="27"/>
  <c r="K1161" i="27"/>
  <c r="J1161" i="27"/>
  <c r="I1161" i="27"/>
  <c r="D1161" i="27"/>
  <c r="C1161" i="27"/>
  <c r="B1161" i="27"/>
  <c r="K1160" i="27"/>
  <c r="J1160" i="27"/>
  <c r="D1160" i="27"/>
  <c r="C1160" i="27"/>
  <c r="K1159" i="27"/>
  <c r="J1159" i="27"/>
  <c r="D1159" i="27"/>
  <c r="C1159" i="27"/>
  <c r="K1158" i="27"/>
  <c r="J1158" i="27"/>
  <c r="D1158" i="27"/>
  <c r="C1158" i="27"/>
  <c r="K1157" i="27"/>
  <c r="J1157" i="27"/>
  <c r="I1157" i="27"/>
  <c r="D1157" i="27"/>
  <c r="C1157" i="27"/>
  <c r="B1157" i="27"/>
  <c r="K1156" i="27"/>
  <c r="J1156" i="27"/>
  <c r="I1156" i="27"/>
  <c r="D1156" i="27"/>
  <c r="C1156" i="27"/>
  <c r="B1156" i="27"/>
  <c r="M1148" i="27"/>
  <c r="F1148" i="27"/>
  <c r="M1147" i="27"/>
  <c r="F1147" i="27"/>
  <c r="M1146" i="27"/>
  <c r="F1146" i="27"/>
  <c r="O1145" i="27"/>
  <c r="H1144" i="27"/>
  <c r="O1143" i="27"/>
  <c r="H1142" i="27"/>
  <c r="O1141" i="27"/>
  <c r="H1140" i="27"/>
  <c r="H1138" i="27"/>
  <c r="O1137" i="27"/>
  <c r="O1136" i="27"/>
  <c r="K1124" i="27"/>
  <c r="J1124" i="27"/>
  <c r="I1124" i="27"/>
  <c r="D1124" i="27"/>
  <c r="C1124" i="27"/>
  <c r="B1124" i="27"/>
  <c r="K1123" i="27"/>
  <c r="J1123" i="27"/>
  <c r="D1123" i="27"/>
  <c r="C1123" i="27"/>
  <c r="K1122" i="27"/>
  <c r="J1122" i="27"/>
  <c r="I1122" i="27"/>
  <c r="D1122" i="27"/>
  <c r="C1122" i="27"/>
  <c r="K1121" i="27"/>
  <c r="J1121" i="27"/>
  <c r="D1121" i="27"/>
  <c r="C1121" i="27"/>
  <c r="K1120" i="27"/>
  <c r="J1120" i="27"/>
  <c r="I1120" i="27"/>
  <c r="D1120" i="27"/>
  <c r="C1120" i="27"/>
  <c r="B1120" i="27"/>
  <c r="K1119" i="27"/>
  <c r="J1119" i="27"/>
  <c r="I1119" i="27"/>
  <c r="D1119" i="27"/>
  <c r="C1119" i="27"/>
  <c r="B1119" i="27"/>
  <c r="M1111" i="27"/>
  <c r="F1111" i="27"/>
  <c r="M1110" i="27"/>
  <c r="F1110" i="27"/>
  <c r="M1109" i="27"/>
  <c r="F1109" i="27"/>
  <c r="O1108" i="27"/>
  <c r="H1107" i="27"/>
  <c r="O1106" i="27"/>
  <c r="H1105" i="27"/>
  <c r="O1104" i="27"/>
  <c r="H1103" i="27"/>
  <c r="O1102" i="27"/>
  <c r="H1101" i="27"/>
  <c r="A1101" i="27"/>
  <c r="O1100" i="27"/>
  <c r="H1099" i="27"/>
  <c r="A1099" i="27"/>
  <c r="O1098" i="27"/>
  <c r="A1097" i="27"/>
  <c r="K1085" i="27"/>
  <c r="J1085" i="27"/>
  <c r="I1085" i="27"/>
  <c r="D1085" i="27"/>
  <c r="C1085" i="27"/>
  <c r="B1085" i="27"/>
  <c r="K1084" i="27"/>
  <c r="J1084" i="27"/>
  <c r="D1084" i="27"/>
  <c r="C1084" i="27"/>
  <c r="K1083" i="27"/>
  <c r="J1083" i="27"/>
  <c r="I1083" i="27"/>
  <c r="D1083" i="27"/>
  <c r="C1083" i="27"/>
  <c r="K1082" i="27"/>
  <c r="J1082" i="27"/>
  <c r="D1082" i="27"/>
  <c r="C1082" i="27"/>
  <c r="K1081" i="27"/>
  <c r="J1081" i="27"/>
  <c r="I1081" i="27"/>
  <c r="D1081" i="27"/>
  <c r="C1081" i="27"/>
  <c r="B1081" i="27"/>
  <c r="K1080" i="27"/>
  <c r="J1080" i="27"/>
  <c r="I1080" i="27"/>
  <c r="D1080" i="27"/>
  <c r="C1080" i="27"/>
  <c r="B1080" i="27"/>
  <c r="M1072" i="27"/>
  <c r="F1072" i="27"/>
  <c r="M1071" i="27"/>
  <c r="F1071" i="27"/>
  <c r="M1070" i="27"/>
  <c r="F1070" i="27"/>
  <c r="O1069" i="27"/>
  <c r="H1068" i="27"/>
  <c r="O1067" i="27"/>
  <c r="H1066" i="27"/>
  <c r="O1065" i="27"/>
  <c r="H1064" i="27"/>
  <c r="H1062" i="27"/>
  <c r="A1062" i="27"/>
  <c r="O1061" i="27"/>
  <c r="A1060" i="27"/>
  <c r="K1048" i="27"/>
  <c r="J1048" i="27"/>
  <c r="I1048" i="27"/>
  <c r="D1048" i="27"/>
  <c r="C1048" i="27"/>
  <c r="K1047" i="27"/>
  <c r="J1047" i="27"/>
  <c r="D1047" i="27"/>
  <c r="C1047" i="27"/>
  <c r="K1046" i="27"/>
  <c r="J1046" i="27"/>
  <c r="I1046" i="27"/>
  <c r="D1046" i="27"/>
  <c r="C1046" i="27"/>
  <c r="B1046" i="27"/>
  <c r="K1045" i="27"/>
  <c r="J1045" i="27"/>
  <c r="D1045" i="27"/>
  <c r="C1045" i="27"/>
  <c r="B1045" i="27"/>
  <c r="K1044" i="27"/>
  <c r="J1044" i="27"/>
  <c r="K1043" i="27"/>
  <c r="J1043" i="27"/>
  <c r="F1037" i="27"/>
  <c r="F1036" i="27"/>
  <c r="M1035" i="27"/>
  <c r="F1035" i="27"/>
  <c r="M1034" i="27"/>
  <c r="R1033" i="27"/>
  <c r="M1033" i="27"/>
  <c r="A1033" i="27"/>
  <c r="O1032" i="27"/>
  <c r="A1031" i="27"/>
  <c r="O1030" i="27"/>
  <c r="A1029" i="27"/>
  <c r="O1028" i="27"/>
  <c r="A1027" i="27"/>
  <c r="O1025" i="27"/>
  <c r="D1015" i="27"/>
  <c r="C1015" i="27"/>
  <c r="B1015" i="27"/>
  <c r="D1014" i="27"/>
  <c r="C1014" i="27"/>
  <c r="K1013" i="27"/>
  <c r="J1013" i="27"/>
  <c r="I1013" i="27"/>
  <c r="D1013" i="27"/>
  <c r="C1013" i="27"/>
  <c r="K1012" i="27"/>
  <c r="J1012" i="27"/>
  <c r="D1012" i="27"/>
  <c r="C1012" i="27"/>
  <c r="K1011" i="27"/>
  <c r="J1011" i="27"/>
  <c r="I1011" i="27"/>
  <c r="D1011" i="27"/>
  <c r="C1011" i="27"/>
  <c r="B1011" i="27"/>
  <c r="K1010" i="27"/>
  <c r="J1010" i="27"/>
  <c r="D1010" i="27"/>
  <c r="C1010" i="27"/>
  <c r="B1010" i="27"/>
  <c r="K1009" i="27"/>
  <c r="J1009" i="27"/>
  <c r="I1009" i="27"/>
  <c r="K1008" i="27"/>
  <c r="J1008" i="27"/>
  <c r="I1008" i="27"/>
  <c r="F1002" i="27"/>
  <c r="F1001" i="27"/>
  <c r="M1000" i="27"/>
  <c r="F1000" i="27"/>
  <c r="O999" i="27"/>
  <c r="M999" i="27"/>
  <c r="M998" i="27"/>
  <c r="O997" i="27"/>
  <c r="A996" i="27"/>
  <c r="O995" i="27"/>
  <c r="H994" i="27"/>
  <c r="O993" i="27"/>
  <c r="H992" i="27"/>
  <c r="O991" i="27"/>
  <c r="H990" i="27"/>
  <c r="A990" i="27"/>
  <c r="O989" i="27"/>
  <c r="H988" i="27"/>
  <c r="A988" i="27"/>
  <c r="O987" i="27"/>
  <c r="D976" i="27"/>
  <c r="C976" i="27"/>
  <c r="B976" i="27"/>
  <c r="D975" i="27"/>
  <c r="C975" i="27"/>
  <c r="K974" i="27"/>
  <c r="J974" i="27"/>
  <c r="I974" i="27"/>
  <c r="D974" i="27"/>
  <c r="C974" i="27"/>
  <c r="B974" i="27"/>
  <c r="K973" i="27"/>
  <c r="J973" i="27"/>
  <c r="D973" i="27"/>
  <c r="C973" i="27"/>
  <c r="K972" i="27"/>
  <c r="J972" i="27"/>
  <c r="D972" i="27"/>
  <c r="C972" i="27"/>
  <c r="B972" i="27"/>
  <c r="K971" i="27"/>
  <c r="J971" i="27"/>
  <c r="D971" i="27"/>
  <c r="C971" i="27"/>
  <c r="B971" i="27"/>
  <c r="K970" i="27"/>
  <c r="J970" i="27"/>
  <c r="I970" i="27"/>
  <c r="K969" i="27"/>
  <c r="J969" i="27"/>
  <c r="I969" i="27"/>
  <c r="F963" i="27"/>
  <c r="F962" i="27"/>
  <c r="M961" i="27"/>
  <c r="F961" i="27"/>
  <c r="O960" i="27"/>
  <c r="M960" i="27"/>
  <c r="M959" i="27"/>
  <c r="O958" i="27"/>
  <c r="O956" i="27"/>
  <c r="O954" i="27"/>
  <c r="O952" i="27"/>
  <c r="O950" i="27"/>
  <c r="O949" i="27"/>
  <c r="A949" i="27"/>
  <c r="D937" i="27"/>
  <c r="C937" i="27"/>
  <c r="B937" i="27"/>
  <c r="D936" i="27"/>
  <c r="C936" i="27"/>
  <c r="K935" i="27"/>
  <c r="J935" i="27"/>
  <c r="I935" i="27"/>
  <c r="D935" i="27"/>
  <c r="C935" i="27"/>
  <c r="B935" i="27"/>
  <c r="K934" i="27"/>
  <c r="J934" i="27"/>
  <c r="D934" i="27"/>
  <c r="C934" i="27"/>
  <c r="K933" i="27"/>
  <c r="J933" i="27"/>
  <c r="I933" i="27"/>
  <c r="D933" i="27"/>
  <c r="C933" i="27"/>
  <c r="B933" i="27"/>
  <c r="K932" i="27"/>
  <c r="J932" i="27"/>
  <c r="D932" i="27"/>
  <c r="C932" i="27"/>
  <c r="B932" i="27"/>
  <c r="K931" i="27"/>
  <c r="J931" i="27"/>
  <c r="K930" i="27"/>
  <c r="J930" i="27"/>
  <c r="I930" i="27"/>
  <c r="F924" i="27"/>
  <c r="F923" i="27"/>
  <c r="M922" i="27"/>
  <c r="F922" i="27"/>
  <c r="M921" i="27"/>
  <c r="M920" i="27"/>
  <c r="A916" i="27"/>
  <c r="O914" i="27"/>
  <c r="H914" i="27"/>
  <c r="A914" i="27"/>
  <c r="H912" i="27"/>
  <c r="A912" i="27"/>
  <c r="H910" i="27"/>
  <c r="D900" i="27"/>
  <c r="C900" i="27"/>
  <c r="B900" i="27"/>
  <c r="D899" i="27"/>
  <c r="C899" i="27"/>
  <c r="K898" i="27"/>
  <c r="J898" i="27"/>
  <c r="I898" i="27"/>
  <c r="D898" i="27"/>
  <c r="C898" i="27"/>
  <c r="B898" i="27"/>
  <c r="K897" i="27"/>
  <c r="J897" i="27"/>
  <c r="D897" i="27"/>
  <c r="C897" i="27"/>
  <c r="K896" i="27"/>
  <c r="J896" i="27"/>
  <c r="I896" i="27"/>
  <c r="D896" i="27"/>
  <c r="C896" i="27"/>
  <c r="B896" i="27"/>
  <c r="K895" i="27"/>
  <c r="J895" i="27"/>
  <c r="D895" i="27"/>
  <c r="C895" i="27"/>
  <c r="B895" i="27"/>
  <c r="K894" i="27"/>
  <c r="J894" i="27"/>
  <c r="K893" i="27"/>
  <c r="J893" i="27"/>
  <c r="I893" i="27"/>
  <c r="F887" i="27"/>
  <c r="F886" i="27"/>
  <c r="M885" i="27"/>
  <c r="F885" i="27"/>
  <c r="M884" i="27"/>
  <c r="M883" i="27"/>
  <c r="A883" i="27"/>
  <c r="O882" i="27"/>
  <c r="H881" i="27"/>
  <c r="A881" i="27"/>
  <c r="O879" i="27"/>
  <c r="H879" i="27"/>
  <c r="O877" i="27"/>
  <c r="H877" i="27"/>
  <c r="A877" i="27"/>
  <c r="O875" i="27"/>
  <c r="H875" i="27"/>
  <c r="A875" i="27"/>
  <c r="O873" i="27"/>
  <c r="H873" i="27"/>
  <c r="A873" i="27"/>
  <c r="O871" i="27"/>
  <c r="D861" i="27"/>
  <c r="C861" i="27"/>
  <c r="B861" i="27"/>
  <c r="D860" i="27"/>
  <c r="C860" i="27"/>
  <c r="K859" i="27"/>
  <c r="J859" i="27"/>
  <c r="I859" i="27"/>
  <c r="D859" i="27"/>
  <c r="C859" i="27"/>
  <c r="K858" i="27"/>
  <c r="J858" i="27"/>
  <c r="D858" i="27"/>
  <c r="C858" i="27"/>
  <c r="K857" i="27"/>
  <c r="J857" i="27"/>
  <c r="I857" i="27"/>
  <c r="D857" i="27"/>
  <c r="C857" i="27"/>
  <c r="B857" i="27"/>
  <c r="K856" i="27"/>
  <c r="J856" i="27"/>
  <c r="D856" i="27"/>
  <c r="C856" i="27"/>
  <c r="B856" i="27"/>
  <c r="K855" i="27"/>
  <c r="J855" i="27"/>
  <c r="I855" i="27"/>
  <c r="K854" i="27"/>
  <c r="J854" i="27"/>
  <c r="I854" i="27"/>
  <c r="F848" i="27"/>
  <c r="F847" i="27"/>
  <c r="M846" i="27"/>
  <c r="F846" i="27"/>
  <c r="M845" i="27"/>
  <c r="M844" i="27"/>
  <c r="A844" i="27"/>
  <c r="O843" i="27"/>
  <c r="A842" i="27"/>
  <c r="O841" i="27"/>
  <c r="O839" i="27"/>
  <c r="A838" i="27"/>
  <c r="O837" i="27"/>
  <c r="A836" i="27"/>
  <c r="O835" i="27"/>
  <c r="A834" i="27"/>
  <c r="D824" i="27"/>
  <c r="C824" i="27"/>
  <c r="B824" i="27"/>
  <c r="D823" i="27"/>
  <c r="C823" i="27"/>
  <c r="K822" i="27"/>
  <c r="J822" i="27"/>
  <c r="I822" i="27"/>
  <c r="D822" i="27"/>
  <c r="C822" i="27"/>
  <c r="B822" i="27"/>
  <c r="K821" i="27"/>
  <c r="J821" i="27"/>
  <c r="D821" i="27"/>
  <c r="C821" i="27"/>
  <c r="K820" i="27"/>
  <c r="J820" i="27"/>
  <c r="D820" i="27"/>
  <c r="C820" i="27"/>
  <c r="B820" i="27"/>
  <c r="K819" i="27"/>
  <c r="J819" i="27"/>
  <c r="D819" i="27"/>
  <c r="C819" i="27"/>
  <c r="B819" i="27"/>
  <c r="K818" i="27"/>
  <c r="J818" i="27"/>
  <c r="I818" i="27"/>
  <c r="K817" i="27"/>
  <c r="J817" i="27"/>
  <c r="I817" i="27"/>
  <c r="F811" i="27"/>
  <c r="F810" i="27"/>
  <c r="M809" i="27"/>
  <c r="F809" i="27"/>
  <c r="O808" i="27"/>
  <c r="M808" i="27"/>
  <c r="M807" i="27"/>
  <c r="O806" i="27"/>
  <c r="O802" i="27"/>
  <c r="A801" i="27"/>
  <c r="O800" i="27"/>
  <c r="D789" i="27"/>
  <c r="C789" i="27"/>
  <c r="B789" i="27"/>
  <c r="D788" i="27"/>
  <c r="C788" i="27"/>
  <c r="K787" i="27"/>
  <c r="J787" i="27"/>
  <c r="I787" i="27"/>
  <c r="D787" i="27"/>
  <c r="C787" i="27"/>
  <c r="K786" i="27"/>
  <c r="J786" i="27"/>
  <c r="D786" i="27"/>
  <c r="C786" i="27"/>
  <c r="K785" i="27"/>
  <c r="J785" i="27"/>
  <c r="I785" i="27"/>
  <c r="D785" i="27"/>
  <c r="C785" i="27"/>
  <c r="B785" i="27"/>
  <c r="K784" i="27"/>
  <c r="J784" i="27"/>
  <c r="D784" i="27"/>
  <c r="C784" i="27"/>
  <c r="B784" i="27"/>
  <c r="K783" i="27"/>
  <c r="J783" i="27"/>
  <c r="K782" i="27"/>
  <c r="J782" i="27"/>
  <c r="I782" i="27"/>
  <c r="F776" i="27"/>
  <c r="F775" i="27"/>
  <c r="M774" i="27"/>
  <c r="F774" i="27"/>
  <c r="M773" i="27"/>
  <c r="M772" i="27"/>
  <c r="A772" i="27"/>
  <c r="O771" i="27"/>
  <c r="A770" i="27"/>
  <c r="O769" i="27"/>
  <c r="A768" i="27"/>
  <c r="O767" i="27"/>
  <c r="A766" i="27"/>
  <c r="O765" i="27"/>
  <c r="O763" i="27"/>
  <c r="D752" i="27"/>
  <c r="C752" i="27"/>
  <c r="B752" i="27"/>
  <c r="D751" i="27"/>
  <c r="C751" i="27"/>
  <c r="K750" i="27"/>
  <c r="J750" i="27"/>
  <c r="I750" i="27"/>
  <c r="D750" i="27"/>
  <c r="C750" i="27"/>
  <c r="B750" i="27"/>
  <c r="K749" i="27"/>
  <c r="J749" i="27"/>
  <c r="D749" i="27"/>
  <c r="C749" i="27"/>
  <c r="K748" i="27"/>
  <c r="J748" i="27"/>
  <c r="I748" i="27"/>
  <c r="D748" i="27"/>
  <c r="C748" i="27"/>
  <c r="B748" i="27"/>
  <c r="K747" i="27"/>
  <c r="J747" i="27"/>
  <c r="D747" i="27"/>
  <c r="C747" i="27"/>
  <c r="B747" i="27"/>
  <c r="K746" i="27"/>
  <c r="J746" i="27"/>
  <c r="I746" i="27"/>
  <c r="K745" i="27"/>
  <c r="J745" i="27"/>
  <c r="I745" i="27"/>
  <c r="F739" i="27"/>
  <c r="F738" i="27"/>
  <c r="M737" i="27"/>
  <c r="F737" i="27"/>
  <c r="M736" i="27"/>
  <c r="M735" i="27"/>
  <c r="A735" i="27"/>
  <c r="O734" i="27"/>
  <c r="A733" i="27"/>
  <c r="O732" i="27"/>
  <c r="O730" i="27"/>
  <c r="O728" i="27"/>
  <c r="A727" i="27"/>
  <c r="O726" i="27"/>
  <c r="A725" i="27"/>
  <c r="K713" i="27"/>
  <c r="J713" i="27"/>
  <c r="I713" i="27"/>
  <c r="D713" i="27"/>
  <c r="C713" i="27"/>
  <c r="B713" i="27"/>
  <c r="K712" i="27"/>
  <c r="J712" i="27"/>
  <c r="D712" i="27"/>
  <c r="C712" i="27"/>
  <c r="K711" i="27"/>
  <c r="J711" i="27"/>
  <c r="I711" i="27"/>
  <c r="D711" i="27"/>
  <c r="C711" i="27"/>
  <c r="K710" i="27"/>
  <c r="J710" i="27"/>
  <c r="D710" i="27"/>
  <c r="C710" i="27"/>
  <c r="K709" i="27"/>
  <c r="J709" i="27"/>
  <c r="D709" i="27"/>
  <c r="C709" i="27"/>
  <c r="B709" i="27"/>
  <c r="K708" i="27"/>
  <c r="J708" i="27"/>
  <c r="I708" i="27"/>
  <c r="D708" i="27"/>
  <c r="C708" i="27"/>
  <c r="B708" i="27"/>
  <c r="M700" i="27"/>
  <c r="F700" i="27"/>
  <c r="O699" i="27"/>
  <c r="M699" i="27"/>
  <c r="F699" i="27"/>
  <c r="M698" i="27"/>
  <c r="F698" i="27"/>
  <c r="O697" i="27"/>
  <c r="A696" i="27"/>
  <c r="O695" i="27"/>
  <c r="O693" i="27"/>
  <c r="A692" i="27"/>
  <c r="O691" i="27"/>
  <c r="A690" i="27"/>
  <c r="O689" i="27"/>
  <c r="A688" i="27"/>
  <c r="K676" i="27"/>
  <c r="J676" i="27"/>
  <c r="I676" i="27"/>
  <c r="D676" i="27"/>
  <c r="C676" i="27"/>
  <c r="B676" i="27"/>
  <c r="K675" i="27"/>
  <c r="J675" i="27"/>
  <c r="D675" i="27"/>
  <c r="C675" i="27"/>
  <c r="K674" i="27"/>
  <c r="J674" i="27"/>
  <c r="D674" i="27"/>
  <c r="C674" i="27"/>
  <c r="B674" i="27"/>
  <c r="K673" i="27"/>
  <c r="J673" i="27"/>
  <c r="D673" i="27"/>
  <c r="C673" i="27"/>
  <c r="K672" i="27"/>
  <c r="J672" i="27"/>
  <c r="I672" i="27"/>
  <c r="D672" i="27"/>
  <c r="C672" i="27"/>
  <c r="B672" i="27"/>
  <c r="K671" i="27"/>
  <c r="J671" i="27"/>
  <c r="I671" i="27"/>
  <c r="D671" i="27"/>
  <c r="C671" i="27"/>
  <c r="B671" i="27"/>
  <c r="M663" i="27"/>
  <c r="F663" i="27"/>
  <c r="O662" i="27"/>
  <c r="M662" i="27"/>
  <c r="F662" i="27"/>
  <c r="M661" i="27"/>
  <c r="F661" i="27"/>
  <c r="O660" i="27"/>
  <c r="O658" i="27"/>
  <c r="O656" i="27"/>
  <c r="A655" i="27"/>
  <c r="O654" i="27"/>
  <c r="O652" i="27"/>
  <c r="A651" i="27"/>
  <c r="K639" i="27"/>
  <c r="J639" i="27"/>
  <c r="I639" i="27"/>
  <c r="D639" i="27"/>
  <c r="C639" i="27"/>
  <c r="B639" i="27"/>
  <c r="K638" i="27"/>
  <c r="J638" i="27"/>
  <c r="H638" i="27"/>
  <c r="K637" i="27"/>
  <c r="J637" i="27"/>
  <c r="D637" i="27"/>
  <c r="C637" i="27"/>
  <c r="K636" i="27"/>
  <c r="J636" i="27"/>
  <c r="D636" i="27"/>
  <c r="C636" i="27"/>
  <c r="K635" i="27"/>
  <c r="J635" i="27"/>
  <c r="I635" i="27"/>
  <c r="D635" i="27"/>
  <c r="C635" i="27"/>
  <c r="B635" i="27"/>
  <c r="K634" i="27"/>
  <c r="J634" i="27"/>
  <c r="I634" i="27"/>
  <c r="D634" i="27"/>
  <c r="C634" i="27"/>
  <c r="B634" i="27"/>
  <c r="M626" i="27"/>
  <c r="F626" i="27"/>
  <c r="O625" i="27"/>
  <c r="M625" i="27"/>
  <c r="F625" i="27"/>
  <c r="M624" i="27"/>
  <c r="F624" i="27"/>
  <c r="O623" i="27"/>
  <c r="O622" i="27"/>
  <c r="O621" i="27"/>
  <c r="A620" i="27"/>
  <c r="O619" i="27"/>
  <c r="Q616" i="27"/>
  <c r="O616" i="27"/>
  <c r="A616" i="27"/>
  <c r="K604" i="27"/>
  <c r="J604" i="27"/>
  <c r="I604" i="27"/>
  <c r="D604" i="27"/>
  <c r="C604" i="27"/>
  <c r="B604" i="27"/>
  <c r="K603" i="27"/>
  <c r="J603" i="27"/>
  <c r="K602" i="27"/>
  <c r="J602" i="27"/>
  <c r="I602" i="27"/>
  <c r="D602" i="27"/>
  <c r="C602" i="27"/>
  <c r="K601" i="27"/>
  <c r="J601" i="27"/>
  <c r="D601" i="27"/>
  <c r="C601" i="27"/>
  <c r="K600" i="27"/>
  <c r="J600" i="27"/>
  <c r="I600" i="27"/>
  <c r="D600" i="27"/>
  <c r="C600" i="27"/>
  <c r="B600" i="27"/>
  <c r="K599" i="27"/>
  <c r="J599" i="27"/>
  <c r="I599" i="27"/>
  <c r="D599" i="27"/>
  <c r="C599" i="27"/>
  <c r="B599" i="27"/>
  <c r="M591" i="27"/>
  <c r="F591" i="27"/>
  <c r="O590" i="27"/>
  <c r="M590" i="27"/>
  <c r="F590" i="27"/>
  <c r="M589" i="27"/>
  <c r="F589" i="27"/>
  <c r="O588" i="27"/>
  <c r="A587" i="27"/>
  <c r="O586" i="27"/>
  <c r="O582" i="27"/>
  <c r="A581" i="27"/>
  <c r="O580" i="27"/>
  <c r="A579" i="27"/>
  <c r="K567" i="27"/>
  <c r="J567" i="27"/>
  <c r="I567" i="27"/>
  <c r="D567" i="27"/>
  <c r="C567" i="27"/>
  <c r="B567" i="27"/>
  <c r="K566" i="27"/>
  <c r="J566" i="27"/>
  <c r="K565" i="27"/>
  <c r="J565" i="27"/>
  <c r="I565" i="27"/>
  <c r="D565" i="27"/>
  <c r="C565" i="27"/>
  <c r="K564" i="27"/>
  <c r="J564" i="27"/>
  <c r="D564" i="27"/>
  <c r="C564" i="27"/>
  <c r="K563" i="27"/>
  <c r="J563" i="27"/>
  <c r="D563" i="27"/>
  <c r="C563" i="27"/>
  <c r="B563" i="27"/>
  <c r="K562" i="27"/>
  <c r="J562" i="27"/>
  <c r="D562" i="27"/>
  <c r="C562" i="27"/>
  <c r="B562" i="27"/>
  <c r="M554" i="27"/>
  <c r="F554" i="27"/>
  <c r="M553" i="27"/>
  <c r="F553" i="27"/>
  <c r="M552" i="27"/>
  <c r="F552" i="27"/>
  <c r="O551" i="27"/>
  <c r="A550" i="27"/>
  <c r="O549" i="27"/>
  <c r="O547" i="27"/>
  <c r="A546" i="27"/>
  <c r="O545" i="27"/>
  <c r="O543" i="27"/>
  <c r="A542" i="27"/>
  <c r="K530" i="27"/>
  <c r="J530" i="27"/>
  <c r="I530" i="27"/>
  <c r="D530" i="27"/>
  <c r="C530" i="27"/>
  <c r="B530" i="27"/>
  <c r="K529" i="27"/>
  <c r="J529" i="27"/>
  <c r="D529" i="27"/>
  <c r="C529" i="27"/>
  <c r="K528" i="27"/>
  <c r="J528" i="27"/>
  <c r="D528" i="27"/>
  <c r="C528" i="27"/>
  <c r="K527" i="27"/>
  <c r="J527" i="27"/>
  <c r="D527" i="27"/>
  <c r="C527" i="27"/>
  <c r="K526" i="27"/>
  <c r="J526" i="27"/>
  <c r="I526" i="27"/>
  <c r="D526" i="27"/>
  <c r="C526" i="27"/>
  <c r="B526" i="27"/>
  <c r="K525" i="27"/>
  <c r="J525" i="27"/>
  <c r="I525" i="27"/>
  <c r="D525" i="27"/>
  <c r="C525" i="27"/>
  <c r="B525" i="27"/>
  <c r="M517" i="27"/>
  <c r="F517" i="27"/>
  <c r="O516" i="27"/>
  <c r="M516" i="27"/>
  <c r="F516" i="27"/>
  <c r="M515" i="27"/>
  <c r="F515" i="27"/>
  <c r="O514" i="27"/>
  <c r="O512" i="27"/>
  <c r="A511" i="27"/>
  <c r="O510" i="27"/>
  <c r="O508" i="27"/>
  <c r="O506" i="27"/>
  <c r="A505" i="27"/>
  <c r="K493" i="27"/>
  <c r="J493" i="27"/>
  <c r="I493" i="27"/>
  <c r="D493" i="27"/>
  <c r="C493" i="27"/>
  <c r="B493" i="27"/>
  <c r="K492" i="27"/>
  <c r="J492" i="27"/>
  <c r="D492" i="27"/>
  <c r="C492" i="27"/>
  <c r="K491" i="27"/>
  <c r="J491" i="27"/>
  <c r="I491" i="27"/>
  <c r="D491" i="27"/>
  <c r="C491" i="27"/>
  <c r="K490" i="27"/>
  <c r="J490" i="27"/>
  <c r="D490" i="27"/>
  <c r="C490" i="27"/>
  <c r="K489" i="27"/>
  <c r="J489" i="27"/>
  <c r="D489" i="27"/>
  <c r="C489" i="27"/>
  <c r="B489" i="27"/>
  <c r="K488" i="27"/>
  <c r="J488" i="27"/>
  <c r="I488" i="27"/>
  <c r="D488" i="27"/>
  <c r="C488" i="27"/>
  <c r="B488" i="27"/>
  <c r="M480" i="27"/>
  <c r="F480" i="27"/>
  <c r="M479" i="27"/>
  <c r="F479" i="27"/>
  <c r="M478" i="27"/>
  <c r="F478" i="27"/>
  <c r="O477" i="27"/>
  <c r="A476" i="27"/>
  <c r="O475" i="27"/>
  <c r="A474" i="27"/>
  <c r="O473" i="27"/>
  <c r="O471" i="27"/>
  <c r="A470" i="27"/>
  <c r="O469" i="27"/>
  <c r="A468" i="27"/>
  <c r="K456" i="27"/>
  <c r="J456" i="27"/>
  <c r="I456" i="27"/>
  <c r="D456" i="27"/>
  <c r="C456" i="27"/>
  <c r="B456" i="27"/>
  <c r="K455" i="27"/>
  <c r="J455" i="27"/>
  <c r="D455" i="27"/>
  <c r="C455" i="27"/>
  <c r="K454" i="27"/>
  <c r="J454" i="27"/>
  <c r="D454" i="27"/>
  <c r="C454" i="27"/>
  <c r="K453" i="27"/>
  <c r="J453" i="27"/>
  <c r="D453" i="27"/>
  <c r="C453" i="27"/>
  <c r="K452" i="27"/>
  <c r="J452" i="27"/>
  <c r="I452" i="27"/>
  <c r="D452" i="27"/>
  <c r="C452" i="27"/>
  <c r="B452" i="27"/>
  <c r="K451" i="27"/>
  <c r="J451" i="27"/>
  <c r="I451" i="27"/>
  <c r="D451" i="27"/>
  <c r="C451" i="27"/>
  <c r="B451" i="27"/>
  <c r="M443" i="27"/>
  <c r="F443" i="27"/>
  <c r="M442" i="27"/>
  <c r="F442" i="27"/>
  <c r="M441" i="27"/>
  <c r="F441" i="27"/>
  <c r="O440" i="27"/>
  <c r="O438" i="27"/>
  <c r="M437" i="27"/>
  <c r="A437" i="27"/>
  <c r="O436" i="27"/>
  <c r="M435" i="27"/>
  <c r="O434" i="27"/>
  <c r="A433" i="27"/>
  <c r="O432" i="27"/>
  <c r="A431" i="27"/>
  <c r="K419" i="27"/>
  <c r="J419" i="27"/>
  <c r="I419" i="27"/>
  <c r="D419" i="27"/>
  <c r="C419" i="27"/>
  <c r="B419" i="27"/>
  <c r="K418" i="27"/>
  <c r="J418" i="27"/>
  <c r="D418" i="27"/>
  <c r="C418" i="27"/>
  <c r="K417" i="27"/>
  <c r="J417" i="27"/>
  <c r="I417" i="27"/>
  <c r="D417" i="27"/>
  <c r="C417" i="27"/>
  <c r="K416" i="27"/>
  <c r="J416" i="27"/>
  <c r="D416" i="27"/>
  <c r="C416" i="27"/>
  <c r="K415" i="27"/>
  <c r="J415" i="27"/>
  <c r="I415" i="27"/>
  <c r="D415" i="27"/>
  <c r="C415" i="27"/>
  <c r="B415" i="27"/>
  <c r="K414" i="27"/>
  <c r="J414" i="27"/>
  <c r="I414" i="27"/>
  <c r="D414" i="27"/>
  <c r="C414" i="27"/>
  <c r="B414" i="27"/>
  <c r="M406" i="27"/>
  <c r="F406" i="27"/>
  <c r="M405" i="27"/>
  <c r="F405" i="27"/>
  <c r="M404" i="27"/>
  <c r="F404" i="27"/>
  <c r="O403" i="27"/>
  <c r="A402" i="27"/>
  <c r="O401" i="27"/>
  <c r="A400" i="27"/>
  <c r="O399" i="27"/>
  <c r="A398" i="27"/>
  <c r="O397" i="27"/>
  <c r="A396" i="27"/>
  <c r="O395" i="27"/>
  <c r="O393" i="27"/>
  <c r="O391" i="27"/>
  <c r="A390" i="27"/>
  <c r="K378" i="27"/>
  <c r="J378" i="27"/>
  <c r="I378" i="27"/>
  <c r="D378" i="27"/>
  <c r="C378" i="27"/>
  <c r="B378" i="27"/>
  <c r="K377" i="27"/>
  <c r="J377" i="27"/>
  <c r="D377" i="27"/>
  <c r="C377" i="27"/>
  <c r="K376" i="27"/>
  <c r="J376" i="27"/>
  <c r="I376" i="27"/>
  <c r="D376" i="27"/>
  <c r="C376" i="27"/>
  <c r="B376" i="27"/>
  <c r="K375" i="27"/>
  <c r="J375" i="27"/>
  <c r="D375" i="27"/>
  <c r="C375" i="27"/>
  <c r="K374" i="27"/>
  <c r="J374" i="27"/>
  <c r="I374" i="27"/>
  <c r="D374" i="27"/>
  <c r="C374" i="27"/>
  <c r="K373" i="27"/>
  <c r="J373" i="27"/>
  <c r="I373" i="27"/>
  <c r="D373" i="27"/>
  <c r="C373" i="27"/>
  <c r="B373" i="27"/>
  <c r="M365" i="27"/>
  <c r="F365" i="27"/>
  <c r="M364" i="27"/>
  <c r="F364" i="27"/>
  <c r="M363" i="27"/>
  <c r="F363" i="27"/>
  <c r="O362" i="27"/>
  <c r="A361" i="27"/>
  <c r="O360" i="27"/>
  <c r="O358" i="27"/>
  <c r="A357" i="27"/>
  <c r="O356" i="27"/>
  <c r="O354" i="27"/>
  <c r="A353" i="27"/>
  <c r="K341" i="27"/>
  <c r="J341" i="27"/>
  <c r="I341" i="27"/>
  <c r="D341" i="27"/>
  <c r="C341" i="27"/>
  <c r="B341" i="27"/>
  <c r="K340" i="27"/>
  <c r="J340" i="27"/>
  <c r="D340" i="27"/>
  <c r="C340" i="27"/>
  <c r="K339" i="27"/>
  <c r="J339" i="27"/>
  <c r="I339" i="27"/>
  <c r="D339" i="27"/>
  <c r="C339" i="27"/>
  <c r="K338" i="27"/>
  <c r="J338" i="27"/>
  <c r="D338" i="27"/>
  <c r="C338" i="27"/>
  <c r="K337" i="27"/>
  <c r="J337" i="27"/>
  <c r="D337" i="27"/>
  <c r="C337" i="27"/>
  <c r="B337" i="27"/>
  <c r="K336" i="27"/>
  <c r="J336" i="27"/>
  <c r="I336" i="27"/>
  <c r="D336" i="27"/>
  <c r="C336" i="27"/>
  <c r="B336" i="27"/>
  <c r="M328" i="27"/>
  <c r="F328" i="27"/>
  <c r="M327" i="27"/>
  <c r="F327" i="27"/>
  <c r="M326" i="27"/>
  <c r="F326" i="27"/>
  <c r="O325" i="27"/>
  <c r="O323" i="27"/>
  <c r="O321" i="27"/>
  <c r="A320" i="27"/>
  <c r="O319" i="27"/>
  <c r="A318" i="27"/>
  <c r="O317" i="27"/>
  <c r="A316" i="27"/>
  <c r="O315" i="27"/>
  <c r="A314" i="27"/>
  <c r="K302" i="27"/>
  <c r="J302" i="27"/>
  <c r="I302" i="27"/>
  <c r="D302" i="27"/>
  <c r="C302" i="27"/>
  <c r="B302" i="27"/>
  <c r="K301" i="27"/>
  <c r="J301" i="27"/>
  <c r="D301" i="27"/>
  <c r="C301" i="27"/>
  <c r="K300" i="27"/>
  <c r="J300" i="27"/>
  <c r="I300" i="27"/>
  <c r="D300" i="27"/>
  <c r="C300" i="27"/>
  <c r="K299" i="27"/>
  <c r="J299" i="27"/>
  <c r="D299" i="27"/>
  <c r="C299" i="27"/>
  <c r="K298" i="27"/>
  <c r="J298" i="27"/>
  <c r="D298" i="27"/>
  <c r="C298" i="27"/>
  <c r="B298" i="27"/>
  <c r="K297" i="27"/>
  <c r="J297" i="27"/>
  <c r="I297" i="27"/>
  <c r="D297" i="27"/>
  <c r="C297" i="27"/>
  <c r="B297" i="27"/>
  <c r="M289" i="27"/>
  <c r="F289" i="27"/>
  <c r="M288" i="27"/>
  <c r="F288" i="27"/>
  <c r="M287" i="27"/>
  <c r="F287" i="27"/>
  <c r="O286" i="27"/>
  <c r="A285" i="27"/>
  <c r="O284" i="27"/>
  <c r="O282" i="27"/>
  <c r="A281" i="27"/>
  <c r="O280" i="27"/>
  <c r="A279" i="27"/>
  <c r="O278" i="27"/>
  <c r="A277" i="27"/>
  <c r="O276" i="27"/>
  <c r="A275" i="27"/>
  <c r="K263" i="27"/>
  <c r="J263" i="27"/>
  <c r="I263" i="27"/>
  <c r="D263" i="27"/>
  <c r="C263" i="27"/>
  <c r="B263" i="27"/>
  <c r="K262" i="27"/>
  <c r="J262" i="27"/>
  <c r="D262" i="27"/>
  <c r="C262" i="27"/>
  <c r="K261" i="27"/>
  <c r="J261" i="27"/>
  <c r="I261" i="27"/>
  <c r="D261" i="27"/>
  <c r="C261" i="27"/>
  <c r="K260" i="27"/>
  <c r="J260" i="27"/>
  <c r="D260" i="27"/>
  <c r="C260" i="27"/>
  <c r="K259" i="27"/>
  <c r="J259" i="27"/>
  <c r="D259" i="27"/>
  <c r="C259" i="27"/>
  <c r="K258" i="27"/>
  <c r="J258" i="27"/>
  <c r="I258" i="27"/>
  <c r="D258" i="27"/>
  <c r="C258" i="27"/>
  <c r="B258" i="27"/>
  <c r="M250" i="27"/>
  <c r="F250" i="27"/>
  <c r="M249" i="27"/>
  <c r="F249" i="27"/>
  <c r="M248" i="27"/>
  <c r="F248" i="27"/>
  <c r="O247" i="27"/>
  <c r="O245" i="27"/>
  <c r="O243" i="27"/>
  <c r="O241" i="27"/>
  <c r="A240" i="27"/>
  <c r="O239" i="27"/>
  <c r="A238" i="27"/>
  <c r="O237" i="27"/>
  <c r="A236" i="27"/>
  <c r="K224" i="27"/>
  <c r="J224" i="27"/>
  <c r="I224" i="27"/>
  <c r="D224" i="27"/>
  <c r="C224" i="27"/>
  <c r="B224" i="27"/>
  <c r="K223" i="27"/>
  <c r="J223" i="27"/>
  <c r="D223" i="27"/>
  <c r="C223" i="27"/>
  <c r="K222" i="27"/>
  <c r="J222" i="27"/>
  <c r="I222" i="27"/>
  <c r="D222" i="27"/>
  <c r="C222" i="27"/>
  <c r="K221" i="27"/>
  <c r="J221" i="27"/>
  <c r="D221" i="27"/>
  <c r="C221" i="27"/>
  <c r="B221" i="27"/>
  <c r="K220" i="27"/>
  <c r="J220" i="27"/>
  <c r="D220" i="27"/>
  <c r="C220" i="27"/>
  <c r="K219" i="27"/>
  <c r="J219" i="27"/>
  <c r="D219" i="27"/>
  <c r="C219" i="27"/>
  <c r="B219" i="27"/>
  <c r="M211" i="27"/>
  <c r="F211" i="27"/>
  <c r="M210" i="27"/>
  <c r="F210" i="27"/>
  <c r="M209" i="27"/>
  <c r="F209" i="27"/>
  <c r="O208" i="27"/>
  <c r="O206" i="27"/>
  <c r="O204" i="27"/>
  <c r="A203" i="27"/>
  <c r="O202" i="27"/>
  <c r="A201" i="27"/>
  <c r="O200" i="27"/>
  <c r="A199" i="27"/>
  <c r="O198" i="27"/>
  <c r="A197" i="27"/>
  <c r="K185" i="27"/>
  <c r="J185" i="27"/>
  <c r="I185" i="27"/>
  <c r="D185" i="27"/>
  <c r="C185" i="27"/>
  <c r="B185" i="27"/>
  <c r="K184" i="27"/>
  <c r="J184" i="27"/>
  <c r="D184" i="27"/>
  <c r="C184" i="27"/>
  <c r="K183" i="27"/>
  <c r="J183" i="27"/>
  <c r="D183" i="27"/>
  <c r="C183" i="27"/>
  <c r="K182" i="27"/>
  <c r="J182" i="27"/>
  <c r="D182" i="27"/>
  <c r="C182" i="27"/>
  <c r="K181" i="27"/>
  <c r="J181" i="27"/>
  <c r="I181" i="27"/>
  <c r="D181" i="27"/>
  <c r="C181" i="27"/>
  <c r="B181" i="27"/>
  <c r="K180" i="27"/>
  <c r="J180" i="27"/>
  <c r="I180" i="27"/>
  <c r="D180" i="27"/>
  <c r="C180" i="27"/>
  <c r="B180" i="27"/>
  <c r="M172" i="27"/>
  <c r="F172" i="27"/>
  <c r="M171" i="27"/>
  <c r="F171" i="27"/>
  <c r="M170" i="27"/>
  <c r="F170" i="27"/>
  <c r="O169" i="27"/>
  <c r="A168" i="27"/>
  <c r="O167" i="27"/>
  <c r="O165" i="27"/>
  <c r="A164" i="27"/>
  <c r="O163" i="27"/>
  <c r="O161" i="27"/>
  <c r="A160" i="27"/>
  <c r="K148" i="27"/>
  <c r="J148" i="27"/>
  <c r="I148" i="27"/>
  <c r="D148" i="27"/>
  <c r="C148" i="27"/>
  <c r="B148" i="27"/>
  <c r="K147" i="27"/>
  <c r="J147" i="27"/>
  <c r="D147" i="27"/>
  <c r="C147" i="27"/>
  <c r="K146" i="27"/>
  <c r="J146" i="27"/>
  <c r="I146" i="27"/>
  <c r="D146" i="27"/>
  <c r="C146" i="27"/>
  <c r="K145" i="27"/>
  <c r="J145" i="27"/>
  <c r="D145" i="27"/>
  <c r="C145" i="27"/>
  <c r="K144" i="27"/>
  <c r="J144" i="27"/>
  <c r="D144" i="27"/>
  <c r="C144" i="27"/>
  <c r="B144" i="27"/>
  <c r="K143" i="27"/>
  <c r="J143" i="27"/>
  <c r="D143" i="27"/>
  <c r="C143" i="27"/>
  <c r="B143" i="27"/>
  <c r="M135" i="27"/>
  <c r="F135" i="27"/>
  <c r="M134" i="27"/>
  <c r="F134" i="27"/>
  <c r="M133" i="27"/>
  <c r="F133" i="27"/>
  <c r="O132" i="27"/>
  <c r="A131" i="27"/>
  <c r="O130" i="27"/>
  <c r="O128" i="27"/>
  <c r="A127" i="27"/>
  <c r="O126" i="27"/>
  <c r="A125" i="27"/>
  <c r="O124" i="27"/>
  <c r="A123" i="27"/>
  <c r="K111" i="27"/>
  <c r="J111" i="27"/>
  <c r="I111" i="27"/>
  <c r="D111" i="27"/>
  <c r="C111" i="27"/>
  <c r="B111" i="27"/>
  <c r="K110" i="27"/>
  <c r="J110" i="27"/>
  <c r="D110" i="27"/>
  <c r="C110" i="27"/>
  <c r="K109" i="27"/>
  <c r="J109" i="27"/>
  <c r="I109" i="27"/>
  <c r="D109" i="27"/>
  <c r="C109" i="27"/>
  <c r="K108" i="27"/>
  <c r="J108" i="27"/>
  <c r="D108" i="27"/>
  <c r="C108" i="27"/>
  <c r="K107" i="27"/>
  <c r="D107" i="27"/>
  <c r="C107" i="27"/>
  <c r="B107" i="27"/>
  <c r="K106" i="27"/>
  <c r="D106" i="27"/>
  <c r="C106" i="27"/>
  <c r="B106" i="27"/>
  <c r="M98" i="27"/>
  <c r="F98" i="27"/>
  <c r="M97" i="27"/>
  <c r="F97" i="27"/>
  <c r="M96" i="27"/>
  <c r="F96" i="27"/>
  <c r="O95" i="27"/>
  <c r="A94" i="27"/>
  <c r="O93" i="27"/>
  <c r="O91" i="27"/>
  <c r="A90" i="27"/>
  <c r="O89" i="27"/>
  <c r="A88" i="27"/>
  <c r="O87" i="27"/>
  <c r="A86" i="27"/>
  <c r="K74" i="27"/>
  <c r="J74" i="27"/>
  <c r="I74" i="27"/>
  <c r="D74" i="27"/>
  <c r="C74" i="27"/>
  <c r="B74" i="27"/>
  <c r="K73" i="27"/>
  <c r="J73" i="27"/>
  <c r="D73" i="27"/>
  <c r="C73" i="27"/>
  <c r="K72" i="27"/>
  <c r="J72" i="27"/>
  <c r="I72" i="27"/>
  <c r="D72" i="27"/>
  <c r="C72" i="27"/>
  <c r="K71" i="27"/>
  <c r="J71" i="27"/>
  <c r="D71" i="27"/>
  <c r="C71" i="27"/>
  <c r="K70" i="27"/>
  <c r="J70" i="27"/>
  <c r="D70" i="27"/>
  <c r="C70" i="27"/>
  <c r="K69" i="27"/>
  <c r="J69" i="27"/>
  <c r="I69" i="27"/>
  <c r="D69" i="27"/>
  <c r="C69" i="27"/>
  <c r="B69" i="27"/>
  <c r="M61" i="27"/>
  <c r="F61" i="27"/>
  <c r="M60" i="27"/>
  <c r="F60" i="27"/>
  <c r="M59" i="27"/>
  <c r="F59" i="27"/>
  <c r="O58" i="27"/>
  <c r="O56" i="27"/>
  <c r="A55" i="27"/>
  <c r="O54" i="27"/>
  <c r="O52" i="27"/>
  <c r="A51" i="27"/>
  <c r="O50" i="27"/>
  <c r="A49" i="27"/>
  <c r="K37" i="27"/>
  <c r="J37" i="27"/>
  <c r="I37" i="27"/>
  <c r="D37" i="27"/>
  <c r="C37" i="27"/>
  <c r="B37" i="27"/>
  <c r="K36" i="27"/>
  <c r="D36" i="27"/>
  <c r="K35" i="27"/>
  <c r="I35" i="27"/>
  <c r="D35" i="27"/>
  <c r="K34" i="27"/>
  <c r="D34" i="27"/>
  <c r="K33" i="27"/>
  <c r="D33" i="27"/>
  <c r="K32" i="27"/>
  <c r="J32" i="27"/>
  <c r="I32" i="27"/>
  <c r="D32" i="27"/>
  <c r="M24" i="27"/>
  <c r="F24" i="27"/>
  <c r="F23" i="27"/>
  <c r="M22" i="27"/>
  <c r="F22" i="27"/>
  <c r="O21" i="27"/>
  <c r="O19" i="27"/>
  <c r="O17" i="27"/>
  <c r="O15" i="27"/>
  <c r="A14" i="27"/>
  <c r="O13" i="27"/>
  <c r="Q3625" i="28"/>
  <c r="J3624" i="28"/>
  <c r="K3623" i="28"/>
  <c r="K3622" i="28"/>
  <c r="I3621" i="28"/>
  <c r="K3621" i="28" s="1"/>
  <c r="K3620" i="28"/>
  <c r="I3619" i="28"/>
  <c r="K3619" i="28" s="1"/>
  <c r="M3609" i="28"/>
  <c r="M3611" i="28" s="1"/>
  <c r="O3608" i="28"/>
  <c r="O3606" i="28"/>
  <c r="O3604" i="28"/>
  <c r="I3620" i="28" s="1"/>
  <c r="I3586" i="28"/>
  <c r="M3576" i="28"/>
  <c r="O3575" i="28"/>
  <c r="O3559" i="28"/>
  <c r="O3557" i="28"/>
  <c r="I3587" i="28" s="1"/>
  <c r="I3538" i="28"/>
  <c r="M3528" i="28"/>
  <c r="O3527" i="28"/>
  <c r="O3519" i="28"/>
  <c r="O3517" i="28"/>
  <c r="I3501" i="28"/>
  <c r="I3503" i="28" s="1"/>
  <c r="M3488" i="28"/>
  <c r="O3487" i="28"/>
  <c r="O3485" i="28"/>
  <c r="O3483" i="28"/>
  <c r="O3481" i="28"/>
  <c r="I3463" i="28"/>
  <c r="M3453" i="28"/>
  <c r="O3452" i="28"/>
  <c r="O3450" i="28"/>
  <c r="O3448" i="28"/>
  <c r="O3446" i="28"/>
  <c r="O3444" i="28"/>
  <c r="O3442" i="28"/>
  <c r="I3423" i="28"/>
  <c r="I3428" i="28" s="1"/>
  <c r="M3413" i="28"/>
  <c r="O3412" i="28"/>
  <c r="O3410" i="28"/>
  <c r="O3408" i="28"/>
  <c r="I3426" i="28" s="1"/>
  <c r="O3406" i="28"/>
  <c r="I3387" i="28"/>
  <c r="M3377" i="28"/>
  <c r="O3376" i="28"/>
  <c r="O3372" i="28"/>
  <c r="I3390" i="28" s="1"/>
  <c r="O3370" i="28"/>
  <c r="I3352" i="28"/>
  <c r="M3342" i="28"/>
  <c r="O3341" i="28"/>
  <c r="O3339" i="28"/>
  <c r="O3337" i="28"/>
  <c r="O3335" i="28"/>
  <c r="H3334" i="28"/>
  <c r="H3336" i="28" s="1"/>
  <c r="H3338" i="28" s="1"/>
  <c r="H3340" i="28" s="1"/>
  <c r="O3333" i="28"/>
  <c r="H3332" i="28"/>
  <c r="O3331" i="28"/>
  <c r="I3313" i="28"/>
  <c r="O3304" i="28"/>
  <c r="M3303" i="28"/>
  <c r="O3302" i="28"/>
  <c r="O3300" i="28"/>
  <c r="H3299" i="28"/>
  <c r="H3301" i="28" s="1"/>
  <c r="O3298" i="28"/>
  <c r="H3297" i="28"/>
  <c r="O3296" i="28"/>
  <c r="I3314" i="28" s="1"/>
  <c r="I3277" i="28"/>
  <c r="O3268" i="28"/>
  <c r="M3267" i="28"/>
  <c r="O3266" i="28"/>
  <c r="O3264" i="28"/>
  <c r="H3261" i="28"/>
  <c r="H3263" i="28" s="1"/>
  <c r="O3260" i="28"/>
  <c r="I3242" i="28"/>
  <c r="I3247" i="28" s="1"/>
  <c r="O3233" i="28"/>
  <c r="M3232" i="28"/>
  <c r="O3231" i="28"/>
  <c r="O3229" i="28"/>
  <c r="O3227" i="28"/>
  <c r="H3226" i="28"/>
  <c r="H3228" i="28" s="1"/>
  <c r="O3225" i="28"/>
  <c r="I3207" i="28"/>
  <c r="O3198" i="28"/>
  <c r="M3197" i="28"/>
  <c r="O3196" i="28"/>
  <c r="I3208" i="28" s="1"/>
  <c r="O3194" i="28"/>
  <c r="O3192" i="28"/>
  <c r="O3190" i="28"/>
  <c r="O3188" i="28"/>
  <c r="O3186" i="28"/>
  <c r="I3169" i="28"/>
  <c r="I3168" i="28"/>
  <c r="O3159" i="28"/>
  <c r="M3158" i="28"/>
  <c r="O3157" i="28"/>
  <c r="I3171" i="28" s="1"/>
  <c r="O3155" i="28"/>
  <c r="O3153" i="28"/>
  <c r="O3151" i="28"/>
  <c r="O3149" i="28"/>
  <c r="I3134" i="28"/>
  <c r="I3131" i="28"/>
  <c r="O3122" i="28"/>
  <c r="M3121" i="28"/>
  <c r="O3120" i="28"/>
  <c r="O3116" i="28"/>
  <c r="O3114" i="28"/>
  <c r="O3112" i="28"/>
  <c r="I3094" i="28"/>
  <c r="O3085" i="28"/>
  <c r="M3084" i="28"/>
  <c r="O3083" i="28"/>
  <c r="O3081" i="28"/>
  <c r="I3097" i="28" s="1"/>
  <c r="O3079" i="28"/>
  <c r="O3077" i="28"/>
  <c r="O3075" i="28"/>
  <c r="I3057" i="28"/>
  <c r="O3048" i="28"/>
  <c r="M3047" i="28"/>
  <c r="O3046" i="28"/>
  <c r="O3044" i="28"/>
  <c r="O3042" i="28"/>
  <c r="O3040" i="28"/>
  <c r="O3038" i="28"/>
  <c r="I3021" i="28"/>
  <c r="I3020" i="28"/>
  <c r="O3011" i="28"/>
  <c r="M3010" i="28"/>
  <c r="O3009" i="28"/>
  <c r="O3007" i="28"/>
  <c r="O3005" i="28"/>
  <c r="O3003" i="28"/>
  <c r="O3001" i="28"/>
  <c r="I2983" i="28"/>
  <c r="O2974" i="28"/>
  <c r="M2973" i="28"/>
  <c r="O2972" i="28"/>
  <c r="O2970" i="28"/>
  <c r="O2968" i="28"/>
  <c r="O2966" i="28"/>
  <c r="O2964" i="28"/>
  <c r="I2984" i="28" s="1"/>
  <c r="I2946" i="28"/>
  <c r="O2937" i="28"/>
  <c r="M2936" i="28"/>
  <c r="O2935" i="28"/>
  <c r="O2933" i="28"/>
  <c r="O2931" i="28"/>
  <c r="O2929" i="28"/>
  <c r="O2927" i="28"/>
  <c r="I2911" i="28"/>
  <c r="M2899" i="28"/>
  <c r="O2898" i="28"/>
  <c r="O2896" i="28"/>
  <c r="O2894" i="28"/>
  <c r="O2892" i="28"/>
  <c r="O2890" i="28"/>
  <c r="I2910" i="28" s="1"/>
  <c r="I2874" i="28"/>
  <c r="M2862" i="28"/>
  <c r="O2861" i="28"/>
  <c r="O2859" i="28"/>
  <c r="O2857" i="28"/>
  <c r="O2855" i="28"/>
  <c r="O2853" i="28"/>
  <c r="O2851" i="28"/>
  <c r="I2835" i="28"/>
  <c r="M2823" i="28"/>
  <c r="O2822" i="28"/>
  <c r="O2820" i="28"/>
  <c r="O2818" i="28"/>
  <c r="O2816" i="28"/>
  <c r="O2814" i="28"/>
  <c r="O2812" i="28"/>
  <c r="I2794" i="28"/>
  <c r="O2785" i="28"/>
  <c r="M2784" i="28"/>
  <c r="O2783" i="28"/>
  <c r="O2781" i="28"/>
  <c r="O2779" i="28"/>
  <c r="O2777" i="28"/>
  <c r="O2775" i="28"/>
  <c r="I2757" i="28"/>
  <c r="I2762" i="28" s="1"/>
  <c r="M2747" i="28"/>
  <c r="O2746" i="28"/>
  <c r="O2744" i="28"/>
  <c r="O2742" i="28"/>
  <c r="O2740" i="28"/>
  <c r="O2738" i="28"/>
  <c r="I2758" i="28" s="1"/>
  <c r="I2720" i="28"/>
  <c r="O2711" i="28"/>
  <c r="M2710" i="28"/>
  <c r="O2709" i="28"/>
  <c r="O2707" i="28"/>
  <c r="O2705" i="28"/>
  <c r="O2703" i="28"/>
  <c r="O2701" i="28"/>
  <c r="I2684" i="28"/>
  <c r="I2683" i="28"/>
  <c r="M2673" i="28"/>
  <c r="O2672" i="28"/>
  <c r="O2670" i="28"/>
  <c r="O2668" i="28"/>
  <c r="O2666" i="28"/>
  <c r="O2664" i="28"/>
  <c r="I2646" i="28"/>
  <c r="M2636" i="28"/>
  <c r="O2635" i="28"/>
  <c r="O2633" i="28"/>
  <c r="O2631" i="28"/>
  <c r="O2629" i="28"/>
  <c r="O2627" i="28"/>
  <c r="O2625" i="28"/>
  <c r="I2607" i="28"/>
  <c r="I2612" i="28" s="1"/>
  <c r="M2597" i="28"/>
  <c r="O2596" i="28"/>
  <c r="O2594" i="28"/>
  <c r="O2592" i="28"/>
  <c r="O2590" i="28"/>
  <c r="O2588" i="28"/>
  <c r="I2570" i="28"/>
  <c r="I2575" i="28" s="1"/>
  <c r="O2561" i="28"/>
  <c r="M2560" i="28"/>
  <c r="O2559" i="28"/>
  <c r="O2557" i="28"/>
  <c r="O2555" i="28"/>
  <c r="O2553" i="28"/>
  <c r="O2551" i="28"/>
  <c r="I2571" i="28" s="1"/>
  <c r="I2537" i="28"/>
  <c r="M2523" i="28"/>
  <c r="O2522" i="28"/>
  <c r="O2520" i="28"/>
  <c r="O2518" i="28"/>
  <c r="O2516" i="28"/>
  <c r="O2514" i="28"/>
  <c r="I2500" i="28"/>
  <c r="I2501" i="28" s="1"/>
  <c r="O2485" i="28"/>
  <c r="M2482" i="28"/>
  <c r="O2483" i="28" s="1"/>
  <c r="O2481" i="28"/>
  <c r="O2479" i="28"/>
  <c r="O2477" i="28"/>
  <c r="O2475" i="28"/>
  <c r="I2457" i="28"/>
  <c r="O2448" i="28"/>
  <c r="M2447" i="28"/>
  <c r="O2446" i="28"/>
  <c r="O2444" i="28"/>
  <c r="O2442" i="28"/>
  <c r="O2440" i="28"/>
  <c r="O2438" i="28"/>
  <c r="I2420" i="28"/>
  <c r="O2411" i="28"/>
  <c r="M2410" i="28"/>
  <c r="O2409" i="28"/>
  <c r="O2407" i="28"/>
  <c r="O2405" i="28"/>
  <c r="O2403" i="28"/>
  <c r="O2401" i="28"/>
  <c r="K2386" i="28"/>
  <c r="J2423" i="28" s="1"/>
  <c r="I2385" i="28"/>
  <c r="M2373" i="28"/>
  <c r="O2372" i="28"/>
  <c r="O2370" i="28"/>
  <c r="O2368" i="28"/>
  <c r="O2366" i="28"/>
  <c r="O2364" i="28"/>
  <c r="I2346" i="28"/>
  <c r="O2337" i="28"/>
  <c r="M2336" i="28"/>
  <c r="O2335" i="28"/>
  <c r="O2333" i="28"/>
  <c r="O2331" i="28"/>
  <c r="O2329" i="28"/>
  <c r="O2327" i="28"/>
  <c r="O2300" i="28"/>
  <c r="M2299" i="28"/>
  <c r="O2298" i="28"/>
  <c r="O2296" i="28"/>
  <c r="I2310" i="28" s="1"/>
  <c r="O2294" i="28"/>
  <c r="O2291" i="28"/>
  <c r="I2309" i="28" s="1"/>
  <c r="O2290" i="28"/>
  <c r="O2263" i="28"/>
  <c r="M2262" i="28"/>
  <c r="O2261" i="28"/>
  <c r="I2275" i="28" s="1"/>
  <c r="O2259" i="28"/>
  <c r="I2273" i="28" s="1"/>
  <c r="O2257" i="28"/>
  <c r="O2254" i="28"/>
  <c r="I2272" i="28" s="1"/>
  <c r="O2252" i="28"/>
  <c r="O2226" i="28"/>
  <c r="M2225" i="28"/>
  <c r="O2224" i="28"/>
  <c r="I2238" i="28" s="1"/>
  <c r="O2222" i="28"/>
  <c r="I2236" i="28" s="1"/>
  <c r="O2220" i="28"/>
  <c r="O2217" i="28"/>
  <c r="O2215" i="28"/>
  <c r="I2198" i="28"/>
  <c r="O2189" i="28"/>
  <c r="M2188" i="28"/>
  <c r="O2187" i="28"/>
  <c r="I2201" i="28" s="1"/>
  <c r="O2185" i="28"/>
  <c r="O2183" i="28"/>
  <c r="O2181" i="28"/>
  <c r="I2159" i="28"/>
  <c r="M2149" i="28"/>
  <c r="O2148" i="28"/>
  <c r="O2146" i="28"/>
  <c r="O2144" i="28"/>
  <c r="I2122" i="28"/>
  <c r="M2112" i="28"/>
  <c r="O2111" i="28"/>
  <c r="O2109" i="28"/>
  <c r="O2107" i="28"/>
  <c r="I2085" i="28"/>
  <c r="O2076" i="28"/>
  <c r="M2075" i="28"/>
  <c r="O2074" i="28"/>
  <c r="O2072" i="28"/>
  <c r="O2070" i="28"/>
  <c r="O2068" i="28"/>
  <c r="O2066" i="28"/>
  <c r="I2048" i="28"/>
  <c r="O2039" i="28"/>
  <c r="M2038" i="28"/>
  <c r="O2037" i="28"/>
  <c r="O2035" i="28"/>
  <c r="O2033" i="28"/>
  <c r="O2031" i="28"/>
  <c r="O2029" i="28"/>
  <c r="I2011" i="28"/>
  <c r="O2002" i="28"/>
  <c r="M2001" i="28"/>
  <c r="O2000" i="28"/>
  <c r="O1998" i="28"/>
  <c r="O1996" i="28"/>
  <c r="O1994" i="28"/>
  <c r="O1992" i="28"/>
  <c r="I1974" i="28"/>
  <c r="O1965" i="28"/>
  <c r="M1964" i="28"/>
  <c r="O1963" i="28"/>
  <c r="O1961" i="28"/>
  <c r="O1959" i="28"/>
  <c r="O1957" i="28"/>
  <c r="O1955" i="28"/>
  <c r="I1937" i="28"/>
  <c r="O1928" i="28"/>
  <c r="M1927" i="28"/>
  <c r="O1926" i="28"/>
  <c r="O1924" i="28"/>
  <c r="O1922" i="28"/>
  <c r="O1920" i="28"/>
  <c r="O1918" i="28"/>
  <c r="I1903" i="28"/>
  <c r="I1900" i="28"/>
  <c r="M1890" i="28"/>
  <c r="O1889" i="28"/>
  <c r="O1887" i="28"/>
  <c r="O1885" i="28"/>
  <c r="O1883" i="28"/>
  <c r="O1881" i="28"/>
  <c r="I1863" i="28"/>
  <c r="M1853" i="28"/>
  <c r="O1852" i="28"/>
  <c r="O1850" i="28"/>
  <c r="O1848" i="28"/>
  <c r="O1846" i="28"/>
  <c r="O1844" i="28"/>
  <c r="I1827" i="28"/>
  <c r="I1826" i="28"/>
  <c r="I1831" i="28" s="1"/>
  <c r="M1816" i="28"/>
  <c r="O1815" i="28"/>
  <c r="O1813" i="28"/>
  <c r="O1811" i="28"/>
  <c r="O1809" i="28"/>
  <c r="O1807" i="28"/>
  <c r="I1789" i="28"/>
  <c r="O1780" i="28"/>
  <c r="M1779" i="28"/>
  <c r="O1778" i="28"/>
  <c r="O1776" i="28"/>
  <c r="O1774" i="28"/>
  <c r="O1772" i="28"/>
  <c r="O1770" i="28"/>
  <c r="I1790" i="28" s="1"/>
  <c r="I1752" i="28"/>
  <c r="R1744" i="28"/>
  <c r="M1742" i="28"/>
  <c r="O1741" i="28"/>
  <c r="O1739" i="28"/>
  <c r="O1737" i="28"/>
  <c r="O1735" i="28"/>
  <c r="O1733" i="28"/>
  <c r="O1731" i="28"/>
  <c r="I1713" i="28"/>
  <c r="O1704" i="28"/>
  <c r="M1703" i="28"/>
  <c r="O1702" i="28"/>
  <c r="O1700" i="28"/>
  <c r="O1698" i="28"/>
  <c r="O1696" i="28"/>
  <c r="O1694" i="28"/>
  <c r="I1714" i="28" s="1"/>
  <c r="I1676" i="28"/>
  <c r="O1667" i="28"/>
  <c r="M1666" i="28"/>
  <c r="O1665" i="28"/>
  <c r="O1663" i="28"/>
  <c r="O1661" i="28"/>
  <c r="O1659" i="28"/>
  <c r="O1657" i="28"/>
  <c r="I1677" i="28" s="1"/>
  <c r="I1639" i="28"/>
  <c r="O1630" i="28"/>
  <c r="M1629" i="28"/>
  <c r="O1628" i="28"/>
  <c r="O1626" i="28"/>
  <c r="O1624" i="28"/>
  <c r="O1622" i="28"/>
  <c r="O1620" i="28"/>
  <c r="I1642" i="28" s="1"/>
  <c r="I1602" i="28"/>
  <c r="O1593" i="28"/>
  <c r="M1592" i="28"/>
  <c r="O1591" i="28"/>
  <c r="O1589" i="28"/>
  <c r="O1587" i="28"/>
  <c r="O1585" i="28"/>
  <c r="O1583" i="28"/>
  <c r="I1565" i="28"/>
  <c r="O1556" i="28"/>
  <c r="M1555" i="28"/>
  <c r="O1554" i="28"/>
  <c r="O1552" i="28"/>
  <c r="O1550" i="28"/>
  <c r="O1548" i="28"/>
  <c r="I1528" i="28"/>
  <c r="O1519" i="28"/>
  <c r="M1518" i="28"/>
  <c r="O1517" i="28"/>
  <c r="O1515" i="28"/>
  <c r="O1513" i="28"/>
  <c r="O1511" i="28"/>
  <c r="O1509" i="28"/>
  <c r="H1508" i="28"/>
  <c r="H1510" i="28" s="1"/>
  <c r="H1512" i="28" s="1"/>
  <c r="H1514" i="28" s="1"/>
  <c r="H1516" i="28" s="1"/>
  <c r="O1507" i="28"/>
  <c r="C1494" i="28"/>
  <c r="D1494" i="28" s="1"/>
  <c r="C1493" i="28"/>
  <c r="D1493" i="28" s="1"/>
  <c r="C1492" i="28"/>
  <c r="D1492" i="28" s="1"/>
  <c r="C1491" i="28"/>
  <c r="B1491" i="28"/>
  <c r="C1490" i="28"/>
  <c r="C1495" i="28" s="1"/>
  <c r="B1490" i="28"/>
  <c r="D1490" i="28" s="1"/>
  <c r="D1495" i="28" s="1"/>
  <c r="I1489" i="28"/>
  <c r="F1481" i="28"/>
  <c r="F1480" i="28"/>
  <c r="M1479" i="28"/>
  <c r="O1478" i="28"/>
  <c r="I1490" i="28" s="1"/>
  <c r="O1476" i="28"/>
  <c r="O1470" i="28"/>
  <c r="O1468" i="28"/>
  <c r="A1468" i="28"/>
  <c r="A1470" i="28" s="1"/>
  <c r="A1472" i="28" s="1"/>
  <c r="A1476" i="28" s="1"/>
  <c r="D1456" i="28"/>
  <c r="C1456" i="28"/>
  <c r="B1456" i="28"/>
  <c r="B1453" i="28"/>
  <c r="B1452" i="28"/>
  <c r="I1450" i="28"/>
  <c r="F1442" i="28"/>
  <c r="M1440" i="28"/>
  <c r="O1439" i="28"/>
  <c r="O1437" i="28"/>
  <c r="O1435" i="28"/>
  <c r="O1433" i="28"/>
  <c r="I1453" i="28" s="1"/>
  <c r="O1431" i="28"/>
  <c r="B1420" i="28"/>
  <c r="B1416" i="28"/>
  <c r="B1415" i="28"/>
  <c r="I1413" i="28"/>
  <c r="F1405" i="28"/>
  <c r="O1404" i="28"/>
  <c r="M1403" i="28"/>
  <c r="O1402" i="28"/>
  <c r="O1400" i="28"/>
  <c r="O1398" i="28"/>
  <c r="O1396" i="28"/>
  <c r="H1395" i="28"/>
  <c r="H1397" i="28" s="1"/>
  <c r="O1394" i="28"/>
  <c r="B1379" i="28"/>
  <c r="B1378" i="28"/>
  <c r="B1383" i="28" s="1"/>
  <c r="I1376" i="28"/>
  <c r="F1368" i="28"/>
  <c r="O1367" i="28"/>
  <c r="M1366" i="28"/>
  <c r="O1365" i="28"/>
  <c r="O1363" i="28"/>
  <c r="O1361" i="28"/>
  <c r="O1359" i="28"/>
  <c r="H1358" i="28"/>
  <c r="H1360" i="28" s="1"/>
  <c r="H1362" i="28" s="1"/>
  <c r="H1364" i="28" s="1"/>
  <c r="O1357" i="28"/>
  <c r="B1340" i="28"/>
  <c r="I1339" i="28"/>
  <c r="B1339" i="28"/>
  <c r="B1344" i="28" s="1"/>
  <c r="O1330" i="28"/>
  <c r="M1329" i="28"/>
  <c r="F1329" i="28"/>
  <c r="O1328" i="28"/>
  <c r="O1326" i="28"/>
  <c r="O1324" i="28"/>
  <c r="O1322" i="28"/>
  <c r="H1321" i="28"/>
  <c r="H1323" i="28" s="1"/>
  <c r="H1325" i="28" s="1"/>
  <c r="H1327" i="28" s="1"/>
  <c r="O1320" i="28"/>
  <c r="I1305" i="28"/>
  <c r="B1303" i="28"/>
  <c r="B1302" i="28"/>
  <c r="B1307" i="28" s="1"/>
  <c r="M1292" i="28"/>
  <c r="F1292" i="28"/>
  <c r="O1284" i="28"/>
  <c r="I1302" i="28" s="1"/>
  <c r="I1307" i="28" s="1"/>
  <c r="O1282" i="28"/>
  <c r="B1266" i="28"/>
  <c r="B1265" i="28"/>
  <c r="B1270" i="28" s="1"/>
  <c r="M1255" i="28"/>
  <c r="F1255" i="28"/>
  <c r="O1254" i="28"/>
  <c r="O1252" i="28"/>
  <c r="I1266" i="28" s="1"/>
  <c r="O1250" i="28"/>
  <c r="I1268" i="28" s="1"/>
  <c r="O1247" i="28"/>
  <c r="O1245" i="28"/>
  <c r="B1229" i="28"/>
  <c r="B1228" i="28"/>
  <c r="B1233" i="28" s="1"/>
  <c r="M1218" i="28"/>
  <c r="I1231" i="28" s="1"/>
  <c r="F1218" i="28"/>
  <c r="O1216" i="28"/>
  <c r="O1214" i="28"/>
  <c r="O1212" i="28"/>
  <c r="A1212" i="28"/>
  <c r="A1245" i="28" s="1"/>
  <c r="A1247" i="28" s="1"/>
  <c r="A1249" i="28" s="1"/>
  <c r="A1251" i="28" s="1"/>
  <c r="A1253" i="28" s="1"/>
  <c r="A1282" i="28" s="1"/>
  <c r="A1284" i="28" s="1"/>
  <c r="A1286" i="28" s="1"/>
  <c r="A1288" i="28" s="1"/>
  <c r="A1290" i="28" s="1"/>
  <c r="A1319" i="28" s="1"/>
  <c r="A1321" i="28" s="1"/>
  <c r="A1323" i="28" s="1"/>
  <c r="A1325" i="28" s="1"/>
  <c r="A1327" i="28" s="1"/>
  <c r="A1356" i="28" s="1"/>
  <c r="A1358" i="28" s="1"/>
  <c r="A1360" i="28" s="1"/>
  <c r="A1362" i="28" s="1"/>
  <c r="A1364" i="28" s="1"/>
  <c r="A1366" i="28" s="1"/>
  <c r="A1395" i="28" s="1"/>
  <c r="A1397" i="28" s="1"/>
  <c r="A1399" i="28" s="1"/>
  <c r="A1401" i="28" s="1"/>
  <c r="A1432" i="28" s="1"/>
  <c r="A1434" i="28" s="1"/>
  <c r="A1436" i="28" s="1"/>
  <c r="A1438" i="28" s="1"/>
  <c r="O1210" i="28"/>
  <c r="O1208" i="28"/>
  <c r="I1192" i="28"/>
  <c r="B1192" i="28"/>
  <c r="B1191" i="28"/>
  <c r="B1196" i="28" s="1"/>
  <c r="O1182" i="28"/>
  <c r="F1181" i="28"/>
  <c r="O1179" i="28"/>
  <c r="O1177" i="28"/>
  <c r="M1177" i="28"/>
  <c r="M1175" i="28"/>
  <c r="M1181" i="28" s="1"/>
  <c r="O1174" i="28"/>
  <c r="I1194" i="28" s="1"/>
  <c r="O1171" i="28"/>
  <c r="A1171" i="28"/>
  <c r="A1173" i="28" s="1"/>
  <c r="A1208" i="28" s="1"/>
  <c r="A1210" i="28" s="1"/>
  <c r="B1155" i="28"/>
  <c r="B1154" i="28"/>
  <c r="M1144" i="28"/>
  <c r="F1144" i="28"/>
  <c r="O1143" i="28"/>
  <c r="O1141" i="28"/>
  <c r="O1136" i="28"/>
  <c r="O1134" i="28"/>
  <c r="I1154" i="28" s="1"/>
  <c r="B1122" i="28"/>
  <c r="C1121" i="28"/>
  <c r="D1121" i="28" s="1"/>
  <c r="C1158" i="28" s="1"/>
  <c r="D1158" i="28" s="1"/>
  <c r="C1195" i="28" s="1"/>
  <c r="D1195" i="28" s="1"/>
  <c r="C1232" i="28" s="1"/>
  <c r="D1232" i="28" s="1"/>
  <c r="C1269" i="28" s="1"/>
  <c r="D1269" i="28" s="1"/>
  <c r="C1306" i="28" s="1"/>
  <c r="D1306" i="28" s="1"/>
  <c r="C1343" i="28" s="1"/>
  <c r="D1343" i="28" s="1"/>
  <c r="C1382" i="28" s="1"/>
  <c r="D1382" i="28" s="1"/>
  <c r="C1419" i="28" s="1"/>
  <c r="D1419" i="28" s="1"/>
  <c r="B1118" i="28"/>
  <c r="B1117" i="28"/>
  <c r="O1108" i="28"/>
  <c r="M1108" i="28"/>
  <c r="M1107" i="28"/>
  <c r="F1107" i="28"/>
  <c r="O1106" i="28"/>
  <c r="O1104" i="28"/>
  <c r="O1102" i="28"/>
  <c r="O1100" i="28"/>
  <c r="I1118" i="28" s="1"/>
  <c r="O1097" i="28"/>
  <c r="I1117" i="28" s="1"/>
  <c r="B1085" i="28"/>
  <c r="C1084" i="28"/>
  <c r="D1084" i="28" s="1"/>
  <c r="K1083" i="28"/>
  <c r="J1120" i="28" s="1"/>
  <c r="K1120" i="28" s="1"/>
  <c r="J1157" i="28" s="1"/>
  <c r="K1157" i="28" s="1"/>
  <c r="J1194" i="28" s="1"/>
  <c r="B1081" i="28"/>
  <c r="I1080" i="28"/>
  <c r="B1080" i="28"/>
  <c r="M1070" i="28"/>
  <c r="M1072" i="28" s="1"/>
  <c r="F1070" i="28"/>
  <c r="O1069" i="28"/>
  <c r="O1067" i="28"/>
  <c r="O1065" i="28"/>
  <c r="O1063" i="28"/>
  <c r="O1061" i="28"/>
  <c r="B1046" i="28"/>
  <c r="B1045" i="28"/>
  <c r="F1035" i="28"/>
  <c r="M1033" i="28"/>
  <c r="A1033" i="28"/>
  <c r="A1060" i="28" s="1"/>
  <c r="A1062" i="28" s="1"/>
  <c r="A1097" i="28" s="1"/>
  <c r="A1099" i="28" s="1"/>
  <c r="A1101" i="28" s="1"/>
  <c r="O1032" i="28"/>
  <c r="O1030" i="28"/>
  <c r="O1028" i="28"/>
  <c r="O1025" i="28"/>
  <c r="I1046" i="28" s="1"/>
  <c r="I1048" i="28" s="1"/>
  <c r="B1011" i="28"/>
  <c r="B1010" i="28"/>
  <c r="B1015" i="28" s="1"/>
  <c r="I1008" i="28"/>
  <c r="F1000" i="28"/>
  <c r="O999" i="28"/>
  <c r="M998" i="28"/>
  <c r="O997" i="28"/>
  <c r="I1011" i="28" s="1"/>
  <c r="O995" i="28"/>
  <c r="I1009" i="28" s="1"/>
  <c r="O993" i="28"/>
  <c r="O991" i="28"/>
  <c r="H990" i="28"/>
  <c r="H992" i="28" s="1"/>
  <c r="H994" i="28" s="1"/>
  <c r="O989" i="28"/>
  <c r="H988" i="28"/>
  <c r="O987" i="28"/>
  <c r="B974" i="28"/>
  <c r="B972" i="28"/>
  <c r="B971" i="28"/>
  <c r="B976" i="28" s="1"/>
  <c r="F961" i="28"/>
  <c r="O960" i="28"/>
  <c r="M959" i="28"/>
  <c r="O958" i="28"/>
  <c r="O956" i="28"/>
  <c r="O954" i="28"/>
  <c r="O952" i="28"/>
  <c r="O949" i="28"/>
  <c r="I969" i="28" s="1"/>
  <c r="B935" i="28"/>
  <c r="I933" i="28"/>
  <c r="B933" i="28"/>
  <c r="B932" i="28"/>
  <c r="F922" i="28"/>
  <c r="M920" i="28"/>
  <c r="O914" i="28"/>
  <c r="I930" i="28" s="1"/>
  <c r="I935" i="28" s="1"/>
  <c r="B898" i="28"/>
  <c r="I896" i="28"/>
  <c r="B896" i="28"/>
  <c r="B895" i="28"/>
  <c r="B900" i="28" s="1"/>
  <c r="F885" i="28"/>
  <c r="M883" i="28"/>
  <c r="O882" i="28"/>
  <c r="O879" i="28"/>
  <c r="O877" i="28"/>
  <c r="O875" i="28"/>
  <c r="O873" i="28"/>
  <c r="H873" i="28"/>
  <c r="H875" i="28" s="1"/>
  <c r="H877" i="28" s="1"/>
  <c r="H879" i="28" s="1"/>
  <c r="H881" i="28" s="1"/>
  <c r="H910" i="28" s="1"/>
  <c r="H912" i="28" s="1"/>
  <c r="H914" i="28" s="1"/>
  <c r="O871" i="28"/>
  <c r="I893" i="28" s="1"/>
  <c r="I898" i="28" s="1"/>
  <c r="B861" i="28"/>
  <c r="B857" i="28"/>
  <c r="B856" i="28"/>
  <c r="I854" i="28"/>
  <c r="F846" i="28"/>
  <c r="M844" i="28"/>
  <c r="O843" i="28"/>
  <c r="O841" i="28"/>
  <c r="I857" i="28" s="1"/>
  <c r="O839" i="28"/>
  <c r="O837" i="28"/>
  <c r="O835" i="28"/>
  <c r="I855" i="28" s="1"/>
  <c r="A834" i="28"/>
  <c r="A836" i="28" s="1"/>
  <c r="A838" i="28" s="1"/>
  <c r="A842" i="28" s="1"/>
  <c r="A844" i="28" s="1"/>
  <c r="A873" i="28" s="1"/>
  <c r="A875" i="28" s="1"/>
  <c r="A877" i="28" s="1"/>
  <c r="A881" i="28" s="1"/>
  <c r="A883" i="28" s="1"/>
  <c r="A912" i="28" s="1"/>
  <c r="A914" i="28" s="1"/>
  <c r="A916" i="28" s="1"/>
  <c r="A949" i="28" s="1"/>
  <c r="A988" i="28" s="1"/>
  <c r="B822" i="28"/>
  <c r="B820" i="28"/>
  <c r="B819" i="28"/>
  <c r="I818" i="28"/>
  <c r="I817" i="28"/>
  <c r="F809" i="28"/>
  <c r="O808" i="28"/>
  <c r="M807" i="28"/>
  <c r="O806" i="28"/>
  <c r="O802" i="28"/>
  <c r="O800" i="28"/>
  <c r="B785" i="28"/>
  <c r="B784" i="28"/>
  <c r="I782" i="28"/>
  <c r="F774" i="28"/>
  <c r="M772" i="28"/>
  <c r="O771" i="28"/>
  <c r="I785" i="28" s="1"/>
  <c r="A770" i="28"/>
  <c r="A772" i="28" s="1"/>
  <c r="A801" i="28" s="1"/>
  <c r="O769" i="28"/>
  <c r="O767" i="28"/>
  <c r="O765" i="28"/>
  <c r="O763" i="28"/>
  <c r="B750" i="28"/>
  <c r="B748" i="28"/>
  <c r="B747" i="28"/>
  <c r="B752" i="28" s="1"/>
  <c r="I746" i="28"/>
  <c r="I745" i="28"/>
  <c r="F737" i="28"/>
  <c r="M735" i="28"/>
  <c r="O734" i="28"/>
  <c r="A733" i="28"/>
  <c r="A735" i="28" s="1"/>
  <c r="A766" i="28" s="1"/>
  <c r="A768" i="28" s="1"/>
  <c r="O732" i="28"/>
  <c r="O730" i="28"/>
  <c r="O728" i="28"/>
  <c r="O726" i="28"/>
  <c r="B709" i="28"/>
  <c r="I708" i="28"/>
  <c r="B708" i="28"/>
  <c r="B713" i="28" s="1"/>
  <c r="O699" i="28"/>
  <c r="M698" i="28"/>
  <c r="F698" i="28"/>
  <c r="O697" i="28"/>
  <c r="A696" i="28"/>
  <c r="A725" i="28" s="1"/>
  <c r="A727" i="28" s="1"/>
  <c r="O695" i="28"/>
  <c r="I711" i="28" s="1"/>
  <c r="O693" i="28"/>
  <c r="O691" i="28"/>
  <c r="O689" i="28"/>
  <c r="C675" i="28"/>
  <c r="D675" i="28" s="1"/>
  <c r="C712" i="28" s="1"/>
  <c r="D712" i="28" s="1"/>
  <c r="C751" i="28" s="1"/>
  <c r="D751" i="28" s="1"/>
  <c r="C788" i="28" s="1"/>
  <c r="D788" i="28" s="1"/>
  <c r="C823" i="28" s="1"/>
  <c r="D823" i="28" s="1"/>
  <c r="C860" i="28" s="1"/>
  <c r="D860" i="28" s="1"/>
  <c r="C899" i="28" s="1"/>
  <c r="D899" i="28" s="1"/>
  <c r="C936" i="28" s="1"/>
  <c r="D936" i="28" s="1"/>
  <c r="C975" i="28" s="1"/>
  <c r="D975" i="28" s="1"/>
  <c r="C1014" i="28" s="1"/>
  <c r="D1014" i="28" s="1"/>
  <c r="B674" i="28"/>
  <c r="B672" i="28"/>
  <c r="I671" i="28"/>
  <c r="B671" i="28"/>
  <c r="B676" i="28" s="1"/>
  <c r="O662" i="28"/>
  <c r="M661" i="28"/>
  <c r="F661" i="28"/>
  <c r="O660" i="28"/>
  <c r="O658" i="28"/>
  <c r="O656" i="28"/>
  <c r="O654" i="28"/>
  <c r="O652" i="28"/>
  <c r="I672" i="28" s="1"/>
  <c r="I676" i="28" s="1"/>
  <c r="A651" i="28"/>
  <c r="A655" i="28" s="1"/>
  <c r="A688" i="28" s="1"/>
  <c r="A690" i="28" s="1"/>
  <c r="A692" i="28" s="1"/>
  <c r="B639" i="28"/>
  <c r="H638" i="28"/>
  <c r="B635" i="28"/>
  <c r="B634" i="28"/>
  <c r="O625" i="28"/>
  <c r="M624" i="28"/>
  <c r="F624" i="28"/>
  <c r="O622" i="28"/>
  <c r="O623" i="28" s="1"/>
  <c r="O621" i="28"/>
  <c r="O619" i="28"/>
  <c r="Q616" i="28"/>
  <c r="O616" i="28"/>
  <c r="B600" i="28"/>
  <c r="I599" i="28"/>
  <c r="B599" i="28"/>
  <c r="B604" i="28" s="1"/>
  <c r="O590" i="28"/>
  <c r="M589" i="28"/>
  <c r="F589" i="28"/>
  <c r="O588" i="28"/>
  <c r="A587" i="28"/>
  <c r="A616" i="28" s="1"/>
  <c r="A620" i="28" s="1"/>
  <c r="O586" i="28"/>
  <c r="O582" i="28"/>
  <c r="O580" i="28"/>
  <c r="A579" i="28"/>
  <c r="A581" i="28" s="1"/>
  <c r="B567" i="28"/>
  <c r="B563" i="28"/>
  <c r="B562" i="28"/>
  <c r="M552" i="28"/>
  <c r="F552" i="28"/>
  <c r="O551" i="28"/>
  <c r="A550" i="28"/>
  <c r="O549" i="28"/>
  <c r="O547" i="28"/>
  <c r="O545" i="28"/>
  <c r="O543" i="28"/>
  <c r="A542" i="28"/>
  <c r="A546" i="28" s="1"/>
  <c r="B526" i="28"/>
  <c r="B525" i="28"/>
  <c r="B530" i="28" s="1"/>
  <c r="F515" i="28"/>
  <c r="O512" i="28"/>
  <c r="A511" i="28"/>
  <c r="O510" i="28"/>
  <c r="O508" i="28"/>
  <c r="O506" i="28"/>
  <c r="A505" i="28"/>
  <c r="B489" i="28"/>
  <c r="I488" i="28"/>
  <c r="B488" i="28"/>
  <c r="B493" i="28" s="1"/>
  <c r="M478" i="28"/>
  <c r="F478" i="28"/>
  <c r="O477" i="28"/>
  <c r="O475" i="28"/>
  <c r="O473" i="28"/>
  <c r="B451" i="28"/>
  <c r="I450" i="28"/>
  <c r="B450" i="28"/>
  <c r="B455" i="28" s="1"/>
  <c r="F440" i="28"/>
  <c r="O439" i="28"/>
  <c r="O437" i="28"/>
  <c r="M440" i="28"/>
  <c r="B413" i="28"/>
  <c r="B412" i="28"/>
  <c r="M402" i="28"/>
  <c r="F402" i="28"/>
  <c r="O401" i="28"/>
  <c r="O399" i="28"/>
  <c r="I413" i="28"/>
  <c r="I374" i="28"/>
  <c r="B374" i="28"/>
  <c r="B371" i="28"/>
  <c r="B376" i="28" s="1"/>
  <c r="M361" i="28"/>
  <c r="F361" i="28"/>
  <c r="O360" i="28"/>
  <c r="A359" i="28"/>
  <c r="A388" i="28" s="1"/>
  <c r="A394" i="28" s="1"/>
  <c r="A396" i="28" s="1"/>
  <c r="A398" i="28" s="1"/>
  <c r="A400" i="28" s="1"/>
  <c r="A430" i="28" s="1"/>
  <c r="A432" i="28" s="1"/>
  <c r="A436" i="28" s="1"/>
  <c r="A468" i="28" s="1"/>
  <c r="A470" i="28" s="1"/>
  <c r="A474" i="28" s="1"/>
  <c r="A476" i="28" s="1"/>
  <c r="O358" i="28"/>
  <c r="I372" i="28" s="1"/>
  <c r="A351" i="28"/>
  <c r="A355" i="28" s="1"/>
  <c r="B335" i="28"/>
  <c r="B334" i="28"/>
  <c r="B339" i="28" s="1"/>
  <c r="M324" i="28"/>
  <c r="M326" i="28" s="1"/>
  <c r="F324" i="28"/>
  <c r="O323" i="28"/>
  <c r="O321" i="28"/>
  <c r="O319" i="28"/>
  <c r="O317" i="28"/>
  <c r="O315" i="28"/>
  <c r="O313" i="28"/>
  <c r="B296" i="28"/>
  <c r="I295" i="28"/>
  <c r="B295" i="28"/>
  <c r="B300" i="28" s="1"/>
  <c r="M285" i="28"/>
  <c r="I298" i="28" s="1"/>
  <c r="I300" i="28" s="1"/>
  <c r="F285" i="28"/>
  <c r="O284" i="28"/>
  <c r="O280" i="28"/>
  <c r="O278" i="28"/>
  <c r="O276" i="28"/>
  <c r="O274" i="28"/>
  <c r="I256" i="28"/>
  <c r="B256" i="28"/>
  <c r="B261" i="28" s="1"/>
  <c r="M246" i="28"/>
  <c r="F246" i="28"/>
  <c r="O245" i="28"/>
  <c r="O243" i="28"/>
  <c r="O241" i="28"/>
  <c r="O239" i="28"/>
  <c r="O237" i="28"/>
  <c r="O235" i="28"/>
  <c r="I259" i="28" s="1"/>
  <c r="B222" i="28"/>
  <c r="B219" i="28"/>
  <c r="I217" i="28"/>
  <c r="B217" i="28"/>
  <c r="O208" i="28"/>
  <c r="F207" i="28"/>
  <c r="O206" i="28"/>
  <c r="O204" i="28"/>
  <c r="O202" i="28"/>
  <c r="M201" i="28"/>
  <c r="M207" i="28" s="1"/>
  <c r="O200" i="28"/>
  <c r="O198" i="28"/>
  <c r="I220" i="28" s="1"/>
  <c r="A197" i="28"/>
  <c r="A199" i="28" s="1"/>
  <c r="A201" i="28" s="1"/>
  <c r="A203" i="28" s="1"/>
  <c r="A234" i="28" s="1"/>
  <c r="A236" i="28" s="1"/>
  <c r="A238" i="28" s="1"/>
  <c r="A273" i="28" s="1"/>
  <c r="A275" i="28" s="1"/>
  <c r="A277" i="28" s="1"/>
  <c r="A279" i="28" s="1"/>
  <c r="A283" i="28" s="1"/>
  <c r="A312" i="28" s="1"/>
  <c r="A314" i="28" s="1"/>
  <c r="A316" i="28" s="1"/>
  <c r="A318" i="28" s="1"/>
  <c r="B181" i="28"/>
  <c r="I180" i="28"/>
  <c r="I185" i="28" s="1"/>
  <c r="B180" i="28"/>
  <c r="M170" i="28"/>
  <c r="I183" i="28" s="1"/>
  <c r="F170" i="28"/>
  <c r="O169" i="28"/>
  <c r="O167" i="28"/>
  <c r="O165" i="28"/>
  <c r="A164" i="28"/>
  <c r="A168" i="28" s="1"/>
  <c r="O163" i="28"/>
  <c r="O161" i="28"/>
  <c r="A160" i="28"/>
  <c r="B144" i="28"/>
  <c r="B143" i="28"/>
  <c r="B148" i="28" s="1"/>
  <c r="M133" i="28"/>
  <c r="F133" i="28"/>
  <c r="O132" i="28"/>
  <c r="O130" i="28"/>
  <c r="O128" i="28"/>
  <c r="O126" i="28"/>
  <c r="O124" i="28"/>
  <c r="B107" i="28"/>
  <c r="B106" i="28"/>
  <c r="B111" i="28" s="1"/>
  <c r="M96" i="28"/>
  <c r="I109" i="28" s="1"/>
  <c r="F96" i="28"/>
  <c r="O95" i="28"/>
  <c r="A94" i="28"/>
  <c r="A123" i="28" s="1"/>
  <c r="A125" i="28" s="1"/>
  <c r="A127" i="28" s="1"/>
  <c r="A131" i="28" s="1"/>
  <c r="O93" i="28"/>
  <c r="O91" i="28"/>
  <c r="O89" i="28"/>
  <c r="O87" i="28"/>
  <c r="C73" i="28"/>
  <c r="D73" i="28" s="1"/>
  <c r="C110" i="28" s="1"/>
  <c r="D110" i="28" s="1"/>
  <c r="C147" i="28" s="1"/>
  <c r="D147" i="28" s="1"/>
  <c r="C184" i="28" s="1"/>
  <c r="D184" i="28" s="1"/>
  <c r="C221" i="28" s="1"/>
  <c r="D221" i="28" s="1"/>
  <c r="C260" i="28" s="1"/>
  <c r="D260" i="28" s="1"/>
  <c r="C299" i="28" s="1"/>
  <c r="D299" i="28" s="1"/>
  <c r="C338" i="28" s="1"/>
  <c r="D338" i="28" s="1"/>
  <c r="C375" i="28" s="1"/>
  <c r="D375" i="28" s="1"/>
  <c r="C416" i="28" s="1"/>
  <c r="D416" i="28" s="1"/>
  <c r="C454" i="28" s="1"/>
  <c r="D454" i="28" s="1"/>
  <c r="C492" i="28" s="1"/>
  <c r="D492" i="28" s="1"/>
  <c r="C529" i="28" s="1"/>
  <c r="D529" i="28" s="1"/>
  <c r="I69" i="28"/>
  <c r="B69" i="28"/>
  <c r="B74" i="28" s="1"/>
  <c r="M59" i="28"/>
  <c r="F59" i="28"/>
  <c r="O58" i="28"/>
  <c r="O56" i="28"/>
  <c r="O54" i="28"/>
  <c r="O52" i="28"/>
  <c r="O50" i="28"/>
  <c r="A49" i="28"/>
  <c r="A51" i="28" s="1"/>
  <c r="A55" i="28" s="1"/>
  <c r="A86" i="28" s="1"/>
  <c r="A88" i="28" s="1"/>
  <c r="A90" i="28" s="1"/>
  <c r="J37" i="28"/>
  <c r="C37" i="28"/>
  <c r="F23" i="28" s="1"/>
  <c r="B37" i="28"/>
  <c r="K36" i="28"/>
  <c r="J73" i="28" s="1"/>
  <c r="K73" i="28" s="1"/>
  <c r="J110" i="28" s="1"/>
  <c r="K110" i="28" s="1"/>
  <c r="J147" i="28" s="1"/>
  <c r="K147" i="28" s="1"/>
  <c r="J184" i="28" s="1"/>
  <c r="K184" i="28" s="1"/>
  <c r="J221" i="28" s="1"/>
  <c r="K221" i="28" s="1"/>
  <c r="J260" i="28" s="1"/>
  <c r="K260" i="28" s="1"/>
  <c r="J299" i="28" s="1"/>
  <c r="K299" i="28" s="1"/>
  <c r="J338" i="28" s="1"/>
  <c r="K338" i="28" s="1"/>
  <c r="J375" i="28" s="1"/>
  <c r="K375" i="28" s="1"/>
  <c r="J416" i="28" s="1"/>
  <c r="K416" i="28" s="1"/>
  <c r="J454" i="28" s="1"/>
  <c r="K454" i="28" s="1"/>
  <c r="J492" i="28" s="1"/>
  <c r="K492" i="28" s="1"/>
  <c r="J529" i="28" s="1"/>
  <c r="K529" i="28" s="1"/>
  <c r="J566" i="28" s="1"/>
  <c r="D36" i="28"/>
  <c r="D35" i="28"/>
  <c r="C72" i="28" s="1"/>
  <c r="D72" i="28" s="1"/>
  <c r="C109" i="28" s="1"/>
  <c r="D109" i="28" s="1"/>
  <c r="C146" i="28" s="1"/>
  <c r="D146" i="28" s="1"/>
  <c r="C183" i="28" s="1"/>
  <c r="D183" i="28" s="1"/>
  <c r="C220" i="28" s="1"/>
  <c r="D220" i="28" s="1"/>
  <c r="C259" i="28" s="1"/>
  <c r="D259" i="28" s="1"/>
  <c r="C298" i="28" s="1"/>
  <c r="D298" i="28" s="1"/>
  <c r="C337" i="28" s="1"/>
  <c r="D337" i="28" s="1"/>
  <c r="C374" i="28" s="1"/>
  <c r="K34" i="28"/>
  <c r="J71" i="28" s="1"/>
  <c r="K71" i="28" s="1"/>
  <c r="J108" i="28" s="1"/>
  <c r="K108" i="28" s="1"/>
  <c r="J145" i="28" s="1"/>
  <c r="K145" i="28" s="1"/>
  <c r="J182" i="28" s="1"/>
  <c r="K182" i="28" s="1"/>
  <c r="J219" i="28" s="1"/>
  <c r="K219" i="28" s="1"/>
  <c r="J258" i="28" s="1"/>
  <c r="K258" i="28" s="1"/>
  <c r="J297" i="28" s="1"/>
  <c r="K297" i="28" s="1"/>
  <c r="J336" i="28" s="1"/>
  <c r="K336" i="28" s="1"/>
  <c r="J373" i="28" s="1"/>
  <c r="K373" i="28" s="1"/>
  <c r="J414" i="28" s="1"/>
  <c r="K414" i="28" s="1"/>
  <c r="J452" i="28" s="1"/>
  <c r="K452" i="28" s="1"/>
  <c r="J490" i="28" s="1"/>
  <c r="K490" i="28" s="1"/>
  <c r="J527" i="28" s="1"/>
  <c r="K527" i="28" s="1"/>
  <c r="J564" i="28" s="1"/>
  <c r="K564" i="28" s="1"/>
  <c r="J601" i="28" s="1"/>
  <c r="K601" i="28" s="1"/>
  <c r="J636" i="28" s="1"/>
  <c r="K636" i="28" s="1"/>
  <c r="J673" i="28" s="1"/>
  <c r="K673" i="28" s="1"/>
  <c r="J710" i="28" s="1"/>
  <c r="K710" i="28" s="1"/>
  <c r="J747" i="28" s="1"/>
  <c r="K747" i="28" s="1"/>
  <c r="J784" i="28" s="1"/>
  <c r="K784" i="28" s="1"/>
  <c r="J819" i="28" s="1"/>
  <c r="K819" i="28" s="1"/>
  <c r="J856" i="28" s="1"/>
  <c r="K856" i="28" s="1"/>
  <c r="J895" i="28" s="1"/>
  <c r="K895" i="28" s="1"/>
  <c r="J932" i="28" s="1"/>
  <c r="K932" i="28" s="1"/>
  <c r="J971" i="28" s="1"/>
  <c r="K971" i="28" s="1"/>
  <c r="J1010" i="28" s="1"/>
  <c r="K1010" i="28" s="1"/>
  <c r="J1045" i="28" s="1"/>
  <c r="K1045" i="28" s="1"/>
  <c r="J1082" i="28" s="1"/>
  <c r="D34" i="28"/>
  <c r="C71" i="28" s="1"/>
  <c r="D71" i="28" s="1"/>
  <c r="C108" i="28" s="1"/>
  <c r="D108" i="28" s="1"/>
  <c r="C145" i="28" s="1"/>
  <c r="D145" i="28" s="1"/>
  <c r="C182" i="28" s="1"/>
  <c r="D182" i="28" s="1"/>
  <c r="C219" i="28" s="1"/>
  <c r="D219" i="28" s="1"/>
  <c r="C258" i="28" s="1"/>
  <c r="D258" i="28" s="1"/>
  <c r="C297" i="28" s="1"/>
  <c r="D297" i="28" s="1"/>
  <c r="C336" i="28" s="1"/>
  <c r="D336" i="28" s="1"/>
  <c r="C373" i="28" s="1"/>
  <c r="D373" i="28" s="1"/>
  <c r="C414" i="28" s="1"/>
  <c r="D414" i="28" s="1"/>
  <c r="C452" i="28" s="1"/>
  <c r="D452" i="28" s="1"/>
  <c r="C490" i="28" s="1"/>
  <c r="D490" i="28" s="1"/>
  <c r="C527" i="28" s="1"/>
  <c r="D527" i="28" s="1"/>
  <c r="C564" i="28" s="1"/>
  <c r="D564" i="28" s="1"/>
  <c r="C601" i="28" s="1"/>
  <c r="D601" i="28" s="1"/>
  <c r="C636" i="28" s="1"/>
  <c r="D636" i="28" s="1"/>
  <c r="C673" i="28" s="1"/>
  <c r="D673" i="28" s="1"/>
  <c r="C710" i="28" s="1"/>
  <c r="D710" i="28" s="1"/>
  <c r="C749" i="28" s="1"/>
  <c r="D749" i="28" s="1"/>
  <c r="C786" i="28" s="1"/>
  <c r="D786" i="28" s="1"/>
  <c r="C821" i="28" s="1"/>
  <c r="D821" i="28" s="1"/>
  <c r="C858" i="28" s="1"/>
  <c r="D858" i="28" s="1"/>
  <c r="C897" i="28" s="1"/>
  <c r="D897" i="28" s="1"/>
  <c r="C934" i="28" s="1"/>
  <c r="D934" i="28" s="1"/>
  <c r="C973" i="28" s="1"/>
  <c r="D973" i="28" s="1"/>
  <c r="C1012" i="28" s="1"/>
  <c r="D1012" i="28" s="1"/>
  <c r="C1047" i="28" s="1"/>
  <c r="D1047" i="28" s="1"/>
  <c r="C1082" i="28" s="1"/>
  <c r="D1082" i="28" s="1"/>
  <c r="C1119" i="28" s="1"/>
  <c r="D1119" i="28" s="1"/>
  <c r="C1156" i="28" s="1"/>
  <c r="D1156" i="28" s="1"/>
  <c r="C1193" i="28" s="1"/>
  <c r="D1193" i="28" s="1"/>
  <c r="C1230" i="28" s="1"/>
  <c r="D1230" i="28" s="1"/>
  <c r="C1267" i="28" s="1"/>
  <c r="D1267" i="28" s="1"/>
  <c r="C1304" i="28" s="1"/>
  <c r="D1304" i="28" s="1"/>
  <c r="C1341" i="28" s="1"/>
  <c r="D1341" i="28" s="1"/>
  <c r="C1380" i="28" s="1"/>
  <c r="D1380" i="28" s="1"/>
  <c r="C1417" i="28" s="1"/>
  <c r="D1417" i="28" s="1"/>
  <c r="C1454" i="28" s="1"/>
  <c r="D1454" i="28" s="1"/>
  <c r="K33" i="28"/>
  <c r="J70" i="28" s="1"/>
  <c r="K70" i="28" s="1"/>
  <c r="J107" i="28" s="1"/>
  <c r="K107" i="28" s="1"/>
  <c r="J144" i="28" s="1"/>
  <c r="K144" i="28" s="1"/>
  <c r="J181" i="28" s="1"/>
  <c r="K181" i="28" s="1"/>
  <c r="J218" i="28" s="1"/>
  <c r="D33" i="28"/>
  <c r="C70" i="28" s="1"/>
  <c r="D70" i="28" s="1"/>
  <c r="C107" i="28" s="1"/>
  <c r="D107" i="28" s="1"/>
  <c r="C144" i="28" s="1"/>
  <c r="D144" i="28" s="1"/>
  <c r="C181" i="28" s="1"/>
  <c r="D181" i="28" s="1"/>
  <c r="C218" i="28" s="1"/>
  <c r="D218" i="28" s="1"/>
  <c r="C257" i="28" s="1"/>
  <c r="D257" i="28" s="1"/>
  <c r="C296" i="28" s="1"/>
  <c r="I32" i="28"/>
  <c r="K32" i="28" s="1"/>
  <c r="J69" i="28" s="1"/>
  <c r="D32" i="28"/>
  <c r="M22" i="28"/>
  <c r="M24" i="28" s="1"/>
  <c r="M60" i="28" s="1"/>
  <c r="F22" i="28"/>
  <c r="O21" i="28"/>
  <c r="O19" i="28"/>
  <c r="O17" i="28"/>
  <c r="O15" i="28"/>
  <c r="A14" i="28"/>
  <c r="O13" i="28"/>
  <c r="H213" i="12"/>
  <c r="G213" i="12"/>
  <c r="F213" i="12"/>
  <c r="E213" i="12"/>
  <c r="D213" i="12"/>
  <c r="H211" i="12"/>
  <c r="G211" i="12"/>
  <c r="F211" i="12"/>
  <c r="E211" i="12"/>
  <c r="H210" i="12"/>
  <c r="H207" i="12"/>
  <c r="G207" i="12"/>
  <c r="F207" i="12"/>
  <c r="E207" i="12"/>
  <c r="H206" i="12"/>
  <c r="G206" i="12"/>
  <c r="F206" i="12"/>
  <c r="D206" i="12"/>
  <c r="A206" i="12"/>
  <c r="H205" i="12"/>
  <c r="G205" i="12"/>
  <c r="F205" i="12"/>
  <c r="A205" i="12"/>
  <c r="H204" i="12"/>
  <c r="G204" i="12"/>
  <c r="F204" i="12"/>
  <c r="A204" i="12"/>
  <c r="H203" i="12"/>
  <c r="G203" i="12"/>
  <c r="F203" i="12"/>
  <c r="A203" i="12"/>
  <c r="H202" i="12"/>
  <c r="G202" i="12"/>
  <c r="F202" i="12"/>
  <c r="A202" i="12"/>
  <c r="H201" i="12"/>
  <c r="G201" i="12"/>
  <c r="F201" i="12"/>
  <c r="A201" i="12"/>
  <c r="H200" i="12"/>
  <c r="G200" i="12"/>
  <c r="F200" i="12"/>
  <c r="A200" i="12"/>
  <c r="H199" i="12"/>
  <c r="G199" i="12"/>
  <c r="F199" i="12"/>
  <c r="A199" i="12"/>
  <c r="H198" i="12"/>
  <c r="G198" i="12"/>
  <c r="F198" i="12"/>
  <c r="A198" i="12"/>
  <c r="H197" i="12"/>
  <c r="G197" i="12"/>
  <c r="F197" i="12"/>
  <c r="A197" i="12"/>
  <c r="H196" i="12"/>
  <c r="G196" i="12"/>
  <c r="F196" i="12"/>
  <c r="A196" i="12"/>
  <c r="H195" i="12"/>
  <c r="G195" i="12"/>
  <c r="F195" i="12"/>
  <c r="A195" i="12"/>
  <c r="H194" i="12"/>
  <c r="G194" i="12"/>
  <c r="F194" i="12"/>
  <c r="A194" i="12"/>
  <c r="H193" i="12"/>
  <c r="G193" i="12"/>
  <c r="F193" i="12"/>
  <c r="A193" i="12"/>
  <c r="H192" i="12"/>
  <c r="G192" i="12"/>
  <c r="F192" i="12"/>
  <c r="A192" i="12"/>
  <c r="H191" i="12"/>
  <c r="G191" i="12"/>
  <c r="F191" i="12"/>
  <c r="H190" i="12"/>
  <c r="G190" i="12"/>
  <c r="F190" i="12"/>
  <c r="H189" i="12"/>
  <c r="G189" i="12"/>
  <c r="F189" i="12"/>
  <c r="H188" i="12"/>
  <c r="G188" i="12"/>
  <c r="F188" i="12"/>
  <c r="H187" i="12"/>
  <c r="G187" i="12"/>
  <c r="F187" i="12"/>
  <c r="H186" i="12"/>
  <c r="G186" i="12"/>
  <c r="F186" i="12"/>
  <c r="A186" i="12"/>
  <c r="H185" i="12"/>
  <c r="G185" i="12"/>
  <c r="F185" i="12"/>
  <c r="A185" i="12"/>
  <c r="H184" i="12"/>
  <c r="G184" i="12"/>
  <c r="F184" i="12"/>
  <c r="A184" i="12"/>
  <c r="H183" i="12"/>
  <c r="G183" i="12"/>
  <c r="F183" i="12"/>
  <c r="A183" i="12"/>
  <c r="H182" i="12"/>
  <c r="G182" i="12"/>
  <c r="F182" i="12"/>
  <c r="A182" i="12"/>
  <c r="H181" i="12"/>
  <c r="G181" i="12"/>
  <c r="F181" i="12"/>
  <c r="A181" i="12"/>
  <c r="H180" i="12"/>
  <c r="G180" i="12"/>
  <c r="F180" i="12"/>
  <c r="A180" i="12"/>
  <c r="H179" i="12"/>
  <c r="G179" i="12"/>
  <c r="F179" i="12"/>
  <c r="A179" i="12"/>
  <c r="H178" i="12"/>
  <c r="G178" i="12"/>
  <c r="F178" i="12"/>
  <c r="A178" i="12"/>
  <c r="H177" i="12"/>
  <c r="G177" i="12"/>
  <c r="F177" i="12"/>
  <c r="A177" i="12"/>
  <c r="H176" i="12"/>
  <c r="G176" i="12"/>
  <c r="F176" i="12"/>
  <c r="A176" i="12"/>
  <c r="H175" i="12"/>
  <c r="G175" i="12"/>
  <c r="F175" i="12"/>
  <c r="A175" i="12"/>
  <c r="H174" i="12"/>
  <c r="G174" i="12"/>
  <c r="F174" i="12"/>
  <c r="H173" i="12"/>
  <c r="G173" i="12"/>
  <c r="D173" i="12"/>
  <c r="A173" i="12"/>
  <c r="H172" i="12"/>
  <c r="G172" i="12"/>
  <c r="D172" i="12"/>
  <c r="A172" i="12"/>
  <c r="H171" i="12"/>
  <c r="G171" i="12"/>
  <c r="D171" i="12"/>
  <c r="A171" i="12"/>
  <c r="H170" i="12"/>
  <c r="G170" i="12"/>
  <c r="D170" i="12"/>
  <c r="A170" i="12"/>
  <c r="H169" i="12"/>
  <c r="G169" i="12"/>
  <c r="D169" i="12"/>
  <c r="A169" i="12"/>
  <c r="H168" i="12"/>
  <c r="G168" i="12"/>
  <c r="D168" i="12"/>
  <c r="A168" i="12"/>
  <c r="H167" i="12"/>
  <c r="G167" i="12"/>
  <c r="D167" i="12"/>
  <c r="A167" i="12"/>
  <c r="H166" i="12"/>
  <c r="G166" i="12"/>
  <c r="D166" i="12"/>
  <c r="A166" i="12"/>
  <c r="H165" i="12"/>
  <c r="G165" i="12"/>
  <c r="D165" i="12"/>
  <c r="A165" i="12"/>
  <c r="H164" i="12"/>
  <c r="G164" i="12"/>
  <c r="D164" i="12"/>
  <c r="A164" i="12"/>
  <c r="H163" i="12"/>
  <c r="G163" i="12"/>
  <c r="D163" i="12"/>
  <c r="A163" i="12"/>
  <c r="H162" i="12"/>
  <c r="G162" i="12"/>
  <c r="D162" i="12"/>
  <c r="A162" i="12"/>
  <c r="H161" i="12"/>
  <c r="G161" i="12"/>
  <c r="D161" i="12"/>
  <c r="A161" i="12"/>
  <c r="H160" i="12"/>
  <c r="G160" i="12"/>
  <c r="A160" i="12"/>
  <c r="H159" i="12"/>
  <c r="G159" i="12"/>
  <c r="D159" i="12"/>
  <c r="A159" i="12"/>
  <c r="H158" i="12"/>
  <c r="G158" i="12"/>
  <c r="D158" i="12"/>
  <c r="A158" i="12"/>
  <c r="H157" i="12"/>
  <c r="G157" i="12"/>
  <c r="D157" i="12"/>
  <c r="A157" i="12"/>
  <c r="H156" i="12"/>
  <c r="G156" i="12"/>
  <c r="D156" i="12"/>
  <c r="A156" i="12"/>
  <c r="H155" i="12"/>
  <c r="G155" i="12"/>
  <c r="D155" i="12"/>
  <c r="A155" i="12"/>
  <c r="H154" i="12"/>
  <c r="G154" i="12"/>
  <c r="D154" i="12"/>
  <c r="A154" i="12"/>
  <c r="H153" i="12"/>
  <c r="G153" i="12"/>
  <c r="D153" i="12"/>
  <c r="A153" i="12"/>
  <c r="H152" i="12"/>
  <c r="G152" i="12"/>
  <c r="D152" i="12"/>
  <c r="A152" i="12"/>
  <c r="H151" i="12"/>
  <c r="G151" i="12"/>
  <c r="D151" i="12"/>
  <c r="A151" i="12"/>
  <c r="H150" i="12"/>
  <c r="G150" i="12"/>
  <c r="D150" i="12"/>
  <c r="A150" i="12"/>
  <c r="H149" i="12"/>
  <c r="G149" i="12"/>
  <c r="D149" i="12"/>
  <c r="A149" i="12"/>
  <c r="H148" i="12"/>
  <c r="G148" i="12"/>
  <c r="D148" i="12"/>
  <c r="A148" i="12"/>
  <c r="H147" i="12"/>
  <c r="G147" i="12"/>
  <c r="D147" i="12"/>
  <c r="A147" i="12"/>
  <c r="H146" i="12"/>
  <c r="G146" i="12"/>
  <c r="D146" i="12"/>
  <c r="A146" i="12"/>
  <c r="H145" i="12"/>
  <c r="G145" i="12"/>
  <c r="D145" i="12"/>
  <c r="A145" i="12"/>
  <c r="H144" i="12"/>
  <c r="G144" i="12"/>
  <c r="D144" i="12"/>
  <c r="A144" i="12"/>
  <c r="H143" i="12"/>
  <c r="G143" i="12"/>
  <c r="D143" i="12"/>
  <c r="A143" i="12"/>
  <c r="H142" i="12"/>
  <c r="G142" i="12"/>
  <c r="D142" i="12"/>
  <c r="A142" i="12"/>
  <c r="H141" i="12"/>
  <c r="G141" i="12"/>
  <c r="A141" i="12"/>
  <c r="H140" i="12"/>
  <c r="G140" i="12"/>
  <c r="D140" i="12"/>
  <c r="A140" i="12"/>
  <c r="H139" i="12"/>
  <c r="G139" i="12"/>
  <c r="D139" i="12"/>
  <c r="A139" i="12"/>
  <c r="H138" i="12"/>
  <c r="G138" i="12"/>
  <c r="D138" i="12"/>
  <c r="A138" i="12"/>
  <c r="H137" i="12"/>
  <c r="G137" i="12"/>
  <c r="A137" i="12"/>
  <c r="H136" i="12"/>
  <c r="G136" i="12"/>
  <c r="D136" i="12"/>
  <c r="A136" i="12"/>
  <c r="H135" i="12"/>
  <c r="G135" i="12"/>
  <c r="D135" i="12"/>
  <c r="A135" i="12"/>
  <c r="H134" i="12"/>
  <c r="G134" i="12"/>
  <c r="D134" i="12"/>
  <c r="A134" i="12"/>
  <c r="H133" i="12"/>
  <c r="G133" i="12"/>
  <c r="D133" i="12"/>
  <c r="A133" i="12"/>
  <c r="H132" i="12"/>
  <c r="G132" i="12"/>
  <c r="H100" i="12"/>
  <c r="G100" i="12"/>
  <c r="F100" i="12"/>
  <c r="E100" i="12"/>
  <c r="D100" i="12"/>
  <c r="H98" i="12"/>
  <c r="G98" i="12"/>
  <c r="F98" i="12"/>
  <c r="E98" i="12"/>
  <c r="H97" i="12"/>
  <c r="H91" i="12"/>
  <c r="G91" i="12"/>
  <c r="F91" i="12"/>
  <c r="E91" i="12"/>
  <c r="H90" i="12"/>
  <c r="G90" i="12"/>
  <c r="F90" i="12"/>
  <c r="H89" i="12"/>
  <c r="G89" i="12"/>
  <c r="F89" i="12"/>
  <c r="H88" i="12"/>
  <c r="G88" i="12"/>
  <c r="F88" i="12"/>
  <c r="H87" i="12"/>
  <c r="G87" i="12"/>
  <c r="F87" i="12"/>
  <c r="H86" i="12"/>
  <c r="G86" i="12"/>
  <c r="F86" i="12"/>
  <c r="H85" i="12"/>
  <c r="G85" i="12"/>
  <c r="F85" i="12"/>
  <c r="H84" i="12"/>
  <c r="G84" i="12"/>
  <c r="F84" i="12"/>
  <c r="H83" i="12"/>
  <c r="G83" i="12"/>
  <c r="F83" i="12"/>
  <c r="H82" i="12"/>
  <c r="G82" i="12"/>
  <c r="F82" i="12"/>
  <c r="H81" i="12"/>
  <c r="G81" i="12"/>
  <c r="F81" i="12"/>
  <c r="H80" i="12"/>
  <c r="G80" i="12"/>
  <c r="F80" i="12"/>
  <c r="H79" i="12"/>
  <c r="G79" i="12"/>
  <c r="F79" i="12"/>
  <c r="H78" i="12"/>
  <c r="G78" i="12"/>
  <c r="F78" i="12"/>
  <c r="H77" i="12"/>
  <c r="G77" i="12"/>
  <c r="F77" i="12"/>
  <c r="H76" i="12"/>
  <c r="G76" i="12"/>
  <c r="F76" i="12"/>
  <c r="H75" i="12"/>
  <c r="G75" i="12"/>
  <c r="F75" i="12"/>
  <c r="H74" i="12"/>
  <c r="G74" i="12"/>
  <c r="F74" i="12"/>
  <c r="H73" i="12"/>
  <c r="G73" i="12"/>
  <c r="F73" i="12"/>
  <c r="H72" i="12"/>
  <c r="G72" i="12"/>
  <c r="F72" i="12"/>
  <c r="H71" i="12"/>
  <c r="G71" i="12"/>
  <c r="F71" i="12"/>
  <c r="H70" i="12"/>
  <c r="G70" i="12"/>
  <c r="F70" i="12"/>
  <c r="A70" i="12"/>
  <c r="H69" i="12"/>
  <c r="G69" i="12"/>
  <c r="F69" i="12"/>
  <c r="A69" i="12"/>
  <c r="H68" i="12"/>
  <c r="G68" i="12"/>
  <c r="F68" i="12"/>
  <c r="A68" i="12"/>
  <c r="H67" i="12"/>
  <c r="G67" i="12"/>
  <c r="F67" i="12"/>
  <c r="A67" i="12"/>
  <c r="H66" i="12"/>
  <c r="G66" i="12"/>
  <c r="F66" i="12"/>
  <c r="A66" i="12"/>
  <c r="H65" i="12"/>
  <c r="G65" i="12"/>
  <c r="F65" i="12"/>
  <c r="A65" i="12"/>
  <c r="H64" i="12"/>
  <c r="G64" i="12"/>
  <c r="F64" i="12"/>
  <c r="A64" i="12"/>
  <c r="H63" i="12"/>
  <c r="G63" i="12"/>
  <c r="F63" i="12"/>
  <c r="A63" i="12"/>
  <c r="H62" i="12"/>
  <c r="G62" i="12"/>
  <c r="F62" i="12"/>
  <c r="A62" i="12"/>
  <c r="H61" i="12"/>
  <c r="G61" i="12"/>
  <c r="F61" i="12"/>
  <c r="A61" i="12"/>
  <c r="H60" i="12"/>
  <c r="G60" i="12"/>
  <c r="F60" i="12"/>
  <c r="A60" i="12"/>
  <c r="H59" i="12"/>
  <c r="G59" i="12"/>
  <c r="F59" i="12"/>
  <c r="A59" i="12"/>
  <c r="H58" i="12"/>
  <c r="G58" i="12"/>
  <c r="F58" i="12"/>
  <c r="A58" i="12"/>
  <c r="H57" i="12"/>
  <c r="G57" i="12"/>
  <c r="F57" i="12"/>
  <c r="A57" i="12"/>
  <c r="H56" i="12"/>
  <c r="G56" i="12"/>
  <c r="F56" i="12"/>
  <c r="A56" i="12"/>
  <c r="H55" i="12"/>
  <c r="G55" i="12"/>
  <c r="F55" i="12"/>
  <c r="A55" i="12"/>
  <c r="H54" i="12"/>
  <c r="G54" i="12"/>
  <c r="F54" i="12"/>
  <c r="A54" i="12"/>
  <c r="H53" i="12"/>
  <c r="G53" i="12"/>
  <c r="F53" i="12"/>
  <c r="A53" i="12"/>
  <c r="H52" i="12"/>
  <c r="G52" i="12"/>
  <c r="F52" i="12"/>
  <c r="A52" i="12"/>
  <c r="H51" i="12"/>
  <c r="G51" i="12"/>
  <c r="F51" i="12"/>
  <c r="A51" i="12"/>
  <c r="H50" i="12"/>
  <c r="G50" i="12"/>
  <c r="F50" i="12"/>
  <c r="A50" i="12"/>
  <c r="H49" i="12"/>
  <c r="G49" i="12"/>
  <c r="F49" i="12"/>
  <c r="A49" i="12"/>
  <c r="H48" i="12"/>
  <c r="G48" i="12"/>
  <c r="F48" i="12"/>
  <c r="A48" i="12"/>
  <c r="H47" i="12"/>
  <c r="G47" i="12"/>
  <c r="F47" i="12"/>
  <c r="A47" i="12"/>
  <c r="H46" i="12"/>
  <c r="G46" i="12"/>
  <c r="F46" i="12"/>
  <c r="A46" i="12"/>
  <c r="H45" i="12"/>
  <c r="G45" i="12"/>
  <c r="F45" i="12"/>
  <c r="A45" i="12"/>
  <c r="H44" i="12"/>
  <c r="G44" i="12"/>
  <c r="F44" i="12"/>
  <c r="A44" i="12"/>
  <c r="H43" i="12"/>
  <c r="G43" i="12"/>
  <c r="F43" i="12"/>
  <c r="A43" i="12"/>
  <c r="H42" i="12"/>
  <c r="G42" i="12"/>
  <c r="F42" i="12"/>
  <c r="A42" i="12"/>
  <c r="H41" i="12"/>
  <c r="G41" i="12"/>
  <c r="F41" i="12"/>
  <c r="A41" i="12"/>
  <c r="H40" i="12"/>
  <c r="G40" i="12"/>
  <c r="F40" i="12"/>
  <c r="A40" i="12"/>
  <c r="H39" i="12"/>
  <c r="G39" i="12"/>
  <c r="F39" i="12"/>
  <c r="A39" i="12"/>
  <c r="H38" i="12"/>
  <c r="G38" i="12"/>
  <c r="F38" i="12"/>
  <c r="A38" i="12"/>
  <c r="H37" i="12"/>
  <c r="G37" i="12"/>
  <c r="F37" i="12"/>
  <c r="A37" i="12"/>
  <c r="H36" i="12"/>
  <c r="G36" i="12"/>
  <c r="F36" i="12"/>
  <c r="A36" i="12"/>
  <c r="H35" i="12"/>
  <c r="G35" i="12"/>
  <c r="F35" i="12"/>
  <c r="A35" i="12"/>
  <c r="H34" i="12"/>
  <c r="G34" i="12"/>
  <c r="F34" i="12"/>
  <c r="A34" i="12"/>
  <c r="H33" i="12"/>
  <c r="G33" i="12"/>
  <c r="F33" i="12"/>
  <c r="A33" i="12"/>
  <c r="H32" i="12"/>
  <c r="G32" i="12"/>
  <c r="F32" i="12"/>
  <c r="A32" i="12"/>
  <c r="H31" i="12"/>
  <c r="G31" i="12"/>
  <c r="F31" i="12"/>
  <c r="A31" i="12"/>
  <c r="H30" i="12"/>
  <c r="G30" i="12"/>
  <c r="F30" i="12"/>
  <c r="A30" i="12"/>
  <c r="H29" i="12"/>
  <c r="G29" i="12"/>
  <c r="F29" i="12"/>
  <c r="A29" i="12"/>
  <c r="H28" i="12"/>
  <c r="G28" i="12"/>
  <c r="F28" i="12"/>
  <c r="A28" i="12"/>
  <c r="H27" i="12"/>
  <c r="G27" i="12"/>
  <c r="F27" i="12"/>
  <c r="A27" i="12"/>
  <c r="H26" i="12"/>
  <c r="G26" i="12"/>
  <c r="F26" i="12"/>
  <c r="A26" i="12"/>
  <c r="H25" i="12"/>
  <c r="G25" i="12"/>
  <c r="F25" i="12"/>
  <c r="A25" i="12"/>
  <c r="H24" i="12"/>
  <c r="G24" i="12"/>
  <c r="F24" i="12"/>
  <c r="A24" i="12"/>
  <c r="H23" i="12"/>
  <c r="G23" i="12"/>
  <c r="F23" i="12"/>
  <c r="A23" i="12"/>
  <c r="H22" i="12"/>
  <c r="G22" i="12"/>
  <c r="F22" i="12"/>
  <c r="A22" i="12"/>
  <c r="H21" i="12"/>
  <c r="G21" i="12"/>
  <c r="F21" i="12"/>
  <c r="A21" i="12"/>
  <c r="H20" i="12"/>
  <c r="G20" i="12"/>
  <c r="F20" i="12"/>
  <c r="A20" i="12"/>
  <c r="H19" i="12"/>
  <c r="G19" i="12"/>
  <c r="F19" i="12"/>
  <c r="A19" i="12"/>
  <c r="H18" i="12"/>
  <c r="G18" i="12"/>
  <c r="F18" i="12"/>
  <c r="A18" i="12"/>
  <c r="H17" i="12"/>
  <c r="G17" i="12"/>
  <c r="F17" i="12"/>
  <c r="A17" i="12"/>
  <c r="H16" i="12"/>
  <c r="G16" i="12"/>
  <c r="F16" i="12"/>
  <c r="A16" i="12"/>
  <c r="H15" i="12"/>
  <c r="G15" i="12"/>
  <c r="F15" i="12"/>
  <c r="A15" i="12"/>
  <c r="H14" i="12"/>
  <c r="G14" i="12"/>
  <c r="F14" i="12"/>
  <c r="A14" i="12"/>
  <c r="H13" i="12"/>
  <c r="G13" i="12"/>
  <c r="F13" i="12"/>
  <c r="A13" i="12"/>
  <c r="H12" i="12"/>
  <c r="G12" i="12"/>
  <c r="F12" i="12"/>
  <c r="A12" i="12"/>
  <c r="H11" i="12"/>
  <c r="G11" i="12"/>
  <c r="F11" i="12"/>
  <c r="H8" i="12"/>
  <c r="G8" i="12"/>
  <c r="F8" i="12"/>
  <c r="K53" i="13"/>
  <c r="H53" i="13"/>
  <c r="C53" i="13"/>
  <c r="H52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H23" i="13"/>
  <c r="B23" i="13"/>
  <c r="B22" i="13"/>
  <c r="B21" i="13"/>
  <c r="H20" i="13"/>
  <c r="B20" i="13"/>
  <c r="B19" i="13"/>
  <c r="B18" i="13"/>
  <c r="B17" i="13"/>
  <c r="B16" i="13"/>
  <c r="H15" i="13"/>
  <c r="B15" i="13"/>
  <c r="B14" i="13"/>
  <c r="B12" i="13"/>
  <c r="B11" i="13"/>
  <c r="B10" i="13"/>
  <c r="F216" i="11"/>
  <c r="E216" i="11"/>
  <c r="C216" i="11"/>
  <c r="B216" i="11"/>
  <c r="F215" i="11"/>
  <c r="E215" i="11"/>
  <c r="C215" i="11"/>
  <c r="B215" i="11"/>
  <c r="F211" i="11"/>
  <c r="L168" i="11"/>
  <c r="K168" i="11"/>
  <c r="I168" i="11"/>
  <c r="H168" i="11"/>
  <c r="F168" i="11"/>
  <c r="E168" i="11"/>
  <c r="C168" i="11"/>
  <c r="B168" i="11"/>
  <c r="L167" i="11"/>
  <c r="K167" i="11"/>
  <c r="I167" i="11"/>
  <c r="H167" i="11"/>
  <c r="F167" i="11"/>
  <c r="E167" i="11"/>
  <c r="C167" i="11"/>
  <c r="B167" i="11"/>
  <c r="L163" i="11"/>
  <c r="F163" i="11"/>
  <c r="L121" i="11"/>
  <c r="K121" i="11"/>
  <c r="I121" i="11"/>
  <c r="H121" i="11"/>
  <c r="F121" i="11"/>
  <c r="E121" i="11"/>
  <c r="C121" i="11"/>
  <c r="B121" i="11"/>
  <c r="L120" i="11"/>
  <c r="K120" i="11"/>
  <c r="H120" i="11"/>
  <c r="F120" i="11"/>
  <c r="E120" i="11"/>
  <c r="B120" i="11"/>
  <c r="L116" i="11"/>
  <c r="F116" i="11"/>
  <c r="L72" i="11"/>
  <c r="K72" i="11"/>
  <c r="I72" i="11"/>
  <c r="H72" i="11"/>
  <c r="F72" i="11"/>
  <c r="E72" i="11"/>
  <c r="C72" i="11"/>
  <c r="B72" i="11"/>
  <c r="L71" i="11"/>
  <c r="K71" i="11"/>
  <c r="H71" i="11"/>
  <c r="F71" i="11"/>
  <c r="E71" i="11"/>
  <c r="B71" i="11"/>
  <c r="L67" i="11"/>
  <c r="F67" i="11"/>
  <c r="L26" i="11"/>
  <c r="K26" i="11"/>
  <c r="I26" i="11"/>
  <c r="H26" i="11"/>
  <c r="F26" i="11"/>
  <c r="E26" i="11"/>
  <c r="C26" i="11"/>
  <c r="B26" i="11"/>
  <c r="L25" i="11"/>
  <c r="K25" i="11"/>
  <c r="H25" i="11"/>
  <c r="F25" i="11"/>
  <c r="E25" i="11"/>
  <c r="B25" i="11"/>
  <c r="D22" i="11"/>
  <c r="L21" i="11"/>
  <c r="F21" i="11"/>
  <c r="M3694" i="17"/>
  <c r="K3694" i="17"/>
  <c r="O3693" i="17"/>
  <c r="M3693" i="17"/>
  <c r="K3693" i="17"/>
  <c r="I3693" i="17"/>
  <c r="I3694" i="17" s="1"/>
  <c r="N3694" i="17" s="1"/>
  <c r="O3694" i="17" s="1"/>
  <c r="M3648" i="17"/>
  <c r="K3648" i="17"/>
  <c r="O3647" i="17"/>
  <c r="M3647" i="17"/>
  <c r="K3647" i="17"/>
  <c r="I3647" i="17"/>
  <c r="I3648" i="17" s="1"/>
  <c r="N3648" i="17" s="1"/>
  <c r="O3648" i="17" s="1"/>
  <c r="M3605" i="17"/>
  <c r="K3605" i="17"/>
  <c r="O3604" i="17"/>
  <c r="M3604" i="17"/>
  <c r="K3604" i="17"/>
  <c r="I3604" i="17"/>
  <c r="I3605" i="17" s="1"/>
  <c r="N3605" i="17" s="1"/>
  <c r="O3605" i="17" s="1"/>
  <c r="M3559" i="17"/>
  <c r="K3559" i="17"/>
  <c r="O3558" i="17"/>
  <c r="M3558" i="17"/>
  <c r="K3558" i="17"/>
  <c r="I3558" i="17"/>
  <c r="N3558" i="17" s="1"/>
  <c r="M3515" i="17"/>
  <c r="K3515" i="17"/>
  <c r="O3514" i="17"/>
  <c r="M3514" i="17"/>
  <c r="K3514" i="17"/>
  <c r="I3514" i="17"/>
  <c r="I3515" i="17" s="1"/>
  <c r="N3515" i="17" s="1"/>
  <c r="O3515" i="17" s="1"/>
  <c r="M3477" i="17"/>
  <c r="K3477" i="17"/>
  <c r="O3476" i="17"/>
  <c r="M3476" i="17"/>
  <c r="K3476" i="17"/>
  <c r="I3476" i="17"/>
  <c r="I3477" i="17" s="1"/>
  <c r="N3477" i="17" s="1"/>
  <c r="O3477" i="17" s="1"/>
  <c r="M3433" i="17"/>
  <c r="K3433" i="17"/>
  <c r="O3432" i="17"/>
  <c r="N3432" i="17"/>
  <c r="M3432" i="17"/>
  <c r="K3432" i="17"/>
  <c r="I3432" i="17"/>
  <c r="I3433" i="17" s="1"/>
  <c r="N3433" i="17" s="1"/>
  <c r="O3433" i="17" s="1"/>
  <c r="M3393" i="17"/>
  <c r="K3393" i="17"/>
  <c r="O3392" i="17"/>
  <c r="M3392" i="17"/>
  <c r="K3392" i="17"/>
  <c r="I3392" i="17"/>
  <c r="N3392" i="17" s="1"/>
  <c r="M3349" i="17"/>
  <c r="K3349" i="17"/>
  <c r="O3348" i="17"/>
  <c r="M3348" i="17"/>
  <c r="K3348" i="17"/>
  <c r="I3348" i="17"/>
  <c r="I3349" i="17" s="1"/>
  <c r="N3349" i="17" s="1"/>
  <c r="O3349" i="17" s="1"/>
  <c r="M3304" i="17"/>
  <c r="K3304" i="17"/>
  <c r="O3303" i="17"/>
  <c r="M3303" i="17"/>
  <c r="K3303" i="17"/>
  <c r="I3303" i="17"/>
  <c r="I3304" i="17" s="1"/>
  <c r="N3304" i="17" s="1"/>
  <c r="O3304" i="17" s="1"/>
  <c r="M3262" i="17"/>
  <c r="K3262" i="17"/>
  <c r="O3261" i="17"/>
  <c r="M3261" i="17"/>
  <c r="K3261" i="17"/>
  <c r="I3261" i="17"/>
  <c r="I3262" i="17" s="1"/>
  <c r="N3262" i="17" s="1"/>
  <c r="O3262" i="17" s="1"/>
  <c r="M3219" i="17"/>
  <c r="K3219" i="17"/>
  <c r="O3218" i="17"/>
  <c r="M3218" i="17"/>
  <c r="K3218" i="17"/>
  <c r="I3218" i="17"/>
  <c r="N3218" i="17" s="1"/>
  <c r="M3176" i="17"/>
  <c r="K3176" i="17"/>
  <c r="O3175" i="17"/>
  <c r="M3175" i="17"/>
  <c r="K3175" i="17"/>
  <c r="I3175" i="17"/>
  <c r="I3176" i="17" s="1"/>
  <c r="N3176" i="17" s="1"/>
  <c r="O3176" i="17" s="1"/>
  <c r="M3133" i="17"/>
  <c r="K3133" i="17"/>
  <c r="O3132" i="17"/>
  <c r="M3132" i="17"/>
  <c r="K3132" i="17"/>
  <c r="I3132" i="17"/>
  <c r="I3133" i="17" s="1"/>
  <c r="N3133" i="17" s="1"/>
  <c r="O3133" i="17" s="1"/>
  <c r="M3092" i="17"/>
  <c r="K3092" i="17"/>
  <c r="I3092" i="17"/>
  <c r="N3092" i="17" s="1"/>
  <c r="O3092" i="17" s="1"/>
  <c r="O3091" i="17"/>
  <c r="N3091" i="17"/>
  <c r="M3091" i="17"/>
  <c r="K3091" i="17"/>
  <c r="I3091" i="17"/>
  <c r="M3047" i="17"/>
  <c r="K3047" i="17"/>
  <c r="I3047" i="17"/>
  <c r="N3047" i="17" s="1"/>
  <c r="O3047" i="17" s="1"/>
  <c r="O3046" i="17"/>
  <c r="M3046" i="17"/>
  <c r="K3046" i="17"/>
  <c r="I3046" i="17"/>
  <c r="N3046" i="17" s="1"/>
  <c r="M3006" i="17"/>
  <c r="K3006" i="17"/>
  <c r="O3005" i="17"/>
  <c r="M3005" i="17"/>
  <c r="K3005" i="17"/>
  <c r="I3005" i="17"/>
  <c r="I3006" i="17" s="1"/>
  <c r="N3006" i="17" s="1"/>
  <c r="O3006" i="17" s="1"/>
  <c r="M2962" i="17"/>
  <c r="K2962" i="17"/>
  <c r="O2961" i="17"/>
  <c r="M2961" i="17"/>
  <c r="K2961" i="17"/>
  <c r="I2961" i="17"/>
  <c r="I2962" i="17" s="1"/>
  <c r="N2962" i="17" s="1"/>
  <c r="O2962" i="17" s="1"/>
  <c r="M2920" i="17"/>
  <c r="K2920" i="17"/>
  <c r="O2919" i="17"/>
  <c r="M2919" i="17"/>
  <c r="K2919" i="17"/>
  <c r="I2919" i="17"/>
  <c r="I2920" i="17" s="1"/>
  <c r="N2920" i="17" s="1"/>
  <c r="O2920" i="17" s="1"/>
  <c r="M2877" i="17"/>
  <c r="K2877" i="17"/>
  <c r="O2876" i="17"/>
  <c r="M2876" i="17"/>
  <c r="K2876" i="17"/>
  <c r="I2876" i="17"/>
  <c r="N2876" i="17" s="1"/>
  <c r="M2835" i="17"/>
  <c r="K2835" i="17"/>
  <c r="O2834" i="17"/>
  <c r="M2834" i="17"/>
  <c r="K2834" i="17"/>
  <c r="I2834" i="17"/>
  <c r="I2835" i="17" s="1"/>
  <c r="N2835" i="17" s="1"/>
  <c r="O2835" i="17" s="1"/>
  <c r="M2792" i="17"/>
  <c r="K2792" i="17"/>
  <c r="O2791" i="17"/>
  <c r="M2791" i="17"/>
  <c r="K2791" i="17"/>
  <c r="I2791" i="17"/>
  <c r="I2792" i="17" s="1"/>
  <c r="N2792" i="17" s="1"/>
  <c r="O2792" i="17" s="1"/>
  <c r="M2749" i="17"/>
  <c r="K2749" i="17"/>
  <c r="O2748" i="17"/>
  <c r="M2748" i="17"/>
  <c r="K2748" i="17"/>
  <c r="I2748" i="17"/>
  <c r="I2749" i="17" s="1"/>
  <c r="N2749" i="17" s="1"/>
  <c r="O2749" i="17" s="1"/>
  <c r="M2707" i="17"/>
  <c r="K2707" i="17"/>
  <c r="O2706" i="17"/>
  <c r="M2706" i="17"/>
  <c r="K2706" i="17"/>
  <c r="I2706" i="17"/>
  <c r="N2706" i="17" s="1"/>
  <c r="M2664" i="17"/>
  <c r="K2664" i="17"/>
  <c r="O2663" i="17"/>
  <c r="M2663" i="17"/>
  <c r="K2663" i="17"/>
  <c r="I2663" i="17"/>
  <c r="I2664" i="17" s="1"/>
  <c r="N2664" i="17" s="1"/>
  <c r="O2664" i="17" s="1"/>
  <c r="M2625" i="17"/>
  <c r="K2625" i="17"/>
  <c r="O2624" i="17"/>
  <c r="M2624" i="17"/>
  <c r="K2624" i="17"/>
  <c r="I2624" i="17"/>
  <c r="I2625" i="17" s="1"/>
  <c r="N2625" i="17" s="1"/>
  <c r="O2625" i="17" s="1"/>
  <c r="M2582" i="17"/>
  <c r="K2582" i="17"/>
  <c r="O2581" i="17"/>
  <c r="M2581" i="17"/>
  <c r="K2581" i="17"/>
  <c r="I2581" i="17"/>
  <c r="I2582" i="17" s="1"/>
  <c r="N2582" i="17" s="1"/>
  <c r="O2582" i="17" s="1"/>
  <c r="M2536" i="17"/>
  <c r="K2536" i="17"/>
  <c r="O2535" i="17"/>
  <c r="M2535" i="17"/>
  <c r="K2535" i="17"/>
  <c r="I2535" i="17"/>
  <c r="N2535" i="17" s="1"/>
  <c r="M2493" i="17"/>
  <c r="K2493" i="17"/>
  <c r="I2493" i="17"/>
  <c r="N2493" i="17" s="1"/>
  <c r="O2493" i="17" s="1"/>
  <c r="O2492" i="17"/>
  <c r="N2492" i="17"/>
  <c r="M2492" i="17"/>
  <c r="K2492" i="17"/>
  <c r="M2450" i="17"/>
  <c r="K2450" i="17"/>
  <c r="O2449" i="17"/>
  <c r="M2449" i="17"/>
  <c r="K2449" i="17"/>
  <c r="I2449" i="17"/>
  <c r="I2450" i="17" s="1"/>
  <c r="N2450" i="17" s="1"/>
  <c r="O2450" i="17" s="1"/>
  <c r="M2408" i="17"/>
  <c r="K2408" i="17"/>
  <c r="I2408" i="17"/>
  <c r="N2408" i="17" s="1"/>
  <c r="O2408" i="17" s="1"/>
  <c r="O2407" i="17"/>
  <c r="M2407" i="17"/>
  <c r="K2407" i="17"/>
  <c r="I2407" i="17"/>
  <c r="N2407" i="17" s="1"/>
  <c r="M2366" i="17"/>
  <c r="K2366" i="17"/>
  <c r="O2365" i="17"/>
  <c r="M2365" i="17"/>
  <c r="K2365" i="17"/>
  <c r="I2365" i="17"/>
  <c r="I2366" i="17" s="1"/>
  <c r="N2366" i="17" s="1"/>
  <c r="O2366" i="17" s="1"/>
  <c r="M2323" i="17"/>
  <c r="K2323" i="17"/>
  <c r="O2322" i="17"/>
  <c r="M2322" i="17"/>
  <c r="K2322" i="17"/>
  <c r="I2322" i="17"/>
  <c r="N2322" i="17" s="1"/>
  <c r="M2280" i="17"/>
  <c r="K2280" i="17"/>
  <c r="O2279" i="17"/>
  <c r="M2279" i="17"/>
  <c r="K2279" i="17"/>
  <c r="I2279" i="17"/>
  <c r="I2280" i="17" s="1"/>
  <c r="N2280" i="17" s="1"/>
  <c r="O2280" i="17" s="1"/>
  <c r="M2237" i="17"/>
  <c r="K2237" i="17"/>
  <c r="O2236" i="17"/>
  <c r="M2236" i="17"/>
  <c r="K2236" i="17"/>
  <c r="I2236" i="17"/>
  <c r="I2237" i="17" s="1"/>
  <c r="N2237" i="17" s="1"/>
  <c r="O2237" i="17" s="1"/>
  <c r="M2194" i="17"/>
  <c r="K2194" i="17"/>
  <c r="O2193" i="17"/>
  <c r="N2193" i="17"/>
  <c r="M2193" i="17"/>
  <c r="K2193" i="17"/>
  <c r="I2193" i="17"/>
  <c r="I2194" i="17" s="1"/>
  <c r="N2194" i="17" s="1"/>
  <c r="O2194" i="17" s="1"/>
  <c r="M2152" i="17"/>
  <c r="K2152" i="17"/>
  <c r="O2151" i="17"/>
  <c r="M2151" i="17"/>
  <c r="K2151" i="17"/>
  <c r="I2151" i="17"/>
  <c r="N2151" i="17" s="1"/>
  <c r="M2110" i="17"/>
  <c r="K2110" i="17"/>
  <c r="O2109" i="17"/>
  <c r="M2109" i="17"/>
  <c r="K2109" i="17"/>
  <c r="I2109" i="17"/>
  <c r="I2110" i="17" s="1"/>
  <c r="N2110" i="17" s="1"/>
  <c r="O2110" i="17" s="1"/>
  <c r="M2067" i="17"/>
  <c r="K2067" i="17"/>
  <c r="O2066" i="17"/>
  <c r="M2066" i="17"/>
  <c r="K2066" i="17"/>
  <c r="I2066" i="17"/>
  <c r="I2067" i="17" s="1"/>
  <c r="N2067" i="17" s="1"/>
  <c r="O2067" i="17" s="1"/>
  <c r="M2024" i="17"/>
  <c r="K2024" i="17"/>
  <c r="O2023" i="17"/>
  <c r="M2023" i="17"/>
  <c r="K2023" i="17"/>
  <c r="I2023" i="17"/>
  <c r="I2024" i="17" s="1"/>
  <c r="N2024" i="17" s="1"/>
  <c r="O2024" i="17" s="1"/>
  <c r="M1981" i="17"/>
  <c r="K1981" i="17"/>
  <c r="I1981" i="17"/>
  <c r="N1981" i="17" s="1"/>
  <c r="O1981" i="17" s="1"/>
  <c r="O1980" i="17"/>
  <c r="M1980" i="17"/>
  <c r="K1980" i="17"/>
  <c r="I1980" i="17"/>
  <c r="N1980" i="17" s="1"/>
  <c r="M1939" i="17"/>
  <c r="K1939" i="17"/>
  <c r="O1938" i="17"/>
  <c r="M1938" i="17"/>
  <c r="K1938" i="17"/>
  <c r="I1938" i="17"/>
  <c r="I1939" i="17" s="1"/>
  <c r="N1939" i="17" s="1"/>
  <c r="O1939" i="17" s="1"/>
  <c r="M1897" i="17"/>
  <c r="K1897" i="17"/>
  <c r="O1896" i="17"/>
  <c r="M1896" i="17"/>
  <c r="K1896" i="17"/>
  <c r="I1896" i="17"/>
  <c r="I1897" i="17" s="1"/>
  <c r="N1897" i="17" s="1"/>
  <c r="O1897" i="17" s="1"/>
  <c r="M1856" i="17"/>
  <c r="K1856" i="17"/>
  <c r="O1855" i="17"/>
  <c r="M1855" i="17"/>
  <c r="K1855" i="17"/>
  <c r="I1855" i="17"/>
  <c r="I1856" i="17" s="1"/>
  <c r="N1856" i="17" s="1"/>
  <c r="O1856" i="17" s="1"/>
  <c r="M1811" i="17"/>
  <c r="K1811" i="17"/>
  <c r="O1810" i="17"/>
  <c r="M1810" i="17"/>
  <c r="K1810" i="17"/>
  <c r="I1810" i="17"/>
  <c r="N1810" i="17" s="1"/>
  <c r="M1766" i="17"/>
  <c r="K1766" i="17"/>
  <c r="O1765" i="17"/>
  <c r="M1765" i="17"/>
  <c r="K1765" i="17"/>
  <c r="I1765" i="17"/>
  <c r="I1766" i="17" s="1"/>
  <c r="N1766" i="17" s="1"/>
  <c r="O1766" i="17" s="1"/>
  <c r="M1723" i="17"/>
  <c r="K1723" i="17"/>
  <c r="O1722" i="17"/>
  <c r="M1722" i="17"/>
  <c r="K1722" i="17"/>
  <c r="I1722" i="17"/>
  <c r="I1723" i="17" s="1"/>
  <c r="N1723" i="17" s="1"/>
  <c r="O1723" i="17" s="1"/>
  <c r="M1683" i="17"/>
  <c r="K1683" i="17"/>
  <c r="O1682" i="17"/>
  <c r="M1682" i="17"/>
  <c r="K1682" i="17"/>
  <c r="I1682" i="17"/>
  <c r="I1683" i="17" s="1"/>
  <c r="N1683" i="17" s="1"/>
  <c r="O1683" i="17" s="1"/>
  <c r="M1640" i="17"/>
  <c r="K1640" i="17"/>
  <c r="O1639" i="17"/>
  <c r="M1639" i="17"/>
  <c r="K1639" i="17"/>
  <c r="I1639" i="17"/>
  <c r="N1639" i="17" s="1"/>
  <c r="M1601" i="17"/>
  <c r="K1601" i="17"/>
  <c r="O1600" i="17"/>
  <c r="M1600" i="17"/>
  <c r="K1600" i="17"/>
  <c r="I1600" i="17"/>
  <c r="I1601" i="17" s="1"/>
  <c r="N1601" i="17" s="1"/>
  <c r="O1601" i="17" s="1"/>
  <c r="M1559" i="17"/>
  <c r="K1559" i="17"/>
  <c r="O1558" i="17"/>
  <c r="M1558" i="17"/>
  <c r="K1558" i="17"/>
  <c r="I1558" i="17"/>
  <c r="I1559" i="17" s="1"/>
  <c r="N1559" i="17" s="1"/>
  <c r="O1559" i="17" s="1"/>
  <c r="M1517" i="17"/>
  <c r="K1517" i="17"/>
  <c r="O1516" i="17"/>
  <c r="N1516" i="17"/>
  <c r="M1516" i="17"/>
  <c r="K1516" i="17"/>
  <c r="I1516" i="17"/>
  <c r="I1517" i="17" s="1"/>
  <c r="N1517" i="17" s="1"/>
  <c r="O1517" i="17" s="1"/>
  <c r="M1475" i="17"/>
  <c r="K1475" i="17"/>
  <c r="I1475" i="17"/>
  <c r="N1475" i="17" s="1"/>
  <c r="O1475" i="17" s="1"/>
  <c r="O1474" i="17"/>
  <c r="M1474" i="17"/>
  <c r="K1474" i="17"/>
  <c r="I1474" i="17"/>
  <c r="N1474" i="17" s="1"/>
  <c r="M1432" i="17"/>
  <c r="K1432" i="17"/>
  <c r="O1431" i="17"/>
  <c r="M1431" i="17"/>
  <c r="K1431" i="17"/>
  <c r="I1431" i="17"/>
  <c r="I1432" i="17" s="1"/>
  <c r="N1432" i="17" s="1"/>
  <c r="O1432" i="17" s="1"/>
  <c r="M1391" i="17"/>
  <c r="K1391" i="17"/>
  <c r="O1390" i="17"/>
  <c r="M1390" i="17"/>
  <c r="K1390" i="17"/>
  <c r="I1390" i="17"/>
  <c r="I1391" i="17" s="1"/>
  <c r="N1391" i="17" s="1"/>
  <c r="O1391" i="17" s="1"/>
  <c r="M1348" i="17"/>
  <c r="K1348" i="17"/>
  <c r="O1347" i="17"/>
  <c r="M1347" i="17"/>
  <c r="K1347" i="17"/>
  <c r="I1347" i="17"/>
  <c r="I1348" i="17" s="1"/>
  <c r="N1348" i="17" s="1"/>
  <c r="O1348" i="17" s="1"/>
  <c r="M1305" i="17"/>
  <c r="K1305" i="17"/>
  <c r="I1305" i="17"/>
  <c r="N1305" i="17" s="1"/>
  <c r="O1305" i="17" s="1"/>
  <c r="O1304" i="17"/>
  <c r="M1304" i="17"/>
  <c r="K1304" i="17"/>
  <c r="I1304" i="17"/>
  <c r="N1304" i="17" s="1"/>
  <c r="M1263" i="17"/>
  <c r="K1263" i="17"/>
  <c r="O1262" i="17"/>
  <c r="M1262" i="17"/>
  <c r="K1262" i="17"/>
  <c r="I1262" i="17"/>
  <c r="I1263" i="17" s="1"/>
  <c r="N1263" i="17" s="1"/>
  <c r="O1263" i="17" s="1"/>
  <c r="M1220" i="17"/>
  <c r="K1220" i="17"/>
  <c r="O1219" i="17"/>
  <c r="M1219" i="17"/>
  <c r="K1219" i="17"/>
  <c r="I1219" i="17"/>
  <c r="I1220" i="17" s="1"/>
  <c r="N1220" i="17" s="1"/>
  <c r="O1220" i="17" s="1"/>
  <c r="M1179" i="17"/>
  <c r="K1179" i="17"/>
  <c r="O1178" i="17"/>
  <c r="M1178" i="17"/>
  <c r="K1178" i="17"/>
  <c r="I1178" i="17"/>
  <c r="I1179" i="17" s="1"/>
  <c r="N1179" i="17" s="1"/>
  <c r="O1179" i="17" s="1"/>
  <c r="M1138" i="17"/>
  <c r="K1138" i="17"/>
  <c r="O1137" i="17"/>
  <c r="M1137" i="17"/>
  <c r="K1137" i="17"/>
  <c r="I1137" i="17"/>
  <c r="N1137" i="17" s="1"/>
  <c r="M1096" i="17"/>
  <c r="K1096" i="17"/>
  <c r="O1095" i="17"/>
  <c r="M1095" i="17"/>
  <c r="K1095" i="17"/>
  <c r="I1095" i="17"/>
  <c r="I1096" i="17" s="1"/>
  <c r="N1096" i="17" s="1"/>
  <c r="O1096" i="17" s="1"/>
  <c r="M1054" i="17"/>
  <c r="K1054" i="17"/>
  <c r="O1053" i="17"/>
  <c r="M1053" i="17"/>
  <c r="K1053" i="17"/>
  <c r="I1053" i="17"/>
  <c r="I1054" i="17" s="1"/>
  <c r="N1054" i="17" s="1"/>
  <c r="O1054" i="17" s="1"/>
  <c r="M1011" i="17"/>
  <c r="K1011" i="17"/>
  <c r="O1010" i="17"/>
  <c r="M1010" i="17"/>
  <c r="K1010" i="17"/>
  <c r="I1010" i="17"/>
  <c r="I1011" i="17" s="1"/>
  <c r="N1011" i="17" s="1"/>
  <c r="O1011" i="17" s="1"/>
  <c r="M968" i="17"/>
  <c r="K968" i="17"/>
  <c r="O967" i="17"/>
  <c r="M967" i="17"/>
  <c r="K967" i="17"/>
  <c r="I967" i="17"/>
  <c r="N967" i="17" s="1"/>
  <c r="M923" i="17"/>
  <c r="K923" i="17"/>
  <c r="O922" i="17"/>
  <c r="M922" i="17"/>
  <c r="K922" i="17"/>
  <c r="I922" i="17"/>
  <c r="I923" i="17" s="1"/>
  <c r="N923" i="17" s="1"/>
  <c r="O923" i="17" s="1"/>
  <c r="M880" i="17"/>
  <c r="K880" i="17"/>
  <c r="O879" i="17"/>
  <c r="M879" i="17"/>
  <c r="K879" i="17"/>
  <c r="I879" i="17"/>
  <c r="I880" i="17" s="1"/>
  <c r="N880" i="17" s="1"/>
  <c r="O880" i="17" s="1"/>
  <c r="M837" i="17"/>
  <c r="K837" i="17"/>
  <c r="O836" i="17"/>
  <c r="M836" i="17"/>
  <c r="K836" i="17"/>
  <c r="I836" i="17"/>
  <c r="I837" i="17" s="1"/>
  <c r="N837" i="17" s="1"/>
  <c r="O837" i="17" s="1"/>
  <c r="M795" i="17"/>
  <c r="K795" i="17"/>
  <c r="O794" i="17"/>
  <c r="M794" i="17"/>
  <c r="K794" i="17"/>
  <c r="I794" i="17"/>
  <c r="N794" i="17" s="1"/>
  <c r="M753" i="17"/>
  <c r="K753" i="17"/>
  <c r="O752" i="17"/>
  <c r="M752" i="17"/>
  <c r="K752" i="17"/>
  <c r="I752" i="17"/>
  <c r="I753" i="17" s="1"/>
  <c r="N753" i="17" s="1"/>
  <c r="O753" i="17" s="1"/>
  <c r="M710" i="17"/>
  <c r="K710" i="17"/>
  <c r="O709" i="17"/>
  <c r="M709" i="17"/>
  <c r="K709" i="17"/>
  <c r="I709" i="17"/>
  <c r="I710" i="17" s="1"/>
  <c r="N710" i="17" s="1"/>
  <c r="O710" i="17" s="1"/>
  <c r="M667" i="17"/>
  <c r="K667" i="17"/>
  <c r="O666" i="17"/>
  <c r="M666" i="17"/>
  <c r="K666" i="17"/>
  <c r="I666" i="17"/>
  <c r="I667" i="17" s="1"/>
  <c r="N667" i="17" s="1"/>
  <c r="O667" i="17" s="1"/>
  <c r="M623" i="17"/>
  <c r="K623" i="17"/>
  <c r="O622" i="17"/>
  <c r="M622" i="17"/>
  <c r="K622" i="17"/>
  <c r="I622" i="17"/>
  <c r="N622" i="17" s="1"/>
  <c r="M580" i="17"/>
  <c r="K580" i="17"/>
  <c r="O579" i="17"/>
  <c r="M579" i="17"/>
  <c r="K579" i="17"/>
  <c r="I579" i="17"/>
  <c r="I580" i="17" s="1"/>
  <c r="N580" i="17" s="1"/>
  <c r="O580" i="17" s="1"/>
  <c r="E579" i="17"/>
  <c r="C579" i="17"/>
  <c r="F574" i="17"/>
  <c r="F579" i="17" s="1"/>
  <c r="C574" i="17"/>
  <c r="A579" i="17" s="1"/>
  <c r="M539" i="17"/>
  <c r="K539" i="17"/>
  <c r="E539" i="17"/>
  <c r="C539" i="17"/>
  <c r="O538" i="17"/>
  <c r="M538" i="17"/>
  <c r="K538" i="17"/>
  <c r="I538" i="17"/>
  <c r="N538" i="17" s="1"/>
  <c r="G534" i="17"/>
  <c r="G539" i="17" s="1"/>
  <c r="F534" i="17"/>
  <c r="C534" i="17"/>
  <c r="A539" i="17" s="1"/>
  <c r="F539" i="17" s="1"/>
  <c r="M495" i="17"/>
  <c r="K495" i="17"/>
  <c r="E495" i="17"/>
  <c r="C495" i="17"/>
  <c r="O494" i="17"/>
  <c r="M494" i="17"/>
  <c r="K494" i="17"/>
  <c r="I494" i="17"/>
  <c r="N494" i="17" s="1"/>
  <c r="F492" i="17"/>
  <c r="C492" i="17"/>
  <c r="M454" i="17"/>
  <c r="K454" i="17"/>
  <c r="E454" i="17"/>
  <c r="C454" i="17"/>
  <c r="O453" i="17"/>
  <c r="M453" i="17"/>
  <c r="K453" i="17"/>
  <c r="I453" i="17"/>
  <c r="N453" i="17" s="1"/>
  <c r="F449" i="17"/>
  <c r="C449" i="17"/>
  <c r="D415" i="17"/>
  <c r="C415" i="17"/>
  <c r="F414" i="17"/>
  <c r="D414" i="17"/>
  <c r="C414" i="17"/>
  <c r="A414" i="17"/>
  <c r="E414" i="17" s="1"/>
  <c r="M411" i="17"/>
  <c r="K411" i="17"/>
  <c r="O410" i="17"/>
  <c r="M410" i="17"/>
  <c r="K410" i="17"/>
  <c r="I410" i="17"/>
  <c r="I411" i="17" s="1"/>
  <c r="N411" i="17" s="1"/>
  <c r="O411" i="17" s="1"/>
  <c r="D370" i="17"/>
  <c r="C370" i="17"/>
  <c r="D369" i="17"/>
  <c r="C369" i="17"/>
  <c r="F368" i="17"/>
  <c r="A369" i="17" s="1"/>
  <c r="O367" i="17"/>
  <c r="M367" i="17"/>
  <c r="K367" i="17"/>
  <c r="I367" i="17"/>
  <c r="N367" i="17" s="1"/>
  <c r="M326" i="17"/>
  <c r="K326" i="17"/>
  <c r="F326" i="17"/>
  <c r="E326" i="17"/>
  <c r="C326" i="17"/>
  <c r="O325" i="17"/>
  <c r="M325" i="17"/>
  <c r="K325" i="17"/>
  <c r="I325" i="17"/>
  <c r="I326" i="17" s="1"/>
  <c r="N326" i="17" s="1"/>
  <c r="O326" i="17" s="1"/>
  <c r="C321" i="17"/>
  <c r="A326" i="17" s="1"/>
  <c r="M284" i="17"/>
  <c r="K284" i="17"/>
  <c r="E284" i="17"/>
  <c r="C284" i="17"/>
  <c r="O283" i="17"/>
  <c r="M283" i="17"/>
  <c r="K283" i="17"/>
  <c r="I283" i="17"/>
  <c r="N283" i="17" s="1"/>
  <c r="G279" i="17"/>
  <c r="G284" i="17" s="1"/>
  <c r="F279" i="17"/>
  <c r="C279" i="17"/>
  <c r="A284" i="17" s="1"/>
  <c r="F284" i="17" s="1"/>
  <c r="M241" i="17"/>
  <c r="K241" i="17"/>
  <c r="E241" i="17"/>
  <c r="C241" i="17"/>
  <c r="O240" i="17"/>
  <c r="M240" i="17"/>
  <c r="K240" i="17"/>
  <c r="I240" i="17"/>
  <c r="N240" i="17" s="1"/>
  <c r="G236" i="17"/>
  <c r="G241" i="17" s="1"/>
  <c r="F236" i="17"/>
  <c r="C236" i="17"/>
  <c r="A241" i="17" s="1"/>
  <c r="F241" i="17" s="1"/>
  <c r="M198" i="17"/>
  <c r="K198" i="17"/>
  <c r="E198" i="17"/>
  <c r="C198" i="17"/>
  <c r="O197" i="17"/>
  <c r="M197" i="17"/>
  <c r="K197" i="17"/>
  <c r="I197" i="17"/>
  <c r="N197" i="17" s="1"/>
  <c r="D193" i="17"/>
  <c r="F193" i="17" s="1"/>
  <c r="C193" i="17"/>
  <c r="A198" i="17" s="1"/>
  <c r="F198" i="17" s="1"/>
  <c r="U155" i="17"/>
  <c r="T155" i="17"/>
  <c r="S155" i="17"/>
  <c r="M155" i="17"/>
  <c r="K155" i="17"/>
  <c r="E155" i="17"/>
  <c r="C155" i="17"/>
  <c r="O154" i="17"/>
  <c r="M154" i="17"/>
  <c r="K154" i="17"/>
  <c r="I154" i="17"/>
  <c r="N154" i="17" s="1"/>
  <c r="S150" i="17"/>
  <c r="Q155" i="17" s="1"/>
  <c r="F150" i="17"/>
  <c r="C150" i="17"/>
  <c r="G150" i="17" s="1"/>
  <c r="U111" i="17"/>
  <c r="T111" i="17"/>
  <c r="S111" i="17"/>
  <c r="N111" i="17"/>
  <c r="M111" i="17"/>
  <c r="K111" i="17"/>
  <c r="I111" i="17"/>
  <c r="O111" i="17" s="1"/>
  <c r="E111" i="17"/>
  <c r="C111" i="17"/>
  <c r="O110" i="17"/>
  <c r="M110" i="17"/>
  <c r="K110" i="17"/>
  <c r="I110" i="17"/>
  <c r="N110" i="17" s="1"/>
  <c r="S106" i="17"/>
  <c r="Q111" i="17" s="1"/>
  <c r="D106" i="17"/>
  <c r="F106" i="17" s="1"/>
  <c r="C106" i="17"/>
  <c r="U68" i="17"/>
  <c r="Q68" i="17"/>
  <c r="M68" i="17"/>
  <c r="I68" i="17"/>
  <c r="N68" i="17" s="1"/>
  <c r="O67" i="17"/>
  <c r="D63" i="17"/>
  <c r="F63" i="17" s="1"/>
  <c r="C63" i="17"/>
  <c r="G63" i="17" s="1"/>
  <c r="U26" i="17"/>
  <c r="T26" i="17"/>
  <c r="S26" i="17"/>
  <c r="M26" i="17"/>
  <c r="K26" i="17"/>
  <c r="E26" i="17"/>
  <c r="C26" i="17"/>
  <c r="O25" i="17"/>
  <c r="M25" i="17"/>
  <c r="K25" i="17"/>
  <c r="I25" i="17"/>
  <c r="N25" i="17" s="1"/>
  <c r="S21" i="17"/>
  <c r="V21" i="17" s="1"/>
  <c r="V26" i="17" s="1"/>
  <c r="D21" i="17"/>
  <c r="F21" i="17" s="1"/>
  <c r="G21" i="17" s="1"/>
  <c r="C21" i="17"/>
  <c r="F822" i="2"/>
  <c r="D822" i="2"/>
  <c r="E817" i="2"/>
  <c r="G817" i="2" s="1"/>
  <c r="G822" i="2" s="1"/>
  <c r="D817" i="2"/>
  <c r="F778" i="2"/>
  <c r="D778" i="2"/>
  <c r="E773" i="2"/>
  <c r="G773" i="2" s="1"/>
  <c r="G778" i="2" s="1"/>
  <c r="D773" i="2"/>
  <c r="F732" i="2"/>
  <c r="D732" i="2"/>
  <c r="E727" i="2"/>
  <c r="G727" i="2" s="1"/>
  <c r="G732" i="2" s="1"/>
  <c r="D727" i="2"/>
  <c r="B732" i="2" s="1"/>
  <c r="F687" i="2"/>
  <c r="D687" i="2"/>
  <c r="E682" i="2"/>
  <c r="G682" i="2" s="1"/>
  <c r="G687" i="2" s="1"/>
  <c r="D682" i="2"/>
  <c r="B687" i="2" s="1"/>
  <c r="F642" i="2"/>
  <c r="D642" i="2"/>
  <c r="G637" i="2"/>
  <c r="G642" i="2" s="1"/>
  <c r="D637" i="2"/>
  <c r="B642" i="2" s="1"/>
  <c r="F597" i="2"/>
  <c r="D597" i="2"/>
  <c r="G592" i="2"/>
  <c r="G597" i="2" s="1"/>
  <c r="D592" i="2"/>
  <c r="B597" i="2" s="1"/>
  <c r="F553" i="2"/>
  <c r="D553" i="2"/>
  <c r="E548" i="2"/>
  <c r="G548" i="2" s="1"/>
  <c r="G553" i="2" s="1"/>
  <c r="D548" i="2"/>
  <c r="B553" i="2" s="1"/>
  <c r="V467" i="2"/>
  <c r="T467" i="2"/>
  <c r="N467" i="2"/>
  <c r="L467" i="2"/>
  <c r="U462" i="2"/>
  <c r="W462" i="2" s="1"/>
  <c r="W467" i="2" s="1"/>
  <c r="T462" i="2"/>
  <c r="M462" i="2"/>
  <c r="O462" i="2" s="1"/>
  <c r="O467" i="2" s="1"/>
  <c r="L462" i="2"/>
  <c r="J467" i="2" s="1"/>
  <c r="V428" i="2"/>
  <c r="T428" i="2"/>
  <c r="N428" i="2"/>
  <c r="L428" i="2"/>
  <c r="U423" i="2"/>
  <c r="W423" i="2" s="1"/>
  <c r="W428" i="2" s="1"/>
  <c r="T423" i="2"/>
  <c r="M423" i="2"/>
  <c r="O423" i="2" s="1"/>
  <c r="O428" i="2" s="1"/>
  <c r="L423" i="2"/>
  <c r="J428" i="2" s="1"/>
  <c r="V383" i="2"/>
  <c r="T383" i="2"/>
  <c r="N383" i="2"/>
  <c r="L383" i="2"/>
  <c r="F383" i="2"/>
  <c r="D383" i="2"/>
  <c r="U378" i="2"/>
  <c r="W378" i="2" s="1"/>
  <c r="T378" i="2"/>
  <c r="R383" i="2" s="1"/>
  <c r="M378" i="2"/>
  <c r="O378" i="2" s="1"/>
  <c r="O383" i="2" s="1"/>
  <c r="L378" i="2"/>
  <c r="D378" i="2"/>
  <c r="V339" i="2"/>
  <c r="T339" i="2"/>
  <c r="N339" i="2"/>
  <c r="L339" i="2"/>
  <c r="F339" i="2"/>
  <c r="D339" i="2"/>
  <c r="U334" i="2"/>
  <c r="W334" i="2" s="1"/>
  <c r="W339" i="2" s="1"/>
  <c r="T334" i="2"/>
  <c r="R339" i="2" s="1"/>
  <c r="M334" i="2"/>
  <c r="O334" i="2" s="1"/>
  <c r="O339" i="2" s="1"/>
  <c r="L334" i="2"/>
  <c r="J339" i="2" s="1"/>
  <c r="H334" i="2"/>
  <c r="G339" i="2" s="1"/>
  <c r="V294" i="2"/>
  <c r="T294" i="2"/>
  <c r="N294" i="2"/>
  <c r="L294" i="2"/>
  <c r="F294" i="2"/>
  <c r="D294" i="2"/>
  <c r="U289" i="2"/>
  <c r="W289" i="2" s="1"/>
  <c r="W294" i="2" s="1"/>
  <c r="T289" i="2"/>
  <c r="M289" i="2"/>
  <c r="O289" i="2" s="1"/>
  <c r="O294" i="2" s="1"/>
  <c r="L289" i="2"/>
  <c r="G289" i="2"/>
  <c r="D289" i="2"/>
  <c r="V249" i="2"/>
  <c r="T249" i="2"/>
  <c r="N249" i="2"/>
  <c r="L249" i="2"/>
  <c r="F249" i="2"/>
  <c r="D249" i="2"/>
  <c r="U244" i="2"/>
  <c r="W244" i="2" s="1"/>
  <c r="T244" i="2"/>
  <c r="R249" i="2" s="1"/>
  <c r="M244" i="2"/>
  <c r="O244" i="2" s="1"/>
  <c r="O249" i="2" s="1"/>
  <c r="L244" i="2"/>
  <c r="G244" i="2"/>
  <c r="D244" i="2"/>
  <c r="V206" i="2"/>
  <c r="T206" i="2"/>
  <c r="N206" i="2"/>
  <c r="L206" i="2"/>
  <c r="F206" i="2"/>
  <c r="D206" i="2"/>
  <c r="U201" i="2"/>
  <c r="W201" i="2" s="1"/>
  <c r="W206" i="2" s="1"/>
  <c r="T201" i="2"/>
  <c r="M201" i="2"/>
  <c r="O201" i="2" s="1"/>
  <c r="O206" i="2" s="1"/>
  <c r="L201" i="2"/>
  <c r="G201" i="2"/>
  <c r="D201" i="2"/>
  <c r="V161" i="2"/>
  <c r="T161" i="2"/>
  <c r="N161" i="2"/>
  <c r="L161" i="2"/>
  <c r="F161" i="2"/>
  <c r="D161" i="2"/>
  <c r="U156" i="2"/>
  <c r="W156" i="2" s="1"/>
  <c r="W161" i="2" s="1"/>
  <c r="T156" i="2"/>
  <c r="R161" i="2" s="1"/>
  <c r="M156" i="2"/>
  <c r="O156" i="2" s="1"/>
  <c r="L156" i="2"/>
  <c r="J161" i="2" s="1"/>
  <c r="G156" i="2"/>
  <c r="D156" i="2"/>
  <c r="V117" i="2"/>
  <c r="T117" i="2"/>
  <c r="N117" i="2"/>
  <c r="L117" i="2"/>
  <c r="F117" i="2"/>
  <c r="D117" i="2"/>
  <c r="U112" i="2"/>
  <c r="W112" i="2" s="1"/>
  <c r="W117" i="2" s="1"/>
  <c r="T112" i="2"/>
  <c r="R117" i="2" s="1"/>
  <c r="M112" i="2"/>
  <c r="O112" i="2" s="1"/>
  <c r="O117" i="2" s="1"/>
  <c r="L112" i="2"/>
  <c r="G112" i="2"/>
  <c r="D112" i="2"/>
  <c r="V72" i="2"/>
  <c r="T72" i="2"/>
  <c r="N72" i="2"/>
  <c r="L72" i="2"/>
  <c r="F72" i="2"/>
  <c r="D72" i="2"/>
  <c r="U67" i="2"/>
  <c r="W67" i="2" s="1"/>
  <c r="W72" i="2" s="1"/>
  <c r="T67" i="2"/>
  <c r="R72" i="2" s="1"/>
  <c r="M67" i="2"/>
  <c r="O67" i="2" s="1"/>
  <c r="O72" i="2" s="1"/>
  <c r="L67" i="2"/>
  <c r="D67" i="2"/>
  <c r="H67" i="2" s="1"/>
  <c r="V27" i="2"/>
  <c r="T27" i="2"/>
  <c r="N27" i="2"/>
  <c r="L27" i="2"/>
  <c r="F27" i="2"/>
  <c r="D27" i="2"/>
  <c r="U22" i="2"/>
  <c r="W22" i="2" s="1"/>
  <c r="T22" i="2"/>
  <c r="R27" i="2" s="1"/>
  <c r="M22" i="2"/>
  <c r="O22" i="2" s="1"/>
  <c r="O27" i="2" s="1"/>
  <c r="L22" i="2"/>
  <c r="G22" i="2"/>
  <c r="D22" i="2"/>
  <c r="N3712" i="1"/>
  <c r="L3712" i="1"/>
  <c r="P3711" i="1"/>
  <c r="N3711" i="1"/>
  <c r="L3711" i="1"/>
  <c r="J3711" i="1"/>
  <c r="J3712" i="1" s="1"/>
  <c r="O3712" i="1" s="1"/>
  <c r="P3712" i="1" s="1"/>
  <c r="N3666" i="1"/>
  <c r="L3666" i="1"/>
  <c r="P3665" i="1"/>
  <c r="N3665" i="1"/>
  <c r="L3665" i="1"/>
  <c r="J3665" i="1"/>
  <c r="J3666" i="1" s="1"/>
  <c r="O3666" i="1" s="1"/>
  <c r="P3666" i="1" s="1"/>
  <c r="O3625" i="1"/>
  <c r="P3625" i="1" s="1"/>
  <c r="P3624" i="1"/>
  <c r="N3624" i="1"/>
  <c r="L3624" i="1"/>
  <c r="J3624" i="1"/>
  <c r="O3624" i="1" s="1"/>
  <c r="N3581" i="1"/>
  <c r="L3581" i="1"/>
  <c r="P3580" i="1"/>
  <c r="N3580" i="1"/>
  <c r="L3580" i="1"/>
  <c r="J3580" i="1"/>
  <c r="J3581" i="1" s="1"/>
  <c r="O3581" i="1" s="1"/>
  <c r="P3581" i="1" s="1"/>
  <c r="N3540" i="1"/>
  <c r="L3540" i="1"/>
  <c r="P3539" i="1"/>
  <c r="N3539" i="1"/>
  <c r="L3539" i="1"/>
  <c r="J3539" i="1"/>
  <c r="O3539" i="1" s="1"/>
  <c r="N3497" i="1"/>
  <c r="L3497" i="1"/>
  <c r="P3496" i="1"/>
  <c r="N3496" i="1"/>
  <c r="L3496" i="1"/>
  <c r="J3496" i="1"/>
  <c r="J3497" i="1" s="1"/>
  <c r="O3497" i="1" s="1"/>
  <c r="P3497" i="1" s="1"/>
  <c r="N3455" i="1"/>
  <c r="L3455" i="1"/>
  <c r="P3454" i="1"/>
  <c r="N3454" i="1"/>
  <c r="L3454" i="1"/>
  <c r="J3454" i="1"/>
  <c r="J3455" i="1" s="1"/>
  <c r="O3455" i="1" s="1"/>
  <c r="P3455" i="1" s="1"/>
  <c r="N3415" i="1"/>
  <c r="L3415" i="1"/>
  <c r="P3414" i="1"/>
  <c r="N3414" i="1"/>
  <c r="L3414" i="1"/>
  <c r="J3414" i="1"/>
  <c r="J3415" i="1" s="1"/>
  <c r="O3415" i="1" s="1"/>
  <c r="N3372" i="1"/>
  <c r="L3372" i="1"/>
  <c r="P3371" i="1"/>
  <c r="N3371" i="1"/>
  <c r="L3371" i="1"/>
  <c r="J3371" i="1"/>
  <c r="J3372" i="1" s="1"/>
  <c r="O3372" i="1" s="1"/>
  <c r="P3372" i="1" s="1"/>
  <c r="N3327" i="1"/>
  <c r="L3327" i="1"/>
  <c r="P3326" i="1"/>
  <c r="N3326" i="1"/>
  <c r="L3326" i="1"/>
  <c r="J3326" i="1"/>
  <c r="O3326" i="1" s="1"/>
  <c r="N3283" i="1"/>
  <c r="L3283" i="1"/>
  <c r="P3282" i="1"/>
  <c r="N3282" i="1"/>
  <c r="L3282" i="1"/>
  <c r="J3282" i="1"/>
  <c r="J3283" i="1" s="1"/>
  <c r="O3283" i="1" s="1"/>
  <c r="P3283" i="1" s="1"/>
  <c r="N3240" i="1"/>
  <c r="L3240" i="1"/>
  <c r="P3239" i="1"/>
  <c r="N3239" i="1"/>
  <c r="L3239" i="1"/>
  <c r="J3239" i="1"/>
  <c r="O3239" i="1" s="1"/>
  <c r="N3196" i="1"/>
  <c r="L3196" i="1"/>
  <c r="P3195" i="1"/>
  <c r="N3195" i="1"/>
  <c r="L3195" i="1"/>
  <c r="J3195" i="1"/>
  <c r="O3195" i="1" s="1"/>
  <c r="N3152" i="1"/>
  <c r="L3152" i="1"/>
  <c r="P3151" i="1"/>
  <c r="N3151" i="1"/>
  <c r="L3151" i="1"/>
  <c r="J3151" i="1"/>
  <c r="O3151" i="1" s="1"/>
  <c r="N3110" i="1"/>
  <c r="L3110" i="1"/>
  <c r="P3109" i="1"/>
  <c r="N3109" i="1"/>
  <c r="L3109" i="1"/>
  <c r="J3109" i="1"/>
  <c r="J3110" i="1" s="1"/>
  <c r="O3110" i="1" s="1"/>
  <c r="P3110" i="1" s="1"/>
  <c r="N3066" i="1"/>
  <c r="L3066" i="1"/>
  <c r="P3065" i="1"/>
  <c r="N3065" i="1"/>
  <c r="L3065" i="1"/>
  <c r="J3065" i="1"/>
  <c r="J3066" i="1" s="1"/>
  <c r="O3066" i="1" s="1"/>
  <c r="P3066" i="1" s="1"/>
  <c r="N3025" i="1"/>
  <c r="L3025" i="1"/>
  <c r="P3024" i="1"/>
  <c r="N3024" i="1"/>
  <c r="L3024" i="1"/>
  <c r="J3024" i="1"/>
  <c r="J3025" i="1" s="1"/>
  <c r="O3025" i="1" s="1"/>
  <c r="P3025" i="1" s="1"/>
  <c r="N2981" i="1"/>
  <c r="L2981" i="1"/>
  <c r="P2980" i="1"/>
  <c r="N2980" i="1"/>
  <c r="L2980" i="1"/>
  <c r="J2980" i="1"/>
  <c r="O2980" i="1" s="1"/>
  <c r="N2939" i="1"/>
  <c r="L2939" i="1"/>
  <c r="P2938" i="1"/>
  <c r="N2938" i="1"/>
  <c r="L2938" i="1"/>
  <c r="J2938" i="1"/>
  <c r="O2938" i="1" s="1"/>
  <c r="N2896" i="1"/>
  <c r="L2896" i="1"/>
  <c r="P2895" i="1"/>
  <c r="N2895" i="1"/>
  <c r="L2895" i="1"/>
  <c r="J2895" i="1"/>
  <c r="O2895" i="1" s="1"/>
  <c r="N2853" i="1"/>
  <c r="L2853" i="1"/>
  <c r="P2852" i="1"/>
  <c r="N2852" i="1"/>
  <c r="L2852" i="1"/>
  <c r="J2852" i="1"/>
  <c r="J2853" i="1" s="1"/>
  <c r="O2853" i="1" s="1"/>
  <c r="P2853" i="1" s="1"/>
  <c r="N2809" i="1"/>
  <c r="L2809" i="1"/>
  <c r="P2808" i="1"/>
  <c r="N2808" i="1"/>
  <c r="L2808" i="1"/>
  <c r="J2808" i="1"/>
  <c r="O2808" i="1" s="1"/>
  <c r="N2764" i="1"/>
  <c r="L2764" i="1"/>
  <c r="P2763" i="1"/>
  <c r="N2763" i="1"/>
  <c r="L2763" i="1"/>
  <c r="J2763" i="1"/>
  <c r="J2764" i="1" s="1"/>
  <c r="O2764" i="1" s="1"/>
  <c r="P2764" i="1" s="1"/>
  <c r="N2722" i="1"/>
  <c r="L2722" i="1"/>
  <c r="P2721" i="1"/>
  <c r="N2721" i="1"/>
  <c r="L2721" i="1"/>
  <c r="J2721" i="1"/>
  <c r="J2722" i="1" s="1"/>
  <c r="O2722" i="1" s="1"/>
  <c r="P2722" i="1" s="1"/>
  <c r="N2681" i="1"/>
  <c r="L2681" i="1"/>
  <c r="P2680" i="1"/>
  <c r="N2680" i="1"/>
  <c r="L2680" i="1"/>
  <c r="J2680" i="1"/>
  <c r="J2681" i="1" s="1"/>
  <c r="O2681" i="1" s="1"/>
  <c r="P2681" i="1" s="1"/>
  <c r="N2643" i="1"/>
  <c r="L2643" i="1"/>
  <c r="P2642" i="1"/>
  <c r="N2642" i="1"/>
  <c r="L2642" i="1"/>
  <c r="J2642" i="1"/>
  <c r="O2642" i="1" s="1"/>
  <c r="N2600" i="1"/>
  <c r="L2600" i="1"/>
  <c r="P2599" i="1"/>
  <c r="N2599" i="1"/>
  <c r="L2599" i="1"/>
  <c r="J2599" i="1"/>
  <c r="J2600" i="1" s="1"/>
  <c r="O2600" i="1" s="1"/>
  <c r="P2600" i="1" s="1"/>
  <c r="N2554" i="1"/>
  <c r="L2554" i="1"/>
  <c r="P2553" i="1"/>
  <c r="N2553" i="1"/>
  <c r="L2553" i="1"/>
  <c r="J2553" i="1"/>
  <c r="O2553" i="1" s="1"/>
  <c r="N2511" i="1"/>
  <c r="L2511" i="1"/>
  <c r="J2511" i="1"/>
  <c r="O2511" i="1" s="1"/>
  <c r="P2511" i="1" s="1"/>
  <c r="P2510" i="1"/>
  <c r="O2510" i="1"/>
  <c r="N2510" i="1"/>
  <c r="L2510" i="1"/>
  <c r="N2468" i="1"/>
  <c r="L2468" i="1"/>
  <c r="P2467" i="1"/>
  <c r="N2467" i="1"/>
  <c r="L2467" i="1"/>
  <c r="J2467" i="1"/>
  <c r="O2467" i="1" s="1"/>
  <c r="N2426" i="1"/>
  <c r="L2426" i="1"/>
  <c r="P2425" i="1"/>
  <c r="N2425" i="1"/>
  <c r="L2425" i="1"/>
  <c r="J2425" i="1"/>
  <c r="J2426" i="1" s="1"/>
  <c r="O2426" i="1" s="1"/>
  <c r="P2426" i="1" s="1"/>
  <c r="N2383" i="1"/>
  <c r="L2383" i="1"/>
  <c r="P2382" i="1"/>
  <c r="N2382" i="1"/>
  <c r="L2382" i="1"/>
  <c r="J2382" i="1"/>
  <c r="J2383" i="1" s="1"/>
  <c r="O2383" i="1" s="1"/>
  <c r="P2383" i="1" s="1"/>
  <c r="N2340" i="1"/>
  <c r="L2340" i="1"/>
  <c r="P2339" i="1"/>
  <c r="N2339" i="1"/>
  <c r="L2339" i="1"/>
  <c r="J2339" i="1"/>
  <c r="O2339" i="1" s="1"/>
  <c r="N2295" i="1"/>
  <c r="L2295" i="1"/>
  <c r="P2294" i="1"/>
  <c r="N2294" i="1"/>
  <c r="L2294" i="1"/>
  <c r="J2294" i="1"/>
  <c r="O2294" i="1" s="1"/>
  <c r="N2252" i="1"/>
  <c r="L2252" i="1"/>
  <c r="P2251" i="1"/>
  <c r="N2251" i="1"/>
  <c r="L2251" i="1"/>
  <c r="J2251" i="1"/>
  <c r="J2252" i="1" s="1"/>
  <c r="O2252" i="1" s="1"/>
  <c r="P2252" i="1" s="1"/>
  <c r="N2209" i="1"/>
  <c r="L2209" i="1"/>
  <c r="P2208" i="1"/>
  <c r="N2208" i="1"/>
  <c r="L2208" i="1"/>
  <c r="J2208" i="1"/>
  <c r="J2209" i="1" s="1"/>
  <c r="O2209" i="1" s="1"/>
  <c r="P2209" i="1" s="1"/>
  <c r="N2167" i="1"/>
  <c r="L2167" i="1"/>
  <c r="P2166" i="1"/>
  <c r="N2166" i="1"/>
  <c r="L2166" i="1"/>
  <c r="J2166" i="1"/>
  <c r="J2167" i="1" s="1"/>
  <c r="O2167" i="1" s="1"/>
  <c r="P2167" i="1" s="1"/>
  <c r="N2125" i="1"/>
  <c r="L2125" i="1"/>
  <c r="P2124" i="1"/>
  <c r="N2124" i="1"/>
  <c r="L2124" i="1"/>
  <c r="J2124" i="1"/>
  <c r="O2124" i="1" s="1"/>
  <c r="N2086" i="1"/>
  <c r="L2086" i="1"/>
  <c r="P2085" i="1"/>
  <c r="N2085" i="1"/>
  <c r="L2085" i="1"/>
  <c r="J2085" i="1"/>
  <c r="J2086" i="1" s="1"/>
  <c r="O2086" i="1" s="1"/>
  <c r="P2086" i="1" s="1"/>
  <c r="N2043" i="1"/>
  <c r="L2043" i="1"/>
  <c r="P2042" i="1"/>
  <c r="N2042" i="1"/>
  <c r="L2042" i="1"/>
  <c r="J2042" i="1"/>
  <c r="J2043" i="1" s="1"/>
  <c r="O2043" i="1" s="1"/>
  <c r="P2043" i="1" s="1"/>
  <c r="N2000" i="1"/>
  <c r="L2000" i="1"/>
  <c r="P1999" i="1"/>
  <c r="N1999" i="1"/>
  <c r="L1999" i="1"/>
  <c r="J1999" i="1"/>
  <c r="O1999" i="1" s="1"/>
  <c r="N1957" i="1"/>
  <c r="L1957" i="1"/>
  <c r="P1956" i="1"/>
  <c r="N1956" i="1"/>
  <c r="L1956" i="1"/>
  <c r="J1956" i="1"/>
  <c r="O1956" i="1" s="1"/>
  <c r="N1912" i="1"/>
  <c r="L1912" i="1"/>
  <c r="P1911" i="1"/>
  <c r="N1911" i="1"/>
  <c r="L1911" i="1"/>
  <c r="J1911" i="1"/>
  <c r="J1912" i="1" s="1"/>
  <c r="O1912" i="1" s="1"/>
  <c r="P1912" i="1" s="1"/>
  <c r="N1868" i="1"/>
  <c r="L1868" i="1"/>
  <c r="P1867" i="1"/>
  <c r="N1867" i="1"/>
  <c r="L1867" i="1"/>
  <c r="J1867" i="1"/>
  <c r="J1868" i="1" s="1"/>
  <c r="O1868" i="1" s="1"/>
  <c r="P1868" i="1" s="1"/>
  <c r="N1824" i="1"/>
  <c r="L1824" i="1"/>
  <c r="N1823" i="1"/>
  <c r="L1823" i="1"/>
  <c r="J1823" i="1"/>
  <c r="N1783" i="1"/>
  <c r="L1783" i="1"/>
  <c r="P1782" i="1"/>
  <c r="N1782" i="1"/>
  <c r="L1782" i="1"/>
  <c r="J1782" i="1"/>
  <c r="O1782" i="1" s="1"/>
  <c r="N1737" i="1"/>
  <c r="L1737" i="1"/>
  <c r="P1736" i="1"/>
  <c r="N1736" i="1"/>
  <c r="L1736" i="1"/>
  <c r="J1736" i="1"/>
  <c r="J1737" i="1" s="1"/>
  <c r="O1737" i="1" s="1"/>
  <c r="P1737" i="1" s="1"/>
  <c r="N1694" i="1"/>
  <c r="L1694" i="1"/>
  <c r="P1693" i="1"/>
  <c r="N1693" i="1"/>
  <c r="L1693" i="1"/>
  <c r="J1693" i="1"/>
  <c r="O1693" i="1" s="1"/>
  <c r="N1651" i="1"/>
  <c r="L1651" i="1"/>
  <c r="P1650" i="1"/>
  <c r="N1650" i="1"/>
  <c r="L1650" i="1"/>
  <c r="J1650" i="1"/>
  <c r="O1650" i="1" s="1"/>
  <c r="N1608" i="1"/>
  <c r="L1608" i="1"/>
  <c r="P1607" i="1"/>
  <c r="N1607" i="1"/>
  <c r="L1607" i="1"/>
  <c r="J1607" i="1"/>
  <c r="O1607" i="1" s="1"/>
  <c r="N1565" i="1"/>
  <c r="L1565" i="1"/>
  <c r="P1564" i="1"/>
  <c r="N1564" i="1"/>
  <c r="L1564" i="1"/>
  <c r="J1564" i="1"/>
  <c r="J1565" i="1" s="1"/>
  <c r="O1565" i="1" s="1"/>
  <c r="P1565" i="1" s="1"/>
  <c r="N1522" i="1"/>
  <c r="L1522" i="1"/>
  <c r="P1521" i="1"/>
  <c r="N1521" i="1"/>
  <c r="L1521" i="1"/>
  <c r="J1521" i="1"/>
  <c r="J1522" i="1" s="1"/>
  <c r="O1522" i="1" s="1"/>
  <c r="P1522" i="1" s="1"/>
  <c r="N1480" i="1"/>
  <c r="L1480" i="1"/>
  <c r="P1479" i="1"/>
  <c r="N1479" i="1"/>
  <c r="L1479" i="1"/>
  <c r="J1479" i="1"/>
  <c r="J1480" i="1" s="1"/>
  <c r="O1480" i="1" s="1"/>
  <c r="P1480" i="1" s="1"/>
  <c r="N1437" i="1"/>
  <c r="L1437" i="1"/>
  <c r="P1436" i="1"/>
  <c r="N1436" i="1"/>
  <c r="L1436" i="1"/>
  <c r="J1436" i="1"/>
  <c r="O1436" i="1" s="1"/>
  <c r="N1394" i="1"/>
  <c r="L1394" i="1"/>
  <c r="P1393" i="1"/>
  <c r="N1393" i="1"/>
  <c r="L1393" i="1"/>
  <c r="J1393" i="1"/>
  <c r="O1393" i="1" s="1"/>
  <c r="N1352" i="1"/>
  <c r="L1352" i="1"/>
  <c r="P1351" i="1"/>
  <c r="N1351" i="1"/>
  <c r="L1351" i="1"/>
  <c r="J1351" i="1"/>
  <c r="J1352" i="1" s="1"/>
  <c r="O1352" i="1" s="1"/>
  <c r="P1352" i="1" s="1"/>
  <c r="N1309" i="1"/>
  <c r="L1309" i="1"/>
  <c r="P1308" i="1"/>
  <c r="N1308" i="1"/>
  <c r="L1308" i="1"/>
  <c r="J1308" i="1"/>
  <c r="J1309" i="1" s="1"/>
  <c r="O1309" i="1" s="1"/>
  <c r="P1309" i="1" s="1"/>
  <c r="N1266" i="1"/>
  <c r="L1266" i="1"/>
  <c r="P1265" i="1"/>
  <c r="N1265" i="1"/>
  <c r="L1265" i="1"/>
  <c r="J1265" i="1"/>
  <c r="O1265" i="1" s="1"/>
  <c r="N1223" i="1"/>
  <c r="L1223" i="1"/>
  <c r="P1222" i="1"/>
  <c r="N1222" i="1"/>
  <c r="L1222" i="1"/>
  <c r="J1222" i="1"/>
  <c r="J1223" i="1" s="1"/>
  <c r="O1223" i="1" s="1"/>
  <c r="P1223" i="1" s="1"/>
  <c r="N1181" i="1"/>
  <c r="L1181" i="1"/>
  <c r="P1180" i="1"/>
  <c r="N1180" i="1"/>
  <c r="L1180" i="1"/>
  <c r="J1180" i="1"/>
  <c r="J1181" i="1" s="1"/>
  <c r="O1181" i="1" s="1"/>
  <c r="P1181" i="1" s="1"/>
  <c r="N1139" i="1"/>
  <c r="L1139" i="1"/>
  <c r="P1138" i="1"/>
  <c r="N1138" i="1"/>
  <c r="L1138" i="1"/>
  <c r="J1138" i="1"/>
  <c r="J1139" i="1" s="1"/>
  <c r="O1139" i="1" s="1"/>
  <c r="P1139" i="1" s="1"/>
  <c r="N1097" i="1"/>
  <c r="L1097" i="1"/>
  <c r="P1096" i="1"/>
  <c r="N1096" i="1"/>
  <c r="L1096" i="1"/>
  <c r="J1096" i="1"/>
  <c r="O1096" i="1" s="1"/>
  <c r="N1055" i="1"/>
  <c r="L1055" i="1"/>
  <c r="P1054" i="1"/>
  <c r="N1054" i="1"/>
  <c r="L1054" i="1"/>
  <c r="J1054" i="1"/>
  <c r="O1054" i="1" s="1"/>
  <c r="N1012" i="1"/>
  <c r="L1012" i="1"/>
  <c r="P1011" i="1"/>
  <c r="N1011" i="1"/>
  <c r="L1011" i="1"/>
  <c r="J1011" i="1"/>
  <c r="J1012" i="1" s="1"/>
  <c r="O1012" i="1" s="1"/>
  <c r="P1012" i="1" s="1"/>
  <c r="N970" i="1"/>
  <c r="L970" i="1"/>
  <c r="P969" i="1"/>
  <c r="N969" i="1"/>
  <c r="L969" i="1"/>
  <c r="J969" i="1"/>
  <c r="J970" i="1" s="1"/>
  <c r="O970" i="1" s="1"/>
  <c r="P970" i="1" s="1"/>
  <c r="N925" i="1"/>
  <c r="L925" i="1"/>
  <c r="P924" i="1"/>
  <c r="N924" i="1"/>
  <c r="L924" i="1"/>
  <c r="J924" i="1"/>
  <c r="O924" i="1" s="1"/>
  <c r="N882" i="1"/>
  <c r="L882" i="1"/>
  <c r="P881" i="1"/>
  <c r="N881" i="1"/>
  <c r="L881" i="1"/>
  <c r="J881" i="1"/>
  <c r="J882" i="1" s="1"/>
  <c r="O882" i="1" s="1"/>
  <c r="P882" i="1" s="1"/>
  <c r="N839" i="1"/>
  <c r="L839" i="1"/>
  <c r="P838" i="1"/>
  <c r="N838" i="1"/>
  <c r="L838" i="1"/>
  <c r="J838" i="1"/>
  <c r="J839" i="1" s="1"/>
  <c r="O839" i="1" s="1"/>
  <c r="P839" i="1" s="1"/>
  <c r="N797" i="1"/>
  <c r="L797" i="1"/>
  <c r="P796" i="1"/>
  <c r="N796" i="1"/>
  <c r="L796" i="1"/>
  <c r="J796" i="1"/>
  <c r="J797" i="1" s="1"/>
  <c r="O797" i="1" s="1"/>
  <c r="P797" i="1" s="1"/>
  <c r="N755" i="1"/>
  <c r="L755" i="1"/>
  <c r="P754" i="1"/>
  <c r="N754" i="1"/>
  <c r="L754" i="1"/>
  <c r="J754" i="1"/>
  <c r="O754" i="1" s="1"/>
  <c r="N712" i="1"/>
  <c r="L712" i="1"/>
  <c r="P711" i="1"/>
  <c r="N711" i="1"/>
  <c r="L711" i="1"/>
  <c r="J711" i="1"/>
  <c r="O711" i="1" s="1"/>
  <c r="N669" i="1"/>
  <c r="L669" i="1"/>
  <c r="P668" i="1"/>
  <c r="N668" i="1"/>
  <c r="L668" i="1"/>
  <c r="J668" i="1"/>
  <c r="J669" i="1" s="1"/>
  <c r="O669" i="1" s="1"/>
  <c r="P669" i="1" s="1"/>
  <c r="N625" i="1"/>
  <c r="L625" i="1"/>
  <c r="P624" i="1"/>
  <c r="N624" i="1"/>
  <c r="L624" i="1"/>
  <c r="J624" i="1"/>
  <c r="J625" i="1" s="1"/>
  <c r="O625" i="1" s="1"/>
  <c r="P625" i="1" s="1"/>
  <c r="N583" i="1"/>
  <c r="L583" i="1"/>
  <c r="P582" i="1"/>
  <c r="N582" i="1"/>
  <c r="L582" i="1"/>
  <c r="J582" i="1"/>
  <c r="O582" i="1" s="1"/>
  <c r="F576" i="1"/>
  <c r="G571" i="1"/>
  <c r="G576" i="1" s="1"/>
  <c r="B576" i="1"/>
  <c r="N540" i="1"/>
  <c r="L540" i="1"/>
  <c r="F534" i="1"/>
  <c r="P539" i="1"/>
  <c r="N539" i="1"/>
  <c r="L539" i="1"/>
  <c r="J539" i="1"/>
  <c r="O539" i="1" s="1"/>
  <c r="H529" i="1"/>
  <c r="H534" i="1" s="1"/>
  <c r="G529" i="1"/>
  <c r="B534" i="1"/>
  <c r="G534" i="1" s="1"/>
  <c r="N497" i="1"/>
  <c r="L497" i="1"/>
  <c r="F491" i="1"/>
  <c r="P496" i="1"/>
  <c r="N496" i="1"/>
  <c r="L496" i="1"/>
  <c r="J496" i="1"/>
  <c r="J497" i="1" s="1"/>
  <c r="O497" i="1" s="1"/>
  <c r="P497" i="1" s="1"/>
  <c r="G488" i="1"/>
  <c r="B491" i="1"/>
  <c r="N456" i="1"/>
  <c r="L456" i="1"/>
  <c r="F450" i="1"/>
  <c r="P455" i="1"/>
  <c r="N455" i="1"/>
  <c r="L455" i="1"/>
  <c r="J455" i="1"/>
  <c r="O455" i="1" s="1"/>
  <c r="G445" i="1"/>
  <c r="E412" i="1"/>
  <c r="G411" i="1"/>
  <c r="E411" i="1"/>
  <c r="B411" i="1"/>
  <c r="F411" i="1" s="1"/>
  <c r="N414" i="1"/>
  <c r="L414" i="1"/>
  <c r="P413" i="1"/>
  <c r="N413" i="1"/>
  <c r="L413" i="1"/>
  <c r="J413" i="1"/>
  <c r="O413" i="1" s="1"/>
  <c r="E367" i="1"/>
  <c r="E366" i="1"/>
  <c r="G365" i="1"/>
  <c r="B366" i="1" s="1"/>
  <c r="N370" i="1"/>
  <c r="L370" i="1"/>
  <c r="P369" i="1"/>
  <c r="N369" i="1"/>
  <c r="L369" i="1"/>
  <c r="J369" i="1"/>
  <c r="J370" i="1" s="1"/>
  <c r="O370" i="1" s="1"/>
  <c r="P370" i="1" s="1"/>
  <c r="N327" i="1"/>
  <c r="L327" i="1"/>
  <c r="G321" i="1"/>
  <c r="F321" i="1"/>
  <c r="P326" i="1"/>
  <c r="N326" i="1"/>
  <c r="L326" i="1"/>
  <c r="J326" i="1"/>
  <c r="J327" i="1" s="1"/>
  <c r="O327" i="1" s="1"/>
  <c r="P327" i="1" s="1"/>
  <c r="B321" i="1"/>
  <c r="N285" i="1"/>
  <c r="L285" i="1"/>
  <c r="F279" i="1"/>
  <c r="P284" i="1"/>
  <c r="N284" i="1"/>
  <c r="L284" i="1"/>
  <c r="J284" i="1"/>
  <c r="J285" i="1" s="1"/>
  <c r="O285" i="1" s="1"/>
  <c r="P285" i="1" s="1"/>
  <c r="H274" i="1"/>
  <c r="H279" i="1" s="1"/>
  <c r="G274" i="1"/>
  <c r="B279" i="1"/>
  <c r="G279" i="1" s="1"/>
  <c r="N241" i="1"/>
  <c r="L241" i="1"/>
  <c r="F235" i="1"/>
  <c r="P240" i="1"/>
  <c r="N240" i="1"/>
  <c r="L240" i="1"/>
  <c r="J240" i="1"/>
  <c r="J241" i="1" s="1"/>
  <c r="O241" i="1" s="1"/>
  <c r="P241" i="1" s="1"/>
  <c r="F195" i="1"/>
  <c r="A195" i="1"/>
  <c r="N196" i="1"/>
  <c r="L196" i="1"/>
  <c r="F194" i="1"/>
  <c r="P195" i="1"/>
  <c r="N195" i="1"/>
  <c r="L195" i="1"/>
  <c r="J195" i="1"/>
  <c r="J196" i="1" s="1"/>
  <c r="O196" i="1" s="1"/>
  <c r="P196" i="1" s="1"/>
  <c r="B189" i="1"/>
  <c r="E189" i="1" s="1"/>
  <c r="G189" i="1" s="1"/>
  <c r="N153" i="1"/>
  <c r="L153" i="1"/>
  <c r="F151" i="1"/>
  <c r="P152" i="1"/>
  <c r="N152" i="1"/>
  <c r="L152" i="1"/>
  <c r="J152" i="1"/>
  <c r="O152" i="1" s="1"/>
  <c r="O109" i="1"/>
  <c r="N109" i="1"/>
  <c r="L109" i="1"/>
  <c r="F108" i="1"/>
  <c r="P108" i="1"/>
  <c r="N108" i="1"/>
  <c r="L108" i="1"/>
  <c r="J108" i="1"/>
  <c r="O108" i="1" s="1"/>
  <c r="N66" i="1"/>
  <c r="L66" i="1"/>
  <c r="F66" i="1"/>
  <c r="N65" i="1"/>
  <c r="J65" i="1"/>
  <c r="J66" i="1" s="1"/>
  <c r="O66" i="1" s="1"/>
  <c r="P64" i="1"/>
  <c r="N23" i="1"/>
  <c r="L23" i="1"/>
  <c r="F23" i="1"/>
  <c r="P22" i="1"/>
  <c r="N22" i="1"/>
  <c r="L22" i="1"/>
  <c r="J22" i="1"/>
  <c r="J23" i="1" s="1"/>
  <c r="O23" i="1" s="1"/>
  <c r="X289" i="2" l="1"/>
  <c r="X294" i="2" s="1"/>
  <c r="X378" i="2"/>
  <c r="X383" i="2" s="1"/>
  <c r="X423" i="2"/>
  <c r="X428" i="2" s="1"/>
  <c r="P289" i="2"/>
  <c r="P294" i="2" s="1"/>
  <c r="P244" i="2"/>
  <c r="P249" i="2" s="1"/>
  <c r="H156" i="2"/>
  <c r="G161" i="2" s="1"/>
  <c r="H817" i="2"/>
  <c r="H822" i="2" s="1"/>
  <c r="P22" i="2"/>
  <c r="P27" i="2" s="1"/>
  <c r="X22" i="2"/>
  <c r="X27" i="2" s="1"/>
  <c r="H773" i="2"/>
  <c r="H778" i="2" s="1"/>
  <c r="O3665" i="1"/>
  <c r="G449" i="17"/>
  <c r="I454" i="17"/>
  <c r="N454" i="17" s="1"/>
  <c r="O454" i="17" s="1"/>
  <c r="N836" i="17"/>
  <c r="I2152" i="17"/>
  <c r="N2152" i="17" s="1"/>
  <c r="O2152" i="17" s="1"/>
  <c r="N2748" i="17"/>
  <c r="I3393" i="17"/>
  <c r="N3393" i="17" s="1"/>
  <c r="I26" i="17"/>
  <c r="N26" i="17" s="1"/>
  <c r="I623" i="17"/>
  <c r="N623" i="17" s="1"/>
  <c r="O623" i="17" s="1"/>
  <c r="I795" i="17"/>
  <c r="N795" i="17" s="1"/>
  <c r="O795" i="17" s="1"/>
  <c r="I2707" i="17"/>
  <c r="N2707" i="17" s="1"/>
  <c r="O2707" i="17" s="1"/>
  <c r="N2365" i="17"/>
  <c r="N3005" i="17"/>
  <c r="N3348" i="17"/>
  <c r="N325" i="17"/>
  <c r="G492" i="17"/>
  <c r="F495" i="17" s="1"/>
  <c r="G106" i="17"/>
  <c r="A111" i="17" s="1"/>
  <c r="G193" i="17"/>
  <c r="G198" i="17" s="1"/>
  <c r="G321" i="17"/>
  <c r="G326" i="17" s="1"/>
  <c r="N1010" i="17"/>
  <c r="N1682" i="17"/>
  <c r="N2663" i="17"/>
  <c r="N3604" i="17"/>
  <c r="V106" i="17"/>
  <c r="V111" i="17" s="1"/>
  <c r="I968" i="17"/>
  <c r="N968" i="17" s="1"/>
  <c r="O968" i="17" s="1"/>
  <c r="N1178" i="17"/>
  <c r="I1640" i="17"/>
  <c r="N1640" i="17" s="1"/>
  <c r="O1640" i="17" s="1"/>
  <c r="N1855" i="17"/>
  <c r="I2323" i="17"/>
  <c r="N2323" i="17" s="1"/>
  <c r="O2323" i="17" s="1"/>
  <c r="N2581" i="17"/>
  <c r="N2919" i="17"/>
  <c r="N3261" i="17"/>
  <c r="I3559" i="17"/>
  <c r="N3559" i="17" s="1"/>
  <c r="O3559" i="17" s="1"/>
  <c r="N666" i="17"/>
  <c r="I1138" i="17"/>
  <c r="N1138" i="17" s="1"/>
  <c r="O1138" i="17" s="1"/>
  <c r="N1347" i="17"/>
  <c r="I1811" i="17"/>
  <c r="N1811" i="17" s="1"/>
  <c r="O1811" i="17" s="1"/>
  <c r="N2023" i="17"/>
  <c r="I2536" i="17"/>
  <c r="N2536" i="17" s="1"/>
  <c r="O2536" i="17" s="1"/>
  <c r="N2834" i="17"/>
  <c r="I2877" i="17"/>
  <c r="N2877" i="17" s="1"/>
  <c r="O2877" i="17" s="1"/>
  <c r="N3175" i="17"/>
  <c r="I3219" i="17"/>
  <c r="N3219" i="17" s="1"/>
  <c r="O3219" i="17" s="1"/>
  <c r="A370" i="17"/>
  <c r="E370" i="17" s="1"/>
  <c r="E369" i="17"/>
  <c r="G26" i="17"/>
  <c r="A26" i="17"/>
  <c r="F26" i="17" s="1"/>
  <c r="G454" i="17"/>
  <c r="F454" i="17"/>
  <c r="G155" i="17"/>
  <c r="A155" i="17"/>
  <c r="F155" i="17" s="1"/>
  <c r="Q26" i="17"/>
  <c r="I155" i="17"/>
  <c r="N155" i="17" s="1"/>
  <c r="O155" i="17" s="1"/>
  <c r="I198" i="17"/>
  <c r="N198" i="17" s="1"/>
  <c r="O198" i="17" s="1"/>
  <c r="I495" i="17"/>
  <c r="N495" i="17" s="1"/>
  <c r="O495" i="17" s="1"/>
  <c r="N709" i="17"/>
  <c r="N879" i="17"/>
  <c r="N1053" i="17"/>
  <c r="N1219" i="17"/>
  <c r="N1390" i="17"/>
  <c r="N1558" i="17"/>
  <c r="N1722" i="17"/>
  <c r="N1896" i="17"/>
  <c r="N2066" i="17"/>
  <c r="N2236" i="17"/>
  <c r="N3476" i="17"/>
  <c r="N3647" i="17"/>
  <c r="A454" i="17"/>
  <c r="G574" i="17"/>
  <c r="G579" i="17" s="1"/>
  <c r="N2624" i="17"/>
  <c r="N2791" i="17"/>
  <c r="N2961" i="17"/>
  <c r="N3132" i="17"/>
  <c r="N3303" i="17"/>
  <c r="I241" i="17"/>
  <c r="N241" i="17" s="1"/>
  <c r="O241" i="17" s="1"/>
  <c r="I539" i="17"/>
  <c r="N539" i="17" s="1"/>
  <c r="O539" i="17" s="1"/>
  <c r="N579" i="17"/>
  <c r="N752" i="17"/>
  <c r="N922" i="17"/>
  <c r="N1095" i="17"/>
  <c r="N1262" i="17"/>
  <c r="N1431" i="17"/>
  <c r="N1600" i="17"/>
  <c r="N1765" i="17"/>
  <c r="N1938" i="17"/>
  <c r="N2109" i="17"/>
  <c r="N2279" i="17"/>
  <c r="N2449" i="17"/>
  <c r="N3514" i="17"/>
  <c r="N3693" i="17"/>
  <c r="N410" i="17"/>
  <c r="A495" i="17"/>
  <c r="I284" i="17"/>
  <c r="N284" i="17" s="1"/>
  <c r="O284" i="17" s="1"/>
  <c r="V150" i="17"/>
  <c r="V155" i="17" s="1"/>
  <c r="B339" i="2"/>
  <c r="P201" i="2"/>
  <c r="P206" i="2" s="1"/>
  <c r="H339" i="2"/>
  <c r="X462" i="2"/>
  <c r="X467" i="2" s="1"/>
  <c r="P423" i="2"/>
  <c r="P428" i="2" s="1"/>
  <c r="R294" i="2"/>
  <c r="B822" i="2"/>
  <c r="H22" i="2"/>
  <c r="G27" i="2" s="1"/>
  <c r="P67" i="2"/>
  <c r="P72" i="2" s="1"/>
  <c r="J206" i="2"/>
  <c r="B778" i="2"/>
  <c r="P378" i="2"/>
  <c r="P383" i="2" s="1"/>
  <c r="R467" i="2"/>
  <c r="H378" i="2"/>
  <c r="H383" i="2" s="1"/>
  <c r="P112" i="2"/>
  <c r="P117" i="2" s="1"/>
  <c r="X334" i="2"/>
  <c r="X339" i="2" s="1"/>
  <c r="W249" i="2"/>
  <c r="X244" i="2"/>
  <c r="X249" i="2" s="1"/>
  <c r="O161" i="2"/>
  <c r="P156" i="2"/>
  <c r="P161" i="2" s="1"/>
  <c r="X201" i="2"/>
  <c r="X206" i="2" s="1"/>
  <c r="J27" i="2"/>
  <c r="W27" i="2"/>
  <c r="X112" i="2"/>
  <c r="X117" i="2" s="1"/>
  <c r="H289" i="2"/>
  <c r="H294" i="2" s="1"/>
  <c r="B294" i="2" s="1"/>
  <c r="J383" i="2"/>
  <c r="W383" i="2"/>
  <c r="R428" i="2"/>
  <c r="J117" i="2"/>
  <c r="X67" i="2"/>
  <c r="X72" i="2" s="1"/>
  <c r="H201" i="2"/>
  <c r="B206" i="2" s="1"/>
  <c r="J294" i="2"/>
  <c r="P334" i="2"/>
  <c r="P339" i="2" s="1"/>
  <c r="P462" i="2"/>
  <c r="P467" i="2" s="1"/>
  <c r="H548" i="2"/>
  <c r="H553" i="2" s="1"/>
  <c r="H592" i="2"/>
  <c r="H597" i="2" s="1"/>
  <c r="H637" i="2"/>
  <c r="H642" i="2" s="1"/>
  <c r="J72" i="2"/>
  <c r="R206" i="2"/>
  <c r="H682" i="2"/>
  <c r="H687" i="2" s="1"/>
  <c r="J249" i="2"/>
  <c r="H727" i="2"/>
  <c r="H732" i="2" s="1"/>
  <c r="X156" i="2"/>
  <c r="X161" i="2" s="1"/>
  <c r="H244" i="2"/>
  <c r="H249" i="2" s="1"/>
  <c r="H112" i="2"/>
  <c r="H117" i="2" s="1"/>
  <c r="G72" i="2"/>
  <c r="B72" i="2"/>
  <c r="H72" i="2"/>
  <c r="I2164" i="28"/>
  <c r="I2160" i="28"/>
  <c r="I1866" i="28"/>
  <c r="I2123" i="28"/>
  <c r="I2534" i="28"/>
  <c r="I2538" i="28" s="1"/>
  <c r="I3539" i="28"/>
  <c r="I3543" i="28" s="1"/>
  <c r="I3591" i="28"/>
  <c r="I146" i="28"/>
  <c r="I148" i="28" s="1"/>
  <c r="I451" i="28"/>
  <c r="I455" i="28" s="1"/>
  <c r="K1194" i="28"/>
  <c r="J1231" i="28" s="1"/>
  <c r="I1414" i="28"/>
  <c r="I1418" i="28" s="1"/>
  <c r="I1568" i="28"/>
  <c r="I1605" i="28"/>
  <c r="I1607" i="28" s="1"/>
  <c r="I2235" i="28"/>
  <c r="I2458" i="28"/>
  <c r="I3099" i="28"/>
  <c r="I3464" i="28"/>
  <c r="I3468" i="28" s="1"/>
  <c r="I2873" i="28"/>
  <c r="I2877" i="28" s="1"/>
  <c r="D374" i="28"/>
  <c r="C415" i="28" s="1"/>
  <c r="D415" i="28" s="1"/>
  <c r="C453" i="28" s="1"/>
  <c r="D453" i="28" s="1"/>
  <c r="C491" i="28" s="1"/>
  <c r="D491" i="28" s="1"/>
  <c r="C528" i="28" s="1"/>
  <c r="D528" i="28" s="1"/>
  <c r="C565" i="28" s="1"/>
  <c r="D565" i="28" s="1"/>
  <c r="C602" i="28" s="1"/>
  <c r="D602" i="28" s="1"/>
  <c r="C637" i="28" s="1"/>
  <c r="D637" i="28" s="1"/>
  <c r="C674" i="28" s="1"/>
  <c r="I415" i="28"/>
  <c r="I417" i="28" s="1"/>
  <c r="I1081" i="28"/>
  <c r="K1081" i="28" s="1"/>
  <c r="J1118" i="28" s="1"/>
  <c r="K1118" i="28" s="1"/>
  <c r="J1155" i="28" s="1"/>
  <c r="B1495" i="28"/>
  <c r="I2199" i="28"/>
  <c r="I2203" i="28" s="1"/>
  <c r="I2277" i="28"/>
  <c r="I3210" i="28"/>
  <c r="I2421" i="28"/>
  <c r="I35" i="28"/>
  <c r="I37" i="28" s="1"/>
  <c r="I218" i="28"/>
  <c r="K218" i="28" s="1"/>
  <c r="J257" i="28" s="1"/>
  <c r="K257" i="28" s="1"/>
  <c r="J296" i="28" s="1"/>
  <c r="K296" i="28" s="1"/>
  <c r="J335" i="28" s="1"/>
  <c r="K335" i="28" s="1"/>
  <c r="J372" i="28" s="1"/>
  <c r="K372" i="28" s="1"/>
  <c r="J413" i="28" s="1"/>
  <c r="K413" i="28" s="1"/>
  <c r="J451" i="28" s="1"/>
  <c r="F1482" i="28"/>
  <c r="I3354" i="28"/>
  <c r="F24" i="28"/>
  <c r="M61" i="28"/>
  <c r="O1135" i="28"/>
  <c r="I1155" i="28" s="1"/>
  <c r="I491" i="28"/>
  <c r="I493" i="28" s="1"/>
  <c r="D37" i="28"/>
  <c r="I635" i="28"/>
  <c r="I822" i="28"/>
  <c r="I1340" i="28"/>
  <c r="I1344" i="28" s="1"/>
  <c r="D1491" i="28"/>
  <c r="I111" i="28"/>
  <c r="K35" i="28"/>
  <c r="J72" i="28" s="1"/>
  <c r="J74" i="28" s="1"/>
  <c r="I604" i="28"/>
  <c r="K1082" i="28"/>
  <c r="J1119" i="28" s="1"/>
  <c r="K1119" i="28" s="1"/>
  <c r="J1156" i="28" s="1"/>
  <c r="K1156" i="28" s="1"/>
  <c r="J1193" i="28" s="1"/>
  <c r="K1193" i="28" s="1"/>
  <c r="J1230" i="28" s="1"/>
  <c r="K1230" i="28" s="1"/>
  <c r="J1267" i="28" s="1"/>
  <c r="K1267" i="28" s="1"/>
  <c r="J1304" i="28" s="1"/>
  <c r="K1304" i="28" s="1"/>
  <c r="J1341" i="28" s="1"/>
  <c r="K1341" i="28" s="1"/>
  <c r="J1378" i="28" s="1"/>
  <c r="K1378" i="28" s="1"/>
  <c r="J1415" i="28" s="1"/>
  <c r="K1415" i="28" s="1"/>
  <c r="J1452" i="28" s="1"/>
  <c r="K1452" i="28" s="1"/>
  <c r="J1491" i="28" s="1"/>
  <c r="K1491" i="28" s="1"/>
  <c r="J1530" i="28" s="1"/>
  <c r="K1530" i="28" s="1"/>
  <c r="J1567" i="28" s="1"/>
  <c r="K1567" i="28" s="1"/>
  <c r="J1604" i="28" s="1"/>
  <c r="K1604" i="28" s="1"/>
  <c r="J1641" i="28" s="1"/>
  <c r="K1641" i="28" s="1"/>
  <c r="J1678" i="28" s="1"/>
  <c r="K1678" i="28" s="1"/>
  <c r="J1715" i="28" s="1"/>
  <c r="K1715" i="28" s="1"/>
  <c r="J1754" i="28" s="1"/>
  <c r="K1754" i="28" s="1"/>
  <c r="J1791" i="28" s="1"/>
  <c r="K1791" i="28" s="1"/>
  <c r="J1828" i="28" s="1"/>
  <c r="K1828" i="28" s="1"/>
  <c r="J1865" i="28" s="1"/>
  <c r="K1865" i="28" s="1"/>
  <c r="J1902" i="28" s="1"/>
  <c r="K1902" i="28" s="1"/>
  <c r="J1939" i="28" s="1"/>
  <c r="K1939" i="28" s="1"/>
  <c r="J1976" i="28" s="1"/>
  <c r="K1976" i="28" s="1"/>
  <c r="J2013" i="28" s="1"/>
  <c r="K2013" i="28" s="1"/>
  <c r="J2050" i="28" s="1"/>
  <c r="K2050" i="28" s="1"/>
  <c r="J2087" i="28" s="1"/>
  <c r="K2087" i="28" s="1"/>
  <c r="J2124" i="28" s="1"/>
  <c r="K2124" i="28" s="1"/>
  <c r="J2161" i="28" s="1"/>
  <c r="K2161" i="28" s="1"/>
  <c r="J2200" i="28" s="1"/>
  <c r="K2200" i="28" s="1"/>
  <c r="J2237" i="28" s="1"/>
  <c r="K2237" i="28" s="1"/>
  <c r="J2274" i="28" s="1"/>
  <c r="K2274" i="28" s="1"/>
  <c r="J2311" i="28" s="1"/>
  <c r="K2311" i="28" s="1"/>
  <c r="J2348" i="28" s="1"/>
  <c r="K2348" i="28" s="1"/>
  <c r="J2385" i="28" s="1"/>
  <c r="K2385" i="28" s="1"/>
  <c r="J2422" i="28" s="1"/>
  <c r="K2422" i="28" s="1"/>
  <c r="J2459" i="28" s="1"/>
  <c r="K2459" i="28" s="1"/>
  <c r="J2498" i="28" s="1"/>
  <c r="K2498" i="28" s="1"/>
  <c r="J2535" i="28" s="1"/>
  <c r="K2535" i="28" s="1"/>
  <c r="J2572" i="28" s="1"/>
  <c r="K2572" i="28" s="1"/>
  <c r="J2609" i="28" s="1"/>
  <c r="K2609" i="28" s="1"/>
  <c r="J2648" i="28" s="1"/>
  <c r="K2648" i="28" s="1"/>
  <c r="J2685" i="28" s="1"/>
  <c r="K2685" i="28" s="1"/>
  <c r="J2722" i="28" s="1"/>
  <c r="K2722" i="28" s="1"/>
  <c r="J2759" i="28" s="1"/>
  <c r="K2759" i="28" s="1"/>
  <c r="J2796" i="28" s="1"/>
  <c r="K2796" i="28" s="1"/>
  <c r="J2835" i="28" s="1"/>
  <c r="K2835" i="28" s="1"/>
  <c r="J2874" i="28" s="1"/>
  <c r="K2874" i="28" s="1"/>
  <c r="J2911" i="28" s="1"/>
  <c r="K2911" i="28" s="1"/>
  <c r="J2948" i="28" s="1"/>
  <c r="K2948" i="28" s="1"/>
  <c r="J2985" i="28" s="1"/>
  <c r="K2985" i="28" s="1"/>
  <c r="J3022" i="28" s="1"/>
  <c r="K3022" i="28" s="1"/>
  <c r="J3059" i="28" s="1"/>
  <c r="K3059" i="28" s="1"/>
  <c r="J3096" i="28" s="1"/>
  <c r="K3096" i="28" s="1"/>
  <c r="J3133" i="28" s="1"/>
  <c r="K3133" i="28" s="1"/>
  <c r="J3170" i="28" s="1"/>
  <c r="K3170" i="28" s="1"/>
  <c r="J3209" i="28" s="1"/>
  <c r="K3209" i="28" s="1"/>
  <c r="J3244" i="28" s="1"/>
  <c r="K3244" i="28" s="1"/>
  <c r="J3279" i="28" s="1"/>
  <c r="K3279" i="28" s="1"/>
  <c r="J3315" i="28" s="1"/>
  <c r="K3315" i="28" s="1"/>
  <c r="J3354" i="28" s="1"/>
  <c r="K3354" i="28" s="1"/>
  <c r="J3389" i="28" s="1"/>
  <c r="K3389" i="28" s="1"/>
  <c r="J3425" i="28" s="1"/>
  <c r="K3425" i="28" s="1"/>
  <c r="J3465" i="28" s="1"/>
  <c r="K3465" i="28" s="1"/>
  <c r="J3500" i="28" s="1"/>
  <c r="K3500" i="28" s="1"/>
  <c r="J3540" i="28" s="1"/>
  <c r="K3540" i="28" s="1"/>
  <c r="J3588" i="28" s="1"/>
  <c r="K3588" i="28" s="1"/>
  <c r="K69" i="28"/>
  <c r="K566" i="28"/>
  <c r="J603" i="28"/>
  <c r="K603" i="28" s="1"/>
  <c r="J638" i="28" s="1"/>
  <c r="I222" i="28"/>
  <c r="D674" i="28"/>
  <c r="C711" i="28" s="1"/>
  <c r="D711" i="28" s="1"/>
  <c r="C750" i="28" s="1"/>
  <c r="D750" i="28" s="1"/>
  <c r="C787" i="28" s="1"/>
  <c r="D787" i="28" s="1"/>
  <c r="C822" i="28" s="1"/>
  <c r="D822" i="28" s="1"/>
  <c r="C859" i="28" s="1"/>
  <c r="D859" i="28" s="1"/>
  <c r="C898" i="28" s="1"/>
  <c r="D898" i="28" s="1"/>
  <c r="C935" i="28" s="1"/>
  <c r="D935" i="28" s="1"/>
  <c r="C974" i="28" s="1"/>
  <c r="D974" i="28" s="1"/>
  <c r="C1013" i="28" s="1"/>
  <c r="D1013" i="28" s="1"/>
  <c r="C1048" i="28" s="1"/>
  <c r="D1048" i="28" s="1"/>
  <c r="C1083" i="28" s="1"/>
  <c r="D1083" i="28" s="1"/>
  <c r="C1120" i="28" s="1"/>
  <c r="D1120" i="28" s="1"/>
  <c r="C1157" i="28" s="1"/>
  <c r="D1157" i="28" s="1"/>
  <c r="C1194" i="28" s="1"/>
  <c r="D1194" i="28" s="1"/>
  <c r="C1231" i="28" s="1"/>
  <c r="D1231" i="28" s="1"/>
  <c r="C1268" i="28" s="1"/>
  <c r="D1268" i="28" s="1"/>
  <c r="C1305" i="28" s="1"/>
  <c r="D1305" i="28" s="1"/>
  <c r="C1342" i="28" s="1"/>
  <c r="D1342" i="28" s="1"/>
  <c r="C1381" i="28" s="1"/>
  <c r="D1381" i="28" s="1"/>
  <c r="C1418" i="28" s="1"/>
  <c r="D1418" i="28" s="1"/>
  <c r="C1455" i="28" s="1"/>
  <c r="D1455" i="28" s="1"/>
  <c r="A1027" i="28"/>
  <c r="A1029" i="28" s="1"/>
  <c r="A1031" i="28" s="1"/>
  <c r="A990" i="28"/>
  <c r="A996" i="28" s="1"/>
  <c r="I72" i="28"/>
  <c r="I74" i="28" s="1"/>
  <c r="I1868" i="28"/>
  <c r="I2314" i="28"/>
  <c r="C69" i="28"/>
  <c r="K3624" i="28"/>
  <c r="B185" i="28"/>
  <c r="I1085" i="28"/>
  <c r="K1080" i="28"/>
  <c r="I3025" i="28"/>
  <c r="I600" i="28"/>
  <c r="I261" i="28"/>
  <c r="B937" i="28"/>
  <c r="I634" i="28"/>
  <c r="I639" i="28" s="1"/>
  <c r="I787" i="28"/>
  <c r="I1013" i="28"/>
  <c r="D296" i="28"/>
  <c r="C335" i="28" s="1"/>
  <c r="D335" i="28" s="1"/>
  <c r="C372" i="28" s="1"/>
  <c r="D372" i="28" s="1"/>
  <c r="C413" i="28" s="1"/>
  <c r="D413" i="28" s="1"/>
  <c r="C451" i="28" s="1"/>
  <c r="D451" i="28" s="1"/>
  <c r="C489" i="28" s="1"/>
  <c r="D489" i="28" s="1"/>
  <c r="C526" i="28" s="1"/>
  <c r="D526" i="28" s="1"/>
  <c r="C563" i="28" s="1"/>
  <c r="D563" i="28" s="1"/>
  <c r="C600" i="28" s="1"/>
  <c r="D600" i="28" s="1"/>
  <c r="C635" i="28" s="1"/>
  <c r="D635" i="28" s="1"/>
  <c r="C672" i="28" s="1"/>
  <c r="D672" i="28" s="1"/>
  <c r="C709" i="28" s="1"/>
  <c r="D709" i="28" s="1"/>
  <c r="C748" i="28" s="1"/>
  <c r="D748" i="28" s="1"/>
  <c r="C785" i="28" s="1"/>
  <c r="D785" i="28" s="1"/>
  <c r="C820" i="28" s="1"/>
  <c r="D820" i="28" s="1"/>
  <c r="C857" i="28" s="1"/>
  <c r="D857" i="28" s="1"/>
  <c r="C896" i="28" s="1"/>
  <c r="D896" i="28" s="1"/>
  <c r="C933" i="28" s="1"/>
  <c r="D933" i="28" s="1"/>
  <c r="C972" i="28" s="1"/>
  <c r="D972" i="28" s="1"/>
  <c r="C1011" i="28" s="1"/>
  <c r="D1011" i="28" s="1"/>
  <c r="C1046" i="28" s="1"/>
  <c r="D1046" i="28" s="1"/>
  <c r="C1081" i="28" s="1"/>
  <c r="D1081" i="28" s="1"/>
  <c r="C1118" i="28" s="1"/>
  <c r="D1118" i="28" s="1"/>
  <c r="C1155" i="28" s="1"/>
  <c r="D1155" i="28" s="1"/>
  <c r="C1192" i="28" s="1"/>
  <c r="D1192" i="28" s="1"/>
  <c r="C1229" i="28" s="1"/>
  <c r="D1229" i="28" s="1"/>
  <c r="C1266" i="28" s="1"/>
  <c r="D1266" i="28" s="1"/>
  <c r="C1303" i="28" s="1"/>
  <c r="D1303" i="28" s="1"/>
  <c r="C1340" i="28" s="1"/>
  <c r="D1340" i="28" s="1"/>
  <c r="C1379" i="28" s="1"/>
  <c r="D1379" i="28" s="1"/>
  <c r="C1416" i="28" s="1"/>
  <c r="D1416" i="28" s="1"/>
  <c r="C1453" i="28" s="1"/>
  <c r="D1453" i="28" s="1"/>
  <c r="B417" i="28"/>
  <c r="I713" i="28"/>
  <c r="B824" i="28"/>
  <c r="I1233" i="28"/>
  <c r="K1231" i="28"/>
  <c r="J1268" i="28" s="1"/>
  <c r="K1268" i="28" s="1"/>
  <c r="J1305" i="28" s="1"/>
  <c r="K1305" i="28" s="1"/>
  <c r="J1342" i="28" s="1"/>
  <c r="K1342" i="28" s="1"/>
  <c r="J1379" i="28" s="1"/>
  <c r="K1379" i="28" s="1"/>
  <c r="J1416" i="28" s="1"/>
  <c r="K1416" i="28" s="1"/>
  <c r="J1453" i="28" s="1"/>
  <c r="K1453" i="28" s="1"/>
  <c r="J1492" i="28" s="1"/>
  <c r="K1492" i="28" s="1"/>
  <c r="J1531" i="28" s="1"/>
  <c r="K1531" i="28" s="1"/>
  <c r="J1568" i="28" s="1"/>
  <c r="K1568" i="28" s="1"/>
  <c r="J1605" i="28" s="1"/>
  <c r="K1605" i="28" s="1"/>
  <c r="J1642" i="28" s="1"/>
  <c r="K1642" i="28" s="1"/>
  <c r="J1679" i="28" s="1"/>
  <c r="K1679" i="28" s="1"/>
  <c r="J1716" i="28" s="1"/>
  <c r="K1716" i="28" s="1"/>
  <c r="J1755" i="28" s="1"/>
  <c r="I1381" i="28"/>
  <c r="I602" i="28"/>
  <c r="I1265" i="28"/>
  <c r="I2914" i="28"/>
  <c r="I2240" i="28"/>
  <c r="I3136" i="28"/>
  <c r="B789" i="28"/>
  <c r="I859" i="28"/>
  <c r="I1122" i="28"/>
  <c r="B1159" i="28"/>
  <c r="O1175" i="28"/>
  <c r="I1191" i="28" s="1"/>
  <c r="I1681" i="28"/>
  <c r="I565" i="28"/>
  <c r="I567" i="28" s="1"/>
  <c r="I748" i="28"/>
  <c r="I750" i="28" s="1"/>
  <c r="I974" i="28"/>
  <c r="M1109" i="28"/>
  <c r="M1145" i="28" s="1"/>
  <c r="M1146" i="28" s="1"/>
  <c r="M1182" i="28" s="1"/>
  <c r="M1183" i="28" s="1"/>
  <c r="M1219" i="28" s="1"/>
  <c r="M1220" i="28" s="1"/>
  <c r="M1256" i="28" s="1"/>
  <c r="M1257" i="28" s="1"/>
  <c r="M1293" i="28" s="1"/>
  <c r="M1294" i="28" s="1"/>
  <c r="M1330" i="28" s="1"/>
  <c r="M1331" i="28" s="1"/>
  <c r="M1367" i="28" s="1"/>
  <c r="M1368" i="28" s="1"/>
  <c r="M1404" i="28" s="1"/>
  <c r="M1405" i="28" s="1"/>
  <c r="M1441" i="28" s="1"/>
  <c r="M1442" i="28" s="1"/>
  <c r="M1480" i="28" s="1"/>
  <c r="M1481" i="28" s="1"/>
  <c r="M1519" i="28" s="1"/>
  <c r="M1520" i="28" s="1"/>
  <c r="M1556" i="28" s="1"/>
  <c r="M1557" i="28" s="1"/>
  <c r="M1593" i="28" s="1"/>
  <c r="M1594" i="28" s="1"/>
  <c r="M1630" i="28" s="1"/>
  <c r="M1631" i="28" s="1"/>
  <c r="M1667" i="28" s="1"/>
  <c r="M1668" i="28" s="1"/>
  <c r="M1704" i="28" s="1"/>
  <c r="M1705" i="28" s="1"/>
  <c r="M1743" i="28" s="1"/>
  <c r="M1744" i="28" s="1"/>
  <c r="M1780" i="28" s="1"/>
  <c r="M1781" i="28" s="1"/>
  <c r="M1817" i="28" s="1"/>
  <c r="M1818" i="28" s="1"/>
  <c r="M1854" i="28" s="1"/>
  <c r="M1855" i="28" s="1"/>
  <c r="M1891" i="28" s="1"/>
  <c r="M1892" i="28" s="1"/>
  <c r="M1928" i="28" s="1"/>
  <c r="M1929" i="28" s="1"/>
  <c r="M1965" i="28" s="1"/>
  <c r="M1966" i="28" s="1"/>
  <c r="M2002" i="28" s="1"/>
  <c r="M2003" i="28" s="1"/>
  <c r="M2039" i="28" s="1"/>
  <c r="M2040" i="28" s="1"/>
  <c r="M2076" i="28" s="1"/>
  <c r="M2077" i="28" s="1"/>
  <c r="M2113" i="28" s="1"/>
  <c r="M2114" i="28" s="1"/>
  <c r="M2150" i="28" s="1"/>
  <c r="M2151" i="28" s="1"/>
  <c r="M2189" i="28" s="1"/>
  <c r="M2190" i="28" s="1"/>
  <c r="M2226" i="28" s="1"/>
  <c r="M2227" i="28" s="1"/>
  <c r="M2263" i="28" s="1"/>
  <c r="M2264" i="28" s="1"/>
  <c r="M2300" i="28" s="1"/>
  <c r="M2301" i="28" s="1"/>
  <c r="M2337" i="28" s="1"/>
  <c r="M2338" i="28" s="1"/>
  <c r="M2374" i="28" s="1"/>
  <c r="M2375" i="28" s="1"/>
  <c r="M2411" i="28" s="1"/>
  <c r="M2412" i="28" s="1"/>
  <c r="M2448" i="28" s="1"/>
  <c r="M2449" i="28" s="1"/>
  <c r="M2487" i="28" s="1"/>
  <c r="I1755" i="28"/>
  <c r="O950" i="28"/>
  <c r="I970" i="28" s="1"/>
  <c r="I2347" i="28"/>
  <c r="I3173" i="28"/>
  <c r="I2462" i="28"/>
  <c r="I3212" i="28"/>
  <c r="I2795" i="28"/>
  <c r="I2947" i="28"/>
  <c r="I2834" i="28"/>
  <c r="I1905" i="28"/>
  <c r="I2127" i="28"/>
  <c r="I2988" i="28"/>
  <c r="I1570" i="28"/>
  <c r="I1644" i="28"/>
  <c r="I1718" i="28"/>
  <c r="I1794" i="28"/>
  <c r="I2384" i="28"/>
  <c r="I3357" i="28"/>
  <c r="I1529" i="28"/>
  <c r="M2486" i="28"/>
  <c r="I2721" i="28"/>
  <c r="I3318" i="28"/>
  <c r="I1455" i="28"/>
  <c r="I2425" i="28"/>
  <c r="I1494" i="28"/>
  <c r="I1938" i="28"/>
  <c r="I1942" i="28" s="1"/>
  <c r="I1975" i="28"/>
  <c r="I1979" i="28" s="1"/>
  <c r="I2012" i="28"/>
  <c r="I2016" i="28" s="1"/>
  <c r="I2049" i="28"/>
  <c r="I2086" i="28"/>
  <c r="I2688" i="28"/>
  <c r="I2647" i="28"/>
  <c r="I3058" i="28"/>
  <c r="I3062" i="28" s="1"/>
  <c r="I3392" i="28"/>
  <c r="I3624" i="28"/>
  <c r="I3282" i="28"/>
  <c r="I376" i="28"/>
  <c r="I339" i="28"/>
  <c r="K2423" i="28"/>
  <c r="J3240" i="1"/>
  <c r="O3240" i="1" s="1"/>
  <c r="P3240" i="1" s="1"/>
  <c r="O3580" i="1"/>
  <c r="J2295" i="1"/>
  <c r="O2295" i="1" s="1"/>
  <c r="P2295" i="1" s="1"/>
  <c r="J3196" i="1"/>
  <c r="O3196" i="1" s="1"/>
  <c r="P3196" i="1" s="1"/>
  <c r="O1308" i="1"/>
  <c r="O1351" i="1"/>
  <c r="O796" i="1"/>
  <c r="J1694" i="1"/>
  <c r="O1694" i="1" s="1"/>
  <c r="P1694" i="1" s="1"/>
  <c r="B66" i="1"/>
  <c r="J2554" i="1"/>
  <c r="O2554" i="1" s="1"/>
  <c r="P2554" i="1" s="1"/>
  <c r="O1011" i="1"/>
  <c r="O1867" i="1"/>
  <c r="J1651" i="1"/>
  <c r="O1651" i="1" s="1"/>
  <c r="P1651" i="1" s="1"/>
  <c r="O969" i="1"/>
  <c r="J153" i="1"/>
  <c r="O153" i="1" s="1"/>
  <c r="P153" i="1" s="1"/>
  <c r="P1823" i="1"/>
  <c r="O195" i="1"/>
  <c r="O240" i="1"/>
  <c r="O1521" i="1"/>
  <c r="O2852" i="1"/>
  <c r="O1479" i="1"/>
  <c r="O2208" i="1"/>
  <c r="O65" i="1"/>
  <c r="O1180" i="1"/>
  <c r="J2896" i="1"/>
  <c r="O2896" i="1" s="1"/>
  <c r="P2896" i="1" s="1"/>
  <c r="O624" i="1"/>
  <c r="O668" i="1"/>
  <c r="O2166" i="1"/>
  <c r="J3540" i="1"/>
  <c r="O3540" i="1" s="1"/>
  <c r="P3540" i="1" s="1"/>
  <c r="O1138" i="1"/>
  <c r="J1957" i="1"/>
  <c r="O1957" i="1" s="1"/>
  <c r="P1957" i="1" s="1"/>
  <c r="O22" i="1"/>
  <c r="H108" i="1"/>
  <c r="G108" i="1" s="1"/>
  <c r="H445" i="1"/>
  <c r="H450" i="1" s="1"/>
  <c r="J456" i="1"/>
  <c r="O456" i="1" s="1"/>
  <c r="P456" i="1" s="1"/>
  <c r="O838" i="1"/>
  <c r="J2000" i="1"/>
  <c r="O2000" i="1" s="1"/>
  <c r="P2000" i="1" s="1"/>
  <c r="J2340" i="1"/>
  <c r="O2340" i="1" s="1"/>
  <c r="P2340" i="1" s="1"/>
  <c r="H146" i="1"/>
  <c r="H151" i="1" s="1"/>
  <c r="J2468" i="1"/>
  <c r="O2468" i="1" s="1"/>
  <c r="P2468" i="1" s="1"/>
  <c r="H316" i="1"/>
  <c r="H321" i="1" s="1"/>
  <c r="O2680" i="1"/>
  <c r="O2721" i="1"/>
  <c r="O3024" i="1"/>
  <c r="O3065" i="1"/>
  <c r="O3371" i="1"/>
  <c r="O3414" i="1"/>
  <c r="O3454" i="1"/>
  <c r="J414" i="1"/>
  <c r="O414" i="1" s="1"/>
  <c r="P414" i="1" s="1"/>
  <c r="H488" i="1"/>
  <c r="H491" i="1" s="1"/>
  <c r="O2042" i="1"/>
  <c r="O2382" i="1"/>
  <c r="H23" i="1"/>
  <c r="J2125" i="1"/>
  <c r="O2125" i="1" s="1"/>
  <c r="P2125" i="1" s="1"/>
  <c r="F366" i="1"/>
  <c r="B367" i="1"/>
  <c r="F367" i="1" s="1"/>
  <c r="O1823" i="1"/>
  <c r="J1824" i="1"/>
  <c r="O1824" i="1" s="1"/>
  <c r="P1824" i="1" s="1"/>
  <c r="O284" i="1"/>
  <c r="O369" i="1"/>
  <c r="O1222" i="1"/>
  <c r="O2599" i="1"/>
  <c r="O2763" i="1"/>
  <c r="O3109" i="1"/>
  <c r="O3282" i="1"/>
  <c r="O3711" i="1"/>
  <c r="J583" i="1"/>
  <c r="O583" i="1" s="1"/>
  <c r="P583" i="1" s="1"/>
  <c r="J755" i="1"/>
  <c r="O755" i="1" s="1"/>
  <c r="P755" i="1" s="1"/>
  <c r="J925" i="1"/>
  <c r="O925" i="1" s="1"/>
  <c r="P925" i="1" s="1"/>
  <c r="J1097" i="1"/>
  <c r="O1097" i="1" s="1"/>
  <c r="P1097" i="1" s="1"/>
  <c r="J1266" i="1"/>
  <c r="O1266" i="1" s="1"/>
  <c r="P1266" i="1" s="1"/>
  <c r="J1437" i="1"/>
  <c r="O1437" i="1" s="1"/>
  <c r="P1437" i="1" s="1"/>
  <c r="J1608" i="1"/>
  <c r="O1608" i="1" s="1"/>
  <c r="P1608" i="1" s="1"/>
  <c r="J1783" i="1"/>
  <c r="O1783" i="1" s="1"/>
  <c r="P1783" i="1" s="1"/>
  <c r="J2643" i="1"/>
  <c r="O2643" i="1" s="1"/>
  <c r="P2643" i="1" s="1"/>
  <c r="J2809" i="1"/>
  <c r="O2809" i="1" s="1"/>
  <c r="P2809" i="1" s="1"/>
  <c r="J2981" i="1"/>
  <c r="O2981" i="1" s="1"/>
  <c r="P2981" i="1" s="1"/>
  <c r="J3152" i="1"/>
  <c r="O3152" i="1" s="1"/>
  <c r="P3152" i="1" s="1"/>
  <c r="J3327" i="1"/>
  <c r="O3327" i="1" s="1"/>
  <c r="P3327" i="1" s="1"/>
  <c r="B194" i="1"/>
  <c r="G194" i="1" s="1"/>
  <c r="O881" i="1"/>
  <c r="O1736" i="1"/>
  <c r="O326" i="1"/>
  <c r="B450" i="1"/>
  <c r="O496" i="1"/>
  <c r="H571" i="1"/>
  <c r="H576" i="1" s="1"/>
  <c r="O1911" i="1"/>
  <c r="O2085" i="1"/>
  <c r="O2251" i="1"/>
  <c r="O2425" i="1"/>
  <c r="O3496" i="1"/>
  <c r="O1564" i="1"/>
  <c r="J109" i="1"/>
  <c r="P109" i="1" s="1"/>
  <c r="J540" i="1"/>
  <c r="O540" i="1" s="1"/>
  <c r="P540" i="1" s="1"/>
  <c r="J712" i="1"/>
  <c r="O712" i="1" s="1"/>
  <c r="P712" i="1" s="1"/>
  <c r="J1055" i="1"/>
  <c r="O1055" i="1" s="1"/>
  <c r="P1055" i="1" s="1"/>
  <c r="J1394" i="1"/>
  <c r="O1394" i="1" s="1"/>
  <c r="P1394" i="1" s="1"/>
  <c r="J2939" i="1"/>
  <c r="O2939" i="1" s="1"/>
  <c r="P2939" i="1" s="1"/>
  <c r="H206" i="2" l="1"/>
  <c r="B161" i="2"/>
  <c r="B117" i="2"/>
  <c r="H27" i="2"/>
  <c r="H161" i="2"/>
  <c r="G117" i="2"/>
  <c r="B249" i="2"/>
  <c r="G249" i="2"/>
  <c r="G206" i="2"/>
  <c r="G111" i="17"/>
  <c r="F111" i="17" s="1"/>
  <c r="G495" i="17"/>
  <c r="G294" i="2"/>
  <c r="B27" i="2"/>
  <c r="B383" i="2"/>
  <c r="G383" i="2"/>
  <c r="K1155" i="28"/>
  <c r="J1192" i="28" s="1"/>
  <c r="K1192" i="28" s="1"/>
  <c r="J1229" i="28" s="1"/>
  <c r="K1229" i="28" s="1"/>
  <c r="J1266" i="28" s="1"/>
  <c r="K1266" i="28" s="1"/>
  <c r="J1303" i="28" s="1"/>
  <c r="K1303" i="28" s="1"/>
  <c r="J1340" i="28" s="1"/>
  <c r="K1340" i="28" s="1"/>
  <c r="J1377" i="28" s="1"/>
  <c r="K1377" i="28" s="1"/>
  <c r="J1414" i="28" s="1"/>
  <c r="K1414" i="28" s="1"/>
  <c r="J1451" i="28" s="1"/>
  <c r="K1451" i="28" s="1"/>
  <c r="J1490" i="28" s="1"/>
  <c r="K1490" i="28" s="1"/>
  <c r="J1529" i="28" s="1"/>
  <c r="K1529" i="28" s="1"/>
  <c r="J1566" i="28" s="1"/>
  <c r="K1566" i="28" s="1"/>
  <c r="J1603" i="28" s="1"/>
  <c r="K1603" i="28" s="1"/>
  <c r="J1640" i="28" s="1"/>
  <c r="K1640" i="28" s="1"/>
  <c r="J1677" i="28" s="1"/>
  <c r="K1677" i="28" s="1"/>
  <c r="J1714" i="28" s="1"/>
  <c r="K1714" i="28" s="1"/>
  <c r="J1753" i="28" s="1"/>
  <c r="K1753" i="28" s="1"/>
  <c r="J1790" i="28" s="1"/>
  <c r="K1790" i="28" s="1"/>
  <c r="J1827" i="28" s="1"/>
  <c r="K1827" i="28" s="1"/>
  <c r="J1864" i="28" s="1"/>
  <c r="K1864" i="28" s="1"/>
  <c r="J1901" i="28" s="1"/>
  <c r="K1901" i="28" s="1"/>
  <c r="J1938" i="28" s="1"/>
  <c r="K1938" i="28" s="1"/>
  <c r="J1975" i="28" s="1"/>
  <c r="K1975" i="28" s="1"/>
  <c r="J2012" i="28" s="1"/>
  <c r="K2012" i="28" s="1"/>
  <c r="J2049" i="28" s="1"/>
  <c r="K2049" i="28" s="1"/>
  <c r="J2086" i="28" s="1"/>
  <c r="K2086" i="28" s="1"/>
  <c r="J2123" i="28" s="1"/>
  <c r="K2123" i="28" s="1"/>
  <c r="J2160" i="28" s="1"/>
  <c r="K2160" i="28" s="1"/>
  <c r="J2199" i="28" s="1"/>
  <c r="K2199" i="28" s="1"/>
  <c r="J2236" i="28" s="1"/>
  <c r="K2236" i="28" s="1"/>
  <c r="J2273" i="28" s="1"/>
  <c r="K2273" i="28" s="1"/>
  <c r="J2310" i="28" s="1"/>
  <c r="K2310" i="28" s="1"/>
  <c r="J2347" i="28" s="1"/>
  <c r="K2347" i="28" s="1"/>
  <c r="J2384" i="28" s="1"/>
  <c r="K2384" i="28" s="1"/>
  <c r="J2421" i="28" s="1"/>
  <c r="K2421" i="28" s="1"/>
  <c r="J2458" i="28" s="1"/>
  <c r="K2458" i="28" s="1"/>
  <c r="J2497" i="28" s="1"/>
  <c r="K2497" i="28" s="1"/>
  <c r="J2534" i="28" s="1"/>
  <c r="K2534" i="28" s="1"/>
  <c r="J2571" i="28" s="1"/>
  <c r="K2571" i="28" s="1"/>
  <c r="J2608" i="28" s="1"/>
  <c r="K2608" i="28" s="1"/>
  <c r="J2647" i="28" s="1"/>
  <c r="K2647" i="28" s="1"/>
  <c r="J2684" i="28" s="1"/>
  <c r="K2684" i="28" s="1"/>
  <c r="J2721" i="28" s="1"/>
  <c r="K2721" i="28" s="1"/>
  <c r="J2758" i="28" s="1"/>
  <c r="K2758" i="28" s="1"/>
  <c r="J2795" i="28" s="1"/>
  <c r="K2795" i="28" s="1"/>
  <c r="J2834" i="28" s="1"/>
  <c r="K2834" i="28" s="1"/>
  <c r="J2873" i="28" s="1"/>
  <c r="K2873" i="28" s="1"/>
  <c r="J2910" i="28" s="1"/>
  <c r="K2910" i="28" s="1"/>
  <c r="J2947" i="28" s="1"/>
  <c r="K2947" i="28" s="1"/>
  <c r="J2984" i="28" s="1"/>
  <c r="K2984" i="28" s="1"/>
  <c r="J3021" i="28" s="1"/>
  <c r="K3021" i="28" s="1"/>
  <c r="J3058" i="28" s="1"/>
  <c r="K3058" i="28" s="1"/>
  <c r="J3095" i="28" s="1"/>
  <c r="K3095" i="28" s="1"/>
  <c r="J3132" i="28" s="1"/>
  <c r="K3132" i="28" s="1"/>
  <c r="J3169" i="28" s="1"/>
  <c r="K3169" i="28" s="1"/>
  <c r="J3208" i="28" s="1"/>
  <c r="K3208" i="28" s="1"/>
  <c r="J3243" i="28" s="1"/>
  <c r="K3243" i="28" s="1"/>
  <c r="J3278" i="28" s="1"/>
  <c r="K3278" i="28" s="1"/>
  <c r="J3314" i="28" s="1"/>
  <c r="K3314" i="28" s="1"/>
  <c r="J3353" i="28" s="1"/>
  <c r="K3353" i="28" s="1"/>
  <c r="J3388" i="28" s="1"/>
  <c r="K3388" i="28" s="1"/>
  <c r="J3424" i="28" s="1"/>
  <c r="K3424" i="28" s="1"/>
  <c r="J3464" i="28" s="1"/>
  <c r="K3464" i="28" s="1"/>
  <c r="J3499" i="28" s="1"/>
  <c r="K3499" i="28" s="1"/>
  <c r="J3539" i="28" s="1"/>
  <c r="K3539" i="28" s="1"/>
  <c r="J3587" i="28" s="1"/>
  <c r="K3587" i="28" s="1"/>
  <c r="K451" i="28"/>
  <c r="J489" i="28" s="1"/>
  <c r="K489" i="28" s="1"/>
  <c r="J526" i="28" s="1"/>
  <c r="K526" i="28" s="1"/>
  <c r="J563" i="28" s="1"/>
  <c r="K563" i="28" s="1"/>
  <c r="J600" i="28" s="1"/>
  <c r="K600" i="28" s="1"/>
  <c r="J635" i="28" s="1"/>
  <c r="K635" i="28" s="1"/>
  <c r="J672" i="28" s="1"/>
  <c r="K672" i="28" s="1"/>
  <c r="J709" i="28" s="1"/>
  <c r="K709" i="28" s="1"/>
  <c r="J746" i="28" s="1"/>
  <c r="K746" i="28" s="1"/>
  <c r="J783" i="28" s="1"/>
  <c r="K783" i="28" s="1"/>
  <c r="J818" i="28" s="1"/>
  <c r="K818" i="28" s="1"/>
  <c r="J855" i="28" s="1"/>
  <c r="K855" i="28" s="1"/>
  <c r="J894" i="28" s="1"/>
  <c r="K894" i="28" s="1"/>
  <c r="J931" i="28" s="1"/>
  <c r="K931" i="28" s="1"/>
  <c r="J970" i="28" s="1"/>
  <c r="K970" i="28" s="1"/>
  <c r="J1009" i="28" s="1"/>
  <c r="K1009" i="28" s="1"/>
  <c r="J1044" i="28" s="1"/>
  <c r="K1044" i="28" s="1"/>
  <c r="I1159" i="28"/>
  <c r="I1196" i="28"/>
  <c r="I2725" i="28"/>
  <c r="I1533" i="28"/>
  <c r="I2388" i="28"/>
  <c r="I2838" i="28"/>
  <c r="I2951" i="28"/>
  <c r="I2351" i="28"/>
  <c r="I2799" i="28"/>
  <c r="I2651" i="28"/>
  <c r="I2053" i="28"/>
  <c r="J1117" i="28"/>
  <c r="K72" i="28"/>
  <c r="J109" i="28" s="1"/>
  <c r="K109" i="28" s="1"/>
  <c r="J146" i="28" s="1"/>
  <c r="K146" i="28" s="1"/>
  <c r="J183" i="28" s="1"/>
  <c r="K183" i="28" s="1"/>
  <c r="J220" i="28" s="1"/>
  <c r="K220" i="28" s="1"/>
  <c r="J259" i="28" s="1"/>
  <c r="K259" i="28" s="1"/>
  <c r="J298" i="28" s="1"/>
  <c r="K298" i="28" s="1"/>
  <c r="I1757" i="28"/>
  <c r="K1755" i="28"/>
  <c r="J1792" i="28" s="1"/>
  <c r="K1792" i="28" s="1"/>
  <c r="J1829" i="28" s="1"/>
  <c r="K1829" i="28" s="1"/>
  <c r="J1866" i="28" s="1"/>
  <c r="K1866" i="28" s="1"/>
  <c r="J1903" i="28" s="1"/>
  <c r="K1903" i="28" s="1"/>
  <c r="J1940" i="28" s="1"/>
  <c r="K1940" i="28" s="1"/>
  <c r="J1977" i="28" s="1"/>
  <c r="K1977" i="28" s="1"/>
  <c r="J2014" i="28" s="1"/>
  <c r="K2014" i="28" s="1"/>
  <c r="J2051" i="28" s="1"/>
  <c r="K2051" i="28" s="1"/>
  <c r="J2088" i="28" s="1"/>
  <c r="K2088" i="28" s="1"/>
  <c r="J2125" i="28" s="1"/>
  <c r="K2125" i="28" s="1"/>
  <c r="J2162" i="28" s="1"/>
  <c r="K2162" i="28" s="1"/>
  <c r="J2201" i="28" s="1"/>
  <c r="K2201" i="28" s="1"/>
  <c r="J2238" i="28" s="1"/>
  <c r="K2238" i="28" s="1"/>
  <c r="J2275" i="28" s="1"/>
  <c r="K2275" i="28" s="1"/>
  <c r="J2312" i="28" s="1"/>
  <c r="K2312" i="28" s="1"/>
  <c r="J2349" i="28" s="1"/>
  <c r="K2349" i="28" s="1"/>
  <c r="D69" i="28"/>
  <c r="C74" i="28"/>
  <c r="F60" i="28" s="1"/>
  <c r="F61" i="28" s="1"/>
  <c r="K37" i="28"/>
  <c r="J106" i="28"/>
  <c r="M2488" i="28"/>
  <c r="M2524" i="28" s="1"/>
  <c r="M2525" i="28" s="1"/>
  <c r="M2561" i="28" s="1"/>
  <c r="M2562" i="28" s="1"/>
  <c r="M2598" i="28" s="1"/>
  <c r="M2599" i="28" s="1"/>
  <c r="M2637" i="28" s="1"/>
  <c r="M2638" i="28" s="1"/>
  <c r="M2674" i="28" s="1"/>
  <c r="M2675" i="28" s="1"/>
  <c r="M2711" i="28" s="1"/>
  <c r="M2712" i="28" s="1"/>
  <c r="M2748" i="28" s="1"/>
  <c r="M2749" i="28" s="1"/>
  <c r="M2785" i="28" s="1"/>
  <c r="M2786" i="28" s="1"/>
  <c r="M2824" i="28" s="1"/>
  <c r="M2825" i="28" s="1"/>
  <c r="M2863" i="28" s="1"/>
  <c r="M2864" i="28" s="1"/>
  <c r="M2900" i="28" s="1"/>
  <c r="M2901" i="28" s="1"/>
  <c r="M2937" i="28" s="1"/>
  <c r="M2938" i="28" s="1"/>
  <c r="M2974" i="28" s="1"/>
  <c r="M2975" i="28" s="1"/>
  <c r="M3011" i="28" s="1"/>
  <c r="M3012" i="28" s="1"/>
  <c r="M3048" i="28" s="1"/>
  <c r="M3049" i="28" s="1"/>
  <c r="M3085" i="28" s="1"/>
  <c r="M3086" i="28" s="1"/>
  <c r="M3122" i="28" s="1"/>
  <c r="M3123" i="28" s="1"/>
  <c r="M3159" i="28" s="1"/>
  <c r="M3160" i="28" s="1"/>
  <c r="M3198" i="28" s="1"/>
  <c r="M3199" i="28" s="1"/>
  <c r="M3233" i="28" s="1"/>
  <c r="M3234" i="28" s="1"/>
  <c r="M3268" i="28" s="1"/>
  <c r="M3269" i="28" s="1"/>
  <c r="M3304" i="28" s="1"/>
  <c r="M3305" i="28" s="1"/>
  <c r="M3343" i="28" s="1"/>
  <c r="M3344" i="28" s="1"/>
  <c r="M3378" i="28" s="1"/>
  <c r="M3379" i="28" s="1"/>
  <c r="M3414" i="28" s="1"/>
  <c r="M3415" i="28" s="1"/>
  <c r="M3454" i="28" s="1"/>
  <c r="M3455" i="28" s="1"/>
  <c r="M3489" i="28" s="1"/>
  <c r="M3490" i="28" s="1"/>
  <c r="M3529" i="28" s="1"/>
  <c r="M3530" i="28" s="1"/>
  <c r="M3577" i="28" s="1"/>
  <c r="M3578" i="28" s="1"/>
  <c r="I1270" i="28"/>
  <c r="J675" i="28"/>
  <c r="K675" i="28" s="1"/>
  <c r="J712" i="28" s="1"/>
  <c r="K712" i="28" s="1"/>
  <c r="J749" i="28" s="1"/>
  <c r="K749" i="28" s="1"/>
  <c r="J786" i="28" s="1"/>
  <c r="K786" i="28" s="1"/>
  <c r="J821" i="28" s="1"/>
  <c r="K821" i="28" s="1"/>
  <c r="J858" i="28" s="1"/>
  <c r="K858" i="28" s="1"/>
  <c r="J897" i="28" s="1"/>
  <c r="K897" i="28" s="1"/>
  <c r="J934" i="28" s="1"/>
  <c r="K934" i="28" s="1"/>
  <c r="J973" i="28" s="1"/>
  <c r="K973" i="28" s="1"/>
  <c r="J1012" i="28" s="1"/>
  <c r="K1012" i="28" s="1"/>
  <c r="J1047" i="28" s="1"/>
  <c r="K1047" i="28" s="1"/>
  <c r="J1084" i="28" s="1"/>
  <c r="K638" i="28"/>
  <c r="I2090" i="28"/>
  <c r="K337" i="28"/>
  <c r="J374" i="28" s="1"/>
  <c r="J2460" i="28"/>
  <c r="G450" i="1"/>
  <c r="B108" i="1"/>
  <c r="B151" i="1"/>
  <c r="G151" i="1" s="1"/>
  <c r="H66" i="1"/>
  <c r="G66" i="1" s="1"/>
  <c r="B23" i="1"/>
  <c r="G23" i="1" s="1"/>
  <c r="G491" i="1"/>
  <c r="H189" i="1"/>
  <c r="K1084" i="28" l="1"/>
  <c r="J1085" i="28"/>
  <c r="K1117" i="28"/>
  <c r="K74" i="28"/>
  <c r="M97" i="28" s="1"/>
  <c r="M98" i="28" s="1"/>
  <c r="M134" i="28" s="1"/>
  <c r="M135" i="28" s="1"/>
  <c r="M171" i="28" s="1"/>
  <c r="M172" i="28" s="1"/>
  <c r="M208" i="28" s="1"/>
  <c r="M209" i="28" s="1"/>
  <c r="M247" i="28" s="1"/>
  <c r="M248" i="28" s="1"/>
  <c r="M286" i="28" s="1"/>
  <c r="M287" i="28" s="1"/>
  <c r="C106" i="28"/>
  <c r="D74" i="28"/>
  <c r="J111" i="28"/>
  <c r="K106" i="28"/>
  <c r="K2460" i="28"/>
  <c r="K374" i="28"/>
  <c r="B195" i="1"/>
  <c r="G195" i="1" s="1"/>
  <c r="H195" i="1"/>
  <c r="H194" i="1"/>
  <c r="C111" i="28" l="1"/>
  <c r="F97" i="28" s="1"/>
  <c r="F98" i="28" s="1"/>
  <c r="F134" i="28" s="1"/>
  <c r="F135" i="28" s="1"/>
  <c r="F171" i="28" s="1"/>
  <c r="F172" i="28" s="1"/>
  <c r="F208" i="28" s="1"/>
  <c r="F209" i="28" s="1"/>
  <c r="F247" i="28" s="1"/>
  <c r="F248" i="28" s="1"/>
  <c r="F286" i="28" s="1"/>
  <c r="F287" i="28" s="1"/>
  <c r="F325" i="28" s="1"/>
  <c r="F326" i="28" s="1"/>
  <c r="F362" i="28" s="1"/>
  <c r="F363" i="28" s="1"/>
  <c r="F403" i="28" s="1"/>
  <c r="F404" i="28" s="1"/>
  <c r="F441" i="28" s="1"/>
  <c r="F442" i="28" s="1"/>
  <c r="F479" i="28" s="1"/>
  <c r="F480" i="28" s="1"/>
  <c r="F516" i="28" s="1"/>
  <c r="F517" i="28" s="1"/>
  <c r="F553" i="28" s="1"/>
  <c r="F554" i="28" s="1"/>
  <c r="F590" i="28" s="1"/>
  <c r="F591" i="28" s="1"/>
  <c r="F625" i="28" s="1"/>
  <c r="F626" i="28" s="1"/>
  <c r="F662" i="28" s="1"/>
  <c r="F663" i="28" s="1"/>
  <c r="F699" i="28" s="1"/>
  <c r="F700" i="28" s="1"/>
  <c r="F738" i="28" s="1"/>
  <c r="F739" i="28" s="1"/>
  <c r="F775" i="28" s="1"/>
  <c r="F776" i="28" s="1"/>
  <c r="F810" i="28" s="1"/>
  <c r="F811" i="28" s="1"/>
  <c r="F847" i="28" s="1"/>
  <c r="F848" i="28" s="1"/>
  <c r="F886" i="28" s="1"/>
  <c r="F887" i="28" s="1"/>
  <c r="F923" i="28" s="1"/>
  <c r="F924" i="28" s="1"/>
  <c r="F962" i="28" s="1"/>
  <c r="F963" i="28" s="1"/>
  <c r="F1001" i="28" s="1"/>
  <c r="F1002" i="28" s="1"/>
  <c r="F1036" i="28" s="1"/>
  <c r="F1037" i="28" s="1"/>
  <c r="F1071" i="28" s="1"/>
  <c r="F1072" i="28" s="1"/>
  <c r="F1108" i="28" s="1"/>
  <c r="F1109" i="28" s="1"/>
  <c r="F1145" i="28" s="1"/>
  <c r="F1146" i="28" s="1"/>
  <c r="F1182" i="28" s="1"/>
  <c r="F1183" i="28" s="1"/>
  <c r="F1219" i="28" s="1"/>
  <c r="F1220" i="28" s="1"/>
  <c r="F1256" i="28" s="1"/>
  <c r="F1257" i="28" s="1"/>
  <c r="F1293" i="28" s="1"/>
  <c r="F1294" i="28" s="1"/>
  <c r="F1330" i="28" s="1"/>
  <c r="F1331" i="28" s="1"/>
  <c r="F1369" i="28" s="1"/>
  <c r="F1370" i="28" s="1"/>
  <c r="F1406" i="28" s="1"/>
  <c r="F1407" i="28" s="1"/>
  <c r="F1443" i="28" s="1"/>
  <c r="F1444" i="28" s="1"/>
  <c r="D106" i="28"/>
  <c r="J1154" i="28"/>
  <c r="J143" i="28"/>
  <c r="K111" i="28"/>
  <c r="J1121" i="28"/>
  <c r="K1085" i="28"/>
  <c r="J2499" i="28"/>
  <c r="J415" i="28"/>
  <c r="K1121" i="28" l="1"/>
  <c r="J1122" i="28"/>
  <c r="K143" i="28"/>
  <c r="J148" i="28"/>
  <c r="K1154" i="28"/>
  <c r="D111" i="28"/>
  <c r="C143" i="28"/>
  <c r="K2499" i="28"/>
  <c r="K415" i="28"/>
  <c r="D143" i="28" l="1"/>
  <c r="C148" i="28"/>
  <c r="J1191" i="28"/>
  <c r="J180" i="28"/>
  <c r="K148" i="28"/>
  <c r="J1158" i="28"/>
  <c r="K1122" i="28"/>
  <c r="J2536" i="28"/>
  <c r="J453" i="28"/>
  <c r="K1158" i="28" l="1"/>
  <c r="J1159" i="28"/>
  <c r="J185" i="28"/>
  <c r="K180" i="28"/>
  <c r="K1191" i="28"/>
  <c r="C180" i="28"/>
  <c r="D148" i="28"/>
  <c r="K2536" i="28"/>
  <c r="K453" i="28"/>
  <c r="J1228" i="28" l="1"/>
  <c r="C185" i="28"/>
  <c r="D180" i="28"/>
  <c r="J217" i="28"/>
  <c r="K185" i="28"/>
  <c r="J1195" i="28"/>
  <c r="K1159" i="28"/>
  <c r="J2573" i="28"/>
  <c r="J491" i="28"/>
  <c r="K217" i="28" l="1"/>
  <c r="J222" i="28"/>
  <c r="K1228" i="28"/>
  <c r="K1195" i="28"/>
  <c r="J1196" i="28"/>
  <c r="D185" i="28"/>
  <c r="C217" i="28"/>
  <c r="K2573" i="28"/>
  <c r="K491" i="28"/>
  <c r="C222" i="28" l="1"/>
  <c r="D217" i="28"/>
  <c r="J1232" i="28"/>
  <c r="K1196" i="28"/>
  <c r="J1265" i="28"/>
  <c r="K222" i="28"/>
  <c r="J256" i="28"/>
  <c r="J2610" i="28"/>
  <c r="J528" i="28"/>
  <c r="J261" i="28" l="1"/>
  <c r="K256" i="28"/>
  <c r="D222" i="28"/>
  <c r="C256" i="28"/>
  <c r="K1265" i="28"/>
  <c r="K1232" i="28"/>
  <c r="J1233" i="28"/>
  <c r="K2610" i="28"/>
  <c r="K528" i="28"/>
  <c r="J1302" i="28" l="1"/>
  <c r="D256" i="28"/>
  <c r="C261" i="28"/>
  <c r="J1269" i="28"/>
  <c r="K1233" i="28"/>
  <c r="J295" i="28"/>
  <c r="K261" i="28"/>
  <c r="J2649" i="28"/>
  <c r="J565" i="28"/>
  <c r="J300" i="28" l="1"/>
  <c r="K295" i="28"/>
  <c r="K1269" i="28"/>
  <c r="J1270" i="28"/>
  <c r="C295" i="28"/>
  <c r="D261" i="28"/>
  <c r="K1302" i="28"/>
  <c r="K2649" i="28"/>
  <c r="K565" i="28"/>
  <c r="C300" i="28" l="1"/>
  <c r="D295" i="28"/>
  <c r="J334" i="28"/>
  <c r="J1339" i="28"/>
  <c r="J1306" i="28"/>
  <c r="K1270" i="28"/>
  <c r="J2686" i="28"/>
  <c r="J602" i="28"/>
  <c r="K1339" i="28" l="1"/>
  <c r="K1306" i="28"/>
  <c r="J1307" i="28"/>
  <c r="J339" i="28"/>
  <c r="K334" i="28"/>
  <c r="D300" i="28"/>
  <c r="C334" i="28"/>
  <c r="K2686" i="28"/>
  <c r="K602" i="28"/>
  <c r="C339" i="28" l="1"/>
  <c r="D334" i="28"/>
  <c r="J371" i="28"/>
  <c r="K339" i="28"/>
  <c r="M362" i="28" s="1"/>
  <c r="M363" i="28" s="1"/>
  <c r="M403" i="28" s="1"/>
  <c r="M404" i="28" s="1"/>
  <c r="M441" i="28" s="1"/>
  <c r="M442" i="28" s="1"/>
  <c r="M479" i="28" s="1"/>
  <c r="M480" i="28" s="1"/>
  <c r="M516" i="28" s="1"/>
  <c r="M553" i="28" s="1"/>
  <c r="M554" i="28" s="1"/>
  <c r="M590" i="28" s="1"/>
  <c r="M591" i="28" s="1"/>
  <c r="M625" i="28" s="1"/>
  <c r="M626" i="28" s="1"/>
  <c r="M662" i="28" s="1"/>
  <c r="M663" i="28" s="1"/>
  <c r="M699" i="28" s="1"/>
  <c r="M700" i="28" s="1"/>
  <c r="M736" i="28" s="1"/>
  <c r="M737" i="28" s="1"/>
  <c r="M773" i="28" s="1"/>
  <c r="M774" i="28" s="1"/>
  <c r="M808" i="28" s="1"/>
  <c r="M809" i="28" s="1"/>
  <c r="M845" i="28" s="1"/>
  <c r="M846" i="28" s="1"/>
  <c r="M884" i="28" s="1"/>
  <c r="M885" i="28" s="1"/>
  <c r="M921" i="28" s="1"/>
  <c r="M922" i="28" s="1"/>
  <c r="M960" i="28" s="1"/>
  <c r="M961" i="28" s="1"/>
  <c r="M999" i="28" s="1"/>
  <c r="M1000" i="28" s="1"/>
  <c r="M1034" i="28" s="1"/>
  <c r="M1035" i="28" s="1"/>
  <c r="J1343" i="28"/>
  <c r="K1307" i="28"/>
  <c r="J1376" i="28"/>
  <c r="J2723" i="28"/>
  <c r="J637" i="28"/>
  <c r="K1376" i="28" l="1"/>
  <c r="K1343" i="28"/>
  <c r="J1344" i="28"/>
  <c r="C371" i="28"/>
  <c r="D339" i="28"/>
  <c r="K371" i="28"/>
  <c r="J376" i="28"/>
  <c r="K2723" i="28"/>
  <c r="K637" i="28"/>
  <c r="J412" i="28" l="1"/>
  <c r="K376" i="28"/>
  <c r="C376" i="28"/>
  <c r="D371" i="28"/>
  <c r="J1380" i="28"/>
  <c r="K1344" i="28"/>
  <c r="J1413" i="28"/>
  <c r="J2760" i="28"/>
  <c r="J674" i="28"/>
  <c r="K1413" i="28" l="1"/>
  <c r="K1380" i="28"/>
  <c r="J1381" i="28"/>
  <c r="C412" i="28"/>
  <c r="D376" i="28"/>
  <c r="K412" i="28"/>
  <c r="J417" i="28"/>
  <c r="K2760" i="28"/>
  <c r="K674" i="28"/>
  <c r="C417" i="28" l="1"/>
  <c r="D412" i="28"/>
  <c r="J450" i="28"/>
  <c r="K417" i="28"/>
  <c r="J1417" i="28"/>
  <c r="K1381" i="28"/>
  <c r="J1450" i="28"/>
  <c r="J2797" i="28"/>
  <c r="J711" i="28"/>
  <c r="K1450" i="28" l="1"/>
  <c r="K1417" i="28"/>
  <c r="J1418" i="28"/>
  <c r="D417" i="28"/>
  <c r="C450" i="28"/>
  <c r="K450" i="28"/>
  <c r="J455" i="28"/>
  <c r="K2797" i="28"/>
  <c r="K711" i="28"/>
  <c r="J488" i="28" l="1"/>
  <c r="K455" i="28"/>
  <c r="C455" i="28"/>
  <c r="D450" i="28"/>
  <c r="J1454" i="28"/>
  <c r="K1418" i="28"/>
  <c r="J1489" i="28"/>
  <c r="J2836" i="28"/>
  <c r="J748" i="28"/>
  <c r="K1489" i="28" l="1"/>
  <c r="K1454" i="28"/>
  <c r="J1455" i="28"/>
  <c r="C488" i="28"/>
  <c r="D455" i="28"/>
  <c r="K488" i="28"/>
  <c r="J493" i="28"/>
  <c r="K2836" i="28"/>
  <c r="K748" i="28"/>
  <c r="J525" i="28" l="1"/>
  <c r="K493" i="28"/>
  <c r="C493" i="28"/>
  <c r="D488" i="28"/>
  <c r="J1493" i="28"/>
  <c r="K1455" i="28"/>
  <c r="J1528" i="28"/>
  <c r="J2875" i="28"/>
  <c r="J785" i="28"/>
  <c r="K1528" i="28" l="1"/>
  <c r="K1493" i="28"/>
  <c r="J1494" i="28"/>
  <c r="D493" i="28"/>
  <c r="C525" i="28"/>
  <c r="K525" i="28"/>
  <c r="J530" i="28"/>
  <c r="K2875" i="28"/>
  <c r="K785" i="28"/>
  <c r="C530" i="28" l="1"/>
  <c r="D525" i="28"/>
  <c r="J562" i="28"/>
  <c r="K530" i="28"/>
  <c r="J1532" i="28"/>
  <c r="K1494" i="28"/>
  <c r="J1565" i="28"/>
  <c r="J2912" i="28"/>
  <c r="J820" i="28"/>
  <c r="K562" i="28" l="1"/>
  <c r="J567" i="28"/>
  <c r="K1565" i="28"/>
  <c r="K1532" i="28"/>
  <c r="J1533" i="28"/>
  <c r="D530" i="28"/>
  <c r="C562" i="28"/>
  <c r="K2912" i="28"/>
  <c r="K820" i="28"/>
  <c r="D562" i="28" l="1"/>
  <c r="C567" i="28"/>
  <c r="J1569" i="28"/>
  <c r="K1533" i="28"/>
  <c r="J1602" i="28"/>
  <c r="J599" i="28"/>
  <c r="K567" i="28"/>
  <c r="J2949" i="28"/>
  <c r="J857" i="28"/>
  <c r="K599" i="28" l="1"/>
  <c r="J604" i="28"/>
  <c r="K1602" i="28"/>
  <c r="K1569" i="28"/>
  <c r="J1570" i="28"/>
  <c r="D567" i="28"/>
  <c r="C604" i="28" s="1"/>
  <c r="C599" i="28"/>
  <c r="D599" i="28" s="1"/>
  <c r="K2949" i="28"/>
  <c r="K857" i="28"/>
  <c r="D604" i="28" l="1"/>
  <c r="C634" i="28"/>
  <c r="J1606" i="28"/>
  <c r="K1570" i="28"/>
  <c r="J1639" i="28"/>
  <c r="J634" i="28"/>
  <c r="K604" i="28"/>
  <c r="J2986" i="28"/>
  <c r="J896" i="28"/>
  <c r="K634" i="28" l="1"/>
  <c r="J639" i="28"/>
  <c r="K1639" i="28"/>
  <c r="K1606" i="28"/>
  <c r="J1607" i="28"/>
  <c r="C639" i="28"/>
  <c r="D634" i="28"/>
  <c r="K2986" i="28"/>
  <c r="K896" i="28"/>
  <c r="D639" i="28" l="1"/>
  <c r="C671" i="28"/>
  <c r="J1643" i="28"/>
  <c r="K1607" i="28"/>
  <c r="J1676" i="28"/>
  <c r="J671" i="28"/>
  <c r="K639" i="28"/>
  <c r="J3023" i="28"/>
  <c r="J933" i="28"/>
  <c r="K671" i="28" l="1"/>
  <c r="J676" i="28"/>
  <c r="K1676" i="28"/>
  <c r="K1643" i="28"/>
  <c r="J1644" i="28"/>
  <c r="C676" i="28"/>
  <c r="D671" i="28"/>
  <c r="K3023" i="28"/>
  <c r="K933" i="28"/>
  <c r="D676" i="28" l="1"/>
  <c r="C708" i="28"/>
  <c r="J1680" i="28"/>
  <c r="K1644" i="28"/>
  <c r="J1713" i="28"/>
  <c r="J708" i="28"/>
  <c r="K676" i="28"/>
  <c r="J3060" i="28"/>
  <c r="J972" i="28"/>
  <c r="K708" i="28" l="1"/>
  <c r="J713" i="28"/>
  <c r="K1713" i="28"/>
  <c r="K1680" i="28"/>
  <c r="J1681" i="28"/>
  <c r="C713" i="28"/>
  <c r="D708" i="28"/>
  <c r="K3060" i="28"/>
  <c r="K972" i="28"/>
  <c r="C747" i="28" l="1"/>
  <c r="D713" i="28"/>
  <c r="J1717" i="28"/>
  <c r="K1681" i="28"/>
  <c r="J1752" i="28"/>
  <c r="J745" i="28"/>
  <c r="K713" i="28"/>
  <c r="J3097" i="28"/>
  <c r="J1011" i="28"/>
  <c r="K1717" i="28" l="1"/>
  <c r="J1718" i="28"/>
  <c r="K745" i="28"/>
  <c r="J750" i="28"/>
  <c r="K1752" i="28"/>
  <c r="D747" i="28"/>
  <c r="C752" i="28"/>
  <c r="K3097" i="28"/>
  <c r="K1011" i="28"/>
  <c r="C784" i="28" l="1"/>
  <c r="D752" i="28"/>
  <c r="J1789" i="28"/>
  <c r="J782" i="28"/>
  <c r="K750" i="28"/>
  <c r="J1756" i="28"/>
  <c r="K1718" i="28"/>
  <c r="J3134" i="28"/>
  <c r="J1046" i="28"/>
  <c r="K1756" i="28" l="1"/>
  <c r="J1757" i="28"/>
  <c r="K782" i="28"/>
  <c r="J787" i="28"/>
  <c r="K1789" i="28"/>
  <c r="C789" i="28"/>
  <c r="D784" i="28"/>
  <c r="K3134" i="28"/>
  <c r="K1046" i="28"/>
  <c r="D789" i="28" l="1"/>
  <c r="C819" i="28"/>
  <c r="J1826" i="28"/>
  <c r="J817" i="28"/>
  <c r="K787" i="28"/>
  <c r="J1793" i="28"/>
  <c r="K1757" i="28"/>
  <c r="J3171" i="28"/>
  <c r="K1826" i="28" l="1"/>
  <c r="K1793" i="28"/>
  <c r="J1794" i="28"/>
  <c r="K817" i="28"/>
  <c r="J822" i="28"/>
  <c r="C824" i="28"/>
  <c r="D819" i="28"/>
  <c r="K3171" i="28"/>
  <c r="D824" i="28" l="1"/>
  <c r="C856" i="28"/>
  <c r="J1830" i="28"/>
  <c r="K1794" i="28"/>
  <c r="J1863" i="28"/>
  <c r="J854" i="28"/>
  <c r="K822" i="28"/>
  <c r="J3210" i="28"/>
  <c r="K854" i="28" l="1"/>
  <c r="J859" i="28"/>
  <c r="K1863" i="28"/>
  <c r="K1830" i="28"/>
  <c r="J1831" i="28"/>
  <c r="C861" i="28"/>
  <c r="D856" i="28"/>
  <c r="K3210" i="28"/>
  <c r="C895" i="28" l="1"/>
  <c r="D861" i="28"/>
  <c r="J1867" i="28"/>
  <c r="K1831" i="28"/>
  <c r="J1900" i="28"/>
  <c r="J893" i="28"/>
  <c r="K859" i="28"/>
  <c r="J3245" i="28"/>
  <c r="K1867" i="28" l="1"/>
  <c r="J1868" i="28"/>
  <c r="K893" i="28"/>
  <c r="J898" i="28"/>
  <c r="K1900" i="28"/>
  <c r="C900" i="28"/>
  <c r="D895" i="28"/>
  <c r="K3245" i="28"/>
  <c r="D900" i="28" l="1"/>
  <c r="C932" i="28"/>
  <c r="J1937" i="28"/>
  <c r="J930" i="28"/>
  <c r="K898" i="28"/>
  <c r="J1904" i="28"/>
  <c r="K1868" i="28"/>
  <c r="J3280" i="28"/>
  <c r="K1904" i="28" l="1"/>
  <c r="J1905" i="28"/>
  <c r="K930" i="28"/>
  <c r="J935" i="28"/>
  <c r="K1937" i="28"/>
  <c r="C937" i="28"/>
  <c r="D932" i="28"/>
  <c r="K3280" i="28"/>
  <c r="D937" i="28" l="1"/>
  <c r="C971" i="28"/>
  <c r="J1974" i="28"/>
  <c r="J969" i="28"/>
  <c r="K935" i="28"/>
  <c r="J1941" i="28"/>
  <c r="K1905" i="28"/>
  <c r="J3316" i="28"/>
  <c r="K1941" i="28" l="1"/>
  <c r="J1942" i="28"/>
  <c r="K969" i="28"/>
  <c r="J974" i="28"/>
  <c r="K1974" i="28"/>
  <c r="C976" i="28"/>
  <c r="D971" i="28"/>
  <c r="K3316" i="28"/>
  <c r="J2011" i="28" l="1"/>
  <c r="C1010" i="28"/>
  <c r="D976" i="28"/>
  <c r="J1008" i="28"/>
  <c r="K974" i="28"/>
  <c r="J1978" i="28"/>
  <c r="K1942" i="28"/>
  <c r="J3355" i="28"/>
  <c r="K1978" i="28" l="1"/>
  <c r="J1979" i="28"/>
  <c r="K1008" i="28"/>
  <c r="J1013" i="28"/>
  <c r="C1015" i="28"/>
  <c r="D1010" i="28"/>
  <c r="K2011" i="28"/>
  <c r="K3355" i="28"/>
  <c r="J2048" i="28" l="1"/>
  <c r="D1015" i="28"/>
  <c r="C1045" i="28"/>
  <c r="D1045" i="28" s="1"/>
  <c r="C1080" i="28" s="1"/>
  <c r="J1043" i="28"/>
  <c r="K1013" i="28"/>
  <c r="J2015" i="28"/>
  <c r="K1979" i="28"/>
  <c r="J3390" i="28"/>
  <c r="K2015" i="28" l="1"/>
  <c r="J2016" i="28"/>
  <c r="K1043" i="28"/>
  <c r="K1048" i="28" s="1"/>
  <c r="J1048" i="28"/>
  <c r="C1085" i="28"/>
  <c r="D1080" i="28"/>
  <c r="K2048" i="28"/>
  <c r="K3390" i="28"/>
  <c r="J2085" i="28" l="1"/>
  <c r="D1085" i="28"/>
  <c r="C1117" i="28"/>
  <c r="J2052" i="28"/>
  <c r="K2016" i="28"/>
  <c r="J3426" i="28"/>
  <c r="K2052" i="28" l="1"/>
  <c r="J2053" i="28"/>
  <c r="C1122" i="28"/>
  <c r="D1117" i="28"/>
  <c r="K2085" i="28"/>
  <c r="K3426" i="28"/>
  <c r="J2122" i="28" l="1"/>
  <c r="D1122" i="28"/>
  <c r="C1154" i="28"/>
  <c r="J2089" i="28"/>
  <c r="K2053" i="28"/>
  <c r="J3466" i="28"/>
  <c r="K2089" i="28" l="1"/>
  <c r="J2090" i="28"/>
  <c r="C1159" i="28"/>
  <c r="D1154" i="28"/>
  <c r="K2122" i="28"/>
  <c r="K3466" i="28"/>
  <c r="J2159" i="28" l="1"/>
  <c r="C1191" i="28"/>
  <c r="D1159" i="28"/>
  <c r="J2126" i="28"/>
  <c r="K2090" i="28"/>
  <c r="J3501" i="28"/>
  <c r="K2126" i="28" l="1"/>
  <c r="J2127" i="28"/>
  <c r="C1196" i="28"/>
  <c r="D1191" i="28"/>
  <c r="K2159" i="28"/>
  <c r="K3501" i="28"/>
  <c r="J2198" i="28" l="1"/>
  <c r="C1228" i="28"/>
  <c r="D1196" i="28"/>
  <c r="J2163" i="28"/>
  <c r="K2127" i="28"/>
  <c r="J3541" i="28"/>
  <c r="K2163" i="28" l="1"/>
  <c r="J2164" i="28"/>
  <c r="C1233" i="28"/>
  <c r="D1228" i="28"/>
  <c r="K2198" i="28"/>
  <c r="K3541" i="28"/>
  <c r="J2235" i="28" l="1"/>
  <c r="D1233" i="28"/>
  <c r="C1265" i="28"/>
  <c r="J2202" i="28"/>
  <c r="K2164" i="28"/>
  <c r="J3589" i="28"/>
  <c r="K2202" i="28" l="1"/>
  <c r="J2203" i="28"/>
  <c r="C1270" i="28"/>
  <c r="D1265" i="28"/>
  <c r="K2235" i="28"/>
  <c r="K3589" i="28"/>
  <c r="J2272" i="28" l="1"/>
  <c r="C1302" i="28"/>
  <c r="D1270" i="28"/>
  <c r="J2239" i="28"/>
  <c r="K2203" i="28"/>
  <c r="K2239" i="28" l="1"/>
  <c r="J2240" i="28"/>
  <c r="C1307" i="28"/>
  <c r="D1302" i="28"/>
  <c r="K2272" i="28"/>
  <c r="J2309" i="28" l="1"/>
  <c r="D1307" i="28"/>
  <c r="C1339" i="28"/>
  <c r="J2276" i="28"/>
  <c r="K2240" i="28"/>
  <c r="K2276" i="28" l="1"/>
  <c r="J2277" i="28"/>
  <c r="C1344" i="28"/>
  <c r="D1339" i="28"/>
  <c r="K2309" i="28"/>
  <c r="J2346" i="28" l="1"/>
  <c r="C1378" i="28"/>
  <c r="D1344" i="28"/>
  <c r="J2313" i="28"/>
  <c r="K2277" i="28"/>
  <c r="K2313" i="28" l="1"/>
  <c r="J2314" i="28"/>
  <c r="C1383" i="28"/>
  <c r="D1378" i="28"/>
  <c r="K2346" i="28"/>
  <c r="J2383" i="28" l="1"/>
  <c r="C1415" i="28"/>
  <c r="D1383" i="28"/>
  <c r="J2350" i="28"/>
  <c r="K2314" i="28"/>
  <c r="K2350" i="28" l="1"/>
  <c r="J2351" i="28"/>
  <c r="C1420" i="28"/>
  <c r="D1415" i="28"/>
  <c r="K2383" i="28"/>
  <c r="J2420" i="28" l="1"/>
  <c r="D1420" i="28"/>
  <c r="C1452" i="28"/>
  <c r="D1452" i="28" s="1"/>
  <c r="J2387" i="28"/>
  <c r="K2351" i="28"/>
  <c r="K2387" i="28" l="1"/>
  <c r="J2388" i="28"/>
  <c r="K2420" i="28"/>
  <c r="J2457" i="28" l="1"/>
  <c r="J2424" i="28"/>
  <c r="K2388" i="28"/>
  <c r="K2424" i="28" l="1"/>
  <c r="J2425" i="28"/>
  <c r="K2457" i="28"/>
  <c r="J2496" i="28" l="1"/>
  <c r="J2461" i="28"/>
  <c r="K2425" i="28"/>
  <c r="K2461" i="28" l="1"/>
  <c r="J2462" i="28"/>
  <c r="K2496" i="28"/>
  <c r="J2533" i="28" l="1"/>
  <c r="J2500" i="28"/>
  <c r="K2462" i="28"/>
  <c r="K2500" i="28" l="1"/>
  <c r="J2501" i="28"/>
  <c r="K2533" i="28"/>
  <c r="J2570" i="28" l="1"/>
  <c r="J2537" i="28"/>
  <c r="K2501" i="28"/>
  <c r="K2537" i="28" l="1"/>
  <c r="J2538" i="28"/>
  <c r="K2570" i="28"/>
  <c r="J2607" i="28" l="1"/>
  <c r="J2574" i="28"/>
  <c r="K2538" i="28"/>
  <c r="K2574" i="28" l="1"/>
  <c r="J2575" i="28"/>
  <c r="K2607" i="28"/>
  <c r="J2646" i="28" l="1"/>
  <c r="J2611" i="28"/>
  <c r="K2575" i="28"/>
  <c r="K2611" i="28" l="1"/>
  <c r="J2612" i="28"/>
  <c r="K2646" i="28"/>
  <c r="J2683" i="28" l="1"/>
  <c r="J2650" i="28"/>
  <c r="K2612" i="28"/>
  <c r="K2650" i="28" l="1"/>
  <c r="J2651" i="28"/>
  <c r="K2683" i="28"/>
  <c r="J2720" i="28" l="1"/>
  <c r="J2687" i="28"/>
  <c r="K2651" i="28"/>
  <c r="K2687" i="28" l="1"/>
  <c r="J2688" i="28"/>
  <c r="K2720" i="28"/>
  <c r="J2757" i="28" l="1"/>
  <c r="J2724" i="28"/>
  <c r="K2688" i="28"/>
  <c r="K2724" i="28" l="1"/>
  <c r="J2725" i="28"/>
  <c r="K2757" i="28"/>
  <c r="J2794" i="28" l="1"/>
  <c r="J2761" i="28"/>
  <c r="K2725" i="28"/>
  <c r="K2761" i="28" l="1"/>
  <c r="J2762" i="28"/>
  <c r="K2794" i="28"/>
  <c r="J2833" i="28" l="1"/>
  <c r="J2798" i="28"/>
  <c r="K2762" i="28"/>
  <c r="K2798" i="28" l="1"/>
  <c r="J2799" i="28"/>
  <c r="K2833" i="28"/>
  <c r="J2872" i="28" l="1"/>
  <c r="J2837" i="28"/>
  <c r="K2799" i="28"/>
  <c r="K2837" i="28" l="1"/>
  <c r="J2838" i="28"/>
  <c r="K2872" i="28"/>
  <c r="J2909" i="28" l="1"/>
  <c r="J2876" i="28"/>
  <c r="K2838" i="28"/>
  <c r="K2876" i="28" l="1"/>
  <c r="J2877" i="28"/>
  <c r="K2909" i="28"/>
  <c r="J2946" i="28" l="1"/>
  <c r="J2913" i="28"/>
  <c r="K2877" i="28"/>
  <c r="K2913" i="28" l="1"/>
  <c r="J2914" i="28"/>
  <c r="K2946" i="28"/>
  <c r="J2983" i="28" l="1"/>
  <c r="J2950" i="28"/>
  <c r="K2914" i="28"/>
  <c r="K2950" i="28" l="1"/>
  <c r="J2951" i="28"/>
  <c r="K2983" i="28"/>
  <c r="J3020" i="28" l="1"/>
  <c r="J2987" i="28"/>
  <c r="K2951" i="28"/>
  <c r="K2987" i="28" l="1"/>
  <c r="J2988" i="28"/>
  <c r="K3020" i="28"/>
  <c r="J3057" i="28" l="1"/>
  <c r="J3024" i="28"/>
  <c r="K2988" i="28"/>
  <c r="K3024" i="28" l="1"/>
  <c r="J3025" i="28"/>
  <c r="K3057" i="28"/>
  <c r="J3094" i="28" l="1"/>
  <c r="J3061" i="28"/>
  <c r="K3025" i="28"/>
  <c r="K3094" i="28" l="1"/>
  <c r="K3061" i="28"/>
  <c r="J3062" i="28"/>
  <c r="J3098" i="28" l="1"/>
  <c r="K3062" i="28"/>
  <c r="J3131" i="28"/>
  <c r="K3131" i="28" l="1"/>
  <c r="K3098" i="28"/>
  <c r="J3099" i="28"/>
  <c r="J3135" i="28" l="1"/>
  <c r="K3099" i="28"/>
  <c r="J3168" i="28"/>
  <c r="K3168" i="28" l="1"/>
  <c r="K3135" i="28"/>
  <c r="J3136" i="28"/>
  <c r="J3172" i="28" l="1"/>
  <c r="K3136" i="28"/>
  <c r="J3207" i="28"/>
  <c r="K3207" i="28" l="1"/>
  <c r="K3172" i="28"/>
  <c r="J3173" i="28"/>
  <c r="J3211" i="28" l="1"/>
  <c r="K3173" i="28"/>
  <c r="J3242" i="28"/>
  <c r="K3242" i="28" l="1"/>
  <c r="K3211" i="28"/>
  <c r="J3212" i="28"/>
  <c r="J3246" i="28" l="1"/>
  <c r="K3212" i="28"/>
  <c r="J3277" i="28"/>
  <c r="K3277" i="28" l="1"/>
  <c r="K3246" i="28"/>
  <c r="J3247" i="28"/>
  <c r="J3281" i="28" l="1"/>
  <c r="K3247" i="28"/>
  <c r="J3313" i="28"/>
  <c r="K3313" i="28" l="1"/>
  <c r="K3281" i="28"/>
  <c r="J3282" i="28"/>
  <c r="J3317" i="28" l="1"/>
  <c r="K3282" i="28"/>
  <c r="J3352" i="28"/>
  <c r="K3352" i="28" l="1"/>
  <c r="K3317" i="28"/>
  <c r="J3318" i="28"/>
  <c r="J3356" i="28" l="1"/>
  <c r="K3318" i="28"/>
  <c r="J3387" i="28"/>
  <c r="K3387" i="28" l="1"/>
  <c r="K3356" i="28"/>
  <c r="J3357" i="28"/>
  <c r="J3391" i="28" l="1"/>
  <c r="K3357" i="28"/>
  <c r="J3423" i="28"/>
  <c r="K3423" i="28" l="1"/>
  <c r="K3391" i="28"/>
  <c r="J3392" i="28"/>
  <c r="J3427" i="28" l="1"/>
  <c r="K3392" i="28"/>
  <c r="J3463" i="28"/>
  <c r="K3463" i="28" l="1"/>
  <c r="K3427" i="28"/>
  <c r="J3428" i="28"/>
  <c r="J3467" i="28" l="1"/>
  <c r="K3428" i="28"/>
  <c r="J3498" i="28"/>
  <c r="K3498" i="28" l="1"/>
  <c r="K3467" i="28"/>
  <c r="J3468" i="28"/>
  <c r="J3502" i="28" l="1"/>
  <c r="K3468" i="28"/>
  <c r="J3538" i="28"/>
  <c r="K3538" i="28" l="1"/>
  <c r="K3502" i="28"/>
  <c r="J3503" i="28"/>
  <c r="J3542" i="28" l="1"/>
  <c r="K3503" i="28"/>
  <c r="J3586" i="28"/>
  <c r="K3586" i="28" l="1"/>
  <c r="K3542" i="28"/>
  <c r="J3543" i="28"/>
  <c r="J3590" i="28" l="1"/>
  <c r="K3543" i="28"/>
  <c r="K3590" i="28" l="1"/>
  <c r="K3591" i="28" s="1"/>
  <c r="J3591" i="28"/>
</calcChain>
</file>

<file path=xl/sharedStrings.xml><?xml version="1.0" encoding="utf-8"?>
<sst xmlns="http://schemas.openxmlformats.org/spreadsheetml/2006/main" count="68052" uniqueCount="3036">
  <si>
    <t>BP: 2252 Libreville, Tél.01.73.21.04/01.73.31.14 - Fax:(+241) 73.14.75</t>
  </si>
  <si>
    <t>Facture</t>
  </si>
  <si>
    <t>Doit :</t>
  </si>
  <si>
    <t>PERIODE</t>
  </si>
  <si>
    <t>DESIGNATION</t>
  </si>
  <si>
    <t>MONTANT</t>
  </si>
  <si>
    <t>Usage des Comptoirs</t>
  </si>
  <si>
    <t>Annonces point "I"</t>
  </si>
  <si>
    <t>CU</t>
  </si>
  <si>
    <t>Total 1</t>
  </si>
  <si>
    <t>Nbre Ann</t>
  </si>
  <si>
    <t>Total 2</t>
  </si>
  <si>
    <t>DEVISE</t>
  </si>
  <si>
    <t>Montant HT</t>
  </si>
  <si>
    <t>TAXES</t>
  </si>
  <si>
    <t>ACOMPTE</t>
  </si>
  <si>
    <t>Montant TTC</t>
  </si>
  <si>
    <t>SOLDE</t>
  </si>
  <si>
    <t>FCFA</t>
  </si>
  <si>
    <t>Mode de règlement:</t>
  </si>
  <si>
    <r>
      <t xml:space="preserve">Numéraire ou virement bancaire: cpte </t>
    </r>
    <r>
      <rPr>
        <b/>
        <sz val="11"/>
        <color theme="1"/>
        <rFont val="Arial Narrow"/>
        <family val="2"/>
      </rPr>
      <t>ASECNA N° 40002 00005 564161893000 93</t>
    </r>
    <r>
      <rPr>
        <sz val="11"/>
        <color theme="1"/>
        <rFont val="Arial Narrow"/>
        <family val="2"/>
      </rPr>
      <t xml:space="preserve">  UGB Libreville</t>
    </r>
  </si>
  <si>
    <t>Chèques à libeller au nom de: ASECNA Activités Aéronautiques Nationales du Gabon</t>
  </si>
  <si>
    <r>
      <rPr>
        <sz val="11"/>
        <color theme="1"/>
        <rFont val="Calibri"/>
        <family val="2"/>
      </rPr>
      <t>É</t>
    </r>
    <r>
      <rPr>
        <sz val="11"/>
        <color theme="1"/>
        <rFont val="Arial Narrow"/>
        <family val="2"/>
      </rPr>
      <t xml:space="preserve">chéance de règlement: 30 jours à compter de la date d'émission </t>
    </r>
  </si>
  <si>
    <t>Jean PAMBO BOUASSA</t>
  </si>
  <si>
    <t>Le Délégué du Directeur Général de l'ASECNA</t>
  </si>
  <si>
    <t xml:space="preserve">pour  la Gestion des Activités Aéronautiques  Nationales du Gabon </t>
  </si>
  <si>
    <t>Nbre H</t>
  </si>
  <si>
    <t>Site:</t>
  </si>
  <si>
    <t>LA NATIONALE</t>
  </si>
  <si>
    <t>Mvengué</t>
  </si>
  <si>
    <t>Libreville, le 05/05/2015</t>
  </si>
  <si>
    <t>AFRIC AVIATION</t>
  </si>
  <si>
    <t>ALLEGIANCE</t>
  </si>
  <si>
    <t>AQUA FLIGHT</t>
  </si>
  <si>
    <t>Du 07  au 12/03/15</t>
  </si>
  <si>
    <t>Port -Gentil</t>
  </si>
  <si>
    <t>Port-Gentil</t>
  </si>
  <si>
    <r>
      <t xml:space="preserve">Certifie sincère et veritable la présente facture s'élèvant à la somme de:  </t>
    </r>
    <r>
      <rPr>
        <b/>
        <i/>
        <sz val="10.5"/>
        <color theme="1"/>
        <rFont val="Arial Narrow"/>
        <family val="2"/>
      </rPr>
      <t>CINQUANTE SIX MILLE (</t>
    </r>
    <r>
      <rPr>
        <b/>
        <i/>
        <sz val="11"/>
        <color theme="1"/>
        <rFont val="Arial Narrow"/>
        <family val="2"/>
      </rPr>
      <t xml:space="preserve">56 000 </t>
    </r>
    <r>
      <rPr>
        <b/>
        <i/>
        <sz val="10.5"/>
        <color theme="1"/>
        <rFont val="Arial Narrow"/>
        <family val="2"/>
      </rPr>
      <t>)francs CFA</t>
    </r>
  </si>
  <si>
    <r>
      <t xml:space="preserve">Certifie sincère et veritable la présente facture s'élèvant à la somme de:  </t>
    </r>
    <r>
      <rPr>
        <b/>
        <i/>
        <sz val="10.5"/>
        <color theme="1"/>
        <rFont val="Arial Narrow"/>
        <family val="2"/>
      </rPr>
      <t>QUARANTE DEUX MILLE (</t>
    </r>
    <r>
      <rPr>
        <b/>
        <i/>
        <sz val="11"/>
        <color theme="1"/>
        <rFont val="Arial Narrow"/>
        <family val="2"/>
      </rPr>
      <t xml:space="preserve">42 000 </t>
    </r>
    <r>
      <rPr>
        <b/>
        <i/>
        <sz val="10.5"/>
        <color theme="1"/>
        <rFont val="Arial Narrow"/>
        <family val="2"/>
      </rPr>
      <t>)francs CFA</t>
    </r>
  </si>
  <si>
    <t>Du 01  au 06/03/15</t>
  </si>
  <si>
    <t>TROPICAL AIR</t>
  </si>
  <si>
    <t>Facture N° 135</t>
  </si>
  <si>
    <t>Facture N° 136</t>
  </si>
  <si>
    <t>Facture N° 137</t>
  </si>
  <si>
    <t>Du 20  au 27/03/15</t>
  </si>
  <si>
    <r>
      <t xml:space="preserve">Certifie sincère et veritable la présente facture s'élèvant à la somme de: </t>
    </r>
    <r>
      <rPr>
        <b/>
        <i/>
        <sz val="9"/>
        <color theme="1"/>
        <rFont val="Arial Narrow"/>
        <family val="2"/>
      </rPr>
      <t>CENT QUATRE VINGT SEIZE  MILLE (196 000 )francs CFA</t>
    </r>
  </si>
  <si>
    <t>Du 20  au 26/03/15</t>
  </si>
  <si>
    <t>Facture N° 138</t>
  </si>
  <si>
    <t>Facture N° 139</t>
  </si>
  <si>
    <r>
      <t xml:space="preserve">Certifie sincère et veritable la présente facture s'élèvant à la somme de:  </t>
    </r>
    <r>
      <rPr>
        <b/>
        <i/>
        <sz val="10"/>
        <color theme="1"/>
        <rFont val="Arial Narrow"/>
        <family val="2"/>
      </rPr>
      <t>QUATRE CENT VINGT MILLE (420 000 )francs CFA</t>
    </r>
  </si>
  <si>
    <t>Facture N° 140</t>
  </si>
  <si>
    <r>
      <t xml:space="preserve">Certifie sincère et veritable la présente facture s'élèvant à la somme de:  </t>
    </r>
    <r>
      <rPr>
        <b/>
        <i/>
        <sz val="10"/>
        <color theme="1"/>
        <rFont val="Arial Narrow"/>
        <family val="2"/>
      </rPr>
      <t xml:space="preserve">CENT VINGT SIX MILLE </t>
    </r>
    <r>
      <rPr>
        <b/>
        <i/>
        <sz val="11"/>
        <color theme="1"/>
        <rFont val="Arial Narrow"/>
        <family val="2"/>
      </rPr>
      <t>(126 000</t>
    </r>
    <r>
      <rPr>
        <b/>
        <i/>
        <sz val="10"/>
        <color theme="1"/>
        <rFont val="Arial Narrow"/>
        <family val="2"/>
      </rPr>
      <t xml:space="preserve"> )francs CFA</t>
    </r>
  </si>
  <si>
    <t>Facture N° 141</t>
  </si>
  <si>
    <t>Du 27  au 31/03/15</t>
  </si>
  <si>
    <r>
      <t xml:space="preserve">Certifie sincère et veritable la présente facture s'élèvant à la somme de: </t>
    </r>
    <r>
      <rPr>
        <i/>
        <sz val="10"/>
        <color theme="1"/>
        <rFont val="Arial Narrow"/>
        <family val="2"/>
      </rPr>
      <t xml:space="preserve"> </t>
    </r>
    <r>
      <rPr>
        <b/>
        <i/>
        <sz val="10"/>
        <color theme="1"/>
        <rFont val="Arial Narrow"/>
        <family val="2"/>
      </rPr>
      <t xml:space="preserve">CENT SOIXANTE HUIT MILLE (168 000 </t>
    </r>
    <r>
      <rPr>
        <b/>
        <i/>
        <sz val="10.5"/>
        <color theme="1"/>
        <rFont val="Arial Narrow"/>
        <family val="2"/>
      </rPr>
      <t>)francs CFA</t>
    </r>
  </si>
  <si>
    <t>Facture N° 142</t>
  </si>
  <si>
    <r>
      <rPr>
        <i/>
        <sz val="10"/>
        <color theme="1"/>
        <rFont val="Arial Narrow"/>
        <family val="2"/>
      </rPr>
      <t>Certifie sincère et veritable la présente facture s'élèvant à la somme de</t>
    </r>
    <r>
      <rPr>
        <i/>
        <sz val="10.5"/>
        <color theme="1"/>
        <rFont val="Arial Narrow"/>
        <family val="2"/>
      </rPr>
      <t xml:space="preserve">: </t>
    </r>
    <r>
      <rPr>
        <i/>
        <sz val="9.5"/>
        <color theme="1"/>
        <rFont val="Arial Narrow"/>
        <family val="2"/>
      </rPr>
      <t>TROIS CENT VINGT DEUX</t>
    </r>
    <r>
      <rPr>
        <b/>
        <i/>
        <sz val="9.5"/>
        <color theme="1"/>
        <rFont val="Arial Narrow"/>
        <family val="2"/>
      </rPr>
      <t xml:space="preserve"> MILLE</t>
    </r>
    <r>
      <rPr>
        <b/>
        <i/>
        <sz val="10"/>
        <color theme="1"/>
        <rFont val="Arial Narrow"/>
        <family val="2"/>
      </rPr>
      <t xml:space="preserve"> (322 000 </t>
    </r>
    <r>
      <rPr>
        <b/>
        <i/>
        <sz val="10.5"/>
        <color theme="1"/>
        <rFont val="Arial Narrow"/>
        <family val="2"/>
      </rPr>
      <t>)francs CFA</t>
    </r>
  </si>
  <si>
    <r>
      <t>Certifie sincère et veritable la présente facture s'élèvant à la somme de:</t>
    </r>
    <r>
      <rPr>
        <b/>
        <i/>
        <sz val="10.5"/>
        <color theme="1"/>
        <rFont val="Arial Narrow"/>
        <family val="2"/>
      </rPr>
      <t xml:space="preserve"> QUARANTE DEUX MILLE (</t>
    </r>
    <r>
      <rPr>
        <b/>
        <i/>
        <sz val="11"/>
        <color theme="1"/>
        <rFont val="Arial Narrow"/>
        <family val="2"/>
      </rPr>
      <t xml:space="preserve">42 000 </t>
    </r>
    <r>
      <rPr>
        <b/>
        <i/>
        <sz val="10.5"/>
        <color theme="1"/>
        <rFont val="Arial Narrow"/>
        <family val="2"/>
      </rPr>
      <t>)francs CFA</t>
    </r>
  </si>
  <si>
    <t>Facture N° 143</t>
  </si>
  <si>
    <t>Facture N° 145</t>
  </si>
  <si>
    <t>Du 01  au 10/02/15</t>
  </si>
  <si>
    <r>
      <rPr>
        <i/>
        <sz val="10"/>
        <color theme="1"/>
        <rFont val="Arial Narrow"/>
        <family val="2"/>
      </rPr>
      <t>Certifie sincère et veritable la présente facture s'élèvant à la somme de:</t>
    </r>
    <r>
      <rPr>
        <b/>
        <i/>
        <sz val="10.5"/>
        <color theme="1"/>
        <rFont val="Arial Narrow"/>
        <family val="2"/>
      </rPr>
      <t xml:space="preserve"> DEUX CENT SOIXANTE SIX MILLE (</t>
    </r>
    <r>
      <rPr>
        <b/>
        <i/>
        <sz val="11"/>
        <color theme="1"/>
        <rFont val="Arial Narrow"/>
        <family val="2"/>
      </rPr>
      <t xml:space="preserve">266 000 </t>
    </r>
    <r>
      <rPr>
        <b/>
        <i/>
        <sz val="10.5"/>
        <color theme="1"/>
        <rFont val="Arial Narrow"/>
        <family val="2"/>
      </rPr>
      <t>)francs CFA</t>
    </r>
  </si>
  <si>
    <t>Facture N° 146</t>
  </si>
  <si>
    <r>
      <rPr>
        <i/>
        <sz val="10"/>
        <color theme="1"/>
        <rFont val="Arial Narrow"/>
        <family val="2"/>
      </rPr>
      <t>Certifie sincère et veritable la présente facture s'élèvant à la somme de:</t>
    </r>
    <r>
      <rPr>
        <b/>
        <i/>
        <sz val="10"/>
        <color theme="1"/>
        <rFont val="Arial Narrow"/>
        <family val="2"/>
      </rPr>
      <t xml:space="preserve"> </t>
    </r>
    <r>
      <rPr>
        <b/>
        <i/>
        <sz val="10.5"/>
        <color theme="1"/>
        <rFont val="Arial Narrow"/>
        <family val="2"/>
      </rPr>
      <t>TROIS CENT TRENTE SIX MILLE (</t>
    </r>
    <r>
      <rPr>
        <b/>
        <i/>
        <sz val="11"/>
        <color theme="1"/>
        <rFont val="Arial Narrow"/>
        <family val="2"/>
      </rPr>
      <t xml:space="preserve">336 000 </t>
    </r>
    <r>
      <rPr>
        <b/>
        <i/>
        <sz val="10.5"/>
        <color theme="1"/>
        <rFont val="Arial Narrow"/>
        <family val="2"/>
      </rPr>
      <t>)francs CFA</t>
    </r>
  </si>
  <si>
    <t>Facture N° 147</t>
  </si>
  <si>
    <r>
      <rPr>
        <i/>
        <sz val="10"/>
        <color theme="1"/>
        <rFont val="Arial Narrow"/>
        <family val="2"/>
      </rPr>
      <t>Certifie sincère et veritable la présente facture s'élèvant à la somme de</t>
    </r>
    <r>
      <rPr>
        <i/>
        <sz val="10.5"/>
        <color theme="1"/>
        <rFont val="Arial Narrow"/>
        <family val="2"/>
      </rPr>
      <t>:</t>
    </r>
    <r>
      <rPr>
        <b/>
        <i/>
        <sz val="10.5"/>
        <color theme="1"/>
        <rFont val="Arial Narrow"/>
        <family val="2"/>
      </rPr>
      <t xml:space="preserve"> CINQ CENT TRENTE DEUX MILLE (</t>
    </r>
    <r>
      <rPr>
        <b/>
        <i/>
        <sz val="11"/>
        <color theme="1"/>
        <rFont val="Arial Narrow"/>
        <family val="2"/>
      </rPr>
      <t xml:space="preserve">532 000 </t>
    </r>
    <r>
      <rPr>
        <b/>
        <i/>
        <sz val="10.5"/>
        <color theme="1"/>
        <rFont val="Arial Narrow"/>
        <family val="2"/>
      </rPr>
      <t>)francs CFA</t>
    </r>
  </si>
  <si>
    <t>Facture N° 148</t>
  </si>
  <si>
    <r>
      <t>Certifie sincère et veritable la présente facture s'élèvant à la somme de:</t>
    </r>
    <r>
      <rPr>
        <b/>
        <i/>
        <sz val="10.5"/>
        <color theme="1"/>
        <rFont val="Arial Narrow"/>
        <family val="2"/>
      </rPr>
      <t xml:space="preserve"> CENT DOUZE  MILLE (</t>
    </r>
    <r>
      <rPr>
        <b/>
        <i/>
        <sz val="11"/>
        <color theme="1"/>
        <rFont val="Arial Narrow"/>
        <family val="2"/>
      </rPr>
      <t xml:space="preserve">112 000 </t>
    </r>
    <r>
      <rPr>
        <b/>
        <i/>
        <sz val="10.5"/>
        <color theme="1"/>
        <rFont val="Arial Narrow"/>
        <family val="2"/>
      </rPr>
      <t>)francs CFA</t>
    </r>
  </si>
  <si>
    <t>Facture N° 149</t>
  </si>
  <si>
    <r>
      <t>Certifie sincère et veritable la présente facture s'élèvant à la somme de:</t>
    </r>
    <r>
      <rPr>
        <b/>
        <i/>
        <sz val="10.5"/>
        <color theme="1"/>
        <rFont val="Arial Narrow"/>
        <family val="2"/>
      </rPr>
      <t xml:space="preserve"> CENT DOUZE  MILLE (11</t>
    </r>
    <r>
      <rPr>
        <b/>
        <i/>
        <sz val="11"/>
        <color theme="1"/>
        <rFont val="Arial Narrow"/>
        <family val="2"/>
      </rPr>
      <t xml:space="preserve">2 000 </t>
    </r>
    <r>
      <rPr>
        <b/>
        <i/>
        <sz val="10.5"/>
        <color theme="1"/>
        <rFont val="Arial Narrow"/>
        <family val="2"/>
      </rPr>
      <t>)francs CFA</t>
    </r>
  </si>
  <si>
    <t>Facture N° 150</t>
  </si>
  <si>
    <t>Du 11 au 20/02/15</t>
  </si>
  <si>
    <r>
      <t>Certifie sincère et veritable la présente facture s'élèvant à la somme de:</t>
    </r>
    <r>
      <rPr>
        <b/>
        <i/>
        <sz val="10.5"/>
        <color theme="1"/>
        <rFont val="Arial Narrow"/>
        <family val="2"/>
      </rPr>
      <t xml:space="preserve"> QUATRE VINGT QUATRE MILLE (</t>
    </r>
    <r>
      <rPr>
        <b/>
        <i/>
        <sz val="11"/>
        <color theme="1"/>
        <rFont val="Arial Narrow"/>
        <family val="2"/>
      </rPr>
      <t xml:space="preserve">84 000 </t>
    </r>
    <r>
      <rPr>
        <b/>
        <i/>
        <sz val="10.5"/>
        <color theme="1"/>
        <rFont val="Arial Narrow"/>
        <family val="2"/>
      </rPr>
      <t>)francs CFA</t>
    </r>
  </si>
  <si>
    <t>Facture N°151</t>
  </si>
  <si>
    <t>EQUA FILGHT</t>
  </si>
  <si>
    <r>
      <t>Certifie sincère et veritable la présente facture s'élèvant à la somme de:</t>
    </r>
    <r>
      <rPr>
        <b/>
        <i/>
        <sz val="10.5"/>
        <color theme="1"/>
        <rFont val="Arial Narrow"/>
        <family val="2"/>
      </rPr>
      <t xml:space="preserve"> CENT DOUZE MILLE (</t>
    </r>
    <r>
      <rPr>
        <b/>
        <i/>
        <sz val="11"/>
        <color theme="1"/>
        <rFont val="Arial Narrow"/>
        <family val="2"/>
      </rPr>
      <t xml:space="preserve">112 000 </t>
    </r>
    <r>
      <rPr>
        <b/>
        <i/>
        <sz val="10.5"/>
        <color theme="1"/>
        <rFont val="Arial Narrow"/>
        <family val="2"/>
      </rPr>
      <t>)francs CFA</t>
    </r>
  </si>
  <si>
    <t>Facture N°152</t>
  </si>
  <si>
    <r>
      <rPr>
        <i/>
        <sz val="10"/>
        <color theme="1"/>
        <rFont val="Arial Narrow"/>
        <family val="2"/>
      </rPr>
      <t>Certifie sincère et veritable la présente facture s'élèvant à la somme de</t>
    </r>
    <r>
      <rPr>
        <i/>
        <sz val="10.5"/>
        <color theme="1"/>
        <rFont val="Arial Narrow"/>
        <family val="2"/>
      </rPr>
      <t>:</t>
    </r>
    <r>
      <rPr>
        <b/>
        <i/>
        <sz val="10.5"/>
        <color theme="1"/>
        <rFont val="Arial Narrow"/>
        <family val="2"/>
      </rPr>
      <t xml:space="preserve"> TROIS CENT VINGT DEUX MILLE (</t>
    </r>
    <r>
      <rPr>
        <b/>
        <i/>
        <sz val="11"/>
        <color theme="1"/>
        <rFont val="Arial Narrow"/>
        <family val="2"/>
      </rPr>
      <t xml:space="preserve">322 000 </t>
    </r>
    <r>
      <rPr>
        <b/>
        <i/>
        <sz val="10.5"/>
        <color theme="1"/>
        <rFont val="Arial Narrow"/>
        <family val="2"/>
      </rPr>
      <t>)francs CFA</t>
    </r>
  </si>
  <si>
    <t>Facture N°153</t>
  </si>
  <si>
    <r>
      <rPr>
        <i/>
        <sz val="9.5"/>
        <color theme="1"/>
        <rFont val="Arial Narrow"/>
        <family val="2"/>
      </rPr>
      <t>Certifie sincère et veritable la présente facture s'élèvant à la somme de:</t>
    </r>
    <r>
      <rPr>
        <b/>
        <i/>
        <sz val="9.5"/>
        <color theme="1"/>
        <rFont val="Arial Narrow"/>
        <family val="2"/>
      </rPr>
      <t>TROIS CENT SOIXANTE QUATRE MILLE (364 000 )francs CFA</t>
    </r>
  </si>
  <si>
    <t>Facture N° 154</t>
  </si>
  <si>
    <r>
      <t>Certifie sincère et veritable la présente facture s'élèvant à la somme de:</t>
    </r>
    <r>
      <rPr>
        <b/>
        <i/>
        <sz val="10.5"/>
        <color theme="1"/>
        <rFont val="Arial Narrow"/>
        <family val="2"/>
      </rPr>
      <t xml:space="preserve"> SIX CENT TRENTE MILLE (</t>
    </r>
    <r>
      <rPr>
        <b/>
        <i/>
        <sz val="11"/>
        <color theme="1"/>
        <rFont val="Arial Narrow"/>
        <family val="2"/>
      </rPr>
      <t xml:space="preserve">630 000 </t>
    </r>
    <r>
      <rPr>
        <b/>
        <i/>
        <sz val="10.5"/>
        <color theme="1"/>
        <rFont val="Arial Narrow"/>
        <family val="2"/>
      </rPr>
      <t>)francs CFA</t>
    </r>
  </si>
  <si>
    <t>Facture N° 155</t>
  </si>
  <si>
    <t>Du 21  au 28/02/15</t>
  </si>
  <si>
    <t>Facture N° 157</t>
  </si>
  <si>
    <r>
      <t>Certifie sincère et veritable la présente facture s'élèvant à la somme de:</t>
    </r>
    <r>
      <rPr>
        <b/>
        <i/>
        <sz val="10.5"/>
        <color theme="1"/>
        <rFont val="Arial Narrow"/>
        <family val="2"/>
      </rPr>
      <t xml:space="preserve"> QUATRE VINGT MILLE (</t>
    </r>
    <r>
      <rPr>
        <b/>
        <i/>
        <sz val="11"/>
        <color theme="1"/>
        <rFont val="Arial Narrow"/>
        <family val="2"/>
      </rPr>
      <t xml:space="preserve">80 000 </t>
    </r>
    <r>
      <rPr>
        <b/>
        <i/>
        <sz val="10.5"/>
        <color theme="1"/>
        <rFont val="Arial Narrow"/>
        <family val="2"/>
      </rPr>
      <t>)francs CFA</t>
    </r>
  </si>
  <si>
    <t xml:space="preserve">Facture N° 158 </t>
  </si>
  <si>
    <r>
      <rPr>
        <i/>
        <sz val="9.5"/>
        <color theme="1"/>
        <rFont val="Arial Narrow"/>
        <family val="2"/>
      </rPr>
      <t xml:space="preserve">Certifie sincère </t>
    </r>
    <r>
      <rPr>
        <i/>
        <sz val="9"/>
        <color theme="1"/>
        <rFont val="Arial Narrow"/>
        <family val="2"/>
      </rPr>
      <t>et veritable la présente facture s'élèvant à la somme de:</t>
    </r>
    <r>
      <rPr>
        <b/>
        <i/>
        <sz val="9"/>
        <color theme="1"/>
        <rFont val="Arial Narrow"/>
        <family val="2"/>
      </rPr>
      <t xml:space="preserve"> DEUX CENT QUATRE VINGT QUATORZE MILLE (</t>
    </r>
    <r>
      <rPr>
        <b/>
        <i/>
        <sz val="9.25"/>
        <color theme="1"/>
        <rFont val="Arial Narrow"/>
        <family val="2"/>
      </rPr>
      <t>294 000</t>
    </r>
    <r>
      <rPr>
        <b/>
        <i/>
        <sz val="9"/>
        <color theme="1"/>
        <rFont val="Arial Narrow"/>
        <family val="2"/>
      </rPr>
      <t xml:space="preserve"> </t>
    </r>
    <r>
      <rPr>
        <b/>
        <i/>
        <sz val="10.5"/>
        <color theme="1"/>
        <rFont val="Arial Narrow"/>
        <family val="2"/>
      </rPr>
      <t>)francs CFA</t>
    </r>
  </si>
  <si>
    <t>ASECNA DELEGATION DU GABON</t>
  </si>
  <si>
    <t>Activités Aéronautiques Nationales du Gabon</t>
  </si>
  <si>
    <t>Administration Générale et Finances (AGF)</t>
  </si>
  <si>
    <t>Unité Budget et Facturation</t>
  </si>
  <si>
    <t>EXERCICE: 2015</t>
  </si>
  <si>
    <t>BORDEREAU D'EMISSION DE BANQUES D'ENREGISTREMENT</t>
  </si>
  <si>
    <t>N° FACTURE</t>
  </si>
  <si>
    <t>DATE DE FACTURE</t>
  </si>
  <si>
    <t>CLIENT</t>
  </si>
  <si>
    <t>SITE</t>
  </si>
  <si>
    <t>MONTANT FACTURE</t>
  </si>
  <si>
    <t>Imputation Budgétaire</t>
  </si>
  <si>
    <t>CL</t>
  </si>
  <si>
    <t>Montant</t>
  </si>
  <si>
    <t xml:space="preserve">TOTAL BORDEREAU </t>
  </si>
  <si>
    <t>CUMUL BORDEREAUX ANTERIEURS</t>
  </si>
  <si>
    <t>TOTAL BORDEREAUX CUMULES</t>
  </si>
  <si>
    <t>Fait à Libreville, le</t>
  </si>
  <si>
    <t>SUIVI BUDGETAIRE</t>
  </si>
  <si>
    <t xml:space="preserve">L'ORDONNATEUR DELEGUE </t>
  </si>
  <si>
    <t>Montant bordereau</t>
  </si>
  <si>
    <t>Cumul bordereau antérieur</t>
  </si>
  <si>
    <t>Cumul</t>
  </si>
  <si>
    <t>EQUAFLIGHT</t>
  </si>
  <si>
    <t>ANNEE</t>
  </si>
  <si>
    <t>EURO</t>
  </si>
  <si>
    <t xml:space="preserve">Libreville, le </t>
  </si>
  <si>
    <t>MVENGUE</t>
  </si>
  <si>
    <t>Facture N° 132</t>
  </si>
  <si>
    <t>SATRAM</t>
  </si>
  <si>
    <t>Facture N° 131</t>
  </si>
  <si>
    <t>D.M.T</t>
  </si>
  <si>
    <t>AFRIJET</t>
  </si>
  <si>
    <r>
      <t xml:space="preserve">Certifie sincère et veritable la présente facture s'élèvant à la somme de:  </t>
    </r>
    <r>
      <rPr>
        <b/>
        <i/>
        <sz val="10"/>
        <color theme="1"/>
        <rFont val="Arial Narrow"/>
        <family val="2"/>
      </rPr>
      <t>CENT TRENTE CINQ MILLE</t>
    </r>
    <r>
      <rPr>
        <b/>
        <i/>
        <sz val="10.5"/>
        <color theme="1"/>
        <rFont val="Arial Narrow"/>
        <family val="2"/>
      </rPr>
      <t xml:space="preserve"> (135</t>
    </r>
    <r>
      <rPr>
        <b/>
        <i/>
        <sz val="11"/>
        <color theme="1"/>
        <rFont val="Arial Narrow"/>
        <family val="2"/>
      </rPr>
      <t xml:space="preserve"> 000 </t>
    </r>
    <r>
      <rPr>
        <b/>
        <i/>
        <sz val="10.5"/>
        <color theme="1"/>
        <rFont val="Arial Narrow"/>
        <family val="2"/>
      </rPr>
      <t>)francs CFA</t>
    </r>
  </si>
  <si>
    <t>TMAH</t>
  </si>
  <si>
    <t>FACTURATION DES PRESTATIONS D'INFORMATION A L'AEROPORT DE PORT-GENTIL</t>
  </si>
  <si>
    <t>N°Ordre</t>
  </si>
  <si>
    <t>Cie</t>
  </si>
  <si>
    <t>Période</t>
  </si>
  <si>
    <t>N°Facture</t>
  </si>
  <si>
    <t>Montant prestation facturée</t>
  </si>
  <si>
    <t>Part VELOMID 60%</t>
  </si>
  <si>
    <t>Part ASECNA 40%</t>
  </si>
  <si>
    <t>Nbre d'annonces point "i"</t>
  </si>
  <si>
    <t>REPORT</t>
  </si>
  <si>
    <t>SITE : PORT - GENTIL</t>
  </si>
  <si>
    <t>N° BDR</t>
  </si>
  <si>
    <t>N°BDR</t>
  </si>
  <si>
    <t>REPORT 2</t>
  </si>
  <si>
    <t>DIVERS</t>
  </si>
  <si>
    <t>REPORT 3</t>
  </si>
  <si>
    <t xml:space="preserve">TOTAL </t>
  </si>
  <si>
    <r>
      <t xml:space="preserve">Certifie sincère et veritable la présente facture s'élèvant à la somme de:  </t>
    </r>
    <r>
      <rPr>
        <b/>
        <i/>
        <sz val="10.5"/>
        <color theme="1"/>
        <rFont val="Arial Narrow"/>
        <family val="2"/>
      </rPr>
      <t>SOIXANTE QUINZE</t>
    </r>
    <r>
      <rPr>
        <b/>
        <i/>
        <sz val="10"/>
        <color theme="1"/>
        <rFont val="Arial Narrow"/>
        <family val="2"/>
      </rPr>
      <t xml:space="preserve"> MILLE</t>
    </r>
    <r>
      <rPr>
        <b/>
        <i/>
        <sz val="10.5"/>
        <color theme="1"/>
        <rFont val="Arial Narrow"/>
        <family val="2"/>
      </rPr>
      <t xml:space="preserve"> (75</t>
    </r>
    <r>
      <rPr>
        <b/>
        <i/>
        <sz val="11"/>
        <color theme="1"/>
        <rFont val="Arial Narrow"/>
        <family val="2"/>
      </rPr>
      <t xml:space="preserve"> 000 </t>
    </r>
    <r>
      <rPr>
        <b/>
        <i/>
        <sz val="10.5"/>
        <color theme="1"/>
        <rFont val="Arial Narrow"/>
        <family val="2"/>
      </rPr>
      <t>)francs CFA</t>
    </r>
  </si>
  <si>
    <t xml:space="preserve">Délivrance de Badgets de Sureté </t>
  </si>
  <si>
    <t>Série n°</t>
  </si>
  <si>
    <t>JEAN PAMBO BOUASSA</t>
  </si>
  <si>
    <t>Objet: Annonces au point "I" sur Bandes d'enregistrement</t>
  </si>
  <si>
    <t>LIBREVILLE</t>
  </si>
  <si>
    <t>N°</t>
  </si>
  <si>
    <t>TOTAL</t>
  </si>
  <si>
    <t>PORT-GENTIL</t>
  </si>
  <si>
    <t xml:space="preserve">pour  la Gestion des Activités Aéronautiques </t>
  </si>
  <si>
    <t xml:space="preserve"> Nationales du Gabon </t>
  </si>
  <si>
    <t xml:space="preserve">pour  la Gestion des Activités Aéronautiques  </t>
  </si>
  <si>
    <t xml:space="preserve">Nationales du Gabon </t>
  </si>
  <si>
    <t>Serie:</t>
  </si>
  <si>
    <r>
      <t xml:space="preserve">      </t>
    </r>
    <r>
      <rPr>
        <b/>
        <u/>
        <sz val="14"/>
        <rFont val="Arial Narrow"/>
        <family val="2"/>
      </rPr>
      <t>Jean PAMBO BOUASSA</t>
    </r>
  </si>
  <si>
    <t>Série:</t>
  </si>
  <si>
    <t>MEGNE M'ASSOGHO Jimmy</t>
  </si>
  <si>
    <t>Du 26 au 30/06/2015</t>
  </si>
  <si>
    <t>Du 26 au 28/06/2015</t>
  </si>
  <si>
    <t>Du 27 au 30/06/2015</t>
  </si>
  <si>
    <t>NZANG NGUEMA Agnés</t>
  </si>
  <si>
    <t xml:space="preserve">Autres </t>
  </si>
  <si>
    <t xml:space="preserve">   pour  la Gestion des Activités Aéronautiques </t>
  </si>
  <si>
    <t>Libreville</t>
  </si>
  <si>
    <r>
      <t xml:space="preserve">EXERCICE: </t>
    </r>
    <r>
      <rPr>
        <b/>
        <sz val="12"/>
        <color theme="1"/>
        <rFont val="Times New Roman"/>
        <family val="1"/>
      </rPr>
      <t>2015</t>
    </r>
  </si>
  <si>
    <t>LAMBARENE</t>
  </si>
  <si>
    <t>Du 24 au 31/07/2015</t>
  </si>
  <si>
    <t>Du 25 au 28/07/2015</t>
  </si>
  <si>
    <t>Du 24au 31/07/2015</t>
  </si>
  <si>
    <t>EQUAFLIHT</t>
  </si>
  <si>
    <t xml:space="preserve">BORDEREAU D'EMISSION DES BANDES D'ENREGISTREMENTS 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</si>
  <si>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sept cent huit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</si>
  <si>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045</t>
    </r>
  </si>
  <si>
    <r>
      <t xml:space="preserve"> </t>
    </r>
    <r>
      <rPr>
        <sz val="12"/>
        <color theme="1"/>
        <rFont val="Times New Roman"/>
        <family val="1"/>
      </rPr>
      <t>Bordereau N°</t>
    </r>
    <r>
      <rPr>
        <b/>
        <sz val="12"/>
        <color theme="1"/>
        <rFont val="Times New Roman"/>
        <family val="1"/>
      </rPr>
      <t xml:space="preserve">: </t>
    </r>
    <r>
      <rPr>
        <b/>
        <sz val="13"/>
        <color theme="1"/>
        <rFont val="Times New Roman"/>
        <family val="1"/>
      </rPr>
      <t>044</t>
    </r>
  </si>
  <si>
    <t>Du 01 au 09/08/2015</t>
  </si>
  <si>
    <t>Du 02 au 10/08/2016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</si>
  <si>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 Deux cent dix  mille francs.CFA</t>
    </r>
  </si>
  <si>
    <t>Du 19 au 25/06/2015</t>
  </si>
  <si>
    <t>Du 20 au 22/06/2015</t>
  </si>
  <si>
    <t>Du 20 au 23/06/2015</t>
  </si>
  <si>
    <r>
      <t xml:space="preserve"> </t>
    </r>
    <r>
      <rPr>
        <sz val="12"/>
        <color theme="1"/>
        <rFont val="Times New Roman"/>
        <family val="1"/>
      </rPr>
      <t>Bordereau N°</t>
    </r>
    <r>
      <rPr>
        <b/>
        <sz val="12"/>
        <color theme="1"/>
        <rFont val="Times New Roman"/>
        <family val="1"/>
      </rPr>
      <t xml:space="preserve">: </t>
    </r>
    <r>
      <rPr>
        <b/>
        <sz val="13"/>
        <color theme="1"/>
        <rFont val="Times New Roman"/>
        <family val="1"/>
      </rPr>
      <t>0031</t>
    </r>
  </si>
  <si>
    <t>710-718</t>
  </si>
  <si>
    <t>Du 07 au 08/06/2015</t>
  </si>
  <si>
    <t>Du 05 au 08/06/2015</t>
  </si>
  <si>
    <t>Du 05 au 10/06/2015</t>
  </si>
  <si>
    <r>
      <t xml:space="preserve"> Bordereau N°: </t>
    </r>
    <r>
      <rPr>
        <b/>
        <sz val="13"/>
        <color theme="1"/>
        <rFont val="Times New Roman"/>
        <family val="1"/>
      </rPr>
      <t>032</t>
    </r>
  </si>
  <si>
    <t>Du 12 au 17/06/2015</t>
  </si>
  <si>
    <t>Du 01 au 11/06/2015</t>
  </si>
  <si>
    <t>Du 01 au 10/06/2015</t>
  </si>
  <si>
    <t>Du 02 au 09/06/2015</t>
  </si>
  <si>
    <r>
      <t xml:space="preserve"> </t>
    </r>
    <r>
      <rPr>
        <sz val="12"/>
        <color theme="1"/>
        <rFont val="Times New Roman"/>
        <family val="1"/>
      </rPr>
      <t>Bordereau N°</t>
    </r>
    <r>
      <rPr>
        <b/>
        <sz val="12"/>
        <color theme="1"/>
        <rFont val="Times New Roman"/>
        <family val="1"/>
      </rPr>
      <t xml:space="preserve">: </t>
    </r>
    <r>
      <rPr>
        <b/>
        <sz val="13"/>
        <color theme="1"/>
        <rFont val="Times New Roman"/>
        <family val="1"/>
      </rPr>
      <t>033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</si>
  <si>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Cent quarante mille francs.CFA</t>
    </r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</si>
  <si>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 Un million cent quarante huit mille francs.CFA</t>
    </r>
  </si>
  <si>
    <t>BORDEREAU D'EMISSION DES BANDES D'ENREGISTREMENTS &amp; CONVENTION DOMANIALE</t>
  </si>
  <si>
    <t>REPORT BORDEREAU 18 (1)</t>
  </si>
  <si>
    <t>Du 214au 16/06/2015</t>
  </si>
  <si>
    <t>Du 12 au 18/06/2015</t>
  </si>
  <si>
    <t>Du 01 au 05/06/2015</t>
  </si>
  <si>
    <t>Du 13 au 16/06/2015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</si>
  <si>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Deux millions cinq cent onze mille deux cent francs.CFA</t>
    </r>
  </si>
  <si>
    <r>
      <t xml:space="preserve"> Bordereau N°: </t>
    </r>
    <r>
      <rPr>
        <b/>
        <sz val="13"/>
        <color theme="1"/>
        <rFont val="Times New Roman"/>
        <family val="1"/>
      </rPr>
      <t>034</t>
    </r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</si>
  <si>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  francs.CFA</t>
    </r>
  </si>
  <si>
    <t>Du 22 au 30/06/2015</t>
  </si>
  <si>
    <t>Du 26 au 29/06/2015</t>
  </si>
  <si>
    <t>Du 01 au 10/07/2015</t>
  </si>
  <si>
    <t>Du 01 au 09/07/2015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</si>
  <si>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Quatre cent vingt mille  francs.CFA</t>
    </r>
  </si>
  <si>
    <r>
      <t xml:space="preserve"> </t>
    </r>
    <r>
      <rPr>
        <sz val="12"/>
        <color theme="1"/>
        <rFont val="Times New Roman"/>
        <family val="1"/>
      </rPr>
      <t>Bordereau N°</t>
    </r>
    <r>
      <rPr>
        <b/>
        <sz val="12"/>
        <color theme="1"/>
        <rFont val="Times New Roman"/>
        <family val="1"/>
      </rPr>
      <t xml:space="preserve">: </t>
    </r>
    <r>
      <rPr>
        <b/>
        <sz val="13"/>
        <color theme="1"/>
        <rFont val="Times New Roman"/>
        <family val="1"/>
      </rPr>
      <t>035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</si>
  <si>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deux cent quarante-six 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</si>
  <si>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036</t>
    </r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</si>
  <si>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Un million cinquante mille  francs.CFA</t>
    </r>
  </si>
  <si>
    <r>
      <t xml:space="preserve"> </t>
    </r>
    <r>
      <rPr>
        <sz val="12"/>
        <color theme="1"/>
        <rFont val="Times New Roman"/>
        <family val="1"/>
      </rPr>
      <t>Bordereau N°</t>
    </r>
    <r>
      <rPr>
        <b/>
        <sz val="12"/>
        <color theme="1"/>
        <rFont val="Times New Roman"/>
        <family val="1"/>
      </rPr>
      <t xml:space="preserve">: </t>
    </r>
    <r>
      <rPr>
        <b/>
        <sz val="13"/>
        <color theme="1"/>
        <rFont val="Times New Roman"/>
        <family val="1"/>
      </rPr>
      <t>037</t>
    </r>
  </si>
  <si>
    <t xml:space="preserve">BORDEREAU D'EMISSION DES CONVENTIONS DOMANIALES </t>
  </si>
  <si>
    <t xml:space="preserve"> 01/05 au 31/12/2015</t>
  </si>
  <si>
    <t>OYEM</t>
  </si>
  <si>
    <t>MOUILA</t>
  </si>
  <si>
    <t>01/07 au 31/12/2015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</si>
  <si>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Sept cent soixante 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</si>
  <si>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038</t>
    </r>
  </si>
  <si>
    <t>Du 01 au 09/07/2016</t>
  </si>
  <si>
    <t>Du 04 au 0/07/2016</t>
  </si>
  <si>
    <t>Du 01 au 07/07/2016</t>
  </si>
  <si>
    <r>
      <t xml:space="preserve"> Bordereau N°: </t>
    </r>
    <r>
      <rPr>
        <b/>
        <sz val="13"/>
        <color theme="1"/>
        <rFont val="Times New Roman"/>
        <family val="1"/>
      </rPr>
      <t>046</t>
    </r>
  </si>
  <si>
    <t>Du 12 au 19/08/2015</t>
  </si>
  <si>
    <t>Du 10 au 17/08/2016</t>
  </si>
  <si>
    <t>Du 14 au 19/08/2015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</si>
  <si>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Deux cent cinquante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</si>
  <si>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047</t>
    </r>
  </si>
  <si>
    <t xml:space="preserve">BORDEREAU D'EMISSION DES BANQUES D'ENREGISTREMENT </t>
  </si>
  <si>
    <t>Du 07 au 13/08/2015</t>
  </si>
  <si>
    <t>TROPICAL AI R</t>
  </si>
  <si>
    <t>Du 07 au 11/08/2015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</si>
  <si>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0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Un million deux cent dix-huit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</si>
  <si>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048</t>
    </r>
  </si>
  <si>
    <t>Du 14 au 20/08/2015</t>
  </si>
  <si>
    <t>Du 15 au 20/08/2015</t>
  </si>
  <si>
    <t>Du 18 au 22/08/2015</t>
  </si>
  <si>
    <r>
      <t xml:space="preserve"> Bordereau N°: </t>
    </r>
    <r>
      <rPr>
        <b/>
        <sz val="13"/>
        <color theme="1"/>
        <rFont val="Times New Roman"/>
        <family val="1"/>
      </rPr>
      <t>049</t>
    </r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</si>
  <si>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0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Un million cent soixante deux mille francs.CFA</t>
    </r>
  </si>
  <si>
    <t>Du 01 au 04/08/2015</t>
  </si>
  <si>
    <t>Du 02 au 06/08/2015</t>
  </si>
  <si>
    <t>Du 01 au 06/08/2015</t>
  </si>
  <si>
    <t>Du 01 au 05/08/2015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</si>
  <si>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0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Neuf cent quatre-vingt-dix quatorze mille francs.CFA</t>
    </r>
  </si>
  <si>
    <t>Du 09 au 13/08/2015</t>
  </si>
  <si>
    <r>
      <t xml:space="preserve"> Bordereau N°: </t>
    </r>
    <r>
      <rPr>
        <b/>
        <sz val="13"/>
        <color theme="1"/>
        <rFont val="Times New Roman"/>
        <family val="1"/>
      </rPr>
      <t>050</t>
    </r>
  </si>
  <si>
    <t>Du 18 au 26/08/2015</t>
  </si>
  <si>
    <t>Du 21 au 26/08/2016</t>
  </si>
  <si>
    <t>De Jancier à Juillet 2015</t>
  </si>
  <si>
    <t>MINISTERE DES TRANSPORTS</t>
  </si>
  <si>
    <t>ANAC</t>
  </si>
  <si>
    <t>Du Janvier à Juillet 2015</t>
  </si>
  <si>
    <t>Le Délégué du Directeur Générale de l'ASECNA</t>
  </si>
  <si>
    <r>
      <t xml:space="preserve">Certifie sincère  la présente facture  à la somme de: </t>
    </r>
    <r>
      <rPr>
        <sz val="10.5"/>
        <color theme="1"/>
        <rFont val="Arial Narrow"/>
        <family val="2"/>
      </rPr>
      <t xml:space="preserve">Deux millions  cent quarante mille  cent vingt huit   </t>
    </r>
    <r>
      <rPr>
        <b/>
        <sz val="10.5"/>
        <color theme="1"/>
        <rFont val="Arial Narrow"/>
        <family val="2"/>
      </rPr>
      <t>(2 140 128)F.CFA</t>
    </r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</si>
  <si>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Six millions cinq cent quatre vingt dix mille trois cent quatre vingt quatre</t>
    </r>
    <r>
      <rPr>
        <b/>
        <i/>
        <sz val="11"/>
        <color theme="1"/>
        <rFont val="Times New Roman"/>
        <family val="1"/>
      </rPr>
      <t xml:space="preserve">  francs.CFA</t>
    </r>
  </si>
  <si>
    <t>BORDEREAU D'EMISSION DE BANQUES D'ENREGISTREMENT &amp; FRAIS GENERAUX</t>
  </si>
  <si>
    <r>
      <t xml:space="preserve"> Bordereau N°: </t>
    </r>
    <r>
      <rPr>
        <b/>
        <sz val="13"/>
        <color theme="1"/>
        <rFont val="Times New Roman"/>
        <family val="1"/>
      </rPr>
      <t>051</t>
    </r>
  </si>
  <si>
    <t>Du 27au 31/08/2015</t>
  </si>
  <si>
    <t>Du 28 au 31/08/2015</t>
  </si>
  <si>
    <t>Du 21 au 30/08/2015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</si>
  <si>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Deux cent dix mille francs.CFA</t>
    </r>
  </si>
  <si>
    <t xml:space="preserve">BORDEREAU D'EMISSION DE BANQUES D'ENREGISTREMENT </t>
  </si>
  <si>
    <t>Theodore NDONG</t>
  </si>
  <si>
    <t>L'ORDONNATEUR SECONDAIRE</t>
  </si>
  <si>
    <r>
      <t xml:space="preserve"> Bordereau N°: </t>
    </r>
    <r>
      <rPr>
        <b/>
        <sz val="13"/>
        <color theme="1"/>
        <rFont val="Times New Roman"/>
        <family val="1"/>
      </rPr>
      <t>052</t>
    </r>
  </si>
  <si>
    <t>Du 21 au 31/08/2015</t>
  </si>
  <si>
    <t>Du 2au 31/08/2015</t>
  </si>
  <si>
    <t xml:space="preserve">TROPICAL AIR </t>
  </si>
  <si>
    <t>Du 25 au 29/08/2015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</si>
  <si>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Deux millions cent cinquante six mille francs.CFA</t>
    </r>
  </si>
  <si>
    <t>L'ORDONNATEUR SECONDAIRE pi</t>
  </si>
  <si>
    <r>
      <t xml:space="preserve"> Bordereau N°: </t>
    </r>
    <r>
      <rPr>
        <b/>
        <sz val="13"/>
        <color theme="1"/>
        <rFont val="Times New Roman"/>
        <family val="1"/>
      </rPr>
      <t>053</t>
    </r>
  </si>
  <si>
    <t>AFRIC  AVIATION</t>
  </si>
  <si>
    <t>Du 01 au 05/09/2015</t>
  </si>
  <si>
    <t>Du 01 au 06/09/2015</t>
  </si>
  <si>
    <t>Du 02 au 06/09/2015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</si>
  <si>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 Neuf cent dix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</si>
  <si>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054</t>
    </r>
  </si>
  <si>
    <t>BORDEREAU D'EMISSION DE BANQUES D'ENREGISTREMENT &amp; CONVENTIONS DOMANIALES</t>
  </si>
  <si>
    <t>01/08 au 31/12/2015</t>
  </si>
  <si>
    <t>01/09 au 31/12/2015</t>
  </si>
  <si>
    <t>SATGURU TRAVELS</t>
  </si>
  <si>
    <t>NZENGUE NZENGUE</t>
  </si>
  <si>
    <t>Du 02 au 09/09/2015</t>
  </si>
  <si>
    <t>Du 01 au 10/09/2015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</si>
  <si>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Un million six cent cinquante mille  francs.CFA</t>
    </r>
  </si>
  <si>
    <t>CONVENTION DOMANIALE/ BAIL</t>
  </si>
  <si>
    <r>
      <t xml:space="preserve"> Bordereau N°: </t>
    </r>
    <r>
      <rPr>
        <b/>
        <sz val="13"/>
        <color theme="1"/>
        <rFont val="Times New Roman"/>
        <family val="1"/>
      </rPr>
      <t>055</t>
    </r>
  </si>
  <si>
    <t xml:space="preserve">L'ORDONNATEUR SECONDAIRE </t>
  </si>
  <si>
    <r>
      <t xml:space="preserve">     </t>
    </r>
    <r>
      <rPr>
        <b/>
        <u/>
        <sz val="12"/>
        <color theme="1"/>
        <rFont val="Times New Roman"/>
        <family val="1"/>
      </rPr>
      <t>Jean PAMBO BOUASSA</t>
    </r>
  </si>
  <si>
    <t>Du 07 au 12/09/2015</t>
  </si>
  <si>
    <t>Du 08 au 12/09/2015</t>
  </si>
  <si>
    <t>Du 07 au 13/09/2015</t>
  </si>
  <si>
    <t xml:space="preserve"> pour  la Gestion des Activités Aéronautiques </t>
  </si>
  <si>
    <r>
      <t>Liquidé le présent bordereau à la somme de :</t>
    </r>
    <r>
      <rPr>
        <b/>
        <i/>
        <sz val="10.5"/>
        <color theme="1"/>
        <rFont val="Times New Roman"/>
        <family val="1"/>
      </rPr>
      <t xml:space="preserve"> Un million cent quarante huit mille</t>
    </r>
    <r>
      <rPr>
        <b/>
        <i/>
        <sz val="11"/>
        <color theme="1"/>
        <rFont val="Times New Roman"/>
        <family val="1"/>
      </rPr>
      <t xml:space="preserve"> francs.CFA</t>
    </r>
  </si>
  <si>
    <r>
      <t xml:space="preserve"> Bordereau N°: </t>
    </r>
    <r>
      <rPr>
        <b/>
        <sz val="13"/>
        <color theme="1"/>
        <rFont val="Times New Roman"/>
        <family val="1"/>
      </rPr>
      <t>056</t>
    </r>
  </si>
  <si>
    <t>Du 11 au 17/09/2015</t>
  </si>
  <si>
    <t>Du 11 au 16/09/2015</t>
  </si>
  <si>
    <r>
      <t>Liquidé le présent bordereau à la somme de :</t>
    </r>
    <r>
      <rPr>
        <b/>
        <sz val="11"/>
        <color theme="1"/>
        <rFont val="Times New Roman"/>
        <family val="1"/>
      </rPr>
      <t>Cent quatre-vingt mille</t>
    </r>
    <r>
      <rPr>
        <b/>
        <i/>
        <sz val="10.5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francs.CFA</t>
    </r>
  </si>
  <si>
    <r>
      <t xml:space="preserve"> Bordereau N°: </t>
    </r>
    <r>
      <rPr>
        <b/>
        <sz val="13"/>
        <color theme="1"/>
        <rFont val="Times New Roman"/>
        <family val="1"/>
      </rPr>
      <t>057</t>
    </r>
  </si>
  <si>
    <t>Du 14 au 19/09/2015</t>
  </si>
  <si>
    <t>Du 14 au 20/09/2015</t>
  </si>
  <si>
    <t>Du 15 au 20/09/2015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</si>
  <si>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>Un million cent soixante seize mille</t>
    </r>
    <r>
      <rPr>
        <b/>
        <i/>
        <sz val="11"/>
        <color theme="1"/>
        <rFont val="Times New Roman"/>
        <family val="1"/>
      </rPr>
      <t xml:space="preserve"> francs.CFA</t>
    </r>
  </si>
  <si>
    <t>Du 18 au 27/09/2015</t>
  </si>
  <si>
    <t>Du 18 au 26/09/2015</t>
  </si>
  <si>
    <r>
      <t>Liquidé le présent bordereau à la somme de :</t>
    </r>
    <r>
      <rPr>
        <b/>
        <sz val="11"/>
        <color theme="1"/>
        <rFont val="Times New Roman"/>
        <family val="1"/>
      </rPr>
      <t xml:space="preserve">Deux cent soixante mille </t>
    </r>
    <r>
      <rPr>
        <b/>
        <i/>
        <sz val="11"/>
        <color theme="1"/>
        <rFont val="Times New Roman"/>
        <family val="1"/>
      </rPr>
      <t xml:space="preserve"> francs.CFA</t>
    </r>
  </si>
  <si>
    <r>
      <t xml:space="preserve"> Bordereau N°: </t>
    </r>
    <r>
      <rPr>
        <b/>
        <sz val="13"/>
        <color theme="1"/>
        <rFont val="Times New Roman"/>
        <family val="1"/>
      </rPr>
      <t>058</t>
    </r>
  </si>
  <si>
    <r>
      <t xml:space="preserve"> Bordereau N°: </t>
    </r>
    <r>
      <rPr>
        <b/>
        <sz val="13"/>
        <color theme="1"/>
        <rFont val="Times New Roman"/>
        <family val="1"/>
      </rPr>
      <t>059</t>
    </r>
  </si>
  <si>
    <r>
      <t xml:space="preserve"> Bordereau N°: </t>
    </r>
    <r>
      <rPr>
        <b/>
        <sz val="13"/>
        <color theme="1"/>
        <rFont val="Times New Roman"/>
        <family val="1"/>
      </rPr>
      <t>060</t>
    </r>
  </si>
  <si>
    <t>Du 21 au 30/09/2015</t>
  </si>
  <si>
    <t>Du 22 au 29/09/2015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</si>
  <si>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Un million sept cent huit mille  francs.CFA</t>
    </r>
  </si>
  <si>
    <t>Du 27 au 30/09/2015</t>
  </si>
  <si>
    <t>Du 28 au 30/09/2015</t>
  </si>
  <si>
    <t>Du 18 au 30/09/2015</t>
  </si>
  <si>
    <t>Du 29 au 30/09/2015</t>
  </si>
  <si>
    <r>
      <t>Liquidé le présent bordereau à la somme de :</t>
    </r>
    <r>
      <rPr>
        <b/>
        <sz val="11"/>
        <color theme="1"/>
        <rFont val="Times New Roman"/>
        <family val="1"/>
      </rPr>
      <t xml:space="preserve">Cent quarante mille </t>
    </r>
    <r>
      <rPr>
        <b/>
        <i/>
        <sz val="11"/>
        <color theme="1"/>
        <rFont val="Times New Roman"/>
        <family val="1"/>
      </rPr>
      <t xml:space="preserve"> francs.CFA</t>
    </r>
  </si>
  <si>
    <r>
      <t xml:space="preserve"> Bordereau N°: </t>
    </r>
    <r>
      <rPr>
        <b/>
        <sz val="13"/>
        <color theme="1"/>
        <rFont val="Times New Roman"/>
        <family val="1"/>
      </rPr>
      <t>061</t>
    </r>
  </si>
  <si>
    <t>Du 01au 03/10/2015</t>
  </si>
  <si>
    <t>Du 01 au 03/10/2015</t>
  </si>
  <si>
    <t>Du 01 au 04/10/2015</t>
  </si>
  <si>
    <t>Du 01au 04/10/2015</t>
  </si>
  <si>
    <r>
      <t>Liquidé le présent bordereau à la somme de :</t>
    </r>
    <r>
      <rPr>
        <b/>
        <sz val="11"/>
        <color theme="1"/>
        <rFont val="Times New Roman"/>
        <family val="1"/>
      </rPr>
      <t xml:space="preserve">Six cent soixante-douze mille </t>
    </r>
    <r>
      <rPr>
        <b/>
        <i/>
        <sz val="11"/>
        <color theme="1"/>
        <rFont val="Times New Roman"/>
        <family val="1"/>
      </rPr>
      <t xml:space="preserve"> francs.CFA</t>
    </r>
  </si>
  <si>
    <t>De Mai à Septembre 2015</t>
  </si>
  <si>
    <t>ASECNA/DG</t>
  </si>
  <si>
    <t>DE: ASECNA /DEXR/GA/10/AGF/AGFP</t>
  </si>
  <si>
    <t xml:space="preserve">Matricule </t>
  </si>
  <si>
    <t>Noms</t>
  </si>
  <si>
    <t>Prénoms</t>
  </si>
  <si>
    <t>Date de naissane</t>
  </si>
  <si>
    <t>Date de recrutement</t>
  </si>
  <si>
    <t>C.L.</t>
  </si>
  <si>
    <t>Ech</t>
  </si>
  <si>
    <t>Fonction</t>
  </si>
  <si>
    <t>Categorie</t>
  </si>
  <si>
    <t>Montant Total</t>
  </si>
  <si>
    <t>PAMBO BOUASSA</t>
  </si>
  <si>
    <t>Jean</t>
  </si>
  <si>
    <t>D</t>
  </si>
  <si>
    <t>DEXR</t>
  </si>
  <si>
    <t>Visa AGFP</t>
  </si>
  <si>
    <t>Visa AGF</t>
  </si>
  <si>
    <r>
      <t xml:space="preserve">   </t>
    </r>
    <r>
      <rPr>
        <b/>
        <u/>
        <sz val="12"/>
        <color theme="1"/>
        <rFont val="Arial Narrow"/>
        <family val="2"/>
      </rPr>
      <t>Jean PAMBO BOUASSA</t>
    </r>
  </si>
  <si>
    <r>
      <t xml:space="preserve"> Bordereau N°: </t>
    </r>
    <r>
      <rPr>
        <b/>
        <sz val="13"/>
        <color theme="1"/>
        <rFont val="Times New Roman"/>
        <family val="1"/>
      </rPr>
      <t>062</t>
    </r>
  </si>
  <si>
    <t xml:space="preserve">BOUATSIA DINA Micchel </t>
  </si>
  <si>
    <t>De Octobre à Decembre 2015</t>
  </si>
  <si>
    <t>BORDEREAU D'EMISSION DE BANQUES D'ENREGISTREMENT &amp;  CONVENTION DOMANIALE</t>
  </si>
  <si>
    <r>
      <t xml:space="preserve">     </t>
    </r>
    <r>
      <rPr>
        <b/>
        <u/>
        <sz val="12"/>
        <color theme="1"/>
        <rFont val="Times New Roman"/>
        <family val="1"/>
      </rPr>
      <t>Gilbert Faustin MANDAGHA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</si>
  <si>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 millions quatre cent soixante seize mille sept cent  cinq  francs.CFA</t>
    </r>
  </si>
  <si>
    <t xml:space="preserve">AFRIC AVIATION </t>
  </si>
  <si>
    <r>
      <t xml:space="preserve"> Bordereau N°: </t>
    </r>
    <r>
      <rPr>
        <b/>
        <sz val="13"/>
        <color theme="1"/>
        <rFont val="Times New Roman"/>
        <family val="1"/>
      </rPr>
      <t>063</t>
    </r>
  </si>
  <si>
    <r>
      <t xml:space="preserve"> Bordereau N°: </t>
    </r>
    <r>
      <rPr>
        <b/>
        <sz val="13"/>
        <color theme="1"/>
        <rFont val="Times New Roman"/>
        <family val="1"/>
      </rPr>
      <t>064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</si>
  <si>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deux cent quatre mille  francs.CFA</t>
    </r>
  </si>
  <si>
    <t>Du 04 /10/2015</t>
  </si>
  <si>
    <t>Du 02 au 07/10/2015</t>
  </si>
  <si>
    <t>Du 01 au 10/10/2015</t>
  </si>
  <si>
    <t>Du 05 au 11/10/2015</t>
  </si>
  <si>
    <t>Du 06 au 10/10/2015</t>
  </si>
  <si>
    <t>Du 05 au 10/10/2015</t>
  </si>
  <si>
    <t xml:space="preserve">CPTE </t>
  </si>
  <si>
    <t xml:space="preserve">ENGAGEMENT </t>
  </si>
  <si>
    <t xml:space="preserve">DATE </t>
  </si>
  <si>
    <t xml:space="preserve">MONTANT </t>
  </si>
  <si>
    <t xml:space="preserve">OBSERVATION </t>
  </si>
  <si>
    <t>FOURNISSUER</t>
  </si>
  <si>
    <t xml:space="preserve">LOCALISATION </t>
  </si>
  <si>
    <t xml:space="preserve">BOUTIQUE AERO </t>
  </si>
  <si>
    <t xml:space="preserve">France </t>
  </si>
  <si>
    <t>DUREE</t>
  </si>
  <si>
    <t>5 MOIS</t>
  </si>
  <si>
    <t>DESENGAGEMENT DES LE 01/11/2015</t>
  </si>
  <si>
    <t>ELEMENT BLOQUANT</t>
  </si>
  <si>
    <t>Bon de Cde non deposé  n°10824</t>
  </si>
  <si>
    <t>GSA</t>
  </si>
  <si>
    <t>LOCAL</t>
  </si>
  <si>
    <t>DESENGAGEMENT DES LE 01/11/2016</t>
  </si>
  <si>
    <t>BERNABE</t>
  </si>
  <si>
    <t>DESENGAGEMENT DES LE 01/11/2017</t>
  </si>
  <si>
    <t>VERIFIER MAI pour BC déposé</t>
  </si>
  <si>
    <t>13; 17</t>
  </si>
  <si>
    <t xml:space="preserve">GABON MECA </t>
  </si>
  <si>
    <t xml:space="preserve">VOIR RAF </t>
  </si>
  <si>
    <t>4;9</t>
  </si>
  <si>
    <t>2/03 et 25/06/2015</t>
  </si>
  <si>
    <t xml:space="preserve">TOTAL GABON </t>
  </si>
  <si>
    <t xml:space="preserve">VOIR JEROME, EMANE et la structure </t>
  </si>
  <si>
    <t xml:space="preserve">EN ATTENTE </t>
  </si>
  <si>
    <t>Arrivée factures Août  et Septembre 2015</t>
  </si>
  <si>
    <t>CKDO</t>
  </si>
  <si>
    <t>5JOURS</t>
  </si>
  <si>
    <t>REFUS DE SIGNATURE DU PAYEUR</t>
  </si>
  <si>
    <t>1;3</t>
  </si>
  <si>
    <t>23/03 et 10/02/2015</t>
  </si>
  <si>
    <t>CASEPGA/GABOSEP</t>
  </si>
  <si>
    <t xml:space="preserve">JOINDRE LA STRUCTURE </t>
  </si>
  <si>
    <t>ASSOUMOU PATRICE</t>
  </si>
  <si>
    <t>AGENT</t>
  </si>
  <si>
    <t>JOINDRE LE COMMANDANT</t>
  </si>
  <si>
    <t>19;32</t>
  </si>
  <si>
    <t>GLOBE TROTTER</t>
  </si>
  <si>
    <t>VERIFICATION A EFFECTUER</t>
  </si>
  <si>
    <t>RAS</t>
  </si>
  <si>
    <t xml:space="preserve">FACTURES RECUES /RAF </t>
  </si>
  <si>
    <t>SERVICE PROVINCIAL LAMB</t>
  </si>
  <si>
    <t>MAIG</t>
  </si>
  <si>
    <t>EGAFF</t>
  </si>
  <si>
    <t xml:space="preserve">VOIR PAIERIE/ FOURNISSEUR </t>
  </si>
  <si>
    <t>DGDF</t>
  </si>
  <si>
    <t>SENEGAL</t>
  </si>
  <si>
    <t>DELOITTE</t>
  </si>
  <si>
    <t xml:space="preserve">ATTENTE DU RAPPORT </t>
  </si>
  <si>
    <t>22 à 133</t>
  </si>
  <si>
    <t>13/03/2015 au 21/09/2015</t>
  </si>
  <si>
    <t>DIVERSES</t>
  </si>
  <si>
    <t xml:space="preserve">VOIR PAI ET MAI </t>
  </si>
  <si>
    <t>1;2;3;7;8;10</t>
  </si>
  <si>
    <t>09/04/2015 au 15/06/2015</t>
  </si>
  <si>
    <t>structures hospitalières</t>
  </si>
  <si>
    <t>1;4</t>
  </si>
  <si>
    <t>23/03/2015 et 10/02/2015</t>
  </si>
  <si>
    <t>GAPOSEP</t>
  </si>
  <si>
    <t>INQUIETUDE AVEREE</t>
  </si>
  <si>
    <t xml:space="preserve">FONCTIONNEL </t>
  </si>
  <si>
    <t xml:space="preserve">620 TOUS LES MOIS INCLUS </t>
  </si>
  <si>
    <t>9CG</t>
  </si>
  <si>
    <t>ETAT DES C OMPTES EN ATTENTE : 2015</t>
  </si>
  <si>
    <t>Du 08 au 10/10/2015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</si>
  <si>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 Trois cent quarante mille francs.CFA</t>
    </r>
  </si>
  <si>
    <r>
      <t xml:space="preserve">Certifie sincère et veritable la présente situation   s'élèvant à la somme de:  </t>
    </r>
    <r>
      <rPr>
        <b/>
        <i/>
        <sz val="11"/>
        <color theme="1"/>
        <rFont val="Calibri"/>
        <family val="2"/>
        <scheme val="minor"/>
      </rPr>
      <t>Quatre  millions douze  mille huit cent  (4 012 800 )F.CFA</t>
    </r>
  </si>
  <si>
    <t>Montant prestation due de la période de Mai  à septembre 2015</t>
  </si>
  <si>
    <r>
      <t xml:space="preserve"> Bordereau N°: </t>
    </r>
    <r>
      <rPr>
        <b/>
        <sz val="13"/>
        <color theme="1"/>
        <rFont val="Times New Roman"/>
        <family val="1"/>
      </rPr>
      <t>065</t>
    </r>
  </si>
  <si>
    <r>
      <t xml:space="preserve"> Bordereau N°: </t>
    </r>
    <r>
      <rPr>
        <b/>
        <sz val="13"/>
        <color theme="1"/>
        <rFont val="Times New Roman"/>
        <family val="1"/>
      </rPr>
      <t>066</t>
    </r>
  </si>
  <si>
    <t>Du 15 au 16/10/2015</t>
  </si>
  <si>
    <t>Du 14 au 26/10/2015</t>
  </si>
  <si>
    <t>Du 11 au 25/10/2015</t>
  </si>
  <si>
    <t>Du 12 au 17/10/2015</t>
  </si>
  <si>
    <t>Du 12 au 18/10/2015</t>
  </si>
  <si>
    <t>De 12/10/2015</t>
  </si>
  <si>
    <t>Du 13 au 17/10/2015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</si>
  <si>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cent six mille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</si>
  <si>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Cent cinquante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</si>
  <si>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067</t>
    </r>
  </si>
  <si>
    <r>
      <t xml:space="preserve"> Bordereau N°: </t>
    </r>
    <r>
      <rPr>
        <b/>
        <sz val="13"/>
        <color theme="1"/>
        <rFont val="Times New Roman"/>
        <family val="1"/>
      </rPr>
      <t>068</t>
    </r>
  </si>
  <si>
    <t>Du 19 au 31/10/2015</t>
  </si>
  <si>
    <t>Du 16 au 31/10/2015</t>
  </si>
  <si>
    <t>Du 23 au 25/10/2015</t>
  </si>
  <si>
    <t>Du 20 au 31/10/2015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</si>
  <si>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sept cent  cinquante mille  francs.CFA</t>
    </r>
  </si>
  <si>
    <t>Du 22 au 27/10/2015</t>
  </si>
  <si>
    <t>Du 28 au 30/10/2015</t>
  </si>
  <si>
    <t>Du 30/10 au 4/11/2015</t>
  </si>
  <si>
    <t>Du 01 au 04/11/2015</t>
  </si>
  <si>
    <t>Du 01 au 05/11/2015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</si>
  <si>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Trois cent quarante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</si>
  <si>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069</t>
    </r>
  </si>
  <si>
    <t>Du 06 au 09/11/2015</t>
  </si>
  <si>
    <t>Du 06 au 08/11/2015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</si>
  <si>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 Cent dix mille  francs.CFA</t>
    </r>
  </si>
  <si>
    <t>Du 01/07 au 31/12/2015</t>
  </si>
  <si>
    <r>
      <t xml:space="preserve"> Bordereau N°: </t>
    </r>
    <r>
      <rPr>
        <b/>
        <sz val="13"/>
        <color theme="1"/>
        <rFont val="Times New Roman"/>
        <family val="1"/>
      </rPr>
      <t>070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</si>
  <si>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sept cent soixante quatre mille sept cent huit  francs.CFA</t>
    </r>
  </si>
  <si>
    <t>BORDEREAU D'EMISSION DE BANQUES D'ENREGISTREMENT &amp; CONVENTION DOMANIALE</t>
  </si>
  <si>
    <r>
      <t xml:space="preserve"> Bordereau N°: </t>
    </r>
    <r>
      <rPr>
        <b/>
        <sz val="13"/>
        <color theme="1"/>
        <rFont val="Times New Roman"/>
        <family val="1"/>
      </rPr>
      <t>071</t>
    </r>
  </si>
  <si>
    <t>Du 03 au 15/11/2015</t>
  </si>
  <si>
    <t>Du 11 au 13/11/2015</t>
  </si>
  <si>
    <t>Du 11 au 18/11/2015</t>
  </si>
  <si>
    <t>Du 10 au 19/11/2015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</si>
  <si>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Trois cent dix mille  francs.CFA</t>
    </r>
  </si>
  <si>
    <t>BGFIbank SA</t>
  </si>
  <si>
    <r>
      <t xml:space="preserve"> Bordereau N°: </t>
    </r>
    <r>
      <rPr>
        <b/>
        <sz val="13"/>
        <color theme="1"/>
        <rFont val="Times New Roman"/>
        <family val="1"/>
      </rPr>
      <t>072</t>
    </r>
  </si>
  <si>
    <r>
      <t xml:space="preserve"> Bordereau N°: </t>
    </r>
    <r>
      <rPr>
        <b/>
        <sz val="13"/>
        <color theme="1"/>
        <rFont val="Times New Roman"/>
        <family val="1"/>
      </rPr>
      <t>073</t>
    </r>
  </si>
  <si>
    <t xml:space="preserve">LA NATIONALE </t>
  </si>
  <si>
    <r>
      <t xml:space="preserve"> Bordereau N°: </t>
    </r>
    <r>
      <rPr>
        <b/>
        <sz val="13"/>
        <color theme="1"/>
        <rFont val="Times New Roman"/>
        <family val="1"/>
      </rPr>
      <t>074</t>
    </r>
  </si>
  <si>
    <t>Du 03 au 23/11/2015</t>
  </si>
  <si>
    <t>Du 02 au 21/11/2015</t>
  </si>
  <si>
    <t>Du 01 au 22/11/2015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</si>
  <si>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 Trois millions six cent vingt huit mille  francs.CFA</t>
    </r>
  </si>
  <si>
    <t>Du 20 au 28/11/2015</t>
  </si>
  <si>
    <t>Du 20 au 30/11/2015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</si>
  <si>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 Cent soixante-dix mille francs.CFA</t>
    </r>
  </si>
  <si>
    <t>Du 23 au 30/11/2015</t>
  </si>
  <si>
    <t>Du 23 au 28/11/2015</t>
  </si>
  <si>
    <t>Du 24 au 28/11/2015</t>
  </si>
  <si>
    <r>
      <t>Liquidé le présent bordereau à la somme de : Un million trois cent cinquante huit mille</t>
    </r>
    <r>
      <rPr>
        <b/>
        <i/>
        <sz val="11"/>
        <color theme="1"/>
        <rFont val="Times New Roman"/>
        <family val="1"/>
      </rPr>
      <t xml:space="preserve"> francs.CFA</t>
    </r>
  </si>
  <si>
    <t>BORDEREAU D'EMISSION DE FACTURES D'AVOIR</t>
  </si>
  <si>
    <r>
      <t xml:space="preserve"> Bordereau N°: </t>
    </r>
    <r>
      <rPr>
        <b/>
        <sz val="13"/>
        <color theme="1"/>
        <rFont val="Times New Roman"/>
        <family val="1"/>
      </rPr>
      <t>075</t>
    </r>
  </si>
  <si>
    <t xml:space="preserve">ANAC </t>
  </si>
  <si>
    <r>
      <t>Liquidé le présent bordereau à la somme de : Six millions quatre cent vingt mille trois cent quatre-vingt quatre</t>
    </r>
    <r>
      <rPr>
        <b/>
        <i/>
        <sz val="11"/>
        <color theme="1"/>
        <rFont val="Times New Roman"/>
        <family val="1"/>
      </rPr>
      <t xml:space="preserve"> francs.CFA</t>
    </r>
  </si>
  <si>
    <r>
      <t xml:space="preserve"> Bordereau N°: </t>
    </r>
    <r>
      <rPr>
        <b/>
        <sz val="13"/>
        <color theme="1"/>
        <rFont val="Times New Roman"/>
        <family val="1"/>
      </rPr>
      <t>076</t>
    </r>
  </si>
  <si>
    <t>Du 07 au 10/12/ 2015</t>
  </si>
  <si>
    <t>Du 04 au 08/12/ 2015</t>
  </si>
  <si>
    <r>
      <t xml:space="preserve">Liquidé le présent bordereau à la somme de : Soixante dix mille </t>
    </r>
    <r>
      <rPr>
        <b/>
        <i/>
        <sz val="11"/>
        <color theme="1"/>
        <rFont val="Times New Roman"/>
        <family val="1"/>
      </rPr>
      <t>francs.CFA</t>
    </r>
  </si>
  <si>
    <r>
      <t xml:space="preserve"> Bordereau N°: </t>
    </r>
    <r>
      <rPr>
        <b/>
        <sz val="13"/>
        <color theme="1"/>
        <rFont val="Times New Roman"/>
        <family val="1"/>
      </rPr>
      <t>077</t>
    </r>
  </si>
  <si>
    <t>Du 11 au 14/12/ 2015</t>
  </si>
  <si>
    <t>Du 09 au 18/12/ 2015</t>
  </si>
  <si>
    <t>Du 09 au 16/12/ 2015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</si>
  <si>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Cent quatre-vingt 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</si>
  <si>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078</t>
    </r>
  </si>
  <si>
    <t>Du 01 au 05/12/ 2015</t>
  </si>
  <si>
    <t>Du 01 au 06/12/ 2015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</si>
  <si>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Un million soixante-quatre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</si>
  <si>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079</t>
    </r>
  </si>
  <si>
    <t>Du 07 au 18/12/ 2015</t>
  </si>
  <si>
    <t>Du 07 au 13/12/ 2015</t>
  </si>
  <si>
    <t>Du 05 au 12/12/ 2015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</si>
  <si>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Un million trois cent seize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</si>
  <si>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080</t>
    </r>
  </si>
  <si>
    <r>
      <t xml:space="preserve"> Bordereau N°: </t>
    </r>
    <r>
      <rPr>
        <b/>
        <sz val="13"/>
        <color theme="1"/>
        <rFont val="Times New Roman"/>
        <family val="1"/>
      </rPr>
      <t>081</t>
    </r>
  </si>
  <si>
    <t>Du 14 au 19/12/ 2015</t>
  </si>
  <si>
    <t>Du 14 au 20/12/ 2015</t>
  </si>
  <si>
    <t>Du 15 au 19/12/ 2015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</si>
  <si>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Un million cent quatre-vingt-dix mille francs.CFA</t>
    </r>
  </si>
  <si>
    <t>Du 29 au 06/12/ 2015</t>
  </si>
  <si>
    <t>Du 15 au 18/12/ 2015</t>
  </si>
  <si>
    <t>Du 20 au 24/12/ 2015</t>
  </si>
  <si>
    <r>
      <t>Liquidé le présent bordereau à la somme de :</t>
    </r>
    <r>
      <rPr>
        <b/>
        <sz val="11"/>
        <color theme="1"/>
        <rFont val="Times New Roman"/>
        <family val="1"/>
      </rPr>
      <t>Deux cent soixante-dix</t>
    </r>
    <r>
      <rPr>
        <b/>
        <i/>
        <sz val="11"/>
        <color theme="1"/>
        <rFont val="Times New Roman"/>
        <family val="1"/>
      </rPr>
      <t xml:space="preserve"> mille francs.CFA</t>
    </r>
  </si>
  <si>
    <t>Du 02 au 07/12/ 2015</t>
  </si>
  <si>
    <t>Du 16 au 21/12/ 2015</t>
  </si>
  <si>
    <t>Du 22 au 22/12/ 2015</t>
  </si>
  <si>
    <r>
      <t xml:space="preserve"> Bordereau N°: </t>
    </r>
    <r>
      <rPr>
        <b/>
        <sz val="13"/>
        <color theme="1"/>
        <rFont val="Times New Roman"/>
        <family val="1"/>
      </rPr>
      <t>082</t>
    </r>
  </si>
  <si>
    <t>Du 24 au 28/12/ 2015</t>
  </si>
  <si>
    <t>Du 24 au 27/12/ 2015</t>
  </si>
  <si>
    <t>Du 18 au 29/12/ 2015</t>
  </si>
  <si>
    <t>Du 23 au 28/12/ 2015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</si>
  <si>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Deux cent quatre-vingt mille francs.CFA</t>
    </r>
  </si>
  <si>
    <t>Du 21 au 28/12/ 2015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</si>
  <si>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Un million deux cent quarante six mille francs.CFA</t>
    </r>
  </si>
  <si>
    <r>
      <t xml:space="preserve"> Bordereau N°: </t>
    </r>
    <r>
      <rPr>
        <b/>
        <sz val="13"/>
        <color theme="1"/>
        <rFont val="Times New Roman"/>
        <family val="1"/>
      </rPr>
      <t>083</t>
    </r>
  </si>
  <si>
    <t>Du 02 au 04/01/2016</t>
  </si>
  <si>
    <t>Du 29 au 31/12/2015</t>
  </si>
  <si>
    <t>Du 01 au 02/01/2016</t>
  </si>
  <si>
    <t>Du 01 au 03/01/2016</t>
  </si>
  <si>
    <t>Du 02 au 03/01/2016</t>
  </si>
  <si>
    <r>
      <t xml:space="preserve"> Bordereau N°: </t>
    </r>
    <r>
      <rPr>
        <b/>
        <sz val="13"/>
        <color theme="1"/>
        <rFont val="Times New Roman"/>
        <family val="1"/>
      </rPr>
      <t>001</t>
    </r>
  </si>
  <si>
    <t>EXERCICE: 2016</t>
  </si>
  <si>
    <r>
      <t xml:space="preserve"> Bordereau N°: </t>
    </r>
    <r>
      <rPr>
        <b/>
        <sz val="13"/>
        <color theme="1"/>
        <rFont val="Times New Roman"/>
        <family val="1"/>
      </rPr>
      <t>002</t>
    </r>
  </si>
  <si>
    <t>Du 01 au 06/01/2016</t>
  </si>
  <si>
    <t>Du 03 au 06/01/2016</t>
  </si>
  <si>
    <r>
      <t xml:space="preserve"> Bordereau N°: </t>
    </r>
    <r>
      <rPr>
        <b/>
        <sz val="13"/>
        <color theme="1"/>
        <rFont val="Times New Roman"/>
        <family val="1"/>
      </rPr>
      <t>003</t>
    </r>
  </si>
  <si>
    <r>
      <t xml:space="preserve"> Bordereau N°: </t>
    </r>
    <r>
      <rPr>
        <b/>
        <sz val="13"/>
        <color theme="1"/>
        <rFont val="Times New Roman"/>
        <family val="1"/>
      </rPr>
      <t>004</t>
    </r>
  </si>
  <si>
    <r>
      <t>Liquidé le présent bordereau à la somme de :</t>
    </r>
    <r>
      <rPr>
        <b/>
        <sz val="11"/>
        <color theme="1"/>
        <rFont val="Times New Roman"/>
        <family val="1"/>
      </rPr>
      <t xml:space="preserve">Cent quatre-vingt  mille </t>
    </r>
    <r>
      <rPr>
        <b/>
        <i/>
        <sz val="11"/>
        <color theme="1"/>
        <rFont val="Times New Roman"/>
        <family val="1"/>
      </rPr>
      <t xml:space="preserve"> francs.CFA</t>
    </r>
  </si>
  <si>
    <t>Du 02 /01/2016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</si>
  <si>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Deux cent quatre-vingt quatorze  mille </t>
    </r>
    <r>
      <rPr>
        <b/>
        <i/>
        <sz val="11"/>
        <color theme="1"/>
        <rFont val="Times New Roman"/>
        <family val="1"/>
      </rPr>
      <t xml:space="preserve"> francs.CFA</t>
    </r>
  </si>
  <si>
    <r>
      <t xml:space="preserve"> Bordereau N°: </t>
    </r>
    <r>
      <rPr>
        <b/>
        <sz val="13"/>
        <color theme="1"/>
        <rFont val="Times New Roman"/>
        <family val="1"/>
      </rPr>
      <t>085</t>
    </r>
  </si>
  <si>
    <t>001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</si>
  <si>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Cinq cent dix huit mille francs.CFA</t>
    </r>
  </si>
  <si>
    <t>002</t>
  </si>
  <si>
    <t>003</t>
  </si>
  <si>
    <t>004</t>
  </si>
  <si>
    <t>005</t>
  </si>
  <si>
    <t>006</t>
  </si>
  <si>
    <t>007</t>
  </si>
  <si>
    <t>008</t>
  </si>
  <si>
    <t>009</t>
  </si>
  <si>
    <t>AVANTIS AVIATION ET SERVICES</t>
  </si>
  <si>
    <t>Du 01/01 au 31/12/2016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</si>
  <si>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Sept millions six cent vingt trois  mille </t>
    </r>
    <r>
      <rPr>
        <b/>
        <i/>
        <sz val="11"/>
        <color theme="1"/>
        <rFont val="Times New Roman"/>
        <family val="1"/>
      </rPr>
      <t xml:space="preserve"> francs.CFA</t>
    </r>
  </si>
  <si>
    <t>Gilbert Faustin MANDAGHA</t>
  </si>
  <si>
    <t>Du 04 au 10/01/2016</t>
  </si>
  <si>
    <t>Du 05 /01/2016</t>
  </si>
  <si>
    <t>PAX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</si>
  <si>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Un million  cent six  mille </t>
    </r>
    <r>
      <rPr>
        <b/>
        <i/>
        <sz val="11"/>
        <color theme="1"/>
        <rFont val="Times New Roman"/>
        <family val="1"/>
      </rPr>
      <t xml:space="preserve"> francs.CFA</t>
    </r>
  </si>
  <si>
    <t>pax</t>
  </si>
  <si>
    <r>
      <t xml:space="preserve"> Bordereau N°: </t>
    </r>
    <r>
      <rPr>
        <b/>
        <sz val="13"/>
        <color theme="1"/>
        <rFont val="Times New Roman"/>
        <family val="1"/>
      </rPr>
      <t>005</t>
    </r>
  </si>
  <si>
    <t>15</t>
  </si>
  <si>
    <t>Du 07 au 12/01/2016</t>
  </si>
  <si>
    <t>Du 08 au 13/01/2016</t>
  </si>
  <si>
    <t>Du 12 au 120/01/2016</t>
  </si>
  <si>
    <t>Du 15 au 20/01/2016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</si>
  <si>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Deux cent quatre-vingt-dix  mille </t>
    </r>
    <r>
      <rPr>
        <b/>
        <i/>
        <sz val="11"/>
        <color theme="1"/>
        <rFont val="Times New Roman"/>
        <family val="1"/>
      </rPr>
      <t xml:space="preserve"> francs.CFA</t>
    </r>
  </si>
  <si>
    <r>
      <t xml:space="preserve"> Bordereau N°: </t>
    </r>
    <r>
      <rPr>
        <b/>
        <sz val="13"/>
        <color theme="1"/>
        <rFont val="Times New Roman"/>
        <family val="1"/>
      </rPr>
      <t>006</t>
    </r>
  </si>
  <si>
    <t xml:space="preserve"> Bordereau N°: </t>
  </si>
  <si>
    <r>
      <t xml:space="preserve"> Bordereau N°: </t>
    </r>
    <r>
      <rPr>
        <b/>
        <sz val="13"/>
        <color theme="1"/>
        <rFont val="Times New Roman"/>
        <family val="1"/>
      </rPr>
      <t>009</t>
    </r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</si>
  <si>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</si>
  <si>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</si>
  <si>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</si>
  <si>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</si>
  <si>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</si>
  <si>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</si>
  <si>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</si>
  <si>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</si>
  <si>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</si>
  <si>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</si>
  <si>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Du 21 au 27/01/2016</t>
  </si>
  <si>
    <t>Du 22 au 27/01/2016</t>
  </si>
  <si>
    <t>Du 15 au 27/01/2016</t>
  </si>
  <si>
    <t>Du 28 au 31/01/2016</t>
  </si>
  <si>
    <t>Du 29 au 31/01/2016</t>
  </si>
  <si>
    <t>Du 01 au 10/01/2016</t>
  </si>
  <si>
    <r>
      <t xml:space="preserve"> Bordereau N°: </t>
    </r>
    <r>
      <rPr>
        <b/>
        <sz val="13"/>
        <color theme="1"/>
        <rFont val="Times New Roman"/>
        <family val="1"/>
      </rPr>
      <t>010</t>
    </r>
  </si>
  <si>
    <t>030</t>
  </si>
  <si>
    <t>031</t>
  </si>
  <si>
    <t>032</t>
  </si>
  <si>
    <t>033</t>
  </si>
  <si>
    <t>Du 04 au 16/01/2016</t>
  </si>
  <si>
    <t>Du 11 au 17/01/2016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</si>
  <si>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Deux cent soixante-dix  mille </t>
    </r>
    <r>
      <rPr>
        <b/>
        <i/>
        <sz val="11"/>
        <color theme="1"/>
        <rFont val="Times New Roman"/>
        <family val="1"/>
      </rPr>
      <t xml:space="preserve"> francs.CFA</t>
    </r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</si>
  <si>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Trois cent soixante mille </t>
    </r>
    <r>
      <rPr>
        <b/>
        <i/>
        <sz val="11"/>
        <color theme="1"/>
        <rFont val="Times New Roman"/>
        <family val="1"/>
      </rPr>
      <t xml:space="preserve"> francs.CFA</t>
    </r>
  </si>
  <si>
    <t>034</t>
  </si>
  <si>
    <t>035</t>
  </si>
  <si>
    <t>036</t>
  </si>
  <si>
    <t>037</t>
  </si>
  <si>
    <t>Du 18 au 24/01/2016</t>
  </si>
  <si>
    <t>Du 19 au 23/01/2016</t>
  </si>
  <si>
    <t>Du 18 au 21/01/2016</t>
  </si>
  <si>
    <r>
      <t xml:space="preserve"> Bordereau N°: </t>
    </r>
    <r>
      <rPr>
        <b/>
        <sz val="13"/>
        <color theme="1"/>
        <rFont val="Times New Roman"/>
        <family val="1"/>
      </rPr>
      <t>011</t>
    </r>
  </si>
  <si>
    <t>038</t>
  </si>
  <si>
    <t>039</t>
  </si>
  <si>
    <t>040</t>
  </si>
  <si>
    <t>041</t>
  </si>
  <si>
    <t>042</t>
  </si>
  <si>
    <t>Du 27 au 29/01/2016</t>
  </si>
  <si>
    <t>Du 25 au 31/01/2016</t>
  </si>
  <si>
    <t>Du 26 au 31/01/2016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</si>
  <si>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Un million deux cent quarante-six mille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</si>
  <si>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Un million deux cent soixante mille  francs.CFA</t>
    </r>
  </si>
  <si>
    <t>043</t>
  </si>
  <si>
    <t>044</t>
  </si>
  <si>
    <t>045</t>
  </si>
  <si>
    <t>046</t>
  </si>
  <si>
    <t>Du 01 au 06/02/2016</t>
  </si>
  <si>
    <t>Du 01 au 07/02/2016</t>
  </si>
  <si>
    <t>Du 01 au 05/02/2016</t>
  </si>
  <si>
    <t xml:space="preserve"> Nationales du Gabon</t>
  </si>
  <si>
    <r>
      <t xml:space="preserve">         </t>
    </r>
    <r>
      <rPr>
        <b/>
        <u/>
        <sz val="14"/>
        <rFont val="Arial Narrow"/>
        <family val="2"/>
      </rPr>
      <t>Jean PAMBO BOUASSA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</si>
  <si>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Un million huit mille   francs.CFA</t>
    </r>
  </si>
  <si>
    <t>Facture N° 046</t>
  </si>
  <si>
    <r>
      <rPr>
        <i/>
        <sz val="10"/>
        <color theme="1"/>
        <rFont val="Arial Narrow"/>
        <family val="2"/>
      </rPr>
      <t xml:space="preserve">Certifie sincère et veritable la présente facture s'élèvant à la somme </t>
    </r>
    <r>
      <rPr>
        <i/>
        <sz val="10.5"/>
        <color theme="1"/>
        <rFont val="Arial Narrow"/>
        <family val="2"/>
      </rPr>
      <t>de:</t>
    </r>
    <r>
      <rPr>
        <b/>
        <i/>
        <sz val="10.5"/>
        <color theme="1"/>
        <rFont val="Arial Narrow"/>
        <family val="2"/>
      </rPr>
      <t xml:space="preserve"> CINQ CENT SOIXANTE MILLE (560 </t>
    </r>
    <r>
      <rPr>
        <b/>
        <i/>
        <sz val="11"/>
        <color theme="1"/>
        <rFont val="Arial Narrow"/>
        <family val="2"/>
      </rPr>
      <t>000</t>
    </r>
    <r>
      <rPr>
        <b/>
        <i/>
        <sz val="10.5"/>
        <color theme="1"/>
        <rFont val="Arial Narrow"/>
        <family val="2"/>
      </rPr>
      <t>) F.CFA</t>
    </r>
  </si>
  <si>
    <t>01951-01958</t>
  </si>
  <si>
    <t>01966-01986</t>
  </si>
  <si>
    <t xml:space="preserve"> </t>
  </si>
  <si>
    <t>047</t>
  </si>
  <si>
    <t>Du 12 au 16/01/2016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</si>
  <si>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Un million vingt-deux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</si>
  <si>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012</t>
    </r>
  </si>
  <si>
    <r>
      <t xml:space="preserve"> Bordereau N°: </t>
    </r>
    <r>
      <rPr>
        <b/>
        <sz val="13"/>
        <color theme="1"/>
        <rFont val="Times New Roman"/>
        <family val="1"/>
      </rPr>
      <t>013</t>
    </r>
  </si>
  <si>
    <r>
      <t xml:space="preserve"> Bordereau N°: </t>
    </r>
    <r>
      <rPr>
        <b/>
        <sz val="13"/>
        <color theme="1"/>
        <rFont val="Times New Roman"/>
        <family val="1"/>
      </rPr>
      <t>014</t>
    </r>
  </si>
  <si>
    <r>
      <t xml:space="preserve"> Bordereau N°: </t>
    </r>
    <r>
      <rPr>
        <b/>
        <sz val="13"/>
        <color theme="1"/>
        <rFont val="Times New Roman"/>
        <family val="1"/>
      </rPr>
      <t>015</t>
    </r>
  </si>
  <si>
    <r>
      <t xml:space="preserve"> Bordereau N°: </t>
    </r>
    <r>
      <rPr>
        <b/>
        <sz val="13"/>
        <color theme="1"/>
        <rFont val="Times New Roman"/>
        <family val="1"/>
      </rPr>
      <t>016</t>
    </r>
  </si>
  <si>
    <r>
      <t xml:space="preserve"> Bordereau N°: </t>
    </r>
    <r>
      <rPr>
        <b/>
        <sz val="13"/>
        <color theme="1"/>
        <rFont val="Times New Roman"/>
        <family val="1"/>
      </rPr>
      <t>017</t>
    </r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</si>
  <si>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</si>
  <si>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</si>
  <si>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</si>
  <si>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</si>
  <si>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</si>
  <si>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</si>
  <si>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</si>
  <si>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</si>
  <si>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</si>
  <si>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</si>
  <si>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</si>
  <si>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</si>
  <si>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</si>
  <si>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</si>
  <si>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</si>
  <si>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</si>
  <si>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</si>
  <si>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</si>
  <si>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</si>
  <si>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</si>
  <si>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</si>
  <si>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</si>
  <si>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</si>
  <si>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</si>
  <si>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</si>
  <si>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</si>
  <si>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</si>
  <si>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</si>
  <si>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</si>
  <si>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</si>
  <si>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De Janv à Déc 2016</t>
  </si>
  <si>
    <t>ART</t>
  </si>
  <si>
    <t>BAZAR CAFE</t>
  </si>
  <si>
    <t>BECC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</si>
  <si>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Soixante-huit millions huit cent soixante-cinq mille huit cent soixante-cinq francs.CFA</t>
    </r>
  </si>
  <si>
    <t>CFAO EQUIPEMENT</t>
  </si>
  <si>
    <t>COREX INTERNATIONAL</t>
  </si>
  <si>
    <t>COURRIER RAPIDE</t>
  </si>
  <si>
    <t>DAVE MAIL EXPRESS</t>
  </si>
  <si>
    <t>AQUAFLIHT SERVICE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</si>
  <si>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Quarante-deux millions six cent deux mille quatre cent quatre-vingt-dix francs.CFA</t>
    </r>
  </si>
  <si>
    <t>GABON 9 EXPRESS</t>
  </si>
  <si>
    <t>GABON COURRIER E.P</t>
  </si>
  <si>
    <t>GILLES MANDENGUE</t>
  </si>
  <si>
    <t>HANDLING CONCORDE</t>
  </si>
  <si>
    <t>HELI GABON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</si>
  <si>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Cinquante-neuf millions cent quatre cinq cent  francs.CFA</t>
    </r>
  </si>
  <si>
    <t>HERTZ</t>
  </si>
  <si>
    <t>MR. LINES</t>
  </si>
  <si>
    <t>PANALPINA</t>
  </si>
  <si>
    <t>PMUG</t>
  </si>
  <si>
    <r>
      <t xml:space="preserve">Liquidé le présent bordereau à la somme de :Trente-quatre millions trente mille cinq cent </t>
    </r>
    <r>
      <rPr>
        <b/>
        <i/>
        <sz val="11"/>
        <color theme="1"/>
        <rFont val="Times New Roman"/>
        <family val="1"/>
      </rPr>
      <t xml:space="preserve">  francs.CFA</t>
    </r>
  </si>
  <si>
    <t>RESTAURANT BAR ON-AIR</t>
  </si>
  <si>
    <t>SAGA</t>
  </si>
  <si>
    <t>TOTAL MARKETING</t>
  </si>
  <si>
    <t>VELOMIB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</si>
  <si>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Quarante-un millions cinquante-trois mille deux cent soixante-huit francs.CFA</t>
    </r>
  </si>
  <si>
    <t>VIENNOISERIES ORIENTALES</t>
  </si>
  <si>
    <t>BUREAUTIQUE CLE MINUTE</t>
  </si>
  <si>
    <t>LAP</t>
  </si>
  <si>
    <t>OMB CONSULTING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</si>
  <si>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Six millions sept cent quarante-un mille  francs.CFA</t>
    </r>
  </si>
  <si>
    <t>Facture N°053</t>
  </si>
  <si>
    <t>Facture N°054</t>
  </si>
  <si>
    <t>Facture N°055</t>
  </si>
  <si>
    <t>Facture N°061</t>
  </si>
  <si>
    <t>Facture N°063</t>
  </si>
  <si>
    <t>Facture N°069</t>
  </si>
  <si>
    <t>Facture N°070</t>
  </si>
  <si>
    <t>Facture N°071</t>
  </si>
  <si>
    <t>Facture N°072</t>
  </si>
  <si>
    <t>Facture N°073</t>
  </si>
  <si>
    <t>Facture N°074</t>
  </si>
  <si>
    <t>Facture N°075</t>
  </si>
  <si>
    <t>Tèl: 01 79 40 00</t>
  </si>
  <si>
    <t>Tèl: 01 55 37 40</t>
  </si>
  <si>
    <t>078</t>
  </si>
  <si>
    <t>079</t>
  </si>
  <si>
    <t>080</t>
  </si>
  <si>
    <t>081</t>
  </si>
  <si>
    <t>082</t>
  </si>
  <si>
    <t>OGOUEE AIRLINE</t>
  </si>
  <si>
    <t>PETROGAS</t>
  </si>
  <si>
    <t>IMMO LES 3</t>
  </si>
  <si>
    <r>
      <t xml:space="preserve"> Bordereau N°: </t>
    </r>
    <r>
      <rPr>
        <b/>
        <sz val="13"/>
        <color theme="1"/>
        <rFont val="Times New Roman"/>
        <family val="1"/>
      </rPr>
      <t>018</t>
    </r>
  </si>
  <si>
    <t>Facture N°078</t>
  </si>
  <si>
    <t xml:space="preserve">Tèl: </t>
  </si>
  <si>
    <t>Tèl: 04 34 17 58</t>
  </si>
  <si>
    <t>SGEI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</si>
  <si>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Cinq millions neuf cent quatre-vingt-cinq  mille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</si>
  <si>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019</t>
    </r>
  </si>
  <si>
    <t>083</t>
  </si>
  <si>
    <t>084</t>
  </si>
  <si>
    <t>085</t>
  </si>
  <si>
    <t>086</t>
  </si>
  <si>
    <t>087</t>
  </si>
  <si>
    <t>088</t>
  </si>
  <si>
    <t>TOTAL GABON</t>
  </si>
  <si>
    <t>PROBAG</t>
  </si>
  <si>
    <t>AZUR</t>
  </si>
  <si>
    <t>GESPAR BIS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</si>
  <si>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Seize millions cinq cent cinquante-cinq  mille deux cent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</si>
  <si>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020</t>
    </r>
  </si>
  <si>
    <t>089</t>
  </si>
  <si>
    <t>090</t>
  </si>
  <si>
    <t>BGFI</t>
  </si>
  <si>
    <t>SATGURU</t>
  </si>
  <si>
    <t>Du 12 au 14/02/2016</t>
  </si>
  <si>
    <t xml:space="preserve">BORDEREAU D'EMISSION DES BANDES D'ENREGISTREMENTS &amp; CONVENTIONS DOMANIALES </t>
  </si>
  <si>
    <t>Du 13 au 17/02/2016</t>
  </si>
  <si>
    <t>Du 02 au 18/02/2016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</si>
  <si>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Quatre millions huit cent dix-neuf mille quatre cent quinze francs.CFA</t>
    </r>
  </si>
  <si>
    <t>Tèl: 01 55 60 08</t>
  </si>
  <si>
    <t>Facture N°084</t>
  </si>
  <si>
    <t>Tèl: 01 73 01 44</t>
  </si>
  <si>
    <t>Tèl: 05 42 77 33</t>
  </si>
  <si>
    <t>091</t>
  </si>
  <si>
    <t>092</t>
  </si>
  <si>
    <t>093</t>
  </si>
  <si>
    <t>Tèl: 07 08 28 14</t>
  </si>
  <si>
    <r>
      <t xml:space="preserve"> Bordereau N°: </t>
    </r>
    <r>
      <rPr>
        <b/>
        <sz val="13"/>
        <color theme="1"/>
        <rFont val="Times New Roman"/>
        <family val="1"/>
      </rPr>
      <t>021</t>
    </r>
  </si>
  <si>
    <r>
      <t xml:space="preserve"> Bordereau N°: </t>
    </r>
    <r>
      <rPr>
        <b/>
        <sz val="13"/>
        <color theme="1"/>
        <rFont val="Times New Roman"/>
        <family val="1"/>
      </rPr>
      <t>022</t>
    </r>
  </si>
  <si>
    <r>
      <t xml:space="preserve"> Bordereau N°: </t>
    </r>
    <r>
      <rPr>
        <b/>
        <sz val="13"/>
        <color theme="1"/>
        <rFont val="Times New Roman"/>
        <family val="1"/>
      </rPr>
      <t>023</t>
    </r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</si>
  <si>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</si>
  <si>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</si>
  <si>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</si>
  <si>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</si>
  <si>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</si>
  <si>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</si>
  <si>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</si>
  <si>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</si>
  <si>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</si>
  <si>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</si>
  <si>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</si>
  <si>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 xml:space="preserve">MVENGUE </t>
  </si>
  <si>
    <t>BAR VIP</t>
  </si>
  <si>
    <r>
      <t>Liquidé le présent bordereau à la somme de :Seize</t>
    </r>
    <r>
      <rPr>
        <b/>
        <i/>
        <sz val="11"/>
        <color theme="1"/>
        <rFont val="Times New Roman"/>
        <family val="1"/>
      </rPr>
      <t xml:space="preserve"> millions cent soixante-dix mille six cent soixante-douze francs.CFA</t>
    </r>
  </si>
  <si>
    <t>Mme MASSASSA/Free Shop</t>
  </si>
  <si>
    <t>MELCHISSEDEC OBIANG ZUE</t>
  </si>
  <si>
    <t>GESPARC</t>
  </si>
  <si>
    <t xml:space="preserve">GESPARC </t>
  </si>
  <si>
    <t>AVS INTERNATIONALE</t>
  </si>
  <si>
    <t>TCHIBANGA</t>
  </si>
  <si>
    <t>KOULAMOUTOU</t>
  </si>
  <si>
    <t>MAKOKOU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</si>
  <si>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 millions sept cent quarante-deux mille cinq cent quarante-cinq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</si>
  <si>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Quatre millions neuf cent  quatre cinq mille six cent  francs.CFA</t>
    </r>
  </si>
  <si>
    <t xml:space="preserve">BORDEREAU D'EMISSION DES  CONVENTIONS DOMANIALES </t>
  </si>
  <si>
    <r>
      <t xml:space="preserve"> Bordereau N°: </t>
    </r>
    <r>
      <rPr>
        <b/>
        <sz val="13"/>
        <color theme="1"/>
        <rFont val="Times New Roman"/>
        <family val="1"/>
      </rPr>
      <t>024</t>
    </r>
  </si>
  <si>
    <t>PECOLA BAR</t>
  </si>
  <si>
    <t>DONA GLOBAL TOUR</t>
  </si>
  <si>
    <t>PRSTY MAZAN/Bar aérogare</t>
  </si>
  <si>
    <t>Mme MFOUMOU/Bar aérogare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</si>
  <si>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Trois millions six cent quarante-trois mille neuf cent dix 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</si>
  <si>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025</t>
    </r>
  </si>
  <si>
    <t>BAR OYEM</t>
  </si>
  <si>
    <t>Docteur KOUAME</t>
  </si>
  <si>
    <t>M.NZENGUE NZENGUE</t>
  </si>
  <si>
    <t>Mme NGOUNDA</t>
  </si>
  <si>
    <t>M.BOUATSIA DINA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</si>
  <si>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Quatre millions  quatre-vingt quinze mille  francs.CFA</t>
    </r>
  </si>
  <si>
    <t>Facture N°095</t>
  </si>
  <si>
    <t>Facture N°098</t>
  </si>
  <si>
    <t>Facture N°102</t>
  </si>
  <si>
    <t>Facture N°105</t>
  </si>
  <si>
    <t>AVS INTERNATIONAL</t>
  </si>
  <si>
    <t>Tèl: 06 25 27 21</t>
  </si>
  <si>
    <t>Tèl: 04 87 95 62</t>
  </si>
  <si>
    <t>Tèl: 05 14 64 64</t>
  </si>
  <si>
    <t>Tèl: 07 08 84 84</t>
  </si>
  <si>
    <t xml:space="preserve">  Délégué du Directeur Général de l'ASECNA</t>
  </si>
  <si>
    <t>119</t>
  </si>
  <si>
    <r>
      <t xml:space="preserve"> Bordereau N°: </t>
    </r>
    <r>
      <rPr>
        <b/>
        <sz val="13"/>
        <color theme="1"/>
        <rFont val="Times New Roman"/>
        <family val="1"/>
      </rPr>
      <t>026</t>
    </r>
  </si>
  <si>
    <r>
      <t xml:space="preserve"> Bordereau N°: </t>
    </r>
    <r>
      <rPr>
        <b/>
        <sz val="13"/>
        <color theme="1"/>
        <rFont val="Times New Roman"/>
        <family val="1"/>
      </rPr>
      <t>027</t>
    </r>
  </si>
  <si>
    <t xml:space="preserve">AFRIJET </t>
  </si>
  <si>
    <t>125</t>
  </si>
  <si>
    <t>Du 11 au 21/02/2016</t>
  </si>
  <si>
    <t>Du 17 au 21/02/2016</t>
  </si>
  <si>
    <t>Du 19 au 22/02/2016</t>
  </si>
  <si>
    <t>Du 21 au 22/02/2016</t>
  </si>
  <si>
    <t>Du 22 au 29/02/2016</t>
  </si>
  <si>
    <t>Du 24 au 28/02/2016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</si>
  <si>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Trois cent mille francs.CFA</t>
    </r>
  </si>
  <si>
    <t>Du 26 au 26/02/2016</t>
  </si>
  <si>
    <t>Du 01 au 08/03/2016</t>
  </si>
  <si>
    <t>Du 02 au 09/03/2016</t>
  </si>
  <si>
    <t>Du 04 au 06/03/2016</t>
  </si>
  <si>
    <t>Du 09 au 17/03/2016</t>
  </si>
  <si>
    <t>Du 11 au 14/03/2016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</si>
  <si>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Trois cent trente mille  francs.CFA</t>
    </r>
  </si>
  <si>
    <t>00689-00701</t>
  </si>
  <si>
    <r>
      <t xml:space="preserve">Certifie sincère et veritable la présente facture s'élèvant à la somme de: </t>
    </r>
    <r>
      <rPr>
        <b/>
        <i/>
        <sz val="10.5"/>
        <color theme="1"/>
        <rFont val="Arial Narrow"/>
        <family val="2"/>
      </rPr>
      <t xml:space="preserve"> QUATRE-VINGT MILLE (9</t>
    </r>
    <r>
      <rPr>
        <b/>
        <i/>
        <sz val="11"/>
        <color theme="1"/>
        <rFont val="Arial Narrow"/>
        <family val="2"/>
      </rPr>
      <t>0 000</t>
    </r>
    <r>
      <rPr>
        <b/>
        <i/>
        <sz val="10.5"/>
        <color theme="1"/>
        <rFont val="Arial Narrow"/>
        <family val="2"/>
      </rPr>
      <t>)F.CFA</t>
    </r>
  </si>
  <si>
    <t>Facture N° 0130</t>
  </si>
  <si>
    <t>Série n° 00577-00579</t>
  </si>
  <si>
    <r>
      <t>Certifie sincère et veritable la présente facture s'élèvant à la somme de:</t>
    </r>
    <r>
      <rPr>
        <b/>
        <i/>
        <sz val="10.5"/>
        <color theme="1"/>
        <rFont val="Arial Narrow"/>
        <family val="2"/>
      </rPr>
      <t xml:space="preserve">  TRENTE MILLE (30</t>
    </r>
    <r>
      <rPr>
        <b/>
        <i/>
        <sz val="11"/>
        <color theme="1"/>
        <rFont val="Arial Narrow"/>
        <family val="2"/>
      </rPr>
      <t xml:space="preserve"> 000 </t>
    </r>
    <r>
      <rPr>
        <b/>
        <i/>
        <sz val="10.5"/>
        <color theme="1"/>
        <rFont val="Arial Narrow"/>
        <family val="2"/>
      </rPr>
      <t>)F.CFA</t>
    </r>
  </si>
  <si>
    <r>
      <t xml:space="preserve"> Bordereau N°: </t>
    </r>
    <r>
      <rPr>
        <b/>
        <sz val="13"/>
        <color theme="1"/>
        <rFont val="Times New Roman"/>
        <family val="1"/>
      </rPr>
      <t>028</t>
    </r>
  </si>
  <si>
    <t>131</t>
  </si>
  <si>
    <t>136</t>
  </si>
  <si>
    <t>141</t>
  </si>
  <si>
    <r>
      <t xml:space="preserve"> Bordereau N°: </t>
    </r>
    <r>
      <rPr>
        <b/>
        <sz val="13"/>
        <color theme="1"/>
        <rFont val="Times New Roman"/>
        <family val="1"/>
      </rPr>
      <t>029</t>
    </r>
  </si>
  <si>
    <r>
      <t xml:space="preserve"> Bordereau N°: </t>
    </r>
    <r>
      <rPr>
        <b/>
        <sz val="13"/>
        <color theme="1"/>
        <rFont val="Times New Roman"/>
        <family val="1"/>
      </rPr>
      <t>030</t>
    </r>
  </si>
  <si>
    <t>Du 16 au 19/02/2016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</si>
  <si>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 Un million huit mille </t>
    </r>
    <r>
      <rPr>
        <b/>
        <i/>
        <sz val="11"/>
        <color theme="1"/>
        <rFont val="Times New Roman"/>
        <family val="1"/>
      </rPr>
      <t xml:space="preserve"> francs.CFA</t>
    </r>
  </si>
  <si>
    <t>Du 08 au 14/02/2016</t>
  </si>
  <si>
    <t>Du 24 au 25/02/2016</t>
  </si>
  <si>
    <t>Du 15 au 21/02/2016</t>
  </si>
  <si>
    <t>Du 16 au 20/02/2016</t>
  </si>
  <si>
    <t>Du 15 au 20/02/2016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</si>
  <si>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Neuf cent soixante-six mille </t>
    </r>
    <r>
      <rPr>
        <b/>
        <i/>
        <sz val="11"/>
        <color theme="1"/>
        <rFont val="Times New Roman"/>
        <family val="1"/>
      </rPr>
      <t xml:space="preserve"> francs.CFA</t>
    </r>
  </si>
  <si>
    <t>Du 28 au 29/02/2016</t>
  </si>
  <si>
    <t>Du 16 au 27/02/2016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</si>
  <si>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Un million trente-six  mille </t>
    </r>
    <r>
      <rPr>
        <b/>
        <i/>
        <sz val="11"/>
        <color theme="1"/>
        <rFont val="Times New Roman"/>
        <family val="1"/>
      </rPr>
      <t xml:space="preserve"> francs.CFA</t>
    </r>
  </si>
  <si>
    <t>Du 09 au 14/02/2016</t>
  </si>
  <si>
    <t>Du 09 au 13/02/2016</t>
  </si>
  <si>
    <r>
      <t xml:space="preserve"> Bordereau N°: </t>
    </r>
    <r>
      <rPr>
        <b/>
        <sz val="13"/>
        <color theme="1"/>
        <rFont val="Times New Roman"/>
        <family val="1"/>
      </rPr>
      <t>031</t>
    </r>
  </si>
  <si>
    <t>145</t>
  </si>
  <si>
    <t>Du 02 au 10/03/2016</t>
  </si>
  <si>
    <t>Du 28/02 au 13/03/2016</t>
  </si>
  <si>
    <t>Du 02 au 04/03/2016</t>
  </si>
  <si>
    <t>Du 01 au 12/03/2016</t>
  </si>
  <si>
    <t>Du 24/02 au 13/03/2016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</si>
  <si>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Un million cinq cent quatre-vingt-deux  mille </t>
    </r>
    <r>
      <rPr>
        <b/>
        <i/>
        <sz val="11"/>
        <color theme="1"/>
        <rFont val="Times New Roman"/>
        <family val="1"/>
      </rPr>
      <t xml:space="preserve"> francs.CFA</t>
    </r>
  </si>
  <si>
    <t>150</t>
  </si>
  <si>
    <t>Libreville, 18/04/2015</t>
  </si>
  <si>
    <t>ETAT DE LA REMUNERATION DU DELEGUE DU DIRECTEUR GENERAL DE L'ASECNA DU 01 Janvier   au 31 Mars  2016</t>
  </si>
  <si>
    <t>Visa Agent SOLDE</t>
  </si>
  <si>
    <t>Total Ordonnancé de Janvier à Mars 2016</t>
  </si>
  <si>
    <t>Total Ordonnancé à Mars 2016</t>
  </si>
  <si>
    <t>RECAPITULATIF DES ANNONCES POINT"i"</t>
  </si>
  <si>
    <r>
      <t xml:space="preserve"> Bordereau N°: </t>
    </r>
    <r>
      <rPr>
        <b/>
        <sz val="13"/>
        <color theme="1"/>
        <rFont val="Times New Roman"/>
        <family val="1"/>
      </rPr>
      <t>033</t>
    </r>
  </si>
  <si>
    <r>
      <t xml:space="preserve"> Bordereau N°: </t>
    </r>
    <r>
      <rPr>
        <b/>
        <sz val="13"/>
        <color theme="1"/>
        <rFont val="Times New Roman"/>
        <family val="1"/>
      </rPr>
      <t>035</t>
    </r>
  </si>
  <si>
    <t>155</t>
  </si>
  <si>
    <t>160</t>
  </si>
  <si>
    <t>Du 22 au 31/03/2016</t>
  </si>
  <si>
    <t>Du 20 au 31/03/2016</t>
  </si>
  <si>
    <t>Du 22 au 29/03/2016</t>
  </si>
  <si>
    <t>Du 21 au 31/03/2016</t>
  </si>
  <si>
    <t>Du 01 au 11/04/2016</t>
  </si>
  <si>
    <t>Du 14 au 20/03/2016</t>
  </si>
  <si>
    <t>Du 15 au 19/04/2016</t>
  </si>
  <si>
    <t>Du 01 au 14/04/2016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</si>
  <si>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Un million trois cent soixante-douze mille 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</si>
  <si>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Un million cent trente-six mille  francs.CFA</t>
    </r>
  </si>
  <si>
    <t>Du 06 au 09/04/2016</t>
  </si>
  <si>
    <t>Du 01 au 10/04/2016</t>
  </si>
  <si>
    <t>Du 02 au 09/04/2016</t>
  </si>
  <si>
    <t>Du 21/03 au 10/04/2016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</si>
  <si>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Un million deux cent quatre-vingt-huit  mille </t>
    </r>
    <r>
      <rPr>
        <b/>
        <i/>
        <sz val="11"/>
        <color theme="1"/>
        <rFont val="Times New Roman"/>
        <family val="1"/>
      </rPr>
      <t xml:space="preserve"> francs.CFA</t>
    </r>
  </si>
  <si>
    <t>GABON TELECOM</t>
  </si>
  <si>
    <t xml:space="preserve">AZUR USAN GABON </t>
  </si>
  <si>
    <t>ASC (Airport Service Compagny)</t>
  </si>
  <si>
    <t>164</t>
  </si>
  <si>
    <t>169</t>
  </si>
  <si>
    <t>GESPAR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</si>
  <si>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Six millions  trois cent vingt-huit  mille cent vingt-deux </t>
    </r>
    <r>
      <rPr>
        <b/>
        <i/>
        <sz val="11"/>
        <color theme="1"/>
        <rFont val="Times New Roman"/>
        <family val="1"/>
      </rPr>
      <t xml:space="preserve"> francs.CFA</t>
    </r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</si>
  <si>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Dix-sept  millions six cent quarante-cinq mille six cent quatre-vingt-dix-sept </t>
    </r>
    <r>
      <rPr>
        <b/>
        <i/>
        <sz val="11"/>
        <color theme="1"/>
        <rFont val="Times New Roman"/>
        <family val="1"/>
      </rPr>
      <t xml:space="preserve"> francs.CFA</t>
    </r>
  </si>
  <si>
    <t>174</t>
  </si>
  <si>
    <r>
      <t xml:space="preserve"> Bordereau N°: </t>
    </r>
    <r>
      <rPr>
        <b/>
        <sz val="13"/>
        <color theme="1"/>
        <rFont val="Times New Roman"/>
        <family val="1"/>
      </rPr>
      <t>037</t>
    </r>
  </si>
  <si>
    <t>CALAO CAFE</t>
  </si>
  <si>
    <t xml:space="preserve">SATGURU TRAVELS </t>
  </si>
  <si>
    <t>MOUBOUASSE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</si>
  <si>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Trente-quatre millions neuf cent quarante mille six cent quatre-vingt-dix-sept </t>
    </r>
    <r>
      <rPr>
        <b/>
        <i/>
        <sz val="11"/>
        <color theme="1"/>
        <rFont val="Times New Roman"/>
        <family val="1"/>
      </rPr>
      <t xml:space="preserve"> francs.CFA</t>
    </r>
  </si>
  <si>
    <t>BORDEREAU D'EMISSION DES CONVENTIONS DOMANIALES</t>
  </si>
  <si>
    <t xml:space="preserve">Libreville </t>
  </si>
  <si>
    <t>Port-gentil</t>
  </si>
  <si>
    <t>BP:</t>
  </si>
  <si>
    <t>Avoir</t>
  </si>
  <si>
    <r>
      <t xml:space="preserve"> Bordereau N°: </t>
    </r>
    <r>
      <rPr>
        <b/>
        <sz val="13"/>
        <color theme="1"/>
        <rFont val="Times New Roman"/>
        <family val="1"/>
      </rPr>
      <t>38</t>
    </r>
  </si>
  <si>
    <t>BORDEREAU D'EMISSION DES BANDES D'ENREGISTREMENTS</t>
  </si>
  <si>
    <t>178</t>
  </si>
  <si>
    <t>Du 018 au 31/03/2016</t>
  </si>
  <si>
    <t>AFRIGET</t>
  </si>
  <si>
    <t>Du 04 au 29/03/2016</t>
  </si>
  <si>
    <t>Du 15 au 21/04/2016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</si>
  <si>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Cinq cent vingt mille   francs.CFA</t>
    </r>
  </si>
  <si>
    <t>181</t>
  </si>
  <si>
    <r>
      <t xml:space="preserve"> Bordereau N°: </t>
    </r>
    <r>
      <rPr>
        <b/>
        <sz val="13"/>
        <color theme="1"/>
        <rFont val="Times New Roman"/>
        <family val="1"/>
      </rPr>
      <t>39</t>
    </r>
  </si>
  <si>
    <t>BORDEREAU D'EMISSION DES BANDES D'ENREGISTREMENTS ET CONVENTIONS DOMANIALES</t>
  </si>
  <si>
    <t>Du 22 au 24/04/2016</t>
  </si>
  <si>
    <t xml:space="preserve">GILLES BOUASSAMBA </t>
  </si>
  <si>
    <t>Du 01/04 au 31/12/2016</t>
  </si>
  <si>
    <t xml:space="preserve">MOUILA </t>
  </si>
  <si>
    <t>DELEGATION DES ACTIVITES AERONAUTIQUES NATIONALES DU GABON</t>
  </si>
  <si>
    <t xml:space="preserve">Administration Générale et des Finances (AGF) </t>
  </si>
  <si>
    <t xml:space="preserve">Unité Budget Facturation 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</si>
  <si>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Cinq cent quatre-vingt-dix  mille 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</si>
  <si>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040</t>
    </r>
  </si>
  <si>
    <t xml:space="preserve"> Bordereau N°: 41</t>
  </si>
  <si>
    <t xml:space="preserve"> Bordereau N°: 42</t>
  </si>
  <si>
    <t>183</t>
  </si>
  <si>
    <t>188</t>
  </si>
  <si>
    <t>Du 08 au 21/04/2016</t>
  </si>
  <si>
    <t>Du 11 au 24/04/2016</t>
  </si>
  <si>
    <t>Du 12 au 23/04/2016</t>
  </si>
  <si>
    <t>Du 05 au  24/04/2016</t>
  </si>
  <si>
    <t>Du 29/04  au  02/05/2016</t>
  </si>
  <si>
    <t>Du 25/03 au 29/04/2016</t>
  </si>
  <si>
    <t>Du 27 au 28/04/2016</t>
  </si>
  <si>
    <t>Du 25 au 30/04/2016</t>
  </si>
  <si>
    <t>Du 26 au 30/04/2016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</si>
  <si>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Un million neuf cent six mille francs.CFA</t>
    </r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</si>
  <si>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huit cent quatre-vindt-dix-huit mille   francs.CFA</t>
    </r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</si>
  <si>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Cent vingt mille   francs.CFA</t>
    </r>
  </si>
  <si>
    <t xml:space="preserve"> Bordereau N°: 43</t>
  </si>
  <si>
    <t>Du 15 au22/05/2016</t>
  </si>
  <si>
    <t>Du 13 au23/05/2016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</si>
  <si>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Cent soixante-dix mille   francs.CFA</t>
    </r>
  </si>
  <si>
    <t xml:space="preserve"> Bordereau N°: 44</t>
  </si>
  <si>
    <t xml:space="preserve"> Bordereau N°: 45</t>
  </si>
  <si>
    <t xml:space="preserve"> Bordereau N°: 46</t>
  </si>
  <si>
    <t>Du 01 au 07/05/2016</t>
  </si>
  <si>
    <t>Du 04 au 11/05/2016</t>
  </si>
  <si>
    <t>Du 01 au 06/05/2016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</si>
  <si>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Deux cent soixante  mille   francs.CFA</t>
    </r>
  </si>
  <si>
    <t>Du 09 au 12/05/2016</t>
  </si>
  <si>
    <t>Du 09 au 15/05/2016</t>
  </si>
  <si>
    <t>Du 10 au 14/05/2016</t>
  </si>
  <si>
    <t>Du 18 au 19/05/2016</t>
  </si>
  <si>
    <t>Du 16 au 22/05/2016</t>
  </si>
  <si>
    <t>Du 17 au 21/05/2016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</si>
  <si>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Huit cent cinquante-quatre mille   francs.CFA</t>
    </r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</si>
  <si>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Huit cent soixante-huit mille   francs.CFA</t>
    </r>
  </si>
  <si>
    <t>Client :</t>
  </si>
  <si>
    <t xml:space="preserve"> Bordereau N°: 47</t>
  </si>
  <si>
    <r>
      <t xml:space="preserve">Numéraire ou virement bancaire: cpte </t>
    </r>
    <r>
      <rPr>
        <b/>
        <sz val="11"/>
        <color theme="1"/>
        <rFont val="Arial Narrow"/>
        <family val="2"/>
      </rPr>
      <t>ASECNA N° 40002 00005 56461893000 93</t>
    </r>
    <r>
      <rPr>
        <sz val="11"/>
        <color theme="1"/>
        <rFont val="Arial Narrow"/>
        <family val="2"/>
      </rPr>
      <t xml:space="preserve">  UGB Libreville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</si>
  <si>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Vingt-huit millions cinq cent quatre-vingt-deux  mille neuf cent trente-sept francs.CFA</t>
    </r>
  </si>
  <si>
    <t>BORDEREAU D'EMISSION D'AVOIRS SUR CONVENTIONS DOMANIALES</t>
  </si>
  <si>
    <t>N° AVOIR</t>
  </si>
  <si>
    <t xml:space="preserve"> Bordereau N°: 48</t>
  </si>
  <si>
    <t>Du 01 au 08/05/2016</t>
  </si>
  <si>
    <t>Du 04 au 05/05/2016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</si>
  <si>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cinquante mille   francs.CFA</t>
    </r>
  </si>
  <si>
    <t xml:space="preserve"> Bordereau N°: 49</t>
  </si>
  <si>
    <t>MICRONUIM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</si>
  <si>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millions neuf cent quarante-un mille cinq cent soixante-dix-huit francs.CFA</t>
    </r>
  </si>
  <si>
    <t xml:space="preserve"> Bordereau N°:</t>
  </si>
  <si>
    <t xml:space="preserve"> Bordereau N°: 50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</si>
  <si>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Sept cent soixante-six mille deux cent quarante francs.CFA</t>
    </r>
  </si>
  <si>
    <t>BORDEREAU D'EMISSION SUR LE PROTOCOLE DE REMBOURSEMENT TVA</t>
  </si>
  <si>
    <t xml:space="preserve"> Bordereau N°: 51</t>
  </si>
  <si>
    <t xml:space="preserve"> Bordereau N°: 52</t>
  </si>
  <si>
    <t>Du 25 au 30/05/2016</t>
  </si>
  <si>
    <t>Du 23 au 31/05/2016</t>
  </si>
  <si>
    <t>Du 02 au 06/06/2016</t>
  </si>
  <si>
    <t>Du 04 au 09/06/2016</t>
  </si>
  <si>
    <t>Du 10 au 14/06/2016</t>
  </si>
  <si>
    <t>Du 01 au 08/06/2016</t>
  </si>
  <si>
    <t>Du 10 au 15/06/2016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</si>
  <si>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Vingt-sept millions huit cent seize mille six cent quatre-vingt-dix-sept francs.CFA</t>
    </r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</si>
  <si>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:Quatre cent dix mille   francs.CFA</t>
    </r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</si>
  <si>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:Cent-cinquante mille   francs.CFA</t>
    </r>
  </si>
  <si>
    <t xml:space="preserve"> Bordereau N°: 53</t>
  </si>
  <si>
    <t>Du 17 au 26/06/2016</t>
  </si>
  <si>
    <t>Du 14 au 18/06/2016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</si>
  <si>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:Trois cent mille   francs.CFA</t>
    </r>
  </si>
  <si>
    <t>Du 15 au 26/06/2016</t>
  </si>
  <si>
    <t xml:space="preserve"> Bordereau N°: 54</t>
  </si>
  <si>
    <t xml:space="preserve"> Bordereau N°: 55</t>
  </si>
  <si>
    <t>Du 25 au 26/05/2016</t>
  </si>
  <si>
    <t>Du 24 au 31/05/2016</t>
  </si>
  <si>
    <t>Du 01 au 23/06/2016</t>
  </si>
  <si>
    <t>Du 01 au 27/06/2016</t>
  </si>
  <si>
    <t>Du 02 au 25/06/2016</t>
  </si>
  <si>
    <t>Du 02 au 27/06/2016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</si>
  <si>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:Trois millions trois cent quatre mille   francs.CFA</t>
    </r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</si>
  <si>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soixante-dix-huit  mille  francs.CFA</t>
    </r>
  </si>
  <si>
    <t xml:space="preserve"> Bordereau N°: 56</t>
  </si>
  <si>
    <t>AYOBA CATERIN</t>
  </si>
  <si>
    <t>SODEXO</t>
  </si>
  <si>
    <t>Du 01/07 au 31/12/2016</t>
  </si>
  <si>
    <t>BORDEREAU D'EMISSION D'APPELS D'OFFRES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</si>
  <si>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 mille   francs.CFA</t>
    </r>
  </si>
  <si>
    <t xml:space="preserve"> Bordereau N°: 57</t>
  </si>
  <si>
    <t>AFRIC-AVIATION</t>
  </si>
  <si>
    <t>Du 10 au 10/06/2016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</si>
  <si>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:Soixante  mille   francs.CFA</t>
    </r>
  </si>
  <si>
    <t xml:space="preserve"> Bordereau N°: 58</t>
  </si>
  <si>
    <t>Du 01/07 au 08/07/2016</t>
  </si>
  <si>
    <t>Du 29 /06/2016</t>
  </si>
  <si>
    <t>Du 08/07 au 17/07/2016</t>
  </si>
  <si>
    <t>Du 13/07 au 18/07/2016</t>
  </si>
  <si>
    <t>Du 01/07 au 11/07/2016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</si>
  <si>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six cent neuf mille neuf cent  francs.CFA</t>
    </r>
  </si>
  <si>
    <t xml:space="preserve"> Bordereau N°: 59</t>
  </si>
  <si>
    <t>Du 18/07 au 29/07/2016</t>
  </si>
  <si>
    <t>Du 20 au 31/07/2016</t>
  </si>
  <si>
    <t>Du 24 au 31/07/2016</t>
  </si>
  <si>
    <r>
      <t xml:space="preserve">     </t>
    </r>
    <r>
      <rPr>
        <b/>
        <u/>
        <sz val="12"/>
        <color theme="1"/>
        <rFont val="Times New Roman"/>
        <family val="1"/>
      </rPr>
      <t>Jean François MOULOMBI</t>
    </r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</si>
  <si>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:Quatre cent quarante mille  francs.CFA</t>
    </r>
  </si>
  <si>
    <t xml:space="preserve"> Bordereau N°: 60</t>
  </si>
  <si>
    <t xml:space="preserve"> Bordereau N°: 61</t>
  </si>
  <si>
    <t xml:space="preserve"> Bordereau N°: 62</t>
  </si>
  <si>
    <t>Du 01 au 10/08/2016</t>
  </si>
  <si>
    <t>Du 11 au 28/08/2016</t>
  </si>
  <si>
    <t>Du 12 au 22/08/2016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</si>
  <si>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Huit cent quatre-vingt mille  francs.CFA</t>
    </r>
  </si>
  <si>
    <t>Du 29/06 au 17/07/2016</t>
  </si>
  <si>
    <t>Du 28/06 au 17/07/2016</t>
  </si>
  <si>
    <t>Du 28/06 au 16/07/2016</t>
  </si>
  <si>
    <t>Du 20 au 29/07/2016</t>
  </si>
  <si>
    <t>Du 18 au 31/07/2016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</si>
  <si>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sept cent vingt-deux mille  francs.CFA</t>
    </r>
  </si>
  <si>
    <t>Du 03 au 04/08/2016</t>
  </si>
  <si>
    <t>Du 01 au 07/08/2016</t>
  </si>
  <si>
    <t>Du 19 au 30/07/2016</t>
  </si>
  <si>
    <t>Agence pour la Sécurité de la Navigation Aérienne en Afrique et à Madagascar</t>
  </si>
  <si>
    <t xml:space="preserve">Siège Social : 32-38 AV. Jean Jaurès DAKAR B.P. 3144  Tél. : 338.23.10.40 / 338.23.93.30 / 338.23.95.70                                                                 Fax : 338.23.46.54  Télex : 51680SG   </t>
  </si>
  <si>
    <t>B.P. 2252 Libreville  Tél. : 73.21.04 / 73.31.14   Fax : (241) 73.30.95 / 73.14.74</t>
  </si>
  <si>
    <t>FACTURE N° :</t>
  </si>
  <si>
    <t>DATE</t>
  </si>
  <si>
    <t>MONTANT HT</t>
  </si>
  <si>
    <t>MONTANT TTC</t>
  </si>
  <si>
    <t>Certifié sincère et véritable la présente facture s'élevant à la somme de:</t>
  </si>
  <si>
    <t xml:space="preserve">Mode de règlement: </t>
  </si>
  <si>
    <t>Échéance de règlement : dès réception de la présente facture</t>
  </si>
  <si>
    <t xml:space="preserve">Bénin-Burkina-Cameroun-Centrafrique-Comores-Congo-Côte d’Ivoire-Gabon-Guinée Equatoriale-Guinée Bissau-Madagascar-Mali   </t>
  </si>
  <si>
    <t>Niger-Sénégal-Tchad-Togo</t>
  </si>
  <si>
    <t>Délégation aux Activités Aéronautiques  Nationales du  Gabon</t>
  </si>
  <si>
    <t xml:space="preserve"> Bordereau N°: 63</t>
  </si>
  <si>
    <t>TOUKOULA-BTP</t>
  </si>
  <si>
    <t>Au  09/09/2016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</si>
  <si>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millions  francs.CFA</t>
    </r>
  </si>
  <si>
    <t>BORDEREAU D'EMISSION DE PRODUITS DIVERS</t>
  </si>
  <si>
    <r>
      <t xml:space="preserve">Chèques à libeller au nom de: </t>
    </r>
    <r>
      <rPr>
        <b/>
        <sz val="11"/>
        <color theme="1"/>
        <rFont val="Arial Narrow"/>
        <family val="2"/>
      </rPr>
      <t>ASECNA Activités Aéronautiques Nationales du Gabon</t>
    </r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</si>
  <si>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:Quatre cent soixante-seize  mille  francs.CFA</t>
    </r>
  </si>
  <si>
    <t xml:space="preserve"> Bordereau N°: 64</t>
  </si>
  <si>
    <t>Du 28 au 31/08/2016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</si>
  <si>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:Cent dix mille  francs.CFA</t>
    </r>
  </si>
  <si>
    <t>Du 24 au 31/08/2016</t>
  </si>
  <si>
    <t xml:space="preserve"> Bordereau N°: 65</t>
  </si>
  <si>
    <t>Du 06 au 23/08/2016</t>
  </si>
  <si>
    <t>Du 01 au 11/09/2016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</si>
  <si>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soixante mille  francs.CFA</t>
    </r>
  </si>
  <si>
    <t xml:space="preserve"> Bordereau N°: 66</t>
  </si>
  <si>
    <t xml:space="preserve"> Bordereau N°: 67</t>
  </si>
  <si>
    <t xml:space="preserve"> Bordereau N°: 68</t>
  </si>
  <si>
    <t>719-2</t>
  </si>
  <si>
    <t>BORDEREAU D'EMISSION DES PROLONGATIONS D'OUVERTURE</t>
  </si>
  <si>
    <t>HELI UNION</t>
  </si>
  <si>
    <t>Du 11 au 12/01/2016</t>
  </si>
  <si>
    <t>Du 01 au 29/02/2016</t>
  </si>
  <si>
    <t>Du 31/03/2016</t>
  </si>
  <si>
    <t xml:space="preserve"> Bordereau N°: 69</t>
  </si>
  <si>
    <t>Du 02 au 30/05/2016</t>
  </si>
  <si>
    <t xml:space="preserve"> Bordereau N°: 70</t>
  </si>
  <si>
    <t>Du 12 au 26/07/2016</t>
  </si>
  <si>
    <t xml:space="preserve"> Bordereau N°: 71</t>
  </si>
  <si>
    <t xml:space="preserve">REDEVANCE SUR LA PROLONGATION D'OUVERTURE </t>
  </si>
  <si>
    <r>
      <t>Numéraire ou Virement Bancaire: cpte</t>
    </r>
    <r>
      <rPr>
        <b/>
        <sz val="11"/>
        <rFont val="Arial Narrow"/>
        <family val="2"/>
      </rPr>
      <t xml:space="preserve"> ASECNA N° 40002 00005 56461893000 93  UGB Libreville</t>
    </r>
  </si>
  <si>
    <r>
      <t xml:space="preserve">Chèques à libeller au nom de </t>
    </r>
    <r>
      <rPr>
        <b/>
        <sz val="11"/>
        <rFont val="Arial Narrow"/>
        <family val="2"/>
      </rPr>
      <t>ASECNA Activités Aéronautiques Nationales du Gabon</t>
    </r>
  </si>
  <si>
    <t xml:space="preserve">HELI UNION </t>
  </si>
  <si>
    <t>SITE : TCHIBANGA</t>
  </si>
  <si>
    <t>Nbre d'Heures</t>
  </si>
  <si>
    <t xml:space="preserve"> CENT QUARANTE-CINQ MILLE  (145 000)francs CFA </t>
  </si>
  <si>
    <t>Du 04 au 24/08/2016</t>
  </si>
  <si>
    <t xml:space="preserve">DEUX CENT DIX-SEPT MILLE CINQ CENT (217 500)francs CFA </t>
  </si>
  <si>
    <t>Du 20/07 au 19/08/2016</t>
  </si>
  <si>
    <t>BORDEREAU D'EMISSION DES PRODUITS DIVERS</t>
  </si>
  <si>
    <t>Du 20/05 au 19/06/2016</t>
  </si>
  <si>
    <t>Du 20/06 au 19/07/2016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</si>
  <si>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:Sept cent quatre-vingt-dix-sept mille cinq cent  francs.CFA</t>
    </r>
  </si>
  <si>
    <t>BP:240 Port-Gentil</t>
  </si>
  <si>
    <t>Tél:01 55 29 23</t>
  </si>
  <si>
    <t>SOIXANTE-DOUZE MILLE CINQ CENT  (72 500) Francs CFA</t>
  </si>
  <si>
    <t>BP:525 Port-Gentil</t>
  </si>
  <si>
    <t>Tél:01 77 60 00/0155 60 00</t>
  </si>
  <si>
    <t xml:space="preserve">PRISE EN CHARGE DES FACTURES GABON TELECOM  </t>
  </si>
  <si>
    <t>Quantité</t>
  </si>
  <si>
    <t>PU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</si>
  <si>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:Six millions  cent dix-neuf mille soixante-quinze francs.CFA</t>
    </r>
  </si>
  <si>
    <t xml:space="preserve"> DEUX MILLIONS SIX CENT SOIXANTE-DOUZE MILLE SEPT CENT   (2 672 700)francs CFA </t>
  </si>
  <si>
    <t xml:space="preserve"> SEPT CENT SOIXANTE-TREIZE MILLE SIX CENT SOIXANTE-QUINZE  (773 675)francs CFA </t>
  </si>
  <si>
    <t xml:space="preserve">REF: N° FACTURE  007028799 </t>
  </si>
  <si>
    <t>SITE : AEROPORT DE PORT-GENTIL</t>
  </si>
  <si>
    <t>REF: N° FACTURE  006975035</t>
  </si>
  <si>
    <t>AFIJET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</si>
  <si>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cinquante mille  francs.CFA</t>
    </r>
  </si>
  <si>
    <t>Du 09 au 21/09/2016</t>
  </si>
  <si>
    <t>Du 07 au 11/09/2016</t>
  </si>
  <si>
    <t>Du 12 au 21/09/2016</t>
  </si>
  <si>
    <t xml:space="preserve">BORDEREAU D'EMISSION DES BANDES D'ENREGISTREMENT </t>
  </si>
  <si>
    <t>Du 22 au 30/09/2016</t>
  </si>
  <si>
    <t>Du 23 au 30/09/2016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</si>
  <si>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mille  francs.CFA</t>
    </r>
  </si>
  <si>
    <t>Calvin ABOUROU ALLOGO</t>
  </si>
  <si>
    <t>L'ORDONNATEUR SECONDAIRE PI</t>
  </si>
  <si>
    <t>Du 08 au 28/06/2016</t>
  </si>
  <si>
    <t>Du 19 au 25/09/2016</t>
  </si>
  <si>
    <t>Du 10 au 11/08/2016</t>
  </si>
  <si>
    <t>Du 17 au 31/08/2016</t>
  </si>
  <si>
    <t>Du 07 au 17/09/2016</t>
  </si>
  <si>
    <t>Du 21 au 22/09/2016</t>
  </si>
  <si>
    <t>Du 15 au 30/08/2016</t>
  </si>
  <si>
    <t>Facture N°288</t>
  </si>
  <si>
    <t>Du 04 au 18/09/2016</t>
  </si>
  <si>
    <t>0001251-0001265</t>
  </si>
  <si>
    <t>0001494-0001500</t>
  </si>
  <si>
    <r>
      <rPr>
        <i/>
        <sz val="10"/>
        <color theme="1"/>
        <rFont val="Arial Narrow"/>
        <family val="2"/>
      </rPr>
      <t xml:space="preserve">Certifie sincère et veritable la présente facture s'élèvant à la somme </t>
    </r>
    <r>
      <rPr>
        <i/>
        <sz val="10.5"/>
        <color theme="1"/>
        <rFont val="Arial Narrow"/>
        <family val="2"/>
      </rPr>
      <t>de:</t>
    </r>
    <r>
      <rPr>
        <b/>
        <i/>
        <sz val="10.5"/>
        <color theme="1"/>
        <rFont val="Arial Narrow"/>
        <family val="2"/>
      </rPr>
      <t xml:space="preserve"> DEUX CENT QUATRE-VINGT-SIX MILLE (286 </t>
    </r>
    <r>
      <rPr>
        <b/>
        <i/>
        <sz val="11"/>
        <color theme="1"/>
        <rFont val="Arial Narrow"/>
        <family val="2"/>
      </rPr>
      <t>000</t>
    </r>
    <r>
      <rPr>
        <b/>
        <i/>
        <sz val="10.5"/>
        <color theme="1"/>
        <rFont val="Arial Narrow"/>
        <family val="2"/>
      </rPr>
      <t>) F.CFA</t>
    </r>
  </si>
  <si>
    <t>EQUAFLIGTH</t>
  </si>
  <si>
    <t>0002268-0002269</t>
  </si>
  <si>
    <t>Du 08 au 20/09/2016</t>
  </si>
  <si>
    <r>
      <rPr>
        <i/>
        <sz val="10"/>
        <color theme="1"/>
        <rFont val="Arial Narrow"/>
        <family val="2"/>
      </rPr>
      <t xml:space="preserve">Certifie sincère et veritable la présente facture s'élèvant à la somme </t>
    </r>
    <r>
      <rPr>
        <i/>
        <sz val="10.5"/>
        <color theme="1"/>
        <rFont val="Arial Narrow"/>
        <family val="2"/>
      </rPr>
      <t>de:</t>
    </r>
    <r>
      <rPr>
        <b/>
        <i/>
        <sz val="10.5"/>
        <color theme="1"/>
        <rFont val="Arial Narrow"/>
        <family val="2"/>
      </rPr>
      <t xml:space="preserve"> QUARANTE-SIX MILLE (46 </t>
    </r>
    <r>
      <rPr>
        <b/>
        <i/>
        <sz val="11"/>
        <color theme="1"/>
        <rFont val="Arial Narrow"/>
        <family val="2"/>
      </rPr>
      <t>000</t>
    </r>
    <r>
      <rPr>
        <b/>
        <i/>
        <sz val="10.5"/>
        <color theme="1"/>
        <rFont val="Arial Narrow"/>
        <family val="2"/>
      </rPr>
      <t>) F.CFA</t>
    </r>
  </si>
  <si>
    <t>Facture N° 292</t>
  </si>
  <si>
    <t>Facture N°290</t>
  </si>
  <si>
    <t>0002263-0002264</t>
  </si>
  <si>
    <t>Du 09 au 13/08/2016</t>
  </si>
  <si>
    <r>
      <rPr>
        <i/>
        <sz val="10"/>
        <color theme="1"/>
        <rFont val="Arial Narrow"/>
        <family val="2"/>
      </rPr>
      <t xml:space="preserve">Certifie sincère et veritable la présente facture s'élèvant à la somme </t>
    </r>
    <r>
      <rPr>
        <i/>
        <sz val="10.5"/>
        <color theme="1"/>
        <rFont val="Arial Narrow"/>
        <family val="2"/>
      </rPr>
      <t>de:</t>
    </r>
    <r>
      <rPr>
        <b/>
        <i/>
        <sz val="10.5"/>
        <color theme="1"/>
        <rFont val="Arial Narrow"/>
        <family val="2"/>
      </rPr>
      <t xml:space="preserve"> CINQUANTE-DEUX MILLE (52 </t>
    </r>
    <r>
      <rPr>
        <b/>
        <i/>
        <sz val="11"/>
        <color theme="1"/>
        <rFont val="Arial Narrow"/>
        <family val="2"/>
      </rPr>
      <t>000</t>
    </r>
    <r>
      <rPr>
        <b/>
        <i/>
        <sz val="10.5"/>
        <color theme="1"/>
        <rFont val="Arial Narrow"/>
        <family val="2"/>
      </rPr>
      <t>) F.CFA</t>
    </r>
  </si>
  <si>
    <t>Facture N° 291</t>
  </si>
  <si>
    <t>0002265-0002267</t>
  </si>
  <si>
    <t>Du 16 au 23/08/2016</t>
  </si>
  <si>
    <r>
      <rPr>
        <i/>
        <sz val="10"/>
        <color theme="1"/>
        <rFont val="Arial Narrow"/>
        <family val="2"/>
      </rPr>
      <t xml:space="preserve">Certifie sincère et veritable la présente facture s'élèvant à la somme </t>
    </r>
    <r>
      <rPr>
        <i/>
        <sz val="10.5"/>
        <color theme="1"/>
        <rFont val="Arial Narrow"/>
        <family val="2"/>
      </rPr>
      <t>de:</t>
    </r>
    <r>
      <rPr>
        <b/>
        <i/>
        <sz val="10.5"/>
        <color theme="1"/>
        <rFont val="Arial Narrow"/>
        <family val="2"/>
      </rPr>
      <t xml:space="preserve"> SOIXANTE-DIX-HUIT MILLE (78 </t>
    </r>
    <r>
      <rPr>
        <b/>
        <i/>
        <sz val="11"/>
        <color theme="1"/>
        <rFont val="Arial Narrow"/>
        <family val="2"/>
      </rPr>
      <t>000</t>
    </r>
    <r>
      <rPr>
        <b/>
        <i/>
        <sz val="10.5"/>
        <color theme="1"/>
        <rFont val="Arial Narrow"/>
        <family val="2"/>
      </rPr>
      <t>) F.CFA</t>
    </r>
  </si>
  <si>
    <t>Facture N° 293</t>
  </si>
  <si>
    <t>0001132/0001137</t>
  </si>
  <si>
    <t>0001139-0001195</t>
  </si>
  <si>
    <t>Du 12 au 31/08/2016</t>
  </si>
  <si>
    <r>
      <rPr>
        <i/>
        <sz val="10"/>
        <color theme="1"/>
        <rFont val="Arial Narrow"/>
        <family val="2"/>
      </rPr>
      <t xml:space="preserve">Certifie sincère et veritable la présente facture s'élèvant à la somme </t>
    </r>
    <r>
      <rPr>
        <i/>
        <sz val="10.5"/>
        <color theme="1"/>
        <rFont val="Arial Narrow"/>
        <family val="2"/>
      </rPr>
      <t>de:</t>
    </r>
    <r>
      <rPr>
        <b/>
        <i/>
        <sz val="10.5"/>
        <color theme="1"/>
        <rFont val="Arial Narrow"/>
        <family val="2"/>
      </rPr>
      <t xml:space="preserve"> U</t>
    </r>
    <r>
      <rPr>
        <b/>
        <i/>
        <sz val="10"/>
        <color theme="1"/>
        <rFont val="Arial Narrow"/>
        <family val="2"/>
      </rPr>
      <t>N MILLION TROIS CENT VINGT-SIX  MILLE (1 326 000</t>
    </r>
    <r>
      <rPr>
        <b/>
        <i/>
        <sz val="10.5"/>
        <color theme="1"/>
        <rFont val="Arial Narrow"/>
        <family val="2"/>
      </rPr>
      <t>) F.CFA</t>
    </r>
  </si>
  <si>
    <t xml:space="preserve"> Bordereau N°: 72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</si>
  <si>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:Quatre millions neuf cent trente-six mille  francs.CFA</t>
    </r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</si>
  <si>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:Trois cent seize mille   francs.CFA</t>
    </r>
  </si>
  <si>
    <t>Du 08 au 14/08/2016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</si>
  <si>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:Neuf cent quatre-vingt-quatre mille francs.CFA</t>
    </r>
  </si>
  <si>
    <t xml:space="preserve"> Bordereau N°: 73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</si>
  <si>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cinq cent deux mille francs.CFA</t>
    </r>
  </si>
  <si>
    <t xml:space="preserve"> Bordereau N°: 74</t>
  </si>
  <si>
    <t>Du 02 au 10/10/2016</t>
  </si>
  <si>
    <t>Du 02 au 12/10/2016</t>
  </si>
  <si>
    <t>Du 03 au 10/09/2016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</si>
  <si>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:Trois cent quatre-vingt mille francs.CFA</t>
    </r>
  </si>
  <si>
    <t xml:space="preserve"> Bordereau N°: 75</t>
  </si>
  <si>
    <t xml:space="preserve"> Bordereau N°: 76</t>
  </si>
  <si>
    <t>ASC</t>
  </si>
  <si>
    <t>COMPAGNIE CONCORDE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</si>
  <si>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millions huit cent quarante mille  francs.CFA</t>
    </r>
  </si>
  <si>
    <t>SKY GABON</t>
  </si>
  <si>
    <t>CONTRACTUELS DOUANES</t>
  </si>
  <si>
    <t>AERO CLUB</t>
  </si>
  <si>
    <t>SAGA GABON</t>
  </si>
  <si>
    <t>POOL PETROLIER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</si>
  <si>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Sept cent quarantemille  francs.CFA</t>
    </r>
  </si>
  <si>
    <t xml:space="preserve">Série n°: </t>
  </si>
  <si>
    <t>Tél:06 71 71 78</t>
  </si>
  <si>
    <t xml:space="preserve">BADGES MISE A DISPOSITION   </t>
  </si>
  <si>
    <t xml:space="preserve">SIX CENT MILLE SEPT CENT   (600 000)francs CFA </t>
  </si>
  <si>
    <t>Du 20/08 au 19/09/2016</t>
  </si>
  <si>
    <t>Du 27/04 au 25/07/2016</t>
  </si>
  <si>
    <t xml:space="preserve"> Bordereau N°: 77</t>
  </si>
  <si>
    <t>Du 25/07 au 25/08/2016</t>
  </si>
  <si>
    <t>Du 25/08 au 25/09/2016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</si>
  <si>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Soixante-douze millions deux cent vingt-huit mille  quatre cent douze  francs.CFA</t>
    </r>
  </si>
  <si>
    <t>BORDEREAU D'EMISSION SUR LES PRODUITS DIVERS</t>
  </si>
  <si>
    <t xml:space="preserve"> Bordereau N°: 78</t>
  </si>
  <si>
    <t>Du 12 au 19/10/2016</t>
  </si>
  <si>
    <t>Du 14 au 19/10/2016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</si>
  <si>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:Cent cinquante mille francs.CFA</t>
    </r>
  </si>
  <si>
    <t>Du 25/09 au 15/10/2016</t>
  </si>
  <si>
    <t>Du 26/09 au 16/10/2016</t>
  </si>
  <si>
    <t xml:space="preserve"> Bordereau N°: 79</t>
  </si>
  <si>
    <t>Du 27/09 au 15/10/2016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</si>
  <si>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huit cent quatre-vingt-dix-huit mille francs.CFA</t>
    </r>
  </si>
  <si>
    <t xml:space="preserve"> Bordereau N°: 80</t>
  </si>
  <si>
    <t>Du 19 au 27/10/2016</t>
  </si>
  <si>
    <t>Du 17 au 31/10/2016</t>
  </si>
  <si>
    <t>Du 18 au 27/10/2016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</si>
  <si>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six cent cinquante-un mille francs.CFA</t>
    </r>
  </si>
  <si>
    <t xml:space="preserve">BORDEREAU D'EMISSION DES FACTURES SUR LES SERVICES RENDUS </t>
  </si>
  <si>
    <t xml:space="preserve"> Bordereau N°: 81</t>
  </si>
  <si>
    <t>Du 21/10  au 1/11/2016</t>
  </si>
  <si>
    <t>Du 21 au 31/10/2016</t>
  </si>
  <si>
    <t>Du 21/10 au 06/11/2016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</si>
  <si>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soixante mille francs.CFA</t>
    </r>
  </si>
  <si>
    <t>Visa AGFB-Fact</t>
  </si>
  <si>
    <t>Visa CAF pi</t>
  </si>
  <si>
    <r>
      <t xml:space="preserve">Certifie sincère et veritable la présente situation   s'élèvant à la somme de: </t>
    </r>
    <r>
      <rPr>
        <b/>
        <i/>
        <sz val="11"/>
        <color theme="1"/>
        <rFont val="Arial Narrow"/>
        <family val="2"/>
      </rPr>
      <t xml:space="preserve">Deux millions deux cents soixante quatorze mille </t>
    </r>
  </si>
  <si>
    <t>six cents francs cfa</t>
  </si>
  <si>
    <r>
      <t xml:space="preserve">Montant prestation due de la période de </t>
    </r>
    <r>
      <rPr>
        <b/>
        <i/>
        <sz val="11"/>
        <color theme="1"/>
        <rFont val="Arial Narrow"/>
        <family val="2"/>
      </rPr>
      <t>Juin  à Novembre 2016</t>
    </r>
  </si>
  <si>
    <t>Période: Juin  àNovembre 2016</t>
  </si>
  <si>
    <t xml:space="preserve"> Bordereau N°: 82</t>
  </si>
  <si>
    <t>Du 02 au 09/11/2016</t>
  </si>
  <si>
    <t>Du 07 au 09/11/2016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</si>
  <si>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quatre cent quatre-vingt  mille francs.CFA</t>
    </r>
  </si>
  <si>
    <t>Du 01 au 30/11/2016</t>
  </si>
  <si>
    <t xml:space="preserve"> Bordereau N°: 83</t>
  </si>
  <si>
    <t>IBISE MEDIACOM</t>
  </si>
  <si>
    <t>Du 11 au 20/11/2016</t>
  </si>
  <si>
    <t>Du 01/01 au 31/12/2017</t>
  </si>
  <si>
    <t>BORDEREAU D'EMISSION DES BANDES D'ENREGISTREMENTS ET CONVENTION DOMANIALE</t>
  </si>
  <si>
    <t xml:space="preserve"> Bordereau N°: 84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</si>
  <si>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cinquante  mille francs.CFA</t>
    </r>
  </si>
  <si>
    <t xml:space="preserve">Échéance de règlement: 30 jours à compter de la date d'émission 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</si>
  <si>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Sept millions quatre cent soixante-quinze mille francs.CFA</t>
    </r>
  </si>
  <si>
    <t>Du 01 au 11/11/2016</t>
  </si>
  <si>
    <t>Du 01 au 12/11/2016</t>
  </si>
  <si>
    <t>Du 01 au 10/11/2016</t>
  </si>
  <si>
    <t>Du 01 au 13/11/2016</t>
  </si>
  <si>
    <t xml:space="preserve">Série n°:       </t>
  </si>
  <si>
    <t>Série n°:</t>
  </si>
  <si>
    <t xml:space="preserve">SKY GABON </t>
  </si>
  <si>
    <t xml:space="preserve"> Bordereau N°: 85</t>
  </si>
  <si>
    <t>Du 21 au 30/11/2016</t>
  </si>
  <si>
    <t>Du 23/04 au 31/12/2016</t>
  </si>
  <si>
    <t>N°OG/001/2016</t>
  </si>
  <si>
    <t xml:space="preserve"> Bordereau N°: 86</t>
  </si>
  <si>
    <t>BORDEREAU D'EMISSION DES BANDES D'ENREGISTREMENTS, CONVENTION DOMANIALE ET PRODUITS DIVERS</t>
  </si>
  <si>
    <t>Du 20/09 au 19/11/2016</t>
  </si>
  <si>
    <t>Du 25/09 au 25/11/2016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</si>
  <si>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:Soixante-seize millions quatre cent trente mille huit cent vingt-sept francs.CFA</t>
    </r>
  </si>
  <si>
    <t>CONSOMMATION ELECTRIQUE DE L'AEROPORT DE POG</t>
  </si>
  <si>
    <t>REF: N° FACTURE  919629633130 du 25/09 au 25/10/2016</t>
  </si>
  <si>
    <t>REF: N° FACTURE  919624925748 du 25/10 au 25/11/2016</t>
  </si>
  <si>
    <t>SOIXABTE-QUATRE MILLIONS CINQ CENT DIX-SEPT MILLE HUIT CENT QUARANTE-QUATRE (64 517 844) Francs CFA</t>
  </si>
  <si>
    <t>CONSOMMATION INTERNET DE L'AEROPORT DE POG</t>
  </si>
  <si>
    <t>REF: N° FACTURE  007066408 du 20/09 au 10/10/2016</t>
  </si>
  <si>
    <t>REF: N° FACTURE  007109617 du 20/10 au 19/11/2016</t>
  </si>
  <si>
    <t>CINQ MILLIONS TROIS CENT QUARANTE-CINQ MILLE QUATRE CENT TRENTE (5 345 430) FCFA</t>
  </si>
  <si>
    <t xml:space="preserve">Site </t>
  </si>
  <si>
    <t>Tél:01 44 32 70/01 44 54 68</t>
  </si>
  <si>
    <t xml:space="preserve">LOCATION ESPACE COMMERCIAL  </t>
  </si>
  <si>
    <t>COMPOSE DE BUREAUX DANS LE HANGAR FRET</t>
  </si>
  <si>
    <t xml:space="preserve">SIX MILLIONS DEUX CENT QUATRE-VINGT SEPT MILLE CINQ CENT CINQUANTE-TROIS  (6 287 553)F.CFA </t>
  </si>
  <si>
    <t>Du 01 au 10/12/2016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</si>
  <si>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Trois cent soixante mille  francs.CFA</t>
    </r>
  </si>
  <si>
    <t>Du 12 au 20/12/2016</t>
  </si>
  <si>
    <t>Du 11 au 20/12/2016</t>
  </si>
  <si>
    <t xml:space="preserve"> Bordereau N°: 87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</si>
  <si>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Trois cent trente mille  francs.CFA</t>
    </r>
  </si>
  <si>
    <t>Du 12 au 19/12/2016</t>
  </si>
  <si>
    <t>DIRECTION GENERALE DES IMPOTS</t>
  </si>
  <si>
    <t xml:space="preserve">Certifie sincère et veritable la présente facture s'élèvant à la somme de: </t>
  </si>
  <si>
    <t xml:space="preserve">pour  la Gestion des Activités Aéronautiques   </t>
  </si>
  <si>
    <t>Du 01 au 30/11/2015</t>
  </si>
  <si>
    <t>Du 01 au 28/02/2016</t>
  </si>
  <si>
    <t xml:space="preserve"> Bordereau N°: 88</t>
  </si>
  <si>
    <t>Du 21 au 25/12/2016</t>
  </si>
  <si>
    <t>Du 25 au 27/12/2016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</si>
  <si>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 Dix- huit millions huit cent trente mille deux cent soixante-neuf mille  francs.CFA</t>
    </r>
  </si>
  <si>
    <t>Du 02 au 11/12/2016</t>
  </si>
  <si>
    <t>BORDEREAU D'EMISSION DES BANQUES D'ENREGISTREMENT ET  REMBOURSEMENTS DE TVA</t>
  </si>
  <si>
    <t>BORDEREAU D'EMISSION DES BANQUES D'ENREGISTREMENT</t>
  </si>
  <si>
    <t xml:space="preserve"> Bordereau N°: 89</t>
  </si>
  <si>
    <t xml:space="preserve">GABON PROPRE SERVICE </t>
  </si>
  <si>
    <t>C.G.E.P</t>
  </si>
  <si>
    <t>KEVIN SERVICES</t>
  </si>
  <si>
    <t xml:space="preserve"> Bordereau N°: 90</t>
  </si>
  <si>
    <t>BROSETTE NETTOYAGE</t>
  </si>
  <si>
    <t>TOTAL PREVENTION SERVICE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</si>
  <si>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:Six cent  mille  francs.CFA</t>
    </r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</si>
  <si>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:Cinq  cent  soixante-cinq mille trois cent trent  francs.CFA</t>
    </r>
  </si>
  <si>
    <t>BORDEREAU D'EMISSION D'AVOIRS SUR LES CONVENTIONS DOMANIALES</t>
  </si>
  <si>
    <t xml:space="preserve"> Bordereau N°: 91</t>
  </si>
  <si>
    <t>361</t>
  </si>
  <si>
    <t>362</t>
  </si>
  <si>
    <t>363</t>
  </si>
  <si>
    <t>Du 27 au 30/12/2015</t>
  </si>
  <si>
    <t>Du 21 au 30/12/2015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</si>
  <si>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:Deux cent quarante francs.CFA</t>
    </r>
  </si>
  <si>
    <t xml:space="preserve"> Bordereau N°: 92</t>
  </si>
  <si>
    <t>364</t>
  </si>
  <si>
    <t>365</t>
  </si>
  <si>
    <t>366</t>
  </si>
  <si>
    <t>367</t>
  </si>
  <si>
    <t>Du 20/11 au 26/12/2016</t>
  </si>
  <si>
    <t>BORDEREAU D'EMISSION DES AVIS DE REMBOURSEMENT DE TVA</t>
  </si>
  <si>
    <t>Du 01 au 31/05/2016</t>
  </si>
  <si>
    <t>Du 01 au 30/01/2015</t>
  </si>
  <si>
    <t>Du 01au 28/02/2016</t>
  </si>
  <si>
    <t>Du 01 au 30/06/2016</t>
  </si>
  <si>
    <t>Du 01 au 31/07/2016</t>
  </si>
  <si>
    <t>368</t>
  </si>
  <si>
    <t>369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</si>
  <si>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:Trente-un millions neuf cent cinquante-sept mille cent cinquante francs.CFA</t>
    </r>
  </si>
  <si>
    <t>370</t>
  </si>
  <si>
    <t xml:space="preserve"> Bordereau N°: 93</t>
  </si>
  <si>
    <t xml:space="preserve">L'ORDONNATEUR SECONDAIRE PI 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</si>
  <si>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:Un million huit cent dix-sept mille sept cent francs.CFA</t>
    </r>
  </si>
  <si>
    <t>CLIENTS DIVERS</t>
  </si>
  <si>
    <t>BORDEREAU D'EMISSION SUR UTILISATION PARKING</t>
  </si>
  <si>
    <t xml:space="preserve">BORDEREAU D'EMISSION D'AVOIRS SUR LES AVIS DE REMBOURSEMENT DE TVA </t>
  </si>
  <si>
    <t>010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</si>
  <si>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:Dix-huit millons six cent quatre-vingt mille deux cent soixante-neuf  francs.CFA</t>
    </r>
  </si>
  <si>
    <t xml:space="preserve"> Bordereau N°: 94</t>
  </si>
  <si>
    <r>
      <t>Certifie sincère que la présente facture d'avoir s'élève à la somme de:</t>
    </r>
    <r>
      <rPr>
        <b/>
        <sz val="11"/>
        <color theme="1"/>
        <rFont val="Arial Narrow"/>
        <family val="2"/>
      </rPr>
      <t xml:space="preserve"> </t>
    </r>
  </si>
  <si>
    <t xml:space="preserve"> Bordereau N°: 95</t>
  </si>
  <si>
    <t>371</t>
  </si>
  <si>
    <t>372</t>
  </si>
  <si>
    <t>Du 01 au 30/09/2016</t>
  </si>
  <si>
    <t>Du 01au 31/10/2016</t>
  </si>
  <si>
    <r>
      <t xml:space="preserve">Liquidé le présent bordereau à la somme de </t>
    </r>
    <r>
      <rPr>
        <b/>
        <i/>
        <sz val="11"/>
        <color theme="1"/>
        <rFont val="Times New Roman"/>
        <family val="1"/>
      </rPr>
      <t>:Cinq millions cinquante-trois mille deux cent quatre-vingt-dix-neuf  francs.CFA</t>
    </r>
  </si>
  <si>
    <t xml:space="preserve">BORDEREAU D'EMISSION SUR LES AVIS DE REMBOURSEMENT DE TVA </t>
  </si>
  <si>
    <t xml:space="preserve"> Bordereau N°: 001</t>
  </si>
  <si>
    <t>Du 01 au 31/01/2017</t>
  </si>
  <si>
    <t>Du 01/01 au 28/02/2016</t>
  </si>
  <si>
    <t>BORDEREAU D'EMISSION DE  LOCATION DES ESPACES PUBLICITAIRES</t>
  </si>
  <si>
    <t>EXERCICE: 2017</t>
  </si>
  <si>
    <r>
      <t>Liquidé le présent bordereau à la somme de :</t>
    </r>
    <r>
      <rPr>
        <b/>
        <sz val="12"/>
        <color theme="1"/>
        <rFont val="Times New Roman"/>
        <family val="1"/>
      </rPr>
      <t xml:space="preserve">Quatre millions cinq cent vingt mille </t>
    </r>
    <r>
      <rPr>
        <b/>
        <i/>
        <sz val="12"/>
        <color theme="1"/>
        <rFont val="Times New Roman"/>
        <family val="1"/>
      </rPr>
      <t xml:space="preserve"> francs.CFA</t>
    </r>
  </si>
  <si>
    <t>Charles Théodore NDOUTOUMOU N.</t>
  </si>
  <si>
    <t>Du 02/01 au 23/02/2017</t>
  </si>
  <si>
    <r>
      <rPr>
        <i/>
        <sz val="11"/>
        <color theme="1"/>
        <rFont val="Arial Narrow"/>
        <family val="2"/>
      </rPr>
      <t xml:space="preserve">Certifie sincère et veritable la présente facture s'élèvant à la somme de: </t>
    </r>
    <r>
      <rPr>
        <b/>
        <i/>
        <sz val="10.5"/>
        <color theme="1"/>
        <rFont val="Arial Narrow"/>
        <family val="2"/>
      </rPr>
      <t/>
    </r>
  </si>
  <si>
    <t>Du 30/12 au 10/02/2017</t>
  </si>
  <si>
    <t>HPG</t>
  </si>
  <si>
    <t>Du 17/01 au 06/02/2017</t>
  </si>
  <si>
    <t>Equipements</t>
  </si>
  <si>
    <r>
      <rPr>
        <i/>
        <sz val="11"/>
        <color theme="1"/>
        <rFont val="Arial Narrow"/>
        <family val="2"/>
      </rPr>
      <t>Certifie sincère et veritable la présente facture s'élèvant à la somme de:</t>
    </r>
    <r>
      <rPr>
        <b/>
        <i/>
        <sz val="11"/>
        <color theme="1"/>
        <rFont val="Arial Narrow"/>
        <family val="2"/>
      </rPr>
      <t xml:space="preserve"> </t>
    </r>
    <r>
      <rPr>
        <b/>
        <i/>
        <sz val="10.5"/>
        <color theme="1"/>
        <rFont val="Arial Narrow"/>
        <family val="2"/>
      </rPr>
      <t xml:space="preserve"> </t>
    </r>
  </si>
  <si>
    <t>Du 27/12/16 au 15/01/2017</t>
  </si>
  <si>
    <t>014</t>
  </si>
  <si>
    <t>015</t>
  </si>
  <si>
    <t>016</t>
  </si>
  <si>
    <t>017</t>
  </si>
  <si>
    <t>018</t>
  </si>
  <si>
    <t>Du 01 /01 au 06/02/2017</t>
  </si>
  <si>
    <t xml:space="preserve">Charles Théodore NDOUTOUMOU N. </t>
  </si>
  <si>
    <r>
      <t>Liquidé le présent bordereau à la somme de :Six millions sept cent vingt-six mille deux cent cinquante</t>
    </r>
    <r>
      <rPr>
        <b/>
        <i/>
        <sz val="11"/>
        <color theme="1"/>
        <rFont val="Times New Roman"/>
        <family val="1"/>
      </rPr>
      <t xml:space="preserve"> francs.CFA</t>
    </r>
  </si>
  <si>
    <t>19</t>
  </si>
  <si>
    <t>20</t>
  </si>
  <si>
    <t>21</t>
  </si>
  <si>
    <t>22</t>
  </si>
  <si>
    <t>23</t>
  </si>
  <si>
    <t xml:space="preserve">RESTAURANT BAR ON-AIR 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</si>
  <si>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>Onze millions huite cent quarante-quatre  mille six cent soixante-douze</t>
    </r>
    <r>
      <rPr>
        <b/>
        <i/>
        <sz val="11"/>
        <color theme="1"/>
        <rFont val="Times New Roman"/>
        <family val="1"/>
      </rPr>
      <t xml:space="preserve"> francs.CFA</t>
    </r>
  </si>
  <si>
    <r>
      <rPr>
        <b/>
        <u/>
        <sz val="12"/>
        <color theme="1"/>
        <rFont val="Times New Roman"/>
        <family val="1"/>
      </rPr>
      <t>Charles Théodore NDOUTOUTMOU N.</t>
    </r>
    <r>
      <rPr>
        <b/>
        <sz val="12"/>
        <color theme="1"/>
        <rFont val="Times New Roman"/>
        <family val="1"/>
      </rPr>
      <t xml:space="preserve"> </t>
    </r>
  </si>
  <si>
    <t>24</t>
  </si>
  <si>
    <t>25</t>
  </si>
  <si>
    <t>26</t>
  </si>
  <si>
    <t>27</t>
  </si>
  <si>
    <t>28</t>
  </si>
  <si>
    <t>Du 01/01 au 21/12/2017</t>
  </si>
  <si>
    <t>GESPARC BIS</t>
  </si>
  <si>
    <t xml:space="preserve">AZUR 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</si>
  <si>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Neuf millions huit cent quarante mille vingt </t>
    </r>
    <r>
      <rPr>
        <b/>
        <i/>
        <sz val="11"/>
        <color theme="1"/>
        <rFont val="Times New Roman"/>
        <family val="1"/>
      </rPr>
      <t>francs.CFA</t>
    </r>
  </si>
  <si>
    <t>CONVENTION DOMANIALE</t>
  </si>
  <si>
    <r>
      <t xml:space="preserve">Certifie sincère que la présente facture d'avoir s'élève à la somme de: </t>
    </r>
    <r>
      <rPr>
        <b/>
        <sz val="11"/>
        <color theme="1"/>
        <rFont val="Arial Narrow"/>
        <family val="2"/>
      </rPr>
      <t xml:space="preserve"> </t>
    </r>
  </si>
  <si>
    <t>Certifie sincère que la présente facture d'avoir s'élève à la somme de:</t>
  </si>
  <si>
    <t xml:space="preserve">Certifie sincère que la  facture d'avoir s'élève à la somme de: </t>
  </si>
  <si>
    <r>
      <rPr>
        <i/>
        <sz val="11"/>
        <color theme="1"/>
        <rFont val="Arial Narrow"/>
        <family val="2"/>
      </rPr>
      <t>Certifie sincère et veritable la présente facture s'élèvant à la somme de</t>
    </r>
    <r>
      <rPr>
        <i/>
        <sz val="10.5"/>
        <color theme="1"/>
        <rFont val="Arial Narrow"/>
        <family val="2"/>
      </rPr>
      <t xml:space="preserve">: </t>
    </r>
  </si>
  <si>
    <t>29</t>
  </si>
  <si>
    <t>30</t>
  </si>
  <si>
    <t>31</t>
  </si>
  <si>
    <t>32</t>
  </si>
  <si>
    <t>33</t>
  </si>
  <si>
    <t>Tèl: 01 44 58 85</t>
  </si>
  <si>
    <t>AFRIJET 2</t>
  </si>
  <si>
    <t>AFRIJET 3</t>
  </si>
  <si>
    <t>Certifie sincère et veritable la présente facture s'élèvant à la somme de:</t>
  </si>
  <si>
    <t>Facture N°033</t>
  </si>
  <si>
    <t>Facture N°034</t>
  </si>
  <si>
    <t xml:space="preserve">HELI GABON 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</si>
  <si>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Cinquante-sept millions quatre cent vingt-deux mille cinq cent  </t>
    </r>
    <r>
      <rPr>
        <b/>
        <i/>
        <sz val="11"/>
        <color theme="1"/>
        <rFont val="Times New Roman"/>
        <family val="1"/>
      </rPr>
      <t xml:space="preserve"> francs.CFA</t>
    </r>
  </si>
  <si>
    <t>34</t>
  </si>
  <si>
    <t>35</t>
  </si>
  <si>
    <t>36</t>
  </si>
  <si>
    <t>37</t>
  </si>
  <si>
    <t>38</t>
  </si>
  <si>
    <t>Facture N°035</t>
  </si>
  <si>
    <t>Facture N°036</t>
  </si>
  <si>
    <t>Facture N°038</t>
  </si>
  <si>
    <t>AIRPORT SERVICES COMPANY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</si>
  <si>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 xml:space="preserve"> Cinquante-sept  millions quatre cent trente mille cinq cent francs.CFA</t>
    </r>
  </si>
  <si>
    <t>Facture N°041</t>
  </si>
  <si>
    <t xml:space="preserve">Certifie sincère  la présente facture s'élèvant à la somme de: </t>
  </si>
  <si>
    <t>39</t>
  </si>
  <si>
    <t>40</t>
  </si>
  <si>
    <t>41</t>
  </si>
  <si>
    <t>42</t>
  </si>
  <si>
    <t>43</t>
  </si>
  <si>
    <t>TMA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</si>
  <si>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Qarante-cinq millions neuf cent soixante-dix-sept mille cent soixante-huit   francs.CFA</t>
    </r>
  </si>
  <si>
    <t>Facture N°044</t>
  </si>
  <si>
    <t>44</t>
  </si>
  <si>
    <t>45</t>
  </si>
  <si>
    <t>46</t>
  </si>
  <si>
    <t>47</t>
  </si>
  <si>
    <t>48</t>
  </si>
  <si>
    <t>VIENNOISERIE ORIENTALE</t>
  </si>
  <si>
    <t>LA STE BUSINESS AIR LOGISTICS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</si>
  <si>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Neuf millions deux cent quarante mille  francs.CFA</t>
    </r>
  </si>
  <si>
    <t>UGB</t>
  </si>
  <si>
    <t>Tèl: 01 77 70 00</t>
  </si>
  <si>
    <t>N°OG/0007/2017</t>
  </si>
  <si>
    <t>Facture N°051</t>
  </si>
  <si>
    <t>Six cent trente mille (630 000 )F.CFA</t>
  </si>
  <si>
    <t>49</t>
  </si>
  <si>
    <t>50</t>
  </si>
  <si>
    <t>51</t>
  </si>
  <si>
    <t>52</t>
  </si>
  <si>
    <t>53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</si>
  <si>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 millions quatre-vingt-treize mille quatre cent quatre  francs.CFA</t>
    </r>
  </si>
  <si>
    <t>Un million quatre cent quarante mille (1 440 000 )Francs.CFA</t>
  </si>
  <si>
    <t>SCI LES PANTOUFLARDS</t>
  </si>
  <si>
    <t>N°OG/0008/2017</t>
  </si>
  <si>
    <t>Tèl: 01 79 13 02</t>
  </si>
  <si>
    <r>
      <t xml:space="preserve">Certifie sincère et veritable la présente facture s'élèvant à la somme de: </t>
    </r>
    <r>
      <rPr>
        <b/>
        <i/>
        <sz val="10.5"/>
        <color theme="1"/>
        <rFont val="Arial Narrow"/>
        <family val="2"/>
      </rPr>
      <t/>
    </r>
  </si>
  <si>
    <t>54</t>
  </si>
  <si>
    <t>55</t>
  </si>
  <si>
    <t>56</t>
  </si>
  <si>
    <t>57</t>
  </si>
  <si>
    <t>58</t>
  </si>
  <si>
    <r>
      <rPr>
        <b/>
        <u/>
        <sz val="12"/>
        <color theme="1"/>
        <rFont val="Arial Narrow"/>
        <family val="2"/>
      </rPr>
      <t>Charles Théodore NDOUTOUTMOU N.</t>
    </r>
    <r>
      <rPr>
        <b/>
        <sz val="12"/>
        <color theme="1"/>
        <rFont val="Arial Narrow"/>
        <family val="2"/>
      </rPr>
      <t xml:space="preserve"> </t>
    </r>
  </si>
  <si>
    <t>PROGAB</t>
  </si>
  <si>
    <t>SCI PANTOUFLARDS</t>
  </si>
  <si>
    <t>De Janv à Déc 2017</t>
  </si>
  <si>
    <t>AFRIJET 1</t>
  </si>
  <si>
    <t>BGFIBank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</si>
  <si>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Dix-huit millions sept cent quarante-quatre mille quatre cent seize francs.CFA</t>
    </r>
  </si>
  <si>
    <t>59</t>
  </si>
  <si>
    <t>60</t>
  </si>
  <si>
    <t>61</t>
  </si>
  <si>
    <t>62</t>
  </si>
  <si>
    <t>63</t>
  </si>
  <si>
    <t>CALAO CAF</t>
  </si>
  <si>
    <t xml:space="preserve">AVS INTERNATIONALE 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</si>
  <si>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Dix-sept millions millions quatre cent trente-trois mille  francs.CFA</t>
    </r>
  </si>
  <si>
    <t>64</t>
  </si>
  <si>
    <t>65</t>
  </si>
  <si>
    <t>66</t>
  </si>
  <si>
    <t>67</t>
  </si>
  <si>
    <t>68</t>
  </si>
  <si>
    <t>N°GR/017/2015</t>
  </si>
  <si>
    <t xml:space="preserve">Certifie sincère et veritable la présente facture s'élèvant à la somme de:  </t>
  </si>
  <si>
    <t>01</t>
  </si>
  <si>
    <t xml:space="preserve">OLAM PALM </t>
  </si>
  <si>
    <t xml:space="preserve">BORDEREAU D'EMISSION DES BANQUES D'ENREGISTREMENT &amp; CONVENTIONS DOMANIALES </t>
  </si>
  <si>
    <t>Du 03 au 30/03/ 2017</t>
  </si>
  <si>
    <t>Du 01 au 26/03/ 2017</t>
  </si>
  <si>
    <r>
      <t>Liquidé le présent bordereau à la somme de :Dix-neuf</t>
    </r>
    <r>
      <rPr>
        <b/>
        <i/>
        <sz val="11"/>
        <color theme="1"/>
        <rFont val="Times New Roman"/>
        <family val="1"/>
      </rPr>
      <t xml:space="preserve"> millions neuf cent quatre-vingt-dix-sept  mille  cent quatre-vingt-seize francs.CFA</t>
    </r>
  </si>
  <si>
    <t>BP:1717</t>
  </si>
  <si>
    <t>N°OG/0011/2017</t>
  </si>
  <si>
    <t>Sept millions huit cent vingt-un mille deux cent quarante (7 821 240) Francs.CFA</t>
  </si>
  <si>
    <t>Du 14/11/16 au 17/01/ 2017</t>
  </si>
  <si>
    <t>Du 01 au 31/03/ 2017</t>
  </si>
  <si>
    <t>Du 14 au 30/11/ 2016</t>
  </si>
  <si>
    <t>Du 14 au 30/11/2016</t>
  </si>
  <si>
    <t>Du 01 au 28/02/2017</t>
  </si>
  <si>
    <t>Du 01 au 31 /12/2016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</si>
  <si>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Trois millions neuf cent  mille  francs.CFA</t>
    </r>
  </si>
  <si>
    <t>Du 30/11/16 au 19/11/2017</t>
  </si>
  <si>
    <t>LE CONSEIL GABONAIS DES CHARGEURS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</si>
  <si>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Quatre  cent quarante-neuf mille francs.CFA</t>
    </r>
  </si>
  <si>
    <t>De Mars à Déc 2016</t>
  </si>
  <si>
    <r>
      <t xml:space="preserve">Certifie sincère et veritable la présente facture s'élèvant à la somme de: </t>
    </r>
    <r>
      <rPr>
        <b/>
        <i/>
        <sz val="11"/>
        <color theme="1"/>
        <rFont val="Arial Narrow"/>
        <family val="2"/>
      </rPr>
      <t xml:space="preserve"> </t>
    </r>
  </si>
  <si>
    <r>
      <t>Certifie sincère et veritable la présente facture s'élèvant à la somme de:</t>
    </r>
    <r>
      <rPr>
        <b/>
        <i/>
        <sz val="11"/>
        <color theme="1"/>
        <rFont val="Arial Narrow"/>
        <family val="2"/>
      </rPr>
      <t xml:space="preserve"> </t>
    </r>
  </si>
  <si>
    <r>
      <rPr>
        <i/>
        <sz val="11"/>
        <color theme="1"/>
        <rFont val="Arial Narrow"/>
        <family val="2"/>
      </rPr>
      <t>Certifie sincère et veritable la présente facture s'élèvant à la somme de:</t>
    </r>
    <r>
      <rPr>
        <b/>
        <i/>
        <sz val="11"/>
        <color theme="1"/>
        <rFont val="Arial Narrow"/>
        <family val="2"/>
      </rPr>
      <t xml:space="preserve"> </t>
    </r>
  </si>
  <si>
    <t xml:space="preserve">Charles Théodore NDOUTOUTMOU N. </t>
  </si>
  <si>
    <t>Du 31/03 au 14/04/ 2017</t>
  </si>
  <si>
    <t xml:space="preserve">Du 01 au 12/04/2017 </t>
  </si>
  <si>
    <t xml:space="preserve">Du 27/03 au 12/04/2017 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</si>
  <si>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Huit millions neuf cent quatre-vingt-dix-sept mille neuf cent soixante-quinze francs.CFA</t>
    </r>
  </si>
  <si>
    <t xml:space="preserve">BORDEREAU D'EMISSION D'AVOIR  </t>
  </si>
  <si>
    <t xml:space="preserve">BORDEREAU D'EMISSION DES  BANQUES D'ENREGISTREMENT </t>
  </si>
  <si>
    <t>Du 25/11 au 10/12/2016</t>
  </si>
  <si>
    <t>Du 01 au 10/01/2017</t>
  </si>
  <si>
    <t>Du 21 au 31/12/2016</t>
  </si>
  <si>
    <t>Du 11 au 17/12/2016</t>
  </si>
  <si>
    <t>Du 11 au 20/01/2017</t>
  </si>
  <si>
    <t>Du 22 au 31/01/2017</t>
  </si>
  <si>
    <t>GILDAS BOUSSAMBA</t>
  </si>
  <si>
    <t>De Juil à Déc 2017</t>
  </si>
  <si>
    <t xml:space="preserve">FRET SERVICES LOGISTIQUE 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</si>
  <si>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Trois millions deux cent soixante-seize mille   francs.CFA</t>
    </r>
  </si>
  <si>
    <t>Du 01 au 10/02/2017</t>
  </si>
  <si>
    <t>Du 11 au 20/02/2017</t>
  </si>
  <si>
    <t>Du 21 au 26/02/2017</t>
  </si>
  <si>
    <t>Du 07 au 10/03/2017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</si>
  <si>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Un million sept cent quatre-vingt-un mille  francs.CFA</t>
    </r>
  </si>
  <si>
    <t>Du 10 au 20/03/2017</t>
  </si>
  <si>
    <t>Du 21 au 31/03/2017</t>
  </si>
  <si>
    <t>Du 16 au 30/04/2017</t>
  </si>
  <si>
    <t>Du 01 au 10/04/2017</t>
  </si>
  <si>
    <t>Du 11 au 20/04/2017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</si>
  <si>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uN million neuf cent trente-quatre  mille  francs.CFA</t>
    </r>
  </si>
  <si>
    <t>115</t>
  </si>
  <si>
    <t>Du 21 au 30/04/2017</t>
  </si>
  <si>
    <t>Du 28/01 au 23/02/2017</t>
  </si>
  <si>
    <t>Du 04 au 27/04/2017</t>
  </si>
  <si>
    <t>Du 01 au 04/05/2016</t>
  </si>
  <si>
    <t>Du 02 au 29/03/2017</t>
  </si>
  <si>
    <t>Tél: 06 71 71 78</t>
  </si>
  <si>
    <t>Du 14 au 30/04/2017</t>
  </si>
  <si>
    <t>Du 02 au 30/06/2017</t>
  </si>
  <si>
    <r>
      <t>Liquidé le présent bordereau à la somme de :</t>
    </r>
    <r>
      <rPr>
        <b/>
        <sz val="11"/>
        <color theme="1"/>
        <rFont val="Times New Roman"/>
        <family val="1"/>
      </rPr>
      <t xml:space="preserve"> Un million </t>
    </r>
    <r>
      <rPr>
        <b/>
        <i/>
        <sz val="11"/>
        <color theme="1"/>
        <rFont val="Times New Roman"/>
        <family val="1"/>
      </rPr>
      <t>six mille francs.CFA</t>
    </r>
  </si>
  <si>
    <t>121</t>
  </si>
  <si>
    <t>Du 03 au 31/05/2016</t>
  </si>
  <si>
    <t>Du 12 au 30/04/2017</t>
  </si>
  <si>
    <t>Du 01 au 31/05/2017</t>
  </si>
  <si>
    <t>Du 02 au 30/05/2017</t>
  </si>
  <si>
    <t>Du 02 au 31/01/2017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</si>
  <si>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Deux millions deux cent quarante-un mille  francs.CFA</t>
    </r>
  </si>
  <si>
    <t>127</t>
  </si>
  <si>
    <t>Du 01 au 10/06/2017</t>
  </si>
  <si>
    <t>Du 11 au 20/06/2017</t>
  </si>
  <si>
    <t>Du 21 au 30/06/2017</t>
  </si>
  <si>
    <r>
      <t>Certifie sincère que la présente facture  s'élève à la somme de:</t>
    </r>
    <r>
      <rPr>
        <b/>
        <sz val="11"/>
        <color theme="1"/>
        <rFont val="Arial Narrow"/>
        <family val="2"/>
      </rPr>
      <t xml:space="preserve"> </t>
    </r>
  </si>
  <si>
    <t xml:space="preserve">PRODUITS PARKING  </t>
  </si>
  <si>
    <t>Journée du 19/01 /2017                   Quittance: 17456-17457</t>
  </si>
  <si>
    <t>Journée du 27/02 /2017                  Quittance: 17462-17463</t>
  </si>
  <si>
    <t>Période du 14 au 29/03/2017        Quittance: 17441-17468</t>
  </si>
  <si>
    <t>Journée du 30/06 /2017                   Quittance: 60034</t>
  </si>
  <si>
    <t>Période du 31/07  au 23/08/2017        Quittance: 60050-60077</t>
  </si>
  <si>
    <t>HARIOM</t>
  </si>
  <si>
    <t>CLIENTS PARKING</t>
  </si>
  <si>
    <t>DE Avril à  Déc 2017</t>
  </si>
  <si>
    <t>Du 11 au 12/07/2017</t>
  </si>
  <si>
    <t>Du 19 au 23/08/2017</t>
  </si>
  <si>
    <t>140</t>
  </si>
  <si>
    <t>Du 02 au 13/10/2017</t>
  </si>
  <si>
    <t>AFRJET</t>
  </si>
  <si>
    <t>Du 02 au 11/10/2017</t>
  </si>
  <si>
    <t>BORDEREAU D'EMISSION DES BANQUES D'ENREGISTREMENT &amp; PROLONGATIONS D'OUVERTURE DE PISTE</t>
  </si>
  <si>
    <t xml:space="preserve">BORDEREAU D'EMISSION DES PROLONGATIONS D'OUVERTURE DE PISTE ET AVOIR </t>
  </si>
  <si>
    <t>Du 01 au 16/07/2017</t>
  </si>
  <si>
    <t>Du 23 au 30/08/2017</t>
  </si>
  <si>
    <t>Du 02 au 27/08/2017</t>
  </si>
  <si>
    <r>
      <t>Liquidé le présent bordereau à la somme de :</t>
    </r>
    <r>
      <rPr>
        <b/>
        <sz val="11"/>
        <color theme="1"/>
        <rFont val="Times New Roman"/>
        <family val="1"/>
      </rPr>
      <t>Neuf cent vingt</t>
    </r>
    <r>
      <rPr>
        <b/>
        <i/>
        <sz val="11"/>
        <color theme="1"/>
        <rFont val="Times New Roman"/>
        <family val="1"/>
      </rPr>
      <t xml:space="preserve">  mille francs.CFA</t>
    </r>
  </si>
  <si>
    <t>Du 02 au 14/07/2017</t>
  </si>
  <si>
    <t>Du 01 au 10/07/2017</t>
  </si>
  <si>
    <t>Du 11 au 19/07/2017</t>
  </si>
  <si>
    <t>Du 11 au 30/08/2017</t>
  </si>
  <si>
    <t>Du 02 au 21/05/2017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</si>
  <si>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 Cinq </t>
    </r>
    <r>
      <rPr>
        <b/>
        <i/>
        <sz val="11"/>
        <color theme="1"/>
        <rFont val="Times New Roman"/>
        <family val="1"/>
      </rPr>
      <t>millions neuf  cent soixante-deux milledeux cent quarante francs.CFA</t>
    </r>
  </si>
  <si>
    <t>Du 01 au 28/09/2017</t>
  </si>
  <si>
    <t>Du 01 au 10/08/2017</t>
  </si>
  <si>
    <t>Du 12 au 30/10/2017</t>
  </si>
  <si>
    <t>Du 17 au 31/07/2017</t>
  </si>
  <si>
    <t>Du 02 au 21/08/2017</t>
  </si>
  <si>
    <t>159</t>
  </si>
  <si>
    <t>BORDEREAU D'EMISSION DE BANQUES D'ENREGISTREMENT &amp; PRODUITS DIVERS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</si>
  <si>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Soixante-dix-huit  millions cent quatre-vingt-quatorze  mille </t>
    </r>
    <r>
      <rPr>
        <b/>
        <i/>
        <sz val="11"/>
        <color theme="1"/>
        <rFont val="Times New Roman"/>
        <family val="1"/>
      </rPr>
      <t xml:space="preserve"> quatre cent quatre-vingt-un francs.CFA</t>
    </r>
  </si>
  <si>
    <t>Du 05 au 12/11/2017</t>
  </si>
  <si>
    <t>Du 01 au 12/11/2017</t>
  </si>
  <si>
    <t>158</t>
  </si>
  <si>
    <t>156</t>
  </si>
  <si>
    <t>157</t>
  </si>
  <si>
    <t>MME LUCIENNE MOUKOKO</t>
  </si>
  <si>
    <t>0001349-0001353</t>
  </si>
  <si>
    <t>Série n° 0001282-001291</t>
  </si>
  <si>
    <t xml:space="preserve">BP:525 Port-Gentil </t>
  </si>
  <si>
    <t>Tèl: 01 77 60 00/01 55 60 00</t>
  </si>
  <si>
    <t>Certifie sincère  la présente facture  à la somme de: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</si>
  <si>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Deux millions soixante-dix  mille  francs.CFA</t>
    </r>
  </si>
  <si>
    <t>161</t>
  </si>
  <si>
    <t>162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</si>
  <si>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  Trois cent quatre-vingt mille  </t>
    </r>
    <r>
      <rPr>
        <b/>
        <i/>
        <sz val="11"/>
        <color theme="1"/>
        <rFont val="Times New Roman"/>
        <family val="1"/>
      </rPr>
      <t xml:space="preserve"> francs.CFA</t>
    </r>
  </si>
  <si>
    <t>Du 08/09 au 01/10/2017</t>
  </si>
  <si>
    <t>Du 20/09 au 01/10/2017</t>
  </si>
  <si>
    <t>Série n° 0001320-0001331</t>
  </si>
  <si>
    <r>
      <t>Certifie sincère et veritable la présente facture s'élèvant à la somme de:</t>
    </r>
    <r>
      <rPr>
        <b/>
        <i/>
        <sz val="11"/>
        <color theme="1"/>
        <rFont val="Arial Narrow"/>
        <family val="2"/>
      </rPr>
      <t xml:space="preserve">  </t>
    </r>
  </si>
  <si>
    <t>QUATRE-VINGT MILLE (80 000 )F.CFA</t>
  </si>
  <si>
    <t>Facture N° 162</t>
  </si>
  <si>
    <t>Série n° 000392-000400/0001251-0001256</t>
  </si>
  <si>
    <t>TROIS CENT MILLE (300 000 )F.CFA</t>
  </si>
  <si>
    <t>163</t>
  </si>
  <si>
    <t>Du 11 au 26/06/2017</t>
  </si>
  <si>
    <t>168</t>
  </si>
  <si>
    <t>Du 03 au 31/05/2017</t>
  </si>
  <si>
    <t>Du 13 au 29/11/2017</t>
  </si>
  <si>
    <t>Du 13 au 30/11/2017</t>
  </si>
  <si>
    <t>173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</si>
  <si>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 cent cinquante-sept mille  francs.CFA</t>
    </r>
  </si>
  <si>
    <t>0001232-0001300/0001451-0001464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</si>
  <si>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Un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million trois cent vingt-six  mille  francs.CFA</t>
    </r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</si>
  <si>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Neuf cent quatre-vingt mille  francs.CFA</t>
    </r>
  </si>
  <si>
    <t xml:space="preserve">BORDEREAU D'EMISSION DE FACTURES D'AVOIR 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</si>
  <si>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Deux millions cinq cent vingt-deux  mille   francs.CFA</t>
    </r>
  </si>
  <si>
    <r>
      <t xml:space="preserve">Liquidé le présent bordereau à la somme de :Deux </t>
    </r>
    <r>
      <rPr>
        <b/>
        <i/>
        <sz val="11"/>
        <color theme="1"/>
        <rFont val="Times New Roman"/>
        <family val="1"/>
      </rPr>
      <t xml:space="preserve"> millions cinq  cent quatre-vingt-quatre mille francs.CFA</t>
    </r>
  </si>
  <si>
    <t>129</t>
  </si>
  <si>
    <t>114</t>
  </si>
  <si>
    <t>113</t>
  </si>
  <si>
    <t>120</t>
  </si>
  <si>
    <t>122</t>
  </si>
  <si>
    <t>126</t>
  </si>
  <si>
    <t>128</t>
  </si>
  <si>
    <t>130</t>
  </si>
  <si>
    <t>176</t>
  </si>
  <si>
    <t>Du 16/05 au 28/06/2017</t>
  </si>
  <si>
    <t>Du 27/10 au 28/11/2017</t>
  </si>
  <si>
    <t>Du 29/09 au 25/10/2017</t>
  </si>
  <si>
    <t>Du 25/10 au 21/11/2017</t>
  </si>
  <si>
    <t>Du 01 au 11/12/2017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</si>
  <si>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Deux millions neuf  cent vingt  mille  francs.CFA</t>
    </r>
  </si>
  <si>
    <t>Du 13 au 31/12/2017</t>
  </si>
  <si>
    <t>Du 01 au 31/12/2017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</si>
  <si>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Cinq millions cinquante mille   francs.CFA</t>
    </r>
  </si>
  <si>
    <t>Du 01/01  au 31/12/ 2018</t>
  </si>
  <si>
    <t>Du 01/01 au 31/12/2018</t>
  </si>
  <si>
    <t>EXERCICE: 2018</t>
  </si>
  <si>
    <t xml:space="preserve">BAR VIP Mme Massassa </t>
  </si>
  <si>
    <r>
      <t>Liquidé le présent bordereau à la somme de :Six</t>
    </r>
    <r>
      <rPr>
        <b/>
        <sz val="12"/>
        <color theme="1"/>
        <rFont val="Times New Roman"/>
        <family val="1"/>
      </rPr>
      <t xml:space="preserve"> millions neuf cent vingt-quatre  mille </t>
    </r>
    <r>
      <rPr>
        <b/>
        <i/>
        <sz val="12"/>
        <color theme="1"/>
        <rFont val="Times New Roman"/>
        <family val="1"/>
      </rPr>
      <t xml:space="preserve"> francs.CFA</t>
    </r>
  </si>
  <si>
    <t>MASSASSA/Free shop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</si>
  <si>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Quatorze millions neuf cent vingt-sept mille </t>
    </r>
    <r>
      <rPr>
        <b/>
        <i/>
        <sz val="11"/>
        <color theme="1"/>
        <rFont val="Times New Roman"/>
        <family val="1"/>
      </rPr>
      <t xml:space="preserve"> francs.CFA</t>
    </r>
  </si>
  <si>
    <t>011</t>
  </si>
  <si>
    <t>012</t>
  </si>
  <si>
    <t>KOULA MOUTOU</t>
  </si>
  <si>
    <t>013</t>
  </si>
  <si>
    <t>PRESTY MAZAN/ Bar aérogare</t>
  </si>
  <si>
    <t>DOCTEUR KOUAME</t>
  </si>
  <si>
    <r>
      <t>Liquidé le présent bordereau à la somme de :</t>
    </r>
    <r>
      <rPr>
        <b/>
        <sz val="11"/>
        <color theme="1"/>
        <rFont val="Times New Roman"/>
        <family val="1"/>
      </rPr>
      <t xml:space="preserve">Trois millions cinq cent cinq mille </t>
    </r>
    <r>
      <rPr>
        <b/>
        <i/>
        <sz val="11"/>
        <color theme="1"/>
        <rFont val="Times New Roman"/>
        <family val="1"/>
      </rPr>
      <t>francs.CFA</t>
    </r>
  </si>
  <si>
    <t>18</t>
  </si>
  <si>
    <t>M. BOUSSAMBA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</si>
  <si>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>Quatre millions trois cent soixante-cinq  mille</t>
    </r>
    <r>
      <rPr>
        <b/>
        <i/>
        <sz val="11"/>
        <color theme="1"/>
        <rFont val="Times New Roman"/>
        <family val="1"/>
      </rPr>
      <t xml:space="preserve"> francs.CFA</t>
    </r>
  </si>
  <si>
    <t>BP: 821 Tèl: 06 66 90 99</t>
  </si>
  <si>
    <t>Tèl: 07 07 02 48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</si>
  <si>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Cinquante-sept millions six cent dix mille quatre cent cinquante francs.CFA</t>
    </r>
  </si>
  <si>
    <t xml:space="preserve"> Bordereau N°: 007</t>
  </si>
  <si>
    <t>EQUAFLIGHT SERVICE 1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</si>
  <si>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Dix-neuf millions quatre cent soixante-sept mille  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</si>
  <si>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 xml:space="preserve"> Cinquante-quatre millions huit cent trente six mille cinq cent francs.CFA</t>
    </r>
  </si>
  <si>
    <t>DIETSMANN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</si>
  <si>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Qarante millions sept cent trente sept mille quatre cent quatre-vingt-dix   francs.CFA</t>
    </r>
  </si>
  <si>
    <t>TROPICAL AIR 1</t>
  </si>
  <si>
    <t>EQUAFLIGHT SERVICE 2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</si>
  <si>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Dix-sept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millions deux cent quatre-vingt-deux  mille  cent douze francs.CFA</t>
    </r>
  </si>
  <si>
    <t>AFRIJET POG</t>
  </si>
  <si>
    <t>BGFIBANK</t>
  </si>
  <si>
    <t>AVANTIS ET SERVICES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</si>
  <si>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Trente millions cent trente cinq mille huit cent vingt  francs.CFA</t>
    </r>
  </si>
  <si>
    <t>BUSIBESS AIR LOGISTICS</t>
  </si>
  <si>
    <t>BECC2</t>
  </si>
  <si>
    <t>CONSEIL GABONAIS DES CHARGEURS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</si>
  <si>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 millions deux mille huit cent quarante francs.CFA</t>
    </r>
  </si>
  <si>
    <t>Mme MOUKOKO VIP POG</t>
  </si>
  <si>
    <t>FSL FRET LOGISTIQUE SERVICE</t>
  </si>
  <si>
    <t>De Janv à Déc 2018</t>
  </si>
  <si>
    <t>FRAIS GENERAUX SUR RED. SURETE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</si>
  <si>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Quinze millions cinq cent quarante neuf mille neuf cent  mille   francs.CFA</t>
    </r>
  </si>
  <si>
    <t>Doit</t>
  </si>
  <si>
    <t>Tèl: 02 01 83 17</t>
  </si>
  <si>
    <t>BP:  Tèl: 04 21 30 03</t>
  </si>
  <si>
    <t>UN MILLION DEUX  CENT SOIXANTE MILLE Francs.CFA</t>
  </si>
  <si>
    <t>NEUF CENT QUARANTE-CINQ  MILLE  (945 000) Francs.CFA</t>
  </si>
  <si>
    <t>Facture N°027</t>
  </si>
  <si>
    <t>N°OG/0013/2015</t>
  </si>
  <si>
    <t xml:space="preserve">  BP: 4247 </t>
  </si>
  <si>
    <t>HUIT MILLIONS HUIT CENT VINGT MILLE   (8 820 000)Francs.CFA</t>
  </si>
  <si>
    <t>N°OG/021/2015</t>
  </si>
  <si>
    <t>UN MILLION QUATRE CENT QUARANTE-QUATRE  MILLE (1 444 000) Francs.CFA</t>
  </si>
  <si>
    <t xml:space="preserve">CINQ MILLIONS DEUX CENT CINQUANTE MILLE (5 250 000)Francs.CFA </t>
  </si>
  <si>
    <t xml:space="preserve">PORT-GENTIL </t>
  </si>
  <si>
    <t>Tèl: 07 72 07 72</t>
  </si>
  <si>
    <t>BECC 2</t>
  </si>
  <si>
    <t>Deux millions cinq cent mille (2 500 000 )Francs.CFA</t>
  </si>
  <si>
    <t>TROPICAL AIR 2</t>
  </si>
  <si>
    <t>Tèl: 01 76 32 95</t>
  </si>
  <si>
    <t>Tèl: 07 85 10 38</t>
  </si>
  <si>
    <t>Tèl: 01 44 48 19</t>
  </si>
  <si>
    <t>Du 01 au 28/02/2018</t>
  </si>
  <si>
    <t>Du 02 au 28/02/2018</t>
  </si>
  <si>
    <t>Du 03 au 31/01/2018</t>
  </si>
  <si>
    <t>Du 04 au 31/01/2018</t>
  </si>
  <si>
    <t>001401-001434</t>
  </si>
  <si>
    <t>BORDEREAU D'EMISSION DES BANQUES D'ENREGISTREMENT &amp; PRODUITS DIVERS</t>
  </si>
  <si>
    <t>De janv à juin 2017</t>
  </si>
  <si>
    <r>
      <t>Liquidé le présent bordereau à la somme de :Quarante</t>
    </r>
    <r>
      <rPr>
        <b/>
        <i/>
        <sz val="11"/>
        <color theme="1"/>
        <rFont val="Times New Roman"/>
        <family val="1"/>
      </rPr>
      <t xml:space="preserve"> millions six  cent quarante-un mille six cent vingt-quatre   francs.CFA</t>
    </r>
  </si>
  <si>
    <t>DIRECTION DES IMPOTS</t>
  </si>
  <si>
    <t xml:space="preserve">BORDEREAU D'EMISSION DES BANQUES D'ENREGISTREMENT &amp; DES CONVENTIONS DOMANIALES </t>
  </si>
  <si>
    <t>TALLYA Voyags &amp; services</t>
  </si>
  <si>
    <t>Du 28/02 au 02/04/2018</t>
  </si>
  <si>
    <t>Du 15/03 au 31/12/2018</t>
  </si>
  <si>
    <t>Parfait AMALET</t>
  </si>
  <si>
    <t>Du 11 au 30/12/2018</t>
  </si>
  <si>
    <t>180</t>
  </si>
  <si>
    <t xml:space="preserve"> Bordereau N°: 048</t>
  </si>
  <si>
    <t xml:space="preserve">BORDEREAU D'EMISSION SUR LES BANQUES D'ENREGISTREMENT </t>
  </si>
  <si>
    <r>
      <t xml:space="preserve">Liquidé le présent bordereau à la somme de: </t>
    </r>
    <r>
      <rPr>
        <b/>
        <i/>
        <sz val="11"/>
        <color theme="1"/>
        <rFont val="Times New Roman"/>
        <family val="1"/>
      </rPr>
      <t xml:space="preserve">Six cent quatre-vingt-un </t>
    </r>
    <r>
      <rPr>
        <b/>
        <i/>
        <sz val="11"/>
        <color theme="1"/>
        <rFont val="Times New Roman"/>
        <family val="1"/>
      </rPr>
      <t>mille cinq cent francs.CFA</t>
    </r>
  </si>
  <si>
    <t>EXERCICE: 2019</t>
  </si>
  <si>
    <t>0012</t>
  </si>
  <si>
    <t>0013</t>
  </si>
  <si>
    <t>0014</t>
  </si>
  <si>
    <t>Du 15/07 au 28/08/2018</t>
  </si>
  <si>
    <t>Du 11/07 au 22/08/2018</t>
  </si>
  <si>
    <t>Du 01/08 au 22/08/2018</t>
  </si>
  <si>
    <t>Du 18/07 au 01/08/2018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</si>
  <si>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Un </t>
    </r>
    <r>
      <rPr>
        <b/>
        <i/>
        <sz val="12"/>
        <color theme="1"/>
        <rFont val="Times New Roman"/>
        <family val="1"/>
      </rPr>
      <t>million douze  mille  francs.CFA</t>
    </r>
  </si>
  <si>
    <t>Du 08/06 au 24/08/2018</t>
  </si>
  <si>
    <t>Du 25/07 au 19/08/2018</t>
  </si>
  <si>
    <t>Du 13/07 au 23/07/2018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</si>
  <si>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Deux millions soixante huit  mille  francs.CFA</t>
    </r>
  </si>
  <si>
    <t xml:space="preserve">Parfait AMALET </t>
  </si>
  <si>
    <t>Du 01/01 au 31/12/2019</t>
  </si>
  <si>
    <t>Du 01/01 au 31/01/2019</t>
  </si>
  <si>
    <t xml:space="preserve">COREX INTERNATIONAL 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</si>
  <si>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Cent trente huit millions cinq cent quatre  vingt dix sept mille huit cent quarante francs.CFA</t>
    </r>
  </si>
  <si>
    <t>Facture N°015</t>
  </si>
  <si>
    <t>SCI LES PANTOUFLARS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</si>
  <si>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 trois millions huit cent cinquante huit  mille six cent quarante francs.CFA</t>
    </r>
  </si>
  <si>
    <t>N°OG/001/2018</t>
  </si>
  <si>
    <t>TRENTE TROIS  MILLIONS CENT  QUATRE VINGT QUINZE MILLE  (33 195 000)Francs.CFA</t>
  </si>
  <si>
    <t>019</t>
  </si>
  <si>
    <t>Du 01 au 31/12/2019</t>
  </si>
  <si>
    <t>Mme MFOUMOU/BAR AEROGARE</t>
  </si>
  <si>
    <t>BECC 1</t>
  </si>
  <si>
    <t>LOXEA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</si>
  <si>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Dix-sept millions neuf cent quatre-vingt quatre mille quatre cent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</si>
  <si>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008</t>
    </r>
  </si>
  <si>
    <t xml:space="preserve">CLIENTS DIVERS </t>
  </si>
  <si>
    <t>Du 01/02 au 28/02/2019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</si>
  <si>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Qurante-huit millions neuf cent vingt huit mille huit cent cinquante deux francs.CFA</t>
    </r>
  </si>
  <si>
    <t>FSL FRET LOGISTIQUE SERVICES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</si>
  <si>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Trente six millions vingt six  mille neuf cent soixante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</si>
  <si>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Trente trois millions neuf cent quarante quatre mille neuf cent quatre-vingt-dix   francs.CFA</t>
    </r>
  </si>
  <si>
    <t>AFRIJET POG 2</t>
  </si>
  <si>
    <t>Facture N°019</t>
  </si>
  <si>
    <t>BP: 07 51 73 83</t>
  </si>
  <si>
    <t>N°OG/0031/2019</t>
  </si>
  <si>
    <t>N°OG/0015/2019</t>
  </si>
  <si>
    <t>N°OG/0013/2019</t>
  </si>
  <si>
    <t xml:space="preserve">Patfait AMALET </t>
  </si>
  <si>
    <t>N°GR/0001/2019</t>
  </si>
  <si>
    <t>N°OG/0032/2019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</si>
  <si>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Treize millions neuf cent quatre vingt sept mille  cinq cent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</si>
  <si>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 six millions neuf cent quatre vingt quinze  mille  quarante  francs.CFA</t>
    </r>
  </si>
  <si>
    <t>N°OG/0030/2019</t>
  </si>
  <si>
    <t>N°OG/0034/2019</t>
  </si>
  <si>
    <t>N°OG/0023/2019</t>
  </si>
  <si>
    <t>TROIS MILLIONS NEUF CENT TRENTE SEPT MILLE CINQ CENT  (3 937 500 )F.CFA</t>
  </si>
  <si>
    <t>CALAO CAFE 2</t>
  </si>
  <si>
    <t>N°OG/0017/2019</t>
  </si>
  <si>
    <t>CALAO CAFE 1</t>
  </si>
  <si>
    <t>BP:2664 /Tél. 02 42 11 42</t>
  </si>
  <si>
    <t>TROIS MILLIONS SEPT CENT QUATRE VINGT MILLE  (3 780 000)Francs.CFA</t>
  </si>
  <si>
    <t>Facture N°043</t>
  </si>
  <si>
    <t>Facture N°048</t>
  </si>
  <si>
    <t xml:space="preserve"> Tèl: 04 09 46 47</t>
  </si>
  <si>
    <t>N°OG/0019/2015</t>
  </si>
  <si>
    <t>N°OL/0001/2019/TRN</t>
  </si>
  <si>
    <t xml:space="preserve">PRESTY MAZAN/Bar Aérogare </t>
  </si>
  <si>
    <t>AFRIJET MVG</t>
  </si>
  <si>
    <t>De Janv à Déc 2019</t>
  </si>
  <si>
    <t>TALLYA VOYAGE ET SERVICE</t>
  </si>
  <si>
    <t>FREE SHOP/ Mme MASSASSA</t>
  </si>
  <si>
    <t>BAR VIP/ Mme MASSASSA</t>
  </si>
  <si>
    <r>
      <t>Liquidé le présent bordereau à la somme de :Trois</t>
    </r>
    <r>
      <rPr>
        <b/>
        <i/>
        <sz val="11"/>
        <color theme="1"/>
        <rFont val="Times New Roman"/>
        <family val="1"/>
      </rPr>
      <t xml:space="preserve"> millions cinq  cent soixante huit mille  cent soixante douze  francs.CFA</t>
    </r>
  </si>
  <si>
    <t xml:space="preserve">MME NGOUNDA </t>
  </si>
  <si>
    <t>KOULA-MOUTOU</t>
  </si>
  <si>
    <t>N°GK/0001/2019</t>
  </si>
  <si>
    <t>PRESTY MAZAN/Bar Aérogare</t>
  </si>
  <si>
    <t>N°ON/0001/2019</t>
  </si>
  <si>
    <r>
      <t>Certifie sincère et veritable la présente facture s'élèvant à la somme de:</t>
    </r>
    <r>
      <rPr>
        <b/>
        <i/>
        <sz val="10.5"/>
        <color theme="1"/>
        <rFont val="Arial Narrow"/>
        <family val="2"/>
      </rPr>
      <t/>
    </r>
  </si>
  <si>
    <t>Tèl: 07 54 38 30</t>
  </si>
  <si>
    <t>Librevile</t>
  </si>
  <si>
    <t>UN MILLION HUIT MILLE Francs. CFA  (1 008 000) Francs.CFA</t>
  </si>
  <si>
    <t>Tèl: 07 35 29 61</t>
  </si>
  <si>
    <t>SIX CENT TRENTE MILLE (630 000)Francs.CFA</t>
  </si>
  <si>
    <t>AFRIJET MVG 2</t>
  </si>
  <si>
    <t>AFRIJET MVB 2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</si>
  <si>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Quatre millions huit cent deux   mille cinq cent 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</si>
  <si>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Deux millions onze mille  (2 011 000) francs.CFA</t>
    </r>
  </si>
  <si>
    <t>Facture N°020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</si>
  <si>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Dix-neuf millions  huit cent vingt neuf mille cinq cent  francs.CFA</t>
    </r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</si>
  <si>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Cinq millions francs.CFA</t>
    </r>
  </si>
  <si>
    <t>Du 18/07 au 22/08/2018</t>
  </si>
  <si>
    <t xml:space="preserve"> LA NATIONALE</t>
  </si>
  <si>
    <t>Du 13/07 au 19/08/2018</t>
  </si>
  <si>
    <t>Du 24/02 au 12/03/2019</t>
  </si>
  <si>
    <t>Du 30/01 au 12/03/2019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</si>
  <si>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Trois millions  deux cent quatre vingt mille  francs.CFA</t>
    </r>
  </si>
  <si>
    <t>Du 31/12/18 au 14/04/19</t>
  </si>
  <si>
    <t xml:space="preserve">BORDEREAU D'EMISSION  DES CONVENTIONS DOMANIALES </t>
  </si>
  <si>
    <t>Du 01 au 31/03/ 2019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</si>
  <si>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Deux millions quatre cent quatre-vingt cinq  mille  cent cinquante francs.CFA</t>
    </r>
  </si>
  <si>
    <t>BORDEREAU D'EMISSION DES BANQUES D'ENREGISTREMENT &amp; PARKING</t>
  </si>
  <si>
    <t>Du 15/04 au 12/05/2019</t>
  </si>
  <si>
    <t>Du 27/12 au 28/03/2019</t>
  </si>
  <si>
    <t>Du 01 au 30/04/ 2019</t>
  </si>
  <si>
    <t>Du 19/03 au 06/04/2019</t>
  </si>
  <si>
    <t>Du 13/03 au 05/04/2019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</si>
  <si>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Trois millions cinq cent soixante dix mille deux cent cinquante  francs.CFA</t>
    </r>
  </si>
  <si>
    <t xml:space="preserve">COREX  </t>
  </si>
  <si>
    <t>Du 13 au 14/03/2019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</si>
  <si>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Deux cent mille francs.CFA</t>
    </r>
  </si>
  <si>
    <t>Du 05au 06/06/ 2019</t>
  </si>
  <si>
    <t>AAALEASE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</si>
  <si>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Six millions deux cent soixante-dix-sept mille sept cent quatre-vingt francs.CFA</t>
    </r>
  </si>
  <si>
    <t>BORDEREAU D'EMISSION DES  CONVENTIONS DOMANIALES ET LOCATION</t>
  </si>
  <si>
    <t xml:space="preserve">Du 15/06 au  31/12/2019 </t>
  </si>
  <si>
    <t xml:space="preserve">Du 01au  31/05/2019 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</si>
  <si>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Deux millions  cent huit mille huit cent cinquante francs.CFA</t>
    </r>
  </si>
  <si>
    <t xml:space="preserve">BORDEREAU D'EMISSION DE LOCATION DE SALLE ET  PARKING </t>
  </si>
  <si>
    <t>Du 13/05 au 16/06/2019</t>
  </si>
  <si>
    <t>BORDEREAU D'EMISSION DES  BANQUES D'ENREGISTREMENT ET CONVENTION DOMANIALE</t>
  </si>
  <si>
    <t>Du 07 au 18/06/2019</t>
  </si>
  <si>
    <t>Du 15/06 au 31/12/2019</t>
  </si>
  <si>
    <t xml:space="preserve">COLISUR </t>
  </si>
  <si>
    <t>HOSASGROUP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</si>
  <si>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Sept millions cent  quatre-vingt mille  francs.CFA</t>
    </r>
  </si>
  <si>
    <t>BORDEREAU D'EMISSION DES BANQUES D'ENREGISTREMENT ET PARKING</t>
  </si>
  <si>
    <t>Du 21 au 30/06/2019</t>
  </si>
  <si>
    <t>Du 30/03 au 22/05/2019</t>
  </si>
  <si>
    <t>Du 17/04 au 22/05/2019</t>
  </si>
  <si>
    <t>Du 09/04 au 18/05/2019</t>
  </si>
  <si>
    <t>Du 14 au 27/06/2019</t>
  </si>
  <si>
    <t>Du 01 au 30/06/2019</t>
  </si>
  <si>
    <t>Du 01 au 31/07/2019</t>
  </si>
  <si>
    <t>Du 07 au 14/07/2019</t>
  </si>
  <si>
    <t>Du 27/06 au 23/07/2019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</si>
  <si>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Deux millions sept cent vingt-un  mille huit cent francs.CFA</t>
    </r>
  </si>
  <si>
    <t>Du 24/07 au 31/08/2019</t>
  </si>
  <si>
    <t>Du 01 au 31/08/2019</t>
  </si>
  <si>
    <t>SOCIETE 2AS</t>
  </si>
  <si>
    <t>Du 17/09 au 31/12/2019</t>
  </si>
  <si>
    <t>CONSEIL NATIONAL DES CHARGEURS</t>
  </si>
  <si>
    <t>BP519 Tèl: 01 73 21 04</t>
  </si>
  <si>
    <t>N°OG/003/2019</t>
  </si>
  <si>
    <t>TROIS CENT SOIXANTE NEUF MILLE QUATRE CENT DIX (369 410)Francs CFA</t>
  </si>
  <si>
    <t xml:space="preserve">BORDEREAU D'EMISSION DE BANQUES D'ENREGISTREMENT &amp; AVOIR </t>
  </si>
  <si>
    <t>106</t>
  </si>
  <si>
    <t>Du 01/04 au 29/06/2019</t>
  </si>
  <si>
    <t>Du 01/07 au 31/08/2019</t>
  </si>
  <si>
    <t>Du 02 au 10/09/2019</t>
  </si>
  <si>
    <t>Aymar Cyril EMANE MISSONG</t>
  </si>
  <si>
    <t xml:space="preserve">Série n°:  </t>
  </si>
  <si>
    <r>
      <t xml:space="preserve">Liquidé le présent bordereau à la somme de </t>
    </r>
    <r>
      <rPr>
        <i/>
        <sz val="11"/>
        <color theme="1"/>
        <rFont val="Times New Roman"/>
        <family val="1"/>
      </rPr>
      <t xml:space="preserve">: </t>
    </r>
    <r>
      <rPr>
        <b/>
        <i/>
        <sz val="11"/>
        <color theme="1"/>
        <rFont val="Times New Roman"/>
        <family val="1"/>
      </rPr>
      <t xml:space="preserve"> Un million cinq cent  mille  francs.CFA</t>
    </r>
  </si>
  <si>
    <t xml:space="preserve">Aymar Cyril EMANE MISSONG </t>
  </si>
  <si>
    <t>Du 01 au 30/09/2019</t>
  </si>
  <si>
    <t xml:space="preserve">BORDEREAU D'EMISSION DE BANQUES D'ENREGISTREMENT , PARKING &amp; REMBOURSEMENT TVA </t>
  </si>
  <si>
    <t xml:space="preserve">DIRECTION DES IMPOTS </t>
  </si>
  <si>
    <t>Du 01/09 au 31/10/2019</t>
  </si>
  <si>
    <t>Du 04 au 31/10/2019</t>
  </si>
  <si>
    <t>110</t>
  </si>
  <si>
    <t xml:space="preserve">Aymar Cyrille  EMANE MISSONG </t>
  </si>
  <si>
    <t>Du 01 au 30/11/2019</t>
  </si>
  <si>
    <t>Du 04/07 au 09/09/2019</t>
  </si>
  <si>
    <t>Du 19/02 au 21/09/2019</t>
  </si>
  <si>
    <t>Du 29/05 au 31/07/2019</t>
  </si>
  <si>
    <t xml:space="preserve">Parfait AMALET. </t>
  </si>
  <si>
    <t>Du 11/09 au 27/11/2019</t>
  </si>
  <si>
    <t>AVANTIS AVIATION SERVICES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</si>
  <si>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>Sept millions cinq cent quarante-huit  mille cent cinquante</t>
    </r>
    <r>
      <rPr>
        <b/>
        <i/>
        <sz val="11"/>
        <color theme="1"/>
        <rFont val="Times New Roman"/>
        <family val="1"/>
      </rPr>
      <t xml:space="preserve"> francs.CFA</t>
    </r>
  </si>
  <si>
    <t>EXERCICE: 2020</t>
  </si>
  <si>
    <t>Du 01/01 au 31/12/2020</t>
  </si>
  <si>
    <t>COREX INTERNATIONALE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</si>
  <si>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Cent cinquante quatre millions cinq cent quarante-huit  mille cinquante-huit</t>
    </r>
    <r>
      <rPr>
        <b/>
        <i/>
        <sz val="12"/>
        <color theme="1"/>
        <rFont val="Times New Roman"/>
        <family val="1"/>
      </rPr>
      <t xml:space="preserve">  francs.CFA</t>
    </r>
  </si>
  <si>
    <t>BP: 240, Tél: 011 55 29 23</t>
  </si>
  <si>
    <t>Facture N°002</t>
  </si>
  <si>
    <t>N°OG/0003/2019</t>
  </si>
  <si>
    <t>Facture N°005</t>
  </si>
  <si>
    <t>VINGT-UN MILLIONS CINQ CENT VINGT-UN MILLE NEUF CENT SOIXANTE (21 521 960) Francs.CFA</t>
  </si>
  <si>
    <t>0011</t>
  </si>
  <si>
    <t>0015</t>
  </si>
  <si>
    <t>EQUAFLIGHT SERVICE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</si>
  <si>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 xml:space="preserve"> Trente-quatre millions sept cent soixante-quinze   mille trois cent quarante francs.CFA</t>
    </r>
  </si>
  <si>
    <t>Facture N°007</t>
  </si>
  <si>
    <t>Facture N°008</t>
  </si>
  <si>
    <t>Facture N°009</t>
  </si>
  <si>
    <t>BP:13025-LBV-TéL 07 72 07 72</t>
  </si>
  <si>
    <t>Facture N°014</t>
  </si>
  <si>
    <r>
      <t>Liquidé le présent bordereau à la somme de :Trente</t>
    </r>
    <r>
      <rPr>
        <b/>
        <i/>
        <sz val="11"/>
        <color theme="1"/>
        <rFont val="Times New Roman"/>
        <family val="1"/>
      </rPr>
      <t xml:space="preserve"> millions cinq cent six mille six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francs.CFA</t>
    </r>
  </si>
  <si>
    <t>AFRIJET POG 1</t>
  </si>
  <si>
    <t>N°OG/0020/2019</t>
  </si>
  <si>
    <t>Du 01 au 31/12/2020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</si>
  <si>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Cinq millions quatre cent soixante-cinq mille  francs.CFA</t>
    </r>
  </si>
  <si>
    <t>2AS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</si>
  <si>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Treize  millions cent quarante-un  mille cinq cent  francs.CFA</t>
    </r>
  </si>
  <si>
    <r>
      <t xml:space="preserve">Certifie sincère et veritable la présente facture s'élèvant à la somme de: </t>
    </r>
    <r>
      <rPr>
        <b/>
        <i/>
        <sz val="9"/>
        <color theme="1"/>
        <rFont val="Arial Narrow"/>
        <family val="2"/>
      </rPr>
      <t/>
    </r>
  </si>
  <si>
    <t xml:space="preserve">Port-Gentil </t>
  </si>
  <si>
    <t>HOSAS GROUP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</si>
  <si>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Dix-sept millions six cent douze mille sept cent quatre-vingt  francs.CFA</t>
    </r>
  </si>
  <si>
    <t>Facture N°031</t>
  </si>
  <si>
    <t>COLISUR</t>
  </si>
  <si>
    <t>AFRIJET MVENGUE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</si>
  <si>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Vingt-un millions quatorze mille cent soixante-quinze francs.CFA</t>
    </r>
  </si>
  <si>
    <t>RESTAURANT ESCALE MVENGUE</t>
  </si>
  <si>
    <t>TALLYA VOYAGE ET SERVICES</t>
  </si>
  <si>
    <t>BAR VIP Mme MASSASSA</t>
  </si>
  <si>
    <t>Facture N°037</t>
  </si>
  <si>
    <t>Facture N°039</t>
  </si>
  <si>
    <t xml:space="preserve">RESTAURANT ESCALE MVENGUE </t>
  </si>
  <si>
    <t>Tèl: 066 82 80 80</t>
  </si>
  <si>
    <t>SEPT MILLIONS CINQ CENT DIX NEUF MILLE HUIT CENT (7 519 800 )Francs.CFA</t>
  </si>
  <si>
    <t>Mme MASSASSA / Free Shop</t>
  </si>
  <si>
    <t>BITAM</t>
  </si>
  <si>
    <t>JEAN-PIERRE NZUE BEYEME</t>
  </si>
  <si>
    <t>MADAME EDIMANA INES</t>
  </si>
  <si>
    <r>
      <t>Liquidé le présent bordereau à la somme de : Cinq</t>
    </r>
    <r>
      <rPr>
        <b/>
        <i/>
        <sz val="11"/>
        <color theme="1"/>
        <rFont val="Times New Roman"/>
        <family val="1"/>
      </rPr>
      <t xml:space="preserve"> millions trois cent traize  mille cinq cent  francs.CFA</t>
    </r>
  </si>
  <si>
    <t>N°ON/03/2020</t>
  </si>
  <si>
    <t>Facture N°047</t>
  </si>
  <si>
    <r>
      <t xml:space="preserve">Numéraire ou virement bancaire: cpte </t>
    </r>
    <r>
      <rPr>
        <b/>
        <sz val="12"/>
        <color theme="1"/>
        <rFont val="Arial Narrow"/>
        <family val="2"/>
      </rPr>
      <t>ASECNA N° 40002 00005 56461893000 93</t>
    </r>
    <r>
      <rPr>
        <sz val="12"/>
        <color theme="1"/>
        <rFont val="Arial Narrow"/>
        <family val="2"/>
      </rPr>
      <t xml:space="preserve">  UGB Libreville</t>
    </r>
  </si>
  <si>
    <t>Facture N°046</t>
  </si>
  <si>
    <t>EAGLE</t>
  </si>
  <si>
    <t>Du 01/12 au 31/12/2019</t>
  </si>
  <si>
    <t>Du 01 au 31/01/2020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</si>
  <si>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Dix-huit millions huit cent seize mille trois cent trente-trois francs.CFA</t>
    </r>
  </si>
  <si>
    <t>Du 18/02 au 31/12/2020</t>
  </si>
  <si>
    <t xml:space="preserve">EAGLE </t>
  </si>
  <si>
    <t>BP:1171 Tèl 011561381/82</t>
  </si>
  <si>
    <t>Du 01/03 au 31/12/2020</t>
  </si>
  <si>
    <t>N°OG/0002/2020</t>
  </si>
  <si>
    <t>Facture N° 050</t>
  </si>
  <si>
    <t>Du 23/09 au 04/01/2020</t>
  </si>
  <si>
    <t xml:space="preserve">BORDEREAU D'EMISSION DE BANQUES D'ENREGISTREMENT &amp; CONVENTION </t>
  </si>
  <si>
    <t>Du 01 au 29/02/2020</t>
  </si>
  <si>
    <t xml:space="preserve">CONSEIL GABONAIS DES CHARGEURS </t>
  </si>
  <si>
    <t>Du 01/02 au 13/03/2020</t>
  </si>
  <si>
    <t xml:space="preserve">AVANTIS 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</si>
  <si>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Deux millions sept cent dix sept  mille  cinq cent  francs.CFA</t>
    </r>
  </si>
  <si>
    <t>N°OG/003/2020</t>
  </si>
  <si>
    <t>02</t>
  </si>
  <si>
    <t>03</t>
  </si>
  <si>
    <t>04</t>
  </si>
  <si>
    <t>MESSA EDZANG SYVESTRE</t>
  </si>
  <si>
    <t>Du 01/06 au 31/12/2020</t>
  </si>
  <si>
    <r>
      <t xml:space="preserve">Liquidé le présent bordereau à la somme de :Neuf </t>
    </r>
    <r>
      <rPr>
        <b/>
        <i/>
        <sz val="11"/>
        <color theme="1"/>
        <rFont val="Times New Roman"/>
        <family val="1"/>
      </rPr>
      <t xml:space="preserve"> millions huit cent soixante-dix mille  (9 870 000) francs.CFA</t>
    </r>
  </si>
  <si>
    <t>AVOIR</t>
  </si>
  <si>
    <t>Réf:  Facture N°36</t>
  </si>
  <si>
    <t>Avoir N°03</t>
  </si>
  <si>
    <t>Août à Décembre 2020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</si>
  <si>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de  francs.CFA</t>
    </r>
  </si>
  <si>
    <t>NYANGONE EDDY WAARELD</t>
  </si>
  <si>
    <t>MITZIC</t>
  </si>
  <si>
    <r>
      <t xml:space="preserve">Liquidé le présent bordereau à la somme de :Six cent </t>
    </r>
    <r>
      <rPr>
        <b/>
        <i/>
        <sz val="11"/>
        <color theme="1"/>
        <rFont val="Times New Roman"/>
        <family val="1"/>
      </rPr>
      <t xml:space="preserve"> mille    francs.CFA</t>
    </r>
  </si>
  <si>
    <t>NATIONAL AIRWAYS GABON SA</t>
  </si>
  <si>
    <t>D'Août à Déc 2020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</si>
  <si>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Deux</t>
    </r>
    <r>
      <rPr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millions sept cent cinquante francs.CFA</t>
    </r>
  </si>
  <si>
    <t>FRET SERVICES LOGISTIQUES (FSL)</t>
  </si>
  <si>
    <t>Tèl: 011 44 48 19</t>
  </si>
  <si>
    <t>Du 01/04 au 31/12/2020</t>
  </si>
  <si>
    <t>N°GO/004/2020</t>
  </si>
  <si>
    <t>DEUX MILLIONS SEPT CENT  MILLE   (2 700 000) FRANCS.CFA</t>
  </si>
  <si>
    <t xml:space="preserve">FRET SERVICES LOGISTIQUES 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</si>
  <si>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Deux millions  sept cent  mille  francs.CFA</t>
    </r>
  </si>
  <si>
    <t>NAVITRANS</t>
  </si>
  <si>
    <t>LA SOCIETE NAVITRANS</t>
  </si>
  <si>
    <t>BP.2145 Port-Gentil</t>
  </si>
  <si>
    <t>N°GO/001/2020</t>
  </si>
  <si>
    <t>Du 01 au 19/03/ 2020</t>
  </si>
  <si>
    <t>Du 19/04 au 02/05/ 2020</t>
  </si>
  <si>
    <t>ASSOCIATION DES TRANSP. AERIENS</t>
  </si>
  <si>
    <t xml:space="preserve">LIBREVILLE </t>
  </si>
  <si>
    <t>D'Oct à Déc 2020</t>
  </si>
  <si>
    <t>BORDEREAU D'EMISSION DES BANQUES D'ENREGISTREMENT &amp; CONVENTION DOMANIALE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</si>
  <si>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Un million sept cent dix mille  francs.CFA</t>
    </r>
  </si>
  <si>
    <t xml:space="preserve">ASSOCIATION DES TRANSPORTEURS </t>
  </si>
  <si>
    <t xml:space="preserve">AERIENS DU GABON </t>
  </si>
  <si>
    <t>Tèl: +241 065 40 61 79</t>
  </si>
  <si>
    <t>N°OL/002/2020</t>
  </si>
  <si>
    <t>MME LETICIA MOUSSIROU</t>
  </si>
  <si>
    <t>D'Oct à  déc 2020</t>
  </si>
  <si>
    <t xml:space="preserve">TMAC </t>
  </si>
  <si>
    <t>BP 2455 POG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</si>
  <si>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Sept  cent trente-cinq mille sept cent quatre-vingt  francs.CFA</t>
    </r>
  </si>
  <si>
    <t>Du 14/03 au 13/05/2020</t>
  </si>
  <si>
    <t>Du 13/05 au 29/06/2020</t>
  </si>
  <si>
    <t>Du 30/06 au 31/07/2020</t>
  </si>
  <si>
    <t>Du 03/08 au 26/08/2020</t>
  </si>
  <si>
    <t>Du 27/08 au 14/09/2020</t>
  </si>
  <si>
    <t>Site: MVENGUE</t>
  </si>
  <si>
    <t>AVANTIS AVIATION</t>
  </si>
  <si>
    <t>Du 13/10 au 31/10/ 2020</t>
  </si>
  <si>
    <t>Du 06/01 au 06/02/ 2020</t>
  </si>
  <si>
    <t xml:space="preserve">Du 06/02 au  29/02/2020 </t>
  </si>
  <si>
    <t>Série N°:</t>
  </si>
  <si>
    <t xml:space="preserve">Du 01/01 au  19/05/2020 </t>
  </si>
  <si>
    <t xml:space="preserve">Du 21/05 au  05/09/2020 </t>
  </si>
  <si>
    <t>Facture N° 077</t>
  </si>
  <si>
    <t xml:space="preserve">Série N°: </t>
  </si>
  <si>
    <t>Du 17/11 au 02/12/ 2019</t>
  </si>
  <si>
    <t>Du 10/12 au 31/12/ 2019</t>
  </si>
  <si>
    <t>Du 10/09 au 18/11/ 2019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</si>
  <si>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Trois  millions huit cent six mille  cinq cent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</si>
  <si>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Trois millions huit cent  sept mille francs.CFA</t>
    </r>
  </si>
  <si>
    <t>Du 01/01 au 30/11/2020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</si>
  <si>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Sept millions  deux cent trente-sept mille cinq cent francs.CFA</t>
    </r>
  </si>
  <si>
    <t xml:space="preserve">BORDEREAU D'EMISSION DES  FACTURES D'AVOIR </t>
  </si>
  <si>
    <t>05</t>
  </si>
  <si>
    <t>06</t>
  </si>
  <si>
    <t>07</t>
  </si>
  <si>
    <t>08</t>
  </si>
  <si>
    <t>N°OG/0029/2019</t>
  </si>
  <si>
    <t>UN MILLION CINQ CENT DOUZE MILLE (1 512 000 )Francs.CFA</t>
  </si>
  <si>
    <t>09</t>
  </si>
  <si>
    <t>MME MOUSSIROU</t>
  </si>
  <si>
    <r>
      <t xml:space="preserve">Liquidé le présent bordereau à la somme de </t>
    </r>
    <r>
      <rPr>
        <i/>
        <sz val="11"/>
        <color theme="1"/>
        <rFont val="Times New Roman"/>
        <family val="1"/>
      </rPr>
      <t>:</t>
    </r>
    <r>
      <rPr>
        <b/>
        <i/>
        <sz val="11"/>
        <color theme="1"/>
        <rFont val="Times New Roman"/>
        <family val="1"/>
      </rPr>
      <t>Huit millions huit  cent  cinquante-deux mille  francs.CFA</t>
    </r>
  </si>
  <si>
    <t>SATRAM POG</t>
  </si>
  <si>
    <t>Facture N°029</t>
  </si>
  <si>
    <t>EXERCICE: 2021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</si>
  <si>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Vingt-cinq millions neuf cent quarante-sept  mille cinq cent  francs.CFA</t>
    </r>
  </si>
  <si>
    <t>Du 01/01 au 31/12/2021</t>
  </si>
  <si>
    <t>Du 01/01 au 29/02/2021</t>
  </si>
  <si>
    <t>SEPT MILLIONS HUIT CENT SOIXANTE-QUINZE MILLE   (7 875 000 )Francs.CFA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</si>
  <si>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Trente-six  millions sept cent soixante-seize mille treize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francs.CFA</t>
    </r>
  </si>
  <si>
    <t>NATIONAL AIRWAYS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</si>
  <si>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Vingt-quatre millions sept cent quarante-sept  mille cinq cent  francs.CFA</t>
    </r>
  </si>
  <si>
    <t>TROIS MILLIONS SIX CENT MILLE (3 600 000 )Francs.CFA</t>
  </si>
  <si>
    <t>Facture N°017</t>
  </si>
  <si>
    <t>CINQ MILLIONS  (5 000 000 )Francs.CFA</t>
  </si>
  <si>
    <t>MESSA EDZANG</t>
  </si>
  <si>
    <t>Du 01 au 31/12/2021</t>
  </si>
  <si>
    <t>M. NYANGONE E.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</si>
  <si>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Cinq millions neuf cent vingt mille  francs.CFA</t>
    </r>
  </si>
  <si>
    <t>UN MILLION SIX CENT MILLE (1 600 000 )Francs.CFA</t>
  </si>
  <si>
    <t>UN MILLION DEUX CENT  MILLE  (1 200 000 )Francs.CFA</t>
  </si>
  <si>
    <t>UN MILLION CINQ CENT MILLE (1 500 000 )Francs.CFA</t>
  </si>
  <si>
    <t>N°GR/001/2021</t>
  </si>
  <si>
    <t>M. NYANGONE.E</t>
  </si>
  <si>
    <t>Tèl:077 80 00 00</t>
  </si>
  <si>
    <t>N°OMI/001/2020</t>
  </si>
  <si>
    <t>SIX CENT  MILLE (600 000) Francs.CFA</t>
  </si>
  <si>
    <t>N°OG/001/2021</t>
  </si>
  <si>
    <t>N°OG/004/2021</t>
  </si>
  <si>
    <t>DEUX MILLIONS CINQ CENT  MILLE  (2 500 000 )Francs.CFA</t>
  </si>
  <si>
    <t>ASSOCIATION  DES TRANSP. AERIENS</t>
  </si>
  <si>
    <t>CGC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</si>
  <si>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Onze  millions six cent treize  mille   francs.CFA</t>
    </r>
  </si>
  <si>
    <t>UN MILLION NEUF CENT CINQUANTE  MILLE  (1 950 000 ) Francs.CFA</t>
  </si>
  <si>
    <t>Facture N°026</t>
  </si>
  <si>
    <t>Tèl: 077 18 71 56</t>
  </si>
  <si>
    <t>N°OB/002/2021</t>
  </si>
  <si>
    <t>BP: 3291</t>
  </si>
  <si>
    <t xml:space="preserve">TROIS MILLIONS SIX CENT MILLE (3 600 000) Francs.CFA </t>
  </si>
  <si>
    <t xml:space="preserve"> Mr. GERMAIN MBA EYAMA</t>
  </si>
  <si>
    <t>DEUX MILLIONS DEUX CENT  MILLE (2 200 000 )Francs.CFA</t>
  </si>
  <si>
    <t>UN MILLION QUATRE  CENT SOIXANTE-TROIS MILLE  (1 463 000 )Francs.CFA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</si>
  <si>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Dix millions quatre -vingt quatre mille  cent soixante-sept  francs.CFA</t>
    </r>
  </si>
  <si>
    <t>Facture N°032</t>
  </si>
  <si>
    <t>N°ON/0001/2021</t>
  </si>
  <si>
    <t xml:space="preserve">QUATRE MILLIONS  (4 000 000) Francs.CFA 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</si>
  <si>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Vingt millions cinq cent  quatorze mille  cent soixante-quinze francs.CFA</t>
    </r>
  </si>
  <si>
    <t>Tèl: 074 187 400</t>
  </si>
  <si>
    <t>Facture N°040</t>
  </si>
  <si>
    <t>N°ON/0004/2019</t>
  </si>
  <si>
    <t>BUSINESS BUREAU</t>
  </si>
  <si>
    <r>
      <t>Liquidé le présent bordereau à la somme de : Un</t>
    </r>
    <r>
      <rPr>
        <b/>
        <i/>
        <sz val="11"/>
        <color theme="1"/>
        <rFont val="Times New Roman"/>
        <family val="1"/>
      </rPr>
      <t xml:space="preserve"> millions neuf cent soixante-trois  mille cinq cent  francs.CFA</t>
    </r>
  </si>
  <si>
    <t xml:space="preserve"> BUSINESS BUREAU</t>
  </si>
  <si>
    <t>Tèl: 077 03 81 66</t>
  </si>
  <si>
    <t>N°OG/006/2021</t>
  </si>
  <si>
    <t>Facture N°042</t>
  </si>
  <si>
    <t>DEUX MILLIONS CINQ CENT VINGT MILLE  (2 520 000 )Francs.CFA</t>
  </si>
  <si>
    <t xml:space="preserve">BORDEREAU D'EMISSION DES CONVENTIONS DOMANIALES ET AVOIR </t>
  </si>
  <si>
    <t>Du 01 au 05/11/2020</t>
  </si>
  <si>
    <t>Du 01 au 31/01/2021</t>
  </si>
  <si>
    <t>Du 01 au 28/02/2021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</si>
  <si>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Un million six cent quatre-vingt- sept  mille  cinq cent  francs.CFA</t>
    </r>
  </si>
  <si>
    <t xml:space="preserve">SOLENTA </t>
  </si>
  <si>
    <t xml:space="preserve">BORDEREAU D'EMISSION DE BORDEREAU D'AVOIR </t>
  </si>
  <si>
    <t>Du 01/11 au 30/11/2018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</si>
  <si>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Deux cent quatre-vingt-dix-huit  mille huit cent quatre-vingt  francs.CFA</t>
    </r>
  </si>
  <si>
    <t>Du 03/11/20 au 22/02/2021</t>
  </si>
  <si>
    <t>Du 01/03 au 31/03/2021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</si>
  <si>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Un</t>
    </r>
    <r>
      <rPr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millions cinq cent soixante-dix-neuf  mille cinq cent  (1 579 500) francs.CFA</t>
    </r>
  </si>
  <si>
    <t>Du 07/01 au 27/02/2021</t>
  </si>
  <si>
    <t>Du 01 au 27/03/2021</t>
  </si>
  <si>
    <t>Du 09/08 au 29/12/2020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</si>
  <si>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Trois millions six cent quatre mille cinq cent  francs.CFA</t>
    </r>
  </si>
  <si>
    <t>Du 01 au 30/04/2021</t>
  </si>
  <si>
    <t>Du 01/01 au 31/03/2021</t>
  </si>
  <si>
    <t xml:space="preserve">BORDEREAU D'EMISSION DES BANQUES D'ENREGISTREMENT &amp; PARKING </t>
  </si>
  <si>
    <t>Du 26/01 au 12/02/2021</t>
  </si>
  <si>
    <t>Du 27/03 au 17/04/2021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</si>
  <si>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Quatre millions sept cent deux mille   francs.CFA</t>
    </r>
  </si>
  <si>
    <t>Du  29/12/2020</t>
  </si>
  <si>
    <t>Du 19/04 au 04/05/2021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</si>
  <si>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Quatorze millions  huit cent vingt quatre mille cent vingt huit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</si>
  <si>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Un million  sept cent  quatorze mille cinq cent francs.CFA</t>
    </r>
  </si>
  <si>
    <t>AFRIJET BUSINESS SERVICES</t>
  </si>
  <si>
    <t>Du 01 au 31/05/2021</t>
  </si>
  <si>
    <t>Du 01 au 30/06/2021</t>
  </si>
  <si>
    <t>ORDRE DE RECETTE</t>
  </si>
  <si>
    <t xml:space="preserve">Base </t>
  </si>
  <si>
    <t xml:space="preserve">Certifie sincère et veritable le présent Ordre de recette  s'élèvant à la somme de: </t>
  </si>
  <si>
    <t xml:space="preserve">Le rreglement des sommes dues se fera par tout moyens à l'agence apres notification à l'agent </t>
  </si>
  <si>
    <t>AVANTIS</t>
  </si>
  <si>
    <t>Du 26/02 au 21/05/2021</t>
  </si>
  <si>
    <t>Du 05/05 au 31/05/2021</t>
  </si>
  <si>
    <t>Du 01au 13/06/2021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</si>
  <si>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Trois millions SEPT cent TRENTE mille huit cent cinquante Francs.CFA</t>
    </r>
  </si>
  <si>
    <t>Du 04 au 31/08/ 2021</t>
  </si>
  <si>
    <t>Du 14/06 au 03/07/2021</t>
  </si>
  <si>
    <t>Du 12/08 au 03/09/2021</t>
  </si>
  <si>
    <t>Du 21/07 au 12/08/2021</t>
  </si>
  <si>
    <t>Du 04 au 21/07/2021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</si>
  <si>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Quatre  millions  cent soixante onze mille cinq cent francs.CFA</t>
    </r>
  </si>
  <si>
    <t>Du 04 au 31/09/2021</t>
  </si>
  <si>
    <t>Du 05 au 31/10/2021</t>
  </si>
  <si>
    <t>Du 14/03 au 05/05/2020</t>
  </si>
  <si>
    <t xml:space="preserve">BORDEREAU D'EMISSION DES BANQUES D'ENREGISTREMENT ET ORDRE DE RECETTES </t>
  </si>
  <si>
    <t xml:space="preserve">Agent facturation </t>
  </si>
  <si>
    <r>
      <rPr>
        <u/>
        <sz val="11"/>
        <color theme="1"/>
        <rFont val="Arial Narrow"/>
        <family val="2"/>
      </rPr>
      <t>Réf:</t>
    </r>
    <r>
      <rPr>
        <sz val="11"/>
        <color theme="1"/>
        <rFont val="Arial Narrow"/>
        <family val="2"/>
      </rPr>
      <t xml:space="preserve"> STAGE AGENT FACTURATION N°4 </t>
    </r>
  </si>
  <si>
    <t>Jrs</t>
  </si>
  <si>
    <t xml:space="preserve">Montant </t>
  </si>
  <si>
    <t xml:space="preserve">Motif : Trop perçu sur frais de formation </t>
  </si>
  <si>
    <t>Du 14/03 au 05/04/2020</t>
  </si>
  <si>
    <t>Matricule 250 199</t>
  </si>
  <si>
    <t xml:space="preserve">BONGO EPALY CHANTAL JEANNETTE </t>
  </si>
  <si>
    <t xml:space="preserve">BONGO EPALY Chantal Jeannette 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</si>
  <si>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Trois millions  deux cent dix-sept  mille  cinq cent  francs.CFA</t>
    </r>
  </si>
  <si>
    <t>UN MILLION  CENT CINQUANTE-DEUX  MILLE  (1 152000) FRANCS.CFA</t>
  </si>
  <si>
    <t>COREX GABON</t>
  </si>
  <si>
    <t>Du 02/08 au 11/10/2021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</si>
  <si>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Deux  millions cinq cent    mille  sept cent quatre-vingt quatre francs.CFA</t>
    </r>
  </si>
  <si>
    <t>Du 01/11 au 30/11/ 2021</t>
  </si>
  <si>
    <t>Du 01/01 au 06/10/ 2021</t>
  </si>
  <si>
    <t>M.Gérard BIKEIGNE</t>
  </si>
  <si>
    <t>Du 01/01 au  31/12/2021</t>
  </si>
  <si>
    <t>CESSION VEHICULES</t>
  </si>
  <si>
    <t xml:space="preserve">Du 01/01 au  31/12/2020 </t>
  </si>
  <si>
    <r>
      <t>Liquidé le présent bordereau à la somme de :Douze</t>
    </r>
    <r>
      <rPr>
        <b/>
        <i/>
        <sz val="11"/>
        <color theme="1"/>
        <rFont val="Times New Roman"/>
        <family val="1"/>
      </rPr>
      <t xml:space="preserve">  millions trois cent soixante-dix-neuf  mille    francs.CFA</t>
    </r>
  </si>
  <si>
    <t>GLOBAL MAINTENANCE ET MANUTENTION</t>
  </si>
  <si>
    <t>Du 01/ au  31/12/2022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</si>
  <si>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Six millions  francs.CFA</t>
    </r>
  </si>
  <si>
    <t>N°ON/002/2022</t>
  </si>
  <si>
    <t xml:space="preserve">BORDEREAU D'EMISSION D'UNE CONVENTION DOMANIALE </t>
  </si>
  <si>
    <t>EXERCICE: 2022</t>
  </si>
  <si>
    <t>Du 01/01 au 31/12/2022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</si>
  <si>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Trente-neuf  millions six cent quinze mille cent quatre-vingt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 xml:space="preserve"> francs.CFA</t>
    </r>
  </si>
  <si>
    <t>AMELIA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</si>
  <si>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 xml:space="preserve"> Vingt neuf millions huit cent quatre-vingt-quatorze  mille neuf cent quatre-vingt-dix francs.CFA</t>
    </r>
  </si>
  <si>
    <t>Du 01 au 31/12/2022</t>
  </si>
  <si>
    <t>SECRETARIAT DEPART. PDG</t>
  </si>
  <si>
    <t>OK</t>
  </si>
  <si>
    <t>Yvette ZAME NDONG</t>
  </si>
  <si>
    <t>TROIS MILLIONS NEUF  CENT MILLE   (3 900 000) Francs.CFA</t>
  </si>
  <si>
    <t>TMAC</t>
  </si>
  <si>
    <t>HOSAS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</si>
  <si>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Dix-neuf  millions quatre cent trente-sept  mille cinq cent  francs.CFA</t>
    </r>
  </si>
  <si>
    <t>M. BIKEIGNE</t>
  </si>
  <si>
    <t>N°GR/001/2022</t>
  </si>
  <si>
    <t>SIX CENT  MILLE (600 000) Francs. CFA</t>
  </si>
  <si>
    <t>Tèl: 077 52 15 01</t>
  </si>
  <si>
    <t>M.MESSA EDZANG</t>
  </si>
  <si>
    <t>Tèl: 241 77 57 76 37</t>
  </si>
  <si>
    <t>N°OB/001/2021</t>
  </si>
  <si>
    <t>UN MILLION VINGT MILLE Francs.CFA</t>
  </si>
  <si>
    <t>Facture  N°016</t>
  </si>
  <si>
    <t>SECRETARIAT DEPARTEMENTAL DU PDG</t>
  </si>
  <si>
    <t>DEUX  MILLIONS QUATRE CENT MILLE  (2 400 000)Francs.CFA</t>
  </si>
  <si>
    <t>GLOBAL MAINT. MANUTENTION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</si>
  <si>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Onze millions deux cent cinq  mille  (11 205 000)  francs.CFA</t>
    </r>
  </si>
  <si>
    <t>FREE SHOP Mme MASSASSA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</si>
  <si>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Vingt-un  millions quatre vingt  trois  mille  trois cent  francs.CFA</t>
    </r>
  </si>
  <si>
    <t>GLOBAL MAINTENANCE &amp; MANUTENTION</t>
  </si>
  <si>
    <t>UN MILLION HUIT CENT MILLE (1 800 000) Francs CFA</t>
  </si>
  <si>
    <t>UN MILLION TROIS CENT CINQUANTE  MILLE  (1 350 000)Francs.CFA</t>
  </si>
  <si>
    <t>Du 04/09 au 13/12/2021</t>
  </si>
  <si>
    <t xml:space="preserve">Du 01/12 au  31/12/2021 </t>
  </si>
  <si>
    <t>GERARD BIKEIGNE</t>
  </si>
  <si>
    <t xml:space="preserve">Du 01/01 au  31/12/2022 </t>
  </si>
  <si>
    <t xml:space="preserve">BORDEREAU D'EMISSION DE BANNQUES D'ENREGISTREMENTN ET D'AVOIR D'UNE  CONVENTION DOMANIALE 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</si>
  <si>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Deux millions cent vingt-sept mille  francs.CFA</t>
    </r>
  </si>
  <si>
    <t>Facture N°003</t>
  </si>
  <si>
    <t xml:space="preserve">Facture </t>
  </si>
  <si>
    <t>AMELIA GABON SA</t>
  </si>
  <si>
    <t>TRANSIT TRANSPORT SERVICES</t>
  </si>
  <si>
    <t>Du 28/09 au 31/12/2021</t>
  </si>
  <si>
    <t>Du 03/01 au 31/01/2022</t>
  </si>
  <si>
    <t>Du 01/01 au 31/01/2022</t>
  </si>
  <si>
    <t>SOCIETE TRANSIT TRANSPORT SERVICES</t>
  </si>
  <si>
    <t>N°OG/002/2022</t>
  </si>
  <si>
    <t>UN MILLION HUIT CENT  MILLE   (1 800 000) FRANCS.CFA</t>
  </si>
  <si>
    <t>BP2714-Tèl:066 00 27 51</t>
  </si>
  <si>
    <t>BP:8003/ 074 08 28 66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</si>
  <si>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>Sept</t>
    </r>
    <r>
      <rPr>
        <b/>
        <i/>
        <sz val="11"/>
        <color theme="1"/>
        <rFont val="Times New Roman"/>
        <family val="1"/>
      </rPr>
      <t xml:space="preserve"> millions quatre cent trente-deux  mille cinq cent  francs.CFA</t>
    </r>
  </si>
  <si>
    <t>EQUAFLITH</t>
  </si>
  <si>
    <t>Du 27/03/2021 au 15/02/2022</t>
  </si>
  <si>
    <t>Du 02/02 au 17/02/2022</t>
  </si>
  <si>
    <t>BP:2212-LBV-TéL 011 44 54 00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</si>
  <si>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Sept cent vingt-cinq mille cinq cent cinquante (-725 550)  francs.CFA</t>
    </r>
  </si>
  <si>
    <t xml:space="preserve">BORDEREAU D'EMISSION DES BANQUES D'ENREGISTREMENT ET DES CONVENTIONS DOMANIALES 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</si>
  <si>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Huit cent soixante-dix  mille (870 000)  francs.CFA</t>
    </r>
  </si>
  <si>
    <t>BORDEREAU D'EMISSION DE CONVENTION DOMANIALE</t>
  </si>
  <si>
    <t>N°ON/0012/2014</t>
  </si>
  <si>
    <t>HUIT CENT SOIXANTE DIX MILLE (870 000 )Francs.CFA</t>
  </si>
  <si>
    <t>Du 26/12 au 28/02/2022</t>
  </si>
  <si>
    <t>Du 19/02 au 01/03/2022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</si>
  <si>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Un</t>
    </r>
    <r>
      <rPr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millions deux cent quatre vingt huit  mille cinq cent  (1 288 500) francs.CFA</t>
    </r>
  </si>
  <si>
    <t>Du 28/02 au 11/03/2022</t>
  </si>
  <si>
    <t>Du 05 au 08/03/2022</t>
  </si>
  <si>
    <t>Du 01 au 28/02/2022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</si>
  <si>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trois  cent quatre vingt dix mille cinq cent  francs.CFA</t>
    </r>
  </si>
  <si>
    <t>Du 02/07 au 15/08/2019</t>
  </si>
  <si>
    <t>Avoir N°002</t>
  </si>
  <si>
    <t>TCHIBANGA/MAYUMBA</t>
  </si>
  <si>
    <t xml:space="preserve">Libreville  </t>
  </si>
  <si>
    <t xml:space="preserve">  Factures n° 2019C00017081-2019C00017083-2019C00017090</t>
  </si>
  <si>
    <t>2019C00017117-2019C00017119-2019C00017120-2019C00017121</t>
  </si>
  <si>
    <t>2019C00017093-2019C00017101-2019C00017107-2019C00017109</t>
  </si>
  <si>
    <t>Avoir N°02</t>
  </si>
  <si>
    <t>TCHIBANGA ( Mayumba)</t>
  </si>
  <si>
    <t xml:space="preserve">CINQ MILLIONS DEUX CENT CINQUANTE UN  MILLE CINQ CENT (5 251 500) 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</si>
  <si>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>Cinq</t>
    </r>
    <r>
      <rPr>
        <b/>
        <i/>
        <sz val="11"/>
        <color theme="1"/>
        <rFont val="Times New Roman"/>
        <family val="1"/>
      </rPr>
      <t xml:space="preserve"> millions deux  cent cinquante un mille cinq cent    francs.CFA</t>
    </r>
  </si>
  <si>
    <t>2019C00017125-2019C00017128</t>
  </si>
  <si>
    <t xml:space="preserve">BORDEREAU D'EMISSION D'AVOIR </t>
  </si>
  <si>
    <t>KODIA LIONELLE WILMA</t>
  </si>
  <si>
    <t>Du 01/03 au 31/12/2022</t>
  </si>
  <si>
    <t>Du  12/03 au 19/03/2022</t>
  </si>
  <si>
    <t>Du 01/03 au 31/03/2022</t>
  </si>
  <si>
    <t xml:space="preserve">BORDEREAU D'EMISSION  DES BANQUES D'ENREGISTREMENT ET CONVENTION DOMANIALE </t>
  </si>
  <si>
    <t>Mme KODIA LIONELLE WILMA</t>
  </si>
  <si>
    <t>Tèl: +241 062 23 62 55/077 00 15 25</t>
  </si>
  <si>
    <t>N°ON/003/2022</t>
  </si>
  <si>
    <t>UN MILLION DEUX CENT (1 200 000) Francs. CFA</t>
  </si>
  <si>
    <t>Du 12/03 au 01/04/2022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</si>
  <si>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Trois millions  trois cent  six mille francs.CFA</t>
    </r>
  </si>
  <si>
    <t>Du 04 au 12/04/2022</t>
  </si>
  <si>
    <t>AMELIA GABON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</si>
  <si>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Un million  quatre cent  dix-neuf mille francs.CFA</t>
    </r>
  </si>
  <si>
    <t xml:space="preserve">AMELIA GABON </t>
  </si>
  <si>
    <t>BP 8003 - Tèl: 062 56 23 35</t>
  </si>
  <si>
    <t>Du 05/05 au 10/05/2022</t>
  </si>
  <si>
    <t>Du 22/03 au 03/05/2022</t>
  </si>
  <si>
    <t>Du 12/04 au 04/05/2022</t>
  </si>
  <si>
    <t>Du 01/04 au 30/04/2022</t>
  </si>
  <si>
    <r>
      <t xml:space="preserve">Liquidé le présent bordereau à la somme de : Deux </t>
    </r>
    <r>
      <rPr>
        <b/>
        <i/>
        <sz val="11"/>
        <color theme="1"/>
        <rFont val="Times New Roman"/>
        <family val="1"/>
      </rPr>
      <t xml:space="preserve"> millions neuf cent deux mille cinq cent  Francs.CFA</t>
    </r>
  </si>
  <si>
    <t>Du 01/05 au 31/05/2022</t>
  </si>
  <si>
    <t>Du 19/05 au 01/06/2022</t>
  </si>
  <si>
    <t>Du 07/05 au 28/05/2022</t>
  </si>
  <si>
    <t>Du 10/06/2022</t>
  </si>
  <si>
    <t>BORDEREAU D'EMISSION DES BANQUES D'ENREGISTREMENT &amp; LOCATION SALLE</t>
  </si>
  <si>
    <t>REDEVANCE PARKING</t>
  </si>
  <si>
    <t>Du 01/05 au 31/05/ 2022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</si>
  <si>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Cinq millions  dix-neuf  mille quatre cent cinquante  francs.CFA</t>
    </r>
  </si>
  <si>
    <t>Du 03 au 13/06/2022</t>
  </si>
  <si>
    <t>Du 31/05 au 14/06/2022</t>
  </si>
  <si>
    <t>Du 01/06 au 31/06/2022</t>
  </si>
  <si>
    <t>ALICE MASSASSA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</si>
  <si>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Trois millions  deux cent vingt-neuf  mille  cinq cent  francs.CFA</t>
    </r>
  </si>
  <si>
    <t>BORDEREAU D'EMISSION DES BANQUES D'ENREGISTREMENT ET CONVENTIONS DOMANIALES</t>
  </si>
  <si>
    <t>Mme ALICE SINJUI epse MASSASSA</t>
  </si>
  <si>
    <t>Tél: +241 077 54 38 30</t>
  </si>
  <si>
    <t xml:space="preserve"> Facture N° 077</t>
  </si>
  <si>
    <t>N°ON/004/2022</t>
  </si>
  <si>
    <t>Du 01/04 au 31/12/2022</t>
  </si>
  <si>
    <t>SEPT  CENT CINQUANTE  MILLE    (750 000) FRANCS.CFA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</si>
  <si>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Quatre  millions sept cent  seize  mille cinq cent cinquante francs.CFA</t>
    </r>
  </si>
  <si>
    <t>Du 01/06  au 21/06/2022</t>
  </si>
  <si>
    <t>Du 01/06 au 21/06/2022</t>
  </si>
  <si>
    <t>PÈRENCO OIL &amp; GAS GABON</t>
  </si>
  <si>
    <t>BP 23 770 Libreville</t>
  </si>
  <si>
    <t xml:space="preserve">DEUX MILLIONS CINQ CENT  MILLE   (2 500 000) FRANCS.CFA </t>
  </si>
  <si>
    <t>PHARMACIE ITOLA</t>
  </si>
  <si>
    <t>amelia</t>
  </si>
  <si>
    <t>fast</t>
  </si>
  <si>
    <t>transit transport</t>
  </si>
  <si>
    <t>EXERCICE: 2023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</si>
  <si>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 xml:space="preserve"> Vingt trois  millions huit cent cinquante-sept  mille huit cent quarante francs.CFA</t>
    </r>
  </si>
  <si>
    <t>Du 01/01 au 31/12/2023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</si>
  <si>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Vingt-un  millions cent  mille  francs.CFA</t>
    </r>
  </si>
  <si>
    <t>0016</t>
  </si>
  <si>
    <t>0017</t>
  </si>
  <si>
    <t>0018</t>
  </si>
  <si>
    <t>0019</t>
  </si>
  <si>
    <t>0020</t>
  </si>
  <si>
    <t>N°OG/004/2023</t>
  </si>
  <si>
    <t>N°OG/003/2023</t>
  </si>
  <si>
    <t>TROIS MILLIONS TROIS CENT  MILLE  FrancsCFA</t>
  </si>
  <si>
    <t>0021</t>
  </si>
  <si>
    <t>0022</t>
  </si>
  <si>
    <t>0023</t>
  </si>
  <si>
    <t>0024</t>
  </si>
  <si>
    <t>0025</t>
  </si>
  <si>
    <t>Du 01 au 31/12/2023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</si>
  <si>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Six millions neuf cent quatre-vingt-trois mille  francs.CFA</t>
    </r>
  </si>
  <si>
    <t>Du 01/01  au 31/12/2023</t>
  </si>
  <si>
    <t xml:space="preserve">AGENCE NATIONALE DE L'AVIATION CIVILE </t>
  </si>
  <si>
    <t>0026</t>
  </si>
  <si>
    <t>0027</t>
  </si>
  <si>
    <t>0028</t>
  </si>
  <si>
    <t>0029</t>
  </si>
  <si>
    <t>0030</t>
  </si>
  <si>
    <t>SINATRANS GABON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</si>
  <si>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Neuf  millions deux cent quatre-vingt-quinze mille   francs.CFA</t>
    </r>
  </si>
  <si>
    <t>N°OL/001/2023</t>
  </si>
  <si>
    <t xml:space="preserve">BP 391 LBV Tèl:07 89 60 19 </t>
  </si>
  <si>
    <t>TROIS MILLIONS SIX CENT MILLE (3 600 000) Francs.CFA</t>
  </si>
  <si>
    <t>0031</t>
  </si>
  <si>
    <t>0032</t>
  </si>
  <si>
    <t>0033</t>
  </si>
  <si>
    <t>0034</t>
  </si>
  <si>
    <t>0035</t>
  </si>
  <si>
    <t>0036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</si>
  <si>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Vingt millions neuf cent douze  mille  trois cent (20 912 300)  francs.CFA</t>
    </r>
  </si>
  <si>
    <t>SATRAM MVG</t>
  </si>
  <si>
    <t>SEPT CENT CINQUANTE MILLE (750 000) Francs.CFA</t>
  </si>
  <si>
    <t>GLOBAL MAINT.MANUTENTION</t>
  </si>
  <si>
    <t>MADAME KODIA</t>
  </si>
  <si>
    <t>0037</t>
  </si>
  <si>
    <t>0038</t>
  </si>
  <si>
    <t>0039</t>
  </si>
  <si>
    <t>0040</t>
  </si>
  <si>
    <t>0041</t>
  </si>
  <si>
    <t>0042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</si>
  <si>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Quinze  millions quatre cent mille    francs.CFA</t>
    </r>
  </si>
  <si>
    <t>N°ON/001/2023</t>
  </si>
  <si>
    <t>TROIS MILLIONS SIX CENT MILLE (3 600 000 ) Francs.CFA</t>
  </si>
  <si>
    <t>TROIS MILLIONS  (3 000 000) Francs.CFA</t>
  </si>
  <si>
    <t>N°ON/003/2023</t>
  </si>
  <si>
    <t>TROIS MILLIONS SIX CENT  MILLE   (3 600 000) Francs.CFA</t>
  </si>
  <si>
    <t>0043</t>
  </si>
  <si>
    <t>0044</t>
  </si>
  <si>
    <t>0045</t>
  </si>
  <si>
    <t>0046</t>
  </si>
  <si>
    <t>0047</t>
  </si>
  <si>
    <t>M. MESSA EDZANG</t>
  </si>
  <si>
    <t>SECRETARIAT DEP. PDG</t>
  </si>
  <si>
    <t>Mme NGONDA</t>
  </si>
  <si>
    <t>M.BIKEIGNE</t>
  </si>
  <si>
    <t>0048</t>
  </si>
  <si>
    <t>M.IMBONGHON LENGANDA</t>
  </si>
  <si>
    <t>LASTOURVILLE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</si>
  <si>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>Sept</t>
    </r>
    <r>
      <rPr>
        <b/>
        <i/>
        <sz val="11"/>
        <color theme="1"/>
        <rFont val="Times New Roman"/>
        <family val="1"/>
      </rPr>
      <t xml:space="preserve"> millions trois cent vingt mille   francs.CFA</t>
    </r>
  </si>
  <si>
    <t>SIX CENT  MILLE (600 000 )Francs.CFA</t>
  </si>
  <si>
    <t>Tèl: 066 06 30 64</t>
  </si>
  <si>
    <t>Du 01/02 au 31/12/2023</t>
  </si>
  <si>
    <t>UN MILLION DEUX CENT  MILLE (1 200 000)FRANCS.CFA</t>
  </si>
  <si>
    <t>Facture N°045</t>
  </si>
  <si>
    <t>M. IMBONGHON LENGANDA</t>
  </si>
  <si>
    <t>N°LST/001/2022</t>
  </si>
  <si>
    <t>SIX CENT MILLE  (600 000 )Francs.CFA</t>
  </si>
  <si>
    <t>DIVERS SOLVABLES</t>
  </si>
  <si>
    <r>
      <t xml:space="preserve">Liquidé le présent bordereau à la somme de </t>
    </r>
    <r>
      <rPr>
        <i/>
        <sz val="11"/>
        <color theme="1"/>
        <rFont val="Times New Roman"/>
        <family val="1"/>
      </rPr>
      <t>:Sept</t>
    </r>
    <r>
      <rPr>
        <b/>
        <i/>
        <sz val="11"/>
        <color theme="1"/>
        <rFont val="Times New Roman"/>
        <family val="1"/>
      </rPr>
      <t xml:space="preserve">  cent  mille (700 000) francs.CFA</t>
    </r>
  </si>
  <si>
    <t>ASSA MEBVIGNET née MBOUMBA Andréa</t>
  </si>
  <si>
    <t>Du 01/05 au 31/05/2023</t>
  </si>
  <si>
    <t>Du 01/06 au 30/06/2023</t>
  </si>
  <si>
    <t>Du 01/04 au 30/04/2023</t>
  </si>
  <si>
    <t>Du 22/06 au 30/06/2023</t>
  </si>
  <si>
    <t>PRODUITS SUR PARKING</t>
  </si>
  <si>
    <t>NRG EXPLORATION CC</t>
  </si>
  <si>
    <t>Du 01/06 au 31/07/2023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</si>
  <si>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Un million cinq cent   mille (1 500 000)  francs.CFA</t>
    </r>
  </si>
  <si>
    <t>Tèl:+271 280 94 278</t>
  </si>
  <si>
    <t>L'ORDONNATEUR SECONDAIRE  PI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</si>
  <si>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Quatre millions </t>
    </r>
    <r>
      <rPr>
        <b/>
        <i/>
        <sz val="11"/>
        <color theme="1"/>
        <rFont val="Times New Roman"/>
        <family val="1"/>
      </rPr>
      <t>cinq cent cinquante-quatre mille huit cent (4 544 800)  francs.CFA</t>
    </r>
  </si>
  <si>
    <t>Du 13/07 au 26/07/2023</t>
  </si>
  <si>
    <t>Du 21/06 au 13/07/2023</t>
  </si>
  <si>
    <t>Du 01/07 au 31/07/2023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</si>
  <si>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Deux</t>
    </r>
    <r>
      <rPr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millions cinq cent quatre-vingt sept  mille trois cent cinquante  (2 587 350) francs.CFA</t>
    </r>
  </si>
  <si>
    <t>BORDEREAU D'EMISSION DES BANQUES D'ENREGISTREMENT ET  CONVENTION DOMANIALE</t>
  </si>
  <si>
    <t>Du 25/07 au 17/08/2023</t>
  </si>
  <si>
    <t>Mme RAIVO OWANGA</t>
  </si>
  <si>
    <t>Du 01/07 au 31/12/2023</t>
  </si>
  <si>
    <t>Du 01 au 31/08/2023</t>
  </si>
  <si>
    <t>Du 01 au 31/07/2022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</si>
  <si>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Six millions six  cent trente-quatre mille huit cent (6 634 800) francs.CFA</t>
    </r>
  </si>
  <si>
    <t>MME RAIVO OWANGA</t>
  </si>
  <si>
    <t xml:space="preserve"> Tèl: 062 68 62 76/077 80 70 70</t>
  </si>
  <si>
    <t>N°2023/003/ASECNA/DGAN/GA/OG</t>
  </si>
  <si>
    <t>MAUREL&amp;PROM</t>
  </si>
  <si>
    <t>Du 01/08/23-31/05/2024</t>
  </si>
  <si>
    <t>Du 18/08 au 05/09/2023</t>
  </si>
  <si>
    <t>Du 11/08 au 12/09/2023</t>
  </si>
  <si>
    <t>BP 2862 -Tèl: 074  63 13 94</t>
  </si>
  <si>
    <t xml:space="preserve">UTILSATION PARKING </t>
  </si>
  <si>
    <t>ABONNEMENT 2023-2024</t>
  </si>
  <si>
    <t xml:space="preserve">Réf: </t>
  </si>
  <si>
    <t>Bordereau de versement especes deplace tiers n°368923 du 13/09/2023</t>
  </si>
  <si>
    <t>UN MILLION  CINQ CENT MILLE (1 500 000 )Francs.CFA</t>
  </si>
  <si>
    <t>Du 01/08/2023 au 31/05/2024</t>
  </si>
  <si>
    <t>MAUREL &amp; PROM</t>
  </si>
  <si>
    <t>NIF 783618</t>
  </si>
  <si>
    <t>Du 05 au 18/09/2023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</si>
  <si>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>Deux</t>
    </r>
    <r>
      <rPr>
        <b/>
        <i/>
        <sz val="11"/>
        <color theme="1"/>
        <rFont val="Times New Roman"/>
        <family val="1"/>
      </rPr>
      <t xml:space="preserve"> millions neuf  cent cinquante-huit  mille  (2 958 000)   francs.CFA</t>
    </r>
  </si>
  <si>
    <t>NRG EXPLORATION</t>
  </si>
  <si>
    <t>BORDEREAU D'EMISSION  DE CONVENTION DOMANIALE &amp; AVOIRS</t>
  </si>
  <si>
    <t>Du 01/10 au 31/12/2023</t>
  </si>
  <si>
    <t>ASSA MEBVIGNET née MBOUMBA Andrea</t>
  </si>
  <si>
    <t>N°2023/002/ASECNA/DGAN/GA/MKK</t>
  </si>
  <si>
    <t>CINQ CENT MILLE   (500 000 )Francs.CFA</t>
  </si>
  <si>
    <t>Du  01/01 au 31/03/2022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</si>
  <si>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Un million deux cent cinquante -cinq mille (-1 255 000)francs.CFA</t>
    </r>
  </si>
  <si>
    <t>BORDEREAU D'EMISSION DES BANQUES D'ENREGISTREMENT &amp; CONVENTIONS DOMANIALES</t>
  </si>
  <si>
    <t>Du 01 au 30/09/2023</t>
  </si>
  <si>
    <t>Du 18 au 29/09/2023</t>
  </si>
  <si>
    <t>Du 01/08 au 30/09/2023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</si>
  <si>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Dix-neuf  millions   soixante-un  mille deux cent quatre-vingt-huit ( 19 061 288)francs.CFA</t>
    </r>
  </si>
  <si>
    <t>REMBOURSEMENT DE LA TVA</t>
  </si>
  <si>
    <t xml:space="preserve">DOUZE MILLIONS NEUF CENT QUARANTE NEUF MILLE SEPT CENT QUATRE VINGT HUIT (12 949 788)Francs CFA </t>
  </si>
  <si>
    <t>105</t>
  </si>
  <si>
    <t>107</t>
  </si>
  <si>
    <t>108</t>
  </si>
  <si>
    <t>109</t>
  </si>
  <si>
    <t>111</t>
  </si>
  <si>
    <t>AFRICA UNITED</t>
  </si>
  <si>
    <t>112</t>
  </si>
  <si>
    <t>Du 01/10 au 31/10/2023</t>
  </si>
  <si>
    <t>Du 01/11 au 30/11/2023</t>
  </si>
  <si>
    <t>Du 16/09 au 27/11/2023</t>
  </si>
  <si>
    <t>Du 07/11 au 30/11/2023</t>
  </si>
  <si>
    <t>SCOOP COOPERATIVE</t>
  </si>
  <si>
    <t>Du 01/12 au 31/12/2023</t>
  </si>
  <si>
    <t xml:space="preserve">SCOOP COOPERATIVE </t>
  </si>
  <si>
    <t>Tèl: 077 342 454/ 066 471 575</t>
  </si>
  <si>
    <t>N°2023/003/ASECNA/DGAN/GA/BT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</si>
  <si>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Six millions  huit cent quatre-vingt -onze  mille  (6 891 000) Francs.CFA</t>
    </r>
  </si>
  <si>
    <r>
      <t xml:space="preserve">Certifie sincère que la présente facture s'élève à la somme de: </t>
    </r>
    <r>
      <rPr>
        <b/>
        <i/>
        <sz val="11"/>
        <color theme="1"/>
        <rFont val="Arial Narrow"/>
        <family val="2"/>
      </rPr>
      <t/>
    </r>
  </si>
  <si>
    <t>116</t>
  </si>
  <si>
    <t>117</t>
  </si>
  <si>
    <t>Du 27/12 au 30/12/2023</t>
  </si>
  <si>
    <t>Du 29/11 au 13/12/2023</t>
  </si>
  <si>
    <t>Du 13/12 au 27/12/2023</t>
  </si>
  <si>
    <t>Du 29/08 au 31/12/2023</t>
  </si>
  <si>
    <t>118</t>
  </si>
  <si>
    <t>Prisca NZANG MBENG</t>
  </si>
  <si>
    <t>BORDEREAU D'EMISSION DES BANDES D'ENREGISTREMENTS &amp; CONVENTIONS DOMANIALES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</si>
  <si>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Deux millions quatre cent  quatre-vingt-six  mille neuf cent (2 486 900) francs.CFA</t>
    </r>
  </si>
  <si>
    <t>BP 13025 LIBREVILLE -Gabon</t>
  </si>
  <si>
    <r>
      <t>Liquidé le présent bordereau à la somme de : Trois</t>
    </r>
    <r>
      <rPr>
        <b/>
        <i/>
        <sz val="11"/>
        <color theme="1"/>
        <rFont val="Times New Roman"/>
        <family val="1"/>
      </rPr>
      <t xml:space="preserve"> millions neuf cent  quatre-vingt-un  mille  trois cent (3 981 300) francs.CFA</t>
    </r>
  </si>
  <si>
    <t>Facture N°119</t>
  </si>
  <si>
    <t>0005326-0005438</t>
  </si>
  <si>
    <t>AVANTIS AVIATION &amp; SERVICES</t>
  </si>
  <si>
    <t>BP 13025 LBV-Tèl. 077 29 42 52</t>
  </si>
  <si>
    <t>Facture N°120</t>
  </si>
  <si>
    <t>N°2023/005/ASECNA/DGAN/GA</t>
  </si>
  <si>
    <t>TROIS CENT QUARANTE-HUIT  MILLE (348 000)Francs.CFA</t>
  </si>
  <si>
    <t>PRISCA NZANG MBENG</t>
  </si>
  <si>
    <t>Tél: +241 074 713 422/ 066 216 165</t>
  </si>
  <si>
    <t>N°2023/004/ASECNA/GA/BT</t>
  </si>
  <si>
    <t>EXERCICE: 2024</t>
  </si>
  <si>
    <t>FAST</t>
  </si>
  <si>
    <t>Du 01/01 au 31/12/2024</t>
  </si>
  <si>
    <t>KING INDUSTRY GABON</t>
  </si>
  <si>
    <t>VINGT SEPT MILLIONS NEUF CENT  SEIZE MILLE NEUF CENT (27 916 900) FRANCS.CFA</t>
  </si>
  <si>
    <t>N°OG/004/2019</t>
  </si>
  <si>
    <t>QUARANTE-SIX MILLIONS DEUX  CENT CINQUANTE-DEUX MILLE CINQ CENT   (46 252 500) Francs.CFA</t>
  </si>
  <si>
    <t>Facture N°012</t>
  </si>
  <si>
    <t>Facture N°004</t>
  </si>
  <si>
    <t>ASSA MEDVIGNET née MBOUMBA Andréa</t>
  </si>
  <si>
    <t xml:space="preserve">KING INDUSTRY GABON </t>
  </si>
  <si>
    <t>N°OG/009/2023</t>
  </si>
  <si>
    <t>SIX MILLIONS  (6 000 000) Francs.CFA</t>
  </si>
  <si>
    <t>Facture N°006</t>
  </si>
  <si>
    <t>ASSA MEVIGNET née MBOUMBA Andréa</t>
  </si>
  <si>
    <t>TEL: 077 26 78 72/ 062 29 69 87</t>
  </si>
  <si>
    <t>Du 01/10 au 31/12/2024</t>
  </si>
  <si>
    <t>N°OG/001/2022</t>
  </si>
  <si>
    <t>SEPT MILLIONS TROIS CENT QUARANTE-CINQ MILLE SIX CENT CINQUANTE (7 345 650 )Francs.CFA</t>
  </si>
  <si>
    <t>CINQ MILLIONS CENT MILLE (5 100 000)Francs.CFA</t>
  </si>
  <si>
    <t xml:space="preserve">ASSA MEBVIGNET née MBOUMBA </t>
  </si>
  <si>
    <t>SEPT MILLIONS CENT TRENT-NEUF MILLE NEUF CENT QUARANTE (7 139 940 )Francs.CFA</t>
  </si>
  <si>
    <t xml:space="preserve"> Facture N° 011</t>
  </si>
  <si>
    <t>N°2024/002/ASECNA/DGAN/GA/OG</t>
  </si>
  <si>
    <t>VINGT-CINQ MILLIONS SIX CENT SOIXANTE-UN  MILLE SIX CENT QUATRE-VINGT-DIX-HUIT Francs.CFA</t>
  </si>
  <si>
    <t xml:space="preserve">QUATORZE MILLIONS HUIT CENT SOIXANTE QUINZE MILLE (14 875 000) Francs.CFA </t>
  </si>
  <si>
    <t>BP:2455</t>
  </si>
  <si>
    <t>N°OG/006/2023</t>
  </si>
  <si>
    <t>DEUX MILLIONS CINQ CENT QUATRE-VINGT-TROIS  MILLE  CENT TRENTE-DEUX (2 583 132 )Francs.CFA</t>
  </si>
  <si>
    <t>Facture N°013</t>
  </si>
  <si>
    <t>DEUX MILLIONS QUATRE CENT MILLE  (2 400 000) Francs.CFA</t>
  </si>
  <si>
    <t>Du 01 au 31/12/2024</t>
  </si>
  <si>
    <t>CINQ MILLIONS QUATRE CENT MILLE (5 400 000 )Francs.CFA</t>
  </si>
  <si>
    <t>Facture N°018</t>
  </si>
  <si>
    <t>TROIS MILLIONS TROIS CENT  (3 300 000 )Francs.CFA</t>
  </si>
  <si>
    <t>Du 01/01  au 31/12/2024</t>
  </si>
  <si>
    <t>UN MILLION CINQ CENT  MILLE (1 500 000) FrancsCFA</t>
  </si>
  <si>
    <t>BP: 2252 Libreville, Tél.01.73.21.04/01.73.31.14 /065 40 64 60</t>
  </si>
  <si>
    <t>OFM</t>
  </si>
  <si>
    <t>OLIVIER FACILITING MANAGEMENT</t>
  </si>
  <si>
    <t>BP: 518, Tél: 066 77 90 47/077 52 86 37</t>
  </si>
  <si>
    <t>N°OG/005/2023</t>
  </si>
  <si>
    <t>UN MILLION CINQ CENT  MILLE   (1 500 000) Francs.CFA</t>
  </si>
  <si>
    <t>TRANSIST TRANSPORT SERVICES</t>
  </si>
  <si>
    <t>SEPT MILLIONS SIX CENT VINGT-TROIS MILLE  (7 623 000) Francs.CFA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</si>
  <si>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Cent vingt-quatre  millions trente-neuf  mille quatre cent</t>
    </r>
    <r>
      <rPr>
        <b/>
        <i/>
        <sz val="12"/>
        <color theme="1"/>
        <rFont val="Times New Roman"/>
        <family val="1"/>
      </rPr>
      <t xml:space="preserve"> 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</si>
  <si>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Dix-neuf  millions quatre-vingt-trois  mille  francs.CFA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</si>
  <si>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vingt-un millions deux cent deux mille neuf cent quarante francs.CFA</t>
    </r>
  </si>
  <si>
    <t>Du 01/01 au 31/12/ 2024</t>
  </si>
  <si>
    <t>NEUF CENT SOIXANTE MILLE  (960 000) Francs.CFA</t>
  </si>
  <si>
    <t>N°OG/004/2022</t>
  </si>
  <si>
    <r>
      <t>Liquidé le présent bordereau à la somme de :</t>
    </r>
    <r>
      <rPr>
        <i/>
        <sz val="11"/>
        <color theme="1"/>
        <rFont val="Times New Roman"/>
        <family val="1"/>
      </rPr>
      <t>Dix</t>
    </r>
    <r>
      <rPr>
        <b/>
        <i/>
        <sz val="11"/>
        <color theme="1"/>
        <rFont val="Times New Roman"/>
        <family val="1"/>
      </rPr>
      <t xml:space="preserve"> millions deux cent soixante-trois mille cent trente-deux (10 248 132)francs.CFA</t>
    </r>
  </si>
  <si>
    <t>N°OG/007/2022</t>
  </si>
  <si>
    <t>CARMEL LOCATION</t>
  </si>
  <si>
    <t xml:space="preserve">AVANTIS AVIATION </t>
  </si>
  <si>
    <t>Du 01/01 au 04/01/2024</t>
  </si>
  <si>
    <t>Du 01 au 10/01/2024</t>
  </si>
  <si>
    <t>Du 01/02 au 23/02/2024</t>
  </si>
  <si>
    <t>Du 10/01 au 30/01/2024</t>
  </si>
  <si>
    <t>Du 01/01 au 31/01/2024</t>
  </si>
  <si>
    <t>BP 13025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</si>
  <si>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Trois millions quatre cent soixante-neuf mille cinq cent  (3 469 500)  francs.CFA</t>
    </r>
  </si>
  <si>
    <t>SCOOP COOPERATION</t>
  </si>
  <si>
    <t>FRENCH OVEN</t>
  </si>
  <si>
    <t xml:space="preserve">NZANG MBENG </t>
  </si>
  <si>
    <t>RAIVO OWANGA</t>
  </si>
  <si>
    <t>UN MILLION CENT VINGT-UN MILLE QUARANTE (1 121 040 )Francs.CFA</t>
  </si>
  <si>
    <t>N°OL/0001/2020</t>
  </si>
  <si>
    <t xml:space="preserve"> DEUX MILLIONS DEUX CENT MILLE  (2 200 000) FRANCS.CFA</t>
  </si>
  <si>
    <t xml:space="preserve">CARMEL LOCATION </t>
  </si>
  <si>
    <t>N°OL/002/2023</t>
  </si>
  <si>
    <t>UN MILLION DEUX CENT  MILLE (1 200 000 )Francs CFA</t>
  </si>
  <si>
    <t>Facture N°028</t>
  </si>
  <si>
    <t xml:space="preserve">BP 3291 Tèl:062 050 909 Libreville  </t>
  </si>
  <si>
    <t>TROIS MILLIONS SIX CENT  MILLE (3 600 000) Francs.CFA</t>
  </si>
  <si>
    <t>N°ON/02/2022</t>
  </si>
  <si>
    <t>N°ON/0010/2019</t>
  </si>
  <si>
    <t>CINQ MILLIONS (5 000 000)  Francs.CFA</t>
  </si>
  <si>
    <t>DEUX MILLIONS CINQ CENT DIX-NEUF MILLE HUIT CENT (2 519 800 )Francs.CFA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</si>
  <si>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Onze millions deux cent quarante mille huit cent quarante (11 240 840)   francs.CFA</t>
    </r>
  </si>
  <si>
    <t>BP: 2252 Libreville, Tél.065 40 64 55/065 40 64 60/065 40 64 75</t>
  </si>
  <si>
    <t>0049</t>
  </si>
  <si>
    <t>BP: 2252 Libreville, Tél.065 40 64 60/065 40 64 55/065 40 64 75</t>
  </si>
  <si>
    <t>BP: 2252 Libreville, Tél.065 40 64 60 / 065 40 64 55 / 065 40 64 75</t>
  </si>
  <si>
    <t>BP: 2252 Libreville,  Tél.065 40 64 60 / 065 40 64 55 / 065 40 64 75</t>
  </si>
  <si>
    <t>UN MILLION TROIS CENT QUATRE-VINGT-DOUZE MILLE HUIT CENT (1 392 800 )Francs.CFA</t>
  </si>
  <si>
    <t>BP: 2252 Libreville, Tél.065 40 64 60/ 065 40 64 55/ 065 40 64 75</t>
  </si>
  <si>
    <t>BP: 2252 Libreville, Tél.+241 065 40 64 60/ 065 40 64 55/ 065 40 64 75</t>
  </si>
  <si>
    <t>N°OL/001/2020</t>
  </si>
  <si>
    <t>BP: 2252 Libreville, Tél.+241 065 40 64 60/ 065 40 64 55/065 40 64 75</t>
  </si>
  <si>
    <t>BP: 2252 Libreville, Tél.+241 065 40 64 60/ 065 40 64 75</t>
  </si>
  <si>
    <t>BP: 2252 Libreville, Tél.+241 065 40 64 60/ 065 40 64 75/ 065 40 64 55</t>
  </si>
  <si>
    <t>Du 01/03 au 31/12/2024</t>
  </si>
  <si>
    <t>N°ON/002/2023</t>
  </si>
  <si>
    <t xml:space="preserve">QUATRE  CENT VINGT MILLE  (420 000) Francs.CFA </t>
  </si>
  <si>
    <t xml:space="preserve"> Tèl:066 71 52 91</t>
  </si>
  <si>
    <t>UN MILLION CINQ CENT MILLE (1 500 000) Francs.CFA</t>
  </si>
  <si>
    <t>YBN INVESTISSEMENTS</t>
  </si>
  <si>
    <t>Tèl: 011 66 38 80</t>
  </si>
  <si>
    <t>Facture N°049</t>
  </si>
  <si>
    <t>N°ON/005/2023</t>
  </si>
  <si>
    <t>QUATRE CENT QUATRE-VINGT MILLE  (480 000 )Francs.CFA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</si>
  <si>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Quatorze  millions deux  cent vingt mille (14 220 000)francs.CFA</t>
    </r>
  </si>
  <si>
    <t>N°ON/04/2023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</si>
  <si>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Dix-neuf  millions quatre cent sept mille  trois cent (19 407 300)  francs.CFA</t>
    </r>
  </si>
  <si>
    <t>BP: 2252 Libreville, Tél.+241 065 65 31 62/ 065 40 64 75 /065 40 64 55</t>
  </si>
  <si>
    <t>N°OB/001/2023</t>
  </si>
  <si>
    <t>0050</t>
  </si>
  <si>
    <t>0051</t>
  </si>
  <si>
    <t>0052</t>
  </si>
  <si>
    <t>BORDEREAU D'EMISSION DES BANQUES D'ENREGISTREMENT ET AVOIRS</t>
  </si>
  <si>
    <t>BP: 2252 Libreville, Tél.+241 065 40 64 60/065 40 64 75/ 065 40 64 55</t>
  </si>
  <si>
    <t>Avoir N°001</t>
  </si>
  <si>
    <t>BP: 2252 Libreville, Tél.065 40 64 60/ 065 40 64 75/ 065 40 64 55</t>
  </si>
  <si>
    <t xml:space="preserve">réf: </t>
  </si>
  <si>
    <t>facture N°010</t>
  </si>
  <si>
    <t>facture 014</t>
  </si>
  <si>
    <t xml:space="preserve">Certifie sincère et veritable le présent avoir s'élèvant à la somme de: </t>
  </si>
  <si>
    <t>Du 23/02 au 07/03/2024</t>
  </si>
  <si>
    <t>Du 05/01 au 08/02/2024</t>
  </si>
  <si>
    <t>Du 07/03 au 21/03/2024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</si>
  <si>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Trois</t>
    </r>
    <r>
      <rPr>
        <b/>
        <sz val="11"/>
        <color theme="1"/>
        <rFont val="Times New Roman"/>
        <family val="1"/>
      </rPr>
      <t xml:space="preserve"> millions </t>
    </r>
    <r>
      <rPr>
        <b/>
        <i/>
        <sz val="11"/>
        <color theme="1"/>
        <rFont val="Times New Roman"/>
        <family val="1"/>
      </rPr>
      <t>neuf cent quatre-vingt-quatorze mille cinq cent (-3 994 500)  francs.CFA</t>
    </r>
  </si>
  <si>
    <t>N°OG/008/2022</t>
  </si>
  <si>
    <t>N°2024/001/ASECNA/DGAN/GA/OG</t>
  </si>
  <si>
    <t>BP: 2252 Libreville, Tél.065 40 64 60/065 40 64 75/ 065 40 64 55</t>
  </si>
  <si>
    <t>PANTOUFLARDS</t>
  </si>
  <si>
    <t>Du 01/01 au 31/03/2024</t>
  </si>
  <si>
    <t>Du 06/01 au 29/01/2024</t>
  </si>
  <si>
    <t xml:space="preserve">L'ORDONNATEUR SECONDAIRE  </t>
  </si>
  <si>
    <t xml:space="preserve">BORDEREAU D'EMISSION DE CONVENTION DOMANIALE &amp; BANQUES D'ENREGISTREMENT </t>
  </si>
  <si>
    <t>BP: 2252 Libreville, Tél.065 40 64 60/ 065 40 64 75/065 40 64 55</t>
  </si>
  <si>
    <t>N°2024/005/ASECNA/DGAN/GA/OG</t>
  </si>
  <si>
    <t>Du 01/02 au 29/02/2024</t>
  </si>
  <si>
    <t xml:space="preserve">BORDEREAU D'EMISSION DES CONVENTIONS DOMANIALES ET BANQUES D'ENREGISTREMENT </t>
  </si>
  <si>
    <t>Du 01/04 au 26/04/2024</t>
  </si>
  <si>
    <t>Du 21/03 au 30/03/2024</t>
  </si>
  <si>
    <t>Du 01/02 au 31/03/2024</t>
  </si>
  <si>
    <t>Du 09/02 au 31/03/2024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</si>
  <si>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Trente-cinq millions quatorze  mille sept cent soixante (35 014 760)  francs.CFA</t>
    </r>
  </si>
  <si>
    <t xml:space="preserve">AVANTIS AVAITION 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</si>
  <si>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>Cinquante-sept</t>
    </r>
    <r>
      <rPr>
        <b/>
        <i/>
        <sz val="11"/>
        <color theme="1"/>
        <rFont val="Times New Roman"/>
        <family val="1"/>
      </rPr>
      <t xml:space="preserve"> millions  huit cent vingt-neuf mille huit cent cinquante (57 829 850)francs.CFA</t>
    </r>
  </si>
  <si>
    <t>Série n°:0005262-0005287</t>
  </si>
  <si>
    <t>BP: 2252 Libreville, Tél.241.065 64 60/065 40 64 75/065 40 64 55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</si>
  <si>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Cinq</t>
    </r>
    <r>
      <rPr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millions cent trois mille (5 103 000) francs.CFA</t>
    </r>
  </si>
  <si>
    <t>NZANG MBENG PRISCA</t>
  </si>
  <si>
    <t>Du 01/05 au 31/12/2024</t>
  </si>
  <si>
    <t>Du 01/08 au 31/12/2024</t>
  </si>
  <si>
    <t>SAGA (AGL)</t>
  </si>
  <si>
    <t>Du 01/04 au 30/04/2024</t>
  </si>
  <si>
    <t>BORDEREAU D'EMISSION DE  CONVENTION DOMANIALE &amp; PARKING</t>
  </si>
  <si>
    <t>Du 15/02 au 29/04/2024</t>
  </si>
  <si>
    <t>Du 26/04 au 06/05/2024</t>
  </si>
  <si>
    <t>Du 01/04 au 28/04/2024</t>
  </si>
  <si>
    <t>Du 07/05 au 16/05/2024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</si>
  <si>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>Trois</t>
    </r>
    <r>
      <rPr>
        <b/>
        <i/>
        <sz val="11"/>
        <color theme="1"/>
        <rFont val="Times New Roman"/>
        <family val="1"/>
      </rPr>
      <t xml:space="preserve"> millions deux  cent treize  mille  (3 213 000)   francs.CFA</t>
    </r>
  </si>
  <si>
    <t>0005288-0005300</t>
  </si>
  <si>
    <t>Réf: Facture 044</t>
  </si>
  <si>
    <t>Avoir N°003</t>
  </si>
  <si>
    <t xml:space="preserve">Certifie sincère et veritable la présente facture d'avoir s'élèvant à la somme de: </t>
  </si>
  <si>
    <t>QUATRE  CENT SOIXANTE-DIX-NEUF MILLE DEUX CENT (479 200) Francs.CFA</t>
  </si>
  <si>
    <t>Réf: Facture N°033</t>
  </si>
  <si>
    <t>Avoir N°0004</t>
  </si>
  <si>
    <t>Du 01/08 au 31/12/204</t>
  </si>
  <si>
    <t>DEUX MILLIONS CENT DIX-HUIT MILLE CINQ CENT QUARANTE-DEUX ( -2 818 542) Francs.CFA</t>
  </si>
  <si>
    <t>BP: 2252 Libreville, Tél.+241 65 40 64 60/065 40 64 55/ 065 40 64 75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</si>
  <si>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Vingt-quatre millions six cent  soixante-douze mille six cent cinquante-six (24 672 656) francs.CFA</t>
    </r>
  </si>
  <si>
    <t>Série n°:0005038-0005050/0005101-0005119</t>
  </si>
  <si>
    <t>E'VE ASSISTANCE</t>
  </si>
  <si>
    <t>Du 01/07 au 31/12/2024</t>
  </si>
  <si>
    <t>BIDZI EXPRESS FOOD</t>
  </si>
  <si>
    <t>Du 01/05 au 31/05/2024</t>
  </si>
  <si>
    <t>Du 01/06 au 30/06/2024</t>
  </si>
  <si>
    <t>BORDEREAU D'EMISSION  DE CONVENTION DOMANIALE</t>
  </si>
  <si>
    <t>Du 13/04 au 29/05/2024</t>
  </si>
  <si>
    <t>Du 07/06 au 18/06/2024</t>
  </si>
  <si>
    <t>Du 16/05 au 29/05/2024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</si>
  <si>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Cinq  millions sept cent soixante-dix-huit mille six cent  (5 778 600)francs.CFA</t>
    </r>
  </si>
  <si>
    <t>GABON AERO ASSISTANCE</t>
  </si>
  <si>
    <t>Du 27/04 au 29/04/2024</t>
  </si>
  <si>
    <t>Du 29/05 au 07/06/2024</t>
  </si>
  <si>
    <t>Du 18/05 au 10/07/2024</t>
  </si>
  <si>
    <r>
      <t xml:space="preserve">Liquidé le présent bordereau à la somme de : Deux </t>
    </r>
    <r>
      <rPr>
        <b/>
        <i/>
        <sz val="11"/>
        <color theme="1"/>
        <rFont val="Times New Roman"/>
        <family val="1"/>
      </rPr>
      <t>millions deux cent dix-huit mille (2 218 000)Francs.CFA</t>
    </r>
  </si>
  <si>
    <t>BP: 2252 Libreville, Tél.+241 065 40 64 60/ 065 40 64 75/065 40 64 55</t>
  </si>
  <si>
    <t>BP 10253 Lbv - 011 44 58 89</t>
  </si>
  <si>
    <t xml:space="preserve">AFRIJET GABON </t>
  </si>
  <si>
    <t>BP: 2252 Libreville, Tél.+241 065 40 64 60/065 40 64 75/065 40 64 55</t>
  </si>
  <si>
    <t xml:space="preserve">GABON AERO ASSISTANCE </t>
  </si>
  <si>
    <t xml:space="preserve">Tél: </t>
  </si>
  <si>
    <t xml:space="preserve">BP:111 LBV Tél:+241 062 46 52 69 </t>
  </si>
  <si>
    <t>Facture N°xx</t>
  </si>
  <si>
    <t>BP 4837 - Tèl 062 54 54 93</t>
  </si>
  <si>
    <t>Du 01/03  au 31/12/2024</t>
  </si>
  <si>
    <t>N°2024/03/ASECNA/DGAN/GA/OY</t>
  </si>
  <si>
    <t xml:space="preserve">UN MILLIONS CINQ CENT MILLE   (1 500 000) FRANCS.CFA </t>
  </si>
  <si>
    <t>Du 01/05  au 31/12/2024</t>
  </si>
  <si>
    <t>UN MILLION DEUX CENT CINQUANTE-SIX MILLE SEPT CENT (1 256 700)Francs.CFA</t>
  </si>
  <si>
    <t>N°2024/01/ASECNA/DGAN/GA</t>
  </si>
  <si>
    <t>E'VE ASSISTANCES</t>
  </si>
  <si>
    <t>BP 10750 LBV Tèl:074 82 47 24</t>
  </si>
  <si>
    <t>Du 01/07  au 31/12/2024</t>
  </si>
  <si>
    <t>N°2024/04/ASECNA/DGAN/GA/OY</t>
  </si>
  <si>
    <t>QUATRE CENT VINGT  MILLE (420 000) Francs.CFA</t>
  </si>
  <si>
    <t>N°2024/02/ASECNA/DGAN/GA</t>
  </si>
  <si>
    <t>SIX CENT DOUZE  MILLE SIX CENT (612 600) Francs.CFA</t>
  </si>
  <si>
    <t>BP: 2252 Libreville, Tél.065 40 64 60 /065 40 64 75 /065 40 64 55</t>
  </si>
  <si>
    <t>BP: 2252 Libreville, Tél.065 40 64 60 /065 40 64 75/ 065 40 64 55</t>
  </si>
  <si>
    <t>N°2024/009/ASECNA/DGAN/GA/OG</t>
  </si>
  <si>
    <t xml:space="preserve">UN MILLION QUATRE CENT SOIXANTE-DIX MILLE (1 470 000)Francs.CFA 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</si>
  <si>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Cinq millions deux cent cinquante-neuf mille trois cent (5 259 300)francs.CFA</t>
    </r>
  </si>
  <si>
    <t>Série n° 0011959-0011962</t>
  </si>
  <si>
    <t xml:space="preserve">Certifie sincère que la  présente facture  s'élève à la somme de: </t>
  </si>
  <si>
    <t>Du 01/07 au 12/07/2024</t>
  </si>
  <si>
    <t>Du 02/06 au 30/06/2024</t>
  </si>
  <si>
    <t>Du 29/04 au 01/05/2024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</si>
  <si>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Quatre millions   cent cinquante-huit mille  (4 158 000) Francs.CFA</t>
    </r>
  </si>
  <si>
    <t>Du 23/07 au 05/08/2024</t>
  </si>
  <si>
    <t>Du 13/04 au 23/07/2024</t>
  </si>
  <si>
    <t>Du 01/07 au 31/07/2024</t>
  </si>
  <si>
    <t>Facture N°093</t>
  </si>
  <si>
    <t>MBA ZOGO MINTSA GERMAINE</t>
  </si>
  <si>
    <t>GERMAINE MBA ZOGO MINTSA</t>
  </si>
  <si>
    <t>Tèl: 066 21 90 94</t>
  </si>
  <si>
    <t>N°OMI/001/2023</t>
  </si>
  <si>
    <t>QUATRE CENT QUATRE-VINGT  MILLE (480 000) Francs. CFA</t>
  </si>
  <si>
    <t>Du 01/02 au 12/02/2024</t>
  </si>
  <si>
    <r>
      <t>Certifie sincère et veritable la présente facture d'avoir s'élèvant à la somme de:</t>
    </r>
    <r>
      <rPr>
        <b/>
        <i/>
        <sz val="11"/>
        <color theme="1"/>
        <rFont val="Arial Narrow"/>
        <family val="2"/>
      </rPr>
      <t xml:space="preserve"> </t>
    </r>
  </si>
  <si>
    <t>SOIXANTE-TROIS  MILLE (63 000 )Francs.CFA</t>
  </si>
  <si>
    <t>BP: 2252 Libreville, Tél.+241 065 40 64 60/065 40 64 55/ 065 40 64 75</t>
  </si>
  <si>
    <t>Certifie sincère que la présente facture  s'élève à la somme de: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</si>
  <si>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>Trois</t>
    </r>
    <r>
      <rPr>
        <b/>
        <i/>
        <sz val="11"/>
        <color theme="1"/>
        <rFont val="Times New Roman"/>
        <family val="1"/>
      </rPr>
      <t xml:space="preserve"> millions huit cent  quatre-vingt-treize  mille cent (3 893100) francs.CFA</t>
    </r>
  </si>
  <si>
    <t>AFRIJET MVG GABON</t>
  </si>
  <si>
    <t>BP:10253 POG- Tél:011 44 50 50</t>
  </si>
  <si>
    <t>N°ON/004/2023</t>
  </si>
  <si>
    <t>DEUX MILLIONS TROIS CENT SOIXANTE-DIX-NEUF  MILLE DEUX CENT (2 379 200 )Francs.CFA</t>
  </si>
  <si>
    <t>Facture N°096</t>
  </si>
  <si>
    <t xml:space="preserve">Certifie sincère et veritable la présente facture  s'élèvant à la somme de: </t>
  </si>
  <si>
    <t>N°ON/001/2016</t>
  </si>
  <si>
    <t>TROIS MILLIONS  QUATRE CENT HUIT MILLE SIX CENT (3 408 600) Francs.CFA</t>
  </si>
  <si>
    <t>(annuelle: 2519800)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</si>
  <si>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Quatre  millions cinq cent  soixante-dix-neuf mille huit cent (4 579 800) francs.CFA</t>
    </r>
  </si>
  <si>
    <t>DAVE</t>
  </si>
  <si>
    <t>De 2018 au 31/12/2023</t>
  </si>
  <si>
    <t xml:space="preserve">Du 02/08 au 30/08/2024 </t>
  </si>
  <si>
    <t xml:space="preserve">Du 01/07 au 01/08/2024 </t>
  </si>
  <si>
    <t>Du 05/08 au 15/08/2024</t>
  </si>
  <si>
    <t>BORDEREAU D'EMISSION DES BANDES D'ENREGISTREMENTS &amp; CONVENTIONS</t>
  </si>
  <si>
    <t>Facture N°099</t>
  </si>
  <si>
    <t>BP: 2252 Libreville, Tél.+241 65 40 64 60/ 065 40 64 75</t>
  </si>
  <si>
    <t xml:space="preserve">Du 01/01 au 31/12/2024 </t>
  </si>
  <si>
    <t xml:space="preserve">BORDEREAU D'EMISSION DE BANQUES D'ENREGISTREMENT &amp; CONVENTION DOMANIALE </t>
  </si>
  <si>
    <t>Facture N°100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</si>
  <si>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Un million deux cent soixante-douze mille cinq cent (1 272 500) francs.CFA</t>
    </r>
  </si>
  <si>
    <t>N°OG/0011/2014</t>
  </si>
  <si>
    <t>NEUF CENT QUARANTE-DEUX  MILLE  (942 000) Francs.CFA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</si>
  <si>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Vingt-un millions deux cent quatre-vingt-dix  mille six cent (21 290 600)   francs.CFA</t>
    </r>
  </si>
  <si>
    <t>Du 02/08 au 01/09/2024</t>
  </si>
  <si>
    <t>Du 16/08 au 07/09/2024</t>
  </si>
  <si>
    <t>Du 01/08 au 31/08/2024</t>
  </si>
  <si>
    <r>
      <t xml:space="preserve">Liquidé le présent bordereau à la somme de </t>
    </r>
    <r>
      <rPr>
        <i/>
        <sz val="11"/>
        <color theme="1"/>
        <rFont val="Times New Roman"/>
        <family val="1"/>
      </rPr>
      <t>:</t>
    </r>
    <r>
      <rPr>
        <b/>
        <i/>
        <sz val="11"/>
        <color theme="1"/>
        <rFont val="Times New Roman"/>
        <family val="1"/>
      </rPr>
      <t>Quatre  millions deux  cent  quarante-six mille cent (4 246 100)  francs.CFA</t>
    </r>
  </si>
  <si>
    <t>BORDEREAU D'EMISSION DES  BANQUES D'ENREGISTREMENT &amp; PARKING</t>
  </si>
  <si>
    <t>N°FACTURE</t>
  </si>
  <si>
    <t>Du 03/05 au 03/07/2024</t>
  </si>
  <si>
    <t>Du 27/11/2023 au 12/01/2024</t>
  </si>
  <si>
    <t>Du 23/09 au 02/10/2024</t>
  </si>
  <si>
    <t>Du 09/09 au 22/09/2024</t>
  </si>
  <si>
    <t>Du 03/10 au 14/10/2024</t>
  </si>
  <si>
    <t>Du 01/09 au 30/09/2024</t>
  </si>
  <si>
    <t>Du 02/09 au 30/09/2024</t>
  </si>
  <si>
    <t>Du 01/09 au 29/09/2024</t>
  </si>
  <si>
    <t>Du 04/07 au 02/09/2024</t>
  </si>
  <si>
    <t>CLIENT PARKING</t>
  </si>
  <si>
    <t>Du 01/10 au 31/10/2024</t>
  </si>
  <si>
    <r>
      <t>Liquidé le présent bordereau à la somme de :Six</t>
    </r>
    <r>
      <rPr>
        <b/>
        <i/>
        <sz val="11"/>
        <color theme="1"/>
        <rFont val="Times New Roman"/>
        <family val="1"/>
      </rPr>
      <t xml:space="preserve"> millions neuf cent quatre-vingt huit mille neuf cent francs.CFA</t>
    </r>
  </si>
  <si>
    <t>Facture N°118</t>
  </si>
  <si>
    <t>Mois de Septembre 2024</t>
  </si>
  <si>
    <r>
      <t xml:space="preserve">TROIS MILLIONS SIX CENT QUARANTE DEUX MILLE SIX CENT CINQUANTE </t>
    </r>
    <r>
      <rPr>
        <b/>
        <i/>
        <sz val="12"/>
        <color theme="1"/>
        <rFont val="Arial Narrow"/>
        <family val="2"/>
      </rPr>
      <t>(3 642 650</t>
    </r>
    <r>
      <rPr>
        <b/>
        <i/>
        <sz val="10.5"/>
        <color theme="1"/>
        <rFont val="Arial Narrow"/>
        <family val="2"/>
      </rPr>
      <t xml:space="preserve">) Francs.CFA </t>
    </r>
  </si>
  <si>
    <t>Mois d'Octobre 2024</t>
  </si>
  <si>
    <t>1 521250</t>
  </si>
  <si>
    <r>
      <t>Liquidé le présent bordereau à la somme de : T</t>
    </r>
    <r>
      <rPr>
        <b/>
        <i/>
        <sz val="11"/>
        <color theme="1"/>
        <rFont val="Times New Roman"/>
        <family val="1"/>
      </rPr>
      <t>rois millions six cent cinquante sept mille  francs.CFA</t>
    </r>
  </si>
  <si>
    <r>
      <t xml:space="preserve">Certifie sincère et veritable la présente facture s'élèvant à la somme de: </t>
    </r>
    <r>
      <rPr>
        <b/>
        <i/>
        <sz val="10"/>
        <color theme="1"/>
        <rFont val="Arial Narrow"/>
        <family val="2"/>
      </rPr>
      <t xml:space="preserve"> </t>
    </r>
  </si>
  <si>
    <t>UN MILLION CINQ CENT VINGT-UN MILLE DEUX CENT CINQUANTE (1521 250 )francs CFA</t>
  </si>
  <si>
    <t>BORDEREAU D'EMISSION DES BANQUES D'ENREGISTREMENT&amp; PARKING</t>
  </si>
  <si>
    <t>123</t>
  </si>
  <si>
    <t>124</t>
  </si>
  <si>
    <t>Du 02/10 au 31/10/2024</t>
  </si>
  <si>
    <t>Du 01/11 au 29/11/2024</t>
  </si>
  <si>
    <t>Du 01/11 au 30/11/2024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</si>
  <si>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Quatre millions trois cent cinquante-trois mille cinq cent francs.CFA</t>
    </r>
  </si>
  <si>
    <t>Du 20/10 au 07/11/2024</t>
  </si>
  <si>
    <t>Du 15/10 au 25/10/2024</t>
  </si>
  <si>
    <t>Du 08/11 au 20/11/2024</t>
  </si>
  <si>
    <t>Du 21/11 au 07/12/2024</t>
  </si>
  <si>
    <t>BORDEREAU D'EMISSION DES BANQUES D'ENREGISTREMENTS ET CONVENTION DOMANIALE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</si>
  <si>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Quarante-trois millions cinq cent soixante-un mille  francs.CFA</t>
    </r>
  </si>
  <si>
    <t>QUATRE CENT QUATRE-VINGT-DIX MILLE (490 000 )Francs.CFA</t>
  </si>
  <si>
    <t>Facture N° 120</t>
  </si>
  <si>
    <t>Série n° 0011521-0011542</t>
  </si>
  <si>
    <t>BP: 2252 Libreville, Tél.+241 065 40 64 75/065 40 64 55/ 065 65 31 62</t>
  </si>
  <si>
    <t>BORDEREAU D'EMISSION DE CONVENTION</t>
  </si>
  <si>
    <t>Facture N°131</t>
  </si>
  <si>
    <t>132</t>
  </si>
  <si>
    <t>133</t>
  </si>
  <si>
    <t>134</t>
  </si>
  <si>
    <t>Mme MASSASSA</t>
  </si>
  <si>
    <t>Facture N°134</t>
  </si>
  <si>
    <t>BP: 2252 Libreville, Tél.+241 065 40 64 75/ 065 40 64 55</t>
  </si>
  <si>
    <t>Facture N°132</t>
  </si>
  <si>
    <t>BP: 2252 Libreville, Tél.+241 65 19 20 69/ 065 40 64 75/065 40 64 55</t>
  </si>
  <si>
    <t>Facture N°133</t>
  </si>
  <si>
    <r>
      <t xml:space="preserve">Liquidé le présent bordereau à la somme de </t>
    </r>
    <r>
      <rPr>
        <i/>
        <sz val="11"/>
        <color theme="1"/>
        <rFont val="Times New Roman"/>
        <family val="1"/>
      </rPr>
      <t xml:space="preserve">: </t>
    </r>
    <r>
      <rPr>
        <b/>
        <i/>
        <sz val="11"/>
        <color theme="1"/>
        <rFont val="Times New Roman"/>
        <family val="1"/>
      </rPr>
      <t xml:space="preserve"> Huit millions soixante-dix-huit mille (8 078 000)  francs.CFA</t>
    </r>
  </si>
  <si>
    <t xml:space="preserve">NGOUNDA </t>
  </si>
  <si>
    <t>EXERCICE: 2025</t>
  </si>
  <si>
    <t>Du 01/12 au 31/12/2024</t>
  </si>
  <si>
    <t xml:space="preserve">AFRICA UNITED </t>
  </si>
  <si>
    <t>Du 01/12 au 30/12/2024</t>
  </si>
  <si>
    <t>QUATRE CENT   MILLE (400 000)F.CFA</t>
  </si>
  <si>
    <t>0011561-0011578</t>
  </si>
  <si>
    <t>Du 07/12 au 23/12/2024</t>
  </si>
  <si>
    <t>135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</si>
  <si>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Trois millions sept cent vingt-six mille cinq cent cinquante (3 726 550) francs.CFA</t>
    </r>
  </si>
  <si>
    <t xml:space="preserve">BORDEREAU D'EMISSION DE BANQUES D'ENREGISTREMENT &amp; PARKING </t>
  </si>
  <si>
    <t>Facture N°139</t>
  </si>
  <si>
    <t xml:space="preserve">Certifie sincère que la présente facture  s'élève à la somme de: </t>
  </si>
  <si>
    <t>Du 01/01 au 31/01/2025</t>
  </si>
  <si>
    <t>Du 02/01 au 31/01/2025</t>
  </si>
  <si>
    <t>Du 09/01 au 23/01/2025</t>
  </si>
  <si>
    <t>Du 23/12/24 au 08/01/25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</si>
  <si>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Trois millions quatre cent quatre mille cinq cent</t>
    </r>
    <r>
      <rPr>
        <b/>
        <sz val="11"/>
        <color theme="1"/>
        <rFont val="Times New Roman"/>
        <family val="1"/>
      </rPr>
      <t xml:space="preserve"> (3 404 500)</t>
    </r>
    <r>
      <rPr>
        <b/>
        <i/>
        <sz val="11"/>
        <color theme="1"/>
        <rFont val="Times New Roman"/>
        <family val="1"/>
      </rPr>
      <t xml:space="preserve"> francs.CFA</t>
    </r>
  </si>
  <si>
    <t>Ordre de recette</t>
  </si>
  <si>
    <t xml:space="preserve">remboursement en 10 mensualités : </t>
  </si>
  <si>
    <t xml:space="preserve">Échéance de règlement: 10 mois à compter de la date d'émission </t>
  </si>
  <si>
    <r>
      <t xml:space="preserve">Certifie sincère et veritable la présente ordre de recette s'élèvant à la somme de: </t>
    </r>
    <r>
      <rPr>
        <b/>
        <i/>
        <sz val="11"/>
        <color theme="1"/>
        <rFont val="Arial Narrow"/>
        <family val="2"/>
      </rPr>
      <t xml:space="preserve"> </t>
    </r>
  </si>
  <si>
    <t>Ordre de Recette N°04</t>
  </si>
  <si>
    <t>128 000</t>
  </si>
  <si>
    <t>12 800</t>
  </si>
  <si>
    <t>CENT VINGT HUIT MILLE ( 128 000 ) F CFA</t>
  </si>
  <si>
    <r>
      <rPr>
        <b/>
        <sz val="11"/>
        <color theme="1"/>
        <rFont val="Arial Narrow"/>
        <family val="2"/>
      </rPr>
      <t>Réf:</t>
    </r>
    <r>
      <rPr>
        <sz val="11"/>
        <color theme="1"/>
        <rFont val="Arial Narrow"/>
        <family val="2"/>
      </rPr>
      <t xml:space="preserve"> MEI NR 2024/0017/ ASECNA/DGAN/GA du 13/12/2024</t>
    </r>
  </si>
  <si>
    <t>Remboursement de la mission   effectuée/ Trop perçu</t>
  </si>
  <si>
    <t>Mission : OM /31 du 12/04/2023</t>
  </si>
  <si>
    <t>Du 02/01 au 28/02/2025</t>
  </si>
  <si>
    <t>Du 01/02 au 28/02/2025</t>
  </si>
  <si>
    <t>Du 07/02 au 20/02/2025</t>
  </si>
  <si>
    <t>Du 23/01 au 07/02/2025</t>
  </si>
  <si>
    <t>Du 25/10/24 au 02/01/2025</t>
  </si>
  <si>
    <t>Du 11/01 au 24/02/2025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</si>
  <si>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Trois millions  cinquante-sept  mille  cinq cent (3 057 500) francs.CFA</t>
    </r>
  </si>
  <si>
    <r>
      <t xml:space="preserve"> Bordereau N°: </t>
    </r>
    <r>
      <rPr>
        <b/>
        <sz val="13"/>
        <color theme="1"/>
        <rFont val="Times New Roman"/>
        <family val="1"/>
      </rPr>
      <t>04</t>
    </r>
  </si>
  <si>
    <t>Du 02/03 au 31/03/2025</t>
  </si>
  <si>
    <t>Du 01/03 au 31/03/2025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</si>
  <si>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Trois millions cinq cent quatre-vingt treize  mille ( 3 593 000)francs.CFA</t>
    </r>
  </si>
  <si>
    <t>0006051-0006098</t>
  </si>
  <si>
    <t xml:space="preserve">UN MILLION DEUX CENT QUARANTE DEUX MILLE  (1 242 000) FRANCS.CFA </t>
  </si>
  <si>
    <t>Du 20/02 au 05/03/2025</t>
  </si>
  <si>
    <t>Du 06/03 au 29/03/2025</t>
  </si>
  <si>
    <t>Du 01/04 au 30/04/2025</t>
  </si>
  <si>
    <t>Du 30/04 au 13/05/2025</t>
  </si>
  <si>
    <t>Du 02/04 au 30/04/2025</t>
  </si>
  <si>
    <r>
      <t xml:space="preserve">Liquidé le présent bordereau à la somme de : </t>
    </r>
    <r>
      <rPr>
        <b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Quatre millions cent soixante-dix mille (4 170 000) francs.CFA</t>
    </r>
  </si>
  <si>
    <t>CLIENTS PARKING MAI</t>
  </si>
  <si>
    <t>CLIENTS PARKING AVRIL</t>
  </si>
  <si>
    <t>CLIENTS PARKING MARS</t>
  </si>
  <si>
    <t>CLIENTS PARKING FEVR.</t>
  </si>
  <si>
    <t>CLIENTS PARKING JANV.</t>
  </si>
  <si>
    <t>Du 01/01 au 31/12/2025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</si>
  <si>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Deux millions huit cent trente deux mille cinq cent (2 832 500)  francs.CFA</t>
    </r>
  </si>
  <si>
    <t>Du 01/05 au 31/05/2025</t>
  </si>
  <si>
    <r>
      <t xml:space="preserve">COREX </t>
    </r>
    <r>
      <rPr>
        <sz val="10.5"/>
        <color theme="1"/>
        <rFont val="Times New Roman"/>
        <family val="1"/>
      </rPr>
      <t>INTERNATIONALE</t>
    </r>
  </si>
  <si>
    <r>
      <t>Liquidé le présent bordereau à la somme de :</t>
    </r>
    <r>
      <rPr>
        <b/>
        <i/>
        <sz val="11"/>
        <color theme="1"/>
        <rFont val="Times New Roman"/>
        <family val="1"/>
      </rPr>
      <t>Cent douze  millions quatre cent quatre-vingt-six mille trois cent soixante</t>
    </r>
    <r>
      <rPr>
        <b/>
        <i/>
        <sz val="12"/>
        <color theme="1"/>
        <rFont val="Times New Roman"/>
        <family val="1"/>
      </rPr>
      <t xml:space="preserve">  francs.CFA</t>
    </r>
  </si>
  <si>
    <r>
      <t xml:space="preserve"> Bordereau N°: </t>
    </r>
    <r>
      <rPr>
        <b/>
        <sz val="13"/>
        <color theme="1"/>
        <rFont val="Times New Roman"/>
        <family val="1"/>
      </rPr>
      <t>007</t>
    </r>
  </si>
  <si>
    <t>AGL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</si>
  <si>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Quarante-un millions sept cent soixante-quatre mille quatre  cent quarante francs.CFA</t>
    </r>
  </si>
  <si>
    <t>N°2025/001/ASECNA/DGAN/GA/OG</t>
  </si>
  <si>
    <t>N°OG/0003/2025</t>
  </si>
  <si>
    <t>N°OG/007/2025</t>
  </si>
  <si>
    <t>N°2025/005/ASECNA/DGAN/GA/OG</t>
  </si>
  <si>
    <t>Facture N°030</t>
  </si>
  <si>
    <t>N°OG/006/ECP/2025</t>
  </si>
  <si>
    <t>UN MILLION NEUF CENT VINGT MILLE (1 920 000) Francs CFA</t>
  </si>
  <si>
    <t>BP: 2252 Libreville, Tél.065 40 64 75/065 40 64 55</t>
  </si>
  <si>
    <t>N°OG/009/2025</t>
  </si>
  <si>
    <t>N°OG/005/2025</t>
  </si>
  <si>
    <t>BP: 2252 Libreville, Tél.+241 065 40 64 75/065 40 64 55</t>
  </si>
  <si>
    <t>N°OG/003/2025</t>
  </si>
  <si>
    <t>AGL (SAGA)</t>
  </si>
  <si>
    <t>N°OG/004/2025</t>
  </si>
  <si>
    <t>N°OG/0004/2025</t>
  </si>
  <si>
    <t>VINGT-CINQ MILLIONS SIX CENT SOIXANTE-UN  MILLE CINQ CENT (25 661 500)  Francs.CFA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</si>
  <si>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Douze millions quatre cent trois mille cent trente-deux (12 403 132)francs.CFA</t>
    </r>
  </si>
  <si>
    <t>N°OG/002/2025</t>
  </si>
  <si>
    <t xml:space="preserve"> Facture N° 036</t>
  </si>
  <si>
    <t>N°GO/001/2025</t>
  </si>
  <si>
    <t>N°OG/006/2025</t>
  </si>
  <si>
    <t>Facture  N°041</t>
  </si>
  <si>
    <t>N°OG/0013/2025</t>
  </si>
  <si>
    <t>Du 01/01  au 31/12/2025</t>
  </si>
  <si>
    <t>N°OG/031/2025</t>
  </si>
  <si>
    <t>UN MILLION DEUX  CENT SOIXANTE MILLE ( 1 260 000) Francs.CFA</t>
  </si>
  <si>
    <t>N°OG/0008/2025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</si>
  <si>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Vingt-cinq  millions quatre cent cinquante-huit  mille (25 458 000) francs.CFA</t>
    </r>
  </si>
  <si>
    <t>BORDEREAU D'EMISSION DES REDEVANCES PARKING</t>
  </si>
  <si>
    <t>SCHLUMBERGER</t>
  </si>
  <si>
    <t>Du 16/09/24 au 19/09/2025</t>
  </si>
  <si>
    <t>Du 20/09/24 au 26/09/2025</t>
  </si>
  <si>
    <t>PERENCO</t>
  </si>
  <si>
    <t>Du 21/02/25 au 21/02/2026</t>
  </si>
  <si>
    <t>RAPID'TRAVAUX</t>
  </si>
  <si>
    <t>TINWORTH</t>
  </si>
  <si>
    <r>
      <t>Liquidé le présent bordereau à la somme de :</t>
    </r>
    <r>
      <rPr>
        <i/>
        <sz val="11"/>
        <color theme="1"/>
        <rFont val="Times New Roman"/>
        <family val="1"/>
      </rPr>
      <t xml:space="preserve"> </t>
    </r>
    <r>
      <rPr>
        <b/>
        <i/>
        <sz val="11"/>
        <color theme="1"/>
        <rFont val="Times New Roman"/>
        <family val="1"/>
      </rPr>
      <t>Douze millions   (12 000 000)  francs.CFA</t>
    </r>
  </si>
  <si>
    <t>Du 01/10/24 au 01/10/2025</t>
  </si>
  <si>
    <t>Du 06/03/25 au 12/03/2026</t>
  </si>
  <si>
    <t>Abonnement annuel pour deux (02) places</t>
  </si>
  <si>
    <t>0053</t>
  </si>
  <si>
    <t>0054</t>
  </si>
  <si>
    <t>0055</t>
  </si>
  <si>
    <t>0056</t>
  </si>
  <si>
    <t>SARL DIXSTONE</t>
  </si>
  <si>
    <t>Du 26/12/24 au 26/12/2025</t>
  </si>
  <si>
    <t>ADDAX PETROLEUM</t>
  </si>
  <si>
    <t>Du 01/04 au 31/05/2025</t>
  </si>
  <si>
    <t>Du 12/03/25 au 18/03/2026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</si>
  <si>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>Cinq millions six cent dix-huit mille  (5 618 000)francs.CFA</t>
    </r>
  </si>
  <si>
    <r>
      <t xml:space="preserve">UN MILLION  </t>
    </r>
    <r>
      <rPr>
        <b/>
        <i/>
        <sz val="12"/>
        <color theme="1"/>
        <rFont val="Arial Narrow"/>
        <family val="2"/>
      </rPr>
      <t>( 1 000 000)</t>
    </r>
    <r>
      <rPr>
        <b/>
        <i/>
        <sz val="10.5"/>
        <color theme="1"/>
        <rFont val="Arial Narrow"/>
        <family val="2"/>
      </rPr>
      <t xml:space="preserve"> Francs.CFA </t>
    </r>
  </si>
  <si>
    <t>ADDAX PETROLEUM ETAME GABON</t>
  </si>
  <si>
    <t>Facture N°052</t>
  </si>
  <si>
    <t xml:space="preserve">UN MILLION DEUX CENT UN  MILLE CINQ CENT  (1 201 500) FRANCS.CFA </t>
  </si>
  <si>
    <t>0000001-0000046</t>
  </si>
  <si>
    <t xml:space="preserve"> Bordereau N°: 012</t>
  </si>
  <si>
    <t>0057</t>
  </si>
  <si>
    <t>0058</t>
  </si>
  <si>
    <t>0059</t>
  </si>
  <si>
    <t>0060</t>
  </si>
  <si>
    <t>0061</t>
  </si>
  <si>
    <t>AFRIJET FLY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</si>
  <si>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Dix-huit millions neuf  cent quatre vingt  dix  neuf mille   (18 999 000)  francs.CFA</t>
    </r>
  </si>
  <si>
    <t>AFRIJET FLY GABON</t>
  </si>
  <si>
    <t>N°ON/0010/2025</t>
  </si>
  <si>
    <t>CINQ MILLIONS (5 000 000)Francs.CFA</t>
  </si>
  <si>
    <t>Facture N°056</t>
  </si>
  <si>
    <t>Facture N°057</t>
  </si>
  <si>
    <t>Du 01/01au 31/12/2025</t>
  </si>
  <si>
    <t>N°ON/001/2025</t>
  </si>
  <si>
    <t>DEUX MILLIONS CINQ CENT  DIX NEUF MILLE HUIT CENT (2 519 800) Francs.CFA</t>
  </si>
  <si>
    <t>Facture N°060</t>
  </si>
  <si>
    <t>N°ON/004/TRN/2025</t>
  </si>
  <si>
    <t>DEUX MILLIONS TROIS CENT SOIXANTE DIX NEUF MILLE DEUX CENT (2 379 200 )Francs.CFA</t>
  </si>
  <si>
    <t>N°ON/01/2025</t>
  </si>
  <si>
    <t>Facture N°058</t>
  </si>
  <si>
    <t>N°ON/003/2025</t>
  </si>
  <si>
    <t>Du 10/04 au 31/05/2025</t>
  </si>
  <si>
    <t>0062</t>
  </si>
  <si>
    <t>0063</t>
  </si>
  <si>
    <t>0064</t>
  </si>
  <si>
    <t>0065</t>
  </si>
  <si>
    <t>0066</t>
  </si>
  <si>
    <t>0067</t>
  </si>
  <si>
    <t>BAR VIP LIBAMA</t>
  </si>
  <si>
    <r>
      <t xml:space="preserve">Liquidé le présent bordereau à la somme de : </t>
    </r>
    <r>
      <rPr>
        <b/>
        <i/>
        <sz val="11"/>
        <color theme="1"/>
        <rFont val="Times New Roman"/>
        <family val="1"/>
      </rPr>
      <t>Treize millions neuf cent quatre-vingt douze mille huit cent (13 992 800)francs.CFA</t>
    </r>
  </si>
  <si>
    <t>AZOKLY CAFE MARKET</t>
  </si>
  <si>
    <t>BP: 2252 Libreville, Tél.+241 065 65 31 62/ 065 40 64 55/065 40 64 75</t>
  </si>
  <si>
    <t xml:space="preserve"> SIX CENT MILLE  (600 000) FRANCS.CFA</t>
  </si>
  <si>
    <t>N°OG/0039/2025</t>
  </si>
  <si>
    <t>AFRIJET FLY MVG GABON</t>
  </si>
  <si>
    <t>Du 01/01/2021 au 31/12/2025</t>
  </si>
  <si>
    <t>N°OG/0020/2025</t>
  </si>
  <si>
    <t>N°OG/001/2025</t>
  </si>
  <si>
    <t>Du 01/01 au 29/02/2025</t>
  </si>
  <si>
    <t xml:space="preserve">BP: 2252 Libreville, Tél.+241 065 19 20 69/065 40 64 75/065 40 64 55 </t>
  </si>
  <si>
    <t>DHL GABON</t>
  </si>
  <si>
    <t>BP: 2252 Libreville, Tél.+241 065 19 20 69/ 065 40 64 75/ 065 40 64 55</t>
  </si>
  <si>
    <t>DEUX MILLIONS (2 000 000 )Francs.CFA</t>
  </si>
  <si>
    <t>N°OG/0016/TNU/2025</t>
  </si>
  <si>
    <t>UN MILLION  SIX CENT QUATRE-VINGT MILLE  (1 680 000 )Francs.CFA</t>
  </si>
  <si>
    <t>N°OG/0017/ECF/2025</t>
  </si>
  <si>
    <t>,</t>
  </si>
  <si>
    <t xml:space="preserve">AFRIJET FLY </t>
  </si>
  <si>
    <t xml:space="preserve">  </t>
  </si>
  <si>
    <t>Liquidé le présent bordereau à la somme de : Cinq millions quatre cent quarante mille (5 440 000) francs cfa</t>
  </si>
  <si>
    <t>Du 27/06 au 15/07/2025</t>
  </si>
  <si>
    <t>Du 17/07 au 02/08/2025</t>
  </si>
  <si>
    <t>Du 25/02 au 11/04 2025</t>
  </si>
  <si>
    <t>Du 11/04 au 30/05/2025</t>
  </si>
  <si>
    <t>Du 04/06 au 25/07/2025</t>
  </si>
  <si>
    <t>Liquidé le présent bordereau à la somme de : Deux millions cinq cent cinquante mille (2 550 000) francs cfa</t>
  </si>
  <si>
    <t>Brice Thierry Arist SOKI</t>
  </si>
  <si>
    <t>AFRIJET BUSINESS</t>
  </si>
  <si>
    <t>Du 07/07 au 31/07/2025</t>
  </si>
  <si>
    <t>Du 01/09 au 31/12/2025</t>
  </si>
  <si>
    <t>Du 01/06 au 30/06/2025</t>
  </si>
  <si>
    <t>Du 01/07 au 30/07/2025</t>
  </si>
  <si>
    <t>Liquidé le présent bordereau à la somme de : Cinq millions quatre cent trente-trois mille trois cent-un (5 433 301) francs cfa</t>
  </si>
  <si>
    <t>BORDEREAU D'EMISSION DES BANQUES D'ENREGISTREMENT, CONVENTION DOMANIALE ET PARKING</t>
  </si>
  <si>
    <t xml:space="preserve">BORDEREAU D'EMISSION DES BANQUES D'ENREGISTREMENT ET CONVENTIONS DOMANIALES </t>
  </si>
  <si>
    <t>M'VENGUE</t>
  </si>
  <si>
    <t>Facture N°0109</t>
  </si>
  <si>
    <t>0000047-0000050</t>
  </si>
  <si>
    <t>0000104-0000128</t>
  </si>
  <si>
    <t>Du 01/06/2025 au 30/06/2025</t>
  </si>
  <si>
    <t>SEPT CENT QUARANTE DEUX MILLE CINQ CENT (742 500 )Francs CFA</t>
  </si>
  <si>
    <t xml:space="preserve">          Nationales du Gabon par interim</t>
  </si>
  <si>
    <t>Facture N°0110</t>
  </si>
  <si>
    <t>Série n°:  0006401-0006426</t>
  </si>
  <si>
    <t>Du 02/07/2025 au 31/07/2025</t>
  </si>
  <si>
    <t>SEPT CENT DEUX MILLE   (702 000 )Francs.CFA</t>
  </si>
  <si>
    <t>Facture N°0111</t>
  </si>
  <si>
    <t>0006378-0006400</t>
  </si>
  <si>
    <t>0006451-0006471</t>
  </si>
  <si>
    <t>Du 01/07/2025 au 31/07/2025</t>
  </si>
  <si>
    <r>
      <t>UN MILLION CENT QUATRE-VINGT-HUIT MILLE (1 188 000</t>
    </r>
    <r>
      <rPr>
        <b/>
        <i/>
        <sz val="11"/>
        <color theme="1"/>
        <rFont val="Arial Narrow"/>
        <family val="2"/>
      </rPr>
      <t>)</t>
    </r>
    <r>
      <rPr>
        <b/>
        <i/>
        <sz val="10.5"/>
        <color theme="1"/>
        <rFont val="Arial Narrow"/>
        <family val="2"/>
      </rPr>
      <t>FRANCS.CFA</t>
    </r>
  </si>
  <si>
    <t xml:space="preserve"> Nationales du Gabon par intérim</t>
  </si>
  <si>
    <t>Facture N°0112</t>
  </si>
  <si>
    <t>0006427-0006430</t>
  </si>
  <si>
    <t>000201-000222</t>
  </si>
  <si>
    <t>Du 01/08/2025 au 31/08/2025</t>
  </si>
  <si>
    <t>SEPT CENT DEUX  MILLE  (702 000)FRANCS.CFA</t>
  </si>
  <si>
    <t xml:space="preserve">            Nationales du Gabon par intérim</t>
  </si>
  <si>
    <t>Facture N°113</t>
  </si>
  <si>
    <t>000672-0006500</t>
  </si>
  <si>
    <t>000151-000169</t>
  </si>
  <si>
    <t>UN MILLION DEUX CENT QUATRE-VINGT-SEIZE  MILLE (1 296  000 )Francs CFA</t>
  </si>
  <si>
    <t>0011725-0011746</t>
  </si>
  <si>
    <t>Facture N° 114</t>
  </si>
  <si>
    <t>QUATRE CENT SOIXANTE  MILLE   (460 000)Francs CFA</t>
  </si>
  <si>
    <t xml:space="preserve">                                                        Nationales du Gabon par intérim</t>
  </si>
  <si>
    <r>
      <t xml:space="preserve">Réf: </t>
    </r>
    <r>
      <rPr>
        <sz val="11"/>
        <color theme="1"/>
        <rFont val="Arial Narrow"/>
        <family val="2"/>
      </rPr>
      <t>Facture N°032</t>
    </r>
  </si>
  <si>
    <t xml:space="preserve">       BP: 2252 Libreville, Tél.01.73.21.04/01.73.31.14 - Fax:(+241) 73.14.75</t>
  </si>
  <si>
    <t xml:space="preserve">                                                     Nationales du Gabon par intérim</t>
  </si>
  <si>
    <t>Facture N°115</t>
  </si>
  <si>
    <t>NATIONALE REGIONALE DE TRANSPORTS</t>
  </si>
  <si>
    <t>BP2714-Tél: 066 83 27 32</t>
  </si>
  <si>
    <t>N°ON/012/ECP/2025</t>
  </si>
  <si>
    <t>Brice Thierry Aist SOKI</t>
  </si>
  <si>
    <t>Nationales du Gabon par intérim</t>
  </si>
  <si>
    <t>TROIS CENT QUARANTE MILLE  (340 000) FRANCS.CFA</t>
  </si>
  <si>
    <t>Ref : facture</t>
  </si>
  <si>
    <t>N°032</t>
  </si>
  <si>
    <t>Du 20/01 au 20/04/2025</t>
  </si>
  <si>
    <t>UN MILLION CENT VINGT CINQ MILLE  (1 125 000) FRANCS.CFA</t>
  </si>
  <si>
    <t>BP: 518, Tel: 066 77 90 47/077 52 86 37</t>
  </si>
  <si>
    <t xml:space="preserve"> Bordereau N°: 22</t>
  </si>
  <si>
    <t>Du 02/07 au 31/07/2025</t>
  </si>
  <si>
    <t>Du 01/07 au 31/07/2025</t>
  </si>
  <si>
    <t>Du 01/08 au 31/08/2025</t>
  </si>
  <si>
    <t>NATIONALE REGIONALE T.</t>
  </si>
  <si>
    <t>OLIVIER FACILITING M.</t>
  </si>
  <si>
    <t>Du 01/08 au31/08/2025</t>
  </si>
  <si>
    <t>Du 01/09 au31/012/2025</t>
  </si>
  <si>
    <t>Du 20/01 au 20/04/2024</t>
  </si>
  <si>
    <r>
      <t>Liquidé le présent bordereau à la somme de :</t>
    </r>
    <r>
      <rPr>
        <b/>
        <i/>
        <sz val="11"/>
        <color theme="1"/>
        <rFont val="Times New Roman"/>
        <family val="1"/>
      </rPr>
      <t xml:space="preserve"> Deux millions cinq cent quarante-six mille trois-cent vingt -huit  (2 546 328) francs.CFA</t>
    </r>
  </si>
  <si>
    <t>Facture N°117</t>
  </si>
  <si>
    <t>Du 27/08 au 31/08/2025</t>
  </si>
  <si>
    <t xml:space="preserve">CENT TRENTE CINQ MILLE (135 000) FRANCS.CFA </t>
  </si>
  <si>
    <t>Nationales du Gabon  par intérim</t>
  </si>
  <si>
    <r>
      <t xml:space="preserve">         </t>
    </r>
    <r>
      <rPr>
        <b/>
        <u/>
        <sz val="13"/>
        <rFont val="Arial Narrow"/>
        <family val="2"/>
      </rPr>
      <t>Brice Thierry Arist SOKI</t>
    </r>
  </si>
  <si>
    <t>Série n° 0000251-0000255</t>
  </si>
  <si>
    <t xml:space="preserve">            </t>
  </si>
  <si>
    <t xml:space="preserve">Série n°:000256-000281 </t>
  </si>
  <si>
    <t>Du 01/09 au 29/09/2025</t>
  </si>
  <si>
    <t>SEPT CENT DEUX MILLE  (702 000) FRANCS.CFA</t>
  </si>
  <si>
    <r>
      <t xml:space="preserve">             </t>
    </r>
    <r>
      <rPr>
        <b/>
        <u/>
        <sz val="13"/>
        <rFont val="Arial Narrow"/>
        <family val="2"/>
      </rPr>
      <t>Brice Thierry Arist SOKI</t>
    </r>
  </si>
  <si>
    <t>Site:MVENGUE</t>
  </si>
  <si>
    <t>Site:OYEM</t>
  </si>
  <si>
    <t>Série n°0011748-0011769</t>
  </si>
  <si>
    <t>QUATRE CENT TRENTE MILLE  (430 000) FRANCS.CFA</t>
  </si>
  <si>
    <t xml:space="preserve"> CLIENTS PARKING</t>
  </si>
  <si>
    <t>Du 01/09au 29/09/2025</t>
  </si>
  <si>
    <r>
      <t>Liquidé le présent bordereau à la somme de : Deux millions quatre- cent mille  trois -cent cinquante</t>
    </r>
    <r>
      <rPr>
        <b/>
        <i/>
        <sz val="11"/>
        <color theme="1"/>
        <rFont val="Times New Roman"/>
        <family val="1"/>
      </rPr>
      <t xml:space="preserve">  (2 400 350)   francs.CFA</t>
    </r>
  </si>
  <si>
    <t xml:space="preserve">                Le Délégué du Directeur Général de l'ASECNA</t>
  </si>
  <si>
    <t xml:space="preserve">                pour  la Gestion des Activités Aéronautiques </t>
  </si>
  <si>
    <t xml:space="preserve">                            Nationales du Gabon par intérim</t>
  </si>
  <si>
    <t xml:space="preserve">                                                                    Nationales du Gabon par intérim</t>
  </si>
  <si>
    <r>
      <t xml:space="preserve">            </t>
    </r>
    <r>
      <rPr>
        <b/>
        <u/>
        <sz val="11"/>
        <color theme="1"/>
        <rFont val="Arial Narrow"/>
        <family val="2"/>
      </rPr>
      <t xml:space="preserve"> Brice Thierry Arist SOKI</t>
    </r>
  </si>
  <si>
    <t>PRODUITS PARKING</t>
  </si>
  <si>
    <t>0001151-0001200</t>
  </si>
  <si>
    <t>Du 03 au 31/08/2025</t>
  </si>
  <si>
    <t>Facture N° 121</t>
  </si>
  <si>
    <r>
      <rPr>
        <i/>
        <sz val="10"/>
        <color theme="1"/>
        <rFont val="Arial Narrow"/>
        <family val="2"/>
      </rPr>
      <t xml:space="preserve">Certifie sincère et veritable la présente facture s'élèvant à la somme </t>
    </r>
    <r>
      <rPr>
        <i/>
        <sz val="10.5"/>
        <color theme="1"/>
        <rFont val="Arial Narrow"/>
        <family val="2"/>
      </rPr>
      <t>de:</t>
    </r>
    <r>
      <rPr>
        <b/>
        <i/>
        <sz val="10.5"/>
        <color theme="1"/>
        <rFont val="Arial Narrow"/>
        <family val="2"/>
      </rPr>
      <t xml:space="preserve"> SIX CENT QUARANTE MILLE (640000) francs.CFA</t>
    </r>
  </si>
  <si>
    <t>0001201-0001205 /  0001207-0001213</t>
  </si>
  <si>
    <t>0000282-000300</t>
  </si>
  <si>
    <t>0006201-0006210</t>
  </si>
  <si>
    <t xml:space="preserve">BP: 13025 </t>
  </si>
  <si>
    <t>Du 01/10 au 31/10/2025</t>
  </si>
  <si>
    <t>SEPT CENT QUATRE-VINGT TROIS MILLE  (783 000 )Franc.CFA</t>
  </si>
  <si>
    <t>0000177-0000200</t>
  </si>
  <si>
    <t>0000401-0000423</t>
  </si>
  <si>
    <t>Du 01/10/2025  au 31/10/2025</t>
  </si>
  <si>
    <t>UN MILLION DEUX CENT SOIXANTE-NEUF MILLE (1 269 000 )Franc.CFA</t>
  </si>
  <si>
    <t>UN MILLION CINQUANTE DEUX MILLE SIX CENT CINQUANTE  (1 052 650 ) FRANCS.CFA</t>
  </si>
  <si>
    <t>Mois d'Octobre 2025</t>
  </si>
  <si>
    <t>Facture N°136</t>
  </si>
  <si>
    <t>00005361-000176</t>
  </si>
  <si>
    <t>UN MILLION DEUX-CENT SOIXANTE SEIZE MILLE (1 276 000) Francs CFA</t>
  </si>
  <si>
    <t>Réf: Facture N°129</t>
  </si>
  <si>
    <t>Du 01/10/2025 au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</si>
</sst>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_-* #,##0_-;\-* #,##0_-;_-* &quot;-&quot;_-;_-@_-"/>
    <numFmt numFmtId="165" formatCode="_-* #,##0\ _€_-;\-* #,##0\ _€_-;_-* &quot;-&quot;??\ _€_-;_-@_-"/>
    <numFmt numFmtId="166" formatCode="000"/>
    <numFmt numFmtId="167" formatCode="[$-40C]d\ mmmm\ yyyy;@"/>
  </numFmts>
  <fonts count="1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Poor Richard"/>
      <family val="1"/>
    </font>
    <font>
      <b/>
      <sz val="11"/>
      <color theme="1"/>
      <name val="Tahoma"/>
      <family val="2"/>
    </font>
    <font>
      <b/>
      <sz val="11"/>
      <color theme="1"/>
      <name val="Segoe UI"/>
      <family val="2"/>
    </font>
    <font>
      <sz val="11"/>
      <color theme="1"/>
      <name val="Arial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11"/>
      <color theme="1"/>
      <name val="Calibri"/>
      <family val="2"/>
    </font>
    <font>
      <b/>
      <sz val="14"/>
      <name val="Arial Narrow"/>
      <family val="2"/>
    </font>
    <font>
      <sz val="11"/>
      <color theme="1"/>
      <name val="Calibri"/>
      <family val="2"/>
      <scheme val="minor"/>
    </font>
    <font>
      <sz val="6.5"/>
      <color theme="1"/>
      <name val="Poor Richard"/>
      <family val="1"/>
    </font>
    <font>
      <sz val="9"/>
      <color theme="1"/>
      <name val="Calibri"/>
      <family val="2"/>
      <scheme val="minor"/>
    </font>
    <font>
      <i/>
      <sz val="11"/>
      <color theme="1"/>
      <name val="Arial Narrow"/>
      <family val="2"/>
    </font>
    <font>
      <b/>
      <u/>
      <sz val="14"/>
      <name val="Arial Narrow"/>
      <family val="2"/>
    </font>
    <font>
      <b/>
      <u/>
      <sz val="11"/>
      <color theme="1"/>
      <name val="Calibri"/>
      <family val="2"/>
      <scheme val="minor"/>
    </font>
    <font>
      <i/>
      <sz val="10.5"/>
      <color theme="1"/>
      <name val="Arial Narrow"/>
      <family val="2"/>
    </font>
    <font>
      <b/>
      <i/>
      <sz val="10.5"/>
      <color theme="1"/>
      <name val="Arial Narrow"/>
      <family val="2"/>
    </font>
    <font>
      <b/>
      <sz val="13"/>
      <color theme="1"/>
      <name val="Arial Narrow"/>
      <family val="2"/>
    </font>
    <font>
      <i/>
      <sz val="9"/>
      <color theme="1"/>
      <name val="Arial Narrow"/>
      <family val="2"/>
    </font>
    <font>
      <b/>
      <i/>
      <sz val="9"/>
      <color theme="1"/>
      <name val="Arial Narrow"/>
      <family val="2"/>
    </font>
    <font>
      <b/>
      <sz val="12"/>
      <color theme="1"/>
      <name val="Calibri"/>
      <family val="2"/>
      <scheme val="minor"/>
    </font>
    <font>
      <b/>
      <i/>
      <sz val="10"/>
      <color theme="1"/>
      <name val="Arial Narrow"/>
      <family val="2"/>
    </font>
    <font>
      <i/>
      <sz val="10"/>
      <color theme="1"/>
      <name val="Arial Narrow"/>
      <family val="2"/>
    </font>
    <font>
      <i/>
      <sz val="9.5"/>
      <color theme="1"/>
      <name val="Arial Narrow"/>
      <family val="2"/>
    </font>
    <font>
      <b/>
      <i/>
      <sz val="9.5"/>
      <color theme="1"/>
      <name val="Arial Narrow"/>
      <family val="2"/>
    </font>
    <font>
      <b/>
      <i/>
      <sz val="9.25"/>
      <color theme="1"/>
      <name val="Arial Narrow"/>
      <family val="2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Arial Narrow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9"/>
      <color theme="1"/>
      <name val="Arial Narrow"/>
      <family val="2"/>
    </font>
    <font>
      <sz val="10.5"/>
      <color theme="1"/>
      <name val="Arial Narrow"/>
      <family val="2"/>
    </font>
    <font>
      <b/>
      <i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.5"/>
      <color theme="1"/>
      <name val="Arial Narrow"/>
      <family val="2"/>
    </font>
    <font>
      <b/>
      <sz val="10.5"/>
      <color theme="1"/>
      <name val="Arial Narrow"/>
      <family val="2"/>
    </font>
    <font>
      <b/>
      <i/>
      <sz val="12"/>
      <color theme="1"/>
      <name val="Arial Narrow"/>
      <family val="2"/>
    </font>
    <font>
      <b/>
      <u/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sz val="12"/>
      <color theme="1"/>
      <name val="Arial Narrow"/>
      <family val="2"/>
    </font>
    <font>
      <b/>
      <u/>
      <sz val="12"/>
      <color theme="1"/>
      <name val="Arial Narrow"/>
      <family val="2"/>
    </font>
    <font>
      <b/>
      <sz val="11"/>
      <color theme="1"/>
      <name val="Iskoola Pota"/>
      <family val="2"/>
    </font>
    <font>
      <sz val="11"/>
      <color theme="1"/>
      <name val="Iskoola Pota"/>
      <family val="2"/>
    </font>
    <font>
      <b/>
      <sz val="14"/>
      <color theme="1"/>
      <name val="Arial Narrow"/>
      <family val="2"/>
    </font>
    <font>
      <b/>
      <sz val="12"/>
      <color theme="1"/>
      <name val="Iskoola Pota"/>
      <family val="2"/>
    </font>
    <font>
      <sz val="8"/>
      <color theme="1"/>
      <name val="Arial Narrow"/>
      <family val="2"/>
    </font>
    <font>
      <b/>
      <u/>
      <sz val="13"/>
      <name val="Arial Narrow"/>
      <family val="2"/>
    </font>
    <font>
      <i/>
      <sz val="11"/>
      <color theme="1"/>
      <name val="Times New Roman"/>
      <family val="1"/>
    </font>
    <font>
      <b/>
      <sz val="11"/>
      <color rgb="FFFF0000"/>
      <name val="Arial Narrow"/>
      <family val="2"/>
    </font>
    <font>
      <sz val="10"/>
      <color theme="1"/>
      <name val="Times New Roman"/>
      <family val="1"/>
    </font>
    <font>
      <sz val="10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u/>
      <sz val="7.5"/>
      <color indexed="12"/>
      <name val="Arial"/>
      <family val="2"/>
    </font>
    <font>
      <b/>
      <sz val="10"/>
      <name val="Arial Narrow"/>
      <family val="2"/>
    </font>
    <font>
      <sz val="12"/>
      <name val="Arial Narrow"/>
      <family val="2"/>
    </font>
    <font>
      <b/>
      <sz val="9"/>
      <name val="Arial Narrow"/>
      <family val="2"/>
    </font>
    <font>
      <sz val="8"/>
      <name val="Arial Narrow"/>
      <family val="2"/>
    </font>
    <font>
      <sz val="7"/>
      <name val="Arial Narrow"/>
      <family val="2"/>
    </font>
    <font>
      <b/>
      <sz val="8"/>
      <name val="Times New Roman"/>
      <family val="1"/>
    </font>
    <font>
      <u/>
      <sz val="7.5"/>
      <color rgb="FF0000FF"/>
      <name val="Arial"/>
      <family val="2"/>
    </font>
    <font>
      <b/>
      <u/>
      <sz val="12"/>
      <name val="Arial Narrow"/>
      <family val="2"/>
    </font>
    <font>
      <sz val="14"/>
      <color theme="1"/>
      <name val="Times New Roman"/>
      <family val="1"/>
    </font>
    <font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13"/>
      <name val="Arial Narrow"/>
      <family val="2"/>
    </font>
    <font>
      <b/>
      <sz val="10.5"/>
      <name val="Arial Narrow"/>
      <family val="2"/>
    </font>
    <font>
      <b/>
      <sz val="36"/>
      <color theme="1"/>
      <name val="Arial Narrow"/>
      <family val="2"/>
    </font>
    <font>
      <sz val="6.5"/>
      <color theme="1"/>
      <name val="Arial Narrow"/>
      <family val="2"/>
    </font>
    <font>
      <b/>
      <sz val="40"/>
      <color theme="1"/>
      <name val="Arial Narrow"/>
      <family val="2"/>
    </font>
    <font>
      <b/>
      <i/>
      <sz val="12"/>
      <color theme="1"/>
      <name val="Times New Roman"/>
      <family val="1"/>
    </font>
    <font>
      <u/>
      <sz val="11"/>
      <color theme="1"/>
      <name val="Arial Narrow"/>
      <family val="2"/>
    </font>
    <font>
      <i/>
      <sz val="12"/>
      <color theme="1"/>
      <name val="Arial Narrow"/>
      <family val="2"/>
    </font>
    <font>
      <sz val="8"/>
      <color theme="1"/>
      <name val="Times New Roman"/>
      <family val="1"/>
    </font>
    <font>
      <b/>
      <sz val="38"/>
      <color theme="1"/>
      <name val="Poor Richard"/>
      <family val="1"/>
    </font>
    <font>
      <b/>
      <sz val="38"/>
      <color theme="1"/>
      <name val="Arial Narrow"/>
      <family val="2"/>
    </font>
    <font>
      <sz val="13"/>
      <color theme="1"/>
      <name val="Arial Narrow"/>
      <family val="2"/>
    </font>
    <font>
      <b/>
      <i/>
      <sz val="13"/>
      <color theme="1"/>
      <name val="Arial Narrow"/>
      <family val="2"/>
    </font>
    <font>
      <b/>
      <sz val="11.5"/>
      <color theme="1"/>
      <name val="Arial Narrow"/>
      <family val="2"/>
    </font>
    <font>
      <sz val="8"/>
      <name val="Calibri"/>
      <family val="2"/>
      <scheme val="minor"/>
    </font>
    <font>
      <sz val="11"/>
      <color rgb="FFFF0000"/>
      <name val="Times New Roman"/>
      <family val="1"/>
    </font>
    <font>
      <sz val="12"/>
      <color rgb="FFFF000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32"/>
      <color theme="1"/>
      <name val="Arial Narrow"/>
      <family val="2"/>
    </font>
    <font>
      <b/>
      <sz val="13.5"/>
      <color theme="1"/>
      <name val="Arial Narrow"/>
      <family val="2"/>
    </font>
    <font>
      <sz val="10"/>
      <name val="Times New Roman"/>
      <family val="1"/>
    </font>
    <font>
      <sz val="13"/>
      <name val="Times New Roman"/>
      <family val="1"/>
    </font>
    <font>
      <sz val="10.5"/>
      <name val="Times New Roman"/>
      <family val="1"/>
    </font>
    <font>
      <b/>
      <i/>
      <sz val="12.5"/>
      <color theme="1"/>
      <name val="Arial Narrow"/>
      <family val="2"/>
    </font>
    <font>
      <b/>
      <sz val="12.5"/>
      <color rgb="FF000000"/>
      <name val="Times New Roman"/>
      <family val="1"/>
    </font>
    <font>
      <b/>
      <i/>
      <sz val="13.5"/>
      <color theme="1"/>
      <name val="Arial Narrow"/>
      <family val="2"/>
    </font>
    <font>
      <b/>
      <i/>
      <sz val="40"/>
      <color theme="1"/>
      <name val="Arial Narrow"/>
      <family val="2"/>
    </font>
    <font>
      <b/>
      <i/>
      <sz val="38"/>
      <color theme="1"/>
      <name val="Arial Narrow"/>
      <family val="2"/>
    </font>
    <font>
      <b/>
      <i/>
      <sz val="36"/>
      <color theme="1"/>
      <name val="Arial Narrow"/>
      <family val="2"/>
    </font>
    <font>
      <b/>
      <i/>
      <sz val="38"/>
      <color theme="1"/>
      <name val="Poor Richard"/>
      <family val="1"/>
    </font>
    <font>
      <b/>
      <sz val="11"/>
      <color theme="0"/>
      <name val="Arial Narrow"/>
      <family val="2"/>
    </font>
    <font>
      <b/>
      <sz val="13"/>
      <color theme="0"/>
      <name val="Arial Narrow"/>
      <family val="2"/>
    </font>
    <font>
      <sz val="11"/>
      <color theme="0"/>
      <name val="Arial Narrow"/>
      <family val="2"/>
    </font>
    <font>
      <sz val="10"/>
      <color theme="1"/>
      <name val="Arial Narrow"/>
      <family val="2"/>
    </font>
    <font>
      <b/>
      <i/>
      <sz val="36"/>
      <color theme="1"/>
      <name val="Poor Richard"/>
      <family val="1"/>
    </font>
    <font>
      <b/>
      <i/>
      <sz val="40"/>
      <color theme="1"/>
      <name val="Poor Richard"/>
      <family val="1"/>
    </font>
    <font>
      <b/>
      <sz val="40"/>
      <color theme="1"/>
      <name val="Poor Richard"/>
      <family val="1"/>
    </font>
    <font>
      <sz val="11"/>
      <color theme="1"/>
      <name val="Poor Richard"/>
      <family val="1"/>
    </font>
    <font>
      <b/>
      <u/>
      <sz val="11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gray0625">
        <fgColor rgb="FFFFFFFF"/>
        <bgColor rgb="FFFFFFFF"/>
      </patternFill>
    </fill>
    <fill>
      <patternFill patternType="solid">
        <fgColor rgb="FFE3E3E3"/>
        <bgColor rgb="FF000000"/>
      </patternFill>
    </fill>
    <fill>
      <patternFill patternType="solid">
        <fgColor rgb="FF69FFFF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1" fillId="0" borderId="0" applyFon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</cellStyleXfs>
  <cellXfs count="993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0" xfId="0" applyFont="1"/>
    <xf numFmtId="0" fontId="7" fillId="0" borderId="9" xfId="0" applyFont="1" applyBorder="1"/>
    <xf numFmtId="0" fontId="1" fillId="0" borderId="12" xfId="0" applyFont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8" fillId="0" borderId="9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7" xfId="0" applyFont="1" applyBorder="1"/>
    <xf numFmtId="0" fontId="7" fillId="0" borderId="12" xfId="0" applyFont="1" applyBorder="1"/>
    <xf numFmtId="0" fontId="6" fillId="0" borderId="0" xfId="0" applyFont="1" applyAlignment="1">
      <alignment vertical="center"/>
    </xf>
    <xf numFmtId="0" fontId="1" fillId="0" borderId="0" xfId="0" applyFont="1"/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7" fillId="0" borderId="0" xfId="0" applyFont="1"/>
    <xf numFmtId="0" fontId="16" fillId="0" borderId="0" xfId="0" applyFont="1"/>
    <xf numFmtId="0" fontId="6" fillId="0" borderId="11" xfId="0" applyFont="1" applyBorder="1"/>
    <xf numFmtId="165" fontId="0" fillId="0" borderId="17" xfId="1" applyNumberFormat="1" applyFont="1" applyBorder="1"/>
    <xf numFmtId="165" fontId="0" fillId="0" borderId="16" xfId="1" applyNumberFormat="1" applyFont="1" applyBorder="1"/>
    <xf numFmtId="165" fontId="0" fillId="0" borderId="18" xfId="1" applyNumberFormat="1" applyFont="1" applyBorder="1"/>
    <xf numFmtId="165" fontId="7" fillId="0" borderId="7" xfId="0" applyNumberFormat="1" applyFont="1" applyBorder="1"/>
    <xf numFmtId="0" fontId="17" fillId="0" borderId="0" xfId="0" applyFont="1" applyAlignment="1">
      <alignment vertical="center"/>
    </xf>
    <xf numFmtId="165" fontId="19" fillId="0" borderId="15" xfId="0" applyNumberFormat="1" applyFont="1" applyBorder="1"/>
    <xf numFmtId="165" fontId="7" fillId="0" borderId="5" xfId="0" applyNumberFormat="1" applyFont="1" applyBorder="1"/>
    <xf numFmtId="0" fontId="22" fillId="0" borderId="0" xfId="0" applyFont="1"/>
    <xf numFmtId="165" fontId="0" fillId="0" borderId="16" xfId="1" applyNumberFormat="1" applyFont="1" applyBorder="1" applyAlignment="1">
      <alignment horizontal="center"/>
    </xf>
    <xf numFmtId="165" fontId="0" fillId="0" borderId="18" xfId="1" applyNumberFormat="1" applyFont="1" applyBorder="1" applyAlignment="1">
      <alignment horizontal="center"/>
    </xf>
    <xf numFmtId="165" fontId="7" fillId="0" borderId="5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65" fontId="0" fillId="0" borderId="17" xfId="1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29" fillId="2" borderId="24" xfId="0" applyFont="1" applyFill="1" applyBorder="1" applyAlignment="1">
      <alignment horizontal="center" vertical="center"/>
    </xf>
    <xf numFmtId="0" fontId="30" fillId="0" borderId="25" xfId="0" applyFont="1" applyBorder="1"/>
    <xf numFmtId="0" fontId="30" fillId="0" borderId="26" xfId="0" applyFont="1" applyBorder="1"/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8" xfId="0" applyFont="1" applyBorder="1" applyAlignment="1">
      <alignment horizontal="left" wrapText="1"/>
    </xf>
    <xf numFmtId="0" fontId="33" fillId="0" borderId="29" xfId="0" applyFont="1" applyBorder="1" applyAlignment="1">
      <alignment horizontal="center" vertical="center"/>
    </xf>
    <xf numFmtId="0" fontId="29" fillId="0" borderId="0" xfId="0" applyFont="1" applyAlignment="1">
      <alignment horizontal="right"/>
    </xf>
    <xf numFmtId="0" fontId="7" fillId="0" borderId="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5" fontId="6" fillId="0" borderId="0" xfId="1" applyNumberFormat="1" applyFont="1" applyAlignment="1">
      <alignment vertical="center"/>
    </xf>
    <xf numFmtId="165" fontId="31" fillId="3" borderId="12" xfId="1" applyNumberFormat="1" applyFont="1" applyFill="1" applyBorder="1" applyAlignment="1">
      <alignment horizontal="center" vertical="center"/>
    </xf>
    <xf numFmtId="165" fontId="31" fillId="4" borderId="12" xfId="0" applyNumberFormat="1" applyFont="1" applyFill="1" applyBorder="1" applyAlignment="1">
      <alignment horizontal="center" vertical="center"/>
    </xf>
    <xf numFmtId="0" fontId="30" fillId="0" borderId="30" xfId="0" applyFont="1" applyBorder="1" applyAlignment="1">
      <alignment horizontal="center"/>
    </xf>
    <xf numFmtId="0" fontId="30" fillId="0" borderId="33" xfId="0" applyFont="1" applyBorder="1" applyAlignment="1">
      <alignment horizontal="center"/>
    </xf>
    <xf numFmtId="165" fontId="30" fillId="0" borderId="31" xfId="0" applyNumberFormat="1" applyFont="1" applyBorder="1" applyAlignment="1">
      <alignment horizontal="center" vertical="center"/>
    </xf>
    <xf numFmtId="165" fontId="30" fillId="0" borderId="31" xfId="1" applyNumberFormat="1" applyFont="1" applyBorder="1" applyAlignment="1">
      <alignment horizontal="center"/>
    </xf>
    <xf numFmtId="165" fontId="30" fillId="0" borderId="34" xfId="1" applyNumberFormat="1" applyFont="1" applyBorder="1" applyAlignment="1">
      <alignment horizontal="center"/>
    </xf>
    <xf numFmtId="165" fontId="30" fillId="0" borderId="32" xfId="0" applyNumberFormat="1" applyFont="1" applyBorder="1"/>
    <xf numFmtId="165" fontId="19" fillId="0" borderId="15" xfId="0" applyNumberFormat="1" applyFont="1" applyBorder="1" applyAlignment="1">
      <alignment horizontal="center" vertical="center"/>
    </xf>
    <xf numFmtId="165" fontId="30" fillId="0" borderId="25" xfId="1" applyNumberFormat="1" applyFont="1" applyBorder="1" applyAlignment="1">
      <alignment horizontal="center"/>
    </xf>
    <xf numFmtId="165" fontId="30" fillId="0" borderId="26" xfId="1" applyNumberFormat="1" applyFont="1" applyBorder="1" applyAlignment="1">
      <alignment horizontal="center"/>
    </xf>
    <xf numFmtId="165" fontId="30" fillId="0" borderId="34" xfId="0" applyNumberFormat="1" applyFont="1" applyBorder="1" applyAlignment="1">
      <alignment horizontal="center"/>
    </xf>
    <xf numFmtId="165" fontId="31" fillId="0" borderId="15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/>
    </xf>
    <xf numFmtId="0" fontId="7" fillId="0" borderId="3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vertical="center"/>
    </xf>
    <xf numFmtId="0" fontId="7" fillId="0" borderId="35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165" fontId="0" fillId="0" borderId="35" xfId="1" applyNumberFormat="1" applyFont="1" applyBorder="1" applyAlignment="1">
      <alignment horizontal="center" vertical="center"/>
    </xf>
    <xf numFmtId="0" fontId="0" fillId="0" borderId="35" xfId="0" applyBorder="1" applyAlignment="1">
      <alignment horizontal="left"/>
    </xf>
    <xf numFmtId="165" fontId="0" fillId="0" borderId="35" xfId="1" applyNumberFormat="1" applyFont="1" applyBorder="1"/>
    <xf numFmtId="0" fontId="1" fillId="0" borderId="35" xfId="0" applyFont="1" applyBorder="1" applyAlignment="1">
      <alignment horizontal="center" vertical="center"/>
    </xf>
    <xf numFmtId="165" fontId="1" fillId="0" borderId="35" xfId="1" applyNumberFormat="1" applyFont="1" applyBorder="1" applyAlignment="1">
      <alignment horizontal="center" vertical="center"/>
    </xf>
    <xf numFmtId="0" fontId="37" fillId="0" borderId="0" xfId="0" applyFont="1"/>
    <xf numFmtId="0" fontId="35" fillId="0" borderId="0" xfId="0" applyFont="1" applyAlignment="1">
      <alignment horizontal="center"/>
    </xf>
    <xf numFmtId="165" fontId="1" fillId="0" borderId="0" xfId="1" applyNumberFormat="1" applyFont="1" applyBorder="1"/>
    <xf numFmtId="0" fontId="1" fillId="0" borderId="37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165" fontId="1" fillId="0" borderId="0" xfId="0" applyNumberFormat="1" applyFont="1"/>
    <xf numFmtId="0" fontId="1" fillId="0" borderId="38" xfId="0" applyFont="1" applyBorder="1"/>
    <xf numFmtId="0" fontId="1" fillId="0" borderId="39" xfId="0" applyFont="1" applyBorder="1" applyAlignment="1">
      <alignment horizontal="left"/>
    </xf>
    <xf numFmtId="0" fontId="1" fillId="0" borderId="39" xfId="0" applyFont="1" applyBorder="1"/>
    <xf numFmtId="165" fontId="1" fillId="0" borderId="39" xfId="0" applyNumberFormat="1" applyFont="1" applyBorder="1"/>
    <xf numFmtId="165" fontId="1" fillId="0" borderId="39" xfId="1" applyNumberFormat="1" applyFont="1" applyBorder="1"/>
    <xf numFmtId="165" fontId="1" fillId="0" borderId="40" xfId="1" applyNumberFormat="1" applyFont="1" applyBorder="1"/>
    <xf numFmtId="0" fontId="1" fillId="0" borderId="37" xfId="0" applyFont="1" applyBorder="1" applyAlignment="1">
      <alignment horizontal="center" vertical="center"/>
    </xf>
    <xf numFmtId="0" fontId="36" fillId="0" borderId="37" xfId="0" applyFont="1" applyBorder="1" applyAlignment="1">
      <alignment horizontal="center" vertical="center"/>
    </xf>
    <xf numFmtId="165" fontId="1" fillId="0" borderId="37" xfId="1" applyNumberFormat="1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left" vertical="center"/>
    </xf>
    <xf numFmtId="0" fontId="7" fillId="0" borderId="39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 wrapText="1"/>
    </xf>
    <xf numFmtId="165" fontId="7" fillId="0" borderId="39" xfId="1" applyNumberFormat="1" applyFont="1" applyBorder="1" applyAlignment="1">
      <alignment horizontal="center" vertical="center" wrapText="1"/>
    </xf>
    <xf numFmtId="165" fontId="7" fillId="0" borderId="40" xfId="1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165" fontId="22" fillId="0" borderId="35" xfId="1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/>
    </xf>
    <xf numFmtId="0" fontId="7" fillId="0" borderId="23" xfId="0" applyFont="1" applyBorder="1"/>
    <xf numFmtId="0" fontId="7" fillId="0" borderId="43" xfId="0" applyFont="1" applyBorder="1"/>
    <xf numFmtId="0" fontId="7" fillId="0" borderId="44" xfId="0" applyFont="1" applyBorder="1" applyAlignment="1">
      <alignment horizontal="center"/>
    </xf>
    <xf numFmtId="0" fontId="7" fillId="0" borderId="43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/>
    </xf>
    <xf numFmtId="165" fontId="7" fillId="0" borderId="49" xfId="0" applyNumberFormat="1" applyFont="1" applyBorder="1"/>
    <xf numFmtId="165" fontId="19" fillId="0" borderId="44" xfId="0" applyNumberFormat="1" applyFont="1" applyBorder="1"/>
    <xf numFmtId="0" fontId="7" fillId="0" borderId="13" xfId="0" applyFont="1" applyBorder="1" applyAlignment="1">
      <alignment horizontal="center" vertical="center" wrapText="1"/>
    </xf>
    <xf numFmtId="0" fontId="39" fillId="0" borderId="0" xfId="0" applyFont="1" applyAlignment="1">
      <alignment horizontal="left"/>
    </xf>
    <xf numFmtId="0" fontId="39" fillId="0" borderId="0" xfId="0" applyFont="1"/>
    <xf numFmtId="0" fontId="7" fillId="0" borderId="5" xfId="0" applyFont="1" applyBorder="1"/>
    <xf numFmtId="165" fontId="19" fillId="0" borderId="0" xfId="0" applyNumberFormat="1" applyFont="1"/>
    <xf numFmtId="165" fontId="19" fillId="0" borderId="12" xfId="0" applyNumberFormat="1" applyFont="1" applyBorder="1"/>
    <xf numFmtId="165" fontId="7" fillId="0" borderId="12" xfId="0" applyNumberFormat="1" applyFont="1" applyBorder="1"/>
    <xf numFmtId="165" fontId="6" fillId="0" borderId="5" xfId="1" applyNumberFormat="1" applyFont="1" applyBorder="1"/>
    <xf numFmtId="0" fontId="8" fillId="0" borderId="43" xfId="0" applyFont="1" applyBorder="1" applyAlignment="1">
      <alignment horizontal="center"/>
    </xf>
    <xf numFmtId="0" fontId="8" fillId="0" borderId="61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165" fontId="7" fillId="0" borderId="11" xfId="0" applyNumberFormat="1" applyFont="1" applyBorder="1" applyAlignment="1">
      <alignment vertical="center"/>
    </xf>
    <xf numFmtId="165" fontId="7" fillId="0" borderId="9" xfId="0" applyNumberFormat="1" applyFont="1" applyBorder="1"/>
    <xf numFmtId="0" fontId="7" fillId="0" borderId="11" xfId="0" applyFont="1" applyBorder="1"/>
    <xf numFmtId="165" fontId="30" fillId="0" borderId="0" xfId="0" applyNumberFormat="1" applyFont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1" xfId="0" applyFont="1" applyBorder="1"/>
    <xf numFmtId="0" fontId="6" fillId="0" borderId="3" xfId="0" applyFont="1" applyBorder="1"/>
    <xf numFmtId="0" fontId="15" fillId="0" borderId="0" xfId="0" applyFont="1" applyAlignment="1">
      <alignment vertical="center"/>
    </xf>
    <xf numFmtId="20" fontId="30" fillId="0" borderId="0" xfId="0" applyNumberFormat="1" applyFont="1"/>
    <xf numFmtId="165" fontId="41" fillId="0" borderId="0" xfId="1" applyNumberFormat="1" applyFont="1" applyBorder="1"/>
    <xf numFmtId="165" fontId="7" fillId="0" borderId="14" xfId="0" applyNumberFormat="1" applyFont="1" applyBorder="1"/>
    <xf numFmtId="0" fontId="7" fillId="0" borderId="50" xfId="0" applyFont="1" applyBorder="1" applyAlignment="1">
      <alignment horizontal="center" vertical="center"/>
    </xf>
    <xf numFmtId="0" fontId="14" fillId="0" borderId="51" xfId="0" applyFont="1" applyBorder="1" applyAlignment="1">
      <alignment horizontal="center"/>
    </xf>
    <xf numFmtId="0" fontId="6" fillId="0" borderId="55" xfId="0" applyFont="1" applyBorder="1"/>
    <xf numFmtId="0" fontId="6" fillId="0" borderId="46" xfId="0" applyFont="1" applyBorder="1"/>
    <xf numFmtId="165" fontId="6" fillId="0" borderId="62" xfId="1" applyNumberFormat="1" applyFont="1" applyBorder="1"/>
    <xf numFmtId="165" fontId="6" fillId="0" borderId="16" xfId="1" applyNumberFormat="1" applyFont="1" applyBorder="1"/>
    <xf numFmtId="165" fontId="6" fillId="0" borderId="57" xfId="1" applyNumberFormat="1" applyFont="1" applyBorder="1"/>
    <xf numFmtId="0" fontId="6" fillId="0" borderId="58" xfId="0" applyFont="1" applyBorder="1"/>
    <xf numFmtId="0" fontId="6" fillId="0" borderId="59" xfId="0" applyFont="1" applyBorder="1"/>
    <xf numFmtId="0" fontId="6" fillId="0" borderId="60" xfId="0" applyFont="1" applyBorder="1"/>
    <xf numFmtId="0" fontId="6" fillId="0" borderId="2" xfId="0" applyFont="1" applyBorder="1"/>
    <xf numFmtId="165" fontId="6" fillId="0" borderId="17" xfId="1" applyNumberFormat="1" applyFont="1" applyBorder="1"/>
    <xf numFmtId="165" fontId="6" fillId="0" borderId="18" xfId="1" applyNumberFormat="1" applyFont="1" applyBorder="1"/>
    <xf numFmtId="165" fontId="7" fillId="0" borderId="5" xfId="0" applyNumberFormat="1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30" fillId="0" borderId="68" xfId="0" applyFont="1" applyBorder="1" applyAlignment="1">
      <alignment horizontal="center"/>
    </xf>
    <xf numFmtId="165" fontId="30" fillId="0" borderId="69" xfId="0" applyNumberFormat="1" applyFont="1" applyBorder="1" applyAlignment="1">
      <alignment horizontal="center"/>
    </xf>
    <xf numFmtId="165" fontId="30" fillId="0" borderId="69" xfId="1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165" fontId="30" fillId="0" borderId="70" xfId="0" applyNumberFormat="1" applyFont="1" applyBorder="1"/>
    <xf numFmtId="0" fontId="30" fillId="0" borderId="27" xfId="0" applyFont="1" applyBorder="1" applyAlignment="1">
      <alignment horizontal="center"/>
    </xf>
    <xf numFmtId="165" fontId="29" fillId="0" borderId="28" xfId="0" applyNumberFormat="1" applyFont="1" applyBorder="1" applyAlignment="1">
      <alignment horizontal="center"/>
    </xf>
    <xf numFmtId="165" fontId="29" fillId="0" borderId="28" xfId="0" applyNumberFormat="1" applyFont="1" applyBorder="1"/>
    <xf numFmtId="165" fontId="31" fillId="0" borderId="29" xfId="0" applyNumberFormat="1" applyFont="1" applyBorder="1"/>
    <xf numFmtId="165" fontId="41" fillId="0" borderId="5" xfId="1" applyNumberFormat="1" applyFont="1" applyBorder="1" applyAlignment="1"/>
    <xf numFmtId="0" fontId="49" fillId="0" borderId="0" xfId="0" applyFont="1" applyAlignment="1">
      <alignment horizontal="left" indent="2"/>
    </xf>
    <xf numFmtId="0" fontId="30" fillId="0" borderId="0" xfId="0" applyFont="1" applyAlignment="1">
      <alignment horizontal="left" indent="2"/>
    </xf>
    <xf numFmtId="0" fontId="29" fillId="3" borderId="9" xfId="0" applyFont="1" applyFill="1" applyBorder="1" applyAlignment="1">
      <alignment horizontal="right"/>
    </xf>
    <xf numFmtId="0" fontId="29" fillId="3" borderId="10" xfId="0" applyFont="1" applyFill="1" applyBorder="1" applyAlignment="1">
      <alignment horizontal="right"/>
    </xf>
    <xf numFmtId="0" fontId="29" fillId="3" borderId="11" xfId="0" applyFont="1" applyFill="1" applyBorder="1" applyAlignment="1">
      <alignment horizontal="right"/>
    </xf>
    <xf numFmtId="0" fontId="29" fillId="2" borderId="23" xfId="0" applyFont="1" applyFill="1" applyBorder="1" applyAlignment="1">
      <alignment horizontal="center" vertical="center"/>
    </xf>
    <xf numFmtId="0" fontId="30" fillId="5" borderId="0" xfId="0" applyFont="1" applyFill="1"/>
    <xf numFmtId="0" fontId="31" fillId="5" borderId="0" xfId="0" applyFont="1" applyFill="1"/>
    <xf numFmtId="0" fontId="29" fillId="3" borderId="24" xfId="0" applyFont="1" applyFill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165" fontId="31" fillId="0" borderId="12" xfId="1" applyNumberFormat="1" applyFont="1" applyFill="1" applyBorder="1" applyAlignment="1">
      <alignment horizontal="center" vertical="center"/>
    </xf>
    <xf numFmtId="0" fontId="7" fillId="0" borderId="4" xfId="0" applyFont="1" applyBorder="1"/>
    <xf numFmtId="0" fontId="14" fillId="0" borderId="0" xfId="0" applyFont="1"/>
    <xf numFmtId="165" fontId="6" fillId="0" borderId="0" xfId="1" applyNumberFormat="1" applyFont="1" applyBorder="1"/>
    <xf numFmtId="0" fontId="6" fillId="0" borderId="0" xfId="0" applyFont="1" applyAlignment="1">
      <alignment horizontal="center"/>
    </xf>
    <xf numFmtId="0" fontId="52" fillId="0" borderId="0" xfId="0" applyFont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41" fillId="0" borderId="0" xfId="0" applyFont="1"/>
    <xf numFmtId="0" fontId="38" fillId="0" borderId="0" xfId="0" applyFont="1"/>
    <xf numFmtId="0" fontId="31" fillId="0" borderId="0" xfId="0" applyFont="1" applyAlignment="1">
      <alignment horizontal="left" indent="2"/>
    </xf>
    <xf numFmtId="0" fontId="7" fillId="0" borderId="0" xfId="0" applyFont="1" applyAlignment="1">
      <alignment wrapText="1"/>
    </xf>
    <xf numFmtId="165" fontId="29" fillId="0" borderId="32" xfId="0" applyNumberFormat="1" applyFont="1" applyBorder="1"/>
    <xf numFmtId="165" fontId="29" fillId="0" borderId="70" xfId="0" applyNumberFormat="1" applyFont="1" applyBorder="1"/>
    <xf numFmtId="165" fontId="29" fillId="0" borderId="71" xfId="0" applyNumberFormat="1" applyFont="1" applyBorder="1" applyAlignment="1">
      <alignment horizontal="center"/>
    </xf>
    <xf numFmtId="165" fontId="31" fillId="0" borderId="11" xfId="0" applyNumberFormat="1" applyFont="1" applyBorder="1"/>
    <xf numFmtId="165" fontId="30" fillId="0" borderId="72" xfId="1" applyNumberFormat="1" applyFont="1" applyBorder="1" applyAlignment="1">
      <alignment horizontal="center"/>
    </xf>
    <xf numFmtId="165" fontId="30" fillId="0" borderId="12" xfId="1" applyNumberFormat="1" applyFont="1" applyBorder="1" applyAlignment="1">
      <alignment horizontal="center"/>
    </xf>
    <xf numFmtId="165" fontId="7" fillId="0" borderId="0" xfId="1" applyNumberFormat="1" applyFont="1" applyBorder="1"/>
    <xf numFmtId="0" fontId="6" fillId="0" borderId="0" xfId="0" applyFont="1" applyAlignment="1">
      <alignment horizontal="center" vertical="center"/>
    </xf>
    <xf numFmtId="0" fontId="53" fillId="0" borderId="0" xfId="0" applyFont="1"/>
    <xf numFmtId="0" fontId="54" fillId="0" borderId="0" xfId="0" applyFont="1"/>
    <xf numFmtId="0" fontId="53" fillId="0" borderId="19" xfId="0" applyFont="1" applyBorder="1" applyAlignment="1">
      <alignment horizontal="center" vertical="center"/>
    </xf>
    <xf numFmtId="0" fontId="53" fillId="0" borderId="20" xfId="0" applyFont="1" applyBorder="1" applyAlignment="1">
      <alignment horizontal="center" vertical="center"/>
    </xf>
    <xf numFmtId="0" fontId="53" fillId="0" borderId="20" xfId="0" applyFont="1" applyBorder="1" applyAlignment="1">
      <alignment horizontal="center" vertical="center" wrapText="1"/>
    </xf>
    <xf numFmtId="0" fontId="53" fillId="0" borderId="21" xfId="0" applyFont="1" applyBorder="1" applyAlignment="1">
      <alignment horizontal="center" vertical="center" wrapText="1"/>
    </xf>
    <xf numFmtId="0" fontId="54" fillId="0" borderId="53" xfId="0" applyFont="1" applyBorder="1"/>
    <xf numFmtId="0" fontId="54" fillId="0" borderId="36" xfId="0" applyFont="1" applyBorder="1"/>
    <xf numFmtId="0" fontId="54" fillId="0" borderId="54" xfId="0" applyFont="1" applyBorder="1"/>
    <xf numFmtId="165" fontId="6" fillId="0" borderId="38" xfId="0" applyNumberFormat="1" applyFont="1" applyBorder="1"/>
    <xf numFmtId="3" fontId="54" fillId="0" borderId="51" xfId="0" applyNumberFormat="1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14" fontId="54" fillId="0" borderId="35" xfId="0" applyNumberFormat="1" applyFont="1" applyBorder="1" applyAlignment="1">
      <alignment horizontal="center" vertical="center"/>
    </xf>
    <xf numFmtId="0" fontId="54" fillId="0" borderId="48" xfId="0" applyFont="1" applyBorder="1"/>
    <xf numFmtId="165" fontId="6" fillId="0" borderId="10" xfId="0" applyNumberFormat="1" applyFont="1" applyBorder="1"/>
    <xf numFmtId="165" fontId="55" fillId="6" borderId="40" xfId="0" applyNumberFormat="1" applyFont="1" applyFill="1" applyBorder="1" applyAlignment="1">
      <alignment horizontal="center" vertical="center"/>
    </xf>
    <xf numFmtId="165" fontId="53" fillId="0" borderId="35" xfId="1" applyNumberFormat="1" applyFont="1" applyBorder="1" applyAlignment="1">
      <alignment horizontal="center" vertical="center"/>
    </xf>
    <xf numFmtId="165" fontId="53" fillId="0" borderId="52" xfId="0" applyNumberFormat="1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7" fillId="0" borderId="35" xfId="0" applyFont="1" applyBorder="1" applyAlignment="1">
      <alignment horizontal="center"/>
    </xf>
    <xf numFmtId="165" fontId="7" fillId="0" borderId="14" xfId="1" applyNumberFormat="1" applyFont="1" applyBorder="1" applyAlignment="1">
      <alignment horizontal="right"/>
    </xf>
    <xf numFmtId="0" fontId="35" fillId="0" borderId="0" xfId="0" applyFont="1"/>
    <xf numFmtId="165" fontId="6" fillId="0" borderId="0" xfId="1" applyNumberFormat="1" applyFont="1"/>
    <xf numFmtId="0" fontId="6" fillId="0" borderId="35" xfId="0" applyFont="1" applyBorder="1"/>
    <xf numFmtId="165" fontId="6" fillId="0" borderId="35" xfId="1" applyNumberFormat="1" applyFont="1" applyBorder="1"/>
    <xf numFmtId="0" fontId="6" fillId="0" borderId="35" xfId="0" applyFont="1" applyBorder="1" applyAlignment="1">
      <alignment horizontal="center"/>
    </xf>
    <xf numFmtId="165" fontId="6" fillId="0" borderId="35" xfId="1" applyNumberFormat="1" applyFont="1" applyBorder="1" applyAlignment="1">
      <alignment horizontal="center"/>
    </xf>
    <xf numFmtId="165" fontId="7" fillId="0" borderId="35" xfId="1" applyNumberFormat="1" applyFont="1" applyBorder="1" applyAlignment="1">
      <alignment horizontal="center"/>
    </xf>
    <xf numFmtId="0" fontId="7" fillId="0" borderId="35" xfId="0" applyFont="1" applyBorder="1"/>
    <xf numFmtId="14" fontId="6" fillId="0" borderId="35" xfId="0" applyNumberFormat="1" applyFont="1" applyBorder="1" applyAlignment="1">
      <alignment horizontal="center"/>
    </xf>
    <xf numFmtId="0" fontId="6" fillId="0" borderId="35" xfId="0" applyFont="1" applyBorder="1" applyAlignment="1">
      <alignment vertical="center"/>
    </xf>
    <xf numFmtId="0" fontId="57" fillId="0" borderId="35" xfId="0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165" fontId="6" fillId="0" borderId="17" xfId="1" applyNumberFormat="1" applyFont="1" applyBorder="1" applyAlignment="1">
      <alignment horizontal="center" vertical="center"/>
    </xf>
    <xf numFmtId="49" fontId="7" fillId="0" borderId="0" xfId="0" applyNumberFormat="1" applyFont="1"/>
    <xf numFmtId="165" fontId="31" fillId="3" borderId="9" xfId="1" applyNumberFormat="1" applyFont="1" applyFill="1" applyBorder="1" applyAlignment="1">
      <alignment horizontal="center" vertical="center"/>
    </xf>
    <xf numFmtId="0" fontId="29" fillId="3" borderId="23" xfId="0" applyFont="1" applyFill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9" fillId="0" borderId="40" xfId="0" applyFont="1" applyBorder="1" applyAlignment="1">
      <alignment horizontal="center"/>
    </xf>
    <xf numFmtId="49" fontId="28" fillId="0" borderId="0" xfId="0" applyNumberFormat="1" applyFont="1" applyAlignment="1">
      <alignment horizontal="left" vertical="center"/>
    </xf>
    <xf numFmtId="49" fontId="28" fillId="0" borderId="0" xfId="0" applyNumberFormat="1" applyFont="1"/>
    <xf numFmtId="165" fontId="7" fillId="0" borderId="14" xfId="1" applyNumberFormat="1" applyFont="1" applyBorder="1" applyAlignment="1">
      <alignment horizontal="center" vertical="center"/>
    </xf>
    <xf numFmtId="165" fontId="41" fillId="0" borderId="0" xfId="1" applyNumberFormat="1" applyFont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 vertical="center"/>
    </xf>
    <xf numFmtId="165" fontId="7" fillId="0" borderId="14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vertical="center"/>
    </xf>
    <xf numFmtId="0" fontId="30" fillId="0" borderId="14" xfId="0" applyFont="1" applyBorder="1" applyAlignment="1">
      <alignment horizontal="center" vertical="center"/>
    </xf>
    <xf numFmtId="14" fontId="34" fillId="0" borderId="14" xfId="0" applyNumberFormat="1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 wrapText="1"/>
    </xf>
    <xf numFmtId="165" fontId="32" fillId="0" borderId="14" xfId="1" applyNumberFormat="1" applyFont="1" applyBorder="1" applyAlignment="1">
      <alignment horizontal="center" vertical="center"/>
    </xf>
    <xf numFmtId="0" fontId="30" fillId="0" borderId="14" xfId="0" applyFont="1" applyBorder="1"/>
    <xf numFmtId="165" fontId="30" fillId="0" borderId="14" xfId="1" applyNumberFormat="1" applyFont="1" applyBorder="1" applyAlignment="1">
      <alignment horizontal="center"/>
    </xf>
    <xf numFmtId="165" fontId="30" fillId="0" borderId="34" xfId="0" applyNumberFormat="1" applyFont="1" applyBorder="1" applyAlignment="1">
      <alignment horizontal="center" vertical="center"/>
    </xf>
    <xf numFmtId="165" fontId="30" fillId="0" borderId="25" xfId="1" applyNumberFormat="1" applyFont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3" fillId="0" borderId="28" xfId="0" applyFont="1" applyBorder="1" applyAlignment="1">
      <alignment horizontal="center" wrapText="1"/>
    </xf>
    <xf numFmtId="0" fontId="33" fillId="0" borderId="28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35" xfId="0" applyFont="1" applyBorder="1" applyAlignment="1">
      <alignment horizontal="center" vertical="center"/>
    </xf>
    <xf numFmtId="0" fontId="6" fillId="0" borderId="35" xfId="0" applyFont="1" applyBorder="1" applyAlignment="1">
      <alignment horizontal="left" vertical="center"/>
    </xf>
    <xf numFmtId="0" fontId="6" fillId="0" borderId="35" xfId="0" applyFont="1" applyBorder="1" applyAlignment="1">
      <alignment horizontal="left"/>
    </xf>
    <xf numFmtId="0" fontId="7" fillId="0" borderId="39" xfId="0" applyFont="1" applyBorder="1" applyAlignment="1">
      <alignment horizontal="left"/>
    </xf>
    <xf numFmtId="0" fontId="7" fillId="0" borderId="39" xfId="0" applyFont="1" applyBorder="1"/>
    <xf numFmtId="165" fontId="7" fillId="0" borderId="39" xfId="0" applyNumberFormat="1" applyFont="1" applyBorder="1"/>
    <xf numFmtId="165" fontId="7" fillId="0" borderId="39" xfId="1" applyNumberFormat="1" applyFont="1" applyBorder="1"/>
    <xf numFmtId="165" fontId="7" fillId="0" borderId="40" xfId="1" applyNumberFormat="1" applyFont="1" applyBorder="1"/>
    <xf numFmtId="0" fontId="7" fillId="0" borderId="39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60" fillId="0" borderId="37" xfId="0" applyFont="1" applyBorder="1" applyAlignment="1">
      <alignment horizontal="center" vertical="center"/>
    </xf>
    <xf numFmtId="165" fontId="7" fillId="0" borderId="37" xfId="1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left" vertical="center"/>
    </xf>
    <xf numFmtId="165" fontId="7" fillId="0" borderId="35" xfId="1" applyNumberFormat="1" applyFont="1" applyBorder="1" applyAlignment="1">
      <alignment horizontal="center" vertical="center"/>
    </xf>
    <xf numFmtId="165" fontId="41" fillId="0" borderId="35" xfId="1" applyNumberFormat="1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6" fillId="0" borderId="37" xfId="0" applyFont="1" applyBorder="1" applyAlignment="1">
      <alignment horizontal="center" vertical="center"/>
    </xf>
    <xf numFmtId="0" fontId="6" fillId="0" borderId="37" xfId="0" applyFont="1" applyBorder="1" applyAlignment="1">
      <alignment horizontal="left" vertical="center"/>
    </xf>
    <xf numFmtId="165" fontId="6" fillId="0" borderId="37" xfId="1" applyNumberFormat="1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 wrapText="1"/>
    </xf>
    <xf numFmtId="0" fontId="33" fillId="0" borderId="28" xfId="0" applyFont="1" applyBorder="1" applyAlignment="1">
      <alignment horizontal="left" vertical="top" wrapText="1"/>
    </xf>
    <xf numFmtId="0" fontId="52" fillId="0" borderId="0" xfId="0" applyFont="1" applyAlignment="1">
      <alignment vertical="center"/>
    </xf>
    <xf numFmtId="0" fontId="52" fillId="0" borderId="0" xfId="0" applyFont="1" applyAlignment="1">
      <alignment horizontal="left" vertical="center" indent="7"/>
    </xf>
    <xf numFmtId="0" fontId="6" fillId="0" borderId="13" xfId="0" applyFont="1" applyBorder="1"/>
    <xf numFmtId="0" fontId="6" fillId="0" borderId="14" xfId="0" applyFont="1" applyBorder="1"/>
    <xf numFmtId="3" fontId="6" fillId="0" borderId="14" xfId="0" applyNumberFormat="1" applyFont="1" applyBorder="1" applyAlignment="1">
      <alignment horizontal="center" vertical="center"/>
    </xf>
    <xf numFmtId="165" fontId="51" fillId="0" borderId="14" xfId="0" applyNumberFormat="1" applyFont="1" applyBorder="1" applyAlignment="1">
      <alignment horizontal="left" vertical="center"/>
    </xf>
    <xf numFmtId="165" fontId="41" fillId="0" borderId="0" xfId="1" applyNumberFormat="1" applyFont="1" applyBorder="1" applyAlignment="1"/>
    <xf numFmtId="0" fontId="8" fillId="0" borderId="0" xfId="0" applyFont="1" applyAlignment="1">
      <alignment horizontal="left"/>
    </xf>
    <xf numFmtId="0" fontId="58" fillId="0" borderId="0" xfId="0" applyFont="1" applyAlignment="1">
      <alignment vertical="center" wrapText="1"/>
    </xf>
    <xf numFmtId="0" fontId="62" fillId="0" borderId="0" xfId="0" applyFont="1"/>
    <xf numFmtId="0" fontId="65" fillId="0" borderId="0" xfId="0" applyFont="1"/>
    <xf numFmtId="0" fontId="66" fillId="0" borderId="0" xfId="0" applyFont="1"/>
    <xf numFmtId="0" fontId="66" fillId="0" borderId="0" xfId="0" applyFont="1" applyAlignment="1">
      <alignment horizontal="center"/>
    </xf>
    <xf numFmtId="0" fontId="63" fillId="0" borderId="0" xfId="0" applyFont="1"/>
    <xf numFmtId="0" fontId="68" fillId="8" borderId="35" xfId="0" applyFont="1" applyFill="1" applyBorder="1" applyAlignment="1">
      <alignment horizontal="center" vertical="center"/>
    </xf>
    <xf numFmtId="0" fontId="70" fillId="8" borderId="36" xfId="0" applyFont="1" applyFill="1" applyBorder="1" applyAlignment="1">
      <alignment horizontal="center" vertical="center"/>
    </xf>
    <xf numFmtId="0" fontId="70" fillId="8" borderId="35" xfId="0" applyFont="1" applyFill="1" applyBorder="1" applyAlignment="1">
      <alignment horizontal="center" vertical="center"/>
    </xf>
    <xf numFmtId="3" fontId="70" fillId="8" borderId="88" xfId="0" applyNumberFormat="1" applyFont="1" applyFill="1" applyBorder="1" applyAlignment="1">
      <alignment horizontal="center" vertical="center"/>
    </xf>
    <xf numFmtId="3" fontId="64" fillId="8" borderId="41" xfId="0" applyNumberFormat="1" applyFont="1" applyFill="1" applyBorder="1" applyAlignment="1">
      <alignment vertical="center"/>
    </xf>
    <xf numFmtId="0" fontId="71" fillId="0" borderId="0" xfId="0" applyFont="1"/>
    <xf numFmtId="0" fontId="73" fillId="0" borderId="0" xfId="0" applyFont="1"/>
    <xf numFmtId="3" fontId="66" fillId="0" borderId="92" xfId="0" applyNumberFormat="1" applyFont="1" applyBorder="1" applyAlignment="1">
      <alignment horizontal="center" vertical="center"/>
    </xf>
    <xf numFmtId="3" fontId="64" fillId="0" borderId="88" xfId="0" applyNumberFormat="1" applyFont="1" applyBorder="1" applyAlignment="1">
      <alignment horizontal="center" vertical="center"/>
    </xf>
    <xf numFmtId="3" fontId="64" fillId="8" borderId="35" xfId="0" applyNumberFormat="1" applyFont="1" applyFill="1" applyBorder="1" applyAlignment="1">
      <alignment horizontal="center" vertical="center"/>
    </xf>
    <xf numFmtId="3" fontId="64" fillId="0" borderId="35" xfId="0" applyNumberFormat="1" applyFont="1" applyBorder="1" applyAlignment="1">
      <alignment horizontal="center" vertical="center"/>
    </xf>
    <xf numFmtId="3" fontId="64" fillId="0" borderId="41" xfId="0" applyNumberFormat="1" applyFont="1" applyBorder="1" applyAlignment="1">
      <alignment horizontal="center" vertical="center"/>
    </xf>
    <xf numFmtId="1" fontId="64" fillId="8" borderId="4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indent="8"/>
    </xf>
    <xf numFmtId="0" fontId="29" fillId="0" borderId="27" xfId="0" applyFont="1" applyBorder="1" applyAlignment="1">
      <alignment horizontal="center"/>
    </xf>
    <xf numFmtId="0" fontId="66" fillId="0" borderId="0" xfId="0" applyFont="1" applyAlignment="1">
      <alignment horizontal="center" vertical="center"/>
    </xf>
    <xf numFmtId="3" fontId="63" fillId="0" borderId="0" xfId="0" applyNumberFormat="1" applyFont="1" applyAlignment="1">
      <alignment horizontal="left"/>
    </xf>
    <xf numFmtId="0" fontId="65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65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6" fillId="0" borderId="48" xfId="0" applyFont="1" applyBorder="1" applyAlignment="1">
      <alignment vertical="center"/>
    </xf>
    <xf numFmtId="0" fontId="66" fillId="0" borderId="0" xfId="0" applyFont="1" applyAlignment="1">
      <alignment vertical="center"/>
    </xf>
    <xf numFmtId="0" fontId="66" fillId="0" borderId="46" xfId="0" applyFont="1" applyBorder="1" applyAlignment="1">
      <alignment vertical="center"/>
    </xf>
    <xf numFmtId="0" fontId="63" fillId="0" borderId="0" xfId="0" applyFont="1" applyAlignment="1">
      <alignment vertical="center"/>
    </xf>
    <xf numFmtId="1" fontId="64" fillId="0" borderId="0" xfId="0" applyNumberFormat="1" applyFont="1" applyAlignment="1">
      <alignment horizontal="center" vertical="center"/>
    </xf>
    <xf numFmtId="14" fontId="64" fillId="0" borderId="0" xfId="0" applyNumberFormat="1" applyFont="1" applyAlignment="1">
      <alignment horizontal="center" vertical="center"/>
    </xf>
    <xf numFmtId="49" fontId="64" fillId="0" borderId="0" xfId="0" applyNumberFormat="1" applyFont="1" applyAlignment="1">
      <alignment horizontal="center" vertical="center"/>
    </xf>
    <xf numFmtId="0" fontId="63" fillId="0" borderId="50" xfId="0" applyFont="1" applyBorder="1" applyAlignment="1">
      <alignment vertical="center"/>
    </xf>
    <xf numFmtId="0" fontId="74" fillId="0" borderId="58" xfId="2" applyFont="1" applyFill="1" applyBorder="1" applyAlignment="1" applyProtection="1">
      <alignment horizontal="right" vertical="center"/>
    </xf>
    <xf numFmtId="167" fontId="64" fillId="0" borderId="0" xfId="0" applyNumberFormat="1" applyFont="1" applyAlignment="1">
      <alignment horizontal="center" vertical="center"/>
    </xf>
    <xf numFmtId="0" fontId="65" fillId="0" borderId="55" xfId="0" applyFont="1" applyBorder="1" applyAlignment="1">
      <alignment vertical="center"/>
    </xf>
    <xf numFmtId="0" fontId="66" fillId="0" borderId="59" xfId="0" applyFont="1" applyBorder="1" applyAlignment="1">
      <alignment vertical="center"/>
    </xf>
    <xf numFmtId="0" fontId="68" fillId="0" borderId="91" xfId="0" applyFont="1" applyBorder="1" applyAlignment="1">
      <alignment horizontal="center" vertical="center"/>
    </xf>
    <xf numFmtId="3" fontId="63" fillId="0" borderId="92" xfId="0" applyNumberFormat="1" applyFont="1" applyBorder="1" applyAlignment="1">
      <alignment horizontal="center" vertical="center"/>
    </xf>
    <xf numFmtId="3" fontId="69" fillId="0" borderId="92" xfId="0" applyNumberFormat="1" applyFont="1" applyBorder="1" applyAlignment="1">
      <alignment horizontal="right" vertical="center"/>
    </xf>
    <xf numFmtId="3" fontId="66" fillId="0" borderId="92" xfId="0" applyNumberFormat="1" applyFont="1" applyBorder="1" applyAlignment="1">
      <alignment horizontal="right" vertical="center"/>
    </xf>
    <xf numFmtId="0" fontId="66" fillId="0" borderId="98" xfId="0" applyFont="1" applyBorder="1" applyAlignment="1">
      <alignment vertical="center"/>
    </xf>
    <xf numFmtId="0" fontId="66" fillId="0" borderId="58" xfId="0" applyFont="1" applyBorder="1" applyAlignment="1">
      <alignment horizontal="center" vertical="center"/>
    </xf>
    <xf numFmtId="3" fontId="69" fillId="0" borderId="92" xfId="0" applyNumberFormat="1" applyFont="1" applyBorder="1" applyAlignment="1">
      <alignment vertical="center"/>
    </xf>
    <xf numFmtId="0" fontId="77" fillId="7" borderId="0" xfId="0" applyFont="1" applyFill="1" applyAlignment="1">
      <alignment horizontal="center" vertical="center" wrapText="1"/>
    </xf>
    <xf numFmtId="3" fontId="64" fillId="11" borderId="55" xfId="0" applyNumberFormat="1" applyFont="1" applyFill="1" applyBorder="1" applyAlignment="1">
      <alignment horizontal="center" vertical="center"/>
    </xf>
    <xf numFmtId="3" fontId="64" fillId="12" borderId="55" xfId="0" applyNumberFormat="1" applyFont="1" applyFill="1" applyBorder="1" applyAlignment="1">
      <alignment horizontal="center" vertical="center"/>
    </xf>
    <xf numFmtId="1" fontId="64" fillId="11" borderId="55" xfId="0" applyNumberFormat="1" applyFont="1" applyFill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79" fillId="0" borderId="0" xfId="0" applyFont="1"/>
    <xf numFmtId="165" fontId="30" fillId="0" borderId="26" xfId="1" applyNumberFormat="1" applyFont="1" applyBorder="1" applyAlignment="1">
      <alignment vertical="center"/>
    </xf>
    <xf numFmtId="165" fontId="30" fillId="0" borderId="26" xfId="1" applyNumberFormat="1" applyFont="1" applyBorder="1" applyAlignment="1">
      <alignment horizontal="center" vertical="center"/>
    </xf>
    <xf numFmtId="165" fontId="0" fillId="0" borderId="0" xfId="0" applyNumberFormat="1"/>
    <xf numFmtId="0" fontId="7" fillId="0" borderId="37" xfId="0" applyFont="1" applyBorder="1" applyAlignment="1">
      <alignment horizontal="center" vertical="center"/>
    </xf>
    <xf numFmtId="165" fontId="6" fillId="0" borderId="35" xfId="1" applyNumberFormat="1" applyFont="1" applyBorder="1" applyAlignment="1">
      <alignment horizontal="center" vertical="center"/>
    </xf>
    <xf numFmtId="165" fontId="41" fillId="0" borderId="35" xfId="1" applyNumberFormat="1" applyFont="1" applyBorder="1" applyAlignment="1">
      <alignment horizontal="left" vertical="center"/>
    </xf>
    <xf numFmtId="0" fontId="7" fillId="0" borderId="85" xfId="0" applyFont="1" applyBorder="1"/>
    <xf numFmtId="0" fontId="7" fillId="0" borderId="86" xfId="0" applyFont="1" applyBorder="1" applyAlignment="1">
      <alignment horizontal="center" vertical="center"/>
    </xf>
    <xf numFmtId="165" fontId="7" fillId="0" borderId="9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5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 indent="6"/>
    </xf>
    <xf numFmtId="0" fontId="10" fillId="0" borderId="0" xfId="0" applyFont="1" applyAlignment="1">
      <alignment horizontal="left" vertical="center" wrapText="1" indent="6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7" fillId="0" borderId="23" xfId="0" applyFont="1" applyBorder="1" applyAlignment="1">
      <alignment horizontal="center"/>
    </xf>
    <xf numFmtId="0" fontId="7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15" fillId="0" borderId="0" xfId="0" applyFont="1" applyAlignment="1">
      <alignment horizontal="left" vertical="center" indent="7"/>
    </xf>
    <xf numFmtId="0" fontId="7" fillId="0" borderId="0" xfId="0" applyFont="1" applyAlignment="1">
      <alignment horizontal="left" vertical="center" indent="6"/>
    </xf>
    <xf numFmtId="0" fontId="19" fillId="0" borderId="0" xfId="0" applyFont="1"/>
    <xf numFmtId="0" fontId="7" fillId="0" borderId="13" xfId="0" applyFont="1" applyBorder="1" applyAlignment="1">
      <alignment horizontal="center" vertical="center"/>
    </xf>
    <xf numFmtId="165" fontId="6" fillId="0" borderId="53" xfId="1" applyNumberFormat="1" applyFont="1" applyBorder="1" applyAlignment="1">
      <alignment horizontal="center"/>
    </xf>
    <xf numFmtId="165" fontId="6" fillId="0" borderId="36" xfId="1" applyNumberFormat="1" applyFont="1" applyBorder="1"/>
    <xf numFmtId="165" fontId="6" fillId="0" borderId="48" xfId="1" applyNumberFormat="1" applyFont="1" applyBorder="1"/>
    <xf numFmtId="0" fontId="6" fillId="0" borderId="66" xfId="0" applyFont="1" applyBorder="1"/>
    <xf numFmtId="0" fontId="6" fillId="0" borderId="15" xfId="0" applyFont="1" applyBorder="1"/>
    <xf numFmtId="0" fontId="7" fillId="0" borderId="67" xfId="0" applyFont="1" applyBorder="1" applyAlignment="1">
      <alignment horizontal="center" vertical="center"/>
    </xf>
    <xf numFmtId="0" fontId="7" fillId="0" borderId="0" xfId="0" applyFont="1" applyAlignment="1">
      <alignment horizontal="left" indent="9"/>
    </xf>
    <xf numFmtId="0" fontId="82" fillId="0" borderId="0" xfId="0" applyFont="1" applyAlignment="1">
      <alignment vertical="center"/>
    </xf>
    <xf numFmtId="165" fontId="6" fillId="0" borderId="4" xfId="1" applyNumberFormat="1" applyFont="1" applyBorder="1"/>
    <xf numFmtId="165" fontId="6" fillId="0" borderId="16" xfId="1" applyNumberFormat="1" applyFont="1" applyBorder="1" applyAlignment="1">
      <alignment horizontal="center" vertical="center"/>
    </xf>
    <xf numFmtId="165" fontId="6" fillId="0" borderId="81" xfId="1" applyNumberFormat="1" applyFont="1" applyBorder="1" applyAlignment="1">
      <alignment horizontal="center" vertical="center"/>
    </xf>
    <xf numFmtId="0" fontId="6" fillId="0" borderId="82" xfId="0" applyFont="1" applyBorder="1"/>
    <xf numFmtId="165" fontId="6" fillId="0" borderId="0" xfId="1" applyNumberFormat="1" applyFont="1" applyBorder="1" applyAlignment="1">
      <alignment horizontal="center" vertical="center"/>
    </xf>
    <xf numFmtId="0" fontId="66" fillId="0" borderId="96" xfId="0" applyFont="1" applyBorder="1" applyAlignment="1">
      <alignment horizontal="center" vertical="center"/>
    </xf>
    <xf numFmtId="0" fontId="66" fillId="0" borderId="82" xfId="0" applyFont="1" applyBorder="1" applyAlignment="1">
      <alignment horizontal="center" vertical="center"/>
    </xf>
    <xf numFmtId="0" fontId="66" fillId="0" borderId="99" xfId="0" applyFont="1" applyBorder="1" applyAlignment="1">
      <alignment horizontal="center" vertical="center"/>
    </xf>
    <xf numFmtId="165" fontId="19" fillId="0" borderId="12" xfId="0" applyNumberFormat="1" applyFont="1" applyBorder="1" applyAlignment="1">
      <alignment horizontal="center" vertical="center"/>
    </xf>
    <xf numFmtId="0" fontId="8" fillId="0" borderId="0" xfId="0" applyFont="1"/>
    <xf numFmtId="0" fontId="14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30" fillId="0" borderId="0" xfId="0" applyFont="1" applyAlignment="1">
      <alignment horizontal="center"/>
    </xf>
    <xf numFmtId="165" fontId="29" fillId="0" borderId="0" xfId="0" applyNumberFormat="1" applyFont="1" applyAlignment="1">
      <alignment horizontal="center"/>
    </xf>
    <xf numFmtId="165" fontId="31" fillId="0" borderId="0" xfId="0" applyNumberFormat="1" applyFont="1"/>
    <xf numFmtId="0" fontId="30" fillId="0" borderId="13" xfId="0" applyFont="1" applyBorder="1" applyAlignment="1">
      <alignment vertical="center" wrapText="1"/>
    </xf>
    <xf numFmtId="0" fontId="30" fillId="0" borderId="15" xfId="0" applyFont="1" applyBorder="1" applyAlignment="1">
      <alignment vertical="center" wrapText="1"/>
    </xf>
    <xf numFmtId="0" fontId="30" fillId="0" borderId="14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5" fontId="41" fillId="0" borderId="4" xfId="1" applyNumberFormat="1" applyFont="1" applyBorder="1" applyAlignment="1"/>
    <xf numFmtId="0" fontId="51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86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51" fillId="0" borderId="0" xfId="0" applyFont="1"/>
    <xf numFmtId="0" fontId="48" fillId="0" borderId="0" xfId="0" applyFont="1" applyAlignment="1">
      <alignment horizontal="left" vertical="top"/>
    </xf>
    <xf numFmtId="0" fontId="58" fillId="0" borderId="0" xfId="0" applyFont="1" applyAlignment="1">
      <alignment horizontal="left" vertical="center" indent="3"/>
    </xf>
    <xf numFmtId="0" fontId="58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6" fillId="0" borderId="100" xfId="0" applyFont="1" applyBorder="1"/>
    <xf numFmtId="165" fontId="6" fillId="0" borderId="101" xfId="1" applyNumberFormat="1" applyFont="1" applyBorder="1"/>
    <xf numFmtId="0" fontId="6" fillId="0" borderId="102" xfId="0" applyFont="1" applyBorder="1"/>
    <xf numFmtId="165" fontId="6" fillId="0" borderId="53" xfId="1" applyNumberFormat="1" applyFont="1" applyBorder="1"/>
    <xf numFmtId="165" fontId="6" fillId="0" borderId="54" xfId="1" applyNumberFormat="1" applyFont="1" applyBorder="1"/>
    <xf numFmtId="0" fontId="90" fillId="0" borderId="0" xfId="0" applyFont="1"/>
    <xf numFmtId="14" fontId="34" fillId="0" borderId="13" xfId="0" applyNumberFormat="1" applyFont="1" applyBorder="1" applyAlignment="1">
      <alignment horizontal="center" vertical="center"/>
    </xf>
    <xf numFmtId="14" fontId="34" fillId="0" borderId="15" xfId="0" applyNumberFormat="1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5" fontId="6" fillId="0" borderId="14" xfId="1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51" fillId="0" borderId="14" xfId="1" applyNumberFormat="1" applyFont="1" applyBorder="1" applyAlignment="1">
      <alignment horizontal="center" vertical="center"/>
    </xf>
    <xf numFmtId="165" fontId="6" fillId="0" borderId="15" xfId="1" applyNumberFormat="1" applyFont="1" applyBorder="1" applyAlignment="1">
      <alignment horizontal="center" vertical="center"/>
    </xf>
    <xf numFmtId="165" fontId="6" fillId="0" borderId="16" xfId="1" applyNumberFormat="1" applyFont="1" applyBorder="1" applyAlignment="1">
      <alignment vertical="center"/>
    </xf>
    <xf numFmtId="166" fontId="30" fillId="0" borderId="14" xfId="0" applyNumberFormat="1" applyFont="1" applyBorder="1" applyAlignment="1">
      <alignment horizontal="center" vertical="center"/>
    </xf>
    <xf numFmtId="0" fontId="14" fillId="0" borderId="5" xfId="0" applyFont="1" applyBorder="1"/>
    <xf numFmtId="0" fontId="90" fillId="0" borderId="0" xfId="0" applyFont="1" applyAlignment="1">
      <alignment horizontal="left" vertical="center"/>
    </xf>
    <xf numFmtId="165" fontId="6" fillId="0" borderId="0" xfId="0" applyNumberFormat="1" applyFont="1"/>
    <xf numFmtId="0" fontId="38" fillId="0" borderId="7" xfId="0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center" vertical="center"/>
    </xf>
    <xf numFmtId="0" fontId="92" fillId="0" borderId="0" xfId="0" applyFont="1" applyAlignment="1">
      <alignment vertical="center"/>
    </xf>
    <xf numFmtId="165" fontId="41" fillId="0" borderId="0" xfId="1" applyNumberFormat="1" applyFont="1" applyBorder="1" applyAlignment="1">
      <alignment horizontal="center"/>
    </xf>
    <xf numFmtId="0" fontId="7" fillId="0" borderId="0" xfId="0" applyFont="1" applyAlignment="1">
      <alignment horizontal="right" vertical="top"/>
    </xf>
    <xf numFmtId="0" fontId="19" fillId="0" borderId="0" xfId="0" applyFont="1" applyAlignment="1">
      <alignment vertical="center"/>
    </xf>
    <xf numFmtId="165" fontId="6" fillId="0" borderId="4" xfId="1" applyNumberFormat="1" applyFont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165" fontId="6" fillId="0" borderId="5" xfId="1" applyNumberFormat="1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81" fillId="0" borderId="0" xfId="0" applyFont="1" applyAlignment="1">
      <alignment wrapTex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 indent="2"/>
    </xf>
    <xf numFmtId="165" fontId="7" fillId="0" borderId="14" xfId="1" applyNumberFormat="1" applyFont="1" applyBorder="1"/>
    <xf numFmtId="0" fontId="91" fillId="0" borderId="0" xfId="0" applyFont="1" applyAlignment="1">
      <alignment vertical="center"/>
    </xf>
    <xf numFmtId="0" fontId="7" fillId="0" borderId="6" xfId="0" applyFont="1" applyBorder="1" applyAlignment="1">
      <alignment horizontal="center"/>
    </xf>
    <xf numFmtId="0" fontId="7" fillId="0" borderId="15" xfId="0" applyFont="1" applyBorder="1"/>
    <xf numFmtId="0" fontId="30" fillId="0" borderId="26" xfId="0" applyFont="1" applyBorder="1" applyAlignment="1">
      <alignment vertical="center"/>
    </xf>
    <xf numFmtId="49" fontId="30" fillId="0" borderId="14" xfId="0" applyNumberFormat="1" applyFont="1" applyBorder="1" applyAlignment="1">
      <alignment horizontal="center" vertical="center"/>
    </xf>
    <xf numFmtId="0" fontId="45" fillId="0" borderId="14" xfId="0" applyFont="1" applyBorder="1" applyAlignment="1">
      <alignment horizontal="center" vertical="center"/>
    </xf>
    <xf numFmtId="165" fontId="30" fillId="0" borderId="14" xfId="1" applyNumberFormat="1" applyFont="1" applyBorder="1" applyAlignment="1">
      <alignment horizontal="center" vertical="center"/>
    </xf>
    <xf numFmtId="0" fontId="30" fillId="0" borderId="14" xfId="0" applyFont="1" applyBorder="1" applyAlignment="1">
      <alignment horizontal="left" vertical="center" wrapText="1"/>
    </xf>
    <xf numFmtId="0" fontId="7" fillId="0" borderId="105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165" fontId="7" fillId="0" borderId="9" xfId="0" applyNumberFormat="1" applyFont="1" applyBorder="1" applyAlignment="1">
      <alignment vertical="center"/>
    </xf>
    <xf numFmtId="165" fontId="31" fillId="0" borderId="71" xfId="0" applyNumberFormat="1" applyFont="1" applyBorder="1" applyAlignment="1">
      <alignment horizontal="center"/>
    </xf>
    <xf numFmtId="0" fontId="30" fillId="0" borderId="25" xfId="0" applyFont="1" applyBorder="1" applyAlignment="1">
      <alignment vertical="center"/>
    </xf>
    <xf numFmtId="0" fontId="30" fillId="0" borderId="14" xfId="0" applyFont="1" applyBorder="1" applyAlignment="1">
      <alignment horizontal="left" vertical="center"/>
    </xf>
    <xf numFmtId="0" fontId="33" fillId="0" borderId="28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65" fontId="29" fillId="0" borderId="32" xfId="0" applyNumberFormat="1" applyFont="1" applyBorder="1" applyAlignment="1">
      <alignment horizontal="center"/>
    </xf>
    <xf numFmtId="0" fontId="15" fillId="0" borderId="0" xfId="0" applyFont="1" applyAlignment="1">
      <alignment horizontal="left" vertical="center" indent="9"/>
    </xf>
    <xf numFmtId="0" fontId="7" fillId="0" borderId="0" xfId="0" applyFont="1" applyAlignment="1">
      <alignment horizontal="center" vertical="center"/>
    </xf>
    <xf numFmtId="0" fontId="29" fillId="3" borderId="4" xfId="0" applyFont="1" applyFill="1" applyBorder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29" fillId="3" borderId="5" xfId="0" applyFont="1" applyFill="1" applyBorder="1" applyAlignment="1">
      <alignment horizontal="center" vertical="center"/>
    </xf>
    <xf numFmtId="0" fontId="30" fillId="0" borderId="14" xfId="0" applyFont="1" applyBorder="1" applyAlignment="1">
      <alignment vertical="center"/>
    </xf>
    <xf numFmtId="0" fontId="30" fillId="0" borderId="106" xfId="0" applyFont="1" applyBorder="1" applyAlignment="1">
      <alignment horizontal="center"/>
    </xf>
    <xf numFmtId="165" fontId="30" fillId="0" borderId="72" xfId="0" applyNumberFormat="1" applyFont="1" applyBorder="1" applyAlignment="1">
      <alignment horizontal="center"/>
    </xf>
    <xf numFmtId="165" fontId="30" fillId="0" borderId="107" xfId="0" applyNumberFormat="1" applyFont="1" applyBorder="1" applyAlignment="1">
      <alignment horizontal="center"/>
    </xf>
    <xf numFmtId="165" fontId="30" fillId="0" borderId="107" xfId="1" applyNumberFormat="1" applyFont="1" applyBorder="1" applyAlignment="1">
      <alignment horizontal="center"/>
    </xf>
    <xf numFmtId="165" fontId="29" fillId="0" borderId="5" xfId="0" applyNumberFormat="1" applyFont="1" applyBorder="1"/>
    <xf numFmtId="165" fontId="31" fillId="0" borderId="12" xfId="0" applyNumberFormat="1" applyFont="1" applyBorder="1"/>
    <xf numFmtId="165" fontId="30" fillId="0" borderId="0" xfId="1" applyNumberFormat="1" applyFont="1" applyBorder="1" applyAlignment="1">
      <alignment horizontal="center"/>
    </xf>
    <xf numFmtId="0" fontId="99" fillId="0" borderId="0" xfId="0" applyFont="1"/>
    <xf numFmtId="165" fontId="6" fillId="0" borderId="36" xfId="1" applyNumberFormat="1" applyFont="1" applyBorder="1" applyAlignment="1">
      <alignment horizontal="center" vertical="center"/>
    </xf>
    <xf numFmtId="165" fontId="6" fillId="0" borderId="53" xfId="1" applyNumberFormat="1" applyFont="1" applyBorder="1" applyAlignment="1">
      <alignment horizontal="center" vertical="center"/>
    </xf>
    <xf numFmtId="0" fontId="96" fillId="0" borderId="25" xfId="0" applyFont="1" applyBorder="1"/>
    <xf numFmtId="165" fontId="96" fillId="0" borderId="25" xfId="1" applyNumberFormat="1" applyFont="1" applyBorder="1" applyAlignment="1">
      <alignment horizontal="center"/>
    </xf>
    <xf numFmtId="0" fontId="96" fillId="0" borderId="26" xfId="0" applyFont="1" applyBorder="1"/>
    <xf numFmtId="165" fontId="96" fillId="0" borderId="26" xfId="1" applyNumberFormat="1" applyFont="1" applyBorder="1" applyAlignment="1">
      <alignment horizontal="center"/>
    </xf>
    <xf numFmtId="0" fontId="30" fillId="0" borderId="25" xfId="0" applyFont="1" applyBorder="1" applyAlignment="1">
      <alignment horizontal="right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0" borderId="6" xfId="0" applyFont="1" applyBorder="1"/>
    <xf numFmtId="0" fontId="29" fillId="3" borderId="20" xfId="0" applyFont="1" applyFill="1" applyBorder="1" applyAlignment="1">
      <alignment horizontal="center" vertical="center"/>
    </xf>
    <xf numFmtId="0" fontId="7" fillId="0" borderId="0" xfId="0" applyFont="1" applyAlignment="1">
      <alignment horizontal="left" indent="3"/>
    </xf>
    <xf numFmtId="165" fontId="6" fillId="0" borderId="8" xfId="1" applyNumberFormat="1" applyFont="1" applyBorder="1"/>
    <xf numFmtId="0" fontId="91" fillId="0" borderId="0" xfId="0" applyFont="1"/>
    <xf numFmtId="49" fontId="8" fillId="0" borderId="0" xfId="0" applyNumberFormat="1" applyFont="1" applyAlignment="1">
      <alignment horizontal="left" vertical="center"/>
    </xf>
    <xf numFmtId="0" fontId="104" fillId="0" borderId="0" xfId="0" applyFont="1"/>
    <xf numFmtId="3" fontId="104" fillId="0" borderId="0" xfId="0" applyNumberFormat="1" applyFont="1"/>
    <xf numFmtId="0" fontId="105" fillId="0" borderId="0" xfId="0" applyFont="1"/>
    <xf numFmtId="0" fontId="58" fillId="0" borderId="0" xfId="0" applyFont="1" applyAlignment="1">
      <alignment horizontal="left" vertical="center" indent="1"/>
    </xf>
    <xf numFmtId="0" fontId="7" fillId="0" borderId="0" xfId="0" applyFont="1" applyAlignment="1">
      <alignment horizontal="right" indent="1"/>
    </xf>
    <xf numFmtId="0" fontId="75" fillId="0" borderId="0" xfId="0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165" fontId="30" fillId="0" borderId="31" xfId="0" applyNumberFormat="1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11" fontId="30" fillId="0" borderId="0" xfId="0" applyNumberFormat="1" applyFont="1"/>
    <xf numFmtId="0" fontId="7" fillId="0" borderId="7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10" fillId="0" borderId="15" xfId="0" applyFont="1" applyBorder="1" applyAlignment="1">
      <alignment horizontal="center"/>
    </xf>
    <xf numFmtId="0" fontId="110" fillId="0" borderId="9" xfId="0" applyFont="1" applyBorder="1" applyAlignment="1">
      <alignment horizontal="center"/>
    </xf>
    <xf numFmtId="0" fontId="110" fillId="0" borderId="7" xfId="0" applyFont="1" applyBorder="1"/>
    <xf numFmtId="0" fontId="110" fillId="0" borderId="12" xfId="0" applyFont="1" applyBorder="1"/>
    <xf numFmtId="165" fontId="110" fillId="0" borderId="7" xfId="0" applyNumberFormat="1" applyFont="1" applyBorder="1"/>
    <xf numFmtId="165" fontId="111" fillId="0" borderId="15" xfId="0" applyNumberFormat="1" applyFont="1" applyBorder="1"/>
    <xf numFmtId="165" fontId="7" fillId="0" borderId="14" xfId="1" applyNumberFormat="1" applyFont="1" applyBorder="1" applyAlignment="1">
      <alignment horizontal="left" indent="2"/>
    </xf>
    <xf numFmtId="0" fontId="110" fillId="12" borderId="15" xfId="0" applyFont="1" applyFill="1" applyBorder="1" applyAlignment="1">
      <alignment horizontal="center"/>
    </xf>
    <xf numFmtId="0" fontId="110" fillId="12" borderId="9" xfId="0" applyFont="1" applyFill="1" applyBorder="1" applyAlignment="1">
      <alignment horizontal="center"/>
    </xf>
    <xf numFmtId="0" fontId="110" fillId="12" borderId="7" xfId="0" applyFont="1" applyFill="1" applyBorder="1"/>
    <xf numFmtId="0" fontId="110" fillId="12" borderId="12" xfId="0" applyFont="1" applyFill="1" applyBorder="1"/>
    <xf numFmtId="165" fontId="110" fillId="12" borderId="7" xfId="0" applyNumberFormat="1" applyFont="1" applyFill="1" applyBorder="1"/>
    <xf numFmtId="165" fontId="111" fillId="12" borderId="15" xfId="0" applyNumberFormat="1" applyFont="1" applyFill="1" applyBorder="1"/>
    <xf numFmtId="0" fontId="112" fillId="0" borderId="0" xfId="0" applyFont="1"/>
    <xf numFmtId="0" fontId="61" fillId="0" borderId="0" xfId="0" applyFont="1"/>
    <xf numFmtId="0" fontId="50" fillId="0" borderId="27" xfId="0" applyFont="1" applyBorder="1" applyAlignment="1">
      <alignment horizontal="center" vertical="center"/>
    </xf>
    <xf numFmtId="0" fontId="50" fillId="0" borderId="28" xfId="0" applyFont="1" applyBorder="1" applyAlignment="1">
      <alignment horizontal="center" vertical="center"/>
    </xf>
    <xf numFmtId="0" fontId="50" fillId="0" borderId="28" xfId="0" applyFont="1" applyBorder="1" applyAlignment="1">
      <alignment horizontal="left" wrapText="1"/>
    </xf>
    <xf numFmtId="0" fontId="50" fillId="0" borderId="29" xfId="0" applyFont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8" fillId="0" borderId="4" xfId="0" applyFont="1" applyBorder="1"/>
    <xf numFmtId="0" fontId="41" fillId="0" borderId="4" xfId="0" applyFont="1" applyBorder="1"/>
    <xf numFmtId="0" fontId="8" fillId="0" borderId="5" xfId="0" applyFont="1" applyBorder="1"/>
    <xf numFmtId="0" fontId="8" fillId="0" borderId="14" xfId="0" applyFont="1" applyBorder="1"/>
    <xf numFmtId="165" fontId="41" fillId="0" borderId="14" xfId="1" applyNumberFormat="1" applyFont="1" applyBorder="1" applyAlignment="1"/>
    <xf numFmtId="0" fontId="41" fillId="0" borderId="14" xfId="0" applyFont="1" applyBorder="1"/>
    <xf numFmtId="165" fontId="8" fillId="0" borderId="14" xfId="1" applyNumberFormat="1" applyFont="1" applyBorder="1" applyAlignment="1">
      <alignment horizontal="center"/>
    </xf>
    <xf numFmtId="0" fontId="7" fillId="0" borderId="13" xfId="0" applyFont="1" applyBorder="1"/>
    <xf numFmtId="0" fontId="59" fillId="0" borderId="0" xfId="0" applyFont="1"/>
    <xf numFmtId="165" fontId="8" fillId="0" borderId="14" xfId="0" applyNumberFormat="1" applyFont="1" applyBorder="1"/>
    <xf numFmtId="0" fontId="117" fillId="0" borderId="0" xfId="0" applyFont="1"/>
    <xf numFmtId="165" fontId="8" fillId="0" borderId="14" xfId="0" applyNumberFormat="1" applyFont="1" applyBorder="1" applyAlignment="1">
      <alignment horizontal="center" vertical="center"/>
    </xf>
    <xf numFmtId="165" fontId="48" fillId="0" borderId="0" xfId="1" applyNumberFormat="1" applyFont="1" applyBorder="1"/>
    <xf numFmtId="0" fontId="48" fillId="0" borderId="0" xfId="0" applyFont="1"/>
    <xf numFmtId="164" fontId="8" fillId="0" borderId="14" xfId="3" applyFont="1" applyBorder="1" applyAlignment="1">
      <alignment horizontal="center" vertical="center"/>
    </xf>
    <xf numFmtId="165" fontId="91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5" fontId="91" fillId="0" borderId="15" xfId="0" applyNumberFormat="1" applyFont="1" applyBorder="1"/>
    <xf numFmtId="165" fontId="8" fillId="0" borderId="14" xfId="0" applyNumberFormat="1" applyFont="1" applyBorder="1" applyAlignment="1">
      <alignment horizontal="center"/>
    </xf>
    <xf numFmtId="0" fontId="30" fillId="0" borderId="0" xfId="0" applyFont="1" applyBorder="1" applyAlignment="1">
      <alignment horizontal="center"/>
    </xf>
    <xf numFmtId="165" fontId="29" fillId="0" borderId="0" xfId="0" applyNumberFormat="1" applyFont="1" applyBorder="1" applyAlignment="1">
      <alignment horizontal="center"/>
    </xf>
    <xf numFmtId="165" fontId="29" fillId="0" borderId="0" xfId="0" applyNumberFormat="1" applyFont="1" applyBorder="1"/>
    <xf numFmtId="165" fontId="31" fillId="0" borderId="0" xfId="0" applyNumberFormat="1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indent="8"/>
    </xf>
    <xf numFmtId="0" fontId="19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0" xfId="0" applyFont="1" applyAlignment="1"/>
    <xf numFmtId="0" fontId="118" fillId="0" borderId="0" xfId="0" applyFont="1" applyAlignment="1">
      <alignment vertical="center"/>
    </xf>
    <xf numFmtId="0" fontId="7" fillId="0" borderId="0" xfId="0" applyFont="1" applyAlignment="1">
      <alignment horizontal="left" indent="8"/>
    </xf>
    <xf numFmtId="0" fontId="7" fillId="0" borderId="0" xfId="0" applyFont="1"/>
    <xf numFmtId="0" fontId="6" fillId="0" borderId="0" xfId="0" applyFont="1" applyAlignment="1">
      <alignment horizontal="center"/>
    </xf>
    <xf numFmtId="0" fontId="58" fillId="0" borderId="0" xfId="0" applyFont="1" applyAlignment="1">
      <alignment horizontal="center" wrapText="1"/>
    </xf>
    <xf numFmtId="0" fontId="58" fillId="0" borderId="0" xfId="0" applyFont="1" applyAlignment="1"/>
    <xf numFmtId="0" fontId="79" fillId="0" borderId="0" xfId="0" applyFont="1" applyAlignment="1"/>
    <xf numFmtId="0" fontId="7" fillId="0" borderId="0" xfId="0" applyFont="1" applyAlignment="1">
      <alignment horizontal="left" indent="5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indent="8"/>
    </xf>
    <xf numFmtId="0" fontId="7" fillId="0" borderId="0" xfId="0" applyFont="1"/>
    <xf numFmtId="0" fontId="7" fillId="0" borderId="0" xfId="0" applyFont="1" applyAlignment="1"/>
    <xf numFmtId="0" fontId="82" fillId="0" borderId="0" xfId="0" applyFont="1" applyAlignment="1">
      <alignment horizontal="left" vertical="center" indent="5"/>
    </xf>
    <xf numFmtId="0" fontId="42" fillId="0" borderId="0" xfId="0" applyFont="1" applyAlignment="1">
      <alignment horizontal="left" vertical="center" indent="5"/>
    </xf>
    <xf numFmtId="0" fontId="7" fillId="0" borderId="0" xfId="0" applyFont="1"/>
    <xf numFmtId="0" fontId="41" fillId="0" borderId="0" xfId="0" applyFont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165" fontId="7" fillId="0" borderId="11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 wrapText="1"/>
    </xf>
    <xf numFmtId="0" fontId="7" fillId="0" borderId="0" xfId="0" applyFont="1" applyAlignment="1">
      <alignment horizontal="left" indent="8"/>
    </xf>
    <xf numFmtId="0" fontId="6" fillId="0" borderId="10" xfId="0" applyFont="1" applyBorder="1" applyAlignment="1">
      <alignment horizontal="center"/>
    </xf>
    <xf numFmtId="0" fontId="41" fillId="0" borderId="0" xfId="0" applyFont="1" applyBorder="1" applyAlignment="1">
      <alignment horizontal="center"/>
    </xf>
    <xf numFmtId="165" fontId="7" fillId="0" borderId="11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0" xfId="0" applyFont="1"/>
    <xf numFmtId="165" fontId="7" fillId="0" borderId="7" xfId="0" applyNumberFormat="1" applyFont="1" applyBorder="1" applyAlignment="1">
      <alignment horizontal="center"/>
    </xf>
    <xf numFmtId="0" fontId="6" fillId="0" borderId="0" xfId="0" applyFont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38" fillId="0" borderId="4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5" fontId="7" fillId="0" borderId="9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41" fillId="0" borderId="0" xfId="0" applyFont="1" applyAlignment="1">
      <alignment horizontal="center" vertical="center"/>
    </xf>
    <xf numFmtId="0" fontId="52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8" fillId="0" borderId="0" xfId="0" applyFont="1" applyAlignment="1">
      <alignment horizontal="center" wrapText="1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5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115" fillId="0" borderId="0" xfId="0" applyFont="1" applyAlignment="1">
      <alignment horizontal="center" wrapText="1"/>
    </xf>
    <xf numFmtId="0" fontId="48" fillId="0" borderId="4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8" fillId="0" borderId="5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43" fillId="0" borderId="13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165" fontId="41" fillId="0" borderId="4" xfId="1" applyNumberFormat="1" applyFont="1" applyBorder="1" applyAlignment="1">
      <alignment horizontal="center"/>
    </xf>
    <xf numFmtId="165" fontId="41" fillId="0" borderId="0" xfId="1" applyNumberFormat="1" applyFont="1" applyBorder="1" applyAlignment="1">
      <alignment horizontal="center"/>
    </xf>
    <xf numFmtId="165" fontId="41" fillId="0" borderId="5" xfId="1" applyNumberFormat="1" applyFont="1" applyBorder="1" applyAlignment="1">
      <alignment horizontal="center"/>
    </xf>
    <xf numFmtId="0" fontId="38" fillId="0" borderId="6" xfId="0" applyFont="1" applyBorder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83" fillId="0" borderId="0" xfId="0" applyFont="1" applyAlignment="1">
      <alignment horizontal="center" wrapText="1"/>
    </xf>
    <xf numFmtId="165" fontId="7" fillId="0" borderId="9" xfId="0" applyNumberFormat="1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 wrapText="1"/>
    </xf>
    <xf numFmtId="0" fontId="89" fillId="0" borderId="0" xfId="0" applyFont="1" applyAlignment="1">
      <alignment horizontal="center" wrapText="1"/>
    </xf>
    <xf numFmtId="0" fontId="41" fillId="0" borderId="4" xfId="0" applyFont="1" applyBorder="1" applyAlignment="1">
      <alignment horizontal="center"/>
    </xf>
    <xf numFmtId="0" fontId="41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165" fontId="110" fillId="12" borderId="9" xfId="0" applyNumberFormat="1" applyFont="1" applyFill="1" applyBorder="1" applyAlignment="1">
      <alignment horizontal="center"/>
    </xf>
    <xf numFmtId="0" fontId="110" fillId="12" borderId="11" xfId="0" applyFont="1" applyFill="1" applyBorder="1" applyAlignment="1">
      <alignment horizontal="center"/>
    </xf>
    <xf numFmtId="165" fontId="7" fillId="0" borderId="11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6" fillId="0" borderId="0" xfId="0" applyFont="1" applyAlignment="1">
      <alignment horizontal="center" wrapText="1"/>
    </xf>
    <xf numFmtId="0" fontId="83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7" fillId="0" borderId="103" xfId="0" applyFont="1" applyBorder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115" fillId="0" borderId="0" xfId="0" applyFont="1" applyAlignment="1">
      <alignment horizontal="center" vertical="center" wrapText="1"/>
    </xf>
    <xf numFmtId="0" fontId="75" fillId="0" borderId="0" xfId="0" applyFont="1" applyAlignment="1">
      <alignment horizontal="center" vertical="center"/>
    </xf>
    <xf numFmtId="0" fontId="91" fillId="0" borderId="4" xfId="0" applyFont="1" applyBorder="1" applyAlignment="1">
      <alignment horizontal="center"/>
    </xf>
    <xf numFmtId="0" fontId="91" fillId="0" borderId="0" xfId="0" applyFont="1" applyAlignment="1">
      <alignment horizontal="center"/>
    </xf>
    <xf numFmtId="0" fontId="91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5" fontId="48" fillId="0" borderId="4" xfId="1" applyNumberFormat="1" applyFont="1" applyBorder="1" applyAlignment="1">
      <alignment horizontal="center"/>
    </xf>
    <xf numFmtId="165" fontId="48" fillId="0" borderId="0" xfId="1" applyNumberFormat="1" applyFont="1" applyBorder="1" applyAlignment="1">
      <alignment horizontal="center"/>
    </xf>
    <xf numFmtId="165" fontId="48" fillId="0" borderId="5" xfId="1" applyNumberFormat="1" applyFont="1" applyBorder="1" applyAlignment="1">
      <alignment horizontal="center"/>
    </xf>
    <xf numFmtId="0" fontId="79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85" fillId="0" borderId="4" xfId="0" applyFont="1" applyBorder="1" applyAlignment="1">
      <alignment horizontal="center"/>
    </xf>
    <xf numFmtId="0" fontId="85" fillId="0" borderId="0" xfId="0" applyFont="1" applyAlignment="1">
      <alignment horizontal="center"/>
    </xf>
    <xf numFmtId="0" fontId="85" fillId="0" borderId="5" xfId="0" applyFont="1" applyBorder="1" applyAlignment="1">
      <alignment horizontal="center"/>
    </xf>
    <xf numFmtId="0" fontId="81" fillId="0" borderId="0" xfId="0" applyFont="1" applyAlignment="1">
      <alignment horizont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08" fillId="0" borderId="0" xfId="0" applyFont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0" xfId="0" applyFont="1" applyAlignment="1">
      <alignment horizontal="left" indent="8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7" fillId="0" borderId="4" xfId="0" applyFont="1" applyBorder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165" fontId="103" fillId="0" borderId="4" xfId="1" applyNumberFormat="1" applyFont="1" applyBorder="1" applyAlignment="1">
      <alignment horizontal="center"/>
    </xf>
    <xf numFmtId="165" fontId="103" fillId="0" borderId="0" xfId="1" applyNumberFormat="1" applyFont="1" applyBorder="1" applyAlignment="1">
      <alignment horizontal="center"/>
    </xf>
    <xf numFmtId="165" fontId="103" fillId="0" borderId="5" xfId="1" applyNumberFormat="1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109" fillId="0" borderId="0" xfId="0" applyFont="1" applyAlignment="1">
      <alignment horizontal="center"/>
    </xf>
    <xf numFmtId="0" fontId="6" fillId="0" borderId="56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165" fontId="7" fillId="0" borderId="103" xfId="0" applyNumberFormat="1" applyFont="1" applyBorder="1" applyAlignment="1">
      <alignment horizontal="center"/>
    </xf>
    <xf numFmtId="165" fontId="7" fillId="0" borderId="42" xfId="0" applyNumberFormat="1" applyFont="1" applyBorder="1" applyAlignment="1">
      <alignment horizontal="center"/>
    </xf>
    <xf numFmtId="0" fontId="107" fillId="0" borderId="0" xfId="0" applyFont="1" applyAlignment="1">
      <alignment horizontal="center" wrapText="1"/>
    </xf>
    <xf numFmtId="0" fontId="41" fillId="0" borderId="0" xfId="0" applyFont="1" applyBorder="1" applyAlignment="1">
      <alignment horizontal="center"/>
    </xf>
    <xf numFmtId="0" fontId="91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7" fillId="0" borderId="108" xfId="0" applyFont="1" applyBorder="1" applyAlignment="1">
      <alignment horizontal="center" vertical="center"/>
    </xf>
    <xf numFmtId="0" fontId="7" fillId="0" borderId="110" xfId="0" applyFont="1" applyBorder="1" applyAlignment="1">
      <alignment horizontal="center" vertical="center"/>
    </xf>
    <xf numFmtId="165" fontId="110" fillId="0" borderId="9" xfId="0" applyNumberFormat="1" applyFont="1" applyBorder="1" applyAlignment="1">
      <alignment horizontal="center"/>
    </xf>
    <xf numFmtId="0" fontId="110" fillId="0" borderId="11" xfId="0" applyFont="1" applyBorder="1" applyAlignment="1">
      <alignment horizontal="center"/>
    </xf>
    <xf numFmtId="0" fontId="38" fillId="0" borderId="0" xfId="0" applyFont="1" applyBorder="1" applyAlignment="1">
      <alignment horizontal="center"/>
    </xf>
    <xf numFmtId="0" fontId="7" fillId="0" borderId="108" xfId="0" applyFont="1" applyBorder="1" applyAlignment="1">
      <alignment horizontal="center" wrapText="1"/>
    </xf>
    <xf numFmtId="0" fontId="7" fillId="0" borderId="61" xfId="0" applyFont="1" applyBorder="1" applyAlignment="1">
      <alignment horizontal="center" wrapText="1"/>
    </xf>
    <xf numFmtId="0" fontId="7" fillId="0" borderId="83" xfId="0" applyFont="1" applyBorder="1" applyAlignment="1">
      <alignment horizontal="center" wrapText="1"/>
    </xf>
    <xf numFmtId="0" fontId="109" fillId="0" borderId="0" xfId="0" applyFont="1" applyAlignment="1">
      <alignment horizontal="center" wrapText="1"/>
    </xf>
    <xf numFmtId="0" fontId="48" fillId="0" borderId="0" xfId="0" applyFont="1" applyBorder="1" applyAlignment="1">
      <alignment horizontal="center"/>
    </xf>
    <xf numFmtId="0" fontId="66" fillId="0" borderId="0" xfId="2" applyFont="1" applyBorder="1" applyAlignment="1" applyProtection="1">
      <alignment horizontal="center"/>
    </xf>
    <xf numFmtId="0" fontId="66" fillId="0" borderId="5" xfId="2" applyFont="1" applyBorder="1" applyAlignment="1" applyProtection="1">
      <alignment horizontal="center"/>
    </xf>
    <xf numFmtId="0" fontId="6" fillId="0" borderId="111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/>
    </xf>
    <xf numFmtId="0" fontId="7" fillId="0" borderId="87" xfId="0" applyFont="1" applyBorder="1" applyAlignment="1">
      <alignment horizontal="center"/>
    </xf>
    <xf numFmtId="0" fontId="7" fillId="0" borderId="109" xfId="0" applyFont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6" fillId="0" borderId="108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116" fillId="0" borderId="0" xfId="0" applyFont="1" applyAlignment="1">
      <alignment horizontal="center" wrapText="1"/>
    </xf>
    <xf numFmtId="0" fontId="109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165" fontId="7" fillId="0" borderId="11" xfId="0" applyNumberFormat="1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6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 indent="6"/>
    </xf>
    <xf numFmtId="0" fontId="114" fillId="0" borderId="0" xfId="0" applyFont="1" applyAlignment="1">
      <alignment horizontal="center" wrapText="1"/>
    </xf>
    <xf numFmtId="0" fontId="41" fillId="0" borderId="4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106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41" fillId="0" borderId="0" xfId="0" applyFont="1" applyAlignment="1">
      <alignment horizontal="left" vertical="center"/>
    </xf>
    <xf numFmtId="0" fontId="38" fillId="0" borderId="4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6" fillId="0" borderId="0" xfId="0" applyFont="1" applyAlignment="1">
      <alignment horizontal="center"/>
    </xf>
    <xf numFmtId="0" fontId="66" fillId="0" borderId="5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8" fillId="0" borderId="0" xfId="0" applyFont="1" applyAlignment="1">
      <alignment horizontal="left" vertical="center"/>
    </xf>
    <xf numFmtId="0" fontId="38" fillId="0" borderId="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118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indent="9"/>
    </xf>
    <xf numFmtId="0" fontId="8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2" fillId="0" borderId="4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5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indent="7"/>
    </xf>
    <xf numFmtId="0" fontId="7" fillId="0" borderId="0" xfId="0" applyFont="1" applyAlignment="1">
      <alignment horizontal="left" wrapText="1"/>
    </xf>
    <xf numFmtId="165" fontId="7" fillId="0" borderId="9" xfId="0" applyNumberFormat="1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8" fillId="0" borderId="0" xfId="0" applyFont="1" applyAlignment="1">
      <alignment horizontal="left" vertical="center" indent="7"/>
    </xf>
    <xf numFmtId="0" fontId="10" fillId="0" borderId="0" xfId="0" applyFont="1" applyAlignment="1">
      <alignment horizontal="left" vertical="center" wrapText="1" indent="1"/>
    </xf>
    <xf numFmtId="0" fontId="7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75" fillId="0" borderId="0" xfId="0" applyFont="1" applyAlignment="1">
      <alignment horizontal="left" vertical="center" wrapText="1" indent="6"/>
    </xf>
    <xf numFmtId="0" fontId="4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 indent="6"/>
    </xf>
    <xf numFmtId="0" fontId="58" fillId="0" borderId="0" xfId="0" applyFont="1" applyAlignment="1">
      <alignment horizontal="left" vertical="center" wrapText="1" indent="5"/>
    </xf>
    <xf numFmtId="0" fontId="7" fillId="0" borderId="60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6" fillId="0" borderId="45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86" fillId="0" borderId="4" xfId="0" applyFont="1" applyBorder="1" applyAlignment="1">
      <alignment horizontal="center"/>
    </xf>
    <xf numFmtId="0" fontId="86" fillId="0" borderId="0" xfId="0" applyFont="1" applyAlignment="1">
      <alignment horizontal="center"/>
    </xf>
    <xf numFmtId="0" fontId="86" fillId="0" borderId="5" xfId="0" applyFont="1" applyBorder="1" applyAlignment="1">
      <alignment horizontal="center"/>
    </xf>
    <xf numFmtId="0" fontId="15" fillId="0" borderId="0" xfId="0" applyFont="1" applyAlignment="1">
      <alignment horizontal="left" vertical="center" wrapText="1" indent="5"/>
    </xf>
    <xf numFmtId="0" fontId="10" fillId="0" borderId="0" xfId="0" applyFont="1" applyAlignment="1">
      <alignment horizontal="left" vertical="center" wrapText="1" indent="5"/>
    </xf>
    <xf numFmtId="0" fontId="7" fillId="0" borderId="65" xfId="0" applyFont="1" applyBorder="1" applyAlignment="1">
      <alignment horizontal="center" wrapText="1"/>
    </xf>
    <xf numFmtId="0" fontId="7" fillId="0" borderId="63" xfId="0" applyFont="1" applyBorder="1" applyAlignment="1">
      <alignment horizontal="center" wrapText="1"/>
    </xf>
    <xf numFmtId="0" fontId="7" fillId="0" borderId="64" xfId="0" applyFont="1" applyBorder="1" applyAlignment="1">
      <alignment horizontal="center" wrapText="1"/>
    </xf>
    <xf numFmtId="0" fontId="98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73" fillId="9" borderId="0" xfId="0" applyFont="1" applyFill="1" applyAlignment="1">
      <alignment horizontal="center"/>
    </xf>
    <xf numFmtId="0" fontId="63" fillId="0" borderId="0" xfId="0" applyFont="1" applyAlignment="1">
      <alignment horizontal="left" vertical="center"/>
    </xf>
    <xf numFmtId="0" fontId="63" fillId="0" borderId="0" xfId="0" applyFont="1" applyAlignment="1">
      <alignment horizontal="left"/>
    </xf>
    <xf numFmtId="0" fontId="66" fillId="0" borderId="35" xfId="0" applyFont="1" applyBorder="1" applyAlignment="1">
      <alignment horizontal="center" vertical="center"/>
    </xf>
    <xf numFmtId="3" fontId="66" fillId="0" borderId="35" xfId="0" applyNumberFormat="1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3" fillId="0" borderId="0" xfId="0" applyFont="1" applyAlignment="1">
      <alignment horizontal="center"/>
    </xf>
    <xf numFmtId="3" fontId="63" fillId="0" borderId="0" xfId="0" applyNumberFormat="1" applyFont="1" applyAlignment="1">
      <alignment horizontal="left" vertical="center"/>
    </xf>
    <xf numFmtId="3" fontId="63" fillId="0" borderId="0" xfId="0" applyNumberFormat="1" applyFont="1" applyAlignment="1">
      <alignment horizontal="left"/>
    </xf>
    <xf numFmtId="0" fontId="66" fillId="0" borderId="89" xfId="0" applyFont="1" applyBorder="1" applyAlignment="1">
      <alignment horizontal="center" vertical="center"/>
    </xf>
    <xf numFmtId="0" fontId="66" fillId="0" borderId="90" xfId="0" applyFont="1" applyBorder="1" applyAlignment="1">
      <alignment horizontal="center" vertical="center"/>
    </xf>
    <xf numFmtId="0" fontId="66" fillId="0" borderId="96" xfId="0" applyFont="1" applyBorder="1" applyAlignment="1">
      <alignment horizontal="center" vertical="center"/>
    </xf>
    <xf numFmtId="0" fontId="66" fillId="0" borderId="82" xfId="0" applyFont="1" applyBorder="1" applyAlignment="1">
      <alignment horizontal="center" vertical="center"/>
    </xf>
    <xf numFmtId="0" fontId="66" fillId="0" borderId="99" xfId="0" applyFont="1" applyBorder="1" applyAlignment="1">
      <alignment horizontal="center" vertical="center"/>
    </xf>
    <xf numFmtId="0" fontId="78" fillId="10" borderId="0" xfId="0" applyFont="1" applyFill="1" applyAlignment="1">
      <alignment horizontal="center" vertical="center" wrapText="1"/>
    </xf>
    <xf numFmtId="0" fontId="76" fillId="7" borderId="48" xfId="0" applyFont="1" applyFill="1" applyBorder="1" applyAlignment="1">
      <alignment horizontal="center" vertical="center" wrapText="1"/>
    </xf>
    <xf numFmtId="0" fontId="76" fillId="7" borderId="55" xfId="0" applyFont="1" applyFill="1" applyBorder="1" applyAlignment="1">
      <alignment horizontal="center" vertical="center" wrapText="1"/>
    </xf>
    <xf numFmtId="0" fontId="76" fillId="7" borderId="46" xfId="0" applyFont="1" applyFill="1" applyBorder="1" applyAlignment="1">
      <alignment horizontal="center" vertical="center" wrapText="1"/>
    </xf>
    <xf numFmtId="0" fontId="77" fillId="7" borderId="50" xfId="0" applyFont="1" applyFill="1" applyBorder="1" applyAlignment="1">
      <alignment horizontal="center" vertical="center" wrapText="1"/>
    </xf>
    <xf numFmtId="0" fontId="77" fillId="7" borderId="59" xfId="0" applyFont="1" applyFill="1" applyBorder="1" applyAlignment="1">
      <alignment horizontal="center" vertical="center" wrapText="1"/>
    </xf>
    <xf numFmtId="0" fontId="77" fillId="7" borderId="60" xfId="0" applyFont="1" applyFill="1" applyBorder="1" applyAlignment="1">
      <alignment horizontal="center" vertical="center" wrapText="1"/>
    </xf>
    <xf numFmtId="0" fontId="66" fillId="0" borderId="93" xfId="0" applyFont="1" applyBorder="1" applyAlignment="1">
      <alignment horizontal="center" vertical="center"/>
    </xf>
    <xf numFmtId="0" fontId="66" fillId="0" borderId="94" xfId="0" applyFont="1" applyBorder="1" applyAlignment="1">
      <alignment horizontal="center" vertical="center"/>
    </xf>
    <xf numFmtId="0" fontId="66" fillId="0" borderId="95" xfId="0" applyFont="1" applyBorder="1" applyAlignment="1">
      <alignment horizontal="center" vertical="center"/>
    </xf>
    <xf numFmtId="0" fontId="68" fillId="8" borderId="41" xfId="0" applyFont="1" applyFill="1" applyBorder="1" applyAlignment="1">
      <alignment horizontal="center" vertical="center"/>
    </xf>
    <xf numFmtId="0" fontId="68" fillId="8" borderId="87" xfId="0" applyFont="1" applyFill="1" applyBorder="1" applyAlignment="1">
      <alignment horizontal="center" vertical="center"/>
    </xf>
    <xf numFmtId="0" fontId="68" fillId="8" borderId="88" xfId="0" applyFont="1" applyFill="1" applyBorder="1" applyAlignment="1">
      <alignment horizontal="center" vertical="center"/>
    </xf>
    <xf numFmtId="0" fontId="66" fillId="0" borderId="36" xfId="0" applyFont="1" applyBorder="1" applyAlignment="1">
      <alignment horizontal="center" vertical="center" wrapText="1"/>
    </xf>
    <xf numFmtId="0" fontId="66" fillId="0" borderId="97" xfId="0" applyFont="1" applyBorder="1" applyAlignment="1">
      <alignment horizontal="center" vertical="center" wrapText="1"/>
    </xf>
    <xf numFmtId="0" fontId="66" fillId="0" borderId="37" xfId="0" applyFont="1" applyBorder="1" applyAlignment="1">
      <alignment horizontal="center" vertical="center" wrapText="1"/>
    </xf>
    <xf numFmtId="0" fontId="31" fillId="10" borderId="0" xfId="0" applyFont="1" applyFill="1" applyAlignment="1">
      <alignment horizontal="center" vertical="center" wrapText="1"/>
    </xf>
    <xf numFmtId="3" fontId="63" fillId="0" borderId="55" xfId="0" applyNumberFormat="1" applyFont="1" applyBorder="1" applyAlignment="1">
      <alignment horizontal="left"/>
    </xf>
    <xf numFmtId="0" fontId="64" fillId="0" borderId="0" xfId="0" applyFont="1" applyAlignment="1">
      <alignment horizontal="left" vertical="center"/>
    </xf>
    <xf numFmtId="3" fontId="63" fillId="0" borderId="55" xfId="0" applyNumberFormat="1" applyFont="1" applyBorder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80" fillId="0" borderId="0" xfId="0" applyFont="1" applyAlignment="1">
      <alignment horizontal="left" vertical="center"/>
    </xf>
    <xf numFmtId="0" fontId="7" fillId="0" borderId="35" xfId="0" applyFont="1" applyBorder="1" applyAlignment="1">
      <alignment horizontal="right" vertical="center"/>
    </xf>
    <xf numFmtId="14" fontId="6" fillId="0" borderId="35" xfId="0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165" fontId="6" fillId="0" borderId="35" xfId="1" applyNumberFormat="1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1" fillId="0" borderId="0" xfId="0" applyFont="1" applyAlignment="1">
      <alignment horizontal="left" indent="8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14" fontId="34" fillId="0" borderId="13" xfId="0" applyNumberFormat="1" applyFont="1" applyBorder="1" applyAlignment="1">
      <alignment horizontal="center" vertical="center"/>
    </xf>
    <xf numFmtId="14" fontId="34" fillId="0" borderId="15" xfId="0" applyNumberFormat="1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0" fontId="45" fillId="0" borderId="13" xfId="0" applyFont="1" applyBorder="1" applyAlignment="1">
      <alignment horizontal="center" vertical="center"/>
    </xf>
    <xf numFmtId="0" fontId="45" fillId="0" borderId="15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165" fontId="32" fillId="0" borderId="13" xfId="1" applyNumberFormat="1" applyFont="1" applyBorder="1" applyAlignment="1">
      <alignment horizontal="center" vertical="center"/>
    </xf>
    <xf numFmtId="165" fontId="32" fillId="0" borderId="15" xfId="1" applyNumberFormat="1" applyFont="1" applyBorder="1" applyAlignment="1">
      <alignment horizontal="center" vertical="center"/>
    </xf>
    <xf numFmtId="0" fontId="29" fillId="3" borderId="9" xfId="0" applyFont="1" applyFill="1" applyBorder="1" applyAlignment="1">
      <alignment horizontal="right"/>
    </xf>
    <xf numFmtId="0" fontId="29" fillId="3" borderId="10" xfId="0" applyFont="1" applyFill="1" applyBorder="1" applyAlignment="1">
      <alignment horizontal="right"/>
    </xf>
    <xf numFmtId="0" fontId="29" fillId="3" borderId="11" xfId="0" applyFont="1" applyFill="1" applyBorder="1" applyAlignment="1">
      <alignment horizontal="right"/>
    </xf>
    <xf numFmtId="0" fontId="29" fillId="0" borderId="9" xfId="0" applyFont="1" applyBorder="1" applyAlignment="1">
      <alignment horizontal="right"/>
    </xf>
    <xf numFmtId="0" fontId="29" fillId="0" borderId="10" xfId="0" applyFont="1" applyBorder="1" applyAlignment="1">
      <alignment horizontal="right"/>
    </xf>
    <xf numFmtId="0" fontId="29" fillId="0" borderId="11" xfId="0" applyFont="1" applyBorder="1" applyAlignment="1">
      <alignment horizontal="right"/>
    </xf>
    <xf numFmtId="0" fontId="29" fillId="0" borderId="9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3" borderId="19" xfId="0" applyFont="1" applyFill="1" applyBorder="1" applyAlignment="1">
      <alignment horizontal="center" vertical="center"/>
    </xf>
    <xf numFmtId="0" fontId="29" fillId="3" borderId="22" xfId="0" applyFont="1" applyFill="1" applyBorder="1" applyAlignment="1">
      <alignment horizontal="center" vertical="center"/>
    </xf>
    <xf numFmtId="0" fontId="29" fillId="3" borderId="20" xfId="0" applyFont="1" applyFill="1" applyBorder="1" applyAlignment="1">
      <alignment horizontal="center" vertical="center"/>
    </xf>
    <xf numFmtId="0" fontId="29" fillId="3" borderId="23" xfId="0" applyFont="1" applyFill="1" applyBorder="1" applyAlignment="1">
      <alignment horizontal="center" vertical="center"/>
    </xf>
    <xf numFmtId="0" fontId="29" fillId="3" borderId="21" xfId="0" applyFont="1" applyFill="1" applyBorder="1" applyAlignment="1">
      <alignment horizontal="center" vertical="center"/>
    </xf>
    <xf numFmtId="0" fontId="30" fillId="0" borderId="14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right"/>
    </xf>
    <xf numFmtId="0" fontId="29" fillId="0" borderId="7" xfId="0" applyFont="1" applyBorder="1" applyAlignment="1">
      <alignment horizontal="right"/>
    </xf>
    <xf numFmtId="0" fontId="29" fillId="0" borderId="8" xfId="0" applyFont="1" applyBorder="1" applyAlignment="1">
      <alignment horizontal="right"/>
    </xf>
    <xf numFmtId="14" fontId="45" fillId="0" borderId="13" xfId="0" applyNumberFormat="1" applyFont="1" applyBorder="1" applyAlignment="1">
      <alignment horizontal="center" vertical="center"/>
    </xf>
    <xf numFmtId="0" fontId="61" fillId="0" borderId="13" xfId="0" applyFont="1" applyBorder="1" applyAlignment="1">
      <alignment horizontal="center" vertical="center" wrapText="1"/>
    </xf>
    <xf numFmtId="0" fontId="61" fillId="0" borderId="15" xfId="0" applyFont="1" applyBorder="1" applyAlignment="1">
      <alignment horizontal="center" vertical="center" wrapText="1"/>
    </xf>
    <xf numFmtId="14" fontId="45" fillId="0" borderId="15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horizontal="center"/>
    </xf>
    <xf numFmtId="0" fontId="45" fillId="0" borderId="13" xfId="0" applyFont="1" applyBorder="1" applyAlignment="1">
      <alignment horizontal="center" vertical="center" wrapText="1"/>
    </xf>
    <xf numFmtId="0" fontId="45" fillId="0" borderId="15" xfId="0" applyFont="1" applyBorder="1" applyAlignment="1">
      <alignment horizontal="center" vertical="center" wrapText="1"/>
    </xf>
    <xf numFmtId="0" fontId="29" fillId="3" borderId="63" xfId="0" applyFont="1" applyFill="1" applyBorder="1" applyAlignment="1">
      <alignment horizontal="center" vertical="center"/>
    </xf>
    <xf numFmtId="0" fontId="29" fillId="3" borderId="84" xfId="0" applyFont="1" applyFill="1" applyBorder="1" applyAlignment="1">
      <alignment horizontal="center" vertical="center"/>
    </xf>
    <xf numFmtId="0" fontId="29" fillId="3" borderId="47" xfId="0" applyFont="1" applyFill="1" applyBorder="1" applyAlignment="1">
      <alignment horizontal="center" vertical="center"/>
    </xf>
    <xf numFmtId="0" fontId="29" fillId="3" borderId="83" xfId="0" applyFont="1" applyFill="1" applyBorder="1" applyAlignment="1">
      <alignment horizontal="center" vertical="center"/>
    </xf>
    <xf numFmtId="0" fontId="29" fillId="3" borderId="85" xfId="0" applyFont="1" applyFill="1" applyBorder="1" applyAlignment="1">
      <alignment horizontal="center" vertical="center"/>
    </xf>
    <xf numFmtId="0" fontId="29" fillId="3" borderId="86" xfId="0" applyFont="1" applyFill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166" fontId="30" fillId="0" borderId="13" xfId="0" applyNumberFormat="1" applyFont="1" applyBorder="1" applyAlignment="1">
      <alignment horizontal="center" vertical="center"/>
    </xf>
    <xf numFmtId="166" fontId="30" fillId="0" borderId="15" xfId="0" applyNumberFormat="1" applyFont="1" applyBorder="1" applyAlignment="1">
      <alignment horizontal="center" vertical="center"/>
    </xf>
    <xf numFmtId="166" fontId="30" fillId="0" borderId="14" xfId="0" applyNumberFormat="1" applyFont="1" applyBorder="1" applyAlignment="1">
      <alignment horizontal="center" vertical="center"/>
    </xf>
    <xf numFmtId="14" fontId="34" fillId="0" borderId="14" xfId="0" applyNumberFormat="1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165" fontId="32" fillId="0" borderId="14" xfId="1" applyNumberFormat="1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61" fillId="0" borderId="13" xfId="0" applyFont="1" applyBorder="1" applyAlignment="1">
      <alignment horizontal="center" vertical="center"/>
    </xf>
    <xf numFmtId="0" fontId="61" fillId="0" borderId="15" xfId="0" applyFont="1" applyBorder="1" applyAlignment="1">
      <alignment horizontal="center" vertical="center"/>
    </xf>
    <xf numFmtId="1" fontId="30" fillId="0" borderId="13" xfId="0" applyNumberFormat="1" applyFont="1" applyBorder="1" applyAlignment="1">
      <alignment horizontal="center" vertical="center"/>
    </xf>
    <xf numFmtId="1" fontId="30" fillId="0" borderId="15" xfId="0" applyNumberFormat="1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165" fontId="32" fillId="0" borderId="13" xfId="1" applyNumberFormat="1" applyFont="1" applyBorder="1" applyAlignment="1">
      <alignment vertical="center"/>
    </xf>
    <xf numFmtId="165" fontId="32" fillId="0" borderId="15" xfId="1" applyNumberFormat="1" applyFont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0" fillId="0" borderId="13" xfId="0" applyFont="1" applyBorder="1" applyAlignment="1">
      <alignment horizontal="left" vertical="center"/>
    </xf>
    <xf numFmtId="0" fontId="30" fillId="0" borderId="15" xfId="0" applyFont="1" applyBorder="1" applyAlignment="1">
      <alignment horizontal="left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30" fillId="0" borderId="13" xfId="0" applyFont="1" applyBorder="1" applyAlignment="1">
      <alignment horizontal="left" vertical="center" wrapText="1"/>
    </xf>
    <xf numFmtId="0" fontId="30" fillId="0" borderId="15" xfId="0" applyFont="1" applyBorder="1" applyAlignment="1">
      <alignment horizontal="left" vertical="center" wrapText="1"/>
    </xf>
    <xf numFmtId="0" fontId="96" fillId="0" borderId="13" xfId="0" applyFont="1" applyBorder="1" applyAlignment="1">
      <alignment horizontal="center" vertical="center" wrapText="1"/>
    </xf>
    <xf numFmtId="0" fontId="96" fillId="0" borderId="15" xfId="0" applyFont="1" applyBorder="1" applyAlignment="1">
      <alignment horizontal="center" vertical="center" wrapText="1"/>
    </xf>
    <xf numFmtId="165" fontId="97" fillId="0" borderId="13" xfId="1" applyNumberFormat="1" applyFont="1" applyBorder="1" applyAlignment="1">
      <alignment horizontal="center" vertical="center"/>
    </xf>
    <xf numFmtId="165" fontId="97" fillId="0" borderId="15" xfId="1" applyNumberFormat="1" applyFont="1" applyBorder="1" applyAlignment="1">
      <alignment horizontal="center" vertical="center"/>
    </xf>
    <xf numFmtId="0" fontId="96" fillId="0" borderId="13" xfId="0" applyFont="1" applyBorder="1" applyAlignment="1">
      <alignment horizontal="center" vertical="center"/>
    </xf>
    <xf numFmtId="0" fontId="96" fillId="0" borderId="15" xfId="0" applyFont="1" applyBorder="1" applyAlignment="1">
      <alignment horizontal="center" vertical="center"/>
    </xf>
    <xf numFmtId="0" fontId="77" fillId="0" borderId="13" xfId="0" applyFont="1" applyBorder="1" applyAlignment="1">
      <alignment horizontal="center" vertical="center" wrapText="1"/>
    </xf>
    <xf numFmtId="0" fontId="77" fillId="0" borderId="15" xfId="0" applyFont="1" applyBorder="1" applyAlignment="1">
      <alignment horizontal="center" vertical="center" wrapText="1"/>
    </xf>
    <xf numFmtId="0" fontId="100" fillId="0" borderId="13" xfId="0" applyFont="1" applyBorder="1" applyAlignment="1">
      <alignment horizontal="center" vertical="center" wrapText="1"/>
    </xf>
    <xf numFmtId="0" fontId="100" fillId="0" borderId="15" xfId="0" applyFont="1" applyBorder="1" applyAlignment="1">
      <alignment horizontal="center" vertical="center" wrapText="1"/>
    </xf>
    <xf numFmtId="0" fontId="102" fillId="0" borderId="13" xfId="0" applyFont="1" applyBorder="1" applyAlignment="1">
      <alignment horizontal="center" vertical="center" wrapText="1"/>
    </xf>
    <xf numFmtId="0" fontId="102" fillId="0" borderId="15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top"/>
    </xf>
    <xf numFmtId="14" fontId="101" fillId="0" borderId="13" xfId="0" applyNumberFormat="1" applyFont="1" applyBorder="1" applyAlignment="1">
      <alignment horizontal="center" vertical="center"/>
    </xf>
    <xf numFmtId="14" fontId="101" fillId="0" borderId="15" xfId="0" applyNumberFormat="1" applyFont="1" applyBorder="1" applyAlignment="1">
      <alignment horizontal="center" vertical="center"/>
    </xf>
    <xf numFmtId="0" fontId="87" fillId="0" borderId="13" xfId="0" applyFont="1" applyBorder="1" applyAlignment="1">
      <alignment horizontal="center" vertical="center" wrapText="1"/>
    </xf>
    <xf numFmtId="0" fontId="87" fillId="0" borderId="15" xfId="0" applyFont="1" applyBorder="1" applyAlignment="1">
      <alignment horizontal="center" vertical="center" wrapText="1"/>
    </xf>
    <xf numFmtId="0" fontId="94" fillId="0" borderId="13" xfId="0" applyFont="1" applyBorder="1" applyAlignment="1">
      <alignment horizontal="center" vertical="center" wrapText="1"/>
    </xf>
    <xf numFmtId="0" fontId="94" fillId="0" borderId="15" xfId="0" applyFont="1" applyBorder="1" applyAlignment="1">
      <alignment horizontal="center" vertical="center" wrapText="1"/>
    </xf>
    <xf numFmtId="0" fontId="94" fillId="0" borderId="13" xfId="0" applyFont="1" applyBorder="1" applyAlignment="1">
      <alignment horizontal="center" vertical="center"/>
    </xf>
    <xf numFmtId="0" fontId="94" fillId="0" borderId="15" xfId="0" applyFont="1" applyBorder="1" applyAlignment="1">
      <alignment horizontal="center" vertical="center"/>
    </xf>
    <xf numFmtId="165" fontId="95" fillId="0" borderId="13" xfId="1" applyNumberFormat="1" applyFont="1" applyBorder="1" applyAlignment="1">
      <alignment horizontal="center" vertical="center"/>
    </xf>
    <xf numFmtId="165" fontId="95" fillId="0" borderId="15" xfId="1" applyNumberFormat="1" applyFont="1" applyBorder="1" applyAlignment="1">
      <alignment horizontal="center" vertical="center"/>
    </xf>
    <xf numFmtId="0" fontId="87" fillId="0" borderId="13" xfId="0" applyFont="1" applyBorder="1" applyAlignment="1">
      <alignment horizontal="center" vertical="center"/>
    </xf>
    <xf numFmtId="0" fontId="87" fillId="0" borderId="15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2" fontId="30" fillId="0" borderId="13" xfId="0" applyNumberFormat="1" applyFont="1" applyBorder="1" applyAlignment="1">
      <alignment horizontal="center" vertical="center"/>
    </xf>
    <xf numFmtId="2" fontId="30" fillId="0" borderId="15" xfId="0" applyNumberFormat="1" applyFont="1" applyBorder="1" applyAlignment="1">
      <alignment horizontal="center" vertical="center"/>
    </xf>
    <xf numFmtId="0" fontId="56" fillId="0" borderId="74" xfId="0" applyFont="1" applyBorder="1" applyAlignment="1">
      <alignment horizontal="center" vertical="center"/>
    </xf>
    <xf numFmtId="0" fontId="56" fillId="0" borderId="75" xfId="0" applyFont="1" applyBorder="1" applyAlignment="1">
      <alignment horizontal="center" vertical="center"/>
    </xf>
    <xf numFmtId="0" fontId="56" fillId="0" borderId="76" xfId="0" applyFont="1" applyBorder="1" applyAlignment="1">
      <alignment horizontal="center" vertical="center"/>
    </xf>
    <xf numFmtId="0" fontId="56" fillId="0" borderId="77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78" xfId="0" applyFont="1" applyBorder="1" applyAlignment="1">
      <alignment horizontal="center" vertical="center"/>
    </xf>
    <xf numFmtId="0" fontId="56" fillId="0" borderId="79" xfId="0" applyFont="1" applyBorder="1" applyAlignment="1">
      <alignment horizontal="center" vertical="center"/>
    </xf>
    <xf numFmtId="0" fontId="56" fillId="0" borderId="73" xfId="0" applyFont="1" applyBorder="1" applyAlignment="1">
      <alignment horizontal="center" vertical="center"/>
    </xf>
    <xf numFmtId="0" fontId="56" fillId="0" borderId="8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29" fillId="2" borderId="20" xfId="0" applyFont="1" applyFill="1" applyBorder="1" applyAlignment="1">
      <alignment horizontal="center" vertical="center"/>
    </xf>
    <xf numFmtId="0" fontId="29" fillId="2" borderId="23" xfId="0" applyFont="1" applyFill="1" applyBorder="1" applyAlignment="1">
      <alignment horizontal="center" vertical="center"/>
    </xf>
    <xf numFmtId="0" fontId="29" fillId="2" borderId="21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5" xfId="0" applyFont="1" applyBorder="1" applyAlignment="1">
      <alignment horizontal="center" wrapText="1"/>
    </xf>
  </cellXfs>
  <cellStyles count="4">
    <cellStyle name="Lien hypertexte" xfId="2" builtinId="8"/>
    <cellStyle name="Milliers" xfId="1" builtinId="3"/>
    <cellStyle name="Milliers [0]" xfId="3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57150</xdr:rowOff>
    </xdr:from>
    <xdr:to>
      <xdr:col>0</xdr:col>
      <xdr:colOff>828675</xdr:colOff>
      <xdr:row>3</xdr:row>
      <xdr:rowOff>19049</xdr:rowOff>
    </xdr:to>
    <xdr:grpSp>
      <xdr:nvGrpSpPr>
        <xdr:cNvPr id="64" name="Group 7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GrpSpPr>
          <a:grpSpLocks noChangeAspect="1"/>
        </xdr:cNvGrpSpPr>
      </xdr:nvGrpSpPr>
      <xdr:grpSpPr bwMode="auto">
        <a:xfrm>
          <a:off x="76200" y="57150"/>
          <a:ext cx="752475" cy="800099"/>
          <a:chOff x="0" y="0"/>
          <a:chExt cx="88" cy="88"/>
        </a:xfrm>
      </xdr:grpSpPr>
      <xdr:sp macro="" textlink="">
        <xdr:nvSpPr>
          <xdr:cNvPr id="65" name="AutoShape 6">
            <a:extLst>
              <a:ext uri="{FF2B5EF4-FFF2-40B4-BE49-F238E27FC236}">
                <a16:creationId xmlns:a16="http://schemas.microsoft.com/office/drawing/2014/main" id="{00000000-0008-0000-0300-000041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6" name="Freeform 8">
            <a:extLst>
              <a:ext uri="{FF2B5EF4-FFF2-40B4-BE49-F238E27FC236}">
                <a16:creationId xmlns:a16="http://schemas.microsoft.com/office/drawing/2014/main" id="{00000000-0008-0000-0300-00004200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7" name="Freeform 9">
            <a:extLst>
              <a:ext uri="{FF2B5EF4-FFF2-40B4-BE49-F238E27FC236}">
                <a16:creationId xmlns:a16="http://schemas.microsoft.com/office/drawing/2014/main" id="{00000000-0008-0000-0300-00004300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8" name="Freeform 10">
            <a:extLst>
              <a:ext uri="{FF2B5EF4-FFF2-40B4-BE49-F238E27FC236}">
                <a16:creationId xmlns:a16="http://schemas.microsoft.com/office/drawing/2014/main" id="{00000000-0008-0000-0300-00004400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69" name="Group 18">
            <a:extLst>
              <a:ext uri="{FF2B5EF4-FFF2-40B4-BE49-F238E27FC236}">
                <a16:creationId xmlns:a16="http://schemas.microsoft.com/office/drawing/2014/main" id="{00000000-0008-0000-0300-00004500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88" name="Freeform 11">
              <a:extLst>
                <a:ext uri="{FF2B5EF4-FFF2-40B4-BE49-F238E27FC236}">
                  <a16:creationId xmlns:a16="http://schemas.microsoft.com/office/drawing/2014/main" id="{00000000-0008-0000-0300-00005800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9" name="Freeform 12">
              <a:extLst>
                <a:ext uri="{FF2B5EF4-FFF2-40B4-BE49-F238E27FC236}">
                  <a16:creationId xmlns:a16="http://schemas.microsoft.com/office/drawing/2014/main" id="{00000000-0008-0000-0300-00005900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90" name="Freeform 13">
              <a:extLst>
                <a:ext uri="{FF2B5EF4-FFF2-40B4-BE49-F238E27FC236}">
                  <a16:creationId xmlns:a16="http://schemas.microsoft.com/office/drawing/2014/main" id="{00000000-0008-0000-0300-00005A00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91" name="Freeform 14">
              <a:extLst>
                <a:ext uri="{FF2B5EF4-FFF2-40B4-BE49-F238E27FC236}">
                  <a16:creationId xmlns:a16="http://schemas.microsoft.com/office/drawing/2014/main" id="{00000000-0008-0000-0300-00005B00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92" name="Freeform 15">
              <a:extLst>
                <a:ext uri="{FF2B5EF4-FFF2-40B4-BE49-F238E27FC236}">
                  <a16:creationId xmlns:a16="http://schemas.microsoft.com/office/drawing/2014/main" id="{00000000-0008-0000-0300-00005C00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93" name="Freeform 16">
              <a:extLst>
                <a:ext uri="{FF2B5EF4-FFF2-40B4-BE49-F238E27FC236}">
                  <a16:creationId xmlns:a16="http://schemas.microsoft.com/office/drawing/2014/main" id="{00000000-0008-0000-0300-00005D00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94" name="Freeform 17">
              <a:extLst>
                <a:ext uri="{FF2B5EF4-FFF2-40B4-BE49-F238E27FC236}">
                  <a16:creationId xmlns:a16="http://schemas.microsoft.com/office/drawing/2014/main" id="{00000000-0008-0000-0300-00005E00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70" name="Freeform 19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71" name="Group 28">
            <a:extLst>
              <a:ext uri="{FF2B5EF4-FFF2-40B4-BE49-F238E27FC236}">
                <a16:creationId xmlns:a16="http://schemas.microsoft.com/office/drawing/2014/main" id="{00000000-0008-0000-0300-00004700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80" name="Freeform 2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1" name="Freeform 21">
              <a:extLst>
                <a:ext uri="{FF2B5EF4-FFF2-40B4-BE49-F238E27FC236}">
                  <a16:creationId xmlns:a16="http://schemas.microsoft.com/office/drawing/2014/main" id="{00000000-0008-0000-0300-00005100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2" name="Freeform 22">
              <a:extLst>
                <a:ext uri="{FF2B5EF4-FFF2-40B4-BE49-F238E27FC236}">
                  <a16:creationId xmlns:a16="http://schemas.microsoft.com/office/drawing/2014/main" id="{00000000-0008-0000-0300-00005200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3" name="Freeform 23">
              <a:extLst>
                <a:ext uri="{FF2B5EF4-FFF2-40B4-BE49-F238E27FC236}">
                  <a16:creationId xmlns:a16="http://schemas.microsoft.com/office/drawing/2014/main" id="{00000000-0008-0000-0300-00005300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4" name="Freeform 24">
              <a:extLst>
                <a:ext uri="{FF2B5EF4-FFF2-40B4-BE49-F238E27FC236}">
                  <a16:creationId xmlns:a16="http://schemas.microsoft.com/office/drawing/2014/main" id="{00000000-0008-0000-0300-00005400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5" name="Freeform 25">
              <a:extLst>
                <a:ext uri="{FF2B5EF4-FFF2-40B4-BE49-F238E27FC236}">
                  <a16:creationId xmlns:a16="http://schemas.microsoft.com/office/drawing/2014/main" id="{00000000-0008-0000-0300-00005500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6" name="Freeform 26">
              <a:extLst>
                <a:ext uri="{FF2B5EF4-FFF2-40B4-BE49-F238E27FC236}">
                  <a16:creationId xmlns:a16="http://schemas.microsoft.com/office/drawing/2014/main" id="{00000000-0008-0000-0300-00005600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7" name="Freeform 27">
              <a:extLst>
                <a:ext uri="{FF2B5EF4-FFF2-40B4-BE49-F238E27FC236}">
                  <a16:creationId xmlns:a16="http://schemas.microsoft.com/office/drawing/2014/main" id="{00000000-0008-0000-0300-00005700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72" name="Freeform 29">
            <a:extLst>
              <a:ext uri="{FF2B5EF4-FFF2-40B4-BE49-F238E27FC236}">
                <a16:creationId xmlns:a16="http://schemas.microsoft.com/office/drawing/2014/main" id="{00000000-0008-0000-0300-00004800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73" name="Group 36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74" name="Freeform 30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5" name="Freeform 31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6" name="Freeform 32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7" name="Freeform 33">
              <a:extLst>
                <a:ext uri="{FF2B5EF4-FFF2-40B4-BE49-F238E27FC236}">
                  <a16:creationId xmlns:a16="http://schemas.microsoft.com/office/drawing/2014/main" id="{00000000-0008-0000-0300-00004D00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8" name="Freeform 34">
              <a:extLst>
                <a:ext uri="{FF2B5EF4-FFF2-40B4-BE49-F238E27FC236}">
                  <a16:creationId xmlns:a16="http://schemas.microsoft.com/office/drawing/2014/main" id="{00000000-0008-0000-0300-00004E00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9" name="Freeform 35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6</xdr:col>
      <xdr:colOff>0</xdr:colOff>
      <xdr:row>0</xdr:row>
      <xdr:rowOff>1</xdr:rowOff>
    </xdr:from>
    <xdr:to>
      <xdr:col>6</xdr:col>
      <xdr:colOff>752475</xdr:colOff>
      <xdr:row>2</xdr:row>
      <xdr:rowOff>114301</xdr:rowOff>
    </xdr:to>
    <xdr:grpSp>
      <xdr:nvGrpSpPr>
        <xdr:cNvPr id="591" name="Group 7">
          <a:extLst>
            <a:ext uri="{FF2B5EF4-FFF2-40B4-BE49-F238E27FC236}">
              <a16:creationId xmlns:a16="http://schemas.microsoft.com/office/drawing/2014/main" id="{00000000-0008-0000-0300-00004F020000}"/>
            </a:ext>
          </a:extLst>
        </xdr:cNvPr>
        <xdr:cNvGrpSpPr>
          <a:grpSpLocks noChangeAspect="1"/>
        </xdr:cNvGrpSpPr>
      </xdr:nvGrpSpPr>
      <xdr:grpSpPr bwMode="auto">
        <a:xfrm>
          <a:off x="6067425" y="1"/>
          <a:ext cx="752475" cy="723900"/>
          <a:chOff x="0" y="0"/>
          <a:chExt cx="88" cy="88"/>
        </a:xfrm>
      </xdr:grpSpPr>
      <xdr:sp macro="" textlink="">
        <xdr:nvSpPr>
          <xdr:cNvPr id="592" name="AutoShape 6">
            <a:extLst>
              <a:ext uri="{FF2B5EF4-FFF2-40B4-BE49-F238E27FC236}">
                <a16:creationId xmlns:a16="http://schemas.microsoft.com/office/drawing/2014/main" id="{00000000-0008-0000-0300-00005002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3" name="Freeform 8">
            <a:extLst>
              <a:ext uri="{FF2B5EF4-FFF2-40B4-BE49-F238E27FC236}">
                <a16:creationId xmlns:a16="http://schemas.microsoft.com/office/drawing/2014/main" id="{00000000-0008-0000-0300-00005102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94" name="Freeform 9">
            <a:extLst>
              <a:ext uri="{FF2B5EF4-FFF2-40B4-BE49-F238E27FC236}">
                <a16:creationId xmlns:a16="http://schemas.microsoft.com/office/drawing/2014/main" id="{00000000-0008-0000-0300-00005202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95" name="Freeform 10">
            <a:extLst>
              <a:ext uri="{FF2B5EF4-FFF2-40B4-BE49-F238E27FC236}">
                <a16:creationId xmlns:a16="http://schemas.microsoft.com/office/drawing/2014/main" id="{00000000-0008-0000-0300-00005302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596" name="Group 18">
            <a:extLst>
              <a:ext uri="{FF2B5EF4-FFF2-40B4-BE49-F238E27FC236}">
                <a16:creationId xmlns:a16="http://schemas.microsoft.com/office/drawing/2014/main" id="{00000000-0008-0000-0300-00005402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615" name="Freeform 11">
              <a:extLst>
                <a:ext uri="{FF2B5EF4-FFF2-40B4-BE49-F238E27FC236}">
                  <a16:creationId xmlns:a16="http://schemas.microsoft.com/office/drawing/2014/main" id="{00000000-0008-0000-0300-00006702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6" name="Freeform 12">
              <a:extLst>
                <a:ext uri="{FF2B5EF4-FFF2-40B4-BE49-F238E27FC236}">
                  <a16:creationId xmlns:a16="http://schemas.microsoft.com/office/drawing/2014/main" id="{00000000-0008-0000-0300-00006802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7" name="Freeform 13">
              <a:extLst>
                <a:ext uri="{FF2B5EF4-FFF2-40B4-BE49-F238E27FC236}">
                  <a16:creationId xmlns:a16="http://schemas.microsoft.com/office/drawing/2014/main" id="{00000000-0008-0000-0300-00006902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8" name="Freeform 14">
              <a:extLst>
                <a:ext uri="{FF2B5EF4-FFF2-40B4-BE49-F238E27FC236}">
                  <a16:creationId xmlns:a16="http://schemas.microsoft.com/office/drawing/2014/main" id="{00000000-0008-0000-0300-00006A02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9" name="Freeform 15">
              <a:extLst>
                <a:ext uri="{FF2B5EF4-FFF2-40B4-BE49-F238E27FC236}">
                  <a16:creationId xmlns:a16="http://schemas.microsoft.com/office/drawing/2014/main" id="{00000000-0008-0000-0300-00006B02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20" name="Freeform 16">
              <a:extLst>
                <a:ext uri="{FF2B5EF4-FFF2-40B4-BE49-F238E27FC236}">
                  <a16:creationId xmlns:a16="http://schemas.microsoft.com/office/drawing/2014/main" id="{00000000-0008-0000-0300-00006C02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21" name="Freeform 17">
              <a:extLst>
                <a:ext uri="{FF2B5EF4-FFF2-40B4-BE49-F238E27FC236}">
                  <a16:creationId xmlns:a16="http://schemas.microsoft.com/office/drawing/2014/main" id="{00000000-0008-0000-0300-00006D02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597" name="Freeform 19">
            <a:extLst>
              <a:ext uri="{FF2B5EF4-FFF2-40B4-BE49-F238E27FC236}">
                <a16:creationId xmlns:a16="http://schemas.microsoft.com/office/drawing/2014/main" id="{00000000-0008-0000-0300-00005502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598" name="Group 28">
            <a:extLst>
              <a:ext uri="{FF2B5EF4-FFF2-40B4-BE49-F238E27FC236}">
                <a16:creationId xmlns:a16="http://schemas.microsoft.com/office/drawing/2014/main" id="{00000000-0008-0000-0300-00005602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607" name="Freeform 20">
              <a:extLst>
                <a:ext uri="{FF2B5EF4-FFF2-40B4-BE49-F238E27FC236}">
                  <a16:creationId xmlns:a16="http://schemas.microsoft.com/office/drawing/2014/main" id="{00000000-0008-0000-0300-00005F02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08" name="Freeform 21">
              <a:extLst>
                <a:ext uri="{FF2B5EF4-FFF2-40B4-BE49-F238E27FC236}">
                  <a16:creationId xmlns:a16="http://schemas.microsoft.com/office/drawing/2014/main" id="{00000000-0008-0000-0300-00006002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09" name="Freeform 22">
              <a:extLst>
                <a:ext uri="{FF2B5EF4-FFF2-40B4-BE49-F238E27FC236}">
                  <a16:creationId xmlns:a16="http://schemas.microsoft.com/office/drawing/2014/main" id="{00000000-0008-0000-0300-00006102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10" name="Freeform 23">
              <a:extLst>
                <a:ext uri="{FF2B5EF4-FFF2-40B4-BE49-F238E27FC236}">
                  <a16:creationId xmlns:a16="http://schemas.microsoft.com/office/drawing/2014/main" id="{00000000-0008-0000-0300-00006202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11" name="Freeform 24">
              <a:extLst>
                <a:ext uri="{FF2B5EF4-FFF2-40B4-BE49-F238E27FC236}">
                  <a16:creationId xmlns:a16="http://schemas.microsoft.com/office/drawing/2014/main" id="{00000000-0008-0000-0300-00006302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12" name="Freeform 25">
              <a:extLst>
                <a:ext uri="{FF2B5EF4-FFF2-40B4-BE49-F238E27FC236}">
                  <a16:creationId xmlns:a16="http://schemas.microsoft.com/office/drawing/2014/main" id="{00000000-0008-0000-0300-00006402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13" name="Freeform 26">
              <a:extLst>
                <a:ext uri="{FF2B5EF4-FFF2-40B4-BE49-F238E27FC236}">
                  <a16:creationId xmlns:a16="http://schemas.microsoft.com/office/drawing/2014/main" id="{00000000-0008-0000-0300-00006502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14" name="Freeform 27">
              <a:extLst>
                <a:ext uri="{FF2B5EF4-FFF2-40B4-BE49-F238E27FC236}">
                  <a16:creationId xmlns:a16="http://schemas.microsoft.com/office/drawing/2014/main" id="{00000000-0008-0000-0300-00006602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99" name="Freeform 29">
            <a:extLst>
              <a:ext uri="{FF2B5EF4-FFF2-40B4-BE49-F238E27FC236}">
                <a16:creationId xmlns:a16="http://schemas.microsoft.com/office/drawing/2014/main" id="{00000000-0008-0000-0300-00005702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600" name="Group 36">
            <a:extLst>
              <a:ext uri="{FF2B5EF4-FFF2-40B4-BE49-F238E27FC236}">
                <a16:creationId xmlns:a16="http://schemas.microsoft.com/office/drawing/2014/main" id="{00000000-0008-0000-0300-00005802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601" name="Freeform 30">
              <a:extLst>
                <a:ext uri="{FF2B5EF4-FFF2-40B4-BE49-F238E27FC236}">
                  <a16:creationId xmlns:a16="http://schemas.microsoft.com/office/drawing/2014/main" id="{00000000-0008-0000-0300-00005902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2" name="Freeform 31">
              <a:extLst>
                <a:ext uri="{FF2B5EF4-FFF2-40B4-BE49-F238E27FC236}">
                  <a16:creationId xmlns:a16="http://schemas.microsoft.com/office/drawing/2014/main" id="{00000000-0008-0000-0300-00005A02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3" name="Freeform 32">
              <a:extLst>
                <a:ext uri="{FF2B5EF4-FFF2-40B4-BE49-F238E27FC236}">
                  <a16:creationId xmlns:a16="http://schemas.microsoft.com/office/drawing/2014/main" id="{00000000-0008-0000-0300-00005B02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4" name="Freeform 33">
              <a:extLst>
                <a:ext uri="{FF2B5EF4-FFF2-40B4-BE49-F238E27FC236}">
                  <a16:creationId xmlns:a16="http://schemas.microsoft.com/office/drawing/2014/main" id="{00000000-0008-0000-0300-00005C02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5" name="Freeform 34">
              <a:extLst>
                <a:ext uri="{FF2B5EF4-FFF2-40B4-BE49-F238E27FC236}">
                  <a16:creationId xmlns:a16="http://schemas.microsoft.com/office/drawing/2014/main" id="{00000000-0008-0000-0300-00005D02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6" name="Freeform 35">
              <a:extLst>
                <a:ext uri="{FF2B5EF4-FFF2-40B4-BE49-F238E27FC236}">
                  <a16:creationId xmlns:a16="http://schemas.microsoft.com/office/drawing/2014/main" id="{00000000-0008-0000-0300-00005E02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6</xdr:col>
      <xdr:colOff>0</xdr:colOff>
      <xdr:row>0</xdr:row>
      <xdr:rowOff>1</xdr:rowOff>
    </xdr:from>
    <xdr:to>
      <xdr:col>6</xdr:col>
      <xdr:colOff>752475</xdr:colOff>
      <xdr:row>2</xdr:row>
      <xdr:rowOff>114301</xdr:rowOff>
    </xdr:to>
    <xdr:grpSp>
      <xdr:nvGrpSpPr>
        <xdr:cNvPr id="622" name="Group 7">
          <a:extLst>
            <a:ext uri="{FF2B5EF4-FFF2-40B4-BE49-F238E27FC236}">
              <a16:creationId xmlns:a16="http://schemas.microsoft.com/office/drawing/2014/main" id="{00000000-0008-0000-0300-00006E020000}"/>
            </a:ext>
          </a:extLst>
        </xdr:cNvPr>
        <xdr:cNvGrpSpPr>
          <a:grpSpLocks noChangeAspect="1"/>
        </xdr:cNvGrpSpPr>
      </xdr:nvGrpSpPr>
      <xdr:grpSpPr bwMode="auto">
        <a:xfrm>
          <a:off x="6067425" y="1"/>
          <a:ext cx="752475" cy="723900"/>
          <a:chOff x="0" y="0"/>
          <a:chExt cx="88" cy="88"/>
        </a:xfrm>
      </xdr:grpSpPr>
      <xdr:sp macro="" textlink="">
        <xdr:nvSpPr>
          <xdr:cNvPr id="623" name="AutoShape 6">
            <a:extLst>
              <a:ext uri="{FF2B5EF4-FFF2-40B4-BE49-F238E27FC236}">
                <a16:creationId xmlns:a16="http://schemas.microsoft.com/office/drawing/2014/main" id="{00000000-0008-0000-0300-00006F02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4" name="Freeform 8">
            <a:extLst>
              <a:ext uri="{FF2B5EF4-FFF2-40B4-BE49-F238E27FC236}">
                <a16:creationId xmlns:a16="http://schemas.microsoft.com/office/drawing/2014/main" id="{00000000-0008-0000-0300-00007002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25" name="Freeform 9">
            <a:extLst>
              <a:ext uri="{FF2B5EF4-FFF2-40B4-BE49-F238E27FC236}">
                <a16:creationId xmlns:a16="http://schemas.microsoft.com/office/drawing/2014/main" id="{00000000-0008-0000-0300-00007102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26" name="Freeform 10">
            <a:extLst>
              <a:ext uri="{FF2B5EF4-FFF2-40B4-BE49-F238E27FC236}">
                <a16:creationId xmlns:a16="http://schemas.microsoft.com/office/drawing/2014/main" id="{00000000-0008-0000-0300-00007202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627" name="Group 18">
            <a:extLst>
              <a:ext uri="{FF2B5EF4-FFF2-40B4-BE49-F238E27FC236}">
                <a16:creationId xmlns:a16="http://schemas.microsoft.com/office/drawing/2014/main" id="{00000000-0008-0000-0300-00007302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646" name="Freeform 11">
              <a:extLst>
                <a:ext uri="{FF2B5EF4-FFF2-40B4-BE49-F238E27FC236}">
                  <a16:creationId xmlns:a16="http://schemas.microsoft.com/office/drawing/2014/main" id="{00000000-0008-0000-0300-00008602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47" name="Freeform 12">
              <a:extLst>
                <a:ext uri="{FF2B5EF4-FFF2-40B4-BE49-F238E27FC236}">
                  <a16:creationId xmlns:a16="http://schemas.microsoft.com/office/drawing/2014/main" id="{00000000-0008-0000-0300-00008702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48" name="Freeform 13">
              <a:extLst>
                <a:ext uri="{FF2B5EF4-FFF2-40B4-BE49-F238E27FC236}">
                  <a16:creationId xmlns:a16="http://schemas.microsoft.com/office/drawing/2014/main" id="{00000000-0008-0000-0300-00008802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49" name="Freeform 14">
              <a:extLst>
                <a:ext uri="{FF2B5EF4-FFF2-40B4-BE49-F238E27FC236}">
                  <a16:creationId xmlns:a16="http://schemas.microsoft.com/office/drawing/2014/main" id="{00000000-0008-0000-0300-00008902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50" name="Freeform 15">
              <a:extLst>
                <a:ext uri="{FF2B5EF4-FFF2-40B4-BE49-F238E27FC236}">
                  <a16:creationId xmlns:a16="http://schemas.microsoft.com/office/drawing/2014/main" id="{00000000-0008-0000-0300-00008A02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51" name="Freeform 16">
              <a:extLst>
                <a:ext uri="{FF2B5EF4-FFF2-40B4-BE49-F238E27FC236}">
                  <a16:creationId xmlns:a16="http://schemas.microsoft.com/office/drawing/2014/main" id="{00000000-0008-0000-0300-00008B02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52" name="Freeform 17">
              <a:extLst>
                <a:ext uri="{FF2B5EF4-FFF2-40B4-BE49-F238E27FC236}">
                  <a16:creationId xmlns:a16="http://schemas.microsoft.com/office/drawing/2014/main" id="{00000000-0008-0000-0300-00008C02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628" name="Freeform 19">
            <a:extLst>
              <a:ext uri="{FF2B5EF4-FFF2-40B4-BE49-F238E27FC236}">
                <a16:creationId xmlns:a16="http://schemas.microsoft.com/office/drawing/2014/main" id="{00000000-0008-0000-0300-00007402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629" name="Group 28">
            <a:extLst>
              <a:ext uri="{FF2B5EF4-FFF2-40B4-BE49-F238E27FC236}">
                <a16:creationId xmlns:a16="http://schemas.microsoft.com/office/drawing/2014/main" id="{00000000-0008-0000-0300-00007502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638" name="Freeform 20">
              <a:extLst>
                <a:ext uri="{FF2B5EF4-FFF2-40B4-BE49-F238E27FC236}">
                  <a16:creationId xmlns:a16="http://schemas.microsoft.com/office/drawing/2014/main" id="{00000000-0008-0000-0300-00007E02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39" name="Freeform 21">
              <a:extLst>
                <a:ext uri="{FF2B5EF4-FFF2-40B4-BE49-F238E27FC236}">
                  <a16:creationId xmlns:a16="http://schemas.microsoft.com/office/drawing/2014/main" id="{00000000-0008-0000-0300-00007F02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40" name="Freeform 22">
              <a:extLst>
                <a:ext uri="{FF2B5EF4-FFF2-40B4-BE49-F238E27FC236}">
                  <a16:creationId xmlns:a16="http://schemas.microsoft.com/office/drawing/2014/main" id="{00000000-0008-0000-0300-00008002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41" name="Freeform 23">
              <a:extLst>
                <a:ext uri="{FF2B5EF4-FFF2-40B4-BE49-F238E27FC236}">
                  <a16:creationId xmlns:a16="http://schemas.microsoft.com/office/drawing/2014/main" id="{00000000-0008-0000-0300-00008102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42" name="Freeform 24">
              <a:extLst>
                <a:ext uri="{FF2B5EF4-FFF2-40B4-BE49-F238E27FC236}">
                  <a16:creationId xmlns:a16="http://schemas.microsoft.com/office/drawing/2014/main" id="{00000000-0008-0000-0300-00008202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43" name="Freeform 25">
              <a:extLst>
                <a:ext uri="{FF2B5EF4-FFF2-40B4-BE49-F238E27FC236}">
                  <a16:creationId xmlns:a16="http://schemas.microsoft.com/office/drawing/2014/main" id="{00000000-0008-0000-0300-00008302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44" name="Freeform 26">
              <a:extLst>
                <a:ext uri="{FF2B5EF4-FFF2-40B4-BE49-F238E27FC236}">
                  <a16:creationId xmlns:a16="http://schemas.microsoft.com/office/drawing/2014/main" id="{00000000-0008-0000-0300-00008402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45" name="Freeform 27">
              <a:extLst>
                <a:ext uri="{FF2B5EF4-FFF2-40B4-BE49-F238E27FC236}">
                  <a16:creationId xmlns:a16="http://schemas.microsoft.com/office/drawing/2014/main" id="{00000000-0008-0000-0300-00008502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630" name="Freeform 29">
            <a:extLst>
              <a:ext uri="{FF2B5EF4-FFF2-40B4-BE49-F238E27FC236}">
                <a16:creationId xmlns:a16="http://schemas.microsoft.com/office/drawing/2014/main" id="{00000000-0008-0000-0300-00007602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631" name="Group 36">
            <a:extLst>
              <a:ext uri="{FF2B5EF4-FFF2-40B4-BE49-F238E27FC236}">
                <a16:creationId xmlns:a16="http://schemas.microsoft.com/office/drawing/2014/main" id="{00000000-0008-0000-0300-00007702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632" name="Freeform 30">
              <a:extLst>
                <a:ext uri="{FF2B5EF4-FFF2-40B4-BE49-F238E27FC236}">
                  <a16:creationId xmlns:a16="http://schemas.microsoft.com/office/drawing/2014/main" id="{00000000-0008-0000-0300-00007802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33" name="Freeform 31">
              <a:extLst>
                <a:ext uri="{FF2B5EF4-FFF2-40B4-BE49-F238E27FC236}">
                  <a16:creationId xmlns:a16="http://schemas.microsoft.com/office/drawing/2014/main" id="{00000000-0008-0000-0300-00007902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34" name="Freeform 32">
              <a:extLst>
                <a:ext uri="{FF2B5EF4-FFF2-40B4-BE49-F238E27FC236}">
                  <a16:creationId xmlns:a16="http://schemas.microsoft.com/office/drawing/2014/main" id="{00000000-0008-0000-0300-00007A02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35" name="Freeform 33">
              <a:extLst>
                <a:ext uri="{FF2B5EF4-FFF2-40B4-BE49-F238E27FC236}">
                  <a16:creationId xmlns:a16="http://schemas.microsoft.com/office/drawing/2014/main" id="{00000000-0008-0000-0300-00007B02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36" name="Freeform 34">
              <a:extLst>
                <a:ext uri="{FF2B5EF4-FFF2-40B4-BE49-F238E27FC236}">
                  <a16:creationId xmlns:a16="http://schemas.microsoft.com/office/drawing/2014/main" id="{00000000-0008-0000-0300-00007C02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37" name="Freeform 35">
              <a:extLst>
                <a:ext uri="{FF2B5EF4-FFF2-40B4-BE49-F238E27FC236}">
                  <a16:creationId xmlns:a16="http://schemas.microsoft.com/office/drawing/2014/main" id="{00000000-0008-0000-0300-00007D02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6</xdr:col>
      <xdr:colOff>0</xdr:colOff>
      <xdr:row>0</xdr:row>
      <xdr:rowOff>1</xdr:rowOff>
    </xdr:from>
    <xdr:to>
      <xdr:col>6</xdr:col>
      <xdr:colOff>752475</xdr:colOff>
      <xdr:row>2</xdr:row>
      <xdr:rowOff>114301</xdr:rowOff>
    </xdr:to>
    <xdr:grpSp>
      <xdr:nvGrpSpPr>
        <xdr:cNvPr id="653" name="Group 7">
          <a:extLst>
            <a:ext uri="{FF2B5EF4-FFF2-40B4-BE49-F238E27FC236}">
              <a16:creationId xmlns:a16="http://schemas.microsoft.com/office/drawing/2014/main" id="{00000000-0008-0000-0300-00008D020000}"/>
            </a:ext>
          </a:extLst>
        </xdr:cNvPr>
        <xdr:cNvGrpSpPr>
          <a:grpSpLocks noChangeAspect="1"/>
        </xdr:cNvGrpSpPr>
      </xdr:nvGrpSpPr>
      <xdr:grpSpPr bwMode="auto">
        <a:xfrm>
          <a:off x="6067425" y="1"/>
          <a:ext cx="752475" cy="723900"/>
          <a:chOff x="0" y="0"/>
          <a:chExt cx="88" cy="88"/>
        </a:xfrm>
      </xdr:grpSpPr>
      <xdr:sp macro="" textlink="">
        <xdr:nvSpPr>
          <xdr:cNvPr id="654" name="AutoShape 6">
            <a:extLst>
              <a:ext uri="{FF2B5EF4-FFF2-40B4-BE49-F238E27FC236}">
                <a16:creationId xmlns:a16="http://schemas.microsoft.com/office/drawing/2014/main" id="{00000000-0008-0000-0300-00008E02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55" name="Freeform 8">
            <a:extLst>
              <a:ext uri="{FF2B5EF4-FFF2-40B4-BE49-F238E27FC236}">
                <a16:creationId xmlns:a16="http://schemas.microsoft.com/office/drawing/2014/main" id="{00000000-0008-0000-0300-00008F02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56" name="Freeform 9">
            <a:extLst>
              <a:ext uri="{FF2B5EF4-FFF2-40B4-BE49-F238E27FC236}">
                <a16:creationId xmlns:a16="http://schemas.microsoft.com/office/drawing/2014/main" id="{00000000-0008-0000-0300-00009002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57" name="Freeform 10">
            <a:extLst>
              <a:ext uri="{FF2B5EF4-FFF2-40B4-BE49-F238E27FC236}">
                <a16:creationId xmlns:a16="http://schemas.microsoft.com/office/drawing/2014/main" id="{00000000-0008-0000-0300-00009102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658" name="Group 18">
            <a:extLst>
              <a:ext uri="{FF2B5EF4-FFF2-40B4-BE49-F238E27FC236}">
                <a16:creationId xmlns:a16="http://schemas.microsoft.com/office/drawing/2014/main" id="{00000000-0008-0000-0300-00009202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677" name="Freeform 11">
              <a:extLst>
                <a:ext uri="{FF2B5EF4-FFF2-40B4-BE49-F238E27FC236}">
                  <a16:creationId xmlns:a16="http://schemas.microsoft.com/office/drawing/2014/main" id="{00000000-0008-0000-0300-0000A502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78" name="Freeform 12">
              <a:extLst>
                <a:ext uri="{FF2B5EF4-FFF2-40B4-BE49-F238E27FC236}">
                  <a16:creationId xmlns:a16="http://schemas.microsoft.com/office/drawing/2014/main" id="{00000000-0008-0000-0300-0000A602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79" name="Freeform 13">
              <a:extLst>
                <a:ext uri="{FF2B5EF4-FFF2-40B4-BE49-F238E27FC236}">
                  <a16:creationId xmlns:a16="http://schemas.microsoft.com/office/drawing/2014/main" id="{00000000-0008-0000-0300-0000A702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80" name="Freeform 14">
              <a:extLst>
                <a:ext uri="{FF2B5EF4-FFF2-40B4-BE49-F238E27FC236}">
                  <a16:creationId xmlns:a16="http://schemas.microsoft.com/office/drawing/2014/main" id="{00000000-0008-0000-0300-0000A802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81" name="Freeform 15">
              <a:extLst>
                <a:ext uri="{FF2B5EF4-FFF2-40B4-BE49-F238E27FC236}">
                  <a16:creationId xmlns:a16="http://schemas.microsoft.com/office/drawing/2014/main" id="{00000000-0008-0000-0300-0000A902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82" name="Freeform 16">
              <a:extLst>
                <a:ext uri="{FF2B5EF4-FFF2-40B4-BE49-F238E27FC236}">
                  <a16:creationId xmlns:a16="http://schemas.microsoft.com/office/drawing/2014/main" id="{00000000-0008-0000-0300-0000AA02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83" name="Freeform 17">
              <a:extLst>
                <a:ext uri="{FF2B5EF4-FFF2-40B4-BE49-F238E27FC236}">
                  <a16:creationId xmlns:a16="http://schemas.microsoft.com/office/drawing/2014/main" id="{00000000-0008-0000-0300-0000AB02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659" name="Freeform 19">
            <a:extLst>
              <a:ext uri="{FF2B5EF4-FFF2-40B4-BE49-F238E27FC236}">
                <a16:creationId xmlns:a16="http://schemas.microsoft.com/office/drawing/2014/main" id="{00000000-0008-0000-0300-00009302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660" name="Group 28">
            <a:extLst>
              <a:ext uri="{FF2B5EF4-FFF2-40B4-BE49-F238E27FC236}">
                <a16:creationId xmlns:a16="http://schemas.microsoft.com/office/drawing/2014/main" id="{00000000-0008-0000-0300-00009402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669" name="Freeform 20">
              <a:extLst>
                <a:ext uri="{FF2B5EF4-FFF2-40B4-BE49-F238E27FC236}">
                  <a16:creationId xmlns:a16="http://schemas.microsoft.com/office/drawing/2014/main" id="{00000000-0008-0000-0300-00009D02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70" name="Freeform 21">
              <a:extLst>
                <a:ext uri="{FF2B5EF4-FFF2-40B4-BE49-F238E27FC236}">
                  <a16:creationId xmlns:a16="http://schemas.microsoft.com/office/drawing/2014/main" id="{00000000-0008-0000-0300-00009E02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71" name="Freeform 22">
              <a:extLst>
                <a:ext uri="{FF2B5EF4-FFF2-40B4-BE49-F238E27FC236}">
                  <a16:creationId xmlns:a16="http://schemas.microsoft.com/office/drawing/2014/main" id="{00000000-0008-0000-0300-00009F02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72" name="Freeform 23">
              <a:extLst>
                <a:ext uri="{FF2B5EF4-FFF2-40B4-BE49-F238E27FC236}">
                  <a16:creationId xmlns:a16="http://schemas.microsoft.com/office/drawing/2014/main" id="{00000000-0008-0000-0300-0000A002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73" name="Freeform 24">
              <a:extLst>
                <a:ext uri="{FF2B5EF4-FFF2-40B4-BE49-F238E27FC236}">
                  <a16:creationId xmlns:a16="http://schemas.microsoft.com/office/drawing/2014/main" id="{00000000-0008-0000-0300-0000A102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74" name="Freeform 25">
              <a:extLst>
                <a:ext uri="{FF2B5EF4-FFF2-40B4-BE49-F238E27FC236}">
                  <a16:creationId xmlns:a16="http://schemas.microsoft.com/office/drawing/2014/main" id="{00000000-0008-0000-0300-0000A202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75" name="Freeform 26">
              <a:extLst>
                <a:ext uri="{FF2B5EF4-FFF2-40B4-BE49-F238E27FC236}">
                  <a16:creationId xmlns:a16="http://schemas.microsoft.com/office/drawing/2014/main" id="{00000000-0008-0000-0300-0000A302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676" name="Freeform 27">
              <a:extLst>
                <a:ext uri="{FF2B5EF4-FFF2-40B4-BE49-F238E27FC236}">
                  <a16:creationId xmlns:a16="http://schemas.microsoft.com/office/drawing/2014/main" id="{00000000-0008-0000-0300-0000A402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661" name="Freeform 29">
            <a:extLst>
              <a:ext uri="{FF2B5EF4-FFF2-40B4-BE49-F238E27FC236}">
                <a16:creationId xmlns:a16="http://schemas.microsoft.com/office/drawing/2014/main" id="{00000000-0008-0000-0300-00009502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662" name="Group 36">
            <a:extLst>
              <a:ext uri="{FF2B5EF4-FFF2-40B4-BE49-F238E27FC236}">
                <a16:creationId xmlns:a16="http://schemas.microsoft.com/office/drawing/2014/main" id="{00000000-0008-0000-0300-00009602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663" name="Freeform 30">
              <a:extLst>
                <a:ext uri="{FF2B5EF4-FFF2-40B4-BE49-F238E27FC236}">
                  <a16:creationId xmlns:a16="http://schemas.microsoft.com/office/drawing/2014/main" id="{00000000-0008-0000-0300-00009702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64" name="Freeform 31">
              <a:extLst>
                <a:ext uri="{FF2B5EF4-FFF2-40B4-BE49-F238E27FC236}">
                  <a16:creationId xmlns:a16="http://schemas.microsoft.com/office/drawing/2014/main" id="{00000000-0008-0000-0300-00009802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65" name="Freeform 32">
              <a:extLst>
                <a:ext uri="{FF2B5EF4-FFF2-40B4-BE49-F238E27FC236}">
                  <a16:creationId xmlns:a16="http://schemas.microsoft.com/office/drawing/2014/main" id="{00000000-0008-0000-0300-00009902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66" name="Freeform 33">
              <a:extLst>
                <a:ext uri="{FF2B5EF4-FFF2-40B4-BE49-F238E27FC236}">
                  <a16:creationId xmlns:a16="http://schemas.microsoft.com/office/drawing/2014/main" id="{00000000-0008-0000-0300-00009A02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67" name="Freeform 34">
              <a:extLst>
                <a:ext uri="{FF2B5EF4-FFF2-40B4-BE49-F238E27FC236}">
                  <a16:creationId xmlns:a16="http://schemas.microsoft.com/office/drawing/2014/main" id="{00000000-0008-0000-0300-00009B02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68" name="Freeform 35">
              <a:extLst>
                <a:ext uri="{FF2B5EF4-FFF2-40B4-BE49-F238E27FC236}">
                  <a16:creationId xmlns:a16="http://schemas.microsoft.com/office/drawing/2014/main" id="{00000000-0008-0000-0300-00009C02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6</xdr:col>
      <xdr:colOff>0</xdr:colOff>
      <xdr:row>0</xdr:row>
      <xdr:rowOff>1</xdr:rowOff>
    </xdr:from>
    <xdr:to>
      <xdr:col>6</xdr:col>
      <xdr:colOff>752475</xdr:colOff>
      <xdr:row>2</xdr:row>
      <xdr:rowOff>114301</xdr:rowOff>
    </xdr:to>
    <xdr:grpSp>
      <xdr:nvGrpSpPr>
        <xdr:cNvPr id="684" name="Group 7">
          <a:extLst>
            <a:ext uri="{FF2B5EF4-FFF2-40B4-BE49-F238E27FC236}">
              <a16:creationId xmlns:a16="http://schemas.microsoft.com/office/drawing/2014/main" id="{00000000-0008-0000-0300-0000AC020000}"/>
            </a:ext>
          </a:extLst>
        </xdr:cNvPr>
        <xdr:cNvGrpSpPr>
          <a:grpSpLocks noChangeAspect="1"/>
        </xdr:cNvGrpSpPr>
      </xdr:nvGrpSpPr>
      <xdr:grpSpPr bwMode="auto">
        <a:xfrm>
          <a:off x="6067425" y="1"/>
          <a:ext cx="752475" cy="723900"/>
          <a:chOff x="0" y="0"/>
          <a:chExt cx="88" cy="88"/>
        </a:xfrm>
      </xdr:grpSpPr>
      <xdr:sp macro="" textlink="">
        <xdr:nvSpPr>
          <xdr:cNvPr id="685" name="AutoShape 6">
            <a:extLst>
              <a:ext uri="{FF2B5EF4-FFF2-40B4-BE49-F238E27FC236}">
                <a16:creationId xmlns:a16="http://schemas.microsoft.com/office/drawing/2014/main" id="{00000000-0008-0000-0300-0000AD02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86" name="Freeform 8">
            <a:extLst>
              <a:ext uri="{FF2B5EF4-FFF2-40B4-BE49-F238E27FC236}">
                <a16:creationId xmlns:a16="http://schemas.microsoft.com/office/drawing/2014/main" id="{00000000-0008-0000-0300-0000AE02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87" name="Freeform 9">
            <a:extLst>
              <a:ext uri="{FF2B5EF4-FFF2-40B4-BE49-F238E27FC236}">
                <a16:creationId xmlns:a16="http://schemas.microsoft.com/office/drawing/2014/main" id="{00000000-0008-0000-0300-0000AF02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88" name="Freeform 10">
            <a:extLst>
              <a:ext uri="{FF2B5EF4-FFF2-40B4-BE49-F238E27FC236}">
                <a16:creationId xmlns:a16="http://schemas.microsoft.com/office/drawing/2014/main" id="{00000000-0008-0000-0300-0000B002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689" name="Group 18">
            <a:extLst>
              <a:ext uri="{FF2B5EF4-FFF2-40B4-BE49-F238E27FC236}">
                <a16:creationId xmlns:a16="http://schemas.microsoft.com/office/drawing/2014/main" id="{00000000-0008-0000-0300-0000B102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708" name="Freeform 11">
              <a:extLst>
                <a:ext uri="{FF2B5EF4-FFF2-40B4-BE49-F238E27FC236}">
                  <a16:creationId xmlns:a16="http://schemas.microsoft.com/office/drawing/2014/main" id="{00000000-0008-0000-0300-0000C402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09" name="Freeform 12">
              <a:extLst>
                <a:ext uri="{FF2B5EF4-FFF2-40B4-BE49-F238E27FC236}">
                  <a16:creationId xmlns:a16="http://schemas.microsoft.com/office/drawing/2014/main" id="{00000000-0008-0000-0300-0000C502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10" name="Freeform 13">
              <a:extLst>
                <a:ext uri="{FF2B5EF4-FFF2-40B4-BE49-F238E27FC236}">
                  <a16:creationId xmlns:a16="http://schemas.microsoft.com/office/drawing/2014/main" id="{00000000-0008-0000-0300-0000C602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11" name="Freeform 14">
              <a:extLst>
                <a:ext uri="{FF2B5EF4-FFF2-40B4-BE49-F238E27FC236}">
                  <a16:creationId xmlns:a16="http://schemas.microsoft.com/office/drawing/2014/main" id="{00000000-0008-0000-0300-0000C702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12" name="Freeform 15">
              <a:extLst>
                <a:ext uri="{FF2B5EF4-FFF2-40B4-BE49-F238E27FC236}">
                  <a16:creationId xmlns:a16="http://schemas.microsoft.com/office/drawing/2014/main" id="{00000000-0008-0000-0300-0000C802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13" name="Freeform 16">
              <a:extLst>
                <a:ext uri="{FF2B5EF4-FFF2-40B4-BE49-F238E27FC236}">
                  <a16:creationId xmlns:a16="http://schemas.microsoft.com/office/drawing/2014/main" id="{00000000-0008-0000-0300-0000C902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14" name="Freeform 17">
              <a:extLst>
                <a:ext uri="{FF2B5EF4-FFF2-40B4-BE49-F238E27FC236}">
                  <a16:creationId xmlns:a16="http://schemas.microsoft.com/office/drawing/2014/main" id="{00000000-0008-0000-0300-0000CA02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690" name="Freeform 19">
            <a:extLst>
              <a:ext uri="{FF2B5EF4-FFF2-40B4-BE49-F238E27FC236}">
                <a16:creationId xmlns:a16="http://schemas.microsoft.com/office/drawing/2014/main" id="{00000000-0008-0000-0300-0000B202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691" name="Group 28">
            <a:extLst>
              <a:ext uri="{FF2B5EF4-FFF2-40B4-BE49-F238E27FC236}">
                <a16:creationId xmlns:a16="http://schemas.microsoft.com/office/drawing/2014/main" id="{00000000-0008-0000-0300-0000B302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700" name="Freeform 20">
              <a:extLst>
                <a:ext uri="{FF2B5EF4-FFF2-40B4-BE49-F238E27FC236}">
                  <a16:creationId xmlns:a16="http://schemas.microsoft.com/office/drawing/2014/main" id="{00000000-0008-0000-0300-0000BC02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01" name="Freeform 21">
              <a:extLst>
                <a:ext uri="{FF2B5EF4-FFF2-40B4-BE49-F238E27FC236}">
                  <a16:creationId xmlns:a16="http://schemas.microsoft.com/office/drawing/2014/main" id="{00000000-0008-0000-0300-0000BD02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02" name="Freeform 22">
              <a:extLst>
                <a:ext uri="{FF2B5EF4-FFF2-40B4-BE49-F238E27FC236}">
                  <a16:creationId xmlns:a16="http://schemas.microsoft.com/office/drawing/2014/main" id="{00000000-0008-0000-0300-0000BE02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03" name="Freeform 23">
              <a:extLst>
                <a:ext uri="{FF2B5EF4-FFF2-40B4-BE49-F238E27FC236}">
                  <a16:creationId xmlns:a16="http://schemas.microsoft.com/office/drawing/2014/main" id="{00000000-0008-0000-0300-0000BF02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04" name="Freeform 24">
              <a:extLst>
                <a:ext uri="{FF2B5EF4-FFF2-40B4-BE49-F238E27FC236}">
                  <a16:creationId xmlns:a16="http://schemas.microsoft.com/office/drawing/2014/main" id="{00000000-0008-0000-0300-0000C002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05" name="Freeform 25">
              <a:extLst>
                <a:ext uri="{FF2B5EF4-FFF2-40B4-BE49-F238E27FC236}">
                  <a16:creationId xmlns:a16="http://schemas.microsoft.com/office/drawing/2014/main" id="{00000000-0008-0000-0300-0000C102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06" name="Freeform 26">
              <a:extLst>
                <a:ext uri="{FF2B5EF4-FFF2-40B4-BE49-F238E27FC236}">
                  <a16:creationId xmlns:a16="http://schemas.microsoft.com/office/drawing/2014/main" id="{00000000-0008-0000-0300-0000C202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07" name="Freeform 27">
              <a:extLst>
                <a:ext uri="{FF2B5EF4-FFF2-40B4-BE49-F238E27FC236}">
                  <a16:creationId xmlns:a16="http://schemas.microsoft.com/office/drawing/2014/main" id="{00000000-0008-0000-0300-0000C302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692" name="Freeform 29">
            <a:extLst>
              <a:ext uri="{FF2B5EF4-FFF2-40B4-BE49-F238E27FC236}">
                <a16:creationId xmlns:a16="http://schemas.microsoft.com/office/drawing/2014/main" id="{00000000-0008-0000-0300-0000B402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693" name="Group 36">
            <a:extLst>
              <a:ext uri="{FF2B5EF4-FFF2-40B4-BE49-F238E27FC236}">
                <a16:creationId xmlns:a16="http://schemas.microsoft.com/office/drawing/2014/main" id="{00000000-0008-0000-0300-0000B502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694" name="Freeform 30">
              <a:extLst>
                <a:ext uri="{FF2B5EF4-FFF2-40B4-BE49-F238E27FC236}">
                  <a16:creationId xmlns:a16="http://schemas.microsoft.com/office/drawing/2014/main" id="{00000000-0008-0000-0300-0000B602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95" name="Freeform 31">
              <a:extLst>
                <a:ext uri="{FF2B5EF4-FFF2-40B4-BE49-F238E27FC236}">
                  <a16:creationId xmlns:a16="http://schemas.microsoft.com/office/drawing/2014/main" id="{00000000-0008-0000-0300-0000B702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96" name="Freeform 32">
              <a:extLst>
                <a:ext uri="{FF2B5EF4-FFF2-40B4-BE49-F238E27FC236}">
                  <a16:creationId xmlns:a16="http://schemas.microsoft.com/office/drawing/2014/main" id="{00000000-0008-0000-0300-0000B802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97" name="Freeform 33">
              <a:extLst>
                <a:ext uri="{FF2B5EF4-FFF2-40B4-BE49-F238E27FC236}">
                  <a16:creationId xmlns:a16="http://schemas.microsoft.com/office/drawing/2014/main" id="{00000000-0008-0000-0300-0000B902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98" name="Freeform 34">
              <a:extLst>
                <a:ext uri="{FF2B5EF4-FFF2-40B4-BE49-F238E27FC236}">
                  <a16:creationId xmlns:a16="http://schemas.microsoft.com/office/drawing/2014/main" id="{00000000-0008-0000-0300-0000BA02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99" name="Freeform 35">
              <a:extLst>
                <a:ext uri="{FF2B5EF4-FFF2-40B4-BE49-F238E27FC236}">
                  <a16:creationId xmlns:a16="http://schemas.microsoft.com/office/drawing/2014/main" id="{00000000-0008-0000-0300-0000BB02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0</xdr:col>
      <xdr:colOff>85725</xdr:colOff>
      <xdr:row>47</xdr:row>
      <xdr:rowOff>47625</xdr:rowOff>
    </xdr:from>
    <xdr:to>
      <xdr:col>0</xdr:col>
      <xdr:colOff>838200</xdr:colOff>
      <xdr:row>50</xdr:row>
      <xdr:rowOff>28575</xdr:rowOff>
    </xdr:to>
    <xdr:grpSp>
      <xdr:nvGrpSpPr>
        <xdr:cNvPr id="715" name="Group 7">
          <a:extLst>
            <a:ext uri="{FF2B5EF4-FFF2-40B4-BE49-F238E27FC236}">
              <a16:creationId xmlns:a16="http://schemas.microsoft.com/office/drawing/2014/main" id="{00000000-0008-0000-0300-0000CB020000}"/>
            </a:ext>
          </a:extLst>
        </xdr:cNvPr>
        <xdr:cNvGrpSpPr>
          <a:grpSpLocks noChangeAspect="1"/>
        </xdr:cNvGrpSpPr>
      </xdr:nvGrpSpPr>
      <xdr:grpSpPr bwMode="auto">
        <a:xfrm>
          <a:off x="85725" y="10001250"/>
          <a:ext cx="752475" cy="771525"/>
          <a:chOff x="0" y="0"/>
          <a:chExt cx="88" cy="88"/>
        </a:xfrm>
      </xdr:grpSpPr>
      <xdr:sp macro="" textlink="">
        <xdr:nvSpPr>
          <xdr:cNvPr id="716" name="AutoShape 6">
            <a:extLst>
              <a:ext uri="{FF2B5EF4-FFF2-40B4-BE49-F238E27FC236}">
                <a16:creationId xmlns:a16="http://schemas.microsoft.com/office/drawing/2014/main" id="{00000000-0008-0000-0300-0000CC02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7" name="Freeform 8">
            <a:extLst>
              <a:ext uri="{FF2B5EF4-FFF2-40B4-BE49-F238E27FC236}">
                <a16:creationId xmlns:a16="http://schemas.microsoft.com/office/drawing/2014/main" id="{00000000-0008-0000-0300-0000CD02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18" name="Freeform 9">
            <a:extLst>
              <a:ext uri="{FF2B5EF4-FFF2-40B4-BE49-F238E27FC236}">
                <a16:creationId xmlns:a16="http://schemas.microsoft.com/office/drawing/2014/main" id="{00000000-0008-0000-0300-0000CE02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19" name="Freeform 10">
            <a:extLst>
              <a:ext uri="{FF2B5EF4-FFF2-40B4-BE49-F238E27FC236}">
                <a16:creationId xmlns:a16="http://schemas.microsoft.com/office/drawing/2014/main" id="{00000000-0008-0000-0300-0000CF02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720" name="Group 18">
            <a:extLst>
              <a:ext uri="{FF2B5EF4-FFF2-40B4-BE49-F238E27FC236}">
                <a16:creationId xmlns:a16="http://schemas.microsoft.com/office/drawing/2014/main" id="{00000000-0008-0000-0300-0000D002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739" name="Freeform 11">
              <a:extLst>
                <a:ext uri="{FF2B5EF4-FFF2-40B4-BE49-F238E27FC236}">
                  <a16:creationId xmlns:a16="http://schemas.microsoft.com/office/drawing/2014/main" id="{00000000-0008-0000-0300-0000E302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40" name="Freeform 12">
              <a:extLst>
                <a:ext uri="{FF2B5EF4-FFF2-40B4-BE49-F238E27FC236}">
                  <a16:creationId xmlns:a16="http://schemas.microsoft.com/office/drawing/2014/main" id="{00000000-0008-0000-0300-0000E402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41" name="Freeform 13">
              <a:extLst>
                <a:ext uri="{FF2B5EF4-FFF2-40B4-BE49-F238E27FC236}">
                  <a16:creationId xmlns:a16="http://schemas.microsoft.com/office/drawing/2014/main" id="{00000000-0008-0000-0300-0000E502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42" name="Freeform 14">
              <a:extLst>
                <a:ext uri="{FF2B5EF4-FFF2-40B4-BE49-F238E27FC236}">
                  <a16:creationId xmlns:a16="http://schemas.microsoft.com/office/drawing/2014/main" id="{00000000-0008-0000-0300-0000E602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43" name="Freeform 15">
              <a:extLst>
                <a:ext uri="{FF2B5EF4-FFF2-40B4-BE49-F238E27FC236}">
                  <a16:creationId xmlns:a16="http://schemas.microsoft.com/office/drawing/2014/main" id="{00000000-0008-0000-0300-0000E702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44" name="Freeform 16">
              <a:extLst>
                <a:ext uri="{FF2B5EF4-FFF2-40B4-BE49-F238E27FC236}">
                  <a16:creationId xmlns:a16="http://schemas.microsoft.com/office/drawing/2014/main" id="{00000000-0008-0000-0300-0000E802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45" name="Freeform 17">
              <a:extLst>
                <a:ext uri="{FF2B5EF4-FFF2-40B4-BE49-F238E27FC236}">
                  <a16:creationId xmlns:a16="http://schemas.microsoft.com/office/drawing/2014/main" id="{00000000-0008-0000-0300-0000E902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721" name="Freeform 19">
            <a:extLst>
              <a:ext uri="{FF2B5EF4-FFF2-40B4-BE49-F238E27FC236}">
                <a16:creationId xmlns:a16="http://schemas.microsoft.com/office/drawing/2014/main" id="{00000000-0008-0000-0300-0000D102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722" name="Group 28">
            <a:extLst>
              <a:ext uri="{FF2B5EF4-FFF2-40B4-BE49-F238E27FC236}">
                <a16:creationId xmlns:a16="http://schemas.microsoft.com/office/drawing/2014/main" id="{00000000-0008-0000-0300-0000D202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731" name="Freeform 20">
              <a:extLst>
                <a:ext uri="{FF2B5EF4-FFF2-40B4-BE49-F238E27FC236}">
                  <a16:creationId xmlns:a16="http://schemas.microsoft.com/office/drawing/2014/main" id="{00000000-0008-0000-0300-0000DB02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32" name="Freeform 21">
              <a:extLst>
                <a:ext uri="{FF2B5EF4-FFF2-40B4-BE49-F238E27FC236}">
                  <a16:creationId xmlns:a16="http://schemas.microsoft.com/office/drawing/2014/main" id="{00000000-0008-0000-0300-0000DC02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33" name="Freeform 22">
              <a:extLst>
                <a:ext uri="{FF2B5EF4-FFF2-40B4-BE49-F238E27FC236}">
                  <a16:creationId xmlns:a16="http://schemas.microsoft.com/office/drawing/2014/main" id="{00000000-0008-0000-0300-0000DD02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34" name="Freeform 23">
              <a:extLst>
                <a:ext uri="{FF2B5EF4-FFF2-40B4-BE49-F238E27FC236}">
                  <a16:creationId xmlns:a16="http://schemas.microsoft.com/office/drawing/2014/main" id="{00000000-0008-0000-0300-0000DE02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35" name="Freeform 24">
              <a:extLst>
                <a:ext uri="{FF2B5EF4-FFF2-40B4-BE49-F238E27FC236}">
                  <a16:creationId xmlns:a16="http://schemas.microsoft.com/office/drawing/2014/main" id="{00000000-0008-0000-0300-0000DF02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36" name="Freeform 25">
              <a:extLst>
                <a:ext uri="{FF2B5EF4-FFF2-40B4-BE49-F238E27FC236}">
                  <a16:creationId xmlns:a16="http://schemas.microsoft.com/office/drawing/2014/main" id="{00000000-0008-0000-0300-0000E002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37" name="Freeform 26">
              <a:extLst>
                <a:ext uri="{FF2B5EF4-FFF2-40B4-BE49-F238E27FC236}">
                  <a16:creationId xmlns:a16="http://schemas.microsoft.com/office/drawing/2014/main" id="{00000000-0008-0000-0300-0000E102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38" name="Freeform 27">
              <a:extLst>
                <a:ext uri="{FF2B5EF4-FFF2-40B4-BE49-F238E27FC236}">
                  <a16:creationId xmlns:a16="http://schemas.microsoft.com/office/drawing/2014/main" id="{00000000-0008-0000-0300-0000E202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723" name="Freeform 29">
            <a:extLst>
              <a:ext uri="{FF2B5EF4-FFF2-40B4-BE49-F238E27FC236}">
                <a16:creationId xmlns:a16="http://schemas.microsoft.com/office/drawing/2014/main" id="{00000000-0008-0000-0300-0000D302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724" name="Group 36">
            <a:extLst>
              <a:ext uri="{FF2B5EF4-FFF2-40B4-BE49-F238E27FC236}">
                <a16:creationId xmlns:a16="http://schemas.microsoft.com/office/drawing/2014/main" id="{00000000-0008-0000-0300-0000D402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725" name="Freeform 30">
              <a:extLst>
                <a:ext uri="{FF2B5EF4-FFF2-40B4-BE49-F238E27FC236}">
                  <a16:creationId xmlns:a16="http://schemas.microsoft.com/office/drawing/2014/main" id="{00000000-0008-0000-0300-0000D502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26" name="Freeform 31">
              <a:extLst>
                <a:ext uri="{FF2B5EF4-FFF2-40B4-BE49-F238E27FC236}">
                  <a16:creationId xmlns:a16="http://schemas.microsoft.com/office/drawing/2014/main" id="{00000000-0008-0000-0300-0000D602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27" name="Freeform 32">
              <a:extLst>
                <a:ext uri="{FF2B5EF4-FFF2-40B4-BE49-F238E27FC236}">
                  <a16:creationId xmlns:a16="http://schemas.microsoft.com/office/drawing/2014/main" id="{00000000-0008-0000-0300-0000D702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28" name="Freeform 33">
              <a:extLst>
                <a:ext uri="{FF2B5EF4-FFF2-40B4-BE49-F238E27FC236}">
                  <a16:creationId xmlns:a16="http://schemas.microsoft.com/office/drawing/2014/main" id="{00000000-0008-0000-0300-0000D802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29" name="Freeform 34">
              <a:extLst>
                <a:ext uri="{FF2B5EF4-FFF2-40B4-BE49-F238E27FC236}">
                  <a16:creationId xmlns:a16="http://schemas.microsoft.com/office/drawing/2014/main" id="{00000000-0008-0000-0300-0000D902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30" name="Freeform 35">
              <a:extLst>
                <a:ext uri="{FF2B5EF4-FFF2-40B4-BE49-F238E27FC236}">
                  <a16:creationId xmlns:a16="http://schemas.microsoft.com/office/drawing/2014/main" id="{00000000-0008-0000-0300-0000DA02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6</xdr:col>
      <xdr:colOff>0</xdr:colOff>
      <xdr:row>47</xdr:row>
      <xdr:rowOff>1</xdr:rowOff>
    </xdr:from>
    <xdr:to>
      <xdr:col>6</xdr:col>
      <xdr:colOff>752475</xdr:colOff>
      <xdr:row>49</xdr:row>
      <xdr:rowOff>114301</xdr:rowOff>
    </xdr:to>
    <xdr:grpSp>
      <xdr:nvGrpSpPr>
        <xdr:cNvPr id="746" name="Group 7">
          <a:extLst>
            <a:ext uri="{FF2B5EF4-FFF2-40B4-BE49-F238E27FC236}">
              <a16:creationId xmlns:a16="http://schemas.microsoft.com/office/drawing/2014/main" id="{00000000-0008-0000-0300-0000EA020000}"/>
            </a:ext>
          </a:extLst>
        </xdr:cNvPr>
        <xdr:cNvGrpSpPr>
          <a:grpSpLocks noChangeAspect="1"/>
        </xdr:cNvGrpSpPr>
      </xdr:nvGrpSpPr>
      <xdr:grpSpPr bwMode="auto">
        <a:xfrm>
          <a:off x="6067425" y="9953626"/>
          <a:ext cx="752475" cy="666750"/>
          <a:chOff x="0" y="0"/>
          <a:chExt cx="88" cy="88"/>
        </a:xfrm>
      </xdr:grpSpPr>
      <xdr:sp macro="" textlink="">
        <xdr:nvSpPr>
          <xdr:cNvPr id="747" name="AutoShape 6">
            <a:extLst>
              <a:ext uri="{FF2B5EF4-FFF2-40B4-BE49-F238E27FC236}">
                <a16:creationId xmlns:a16="http://schemas.microsoft.com/office/drawing/2014/main" id="{00000000-0008-0000-0300-0000EB02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48" name="Freeform 8">
            <a:extLst>
              <a:ext uri="{FF2B5EF4-FFF2-40B4-BE49-F238E27FC236}">
                <a16:creationId xmlns:a16="http://schemas.microsoft.com/office/drawing/2014/main" id="{00000000-0008-0000-0300-0000EC02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49" name="Freeform 9">
            <a:extLst>
              <a:ext uri="{FF2B5EF4-FFF2-40B4-BE49-F238E27FC236}">
                <a16:creationId xmlns:a16="http://schemas.microsoft.com/office/drawing/2014/main" id="{00000000-0008-0000-0300-0000ED02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50" name="Freeform 10">
            <a:extLst>
              <a:ext uri="{FF2B5EF4-FFF2-40B4-BE49-F238E27FC236}">
                <a16:creationId xmlns:a16="http://schemas.microsoft.com/office/drawing/2014/main" id="{00000000-0008-0000-0300-0000EE02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751" name="Group 18">
            <a:extLst>
              <a:ext uri="{FF2B5EF4-FFF2-40B4-BE49-F238E27FC236}">
                <a16:creationId xmlns:a16="http://schemas.microsoft.com/office/drawing/2014/main" id="{00000000-0008-0000-0300-0000EF02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770" name="Freeform 11">
              <a:extLst>
                <a:ext uri="{FF2B5EF4-FFF2-40B4-BE49-F238E27FC236}">
                  <a16:creationId xmlns:a16="http://schemas.microsoft.com/office/drawing/2014/main" id="{00000000-0008-0000-0300-00000203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71" name="Freeform 12">
              <a:extLst>
                <a:ext uri="{FF2B5EF4-FFF2-40B4-BE49-F238E27FC236}">
                  <a16:creationId xmlns:a16="http://schemas.microsoft.com/office/drawing/2014/main" id="{00000000-0008-0000-0300-00000303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72" name="Freeform 13">
              <a:extLst>
                <a:ext uri="{FF2B5EF4-FFF2-40B4-BE49-F238E27FC236}">
                  <a16:creationId xmlns:a16="http://schemas.microsoft.com/office/drawing/2014/main" id="{00000000-0008-0000-0300-00000403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73" name="Freeform 14">
              <a:extLst>
                <a:ext uri="{FF2B5EF4-FFF2-40B4-BE49-F238E27FC236}">
                  <a16:creationId xmlns:a16="http://schemas.microsoft.com/office/drawing/2014/main" id="{00000000-0008-0000-0300-00000503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74" name="Freeform 15">
              <a:extLst>
                <a:ext uri="{FF2B5EF4-FFF2-40B4-BE49-F238E27FC236}">
                  <a16:creationId xmlns:a16="http://schemas.microsoft.com/office/drawing/2014/main" id="{00000000-0008-0000-0300-00000603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75" name="Freeform 16">
              <a:extLst>
                <a:ext uri="{FF2B5EF4-FFF2-40B4-BE49-F238E27FC236}">
                  <a16:creationId xmlns:a16="http://schemas.microsoft.com/office/drawing/2014/main" id="{00000000-0008-0000-0300-00000703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76" name="Freeform 17">
              <a:extLst>
                <a:ext uri="{FF2B5EF4-FFF2-40B4-BE49-F238E27FC236}">
                  <a16:creationId xmlns:a16="http://schemas.microsoft.com/office/drawing/2014/main" id="{00000000-0008-0000-0300-00000803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752" name="Freeform 19">
            <a:extLst>
              <a:ext uri="{FF2B5EF4-FFF2-40B4-BE49-F238E27FC236}">
                <a16:creationId xmlns:a16="http://schemas.microsoft.com/office/drawing/2014/main" id="{00000000-0008-0000-0300-0000F002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753" name="Group 28">
            <a:extLst>
              <a:ext uri="{FF2B5EF4-FFF2-40B4-BE49-F238E27FC236}">
                <a16:creationId xmlns:a16="http://schemas.microsoft.com/office/drawing/2014/main" id="{00000000-0008-0000-0300-0000F102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762" name="Freeform 20">
              <a:extLst>
                <a:ext uri="{FF2B5EF4-FFF2-40B4-BE49-F238E27FC236}">
                  <a16:creationId xmlns:a16="http://schemas.microsoft.com/office/drawing/2014/main" id="{00000000-0008-0000-0300-0000FA02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63" name="Freeform 21">
              <a:extLst>
                <a:ext uri="{FF2B5EF4-FFF2-40B4-BE49-F238E27FC236}">
                  <a16:creationId xmlns:a16="http://schemas.microsoft.com/office/drawing/2014/main" id="{00000000-0008-0000-0300-0000FB02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64" name="Freeform 22">
              <a:extLst>
                <a:ext uri="{FF2B5EF4-FFF2-40B4-BE49-F238E27FC236}">
                  <a16:creationId xmlns:a16="http://schemas.microsoft.com/office/drawing/2014/main" id="{00000000-0008-0000-0300-0000FC02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65" name="Freeform 23">
              <a:extLst>
                <a:ext uri="{FF2B5EF4-FFF2-40B4-BE49-F238E27FC236}">
                  <a16:creationId xmlns:a16="http://schemas.microsoft.com/office/drawing/2014/main" id="{00000000-0008-0000-0300-0000FD02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66" name="Freeform 24">
              <a:extLst>
                <a:ext uri="{FF2B5EF4-FFF2-40B4-BE49-F238E27FC236}">
                  <a16:creationId xmlns:a16="http://schemas.microsoft.com/office/drawing/2014/main" id="{00000000-0008-0000-0300-0000FE02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67" name="Freeform 25">
              <a:extLst>
                <a:ext uri="{FF2B5EF4-FFF2-40B4-BE49-F238E27FC236}">
                  <a16:creationId xmlns:a16="http://schemas.microsoft.com/office/drawing/2014/main" id="{00000000-0008-0000-0300-0000FF02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68" name="Freeform 26">
              <a:extLst>
                <a:ext uri="{FF2B5EF4-FFF2-40B4-BE49-F238E27FC236}">
                  <a16:creationId xmlns:a16="http://schemas.microsoft.com/office/drawing/2014/main" id="{00000000-0008-0000-0300-00000003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69" name="Freeform 27">
              <a:extLst>
                <a:ext uri="{FF2B5EF4-FFF2-40B4-BE49-F238E27FC236}">
                  <a16:creationId xmlns:a16="http://schemas.microsoft.com/office/drawing/2014/main" id="{00000000-0008-0000-0300-00000103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754" name="Freeform 29">
            <a:extLst>
              <a:ext uri="{FF2B5EF4-FFF2-40B4-BE49-F238E27FC236}">
                <a16:creationId xmlns:a16="http://schemas.microsoft.com/office/drawing/2014/main" id="{00000000-0008-0000-0300-0000F202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755" name="Group 36">
            <a:extLst>
              <a:ext uri="{FF2B5EF4-FFF2-40B4-BE49-F238E27FC236}">
                <a16:creationId xmlns:a16="http://schemas.microsoft.com/office/drawing/2014/main" id="{00000000-0008-0000-0300-0000F302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756" name="Freeform 30">
              <a:extLst>
                <a:ext uri="{FF2B5EF4-FFF2-40B4-BE49-F238E27FC236}">
                  <a16:creationId xmlns:a16="http://schemas.microsoft.com/office/drawing/2014/main" id="{00000000-0008-0000-0300-0000F402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57" name="Freeform 31">
              <a:extLst>
                <a:ext uri="{FF2B5EF4-FFF2-40B4-BE49-F238E27FC236}">
                  <a16:creationId xmlns:a16="http://schemas.microsoft.com/office/drawing/2014/main" id="{00000000-0008-0000-0300-0000F502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58" name="Freeform 32">
              <a:extLst>
                <a:ext uri="{FF2B5EF4-FFF2-40B4-BE49-F238E27FC236}">
                  <a16:creationId xmlns:a16="http://schemas.microsoft.com/office/drawing/2014/main" id="{00000000-0008-0000-0300-0000F602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59" name="Freeform 33">
              <a:extLst>
                <a:ext uri="{FF2B5EF4-FFF2-40B4-BE49-F238E27FC236}">
                  <a16:creationId xmlns:a16="http://schemas.microsoft.com/office/drawing/2014/main" id="{00000000-0008-0000-0300-0000F702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60" name="Freeform 34">
              <a:extLst>
                <a:ext uri="{FF2B5EF4-FFF2-40B4-BE49-F238E27FC236}">
                  <a16:creationId xmlns:a16="http://schemas.microsoft.com/office/drawing/2014/main" id="{00000000-0008-0000-0300-0000F802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61" name="Freeform 35">
              <a:extLst>
                <a:ext uri="{FF2B5EF4-FFF2-40B4-BE49-F238E27FC236}">
                  <a16:creationId xmlns:a16="http://schemas.microsoft.com/office/drawing/2014/main" id="{00000000-0008-0000-0300-0000F902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6</xdr:col>
      <xdr:colOff>0</xdr:colOff>
      <xdr:row>47</xdr:row>
      <xdr:rowOff>1</xdr:rowOff>
    </xdr:from>
    <xdr:to>
      <xdr:col>6</xdr:col>
      <xdr:colOff>752475</xdr:colOff>
      <xdr:row>49</xdr:row>
      <xdr:rowOff>114301</xdr:rowOff>
    </xdr:to>
    <xdr:grpSp>
      <xdr:nvGrpSpPr>
        <xdr:cNvPr id="777" name="Group 7">
          <a:extLst>
            <a:ext uri="{FF2B5EF4-FFF2-40B4-BE49-F238E27FC236}">
              <a16:creationId xmlns:a16="http://schemas.microsoft.com/office/drawing/2014/main" id="{00000000-0008-0000-0300-000009030000}"/>
            </a:ext>
          </a:extLst>
        </xdr:cNvPr>
        <xdr:cNvGrpSpPr>
          <a:grpSpLocks noChangeAspect="1"/>
        </xdr:cNvGrpSpPr>
      </xdr:nvGrpSpPr>
      <xdr:grpSpPr bwMode="auto">
        <a:xfrm>
          <a:off x="6067425" y="9953626"/>
          <a:ext cx="752475" cy="666750"/>
          <a:chOff x="0" y="0"/>
          <a:chExt cx="88" cy="88"/>
        </a:xfrm>
      </xdr:grpSpPr>
      <xdr:sp macro="" textlink="">
        <xdr:nvSpPr>
          <xdr:cNvPr id="778" name="AutoShape 6">
            <a:extLst>
              <a:ext uri="{FF2B5EF4-FFF2-40B4-BE49-F238E27FC236}">
                <a16:creationId xmlns:a16="http://schemas.microsoft.com/office/drawing/2014/main" id="{00000000-0008-0000-0300-00000A03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79" name="Freeform 8">
            <a:extLst>
              <a:ext uri="{FF2B5EF4-FFF2-40B4-BE49-F238E27FC236}">
                <a16:creationId xmlns:a16="http://schemas.microsoft.com/office/drawing/2014/main" id="{00000000-0008-0000-0300-00000B03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80" name="Freeform 9">
            <a:extLst>
              <a:ext uri="{FF2B5EF4-FFF2-40B4-BE49-F238E27FC236}">
                <a16:creationId xmlns:a16="http://schemas.microsoft.com/office/drawing/2014/main" id="{00000000-0008-0000-0300-00000C03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81" name="Freeform 10">
            <a:extLst>
              <a:ext uri="{FF2B5EF4-FFF2-40B4-BE49-F238E27FC236}">
                <a16:creationId xmlns:a16="http://schemas.microsoft.com/office/drawing/2014/main" id="{00000000-0008-0000-0300-00000D03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782" name="Group 18">
            <a:extLst>
              <a:ext uri="{FF2B5EF4-FFF2-40B4-BE49-F238E27FC236}">
                <a16:creationId xmlns:a16="http://schemas.microsoft.com/office/drawing/2014/main" id="{00000000-0008-0000-0300-00000E03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801" name="Freeform 11">
              <a:extLst>
                <a:ext uri="{FF2B5EF4-FFF2-40B4-BE49-F238E27FC236}">
                  <a16:creationId xmlns:a16="http://schemas.microsoft.com/office/drawing/2014/main" id="{00000000-0008-0000-0300-00002103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02" name="Freeform 12">
              <a:extLst>
                <a:ext uri="{FF2B5EF4-FFF2-40B4-BE49-F238E27FC236}">
                  <a16:creationId xmlns:a16="http://schemas.microsoft.com/office/drawing/2014/main" id="{00000000-0008-0000-0300-00002203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03" name="Freeform 13">
              <a:extLst>
                <a:ext uri="{FF2B5EF4-FFF2-40B4-BE49-F238E27FC236}">
                  <a16:creationId xmlns:a16="http://schemas.microsoft.com/office/drawing/2014/main" id="{00000000-0008-0000-0300-00002303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04" name="Freeform 14">
              <a:extLst>
                <a:ext uri="{FF2B5EF4-FFF2-40B4-BE49-F238E27FC236}">
                  <a16:creationId xmlns:a16="http://schemas.microsoft.com/office/drawing/2014/main" id="{00000000-0008-0000-0300-00002403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05" name="Freeform 15">
              <a:extLst>
                <a:ext uri="{FF2B5EF4-FFF2-40B4-BE49-F238E27FC236}">
                  <a16:creationId xmlns:a16="http://schemas.microsoft.com/office/drawing/2014/main" id="{00000000-0008-0000-0300-00002503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06" name="Freeform 16">
              <a:extLst>
                <a:ext uri="{FF2B5EF4-FFF2-40B4-BE49-F238E27FC236}">
                  <a16:creationId xmlns:a16="http://schemas.microsoft.com/office/drawing/2014/main" id="{00000000-0008-0000-0300-00002603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07" name="Freeform 17">
              <a:extLst>
                <a:ext uri="{FF2B5EF4-FFF2-40B4-BE49-F238E27FC236}">
                  <a16:creationId xmlns:a16="http://schemas.microsoft.com/office/drawing/2014/main" id="{00000000-0008-0000-0300-00002703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783" name="Freeform 19">
            <a:extLst>
              <a:ext uri="{FF2B5EF4-FFF2-40B4-BE49-F238E27FC236}">
                <a16:creationId xmlns:a16="http://schemas.microsoft.com/office/drawing/2014/main" id="{00000000-0008-0000-0300-00000F03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784" name="Group 28">
            <a:extLst>
              <a:ext uri="{FF2B5EF4-FFF2-40B4-BE49-F238E27FC236}">
                <a16:creationId xmlns:a16="http://schemas.microsoft.com/office/drawing/2014/main" id="{00000000-0008-0000-0300-00001003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793" name="Freeform 20">
              <a:extLst>
                <a:ext uri="{FF2B5EF4-FFF2-40B4-BE49-F238E27FC236}">
                  <a16:creationId xmlns:a16="http://schemas.microsoft.com/office/drawing/2014/main" id="{00000000-0008-0000-0300-00001903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94" name="Freeform 21">
              <a:extLst>
                <a:ext uri="{FF2B5EF4-FFF2-40B4-BE49-F238E27FC236}">
                  <a16:creationId xmlns:a16="http://schemas.microsoft.com/office/drawing/2014/main" id="{00000000-0008-0000-0300-00001A03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95" name="Freeform 22">
              <a:extLst>
                <a:ext uri="{FF2B5EF4-FFF2-40B4-BE49-F238E27FC236}">
                  <a16:creationId xmlns:a16="http://schemas.microsoft.com/office/drawing/2014/main" id="{00000000-0008-0000-0300-00001B03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96" name="Freeform 23">
              <a:extLst>
                <a:ext uri="{FF2B5EF4-FFF2-40B4-BE49-F238E27FC236}">
                  <a16:creationId xmlns:a16="http://schemas.microsoft.com/office/drawing/2014/main" id="{00000000-0008-0000-0300-00001C03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97" name="Freeform 24">
              <a:extLst>
                <a:ext uri="{FF2B5EF4-FFF2-40B4-BE49-F238E27FC236}">
                  <a16:creationId xmlns:a16="http://schemas.microsoft.com/office/drawing/2014/main" id="{00000000-0008-0000-0300-00001D03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98" name="Freeform 25">
              <a:extLst>
                <a:ext uri="{FF2B5EF4-FFF2-40B4-BE49-F238E27FC236}">
                  <a16:creationId xmlns:a16="http://schemas.microsoft.com/office/drawing/2014/main" id="{00000000-0008-0000-0300-00001E03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799" name="Freeform 26">
              <a:extLst>
                <a:ext uri="{FF2B5EF4-FFF2-40B4-BE49-F238E27FC236}">
                  <a16:creationId xmlns:a16="http://schemas.microsoft.com/office/drawing/2014/main" id="{00000000-0008-0000-0300-00001F03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00" name="Freeform 27">
              <a:extLst>
                <a:ext uri="{FF2B5EF4-FFF2-40B4-BE49-F238E27FC236}">
                  <a16:creationId xmlns:a16="http://schemas.microsoft.com/office/drawing/2014/main" id="{00000000-0008-0000-0300-00002003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785" name="Freeform 29">
            <a:extLst>
              <a:ext uri="{FF2B5EF4-FFF2-40B4-BE49-F238E27FC236}">
                <a16:creationId xmlns:a16="http://schemas.microsoft.com/office/drawing/2014/main" id="{00000000-0008-0000-0300-00001103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786" name="Group 36">
            <a:extLst>
              <a:ext uri="{FF2B5EF4-FFF2-40B4-BE49-F238E27FC236}">
                <a16:creationId xmlns:a16="http://schemas.microsoft.com/office/drawing/2014/main" id="{00000000-0008-0000-0300-00001203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787" name="Freeform 30">
              <a:extLst>
                <a:ext uri="{FF2B5EF4-FFF2-40B4-BE49-F238E27FC236}">
                  <a16:creationId xmlns:a16="http://schemas.microsoft.com/office/drawing/2014/main" id="{00000000-0008-0000-0300-00001303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88" name="Freeform 31">
              <a:extLst>
                <a:ext uri="{FF2B5EF4-FFF2-40B4-BE49-F238E27FC236}">
                  <a16:creationId xmlns:a16="http://schemas.microsoft.com/office/drawing/2014/main" id="{00000000-0008-0000-0300-00001403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89" name="Freeform 32">
              <a:extLst>
                <a:ext uri="{FF2B5EF4-FFF2-40B4-BE49-F238E27FC236}">
                  <a16:creationId xmlns:a16="http://schemas.microsoft.com/office/drawing/2014/main" id="{00000000-0008-0000-0300-00001503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90" name="Freeform 33">
              <a:extLst>
                <a:ext uri="{FF2B5EF4-FFF2-40B4-BE49-F238E27FC236}">
                  <a16:creationId xmlns:a16="http://schemas.microsoft.com/office/drawing/2014/main" id="{00000000-0008-0000-0300-00001603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91" name="Freeform 34">
              <a:extLst>
                <a:ext uri="{FF2B5EF4-FFF2-40B4-BE49-F238E27FC236}">
                  <a16:creationId xmlns:a16="http://schemas.microsoft.com/office/drawing/2014/main" id="{00000000-0008-0000-0300-00001703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792" name="Freeform 35">
              <a:extLst>
                <a:ext uri="{FF2B5EF4-FFF2-40B4-BE49-F238E27FC236}">
                  <a16:creationId xmlns:a16="http://schemas.microsoft.com/office/drawing/2014/main" id="{00000000-0008-0000-0300-00001803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6</xdr:col>
      <xdr:colOff>0</xdr:colOff>
      <xdr:row>47</xdr:row>
      <xdr:rowOff>1</xdr:rowOff>
    </xdr:from>
    <xdr:to>
      <xdr:col>6</xdr:col>
      <xdr:colOff>752475</xdr:colOff>
      <xdr:row>49</xdr:row>
      <xdr:rowOff>114301</xdr:rowOff>
    </xdr:to>
    <xdr:grpSp>
      <xdr:nvGrpSpPr>
        <xdr:cNvPr id="808" name="Group 7">
          <a:extLst>
            <a:ext uri="{FF2B5EF4-FFF2-40B4-BE49-F238E27FC236}">
              <a16:creationId xmlns:a16="http://schemas.microsoft.com/office/drawing/2014/main" id="{00000000-0008-0000-0300-000028030000}"/>
            </a:ext>
          </a:extLst>
        </xdr:cNvPr>
        <xdr:cNvGrpSpPr>
          <a:grpSpLocks noChangeAspect="1"/>
        </xdr:cNvGrpSpPr>
      </xdr:nvGrpSpPr>
      <xdr:grpSpPr bwMode="auto">
        <a:xfrm>
          <a:off x="6067425" y="9953626"/>
          <a:ext cx="752475" cy="666750"/>
          <a:chOff x="0" y="0"/>
          <a:chExt cx="88" cy="88"/>
        </a:xfrm>
      </xdr:grpSpPr>
      <xdr:sp macro="" textlink="">
        <xdr:nvSpPr>
          <xdr:cNvPr id="809" name="AutoShape 6">
            <a:extLst>
              <a:ext uri="{FF2B5EF4-FFF2-40B4-BE49-F238E27FC236}">
                <a16:creationId xmlns:a16="http://schemas.microsoft.com/office/drawing/2014/main" id="{00000000-0008-0000-0300-00002903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10" name="Freeform 8">
            <a:extLst>
              <a:ext uri="{FF2B5EF4-FFF2-40B4-BE49-F238E27FC236}">
                <a16:creationId xmlns:a16="http://schemas.microsoft.com/office/drawing/2014/main" id="{00000000-0008-0000-0300-00002A03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11" name="Freeform 9">
            <a:extLst>
              <a:ext uri="{FF2B5EF4-FFF2-40B4-BE49-F238E27FC236}">
                <a16:creationId xmlns:a16="http://schemas.microsoft.com/office/drawing/2014/main" id="{00000000-0008-0000-0300-00002B03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12" name="Freeform 10">
            <a:extLst>
              <a:ext uri="{FF2B5EF4-FFF2-40B4-BE49-F238E27FC236}">
                <a16:creationId xmlns:a16="http://schemas.microsoft.com/office/drawing/2014/main" id="{00000000-0008-0000-0300-00002C03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813" name="Group 18">
            <a:extLst>
              <a:ext uri="{FF2B5EF4-FFF2-40B4-BE49-F238E27FC236}">
                <a16:creationId xmlns:a16="http://schemas.microsoft.com/office/drawing/2014/main" id="{00000000-0008-0000-0300-00002D03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832" name="Freeform 11">
              <a:extLst>
                <a:ext uri="{FF2B5EF4-FFF2-40B4-BE49-F238E27FC236}">
                  <a16:creationId xmlns:a16="http://schemas.microsoft.com/office/drawing/2014/main" id="{00000000-0008-0000-0300-00004003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33" name="Freeform 12">
              <a:extLst>
                <a:ext uri="{FF2B5EF4-FFF2-40B4-BE49-F238E27FC236}">
                  <a16:creationId xmlns:a16="http://schemas.microsoft.com/office/drawing/2014/main" id="{00000000-0008-0000-0300-00004103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34" name="Freeform 13">
              <a:extLst>
                <a:ext uri="{FF2B5EF4-FFF2-40B4-BE49-F238E27FC236}">
                  <a16:creationId xmlns:a16="http://schemas.microsoft.com/office/drawing/2014/main" id="{00000000-0008-0000-0300-00004203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35" name="Freeform 14">
              <a:extLst>
                <a:ext uri="{FF2B5EF4-FFF2-40B4-BE49-F238E27FC236}">
                  <a16:creationId xmlns:a16="http://schemas.microsoft.com/office/drawing/2014/main" id="{00000000-0008-0000-0300-00004303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36" name="Freeform 15">
              <a:extLst>
                <a:ext uri="{FF2B5EF4-FFF2-40B4-BE49-F238E27FC236}">
                  <a16:creationId xmlns:a16="http://schemas.microsoft.com/office/drawing/2014/main" id="{00000000-0008-0000-0300-00004403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37" name="Freeform 16">
              <a:extLst>
                <a:ext uri="{FF2B5EF4-FFF2-40B4-BE49-F238E27FC236}">
                  <a16:creationId xmlns:a16="http://schemas.microsoft.com/office/drawing/2014/main" id="{00000000-0008-0000-0300-00004503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38" name="Freeform 17">
              <a:extLst>
                <a:ext uri="{FF2B5EF4-FFF2-40B4-BE49-F238E27FC236}">
                  <a16:creationId xmlns:a16="http://schemas.microsoft.com/office/drawing/2014/main" id="{00000000-0008-0000-0300-00004603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814" name="Freeform 19">
            <a:extLst>
              <a:ext uri="{FF2B5EF4-FFF2-40B4-BE49-F238E27FC236}">
                <a16:creationId xmlns:a16="http://schemas.microsoft.com/office/drawing/2014/main" id="{00000000-0008-0000-0300-00002E03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815" name="Group 28">
            <a:extLst>
              <a:ext uri="{FF2B5EF4-FFF2-40B4-BE49-F238E27FC236}">
                <a16:creationId xmlns:a16="http://schemas.microsoft.com/office/drawing/2014/main" id="{00000000-0008-0000-0300-00002F03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824" name="Freeform 20">
              <a:extLst>
                <a:ext uri="{FF2B5EF4-FFF2-40B4-BE49-F238E27FC236}">
                  <a16:creationId xmlns:a16="http://schemas.microsoft.com/office/drawing/2014/main" id="{00000000-0008-0000-0300-00003803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25" name="Freeform 21">
              <a:extLst>
                <a:ext uri="{FF2B5EF4-FFF2-40B4-BE49-F238E27FC236}">
                  <a16:creationId xmlns:a16="http://schemas.microsoft.com/office/drawing/2014/main" id="{00000000-0008-0000-0300-00003903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26" name="Freeform 22">
              <a:extLst>
                <a:ext uri="{FF2B5EF4-FFF2-40B4-BE49-F238E27FC236}">
                  <a16:creationId xmlns:a16="http://schemas.microsoft.com/office/drawing/2014/main" id="{00000000-0008-0000-0300-00003A03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27" name="Freeform 23">
              <a:extLst>
                <a:ext uri="{FF2B5EF4-FFF2-40B4-BE49-F238E27FC236}">
                  <a16:creationId xmlns:a16="http://schemas.microsoft.com/office/drawing/2014/main" id="{00000000-0008-0000-0300-00003B03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28" name="Freeform 24">
              <a:extLst>
                <a:ext uri="{FF2B5EF4-FFF2-40B4-BE49-F238E27FC236}">
                  <a16:creationId xmlns:a16="http://schemas.microsoft.com/office/drawing/2014/main" id="{00000000-0008-0000-0300-00003C03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29" name="Freeform 25">
              <a:extLst>
                <a:ext uri="{FF2B5EF4-FFF2-40B4-BE49-F238E27FC236}">
                  <a16:creationId xmlns:a16="http://schemas.microsoft.com/office/drawing/2014/main" id="{00000000-0008-0000-0300-00003D03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30" name="Freeform 26">
              <a:extLst>
                <a:ext uri="{FF2B5EF4-FFF2-40B4-BE49-F238E27FC236}">
                  <a16:creationId xmlns:a16="http://schemas.microsoft.com/office/drawing/2014/main" id="{00000000-0008-0000-0300-00003E03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31" name="Freeform 27">
              <a:extLst>
                <a:ext uri="{FF2B5EF4-FFF2-40B4-BE49-F238E27FC236}">
                  <a16:creationId xmlns:a16="http://schemas.microsoft.com/office/drawing/2014/main" id="{00000000-0008-0000-0300-00003F03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816" name="Freeform 29">
            <a:extLst>
              <a:ext uri="{FF2B5EF4-FFF2-40B4-BE49-F238E27FC236}">
                <a16:creationId xmlns:a16="http://schemas.microsoft.com/office/drawing/2014/main" id="{00000000-0008-0000-0300-00003003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817" name="Group 36">
            <a:extLst>
              <a:ext uri="{FF2B5EF4-FFF2-40B4-BE49-F238E27FC236}">
                <a16:creationId xmlns:a16="http://schemas.microsoft.com/office/drawing/2014/main" id="{00000000-0008-0000-0300-00003103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818" name="Freeform 30">
              <a:extLst>
                <a:ext uri="{FF2B5EF4-FFF2-40B4-BE49-F238E27FC236}">
                  <a16:creationId xmlns:a16="http://schemas.microsoft.com/office/drawing/2014/main" id="{00000000-0008-0000-0300-00003203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19" name="Freeform 31">
              <a:extLst>
                <a:ext uri="{FF2B5EF4-FFF2-40B4-BE49-F238E27FC236}">
                  <a16:creationId xmlns:a16="http://schemas.microsoft.com/office/drawing/2014/main" id="{00000000-0008-0000-0300-00003303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20" name="Freeform 32">
              <a:extLst>
                <a:ext uri="{FF2B5EF4-FFF2-40B4-BE49-F238E27FC236}">
                  <a16:creationId xmlns:a16="http://schemas.microsoft.com/office/drawing/2014/main" id="{00000000-0008-0000-0300-00003403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21" name="Freeform 33">
              <a:extLst>
                <a:ext uri="{FF2B5EF4-FFF2-40B4-BE49-F238E27FC236}">
                  <a16:creationId xmlns:a16="http://schemas.microsoft.com/office/drawing/2014/main" id="{00000000-0008-0000-0300-00003503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22" name="Freeform 34">
              <a:extLst>
                <a:ext uri="{FF2B5EF4-FFF2-40B4-BE49-F238E27FC236}">
                  <a16:creationId xmlns:a16="http://schemas.microsoft.com/office/drawing/2014/main" id="{00000000-0008-0000-0300-00003603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23" name="Freeform 35">
              <a:extLst>
                <a:ext uri="{FF2B5EF4-FFF2-40B4-BE49-F238E27FC236}">
                  <a16:creationId xmlns:a16="http://schemas.microsoft.com/office/drawing/2014/main" id="{00000000-0008-0000-0300-00003703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6</xdr:col>
      <xdr:colOff>0</xdr:colOff>
      <xdr:row>47</xdr:row>
      <xdr:rowOff>1</xdr:rowOff>
    </xdr:from>
    <xdr:to>
      <xdr:col>6</xdr:col>
      <xdr:colOff>752475</xdr:colOff>
      <xdr:row>49</xdr:row>
      <xdr:rowOff>114301</xdr:rowOff>
    </xdr:to>
    <xdr:grpSp>
      <xdr:nvGrpSpPr>
        <xdr:cNvPr id="839" name="Group 7">
          <a:extLst>
            <a:ext uri="{FF2B5EF4-FFF2-40B4-BE49-F238E27FC236}">
              <a16:creationId xmlns:a16="http://schemas.microsoft.com/office/drawing/2014/main" id="{00000000-0008-0000-0300-000047030000}"/>
            </a:ext>
          </a:extLst>
        </xdr:cNvPr>
        <xdr:cNvGrpSpPr>
          <a:grpSpLocks noChangeAspect="1"/>
        </xdr:cNvGrpSpPr>
      </xdr:nvGrpSpPr>
      <xdr:grpSpPr bwMode="auto">
        <a:xfrm>
          <a:off x="6067425" y="9953626"/>
          <a:ext cx="752475" cy="666750"/>
          <a:chOff x="0" y="0"/>
          <a:chExt cx="88" cy="88"/>
        </a:xfrm>
      </xdr:grpSpPr>
      <xdr:sp macro="" textlink="">
        <xdr:nvSpPr>
          <xdr:cNvPr id="840" name="AutoShape 6">
            <a:extLst>
              <a:ext uri="{FF2B5EF4-FFF2-40B4-BE49-F238E27FC236}">
                <a16:creationId xmlns:a16="http://schemas.microsoft.com/office/drawing/2014/main" id="{00000000-0008-0000-0300-00004803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41" name="Freeform 8">
            <a:extLst>
              <a:ext uri="{FF2B5EF4-FFF2-40B4-BE49-F238E27FC236}">
                <a16:creationId xmlns:a16="http://schemas.microsoft.com/office/drawing/2014/main" id="{00000000-0008-0000-0300-00004903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42" name="Freeform 9">
            <a:extLst>
              <a:ext uri="{FF2B5EF4-FFF2-40B4-BE49-F238E27FC236}">
                <a16:creationId xmlns:a16="http://schemas.microsoft.com/office/drawing/2014/main" id="{00000000-0008-0000-0300-00004A03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43" name="Freeform 10">
            <a:extLst>
              <a:ext uri="{FF2B5EF4-FFF2-40B4-BE49-F238E27FC236}">
                <a16:creationId xmlns:a16="http://schemas.microsoft.com/office/drawing/2014/main" id="{00000000-0008-0000-0300-00004B03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844" name="Group 18">
            <a:extLst>
              <a:ext uri="{FF2B5EF4-FFF2-40B4-BE49-F238E27FC236}">
                <a16:creationId xmlns:a16="http://schemas.microsoft.com/office/drawing/2014/main" id="{00000000-0008-0000-0300-00004C03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863" name="Freeform 11">
              <a:extLst>
                <a:ext uri="{FF2B5EF4-FFF2-40B4-BE49-F238E27FC236}">
                  <a16:creationId xmlns:a16="http://schemas.microsoft.com/office/drawing/2014/main" id="{00000000-0008-0000-0300-00005F03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64" name="Freeform 12">
              <a:extLst>
                <a:ext uri="{FF2B5EF4-FFF2-40B4-BE49-F238E27FC236}">
                  <a16:creationId xmlns:a16="http://schemas.microsoft.com/office/drawing/2014/main" id="{00000000-0008-0000-0300-00006003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65" name="Freeform 13">
              <a:extLst>
                <a:ext uri="{FF2B5EF4-FFF2-40B4-BE49-F238E27FC236}">
                  <a16:creationId xmlns:a16="http://schemas.microsoft.com/office/drawing/2014/main" id="{00000000-0008-0000-0300-00006103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66" name="Freeform 14">
              <a:extLst>
                <a:ext uri="{FF2B5EF4-FFF2-40B4-BE49-F238E27FC236}">
                  <a16:creationId xmlns:a16="http://schemas.microsoft.com/office/drawing/2014/main" id="{00000000-0008-0000-0300-00006203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67" name="Freeform 15">
              <a:extLst>
                <a:ext uri="{FF2B5EF4-FFF2-40B4-BE49-F238E27FC236}">
                  <a16:creationId xmlns:a16="http://schemas.microsoft.com/office/drawing/2014/main" id="{00000000-0008-0000-0300-00006303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68" name="Freeform 16">
              <a:extLst>
                <a:ext uri="{FF2B5EF4-FFF2-40B4-BE49-F238E27FC236}">
                  <a16:creationId xmlns:a16="http://schemas.microsoft.com/office/drawing/2014/main" id="{00000000-0008-0000-0300-00006403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69" name="Freeform 17">
              <a:extLst>
                <a:ext uri="{FF2B5EF4-FFF2-40B4-BE49-F238E27FC236}">
                  <a16:creationId xmlns:a16="http://schemas.microsoft.com/office/drawing/2014/main" id="{00000000-0008-0000-0300-00006503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845" name="Freeform 19">
            <a:extLst>
              <a:ext uri="{FF2B5EF4-FFF2-40B4-BE49-F238E27FC236}">
                <a16:creationId xmlns:a16="http://schemas.microsoft.com/office/drawing/2014/main" id="{00000000-0008-0000-0300-00004D03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846" name="Group 28">
            <a:extLst>
              <a:ext uri="{FF2B5EF4-FFF2-40B4-BE49-F238E27FC236}">
                <a16:creationId xmlns:a16="http://schemas.microsoft.com/office/drawing/2014/main" id="{00000000-0008-0000-0300-00004E03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855" name="Freeform 20">
              <a:extLst>
                <a:ext uri="{FF2B5EF4-FFF2-40B4-BE49-F238E27FC236}">
                  <a16:creationId xmlns:a16="http://schemas.microsoft.com/office/drawing/2014/main" id="{00000000-0008-0000-0300-00005703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56" name="Freeform 21">
              <a:extLst>
                <a:ext uri="{FF2B5EF4-FFF2-40B4-BE49-F238E27FC236}">
                  <a16:creationId xmlns:a16="http://schemas.microsoft.com/office/drawing/2014/main" id="{00000000-0008-0000-0300-00005803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57" name="Freeform 22">
              <a:extLst>
                <a:ext uri="{FF2B5EF4-FFF2-40B4-BE49-F238E27FC236}">
                  <a16:creationId xmlns:a16="http://schemas.microsoft.com/office/drawing/2014/main" id="{00000000-0008-0000-0300-00005903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58" name="Freeform 23">
              <a:extLst>
                <a:ext uri="{FF2B5EF4-FFF2-40B4-BE49-F238E27FC236}">
                  <a16:creationId xmlns:a16="http://schemas.microsoft.com/office/drawing/2014/main" id="{00000000-0008-0000-0300-00005A03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59" name="Freeform 24">
              <a:extLst>
                <a:ext uri="{FF2B5EF4-FFF2-40B4-BE49-F238E27FC236}">
                  <a16:creationId xmlns:a16="http://schemas.microsoft.com/office/drawing/2014/main" id="{00000000-0008-0000-0300-00005B03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60" name="Freeform 25">
              <a:extLst>
                <a:ext uri="{FF2B5EF4-FFF2-40B4-BE49-F238E27FC236}">
                  <a16:creationId xmlns:a16="http://schemas.microsoft.com/office/drawing/2014/main" id="{00000000-0008-0000-0300-00005C03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61" name="Freeform 26">
              <a:extLst>
                <a:ext uri="{FF2B5EF4-FFF2-40B4-BE49-F238E27FC236}">
                  <a16:creationId xmlns:a16="http://schemas.microsoft.com/office/drawing/2014/main" id="{00000000-0008-0000-0300-00005D03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62" name="Freeform 27">
              <a:extLst>
                <a:ext uri="{FF2B5EF4-FFF2-40B4-BE49-F238E27FC236}">
                  <a16:creationId xmlns:a16="http://schemas.microsoft.com/office/drawing/2014/main" id="{00000000-0008-0000-0300-00005E03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847" name="Freeform 29">
            <a:extLst>
              <a:ext uri="{FF2B5EF4-FFF2-40B4-BE49-F238E27FC236}">
                <a16:creationId xmlns:a16="http://schemas.microsoft.com/office/drawing/2014/main" id="{00000000-0008-0000-0300-00004F03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848" name="Group 36">
            <a:extLst>
              <a:ext uri="{FF2B5EF4-FFF2-40B4-BE49-F238E27FC236}">
                <a16:creationId xmlns:a16="http://schemas.microsoft.com/office/drawing/2014/main" id="{00000000-0008-0000-0300-00005003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849" name="Freeform 30">
              <a:extLst>
                <a:ext uri="{FF2B5EF4-FFF2-40B4-BE49-F238E27FC236}">
                  <a16:creationId xmlns:a16="http://schemas.microsoft.com/office/drawing/2014/main" id="{00000000-0008-0000-0300-00005103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50" name="Freeform 31">
              <a:extLst>
                <a:ext uri="{FF2B5EF4-FFF2-40B4-BE49-F238E27FC236}">
                  <a16:creationId xmlns:a16="http://schemas.microsoft.com/office/drawing/2014/main" id="{00000000-0008-0000-0300-00005203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51" name="Freeform 32">
              <a:extLst>
                <a:ext uri="{FF2B5EF4-FFF2-40B4-BE49-F238E27FC236}">
                  <a16:creationId xmlns:a16="http://schemas.microsoft.com/office/drawing/2014/main" id="{00000000-0008-0000-0300-00005303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52" name="Freeform 33">
              <a:extLst>
                <a:ext uri="{FF2B5EF4-FFF2-40B4-BE49-F238E27FC236}">
                  <a16:creationId xmlns:a16="http://schemas.microsoft.com/office/drawing/2014/main" id="{00000000-0008-0000-0300-00005403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53" name="Freeform 34">
              <a:extLst>
                <a:ext uri="{FF2B5EF4-FFF2-40B4-BE49-F238E27FC236}">
                  <a16:creationId xmlns:a16="http://schemas.microsoft.com/office/drawing/2014/main" id="{00000000-0008-0000-0300-00005503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54" name="Freeform 35">
              <a:extLst>
                <a:ext uri="{FF2B5EF4-FFF2-40B4-BE49-F238E27FC236}">
                  <a16:creationId xmlns:a16="http://schemas.microsoft.com/office/drawing/2014/main" id="{00000000-0008-0000-0300-00005603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0</xdr:col>
      <xdr:colOff>28575</xdr:colOff>
      <xdr:row>95</xdr:row>
      <xdr:rowOff>66676</xdr:rowOff>
    </xdr:from>
    <xdr:to>
      <xdr:col>0</xdr:col>
      <xdr:colOff>781050</xdr:colOff>
      <xdr:row>98</xdr:row>
      <xdr:rowOff>104775</xdr:rowOff>
    </xdr:to>
    <xdr:grpSp>
      <xdr:nvGrpSpPr>
        <xdr:cNvPr id="467" name="Group 7">
          <a:extLst>
            <a:ext uri="{FF2B5EF4-FFF2-40B4-BE49-F238E27FC236}">
              <a16:creationId xmlns:a16="http://schemas.microsoft.com/office/drawing/2014/main" id="{00000000-0008-0000-0300-0000D3010000}"/>
            </a:ext>
          </a:extLst>
        </xdr:cNvPr>
        <xdr:cNvGrpSpPr>
          <a:grpSpLocks noChangeAspect="1"/>
        </xdr:cNvGrpSpPr>
      </xdr:nvGrpSpPr>
      <xdr:grpSpPr bwMode="auto">
        <a:xfrm>
          <a:off x="28575" y="19888201"/>
          <a:ext cx="752475" cy="790574"/>
          <a:chOff x="0" y="0"/>
          <a:chExt cx="88" cy="88"/>
        </a:xfrm>
      </xdr:grpSpPr>
      <xdr:sp macro="" textlink="">
        <xdr:nvSpPr>
          <xdr:cNvPr id="468" name="AutoShape 6">
            <a:extLst>
              <a:ext uri="{FF2B5EF4-FFF2-40B4-BE49-F238E27FC236}">
                <a16:creationId xmlns:a16="http://schemas.microsoft.com/office/drawing/2014/main" id="{00000000-0008-0000-0300-0000D401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9" name="Freeform 8">
            <a:extLst>
              <a:ext uri="{FF2B5EF4-FFF2-40B4-BE49-F238E27FC236}">
                <a16:creationId xmlns:a16="http://schemas.microsoft.com/office/drawing/2014/main" id="{00000000-0008-0000-0300-0000D501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0" name="Freeform 9">
            <a:extLst>
              <a:ext uri="{FF2B5EF4-FFF2-40B4-BE49-F238E27FC236}">
                <a16:creationId xmlns:a16="http://schemas.microsoft.com/office/drawing/2014/main" id="{00000000-0008-0000-0300-0000D601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71" name="Freeform 10">
            <a:extLst>
              <a:ext uri="{FF2B5EF4-FFF2-40B4-BE49-F238E27FC236}">
                <a16:creationId xmlns:a16="http://schemas.microsoft.com/office/drawing/2014/main" id="{00000000-0008-0000-0300-0000D701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472" name="Group 18">
            <a:extLst>
              <a:ext uri="{FF2B5EF4-FFF2-40B4-BE49-F238E27FC236}">
                <a16:creationId xmlns:a16="http://schemas.microsoft.com/office/drawing/2014/main" id="{00000000-0008-0000-0300-0000D801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491" name="Freeform 11">
              <a:extLst>
                <a:ext uri="{FF2B5EF4-FFF2-40B4-BE49-F238E27FC236}">
                  <a16:creationId xmlns:a16="http://schemas.microsoft.com/office/drawing/2014/main" id="{00000000-0008-0000-0300-0000EB01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2" name="Freeform 12">
              <a:extLst>
                <a:ext uri="{FF2B5EF4-FFF2-40B4-BE49-F238E27FC236}">
                  <a16:creationId xmlns:a16="http://schemas.microsoft.com/office/drawing/2014/main" id="{00000000-0008-0000-0300-0000EC01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3" name="Freeform 13">
              <a:extLst>
                <a:ext uri="{FF2B5EF4-FFF2-40B4-BE49-F238E27FC236}">
                  <a16:creationId xmlns:a16="http://schemas.microsoft.com/office/drawing/2014/main" id="{00000000-0008-0000-0300-0000ED01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4" name="Freeform 14">
              <a:extLst>
                <a:ext uri="{FF2B5EF4-FFF2-40B4-BE49-F238E27FC236}">
                  <a16:creationId xmlns:a16="http://schemas.microsoft.com/office/drawing/2014/main" id="{00000000-0008-0000-0300-0000EE01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5" name="Freeform 15">
              <a:extLst>
                <a:ext uri="{FF2B5EF4-FFF2-40B4-BE49-F238E27FC236}">
                  <a16:creationId xmlns:a16="http://schemas.microsoft.com/office/drawing/2014/main" id="{00000000-0008-0000-0300-0000EF01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6" name="Freeform 16">
              <a:extLst>
                <a:ext uri="{FF2B5EF4-FFF2-40B4-BE49-F238E27FC236}">
                  <a16:creationId xmlns:a16="http://schemas.microsoft.com/office/drawing/2014/main" id="{00000000-0008-0000-0300-0000F001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97" name="Freeform 17">
              <a:extLst>
                <a:ext uri="{FF2B5EF4-FFF2-40B4-BE49-F238E27FC236}">
                  <a16:creationId xmlns:a16="http://schemas.microsoft.com/office/drawing/2014/main" id="{00000000-0008-0000-0300-0000F101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473" name="Freeform 19">
            <a:extLst>
              <a:ext uri="{FF2B5EF4-FFF2-40B4-BE49-F238E27FC236}">
                <a16:creationId xmlns:a16="http://schemas.microsoft.com/office/drawing/2014/main" id="{00000000-0008-0000-0300-0000D901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474" name="Group 28">
            <a:extLst>
              <a:ext uri="{FF2B5EF4-FFF2-40B4-BE49-F238E27FC236}">
                <a16:creationId xmlns:a16="http://schemas.microsoft.com/office/drawing/2014/main" id="{00000000-0008-0000-0300-0000DA01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483" name="Freeform 20">
              <a:extLst>
                <a:ext uri="{FF2B5EF4-FFF2-40B4-BE49-F238E27FC236}">
                  <a16:creationId xmlns:a16="http://schemas.microsoft.com/office/drawing/2014/main" id="{00000000-0008-0000-0300-0000E301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84" name="Freeform 21">
              <a:extLst>
                <a:ext uri="{FF2B5EF4-FFF2-40B4-BE49-F238E27FC236}">
                  <a16:creationId xmlns:a16="http://schemas.microsoft.com/office/drawing/2014/main" id="{00000000-0008-0000-0300-0000E401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85" name="Freeform 22">
              <a:extLst>
                <a:ext uri="{FF2B5EF4-FFF2-40B4-BE49-F238E27FC236}">
                  <a16:creationId xmlns:a16="http://schemas.microsoft.com/office/drawing/2014/main" id="{00000000-0008-0000-0300-0000E501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86" name="Freeform 23">
              <a:extLst>
                <a:ext uri="{FF2B5EF4-FFF2-40B4-BE49-F238E27FC236}">
                  <a16:creationId xmlns:a16="http://schemas.microsoft.com/office/drawing/2014/main" id="{00000000-0008-0000-0300-0000E601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87" name="Freeform 24">
              <a:extLst>
                <a:ext uri="{FF2B5EF4-FFF2-40B4-BE49-F238E27FC236}">
                  <a16:creationId xmlns:a16="http://schemas.microsoft.com/office/drawing/2014/main" id="{00000000-0008-0000-0300-0000E701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88" name="Freeform 25">
              <a:extLst>
                <a:ext uri="{FF2B5EF4-FFF2-40B4-BE49-F238E27FC236}">
                  <a16:creationId xmlns:a16="http://schemas.microsoft.com/office/drawing/2014/main" id="{00000000-0008-0000-0300-0000E801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89" name="Freeform 26">
              <a:extLst>
                <a:ext uri="{FF2B5EF4-FFF2-40B4-BE49-F238E27FC236}">
                  <a16:creationId xmlns:a16="http://schemas.microsoft.com/office/drawing/2014/main" id="{00000000-0008-0000-0300-0000E901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90" name="Freeform 27">
              <a:extLst>
                <a:ext uri="{FF2B5EF4-FFF2-40B4-BE49-F238E27FC236}">
                  <a16:creationId xmlns:a16="http://schemas.microsoft.com/office/drawing/2014/main" id="{00000000-0008-0000-0300-0000EA01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475" name="Freeform 29">
            <a:extLst>
              <a:ext uri="{FF2B5EF4-FFF2-40B4-BE49-F238E27FC236}">
                <a16:creationId xmlns:a16="http://schemas.microsoft.com/office/drawing/2014/main" id="{00000000-0008-0000-0300-0000DB01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476" name="Group 36">
            <a:extLst>
              <a:ext uri="{FF2B5EF4-FFF2-40B4-BE49-F238E27FC236}">
                <a16:creationId xmlns:a16="http://schemas.microsoft.com/office/drawing/2014/main" id="{00000000-0008-0000-0300-0000DC01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477" name="Freeform 30">
              <a:extLst>
                <a:ext uri="{FF2B5EF4-FFF2-40B4-BE49-F238E27FC236}">
                  <a16:creationId xmlns:a16="http://schemas.microsoft.com/office/drawing/2014/main" id="{00000000-0008-0000-0300-0000DD01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8" name="Freeform 31">
              <a:extLst>
                <a:ext uri="{FF2B5EF4-FFF2-40B4-BE49-F238E27FC236}">
                  <a16:creationId xmlns:a16="http://schemas.microsoft.com/office/drawing/2014/main" id="{00000000-0008-0000-0300-0000DE01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79" name="Freeform 32">
              <a:extLst>
                <a:ext uri="{FF2B5EF4-FFF2-40B4-BE49-F238E27FC236}">
                  <a16:creationId xmlns:a16="http://schemas.microsoft.com/office/drawing/2014/main" id="{00000000-0008-0000-0300-0000DF01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0" name="Freeform 33">
              <a:extLst>
                <a:ext uri="{FF2B5EF4-FFF2-40B4-BE49-F238E27FC236}">
                  <a16:creationId xmlns:a16="http://schemas.microsoft.com/office/drawing/2014/main" id="{00000000-0008-0000-0300-0000E001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1" name="Freeform 34">
              <a:extLst>
                <a:ext uri="{FF2B5EF4-FFF2-40B4-BE49-F238E27FC236}">
                  <a16:creationId xmlns:a16="http://schemas.microsoft.com/office/drawing/2014/main" id="{00000000-0008-0000-0300-0000E101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482" name="Freeform 35">
              <a:extLst>
                <a:ext uri="{FF2B5EF4-FFF2-40B4-BE49-F238E27FC236}">
                  <a16:creationId xmlns:a16="http://schemas.microsoft.com/office/drawing/2014/main" id="{00000000-0008-0000-0300-0000E201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6</xdr:col>
      <xdr:colOff>0</xdr:colOff>
      <xdr:row>95</xdr:row>
      <xdr:rowOff>1</xdr:rowOff>
    </xdr:from>
    <xdr:to>
      <xdr:col>6</xdr:col>
      <xdr:colOff>752475</xdr:colOff>
      <xdr:row>97</xdr:row>
      <xdr:rowOff>114301</xdr:rowOff>
    </xdr:to>
    <xdr:grpSp>
      <xdr:nvGrpSpPr>
        <xdr:cNvPr id="498" name="Group 7">
          <a:extLst>
            <a:ext uri="{FF2B5EF4-FFF2-40B4-BE49-F238E27FC236}">
              <a16:creationId xmlns:a16="http://schemas.microsoft.com/office/drawing/2014/main" id="{00000000-0008-0000-0300-0000F2010000}"/>
            </a:ext>
          </a:extLst>
        </xdr:cNvPr>
        <xdr:cNvGrpSpPr>
          <a:grpSpLocks noChangeAspect="1"/>
        </xdr:cNvGrpSpPr>
      </xdr:nvGrpSpPr>
      <xdr:grpSpPr bwMode="auto">
        <a:xfrm>
          <a:off x="6067425" y="19821526"/>
          <a:ext cx="752475" cy="628650"/>
          <a:chOff x="0" y="0"/>
          <a:chExt cx="88" cy="88"/>
        </a:xfrm>
      </xdr:grpSpPr>
      <xdr:sp macro="" textlink="">
        <xdr:nvSpPr>
          <xdr:cNvPr id="499" name="AutoShape 6">
            <a:extLst>
              <a:ext uri="{FF2B5EF4-FFF2-40B4-BE49-F238E27FC236}">
                <a16:creationId xmlns:a16="http://schemas.microsoft.com/office/drawing/2014/main" id="{00000000-0008-0000-0300-0000F301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0" name="Freeform 8">
            <a:extLst>
              <a:ext uri="{FF2B5EF4-FFF2-40B4-BE49-F238E27FC236}">
                <a16:creationId xmlns:a16="http://schemas.microsoft.com/office/drawing/2014/main" id="{00000000-0008-0000-0300-0000F401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1" name="Freeform 9">
            <a:extLst>
              <a:ext uri="{FF2B5EF4-FFF2-40B4-BE49-F238E27FC236}">
                <a16:creationId xmlns:a16="http://schemas.microsoft.com/office/drawing/2014/main" id="{00000000-0008-0000-0300-0000F501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02" name="Freeform 10">
            <a:extLst>
              <a:ext uri="{FF2B5EF4-FFF2-40B4-BE49-F238E27FC236}">
                <a16:creationId xmlns:a16="http://schemas.microsoft.com/office/drawing/2014/main" id="{00000000-0008-0000-0300-0000F601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503" name="Group 18">
            <a:extLst>
              <a:ext uri="{FF2B5EF4-FFF2-40B4-BE49-F238E27FC236}">
                <a16:creationId xmlns:a16="http://schemas.microsoft.com/office/drawing/2014/main" id="{00000000-0008-0000-0300-0000F701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522" name="Freeform 11">
              <a:extLst>
                <a:ext uri="{FF2B5EF4-FFF2-40B4-BE49-F238E27FC236}">
                  <a16:creationId xmlns:a16="http://schemas.microsoft.com/office/drawing/2014/main" id="{00000000-0008-0000-0300-00000A02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3" name="Freeform 12">
              <a:extLst>
                <a:ext uri="{FF2B5EF4-FFF2-40B4-BE49-F238E27FC236}">
                  <a16:creationId xmlns:a16="http://schemas.microsoft.com/office/drawing/2014/main" id="{00000000-0008-0000-0300-00000B02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4" name="Freeform 13">
              <a:extLst>
                <a:ext uri="{FF2B5EF4-FFF2-40B4-BE49-F238E27FC236}">
                  <a16:creationId xmlns:a16="http://schemas.microsoft.com/office/drawing/2014/main" id="{00000000-0008-0000-0300-00000C02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5" name="Freeform 14">
              <a:extLst>
                <a:ext uri="{FF2B5EF4-FFF2-40B4-BE49-F238E27FC236}">
                  <a16:creationId xmlns:a16="http://schemas.microsoft.com/office/drawing/2014/main" id="{00000000-0008-0000-0300-00000D02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6" name="Freeform 15">
              <a:extLst>
                <a:ext uri="{FF2B5EF4-FFF2-40B4-BE49-F238E27FC236}">
                  <a16:creationId xmlns:a16="http://schemas.microsoft.com/office/drawing/2014/main" id="{00000000-0008-0000-0300-00000E02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7" name="Freeform 16">
              <a:extLst>
                <a:ext uri="{FF2B5EF4-FFF2-40B4-BE49-F238E27FC236}">
                  <a16:creationId xmlns:a16="http://schemas.microsoft.com/office/drawing/2014/main" id="{00000000-0008-0000-0300-00000F02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28" name="Freeform 17">
              <a:extLst>
                <a:ext uri="{FF2B5EF4-FFF2-40B4-BE49-F238E27FC236}">
                  <a16:creationId xmlns:a16="http://schemas.microsoft.com/office/drawing/2014/main" id="{00000000-0008-0000-0300-00001002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504" name="Freeform 19">
            <a:extLst>
              <a:ext uri="{FF2B5EF4-FFF2-40B4-BE49-F238E27FC236}">
                <a16:creationId xmlns:a16="http://schemas.microsoft.com/office/drawing/2014/main" id="{00000000-0008-0000-0300-0000F801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505" name="Group 28">
            <a:extLst>
              <a:ext uri="{FF2B5EF4-FFF2-40B4-BE49-F238E27FC236}">
                <a16:creationId xmlns:a16="http://schemas.microsoft.com/office/drawing/2014/main" id="{00000000-0008-0000-0300-0000F901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514" name="Freeform 20">
              <a:extLst>
                <a:ext uri="{FF2B5EF4-FFF2-40B4-BE49-F238E27FC236}">
                  <a16:creationId xmlns:a16="http://schemas.microsoft.com/office/drawing/2014/main" id="{00000000-0008-0000-0300-00000202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5" name="Freeform 21">
              <a:extLst>
                <a:ext uri="{FF2B5EF4-FFF2-40B4-BE49-F238E27FC236}">
                  <a16:creationId xmlns:a16="http://schemas.microsoft.com/office/drawing/2014/main" id="{00000000-0008-0000-0300-00000302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6" name="Freeform 22">
              <a:extLst>
                <a:ext uri="{FF2B5EF4-FFF2-40B4-BE49-F238E27FC236}">
                  <a16:creationId xmlns:a16="http://schemas.microsoft.com/office/drawing/2014/main" id="{00000000-0008-0000-0300-00000402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7" name="Freeform 23">
              <a:extLst>
                <a:ext uri="{FF2B5EF4-FFF2-40B4-BE49-F238E27FC236}">
                  <a16:creationId xmlns:a16="http://schemas.microsoft.com/office/drawing/2014/main" id="{00000000-0008-0000-0300-00000502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8" name="Freeform 24">
              <a:extLst>
                <a:ext uri="{FF2B5EF4-FFF2-40B4-BE49-F238E27FC236}">
                  <a16:creationId xmlns:a16="http://schemas.microsoft.com/office/drawing/2014/main" id="{00000000-0008-0000-0300-00000602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19" name="Freeform 25">
              <a:extLst>
                <a:ext uri="{FF2B5EF4-FFF2-40B4-BE49-F238E27FC236}">
                  <a16:creationId xmlns:a16="http://schemas.microsoft.com/office/drawing/2014/main" id="{00000000-0008-0000-0300-00000702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0" name="Freeform 26">
              <a:extLst>
                <a:ext uri="{FF2B5EF4-FFF2-40B4-BE49-F238E27FC236}">
                  <a16:creationId xmlns:a16="http://schemas.microsoft.com/office/drawing/2014/main" id="{00000000-0008-0000-0300-00000802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1" name="Freeform 27">
              <a:extLst>
                <a:ext uri="{FF2B5EF4-FFF2-40B4-BE49-F238E27FC236}">
                  <a16:creationId xmlns:a16="http://schemas.microsoft.com/office/drawing/2014/main" id="{00000000-0008-0000-0300-00000902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06" name="Freeform 29">
            <a:extLst>
              <a:ext uri="{FF2B5EF4-FFF2-40B4-BE49-F238E27FC236}">
                <a16:creationId xmlns:a16="http://schemas.microsoft.com/office/drawing/2014/main" id="{00000000-0008-0000-0300-0000FA01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507" name="Group 36">
            <a:extLst>
              <a:ext uri="{FF2B5EF4-FFF2-40B4-BE49-F238E27FC236}">
                <a16:creationId xmlns:a16="http://schemas.microsoft.com/office/drawing/2014/main" id="{00000000-0008-0000-0300-0000FB01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508" name="Freeform 30">
              <a:extLst>
                <a:ext uri="{FF2B5EF4-FFF2-40B4-BE49-F238E27FC236}">
                  <a16:creationId xmlns:a16="http://schemas.microsoft.com/office/drawing/2014/main" id="{00000000-0008-0000-0300-0000FC01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09" name="Freeform 31">
              <a:extLst>
                <a:ext uri="{FF2B5EF4-FFF2-40B4-BE49-F238E27FC236}">
                  <a16:creationId xmlns:a16="http://schemas.microsoft.com/office/drawing/2014/main" id="{00000000-0008-0000-0300-0000FD01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0" name="Freeform 32">
              <a:extLst>
                <a:ext uri="{FF2B5EF4-FFF2-40B4-BE49-F238E27FC236}">
                  <a16:creationId xmlns:a16="http://schemas.microsoft.com/office/drawing/2014/main" id="{00000000-0008-0000-0300-0000FE01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1" name="Freeform 33">
              <a:extLst>
                <a:ext uri="{FF2B5EF4-FFF2-40B4-BE49-F238E27FC236}">
                  <a16:creationId xmlns:a16="http://schemas.microsoft.com/office/drawing/2014/main" id="{00000000-0008-0000-0300-0000FF01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2" name="Freeform 34">
              <a:extLst>
                <a:ext uri="{FF2B5EF4-FFF2-40B4-BE49-F238E27FC236}">
                  <a16:creationId xmlns:a16="http://schemas.microsoft.com/office/drawing/2014/main" id="{00000000-0008-0000-0300-00000002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13" name="Freeform 35">
              <a:extLst>
                <a:ext uri="{FF2B5EF4-FFF2-40B4-BE49-F238E27FC236}">
                  <a16:creationId xmlns:a16="http://schemas.microsoft.com/office/drawing/2014/main" id="{00000000-0008-0000-0300-00000102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6</xdr:col>
      <xdr:colOff>0</xdr:colOff>
      <xdr:row>95</xdr:row>
      <xdr:rowOff>1</xdr:rowOff>
    </xdr:from>
    <xdr:to>
      <xdr:col>6</xdr:col>
      <xdr:colOff>752475</xdr:colOff>
      <xdr:row>97</xdr:row>
      <xdr:rowOff>114301</xdr:rowOff>
    </xdr:to>
    <xdr:grpSp>
      <xdr:nvGrpSpPr>
        <xdr:cNvPr id="529" name="Group 7">
          <a:extLst>
            <a:ext uri="{FF2B5EF4-FFF2-40B4-BE49-F238E27FC236}">
              <a16:creationId xmlns:a16="http://schemas.microsoft.com/office/drawing/2014/main" id="{00000000-0008-0000-0300-000011020000}"/>
            </a:ext>
          </a:extLst>
        </xdr:cNvPr>
        <xdr:cNvGrpSpPr>
          <a:grpSpLocks noChangeAspect="1"/>
        </xdr:cNvGrpSpPr>
      </xdr:nvGrpSpPr>
      <xdr:grpSpPr bwMode="auto">
        <a:xfrm>
          <a:off x="6067425" y="19821526"/>
          <a:ext cx="752475" cy="628650"/>
          <a:chOff x="0" y="0"/>
          <a:chExt cx="88" cy="88"/>
        </a:xfrm>
      </xdr:grpSpPr>
      <xdr:sp macro="" textlink="">
        <xdr:nvSpPr>
          <xdr:cNvPr id="530" name="AutoShape 6">
            <a:extLst>
              <a:ext uri="{FF2B5EF4-FFF2-40B4-BE49-F238E27FC236}">
                <a16:creationId xmlns:a16="http://schemas.microsoft.com/office/drawing/2014/main" id="{00000000-0008-0000-0300-00001202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1" name="Freeform 8">
            <a:extLst>
              <a:ext uri="{FF2B5EF4-FFF2-40B4-BE49-F238E27FC236}">
                <a16:creationId xmlns:a16="http://schemas.microsoft.com/office/drawing/2014/main" id="{00000000-0008-0000-0300-00001302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" name="Freeform 9">
            <a:extLst>
              <a:ext uri="{FF2B5EF4-FFF2-40B4-BE49-F238E27FC236}">
                <a16:creationId xmlns:a16="http://schemas.microsoft.com/office/drawing/2014/main" id="{00000000-0008-0000-0300-00001402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" name="Freeform 10">
            <a:extLst>
              <a:ext uri="{FF2B5EF4-FFF2-40B4-BE49-F238E27FC236}">
                <a16:creationId xmlns:a16="http://schemas.microsoft.com/office/drawing/2014/main" id="{00000000-0008-0000-0300-00001502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534" name="Group 18">
            <a:extLst>
              <a:ext uri="{FF2B5EF4-FFF2-40B4-BE49-F238E27FC236}">
                <a16:creationId xmlns:a16="http://schemas.microsoft.com/office/drawing/2014/main" id="{00000000-0008-0000-0300-00001602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553" name="Freeform 11">
              <a:extLst>
                <a:ext uri="{FF2B5EF4-FFF2-40B4-BE49-F238E27FC236}">
                  <a16:creationId xmlns:a16="http://schemas.microsoft.com/office/drawing/2014/main" id="{00000000-0008-0000-0300-00002902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4" name="Freeform 12">
              <a:extLst>
                <a:ext uri="{FF2B5EF4-FFF2-40B4-BE49-F238E27FC236}">
                  <a16:creationId xmlns:a16="http://schemas.microsoft.com/office/drawing/2014/main" id="{00000000-0008-0000-0300-00002A02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5" name="Freeform 13">
              <a:extLst>
                <a:ext uri="{FF2B5EF4-FFF2-40B4-BE49-F238E27FC236}">
                  <a16:creationId xmlns:a16="http://schemas.microsoft.com/office/drawing/2014/main" id="{00000000-0008-0000-0300-00002B02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6" name="Freeform 14">
              <a:extLst>
                <a:ext uri="{FF2B5EF4-FFF2-40B4-BE49-F238E27FC236}">
                  <a16:creationId xmlns:a16="http://schemas.microsoft.com/office/drawing/2014/main" id="{00000000-0008-0000-0300-00002C02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7" name="Freeform 15">
              <a:extLst>
                <a:ext uri="{FF2B5EF4-FFF2-40B4-BE49-F238E27FC236}">
                  <a16:creationId xmlns:a16="http://schemas.microsoft.com/office/drawing/2014/main" id="{00000000-0008-0000-0300-00002D02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8" name="Freeform 16">
              <a:extLst>
                <a:ext uri="{FF2B5EF4-FFF2-40B4-BE49-F238E27FC236}">
                  <a16:creationId xmlns:a16="http://schemas.microsoft.com/office/drawing/2014/main" id="{00000000-0008-0000-0300-00002E02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9" name="Freeform 17">
              <a:extLst>
                <a:ext uri="{FF2B5EF4-FFF2-40B4-BE49-F238E27FC236}">
                  <a16:creationId xmlns:a16="http://schemas.microsoft.com/office/drawing/2014/main" id="{00000000-0008-0000-0300-00002F02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535" name="Freeform 19">
            <a:extLst>
              <a:ext uri="{FF2B5EF4-FFF2-40B4-BE49-F238E27FC236}">
                <a16:creationId xmlns:a16="http://schemas.microsoft.com/office/drawing/2014/main" id="{00000000-0008-0000-0300-00001702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536" name="Group 28">
            <a:extLst>
              <a:ext uri="{FF2B5EF4-FFF2-40B4-BE49-F238E27FC236}">
                <a16:creationId xmlns:a16="http://schemas.microsoft.com/office/drawing/2014/main" id="{00000000-0008-0000-0300-00001802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545" name="Freeform 20">
              <a:extLst>
                <a:ext uri="{FF2B5EF4-FFF2-40B4-BE49-F238E27FC236}">
                  <a16:creationId xmlns:a16="http://schemas.microsoft.com/office/drawing/2014/main" id="{00000000-0008-0000-0300-00002102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46" name="Freeform 21">
              <a:extLst>
                <a:ext uri="{FF2B5EF4-FFF2-40B4-BE49-F238E27FC236}">
                  <a16:creationId xmlns:a16="http://schemas.microsoft.com/office/drawing/2014/main" id="{00000000-0008-0000-0300-00002202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47" name="Freeform 22">
              <a:extLst>
                <a:ext uri="{FF2B5EF4-FFF2-40B4-BE49-F238E27FC236}">
                  <a16:creationId xmlns:a16="http://schemas.microsoft.com/office/drawing/2014/main" id="{00000000-0008-0000-0300-00002302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48" name="Freeform 23">
              <a:extLst>
                <a:ext uri="{FF2B5EF4-FFF2-40B4-BE49-F238E27FC236}">
                  <a16:creationId xmlns:a16="http://schemas.microsoft.com/office/drawing/2014/main" id="{00000000-0008-0000-0300-00002402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49" name="Freeform 24">
              <a:extLst>
                <a:ext uri="{FF2B5EF4-FFF2-40B4-BE49-F238E27FC236}">
                  <a16:creationId xmlns:a16="http://schemas.microsoft.com/office/drawing/2014/main" id="{00000000-0008-0000-0300-00002502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50" name="Freeform 25">
              <a:extLst>
                <a:ext uri="{FF2B5EF4-FFF2-40B4-BE49-F238E27FC236}">
                  <a16:creationId xmlns:a16="http://schemas.microsoft.com/office/drawing/2014/main" id="{00000000-0008-0000-0300-00002602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51" name="Freeform 26">
              <a:extLst>
                <a:ext uri="{FF2B5EF4-FFF2-40B4-BE49-F238E27FC236}">
                  <a16:creationId xmlns:a16="http://schemas.microsoft.com/office/drawing/2014/main" id="{00000000-0008-0000-0300-00002702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52" name="Freeform 27">
              <a:extLst>
                <a:ext uri="{FF2B5EF4-FFF2-40B4-BE49-F238E27FC236}">
                  <a16:creationId xmlns:a16="http://schemas.microsoft.com/office/drawing/2014/main" id="{00000000-0008-0000-0300-00002802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37" name="Freeform 29">
            <a:extLst>
              <a:ext uri="{FF2B5EF4-FFF2-40B4-BE49-F238E27FC236}">
                <a16:creationId xmlns:a16="http://schemas.microsoft.com/office/drawing/2014/main" id="{00000000-0008-0000-0300-00001902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538" name="Group 36">
            <a:extLst>
              <a:ext uri="{FF2B5EF4-FFF2-40B4-BE49-F238E27FC236}">
                <a16:creationId xmlns:a16="http://schemas.microsoft.com/office/drawing/2014/main" id="{00000000-0008-0000-0300-00001A02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539" name="Freeform 30">
              <a:extLst>
                <a:ext uri="{FF2B5EF4-FFF2-40B4-BE49-F238E27FC236}">
                  <a16:creationId xmlns:a16="http://schemas.microsoft.com/office/drawing/2014/main" id="{00000000-0008-0000-0300-00001B02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0" name="Freeform 31">
              <a:extLst>
                <a:ext uri="{FF2B5EF4-FFF2-40B4-BE49-F238E27FC236}">
                  <a16:creationId xmlns:a16="http://schemas.microsoft.com/office/drawing/2014/main" id="{00000000-0008-0000-0300-00001C02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1" name="Freeform 32">
              <a:extLst>
                <a:ext uri="{FF2B5EF4-FFF2-40B4-BE49-F238E27FC236}">
                  <a16:creationId xmlns:a16="http://schemas.microsoft.com/office/drawing/2014/main" id="{00000000-0008-0000-0300-00001D02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2" name="Freeform 33">
              <a:extLst>
                <a:ext uri="{FF2B5EF4-FFF2-40B4-BE49-F238E27FC236}">
                  <a16:creationId xmlns:a16="http://schemas.microsoft.com/office/drawing/2014/main" id="{00000000-0008-0000-0300-00001E02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3" name="Freeform 34">
              <a:extLst>
                <a:ext uri="{FF2B5EF4-FFF2-40B4-BE49-F238E27FC236}">
                  <a16:creationId xmlns:a16="http://schemas.microsoft.com/office/drawing/2014/main" id="{00000000-0008-0000-0300-00001F02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4" name="Freeform 35">
              <a:extLst>
                <a:ext uri="{FF2B5EF4-FFF2-40B4-BE49-F238E27FC236}">
                  <a16:creationId xmlns:a16="http://schemas.microsoft.com/office/drawing/2014/main" id="{00000000-0008-0000-0300-00002002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6</xdr:col>
      <xdr:colOff>0</xdr:colOff>
      <xdr:row>95</xdr:row>
      <xdr:rowOff>1</xdr:rowOff>
    </xdr:from>
    <xdr:to>
      <xdr:col>6</xdr:col>
      <xdr:colOff>752475</xdr:colOff>
      <xdr:row>97</xdr:row>
      <xdr:rowOff>114301</xdr:rowOff>
    </xdr:to>
    <xdr:grpSp>
      <xdr:nvGrpSpPr>
        <xdr:cNvPr id="560" name="Group 7">
          <a:extLst>
            <a:ext uri="{FF2B5EF4-FFF2-40B4-BE49-F238E27FC236}">
              <a16:creationId xmlns:a16="http://schemas.microsoft.com/office/drawing/2014/main" id="{00000000-0008-0000-0300-000030020000}"/>
            </a:ext>
          </a:extLst>
        </xdr:cNvPr>
        <xdr:cNvGrpSpPr>
          <a:grpSpLocks noChangeAspect="1"/>
        </xdr:cNvGrpSpPr>
      </xdr:nvGrpSpPr>
      <xdr:grpSpPr bwMode="auto">
        <a:xfrm>
          <a:off x="6067425" y="19821526"/>
          <a:ext cx="752475" cy="628650"/>
          <a:chOff x="0" y="0"/>
          <a:chExt cx="88" cy="88"/>
        </a:xfrm>
      </xdr:grpSpPr>
      <xdr:sp macro="" textlink="">
        <xdr:nvSpPr>
          <xdr:cNvPr id="561" name="AutoShape 6">
            <a:extLst>
              <a:ext uri="{FF2B5EF4-FFF2-40B4-BE49-F238E27FC236}">
                <a16:creationId xmlns:a16="http://schemas.microsoft.com/office/drawing/2014/main" id="{00000000-0008-0000-0300-00003102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2" name="Freeform 8">
            <a:extLst>
              <a:ext uri="{FF2B5EF4-FFF2-40B4-BE49-F238E27FC236}">
                <a16:creationId xmlns:a16="http://schemas.microsoft.com/office/drawing/2014/main" id="{00000000-0008-0000-0300-00003202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63" name="Freeform 9">
            <a:extLst>
              <a:ext uri="{FF2B5EF4-FFF2-40B4-BE49-F238E27FC236}">
                <a16:creationId xmlns:a16="http://schemas.microsoft.com/office/drawing/2014/main" id="{00000000-0008-0000-0300-00003302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64" name="Freeform 10">
            <a:extLst>
              <a:ext uri="{FF2B5EF4-FFF2-40B4-BE49-F238E27FC236}">
                <a16:creationId xmlns:a16="http://schemas.microsoft.com/office/drawing/2014/main" id="{00000000-0008-0000-0300-00003402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565" name="Group 18">
            <a:extLst>
              <a:ext uri="{FF2B5EF4-FFF2-40B4-BE49-F238E27FC236}">
                <a16:creationId xmlns:a16="http://schemas.microsoft.com/office/drawing/2014/main" id="{00000000-0008-0000-0300-00003502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584" name="Freeform 11">
              <a:extLst>
                <a:ext uri="{FF2B5EF4-FFF2-40B4-BE49-F238E27FC236}">
                  <a16:creationId xmlns:a16="http://schemas.microsoft.com/office/drawing/2014/main" id="{00000000-0008-0000-0300-00004802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5" name="Freeform 12">
              <a:extLst>
                <a:ext uri="{FF2B5EF4-FFF2-40B4-BE49-F238E27FC236}">
                  <a16:creationId xmlns:a16="http://schemas.microsoft.com/office/drawing/2014/main" id="{00000000-0008-0000-0300-00004902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6" name="Freeform 13">
              <a:extLst>
                <a:ext uri="{FF2B5EF4-FFF2-40B4-BE49-F238E27FC236}">
                  <a16:creationId xmlns:a16="http://schemas.microsoft.com/office/drawing/2014/main" id="{00000000-0008-0000-0300-00004A02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7" name="Freeform 14">
              <a:extLst>
                <a:ext uri="{FF2B5EF4-FFF2-40B4-BE49-F238E27FC236}">
                  <a16:creationId xmlns:a16="http://schemas.microsoft.com/office/drawing/2014/main" id="{00000000-0008-0000-0300-00004B02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8" name="Freeform 15">
              <a:extLst>
                <a:ext uri="{FF2B5EF4-FFF2-40B4-BE49-F238E27FC236}">
                  <a16:creationId xmlns:a16="http://schemas.microsoft.com/office/drawing/2014/main" id="{00000000-0008-0000-0300-00004C02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9" name="Freeform 16">
              <a:extLst>
                <a:ext uri="{FF2B5EF4-FFF2-40B4-BE49-F238E27FC236}">
                  <a16:creationId xmlns:a16="http://schemas.microsoft.com/office/drawing/2014/main" id="{00000000-0008-0000-0300-00004D02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90" name="Freeform 17">
              <a:extLst>
                <a:ext uri="{FF2B5EF4-FFF2-40B4-BE49-F238E27FC236}">
                  <a16:creationId xmlns:a16="http://schemas.microsoft.com/office/drawing/2014/main" id="{00000000-0008-0000-0300-00004E02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566" name="Freeform 19">
            <a:extLst>
              <a:ext uri="{FF2B5EF4-FFF2-40B4-BE49-F238E27FC236}">
                <a16:creationId xmlns:a16="http://schemas.microsoft.com/office/drawing/2014/main" id="{00000000-0008-0000-0300-00003602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567" name="Group 28">
            <a:extLst>
              <a:ext uri="{FF2B5EF4-FFF2-40B4-BE49-F238E27FC236}">
                <a16:creationId xmlns:a16="http://schemas.microsoft.com/office/drawing/2014/main" id="{00000000-0008-0000-0300-00003702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576" name="Freeform 20">
              <a:extLst>
                <a:ext uri="{FF2B5EF4-FFF2-40B4-BE49-F238E27FC236}">
                  <a16:creationId xmlns:a16="http://schemas.microsoft.com/office/drawing/2014/main" id="{00000000-0008-0000-0300-00004002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77" name="Freeform 21">
              <a:extLst>
                <a:ext uri="{FF2B5EF4-FFF2-40B4-BE49-F238E27FC236}">
                  <a16:creationId xmlns:a16="http://schemas.microsoft.com/office/drawing/2014/main" id="{00000000-0008-0000-0300-00004102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78" name="Freeform 22">
              <a:extLst>
                <a:ext uri="{FF2B5EF4-FFF2-40B4-BE49-F238E27FC236}">
                  <a16:creationId xmlns:a16="http://schemas.microsoft.com/office/drawing/2014/main" id="{00000000-0008-0000-0300-00004202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79" name="Freeform 23">
              <a:extLst>
                <a:ext uri="{FF2B5EF4-FFF2-40B4-BE49-F238E27FC236}">
                  <a16:creationId xmlns:a16="http://schemas.microsoft.com/office/drawing/2014/main" id="{00000000-0008-0000-0300-00004302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80" name="Freeform 24">
              <a:extLst>
                <a:ext uri="{FF2B5EF4-FFF2-40B4-BE49-F238E27FC236}">
                  <a16:creationId xmlns:a16="http://schemas.microsoft.com/office/drawing/2014/main" id="{00000000-0008-0000-0300-00004402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81" name="Freeform 25">
              <a:extLst>
                <a:ext uri="{FF2B5EF4-FFF2-40B4-BE49-F238E27FC236}">
                  <a16:creationId xmlns:a16="http://schemas.microsoft.com/office/drawing/2014/main" id="{00000000-0008-0000-0300-00004502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82" name="Freeform 26">
              <a:extLst>
                <a:ext uri="{FF2B5EF4-FFF2-40B4-BE49-F238E27FC236}">
                  <a16:creationId xmlns:a16="http://schemas.microsoft.com/office/drawing/2014/main" id="{00000000-0008-0000-0300-00004602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83" name="Freeform 27">
              <a:extLst>
                <a:ext uri="{FF2B5EF4-FFF2-40B4-BE49-F238E27FC236}">
                  <a16:creationId xmlns:a16="http://schemas.microsoft.com/office/drawing/2014/main" id="{00000000-0008-0000-0300-00004702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68" name="Freeform 29">
            <a:extLst>
              <a:ext uri="{FF2B5EF4-FFF2-40B4-BE49-F238E27FC236}">
                <a16:creationId xmlns:a16="http://schemas.microsoft.com/office/drawing/2014/main" id="{00000000-0008-0000-0300-00003802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569" name="Group 36">
            <a:extLst>
              <a:ext uri="{FF2B5EF4-FFF2-40B4-BE49-F238E27FC236}">
                <a16:creationId xmlns:a16="http://schemas.microsoft.com/office/drawing/2014/main" id="{00000000-0008-0000-0300-00003902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570" name="Freeform 30">
              <a:extLst>
                <a:ext uri="{FF2B5EF4-FFF2-40B4-BE49-F238E27FC236}">
                  <a16:creationId xmlns:a16="http://schemas.microsoft.com/office/drawing/2014/main" id="{00000000-0008-0000-0300-00003A02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1" name="Freeform 31">
              <a:extLst>
                <a:ext uri="{FF2B5EF4-FFF2-40B4-BE49-F238E27FC236}">
                  <a16:creationId xmlns:a16="http://schemas.microsoft.com/office/drawing/2014/main" id="{00000000-0008-0000-0300-00003B02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2" name="Freeform 32">
              <a:extLst>
                <a:ext uri="{FF2B5EF4-FFF2-40B4-BE49-F238E27FC236}">
                  <a16:creationId xmlns:a16="http://schemas.microsoft.com/office/drawing/2014/main" id="{00000000-0008-0000-0300-00003C02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3" name="Freeform 33">
              <a:extLst>
                <a:ext uri="{FF2B5EF4-FFF2-40B4-BE49-F238E27FC236}">
                  <a16:creationId xmlns:a16="http://schemas.microsoft.com/office/drawing/2014/main" id="{00000000-0008-0000-0300-00003D02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4" name="Freeform 34">
              <a:extLst>
                <a:ext uri="{FF2B5EF4-FFF2-40B4-BE49-F238E27FC236}">
                  <a16:creationId xmlns:a16="http://schemas.microsoft.com/office/drawing/2014/main" id="{00000000-0008-0000-0300-00003E02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5" name="Freeform 35">
              <a:extLst>
                <a:ext uri="{FF2B5EF4-FFF2-40B4-BE49-F238E27FC236}">
                  <a16:creationId xmlns:a16="http://schemas.microsoft.com/office/drawing/2014/main" id="{00000000-0008-0000-0300-00003F02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6</xdr:col>
      <xdr:colOff>0</xdr:colOff>
      <xdr:row>95</xdr:row>
      <xdr:rowOff>1</xdr:rowOff>
    </xdr:from>
    <xdr:to>
      <xdr:col>6</xdr:col>
      <xdr:colOff>752475</xdr:colOff>
      <xdr:row>97</xdr:row>
      <xdr:rowOff>114301</xdr:rowOff>
    </xdr:to>
    <xdr:grpSp>
      <xdr:nvGrpSpPr>
        <xdr:cNvPr id="870" name="Group 7">
          <a:extLst>
            <a:ext uri="{FF2B5EF4-FFF2-40B4-BE49-F238E27FC236}">
              <a16:creationId xmlns:a16="http://schemas.microsoft.com/office/drawing/2014/main" id="{00000000-0008-0000-0300-000066030000}"/>
            </a:ext>
          </a:extLst>
        </xdr:cNvPr>
        <xdr:cNvGrpSpPr>
          <a:grpSpLocks noChangeAspect="1"/>
        </xdr:cNvGrpSpPr>
      </xdr:nvGrpSpPr>
      <xdr:grpSpPr bwMode="auto">
        <a:xfrm>
          <a:off x="6067425" y="19821526"/>
          <a:ext cx="752475" cy="628650"/>
          <a:chOff x="0" y="0"/>
          <a:chExt cx="88" cy="88"/>
        </a:xfrm>
      </xdr:grpSpPr>
      <xdr:sp macro="" textlink="">
        <xdr:nvSpPr>
          <xdr:cNvPr id="871" name="AutoShape 6">
            <a:extLst>
              <a:ext uri="{FF2B5EF4-FFF2-40B4-BE49-F238E27FC236}">
                <a16:creationId xmlns:a16="http://schemas.microsoft.com/office/drawing/2014/main" id="{00000000-0008-0000-0300-00006703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72" name="Freeform 8">
            <a:extLst>
              <a:ext uri="{FF2B5EF4-FFF2-40B4-BE49-F238E27FC236}">
                <a16:creationId xmlns:a16="http://schemas.microsoft.com/office/drawing/2014/main" id="{00000000-0008-0000-0300-00006803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73" name="Freeform 9">
            <a:extLst>
              <a:ext uri="{FF2B5EF4-FFF2-40B4-BE49-F238E27FC236}">
                <a16:creationId xmlns:a16="http://schemas.microsoft.com/office/drawing/2014/main" id="{00000000-0008-0000-0300-00006903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74" name="Freeform 10">
            <a:extLst>
              <a:ext uri="{FF2B5EF4-FFF2-40B4-BE49-F238E27FC236}">
                <a16:creationId xmlns:a16="http://schemas.microsoft.com/office/drawing/2014/main" id="{00000000-0008-0000-0300-00006A03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875" name="Group 18">
            <a:extLst>
              <a:ext uri="{FF2B5EF4-FFF2-40B4-BE49-F238E27FC236}">
                <a16:creationId xmlns:a16="http://schemas.microsoft.com/office/drawing/2014/main" id="{00000000-0008-0000-0300-00006B03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894" name="Freeform 11">
              <a:extLst>
                <a:ext uri="{FF2B5EF4-FFF2-40B4-BE49-F238E27FC236}">
                  <a16:creationId xmlns:a16="http://schemas.microsoft.com/office/drawing/2014/main" id="{00000000-0008-0000-0300-00007E03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95" name="Freeform 12">
              <a:extLst>
                <a:ext uri="{FF2B5EF4-FFF2-40B4-BE49-F238E27FC236}">
                  <a16:creationId xmlns:a16="http://schemas.microsoft.com/office/drawing/2014/main" id="{00000000-0008-0000-0300-00007F03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96" name="Freeform 13">
              <a:extLst>
                <a:ext uri="{FF2B5EF4-FFF2-40B4-BE49-F238E27FC236}">
                  <a16:creationId xmlns:a16="http://schemas.microsoft.com/office/drawing/2014/main" id="{00000000-0008-0000-0300-00008003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97" name="Freeform 14">
              <a:extLst>
                <a:ext uri="{FF2B5EF4-FFF2-40B4-BE49-F238E27FC236}">
                  <a16:creationId xmlns:a16="http://schemas.microsoft.com/office/drawing/2014/main" id="{00000000-0008-0000-0300-00008103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98" name="Freeform 15">
              <a:extLst>
                <a:ext uri="{FF2B5EF4-FFF2-40B4-BE49-F238E27FC236}">
                  <a16:creationId xmlns:a16="http://schemas.microsoft.com/office/drawing/2014/main" id="{00000000-0008-0000-0300-00008203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99" name="Freeform 16">
              <a:extLst>
                <a:ext uri="{FF2B5EF4-FFF2-40B4-BE49-F238E27FC236}">
                  <a16:creationId xmlns:a16="http://schemas.microsoft.com/office/drawing/2014/main" id="{00000000-0008-0000-0300-00008303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900" name="Freeform 17">
              <a:extLst>
                <a:ext uri="{FF2B5EF4-FFF2-40B4-BE49-F238E27FC236}">
                  <a16:creationId xmlns:a16="http://schemas.microsoft.com/office/drawing/2014/main" id="{00000000-0008-0000-0300-00008403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876" name="Freeform 19">
            <a:extLst>
              <a:ext uri="{FF2B5EF4-FFF2-40B4-BE49-F238E27FC236}">
                <a16:creationId xmlns:a16="http://schemas.microsoft.com/office/drawing/2014/main" id="{00000000-0008-0000-0300-00006C03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877" name="Group 28">
            <a:extLst>
              <a:ext uri="{FF2B5EF4-FFF2-40B4-BE49-F238E27FC236}">
                <a16:creationId xmlns:a16="http://schemas.microsoft.com/office/drawing/2014/main" id="{00000000-0008-0000-0300-00006D03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886" name="Freeform 20">
              <a:extLst>
                <a:ext uri="{FF2B5EF4-FFF2-40B4-BE49-F238E27FC236}">
                  <a16:creationId xmlns:a16="http://schemas.microsoft.com/office/drawing/2014/main" id="{00000000-0008-0000-0300-00007603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87" name="Freeform 21">
              <a:extLst>
                <a:ext uri="{FF2B5EF4-FFF2-40B4-BE49-F238E27FC236}">
                  <a16:creationId xmlns:a16="http://schemas.microsoft.com/office/drawing/2014/main" id="{00000000-0008-0000-0300-00007703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88" name="Freeform 22">
              <a:extLst>
                <a:ext uri="{FF2B5EF4-FFF2-40B4-BE49-F238E27FC236}">
                  <a16:creationId xmlns:a16="http://schemas.microsoft.com/office/drawing/2014/main" id="{00000000-0008-0000-0300-00007803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89" name="Freeform 23">
              <a:extLst>
                <a:ext uri="{FF2B5EF4-FFF2-40B4-BE49-F238E27FC236}">
                  <a16:creationId xmlns:a16="http://schemas.microsoft.com/office/drawing/2014/main" id="{00000000-0008-0000-0300-00007903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90" name="Freeform 24">
              <a:extLst>
                <a:ext uri="{FF2B5EF4-FFF2-40B4-BE49-F238E27FC236}">
                  <a16:creationId xmlns:a16="http://schemas.microsoft.com/office/drawing/2014/main" id="{00000000-0008-0000-0300-00007A03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91" name="Freeform 25">
              <a:extLst>
                <a:ext uri="{FF2B5EF4-FFF2-40B4-BE49-F238E27FC236}">
                  <a16:creationId xmlns:a16="http://schemas.microsoft.com/office/drawing/2014/main" id="{00000000-0008-0000-0300-00007B03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92" name="Freeform 26">
              <a:extLst>
                <a:ext uri="{FF2B5EF4-FFF2-40B4-BE49-F238E27FC236}">
                  <a16:creationId xmlns:a16="http://schemas.microsoft.com/office/drawing/2014/main" id="{00000000-0008-0000-0300-00007C03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893" name="Freeform 27">
              <a:extLst>
                <a:ext uri="{FF2B5EF4-FFF2-40B4-BE49-F238E27FC236}">
                  <a16:creationId xmlns:a16="http://schemas.microsoft.com/office/drawing/2014/main" id="{00000000-0008-0000-0300-00007D03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878" name="Freeform 29">
            <a:extLst>
              <a:ext uri="{FF2B5EF4-FFF2-40B4-BE49-F238E27FC236}">
                <a16:creationId xmlns:a16="http://schemas.microsoft.com/office/drawing/2014/main" id="{00000000-0008-0000-0300-00006E03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879" name="Group 36">
            <a:extLst>
              <a:ext uri="{FF2B5EF4-FFF2-40B4-BE49-F238E27FC236}">
                <a16:creationId xmlns:a16="http://schemas.microsoft.com/office/drawing/2014/main" id="{00000000-0008-0000-0300-00006F03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880" name="Freeform 30">
              <a:extLst>
                <a:ext uri="{FF2B5EF4-FFF2-40B4-BE49-F238E27FC236}">
                  <a16:creationId xmlns:a16="http://schemas.microsoft.com/office/drawing/2014/main" id="{00000000-0008-0000-0300-00007003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81" name="Freeform 31">
              <a:extLst>
                <a:ext uri="{FF2B5EF4-FFF2-40B4-BE49-F238E27FC236}">
                  <a16:creationId xmlns:a16="http://schemas.microsoft.com/office/drawing/2014/main" id="{00000000-0008-0000-0300-00007103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82" name="Freeform 32">
              <a:extLst>
                <a:ext uri="{FF2B5EF4-FFF2-40B4-BE49-F238E27FC236}">
                  <a16:creationId xmlns:a16="http://schemas.microsoft.com/office/drawing/2014/main" id="{00000000-0008-0000-0300-00007203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83" name="Freeform 33">
              <a:extLst>
                <a:ext uri="{FF2B5EF4-FFF2-40B4-BE49-F238E27FC236}">
                  <a16:creationId xmlns:a16="http://schemas.microsoft.com/office/drawing/2014/main" id="{00000000-0008-0000-0300-00007303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84" name="Freeform 34">
              <a:extLst>
                <a:ext uri="{FF2B5EF4-FFF2-40B4-BE49-F238E27FC236}">
                  <a16:creationId xmlns:a16="http://schemas.microsoft.com/office/drawing/2014/main" id="{00000000-0008-0000-0300-00007403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885" name="Freeform 35">
              <a:extLst>
                <a:ext uri="{FF2B5EF4-FFF2-40B4-BE49-F238E27FC236}">
                  <a16:creationId xmlns:a16="http://schemas.microsoft.com/office/drawing/2014/main" id="{00000000-0008-0000-0300-00007503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0</xdr:col>
      <xdr:colOff>0</xdr:colOff>
      <xdr:row>143</xdr:row>
      <xdr:rowOff>1</xdr:rowOff>
    </xdr:from>
    <xdr:to>
      <xdr:col>0</xdr:col>
      <xdr:colOff>752475</xdr:colOff>
      <xdr:row>145</xdr:row>
      <xdr:rowOff>114301</xdr:rowOff>
    </xdr:to>
    <xdr:grpSp>
      <xdr:nvGrpSpPr>
        <xdr:cNvPr id="1211" name="Group 7">
          <a:extLst>
            <a:ext uri="{FF2B5EF4-FFF2-40B4-BE49-F238E27FC236}">
              <a16:creationId xmlns:a16="http://schemas.microsoft.com/office/drawing/2014/main" id="{00000000-0008-0000-0300-0000BB040000}"/>
            </a:ext>
          </a:extLst>
        </xdr:cNvPr>
        <xdr:cNvGrpSpPr>
          <a:grpSpLocks noChangeAspect="1"/>
        </xdr:cNvGrpSpPr>
      </xdr:nvGrpSpPr>
      <xdr:grpSpPr bwMode="auto">
        <a:xfrm>
          <a:off x="0" y="29841826"/>
          <a:ext cx="752475" cy="561975"/>
          <a:chOff x="0" y="0"/>
          <a:chExt cx="88" cy="88"/>
        </a:xfrm>
      </xdr:grpSpPr>
      <xdr:sp macro="" textlink="">
        <xdr:nvSpPr>
          <xdr:cNvPr id="1212" name="AutoShape 6">
            <a:extLst>
              <a:ext uri="{FF2B5EF4-FFF2-40B4-BE49-F238E27FC236}">
                <a16:creationId xmlns:a16="http://schemas.microsoft.com/office/drawing/2014/main" id="{00000000-0008-0000-0300-0000BC04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Freeform 8">
            <a:extLst>
              <a:ext uri="{FF2B5EF4-FFF2-40B4-BE49-F238E27FC236}">
                <a16:creationId xmlns:a16="http://schemas.microsoft.com/office/drawing/2014/main" id="{00000000-0008-0000-0300-0000BD04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14" name="Freeform 9">
            <a:extLst>
              <a:ext uri="{FF2B5EF4-FFF2-40B4-BE49-F238E27FC236}">
                <a16:creationId xmlns:a16="http://schemas.microsoft.com/office/drawing/2014/main" id="{00000000-0008-0000-0300-0000BE04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15" name="Freeform 10">
            <a:extLst>
              <a:ext uri="{FF2B5EF4-FFF2-40B4-BE49-F238E27FC236}">
                <a16:creationId xmlns:a16="http://schemas.microsoft.com/office/drawing/2014/main" id="{00000000-0008-0000-0300-0000BF04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216" name="Group 18">
            <a:extLst>
              <a:ext uri="{FF2B5EF4-FFF2-40B4-BE49-F238E27FC236}">
                <a16:creationId xmlns:a16="http://schemas.microsoft.com/office/drawing/2014/main" id="{00000000-0008-0000-0300-0000C004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1235" name="Freeform 11">
              <a:extLst>
                <a:ext uri="{FF2B5EF4-FFF2-40B4-BE49-F238E27FC236}">
                  <a16:creationId xmlns:a16="http://schemas.microsoft.com/office/drawing/2014/main" id="{00000000-0008-0000-0300-0000D304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6" name="Freeform 12">
              <a:extLst>
                <a:ext uri="{FF2B5EF4-FFF2-40B4-BE49-F238E27FC236}">
                  <a16:creationId xmlns:a16="http://schemas.microsoft.com/office/drawing/2014/main" id="{00000000-0008-0000-0300-0000D404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7" name="Freeform 13">
              <a:extLst>
                <a:ext uri="{FF2B5EF4-FFF2-40B4-BE49-F238E27FC236}">
                  <a16:creationId xmlns:a16="http://schemas.microsoft.com/office/drawing/2014/main" id="{00000000-0008-0000-0300-0000D504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8" name="Freeform 14">
              <a:extLst>
                <a:ext uri="{FF2B5EF4-FFF2-40B4-BE49-F238E27FC236}">
                  <a16:creationId xmlns:a16="http://schemas.microsoft.com/office/drawing/2014/main" id="{00000000-0008-0000-0300-0000D604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9" name="Freeform 15">
              <a:extLst>
                <a:ext uri="{FF2B5EF4-FFF2-40B4-BE49-F238E27FC236}">
                  <a16:creationId xmlns:a16="http://schemas.microsoft.com/office/drawing/2014/main" id="{00000000-0008-0000-0300-0000D704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0" name="Freeform 16">
              <a:extLst>
                <a:ext uri="{FF2B5EF4-FFF2-40B4-BE49-F238E27FC236}">
                  <a16:creationId xmlns:a16="http://schemas.microsoft.com/office/drawing/2014/main" id="{00000000-0008-0000-0300-0000D804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1" name="Freeform 17">
              <a:extLst>
                <a:ext uri="{FF2B5EF4-FFF2-40B4-BE49-F238E27FC236}">
                  <a16:creationId xmlns:a16="http://schemas.microsoft.com/office/drawing/2014/main" id="{00000000-0008-0000-0300-0000D904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1217" name="Freeform 19">
            <a:extLst>
              <a:ext uri="{FF2B5EF4-FFF2-40B4-BE49-F238E27FC236}">
                <a16:creationId xmlns:a16="http://schemas.microsoft.com/office/drawing/2014/main" id="{00000000-0008-0000-0300-0000C104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218" name="Group 28">
            <a:extLst>
              <a:ext uri="{FF2B5EF4-FFF2-40B4-BE49-F238E27FC236}">
                <a16:creationId xmlns:a16="http://schemas.microsoft.com/office/drawing/2014/main" id="{00000000-0008-0000-0300-0000C204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1227" name="Freeform 20">
              <a:extLst>
                <a:ext uri="{FF2B5EF4-FFF2-40B4-BE49-F238E27FC236}">
                  <a16:creationId xmlns:a16="http://schemas.microsoft.com/office/drawing/2014/main" id="{00000000-0008-0000-0300-0000CB04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28" name="Freeform 21">
              <a:extLst>
                <a:ext uri="{FF2B5EF4-FFF2-40B4-BE49-F238E27FC236}">
                  <a16:creationId xmlns:a16="http://schemas.microsoft.com/office/drawing/2014/main" id="{00000000-0008-0000-0300-0000CC04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29" name="Freeform 22">
              <a:extLst>
                <a:ext uri="{FF2B5EF4-FFF2-40B4-BE49-F238E27FC236}">
                  <a16:creationId xmlns:a16="http://schemas.microsoft.com/office/drawing/2014/main" id="{00000000-0008-0000-0300-0000CD04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30" name="Freeform 23">
              <a:extLst>
                <a:ext uri="{FF2B5EF4-FFF2-40B4-BE49-F238E27FC236}">
                  <a16:creationId xmlns:a16="http://schemas.microsoft.com/office/drawing/2014/main" id="{00000000-0008-0000-0300-0000CE04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31" name="Freeform 24">
              <a:extLst>
                <a:ext uri="{FF2B5EF4-FFF2-40B4-BE49-F238E27FC236}">
                  <a16:creationId xmlns:a16="http://schemas.microsoft.com/office/drawing/2014/main" id="{00000000-0008-0000-0300-0000CF04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32" name="Freeform 25">
              <a:extLst>
                <a:ext uri="{FF2B5EF4-FFF2-40B4-BE49-F238E27FC236}">
                  <a16:creationId xmlns:a16="http://schemas.microsoft.com/office/drawing/2014/main" id="{00000000-0008-0000-0300-0000D004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33" name="Freeform 26">
              <a:extLst>
                <a:ext uri="{FF2B5EF4-FFF2-40B4-BE49-F238E27FC236}">
                  <a16:creationId xmlns:a16="http://schemas.microsoft.com/office/drawing/2014/main" id="{00000000-0008-0000-0300-0000D104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34" name="Freeform 27">
              <a:extLst>
                <a:ext uri="{FF2B5EF4-FFF2-40B4-BE49-F238E27FC236}">
                  <a16:creationId xmlns:a16="http://schemas.microsoft.com/office/drawing/2014/main" id="{00000000-0008-0000-0300-0000D204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219" name="Freeform 29">
            <a:extLst>
              <a:ext uri="{FF2B5EF4-FFF2-40B4-BE49-F238E27FC236}">
                <a16:creationId xmlns:a16="http://schemas.microsoft.com/office/drawing/2014/main" id="{00000000-0008-0000-0300-0000C304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220" name="Group 36">
            <a:extLst>
              <a:ext uri="{FF2B5EF4-FFF2-40B4-BE49-F238E27FC236}">
                <a16:creationId xmlns:a16="http://schemas.microsoft.com/office/drawing/2014/main" id="{00000000-0008-0000-0300-0000C404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1221" name="Freeform 30">
              <a:extLst>
                <a:ext uri="{FF2B5EF4-FFF2-40B4-BE49-F238E27FC236}">
                  <a16:creationId xmlns:a16="http://schemas.microsoft.com/office/drawing/2014/main" id="{00000000-0008-0000-0300-0000C504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2" name="Freeform 31">
              <a:extLst>
                <a:ext uri="{FF2B5EF4-FFF2-40B4-BE49-F238E27FC236}">
                  <a16:creationId xmlns:a16="http://schemas.microsoft.com/office/drawing/2014/main" id="{00000000-0008-0000-0300-0000C604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3" name="Freeform 32">
              <a:extLst>
                <a:ext uri="{FF2B5EF4-FFF2-40B4-BE49-F238E27FC236}">
                  <a16:creationId xmlns:a16="http://schemas.microsoft.com/office/drawing/2014/main" id="{00000000-0008-0000-0300-0000C704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4" name="Freeform 33">
              <a:extLst>
                <a:ext uri="{FF2B5EF4-FFF2-40B4-BE49-F238E27FC236}">
                  <a16:creationId xmlns:a16="http://schemas.microsoft.com/office/drawing/2014/main" id="{00000000-0008-0000-0300-0000C804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5" name="Freeform 34">
              <a:extLst>
                <a:ext uri="{FF2B5EF4-FFF2-40B4-BE49-F238E27FC236}">
                  <a16:creationId xmlns:a16="http://schemas.microsoft.com/office/drawing/2014/main" id="{00000000-0008-0000-0300-0000C904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6" name="Freeform 35">
              <a:extLst>
                <a:ext uri="{FF2B5EF4-FFF2-40B4-BE49-F238E27FC236}">
                  <a16:creationId xmlns:a16="http://schemas.microsoft.com/office/drawing/2014/main" id="{00000000-0008-0000-0300-0000CA04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6</xdr:col>
      <xdr:colOff>0</xdr:colOff>
      <xdr:row>143</xdr:row>
      <xdr:rowOff>1</xdr:rowOff>
    </xdr:from>
    <xdr:to>
      <xdr:col>6</xdr:col>
      <xdr:colOff>752475</xdr:colOff>
      <xdr:row>145</xdr:row>
      <xdr:rowOff>114301</xdr:rowOff>
    </xdr:to>
    <xdr:grpSp>
      <xdr:nvGrpSpPr>
        <xdr:cNvPr id="1242" name="Group 7">
          <a:extLst>
            <a:ext uri="{FF2B5EF4-FFF2-40B4-BE49-F238E27FC236}">
              <a16:creationId xmlns:a16="http://schemas.microsoft.com/office/drawing/2014/main" id="{00000000-0008-0000-0300-0000DA040000}"/>
            </a:ext>
          </a:extLst>
        </xdr:cNvPr>
        <xdr:cNvGrpSpPr>
          <a:grpSpLocks noChangeAspect="1"/>
        </xdr:cNvGrpSpPr>
      </xdr:nvGrpSpPr>
      <xdr:grpSpPr bwMode="auto">
        <a:xfrm>
          <a:off x="6067425" y="29841826"/>
          <a:ext cx="752475" cy="561975"/>
          <a:chOff x="0" y="0"/>
          <a:chExt cx="88" cy="88"/>
        </a:xfrm>
      </xdr:grpSpPr>
      <xdr:sp macro="" textlink="">
        <xdr:nvSpPr>
          <xdr:cNvPr id="1243" name="AutoShape 6">
            <a:extLst>
              <a:ext uri="{FF2B5EF4-FFF2-40B4-BE49-F238E27FC236}">
                <a16:creationId xmlns:a16="http://schemas.microsoft.com/office/drawing/2014/main" id="{00000000-0008-0000-0300-0000DB04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Freeform 8">
            <a:extLst>
              <a:ext uri="{FF2B5EF4-FFF2-40B4-BE49-F238E27FC236}">
                <a16:creationId xmlns:a16="http://schemas.microsoft.com/office/drawing/2014/main" id="{00000000-0008-0000-0300-0000DC04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45" name="Freeform 9">
            <a:extLst>
              <a:ext uri="{FF2B5EF4-FFF2-40B4-BE49-F238E27FC236}">
                <a16:creationId xmlns:a16="http://schemas.microsoft.com/office/drawing/2014/main" id="{00000000-0008-0000-0300-0000DD04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46" name="Freeform 10">
            <a:extLst>
              <a:ext uri="{FF2B5EF4-FFF2-40B4-BE49-F238E27FC236}">
                <a16:creationId xmlns:a16="http://schemas.microsoft.com/office/drawing/2014/main" id="{00000000-0008-0000-0300-0000DE04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247" name="Group 18">
            <a:extLst>
              <a:ext uri="{FF2B5EF4-FFF2-40B4-BE49-F238E27FC236}">
                <a16:creationId xmlns:a16="http://schemas.microsoft.com/office/drawing/2014/main" id="{00000000-0008-0000-0300-0000DF04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1266" name="Freeform 11">
              <a:extLst>
                <a:ext uri="{FF2B5EF4-FFF2-40B4-BE49-F238E27FC236}">
                  <a16:creationId xmlns:a16="http://schemas.microsoft.com/office/drawing/2014/main" id="{00000000-0008-0000-0300-0000F204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67" name="Freeform 12">
              <a:extLst>
                <a:ext uri="{FF2B5EF4-FFF2-40B4-BE49-F238E27FC236}">
                  <a16:creationId xmlns:a16="http://schemas.microsoft.com/office/drawing/2014/main" id="{00000000-0008-0000-0300-0000F304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68" name="Freeform 13">
              <a:extLst>
                <a:ext uri="{FF2B5EF4-FFF2-40B4-BE49-F238E27FC236}">
                  <a16:creationId xmlns:a16="http://schemas.microsoft.com/office/drawing/2014/main" id="{00000000-0008-0000-0300-0000F404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69" name="Freeform 14">
              <a:extLst>
                <a:ext uri="{FF2B5EF4-FFF2-40B4-BE49-F238E27FC236}">
                  <a16:creationId xmlns:a16="http://schemas.microsoft.com/office/drawing/2014/main" id="{00000000-0008-0000-0300-0000F504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70" name="Freeform 15">
              <a:extLst>
                <a:ext uri="{FF2B5EF4-FFF2-40B4-BE49-F238E27FC236}">
                  <a16:creationId xmlns:a16="http://schemas.microsoft.com/office/drawing/2014/main" id="{00000000-0008-0000-0300-0000F604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71" name="Freeform 16">
              <a:extLst>
                <a:ext uri="{FF2B5EF4-FFF2-40B4-BE49-F238E27FC236}">
                  <a16:creationId xmlns:a16="http://schemas.microsoft.com/office/drawing/2014/main" id="{00000000-0008-0000-0300-0000F704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72" name="Freeform 17">
              <a:extLst>
                <a:ext uri="{FF2B5EF4-FFF2-40B4-BE49-F238E27FC236}">
                  <a16:creationId xmlns:a16="http://schemas.microsoft.com/office/drawing/2014/main" id="{00000000-0008-0000-0300-0000F804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1248" name="Freeform 19">
            <a:extLst>
              <a:ext uri="{FF2B5EF4-FFF2-40B4-BE49-F238E27FC236}">
                <a16:creationId xmlns:a16="http://schemas.microsoft.com/office/drawing/2014/main" id="{00000000-0008-0000-0300-0000E004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249" name="Group 28">
            <a:extLst>
              <a:ext uri="{FF2B5EF4-FFF2-40B4-BE49-F238E27FC236}">
                <a16:creationId xmlns:a16="http://schemas.microsoft.com/office/drawing/2014/main" id="{00000000-0008-0000-0300-0000E104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1258" name="Freeform 20">
              <a:extLst>
                <a:ext uri="{FF2B5EF4-FFF2-40B4-BE49-F238E27FC236}">
                  <a16:creationId xmlns:a16="http://schemas.microsoft.com/office/drawing/2014/main" id="{00000000-0008-0000-0300-0000EA04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59" name="Freeform 21">
              <a:extLst>
                <a:ext uri="{FF2B5EF4-FFF2-40B4-BE49-F238E27FC236}">
                  <a16:creationId xmlns:a16="http://schemas.microsoft.com/office/drawing/2014/main" id="{00000000-0008-0000-0300-0000EB04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60" name="Freeform 22">
              <a:extLst>
                <a:ext uri="{FF2B5EF4-FFF2-40B4-BE49-F238E27FC236}">
                  <a16:creationId xmlns:a16="http://schemas.microsoft.com/office/drawing/2014/main" id="{00000000-0008-0000-0300-0000EC04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61" name="Freeform 23">
              <a:extLst>
                <a:ext uri="{FF2B5EF4-FFF2-40B4-BE49-F238E27FC236}">
                  <a16:creationId xmlns:a16="http://schemas.microsoft.com/office/drawing/2014/main" id="{00000000-0008-0000-0300-0000ED04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62" name="Freeform 24">
              <a:extLst>
                <a:ext uri="{FF2B5EF4-FFF2-40B4-BE49-F238E27FC236}">
                  <a16:creationId xmlns:a16="http://schemas.microsoft.com/office/drawing/2014/main" id="{00000000-0008-0000-0300-0000EE04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63" name="Freeform 25">
              <a:extLst>
                <a:ext uri="{FF2B5EF4-FFF2-40B4-BE49-F238E27FC236}">
                  <a16:creationId xmlns:a16="http://schemas.microsoft.com/office/drawing/2014/main" id="{00000000-0008-0000-0300-0000EF04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64" name="Freeform 26">
              <a:extLst>
                <a:ext uri="{FF2B5EF4-FFF2-40B4-BE49-F238E27FC236}">
                  <a16:creationId xmlns:a16="http://schemas.microsoft.com/office/drawing/2014/main" id="{00000000-0008-0000-0300-0000F004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65" name="Freeform 27">
              <a:extLst>
                <a:ext uri="{FF2B5EF4-FFF2-40B4-BE49-F238E27FC236}">
                  <a16:creationId xmlns:a16="http://schemas.microsoft.com/office/drawing/2014/main" id="{00000000-0008-0000-0300-0000F104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250" name="Freeform 29">
            <a:extLst>
              <a:ext uri="{FF2B5EF4-FFF2-40B4-BE49-F238E27FC236}">
                <a16:creationId xmlns:a16="http://schemas.microsoft.com/office/drawing/2014/main" id="{00000000-0008-0000-0300-0000E204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251" name="Group 36">
            <a:extLst>
              <a:ext uri="{FF2B5EF4-FFF2-40B4-BE49-F238E27FC236}">
                <a16:creationId xmlns:a16="http://schemas.microsoft.com/office/drawing/2014/main" id="{00000000-0008-0000-0300-0000E304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1252" name="Freeform 30">
              <a:extLst>
                <a:ext uri="{FF2B5EF4-FFF2-40B4-BE49-F238E27FC236}">
                  <a16:creationId xmlns:a16="http://schemas.microsoft.com/office/drawing/2014/main" id="{00000000-0008-0000-0300-0000E404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3" name="Freeform 31">
              <a:extLst>
                <a:ext uri="{FF2B5EF4-FFF2-40B4-BE49-F238E27FC236}">
                  <a16:creationId xmlns:a16="http://schemas.microsoft.com/office/drawing/2014/main" id="{00000000-0008-0000-0300-0000E504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4" name="Freeform 32">
              <a:extLst>
                <a:ext uri="{FF2B5EF4-FFF2-40B4-BE49-F238E27FC236}">
                  <a16:creationId xmlns:a16="http://schemas.microsoft.com/office/drawing/2014/main" id="{00000000-0008-0000-0300-0000E604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5" name="Freeform 33">
              <a:extLst>
                <a:ext uri="{FF2B5EF4-FFF2-40B4-BE49-F238E27FC236}">
                  <a16:creationId xmlns:a16="http://schemas.microsoft.com/office/drawing/2014/main" id="{00000000-0008-0000-0300-0000E704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6" name="Freeform 34">
              <a:extLst>
                <a:ext uri="{FF2B5EF4-FFF2-40B4-BE49-F238E27FC236}">
                  <a16:creationId xmlns:a16="http://schemas.microsoft.com/office/drawing/2014/main" id="{00000000-0008-0000-0300-0000E804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7" name="Freeform 35">
              <a:extLst>
                <a:ext uri="{FF2B5EF4-FFF2-40B4-BE49-F238E27FC236}">
                  <a16:creationId xmlns:a16="http://schemas.microsoft.com/office/drawing/2014/main" id="{00000000-0008-0000-0300-0000E904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6</xdr:col>
      <xdr:colOff>0</xdr:colOff>
      <xdr:row>143</xdr:row>
      <xdr:rowOff>1</xdr:rowOff>
    </xdr:from>
    <xdr:to>
      <xdr:col>6</xdr:col>
      <xdr:colOff>752475</xdr:colOff>
      <xdr:row>145</xdr:row>
      <xdr:rowOff>114301</xdr:rowOff>
    </xdr:to>
    <xdr:grpSp>
      <xdr:nvGrpSpPr>
        <xdr:cNvPr id="1273" name="Group 7">
          <a:extLst>
            <a:ext uri="{FF2B5EF4-FFF2-40B4-BE49-F238E27FC236}">
              <a16:creationId xmlns:a16="http://schemas.microsoft.com/office/drawing/2014/main" id="{00000000-0008-0000-0300-0000F9040000}"/>
            </a:ext>
          </a:extLst>
        </xdr:cNvPr>
        <xdr:cNvGrpSpPr>
          <a:grpSpLocks noChangeAspect="1"/>
        </xdr:cNvGrpSpPr>
      </xdr:nvGrpSpPr>
      <xdr:grpSpPr bwMode="auto">
        <a:xfrm>
          <a:off x="6067425" y="29841826"/>
          <a:ext cx="752475" cy="561975"/>
          <a:chOff x="0" y="0"/>
          <a:chExt cx="88" cy="88"/>
        </a:xfrm>
      </xdr:grpSpPr>
      <xdr:sp macro="" textlink="">
        <xdr:nvSpPr>
          <xdr:cNvPr id="1274" name="AutoShape 6">
            <a:extLst>
              <a:ext uri="{FF2B5EF4-FFF2-40B4-BE49-F238E27FC236}">
                <a16:creationId xmlns:a16="http://schemas.microsoft.com/office/drawing/2014/main" id="{00000000-0008-0000-0300-0000FA04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Freeform 8">
            <a:extLst>
              <a:ext uri="{FF2B5EF4-FFF2-40B4-BE49-F238E27FC236}">
                <a16:creationId xmlns:a16="http://schemas.microsoft.com/office/drawing/2014/main" id="{00000000-0008-0000-0300-0000FB04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76" name="Freeform 9">
            <a:extLst>
              <a:ext uri="{FF2B5EF4-FFF2-40B4-BE49-F238E27FC236}">
                <a16:creationId xmlns:a16="http://schemas.microsoft.com/office/drawing/2014/main" id="{00000000-0008-0000-0300-0000FC04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77" name="Freeform 10">
            <a:extLst>
              <a:ext uri="{FF2B5EF4-FFF2-40B4-BE49-F238E27FC236}">
                <a16:creationId xmlns:a16="http://schemas.microsoft.com/office/drawing/2014/main" id="{00000000-0008-0000-0300-0000FD04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278" name="Group 18">
            <a:extLst>
              <a:ext uri="{FF2B5EF4-FFF2-40B4-BE49-F238E27FC236}">
                <a16:creationId xmlns:a16="http://schemas.microsoft.com/office/drawing/2014/main" id="{00000000-0008-0000-0300-0000FE04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1297" name="Freeform 11">
              <a:extLst>
                <a:ext uri="{FF2B5EF4-FFF2-40B4-BE49-F238E27FC236}">
                  <a16:creationId xmlns:a16="http://schemas.microsoft.com/office/drawing/2014/main" id="{00000000-0008-0000-0300-00001105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98" name="Freeform 12">
              <a:extLst>
                <a:ext uri="{FF2B5EF4-FFF2-40B4-BE49-F238E27FC236}">
                  <a16:creationId xmlns:a16="http://schemas.microsoft.com/office/drawing/2014/main" id="{00000000-0008-0000-0300-00001205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99" name="Freeform 13">
              <a:extLst>
                <a:ext uri="{FF2B5EF4-FFF2-40B4-BE49-F238E27FC236}">
                  <a16:creationId xmlns:a16="http://schemas.microsoft.com/office/drawing/2014/main" id="{00000000-0008-0000-0300-00001305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00" name="Freeform 14">
              <a:extLst>
                <a:ext uri="{FF2B5EF4-FFF2-40B4-BE49-F238E27FC236}">
                  <a16:creationId xmlns:a16="http://schemas.microsoft.com/office/drawing/2014/main" id="{00000000-0008-0000-0300-00001405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01" name="Freeform 15">
              <a:extLst>
                <a:ext uri="{FF2B5EF4-FFF2-40B4-BE49-F238E27FC236}">
                  <a16:creationId xmlns:a16="http://schemas.microsoft.com/office/drawing/2014/main" id="{00000000-0008-0000-0300-00001505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02" name="Freeform 16">
              <a:extLst>
                <a:ext uri="{FF2B5EF4-FFF2-40B4-BE49-F238E27FC236}">
                  <a16:creationId xmlns:a16="http://schemas.microsoft.com/office/drawing/2014/main" id="{00000000-0008-0000-0300-00001605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03" name="Freeform 17">
              <a:extLst>
                <a:ext uri="{FF2B5EF4-FFF2-40B4-BE49-F238E27FC236}">
                  <a16:creationId xmlns:a16="http://schemas.microsoft.com/office/drawing/2014/main" id="{00000000-0008-0000-0300-00001705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1279" name="Freeform 19">
            <a:extLst>
              <a:ext uri="{FF2B5EF4-FFF2-40B4-BE49-F238E27FC236}">
                <a16:creationId xmlns:a16="http://schemas.microsoft.com/office/drawing/2014/main" id="{00000000-0008-0000-0300-0000FF04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280" name="Group 28">
            <a:extLst>
              <a:ext uri="{FF2B5EF4-FFF2-40B4-BE49-F238E27FC236}">
                <a16:creationId xmlns:a16="http://schemas.microsoft.com/office/drawing/2014/main" id="{00000000-0008-0000-0300-00000005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1289" name="Freeform 20">
              <a:extLst>
                <a:ext uri="{FF2B5EF4-FFF2-40B4-BE49-F238E27FC236}">
                  <a16:creationId xmlns:a16="http://schemas.microsoft.com/office/drawing/2014/main" id="{00000000-0008-0000-0300-00000905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90" name="Freeform 21">
              <a:extLst>
                <a:ext uri="{FF2B5EF4-FFF2-40B4-BE49-F238E27FC236}">
                  <a16:creationId xmlns:a16="http://schemas.microsoft.com/office/drawing/2014/main" id="{00000000-0008-0000-0300-00000A05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91" name="Freeform 22">
              <a:extLst>
                <a:ext uri="{FF2B5EF4-FFF2-40B4-BE49-F238E27FC236}">
                  <a16:creationId xmlns:a16="http://schemas.microsoft.com/office/drawing/2014/main" id="{00000000-0008-0000-0300-00000B05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92" name="Freeform 23">
              <a:extLst>
                <a:ext uri="{FF2B5EF4-FFF2-40B4-BE49-F238E27FC236}">
                  <a16:creationId xmlns:a16="http://schemas.microsoft.com/office/drawing/2014/main" id="{00000000-0008-0000-0300-00000C05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93" name="Freeform 24">
              <a:extLst>
                <a:ext uri="{FF2B5EF4-FFF2-40B4-BE49-F238E27FC236}">
                  <a16:creationId xmlns:a16="http://schemas.microsoft.com/office/drawing/2014/main" id="{00000000-0008-0000-0300-00000D05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94" name="Freeform 25">
              <a:extLst>
                <a:ext uri="{FF2B5EF4-FFF2-40B4-BE49-F238E27FC236}">
                  <a16:creationId xmlns:a16="http://schemas.microsoft.com/office/drawing/2014/main" id="{00000000-0008-0000-0300-00000E05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95" name="Freeform 26">
              <a:extLst>
                <a:ext uri="{FF2B5EF4-FFF2-40B4-BE49-F238E27FC236}">
                  <a16:creationId xmlns:a16="http://schemas.microsoft.com/office/drawing/2014/main" id="{00000000-0008-0000-0300-00000F05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96" name="Freeform 27">
              <a:extLst>
                <a:ext uri="{FF2B5EF4-FFF2-40B4-BE49-F238E27FC236}">
                  <a16:creationId xmlns:a16="http://schemas.microsoft.com/office/drawing/2014/main" id="{00000000-0008-0000-0300-00001005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281" name="Freeform 29">
            <a:extLst>
              <a:ext uri="{FF2B5EF4-FFF2-40B4-BE49-F238E27FC236}">
                <a16:creationId xmlns:a16="http://schemas.microsoft.com/office/drawing/2014/main" id="{00000000-0008-0000-0300-00000105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282" name="Group 36">
            <a:extLst>
              <a:ext uri="{FF2B5EF4-FFF2-40B4-BE49-F238E27FC236}">
                <a16:creationId xmlns:a16="http://schemas.microsoft.com/office/drawing/2014/main" id="{00000000-0008-0000-0300-00000205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1283" name="Freeform 30">
              <a:extLst>
                <a:ext uri="{FF2B5EF4-FFF2-40B4-BE49-F238E27FC236}">
                  <a16:creationId xmlns:a16="http://schemas.microsoft.com/office/drawing/2014/main" id="{00000000-0008-0000-0300-00000305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84" name="Freeform 31">
              <a:extLst>
                <a:ext uri="{FF2B5EF4-FFF2-40B4-BE49-F238E27FC236}">
                  <a16:creationId xmlns:a16="http://schemas.microsoft.com/office/drawing/2014/main" id="{00000000-0008-0000-0300-00000405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85" name="Freeform 32">
              <a:extLst>
                <a:ext uri="{FF2B5EF4-FFF2-40B4-BE49-F238E27FC236}">
                  <a16:creationId xmlns:a16="http://schemas.microsoft.com/office/drawing/2014/main" id="{00000000-0008-0000-0300-00000505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86" name="Freeform 33">
              <a:extLst>
                <a:ext uri="{FF2B5EF4-FFF2-40B4-BE49-F238E27FC236}">
                  <a16:creationId xmlns:a16="http://schemas.microsoft.com/office/drawing/2014/main" id="{00000000-0008-0000-0300-00000605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87" name="Freeform 34">
              <a:extLst>
                <a:ext uri="{FF2B5EF4-FFF2-40B4-BE49-F238E27FC236}">
                  <a16:creationId xmlns:a16="http://schemas.microsoft.com/office/drawing/2014/main" id="{00000000-0008-0000-0300-00000705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88" name="Freeform 35">
              <a:extLst>
                <a:ext uri="{FF2B5EF4-FFF2-40B4-BE49-F238E27FC236}">
                  <a16:creationId xmlns:a16="http://schemas.microsoft.com/office/drawing/2014/main" id="{00000000-0008-0000-0300-00000805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6</xdr:col>
      <xdr:colOff>0</xdr:colOff>
      <xdr:row>143</xdr:row>
      <xdr:rowOff>1</xdr:rowOff>
    </xdr:from>
    <xdr:to>
      <xdr:col>6</xdr:col>
      <xdr:colOff>752475</xdr:colOff>
      <xdr:row>145</xdr:row>
      <xdr:rowOff>114301</xdr:rowOff>
    </xdr:to>
    <xdr:grpSp>
      <xdr:nvGrpSpPr>
        <xdr:cNvPr id="1304" name="Group 7">
          <a:extLst>
            <a:ext uri="{FF2B5EF4-FFF2-40B4-BE49-F238E27FC236}">
              <a16:creationId xmlns:a16="http://schemas.microsoft.com/office/drawing/2014/main" id="{00000000-0008-0000-0300-000018050000}"/>
            </a:ext>
          </a:extLst>
        </xdr:cNvPr>
        <xdr:cNvGrpSpPr>
          <a:grpSpLocks noChangeAspect="1"/>
        </xdr:cNvGrpSpPr>
      </xdr:nvGrpSpPr>
      <xdr:grpSpPr bwMode="auto">
        <a:xfrm>
          <a:off x="6067425" y="29841826"/>
          <a:ext cx="752475" cy="561975"/>
          <a:chOff x="0" y="0"/>
          <a:chExt cx="88" cy="88"/>
        </a:xfrm>
      </xdr:grpSpPr>
      <xdr:sp macro="" textlink="">
        <xdr:nvSpPr>
          <xdr:cNvPr id="1305" name="AutoShape 6">
            <a:extLst>
              <a:ext uri="{FF2B5EF4-FFF2-40B4-BE49-F238E27FC236}">
                <a16:creationId xmlns:a16="http://schemas.microsoft.com/office/drawing/2014/main" id="{00000000-0008-0000-0300-00001905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Freeform 8">
            <a:extLst>
              <a:ext uri="{FF2B5EF4-FFF2-40B4-BE49-F238E27FC236}">
                <a16:creationId xmlns:a16="http://schemas.microsoft.com/office/drawing/2014/main" id="{00000000-0008-0000-0300-00001A05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07" name="Freeform 9">
            <a:extLst>
              <a:ext uri="{FF2B5EF4-FFF2-40B4-BE49-F238E27FC236}">
                <a16:creationId xmlns:a16="http://schemas.microsoft.com/office/drawing/2014/main" id="{00000000-0008-0000-0300-00001B05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08" name="Freeform 10">
            <a:extLst>
              <a:ext uri="{FF2B5EF4-FFF2-40B4-BE49-F238E27FC236}">
                <a16:creationId xmlns:a16="http://schemas.microsoft.com/office/drawing/2014/main" id="{00000000-0008-0000-0300-00001C05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309" name="Group 18">
            <a:extLst>
              <a:ext uri="{FF2B5EF4-FFF2-40B4-BE49-F238E27FC236}">
                <a16:creationId xmlns:a16="http://schemas.microsoft.com/office/drawing/2014/main" id="{00000000-0008-0000-0300-00001D05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1328" name="Freeform 11">
              <a:extLst>
                <a:ext uri="{FF2B5EF4-FFF2-40B4-BE49-F238E27FC236}">
                  <a16:creationId xmlns:a16="http://schemas.microsoft.com/office/drawing/2014/main" id="{00000000-0008-0000-0300-00003005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29" name="Freeform 12">
              <a:extLst>
                <a:ext uri="{FF2B5EF4-FFF2-40B4-BE49-F238E27FC236}">
                  <a16:creationId xmlns:a16="http://schemas.microsoft.com/office/drawing/2014/main" id="{00000000-0008-0000-0300-00003105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30" name="Freeform 13">
              <a:extLst>
                <a:ext uri="{FF2B5EF4-FFF2-40B4-BE49-F238E27FC236}">
                  <a16:creationId xmlns:a16="http://schemas.microsoft.com/office/drawing/2014/main" id="{00000000-0008-0000-0300-00003205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31" name="Freeform 14">
              <a:extLst>
                <a:ext uri="{FF2B5EF4-FFF2-40B4-BE49-F238E27FC236}">
                  <a16:creationId xmlns:a16="http://schemas.microsoft.com/office/drawing/2014/main" id="{00000000-0008-0000-0300-00003305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32" name="Freeform 15">
              <a:extLst>
                <a:ext uri="{FF2B5EF4-FFF2-40B4-BE49-F238E27FC236}">
                  <a16:creationId xmlns:a16="http://schemas.microsoft.com/office/drawing/2014/main" id="{00000000-0008-0000-0300-00003405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33" name="Freeform 16">
              <a:extLst>
                <a:ext uri="{FF2B5EF4-FFF2-40B4-BE49-F238E27FC236}">
                  <a16:creationId xmlns:a16="http://schemas.microsoft.com/office/drawing/2014/main" id="{00000000-0008-0000-0300-00003505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34" name="Freeform 17">
              <a:extLst>
                <a:ext uri="{FF2B5EF4-FFF2-40B4-BE49-F238E27FC236}">
                  <a16:creationId xmlns:a16="http://schemas.microsoft.com/office/drawing/2014/main" id="{00000000-0008-0000-0300-00003605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1310" name="Freeform 19">
            <a:extLst>
              <a:ext uri="{FF2B5EF4-FFF2-40B4-BE49-F238E27FC236}">
                <a16:creationId xmlns:a16="http://schemas.microsoft.com/office/drawing/2014/main" id="{00000000-0008-0000-0300-00001E05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311" name="Group 28">
            <a:extLst>
              <a:ext uri="{FF2B5EF4-FFF2-40B4-BE49-F238E27FC236}">
                <a16:creationId xmlns:a16="http://schemas.microsoft.com/office/drawing/2014/main" id="{00000000-0008-0000-0300-00001F05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1320" name="Freeform 20">
              <a:extLst>
                <a:ext uri="{FF2B5EF4-FFF2-40B4-BE49-F238E27FC236}">
                  <a16:creationId xmlns:a16="http://schemas.microsoft.com/office/drawing/2014/main" id="{00000000-0008-0000-0300-00002805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21" name="Freeform 21">
              <a:extLst>
                <a:ext uri="{FF2B5EF4-FFF2-40B4-BE49-F238E27FC236}">
                  <a16:creationId xmlns:a16="http://schemas.microsoft.com/office/drawing/2014/main" id="{00000000-0008-0000-0300-00002905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22" name="Freeform 22">
              <a:extLst>
                <a:ext uri="{FF2B5EF4-FFF2-40B4-BE49-F238E27FC236}">
                  <a16:creationId xmlns:a16="http://schemas.microsoft.com/office/drawing/2014/main" id="{00000000-0008-0000-0300-00002A05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23" name="Freeform 23">
              <a:extLst>
                <a:ext uri="{FF2B5EF4-FFF2-40B4-BE49-F238E27FC236}">
                  <a16:creationId xmlns:a16="http://schemas.microsoft.com/office/drawing/2014/main" id="{00000000-0008-0000-0300-00002B05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24" name="Freeform 24">
              <a:extLst>
                <a:ext uri="{FF2B5EF4-FFF2-40B4-BE49-F238E27FC236}">
                  <a16:creationId xmlns:a16="http://schemas.microsoft.com/office/drawing/2014/main" id="{00000000-0008-0000-0300-00002C05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25" name="Freeform 25">
              <a:extLst>
                <a:ext uri="{FF2B5EF4-FFF2-40B4-BE49-F238E27FC236}">
                  <a16:creationId xmlns:a16="http://schemas.microsoft.com/office/drawing/2014/main" id="{00000000-0008-0000-0300-00002D05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26" name="Freeform 26">
              <a:extLst>
                <a:ext uri="{FF2B5EF4-FFF2-40B4-BE49-F238E27FC236}">
                  <a16:creationId xmlns:a16="http://schemas.microsoft.com/office/drawing/2014/main" id="{00000000-0008-0000-0300-00002E05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27" name="Freeform 27">
              <a:extLst>
                <a:ext uri="{FF2B5EF4-FFF2-40B4-BE49-F238E27FC236}">
                  <a16:creationId xmlns:a16="http://schemas.microsoft.com/office/drawing/2014/main" id="{00000000-0008-0000-0300-00002F05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312" name="Freeform 29">
            <a:extLst>
              <a:ext uri="{FF2B5EF4-FFF2-40B4-BE49-F238E27FC236}">
                <a16:creationId xmlns:a16="http://schemas.microsoft.com/office/drawing/2014/main" id="{00000000-0008-0000-0300-00002005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313" name="Group 36">
            <a:extLst>
              <a:ext uri="{FF2B5EF4-FFF2-40B4-BE49-F238E27FC236}">
                <a16:creationId xmlns:a16="http://schemas.microsoft.com/office/drawing/2014/main" id="{00000000-0008-0000-0300-00002105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1314" name="Freeform 30">
              <a:extLst>
                <a:ext uri="{FF2B5EF4-FFF2-40B4-BE49-F238E27FC236}">
                  <a16:creationId xmlns:a16="http://schemas.microsoft.com/office/drawing/2014/main" id="{00000000-0008-0000-0300-00002205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15" name="Freeform 31">
              <a:extLst>
                <a:ext uri="{FF2B5EF4-FFF2-40B4-BE49-F238E27FC236}">
                  <a16:creationId xmlns:a16="http://schemas.microsoft.com/office/drawing/2014/main" id="{00000000-0008-0000-0300-00002305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16" name="Freeform 32">
              <a:extLst>
                <a:ext uri="{FF2B5EF4-FFF2-40B4-BE49-F238E27FC236}">
                  <a16:creationId xmlns:a16="http://schemas.microsoft.com/office/drawing/2014/main" id="{00000000-0008-0000-0300-00002405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17" name="Freeform 33">
              <a:extLst>
                <a:ext uri="{FF2B5EF4-FFF2-40B4-BE49-F238E27FC236}">
                  <a16:creationId xmlns:a16="http://schemas.microsoft.com/office/drawing/2014/main" id="{00000000-0008-0000-0300-00002505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18" name="Freeform 34">
              <a:extLst>
                <a:ext uri="{FF2B5EF4-FFF2-40B4-BE49-F238E27FC236}">
                  <a16:creationId xmlns:a16="http://schemas.microsoft.com/office/drawing/2014/main" id="{00000000-0008-0000-0300-00002605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19" name="Freeform 35">
              <a:extLst>
                <a:ext uri="{FF2B5EF4-FFF2-40B4-BE49-F238E27FC236}">
                  <a16:creationId xmlns:a16="http://schemas.microsoft.com/office/drawing/2014/main" id="{00000000-0008-0000-0300-00002705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6</xdr:col>
      <xdr:colOff>0</xdr:colOff>
      <xdr:row>143</xdr:row>
      <xdr:rowOff>1</xdr:rowOff>
    </xdr:from>
    <xdr:to>
      <xdr:col>6</xdr:col>
      <xdr:colOff>752475</xdr:colOff>
      <xdr:row>145</xdr:row>
      <xdr:rowOff>114301</xdr:rowOff>
    </xdr:to>
    <xdr:grpSp>
      <xdr:nvGrpSpPr>
        <xdr:cNvPr id="1335" name="Group 7">
          <a:extLst>
            <a:ext uri="{FF2B5EF4-FFF2-40B4-BE49-F238E27FC236}">
              <a16:creationId xmlns:a16="http://schemas.microsoft.com/office/drawing/2014/main" id="{00000000-0008-0000-0300-000037050000}"/>
            </a:ext>
          </a:extLst>
        </xdr:cNvPr>
        <xdr:cNvGrpSpPr>
          <a:grpSpLocks noChangeAspect="1"/>
        </xdr:cNvGrpSpPr>
      </xdr:nvGrpSpPr>
      <xdr:grpSpPr bwMode="auto">
        <a:xfrm>
          <a:off x="6067425" y="29841826"/>
          <a:ext cx="752475" cy="561975"/>
          <a:chOff x="0" y="0"/>
          <a:chExt cx="88" cy="88"/>
        </a:xfrm>
      </xdr:grpSpPr>
      <xdr:sp macro="" textlink="">
        <xdr:nvSpPr>
          <xdr:cNvPr id="1336" name="AutoShape 6">
            <a:extLst>
              <a:ext uri="{FF2B5EF4-FFF2-40B4-BE49-F238E27FC236}">
                <a16:creationId xmlns:a16="http://schemas.microsoft.com/office/drawing/2014/main" id="{00000000-0008-0000-0300-00003805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Freeform 8">
            <a:extLst>
              <a:ext uri="{FF2B5EF4-FFF2-40B4-BE49-F238E27FC236}">
                <a16:creationId xmlns:a16="http://schemas.microsoft.com/office/drawing/2014/main" id="{00000000-0008-0000-0300-00003905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38" name="Freeform 9">
            <a:extLst>
              <a:ext uri="{FF2B5EF4-FFF2-40B4-BE49-F238E27FC236}">
                <a16:creationId xmlns:a16="http://schemas.microsoft.com/office/drawing/2014/main" id="{00000000-0008-0000-0300-00003A05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39" name="Freeform 10">
            <a:extLst>
              <a:ext uri="{FF2B5EF4-FFF2-40B4-BE49-F238E27FC236}">
                <a16:creationId xmlns:a16="http://schemas.microsoft.com/office/drawing/2014/main" id="{00000000-0008-0000-0300-00003B05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340" name="Group 18">
            <a:extLst>
              <a:ext uri="{FF2B5EF4-FFF2-40B4-BE49-F238E27FC236}">
                <a16:creationId xmlns:a16="http://schemas.microsoft.com/office/drawing/2014/main" id="{00000000-0008-0000-0300-00003C05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1359" name="Freeform 11">
              <a:extLst>
                <a:ext uri="{FF2B5EF4-FFF2-40B4-BE49-F238E27FC236}">
                  <a16:creationId xmlns:a16="http://schemas.microsoft.com/office/drawing/2014/main" id="{00000000-0008-0000-0300-00004F05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60" name="Freeform 12">
              <a:extLst>
                <a:ext uri="{FF2B5EF4-FFF2-40B4-BE49-F238E27FC236}">
                  <a16:creationId xmlns:a16="http://schemas.microsoft.com/office/drawing/2014/main" id="{00000000-0008-0000-0300-00005005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61" name="Freeform 13">
              <a:extLst>
                <a:ext uri="{FF2B5EF4-FFF2-40B4-BE49-F238E27FC236}">
                  <a16:creationId xmlns:a16="http://schemas.microsoft.com/office/drawing/2014/main" id="{00000000-0008-0000-0300-00005105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62" name="Freeform 14">
              <a:extLst>
                <a:ext uri="{FF2B5EF4-FFF2-40B4-BE49-F238E27FC236}">
                  <a16:creationId xmlns:a16="http://schemas.microsoft.com/office/drawing/2014/main" id="{00000000-0008-0000-0300-00005205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63" name="Freeform 15">
              <a:extLst>
                <a:ext uri="{FF2B5EF4-FFF2-40B4-BE49-F238E27FC236}">
                  <a16:creationId xmlns:a16="http://schemas.microsoft.com/office/drawing/2014/main" id="{00000000-0008-0000-0300-00005305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64" name="Freeform 16">
              <a:extLst>
                <a:ext uri="{FF2B5EF4-FFF2-40B4-BE49-F238E27FC236}">
                  <a16:creationId xmlns:a16="http://schemas.microsoft.com/office/drawing/2014/main" id="{00000000-0008-0000-0300-00005405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65" name="Freeform 17">
              <a:extLst>
                <a:ext uri="{FF2B5EF4-FFF2-40B4-BE49-F238E27FC236}">
                  <a16:creationId xmlns:a16="http://schemas.microsoft.com/office/drawing/2014/main" id="{00000000-0008-0000-0300-00005505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1341" name="Freeform 19">
            <a:extLst>
              <a:ext uri="{FF2B5EF4-FFF2-40B4-BE49-F238E27FC236}">
                <a16:creationId xmlns:a16="http://schemas.microsoft.com/office/drawing/2014/main" id="{00000000-0008-0000-0300-00003D05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342" name="Group 28">
            <a:extLst>
              <a:ext uri="{FF2B5EF4-FFF2-40B4-BE49-F238E27FC236}">
                <a16:creationId xmlns:a16="http://schemas.microsoft.com/office/drawing/2014/main" id="{00000000-0008-0000-0300-00003E05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1351" name="Freeform 20">
              <a:extLst>
                <a:ext uri="{FF2B5EF4-FFF2-40B4-BE49-F238E27FC236}">
                  <a16:creationId xmlns:a16="http://schemas.microsoft.com/office/drawing/2014/main" id="{00000000-0008-0000-0300-00004705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52" name="Freeform 21">
              <a:extLst>
                <a:ext uri="{FF2B5EF4-FFF2-40B4-BE49-F238E27FC236}">
                  <a16:creationId xmlns:a16="http://schemas.microsoft.com/office/drawing/2014/main" id="{00000000-0008-0000-0300-00004805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53" name="Freeform 22">
              <a:extLst>
                <a:ext uri="{FF2B5EF4-FFF2-40B4-BE49-F238E27FC236}">
                  <a16:creationId xmlns:a16="http://schemas.microsoft.com/office/drawing/2014/main" id="{00000000-0008-0000-0300-00004905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54" name="Freeform 23">
              <a:extLst>
                <a:ext uri="{FF2B5EF4-FFF2-40B4-BE49-F238E27FC236}">
                  <a16:creationId xmlns:a16="http://schemas.microsoft.com/office/drawing/2014/main" id="{00000000-0008-0000-0300-00004A05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55" name="Freeform 24">
              <a:extLst>
                <a:ext uri="{FF2B5EF4-FFF2-40B4-BE49-F238E27FC236}">
                  <a16:creationId xmlns:a16="http://schemas.microsoft.com/office/drawing/2014/main" id="{00000000-0008-0000-0300-00004B05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56" name="Freeform 25">
              <a:extLst>
                <a:ext uri="{FF2B5EF4-FFF2-40B4-BE49-F238E27FC236}">
                  <a16:creationId xmlns:a16="http://schemas.microsoft.com/office/drawing/2014/main" id="{00000000-0008-0000-0300-00004C05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57" name="Freeform 26">
              <a:extLst>
                <a:ext uri="{FF2B5EF4-FFF2-40B4-BE49-F238E27FC236}">
                  <a16:creationId xmlns:a16="http://schemas.microsoft.com/office/drawing/2014/main" id="{00000000-0008-0000-0300-00004D05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58" name="Freeform 27">
              <a:extLst>
                <a:ext uri="{FF2B5EF4-FFF2-40B4-BE49-F238E27FC236}">
                  <a16:creationId xmlns:a16="http://schemas.microsoft.com/office/drawing/2014/main" id="{00000000-0008-0000-0300-00004E05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343" name="Freeform 29">
            <a:extLst>
              <a:ext uri="{FF2B5EF4-FFF2-40B4-BE49-F238E27FC236}">
                <a16:creationId xmlns:a16="http://schemas.microsoft.com/office/drawing/2014/main" id="{00000000-0008-0000-0300-00003F05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344" name="Group 36">
            <a:extLst>
              <a:ext uri="{FF2B5EF4-FFF2-40B4-BE49-F238E27FC236}">
                <a16:creationId xmlns:a16="http://schemas.microsoft.com/office/drawing/2014/main" id="{00000000-0008-0000-0300-00004005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1345" name="Freeform 30">
              <a:extLst>
                <a:ext uri="{FF2B5EF4-FFF2-40B4-BE49-F238E27FC236}">
                  <a16:creationId xmlns:a16="http://schemas.microsoft.com/office/drawing/2014/main" id="{00000000-0008-0000-0300-00004105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46" name="Freeform 31">
              <a:extLst>
                <a:ext uri="{FF2B5EF4-FFF2-40B4-BE49-F238E27FC236}">
                  <a16:creationId xmlns:a16="http://schemas.microsoft.com/office/drawing/2014/main" id="{00000000-0008-0000-0300-00004205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47" name="Freeform 32">
              <a:extLst>
                <a:ext uri="{FF2B5EF4-FFF2-40B4-BE49-F238E27FC236}">
                  <a16:creationId xmlns:a16="http://schemas.microsoft.com/office/drawing/2014/main" id="{00000000-0008-0000-0300-00004305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48" name="Freeform 33">
              <a:extLst>
                <a:ext uri="{FF2B5EF4-FFF2-40B4-BE49-F238E27FC236}">
                  <a16:creationId xmlns:a16="http://schemas.microsoft.com/office/drawing/2014/main" id="{00000000-0008-0000-0300-00004405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49" name="Freeform 34">
              <a:extLst>
                <a:ext uri="{FF2B5EF4-FFF2-40B4-BE49-F238E27FC236}">
                  <a16:creationId xmlns:a16="http://schemas.microsoft.com/office/drawing/2014/main" id="{00000000-0008-0000-0300-00004505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50" name="Freeform 35">
              <a:extLst>
                <a:ext uri="{FF2B5EF4-FFF2-40B4-BE49-F238E27FC236}">
                  <a16:creationId xmlns:a16="http://schemas.microsoft.com/office/drawing/2014/main" id="{00000000-0008-0000-0300-00004605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  <xdr:twoCellAnchor>
    <xdr:from>
      <xdr:col>0</xdr:col>
      <xdr:colOff>0</xdr:colOff>
      <xdr:row>191</xdr:row>
      <xdr:rowOff>1</xdr:rowOff>
    </xdr:from>
    <xdr:to>
      <xdr:col>0</xdr:col>
      <xdr:colOff>752475</xdr:colOff>
      <xdr:row>193</xdr:row>
      <xdr:rowOff>114301</xdr:rowOff>
    </xdr:to>
    <xdr:grpSp>
      <xdr:nvGrpSpPr>
        <xdr:cNvPr id="1366" name="Group 7">
          <a:extLst>
            <a:ext uri="{FF2B5EF4-FFF2-40B4-BE49-F238E27FC236}">
              <a16:creationId xmlns:a16="http://schemas.microsoft.com/office/drawing/2014/main" id="{00000000-0008-0000-0300-000056050000}"/>
            </a:ext>
          </a:extLst>
        </xdr:cNvPr>
        <xdr:cNvGrpSpPr>
          <a:grpSpLocks noChangeAspect="1"/>
        </xdr:cNvGrpSpPr>
      </xdr:nvGrpSpPr>
      <xdr:grpSpPr bwMode="auto">
        <a:xfrm>
          <a:off x="0" y="39766876"/>
          <a:ext cx="752475" cy="561975"/>
          <a:chOff x="0" y="0"/>
          <a:chExt cx="88" cy="88"/>
        </a:xfrm>
      </xdr:grpSpPr>
      <xdr:sp macro="" textlink="">
        <xdr:nvSpPr>
          <xdr:cNvPr id="1367" name="AutoShape 6">
            <a:extLst>
              <a:ext uri="{FF2B5EF4-FFF2-40B4-BE49-F238E27FC236}">
                <a16:creationId xmlns:a16="http://schemas.microsoft.com/office/drawing/2014/main" id="{00000000-0008-0000-0300-00005705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88" cy="8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Freeform 8">
            <a:extLst>
              <a:ext uri="{FF2B5EF4-FFF2-40B4-BE49-F238E27FC236}">
                <a16:creationId xmlns:a16="http://schemas.microsoft.com/office/drawing/2014/main" id="{00000000-0008-0000-0300-000058050000}"/>
              </a:ext>
            </a:extLst>
          </xdr:cNvPr>
          <xdr:cNvSpPr>
            <a:spLocks/>
          </xdr:cNvSpPr>
        </xdr:nvSpPr>
        <xdr:spPr bwMode="auto">
          <a:xfrm>
            <a:off x="2" y="2"/>
            <a:ext cx="84" cy="84"/>
          </a:xfrm>
          <a:custGeom>
            <a:avLst/>
            <a:gdLst>
              <a:gd name="T0" fmla="*/ 0 w 835"/>
              <a:gd name="T1" fmla="*/ 0 h 834"/>
              <a:gd name="T2" fmla="*/ 0 w 835"/>
              <a:gd name="T3" fmla="*/ 0 h 834"/>
              <a:gd name="T4" fmla="*/ 0 w 835"/>
              <a:gd name="T5" fmla="*/ 0 h 834"/>
              <a:gd name="T6" fmla="*/ 0 w 835"/>
              <a:gd name="T7" fmla="*/ 0 h 834"/>
              <a:gd name="T8" fmla="*/ 0 w 835"/>
              <a:gd name="T9" fmla="*/ 0 h 834"/>
              <a:gd name="T10" fmla="*/ 0 w 835"/>
              <a:gd name="T11" fmla="*/ 0 h 834"/>
              <a:gd name="T12" fmla="*/ 0 w 835"/>
              <a:gd name="T13" fmla="*/ 0 h 834"/>
              <a:gd name="T14" fmla="*/ 0 w 835"/>
              <a:gd name="T15" fmla="*/ 0 h 834"/>
              <a:gd name="T16" fmla="*/ 0 w 835"/>
              <a:gd name="T17" fmla="*/ 0 h 834"/>
              <a:gd name="T18" fmla="*/ 0 w 835"/>
              <a:gd name="T19" fmla="*/ 0 h 834"/>
              <a:gd name="T20" fmla="*/ 0 w 835"/>
              <a:gd name="T21" fmla="*/ 0 h 834"/>
              <a:gd name="T22" fmla="*/ 0 w 835"/>
              <a:gd name="T23" fmla="*/ 0 h 834"/>
              <a:gd name="T24" fmla="*/ 0 w 835"/>
              <a:gd name="T25" fmla="*/ 0 h 834"/>
              <a:gd name="T26" fmla="*/ 0 w 835"/>
              <a:gd name="T27" fmla="*/ 0 h 834"/>
              <a:gd name="T28" fmla="*/ 0 w 835"/>
              <a:gd name="T29" fmla="*/ 0 h 834"/>
              <a:gd name="T30" fmla="*/ 0 w 835"/>
              <a:gd name="T31" fmla="*/ 0 h 834"/>
              <a:gd name="T32" fmla="*/ 0 w 835"/>
              <a:gd name="T33" fmla="*/ 0 h 834"/>
              <a:gd name="T34" fmla="*/ 0 w 835"/>
              <a:gd name="T35" fmla="*/ 0 h 834"/>
              <a:gd name="T36" fmla="*/ 0 w 835"/>
              <a:gd name="T37" fmla="*/ 0 h 834"/>
              <a:gd name="T38" fmla="*/ 0 w 835"/>
              <a:gd name="T39" fmla="*/ 0 h 834"/>
              <a:gd name="T40" fmla="*/ 0 w 835"/>
              <a:gd name="T41" fmla="*/ 0 h 834"/>
              <a:gd name="T42" fmla="*/ 0 w 835"/>
              <a:gd name="T43" fmla="*/ 0 h 834"/>
              <a:gd name="T44" fmla="*/ 0 w 835"/>
              <a:gd name="T45" fmla="*/ 0 h 834"/>
              <a:gd name="T46" fmla="*/ 0 w 835"/>
              <a:gd name="T47" fmla="*/ 0 h 834"/>
              <a:gd name="T48" fmla="*/ 0 w 835"/>
              <a:gd name="T49" fmla="*/ 0 h 834"/>
              <a:gd name="T50" fmla="*/ 0 w 835"/>
              <a:gd name="T51" fmla="*/ 0 h 834"/>
              <a:gd name="T52" fmla="*/ 0 w 835"/>
              <a:gd name="T53" fmla="*/ 0 h 834"/>
              <a:gd name="T54" fmla="*/ 0 w 835"/>
              <a:gd name="T55" fmla="*/ 0 h 834"/>
              <a:gd name="T56" fmla="*/ 0 w 835"/>
              <a:gd name="T57" fmla="*/ 0 h 834"/>
              <a:gd name="T58" fmla="*/ 0 w 835"/>
              <a:gd name="T59" fmla="*/ 0 h 834"/>
              <a:gd name="T60" fmla="*/ 0 w 835"/>
              <a:gd name="T61" fmla="*/ 0 h 834"/>
              <a:gd name="T62" fmla="*/ 0 w 835"/>
              <a:gd name="T63" fmla="*/ 0 h 834"/>
              <a:gd name="T64" fmla="*/ 0 w 835"/>
              <a:gd name="T65" fmla="*/ 0 h 834"/>
              <a:gd name="T66" fmla="*/ 0 w 835"/>
              <a:gd name="T67" fmla="*/ 0 h 834"/>
              <a:gd name="T68" fmla="*/ 0 w 835"/>
              <a:gd name="T69" fmla="*/ 0 h 834"/>
              <a:gd name="T70" fmla="*/ 0 w 835"/>
              <a:gd name="T71" fmla="*/ 0 h 834"/>
              <a:gd name="T72" fmla="*/ 0 w 835"/>
              <a:gd name="T73" fmla="*/ 0 h 834"/>
              <a:gd name="T74" fmla="*/ 0 w 835"/>
              <a:gd name="T75" fmla="*/ 0 h 834"/>
              <a:gd name="T76" fmla="*/ 0 w 835"/>
              <a:gd name="T77" fmla="*/ 0 h 834"/>
              <a:gd name="T78" fmla="*/ 0 w 835"/>
              <a:gd name="T79" fmla="*/ 0 h 834"/>
              <a:gd name="T80" fmla="*/ 0 w 835"/>
              <a:gd name="T81" fmla="*/ 0 h 834"/>
              <a:gd name="T82" fmla="*/ 0 w 835"/>
              <a:gd name="T83" fmla="*/ 0 h 834"/>
              <a:gd name="T84" fmla="*/ 0 w 835"/>
              <a:gd name="T85" fmla="*/ 0 h 834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w 835"/>
              <a:gd name="T130" fmla="*/ 0 h 834"/>
              <a:gd name="T131" fmla="*/ 835 w 835"/>
              <a:gd name="T132" fmla="*/ 834 h 834"/>
            </a:gdLst>
            <a:ahLst/>
            <a:cxnLst>
              <a:cxn ang="T86">
                <a:pos x="T0" y="T1"/>
              </a:cxn>
              <a:cxn ang="T87">
                <a:pos x="T2" y="T3"/>
              </a:cxn>
              <a:cxn ang="T88">
                <a:pos x="T4" y="T5"/>
              </a:cxn>
              <a:cxn ang="T89">
                <a:pos x="T6" y="T7"/>
              </a:cxn>
              <a:cxn ang="T90">
                <a:pos x="T8" y="T9"/>
              </a:cxn>
              <a:cxn ang="T91">
                <a:pos x="T10" y="T11"/>
              </a:cxn>
              <a:cxn ang="T92">
                <a:pos x="T12" y="T13"/>
              </a:cxn>
              <a:cxn ang="T93">
                <a:pos x="T14" y="T15"/>
              </a:cxn>
              <a:cxn ang="T94">
                <a:pos x="T16" y="T17"/>
              </a:cxn>
              <a:cxn ang="T95">
                <a:pos x="T18" y="T19"/>
              </a:cxn>
              <a:cxn ang="T96">
                <a:pos x="T20" y="T21"/>
              </a:cxn>
              <a:cxn ang="T97">
                <a:pos x="T22" y="T23"/>
              </a:cxn>
              <a:cxn ang="T98">
                <a:pos x="T24" y="T25"/>
              </a:cxn>
              <a:cxn ang="T99">
                <a:pos x="T26" y="T27"/>
              </a:cxn>
              <a:cxn ang="T100">
                <a:pos x="T28" y="T29"/>
              </a:cxn>
              <a:cxn ang="T101">
                <a:pos x="T30" y="T31"/>
              </a:cxn>
              <a:cxn ang="T102">
                <a:pos x="T32" y="T33"/>
              </a:cxn>
              <a:cxn ang="T103">
                <a:pos x="T34" y="T35"/>
              </a:cxn>
              <a:cxn ang="T104">
                <a:pos x="T36" y="T37"/>
              </a:cxn>
              <a:cxn ang="T105">
                <a:pos x="T38" y="T39"/>
              </a:cxn>
              <a:cxn ang="T106">
                <a:pos x="T40" y="T41"/>
              </a:cxn>
              <a:cxn ang="T107">
                <a:pos x="T42" y="T43"/>
              </a:cxn>
              <a:cxn ang="T108">
                <a:pos x="T44" y="T45"/>
              </a:cxn>
              <a:cxn ang="T109">
                <a:pos x="T46" y="T47"/>
              </a:cxn>
              <a:cxn ang="T110">
                <a:pos x="T48" y="T49"/>
              </a:cxn>
              <a:cxn ang="T111">
                <a:pos x="T50" y="T51"/>
              </a:cxn>
              <a:cxn ang="T112">
                <a:pos x="T52" y="T53"/>
              </a:cxn>
              <a:cxn ang="T113">
                <a:pos x="T54" y="T55"/>
              </a:cxn>
              <a:cxn ang="T114">
                <a:pos x="T56" y="T57"/>
              </a:cxn>
              <a:cxn ang="T115">
                <a:pos x="T58" y="T59"/>
              </a:cxn>
              <a:cxn ang="T116">
                <a:pos x="T60" y="T61"/>
              </a:cxn>
              <a:cxn ang="T117">
                <a:pos x="T62" y="T63"/>
              </a:cxn>
              <a:cxn ang="T118">
                <a:pos x="T64" y="T65"/>
              </a:cxn>
              <a:cxn ang="T119">
                <a:pos x="T66" y="T67"/>
              </a:cxn>
              <a:cxn ang="T120">
                <a:pos x="T68" y="T69"/>
              </a:cxn>
              <a:cxn ang="T121">
                <a:pos x="T70" y="T71"/>
              </a:cxn>
              <a:cxn ang="T122">
                <a:pos x="T72" y="T73"/>
              </a:cxn>
              <a:cxn ang="T123">
                <a:pos x="T74" y="T75"/>
              </a:cxn>
              <a:cxn ang="T124">
                <a:pos x="T76" y="T77"/>
              </a:cxn>
              <a:cxn ang="T125">
                <a:pos x="T78" y="T79"/>
              </a:cxn>
              <a:cxn ang="T126">
                <a:pos x="T80" y="T81"/>
              </a:cxn>
              <a:cxn ang="T127">
                <a:pos x="T82" y="T83"/>
              </a:cxn>
              <a:cxn ang="T128">
                <a:pos x="T84" y="T85"/>
              </a:cxn>
            </a:cxnLst>
            <a:rect l="T129" t="T130" r="T131" b="T132"/>
            <a:pathLst>
              <a:path w="835" h="834">
                <a:moveTo>
                  <a:pt x="0" y="417"/>
                </a:moveTo>
                <a:lnTo>
                  <a:pt x="1" y="438"/>
                </a:lnTo>
                <a:lnTo>
                  <a:pt x="2" y="459"/>
                </a:lnTo>
                <a:lnTo>
                  <a:pt x="6" y="480"/>
                </a:lnTo>
                <a:lnTo>
                  <a:pt x="9" y="500"/>
                </a:lnTo>
                <a:lnTo>
                  <a:pt x="13" y="521"/>
                </a:lnTo>
                <a:lnTo>
                  <a:pt x="19" y="541"/>
                </a:lnTo>
                <a:lnTo>
                  <a:pt x="26" y="560"/>
                </a:lnTo>
                <a:lnTo>
                  <a:pt x="33" y="579"/>
                </a:lnTo>
                <a:lnTo>
                  <a:pt x="42" y="598"/>
                </a:lnTo>
                <a:lnTo>
                  <a:pt x="51" y="615"/>
                </a:lnTo>
                <a:lnTo>
                  <a:pt x="61" y="633"/>
                </a:lnTo>
                <a:lnTo>
                  <a:pt x="72" y="650"/>
                </a:lnTo>
                <a:lnTo>
                  <a:pt x="83" y="666"/>
                </a:lnTo>
                <a:lnTo>
                  <a:pt x="95" y="682"/>
                </a:lnTo>
                <a:lnTo>
                  <a:pt x="109" y="697"/>
                </a:lnTo>
                <a:lnTo>
                  <a:pt x="123" y="711"/>
                </a:lnTo>
                <a:lnTo>
                  <a:pt x="138" y="725"/>
                </a:lnTo>
                <a:lnTo>
                  <a:pt x="152" y="738"/>
                </a:lnTo>
                <a:lnTo>
                  <a:pt x="169" y="750"/>
                </a:lnTo>
                <a:lnTo>
                  <a:pt x="184" y="763"/>
                </a:lnTo>
                <a:lnTo>
                  <a:pt x="202" y="773"/>
                </a:lnTo>
                <a:lnTo>
                  <a:pt x="220" y="783"/>
                </a:lnTo>
                <a:lnTo>
                  <a:pt x="237" y="793"/>
                </a:lnTo>
                <a:lnTo>
                  <a:pt x="255" y="800"/>
                </a:lnTo>
                <a:lnTo>
                  <a:pt x="274" y="808"/>
                </a:lnTo>
                <a:lnTo>
                  <a:pt x="294" y="815"/>
                </a:lnTo>
                <a:lnTo>
                  <a:pt x="314" y="820"/>
                </a:lnTo>
                <a:lnTo>
                  <a:pt x="334" y="825"/>
                </a:lnTo>
                <a:lnTo>
                  <a:pt x="354" y="829"/>
                </a:lnTo>
                <a:lnTo>
                  <a:pt x="375" y="831"/>
                </a:lnTo>
                <a:lnTo>
                  <a:pt x="396" y="833"/>
                </a:lnTo>
                <a:lnTo>
                  <a:pt x="417" y="834"/>
                </a:lnTo>
                <a:lnTo>
                  <a:pt x="439" y="833"/>
                </a:lnTo>
                <a:lnTo>
                  <a:pt x="460" y="831"/>
                </a:lnTo>
                <a:lnTo>
                  <a:pt x="481" y="829"/>
                </a:lnTo>
                <a:lnTo>
                  <a:pt x="501" y="825"/>
                </a:lnTo>
                <a:lnTo>
                  <a:pt x="521" y="820"/>
                </a:lnTo>
                <a:lnTo>
                  <a:pt x="541" y="815"/>
                </a:lnTo>
                <a:lnTo>
                  <a:pt x="561" y="808"/>
                </a:lnTo>
                <a:lnTo>
                  <a:pt x="580" y="800"/>
                </a:lnTo>
                <a:lnTo>
                  <a:pt x="598" y="793"/>
                </a:lnTo>
                <a:lnTo>
                  <a:pt x="616" y="783"/>
                </a:lnTo>
                <a:lnTo>
                  <a:pt x="633" y="773"/>
                </a:lnTo>
                <a:lnTo>
                  <a:pt x="650" y="763"/>
                </a:lnTo>
                <a:lnTo>
                  <a:pt x="666" y="750"/>
                </a:lnTo>
                <a:lnTo>
                  <a:pt x="683" y="738"/>
                </a:lnTo>
                <a:lnTo>
                  <a:pt x="697" y="725"/>
                </a:lnTo>
                <a:lnTo>
                  <a:pt x="712" y="711"/>
                </a:lnTo>
                <a:lnTo>
                  <a:pt x="726" y="697"/>
                </a:lnTo>
                <a:lnTo>
                  <a:pt x="738" y="682"/>
                </a:lnTo>
                <a:lnTo>
                  <a:pt x="752" y="666"/>
                </a:lnTo>
                <a:lnTo>
                  <a:pt x="763" y="650"/>
                </a:lnTo>
                <a:lnTo>
                  <a:pt x="774" y="633"/>
                </a:lnTo>
                <a:lnTo>
                  <a:pt x="784" y="615"/>
                </a:lnTo>
                <a:lnTo>
                  <a:pt x="793" y="598"/>
                </a:lnTo>
                <a:lnTo>
                  <a:pt x="801" y="579"/>
                </a:lnTo>
                <a:lnTo>
                  <a:pt x="809" y="560"/>
                </a:lnTo>
                <a:lnTo>
                  <a:pt x="815" y="541"/>
                </a:lnTo>
                <a:lnTo>
                  <a:pt x="821" y="521"/>
                </a:lnTo>
                <a:lnTo>
                  <a:pt x="826" y="500"/>
                </a:lnTo>
                <a:lnTo>
                  <a:pt x="829" y="480"/>
                </a:lnTo>
                <a:lnTo>
                  <a:pt x="831" y="459"/>
                </a:lnTo>
                <a:lnTo>
                  <a:pt x="834" y="438"/>
                </a:lnTo>
                <a:lnTo>
                  <a:pt x="835" y="417"/>
                </a:lnTo>
                <a:lnTo>
                  <a:pt x="834" y="395"/>
                </a:lnTo>
                <a:lnTo>
                  <a:pt x="831" y="375"/>
                </a:lnTo>
                <a:lnTo>
                  <a:pt x="829" y="354"/>
                </a:lnTo>
                <a:lnTo>
                  <a:pt x="826" y="333"/>
                </a:lnTo>
                <a:lnTo>
                  <a:pt x="821" y="313"/>
                </a:lnTo>
                <a:lnTo>
                  <a:pt x="815" y="293"/>
                </a:lnTo>
                <a:lnTo>
                  <a:pt x="809" y="274"/>
                </a:lnTo>
                <a:lnTo>
                  <a:pt x="801" y="255"/>
                </a:lnTo>
                <a:lnTo>
                  <a:pt x="793" y="236"/>
                </a:lnTo>
                <a:lnTo>
                  <a:pt x="784" y="219"/>
                </a:lnTo>
                <a:lnTo>
                  <a:pt x="774" y="201"/>
                </a:lnTo>
                <a:lnTo>
                  <a:pt x="763" y="184"/>
                </a:lnTo>
                <a:lnTo>
                  <a:pt x="752" y="168"/>
                </a:lnTo>
                <a:lnTo>
                  <a:pt x="738" y="152"/>
                </a:lnTo>
                <a:lnTo>
                  <a:pt x="726" y="136"/>
                </a:lnTo>
                <a:lnTo>
                  <a:pt x="712" y="122"/>
                </a:lnTo>
                <a:lnTo>
                  <a:pt x="697" y="109"/>
                </a:lnTo>
                <a:lnTo>
                  <a:pt x="683" y="95"/>
                </a:lnTo>
                <a:lnTo>
                  <a:pt x="666" y="83"/>
                </a:lnTo>
                <a:lnTo>
                  <a:pt x="650" y="71"/>
                </a:lnTo>
                <a:lnTo>
                  <a:pt x="633" y="60"/>
                </a:lnTo>
                <a:lnTo>
                  <a:pt x="616" y="50"/>
                </a:lnTo>
                <a:lnTo>
                  <a:pt x="598" y="41"/>
                </a:lnTo>
                <a:lnTo>
                  <a:pt x="580" y="32"/>
                </a:lnTo>
                <a:lnTo>
                  <a:pt x="561" y="26"/>
                </a:lnTo>
                <a:lnTo>
                  <a:pt x="541" y="19"/>
                </a:lnTo>
                <a:lnTo>
                  <a:pt x="521" y="13"/>
                </a:lnTo>
                <a:lnTo>
                  <a:pt x="501" y="9"/>
                </a:lnTo>
                <a:lnTo>
                  <a:pt x="481" y="5"/>
                </a:lnTo>
                <a:lnTo>
                  <a:pt x="460" y="2"/>
                </a:lnTo>
                <a:lnTo>
                  <a:pt x="439" y="0"/>
                </a:lnTo>
                <a:lnTo>
                  <a:pt x="417" y="0"/>
                </a:lnTo>
                <a:lnTo>
                  <a:pt x="396" y="0"/>
                </a:lnTo>
                <a:lnTo>
                  <a:pt x="375" y="2"/>
                </a:lnTo>
                <a:lnTo>
                  <a:pt x="354" y="5"/>
                </a:lnTo>
                <a:lnTo>
                  <a:pt x="334" y="9"/>
                </a:lnTo>
                <a:lnTo>
                  <a:pt x="314" y="13"/>
                </a:lnTo>
                <a:lnTo>
                  <a:pt x="294" y="19"/>
                </a:lnTo>
                <a:lnTo>
                  <a:pt x="274" y="26"/>
                </a:lnTo>
                <a:lnTo>
                  <a:pt x="255" y="32"/>
                </a:lnTo>
                <a:lnTo>
                  <a:pt x="237" y="41"/>
                </a:lnTo>
                <a:lnTo>
                  <a:pt x="220" y="50"/>
                </a:lnTo>
                <a:lnTo>
                  <a:pt x="202" y="60"/>
                </a:lnTo>
                <a:lnTo>
                  <a:pt x="184" y="71"/>
                </a:lnTo>
                <a:lnTo>
                  <a:pt x="169" y="83"/>
                </a:lnTo>
                <a:lnTo>
                  <a:pt x="152" y="95"/>
                </a:lnTo>
                <a:lnTo>
                  <a:pt x="138" y="109"/>
                </a:lnTo>
                <a:lnTo>
                  <a:pt x="123" y="122"/>
                </a:lnTo>
                <a:lnTo>
                  <a:pt x="109" y="136"/>
                </a:lnTo>
                <a:lnTo>
                  <a:pt x="95" y="152"/>
                </a:lnTo>
                <a:lnTo>
                  <a:pt x="83" y="168"/>
                </a:lnTo>
                <a:lnTo>
                  <a:pt x="72" y="184"/>
                </a:lnTo>
                <a:lnTo>
                  <a:pt x="61" y="201"/>
                </a:lnTo>
                <a:lnTo>
                  <a:pt x="51" y="219"/>
                </a:lnTo>
                <a:lnTo>
                  <a:pt x="42" y="236"/>
                </a:lnTo>
                <a:lnTo>
                  <a:pt x="33" y="255"/>
                </a:lnTo>
                <a:lnTo>
                  <a:pt x="26" y="274"/>
                </a:lnTo>
                <a:lnTo>
                  <a:pt x="19" y="293"/>
                </a:lnTo>
                <a:lnTo>
                  <a:pt x="13" y="313"/>
                </a:lnTo>
                <a:lnTo>
                  <a:pt x="9" y="333"/>
                </a:lnTo>
                <a:lnTo>
                  <a:pt x="6" y="354"/>
                </a:lnTo>
                <a:lnTo>
                  <a:pt x="2" y="375"/>
                </a:lnTo>
                <a:lnTo>
                  <a:pt x="1" y="395"/>
                </a:lnTo>
                <a:lnTo>
                  <a:pt x="0" y="417"/>
                </a:lnTo>
                <a:close/>
              </a:path>
            </a:pathLst>
          </a:custGeom>
          <a:solidFill>
            <a:srgbClr val="00FFFF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69" name="Freeform 9">
            <a:extLst>
              <a:ext uri="{FF2B5EF4-FFF2-40B4-BE49-F238E27FC236}">
                <a16:creationId xmlns:a16="http://schemas.microsoft.com/office/drawing/2014/main" id="{00000000-0008-0000-0300-000059050000}"/>
              </a:ext>
            </a:extLst>
          </xdr:cNvPr>
          <xdr:cNvSpPr>
            <a:spLocks/>
          </xdr:cNvSpPr>
        </xdr:nvSpPr>
        <xdr:spPr bwMode="auto">
          <a:xfrm>
            <a:off x="2" y="39"/>
            <a:ext cx="84" cy="47"/>
          </a:xfrm>
          <a:custGeom>
            <a:avLst/>
            <a:gdLst>
              <a:gd name="T0" fmla="*/ 0 w 836"/>
              <a:gd name="T1" fmla="*/ 0 h 464"/>
              <a:gd name="T2" fmla="*/ 0 w 836"/>
              <a:gd name="T3" fmla="*/ 0 h 464"/>
              <a:gd name="T4" fmla="*/ 0 w 836"/>
              <a:gd name="T5" fmla="*/ 0 h 464"/>
              <a:gd name="T6" fmla="*/ 0 w 836"/>
              <a:gd name="T7" fmla="*/ 0 h 464"/>
              <a:gd name="T8" fmla="*/ 0 w 836"/>
              <a:gd name="T9" fmla="*/ 0 h 464"/>
              <a:gd name="T10" fmla="*/ 0 w 836"/>
              <a:gd name="T11" fmla="*/ 0 h 464"/>
              <a:gd name="T12" fmla="*/ 0 w 836"/>
              <a:gd name="T13" fmla="*/ 0 h 464"/>
              <a:gd name="T14" fmla="*/ 0 w 836"/>
              <a:gd name="T15" fmla="*/ 0 h 464"/>
              <a:gd name="T16" fmla="*/ 0 w 836"/>
              <a:gd name="T17" fmla="*/ 0 h 464"/>
              <a:gd name="T18" fmla="*/ 0 w 836"/>
              <a:gd name="T19" fmla="*/ 0 h 464"/>
              <a:gd name="T20" fmla="*/ 0 w 836"/>
              <a:gd name="T21" fmla="*/ 0 h 464"/>
              <a:gd name="T22" fmla="*/ 0 w 836"/>
              <a:gd name="T23" fmla="*/ 0 h 464"/>
              <a:gd name="T24" fmla="*/ 0 w 836"/>
              <a:gd name="T25" fmla="*/ 0 h 464"/>
              <a:gd name="T26" fmla="*/ 0 w 836"/>
              <a:gd name="T27" fmla="*/ 0 h 464"/>
              <a:gd name="T28" fmla="*/ 0 w 836"/>
              <a:gd name="T29" fmla="*/ 0 h 464"/>
              <a:gd name="T30" fmla="*/ 0 w 836"/>
              <a:gd name="T31" fmla="*/ 0 h 464"/>
              <a:gd name="T32" fmla="*/ 0 w 836"/>
              <a:gd name="T33" fmla="*/ 0 h 464"/>
              <a:gd name="T34" fmla="*/ 0 w 836"/>
              <a:gd name="T35" fmla="*/ 0 h 464"/>
              <a:gd name="T36" fmla="*/ 0 w 836"/>
              <a:gd name="T37" fmla="*/ 0 h 464"/>
              <a:gd name="T38" fmla="*/ 0 w 836"/>
              <a:gd name="T39" fmla="*/ 0 h 464"/>
              <a:gd name="T40" fmla="*/ 0 w 836"/>
              <a:gd name="T41" fmla="*/ 0 h 464"/>
              <a:gd name="T42" fmla="*/ 0 w 836"/>
              <a:gd name="T43" fmla="*/ 0 h 464"/>
              <a:gd name="T44" fmla="*/ 0 w 836"/>
              <a:gd name="T45" fmla="*/ 0 h 464"/>
              <a:gd name="T46" fmla="*/ 0 w 836"/>
              <a:gd name="T47" fmla="*/ 0 h 464"/>
              <a:gd name="T48" fmla="*/ 0 w 836"/>
              <a:gd name="T49" fmla="*/ 0 h 464"/>
              <a:gd name="T50" fmla="*/ 0 w 836"/>
              <a:gd name="T51" fmla="*/ 0 h 464"/>
              <a:gd name="T52" fmla="*/ 0 w 836"/>
              <a:gd name="T53" fmla="*/ 0 h 464"/>
              <a:gd name="T54" fmla="*/ 0 w 836"/>
              <a:gd name="T55" fmla="*/ 0 h 464"/>
              <a:gd name="T56" fmla="*/ 0 w 836"/>
              <a:gd name="T57" fmla="*/ 0 h 464"/>
              <a:gd name="T58" fmla="*/ 0 w 836"/>
              <a:gd name="T59" fmla="*/ 0 h 464"/>
              <a:gd name="T60" fmla="*/ 0 w 836"/>
              <a:gd name="T61" fmla="*/ 0 h 464"/>
              <a:gd name="T62" fmla="*/ 0 w 836"/>
              <a:gd name="T63" fmla="*/ 0 h 464"/>
              <a:gd name="T64" fmla="*/ 0 w 836"/>
              <a:gd name="T65" fmla="*/ 0 h 464"/>
              <a:gd name="T66" fmla="*/ 0 w 836"/>
              <a:gd name="T67" fmla="*/ 0 h 464"/>
              <a:gd name="T68" fmla="*/ 0 w 836"/>
              <a:gd name="T69" fmla="*/ 0 h 464"/>
              <a:gd name="T70" fmla="*/ 0 w 836"/>
              <a:gd name="T71" fmla="*/ 0 h 464"/>
              <a:gd name="T72" fmla="*/ 0 w 836"/>
              <a:gd name="T73" fmla="*/ 0 h 464"/>
              <a:gd name="T74" fmla="*/ 0 w 836"/>
              <a:gd name="T75" fmla="*/ 0 h 464"/>
              <a:gd name="T76" fmla="*/ 0 w 836"/>
              <a:gd name="T77" fmla="*/ 0 h 464"/>
              <a:gd name="T78" fmla="*/ 0 w 836"/>
              <a:gd name="T79" fmla="*/ 0 h 464"/>
              <a:gd name="T80" fmla="*/ 0 w 836"/>
              <a:gd name="T81" fmla="*/ 0 h 464"/>
              <a:gd name="T82" fmla="*/ 0 w 836"/>
              <a:gd name="T83" fmla="*/ 0 h 464"/>
              <a:gd name="T84" fmla="*/ 0 w 836"/>
              <a:gd name="T85" fmla="*/ 0 h 464"/>
              <a:gd name="T86" fmla="*/ 0 w 836"/>
              <a:gd name="T87" fmla="*/ 0 h 464"/>
              <a:gd name="T88" fmla="*/ 0 w 836"/>
              <a:gd name="T89" fmla="*/ 0 h 464"/>
              <a:gd name="T90" fmla="*/ 0 w 836"/>
              <a:gd name="T91" fmla="*/ 0 h 464"/>
              <a:gd name="T92" fmla="*/ 0 w 836"/>
              <a:gd name="T93" fmla="*/ 0 h 464"/>
              <a:gd name="T94" fmla="*/ 0 w 836"/>
              <a:gd name="T95" fmla="*/ 0 h 464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w 836"/>
              <a:gd name="T145" fmla="*/ 0 h 464"/>
              <a:gd name="T146" fmla="*/ 836 w 836"/>
              <a:gd name="T147" fmla="*/ 464 h 464"/>
            </a:gdLst>
            <a:ahLst/>
            <a:cxnLst>
              <a:cxn ang="T96">
                <a:pos x="T0" y="T1"/>
              </a:cxn>
              <a:cxn ang="T97">
                <a:pos x="T2" y="T3"/>
              </a:cxn>
              <a:cxn ang="T98">
                <a:pos x="T4" y="T5"/>
              </a:cxn>
              <a:cxn ang="T99">
                <a:pos x="T6" y="T7"/>
              </a:cxn>
              <a:cxn ang="T100">
                <a:pos x="T8" y="T9"/>
              </a:cxn>
              <a:cxn ang="T101">
                <a:pos x="T10" y="T11"/>
              </a:cxn>
              <a:cxn ang="T102">
                <a:pos x="T12" y="T13"/>
              </a:cxn>
              <a:cxn ang="T103">
                <a:pos x="T14" y="T15"/>
              </a:cxn>
              <a:cxn ang="T104">
                <a:pos x="T16" y="T17"/>
              </a:cxn>
              <a:cxn ang="T105">
                <a:pos x="T18" y="T19"/>
              </a:cxn>
              <a:cxn ang="T106">
                <a:pos x="T20" y="T21"/>
              </a:cxn>
              <a:cxn ang="T107">
                <a:pos x="T22" y="T23"/>
              </a:cxn>
              <a:cxn ang="T108">
                <a:pos x="T24" y="T25"/>
              </a:cxn>
              <a:cxn ang="T109">
                <a:pos x="T26" y="T27"/>
              </a:cxn>
              <a:cxn ang="T110">
                <a:pos x="T28" y="T29"/>
              </a:cxn>
              <a:cxn ang="T111">
                <a:pos x="T30" y="T31"/>
              </a:cxn>
              <a:cxn ang="T112">
                <a:pos x="T32" y="T33"/>
              </a:cxn>
              <a:cxn ang="T113">
                <a:pos x="T34" y="T35"/>
              </a:cxn>
              <a:cxn ang="T114">
                <a:pos x="T36" y="T37"/>
              </a:cxn>
              <a:cxn ang="T115">
                <a:pos x="T38" y="T39"/>
              </a:cxn>
              <a:cxn ang="T116">
                <a:pos x="T40" y="T41"/>
              </a:cxn>
              <a:cxn ang="T117">
                <a:pos x="T42" y="T43"/>
              </a:cxn>
              <a:cxn ang="T118">
                <a:pos x="T44" y="T45"/>
              </a:cxn>
              <a:cxn ang="T119">
                <a:pos x="T46" y="T47"/>
              </a:cxn>
              <a:cxn ang="T120">
                <a:pos x="T48" y="T49"/>
              </a:cxn>
              <a:cxn ang="T121">
                <a:pos x="T50" y="T51"/>
              </a:cxn>
              <a:cxn ang="T122">
                <a:pos x="T52" y="T53"/>
              </a:cxn>
              <a:cxn ang="T123">
                <a:pos x="T54" y="T55"/>
              </a:cxn>
              <a:cxn ang="T124">
                <a:pos x="T56" y="T57"/>
              </a:cxn>
              <a:cxn ang="T125">
                <a:pos x="T58" y="T59"/>
              </a:cxn>
              <a:cxn ang="T126">
                <a:pos x="T60" y="T61"/>
              </a:cxn>
              <a:cxn ang="T127">
                <a:pos x="T62" y="T63"/>
              </a:cxn>
              <a:cxn ang="T128">
                <a:pos x="T64" y="T65"/>
              </a:cxn>
              <a:cxn ang="T129">
                <a:pos x="T66" y="T67"/>
              </a:cxn>
              <a:cxn ang="T130">
                <a:pos x="T68" y="T69"/>
              </a:cxn>
              <a:cxn ang="T131">
                <a:pos x="T70" y="T71"/>
              </a:cxn>
              <a:cxn ang="T132">
                <a:pos x="T72" y="T73"/>
              </a:cxn>
              <a:cxn ang="T133">
                <a:pos x="T74" y="T75"/>
              </a:cxn>
              <a:cxn ang="T134">
                <a:pos x="T76" y="T77"/>
              </a:cxn>
              <a:cxn ang="T135">
                <a:pos x="T78" y="T79"/>
              </a:cxn>
              <a:cxn ang="T136">
                <a:pos x="T80" y="T81"/>
              </a:cxn>
              <a:cxn ang="T137">
                <a:pos x="T82" y="T83"/>
              </a:cxn>
              <a:cxn ang="T138">
                <a:pos x="T84" y="T85"/>
              </a:cxn>
              <a:cxn ang="T139">
                <a:pos x="T86" y="T87"/>
              </a:cxn>
              <a:cxn ang="T140">
                <a:pos x="T88" y="T89"/>
              </a:cxn>
              <a:cxn ang="T141">
                <a:pos x="T90" y="T91"/>
              </a:cxn>
              <a:cxn ang="T142">
                <a:pos x="T92" y="T93"/>
              </a:cxn>
              <a:cxn ang="T143">
                <a:pos x="T94" y="T95"/>
              </a:cxn>
            </a:cxnLst>
            <a:rect l="T144" t="T145" r="T146" b="T147"/>
            <a:pathLst>
              <a:path w="836" h="464">
                <a:moveTo>
                  <a:pt x="3" y="2"/>
                </a:moveTo>
                <a:lnTo>
                  <a:pt x="2" y="4"/>
                </a:lnTo>
                <a:lnTo>
                  <a:pt x="2" y="12"/>
                </a:lnTo>
                <a:lnTo>
                  <a:pt x="1" y="18"/>
                </a:lnTo>
                <a:lnTo>
                  <a:pt x="1" y="26"/>
                </a:lnTo>
                <a:lnTo>
                  <a:pt x="1" y="33"/>
                </a:lnTo>
                <a:lnTo>
                  <a:pt x="0" y="40"/>
                </a:lnTo>
                <a:lnTo>
                  <a:pt x="0" y="55"/>
                </a:lnTo>
                <a:lnTo>
                  <a:pt x="1" y="61"/>
                </a:lnTo>
                <a:lnTo>
                  <a:pt x="1" y="69"/>
                </a:lnTo>
                <a:lnTo>
                  <a:pt x="1" y="77"/>
                </a:lnTo>
                <a:lnTo>
                  <a:pt x="2" y="84"/>
                </a:lnTo>
                <a:lnTo>
                  <a:pt x="3" y="91"/>
                </a:lnTo>
                <a:lnTo>
                  <a:pt x="3" y="98"/>
                </a:lnTo>
                <a:lnTo>
                  <a:pt x="5" y="106"/>
                </a:lnTo>
                <a:lnTo>
                  <a:pt x="6" y="112"/>
                </a:lnTo>
                <a:lnTo>
                  <a:pt x="7" y="120"/>
                </a:lnTo>
                <a:lnTo>
                  <a:pt x="9" y="127"/>
                </a:lnTo>
                <a:lnTo>
                  <a:pt x="10" y="135"/>
                </a:lnTo>
                <a:lnTo>
                  <a:pt x="11" y="141"/>
                </a:lnTo>
                <a:lnTo>
                  <a:pt x="13" y="149"/>
                </a:lnTo>
                <a:lnTo>
                  <a:pt x="16" y="156"/>
                </a:lnTo>
                <a:lnTo>
                  <a:pt x="17" y="162"/>
                </a:lnTo>
                <a:lnTo>
                  <a:pt x="19" y="170"/>
                </a:lnTo>
                <a:lnTo>
                  <a:pt x="21" y="177"/>
                </a:lnTo>
                <a:lnTo>
                  <a:pt x="23" y="183"/>
                </a:lnTo>
                <a:lnTo>
                  <a:pt x="26" y="190"/>
                </a:lnTo>
                <a:lnTo>
                  <a:pt x="29" y="197"/>
                </a:lnTo>
                <a:lnTo>
                  <a:pt x="31" y="203"/>
                </a:lnTo>
                <a:lnTo>
                  <a:pt x="33" y="210"/>
                </a:lnTo>
                <a:lnTo>
                  <a:pt x="37" y="217"/>
                </a:lnTo>
                <a:lnTo>
                  <a:pt x="40" y="223"/>
                </a:lnTo>
                <a:lnTo>
                  <a:pt x="43" y="231"/>
                </a:lnTo>
                <a:lnTo>
                  <a:pt x="47" y="237"/>
                </a:lnTo>
                <a:lnTo>
                  <a:pt x="50" y="243"/>
                </a:lnTo>
                <a:lnTo>
                  <a:pt x="53" y="250"/>
                </a:lnTo>
                <a:lnTo>
                  <a:pt x="57" y="256"/>
                </a:lnTo>
                <a:lnTo>
                  <a:pt x="61" y="262"/>
                </a:lnTo>
                <a:lnTo>
                  <a:pt x="64" y="269"/>
                </a:lnTo>
                <a:lnTo>
                  <a:pt x="68" y="275"/>
                </a:lnTo>
                <a:lnTo>
                  <a:pt x="72" y="281"/>
                </a:lnTo>
                <a:lnTo>
                  <a:pt x="77" y="286"/>
                </a:lnTo>
                <a:lnTo>
                  <a:pt x="81" y="293"/>
                </a:lnTo>
                <a:lnTo>
                  <a:pt x="86" y="299"/>
                </a:lnTo>
                <a:lnTo>
                  <a:pt x="90" y="304"/>
                </a:lnTo>
                <a:lnTo>
                  <a:pt x="94" y="310"/>
                </a:lnTo>
                <a:lnTo>
                  <a:pt x="99" y="315"/>
                </a:lnTo>
                <a:lnTo>
                  <a:pt x="103" y="321"/>
                </a:lnTo>
                <a:lnTo>
                  <a:pt x="109" y="326"/>
                </a:lnTo>
                <a:lnTo>
                  <a:pt x="113" y="332"/>
                </a:lnTo>
                <a:lnTo>
                  <a:pt x="119" y="337"/>
                </a:lnTo>
                <a:lnTo>
                  <a:pt x="123" y="343"/>
                </a:lnTo>
                <a:lnTo>
                  <a:pt x="129" y="347"/>
                </a:lnTo>
                <a:lnTo>
                  <a:pt x="134" y="353"/>
                </a:lnTo>
                <a:lnTo>
                  <a:pt x="139" y="357"/>
                </a:lnTo>
                <a:lnTo>
                  <a:pt x="144" y="362"/>
                </a:lnTo>
                <a:lnTo>
                  <a:pt x="150" y="367"/>
                </a:lnTo>
                <a:lnTo>
                  <a:pt x="156" y="372"/>
                </a:lnTo>
                <a:lnTo>
                  <a:pt x="162" y="376"/>
                </a:lnTo>
                <a:lnTo>
                  <a:pt x="168" y="381"/>
                </a:lnTo>
                <a:lnTo>
                  <a:pt x="173" y="385"/>
                </a:lnTo>
                <a:lnTo>
                  <a:pt x="180" y="389"/>
                </a:lnTo>
                <a:lnTo>
                  <a:pt x="185" y="393"/>
                </a:lnTo>
                <a:lnTo>
                  <a:pt x="191" y="397"/>
                </a:lnTo>
                <a:lnTo>
                  <a:pt x="197" y="401"/>
                </a:lnTo>
                <a:lnTo>
                  <a:pt x="204" y="405"/>
                </a:lnTo>
                <a:lnTo>
                  <a:pt x="210" y="408"/>
                </a:lnTo>
                <a:lnTo>
                  <a:pt x="216" y="412"/>
                </a:lnTo>
                <a:lnTo>
                  <a:pt x="223" y="415"/>
                </a:lnTo>
                <a:lnTo>
                  <a:pt x="228" y="419"/>
                </a:lnTo>
                <a:lnTo>
                  <a:pt x="236" y="422"/>
                </a:lnTo>
                <a:lnTo>
                  <a:pt x="242" y="425"/>
                </a:lnTo>
                <a:lnTo>
                  <a:pt x="248" y="428"/>
                </a:lnTo>
                <a:lnTo>
                  <a:pt x="255" y="432"/>
                </a:lnTo>
                <a:lnTo>
                  <a:pt x="263" y="434"/>
                </a:lnTo>
                <a:lnTo>
                  <a:pt x="269" y="437"/>
                </a:lnTo>
                <a:lnTo>
                  <a:pt x="276" y="439"/>
                </a:lnTo>
                <a:lnTo>
                  <a:pt x="283" y="442"/>
                </a:lnTo>
                <a:lnTo>
                  <a:pt x="289" y="444"/>
                </a:lnTo>
                <a:lnTo>
                  <a:pt x="297" y="446"/>
                </a:lnTo>
                <a:lnTo>
                  <a:pt x="304" y="448"/>
                </a:lnTo>
                <a:lnTo>
                  <a:pt x="310" y="450"/>
                </a:lnTo>
                <a:lnTo>
                  <a:pt x="317" y="452"/>
                </a:lnTo>
                <a:lnTo>
                  <a:pt x="325" y="454"/>
                </a:lnTo>
                <a:lnTo>
                  <a:pt x="332" y="455"/>
                </a:lnTo>
                <a:lnTo>
                  <a:pt x="339" y="456"/>
                </a:lnTo>
                <a:lnTo>
                  <a:pt x="346" y="458"/>
                </a:lnTo>
                <a:lnTo>
                  <a:pt x="354" y="459"/>
                </a:lnTo>
                <a:lnTo>
                  <a:pt x="360" y="460"/>
                </a:lnTo>
                <a:lnTo>
                  <a:pt x="368" y="462"/>
                </a:lnTo>
                <a:lnTo>
                  <a:pt x="375" y="462"/>
                </a:lnTo>
                <a:lnTo>
                  <a:pt x="383" y="463"/>
                </a:lnTo>
                <a:lnTo>
                  <a:pt x="389" y="464"/>
                </a:lnTo>
                <a:lnTo>
                  <a:pt x="397" y="464"/>
                </a:lnTo>
                <a:lnTo>
                  <a:pt x="405" y="464"/>
                </a:lnTo>
                <a:lnTo>
                  <a:pt x="411" y="464"/>
                </a:lnTo>
                <a:lnTo>
                  <a:pt x="426" y="464"/>
                </a:lnTo>
                <a:lnTo>
                  <a:pt x="434" y="464"/>
                </a:lnTo>
                <a:lnTo>
                  <a:pt x="440" y="464"/>
                </a:lnTo>
                <a:lnTo>
                  <a:pt x="448" y="464"/>
                </a:lnTo>
                <a:lnTo>
                  <a:pt x="455" y="463"/>
                </a:lnTo>
                <a:lnTo>
                  <a:pt x="462" y="462"/>
                </a:lnTo>
                <a:lnTo>
                  <a:pt x="470" y="462"/>
                </a:lnTo>
                <a:lnTo>
                  <a:pt x="477" y="460"/>
                </a:lnTo>
                <a:lnTo>
                  <a:pt x="483" y="459"/>
                </a:lnTo>
                <a:lnTo>
                  <a:pt x="491" y="458"/>
                </a:lnTo>
                <a:lnTo>
                  <a:pt x="498" y="456"/>
                </a:lnTo>
                <a:lnTo>
                  <a:pt x="506" y="455"/>
                </a:lnTo>
                <a:lnTo>
                  <a:pt x="512" y="454"/>
                </a:lnTo>
                <a:lnTo>
                  <a:pt x="520" y="452"/>
                </a:lnTo>
                <a:lnTo>
                  <a:pt x="527" y="449"/>
                </a:lnTo>
                <a:lnTo>
                  <a:pt x="533" y="448"/>
                </a:lnTo>
                <a:lnTo>
                  <a:pt x="541" y="445"/>
                </a:lnTo>
                <a:lnTo>
                  <a:pt x="548" y="444"/>
                </a:lnTo>
                <a:lnTo>
                  <a:pt x="554" y="442"/>
                </a:lnTo>
                <a:lnTo>
                  <a:pt x="561" y="438"/>
                </a:lnTo>
                <a:lnTo>
                  <a:pt x="569" y="436"/>
                </a:lnTo>
                <a:lnTo>
                  <a:pt x="575" y="434"/>
                </a:lnTo>
                <a:lnTo>
                  <a:pt x="582" y="430"/>
                </a:lnTo>
                <a:lnTo>
                  <a:pt x="589" y="427"/>
                </a:lnTo>
                <a:lnTo>
                  <a:pt x="595" y="425"/>
                </a:lnTo>
                <a:lnTo>
                  <a:pt x="602" y="422"/>
                </a:lnTo>
                <a:lnTo>
                  <a:pt x="609" y="418"/>
                </a:lnTo>
                <a:lnTo>
                  <a:pt x="614" y="415"/>
                </a:lnTo>
                <a:lnTo>
                  <a:pt x="621" y="412"/>
                </a:lnTo>
                <a:lnTo>
                  <a:pt x="627" y="408"/>
                </a:lnTo>
                <a:lnTo>
                  <a:pt x="633" y="404"/>
                </a:lnTo>
                <a:lnTo>
                  <a:pt x="640" y="401"/>
                </a:lnTo>
                <a:lnTo>
                  <a:pt x="646" y="396"/>
                </a:lnTo>
                <a:lnTo>
                  <a:pt x="652" y="393"/>
                </a:lnTo>
                <a:lnTo>
                  <a:pt x="657" y="388"/>
                </a:lnTo>
                <a:lnTo>
                  <a:pt x="664" y="384"/>
                </a:lnTo>
                <a:lnTo>
                  <a:pt x="670" y="379"/>
                </a:lnTo>
                <a:lnTo>
                  <a:pt x="675" y="375"/>
                </a:lnTo>
                <a:lnTo>
                  <a:pt x="681" y="371"/>
                </a:lnTo>
                <a:lnTo>
                  <a:pt x="686" y="366"/>
                </a:lnTo>
                <a:lnTo>
                  <a:pt x="693" y="361"/>
                </a:lnTo>
                <a:lnTo>
                  <a:pt x="698" y="356"/>
                </a:lnTo>
                <a:lnTo>
                  <a:pt x="703" y="352"/>
                </a:lnTo>
                <a:lnTo>
                  <a:pt x="708" y="346"/>
                </a:lnTo>
                <a:lnTo>
                  <a:pt x="714" y="342"/>
                </a:lnTo>
                <a:lnTo>
                  <a:pt x="718" y="336"/>
                </a:lnTo>
                <a:lnTo>
                  <a:pt x="724" y="331"/>
                </a:lnTo>
                <a:lnTo>
                  <a:pt x="728" y="325"/>
                </a:lnTo>
                <a:lnTo>
                  <a:pt x="733" y="320"/>
                </a:lnTo>
                <a:lnTo>
                  <a:pt x="738" y="314"/>
                </a:lnTo>
                <a:lnTo>
                  <a:pt x="743" y="309"/>
                </a:lnTo>
                <a:lnTo>
                  <a:pt x="747" y="303"/>
                </a:lnTo>
                <a:lnTo>
                  <a:pt x="752" y="297"/>
                </a:lnTo>
                <a:lnTo>
                  <a:pt x="756" y="292"/>
                </a:lnTo>
                <a:lnTo>
                  <a:pt x="760" y="285"/>
                </a:lnTo>
                <a:lnTo>
                  <a:pt x="764" y="280"/>
                </a:lnTo>
                <a:lnTo>
                  <a:pt x="768" y="273"/>
                </a:lnTo>
                <a:lnTo>
                  <a:pt x="773" y="268"/>
                </a:lnTo>
                <a:lnTo>
                  <a:pt x="776" y="261"/>
                </a:lnTo>
                <a:lnTo>
                  <a:pt x="780" y="254"/>
                </a:lnTo>
                <a:lnTo>
                  <a:pt x="784" y="249"/>
                </a:lnTo>
                <a:lnTo>
                  <a:pt x="787" y="242"/>
                </a:lnTo>
                <a:lnTo>
                  <a:pt x="790" y="235"/>
                </a:lnTo>
                <a:lnTo>
                  <a:pt x="794" y="229"/>
                </a:lnTo>
                <a:lnTo>
                  <a:pt x="797" y="222"/>
                </a:lnTo>
                <a:lnTo>
                  <a:pt x="799" y="215"/>
                </a:lnTo>
                <a:lnTo>
                  <a:pt x="803" y="209"/>
                </a:lnTo>
                <a:lnTo>
                  <a:pt x="805" y="202"/>
                </a:lnTo>
                <a:lnTo>
                  <a:pt x="808" y="196"/>
                </a:lnTo>
                <a:lnTo>
                  <a:pt x="810" y="189"/>
                </a:lnTo>
                <a:lnTo>
                  <a:pt x="813" y="182"/>
                </a:lnTo>
                <a:lnTo>
                  <a:pt x="815" y="176"/>
                </a:lnTo>
                <a:lnTo>
                  <a:pt x="817" y="168"/>
                </a:lnTo>
                <a:lnTo>
                  <a:pt x="819" y="161"/>
                </a:lnTo>
                <a:lnTo>
                  <a:pt x="821" y="155"/>
                </a:lnTo>
                <a:lnTo>
                  <a:pt x="824" y="147"/>
                </a:lnTo>
                <a:lnTo>
                  <a:pt x="825" y="140"/>
                </a:lnTo>
                <a:lnTo>
                  <a:pt x="826" y="132"/>
                </a:lnTo>
                <a:lnTo>
                  <a:pt x="828" y="126"/>
                </a:lnTo>
                <a:lnTo>
                  <a:pt x="829" y="118"/>
                </a:lnTo>
                <a:lnTo>
                  <a:pt x="830" y="111"/>
                </a:lnTo>
                <a:lnTo>
                  <a:pt x="831" y="105"/>
                </a:lnTo>
                <a:lnTo>
                  <a:pt x="833" y="97"/>
                </a:lnTo>
                <a:lnTo>
                  <a:pt x="834" y="89"/>
                </a:lnTo>
                <a:lnTo>
                  <a:pt x="834" y="82"/>
                </a:lnTo>
                <a:lnTo>
                  <a:pt x="835" y="75"/>
                </a:lnTo>
                <a:lnTo>
                  <a:pt x="835" y="68"/>
                </a:lnTo>
                <a:lnTo>
                  <a:pt x="835" y="60"/>
                </a:lnTo>
                <a:lnTo>
                  <a:pt x="836" y="54"/>
                </a:lnTo>
                <a:lnTo>
                  <a:pt x="836" y="38"/>
                </a:lnTo>
                <a:lnTo>
                  <a:pt x="835" y="31"/>
                </a:lnTo>
                <a:lnTo>
                  <a:pt x="835" y="24"/>
                </a:lnTo>
                <a:lnTo>
                  <a:pt x="835" y="17"/>
                </a:lnTo>
                <a:lnTo>
                  <a:pt x="834" y="9"/>
                </a:lnTo>
                <a:lnTo>
                  <a:pt x="833" y="3"/>
                </a:lnTo>
                <a:lnTo>
                  <a:pt x="833" y="0"/>
                </a:lnTo>
                <a:lnTo>
                  <a:pt x="418" y="47"/>
                </a:lnTo>
                <a:lnTo>
                  <a:pt x="3" y="2"/>
                </a:lnTo>
                <a:close/>
              </a:path>
            </a:pathLst>
          </a:custGeom>
          <a:solidFill>
            <a:srgbClr val="808000"/>
          </a:solidFill>
          <a:ln w="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70" name="Freeform 10">
            <a:extLst>
              <a:ext uri="{FF2B5EF4-FFF2-40B4-BE49-F238E27FC236}">
                <a16:creationId xmlns:a16="http://schemas.microsoft.com/office/drawing/2014/main" id="{00000000-0008-0000-0300-00005A050000}"/>
              </a:ext>
            </a:extLst>
          </xdr:cNvPr>
          <xdr:cNvSpPr>
            <a:spLocks/>
          </xdr:cNvSpPr>
        </xdr:nvSpPr>
        <xdr:spPr bwMode="auto">
          <a:xfrm>
            <a:off x="3" y="39"/>
            <a:ext cx="82" cy="26"/>
          </a:xfrm>
          <a:custGeom>
            <a:avLst/>
            <a:gdLst>
              <a:gd name="T0" fmla="*/ 0 w 823"/>
              <a:gd name="T1" fmla="*/ 0 h 261"/>
              <a:gd name="T2" fmla="*/ 0 w 823"/>
              <a:gd name="T3" fmla="*/ 0 h 261"/>
              <a:gd name="T4" fmla="*/ 0 w 823"/>
              <a:gd name="T5" fmla="*/ 0 h 261"/>
              <a:gd name="T6" fmla="*/ 0 w 823"/>
              <a:gd name="T7" fmla="*/ 0 h 261"/>
              <a:gd name="T8" fmla="*/ 0 w 823"/>
              <a:gd name="T9" fmla="*/ 0 h 261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823"/>
              <a:gd name="T16" fmla="*/ 0 h 261"/>
              <a:gd name="T17" fmla="*/ 823 w 823"/>
              <a:gd name="T18" fmla="*/ 261 h 261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823" h="261">
                <a:moveTo>
                  <a:pt x="0" y="0"/>
                </a:moveTo>
                <a:lnTo>
                  <a:pt x="823" y="0"/>
                </a:lnTo>
                <a:lnTo>
                  <a:pt x="545" y="261"/>
                </a:lnTo>
                <a:lnTo>
                  <a:pt x="285" y="261"/>
                </a:lnTo>
                <a:lnTo>
                  <a:pt x="0" y="0"/>
                </a:lnTo>
                <a:close/>
              </a:path>
            </a:pathLst>
          </a:cu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371" name="Group 18">
            <a:extLst>
              <a:ext uri="{FF2B5EF4-FFF2-40B4-BE49-F238E27FC236}">
                <a16:creationId xmlns:a16="http://schemas.microsoft.com/office/drawing/2014/main" id="{00000000-0008-0000-0300-00005B050000}"/>
              </a:ext>
            </a:extLst>
          </xdr:cNvPr>
          <xdr:cNvGrpSpPr>
            <a:grpSpLocks/>
          </xdr:cNvGrpSpPr>
        </xdr:nvGrpSpPr>
        <xdr:grpSpPr bwMode="auto">
          <a:xfrm>
            <a:off x="13" y="10"/>
            <a:ext cx="55" cy="56"/>
            <a:chOff x="13" y="10"/>
            <a:chExt cx="55" cy="56"/>
          </a:xfrm>
        </xdr:grpSpPr>
        <xdr:sp macro="" textlink="">
          <xdr:nvSpPr>
            <xdr:cNvPr id="1390" name="Freeform 11">
              <a:extLst>
                <a:ext uri="{FF2B5EF4-FFF2-40B4-BE49-F238E27FC236}">
                  <a16:creationId xmlns:a16="http://schemas.microsoft.com/office/drawing/2014/main" id="{00000000-0008-0000-0300-00006E050000}"/>
                </a:ext>
              </a:extLst>
            </xdr:cNvPr>
            <xdr:cNvSpPr>
              <a:spLocks/>
            </xdr:cNvSpPr>
          </xdr:nvSpPr>
          <xdr:spPr bwMode="auto">
            <a:xfrm>
              <a:off x="20" y="53"/>
              <a:ext cx="47" cy="13"/>
            </a:xfrm>
            <a:custGeom>
              <a:avLst/>
              <a:gdLst>
                <a:gd name="T0" fmla="*/ 0 w 471"/>
                <a:gd name="T1" fmla="*/ 0 h 128"/>
                <a:gd name="T2" fmla="*/ 0 w 471"/>
                <a:gd name="T3" fmla="*/ 0 h 128"/>
                <a:gd name="T4" fmla="*/ 0 w 471"/>
                <a:gd name="T5" fmla="*/ 0 h 128"/>
                <a:gd name="T6" fmla="*/ 0 w 471"/>
                <a:gd name="T7" fmla="*/ 0 h 128"/>
                <a:gd name="T8" fmla="*/ 0 w 471"/>
                <a:gd name="T9" fmla="*/ 0 h 128"/>
                <a:gd name="T10" fmla="*/ 0 w 471"/>
                <a:gd name="T11" fmla="*/ 0 h 128"/>
                <a:gd name="T12" fmla="*/ 0 w 471"/>
                <a:gd name="T13" fmla="*/ 0 h 128"/>
                <a:gd name="T14" fmla="*/ 0 w 471"/>
                <a:gd name="T15" fmla="*/ 0 h 128"/>
                <a:gd name="T16" fmla="*/ 0 w 471"/>
                <a:gd name="T17" fmla="*/ 0 h 128"/>
                <a:gd name="T18" fmla="*/ 0 w 471"/>
                <a:gd name="T19" fmla="*/ 0 h 128"/>
                <a:gd name="T20" fmla="*/ 0 w 471"/>
                <a:gd name="T21" fmla="*/ 0 h 128"/>
                <a:gd name="T22" fmla="*/ 0 w 471"/>
                <a:gd name="T23" fmla="*/ 0 h 128"/>
                <a:gd name="T24" fmla="*/ 0 w 471"/>
                <a:gd name="T25" fmla="*/ 0 h 128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471"/>
                <a:gd name="T40" fmla="*/ 0 h 128"/>
                <a:gd name="T41" fmla="*/ 471 w 471"/>
                <a:gd name="T42" fmla="*/ 128 h 128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471" h="128">
                  <a:moveTo>
                    <a:pt x="0" y="15"/>
                  </a:moveTo>
                  <a:lnTo>
                    <a:pt x="133" y="128"/>
                  </a:lnTo>
                  <a:lnTo>
                    <a:pt x="168" y="127"/>
                  </a:lnTo>
                  <a:lnTo>
                    <a:pt x="235" y="90"/>
                  </a:lnTo>
                  <a:lnTo>
                    <a:pt x="301" y="126"/>
                  </a:lnTo>
                  <a:lnTo>
                    <a:pt x="338" y="127"/>
                  </a:lnTo>
                  <a:lnTo>
                    <a:pt x="471" y="14"/>
                  </a:lnTo>
                  <a:lnTo>
                    <a:pt x="455" y="0"/>
                  </a:lnTo>
                  <a:lnTo>
                    <a:pt x="447" y="0"/>
                  </a:lnTo>
                  <a:lnTo>
                    <a:pt x="230" y="55"/>
                  </a:lnTo>
                  <a:lnTo>
                    <a:pt x="23" y="0"/>
                  </a:lnTo>
                  <a:lnTo>
                    <a:pt x="15" y="0"/>
                  </a:lnTo>
                  <a:lnTo>
                    <a:pt x="0" y="15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91" name="Freeform 12">
              <a:extLst>
                <a:ext uri="{FF2B5EF4-FFF2-40B4-BE49-F238E27FC236}">
                  <a16:creationId xmlns:a16="http://schemas.microsoft.com/office/drawing/2014/main" id="{00000000-0008-0000-0300-00006F050000}"/>
                </a:ext>
              </a:extLst>
            </xdr:cNvPr>
            <xdr:cNvSpPr>
              <a:spLocks/>
            </xdr:cNvSpPr>
          </xdr:nvSpPr>
          <xdr:spPr bwMode="auto">
            <a:xfrm>
              <a:off x="13" y="10"/>
              <a:ext cx="48" cy="17"/>
            </a:xfrm>
            <a:custGeom>
              <a:avLst/>
              <a:gdLst>
                <a:gd name="T0" fmla="*/ 0 w 473"/>
                <a:gd name="T1" fmla="*/ 0 h 170"/>
                <a:gd name="T2" fmla="*/ 0 w 473"/>
                <a:gd name="T3" fmla="*/ 0 h 170"/>
                <a:gd name="T4" fmla="*/ 0 w 473"/>
                <a:gd name="T5" fmla="*/ 0 h 170"/>
                <a:gd name="T6" fmla="*/ 0 w 473"/>
                <a:gd name="T7" fmla="*/ 0 h 170"/>
                <a:gd name="T8" fmla="*/ 0 w 473"/>
                <a:gd name="T9" fmla="*/ 0 h 170"/>
                <a:gd name="T10" fmla="*/ 0 w 473"/>
                <a:gd name="T11" fmla="*/ 0 h 170"/>
                <a:gd name="T12" fmla="*/ 0 w 473"/>
                <a:gd name="T13" fmla="*/ 0 h 170"/>
                <a:gd name="T14" fmla="*/ 0 w 473"/>
                <a:gd name="T15" fmla="*/ 0 h 170"/>
                <a:gd name="T16" fmla="*/ 0 w 473"/>
                <a:gd name="T17" fmla="*/ 0 h 170"/>
                <a:gd name="T18" fmla="*/ 0 w 473"/>
                <a:gd name="T19" fmla="*/ 0 h 170"/>
                <a:gd name="T20" fmla="*/ 0 w 473"/>
                <a:gd name="T21" fmla="*/ 0 h 170"/>
                <a:gd name="T22" fmla="*/ 0 w 473"/>
                <a:gd name="T23" fmla="*/ 0 h 170"/>
                <a:gd name="T24" fmla="*/ 0 w 473"/>
                <a:gd name="T25" fmla="*/ 0 h 170"/>
                <a:gd name="T26" fmla="*/ 0 w 473"/>
                <a:gd name="T27" fmla="*/ 0 h 170"/>
                <a:gd name="T28" fmla="*/ 0 w 473"/>
                <a:gd name="T29" fmla="*/ 0 h 170"/>
                <a:gd name="T30" fmla="*/ 0 w 473"/>
                <a:gd name="T31" fmla="*/ 0 h 170"/>
                <a:gd name="T32" fmla="*/ 0 w 473"/>
                <a:gd name="T33" fmla="*/ 0 h 170"/>
                <a:gd name="T34" fmla="*/ 0 w 473"/>
                <a:gd name="T35" fmla="*/ 0 h 170"/>
                <a:gd name="T36" fmla="*/ 0 w 473"/>
                <a:gd name="T37" fmla="*/ 0 h 170"/>
                <a:gd name="T38" fmla="*/ 0 w 473"/>
                <a:gd name="T39" fmla="*/ 0 h 170"/>
                <a:gd name="T40" fmla="*/ 0 w 473"/>
                <a:gd name="T41" fmla="*/ 0 h 170"/>
                <a:gd name="T42" fmla="*/ 0 w 473"/>
                <a:gd name="T43" fmla="*/ 0 h 170"/>
                <a:gd name="T44" fmla="*/ 0 w 473"/>
                <a:gd name="T45" fmla="*/ 0 h 170"/>
                <a:gd name="T46" fmla="*/ 0 w 473"/>
                <a:gd name="T47" fmla="*/ 0 h 170"/>
                <a:gd name="T48" fmla="*/ 0 w 473"/>
                <a:gd name="T49" fmla="*/ 0 h 170"/>
                <a:gd name="T50" fmla="*/ 0 w 473"/>
                <a:gd name="T51" fmla="*/ 0 h 170"/>
                <a:gd name="T52" fmla="*/ 0 w 473"/>
                <a:gd name="T53" fmla="*/ 0 h 170"/>
                <a:gd name="T54" fmla="*/ 0 w 473"/>
                <a:gd name="T55" fmla="*/ 0 h 170"/>
                <a:gd name="T56" fmla="*/ 0 w 473"/>
                <a:gd name="T57" fmla="*/ 0 h 170"/>
                <a:gd name="T58" fmla="*/ 0 w 473"/>
                <a:gd name="T59" fmla="*/ 0 h 170"/>
                <a:gd name="T60" fmla="*/ 0 w 473"/>
                <a:gd name="T61" fmla="*/ 0 h 170"/>
                <a:gd name="T62" fmla="*/ 0 w 473"/>
                <a:gd name="T63" fmla="*/ 0 h 170"/>
                <a:gd name="T64" fmla="*/ 0 w 473"/>
                <a:gd name="T65" fmla="*/ 0 h 170"/>
                <a:gd name="T66" fmla="*/ 0 w 473"/>
                <a:gd name="T67" fmla="*/ 0 h 170"/>
                <a:gd name="T68" fmla="*/ 0 w 473"/>
                <a:gd name="T69" fmla="*/ 0 h 170"/>
                <a:gd name="T70" fmla="*/ 0 w 473"/>
                <a:gd name="T71" fmla="*/ 0 h 170"/>
                <a:gd name="T72" fmla="*/ 0 w 473"/>
                <a:gd name="T73" fmla="*/ 0 h 170"/>
                <a:gd name="T74" fmla="*/ 0 w 473"/>
                <a:gd name="T75" fmla="*/ 0 h 170"/>
                <a:gd name="T76" fmla="*/ 0 w 473"/>
                <a:gd name="T77" fmla="*/ 0 h 170"/>
                <a:gd name="T78" fmla="*/ 0 w 473"/>
                <a:gd name="T79" fmla="*/ 0 h 170"/>
                <a:gd name="T80" fmla="*/ 0 w 473"/>
                <a:gd name="T81" fmla="*/ 0 h 170"/>
                <a:gd name="T82" fmla="*/ 0 w 473"/>
                <a:gd name="T83" fmla="*/ 0 h 170"/>
                <a:gd name="T84" fmla="*/ 0 w 473"/>
                <a:gd name="T85" fmla="*/ 0 h 170"/>
                <a:gd name="T86" fmla="*/ 0 w 473"/>
                <a:gd name="T87" fmla="*/ 0 h 170"/>
                <a:gd name="T88" fmla="*/ 0 w 473"/>
                <a:gd name="T89" fmla="*/ 0 h 170"/>
                <a:gd name="T90" fmla="*/ 0 w 473"/>
                <a:gd name="T91" fmla="*/ 0 h 170"/>
                <a:gd name="T92" fmla="*/ 0 w 473"/>
                <a:gd name="T93" fmla="*/ 0 h 170"/>
                <a:gd name="T94" fmla="*/ 0 w 473"/>
                <a:gd name="T95" fmla="*/ 0 h 170"/>
                <a:gd name="T96" fmla="*/ 0 w 473"/>
                <a:gd name="T97" fmla="*/ 0 h 170"/>
                <a:gd name="T98" fmla="*/ 0 w 473"/>
                <a:gd name="T99" fmla="*/ 0 h 170"/>
                <a:gd name="T100" fmla="*/ 0 w 473"/>
                <a:gd name="T101" fmla="*/ 0 h 170"/>
                <a:gd name="T102" fmla="*/ 0 w 473"/>
                <a:gd name="T103" fmla="*/ 0 h 170"/>
                <a:gd name="T104" fmla="*/ 0 w 473"/>
                <a:gd name="T105" fmla="*/ 0 h 170"/>
                <a:gd name="T106" fmla="*/ 0 w 473"/>
                <a:gd name="T107" fmla="*/ 0 h 170"/>
                <a:gd name="T108" fmla="*/ 0 w 473"/>
                <a:gd name="T109" fmla="*/ 0 h 170"/>
                <a:gd name="T110" fmla="*/ 0 w 473"/>
                <a:gd name="T111" fmla="*/ 0 h 170"/>
                <a:gd name="T112" fmla="*/ 0 w 473"/>
                <a:gd name="T113" fmla="*/ 0 h 170"/>
                <a:gd name="T114" fmla="*/ 0 w 473"/>
                <a:gd name="T115" fmla="*/ 0 h 170"/>
                <a:gd name="T116" fmla="*/ 0 w 473"/>
                <a:gd name="T117" fmla="*/ 0 h 170"/>
                <a:gd name="T118" fmla="*/ 0 w 473"/>
                <a:gd name="T119" fmla="*/ 0 h 170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w 473"/>
                <a:gd name="T181" fmla="*/ 0 h 170"/>
                <a:gd name="T182" fmla="*/ 473 w 473"/>
                <a:gd name="T183" fmla="*/ 170 h 170"/>
              </a:gdLst>
              <a:ahLst/>
              <a:cxnLst>
                <a:cxn ang="T120">
                  <a:pos x="T0" y="T1"/>
                </a:cxn>
                <a:cxn ang="T121">
                  <a:pos x="T2" y="T3"/>
                </a:cxn>
                <a:cxn ang="T122">
                  <a:pos x="T4" y="T5"/>
                </a:cxn>
                <a:cxn ang="T123">
                  <a:pos x="T6" y="T7"/>
                </a:cxn>
                <a:cxn ang="T124">
                  <a:pos x="T8" y="T9"/>
                </a:cxn>
                <a:cxn ang="T125">
                  <a:pos x="T10" y="T11"/>
                </a:cxn>
                <a:cxn ang="T126">
                  <a:pos x="T12" y="T13"/>
                </a:cxn>
                <a:cxn ang="T127">
                  <a:pos x="T14" y="T15"/>
                </a:cxn>
                <a:cxn ang="T128">
                  <a:pos x="T16" y="T17"/>
                </a:cxn>
                <a:cxn ang="T129">
                  <a:pos x="T18" y="T19"/>
                </a:cxn>
                <a:cxn ang="T130">
                  <a:pos x="T20" y="T21"/>
                </a:cxn>
                <a:cxn ang="T131">
                  <a:pos x="T22" y="T23"/>
                </a:cxn>
                <a:cxn ang="T132">
                  <a:pos x="T24" y="T25"/>
                </a:cxn>
                <a:cxn ang="T133">
                  <a:pos x="T26" y="T27"/>
                </a:cxn>
                <a:cxn ang="T134">
                  <a:pos x="T28" y="T29"/>
                </a:cxn>
                <a:cxn ang="T135">
                  <a:pos x="T30" y="T31"/>
                </a:cxn>
                <a:cxn ang="T136">
                  <a:pos x="T32" y="T33"/>
                </a:cxn>
                <a:cxn ang="T137">
                  <a:pos x="T34" y="T35"/>
                </a:cxn>
                <a:cxn ang="T138">
                  <a:pos x="T36" y="T37"/>
                </a:cxn>
                <a:cxn ang="T139">
                  <a:pos x="T38" y="T39"/>
                </a:cxn>
                <a:cxn ang="T140">
                  <a:pos x="T40" y="T41"/>
                </a:cxn>
                <a:cxn ang="T141">
                  <a:pos x="T42" y="T43"/>
                </a:cxn>
                <a:cxn ang="T142">
                  <a:pos x="T44" y="T45"/>
                </a:cxn>
                <a:cxn ang="T143">
                  <a:pos x="T46" y="T47"/>
                </a:cxn>
                <a:cxn ang="T144">
                  <a:pos x="T48" y="T49"/>
                </a:cxn>
                <a:cxn ang="T145">
                  <a:pos x="T50" y="T51"/>
                </a:cxn>
                <a:cxn ang="T146">
                  <a:pos x="T52" y="T53"/>
                </a:cxn>
                <a:cxn ang="T147">
                  <a:pos x="T54" y="T55"/>
                </a:cxn>
                <a:cxn ang="T148">
                  <a:pos x="T56" y="T57"/>
                </a:cxn>
                <a:cxn ang="T149">
                  <a:pos x="T58" y="T59"/>
                </a:cxn>
                <a:cxn ang="T150">
                  <a:pos x="T60" y="T61"/>
                </a:cxn>
                <a:cxn ang="T151">
                  <a:pos x="T62" y="T63"/>
                </a:cxn>
                <a:cxn ang="T152">
                  <a:pos x="T64" y="T65"/>
                </a:cxn>
                <a:cxn ang="T153">
                  <a:pos x="T66" y="T67"/>
                </a:cxn>
                <a:cxn ang="T154">
                  <a:pos x="T68" y="T69"/>
                </a:cxn>
                <a:cxn ang="T155">
                  <a:pos x="T70" y="T71"/>
                </a:cxn>
                <a:cxn ang="T156">
                  <a:pos x="T72" y="T73"/>
                </a:cxn>
                <a:cxn ang="T157">
                  <a:pos x="T74" y="T75"/>
                </a:cxn>
                <a:cxn ang="T158">
                  <a:pos x="T76" y="T77"/>
                </a:cxn>
                <a:cxn ang="T159">
                  <a:pos x="T78" y="T79"/>
                </a:cxn>
                <a:cxn ang="T160">
                  <a:pos x="T80" y="T81"/>
                </a:cxn>
                <a:cxn ang="T161">
                  <a:pos x="T82" y="T83"/>
                </a:cxn>
                <a:cxn ang="T162">
                  <a:pos x="T84" y="T85"/>
                </a:cxn>
                <a:cxn ang="T163">
                  <a:pos x="T86" y="T87"/>
                </a:cxn>
                <a:cxn ang="T164">
                  <a:pos x="T88" y="T89"/>
                </a:cxn>
                <a:cxn ang="T165">
                  <a:pos x="T90" y="T91"/>
                </a:cxn>
                <a:cxn ang="T166">
                  <a:pos x="T92" y="T93"/>
                </a:cxn>
                <a:cxn ang="T167">
                  <a:pos x="T94" y="T95"/>
                </a:cxn>
                <a:cxn ang="T168">
                  <a:pos x="T96" y="T97"/>
                </a:cxn>
                <a:cxn ang="T169">
                  <a:pos x="T98" y="T99"/>
                </a:cxn>
                <a:cxn ang="T170">
                  <a:pos x="T100" y="T101"/>
                </a:cxn>
                <a:cxn ang="T171">
                  <a:pos x="T102" y="T103"/>
                </a:cxn>
                <a:cxn ang="T172">
                  <a:pos x="T104" y="T105"/>
                </a:cxn>
                <a:cxn ang="T173">
                  <a:pos x="T106" y="T107"/>
                </a:cxn>
                <a:cxn ang="T174">
                  <a:pos x="T108" y="T109"/>
                </a:cxn>
                <a:cxn ang="T175">
                  <a:pos x="T110" y="T111"/>
                </a:cxn>
                <a:cxn ang="T176">
                  <a:pos x="T112" y="T113"/>
                </a:cxn>
                <a:cxn ang="T177">
                  <a:pos x="T114" y="T115"/>
                </a:cxn>
                <a:cxn ang="T178">
                  <a:pos x="T116" y="T117"/>
                </a:cxn>
                <a:cxn ang="T179">
                  <a:pos x="T118" y="T119"/>
                </a:cxn>
              </a:cxnLst>
              <a:rect l="T180" t="T181" r="T182" b="T183"/>
              <a:pathLst>
                <a:path w="473" h="170">
                  <a:moveTo>
                    <a:pt x="314" y="170"/>
                  </a:moveTo>
                  <a:lnTo>
                    <a:pt x="311" y="169"/>
                  </a:lnTo>
                  <a:lnTo>
                    <a:pt x="310" y="168"/>
                  </a:lnTo>
                  <a:lnTo>
                    <a:pt x="309" y="166"/>
                  </a:lnTo>
                  <a:lnTo>
                    <a:pt x="308" y="164"/>
                  </a:lnTo>
                  <a:lnTo>
                    <a:pt x="307" y="162"/>
                  </a:lnTo>
                  <a:lnTo>
                    <a:pt x="306" y="161"/>
                  </a:lnTo>
                  <a:lnTo>
                    <a:pt x="306" y="159"/>
                  </a:lnTo>
                  <a:lnTo>
                    <a:pt x="306" y="155"/>
                  </a:lnTo>
                  <a:lnTo>
                    <a:pt x="306" y="153"/>
                  </a:lnTo>
                  <a:lnTo>
                    <a:pt x="307" y="151"/>
                  </a:lnTo>
                  <a:lnTo>
                    <a:pt x="307" y="150"/>
                  </a:lnTo>
                  <a:lnTo>
                    <a:pt x="308" y="148"/>
                  </a:lnTo>
                  <a:lnTo>
                    <a:pt x="309" y="145"/>
                  </a:lnTo>
                  <a:lnTo>
                    <a:pt x="310" y="143"/>
                  </a:lnTo>
                  <a:lnTo>
                    <a:pt x="311" y="141"/>
                  </a:lnTo>
                  <a:lnTo>
                    <a:pt x="313" y="139"/>
                  </a:lnTo>
                  <a:lnTo>
                    <a:pt x="314" y="138"/>
                  </a:lnTo>
                  <a:lnTo>
                    <a:pt x="316" y="135"/>
                  </a:lnTo>
                  <a:lnTo>
                    <a:pt x="317" y="133"/>
                  </a:lnTo>
                  <a:lnTo>
                    <a:pt x="321" y="130"/>
                  </a:lnTo>
                  <a:lnTo>
                    <a:pt x="324" y="128"/>
                  </a:lnTo>
                  <a:lnTo>
                    <a:pt x="325" y="127"/>
                  </a:lnTo>
                  <a:lnTo>
                    <a:pt x="327" y="125"/>
                  </a:lnTo>
                  <a:lnTo>
                    <a:pt x="329" y="123"/>
                  </a:lnTo>
                  <a:lnTo>
                    <a:pt x="331" y="122"/>
                  </a:lnTo>
                  <a:lnTo>
                    <a:pt x="334" y="121"/>
                  </a:lnTo>
                  <a:lnTo>
                    <a:pt x="336" y="120"/>
                  </a:lnTo>
                  <a:lnTo>
                    <a:pt x="338" y="119"/>
                  </a:lnTo>
                  <a:lnTo>
                    <a:pt x="340" y="119"/>
                  </a:lnTo>
                  <a:lnTo>
                    <a:pt x="342" y="118"/>
                  </a:lnTo>
                  <a:lnTo>
                    <a:pt x="345" y="117"/>
                  </a:lnTo>
                  <a:lnTo>
                    <a:pt x="348" y="117"/>
                  </a:lnTo>
                  <a:lnTo>
                    <a:pt x="350" y="117"/>
                  </a:lnTo>
                  <a:lnTo>
                    <a:pt x="352" y="115"/>
                  </a:lnTo>
                  <a:lnTo>
                    <a:pt x="355" y="115"/>
                  </a:lnTo>
                  <a:lnTo>
                    <a:pt x="366" y="115"/>
                  </a:lnTo>
                  <a:lnTo>
                    <a:pt x="369" y="115"/>
                  </a:lnTo>
                  <a:lnTo>
                    <a:pt x="371" y="117"/>
                  </a:lnTo>
                  <a:lnTo>
                    <a:pt x="375" y="117"/>
                  </a:lnTo>
                  <a:lnTo>
                    <a:pt x="377" y="117"/>
                  </a:lnTo>
                  <a:lnTo>
                    <a:pt x="380" y="117"/>
                  </a:lnTo>
                  <a:lnTo>
                    <a:pt x="382" y="118"/>
                  </a:lnTo>
                  <a:lnTo>
                    <a:pt x="386" y="118"/>
                  </a:lnTo>
                  <a:lnTo>
                    <a:pt x="388" y="118"/>
                  </a:lnTo>
                  <a:lnTo>
                    <a:pt x="391" y="119"/>
                  </a:lnTo>
                  <a:lnTo>
                    <a:pt x="395" y="119"/>
                  </a:lnTo>
                  <a:lnTo>
                    <a:pt x="397" y="119"/>
                  </a:lnTo>
                  <a:lnTo>
                    <a:pt x="400" y="120"/>
                  </a:lnTo>
                  <a:lnTo>
                    <a:pt x="402" y="120"/>
                  </a:lnTo>
                  <a:lnTo>
                    <a:pt x="405" y="120"/>
                  </a:lnTo>
                  <a:lnTo>
                    <a:pt x="408" y="120"/>
                  </a:lnTo>
                  <a:lnTo>
                    <a:pt x="410" y="121"/>
                  </a:lnTo>
                  <a:lnTo>
                    <a:pt x="413" y="121"/>
                  </a:lnTo>
                  <a:lnTo>
                    <a:pt x="416" y="121"/>
                  </a:lnTo>
                  <a:lnTo>
                    <a:pt x="426" y="121"/>
                  </a:lnTo>
                  <a:lnTo>
                    <a:pt x="428" y="121"/>
                  </a:lnTo>
                  <a:lnTo>
                    <a:pt x="430" y="121"/>
                  </a:lnTo>
                  <a:lnTo>
                    <a:pt x="431" y="120"/>
                  </a:lnTo>
                  <a:lnTo>
                    <a:pt x="432" y="120"/>
                  </a:lnTo>
                  <a:lnTo>
                    <a:pt x="433" y="120"/>
                  </a:lnTo>
                  <a:lnTo>
                    <a:pt x="436" y="119"/>
                  </a:lnTo>
                  <a:lnTo>
                    <a:pt x="437" y="119"/>
                  </a:lnTo>
                  <a:lnTo>
                    <a:pt x="438" y="118"/>
                  </a:lnTo>
                  <a:lnTo>
                    <a:pt x="439" y="117"/>
                  </a:lnTo>
                  <a:lnTo>
                    <a:pt x="439" y="115"/>
                  </a:lnTo>
                  <a:lnTo>
                    <a:pt x="438" y="114"/>
                  </a:lnTo>
                  <a:lnTo>
                    <a:pt x="438" y="113"/>
                  </a:lnTo>
                  <a:lnTo>
                    <a:pt x="437" y="113"/>
                  </a:lnTo>
                  <a:lnTo>
                    <a:pt x="436" y="112"/>
                  </a:lnTo>
                  <a:lnTo>
                    <a:pt x="434" y="112"/>
                  </a:lnTo>
                  <a:lnTo>
                    <a:pt x="433" y="111"/>
                  </a:lnTo>
                  <a:lnTo>
                    <a:pt x="432" y="111"/>
                  </a:lnTo>
                  <a:lnTo>
                    <a:pt x="431" y="110"/>
                  </a:lnTo>
                  <a:lnTo>
                    <a:pt x="430" y="109"/>
                  </a:lnTo>
                  <a:lnTo>
                    <a:pt x="429" y="109"/>
                  </a:lnTo>
                  <a:lnTo>
                    <a:pt x="427" y="109"/>
                  </a:lnTo>
                  <a:lnTo>
                    <a:pt x="427" y="108"/>
                  </a:lnTo>
                  <a:lnTo>
                    <a:pt x="426" y="108"/>
                  </a:lnTo>
                  <a:lnTo>
                    <a:pt x="424" y="107"/>
                  </a:lnTo>
                  <a:lnTo>
                    <a:pt x="423" y="107"/>
                  </a:lnTo>
                  <a:lnTo>
                    <a:pt x="422" y="107"/>
                  </a:lnTo>
                  <a:lnTo>
                    <a:pt x="420" y="105"/>
                  </a:lnTo>
                  <a:lnTo>
                    <a:pt x="418" y="105"/>
                  </a:lnTo>
                  <a:lnTo>
                    <a:pt x="417" y="104"/>
                  </a:lnTo>
                  <a:lnTo>
                    <a:pt x="415" y="104"/>
                  </a:lnTo>
                  <a:lnTo>
                    <a:pt x="411" y="103"/>
                  </a:lnTo>
                  <a:lnTo>
                    <a:pt x="409" y="102"/>
                  </a:lnTo>
                  <a:lnTo>
                    <a:pt x="406" y="101"/>
                  </a:lnTo>
                  <a:lnTo>
                    <a:pt x="403" y="100"/>
                  </a:lnTo>
                  <a:lnTo>
                    <a:pt x="400" y="100"/>
                  </a:lnTo>
                  <a:lnTo>
                    <a:pt x="397" y="99"/>
                  </a:lnTo>
                  <a:lnTo>
                    <a:pt x="393" y="98"/>
                  </a:lnTo>
                  <a:lnTo>
                    <a:pt x="391" y="97"/>
                  </a:lnTo>
                  <a:lnTo>
                    <a:pt x="387" y="95"/>
                  </a:lnTo>
                  <a:lnTo>
                    <a:pt x="383" y="94"/>
                  </a:lnTo>
                  <a:lnTo>
                    <a:pt x="380" y="93"/>
                  </a:lnTo>
                  <a:lnTo>
                    <a:pt x="377" y="92"/>
                  </a:lnTo>
                  <a:lnTo>
                    <a:pt x="373" y="91"/>
                  </a:lnTo>
                  <a:lnTo>
                    <a:pt x="370" y="90"/>
                  </a:lnTo>
                  <a:lnTo>
                    <a:pt x="367" y="89"/>
                  </a:lnTo>
                  <a:lnTo>
                    <a:pt x="365" y="89"/>
                  </a:lnTo>
                  <a:lnTo>
                    <a:pt x="361" y="88"/>
                  </a:lnTo>
                  <a:lnTo>
                    <a:pt x="358" y="87"/>
                  </a:lnTo>
                  <a:lnTo>
                    <a:pt x="356" y="86"/>
                  </a:lnTo>
                  <a:lnTo>
                    <a:pt x="354" y="84"/>
                  </a:lnTo>
                  <a:lnTo>
                    <a:pt x="350" y="83"/>
                  </a:lnTo>
                  <a:lnTo>
                    <a:pt x="349" y="83"/>
                  </a:lnTo>
                  <a:lnTo>
                    <a:pt x="347" y="82"/>
                  </a:lnTo>
                  <a:lnTo>
                    <a:pt x="346" y="82"/>
                  </a:lnTo>
                  <a:lnTo>
                    <a:pt x="344" y="81"/>
                  </a:lnTo>
                  <a:lnTo>
                    <a:pt x="342" y="81"/>
                  </a:lnTo>
                  <a:lnTo>
                    <a:pt x="342" y="80"/>
                  </a:lnTo>
                  <a:lnTo>
                    <a:pt x="341" y="79"/>
                  </a:lnTo>
                  <a:lnTo>
                    <a:pt x="341" y="78"/>
                  </a:lnTo>
                  <a:lnTo>
                    <a:pt x="342" y="78"/>
                  </a:lnTo>
                  <a:lnTo>
                    <a:pt x="344" y="78"/>
                  </a:lnTo>
                  <a:lnTo>
                    <a:pt x="344" y="77"/>
                  </a:lnTo>
                  <a:lnTo>
                    <a:pt x="346" y="77"/>
                  </a:lnTo>
                  <a:lnTo>
                    <a:pt x="347" y="77"/>
                  </a:lnTo>
                  <a:lnTo>
                    <a:pt x="348" y="77"/>
                  </a:lnTo>
                  <a:lnTo>
                    <a:pt x="350" y="77"/>
                  </a:lnTo>
                  <a:lnTo>
                    <a:pt x="351" y="76"/>
                  </a:lnTo>
                  <a:lnTo>
                    <a:pt x="354" y="76"/>
                  </a:lnTo>
                  <a:lnTo>
                    <a:pt x="356" y="76"/>
                  </a:lnTo>
                  <a:lnTo>
                    <a:pt x="357" y="76"/>
                  </a:lnTo>
                  <a:lnTo>
                    <a:pt x="359" y="76"/>
                  </a:lnTo>
                  <a:lnTo>
                    <a:pt x="361" y="76"/>
                  </a:lnTo>
                  <a:lnTo>
                    <a:pt x="364" y="76"/>
                  </a:lnTo>
                  <a:lnTo>
                    <a:pt x="366" y="74"/>
                  </a:lnTo>
                  <a:lnTo>
                    <a:pt x="370" y="74"/>
                  </a:lnTo>
                  <a:lnTo>
                    <a:pt x="372" y="74"/>
                  </a:lnTo>
                  <a:lnTo>
                    <a:pt x="387" y="74"/>
                  </a:lnTo>
                  <a:lnTo>
                    <a:pt x="388" y="74"/>
                  </a:lnTo>
                  <a:lnTo>
                    <a:pt x="391" y="74"/>
                  </a:lnTo>
                  <a:lnTo>
                    <a:pt x="392" y="76"/>
                  </a:lnTo>
                  <a:lnTo>
                    <a:pt x="393" y="76"/>
                  </a:lnTo>
                  <a:lnTo>
                    <a:pt x="396" y="76"/>
                  </a:lnTo>
                  <a:lnTo>
                    <a:pt x="398" y="76"/>
                  </a:lnTo>
                  <a:lnTo>
                    <a:pt x="400" y="76"/>
                  </a:lnTo>
                  <a:lnTo>
                    <a:pt x="401" y="77"/>
                  </a:lnTo>
                  <a:lnTo>
                    <a:pt x="403" y="77"/>
                  </a:lnTo>
                  <a:lnTo>
                    <a:pt x="406" y="77"/>
                  </a:lnTo>
                  <a:lnTo>
                    <a:pt x="408" y="78"/>
                  </a:lnTo>
                  <a:lnTo>
                    <a:pt x="410" y="78"/>
                  </a:lnTo>
                  <a:lnTo>
                    <a:pt x="412" y="79"/>
                  </a:lnTo>
                  <a:lnTo>
                    <a:pt x="415" y="79"/>
                  </a:lnTo>
                  <a:lnTo>
                    <a:pt x="417" y="80"/>
                  </a:lnTo>
                  <a:lnTo>
                    <a:pt x="420" y="81"/>
                  </a:lnTo>
                  <a:lnTo>
                    <a:pt x="422" y="81"/>
                  </a:lnTo>
                  <a:lnTo>
                    <a:pt x="424" y="81"/>
                  </a:lnTo>
                  <a:lnTo>
                    <a:pt x="427" y="82"/>
                  </a:lnTo>
                  <a:lnTo>
                    <a:pt x="429" y="82"/>
                  </a:lnTo>
                  <a:lnTo>
                    <a:pt x="431" y="83"/>
                  </a:lnTo>
                  <a:lnTo>
                    <a:pt x="433" y="83"/>
                  </a:lnTo>
                  <a:lnTo>
                    <a:pt x="437" y="84"/>
                  </a:lnTo>
                  <a:lnTo>
                    <a:pt x="438" y="84"/>
                  </a:lnTo>
                  <a:lnTo>
                    <a:pt x="440" y="86"/>
                  </a:lnTo>
                  <a:lnTo>
                    <a:pt x="442" y="86"/>
                  </a:lnTo>
                  <a:lnTo>
                    <a:pt x="444" y="86"/>
                  </a:lnTo>
                  <a:lnTo>
                    <a:pt x="447" y="87"/>
                  </a:lnTo>
                  <a:lnTo>
                    <a:pt x="448" y="87"/>
                  </a:lnTo>
                  <a:lnTo>
                    <a:pt x="450" y="87"/>
                  </a:lnTo>
                  <a:lnTo>
                    <a:pt x="451" y="88"/>
                  </a:lnTo>
                  <a:lnTo>
                    <a:pt x="453" y="88"/>
                  </a:lnTo>
                  <a:lnTo>
                    <a:pt x="454" y="88"/>
                  </a:lnTo>
                  <a:lnTo>
                    <a:pt x="456" y="88"/>
                  </a:lnTo>
                  <a:lnTo>
                    <a:pt x="457" y="88"/>
                  </a:lnTo>
                  <a:lnTo>
                    <a:pt x="458" y="88"/>
                  </a:lnTo>
                  <a:lnTo>
                    <a:pt x="459" y="88"/>
                  </a:lnTo>
                  <a:lnTo>
                    <a:pt x="461" y="88"/>
                  </a:lnTo>
                  <a:lnTo>
                    <a:pt x="461" y="89"/>
                  </a:lnTo>
                  <a:lnTo>
                    <a:pt x="462" y="89"/>
                  </a:lnTo>
                  <a:lnTo>
                    <a:pt x="463" y="89"/>
                  </a:lnTo>
                  <a:lnTo>
                    <a:pt x="464" y="89"/>
                  </a:lnTo>
                  <a:lnTo>
                    <a:pt x="465" y="89"/>
                  </a:lnTo>
                  <a:lnTo>
                    <a:pt x="467" y="89"/>
                  </a:lnTo>
                  <a:lnTo>
                    <a:pt x="468" y="89"/>
                  </a:lnTo>
                  <a:lnTo>
                    <a:pt x="469" y="89"/>
                  </a:lnTo>
                  <a:lnTo>
                    <a:pt x="469" y="90"/>
                  </a:lnTo>
                  <a:lnTo>
                    <a:pt x="470" y="90"/>
                  </a:lnTo>
                  <a:lnTo>
                    <a:pt x="470" y="89"/>
                  </a:lnTo>
                  <a:lnTo>
                    <a:pt x="471" y="89"/>
                  </a:lnTo>
                  <a:lnTo>
                    <a:pt x="471" y="88"/>
                  </a:lnTo>
                  <a:lnTo>
                    <a:pt x="470" y="88"/>
                  </a:lnTo>
                  <a:lnTo>
                    <a:pt x="470" y="87"/>
                  </a:lnTo>
                  <a:lnTo>
                    <a:pt x="469" y="87"/>
                  </a:lnTo>
                  <a:lnTo>
                    <a:pt x="468" y="86"/>
                  </a:lnTo>
                  <a:lnTo>
                    <a:pt x="467" y="86"/>
                  </a:lnTo>
                  <a:lnTo>
                    <a:pt x="465" y="84"/>
                  </a:lnTo>
                  <a:lnTo>
                    <a:pt x="464" y="84"/>
                  </a:lnTo>
                  <a:lnTo>
                    <a:pt x="463" y="83"/>
                  </a:lnTo>
                  <a:lnTo>
                    <a:pt x="462" y="83"/>
                  </a:lnTo>
                  <a:lnTo>
                    <a:pt x="461" y="83"/>
                  </a:lnTo>
                  <a:lnTo>
                    <a:pt x="460" y="82"/>
                  </a:lnTo>
                  <a:lnTo>
                    <a:pt x="459" y="81"/>
                  </a:lnTo>
                  <a:lnTo>
                    <a:pt x="458" y="81"/>
                  </a:lnTo>
                  <a:lnTo>
                    <a:pt x="457" y="81"/>
                  </a:lnTo>
                  <a:lnTo>
                    <a:pt x="456" y="80"/>
                  </a:lnTo>
                  <a:lnTo>
                    <a:pt x="454" y="79"/>
                  </a:lnTo>
                  <a:lnTo>
                    <a:pt x="453" y="79"/>
                  </a:lnTo>
                  <a:lnTo>
                    <a:pt x="452" y="78"/>
                  </a:lnTo>
                  <a:lnTo>
                    <a:pt x="451" y="78"/>
                  </a:lnTo>
                  <a:lnTo>
                    <a:pt x="450" y="77"/>
                  </a:lnTo>
                  <a:lnTo>
                    <a:pt x="449" y="77"/>
                  </a:lnTo>
                  <a:lnTo>
                    <a:pt x="449" y="76"/>
                  </a:lnTo>
                  <a:lnTo>
                    <a:pt x="450" y="76"/>
                  </a:lnTo>
                  <a:lnTo>
                    <a:pt x="451" y="76"/>
                  </a:lnTo>
                  <a:lnTo>
                    <a:pt x="452" y="76"/>
                  </a:lnTo>
                  <a:lnTo>
                    <a:pt x="453" y="76"/>
                  </a:lnTo>
                  <a:lnTo>
                    <a:pt x="454" y="74"/>
                  </a:lnTo>
                  <a:lnTo>
                    <a:pt x="457" y="74"/>
                  </a:lnTo>
                  <a:lnTo>
                    <a:pt x="458" y="76"/>
                  </a:lnTo>
                  <a:lnTo>
                    <a:pt x="462" y="76"/>
                  </a:lnTo>
                  <a:lnTo>
                    <a:pt x="463" y="76"/>
                  </a:lnTo>
                  <a:lnTo>
                    <a:pt x="467" y="76"/>
                  </a:lnTo>
                  <a:lnTo>
                    <a:pt x="469" y="76"/>
                  </a:lnTo>
                  <a:lnTo>
                    <a:pt x="473" y="76"/>
                  </a:lnTo>
                  <a:lnTo>
                    <a:pt x="472" y="76"/>
                  </a:lnTo>
                  <a:lnTo>
                    <a:pt x="471" y="74"/>
                  </a:lnTo>
                  <a:lnTo>
                    <a:pt x="470" y="74"/>
                  </a:lnTo>
                  <a:lnTo>
                    <a:pt x="469" y="74"/>
                  </a:lnTo>
                  <a:lnTo>
                    <a:pt x="467" y="73"/>
                  </a:lnTo>
                  <a:lnTo>
                    <a:pt x="464" y="73"/>
                  </a:lnTo>
                  <a:lnTo>
                    <a:pt x="462" y="73"/>
                  </a:lnTo>
                  <a:lnTo>
                    <a:pt x="460" y="72"/>
                  </a:lnTo>
                  <a:lnTo>
                    <a:pt x="458" y="71"/>
                  </a:lnTo>
                  <a:lnTo>
                    <a:pt x="456" y="71"/>
                  </a:lnTo>
                  <a:lnTo>
                    <a:pt x="452" y="70"/>
                  </a:lnTo>
                  <a:lnTo>
                    <a:pt x="450" y="69"/>
                  </a:lnTo>
                  <a:lnTo>
                    <a:pt x="447" y="68"/>
                  </a:lnTo>
                  <a:lnTo>
                    <a:pt x="443" y="68"/>
                  </a:lnTo>
                  <a:lnTo>
                    <a:pt x="440" y="67"/>
                  </a:lnTo>
                  <a:lnTo>
                    <a:pt x="438" y="66"/>
                  </a:lnTo>
                  <a:lnTo>
                    <a:pt x="433" y="64"/>
                  </a:lnTo>
                  <a:lnTo>
                    <a:pt x="431" y="63"/>
                  </a:lnTo>
                  <a:lnTo>
                    <a:pt x="427" y="63"/>
                  </a:lnTo>
                  <a:lnTo>
                    <a:pt x="423" y="62"/>
                  </a:lnTo>
                  <a:lnTo>
                    <a:pt x="420" y="61"/>
                  </a:lnTo>
                  <a:lnTo>
                    <a:pt x="417" y="60"/>
                  </a:lnTo>
                  <a:lnTo>
                    <a:pt x="413" y="60"/>
                  </a:lnTo>
                  <a:lnTo>
                    <a:pt x="409" y="59"/>
                  </a:lnTo>
                  <a:lnTo>
                    <a:pt x="406" y="58"/>
                  </a:lnTo>
                  <a:lnTo>
                    <a:pt x="402" y="57"/>
                  </a:lnTo>
                  <a:lnTo>
                    <a:pt x="399" y="56"/>
                  </a:lnTo>
                  <a:lnTo>
                    <a:pt x="396" y="56"/>
                  </a:lnTo>
                  <a:lnTo>
                    <a:pt x="392" y="54"/>
                  </a:lnTo>
                  <a:lnTo>
                    <a:pt x="388" y="54"/>
                  </a:lnTo>
                  <a:lnTo>
                    <a:pt x="386" y="53"/>
                  </a:lnTo>
                  <a:lnTo>
                    <a:pt x="381" y="53"/>
                  </a:lnTo>
                  <a:lnTo>
                    <a:pt x="378" y="53"/>
                  </a:lnTo>
                  <a:lnTo>
                    <a:pt x="376" y="52"/>
                  </a:lnTo>
                  <a:lnTo>
                    <a:pt x="372" y="52"/>
                  </a:lnTo>
                  <a:lnTo>
                    <a:pt x="367" y="52"/>
                  </a:lnTo>
                  <a:lnTo>
                    <a:pt x="364" y="52"/>
                  </a:lnTo>
                  <a:lnTo>
                    <a:pt x="361" y="52"/>
                  </a:lnTo>
                  <a:lnTo>
                    <a:pt x="358" y="52"/>
                  </a:lnTo>
                  <a:lnTo>
                    <a:pt x="356" y="52"/>
                  </a:lnTo>
                  <a:lnTo>
                    <a:pt x="354" y="51"/>
                  </a:lnTo>
                  <a:lnTo>
                    <a:pt x="351" y="51"/>
                  </a:lnTo>
                  <a:lnTo>
                    <a:pt x="349" y="51"/>
                  </a:lnTo>
                  <a:lnTo>
                    <a:pt x="347" y="51"/>
                  </a:lnTo>
                  <a:lnTo>
                    <a:pt x="346" y="51"/>
                  </a:lnTo>
                  <a:lnTo>
                    <a:pt x="344" y="51"/>
                  </a:lnTo>
                  <a:lnTo>
                    <a:pt x="341" y="50"/>
                  </a:lnTo>
                  <a:lnTo>
                    <a:pt x="340" y="50"/>
                  </a:lnTo>
                  <a:lnTo>
                    <a:pt x="339" y="50"/>
                  </a:lnTo>
                  <a:lnTo>
                    <a:pt x="337" y="50"/>
                  </a:lnTo>
                  <a:lnTo>
                    <a:pt x="336" y="49"/>
                  </a:lnTo>
                  <a:lnTo>
                    <a:pt x="335" y="49"/>
                  </a:lnTo>
                  <a:lnTo>
                    <a:pt x="332" y="49"/>
                  </a:lnTo>
                  <a:lnTo>
                    <a:pt x="331" y="49"/>
                  </a:lnTo>
                  <a:lnTo>
                    <a:pt x="330" y="49"/>
                  </a:lnTo>
                  <a:lnTo>
                    <a:pt x="329" y="49"/>
                  </a:lnTo>
                  <a:lnTo>
                    <a:pt x="328" y="49"/>
                  </a:lnTo>
                  <a:lnTo>
                    <a:pt x="327" y="48"/>
                  </a:lnTo>
                  <a:lnTo>
                    <a:pt x="326" y="48"/>
                  </a:lnTo>
                  <a:lnTo>
                    <a:pt x="323" y="48"/>
                  </a:lnTo>
                  <a:lnTo>
                    <a:pt x="321" y="48"/>
                  </a:lnTo>
                  <a:lnTo>
                    <a:pt x="320" y="48"/>
                  </a:lnTo>
                  <a:lnTo>
                    <a:pt x="318" y="48"/>
                  </a:lnTo>
                  <a:lnTo>
                    <a:pt x="317" y="48"/>
                  </a:lnTo>
                  <a:lnTo>
                    <a:pt x="316" y="48"/>
                  </a:lnTo>
                  <a:lnTo>
                    <a:pt x="315" y="48"/>
                  </a:lnTo>
                  <a:lnTo>
                    <a:pt x="314" y="48"/>
                  </a:lnTo>
                  <a:lnTo>
                    <a:pt x="313" y="47"/>
                  </a:lnTo>
                  <a:lnTo>
                    <a:pt x="311" y="47"/>
                  </a:lnTo>
                  <a:lnTo>
                    <a:pt x="310" y="47"/>
                  </a:lnTo>
                  <a:lnTo>
                    <a:pt x="309" y="47"/>
                  </a:lnTo>
                  <a:lnTo>
                    <a:pt x="308" y="46"/>
                  </a:lnTo>
                  <a:lnTo>
                    <a:pt x="306" y="46"/>
                  </a:lnTo>
                  <a:lnTo>
                    <a:pt x="305" y="46"/>
                  </a:lnTo>
                  <a:lnTo>
                    <a:pt x="304" y="46"/>
                  </a:lnTo>
                  <a:lnTo>
                    <a:pt x="303" y="45"/>
                  </a:lnTo>
                  <a:lnTo>
                    <a:pt x="300" y="45"/>
                  </a:lnTo>
                  <a:lnTo>
                    <a:pt x="299" y="45"/>
                  </a:lnTo>
                  <a:lnTo>
                    <a:pt x="299" y="43"/>
                  </a:lnTo>
                  <a:lnTo>
                    <a:pt x="298" y="43"/>
                  </a:lnTo>
                  <a:lnTo>
                    <a:pt x="297" y="43"/>
                  </a:lnTo>
                  <a:lnTo>
                    <a:pt x="297" y="42"/>
                  </a:lnTo>
                  <a:lnTo>
                    <a:pt x="296" y="42"/>
                  </a:lnTo>
                  <a:lnTo>
                    <a:pt x="295" y="42"/>
                  </a:lnTo>
                  <a:lnTo>
                    <a:pt x="295" y="41"/>
                  </a:lnTo>
                  <a:lnTo>
                    <a:pt x="294" y="41"/>
                  </a:lnTo>
                  <a:lnTo>
                    <a:pt x="294" y="40"/>
                  </a:lnTo>
                  <a:lnTo>
                    <a:pt x="295" y="39"/>
                  </a:lnTo>
                  <a:lnTo>
                    <a:pt x="296" y="39"/>
                  </a:lnTo>
                  <a:lnTo>
                    <a:pt x="297" y="39"/>
                  </a:lnTo>
                  <a:lnTo>
                    <a:pt x="298" y="38"/>
                  </a:lnTo>
                  <a:lnTo>
                    <a:pt x="299" y="38"/>
                  </a:lnTo>
                  <a:lnTo>
                    <a:pt x="300" y="38"/>
                  </a:lnTo>
                  <a:lnTo>
                    <a:pt x="303" y="38"/>
                  </a:lnTo>
                  <a:lnTo>
                    <a:pt x="304" y="38"/>
                  </a:lnTo>
                  <a:lnTo>
                    <a:pt x="306" y="38"/>
                  </a:lnTo>
                  <a:lnTo>
                    <a:pt x="308" y="38"/>
                  </a:lnTo>
                  <a:lnTo>
                    <a:pt x="310" y="37"/>
                  </a:lnTo>
                  <a:lnTo>
                    <a:pt x="315" y="37"/>
                  </a:lnTo>
                  <a:lnTo>
                    <a:pt x="318" y="37"/>
                  </a:lnTo>
                  <a:lnTo>
                    <a:pt x="335" y="37"/>
                  </a:lnTo>
                  <a:lnTo>
                    <a:pt x="338" y="37"/>
                  </a:lnTo>
                  <a:lnTo>
                    <a:pt x="355" y="37"/>
                  </a:lnTo>
                  <a:lnTo>
                    <a:pt x="358" y="37"/>
                  </a:lnTo>
                  <a:lnTo>
                    <a:pt x="362" y="37"/>
                  </a:lnTo>
                  <a:lnTo>
                    <a:pt x="365" y="37"/>
                  </a:lnTo>
                  <a:lnTo>
                    <a:pt x="367" y="37"/>
                  </a:lnTo>
                  <a:lnTo>
                    <a:pt x="369" y="36"/>
                  </a:lnTo>
                  <a:lnTo>
                    <a:pt x="371" y="36"/>
                  </a:lnTo>
                  <a:lnTo>
                    <a:pt x="378" y="36"/>
                  </a:lnTo>
                  <a:lnTo>
                    <a:pt x="381" y="36"/>
                  </a:lnTo>
                  <a:lnTo>
                    <a:pt x="383" y="36"/>
                  </a:lnTo>
                  <a:lnTo>
                    <a:pt x="387" y="37"/>
                  </a:lnTo>
                  <a:lnTo>
                    <a:pt x="389" y="37"/>
                  </a:lnTo>
                  <a:lnTo>
                    <a:pt x="391" y="37"/>
                  </a:lnTo>
                  <a:lnTo>
                    <a:pt x="395" y="37"/>
                  </a:lnTo>
                  <a:lnTo>
                    <a:pt x="397" y="38"/>
                  </a:lnTo>
                  <a:lnTo>
                    <a:pt x="400" y="38"/>
                  </a:lnTo>
                  <a:lnTo>
                    <a:pt x="402" y="38"/>
                  </a:lnTo>
                  <a:lnTo>
                    <a:pt x="406" y="38"/>
                  </a:lnTo>
                  <a:lnTo>
                    <a:pt x="408" y="39"/>
                  </a:lnTo>
                  <a:lnTo>
                    <a:pt x="411" y="39"/>
                  </a:lnTo>
                  <a:lnTo>
                    <a:pt x="413" y="39"/>
                  </a:lnTo>
                  <a:lnTo>
                    <a:pt x="416" y="40"/>
                  </a:lnTo>
                  <a:lnTo>
                    <a:pt x="419" y="40"/>
                  </a:lnTo>
                  <a:lnTo>
                    <a:pt x="421" y="40"/>
                  </a:lnTo>
                  <a:lnTo>
                    <a:pt x="423" y="41"/>
                  </a:lnTo>
                  <a:lnTo>
                    <a:pt x="426" y="41"/>
                  </a:lnTo>
                  <a:lnTo>
                    <a:pt x="428" y="41"/>
                  </a:lnTo>
                  <a:lnTo>
                    <a:pt x="430" y="41"/>
                  </a:lnTo>
                  <a:lnTo>
                    <a:pt x="432" y="42"/>
                  </a:lnTo>
                  <a:lnTo>
                    <a:pt x="434" y="42"/>
                  </a:lnTo>
                  <a:lnTo>
                    <a:pt x="436" y="42"/>
                  </a:lnTo>
                  <a:lnTo>
                    <a:pt x="441" y="42"/>
                  </a:lnTo>
                  <a:lnTo>
                    <a:pt x="442" y="42"/>
                  </a:lnTo>
                  <a:lnTo>
                    <a:pt x="442" y="41"/>
                  </a:lnTo>
                  <a:lnTo>
                    <a:pt x="441" y="40"/>
                  </a:lnTo>
                  <a:lnTo>
                    <a:pt x="439" y="40"/>
                  </a:lnTo>
                  <a:lnTo>
                    <a:pt x="438" y="39"/>
                  </a:lnTo>
                  <a:lnTo>
                    <a:pt x="436" y="39"/>
                  </a:lnTo>
                  <a:lnTo>
                    <a:pt x="432" y="38"/>
                  </a:lnTo>
                  <a:lnTo>
                    <a:pt x="430" y="38"/>
                  </a:lnTo>
                  <a:lnTo>
                    <a:pt x="427" y="37"/>
                  </a:lnTo>
                  <a:lnTo>
                    <a:pt x="423" y="36"/>
                  </a:lnTo>
                  <a:lnTo>
                    <a:pt x="420" y="35"/>
                  </a:lnTo>
                  <a:lnTo>
                    <a:pt x="416" y="35"/>
                  </a:lnTo>
                  <a:lnTo>
                    <a:pt x="412" y="33"/>
                  </a:lnTo>
                  <a:lnTo>
                    <a:pt x="409" y="32"/>
                  </a:lnTo>
                  <a:lnTo>
                    <a:pt x="405" y="31"/>
                  </a:lnTo>
                  <a:lnTo>
                    <a:pt x="400" y="31"/>
                  </a:lnTo>
                  <a:lnTo>
                    <a:pt x="397" y="30"/>
                  </a:lnTo>
                  <a:lnTo>
                    <a:pt x="392" y="29"/>
                  </a:lnTo>
                  <a:lnTo>
                    <a:pt x="389" y="28"/>
                  </a:lnTo>
                  <a:lnTo>
                    <a:pt x="386" y="28"/>
                  </a:lnTo>
                  <a:lnTo>
                    <a:pt x="381" y="27"/>
                  </a:lnTo>
                  <a:lnTo>
                    <a:pt x="378" y="26"/>
                  </a:lnTo>
                  <a:lnTo>
                    <a:pt x="375" y="26"/>
                  </a:lnTo>
                  <a:lnTo>
                    <a:pt x="371" y="25"/>
                  </a:lnTo>
                  <a:lnTo>
                    <a:pt x="369" y="23"/>
                  </a:lnTo>
                  <a:lnTo>
                    <a:pt x="367" y="23"/>
                  </a:lnTo>
                  <a:lnTo>
                    <a:pt x="365" y="22"/>
                  </a:lnTo>
                  <a:lnTo>
                    <a:pt x="362" y="22"/>
                  </a:lnTo>
                  <a:lnTo>
                    <a:pt x="361" y="21"/>
                  </a:lnTo>
                  <a:lnTo>
                    <a:pt x="360" y="21"/>
                  </a:lnTo>
                  <a:lnTo>
                    <a:pt x="360" y="20"/>
                  </a:lnTo>
                  <a:lnTo>
                    <a:pt x="360" y="19"/>
                  </a:lnTo>
                  <a:lnTo>
                    <a:pt x="361" y="19"/>
                  </a:lnTo>
                  <a:lnTo>
                    <a:pt x="362" y="19"/>
                  </a:lnTo>
                  <a:lnTo>
                    <a:pt x="364" y="19"/>
                  </a:lnTo>
                  <a:lnTo>
                    <a:pt x="365" y="18"/>
                  </a:lnTo>
                  <a:lnTo>
                    <a:pt x="367" y="18"/>
                  </a:lnTo>
                  <a:lnTo>
                    <a:pt x="369" y="18"/>
                  </a:lnTo>
                  <a:lnTo>
                    <a:pt x="371" y="18"/>
                  </a:lnTo>
                  <a:lnTo>
                    <a:pt x="372" y="18"/>
                  </a:lnTo>
                  <a:lnTo>
                    <a:pt x="375" y="18"/>
                  </a:lnTo>
                  <a:lnTo>
                    <a:pt x="377" y="18"/>
                  </a:lnTo>
                  <a:lnTo>
                    <a:pt x="380" y="17"/>
                  </a:lnTo>
                  <a:lnTo>
                    <a:pt x="382" y="17"/>
                  </a:lnTo>
                  <a:lnTo>
                    <a:pt x="385" y="17"/>
                  </a:lnTo>
                  <a:lnTo>
                    <a:pt x="387" y="17"/>
                  </a:lnTo>
                  <a:lnTo>
                    <a:pt x="389" y="17"/>
                  </a:lnTo>
                  <a:lnTo>
                    <a:pt x="391" y="17"/>
                  </a:lnTo>
                  <a:lnTo>
                    <a:pt x="393" y="17"/>
                  </a:lnTo>
                  <a:lnTo>
                    <a:pt x="396" y="17"/>
                  </a:lnTo>
                  <a:lnTo>
                    <a:pt x="397" y="16"/>
                  </a:lnTo>
                  <a:lnTo>
                    <a:pt x="399" y="16"/>
                  </a:lnTo>
                  <a:lnTo>
                    <a:pt x="400" y="16"/>
                  </a:lnTo>
                  <a:lnTo>
                    <a:pt x="401" y="16"/>
                  </a:lnTo>
                  <a:lnTo>
                    <a:pt x="402" y="16"/>
                  </a:lnTo>
                  <a:lnTo>
                    <a:pt x="403" y="16"/>
                  </a:lnTo>
                  <a:lnTo>
                    <a:pt x="403" y="15"/>
                  </a:lnTo>
                  <a:lnTo>
                    <a:pt x="405" y="15"/>
                  </a:lnTo>
                  <a:lnTo>
                    <a:pt x="403" y="15"/>
                  </a:lnTo>
                  <a:lnTo>
                    <a:pt x="402" y="13"/>
                  </a:lnTo>
                  <a:lnTo>
                    <a:pt x="401" y="13"/>
                  </a:lnTo>
                  <a:lnTo>
                    <a:pt x="399" y="12"/>
                  </a:lnTo>
                  <a:lnTo>
                    <a:pt x="397" y="12"/>
                  </a:lnTo>
                  <a:lnTo>
                    <a:pt x="395" y="11"/>
                  </a:lnTo>
                  <a:lnTo>
                    <a:pt x="391" y="11"/>
                  </a:lnTo>
                  <a:lnTo>
                    <a:pt x="388" y="11"/>
                  </a:lnTo>
                  <a:lnTo>
                    <a:pt x="385" y="10"/>
                  </a:lnTo>
                  <a:lnTo>
                    <a:pt x="381" y="10"/>
                  </a:lnTo>
                  <a:lnTo>
                    <a:pt x="377" y="9"/>
                  </a:lnTo>
                  <a:lnTo>
                    <a:pt x="372" y="9"/>
                  </a:lnTo>
                  <a:lnTo>
                    <a:pt x="369" y="8"/>
                  </a:lnTo>
                  <a:lnTo>
                    <a:pt x="364" y="8"/>
                  </a:lnTo>
                  <a:lnTo>
                    <a:pt x="359" y="7"/>
                  </a:lnTo>
                  <a:lnTo>
                    <a:pt x="355" y="7"/>
                  </a:lnTo>
                  <a:lnTo>
                    <a:pt x="349" y="7"/>
                  </a:lnTo>
                  <a:lnTo>
                    <a:pt x="345" y="6"/>
                  </a:lnTo>
                  <a:lnTo>
                    <a:pt x="339" y="6"/>
                  </a:lnTo>
                  <a:lnTo>
                    <a:pt x="334" y="6"/>
                  </a:lnTo>
                  <a:lnTo>
                    <a:pt x="329" y="6"/>
                  </a:lnTo>
                  <a:lnTo>
                    <a:pt x="324" y="5"/>
                  </a:lnTo>
                  <a:lnTo>
                    <a:pt x="319" y="5"/>
                  </a:lnTo>
                  <a:lnTo>
                    <a:pt x="314" y="5"/>
                  </a:lnTo>
                  <a:lnTo>
                    <a:pt x="309" y="5"/>
                  </a:lnTo>
                  <a:lnTo>
                    <a:pt x="290" y="5"/>
                  </a:lnTo>
                  <a:lnTo>
                    <a:pt x="287" y="5"/>
                  </a:lnTo>
                  <a:lnTo>
                    <a:pt x="283" y="5"/>
                  </a:lnTo>
                  <a:lnTo>
                    <a:pt x="279" y="5"/>
                  </a:lnTo>
                  <a:lnTo>
                    <a:pt x="276" y="6"/>
                  </a:lnTo>
                  <a:lnTo>
                    <a:pt x="273" y="6"/>
                  </a:lnTo>
                  <a:lnTo>
                    <a:pt x="269" y="6"/>
                  </a:lnTo>
                  <a:lnTo>
                    <a:pt x="267" y="7"/>
                  </a:lnTo>
                  <a:lnTo>
                    <a:pt x="265" y="7"/>
                  </a:lnTo>
                  <a:lnTo>
                    <a:pt x="262" y="7"/>
                  </a:lnTo>
                  <a:lnTo>
                    <a:pt x="260" y="8"/>
                  </a:lnTo>
                  <a:lnTo>
                    <a:pt x="258" y="8"/>
                  </a:lnTo>
                  <a:lnTo>
                    <a:pt x="256" y="9"/>
                  </a:lnTo>
                  <a:lnTo>
                    <a:pt x="254" y="9"/>
                  </a:lnTo>
                  <a:lnTo>
                    <a:pt x="253" y="9"/>
                  </a:lnTo>
                  <a:lnTo>
                    <a:pt x="250" y="9"/>
                  </a:lnTo>
                  <a:lnTo>
                    <a:pt x="249" y="10"/>
                  </a:lnTo>
                  <a:lnTo>
                    <a:pt x="248" y="10"/>
                  </a:lnTo>
                  <a:lnTo>
                    <a:pt x="246" y="10"/>
                  </a:lnTo>
                  <a:lnTo>
                    <a:pt x="245" y="10"/>
                  </a:lnTo>
                  <a:lnTo>
                    <a:pt x="244" y="11"/>
                  </a:lnTo>
                  <a:lnTo>
                    <a:pt x="243" y="11"/>
                  </a:lnTo>
                  <a:lnTo>
                    <a:pt x="242" y="11"/>
                  </a:lnTo>
                  <a:lnTo>
                    <a:pt x="241" y="11"/>
                  </a:lnTo>
                  <a:lnTo>
                    <a:pt x="239" y="12"/>
                  </a:lnTo>
                  <a:lnTo>
                    <a:pt x="238" y="12"/>
                  </a:lnTo>
                  <a:lnTo>
                    <a:pt x="237" y="12"/>
                  </a:lnTo>
                  <a:lnTo>
                    <a:pt x="236" y="13"/>
                  </a:lnTo>
                  <a:lnTo>
                    <a:pt x="235" y="13"/>
                  </a:lnTo>
                  <a:lnTo>
                    <a:pt x="234" y="13"/>
                  </a:lnTo>
                  <a:lnTo>
                    <a:pt x="234" y="15"/>
                  </a:lnTo>
                  <a:lnTo>
                    <a:pt x="233" y="15"/>
                  </a:lnTo>
                  <a:lnTo>
                    <a:pt x="232" y="16"/>
                  </a:lnTo>
                  <a:lnTo>
                    <a:pt x="231" y="16"/>
                  </a:lnTo>
                  <a:lnTo>
                    <a:pt x="229" y="16"/>
                  </a:lnTo>
                  <a:lnTo>
                    <a:pt x="228" y="17"/>
                  </a:lnTo>
                  <a:lnTo>
                    <a:pt x="227" y="17"/>
                  </a:lnTo>
                  <a:lnTo>
                    <a:pt x="226" y="18"/>
                  </a:lnTo>
                  <a:lnTo>
                    <a:pt x="225" y="18"/>
                  </a:lnTo>
                  <a:lnTo>
                    <a:pt x="223" y="19"/>
                  </a:lnTo>
                  <a:lnTo>
                    <a:pt x="222" y="19"/>
                  </a:lnTo>
                  <a:lnTo>
                    <a:pt x="222" y="20"/>
                  </a:lnTo>
                  <a:lnTo>
                    <a:pt x="221" y="21"/>
                  </a:lnTo>
                  <a:lnTo>
                    <a:pt x="219" y="21"/>
                  </a:lnTo>
                  <a:lnTo>
                    <a:pt x="219" y="22"/>
                  </a:lnTo>
                  <a:lnTo>
                    <a:pt x="218" y="22"/>
                  </a:lnTo>
                  <a:lnTo>
                    <a:pt x="217" y="23"/>
                  </a:lnTo>
                  <a:lnTo>
                    <a:pt x="216" y="25"/>
                  </a:lnTo>
                  <a:lnTo>
                    <a:pt x="216" y="26"/>
                  </a:lnTo>
                  <a:lnTo>
                    <a:pt x="215" y="26"/>
                  </a:lnTo>
                  <a:lnTo>
                    <a:pt x="215" y="27"/>
                  </a:lnTo>
                  <a:lnTo>
                    <a:pt x="214" y="28"/>
                  </a:lnTo>
                  <a:lnTo>
                    <a:pt x="214" y="29"/>
                  </a:lnTo>
                  <a:lnTo>
                    <a:pt x="213" y="30"/>
                  </a:lnTo>
                  <a:lnTo>
                    <a:pt x="212" y="30"/>
                  </a:lnTo>
                  <a:lnTo>
                    <a:pt x="212" y="29"/>
                  </a:lnTo>
                  <a:lnTo>
                    <a:pt x="211" y="29"/>
                  </a:lnTo>
                  <a:lnTo>
                    <a:pt x="211" y="28"/>
                  </a:lnTo>
                  <a:lnTo>
                    <a:pt x="209" y="28"/>
                  </a:lnTo>
                  <a:lnTo>
                    <a:pt x="209" y="27"/>
                  </a:lnTo>
                  <a:lnTo>
                    <a:pt x="208" y="26"/>
                  </a:lnTo>
                  <a:lnTo>
                    <a:pt x="208" y="25"/>
                  </a:lnTo>
                  <a:lnTo>
                    <a:pt x="207" y="23"/>
                  </a:lnTo>
                  <a:lnTo>
                    <a:pt x="207" y="22"/>
                  </a:lnTo>
                  <a:lnTo>
                    <a:pt x="206" y="21"/>
                  </a:lnTo>
                  <a:lnTo>
                    <a:pt x="206" y="20"/>
                  </a:lnTo>
                  <a:lnTo>
                    <a:pt x="206" y="19"/>
                  </a:lnTo>
                  <a:lnTo>
                    <a:pt x="205" y="18"/>
                  </a:lnTo>
                  <a:lnTo>
                    <a:pt x="205" y="17"/>
                  </a:lnTo>
                  <a:lnTo>
                    <a:pt x="205" y="16"/>
                  </a:lnTo>
                  <a:lnTo>
                    <a:pt x="204" y="15"/>
                  </a:lnTo>
                  <a:lnTo>
                    <a:pt x="204" y="13"/>
                  </a:lnTo>
                  <a:lnTo>
                    <a:pt x="203" y="12"/>
                  </a:lnTo>
                  <a:lnTo>
                    <a:pt x="203" y="11"/>
                  </a:lnTo>
                  <a:lnTo>
                    <a:pt x="202" y="10"/>
                  </a:lnTo>
                  <a:lnTo>
                    <a:pt x="201" y="10"/>
                  </a:lnTo>
                  <a:lnTo>
                    <a:pt x="201" y="9"/>
                  </a:lnTo>
                  <a:lnTo>
                    <a:pt x="199" y="8"/>
                  </a:lnTo>
                  <a:lnTo>
                    <a:pt x="198" y="7"/>
                  </a:lnTo>
                  <a:lnTo>
                    <a:pt x="197" y="6"/>
                  </a:lnTo>
                  <a:lnTo>
                    <a:pt x="196" y="5"/>
                  </a:lnTo>
                  <a:lnTo>
                    <a:pt x="195" y="5"/>
                  </a:lnTo>
                  <a:lnTo>
                    <a:pt x="194" y="4"/>
                  </a:lnTo>
                  <a:lnTo>
                    <a:pt x="193" y="4"/>
                  </a:lnTo>
                  <a:lnTo>
                    <a:pt x="192" y="2"/>
                  </a:lnTo>
                  <a:lnTo>
                    <a:pt x="191" y="2"/>
                  </a:lnTo>
                  <a:lnTo>
                    <a:pt x="190" y="1"/>
                  </a:lnTo>
                  <a:lnTo>
                    <a:pt x="188" y="1"/>
                  </a:lnTo>
                  <a:lnTo>
                    <a:pt x="187" y="1"/>
                  </a:lnTo>
                  <a:lnTo>
                    <a:pt x="186" y="0"/>
                  </a:lnTo>
                  <a:lnTo>
                    <a:pt x="185" y="0"/>
                  </a:lnTo>
                  <a:lnTo>
                    <a:pt x="184" y="0"/>
                  </a:lnTo>
                  <a:lnTo>
                    <a:pt x="181" y="0"/>
                  </a:lnTo>
                  <a:lnTo>
                    <a:pt x="180" y="0"/>
                  </a:lnTo>
                  <a:lnTo>
                    <a:pt x="178" y="1"/>
                  </a:lnTo>
                  <a:lnTo>
                    <a:pt x="177" y="2"/>
                  </a:lnTo>
                  <a:lnTo>
                    <a:pt x="177" y="5"/>
                  </a:lnTo>
                  <a:lnTo>
                    <a:pt x="177" y="6"/>
                  </a:lnTo>
                  <a:lnTo>
                    <a:pt x="178" y="7"/>
                  </a:lnTo>
                  <a:lnTo>
                    <a:pt x="178" y="8"/>
                  </a:lnTo>
                  <a:lnTo>
                    <a:pt x="178" y="9"/>
                  </a:lnTo>
                  <a:lnTo>
                    <a:pt x="180" y="10"/>
                  </a:lnTo>
                  <a:lnTo>
                    <a:pt x="181" y="11"/>
                  </a:lnTo>
                  <a:lnTo>
                    <a:pt x="181" y="12"/>
                  </a:lnTo>
                  <a:lnTo>
                    <a:pt x="181" y="13"/>
                  </a:lnTo>
                  <a:lnTo>
                    <a:pt x="182" y="15"/>
                  </a:lnTo>
                  <a:lnTo>
                    <a:pt x="182" y="16"/>
                  </a:lnTo>
                  <a:lnTo>
                    <a:pt x="182" y="17"/>
                  </a:lnTo>
                  <a:lnTo>
                    <a:pt x="183" y="18"/>
                  </a:lnTo>
                  <a:lnTo>
                    <a:pt x="183" y="20"/>
                  </a:lnTo>
                  <a:lnTo>
                    <a:pt x="184" y="21"/>
                  </a:lnTo>
                  <a:lnTo>
                    <a:pt x="184" y="22"/>
                  </a:lnTo>
                  <a:lnTo>
                    <a:pt x="184" y="23"/>
                  </a:lnTo>
                  <a:lnTo>
                    <a:pt x="185" y="25"/>
                  </a:lnTo>
                  <a:lnTo>
                    <a:pt x="185" y="26"/>
                  </a:lnTo>
                  <a:lnTo>
                    <a:pt x="186" y="27"/>
                  </a:lnTo>
                  <a:lnTo>
                    <a:pt x="186" y="28"/>
                  </a:lnTo>
                  <a:lnTo>
                    <a:pt x="186" y="29"/>
                  </a:lnTo>
                  <a:lnTo>
                    <a:pt x="186" y="30"/>
                  </a:lnTo>
                  <a:lnTo>
                    <a:pt x="186" y="31"/>
                  </a:lnTo>
                  <a:lnTo>
                    <a:pt x="187" y="32"/>
                  </a:lnTo>
                  <a:lnTo>
                    <a:pt x="187" y="35"/>
                  </a:lnTo>
                  <a:lnTo>
                    <a:pt x="186" y="36"/>
                  </a:lnTo>
                  <a:lnTo>
                    <a:pt x="186" y="37"/>
                  </a:lnTo>
                  <a:lnTo>
                    <a:pt x="186" y="38"/>
                  </a:lnTo>
                  <a:lnTo>
                    <a:pt x="185" y="38"/>
                  </a:lnTo>
                  <a:lnTo>
                    <a:pt x="185" y="39"/>
                  </a:lnTo>
                  <a:lnTo>
                    <a:pt x="184" y="39"/>
                  </a:lnTo>
                  <a:lnTo>
                    <a:pt x="184" y="40"/>
                  </a:lnTo>
                  <a:lnTo>
                    <a:pt x="183" y="40"/>
                  </a:lnTo>
                  <a:lnTo>
                    <a:pt x="182" y="40"/>
                  </a:lnTo>
                  <a:lnTo>
                    <a:pt x="182" y="41"/>
                  </a:lnTo>
                  <a:lnTo>
                    <a:pt x="181" y="41"/>
                  </a:lnTo>
                  <a:lnTo>
                    <a:pt x="176" y="41"/>
                  </a:lnTo>
                  <a:lnTo>
                    <a:pt x="175" y="41"/>
                  </a:lnTo>
                  <a:lnTo>
                    <a:pt x="174" y="41"/>
                  </a:lnTo>
                  <a:lnTo>
                    <a:pt x="173" y="41"/>
                  </a:lnTo>
                  <a:lnTo>
                    <a:pt x="172" y="40"/>
                  </a:lnTo>
                  <a:lnTo>
                    <a:pt x="171" y="40"/>
                  </a:lnTo>
                  <a:lnTo>
                    <a:pt x="170" y="40"/>
                  </a:lnTo>
                  <a:lnTo>
                    <a:pt x="168" y="40"/>
                  </a:lnTo>
                  <a:lnTo>
                    <a:pt x="167" y="40"/>
                  </a:lnTo>
                  <a:lnTo>
                    <a:pt x="166" y="40"/>
                  </a:lnTo>
                  <a:lnTo>
                    <a:pt x="165" y="39"/>
                  </a:lnTo>
                  <a:lnTo>
                    <a:pt x="164" y="39"/>
                  </a:lnTo>
                  <a:lnTo>
                    <a:pt x="163" y="38"/>
                  </a:lnTo>
                  <a:lnTo>
                    <a:pt x="162" y="38"/>
                  </a:lnTo>
                  <a:lnTo>
                    <a:pt x="161" y="37"/>
                  </a:lnTo>
                  <a:lnTo>
                    <a:pt x="160" y="37"/>
                  </a:lnTo>
                  <a:lnTo>
                    <a:pt x="158" y="36"/>
                  </a:lnTo>
                  <a:lnTo>
                    <a:pt x="156" y="35"/>
                  </a:lnTo>
                  <a:lnTo>
                    <a:pt x="155" y="33"/>
                  </a:lnTo>
                  <a:lnTo>
                    <a:pt x="154" y="33"/>
                  </a:lnTo>
                  <a:lnTo>
                    <a:pt x="153" y="32"/>
                  </a:lnTo>
                  <a:lnTo>
                    <a:pt x="151" y="31"/>
                  </a:lnTo>
                  <a:lnTo>
                    <a:pt x="150" y="31"/>
                  </a:lnTo>
                  <a:lnTo>
                    <a:pt x="149" y="30"/>
                  </a:lnTo>
                  <a:lnTo>
                    <a:pt x="147" y="29"/>
                  </a:lnTo>
                  <a:lnTo>
                    <a:pt x="146" y="28"/>
                  </a:lnTo>
                  <a:lnTo>
                    <a:pt x="145" y="27"/>
                  </a:lnTo>
                  <a:lnTo>
                    <a:pt x="144" y="27"/>
                  </a:lnTo>
                  <a:lnTo>
                    <a:pt x="143" y="26"/>
                  </a:lnTo>
                  <a:lnTo>
                    <a:pt x="141" y="25"/>
                  </a:lnTo>
                  <a:lnTo>
                    <a:pt x="140" y="25"/>
                  </a:lnTo>
                  <a:lnTo>
                    <a:pt x="139" y="23"/>
                  </a:lnTo>
                  <a:lnTo>
                    <a:pt x="137" y="22"/>
                  </a:lnTo>
                  <a:lnTo>
                    <a:pt x="136" y="22"/>
                  </a:lnTo>
                  <a:lnTo>
                    <a:pt x="135" y="21"/>
                  </a:lnTo>
                  <a:lnTo>
                    <a:pt x="134" y="21"/>
                  </a:lnTo>
                  <a:lnTo>
                    <a:pt x="133" y="21"/>
                  </a:lnTo>
                  <a:lnTo>
                    <a:pt x="132" y="20"/>
                  </a:lnTo>
                  <a:lnTo>
                    <a:pt x="131" y="20"/>
                  </a:lnTo>
                  <a:lnTo>
                    <a:pt x="129" y="20"/>
                  </a:lnTo>
                  <a:lnTo>
                    <a:pt x="127" y="21"/>
                  </a:lnTo>
                  <a:lnTo>
                    <a:pt x="126" y="21"/>
                  </a:lnTo>
                  <a:lnTo>
                    <a:pt x="126" y="22"/>
                  </a:lnTo>
                  <a:lnTo>
                    <a:pt x="125" y="22"/>
                  </a:lnTo>
                  <a:lnTo>
                    <a:pt x="125" y="23"/>
                  </a:lnTo>
                  <a:lnTo>
                    <a:pt x="125" y="25"/>
                  </a:lnTo>
                  <a:lnTo>
                    <a:pt x="125" y="26"/>
                  </a:lnTo>
                  <a:lnTo>
                    <a:pt x="124" y="26"/>
                  </a:lnTo>
                  <a:lnTo>
                    <a:pt x="124" y="27"/>
                  </a:lnTo>
                  <a:lnTo>
                    <a:pt x="124" y="28"/>
                  </a:lnTo>
                  <a:lnTo>
                    <a:pt x="123" y="29"/>
                  </a:lnTo>
                  <a:lnTo>
                    <a:pt x="123" y="30"/>
                  </a:lnTo>
                  <a:lnTo>
                    <a:pt x="123" y="31"/>
                  </a:lnTo>
                  <a:lnTo>
                    <a:pt x="122" y="32"/>
                  </a:lnTo>
                  <a:lnTo>
                    <a:pt x="122" y="33"/>
                  </a:lnTo>
                  <a:lnTo>
                    <a:pt x="121" y="35"/>
                  </a:lnTo>
                  <a:lnTo>
                    <a:pt x="120" y="36"/>
                  </a:lnTo>
                  <a:lnTo>
                    <a:pt x="120" y="37"/>
                  </a:lnTo>
                  <a:lnTo>
                    <a:pt x="119" y="37"/>
                  </a:lnTo>
                  <a:lnTo>
                    <a:pt x="117" y="38"/>
                  </a:lnTo>
                  <a:lnTo>
                    <a:pt x="116" y="38"/>
                  </a:lnTo>
                  <a:lnTo>
                    <a:pt x="115" y="39"/>
                  </a:lnTo>
                  <a:lnTo>
                    <a:pt x="114" y="39"/>
                  </a:lnTo>
                  <a:lnTo>
                    <a:pt x="113" y="39"/>
                  </a:lnTo>
                  <a:lnTo>
                    <a:pt x="112" y="40"/>
                  </a:lnTo>
                  <a:lnTo>
                    <a:pt x="111" y="40"/>
                  </a:lnTo>
                  <a:lnTo>
                    <a:pt x="110" y="40"/>
                  </a:lnTo>
                  <a:lnTo>
                    <a:pt x="109" y="40"/>
                  </a:lnTo>
                  <a:lnTo>
                    <a:pt x="100" y="40"/>
                  </a:lnTo>
                  <a:lnTo>
                    <a:pt x="99" y="40"/>
                  </a:lnTo>
                  <a:lnTo>
                    <a:pt x="95" y="40"/>
                  </a:lnTo>
                  <a:lnTo>
                    <a:pt x="94" y="40"/>
                  </a:lnTo>
                  <a:lnTo>
                    <a:pt x="93" y="40"/>
                  </a:lnTo>
                  <a:lnTo>
                    <a:pt x="92" y="40"/>
                  </a:lnTo>
                  <a:lnTo>
                    <a:pt x="90" y="40"/>
                  </a:lnTo>
                  <a:lnTo>
                    <a:pt x="89" y="39"/>
                  </a:lnTo>
                  <a:lnTo>
                    <a:pt x="79" y="39"/>
                  </a:lnTo>
                  <a:lnTo>
                    <a:pt x="78" y="40"/>
                  </a:lnTo>
                  <a:lnTo>
                    <a:pt x="76" y="40"/>
                  </a:lnTo>
                  <a:lnTo>
                    <a:pt x="74" y="40"/>
                  </a:lnTo>
                  <a:lnTo>
                    <a:pt x="73" y="40"/>
                  </a:lnTo>
                  <a:lnTo>
                    <a:pt x="72" y="40"/>
                  </a:lnTo>
                  <a:lnTo>
                    <a:pt x="70" y="40"/>
                  </a:lnTo>
                  <a:lnTo>
                    <a:pt x="69" y="40"/>
                  </a:lnTo>
                  <a:lnTo>
                    <a:pt x="66" y="41"/>
                  </a:lnTo>
                  <a:lnTo>
                    <a:pt x="65" y="41"/>
                  </a:lnTo>
                  <a:lnTo>
                    <a:pt x="63" y="41"/>
                  </a:lnTo>
                  <a:lnTo>
                    <a:pt x="62" y="42"/>
                  </a:lnTo>
                  <a:lnTo>
                    <a:pt x="61" y="42"/>
                  </a:lnTo>
                  <a:lnTo>
                    <a:pt x="59" y="42"/>
                  </a:lnTo>
                  <a:lnTo>
                    <a:pt x="58" y="43"/>
                  </a:lnTo>
                  <a:lnTo>
                    <a:pt x="55" y="43"/>
                  </a:lnTo>
                  <a:lnTo>
                    <a:pt x="54" y="43"/>
                  </a:lnTo>
                  <a:lnTo>
                    <a:pt x="53" y="45"/>
                  </a:lnTo>
                  <a:lnTo>
                    <a:pt x="51" y="45"/>
                  </a:lnTo>
                  <a:lnTo>
                    <a:pt x="50" y="46"/>
                  </a:lnTo>
                  <a:lnTo>
                    <a:pt x="49" y="46"/>
                  </a:lnTo>
                  <a:lnTo>
                    <a:pt x="48" y="47"/>
                  </a:lnTo>
                  <a:lnTo>
                    <a:pt x="47" y="47"/>
                  </a:lnTo>
                  <a:lnTo>
                    <a:pt x="45" y="48"/>
                  </a:lnTo>
                  <a:lnTo>
                    <a:pt x="44" y="49"/>
                  </a:lnTo>
                  <a:lnTo>
                    <a:pt x="43" y="49"/>
                  </a:lnTo>
                  <a:lnTo>
                    <a:pt x="43" y="50"/>
                  </a:lnTo>
                  <a:lnTo>
                    <a:pt x="43" y="51"/>
                  </a:lnTo>
                  <a:lnTo>
                    <a:pt x="43" y="52"/>
                  </a:lnTo>
                  <a:lnTo>
                    <a:pt x="43" y="53"/>
                  </a:lnTo>
                  <a:lnTo>
                    <a:pt x="44" y="54"/>
                  </a:lnTo>
                  <a:lnTo>
                    <a:pt x="45" y="56"/>
                  </a:lnTo>
                  <a:lnTo>
                    <a:pt x="47" y="57"/>
                  </a:lnTo>
                  <a:lnTo>
                    <a:pt x="48" y="58"/>
                  </a:lnTo>
                  <a:lnTo>
                    <a:pt x="50" y="59"/>
                  </a:lnTo>
                  <a:lnTo>
                    <a:pt x="52" y="60"/>
                  </a:lnTo>
                  <a:lnTo>
                    <a:pt x="55" y="61"/>
                  </a:lnTo>
                  <a:lnTo>
                    <a:pt x="59" y="62"/>
                  </a:lnTo>
                  <a:lnTo>
                    <a:pt x="62" y="64"/>
                  </a:lnTo>
                  <a:lnTo>
                    <a:pt x="65" y="66"/>
                  </a:lnTo>
                  <a:lnTo>
                    <a:pt x="70" y="68"/>
                  </a:lnTo>
                  <a:lnTo>
                    <a:pt x="74" y="70"/>
                  </a:lnTo>
                  <a:lnTo>
                    <a:pt x="79" y="72"/>
                  </a:lnTo>
                  <a:lnTo>
                    <a:pt x="84" y="74"/>
                  </a:lnTo>
                  <a:lnTo>
                    <a:pt x="89" y="77"/>
                  </a:lnTo>
                  <a:lnTo>
                    <a:pt x="94" y="78"/>
                  </a:lnTo>
                  <a:lnTo>
                    <a:pt x="100" y="81"/>
                  </a:lnTo>
                  <a:lnTo>
                    <a:pt x="104" y="83"/>
                  </a:lnTo>
                  <a:lnTo>
                    <a:pt x="110" y="84"/>
                  </a:lnTo>
                  <a:lnTo>
                    <a:pt x="115" y="88"/>
                  </a:lnTo>
                  <a:lnTo>
                    <a:pt x="121" y="90"/>
                  </a:lnTo>
                  <a:lnTo>
                    <a:pt x="125" y="92"/>
                  </a:lnTo>
                  <a:lnTo>
                    <a:pt x="131" y="93"/>
                  </a:lnTo>
                  <a:lnTo>
                    <a:pt x="136" y="95"/>
                  </a:lnTo>
                  <a:lnTo>
                    <a:pt x="141" y="98"/>
                  </a:lnTo>
                  <a:lnTo>
                    <a:pt x="145" y="100"/>
                  </a:lnTo>
                  <a:lnTo>
                    <a:pt x="150" y="102"/>
                  </a:lnTo>
                  <a:lnTo>
                    <a:pt x="154" y="104"/>
                  </a:lnTo>
                  <a:lnTo>
                    <a:pt x="157" y="105"/>
                  </a:lnTo>
                  <a:lnTo>
                    <a:pt x="161" y="107"/>
                  </a:lnTo>
                  <a:lnTo>
                    <a:pt x="164" y="109"/>
                  </a:lnTo>
                  <a:lnTo>
                    <a:pt x="167" y="110"/>
                  </a:lnTo>
                  <a:lnTo>
                    <a:pt x="170" y="111"/>
                  </a:lnTo>
                  <a:lnTo>
                    <a:pt x="171" y="112"/>
                  </a:lnTo>
                  <a:lnTo>
                    <a:pt x="173" y="113"/>
                  </a:lnTo>
                  <a:lnTo>
                    <a:pt x="173" y="114"/>
                  </a:lnTo>
                  <a:lnTo>
                    <a:pt x="172" y="114"/>
                  </a:lnTo>
                  <a:lnTo>
                    <a:pt x="170" y="114"/>
                  </a:lnTo>
                  <a:lnTo>
                    <a:pt x="167" y="113"/>
                  </a:lnTo>
                  <a:lnTo>
                    <a:pt x="165" y="113"/>
                  </a:lnTo>
                  <a:lnTo>
                    <a:pt x="163" y="112"/>
                  </a:lnTo>
                  <a:lnTo>
                    <a:pt x="160" y="112"/>
                  </a:lnTo>
                  <a:lnTo>
                    <a:pt x="155" y="111"/>
                  </a:lnTo>
                  <a:lnTo>
                    <a:pt x="152" y="110"/>
                  </a:lnTo>
                  <a:lnTo>
                    <a:pt x="147" y="109"/>
                  </a:lnTo>
                  <a:lnTo>
                    <a:pt x="143" y="109"/>
                  </a:lnTo>
                  <a:lnTo>
                    <a:pt x="139" y="107"/>
                  </a:lnTo>
                  <a:lnTo>
                    <a:pt x="134" y="105"/>
                  </a:lnTo>
                  <a:lnTo>
                    <a:pt x="130" y="105"/>
                  </a:lnTo>
                  <a:lnTo>
                    <a:pt x="124" y="103"/>
                  </a:lnTo>
                  <a:lnTo>
                    <a:pt x="120" y="102"/>
                  </a:lnTo>
                  <a:lnTo>
                    <a:pt x="114" y="101"/>
                  </a:lnTo>
                  <a:lnTo>
                    <a:pt x="110" y="100"/>
                  </a:lnTo>
                  <a:lnTo>
                    <a:pt x="104" y="99"/>
                  </a:lnTo>
                  <a:lnTo>
                    <a:pt x="100" y="98"/>
                  </a:lnTo>
                  <a:lnTo>
                    <a:pt x="94" y="97"/>
                  </a:lnTo>
                  <a:lnTo>
                    <a:pt x="90" y="95"/>
                  </a:lnTo>
                  <a:lnTo>
                    <a:pt x="85" y="94"/>
                  </a:lnTo>
                  <a:lnTo>
                    <a:pt x="81" y="93"/>
                  </a:lnTo>
                  <a:lnTo>
                    <a:pt x="78" y="92"/>
                  </a:lnTo>
                  <a:lnTo>
                    <a:pt x="73" y="92"/>
                  </a:lnTo>
                  <a:lnTo>
                    <a:pt x="70" y="91"/>
                  </a:lnTo>
                  <a:lnTo>
                    <a:pt x="68" y="90"/>
                  </a:lnTo>
                  <a:lnTo>
                    <a:pt x="64" y="90"/>
                  </a:lnTo>
                  <a:lnTo>
                    <a:pt x="62" y="90"/>
                  </a:lnTo>
                  <a:lnTo>
                    <a:pt x="60" y="90"/>
                  </a:lnTo>
                  <a:lnTo>
                    <a:pt x="59" y="89"/>
                  </a:lnTo>
                  <a:lnTo>
                    <a:pt x="57" y="89"/>
                  </a:lnTo>
                  <a:lnTo>
                    <a:pt x="55" y="89"/>
                  </a:lnTo>
                  <a:lnTo>
                    <a:pt x="53" y="89"/>
                  </a:lnTo>
                  <a:lnTo>
                    <a:pt x="52" y="88"/>
                  </a:lnTo>
                  <a:lnTo>
                    <a:pt x="51" y="88"/>
                  </a:lnTo>
                  <a:lnTo>
                    <a:pt x="50" y="88"/>
                  </a:lnTo>
                  <a:lnTo>
                    <a:pt x="49" y="88"/>
                  </a:lnTo>
                  <a:lnTo>
                    <a:pt x="49" y="87"/>
                  </a:lnTo>
                  <a:lnTo>
                    <a:pt x="48" y="87"/>
                  </a:lnTo>
                  <a:lnTo>
                    <a:pt x="47" y="87"/>
                  </a:lnTo>
                  <a:lnTo>
                    <a:pt x="45" y="87"/>
                  </a:lnTo>
                  <a:lnTo>
                    <a:pt x="45" y="86"/>
                  </a:lnTo>
                  <a:lnTo>
                    <a:pt x="44" y="86"/>
                  </a:lnTo>
                  <a:lnTo>
                    <a:pt x="43" y="86"/>
                  </a:lnTo>
                  <a:lnTo>
                    <a:pt x="42" y="86"/>
                  </a:lnTo>
                  <a:lnTo>
                    <a:pt x="41" y="86"/>
                  </a:lnTo>
                  <a:lnTo>
                    <a:pt x="38" y="86"/>
                  </a:lnTo>
                  <a:lnTo>
                    <a:pt x="37" y="86"/>
                  </a:lnTo>
                  <a:lnTo>
                    <a:pt x="34" y="86"/>
                  </a:lnTo>
                  <a:lnTo>
                    <a:pt x="33" y="86"/>
                  </a:lnTo>
                  <a:lnTo>
                    <a:pt x="32" y="86"/>
                  </a:lnTo>
                  <a:lnTo>
                    <a:pt x="31" y="87"/>
                  </a:lnTo>
                  <a:lnTo>
                    <a:pt x="29" y="87"/>
                  </a:lnTo>
                  <a:lnTo>
                    <a:pt x="27" y="87"/>
                  </a:lnTo>
                  <a:lnTo>
                    <a:pt x="24" y="87"/>
                  </a:lnTo>
                  <a:lnTo>
                    <a:pt x="23" y="87"/>
                  </a:lnTo>
                  <a:lnTo>
                    <a:pt x="21" y="87"/>
                  </a:lnTo>
                  <a:lnTo>
                    <a:pt x="20" y="87"/>
                  </a:lnTo>
                  <a:lnTo>
                    <a:pt x="18" y="88"/>
                  </a:lnTo>
                  <a:lnTo>
                    <a:pt x="14" y="88"/>
                  </a:lnTo>
                  <a:lnTo>
                    <a:pt x="12" y="88"/>
                  </a:lnTo>
                  <a:lnTo>
                    <a:pt x="3" y="88"/>
                  </a:lnTo>
                  <a:lnTo>
                    <a:pt x="2" y="88"/>
                  </a:lnTo>
                  <a:lnTo>
                    <a:pt x="1" y="89"/>
                  </a:lnTo>
                  <a:lnTo>
                    <a:pt x="0" y="89"/>
                  </a:lnTo>
                  <a:lnTo>
                    <a:pt x="0" y="90"/>
                  </a:lnTo>
                  <a:lnTo>
                    <a:pt x="0" y="91"/>
                  </a:lnTo>
                  <a:lnTo>
                    <a:pt x="1" y="91"/>
                  </a:lnTo>
                  <a:lnTo>
                    <a:pt x="1" y="92"/>
                  </a:lnTo>
                  <a:lnTo>
                    <a:pt x="2" y="92"/>
                  </a:lnTo>
                  <a:lnTo>
                    <a:pt x="3" y="93"/>
                  </a:lnTo>
                  <a:lnTo>
                    <a:pt x="4" y="93"/>
                  </a:lnTo>
                  <a:lnTo>
                    <a:pt x="6" y="93"/>
                  </a:lnTo>
                  <a:lnTo>
                    <a:pt x="7" y="94"/>
                  </a:lnTo>
                  <a:lnTo>
                    <a:pt x="8" y="94"/>
                  </a:lnTo>
                  <a:lnTo>
                    <a:pt x="10" y="94"/>
                  </a:lnTo>
                  <a:lnTo>
                    <a:pt x="11" y="95"/>
                  </a:lnTo>
                  <a:lnTo>
                    <a:pt x="13" y="95"/>
                  </a:lnTo>
                  <a:lnTo>
                    <a:pt x="14" y="97"/>
                  </a:lnTo>
                  <a:lnTo>
                    <a:pt x="17" y="97"/>
                  </a:lnTo>
                  <a:lnTo>
                    <a:pt x="19" y="97"/>
                  </a:lnTo>
                  <a:lnTo>
                    <a:pt x="21" y="98"/>
                  </a:lnTo>
                  <a:lnTo>
                    <a:pt x="22" y="98"/>
                  </a:lnTo>
                  <a:lnTo>
                    <a:pt x="24" y="98"/>
                  </a:lnTo>
                  <a:lnTo>
                    <a:pt x="27" y="99"/>
                  </a:lnTo>
                  <a:lnTo>
                    <a:pt x="29" y="99"/>
                  </a:lnTo>
                  <a:lnTo>
                    <a:pt x="32" y="99"/>
                  </a:lnTo>
                  <a:lnTo>
                    <a:pt x="34" y="99"/>
                  </a:lnTo>
                  <a:lnTo>
                    <a:pt x="37" y="100"/>
                  </a:lnTo>
                  <a:lnTo>
                    <a:pt x="39" y="100"/>
                  </a:lnTo>
                  <a:lnTo>
                    <a:pt x="41" y="100"/>
                  </a:lnTo>
                  <a:lnTo>
                    <a:pt x="43" y="100"/>
                  </a:lnTo>
                  <a:lnTo>
                    <a:pt x="47" y="101"/>
                  </a:lnTo>
                  <a:lnTo>
                    <a:pt x="49" y="101"/>
                  </a:lnTo>
                  <a:lnTo>
                    <a:pt x="51" y="101"/>
                  </a:lnTo>
                  <a:lnTo>
                    <a:pt x="53" y="101"/>
                  </a:lnTo>
                  <a:lnTo>
                    <a:pt x="59" y="101"/>
                  </a:lnTo>
                  <a:lnTo>
                    <a:pt x="61" y="101"/>
                  </a:lnTo>
                  <a:lnTo>
                    <a:pt x="63" y="101"/>
                  </a:lnTo>
                  <a:lnTo>
                    <a:pt x="65" y="101"/>
                  </a:lnTo>
                  <a:lnTo>
                    <a:pt x="68" y="101"/>
                  </a:lnTo>
                  <a:lnTo>
                    <a:pt x="70" y="102"/>
                  </a:lnTo>
                  <a:lnTo>
                    <a:pt x="72" y="102"/>
                  </a:lnTo>
                  <a:lnTo>
                    <a:pt x="73" y="102"/>
                  </a:lnTo>
                  <a:lnTo>
                    <a:pt x="76" y="102"/>
                  </a:lnTo>
                  <a:lnTo>
                    <a:pt x="78" y="102"/>
                  </a:lnTo>
                  <a:lnTo>
                    <a:pt x="80" y="103"/>
                  </a:lnTo>
                  <a:lnTo>
                    <a:pt x="82" y="103"/>
                  </a:lnTo>
                  <a:lnTo>
                    <a:pt x="84" y="103"/>
                  </a:lnTo>
                  <a:lnTo>
                    <a:pt x="86" y="104"/>
                  </a:lnTo>
                  <a:lnTo>
                    <a:pt x="88" y="104"/>
                  </a:lnTo>
                  <a:lnTo>
                    <a:pt x="90" y="104"/>
                  </a:lnTo>
                  <a:lnTo>
                    <a:pt x="92" y="104"/>
                  </a:lnTo>
                  <a:lnTo>
                    <a:pt x="94" y="105"/>
                  </a:lnTo>
                  <a:lnTo>
                    <a:pt x="96" y="105"/>
                  </a:lnTo>
                  <a:lnTo>
                    <a:pt x="99" y="107"/>
                  </a:lnTo>
                  <a:lnTo>
                    <a:pt x="101" y="107"/>
                  </a:lnTo>
                  <a:lnTo>
                    <a:pt x="103" y="107"/>
                  </a:lnTo>
                  <a:lnTo>
                    <a:pt x="105" y="108"/>
                  </a:lnTo>
                  <a:lnTo>
                    <a:pt x="108" y="108"/>
                  </a:lnTo>
                  <a:lnTo>
                    <a:pt x="110" y="109"/>
                  </a:lnTo>
                  <a:lnTo>
                    <a:pt x="113" y="109"/>
                  </a:lnTo>
                  <a:lnTo>
                    <a:pt x="115" y="110"/>
                  </a:lnTo>
                  <a:lnTo>
                    <a:pt x="117" y="111"/>
                  </a:lnTo>
                  <a:lnTo>
                    <a:pt x="121" y="111"/>
                  </a:lnTo>
                  <a:lnTo>
                    <a:pt x="123" y="112"/>
                  </a:lnTo>
                  <a:lnTo>
                    <a:pt x="126" y="113"/>
                  </a:lnTo>
                  <a:lnTo>
                    <a:pt x="130" y="114"/>
                  </a:lnTo>
                  <a:lnTo>
                    <a:pt x="132" y="114"/>
                  </a:lnTo>
                  <a:lnTo>
                    <a:pt x="135" y="115"/>
                  </a:lnTo>
                  <a:lnTo>
                    <a:pt x="137" y="117"/>
                  </a:lnTo>
                  <a:lnTo>
                    <a:pt x="140" y="119"/>
                  </a:lnTo>
                  <a:lnTo>
                    <a:pt x="143" y="120"/>
                  </a:lnTo>
                  <a:lnTo>
                    <a:pt x="145" y="122"/>
                  </a:lnTo>
                  <a:lnTo>
                    <a:pt x="147" y="123"/>
                  </a:lnTo>
                  <a:lnTo>
                    <a:pt x="151" y="125"/>
                  </a:lnTo>
                  <a:lnTo>
                    <a:pt x="153" y="127"/>
                  </a:lnTo>
                  <a:lnTo>
                    <a:pt x="155" y="129"/>
                  </a:lnTo>
                  <a:lnTo>
                    <a:pt x="157" y="131"/>
                  </a:lnTo>
                  <a:lnTo>
                    <a:pt x="160" y="132"/>
                  </a:lnTo>
                  <a:lnTo>
                    <a:pt x="162" y="134"/>
                  </a:lnTo>
                  <a:lnTo>
                    <a:pt x="164" y="137"/>
                  </a:lnTo>
                  <a:lnTo>
                    <a:pt x="166" y="138"/>
                  </a:lnTo>
                  <a:lnTo>
                    <a:pt x="167" y="140"/>
                  </a:lnTo>
                  <a:lnTo>
                    <a:pt x="170" y="142"/>
                  </a:lnTo>
                  <a:lnTo>
                    <a:pt x="171" y="143"/>
                  </a:lnTo>
                  <a:lnTo>
                    <a:pt x="173" y="145"/>
                  </a:lnTo>
                  <a:lnTo>
                    <a:pt x="175" y="146"/>
                  </a:lnTo>
                  <a:lnTo>
                    <a:pt x="176" y="149"/>
                  </a:lnTo>
                  <a:lnTo>
                    <a:pt x="177" y="150"/>
                  </a:lnTo>
                  <a:lnTo>
                    <a:pt x="181" y="153"/>
                  </a:lnTo>
                  <a:lnTo>
                    <a:pt x="182" y="154"/>
                  </a:lnTo>
                  <a:lnTo>
                    <a:pt x="183" y="155"/>
                  </a:lnTo>
                  <a:lnTo>
                    <a:pt x="184" y="156"/>
                  </a:lnTo>
                  <a:lnTo>
                    <a:pt x="186" y="156"/>
                  </a:lnTo>
                  <a:lnTo>
                    <a:pt x="186" y="158"/>
                  </a:lnTo>
                  <a:lnTo>
                    <a:pt x="187" y="158"/>
                  </a:lnTo>
                  <a:lnTo>
                    <a:pt x="188" y="159"/>
                  </a:lnTo>
                  <a:lnTo>
                    <a:pt x="190" y="159"/>
                  </a:lnTo>
                  <a:lnTo>
                    <a:pt x="190" y="158"/>
                  </a:lnTo>
                  <a:lnTo>
                    <a:pt x="190" y="156"/>
                  </a:lnTo>
                  <a:lnTo>
                    <a:pt x="190" y="155"/>
                  </a:lnTo>
                  <a:lnTo>
                    <a:pt x="190" y="154"/>
                  </a:lnTo>
                  <a:lnTo>
                    <a:pt x="188" y="153"/>
                  </a:lnTo>
                  <a:lnTo>
                    <a:pt x="188" y="152"/>
                  </a:lnTo>
                  <a:lnTo>
                    <a:pt x="187" y="151"/>
                  </a:lnTo>
                  <a:lnTo>
                    <a:pt x="186" y="150"/>
                  </a:lnTo>
                  <a:lnTo>
                    <a:pt x="185" y="149"/>
                  </a:lnTo>
                  <a:lnTo>
                    <a:pt x="184" y="148"/>
                  </a:lnTo>
                  <a:lnTo>
                    <a:pt x="183" y="145"/>
                  </a:lnTo>
                  <a:lnTo>
                    <a:pt x="182" y="144"/>
                  </a:lnTo>
                  <a:lnTo>
                    <a:pt x="182" y="143"/>
                  </a:lnTo>
                  <a:lnTo>
                    <a:pt x="181" y="142"/>
                  </a:lnTo>
                  <a:lnTo>
                    <a:pt x="178" y="140"/>
                  </a:lnTo>
                  <a:lnTo>
                    <a:pt x="177" y="139"/>
                  </a:lnTo>
                  <a:lnTo>
                    <a:pt x="176" y="138"/>
                  </a:lnTo>
                  <a:lnTo>
                    <a:pt x="176" y="137"/>
                  </a:lnTo>
                  <a:lnTo>
                    <a:pt x="175" y="134"/>
                  </a:lnTo>
                  <a:lnTo>
                    <a:pt x="174" y="133"/>
                  </a:lnTo>
                  <a:lnTo>
                    <a:pt x="173" y="132"/>
                  </a:lnTo>
                  <a:lnTo>
                    <a:pt x="172" y="131"/>
                  </a:lnTo>
                  <a:lnTo>
                    <a:pt x="171" y="130"/>
                  </a:lnTo>
                  <a:lnTo>
                    <a:pt x="171" y="129"/>
                  </a:lnTo>
                  <a:lnTo>
                    <a:pt x="170" y="129"/>
                  </a:lnTo>
                  <a:lnTo>
                    <a:pt x="170" y="128"/>
                  </a:lnTo>
                  <a:lnTo>
                    <a:pt x="170" y="127"/>
                  </a:lnTo>
                  <a:lnTo>
                    <a:pt x="171" y="127"/>
                  </a:lnTo>
                  <a:lnTo>
                    <a:pt x="171" y="128"/>
                  </a:lnTo>
                  <a:lnTo>
                    <a:pt x="172" y="128"/>
                  </a:lnTo>
                  <a:lnTo>
                    <a:pt x="173" y="128"/>
                  </a:lnTo>
                  <a:lnTo>
                    <a:pt x="173" y="129"/>
                  </a:lnTo>
                  <a:lnTo>
                    <a:pt x="174" y="130"/>
                  </a:lnTo>
                  <a:lnTo>
                    <a:pt x="175" y="131"/>
                  </a:lnTo>
                  <a:lnTo>
                    <a:pt x="176" y="131"/>
                  </a:lnTo>
                  <a:lnTo>
                    <a:pt x="177" y="132"/>
                  </a:lnTo>
                  <a:lnTo>
                    <a:pt x="178" y="133"/>
                  </a:lnTo>
                  <a:lnTo>
                    <a:pt x="181" y="134"/>
                  </a:lnTo>
                  <a:lnTo>
                    <a:pt x="182" y="135"/>
                  </a:lnTo>
                  <a:lnTo>
                    <a:pt x="183" y="137"/>
                  </a:lnTo>
                  <a:lnTo>
                    <a:pt x="184" y="138"/>
                  </a:lnTo>
                  <a:lnTo>
                    <a:pt x="186" y="139"/>
                  </a:lnTo>
                  <a:lnTo>
                    <a:pt x="187" y="140"/>
                  </a:lnTo>
                  <a:lnTo>
                    <a:pt x="188" y="142"/>
                  </a:lnTo>
                  <a:lnTo>
                    <a:pt x="190" y="143"/>
                  </a:lnTo>
                  <a:lnTo>
                    <a:pt x="192" y="143"/>
                  </a:lnTo>
                  <a:lnTo>
                    <a:pt x="193" y="144"/>
                  </a:lnTo>
                  <a:lnTo>
                    <a:pt x="194" y="145"/>
                  </a:lnTo>
                  <a:lnTo>
                    <a:pt x="195" y="146"/>
                  </a:lnTo>
                  <a:lnTo>
                    <a:pt x="197" y="148"/>
                  </a:lnTo>
                  <a:lnTo>
                    <a:pt x="198" y="149"/>
                  </a:lnTo>
                  <a:lnTo>
                    <a:pt x="199" y="149"/>
                  </a:lnTo>
                  <a:lnTo>
                    <a:pt x="201" y="150"/>
                  </a:lnTo>
                  <a:lnTo>
                    <a:pt x="203" y="151"/>
                  </a:lnTo>
                  <a:lnTo>
                    <a:pt x="204" y="151"/>
                  </a:lnTo>
                  <a:lnTo>
                    <a:pt x="205" y="151"/>
                  </a:lnTo>
                  <a:lnTo>
                    <a:pt x="205" y="149"/>
                  </a:lnTo>
                  <a:lnTo>
                    <a:pt x="204" y="148"/>
                  </a:lnTo>
                  <a:lnTo>
                    <a:pt x="204" y="146"/>
                  </a:lnTo>
                  <a:lnTo>
                    <a:pt x="204" y="145"/>
                  </a:lnTo>
                  <a:lnTo>
                    <a:pt x="203" y="144"/>
                  </a:lnTo>
                  <a:lnTo>
                    <a:pt x="203" y="143"/>
                  </a:lnTo>
                  <a:lnTo>
                    <a:pt x="202" y="142"/>
                  </a:lnTo>
                  <a:lnTo>
                    <a:pt x="202" y="141"/>
                  </a:lnTo>
                  <a:lnTo>
                    <a:pt x="201" y="140"/>
                  </a:lnTo>
                  <a:lnTo>
                    <a:pt x="199" y="139"/>
                  </a:lnTo>
                  <a:lnTo>
                    <a:pt x="199" y="138"/>
                  </a:lnTo>
                  <a:lnTo>
                    <a:pt x="198" y="137"/>
                  </a:lnTo>
                  <a:lnTo>
                    <a:pt x="198" y="135"/>
                  </a:lnTo>
                  <a:lnTo>
                    <a:pt x="197" y="134"/>
                  </a:lnTo>
                  <a:lnTo>
                    <a:pt x="197" y="133"/>
                  </a:lnTo>
                  <a:lnTo>
                    <a:pt x="196" y="132"/>
                  </a:lnTo>
                  <a:lnTo>
                    <a:pt x="196" y="131"/>
                  </a:lnTo>
                  <a:lnTo>
                    <a:pt x="195" y="130"/>
                  </a:lnTo>
                  <a:lnTo>
                    <a:pt x="195" y="129"/>
                  </a:lnTo>
                  <a:lnTo>
                    <a:pt x="195" y="128"/>
                  </a:lnTo>
                  <a:lnTo>
                    <a:pt x="194" y="127"/>
                  </a:lnTo>
                  <a:lnTo>
                    <a:pt x="194" y="125"/>
                  </a:lnTo>
                  <a:lnTo>
                    <a:pt x="195" y="124"/>
                  </a:lnTo>
                  <a:lnTo>
                    <a:pt x="197" y="124"/>
                  </a:lnTo>
                  <a:lnTo>
                    <a:pt x="198" y="124"/>
                  </a:lnTo>
                  <a:lnTo>
                    <a:pt x="199" y="124"/>
                  </a:lnTo>
                  <a:lnTo>
                    <a:pt x="201" y="125"/>
                  </a:lnTo>
                  <a:lnTo>
                    <a:pt x="202" y="125"/>
                  </a:lnTo>
                  <a:lnTo>
                    <a:pt x="203" y="127"/>
                  </a:lnTo>
                  <a:lnTo>
                    <a:pt x="204" y="127"/>
                  </a:lnTo>
                  <a:lnTo>
                    <a:pt x="205" y="127"/>
                  </a:lnTo>
                  <a:lnTo>
                    <a:pt x="206" y="128"/>
                  </a:lnTo>
                  <a:lnTo>
                    <a:pt x="207" y="128"/>
                  </a:lnTo>
                  <a:lnTo>
                    <a:pt x="208" y="129"/>
                  </a:lnTo>
                  <a:lnTo>
                    <a:pt x="209" y="129"/>
                  </a:lnTo>
                  <a:lnTo>
                    <a:pt x="211" y="130"/>
                  </a:lnTo>
                  <a:lnTo>
                    <a:pt x="212" y="130"/>
                  </a:lnTo>
                  <a:lnTo>
                    <a:pt x="213" y="131"/>
                  </a:lnTo>
                  <a:lnTo>
                    <a:pt x="215" y="131"/>
                  </a:lnTo>
                  <a:lnTo>
                    <a:pt x="216" y="132"/>
                  </a:lnTo>
                  <a:lnTo>
                    <a:pt x="218" y="132"/>
                  </a:lnTo>
                  <a:lnTo>
                    <a:pt x="219" y="133"/>
                  </a:lnTo>
                  <a:lnTo>
                    <a:pt x="221" y="133"/>
                  </a:lnTo>
                  <a:lnTo>
                    <a:pt x="222" y="134"/>
                  </a:lnTo>
                  <a:lnTo>
                    <a:pt x="223" y="134"/>
                  </a:lnTo>
                  <a:lnTo>
                    <a:pt x="224" y="134"/>
                  </a:lnTo>
                  <a:lnTo>
                    <a:pt x="226" y="134"/>
                  </a:lnTo>
                  <a:lnTo>
                    <a:pt x="227" y="134"/>
                  </a:lnTo>
                  <a:lnTo>
                    <a:pt x="228" y="134"/>
                  </a:lnTo>
                  <a:lnTo>
                    <a:pt x="231" y="134"/>
                  </a:lnTo>
                  <a:lnTo>
                    <a:pt x="232" y="133"/>
                  </a:lnTo>
                  <a:lnTo>
                    <a:pt x="234" y="133"/>
                  </a:lnTo>
                  <a:lnTo>
                    <a:pt x="235" y="133"/>
                  </a:lnTo>
                  <a:lnTo>
                    <a:pt x="236" y="133"/>
                  </a:lnTo>
                  <a:lnTo>
                    <a:pt x="237" y="133"/>
                  </a:lnTo>
                  <a:lnTo>
                    <a:pt x="238" y="133"/>
                  </a:lnTo>
                  <a:lnTo>
                    <a:pt x="239" y="133"/>
                  </a:lnTo>
                  <a:lnTo>
                    <a:pt x="241" y="133"/>
                  </a:lnTo>
                  <a:lnTo>
                    <a:pt x="242" y="132"/>
                  </a:lnTo>
                  <a:lnTo>
                    <a:pt x="243" y="132"/>
                  </a:lnTo>
                  <a:lnTo>
                    <a:pt x="244" y="132"/>
                  </a:lnTo>
                  <a:lnTo>
                    <a:pt x="245" y="132"/>
                  </a:lnTo>
                  <a:lnTo>
                    <a:pt x="246" y="131"/>
                  </a:lnTo>
                  <a:lnTo>
                    <a:pt x="247" y="131"/>
                  </a:lnTo>
                  <a:lnTo>
                    <a:pt x="248" y="131"/>
                  </a:lnTo>
                  <a:lnTo>
                    <a:pt x="248" y="130"/>
                  </a:lnTo>
                  <a:lnTo>
                    <a:pt x="249" y="130"/>
                  </a:lnTo>
                  <a:lnTo>
                    <a:pt x="249" y="129"/>
                  </a:lnTo>
                  <a:lnTo>
                    <a:pt x="248" y="129"/>
                  </a:lnTo>
                  <a:lnTo>
                    <a:pt x="248" y="128"/>
                  </a:lnTo>
                  <a:lnTo>
                    <a:pt x="247" y="127"/>
                  </a:lnTo>
                  <a:lnTo>
                    <a:pt x="246" y="125"/>
                  </a:lnTo>
                  <a:lnTo>
                    <a:pt x="245" y="125"/>
                  </a:lnTo>
                  <a:lnTo>
                    <a:pt x="244" y="124"/>
                  </a:lnTo>
                  <a:lnTo>
                    <a:pt x="242" y="123"/>
                  </a:lnTo>
                  <a:lnTo>
                    <a:pt x="239" y="122"/>
                  </a:lnTo>
                  <a:lnTo>
                    <a:pt x="237" y="121"/>
                  </a:lnTo>
                  <a:lnTo>
                    <a:pt x="235" y="120"/>
                  </a:lnTo>
                  <a:lnTo>
                    <a:pt x="232" y="119"/>
                  </a:lnTo>
                  <a:lnTo>
                    <a:pt x="229" y="118"/>
                  </a:lnTo>
                  <a:lnTo>
                    <a:pt x="226" y="115"/>
                  </a:lnTo>
                  <a:lnTo>
                    <a:pt x="223" y="114"/>
                  </a:lnTo>
                  <a:lnTo>
                    <a:pt x="219" y="113"/>
                  </a:lnTo>
                  <a:lnTo>
                    <a:pt x="216" y="112"/>
                  </a:lnTo>
                  <a:lnTo>
                    <a:pt x="212" y="111"/>
                  </a:lnTo>
                  <a:lnTo>
                    <a:pt x="208" y="109"/>
                  </a:lnTo>
                  <a:lnTo>
                    <a:pt x="205" y="108"/>
                  </a:lnTo>
                  <a:lnTo>
                    <a:pt x="202" y="107"/>
                  </a:lnTo>
                  <a:lnTo>
                    <a:pt x="198" y="105"/>
                  </a:lnTo>
                  <a:lnTo>
                    <a:pt x="194" y="104"/>
                  </a:lnTo>
                  <a:lnTo>
                    <a:pt x="191" y="102"/>
                  </a:lnTo>
                  <a:lnTo>
                    <a:pt x="187" y="101"/>
                  </a:lnTo>
                  <a:lnTo>
                    <a:pt x="184" y="100"/>
                  </a:lnTo>
                  <a:lnTo>
                    <a:pt x="182" y="99"/>
                  </a:lnTo>
                  <a:lnTo>
                    <a:pt x="178" y="98"/>
                  </a:lnTo>
                  <a:lnTo>
                    <a:pt x="175" y="97"/>
                  </a:lnTo>
                  <a:lnTo>
                    <a:pt x="173" y="95"/>
                  </a:lnTo>
                  <a:lnTo>
                    <a:pt x="171" y="94"/>
                  </a:lnTo>
                  <a:lnTo>
                    <a:pt x="168" y="93"/>
                  </a:lnTo>
                  <a:lnTo>
                    <a:pt x="167" y="92"/>
                  </a:lnTo>
                  <a:lnTo>
                    <a:pt x="166" y="92"/>
                  </a:lnTo>
                  <a:lnTo>
                    <a:pt x="164" y="91"/>
                  </a:lnTo>
                  <a:lnTo>
                    <a:pt x="164" y="90"/>
                  </a:lnTo>
                  <a:lnTo>
                    <a:pt x="165" y="89"/>
                  </a:lnTo>
                  <a:lnTo>
                    <a:pt x="166" y="89"/>
                  </a:lnTo>
                  <a:lnTo>
                    <a:pt x="167" y="89"/>
                  </a:lnTo>
                  <a:lnTo>
                    <a:pt x="170" y="89"/>
                  </a:lnTo>
                  <a:lnTo>
                    <a:pt x="172" y="89"/>
                  </a:lnTo>
                  <a:lnTo>
                    <a:pt x="174" y="89"/>
                  </a:lnTo>
                  <a:lnTo>
                    <a:pt x="176" y="89"/>
                  </a:lnTo>
                  <a:lnTo>
                    <a:pt x="178" y="90"/>
                  </a:lnTo>
                  <a:lnTo>
                    <a:pt x="181" y="90"/>
                  </a:lnTo>
                  <a:lnTo>
                    <a:pt x="183" y="90"/>
                  </a:lnTo>
                  <a:lnTo>
                    <a:pt x="186" y="91"/>
                  </a:lnTo>
                  <a:lnTo>
                    <a:pt x="188" y="91"/>
                  </a:lnTo>
                  <a:lnTo>
                    <a:pt x="192" y="92"/>
                  </a:lnTo>
                  <a:lnTo>
                    <a:pt x="195" y="92"/>
                  </a:lnTo>
                  <a:lnTo>
                    <a:pt x="198" y="93"/>
                  </a:lnTo>
                  <a:lnTo>
                    <a:pt x="201" y="93"/>
                  </a:lnTo>
                  <a:lnTo>
                    <a:pt x="205" y="94"/>
                  </a:lnTo>
                  <a:lnTo>
                    <a:pt x="208" y="95"/>
                  </a:lnTo>
                  <a:lnTo>
                    <a:pt x="212" y="97"/>
                  </a:lnTo>
                  <a:lnTo>
                    <a:pt x="215" y="97"/>
                  </a:lnTo>
                  <a:lnTo>
                    <a:pt x="218" y="98"/>
                  </a:lnTo>
                  <a:lnTo>
                    <a:pt x="222" y="99"/>
                  </a:lnTo>
                  <a:lnTo>
                    <a:pt x="225" y="100"/>
                  </a:lnTo>
                  <a:lnTo>
                    <a:pt x="228" y="101"/>
                  </a:lnTo>
                  <a:lnTo>
                    <a:pt x="232" y="102"/>
                  </a:lnTo>
                  <a:lnTo>
                    <a:pt x="235" y="103"/>
                  </a:lnTo>
                  <a:lnTo>
                    <a:pt x="238" y="104"/>
                  </a:lnTo>
                  <a:lnTo>
                    <a:pt x="242" y="105"/>
                  </a:lnTo>
                  <a:lnTo>
                    <a:pt x="245" y="107"/>
                  </a:lnTo>
                  <a:lnTo>
                    <a:pt x="248" y="108"/>
                  </a:lnTo>
                  <a:lnTo>
                    <a:pt x="250" y="109"/>
                  </a:lnTo>
                  <a:lnTo>
                    <a:pt x="254" y="110"/>
                  </a:lnTo>
                  <a:lnTo>
                    <a:pt x="257" y="111"/>
                  </a:lnTo>
                  <a:lnTo>
                    <a:pt x="259" y="112"/>
                  </a:lnTo>
                  <a:lnTo>
                    <a:pt x="262" y="113"/>
                  </a:lnTo>
                  <a:lnTo>
                    <a:pt x="265" y="114"/>
                  </a:lnTo>
                  <a:lnTo>
                    <a:pt x="267" y="115"/>
                  </a:lnTo>
                  <a:lnTo>
                    <a:pt x="269" y="117"/>
                  </a:lnTo>
                  <a:lnTo>
                    <a:pt x="272" y="118"/>
                  </a:lnTo>
                  <a:lnTo>
                    <a:pt x="273" y="119"/>
                  </a:lnTo>
                  <a:lnTo>
                    <a:pt x="275" y="120"/>
                  </a:lnTo>
                  <a:lnTo>
                    <a:pt x="277" y="121"/>
                  </a:lnTo>
                  <a:lnTo>
                    <a:pt x="279" y="122"/>
                  </a:lnTo>
                  <a:lnTo>
                    <a:pt x="280" y="123"/>
                  </a:lnTo>
                  <a:lnTo>
                    <a:pt x="283" y="124"/>
                  </a:lnTo>
                  <a:lnTo>
                    <a:pt x="284" y="127"/>
                  </a:lnTo>
                  <a:lnTo>
                    <a:pt x="288" y="130"/>
                  </a:lnTo>
                  <a:lnTo>
                    <a:pt x="289" y="132"/>
                  </a:lnTo>
                  <a:lnTo>
                    <a:pt x="290" y="133"/>
                  </a:lnTo>
                  <a:lnTo>
                    <a:pt x="291" y="134"/>
                  </a:lnTo>
                  <a:lnTo>
                    <a:pt x="294" y="137"/>
                  </a:lnTo>
                  <a:lnTo>
                    <a:pt x="294" y="138"/>
                  </a:lnTo>
                  <a:lnTo>
                    <a:pt x="295" y="140"/>
                  </a:lnTo>
                  <a:lnTo>
                    <a:pt x="296" y="142"/>
                  </a:lnTo>
                  <a:lnTo>
                    <a:pt x="297" y="143"/>
                  </a:lnTo>
                  <a:lnTo>
                    <a:pt x="298" y="145"/>
                  </a:lnTo>
                  <a:lnTo>
                    <a:pt x="299" y="148"/>
                  </a:lnTo>
                  <a:lnTo>
                    <a:pt x="299" y="150"/>
                  </a:lnTo>
                  <a:lnTo>
                    <a:pt x="300" y="152"/>
                  </a:lnTo>
                  <a:lnTo>
                    <a:pt x="301" y="154"/>
                  </a:lnTo>
                  <a:lnTo>
                    <a:pt x="303" y="155"/>
                  </a:lnTo>
                  <a:lnTo>
                    <a:pt x="303" y="156"/>
                  </a:lnTo>
                  <a:lnTo>
                    <a:pt x="304" y="156"/>
                  </a:lnTo>
                  <a:lnTo>
                    <a:pt x="304" y="158"/>
                  </a:lnTo>
                  <a:lnTo>
                    <a:pt x="305" y="159"/>
                  </a:lnTo>
                  <a:lnTo>
                    <a:pt x="305" y="160"/>
                  </a:lnTo>
                  <a:lnTo>
                    <a:pt x="306" y="160"/>
                  </a:lnTo>
                  <a:lnTo>
                    <a:pt x="306" y="161"/>
                  </a:lnTo>
                  <a:lnTo>
                    <a:pt x="307" y="161"/>
                  </a:lnTo>
                  <a:lnTo>
                    <a:pt x="308" y="162"/>
                  </a:lnTo>
                  <a:lnTo>
                    <a:pt x="308" y="163"/>
                  </a:lnTo>
                  <a:lnTo>
                    <a:pt x="309" y="164"/>
                  </a:lnTo>
                  <a:lnTo>
                    <a:pt x="309" y="165"/>
                  </a:lnTo>
                  <a:lnTo>
                    <a:pt x="310" y="166"/>
                  </a:lnTo>
                  <a:lnTo>
                    <a:pt x="311" y="168"/>
                  </a:lnTo>
                  <a:lnTo>
                    <a:pt x="311" y="169"/>
                  </a:lnTo>
                  <a:lnTo>
                    <a:pt x="313" y="169"/>
                  </a:lnTo>
                  <a:lnTo>
                    <a:pt x="314" y="17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92" name="Freeform 13">
              <a:extLst>
                <a:ext uri="{FF2B5EF4-FFF2-40B4-BE49-F238E27FC236}">
                  <a16:creationId xmlns:a16="http://schemas.microsoft.com/office/drawing/2014/main" id="{00000000-0008-0000-0300-000070050000}"/>
                </a:ext>
              </a:extLst>
            </xdr:cNvPr>
            <xdr:cNvSpPr>
              <a:spLocks/>
            </xdr:cNvSpPr>
          </xdr:nvSpPr>
          <xdr:spPr bwMode="auto">
            <a:xfrm>
              <a:off x="57" y="23"/>
              <a:ext cx="11" cy="9"/>
            </a:xfrm>
            <a:custGeom>
              <a:avLst/>
              <a:gdLst>
                <a:gd name="T0" fmla="*/ 0 w 112"/>
                <a:gd name="T1" fmla="*/ 0 h 89"/>
                <a:gd name="T2" fmla="*/ 0 w 112"/>
                <a:gd name="T3" fmla="*/ 0 h 89"/>
                <a:gd name="T4" fmla="*/ 0 w 112"/>
                <a:gd name="T5" fmla="*/ 0 h 89"/>
                <a:gd name="T6" fmla="*/ 0 w 112"/>
                <a:gd name="T7" fmla="*/ 0 h 89"/>
                <a:gd name="T8" fmla="*/ 0 w 112"/>
                <a:gd name="T9" fmla="*/ 0 h 89"/>
                <a:gd name="T10" fmla="*/ 0 w 112"/>
                <a:gd name="T11" fmla="*/ 0 h 89"/>
                <a:gd name="T12" fmla="*/ 0 w 112"/>
                <a:gd name="T13" fmla="*/ 0 h 89"/>
                <a:gd name="T14" fmla="*/ 0 w 112"/>
                <a:gd name="T15" fmla="*/ 0 h 89"/>
                <a:gd name="T16" fmla="*/ 0 w 112"/>
                <a:gd name="T17" fmla="*/ 0 h 89"/>
                <a:gd name="T18" fmla="*/ 0 w 112"/>
                <a:gd name="T19" fmla="*/ 0 h 89"/>
                <a:gd name="T20" fmla="*/ 0 w 112"/>
                <a:gd name="T21" fmla="*/ 0 h 89"/>
                <a:gd name="T22" fmla="*/ 0 w 112"/>
                <a:gd name="T23" fmla="*/ 0 h 89"/>
                <a:gd name="T24" fmla="*/ 0 w 112"/>
                <a:gd name="T25" fmla="*/ 0 h 89"/>
                <a:gd name="T26" fmla="*/ 0 w 112"/>
                <a:gd name="T27" fmla="*/ 0 h 89"/>
                <a:gd name="T28" fmla="*/ 0 w 112"/>
                <a:gd name="T29" fmla="*/ 0 h 89"/>
                <a:gd name="T30" fmla="*/ 0 w 112"/>
                <a:gd name="T31" fmla="*/ 0 h 89"/>
                <a:gd name="T32" fmla="*/ 0 w 112"/>
                <a:gd name="T33" fmla="*/ 0 h 89"/>
                <a:gd name="T34" fmla="*/ 0 w 112"/>
                <a:gd name="T35" fmla="*/ 0 h 89"/>
                <a:gd name="T36" fmla="*/ 0 w 112"/>
                <a:gd name="T37" fmla="*/ 0 h 89"/>
                <a:gd name="T38" fmla="*/ 0 w 112"/>
                <a:gd name="T39" fmla="*/ 0 h 89"/>
                <a:gd name="T40" fmla="*/ 0 w 112"/>
                <a:gd name="T41" fmla="*/ 0 h 89"/>
                <a:gd name="T42" fmla="*/ 0 w 112"/>
                <a:gd name="T43" fmla="*/ 0 h 89"/>
                <a:gd name="T44" fmla="*/ 0 w 112"/>
                <a:gd name="T45" fmla="*/ 0 h 89"/>
                <a:gd name="T46" fmla="*/ 0 w 112"/>
                <a:gd name="T47" fmla="*/ 0 h 89"/>
                <a:gd name="T48" fmla="*/ 0 w 112"/>
                <a:gd name="T49" fmla="*/ 0 h 89"/>
                <a:gd name="T50" fmla="*/ 0 w 112"/>
                <a:gd name="T51" fmla="*/ 0 h 89"/>
                <a:gd name="T52" fmla="*/ 0 w 112"/>
                <a:gd name="T53" fmla="*/ 0 h 89"/>
                <a:gd name="T54" fmla="*/ 0 w 112"/>
                <a:gd name="T55" fmla="*/ 0 h 89"/>
                <a:gd name="T56" fmla="*/ 0 w 112"/>
                <a:gd name="T57" fmla="*/ 0 h 89"/>
                <a:gd name="T58" fmla="*/ 0 w 112"/>
                <a:gd name="T59" fmla="*/ 0 h 89"/>
                <a:gd name="T60" fmla="*/ 0 w 112"/>
                <a:gd name="T61" fmla="*/ 0 h 89"/>
                <a:gd name="T62" fmla="*/ 0 w 112"/>
                <a:gd name="T63" fmla="*/ 0 h 89"/>
                <a:gd name="T64" fmla="*/ 0 w 112"/>
                <a:gd name="T65" fmla="*/ 0 h 89"/>
                <a:gd name="T66" fmla="*/ 0 w 112"/>
                <a:gd name="T67" fmla="*/ 0 h 89"/>
                <a:gd name="T68" fmla="*/ 0 w 112"/>
                <a:gd name="T69" fmla="*/ 0 h 89"/>
                <a:gd name="T70" fmla="*/ 0 w 112"/>
                <a:gd name="T71" fmla="*/ 0 h 89"/>
                <a:gd name="T72" fmla="*/ 0 w 112"/>
                <a:gd name="T73" fmla="*/ 0 h 89"/>
                <a:gd name="T74" fmla="*/ 0 w 112"/>
                <a:gd name="T75" fmla="*/ 0 h 89"/>
                <a:gd name="T76" fmla="*/ 0 w 112"/>
                <a:gd name="T77" fmla="*/ 0 h 89"/>
                <a:gd name="T78" fmla="*/ 0 w 112"/>
                <a:gd name="T79" fmla="*/ 0 h 89"/>
                <a:gd name="T80" fmla="*/ 0 w 112"/>
                <a:gd name="T81" fmla="*/ 0 h 89"/>
                <a:gd name="T82" fmla="*/ 0 w 112"/>
                <a:gd name="T83" fmla="*/ 0 h 89"/>
                <a:gd name="T84" fmla="*/ 0 w 112"/>
                <a:gd name="T85" fmla="*/ 0 h 89"/>
                <a:gd name="T86" fmla="*/ 0 w 112"/>
                <a:gd name="T87" fmla="*/ 0 h 89"/>
                <a:gd name="T88" fmla="*/ 0 w 112"/>
                <a:gd name="T89" fmla="*/ 0 h 89"/>
                <a:gd name="T90" fmla="*/ 0 w 112"/>
                <a:gd name="T91" fmla="*/ 0 h 89"/>
                <a:gd name="T92" fmla="*/ 0 w 112"/>
                <a:gd name="T93" fmla="*/ 0 h 89"/>
                <a:gd name="T94" fmla="*/ 0 w 112"/>
                <a:gd name="T95" fmla="*/ 0 h 89"/>
                <a:gd name="T96" fmla="*/ 0 w 112"/>
                <a:gd name="T97" fmla="*/ 0 h 89"/>
                <a:gd name="T98" fmla="*/ 0 w 112"/>
                <a:gd name="T99" fmla="*/ 0 h 89"/>
                <a:gd name="T100" fmla="*/ 0 w 112"/>
                <a:gd name="T101" fmla="*/ 0 h 89"/>
                <a:gd name="T102" fmla="*/ 0 w 112"/>
                <a:gd name="T103" fmla="*/ 0 h 89"/>
                <a:gd name="T104" fmla="*/ 0 w 112"/>
                <a:gd name="T105" fmla="*/ 0 h 89"/>
                <a:gd name="T106" fmla="*/ 0 w 112"/>
                <a:gd name="T107" fmla="*/ 0 h 89"/>
                <a:gd name="T108" fmla="*/ 0 w 112"/>
                <a:gd name="T109" fmla="*/ 0 h 89"/>
                <a:gd name="T110" fmla="*/ 0 w 112"/>
                <a:gd name="T111" fmla="*/ 0 h 89"/>
                <a:gd name="T112" fmla="*/ 0 w 112"/>
                <a:gd name="T113" fmla="*/ 0 h 89"/>
                <a:gd name="T114" fmla="*/ 0 w 112"/>
                <a:gd name="T115" fmla="*/ 0 h 89"/>
                <a:gd name="T116" fmla="*/ 0 w 112"/>
                <a:gd name="T117" fmla="*/ 0 h 89"/>
                <a:gd name="T118" fmla="*/ 0 w 112"/>
                <a:gd name="T119" fmla="*/ 0 h 89"/>
                <a:gd name="T120" fmla="*/ 0 w 112"/>
                <a:gd name="T121" fmla="*/ 0 h 89"/>
                <a:gd name="T122" fmla="*/ 0 w 112"/>
                <a:gd name="T123" fmla="*/ 0 h 89"/>
                <a:gd name="T124" fmla="*/ 0 60000 65536"/>
                <a:gd name="T125" fmla="*/ 0 60000 65536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w 112"/>
                <a:gd name="T187" fmla="*/ 0 h 89"/>
                <a:gd name="T188" fmla="*/ 112 w 112"/>
                <a:gd name="T189" fmla="*/ 89 h 89"/>
              </a:gdLst>
              <a:ahLst/>
              <a:cxnLst>
                <a:cxn ang="T124">
                  <a:pos x="T0" y="T1"/>
                </a:cxn>
                <a:cxn ang="T125">
                  <a:pos x="T2" y="T3"/>
                </a:cxn>
                <a:cxn ang="T126">
                  <a:pos x="T4" y="T5"/>
                </a:cxn>
                <a:cxn ang="T127">
                  <a:pos x="T6" y="T7"/>
                </a:cxn>
                <a:cxn ang="T128">
                  <a:pos x="T8" y="T9"/>
                </a:cxn>
                <a:cxn ang="T129">
                  <a:pos x="T10" y="T11"/>
                </a:cxn>
                <a:cxn ang="T130">
                  <a:pos x="T12" y="T13"/>
                </a:cxn>
                <a:cxn ang="T131">
                  <a:pos x="T14" y="T15"/>
                </a:cxn>
                <a:cxn ang="T132">
                  <a:pos x="T16" y="T17"/>
                </a:cxn>
                <a:cxn ang="T133">
                  <a:pos x="T18" y="T19"/>
                </a:cxn>
                <a:cxn ang="T134">
                  <a:pos x="T20" y="T21"/>
                </a:cxn>
                <a:cxn ang="T135">
                  <a:pos x="T22" y="T23"/>
                </a:cxn>
                <a:cxn ang="T136">
                  <a:pos x="T24" y="T25"/>
                </a:cxn>
                <a:cxn ang="T137">
                  <a:pos x="T26" y="T27"/>
                </a:cxn>
                <a:cxn ang="T138">
                  <a:pos x="T28" y="T29"/>
                </a:cxn>
                <a:cxn ang="T139">
                  <a:pos x="T30" y="T31"/>
                </a:cxn>
                <a:cxn ang="T140">
                  <a:pos x="T32" y="T33"/>
                </a:cxn>
                <a:cxn ang="T141">
                  <a:pos x="T34" y="T35"/>
                </a:cxn>
                <a:cxn ang="T142">
                  <a:pos x="T36" y="T37"/>
                </a:cxn>
                <a:cxn ang="T143">
                  <a:pos x="T38" y="T39"/>
                </a:cxn>
                <a:cxn ang="T144">
                  <a:pos x="T40" y="T41"/>
                </a:cxn>
                <a:cxn ang="T145">
                  <a:pos x="T42" y="T43"/>
                </a:cxn>
                <a:cxn ang="T146">
                  <a:pos x="T44" y="T45"/>
                </a:cxn>
                <a:cxn ang="T147">
                  <a:pos x="T46" y="T47"/>
                </a:cxn>
                <a:cxn ang="T148">
                  <a:pos x="T48" y="T49"/>
                </a:cxn>
                <a:cxn ang="T149">
                  <a:pos x="T50" y="T51"/>
                </a:cxn>
                <a:cxn ang="T150">
                  <a:pos x="T52" y="T53"/>
                </a:cxn>
                <a:cxn ang="T151">
                  <a:pos x="T54" y="T55"/>
                </a:cxn>
                <a:cxn ang="T152">
                  <a:pos x="T56" y="T57"/>
                </a:cxn>
                <a:cxn ang="T153">
                  <a:pos x="T58" y="T59"/>
                </a:cxn>
                <a:cxn ang="T154">
                  <a:pos x="T60" y="T61"/>
                </a:cxn>
                <a:cxn ang="T155">
                  <a:pos x="T62" y="T63"/>
                </a:cxn>
                <a:cxn ang="T156">
                  <a:pos x="T64" y="T65"/>
                </a:cxn>
                <a:cxn ang="T157">
                  <a:pos x="T66" y="T67"/>
                </a:cxn>
                <a:cxn ang="T158">
                  <a:pos x="T68" y="T69"/>
                </a:cxn>
                <a:cxn ang="T159">
                  <a:pos x="T70" y="T71"/>
                </a:cxn>
                <a:cxn ang="T160">
                  <a:pos x="T72" y="T73"/>
                </a:cxn>
                <a:cxn ang="T161">
                  <a:pos x="T74" y="T75"/>
                </a:cxn>
                <a:cxn ang="T162">
                  <a:pos x="T76" y="T77"/>
                </a:cxn>
                <a:cxn ang="T163">
                  <a:pos x="T78" y="T79"/>
                </a:cxn>
                <a:cxn ang="T164">
                  <a:pos x="T80" y="T81"/>
                </a:cxn>
                <a:cxn ang="T165">
                  <a:pos x="T82" y="T83"/>
                </a:cxn>
                <a:cxn ang="T166">
                  <a:pos x="T84" y="T85"/>
                </a:cxn>
                <a:cxn ang="T167">
                  <a:pos x="T86" y="T87"/>
                </a:cxn>
                <a:cxn ang="T168">
                  <a:pos x="T88" y="T89"/>
                </a:cxn>
                <a:cxn ang="T169">
                  <a:pos x="T90" y="T91"/>
                </a:cxn>
                <a:cxn ang="T170">
                  <a:pos x="T92" y="T93"/>
                </a:cxn>
                <a:cxn ang="T171">
                  <a:pos x="T94" y="T95"/>
                </a:cxn>
                <a:cxn ang="T172">
                  <a:pos x="T96" y="T97"/>
                </a:cxn>
                <a:cxn ang="T173">
                  <a:pos x="T98" y="T99"/>
                </a:cxn>
                <a:cxn ang="T174">
                  <a:pos x="T100" y="T101"/>
                </a:cxn>
                <a:cxn ang="T175">
                  <a:pos x="T102" y="T103"/>
                </a:cxn>
                <a:cxn ang="T176">
                  <a:pos x="T104" y="T105"/>
                </a:cxn>
                <a:cxn ang="T177">
                  <a:pos x="T106" y="T107"/>
                </a:cxn>
                <a:cxn ang="T178">
                  <a:pos x="T108" y="T109"/>
                </a:cxn>
                <a:cxn ang="T179">
                  <a:pos x="T110" y="T111"/>
                </a:cxn>
                <a:cxn ang="T180">
                  <a:pos x="T112" y="T113"/>
                </a:cxn>
                <a:cxn ang="T181">
                  <a:pos x="T114" y="T115"/>
                </a:cxn>
                <a:cxn ang="T182">
                  <a:pos x="T116" y="T117"/>
                </a:cxn>
                <a:cxn ang="T183">
                  <a:pos x="T118" y="T119"/>
                </a:cxn>
                <a:cxn ang="T184">
                  <a:pos x="T120" y="T121"/>
                </a:cxn>
                <a:cxn ang="T185">
                  <a:pos x="T122" y="T123"/>
                </a:cxn>
              </a:cxnLst>
              <a:rect l="T186" t="T187" r="T188" b="T189"/>
              <a:pathLst>
                <a:path w="112" h="89">
                  <a:moveTo>
                    <a:pt x="5" y="19"/>
                  </a:moveTo>
                  <a:lnTo>
                    <a:pt x="5" y="19"/>
                  </a:lnTo>
                  <a:lnTo>
                    <a:pt x="7" y="20"/>
                  </a:lnTo>
                  <a:lnTo>
                    <a:pt x="8" y="20"/>
                  </a:lnTo>
                  <a:lnTo>
                    <a:pt x="8" y="21"/>
                  </a:lnTo>
                  <a:lnTo>
                    <a:pt x="9" y="21"/>
                  </a:lnTo>
                  <a:lnTo>
                    <a:pt x="10" y="22"/>
                  </a:lnTo>
                  <a:lnTo>
                    <a:pt x="11" y="24"/>
                  </a:lnTo>
                  <a:lnTo>
                    <a:pt x="12" y="24"/>
                  </a:lnTo>
                  <a:lnTo>
                    <a:pt x="12" y="25"/>
                  </a:lnTo>
                  <a:lnTo>
                    <a:pt x="13" y="26"/>
                  </a:lnTo>
                  <a:lnTo>
                    <a:pt x="14" y="27"/>
                  </a:lnTo>
                  <a:lnTo>
                    <a:pt x="15" y="27"/>
                  </a:lnTo>
                  <a:lnTo>
                    <a:pt x="17" y="28"/>
                  </a:lnTo>
                  <a:lnTo>
                    <a:pt x="18" y="29"/>
                  </a:lnTo>
                  <a:lnTo>
                    <a:pt x="20" y="30"/>
                  </a:lnTo>
                  <a:lnTo>
                    <a:pt x="20" y="31"/>
                  </a:lnTo>
                  <a:lnTo>
                    <a:pt x="21" y="32"/>
                  </a:lnTo>
                  <a:lnTo>
                    <a:pt x="22" y="34"/>
                  </a:lnTo>
                  <a:lnTo>
                    <a:pt x="23" y="35"/>
                  </a:lnTo>
                  <a:lnTo>
                    <a:pt x="24" y="35"/>
                  </a:lnTo>
                  <a:lnTo>
                    <a:pt x="25" y="36"/>
                  </a:lnTo>
                  <a:lnTo>
                    <a:pt x="26" y="37"/>
                  </a:lnTo>
                  <a:lnTo>
                    <a:pt x="28" y="38"/>
                  </a:lnTo>
                  <a:lnTo>
                    <a:pt x="29" y="39"/>
                  </a:lnTo>
                  <a:lnTo>
                    <a:pt x="30" y="40"/>
                  </a:lnTo>
                  <a:lnTo>
                    <a:pt x="31" y="41"/>
                  </a:lnTo>
                  <a:lnTo>
                    <a:pt x="31" y="42"/>
                  </a:lnTo>
                  <a:lnTo>
                    <a:pt x="32" y="44"/>
                  </a:lnTo>
                  <a:lnTo>
                    <a:pt x="33" y="44"/>
                  </a:lnTo>
                  <a:lnTo>
                    <a:pt x="33" y="45"/>
                  </a:lnTo>
                  <a:lnTo>
                    <a:pt x="34" y="46"/>
                  </a:lnTo>
                  <a:lnTo>
                    <a:pt x="34" y="47"/>
                  </a:lnTo>
                  <a:lnTo>
                    <a:pt x="35" y="48"/>
                  </a:lnTo>
                  <a:lnTo>
                    <a:pt x="35" y="49"/>
                  </a:lnTo>
                  <a:lnTo>
                    <a:pt x="36" y="50"/>
                  </a:lnTo>
                  <a:lnTo>
                    <a:pt x="36" y="51"/>
                  </a:lnTo>
                  <a:lnTo>
                    <a:pt x="38" y="52"/>
                  </a:lnTo>
                  <a:lnTo>
                    <a:pt x="38" y="55"/>
                  </a:lnTo>
                  <a:lnTo>
                    <a:pt x="38" y="56"/>
                  </a:lnTo>
                  <a:lnTo>
                    <a:pt x="39" y="57"/>
                  </a:lnTo>
                  <a:lnTo>
                    <a:pt x="39" y="58"/>
                  </a:lnTo>
                  <a:lnTo>
                    <a:pt x="39" y="59"/>
                  </a:lnTo>
                  <a:lnTo>
                    <a:pt x="40" y="60"/>
                  </a:lnTo>
                  <a:lnTo>
                    <a:pt x="40" y="61"/>
                  </a:lnTo>
                  <a:lnTo>
                    <a:pt x="40" y="62"/>
                  </a:lnTo>
                  <a:lnTo>
                    <a:pt x="41" y="63"/>
                  </a:lnTo>
                  <a:lnTo>
                    <a:pt x="41" y="65"/>
                  </a:lnTo>
                  <a:lnTo>
                    <a:pt x="42" y="66"/>
                  </a:lnTo>
                  <a:lnTo>
                    <a:pt x="42" y="67"/>
                  </a:lnTo>
                  <a:lnTo>
                    <a:pt x="43" y="68"/>
                  </a:lnTo>
                  <a:lnTo>
                    <a:pt x="43" y="70"/>
                  </a:lnTo>
                  <a:lnTo>
                    <a:pt x="44" y="71"/>
                  </a:lnTo>
                  <a:lnTo>
                    <a:pt x="45" y="72"/>
                  </a:lnTo>
                  <a:lnTo>
                    <a:pt x="45" y="73"/>
                  </a:lnTo>
                  <a:lnTo>
                    <a:pt x="46" y="75"/>
                  </a:lnTo>
                  <a:lnTo>
                    <a:pt x="46" y="76"/>
                  </a:lnTo>
                  <a:lnTo>
                    <a:pt x="50" y="78"/>
                  </a:lnTo>
                  <a:lnTo>
                    <a:pt x="50" y="79"/>
                  </a:lnTo>
                  <a:lnTo>
                    <a:pt x="51" y="79"/>
                  </a:lnTo>
                  <a:lnTo>
                    <a:pt x="52" y="80"/>
                  </a:lnTo>
                  <a:lnTo>
                    <a:pt x="53" y="81"/>
                  </a:lnTo>
                  <a:lnTo>
                    <a:pt x="54" y="81"/>
                  </a:lnTo>
                  <a:lnTo>
                    <a:pt x="55" y="82"/>
                  </a:lnTo>
                  <a:lnTo>
                    <a:pt x="58" y="83"/>
                  </a:lnTo>
                  <a:lnTo>
                    <a:pt x="59" y="83"/>
                  </a:lnTo>
                  <a:lnTo>
                    <a:pt x="60" y="85"/>
                  </a:lnTo>
                  <a:lnTo>
                    <a:pt x="61" y="85"/>
                  </a:lnTo>
                  <a:lnTo>
                    <a:pt x="62" y="86"/>
                  </a:lnTo>
                  <a:lnTo>
                    <a:pt x="63" y="86"/>
                  </a:lnTo>
                  <a:lnTo>
                    <a:pt x="64" y="87"/>
                  </a:lnTo>
                  <a:lnTo>
                    <a:pt x="65" y="87"/>
                  </a:lnTo>
                  <a:lnTo>
                    <a:pt x="66" y="87"/>
                  </a:lnTo>
                  <a:lnTo>
                    <a:pt x="67" y="88"/>
                  </a:lnTo>
                  <a:lnTo>
                    <a:pt x="69" y="88"/>
                  </a:lnTo>
                  <a:lnTo>
                    <a:pt x="71" y="88"/>
                  </a:lnTo>
                  <a:lnTo>
                    <a:pt x="72" y="89"/>
                  </a:lnTo>
                  <a:lnTo>
                    <a:pt x="73" y="89"/>
                  </a:lnTo>
                  <a:lnTo>
                    <a:pt x="74" y="89"/>
                  </a:lnTo>
                  <a:lnTo>
                    <a:pt x="75" y="89"/>
                  </a:lnTo>
                  <a:lnTo>
                    <a:pt x="76" y="89"/>
                  </a:lnTo>
                  <a:lnTo>
                    <a:pt x="82" y="89"/>
                  </a:lnTo>
                  <a:lnTo>
                    <a:pt x="83" y="89"/>
                  </a:lnTo>
                  <a:lnTo>
                    <a:pt x="84" y="89"/>
                  </a:lnTo>
                  <a:lnTo>
                    <a:pt x="85" y="89"/>
                  </a:lnTo>
                  <a:lnTo>
                    <a:pt x="86" y="88"/>
                  </a:lnTo>
                  <a:lnTo>
                    <a:pt x="87" y="88"/>
                  </a:lnTo>
                  <a:lnTo>
                    <a:pt x="89" y="87"/>
                  </a:lnTo>
                  <a:lnTo>
                    <a:pt x="90" y="87"/>
                  </a:lnTo>
                  <a:lnTo>
                    <a:pt x="91" y="86"/>
                  </a:lnTo>
                  <a:lnTo>
                    <a:pt x="92" y="86"/>
                  </a:lnTo>
                  <a:lnTo>
                    <a:pt x="93" y="85"/>
                  </a:lnTo>
                  <a:lnTo>
                    <a:pt x="93" y="83"/>
                  </a:lnTo>
                  <a:lnTo>
                    <a:pt x="94" y="83"/>
                  </a:lnTo>
                  <a:lnTo>
                    <a:pt x="95" y="82"/>
                  </a:lnTo>
                  <a:lnTo>
                    <a:pt x="96" y="81"/>
                  </a:lnTo>
                  <a:lnTo>
                    <a:pt x="97" y="80"/>
                  </a:lnTo>
                  <a:lnTo>
                    <a:pt x="99" y="79"/>
                  </a:lnTo>
                  <a:lnTo>
                    <a:pt x="100" y="78"/>
                  </a:lnTo>
                  <a:lnTo>
                    <a:pt x="101" y="77"/>
                  </a:lnTo>
                  <a:lnTo>
                    <a:pt x="101" y="76"/>
                  </a:lnTo>
                  <a:lnTo>
                    <a:pt x="102" y="75"/>
                  </a:lnTo>
                  <a:lnTo>
                    <a:pt x="103" y="73"/>
                  </a:lnTo>
                  <a:lnTo>
                    <a:pt x="104" y="72"/>
                  </a:lnTo>
                  <a:lnTo>
                    <a:pt x="104" y="71"/>
                  </a:lnTo>
                  <a:lnTo>
                    <a:pt x="105" y="70"/>
                  </a:lnTo>
                  <a:lnTo>
                    <a:pt x="105" y="69"/>
                  </a:lnTo>
                  <a:lnTo>
                    <a:pt x="106" y="68"/>
                  </a:lnTo>
                  <a:lnTo>
                    <a:pt x="106" y="67"/>
                  </a:lnTo>
                  <a:lnTo>
                    <a:pt x="107" y="66"/>
                  </a:lnTo>
                  <a:lnTo>
                    <a:pt x="109" y="65"/>
                  </a:lnTo>
                  <a:lnTo>
                    <a:pt x="109" y="63"/>
                  </a:lnTo>
                  <a:lnTo>
                    <a:pt x="110" y="62"/>
                  </a:lnTo>
                  <a:lnTo>
                    <a:pt x="110" y="61"/>
                  </a:lnTo>
                  <a:lnTo>
                    <a:pt x="110" y="60"/>
                  </a:lnTo>
                  <a:lnTo>
                    <a:pt x="111" y="59"/>
                  </a:lnTo>
                  <a:lnTo>
                    <a:pt x="111" y="58"/>
                  </a:lnTo>
                  <a:lnTo>
                    <a:pt x="111" y="57"/>
                  </a:lnTo>
                  <a:lnTo>
                    <a:pt x="111" y="56"/>
                  </a:lnTo>
                  <a:lnTo>
                    <a:pt x="112" y="55"/>
                  </a:lnTo>
                  <a:lnTo>
                    <a:pt x="112" y="54"/>
                  </a:lnTo>
                  <a:lnTo>
                    <a:pt x="112" y="51"/>
                  </a:lnTo>
                  <a:lnTo>
                    <a:pt x="112" y="45"/>
                  </a:lnTo>
                  <a:lnTo>
                    <a:pt x="112" y="44"/>
                  </a:lnTo>
                  <a:lnTo>
                    <a:pt x="112" y="42"/>
                  </a:lnTo>
                  <a:lnTo>
                    <a:pt x="111" y="42"/>
                  </a:lnTo>
                  <a:lnTo>
                    <a:pt x="111" y="40"/>
                  </a:lnTo>
                  <a:lnTo>
                    <a:pt x="111" y="38"/>
                  </a:lnTo>
                  <a:lnTo>
                    <a:pt x="111" y="37"/>
                  </a:lnTo>
                  <a:lnTo>
                    <a:pt x="110" y="36"/>
                  </a:lnTo>
                  <a:lnTo>
                    <a:pt x="110" y="35"/>
                  </a:lnTo>
                  <a:lnTo>
                    <a:pt x="110" y="34"/>
                  </a:lnTo>
                  <a:lnTo>
                    <a:pt x="109" y="32"/>
                  </a:lnTo>
                  <a:lnTo>
                    <a:pt x="109" y="31"/>
                  </a:lnTo>
                  <a:lnTo>
                    <a:pt x="109" y="30"/>
                  </a:lnTo>
                  <a:lnTo>
                    <a:pt x="107" y="30"/>
                  </a:lnTo>
                  <a:lnTo>
                    <a:pt x="107" y="29"/>
                  </a:lnTo>
                  <a:lnTo>
                    <a:pt x="105" y="27"/>
                  </a:lnTo>
                  <a:lnTo>
                    <a:pt x="104" y="27"/>
                  </a:lnTo>
                  <a:lnTo>
                    <a:pt x="104" y="26"/>
                  </a:lnTo>
                  <a:lnTo>
                    <a:pt x="103" y="26"/>
                  </a:lnTo>
                  <a:lnTo>
                    <a:pt x="102" y="25"/>
                  </a:lnTo>
                  <a:lnTo>
                    <a:pt x="101" y="25"/>
                  </a:lnTo>
                  <a:lnTo>
                    <a:pt x="100" y="25"/>
                  </a:lnTo>
                  <a:lnTo>
                    <a:pt x="100" y="24"/>
                  </a:lnTo>
                  <a:lnTo>
                    <a:pt x="99" y="24"/>
                  </a:lnTo>
                  <a:lnTo>
                    <a:pt x="97" y="24"/>
                  </a:lnTo>
                  <a:lnTo>
                    <a:pt x="96" y="24"/>
                  </a:lnTo>
                  <a:lnTo>
                    <a:pt x="95" y="22"/>
                  </a:lnTo>
                  <a:lnTo>
                    <a:pt x="94" y="22"/>
                  </a:lnTo>
                  <a:lnTo>
                    <a:pt x="93" y="22"/>
                  </a:lnTo>
                  <a:lnTo>
                    <a:pt x="92" y="22"/>
                  </a:lnTo>
                  <a:lnTo>
                    <a:pt x="87" y="22"/>
                  </a:lnTo>
                  <a:lnTo>
                    <a:pt x="86" y="22"/>
                  </a:lnTo>
                  <a:lnTo>
                    <a:pt x="85" y="22"/>
                  </a:lnTo>
                  <a:lnTo>
                    <a:pt x="84" y="22"/>
                  </a:lnTo>
                  <a:lnTo>
                    <a:pt x="84" y="24"/>
                  </a:lnTo>
                  <a:lnTo>
                    <a:pt x="83" y="24"/>
                  </a:lnTo>
                  <a:lnTo>
                    <a:pt x="83" y="25"/>
                  </a:lnTo>
                  <a:lnTo>
                    <a:pt x="82" y="25"/>
                  </a:lnTo>
                  <a:lnTo>
                    <a:pt x="82" y="26"/>
                  </a:lnTo>
                  <a:lnTo>
                    <a:pt x="81" y="27"/>
                  </a:lnTo>
                  <a:lnTo>
                    <a:pt x="81" y="28"/>
                  </a:lnTo>
                  <a:lnTo>
                    <a:pt x="80" y="28"/>
                  </a:lnTo>
                  <a:lnTo>
                    <a:pt x="80" y="29"/>
                  </a:lnTo>
                  <a:lnTo>
                    <a:pt x="79" y="30"/>
                  </a:lnTo>
                  <a:lnTo>
                    <a:pt x="79" y="31"/>
                  </a:lnTo>
                  <a:lnTo>
                    <a:pt x="77" y="32"/>
                  </a:lnTo>
                  <a:lnTo>
                    <a:pt x="77" y="34"/>
                  </a:lnTo>
                  <a:lnTo>
                    <a:pt x="76" y="35"/>
                  </a:lnTo>
                  <a:lnTo>
                    <a:pt x="76" y="36"/>
                  </a:lnTo>
                  <a:lnTo>
                    <a:pt x="75" y="36"/>
                  </a:lnTo>
                  <a:lnTo>
                    <a:pt x="74" y="36"/>
                  </a:lnTo>
                  <a:lnTo>
                    <a:pt x="73" y="36"/>
                  </a:lnTo>
                  <a:lnTo>
                    <a:pt x="73" y="35"/>
                  </a:lnTo>
                  <a:lnTo>
                    <a:pt x="72" y="35"/>
                  </a:lnTo>
                  <a:lnTo>
                    <a:pt x="71" y="35"/>
                  </a:lnTo>
                  <a:lnTo>
                    <a:pt x="69" y="31"/>
                  </a:lnTo>
                  <a:lnTo>
                    <a:pt x="67" y="30"/>
                  </a:lnTo>
                  <a:lnTo>
                    <a:pt x="66" y="29"/>
                  </a:lnTo>
                  <a:lnTo>
                    <a:pt x="66" y="28"/>
                  </a:lnTo>
                  <a:lnTo>
                    <a:pt x="65" y="27"/>
                  </a:lnTo>
                  <a:lnTo>
                    <a:pt x="65" y="26"/>
                  </a:lnTo>
                  <a:lnTo>
                    <a:pt x="64" y="26"/>
                  </a:lnTo>
                  <a:lnTo>
                    <a:pt x="64" y="25"/>
                  </a:lnTo>
                  <a:lnTo>
                    <a:pt x="64" y="24"/>
                  </a:lnTo>
                  <a:lnTo>
                    <a:pt x="63" y="24"/>
                  </a:lnTo>
                  <a:lnTo>
                    <a:pt x="63" y="22"/>
                  </a:lnTo>
                  <a:lnTo>
                    <a:pt x="63" y="21"/>
                  </a:lnTo>
                  <a:lnTo>
                    <a:pt x="62" y="20"/>
                  </a:lnTo>
                  <a:lnTo>
                    <a:pt x="62" y="19"/>
                  </a:lnTo>
                  <a:lnTo>
                    <a:pt x="63" y="19"/>
                  </a:lnTo>
                  <a:lnTo>
                    <a:pt x="63" y="18"/>
                  </a:lnTo>
                  <a:lnTo>
                    <a:pt x="63" y="17"/>
                  </a:lnTo>
                  <a:lnTo>
                    <a:pt x="63" y="16"/>
                  </a:lnTo>
                  <a:lnTo>
                    <a:pt x="64" y="15"/>
                  </a:lnTo>
                  <a:lnTo>
                    <a:pt x="64" y="14"/>
                  </a:lnTo>
                  <a:lnTo>
                    <a:pt x="64" y="13"/>
                  </a:lnTo>
                  <a:lnTo>
                    <a:pt x="65" y="13"/>
                  </a:lnTo>
                  <a:lnTo>
                    <a:pt x="65" y="11"/>
                  </a:lnTo>
                  <a:lnTo>
                    <a:pt x="65" y="10"/>
                  </a:lnTo>
                  <a:lnTo>
                    <a:pt x="65" y="9"/>
                  </a:lnTo>
                  <a:lnTo>
                    <a:pt x="65" y="8"/>
                  </a:lnTo>
                  <a:lnTo>
                    <a:pt x="65" y="7"/>
                  </a:lnTo>
                  <a:lnTo>
                    <a:pt x="64" y="7"/>
                  </a:lnTo>
                  <a:lnTo>
                    <a:pt x="63" y="7"/>
                  </a:lnTo>
                  <a:lnTo>
                    <a:pt x="63" y="6"/>
                  </a:lnTo>
                  <a:lnTo>
                    <a:pt x="62" y="6"/>
                  </a:lnTo>
                  <a:lnTo>
                    <a:pt x="61" y="7"/>
                  </a:lnTo>
                  <a:lnTo>
                    <a:pt x="60" y="7"/>
                  </a:lnTo>
                  <a:lnTo>
                    <a:pt x="59" y="7"/>
                  </a:lnTo>
                  <a:lnTo>
                    <a:pt x="58" y="7"/>
                  </a:lnTo>
                  <a:lnTo>
                    <a:pt x="56" y="7"/>
                  </a:lnTo>
                  <a:lnTo>
                    <a:pt x="55" y="8"/>
                  </a:lnTo>
                  <a:lnTo>
                    <a:pt x="54" y="8"/>
                  </a:lnTo>
                  <a:lnTo>
                    <a:pt x="53" y="8"/>
                  </a:lnTo>
                  <a:lnTo>
                    <a:pt x="52" y="8"/>
                  </a:lnTo>
                  <a:lnTo>
                    <a:pt x="52" y="9"/>
                  </a:lnTo>
                  <a:lnTo>
                    <a:pt x="51" y="9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8" y="10"/>
                  </a:lnTo>
                  <a:lnTo>
                    <a:pt x="46" y="10"/>
                  </a:lnTo>
                  <a:lnTo>
                    <a:pt x="45" y="10"/>
                  </a:lnTo>
                  <a:lnTo>
                    <a:pt x="44" y="10"/>
                  </a:lnTo>
                  <a:lnTo>
                    <a:pt x="43" y="11"/>
                  </a:lnTo>
                  <a:lnTo>
                    <a:pt x="42" y="11"/>
                  </a:lnTo>
                  <a:lnTo>
                    <a:pt x="41" y="11"/>
                  </a:lnTo>
                  <a:lnTo>
                    <a:pt x="40" y="11"/>
                  </a:lnTo>
                  <a:lnTo>
                    <a:pt x="40" y="13"/>
                  </a:lnTo>
                  <a:lnTo>
                    <a:pt x="39" y="13"/>
                  </a:lnTo>
                  <a:lnTo>
                    <a:pt x="38" y="13"/>
                  </a:lnTo>
                  <a:lnTo>
                    <a:pt x="36" y="13"/>
                  </a:lnTo>
                  <a:lnTo>
                    <a:pt x="35" y="14"/>
                  </a:lnTo>
                  <a:lnTo>
                    <a:pt x="34" y="14"/>
                  </a:lnTo>
                  <a:lnTo>
                    <a:pt x="33" y="14"/>
                  </a:lnTo>
                  <a:lnTo>
                    <a:pt x="32" y="14"/>
                  </a:lnTo>
                  <a:lnTo>
                    <a:pt x="31" y="14"/>
                  </a:lnTo>
                  <a:lnTo>
                    <a:pt x="29" y="14"/>
                  </a:lnTo>
                  <a:lnTo>
                    <a:pt x="28" y="14"/>
                  </a:lnTo>
                  <a:lnTo>
                    <a:pt x="26" y="14"/>
                  </a:lnTo>
                  <a:lnTo>
                    <a:pt x="25" y="14"/>
                  </a:lnTo>
                  <a:lnTo>
                    <a:pt x="25" y="13"/>
                  </a:lnTo>
                  <a:lnTo>
                    <a:pt x="24" y="13"/>
                  </a:lnTo>
                  <a:lnTo>
                    <a:pt x="23" y="11"/>
                  </a:lnTo>
                  <a:lnTo>
                    <a:pt x="22" y="11"/>
                  </a:lnTo>
                  <a:lnTo>
                    <a:pt x="22" y="10"/>
                  </a:lnTo>
                  <a:lnTo>
                    <a:pt x="21" y="10"/>
                  </a:lnTo>
                  <a:lnTo>
                    <a:pt x="21" y="9"/>
                  </a:lnTo>
                  <a:lnTo>
                    <a:pt x="20" y="8"/>
                  </a:lnTo>
                  <a:lnTo>
                    <a:pt x="19" y="7"/>
                  </a:lnTo>
                  <a:lnTo>
                    <a:pt x="17" y="6"/>
                  </a:lnTo>
                  <a:lnTo>
                    <a:pt x="17" y="5"/>
                  </a:lnTo>
                  <a:lnTo>
                    <a:pt x="15" y="4"/>
                  </a:lnTo>
                  <a:lnTo>
                    <a:pt x="14" y="3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8" y="0"/>
                  </a:lnTo>
                  <a:lnTo>
                    <a:pt x="7" y="1"/>
                  </a:lnTo>
                  <a:lnTo>
                    <a:pt x="7" y="3"/>
                  </a:lnTo>
                  <a:lnTo>
                    <a:pt x="5" y="3"/>
                  </a:lnTo>
                  <a:lnTo>
                    <a:pt x="5" y="4"/>
                  </a:lnTo>
                  <a:lnTo>
                    <a:pt x="4" y="5"/>
                  </a:lnTo>
                  <a:lnTo>
                    <a:pt x="4" y="6"/>
                  </a:lnTo>
                  <a:lnTo>
                    <a:pt x="3" y="6"/>
                  </a:lnTo>
                  <a:lnTo>
                    <a:pt x="3" y="7"/>
                  </a:lnTo>
                  <a:lnTo>
                    <a:pt x="3" y="8"/>
                  </a:lnTo>
                  <a:lnTo>
                    <a:pt x="2" y="8"/>
                  </a:lnTo>
                  <a:lnTo>
                    <a:pt x="2" y="9"/>
                  </a:lnTo>
                  <a:lnTo>
                    <a:pt x="2" y="10"/>
                  </a:lnTo>
                  <a:lnTo>
                    <a:pt x="1" y="10"/>
                  </a:lnTo>
                  <a:lnTo>
                    <a:pt x="1" y="11"/>
                  </a:lnTo>
                  <a:lnTo>
                    <a:pt x="1" y="13"/>
                  </a:lnTo>
                  <a:lnTo>
                    <a:pt x="1" y="14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0" y="16"/>
                  </a:lnTo>
                  <a:lnTo>
                    <a:pt x="1" y="16"/>
                  </a:lnTo>
                  <a:lnTo>
                    <a:pt x="2" y="16"/>
                  </a:lnTo>
                  <a:lnTo>
                    <a:pt x="2" y="17"/>
                  </a:lnTo>
                  <a:lnTo>
                    <a:pt x="3" y="17"/>
                  </a:lnTo>
                  <a:lnTo>
                    <a:pt x="3" y="18"/>
                  </a:lnTo>
                  <a:lnTo>
                    <a:pt x="4" y="18"/>
                  </a:lnTo>
                  <a:lnTo>
                    <a:pt x="5" y="19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93" name="Freeform 14">
              <a:extLst>
                <a:ext uri="{FF2B5EF4-FFF2-40B4-BE49-F238E27FC236}">
                  <a16:creationId xmlns:a16="http://schemas.microsoft.com/office/drawing/2014/main" id="{00000000-0008-0000-0300-000071050000}"/>
                </a:ext>
              </a:extLst>
            </xdr:cNvPr>
            <xdr:cNvSpPr>
              <a:spLocks/>
            </xdr:cNvSpPr>
          </xdr:nvSpPr>
          <xdr:spPr bwMode="auto">
            <a:xfrm>
              <a:off x="23" y="25"/>
              <a:ext cx="3" cy="3"/>
            </a:xfrm>
            <a:custGeom>
              <a:avLst/>
              <a:gdLst>
                <a:gd name="T0" fmla="*/ 0 w 35"/>
                <a:gd name="T1" fmla="*/ 0 h 28"/>
                <a:gd name="T2" fmla="*/ 0 w 35"/>
                <a:gd name="T3" fmla="*/ 0 h 28"/>
                <a:gd name="T4" fmla="*/ 0 w 35"/>
                <a:gd name="T5" fmla="*/ 0 h 28"/>
                <a:gd name="T6" fmla="*/ 0 w 35"/>
                <a:gd name="T7" fmla="*/ 0 h 28"/>
                <a:gd name="T8" fmla="*/ 0 w 35"/>
                <a:gd name="T9" fmla="*/ 0 h 28"/>
                <a:gd name="T10" fmla="*/ 0 w 35"/>
                <a:gd name="T11" fmla="*/ 0 h 28"/>
                <a:gd name="T12" fmla="*/ 0 w 35"/>
                <a:gd name="T13" fmla="*/ 0 h 28"/>
                <a:gd name="T14" fmla="*/ 0 w 35"/>
                <a:gd name="T15" fmla="*/ 0 h 28"/>
                <a:gd name="T16" fmla="*/ 0 w 35"/>
                <a:gd name="T17" fmla="*/ 0 h 28"/>
                <a:gd name="T18" fmla="*/ 0 w 35"/>
                <a:gd name="T19" fmla="*/ 0 h 28"/>
                <a:gd name="T20" fmla="*/ 0 w 35"/>
                <a:gd name="T21" fmla="*/ 0 h 28"/>
                <a:gd name="T22" fmla="*/ 0 w 35"/>
                <a:gd name="T23" fmla="*/ 0 h 28"/>
                <a:gd name="T24" fmla="*/ 0 w 35"/>
                <a:gd name="T25" fmla="*/ 0 h 28"/>
                <a:gd name="T26" fmla="*/ 0 w 35"/>
                <a:gd name="T27" fmla="*/ 0 h 28"/>
                <a:gd name="T28" fmla="*/ 0 w 35"/>
                <a:gd name="T29" fmla="*/ 0 h 28"/>
                <a:gd name="T30" fmla="*/ 0 w 35"/>
                <a:gd name="T31" fmla="*/ 0 h 28"/>
                <a:gd name="T32" fmla="*/ 0 w 35"/>
                <a:gd name="T33" fmla="*/ 0 h 28"/>
                <a:gd name="T34" fmla="*/ 0 w 35"/>
                <a:gd name="T35" fmla="*/ 0 h 28"/>
                <a:gd name="T36" fmla="*/ 0 w 35"/>
                <a:gd name="T37" fmla="*/ 0 h 28"/>
                <a:gd name="T38" fmla="*/ 0 w 35"/>
                <a:gd name="T39" fmla="*/ 0 h 28"/>
                <a:gd name="T40" fmla="*/ 0 w 35"/>
                <a:gd name="T41" fmla="*/ 0 h 28"/>
                <a:gd name="T42" fmla="*/ 0 w 35"/>
                <a:gd name="T43" fmla="*/ 0 h 28"/>
                <a:gd name="T44" fmla="*/ 0 w 35"/>
                <a:gd name="T45" fmla="*/ 0 h 28"/>
                <a:gd name="T46" fmla="*/ 0 w 35"/>
                <a:gd name="T47" fmla="*/ 0 h 28"/>
                <a:gd name="T48" fmla="*/ 0 w 35"/>
                <a:gd name="T49" fmla="*/ 0 h 28"/>
                <a:gd name="T50" fmla="*/ 0 w 35"/>
                <a:gd name="T51" fmla="*/ 0 h 28"/>
                <a:gd name="T52" fmla="*/ 0 w 35"/>
                <a:gd name="T53" fmla="*/ 0 h 28"/>
                <a:gd name="T54" fmla="*/ 0 w 35"/>
                <a:gd name="T55" fmla="*/ 0 h 28"/>
                <a:gd name="T56" fmla="*/ 0 w 35"/>
                <a:gd name="T57" fmla="*/ 0 h 28"/>
                <a:gd name="T58" fmla="*/ 0 w 35"/>
                <a:gd name="T59" fmla="*/ 0 h 28"/>
                <a:gd name="T60" fmla="*/ 0 w 35"/>
                <a:gd name="T61" fmla="*/ 0 h 28"/>
                <a:gd name="T62" fmla="*/ 0 w 35"/>
                <a:gd name="T63" fmla="*/ 0 h 28"/>
                <a:gd name="T64" fmla="*/ 0 w 35"/>
                <a:gd name="T65" fmla="*/ 0 h 28"/>
                <a:gd name="T66" fmla="*/ 0 w 35"/>
                <a:gd name="T67" fmla="*/ 0 h 28"/>
                <a:gd name="T68" fmla="*/ 0 w 35"/>
                <a:gd name="T69" fmla="*/ 0 h 28"/>
                <a:gd name="T70" fmla="*/ 0 w 35"/>
                <a:gd name="T71" fmla="*/ 0 h 28"/>
                <a:gd name="T72" fmla="*/ 0 w 35"/>
                <a:gd name="T73" fmla="*/ 0 h 28"/>
                <a:gd name="T74" fmla="*/ 0 w 35"/>
                <a:gd name="T75" fmla="*/ 0 h 28"/>
                <a:gd name="T76" fmla="*/ 0 w 35"/>
                <a:gd name="T77" fmla="*/ 0 h 28"/>
                <a:gd name="T78" fmla="*/ 0 w 35"/>
                <a:gd name="T79" fmla="*/ 0 h 28"/>
                <a:gd name="T80" fmla="*/ 0 w 35"/>
                <a:gd name="T81" fmla="*/ 0 h 28"/>
                <a:gd name="T82" fmla="*/ 0 w 35"/>
                <a:gd name="T83" fmla="*/ 0 h 28"/>
                <a:gd name="T84" fmla="*/ 0 w 35"/>
                <a:gd name="T85" fmla="*/ 0 h 28"/>
                <a:gd name="T86" fmla="*/ 0 w 35"/>
                <a:gd name="T87" fmla="*/ 0 h 28"/>
                <a:gd name="T88" fmla="*/ 0 w 35"/>
                <a:gd name="T89" fmla="*/ 0 h 28"/>
                <a:gd name="T90" fmla="*/ 0 w 35"/>
                <a:gd name="T91" fmla="*/ 0 h 28"/>
                <a:gd name="T92" fmla="*/ 0 w 35"/>
                <a:gd name="T93" fmla="*/ 0 h 28"/>
                <a:gd name="T94" fmla="*/ 0 w 35"/>
                <a:gd name="T95" fmla="*/ 0 h 28"/>
                <a:gd name="T96" fmla="*/ 0 w 35"/>
                <a:gd name="T97" fmla="*/ 0 h 28"/>
                <a:gd name="T98" fmla="*/ 0 w 35"/>
                <a:gd name="T99" fmla="*/ 0 h 28"/>
                <a:gd name="T100" fmla="*/ 0 w 35"/>
                <a:gd name="T101" fmla="*/ 0 h 28"/>
                <a:gd name="T102" fmla="*/ 0 w 35"/>
                <a:gd name="T103" fmla="*/ 0 h 28"/>
                <a:gd name="T104" fmla="*/ 0 w 35"/>
                <a:gd name="T105" fmla="*/ 0 h 28"/>
                <a:gd name="T106" fmla="*/ 0 w 35"/>
                <a:gd name="T107" fmla="*/ 0 h 28"/>
                <a:gd name="T108" fmla="*/ 0 w 35"/>
                <a:gd name="T109" fmla="*/ 0 h 28"/>
                <a:gd name="T110" fmla="*/ 0 w 35"/>
                <a:gd name="T111" fmla="*/ 0 h 28"/>
                <a:gd name="T112" fmla="*/ 0 w 35"/>
                <a:gd name="T113" fmla="*/ 0 h 28"/>
                <a:gd name="T114" fmla="*/ 0 w 35"/>
                <a:gd name="T115" fmla="*/ 0 h 28"/>
                <a:gd name="T116" fmla="*/ 0 w 35"/>
                <a:gd name="T117" fmla="*/ 0 h 28"/>
                <a:gd name="T118" fmla="*/ 0 w 35"/>
                <a:gd name="T119" fmla="*/ 0 h 28"/>
                <a:gd name="T120" fmla="*/ 0 w 35"/>
                <a:gd name="T121" fmla="*/ 0 h 28"/>
                <a:gd name="T122" fmla="*/ 0 w 35"/>
                <a:gd name="T123" fmla="*/ 0 h 28"/>
                <a:gd name="T124" fmla="*/ 0 w 35"/>
                <a:gd name="T125" fmla="*/ 0 h 28"/>
                <a:gd name="T126" fmla="*/ 0 60000 65536"/>
                <a:gd name="T127" fmla="*/ 0 60000 65536"/>
                <a:gd name="T128" fmla="*/ 0 60000 65536"/>
                <a:gd name="T129" fmla="*/ 0 60000 65536"/>
                <a:gd name="T130" fmla="*/ 0 60000 65536"/>
                <a:gd name="T131" fmla="*/ 0 60000 65536"/>
                <a:gd name="T132" fmla="*/ 0 60000 65536"/>
                <a:gd name="T133" fmla="*/ 0 60000 65536"/>
                <a:gd name="T134" fmla="*/ 0 60000 65536"/>
                <a:gd name="T135" fmla="*/ 0 60000 65536"/>
                <a:gd name="T136" fmla="*/ 0 60000 65536"/>
                <a:gd name="T137" fmla="*/ 0 60000 65536"/>
                <a:gd name="T138" fmla="*/ 0 60000 65536"/>
                <a:gd name="T139" fmla="*/ 0 60000 65536"/>
                <a:gd name="T140" fmla="*/ 0 60000 65536"/>
                <a:gd name="T141" fmla="*/ 0 60000 65536"/>
                <a:gd name="T142" fmla="*/ 0 60000 65536"/>
                <a:gd name="T143" fmla="*/ 0 60000 65536"/>
                <a:gd name="T144" fmla="*/ 0 60000 65536"/>
                <a:gd name="T145" fmla="*/ 0 60000 65536"/>
                <a:gd name="T146" fmla="*/ 0 60000 65536"/>
                <a:gd name="T147" fmla="*/ 0 60000 65536"/>
                <a:gd name="T148" fmla="*/ 0 60000 65536"/>
                <a:gd name="T149" fmla="*/ 0 60000 65536"/>
                <a:gd name="T150" fmla="*/ 0 60000 65536"/>
                <a:gd name="T151" fmla="*/ 0 60000 65536"/>
                <a:gd name="T152" fmla="*/ 0 60000 65536"/>
                <a:gd name="T153" fmla="*/ 0 60000 65536"/>
                <a:gd name="T154" fmla="*/ 0 60000 65536"/>
                <a:gd name="T155" fmla="*/ 0 60000 65536"/>
                <a:gd name="T156" fmla="*/ 0 60000 65536"/>
                <a:gd name="T157" fmla="*/ 0 60000 65536"/>
                <a:gd name="T158" fmla="*/ 0 60000 65536"/>
                <a:gd name="T159" fmla="*/ 0 60000 65536"/>
                <a:gd name="T160" fmla="*/ 0 60000 65536"/>
                <a:gd name="T161" fmla="*/ 0 60000 65536"/>
                <a:gd name="T162" fmla="*/ 0 60000 65536"/>
                <a:gd name="T163" fmla="*/ 0 60000 65536"/>
                <a:gd name="T164" fmla="*/ 0 60000 65536"/>
                <a:gd name="T165" fmla="*/ 0 60000 65536"/>
                <a:gd name="T166" fmla="*/ 0 60000 65536"/>
                <a:gd name="T167" fmla="*/ 0 60000 65536"/>
                <a:gd name="T168" fmla="*/ 0 60000 65536"/>
                <a:gd name="T169" fmla="*/ 0 60000 65536"/>
                <a:gd name="T170" fmla="*/ 0 60000 65536"/>
                <a:gd name="T171" fmla="*/ 0 60000 65536"/>
                <a:gd name="T172" fmla="*/ 0 60000 65536"/>
                <a:gd name="T173" fmla="*/ 0 60000 65536"/>
                <a:gd name="T174" fmla="*/ 0 60000 65536"/>
                <a:gd name="T175" fmla="*/ 0 60000 65536"/>
                <a:gd name="T176" fmla="*/ 0 60000 65536"/>
                <a:gd name="T177" fmla="*/ 0 60000 65536"/>
                <a:gd name="T178" fmla="*/ 0 60000 65536"/>
                <a:gd name="T179" fmla="*/ 0 60000 65536"/>
                <a:gd name="T180" fmla="*/ 0 60000 65536"/>
                <a:gd name="T181" fmla="*/ 0 60000 65536"/>
                <a:gd name="T182" fmla="*/ 0 60000 65536"/>
                <a:gd name="T183" fmla="*/ 0 60000 65536"/>
                <a:gd name="T184" fmla="*/ 0 60000 65536"/>
                <a:gd name="T185" fmla="*/ 0 60000 65536"/>
                <a:gd name="T186" fmla="*/ 0 60000 65536"/>
                <a:gd name="T187" fmla="*/ 0 60000 65536"/>
                <a:gd name="T188" fmla="*/ 0 60000 65536"/>
                <a:gd name="T189" fmla="*/ 0 w 35"/>
                <a:gd name="T190" fmla="*/ 0 h 28"/>
                <a:gd name="T191" fmla="*/ 35 w 35"/>
                <a:gd name="T192" fmla="*/ 28 h 28"/>
              </a:gdLst>
              <a:ahLst/>
              <a:cxnLst>
                <a:cxn ang="T126">
                  <a:pos x="T0" y="T1"/>
                </a:cxn>
                <a:cxn ang="T127">
                  <a:pos x="T2" y="T3"/>
                </a:cxn>
                <a:cxn ang="T128">
                  <a:pos x="T4" y="T5"/>
                </a:cxn>
                <a:cxn ang="T129">
                  <a:pos x="T6" y="T7"/>
                </a:cxn>
                <a:cxn ang="T130">
                  <a:pos x="T8" y="T9"/>
                </a:cxn>
                <a:cxn ang="T131">
                  <a:pos x="T10" y="T11"/>
                </a:cxn>
                <a:cxn ang="T132">
                  <a:pos x="T12" y="T13"/>
                </a:cxn>
                <a:cxn ang="T133">
                  <a:pos x="T14" y="T15"/>
                </a:cxn>
                <a:cxn ang="T134">
                  <a:pos x="T16" y="T17"/>
                </a:cxn>
                <a:cxn ang="T135">
                  <a:pos x="T18" y="T19"/>
                </a:cxn>
                <a:cxn ang="T136">
                  <a:pos x="T20" y="T21"/>
                </a:cxn>
                <a:cxn ang="T137">
                  <a:pos x="T22" y="T23"/>
                </a:cxn>
                <a:cxn ang="T138">
                  <a:pos x="T24" y="T25"/>
                </a:cxn>
                <a:cxn ang="T139">
                  <a:pos x="T26" y="T27"/>
                </a:cxn>
                <a:cxn ang="T140">
                  <a:pos x="T28" y="T29"/>
                </a:cxn>
                <a:cxn ang="T141">
                  <a:pos x="T30" y="T31"/>
                </a:cxn>
                <a:cxn ang="T142">
                  <a:pos x="T32" y="T33"/>
                </a:cxn>
                <a:cxn ang="T143">
                  <a:pos x="T34" y="T35"/>
                </a:cxn>
                <a:cxn ang="T144">
                  <a:pos x="T36" y="T37"/>
                </a:cxn>
                <a:cxn ang="T145">
                  <a:pos x="T38" y="T39"/>
                </a:cxn>
                <a:cxn ang="T146">
                  <a:pos x="T40" y="T41"/>
                </a:cxn>
                <a:cxn ang="T147">
                  <a:pos x="T42" y="T43"/>
                </a:cxn>
                <a:cxn ang="T148">
                  <a:pos x="T44" y="T45"/>
                </a:cxn>
                <a:cxn ang="T149">
                  <a:pos x="T46" y="T47"/>
                </a:cxn>
                <a:cxn ang="T150">
                  <a:pos x="T48" y="T49"/>
                </a:cxn>
                <a:cxn ang="T151">
                  <a:pos x="T50" y="T51"/>
                </a:cxn>
                <a:cxn ang="T152">
                  <a:pos x="T52" y="T53"/>
                </a:cxn>
                <a:cxn ang="T153">
                  <a:pos x="T54" y="T55"/>
                </a:cxn>
                <a:cxn ang="T154">
                  <a:pos x="T56" y="T57"/>
                </a:cxn>
                <a:cxn ang="T155">
                  <a:pos x="T58" y="T59"/>
                </a:cxn>
                <a:cxn ang="T156">
                  <a:pos x="T60" y="T61"/>
                </a:cxn>
                <a:cxn ang="T157">
                  <a:pos x="T62" y="T63"/>
                </a:cxn>
                <a:cxn ang="T158">
                  <a:pos x="T64" y="T65"/>
                </a:cxn>
                <a:cxn ang="T159">
                  <a:pos x="T66" y="T67"/>
                </a:cxn>
                <a:cxn ang="T160">
                  <a:pos x="T68" y="T69"/>
                </a:cxn>
                <a:cxn ang="T161">
                  <a:pos x="T70" y="T71"/>
                </a:cxn>
                <a:cxn ang="T162">
                  <a:pos x="T72" y="T73"/>
                </a:cxn>
                <a:cxn ang="T163">
                  <a:pos x="T74" y="T75"/>
                </a:cxn>
                <a:cxn ang="T164">
                  <a:pos x="T76" y="T77"/>
                </a:cxn>
                <a:cxn ang="T165">
                  <a:pos x="T78" y="T79"/>
                </a:cxn>
                <a:cxn ang="T166">
                  <a:pos x="T80" y="T81"/>
                </a:cxn>
                <a:cxn ang="T167">
                  <a:pos x="T82" y="T83"/>
                </a:cxn>
                <a:cxn ang="T168">
                  <a:pos x="T84" y="T85"/>
                </a:cxn>
                <a:cxn ang="T169">
                  <a:pos x="T86" y="T87"/>
                </a:cxn>
                <a:cxn ang="T170">
                  <a:pos x="T88" y="T89"/>
                </a:cxn>
                <a:cxn ang="T171">
                  <a:pos x="T90" y="T91"/>
                </a:cxn>
                <a:cxn ang="T172">
                  <a:pos x="T92" y="T93"/>
                </a:cxn>
                <a:cxn ang="T173">
                  <a:pos x="T94" y="T95"/>
                </a:cxn>
                <a:cxn ang="T174">
                  <a:pos x="T96" y="T97"/>
                </a:cxn>
                <a:cxn ang="T175">
                  <a:pos x="T98" y="T99"/>
                </a:cxn>
                <a:cxn ang="T176">
                  <a:pos x="T100" y="T101"/>
                </a:cxn>
                <a:cxn ang="T177">
                  <a:pos x="T102" y="T103"/>
                </a:cxn>
                <a:cxn ang="T178">
                  <a:pos x="T104" y="T105"/>
                </a:cxn>
                <a:cxn ang="T179">
                  <a:pos x="T106" y="T107"/>
                </a:cxn>
                <a:cxn ang="T180">
                  <a:pos x="T108" y="T109"/>
                </a:cxn>
                <a:cxn ang="T181">
                  <a:pos x="T110" y="T111"/>
                </a:cxn>
                <a:cxn ang="T182">
                  <a:pos x="T112" y="T113"/>
                </a:cxn>
                <a:cxn ang="T183">
                  <a:pos x="T114" y="T115"/>
                </a:cxn>
                <a:cxn ang="T184">
                  <a:pos x="T116" y="T117"/>
                </a:cxn>
                <a:cxn ang="T185">
                  <a:pos x="T118" y="T119"/>
                </a:cxn>
                <a:cxn ang="T186">
                  <a:pos x="T120" y="T121"/>
                </a:cxn>
                <a:cxn ang="T187">
                  <a:pos x="T122" y="T123"/>
                </a:cxn>
                <a:cxn ang="T188">
                  <a:pos x="T124" y="T125"/>
                </a:cxn>
              </a:cxnLst>
              <a:rect l="T189" t="T190" r="T191" b="T192"/>
              <a:pathLst>
                <a:path w="35" h="28">
                  <a:moveTo>
                    <a:pt x="16" y="0"/>
                  </a:moveTo>
                  <a:lnTo>
                    <a:pt x="15" y="0"/>
                  </a:lnTo>
                  <a:lnTo>
                    <a:pt x="14" y="0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1" y="1"/>
                  </a:lnTo>
                  <a:lnTo>
                    <a:pt x="11" y="3"/>
                  </a:lnTo>
                  <a:lnTo>
                    <a:pt x="10" y="3"/>
                  </a:lnTo>
                  <a:lnTo>
                    <a:pt x="9" y="4"/>
                  </a:lnTo>
                  <a:lnTo>
                    <a:pt x="8" y="4"/>
                  </a:lnTo>
                  <a:lnTo>
                    <a:pt x="7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3" y="7"/>
                  </a:lnTo>
                  <a:lnTo>
                    <a:pt x="1" y="8"/>
                  </a:lnTo>
                  <a:lnTo>
                    <a:pt x="0" y="9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4"/>
                  </a:lnTo>
                  <a:lnTo>
                    <a:pt x="0" y="15"/>
                  </a:lnTo>
                  <a:lnTo>
                    <a:pt x="1" y="15"/>
                  </a:lnTo>
                  <a:lnTo>
                    <a:pt x="1" y="16"/>
                  </a:lnTo>
                  <a:lnTo>
                    <a:pt x="1" y="17"/>
                  </a:lnTo>
                  <a:lnTo>
                    <a:pt x="3" y="18"/>
                  </a:lnTo>
                  <a:lnTo>
                    <a:pt x="3" y="19"/>
                  </a:lnTo>
                  <a:lnTo>
                    <a:pt x="4" y="20"/>
                  </a:lnTo>
                  <a:lnTo>
                    <a:pt x="4" y="21"/>
                  </a:lnTo>
                  <a:lnTo>
                    <a:pt x="5" y="21"/>
                  </a:lnTo>
                  <a:lnTo>
                    <a:pt x="5" y="23"/>
                  </a:lnTo>
                  <a:lnTo>
                    <a:pt x="6" y="24"/>
                  </a:lnTo>
                  <a:lnTo>
                    <a:pt x="7" y="26"/>
                  </a:lnTo>
                  <a:lnTo>
                    <a:pt x="8" y="27"/>
                  </a:lnTo>
                  <a:lnTo>
                    <a:pt x="9" y="27"/>
                  </a:lnTo>
                  <a:lnTo>
                    <a:pt x="10" y="27"/>
                  </a:lnTo>
                  <a:lnTo>
                    <a:pt x="10" y="28"/>
                  </a:lnTo>
                  <a:lnTo>
                    <a:pt x="11" y="28"/>
                  </a:lnTo>
                  <a:lnTo>
                    <a:pt x="13" y="28"/>
                  </a:lnTo>
                  <a:lnTo>
                    <a:pt x="14" y="28"/>
                  </a:lnTo>
                  <a:lnTo>
                    <a:pt x="16" y="28"/>
                  </a:lnTo>
                  <a:lnTo>
                    <a:pt x="16" y="27"/>
                  </a:lnTo>
                  <a:lnTo>
                    <a:pt x="17" y="27"/>
                  </a:lnTo>
                  <a:lnTo>
                    <a:pt x="18" y="27"/>
                  </a:lnTo>
                  <a:lnTo>
                    <a:pt x="19" y="27"/>
                  </a:lnTo>
                  <a:lnTo>
                    <a:pt x="20" y="27"/>
                  </a:lnTo>
                  <a:lnTo>
                    <a:pt x="21" y="26"/>
                  </a:lnTo>
                  <a:lnTo>
                    <a:pt x="22" y="26"/>
                  </a:lnTo>
                  <a:lnTo>
                    <a:pt x="24" y="25"/>
                  </a:lnTo>
                  <a:lnTo>
                    <a:pt x="25" y="25"/>
                  </a:lnTo>
                  <a:lnTo>
                    <a:pt x="26" y="25"/>
                  </a:lnTo>
                  <a:lnTo>
                    <a:pt x="26" y="24"/>
                  </a:lnTo>
                  <a:lnTo>
                    <a:pt x="27" y="24"/>
                  </a:lnTo>
                  <a:lnTo>
                    <a:pt x="28" y="23"/>
                  </a:lnTo>
                  <a:lnTo>
                    <a:pt x="29" y="23"/>
                  </a:lnTo>
                  <a:lnTo>
                    <a:pt x="29" y="21"/>
                  </a:lnTo>
                  <a:lnTo>
                    <a:pt x="30" y="21"/>
                  </a:lnTo>
                  <a:lnTo>
                    <a:pt x="30" y="20"/>
                  </a:lnTo>
                  <a:lnTo>
                    <a:pt x="31" y="20"/>
                  </a:lnTo>
                  <a:lnTo>
                    <a:pt x="31" y="19"/>
                  </a:lnTo>
                  <a:lnTo>
                    <a:pt x="32" y="18"/>
                  </a:lnTo>
                  <a:lnTo>
                    <a:pt x="32" y="17"/>
                  </a:lnTo>
                  <a:lnTo>
                    <a:pt x="34" y="16"/>
                  </a:lnTo>
                  <a:lnTo>
                    <a:pt x="34" y="15"/>
                  </a:lnTo>
                  <a:lnTo>
                    <a:pt x="34" y="14"/>
                  </a:lnTo>
                  <a:lnTo>
                    <a:pt x="34" y="13"/>
                  </a:lnTo>
                  <a:lnTo>
                    <a:pt x="34" y="10"/>
                  </a:lnTo>
                  <a:lnTo>
                    <a:pt x="35" y="9"/>
                  </a:lnTo>
                  <a:lnTo>
                    <a:pt x="35" y="8"/>
                  </a:lnTo>
                  <a:lnTo>
                    <a:pt x="34" y="7"/>
                  </a:lnTo>
                  <a:lnTo>
                    <a:pt x="34" y="6"/>
                  </a:lnTo>
                  <a:lnTo>
                    <a:pt x="34" y="5"/>
                  </a:lnTo>
                  <a:lnTo>
                    <a:pt x="34" y="4"/>
                  </a:lnTo>
                  <a:lnTo>
                    <a:pt x="32" y="3"/>
                  </a:lnTo>
                  <a:lnTo>
                    <a:pt x="31" y="3"/>
                  </a:lnTo>
                  <a:lnTo>
                    <a:pt x="31" y="1"/>
                  </a:lnTo>
                  <a:lnTo>
                    <a:pt x="30" y="1"/>
                  </a:lnTo>
                  <a:lnTo>
                    <a:pt x="29" y="1"/>
                  </a:lnTo>
                  <a:lnTo>
                    <a:pt x="28" y="1"/>
                  </a:lnTo>
                  <a:lnTo>
                    <a:pt x="28" y="0"/>
                  </a:lnTo>
                  <a:lnTo>
                    <a:pt x="27" y="0"/>
                  </a:lnTo>
                  <a:lnTo>
                    <a:pt x="26" y="0"/>
                  </a:lnTo>
                  <a:lnTo>
                    <a:pt x="25" y="0"/>
                  </a:lnTo>
                  <a:lnTo>
                    <a:pt x="24" y="0"/>
                  </a:lnTo>
                  <a:lnTo>
                    <a:pt x="18" y="0"/>
                  </a:lnTo>
                  <a:lnTo>
                    <a:pt x="17" y="0"/>
                  </a:lnTo>
                  <a:lnTo>
                    <a:pt x="1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94" name="Freeform 15">
              <a:extLst>
                <a:ext uri="{FF2B5EF4-FFF2-40B4-BE49-F238E27FC236}">
                  <a16:creationId xmlns:a16="http://schemas.microsoft.com/office/drawing/2014/main" id="{00000000-0008-0000-0300-000072050000}"/>
                </a:ext>
              </a:extLst>
            </xdr:cNvPr>
            <xdr:cNvSpPr>
              <a:spLocks/>
            </xdr:cNvSpPr>
          </xdr:nvSpPr>
          <xdr:spPr bwMode="auto">
            <a:xfrm>
              <a:off x="17" y="23"/>
              <a:ext cx="1" cy="1"/>
            </a:xfrm>
            <a:custGeom>
              <a:avLst/>
              <a:gdLst>
                <a:gd name="T0" fmla="*/ 0 w 17"/>
                <a:gd name="T1" fmla="*/ 0 h 13"/>
                <a:gd name="T2" fmla="*/ 0 w 17"/>
                <a:gd name="T3" fmla="*/ 0 h 13"/>
                <a:gd name="T4" fmla="*/ 0 w 17"/>
                <a:gd name="T5" fmla="*/ 0 h 13"/>
                <a:gd name="T6" fmla="*/ 0 w 17"/>
                <a:gd name="T7" fmla="*/ 0 h 13"/>
                <a:gd name="T8" fmla="*/ 0 w 17"/>
                <a:gd name="T9" fmla="*/ 0 h 13"/>
                <a:gd name="T10" fmla="*/ 0 w 17"/>
                <a:gd name="T11" fmla="*/ 0 h 13"/>
                <a:gd name="T12" fmla="*/ 0 w 17"/>
                <a:gd name="T13" fmla="*/ 0 h 13"/>
                <a:gd name="T14" fmla="*/ 0 w 17"/>
                <a:gd name="T15" fmla="*/ 0 h 13"/>
                <a:gd name="T16" fmla="*/ 0 w 17"/>
                <a:gd name="T17" fmla="*/ 0 h 13"/>
                <a:gd name="T18" fmla="*/ 0 w 17"/>
                <a:gd name="T19" fmla="*/ 0 h 13"/>
                <a:gd name="T20" fmla="*/ 0 w 17"/>
                <a:gd name="T21" fmla="*/ 0 h 13"/>
                <a:gd name="T22" fmla="*/ 0 w 17"/>
                <a:gd name="T23" fmla="*/ 0 h 13"/>
                <a:gd name="T24" fmla="*/ 0 w 17"/>
                <a:gd name="T25" fmla="*/ 0 h 13"/>
                <a:gd name="T26" fmla="*/ 0 w 17"/>
                <a:gd name="T27" fmla="*/ 0 h 13"/>
                <a:gd name="T28" fmla="*/ 0 w 17"/>
                <a:gd name="T29" fmla="*/ 0 h 13"/>
                <a:gd name="T30" fmla="*/ 0 w 17"/>
                <a:gd name="T31" fmla="*/ 0 h 13"/>
                <a:gd name="T32" fmla="*/ 0 w 17"/>
                <a:gd name="T33" fmla="*/ 0 h 13"/>
                <a:gd name="T34" fmla="*/ 0 w 17"/>
                <a:gd name="T35" fmla="*/ 0 h 13"/>
                <a:gd name="T36" fmla="*/ 0 w 17"/>
                <a:gd name="T37" fmla="*/ 0 h 13"/>
                <a:gd name="T38" fmla="*/ 0 w 17"/>
                <a:gd name="T39" fmla="*/ 0 h 13"/>
                <a:gd name="T40" fmla="*/ 0 w 17"/>
                <a:gd name="T41" fmla="*/ 0 h 13"/>
                <a:gd name="T42" fmla="*/ 0 w 17"/>
                <a:gd name="T43" fmla="*/ 0 h 13"/>
                <a:gd name="T44" fmla="*/ 0 w 17"/>
                <a:gd name="T45" fmla="*/ 0 h 13"/>
                <a:gd name="T46" fmla="*/ 0 w 17"/>
                <a:gd name="T47" fmla="*/ 0 h 13"/>
                <a:gd name="T48" fmla="*/ 0 w 17"/>
                <a:gd name="T49" fmla="*/ 0 h 13"/>
                <a:gd name="T50" fmla="*/ 0 w 17"/>
                <a:gd name="T51" fmla="*/ 0 h 13"/>
                <a:gd name="T52" fmla="*/ 0 w 17"/>
                <a:gd name="T53" fmla="*/ 0 h 13"/>
                <a:gd name="T54" fmla="*/ 0 w 17"/>
                <a:gd name="T55" fmla="*/ 0 h 13"/>
                <a:gd name="T56" fmla="*/ 0 w 17"/>
                <a:gd name="T57" fmla="*/ 0 h 13"/>
                <a:gd name="T58" fmla="*/ 0 w 17"/>
                <a:gd name="T59" fmla="*/ 0 h 13"/>
                <a:gd name="T60" fmla="*/ 0 w 17"/>
                <a:gd name="T61" fmla="*/ 0 h 13"/>
                <a:gd name="T62" fmla="*/ 0 w 17"/>
                <a:gd name="T63" fmla="*/ 0 h 13"/>
                <a:gd name="T64" fmla="*/ 0 w 17"/>
                <a:gd name="T65" fmla="*/ 0 h 13"/>
                <a:gd name="T66" fmla="*/ 0 w 17"/>
                <a:gd name="T67" fmla="*/ 0 h 13"/>
                <a:gd name="T68" fmla="*/ 0 w 17"/>
                <a:gd name="T69" fmla="*/ 0 h 13"/>
                <a:gd name="T70" fmla="*/ 0 w 17"/>
                <a:gd name="T71" fmla="*/ 0 h 13"/>
                <a:gd name="T72" fmla="*/ 0 w 17"/>
                <a:gd name="T73" fmla="*/ 0 h 13"/>
                <a:gd name="T74" fmla="*/ 0 w 17"/>
                <a:gd name="T75" fmla="*/ 0 h 13"/>
                <a:gd name="T76" fmla="*/ 0 w 17"/>
                <a:gd name="T77" fmla="*/ 0 h 13"/>
                <a:gd name="T78" fmla="*/ 0 w 17"/>
                <a:gd name="T79" fmla="*/ 0 h 13"/>
                <a:gd name="T80" fmla="*/ 0 w 17"/>
                <a:gd name="T81" fmla="*/ 0 h 13"/>
                <a:gd name="T82" fmla="*/ 0 w 17"/>
                <a:gd name="T83" fmla="*/ 0 h 13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60000 65536"/>
                <a:gd name="T121" fmla="*/ 0 60000 65536"/>
                <a:gd name="T122" fmla="*/ 0 60000 65536"/>
                <a:gd name="T123" fmla="*/ 0 60000 65536"/>
                <a:gd name="T124" fmla="*/ 0 60000 65536"/>
                <a:gd name="T125" fmla="*/ 0 60000 65536"/>
                <a:gd name="T126" fmla="*/ 0 w 17"/>
                <a:gd name="T127" fmla="*/ 0 h 13"/>
                <a:gd name="T128" fmla="*/ 17 w 17"/>
                <a:gd name="T129" fmla="*/ 13 h 13"/>
              </a:gdLst>
              <a:ahLst/>
              <a:cxnLst>
                <a:cxn ang="T84">
                  <a:pos x="T0" y="T1"/>
                </a:cxn>
                <a:cxn ang="T85">
                  <a:pos x="T2" y="T3"/>
                </a:cxn>
                <a:cxn ang="T86">
                  <a:pos x="T4" y="T5"/>
                </a:cxn>
                <a:cxn ang="T87">
                  <a:pos x="T6" y="T7"/>
                </a:cxn>
                <a:cxn ang="T88">
                  <a:pos x="T8" y="T9"/>
                </a:cxn>
                <a:cxn ang="T89">
                  <a:pos x="T10" y="T11"/>
                </a:cxn>
                <a:cxn ang="T90">
                  <a:pos x="T12" y="T13"/>
                </a:cxn>
                <a:cxn ang="T91">
                  <a:pos x="T14" y="T15"/>
                </a:cxn>
                <a:cxn ang="T92">
                  <a:pos x="T16" y="T17"/>
                </a:cxn>
                <a:cxn ang="T93">
                  <a:pos x="T18" y="T19"/>
                </a:cxn>
                <a:cxn ang="T94">
                  <a:pos x="T20" y="T21"/>
                </a:cxn>
                <a:cxn ang="T95">
                  <a:pos x="T22" y="T23"/>
                </a:cxn>
                <a:cxn ang="T96">
                  <a:pos x="T24" y="T25"/>
                </a:cxn>
                <a:cxn ang="T97">
                  <a:pos x="T26" y="T27"/>
                </a:cxn>
                <a:cxn ang="T98">
                  <a:pos x="T28" y="T29"/>
                </a:cxn>
                <a:cxn ang="T99">
                  <a:pos x="T30" y="T31"/>
                </a:cxn>
                <a:cxn ang="T100">
                  <a:pos x="T32" y="T33"/>
                </a:cxn>
                <a:cxn ang="T101">
                  <a:pos x="T34" y="T35"/>
                </a:cxn>
                <a:cxn ang="T102">
                  <a:pos x="T36" y="T37"/>
                </a:cxn>
                <a:cxn ang="T103">
                  <a:pos x="T38" y="T39"/>
                </a:cxn>
                <a:cxn ang="T104">
                  <a:pos x="T40" y="T41"/>
                </a:cxn>
                <a:cxn ang="T105">
                  <a:pos x="T42" y="T43"/>
                </a:cxn>
                <a:cxn ang="T106">
                  <a:pos x="T44" y="T45"/>
                </a:cxn>
                <a:cxn ang="T107">
                  <a:pos x="T46" y="T47"/>
                </a:cxn>
                <a:cxn ang="T108">
                  <a:pos x="T48" y="T49"/>
                </a:cxn>
                <a:cxn ang="T109">
                  <a:pos x="T50" y="T51"/>
                </a:cxn>
                <a:cxn ang="T110">
                  <a:pos x="T52" y="T53"/>
                </a:cxn>
                <a:cxn ang="T111">
                  <a:pos x="T54" y="T55"/>
                </a:cxn>
                <a:cxn ang="T112">
                  <a:pos x="T56" y="T57"/>
                </a:cxn>
                <a:cxn ang="T113">
                  <a:pos x="T58" y="T59"/>
                </a:cxn>
                <a:cxn ang="T114">
                  <a:pos x="T60" y="T61"/>
                </a:cxn>
                <a:cxn ang="T115">
                  <a:pos x="T62" y="T63"/>
                </a:cxn>
                <a:cxn ang="T116">
                  <a:pos x="T64" y="T65"/>
                </a:cxn>
                <a:cxn ang="T117">
                  <a:pos x="T66" y="T67"/>
                </a:cxn>
                <a:cxn ang="T118">
                  <a:pos x="T68" y="T69"/>
                </a:cxn>
                <a:cxn ang="T119">
                  <a:pos x="T70" y="T71"/>
                </a:cxn>
                <a:cxn ang="T120">
                  <a:pos x="T72" y="T73"/>
                </a:cxn>
                <a:cxn ang="T121">
                  <a:pos x="T74" y="T75"/>
                </a:cxn>
                <a:cxn ang="T122">
                  <a:pos x="T76" y="T77"/>
                </a:cxn>
                <a:cxn ang="T123">
                  <a:pos x="T78" y="T79"/>
                </a:cxn>
                <a:cxn ang="T124">
                  <a:pos x="T80" y="T81"/>
                </a:cxn>
                <a:cxn ang="T125">
                  <a:pos x="T82" y="T83"/>
                </a:cxn>
              </a:cxnLst>
              <a:rect l="T126" t="T127" r="T128" b="T129"/>
              <a:pathLst>
                <a:path w="17" h="13">
                  <a:moveTo>
                    <a:pt x="8" y="4"/>
                  </a:moveTo>
                  <a:lnTo>
                    <a:pt x="7" y="4"/>
                  </a:lnTo>
                  <a:lnTo>
                    <a:pt x="6" y="4"/>
                  </a:lnTo>
                  <a:lnTo>
                    <a:pt x="6" y="5"/>
                  </a:lnTo>
                  <a:lnTo>
                    <a:pt x="5" y="5"/>
                  </a:lnTo>
                  <a:lnTo>
                    <a:pt x="5" y="6"/>
                  </a:lnTo>
                  <a:lnTo>
                    <a:pt x="4" y="6"/>
                  </a:lnTo>
                  <a:lnTo>
                    <a:pt x="2" y="7"/>
                  </a:lnTo>
                  <a:lnTo>
                    <a:pt x="0" y="10"/>
                  </a:lnTo>
                  <a:lnTo>
                    <a:pt x="0" y="11"/>
                  </a:lnTo>
                  <a:lnTo>
                    <a:pt x="1" y="11"/>
                  </a:lnTo>
                  <a:lnTo>
                    <a:pt x="2" y="12"/>
                  </a:lnTo>
                  <a:lnTo>
                    <a:pt x="4" y="12"/>
                  </a:lnTo>
                  <a:lnTo>
                    <a:pt x="5" y="13"/>
                  </a:lnTo>
                  <a:lnTo>
                    <a:pt x="6" y="13"/>
                  </a:lnTo>
                  <a:lnTo>
                    <a:pt x="9" y="13"/>
                  </a:lnTo>
                  <a:lnTo>
                    <a:pt x="10" y="13"/>
                  </a:lnTo>
                  <a:lnTo>
                    <a:pt x="10" y="12"/>
                  </a:lnTo>
                  <a:lnTo>
                    <a:pt x="11" y="11"/>
                  </a:lnTo>
                  <a:lnTo>
                    <a:pt x="12" y="11"/>
                  </a:lnTo>
                  <a:lnTo>
                    <a:pt x="12" y="10"/>
                  </a:lnTo>
                  <a:lnTo>
                    <a:pt x="14" y="8"/>
                  </a:lnTo>
                  <a:lnTo>
                    <a:pt x="14" y="7"/>
                  </a:lnTo>
                  <a:lnTo>
                    <a:pt x="15" y="7"/>
                  </a:lnTo>
                  <a:lnTo>
                    <a:pt x="15" y="6"/>
                  </a:lnTo>
                  <a:lnTo>
                    <a:pt x="15" y="5"/>
                  </a:lnTo>
                  <a:lnTo>
                    <a:pt x="16" y="5"/>
                  </a:lnTo>
                  <a:lnTo>
                    <a:pt x="16" y="4"/>
                  </a:lnTo>
                  <a:lnTo>
                    <a:pt x="16" y="3"/>
                  </a:lnTo>
                  <a:lnTo>
                    <a:pt x="17" y="2"/>
                  </a:lnTo>
                  <a:lnTo>
                    <a:pt x="17" y="1"/>
                  </a:lnTo>
                  <a:lnTo>
                    <a:pt x="17" y="0"/>
                  </a:lnTo>
                  <a:lnTo>
                    <a:pt x="16" y="0"/>
                  </a:lnTo>
                  <a:lnTo>
                    <a:pt x="15" y="0"/>
                  </a:lnTo>
                  <a:lnTo>
                    <a:pt x="14" y="1"/>
                  </a:lnTo>
                  <a:lnTo>
                    <a:pt x="12" y="1"/>
                  </a:lnTo>
                  <a:lnTo>
                    <a:pt x="11" y="2"/>
                  </a:lnTo>
                  <a:lnTo>
                    <a:pt x="10" y="2"/>
                  </a:lnTo>
                  <a:lnTo>
                    <a:pt x="10" y="3"/>
                  </a:lnTo>
                  <a:lnTo>
                    <a:pt x="9" y="3"/>
                  </a:lnTo>
                  <a:lnTo>
                    <a:pt x="8" y="3"/>
                  </a:lnTo>
                  <a:lnTo>
                    <a:pt x="8" y="4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95" name="Freeform 16">
              <a:extLst>
                <a:ext uri="{FF2B5EF4-FFF2-40B4-BE49-F238E27FC236}">
                  <a16:creationId xmlns:a16="http://schemas.microsoft.com/office/drawing/2014/main" id="{00000000-0008-0000-0300-000073050000}"/>
                </a:ext>
              </a:extLst>
            </xdr:cNvPr>
            <xdr:cNvSpPr>
              <a:spLocks/>
            </xdr:cNvSpPr>
          </xdr:nvSpPr>
          <xdr:spPr bwMode="auto">
            <a:xfrm>
              <a:off x="19" y="24"/>
              <a:ext cx="2" cy="1"/>
            </a:xfrm>
            <a:custGeom>
              <a:avLst/>
              <a:gdLst>
                <a:gd name="T0" fmla="*/ 0 w 16"/>
                <a:gd name="T1" fmla="*/ 0 h 8"/>
                <a:gd name="T2" fmla="*/ 0 w 16"/>
                <a:gd name="T3" fmla="*/ 0 h 8"/>
                <a:gd name="T4" fmla="*/ 0 w 16"/>
                <a:gd name="T5" fmla="*/ 0 h 8"/>
                <a:gd name="T6" fmla="*/ 0 w 16"/>
                <a:gd name="T7" fmla="*/ 0 h 8"/>
                <a:gd name="T8" fmla="*/ 0 w 16"/>
                <a:gd name="T9" fmla="*/ 0 h 8"/>
                <a:gd name="T10" fmla="*/ 0 w 16"/>
                <a:gd name="T11" fmla="*/ 0 h 8"/>
                <a:gd name="T12" fmla="*/ 0 w 16"/>
                <a:gd name="T13" fmla="*/ 0 h 8"/>
                <a:gd name="T14" fmla="*/ 0 w 16"/>
                <a:gd name="T15" fmla="*/ 0 h 8"/>
                <a:gd name="T16" fmla="*/ 0 w 16"/>
                <a:gd name="T17" fmla="*/ 0 h 8"/>
                <a:gd name="T18" fmla="*/ 0 w 16"/>
                <a:gd name="T19" fmla="*/ 0 h 8"/>
                <a:gd name="T20" fmla="*/ 0 w 16"/>
                <a:gd name="T21" fmla="*/ 0 h 8"/>
                <a:gd name="T22" fmla="*/ 0 w 16"/>
                <a:gd name="T23" fmla="*/ 0 h 8"/>
                <a:gd name="T24" fmla="*/ 0 w 16"/>
                <a:gd name="T25" fmla="*/ 0 h 8"/>
                <a:gd name="T26" fmla="*/ 0 w 16"/>
                <a:gd name="T27" fmla="*/ 0 h 8"/>
                <a:gd name="T28" fmla="*/ 0 w 16"/>
                <a:gd name="T29" fmla="*/ 0 h 8"/>
                <a:gd name="T30" fmla="*/ 0 w 16"/>
                <a:gd name="T31" fmla="*/ 0 h 8"/>
                <a:gd name="T32" fmla="*/ 0 w 16"/>
                <a:gd name="T33" fmla="*/ 0 h 8"/>
                <a:gd name="T34" fmla="*/ 0 w 16"/>
                <a:gd name="T35" fmla="*/ 0 h 8"/>
                <a:gd name="T36" fmla="*/ 0 w 16"/>
                <a:gd name="T37" fmla="*/ 0 h 8"/>
                <a:gd name="T38" fmla="*/ 0 w 16"/>
                <a:gd name="T39" fmla="*/ 0 h 8"/>
                <a:gd name="T40" fmla="*/ 0 w 16"/>
                <a:gd name="T41" fmla="*/ 0 h 8"/>
                <a:gd name="T42" fmla="*/ 0 w 16"/>
                <a:gd name="T43" fmla="*/ 0 h 8"/>
                <a:gd name="T44" fmla="*/ 0 w 16"/>
                <a:gd name="T45" fmla="*/ 0 h 8"/>
                <a:gd name="T46" fmla="*/ 0 w 16"/>
                <a:gd name="T47" fmla="*/ 0 h 8"/>
                <a:gd name="T48" fmla="*/ 0 w 16"/>
                <a:gd name="T49" fmla="*/ 0 h 8"/>
                <a:gd name="T50" fmla="*/ 0 w 16"/>
                <a:gd name="T51" fmla="*/ 0 h 8"/>
                <a:gd name="T52" fmla="*/ 0 w 16"/>
                <a:gd name="T53" fmla="*/ 0 h 8"/>
                <a:gd name="T54" fmla="*/ 0 w 16"/>
                <a:gd name="T55" fmla="*/ 0 h 8"/>
                <a:gd name="T56" fmla="*/ 0 w 16"/>
                <a:gd name="T57" fmla="*/ 0 h 8"/>
                <a:gd name="T58" fmla="*/ 0 w 16"/>
                <a:gd name="T59" fmla="*/ 0 h 8"/>
                <a:gd name="T60" fmla="*/ 0 w 16"/>
                <a:gd name="T61" fmla="*/ 0 h 8"/>
                <a:gd name="T62" fmla="*/ 0 w 16"/>
                <a:gd name="T63" fmla="*/ 0 h 8"/>
                <a:gd name="T64" fmla="*/ 0 w 16"/>
                <a:gd name="T65" fmla="*/ 0 h 8"/>
                <a:gd name="T66" fmla="*/ 0 w 16"/>
                <a:gd name="T67" fmla="*/ 0 h 8"/>
                <a:gd name="T68" fmla="*/ 0 w 16"/>
                <a:gd name="T69" fmla="*/ 0 h 8"/>
                <a:gd name="T70" fmla="*/ 0 w 16"/>
                <a:gd name="T71" fmla="*/ 0 h 8"/>
                <a:gd name="T72" fmla="*/ 0 w 16"/>
                <a:gd name="T73" fmla="*/ 0 h 8"/>
                <a:gd name="T74" fmla="*/ 0 w 16"/>
                <a:gd name="T75" fmla="*/ 0 h 8"/>
                <a:gd name="T76" fmla="*/ 0 w 16"/>
                <a:gd name="T77" fmla="*/ 0 h 8"/>
                <a:gd name="T78" fmla="*/ 0 w 16"/>
                <a:gd name="T79" fmla="*/ 0 h 8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60000 65536"/>
                <a:gd name="T118" fmla="*/ 0 60000 65536"/>
                <a:gd name="T119" fmla="*/ 0 60000 65536"/>
                <a:gd name="T120" fmla="*/ 0 w 16"/>
                <a:gd name="T121" fmla="*/ 0 h 8"/>
                <a:gd name="T122" fmla="*/ 16 w 16"/>
                <a:gd name="T123" fmla="*/ 8 h 8"/>
              </a:gdLst>
              <a:ahLst/>
              <a:cxnLst>
                <a:cxn ang="T80">
                  <a:pos x="T0" y="T1"/>
                </a:cxn>
                <a:cxn ang="T81">
                  <a:pos x="T2" y="T3"/>
                </a:cxn>
                <a:cxn ang="T82">
                  <a:pos x="T4" y="T5"/>
                </a:cxn>
                <a:cxn ang="T83">
                  <a:pos x="T6" y="T7"/>
                </a:cxn>
                <a:cxn ang="T84">
                  <a:pos x="T8" y="T9"/>
                </a:cxn>
                <a:cxn ang="T85">
                  <a:pos x="T10" y="T11"/>
                </a:cxn>
                <a:cxn ang="T86">
                  <a:pos x="T12" y="T13"/>
                </a:cxn>
                <a:cxn ang="T87">
                  <a:pos x="T14" y="T15"/>
                </a:cxn>
                <a:cxn ang="T88">
                  <a:pos x="T16" y="T17"/>
                </a:cxn>
                <a:cxn ang="T89">
                  <a:pos x="T18" y="T19"/>
                </a:cxn>
                <a:cxn ang="T90">
                  <a:pos x="T20" y="T21"/>
                </a:cxn>
                <a:cxn ang="T91">
                  <a:pos x="T22" y="T23"/>
                </a:cxn>
                <a:cxn ang="T92">
                  <a:pos x="T24" y="T25"/>
                </a:cxn>
                <a:cxn ang="T93">
                  <a:pos x="T26" y="T27"/>
                </a:cxn>
                <a:cxn ang="T94">
                  <a:pos x="T28" y="T29"/>
                </a:cxn>
                <a:cxn ang="T95">
                  <a:pos x="T30" y="T31"/>
                </a:cxn>
                <a:cxn ang="T96">
                  <a:pos x="T32" y="T33"/>
                </a:cxn>
                <a:cxn ang="T97">
                  <a:pos x="T34" y="T35"/>
                </a:cxn>
                <a:cxn ang="T98">
                  <a:pos x="T36" y="T37"/>
                </a:cxn>
                <a:cxn ang="T99">
                  <a:pos x="T38" y="T39"/>
                </a:cxn>
                <a:cxn ang="T100">
                  <a:pos x="T40" y="T41"/>
                </a:cxn>
                <a:cxn ang="T101">
                  <a:pos x="T42" y="T43"/>
                </a:cxn>
                <a:cxn ang="T102">
                  <a:pos x="T44" y="T45"/>
                </a:cxn>
                <a:cxn ang="T103">
                  <a:pos x="T46" y="T47"/>
                </a:cxn>
                <a:cxn ang="T104">
                  <a:pos x="T48" y="T49"/>
                </a:cxn>
                <a:cxn ang="T105">
                  <a:pos x="T50" y="T51"/>
                </a:cxn>
                <a:cxn ang="T106">
                  <a:pos x="T52" y="T53"/>
                </a:cxn>
                <a:cxn ang="T107">
                  <a:pos x="T54" y="T55"/>
                </a:cxn>
                <a:cxn ang="T108">
                  <a:pos x="T56" y="T57"/>
                </a:cxn>
                <a:cxn ang="T109">
                  <a:pos x="T58" y="T59"/>
                </a:cxn>
                <a:cxn ang="T110">
                  <a:pos x="T60" y="T61"/>
                </a:cxn>
                <a:cxn ang="T111">
                  <a:pos x="T62" y="T63"/>
                </a:cxn>
                <a:cxn ang="T112">
                  <a:pos x="T64" y="T65"/>
                </a:cxn>
                <a:cxn ang="T113">
                  <a:pos x="T66" y="T67"/>
                </a:cxn>
                <a:cxn ang="T114">
                  <a:pos x="T68" y="T69"/>
                </a:cxn>
                <a:cxn ang="T115">
                  <a:pos x="T70" y="T71"/>
                </a:cxn>
                <a:cxn ang="T116">
                  <a:pos x="T72" y="T73"/>
                </a:cxn>
                <a:cxn ang="T117">
                  <a:pos x="T74" y="T75"/>
                </a:cxn>
                <a:cxn ang="T118">
                  <a:pos x="T76" y="T77"/>
                </a:cxn>
                <a:cxn ang="T119">
                  <a:pos x="T78" y="T79"/>
                </a:cxn>
              </a:cxnLst>
              <a:rect l="T120" t="T121" r="T122" b="T123"/>
              <a:pathLst>
                <a:path w="16" h="8">
                  <a:moveTo>
                    <a:pt x="6" y="0"/>
                  </a:moveTo>
                  <a:lnTo>
                    <a:pt x="5" y="0"/>
                  </a:lnTo>
                  <a:lnTo>
                    <a:pt x="4" y="0"/>
                  </a:lnTo>
                  <a:lnTo>
                    <a:pt x="3" y="0"/>
                  </a:lnTo>
                  <a:lnTo>
                    <a:pt x="2" y="1"/>
                  </a:lnTo>
                  <a:lnTo>
                    <a:pt x="1" y="1"/>
                  </a:lnTo>
                  <a:lnTo>
                    <a:pt x="0" y="1"/>
                  </a:lnTo>
                  <a:lnTo>
                    <a:pt x="0" y="2"/>
                  </a:lnTo>
                  <a:lnTo>
                    <a:pt x="0" y="3"/>
                  </a:lnTo>
                  <a:lnTo>
                    <a:pt x="2" y="5"/>
                  </a:lnTo>
                  <a:lnTo>
                    <a:pt x="3" y="5"/>
                  </a:lnTo>
                  <a:lnTo>
                    <a:pt x="4" y="7"/>
                  </a:lnTo>
                  <a:lnTo>
                    <a:pt x="5" y="7"/>
                  </a:lnTo>
                  <a:lnTo>
                    <a:pt x="5" y="8"/>
                  </a:lnTo>
                  <a:lnTo>
                    <a:pt x="6" y="8"/>
                  </a:lnTo>
                  <a:lnTo>
                    <a:pt x="7" y="8"/>
                  </a:lnTo>
                  <a:lnTo>
                    <a:pt x="8" y="7"/>
                  </a:lnTo>
                  <a:lnTo>
                    <a:pt x="9" y="7"/>
                  </a:lnTo>
                  <a:lnTo>
                    <a:pt x="11" y="7"/>
                  </a:lnTo>
                  <a:lnTo>
                    <a:pt x="11" y="5"/>
                  </a:lnTo>
                  <a:lnTo>
                    <a:pt x="12" y="5"/>
                  </a:lnTo>
                  <a:lnTo>
                    <a:pt x="13" y="5"/>
                  </a:lnTo>
                  <a:lnTo>
                    <a:pt x="13" y="4"/>
                  </a:lnTo>
                  <a:lnTo>
                    <a:pt x="14" y="4"/>
                  </a:lnTo>
                  <a:lnTo>
                    <a:pt x="15" y="3"/>
                  </a:lnTo>
                  <a:lnTo>
                    <a:pt x="16" y="3"/>
                  </a:lnTo>
                  <a:lnTo>
                    <a:pt x="16" y="2"/>
                  </a:lnTo>
                  <a:lnTo>
                    <a:pt x="15" y="1"/>
                  </a:lnTo>
                  <a:lnTo>
                    <a:pt x="14" y="1"/>
                  </a:lnTo>
                  <a:lnTo>
                    <a:pt x="13" y="1"/>
                  </a:lnTo>
                  <a:lnTo>
                    <a:pt x="13" y="0"/>
                  </a:lnTo>
                  <a:lnTo>
                    <a:pt x="12" y="0"/>
                  </a:lnTo>
                  <a:lnTo>
                    <a:pt x="11" y="0"/>
                  </a:lnTo>
                  <a:lnTo>
                    <a:pt x="9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96" name="Freeform 17">
              <a:extLst>
                <a:ext uri="{FF2B5EF4-FFF2-40B4-BE49-F238E27FC236}">
                  <a16:creationId xmlns:a16="http://schemas.microsoft.com/office/drawing/2014/main" id="{00000000-0008-0000-0300-000074050000}"/>
                </a:ext>
              </a:extLst>
            </xdr:cNvPr>
            <xdr:cNvSpPr>
              <a:spLocks/>
            </xdr:cNvSpPr>
          </xdr:nvSpPr>
          <xdr:spPr bwMode="auto">
            <a:xfrm>
              <a:off x="14" y="22"/>
              <a:ext cx="1" cy="1"/>
            </a:xfrm>
            <a:custGeom>
              <a:avLst/>
              <a:gdLst>
                <a:gd name="T0" fmla="*/ 0 w 17"/>
                <a:gd name="T1" fmla="*/ 0 h 11"/>
                <a:gd name="T2" fmla="*/ 0 w 17"/>
                <a:gd name="T3" fmla="*/ 0 h 11"/>
                <a:gd name="T4" fmla="*/ 0 w 17"/>
                <a:gd name="T5" fmla="*/ 0 h 11"/>
                <a:gd name="T6" fmla="*/ 0 w 17"/>
                <a:gd name="T7" fmla="*/ 0 h 11"/>
                <a:gd name="T8" fmla="*/ 0 w 17"/>
                <a:gd name="T9" fmla="*/ 0 h 11"/>
                <a:gd name="T10" fmla="*/ 0 w 17"/>
                <a:gd name="T11" fmla="*/ 0 h 11"/>
                <a:gd name="T12" fmla="*/ 0 w 17"/>
                <a:gd name="T13" fmla="*/ 0 h 11"/>
                <a:gd name="T14" fmla="*/ 0 w 17"/>
                <a:gd name="T15" fmla="*/ 0 h 11"/>
                <a:gd name="T16" fmla="*/ 0 w 17"/>
                <a:gd name="T17" fmla="*/ 0 h 11"/>
                <a:gd name="T18" fmla="*/ 0 w 17"/>
                <a:gd name="T19" fmla="*/ 0 h 11"/>
                <a:gd name="T20" fmla="*/ 0 w 17"/>
                <a:gd name="T21" fmla="*/ 0 h 11"/>
                <a:gd name="T22" fmla="*/ 0 w 17"/>
                <a:gd name="T23" fmla="*/ 0 h 11"/>
                <a:gd name="T24" fmla="*/ 0 w 17"/>
                <a:gd name="T25" fmla="*/ 0 h 11"/>
                <a:gd name="T26" fmla="*/ 0 w 17"/>
                <a:gd name="T27" fmla="*/ 0 h 11"/>
                <a:gd name="T28" fmla="*/ 0 w 17"/>
                <a:gd name="T29" fmla="*/ 0 h 11"/>
                <a:gd name="T30" fmla="*/ 0 w 17"/>
                <a:gd name="T31" fmla="*/ 0 h 11"/>
                <a:gd name="T32" fmla="*/ 0 w 17"/>
                <a:gd name="T33" fmla="*/ 0 h 11"/>
                <a:gd name="T34" fmla="*/ 0 w 17"/>
                <a:gd name="T35" fmla="*/ 0 h 11"/>
                <a:gd name="T36" fmla="*/ 0 w 17"/>
                <a:gd name="T37" fmla="*/ 0 h 11"/>
                <a:gd name="T38" fmla="*/ 0 w 17"/>
                <a:gd name="T39" fmla="*/ 0 h 11"/>
                <a:gd name="T40" fmla="*/ 0 w 17"/>
                <a:gd name="T41" fmla="*/ 0 h 11"/>
                <a:gd name="T42" fmla="*/ 0 w 17"/>
                <a:gd name="T43" fmla="*/ 0 h 11"/>
                <a:gd name="T44" fmla="*/ 0 w 17"/>
                <a:gd name="T45" fmla="*/ 0 h 11"/>
                <a:gd name="T46" fmla="*/ 0 w 17"/>
                <a:gd name="T47" fmla="*/ 0 h 11"/>
                <a:gd name="T48" fmla="*/ 0 w 17"/>
                <a:gd name="T49" fmla="*/ 0 h 11"/>
                <a:gd name="T50" fmla="*/ 0 w 17"/>
                <a:gd name="T51" fmla="*/ 0 h 11"/>
                <a:gd name="T52" fmla="*/ 0 w 17"/>
                <a:gd name="T53" fmla="*/ 0 h 11"/>
                <a:gd name="T54" fmla="*/ 0 w 17"/>
                <a:gd name="T55" fmla="*/ 0 h 11"/>
                <a:gd name="T56" fmla="*/ 0 w 17"/>
                <a:gd name="T57" fmla="*/ 0 h 11"/>
                <a:gd name="T58" fmla="*/ 0 w 17"/>
                <a:gd name="T59" fmla="*/ 0 h 11"/>
                <a:gd name="T60" fmla="*/ 0 w 17"/>
                <a:gd name="T61" fmla="*/ 0 h 11"/>
                <a:gd name="T62" fmla="*/ 0 w 17"/>
                <a:gd name="T63" fmla="*/ 0 h 11"/>
                <a:gd name="T64" fmla="*/ 0 w 17"/>
                <a:gd name="T65" fmla="*/ 0 h 11"/>
                <a:gd name="T66" fmla="*/ 0 w 17"/>
                <a:gd name="T67" fmla="*/ 0 h 11"/>
                <a:gd name="T68" fmla="*/ 0 w 17"/>
                <a:gd name="T69" fmla="*/ 0 h 11"/>
                <a:gd name="T70" fmla="*/ 0 w 17"/>
                <a:gd name="T71" fmla="*/ 0 h 11"/>
                <a:gd name="T72" fmla="*/ 0 w 17"/>
                <a:gd name="T73" fmla="*/ 0 h 11"/>
                <a:gd name="T74" fmla="*/ 0 w 17"/>
                <a:gd name="T75" fmla="*/ 0 h 11"/>
                <a:gd name="T76" fmla="*/ 0 w 17"/>
                <a:gd name="T77" fmla="*/ 0 h 11"/>
                <a:gd name="T78" fmla="*/ 0 60000 65536"/>
                <a:gd name="T79" fmla="*/ 0 60000 65536"/>
                <a:gd name="T80" fmla="*/ 0 60000 65536"/>
                <a:gd name="T81" fmla="*/ 0 60000 65536"/>
                <a:gd name="T82" fmla="*/ 0 60000 65536"/>
                <a:gd name="T83" fmla="*/ 0 60000 65536"/>
                <a:gd name="T84" fmla="*/ 0 60000 65536"/>
                <a:gd name="T85" fmla="*/ 0 60000 65536"/>
                <a:gd name="T86" fmla="*/ 0 60000 65536"/>
                <a:gd name="T87" fmla="*/ 0 60000 65536"/>
                <a:gd name="T88" fmla="*/ 0 60000 65536"/>
                <a:gd name="T89" fmla="*/ 0 60000 65536"/>
                <a:gd name="T90" fmla="*/ 0 60000 65536"/>
                <a:gd name="T91" fmla="*/ 0 60000 65536"/>
                <a:gd name="T92" fmla="*/ 0 60000 65536"/>
                <a:gd name="T93" fmla="*/ 0 60000 65536"/>
                <a:gd name="T94" fmla="*/ 0 60000 65536"/>
                <a:gd name="T95" fmla="*/ 0 60000 65536"/>
                <a:gd name="T96" fmla="*/ 0 60000 65536"/>
                <a:gd name="T97" fmla="*/ 0 60000 65536"/>
                <a:gd name="T98" fmla="*/ 0 60000 65536"/>
                <a:gd name="T99" fmla="*/ 0 60000 65536"/>
                <a:gd name="T100" fmla="*/ 0 60000 65536"/>
                <a:gd name="T101" fmla="*/ 0 60000 65536"/>
                <a:gd name="T102" fmla="*/ 0 60000 65536"/>
                <a:gd name="T103" fmla="*/ 0 60000 65536"/>
                <a:gd name="T104" fmla="*/ 0 60000 65536"/>
                <a:gd name="T105" fmla="*/ 0 60000 65536"/>
                <a:gd name="T106" fmla="*/ 0 60000 65536"/>
                <a:gd name="T107" fmla="*/ 0 60000 65536"/>
                <a:gd name="T108" fmla="*/ 0 60000 65536"/>
                <a:gd name="T109" fmla="*/ 0 60000 65536"/>
                <a:gd name="T110" fmla="*/ 0 60000 65536"/>
                <a:gd name="T111" fmla="*/ 0 60000 65536"/>
                <a:gd name="T112" fmla="*/ 0 60000 65536"/>
                <a:gd name="T113" fmla="*/ 0 60000 65536"/>
                <a:gd name="T114" fmla="*/ 0 60000 65536"/>
                <a:gd name="T115" fmla="*/ 0 60000 65536"/>
                <a:gd name="T116" fmla="*/ 0 60000 65536"/>
                <a:gd name="T117" fmla="*/ 0 w 17"/>
                <a:gd name="T118" fmla="*/ 0 h 11"/>
                <a:gd name="T119" fmla="*/ 17 w 17"/>
                <a:gd name="T120" fmla="*/ 11 h 11"/>
              </a:gdLst>
              <a:ahLst/>
              <a:cxnLst>
                <a:cxn ang="T78">
                  <a:pos x="T0" y="T1"/>
                </a:cxn>
                <a:cxn ang="T79">
                  <a:pos x="T2" y="T3"/>
                </a:cxn>
                <a:cxn ang="T80">
                  <a:pos x="T4" y="T5"/>
                </a:cxn>
                <a:cxn ang="T81">
                  <a:pos x="T6" y="T7"/>
                </a:cxn>
                <a:cxn ang="T82">
                  <a:pos x="T8" y="T9"/>
                </a:cxn>
                <a:cxn ang="T83">
                  <a:pos x="T10" y="T11"/>
                </a:cxn>
                <a:cxn ang="T84">
                  <a:pos x="T12" y="T13"/>
                </a:cxn>
                <a:cxn ang="T85">
                  <a:pos x="T14" y="T15"/>
                </a:cxn>
                <a:cxn ang="T86">
                  <a:pos x="T16" y="T17"/>
                </a:cxn>
                <a:cxn ang="T87">
                  <a:pos x="T18" y="T19"/>
                </a:cxn>
                <a:cxn ang="T88">
                  <a:pos x="T20" y="T21"/>
                </a:cxn>
                <a:cxn ang="T89">
                  <a:pos x="T22" y="T23"/>
                </a:cxn>
                <a:cxn ang="T90">
                  <a:pos x="T24" y="T25"/>
                </a:cxn>
                <a:cxn ang="T91">
                  <a:pos x="T26" y="T27"/>
                </a:cxn>
                <a:cxn ang="T92">
                  <a:pos x="T28" y="T29"/>
                </a:cxn>
                <a:cxn ang="T93">
                  <a:pos x="T30" y="T31"/>
                </a:cxn>
                <a:cxn ang="T94">
                  <a:pos x="T32" y="T33"/>
                </a:cxn>
                <a:cxn ang="T95">
                  <a:pos x="T34" y="T35"/>
                </a:cxn>
                <a:cxn ang="T96">
                  <a:pos x="T36" y="T37"/>
                </a:cxn>
                <a:cxn ang="T97">
                  <a:pos x="T38" y="T39"/>
                </a:cxn>
                <a:cxn ang="T98">
                  <a:pos x="T40" y="T41"/>
                </a:cxn>
                <a:cxn ang="T99">
                  <a:pos x="T42" y="T43"/>
                </a:cxn>
                <a:cxn ang="T100">
                  <a:pos x="T44" y="T45"/>
                </a:cxn>
                <a:cxn ang="T101">
                  <a:pos x="T46" y="T47"/>
                </a:cxn>
                <a:cxn ang="T102">
                  <a:pos x="T48" y="T49"/>
                </a:cxn>
                <a:cxn ang="T103">
                  <a:pos x="T50" y="T51"/>
                </a:cxn>
                <a:cxn ang="T104">
                  <a:pos x="T52" y="T53"/>
                </a:cxn>
                <a:cxn ang="T105">
                  <a:pos x="T54" y="T55"/>
                </a:cxn>
                <a:cxn ang="T106">
                  <a:pos x="T56" y="T57"/>
                </a:cxn>
                <a:cxn ang="T107">
                  <a:pos x="T58" y="T59"/>
                </a:cxn>
                <a:cxn ang="T108">
                  <a:pos x="T60" y="T61"/>
                </a:cxn>
                <a:cxn ang="T109">
                  <a:pos x="T62" y="T63"/>
                </a:cxn>
                <a:cxn ang="T110">
                  <a:pos x="T64" y="T65"/>
                </a:cxn>
                <a:cxn ang="T111">
                  <a:pos x="T66" y="T67"/>
                </a:cxn>
                <a:cxn ang="T112">
                  <a:pos x="T68" y="T69"/>
                </a:cxn>
                <a:cxn ang="T113">
                  <a:pos x="T70" y="T71"/>
                </a:cxn>
                <a:cxn ang="T114">
                  <a:pos x="T72" y="T73"/>
                </a:cxn>
                <a:cxn ang="T115">
                  <a:pos x="T74" y="T75"/>
                </a:cxn>
                <a:cxn ang="T116">
                  <a:pos x="T76" y="T77"/>
                </a:cxn>
              </a:cxnLst>
              <a:rect l="T117" t="T118" r="T119" b="T120"/>
              <a:pathLst>
                <a:path w="17" h="11">
                  <a:moveTo>
                    <a:pt x="6" y="2"/>
                  </a:moveTo>
                  <a:lnTo>
                    <a:pt x="6" y="2"/>
                  </a:lnTo>
                  <a:lnTo>
                    <a:pt x="5" y="2"/>
                  </a:lnTo>
                  <a:lnTo>
                    <a:pt x="5" y="3"/>
                  </a:lnTo>
                  <a:lnTo>
                    <a:pt x="3" y="5"/>
                  </a:lnTo>
                  <a:lnTo>
                    <a:pt x="3" y="6"/>
                  </a:lnTo>
                  <a:lnTo>
                    <a:pt x="2" y="6"/>
                  </a:lnTo>
                  <a:lnTo>
                    <a:pt x="2" y="7"/>
                  </a:lnTo>
                  <a:lnTo>
                    <a:pt x="2" y="8"/>
                  </a:lnTo>
                  <a:lnTo>
                    <a:pt x="0" y="8"/>
                  </a:lnTo>
                  <a:lnTo>
                    <a:pt x="0" y="9"/>
                  </a:lnTo>
                  <a:lnTo>
                    <a:pt x="2" y="9"/>
                  </a:lnTo>
                  <a:lnTo>
                    <a:pt x="2" y="10"/>
                  </a:lnTo>
                  <a:lnTo>
                    <a:pt x="3" y="10"/>
                  </a:lnTo>
                  <a:lnTo>
                    <a:pt x="4" y="10"/>
                  </a:lnTo>
                  <a:lnTo>
                    <a:pt x="4" y="11"/>
                  </a:lnTo>
                  <a:lnTo>
                    <a:pt x="5" y="11"/>
                  </a:lnTo>
                  <a:lnTo>
                    <a:pt x="6" y="11"/>
                  </a:lnTo>
                  <a:lnTo>
                    <a:pt x="7" y="11"/>
                  </a:lnTo>
                  <a:lnTo>
                    <a:pt x="8" y="11"/>
                  </a:lnTo>
                  <a:lnTo>
                    <a:pt x="12" y="11"/>
                  </a:lnTo>
                  <a:lnTo>
                    <a:pt x="13" y="11"/>
                  </a:lnTo>
                  <a:lnTo>
                    <a:pt x="14" y="10"/>
                  </a:lnTo>
                  <a:lnTo>
                    <a:pt x="14" y="9"/>
                  </a:lnTo>
                  <a:lnTo>
                    <a:pt x="15" y="9"/>
                  </a:lnTo>
                  <a:lnTo>
                    <a:pt x="15" y="8"/>
                  </a:lnTo>
                  <a:lnTo>
                    <a:pt x="16" y="7"/>
                  </a:lnTo>
                  <a:lnTo>
                    <a:pt x="16" y="6"/>
                  </a:lnTo>
                  <a:lnTo>
                    <a:pt x="16" y="5"/>
                  </a:lnTo>
                  <a:lnTo>
                    <a:pt x="17" y="5"/>
                  </a:lnTo>
                  <a:lnTo>
                    <a:pt x="17" y="3"/>
                  </a:lnTo>
                  <a:lnTo>
                    <a:pt x="17" y="1"/>
                  </a:lnTo>
                  <a:lnTo>
                    <a:pt x="16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12" y="1"/>
                  </a:lnTo>
                  <a:lnTo>
                    <a:pt x="10" y="1"/>
                  </a:lnTo>
                  <a:lnTo>
                    <a:pt x="9" y="1"/>
                  </a:lnTo>
                  <a:lnTo>
                    <a:pt x="8" y="1"/>
                  </a:lnTo>
                  <a:lnTo>
                    <a:pt x="7" y="1"/>
                  </a:lnTo>
                  <a:lnTo>
                    <a:pt x="6" y="1"/>
                  </a:lnTo>
                  <a:lnTo>
                    <a:pt x="6" y="2"/>
                  </a:lnTo>
                  <a:close/>
                </a:path>
              </a:pathLst>
            </a:cu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  <xdr:sp macro="" textlink="">
        <xdr:nvSpPr>
          <xdr:cNvPr id="1372" name="Freeform 19">
            <a:extLst>
              <a:ext uri="{FF2B5EF4-FFF2-40B4-BE49-F238E27FC236}">
                <a16:creationId xmlns:a16="http://schemas.microsoft.com/office/drawing/2014/main" id="{00000000-0008-0000-0300-00005C050000}"/>
              </a:ext>
            </a:extLst>
          </xdr:cNvPr>
          <xdr:cNvSpPr>
            <a:spLocks/>
          </xdr:cNvSpPr>
        </xdr:nvSpPr>
        <xdr:spPr bwMode="auto">
          <a:xfrm>
            <a:off x="22" y="30"/>
            <a:ext cx="44" cy="28"/>
          </a:xfrm>
          <a:custGeom>
            <a:avLst/>
            <a:gdLst>
              <a:gd name="T0" fmla="*/ 0 w 449"/>
              <a:gd name="T1" fmla="*/ 0 h 284"/>
              <a:gd name="T2" fmla="*/ 0 w 449"/>
              <a:gd name="T3" fmla="*/ 0 h 284"/>
              <a:gd name="T4" fmla="*/ 0 w 449"/>
              <a:gd name="T5" fmla="*/ 0 h 284"/>
              <a:gd name="T6" fmla="*/ 0 w 449"/>
              <a:gd name="T7" fmla="*/ 0 h 284"/>
              <a:gd name="T8" fmla="*/ 0 w 449"/>
              <a:gd name="T9" fmla="*/ 0 h 28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449"/>
              <a:gd name="T16" fmla="*/ 0 h 284"/>
              <a:gd name="T17" fmla="*/ 449 w 449"/>
              <a:gd name="T18" fmla="*/ 284 h 284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449" h="284">
                <a:moveTo>
                  <a:pt x="225" y="0"/>
                </a:moveTo>
                <a:lnTo>
                  <a:pt x="0" y="224"/>
                </a:lnTo>
                <a:lnTo>
                  <a:pt x="218" y="284"/>
                </a:lnTo>
                <a:lnTo>
                  <a:pt x="449" y="224"/>
                </a:lnTo>
                <a:lnTo>
                  <a:pt x="225" y="0"/>
                </a:lnTo>
                <a:close/>
              </a:path>
            </a:pathLst>
          </a:cu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373" name="Group 28">
            <a:extLst>
              <a:ext uri="{FF2B5EF4-FFF2-40B4-BE49-F238E27FC236}">
                <a16:creationId xmlns:a16="http://schemas.microsoft.com/office/drawing/2014/main" id="{00000000-0008-0000-0300-00005D050000}"/>
              </a:ext>
            </a:extLst>
          </xdr:cNvPr>
          <xdr:cNvGrpSpPr>
            <a:grpSpLocks/>
          </xdr:cNvGrpSpPr>
        </xdr:nvGrpSpPr>
        <xdr:grpSpPr bwMode="auto">
          <a:xfrm>
            <a:off x="22" y="32"/>
            <a:ext cx="44" cy="21"/>
            <a:chOff x="22" y="32"/>
            <a:chExt cx="44" cy="21"/>
          </a:xfrm>
        </xdr:grpSpPr>
        <xdr:sp macro="" textlink="">
          <xdr:nvSpPr>
            <xdr:cNvPr id="1382" name="Freeform 20">
              <a:extLst>
                <a:ext uri="{FF2B5EF4-FFF2-40B4-BE49-F238E27FC236}">
                  <a16:creationId xmlns:a16="http://schemas.microsoft.com/office/drawing/2014/main" id="{00000000-0008-0000-0300-000066050000}"/>
                </a:ext>
              </a:extLst>
            </xdr:cNvPr>
            <xdr:cNvSpPr>
              <a:spLocks/>
            </xdr:cNvSpPr>
          </xdr:nvSpPr>
          <xdr:spPr bwMode="auto">
            <a:xfrm>
              <a:off x="22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0" y="63"/>
                  </a:moveTo>
                  <a:lnTo>
                    <a:pt x="62" y="0"/>
                  </a:lnTo>
                  <a:lnTo>
                    <a:pt x="62" y="63"/>
                  </a:lnTo>
                  <a:lnTo>
                    <a:pt x="50" y="63"/>
                  </a:lnTo>
                  <a:lnTo>
                    <a:pt x="50" y="28"/>
                  </a:lnTo>
                  <a:lnTo>
                    <a:pt x="16" y="63"/>
                  </a:lnTo>
                  <a:lnTo>
                    <a:pt x="0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83" name="Freeform 21">
              <a:extLst>
                <a:ext uri="{FF2B5EF4-FFF2-40B4-BE49-F238E27FC236}">
                  <a16:creationId xmlns:a16="http://schemas.microsoft.com/office/drawing/2014/main" id="{00000000-0008-0000-0300-000067050000}"/>
                </a:ext>
              </a:extLst>
            </xdr:cNvPr>
            <xdr:cNvSpPr>
              <a:spLocks/>
            </xdr:cNvSpPr>
          </xdr:nvSpPr>
          <xdr:spPr bwMode="auto">
            <a:xfrm>
              <a:off x="24" y="51"/>
              <a:ext cx="3" cy="1"/>
            </a:xfrm>
            <a:custGeom>
              <a:avLst/>
              <a:gdLst>
                <a:gd name="T0" fmla="*/ 0 w 27"/>
                <a:gd name="T1" fmla="*/ 0 h 9"/>
                <a:gd name="T2" fmla="*/ 0 w 27"/>
                <a:gd name="T3" fmla="*/ 0 h 9"/>
                <a:gd name="T4" fmla="*/ 0 w 27"/>
                <a:gd name="T5" fmla="*/ 0 h 9"/>
                <a:gd name="T6" fmla="*/ 0 w 27"/>
                <a:gd name="T7" fmla="*/ 0 h 9"/>
                <a:gd name="T8" fmla="*/ 0 w 27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7"/>
                <a:gd name="T16" fmla="*/ 0 h 9"/>
                <a:gd name="T17" fmla="*/ 27 w 27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7" h="9">
                  <a:moveTo>
                    <a:pt x="0" y="9"/>
                  </a:moveTo>
                  <a:lnTo>
                    <a:pt x="27" y="9"/>
                  </a:lnTo>
                  <a:lnTo>
                    <a:pt x="27" y="0"/>
                  </a:lnTo>
                  <a:lnTo>
                    <a:pt x="8" y="0"/>
                  </a:lnTo>
                  <a:lnTo>
                    <a:pt x="0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84" name="Freeform 22">
              <a:extLst>
                <a:ext uri="{FF2B5EF4-FFF2-40B4-BE49-F238E27FC236}">
                  <a16:creationId xmlns:a16="http://schemas.microsoft.com/office/drawing/2014/main" id="{00000000-0008-0000-0300-000068050000}"/>
                </a:ext>
              </a:extLst>
            </xdr:cNvPr>
            <xdr:cNvSpPr>
              <a:spLocks/>
            </xdr:cNvSpPr>
          </xdr:nvSpPr>
          <xdr:spPr bwMode="auto">
            <a:xfrm>
              <a:off x="30" y="39"/>
              <a:ext cx="5" cy="14"/>
            </a:xfrm>
            <a:custGeom>
              <a:avLst/>
              <a:gdLst>
                <a:gd name="T0" fmla="*/ 0 w 56"/>
                <a:gd name="T1" fmla="*/ 0 h 135"/>
                <a:gd name="T2" fmla="*/ 0 w 56"/>
                <a:gd name="T3" fmla="*/ 0 h 135"/>
                <a:gd name="T4" fmla="*/ 0 w 56"/>
                <a:gd name="T5" fmla="*/ 0 h 135"/>
                <a:gd name="T6" fmla="*/ 0 w 56"/>
                <a:gd name="T7" fmla="*/ 0 h 135"/>
                <a:gd name="T8" fmla="*/ 0 w 56"/>
                <a:gd name="T9" fmla="*/ 0 h 135"/>
                <a:gd name="T10" fmla="*/ 0 w 56"/>
                <a:gd name="T11" fmla="*/ 0 h 135"/>
                <a:gd name="T12" fmla="*/ 0 w 56"/>
                <a:gd name="T13" fmla="*/ 0 h 135"/>
                <a:gd name="T14" fmla="*/ 0 w 56"/>
                <a:gd name="T15" fmla="*/ 0 h 135"/>
                <a:gd name="T16" fmla="*/ 0 w 56"/>
                <a:gd name="T17" fmla="*/ 0 h 135"/>
                <a:gd name="T18" fmla="*/ 0 w 56"/>
                <a:gd name="T19" fmla="*/ 0 h 135"/>
                <a:gd name="T20" fmla="*/ 0 w 56"/>
                <a:gd name="T21" fmla="*/ 0 h 135"/>
                <a:gd name="T22" fmla="*/ 0 w 56"/>
                <a:gd name="T23" fmla="*/ 0 h 135"/>
                <a:gd name="T24" fmla="*/ 0 w 56"/>
                <a:gd name="T25" fmla="*/ 0 h 135"/>
                <a:gd name="T26" fmla="*/ 0 w 56"/>
                <a:gd name="T27" fmla="*/ 0 h 135"/>
                <a:gd name="T28" fmla="*/ 0 w 56"/>
                <a:gd name="T29" fmla="*/ 0 h 135"/>
                <a:gd name="T30" fmla="*/ 0 w 56"/>
                <a:gd name="T31" fmla="*/ 0 h 135"/>
                <a:gd name="T32" fmla="*/ 0 w 56"/>
                <a:gd name="T33" fmla="*/ 0 h 135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6"/>
                <a:gd name="T52" fmla="*/ 0 h 135"/>
                <a:gd name="T53" fmla="*/ 56 w 56"/>
                <a:gd name="T54" fmla="*/ 135 h 135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6" h="135">
                  <a:moveTo>
                    <a:pt x="0" y="116"/>
                  </a:moveTo>
                  <a:lnTo>
                    <a:pt x="0" y="135"/>
                  </a:lnTo>
                  <a:lnTo>
                    <a:pt x="56" y="135"/>
                  </a:lnTo>
                  <a:lnTo>
                    <a:pt x="56" y="85"/>
                  </a:lnTo>
                  <a:lnTo>
                    <a:pt x="13" y="85"/>
                  </a:lnTo>
                  <a:lnTo>
                    <a:pt x="13" y="60"/>
                  </a:lnTo>
                  <a:lnTo>
                    <a:pt x="44" y="28"/>
                  </a:lnTo>
                  <a:lnTo>
                    <a:pt x="44" y="54"/>
                  </a:lnTo>
                  <a:lnTo>
                    <a:pt x="56" y="54"/>
                  </a:lnTo>
                  <a:lnTo>
                    <a:pt x="56" y="0"/>
                  </a:lnTo>
                  <a:lnTo>
                    <a:pt x="0" y="57"/>
                  </a:lnTo>
                  <a:lnTo>
                    <a:pt x="0" y="97"/>
                  </a:lnTo>
                  <a:lnTo>
                    <a:pt x="44" y="97"/>
                  </a:lnTo>
                  <a:lnTo>
                    <a:pt x="44" y="122"/>
                  </a:lnTo>
                  <a:lnTo>
                    <a:pt x="13" y="122"/>
                  </a:lnTo>
                  <a:lnTo>
                    <a:pt x="13" y="116"/>
                  </a:lnTo>
                  <a:lnTo>
                    <a:pt x="0" y="116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85" name="Freeform 23">
              <a:extLst>
                <a:ext uri="{FF2B5EF4-FFF2-40B4-BE49-F238E27FC236}">
                  <a16:creationId xmlns:a16="http://schemas.microsoft.com/office/drawing/2014/main" id="{00000000-0008-0000-0300-000069050000}"/>
                </a:ext>
              </a:extLst>
            </xdr:cNvPr>
            <xdr:cNvSpPr>
              <a:spLocks/>
            </xdr:cNvSpPr>
          </xdr:nvSpPr>
          <xdr:spPr bwMode="auto">
            <a:xfrm>
              <a:off x="60" y="47"/>
              <a:ext cx="6" cy="6"/>
            </a:xfrm>
            <a:custGeom>
              <a:avLst/>
              <a:gdLst>
                <a:gd name="T0" fmla="*/ 0 w 62"/>
                <a:gd name="T1" fmla="*/ 0 h 63"/>
                <a:gd name="T2" fmla="*/ 0 w 62"/>
                <a:gd name="T3" fmla="*/ 0 h 63"/>
                <a:gd name="T4" fmla="*/ 0 w 62"/>
                <a:gd name="T5" fmla="*/ 0 h 63"/>
                <a:gd name="T6" fmla="*/ 0 w 62"/>
                <a:gd name="T7" fmla="*/ 0 h 63"/>
                <a:gd name="T8" fmla="*/ 0 w 62"/>
                <a:gd name="T9" fmla="*/ 0 h 63"/>
                <a:gd name="T10" fmla="*/ 0 w 62"/>
                <a:gd name="T11" fmla="*/ 0 h 63"/>
                <a:gd name="T12" fmla="*/ 0 w 62"/>
                <a:gd name="T13" fmla="*/ 0 h 63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2"/>
                <a:gd name="T22" fmla="*/ 0 h 63"/>
                <a:gd name="T23" fmla="*/ 62 w 62"/>
                <a:gd name="T24" fmla="*/ 63 h 63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2" h="63">
                  <a:moveTo>
                    <a:pt x="62" y="63"/>
                  </a:moveTo>
                  <a:lnTo>
                    <a:pt x="0" y="0"/>
                  </a:lnTo>
                  <a:lnTo>
                    <a:pt x="0" y="63"/>
                  </a:lnTo>
                  <a:lnTo>
                    <a:pt x="12" y="63"/>
                  </a:lnTo>
                  <a:lnTo>
                    <a:pt x="12" y="28"/>
                  </a:lnTo>
                  <a:lnTo>
                    <a:pt x="47" y="63"/>
                  </a:lnTo>
                  <a:lnTo>
                    <a:pt x="62" y="6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86" name="Freeform 24">
              <a:extLst>
                <a:ext uri="{FF2B5EF4-FFF2-40B4-BE49-F238E27FC236}">
                  <a16:creationId xmlns:a16="http://schemas.microsoft.com/office/drawing/2014/main" id="{00000000-0008-0000-0300-00006A050000}"/>
                </a:ext>
              </a:extLst>
            </xdr:cNvPr>
            <xdr:cNvSpPr>
              <a:spLocks/>
            </xdr:cNvSpPr>
          </xdr:nvSpPr>
          <xdr:spPr bwMode="auto">
            <a:xfrm>
              <a:off x="61" y="51"/>
              <a:ext cx="3" cy="1"/>
            </a:xfrm>
            <a:custGeom>
              <a:avLst/>
              <a:gdLst>
                <a:gd name="T0" fmla="*/ 0 w 29"/>
                <a:gd name="T1" fmla="*/ 0 h 9"/>
                <a:gd name="T2" fmla="*/ 0 w 29"/>
                <a:gd name="T3" fmla="*/ 0 h 9"/>
                <a:gd name="T4" fmla="*/ 0 w 29"/>
                <a:gd name="T5" fmla="*/ 0 h 9"/>
                <a:gd name="T6" fmla="*/ 0 w 29"/>
                <a:gd name="T7" fmla="*/ 0 h 9"/>
                <a:gd name="T8" fmla="*/ 0 w 29"/>
                <a:gd name="T9" fmla="*/ 0 h 9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29"/>
                <a:gd name="T16" fmla="*/ 0 h 9"/>
                <a:gd name="T17" fmla="*/ 29 w 29"/>
                <a:gd name="T18" fmla="*/ 9 h 9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29" h="9">
                  <a:moveTo>
                    <a:pt x="29" y="9"/>
                  </a:moveTo>
                  <a:lnTo>
                    <a:pt x="0" y="9"/>
                  </a:lnTo>
                  <a:lnTo>
                    <a:pt x="0" y="0"/>
                  </a:lnTo>
                  <a:lnTo>
                    <a:pt x="19" y="0"/>
                  </a:lnTo>
                  <a:lnTo>
                    <a:pt x="29" y="9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87" name="Freeform 25">
              <a:extLst>
                <a:ext uri="{FF2B5EF4-FFF2-40B4-BE49-F238E27FC236}">
                  <a16:creationId xmlns:a16="http://schemas.microsoft.com/office/drawing/2014/main" id="{00000000-0008-0000-0300-00006B050000}"/>
                </a:ext>
              </a:extLst>
            </xdr:cNvPr>
            <xdr:cNvSpPr>
              <a:spLocks/>
            </xdr:cNvSpPr>
          </xdr:nvSpPr>
          <xdr:spPr bwMode="auto">
            <a:xfrm>
              <a:off x="45" y="32"/>
              <a:ext cx="5" cy="21"/>
            </a:xfrm>
            <a:custGeom>
              <a:avLst/>
              <a:gdLst>
                <a:gd name="T0" fmla="*/ 0 w 56"/>
                <a:gd name="T1" fmla="*/ 0 h 212"/>
                <a:gd name="T2" fmla="*/ 0 w 56"/>
                <a:gd name="T3" fmla="*/ 0 h 212"/>
                <a:gd name="T4" fmla="*/ 0 w 56"/>
                <a:gd name="T5" fmla="*/ 0 h 212"/>
                <a:gd name="T6" fmla="*/ 0 w 56"/>
                <a:gd name="T7" fmla="*/ 0 h 212"/>
                <a:gd name="T8" fmla="*/ 0 w 56"/>
                <a:gd name="T9" fmla="*/ 0 h 212"/>
                <a:gd name="T10" fmla="*/ 0 w 56"/>
                <a:gd name="T11" fmla="*/ 0 h 212"/>
                <a:gd name="T12" fmla="*/ 0 w 56"/>
                <a:gd name="T13" fmla="*/ 0 h 212"/>
                <a:gd name="T14" fmla="*/ 0 w 56"/>
                <a:gd name="T15" fmla="*/ 0 h 212"/>
                <a:gd name="T16" fmla="*/ 0 w 56"/>
                <a:gd name="T17" fmla="*/ 0 h 212"/>
                <a:gd name="T18" fmla="*/ 0 w 56"/>
                <a:gd name="T19" fmla="*/ 0 h 212"/>
                <a:gd name="T20" fmla="*/ 0 w 56"/>
                <a:gd name="T21" fmla="*/ 0 h 212"/>
                <a:gd name="T22" fmla="*/ 0 w 56"/>
                <a:gd name="T23" fmla="*/ 0 h 212"/>
                <a:gd name="T24" fmla="*/ 0 w 56"/>
                <a:gd name="T25" fmla="*/ 0 h 212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w 56"/>
                <a:gd name="T40" fmla="*/ 0 h 212"/>
                <a:gd name="T41" fmla="*/ 56 w 56"/>
                <a:gd name="T42" fmla="*/ 212 h 212"/>
              </a:gdLst>
              <a:ahLst/>
              <a:cxnLst>
                <a:cxn ang="T26">
                  <a:pos x="T0" y="T1"/>
                </a:cxn>
                <a:cxn ang="T27">
                  <a:pos x="T2" y="T3"/>
                </a:cxn>
                <a:cxn ang="T28">
                  <a:pos x="T4" y="T5"/>
                </a:cxn>
                <a:cxn ang="T29">
                  <a:pos x="T6" y="T7"/>
                </a:cxn>
                <a:cxn ang="T30">
                  <a:pos x="T8" y="T9"/>
                </a:cxn>
                <a:cxn ang="T31">
                  <a:pos x="T10" y="T11"/>
                </a:cxn>
                <a:cxn ang="T32">
                  <a:pos x="T12" y="T13"/>
                </a:cxn>
                <a:cxn ang="T33">
                  <a:pos x="T14" y="T15"/>
                </a:cxn>
                <a:cxn ang="T34">
                  <a:pos x="T16" y="T17"/>
                </a:cxn>
                <a:cxn ang="T35">
                  <a:pos x="T18" y="T19"/>
                </a:cxn>
                <a:cxn ang="T36">
                  <a:pos x="T20" y="T21"/>
                </a:cxn>
                <a:cxn ang="T37">
                  <a:pos x="T22" y="T23"/>
                </a:cxn>
                <a:cxn ang="T38">
                  <a:pos x="T24" y="T25"/>
                </a:cxn>
              </a:cxnLst>
              <a:rect l="T39" t="T40" r="T41" b="T42"/>
              <a:pathLst>
                <a:path w="56" h="212">
                  <a:moveTo>
                    <a:pt x="56" y="193"/>
                  </a:moveTo>
                  <a:lnTo>
                    <a:pt x="56" y="212"/>
                  </a:lnTo>
                  <a:lnTo>
                    <a:pt x="0" y="212"/>
                  </a:lnTo>
                  <a:lnTo>
                    <a:pt x="0" y="0"/>
                  </a:lnTo>
                  <a:lnTo>
                    <a:pt x="56" y="55"/>
                  </a:lnTo>
                  <a:lnTo>
                    <a:pt x="56" y="93"/>
                  </a:lnTo>
                  <a:lnTo>
                    <a:pt x="43" y="93"/>
                  </a:lnTo>
                  <a:lnTo>
                    <a:pt x="43" y="62"/>
                  </a:lnTo>
                  <a:lnTo>
                    <a:pt x="12" y="31"/>
                  </a:lnTo>
                  <a:lnTo>
                    <a:pt x="12" y="199"/>
                  </a:lnTo>
                  <a:lnTo>
                    <a:pt x="43" y="199"/>
                  </a:lnTo>
                  <a:lnTo>
                    <a:pt x="43" y="193"/>
                  </a:lnTo>
                  <a:lnTo>
                    <a:pt x="56" y="193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88" name="Freeform 26">
              <a:extLst>
                <a:ext uri="{FF2B5EF4-FFF2-40B4-BE49-F238E27FC236}">
                  <a16:creationId xmlns:a16="http://schemas.microsoft.com/office/drawing/2014/main" id="{00000000-0008-0000-0300-00006C050000}"/>
                </a:ext>
              </a:extLst>
            </xdr:cNvPr>
            <xdr:cNvSpPr>
              <a:spLocks/>
            </xdr:cNvSpPr>
          </xdr:nvSpPr>
          <xdr:spPr bwMode="auto">
            <a:xfrm>
              <a:off x="52" y="39"/>
              <a:ext cx="6" cy="14"/>
            </a:xfrm>
            <a:custGeom>
              <a:avLst/>
              <a:gdLst>
                <a:gd name="T0" fmla="*/ 0 w 55"/>
                <a:gd name="T1" fmla="*/ 0 h 138"/>
                <a:gd name="T2" fmla="*/ 0 w 55"/>
                <a:gd name="T3" fmla="*/ 0 h 138"/>
                <a:gd name="T4" fmla="*/ 0 w 55"/>
                <a:gd name="T5" fmla="*/ 0 h 138"/>
                <a:gd name="T6" fmla="*/ 0 w 55"/>
                <a:gd name="T7" fmla="*/ 0 h 138"/>
                <a:gd name="T8" fmla="*/ 0 w 55"/>
                <a:gd name="T9" fmla="*/ 0 h 138"/>
                <a:gd name="T10" fmla="*/ 0 w 55"/>
                <a:gd name="T11" fmla="*/ 0 h 138"/>
                <a:gd name="T12" fmla="*/ 0 w 55"/>
                <a:gd name="T13" fmla="*/ 0 h 138"/>
                <a:gd name="T14" fmla="*/ 0 w 55"/>
                <a:gd name="T15" fmla="*/ 0 h 138"/>
                <a:gd name="T16" fmla="*/ 0 w 55"/>
                <a:gd name="T17" fmla="*/ 0 h 138"/>
                <a:gd name="T18" fmla="*/ 0 w 55"/>
                <a:gd name="T19" fmla="*/ 0 h 138"/>
                <a:gd name="T20" fmla="*/ 0 w 55"/>
                <a:gd name="T21" fmla="*/ 0 h 138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w 55"/>
                <a:gd name="T34" fmla="*/ 0 h 138"/>
                <a:gd name="T35" fmla="*/ 55 w 55"/>
                <a:gd name="T36" fmla="*/ 138 h 138"/>
              </a:gdLst>
              <a:ahLst/>
              <a:cxnLst>
                <a:cxn ang="T22">
                  <a:pos x="T0" y="T1"/>
                </a:cxn>
                <a:cxn ang="T23">
                  <a:pos x="T2" y="T3"/>
                </a:cxn>
                <a:cxn ang="T24">
                  <a:pos x="T4" y="T5"/>
                </a:cxn>
                <a:cxn ang="T25">
                  <a:pos x="T6" y="T7"/>
                </a:cxn>
                <a:cxn ang="T26">
                  <a:pos x="T8" y="T9"/>
                </a:cxn>
                <a:cxn ang="T27">
                  <a:pos x="T10" y="T11"/>
                </a:cxn>
                <a:cxn ang="T28">
                  <a:pos x="T12" y="T13"/>
                </a:cxn>
                <a:cxn ang="T29">
                  <a:pos x="T14" y="T15"/>
                </a:cxn>
                <a:cxn ang="T30">
                  <a:pos x="T16" y="T17"/>
                </a:cxn>
                <a:cxn ang="T31">
                  <a:pos x="T18" y="T19"/>
                </a:cxn>
                <a:cxn ang="T32">
                  <a:pos x="T20" y="T21"/>
                </a:cxn>
              </a:cxnLst>
              <a:rect l="T33" t="T34" r="T35" b="T36"/>
              <a:pathLst>
                <a:path w="55" h="138">
                  <a:moveTo>
                    <a:pt x="0" y="138"/>
                  </a:moveTo>
                  <a:lnTo>
                    <a:pt x="0" y="0"/>
                  </a:lnTo>
                  <a:lnTo>
                    <a:pt x="24" y="26"/>
                  </a:lnTo>
                  <a:lnTo>
                    <a:pt x="43" y="100"/>
                  </a:lnTo>
                  <a:lnTo>
                    <a:pt x="43" y="44"/>
                  </a:lnTo>
                  <a:lnTo>
                    <a:pt x="55" y="57"/>
                  </a:lnTo>
                  <a:lnTo>
                    <a:pt x="55" y="138"/>
                  </a:lnTo>
                  <a:lnTo>
                    <a:pt x="40" y="138"/>
                  </a:lnTo>
                  <a:lnTo>
                    <a:pt x="12" y="31"/>
                  </a:lnTo>
                  <a:lnTo>
                    <a:pt x="12" y="138"/>
                  </a:lnTo>
                  <a:lnTo>
                    <a:pt x="0" y="138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89" name="Freeform 27">
              <a:extLst>
                <a:ext uri="{FF2B5EF4-FFF2-40B4-BE49-F238E27FC236}">
                  <a16:creationId xmlns:a16="http://schemas.microsoft.com/office/drawing/2014/main" id="{00000000-0008-0000-0300-00006D050000}"/>
                </a:ext>
              </a:extLst>
            </xdr:cNvPr>
            <xdr:cNvSpPr>
              <a:spLocks/>
            </xdr:cNvSpPr>
          </xdr:nvSpPr>
          <xdr:spPr bwMode="auto">
            <a:xfrm>
              <a:off x="37" y="32"/>
              <a:ext cx="6" cy="21"/>
            </a:xfrm>
            <a:custGeom>
              <a:avLst/>
              <a:gdLst>
                <a:gd name="T0" fmla="*/ 0 w 57"/>
                <a:gd name="T1" fmla="*/ 0 h 211"/>
                <a:gd name="T2" fmla="*/ 0 w 57"/>
                <a:gd name="T3" fmla="*/ 0 h 211"/>
                <a:gd name="T4" fmla="*/ 0 w 57"/>
                <a:gd name="T5" fmla="*/ 0 h 211"/>
                <a:gd name="T6" fmla="*/ 0 w 57"/>
                <a:gd name="T7" fmla="*/ 0 h 211"/>
                <a:gd name="T8" fmla="*/ 0 w 57"/>
                <a:gd name="T9" fmla="*/ 0 h 211"/>
                <a:gd name="T10" fmla="*/ 0 w 57"/>
                <a:gd name="T11" fmla="*/ 0 h 211"/>
                <a:gd name="T12" fmla="*/ 0 w 57"/>
                <a:gd name="T13" fmla="*/ 0 h 211"/>
                <a:gd name="T14" fmla="*/ 0 w 57"/>
                <a:gd name="T15" fmla="*/ 0 h 211"/>
                <a:gd name="T16" fmla="*/ 0 w 57"/>
                <a:gd name="T17" fmla="*/ 0 h 211"/>
                <a:gd name="T18" fmla="*/ 0 w 57"/>
                <a:gd name="T19" fmla="*/ 0 h 211"/>
                <a:gd name="T20" fmla="*/ 0 w 57"/>
                <a:gd name="T21" fmla="*/ 0 h 211"/>
                <a:gd name="T22" fmla="*/ 0 w 57"/>
                <a:gd name="T23" fmla="*/ 0 h 211"/>
                <a:gd name="T24" fmla="*/ 0 w 57"/>
                <a:gd name="T25" fmla="*/ 0 h 211"/>
                <a:gd name="T26" fmla="*/ 0 w 57"/>
                <a:gd name="T27" fmla="*/ 0 h 211"/>
                <a:gd name="T28" fmla="*/ 0 w 57"/>
                <a:gd name="T29" fmla="*/ 0 h 211"/>
                <a:gd name="T30" fmla="*/ 0 w 57"/>
                <a:gd name="T31" fmla="*/ 0 h 211"/>
                <a:gd name="T32" fmla="*/ 0 w 57"/>
                <a:gd name="T33" fmla="*/ 0 h 211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60000 65536"/>
                <a:gd name="T43" fmla="*/ 0 60000 65536"/>
                <a:gd name="T44" fmla="*/ 0 60000 65536"/>
                <a:gd name="T45" fmla="*/ 0 60000 65536"/>
                <a:gd name="T46" fmla="*/ 0 60000 65536"/>
                <a:gd name="T47" fmla="*/ 0 60000 65536"/>
                <a:gd name="T48" fmla="*/ 0 60000 65536"/>
                <a:gd name="T49" fmla="*/ 0 60000 65536"/>
                <a:gd name="T50" fmla="*/ 0 60000 65536"/>
                <a:gd name="T51" fmla="*/ 0 w 57"/>
                <a:gd name="T52" fmla="*/ 0 h 211"/>
                <a:gd name="T53" fmla="*/ 57 w 57"/>
                <a:gd name="T54" fmla="*/ 211 h 211"/>
              </a:gdLst>
              <a:ahLst/>
              <a:cxnLst>
                <a:cxn ang="T34">
                  <a:pos x="T0" y="T1"/>
                </a:cxn>
                <a:cxn ang="T35">
                  <a:pos x="T2" y="T3"/>
                </a:cxn>
                <a:cxn ang="T36">
                  <a:pos x="T4" y="T5"/>
                </a:cxn>
                <a:cxn ang="T37">
                  <a:pos x="T6" y="T7"/>
                </a:cxn>
                <a:cxn ang="T38">
                  <a:pos x="T8" y="T9"/>
                </a:cxn>
                <a:cxn ang="T39">
                  <a:pos x="T10" y="T11"/>
                </a:cxn>
                <a:cxn ang="T40">
                  <a:pos x="T12" y="T13"/>
                </a:cxn>
                <a:cxn ang="T41">
                  <a:pos x="T14" y="T15"/>
                </a:cxn>
                <a:cxn ang="T42">
                  <a:pos x="T16" y="T17"/>
                </a:cxn>
                <a:cxn ang="T43">
                  <a:pos x="T18" y="T19"/>
                </a:cxn>
                <a:cxn ang="T44">
                  <a:pos x="T20" y="T21"/>
                </a:cxn>
                <a:cxn ang="T45">
                  <a:pos x="T22" y="T23"/>
                </a:cxn>
                <a:cxn ang="T46">
                  <a:pos x="T24" y="T25"/>
                </a:cxn>
                <a:cxn ang="T47">
                  <a:pos x="T26" y="T27"/>
                </a:cxn>
                <a:cxn ang="T48">
                  <a:pos x="T28" y="T29"/>
                </a:cxn>
                <a:cxn ang="T49">
                  <a:pos x="T30" y="T31"/>
                </a:cxn>
                <a:cxn ang="T50">
                  <a:pos x="T32" y="T33"/>
                </a:cxn>
              </a:cxnLst>
              <a:rect l="T51" t="T52" r="T53" b="T54"/>
              <a:pathLst>
                <a:path w="57" h="211">
                  <a:moveTo>
                    <a:pt x="57" y="192"/>
                  </a:moveTo>
                  <a:lnTo>
                    <a:pt x="57" y="211"/>
                  </a:lnTo>
                  <a:lnTo>
                    <a:pt x="0" y="211"/>
                  </a:lnTo>
                  <a:lnTo>
                    <a:pt x="0" y="58"/>
                  </a:lnTo>
                  <a:lnTo>
                    <a:pt x="57" y="0"/>
                  </a:lnTo>
                  <a:lnTo>
                    <a:pt x="57" y="51"/>
                  </a:lnTo>
                  <a:lnTo>
                    <a:pt x="45" y="51"/>
                  </a:lnTo>
                  <a:lnTo>
                    <a:pt x="45" y="30"/>
                  </a:lnTo>
                  <a:lnTo>
                    <a:pt x="12" y="61"/>
                  </a:lnTo>
                  <a:lnTo>
                    <a:pt x="12" y="117"/>
                  </a:lnTo>
                  <a:lnTo>
                    <a:pt x="57" y="117"/>
                  </a:lnTo>
                  <a:lnTo>
                    <a:pt x="57" y="130"/>
                  </a:lnTo>
                  <a:lnTo>
                    <a:pt x="12" y="130"/>
                  </a:lnTo>
                  <a:lnTo>
                    <a:pt x="12" y="198"/>
                  </a:lnTo>
                  <a:lnTo>
                    <a:pt x="45" y="198"/>
                  </a:lnTo>
                  <a:lnTo>
                    <a:pt x="45" y="192"/>
                  </a:lnTo>
                  <a:lnTo>
                    <a:pt x="57" y="192"/>
                  </a:lnTo>
                  <a:close/>
                </a:path>
              </a:pathLst>
            </a:custGeom>
            <a:solidFill>
              <a:srgbClr val="000000"/>
            </a:solidFill>
            <a:ln w="0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374" name="Freeform 29">
            <a:extLst>
              <a:ext uri="{FF2B5EF4-FFF2-40B4-BE49-F238E27FC236}">
                <a16:creationId xmlns:a16="http://schemas.microsoft.com/office/drawing/2014/main" id="{00000000-0008-0000-0300-00005E050000}"/>
              </a:ext>
            </a:extLst>
          </xdr:cNvPr>
          <xdr:cNvSpPr>
            <a:spLocks/>
          </xdr:cNvSpPr>
        </xdr:nvSpPr>
        <xdr:spPr bwMode="auto">
          <a:xfrm>
            <a:off x="19" y="29"/>
            <a:ext cx="50" cy="26"/>
          </a:xfrm>
          <a:custGeom>
            <a:avLst/>
            <a:gdLst>
              <a:gd name="T0" fmla="*/ 0 w 496"/>
              <a:gd name="T1" fmla="*/ 0 h 252"/>
              <a:gd name="T2" fmla="*/ 0 w 496"/>
              <a:gd name="T3" fmla="*/ 0 h 252"/>
              <a:gd name="T4" fmla="*/ 0 w 496"/>
              <a:gd name="T5" fmla="*/ 0 h 252"/>
              <a:gd name="T6" fmla="*/ 0 w 496"/>
              <a:gd name="T7" fmla="*/ 0 h 252"/>
              <a:gd name="T8" fmla="*/ 0 w 496"/>
              <a:gd name="T9" fmla="*/ 0 h 252"/>
              <a:gd name="T10" fmla="*/ 0 w 496"/>
              <a:gd name="T11" fmla="*/ 0 h 252"/>
              <a:gd name="T12" fmla="*/ 0 w 496"/>
              <a:gd name="T13" fmla="*/ 0 h 25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496"/>
              <a:gd name="T22" fmla="*/ 0 h 252"/>
              <a:gd name="T23" fmla="*/ 496 w 496"/>
              <a:gd name="T24" fmla="*/ 252 h 25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496" h="252">
                <a:moveTo>
                  <a:pt x="9" y="252"/>
                </a:moveTo>
                <a:lnTo>
                  <a:pt x="246" y="12"/>
                </a:lnTo>
                <a:lnTo>
                  <a:pt x="486" y="252"/>
                </a:lnTo>
                <a:lnTo>
                  <a:pt x="496" y="247"/>
                </a:lnTo>
                <a:lnTo>
                  <a:pt x="246" y="0"/>
                </a:lnTo>
                <a:lnTo>
                  <a:pt x="0" y="247"/>
                </a:lnTo>
                <a:lnTo>
                  <a:pt x="9" y="252"/>
                </a:lnTo>
                <a:close/>
              </a:path>
            </a:pathLst>
          </a:custGeom>
          <a:solidFill>
            <a:srgbClr val="808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grpSp>
        <xdr:nvGrpSpPr>
          <xdr:cNvPr id="1375" name="Group 36">
            <a:extLst>
              <a:ext uri="{FF2B5EF4-FFF2-40B4-BE49-F238E27FC236}">
                <a16:creationId xmlns:a16="http://schemas.microsoft.com/office/drawing/2014/main" id="{00000000-0008-0000-0300-00005F050000}"/>
              </a:ext>
            </a:extLst>
          </xdr:cNvPr>
          <xdr:cNvGrpSpPr>
            <a:grpSpLocks/>
          </xdr:cNvGrpSpPr>
        </xdr:nvGrpSpPr>
        <xdr:grpSpPr bwMode="auto">
          <a:xfrm>
            <a:off x="2" y="39"/>
            <a:ext cx="84" cy="32"/>
            <a:chOff x="2" y="39"/>
            <a:chExt cx="84" cy="32"/>
          </a:xfrm>
        </xdr:grpSpPr>
        <xdr:sp macro="" textlink="">
          <xdr:nvSpPr>
            <xdr:cNvPr id="1376" name="Freeform 30">
              <a:extLst>
                <a:ext uri="{FF2B5EF4-FFF2-40B4-BE49-F238E27FC236}">
                  <a16:creationId xmlns:a16="http://schemas.microsoft.com/office/drawing/2014/main" id="{00000000-0008-0000-0300-000060050000}"/>
                </a:ext>
              </a:extLst>
            </xdr:cNvPr>
            <xdr:cNvSpPr>
              <a:spLocks/>
            </xdr:cNvSpPr>
          </xdr:nvSpPr>
          <xdr:spPr bwMode="auto">
            <a:xfrm>
              <a:off x="54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316" y="0"/>
                  </a:moveTo>
                  <a:lnTo>
                    <a:pt x="147" y="268"/>
                  </a:lnTo>
                  <a:lnTo>
                    <a:pt x="0" y="268"/>
                  </a:lnTo>
                  <a:lnTo>
                    <a:pt x="31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77" name="Freeform 31">
              <a:extLst>
                <a:ext uri="{FF2B5EF4-FFF2-40B4-BE49-F238E27FC236}">
                  <a16:creationId xmlns:a16="http://schemas.microsoft.com/office/drawing/2014/main" id="{00000000-0008-0000-0300-000061050000}"/>
                </a:ext>
              </a:extLst>
            </xdr:cNvPr>
            <xdr:cNvSpPr>
              <a:spLocks/>
            </xdr:cNvSpPr>
          </xdr:nvSpPr>
          <xdr:spPr bwMode="auto">
            <a:xfrm>
              <a:off x="44" y="54"/>
              <a:ext cx="22" cy="10"/>
            </a:xfrm>
            <a:custGeom>
              <a:avLst/>
              <a:gdLst>
                <a:gd name="T0" fmla="*/ 0 w 220"/>
                <a:gd name="T1" fmla="*/ 0 h 102"/>
                <a:gd name="T2" fmla="*/ 0 w 220"/>
                <a:gd name="T3" fmla="*/ 0 h 102"/>
                <a:gd name="T4" fmla="*/ 0 w 220"/>
                <a:gd name="T5" fmla="*/ 0 h 102"/>
                <a:gd name="T6" fmla="*/ 0 w 220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0"/>
                <a:gd name="T13" fmla="*/ 0 h 102"/>
                <a:gd name="T14" fmla="*/ 220 w 220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0" h="102">
                  <a:moveTo>
                    <a:pt x="0" y="56"/>
                  </a:moveTo>
                  <a:lnTo>
                    <a:pt x="220" y="0"/>
                  </a:lnTo>
                  <a:lnTo>
                    <a:pt x="96" y="102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78" name="Freeform 32">
              <a:extLst>
                <a:ext uri="{FF2B5EF4-FFF2-40B4-BE49-F238E27FC236}">
                  <a16:creationId xmlns:a16="http://schemas.microsoft.com/office/drawing/2014/main" id="{00000000-0008-0000-0300-000062050000}"/>
                </a:ext>
              </a:extLst>
            </xdr:cNvPr>
            <xdr:cNvSpPr>
              <a:spLocks/>
            </xdr:cNvSpPr>
          </xdr:nvSpPr>
          <xdr:spPr bwMode="auto">
            <a:xfrm>
              <a:off x="2" y="39"/>
              <a:ext cx="32" cy="27"/>
            </a:xfrm>
            <a:custGeom>
              <a:avLst/>
              <a:gdLst>
                <a:gd name="T0" fmla="*/ 0 w 316"/>
                <a:gd name="T1" fmla="*/ 0 h 268"/>
                <a:gd name="T2" fmla="*/ 0 w 316"/>
                <a:gd name="T3" fmla="*/ 0 h 268"/>
                <a:gd name="T4" fmla="*/ 0 w 316"/>
                <a:gd name="T5" fmla="*/ 0 h 268"/>
                <a:gd name="T6" fmla="*/ 0 w 316"/>
                <a:gd name="T7" fmla="*/ 0 h 268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316"/>
                <a:gd name="T13" fmla="*/ 0 h 268"/>
                <a:gd name="T14" fmla="*/ 316 w 316"/>
                <a:gd name="T15" fmla="*/ 268 h 268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316" h="268">
                  <a:moveTo>
                    <a:pt x="0" y="0"/>
                  </a:moveTo>
                  <a:lnTo>
                    <a:pt x="169" y="268"/>
                  </a:lnTo>
                  <a:lnTo>
                    <a:pt x="316" y="26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79" name="Freeform 33">
              <a:extLst>
                <a:ext uri="{FF2B5EF4-FFF2-40B4-BE49-F238E27FC236}">
                  <a16:creationId xmlns:a16="http://schemas.microsoft.com/office/drawing/2014/main" id="{00000000-0008-0000-0300-000063050000}"/>
                </a:ext>
              </a:extLst>
            </xdr:cNvPr>
            <xdr:cNvSpPr>
              <a:spLocks/>
            </xdr:cNvSpPr>
          </xdr:nvSpPr>
          <xdr:spPr bwMode="auto">
            <a:xfrm>
              <a:off x="22" y="54"/>
              <a:ext cx="22" cy="10"/>
            </a:xfrm>
            <a:custGeom>
              <a:avLst/>
              <a:gdLst>
                <a:gd name="T0" fmla="*/ 0 w 221"/>
                <a:gd name="T1" fmla="*/ 0 h 102"/>
                <a:gd name="T2" fmla="*/ 0 w 221"/>
                <a:gd name="T3" fmla="*/ 0 h 102"/>
                <a:gd name="T4" fmla="*/ 0 w 221"/>
                <a:gd name="T5" fmla="*/ 0 h 102"/>
                <a:gd name="T6" fmla="*/ 0 w 221"/>
                <a:gd name="T7" fmla="*/ 0 h 102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0 w 221"/>
                <a:gd name="T13" fmla="*/ 0 h 102"/>
                <a:gd name="T14" fmla="*/ 221 w 221"/>
                <a:gd name="T15" fmla="*/ 102 h 102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21" h="102">
                  <a:moveTo>
                    <a:pt x="221" y="56"/>
                  </a:moveTo>
                  <a:lnTo>
                    <a:pt x="0" y="0"/>
                  </a:lnTo>
                  <a:lnTo>
                    <a:pt x="125" y="102"/>
                  </a:lnTo>
                  <a:lnTo>
                    <a:pt x="221" y="56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80" name="Freeform 34">
              <a:extLst>
                <a:ext uri="{FF2B5EF4-FFF2-40B4-BE49-F238E27FC236}">
                  <a16:creationId xmlns:a16="http://schemas.microsoft.com/office/drawing/2014/main" id="{00000000-0008-0000-0300-000064050000}"/>
                </a:ext>
              </a:extLst>
            </xdr:cNvPr>
            <xdr:cNvSpPr>
              <a:spLocks/>
            </xdr:cNvSpPr>
          </xdr:nvSpPr>
          <xdr:spPr bwMode="auto">
            <a:xfrm>
              <a:off x="25" y="61"/>
              <a:ext cx="19" cy="10"/>
            </a:xfrm>
            <a:custGeom>
              <a:avLst/>
              <a:gdLst>
                <a:gd name="T0" fmla="*/ 0 w 186"/>
                <a:gd name="T1" fmla="*/ 0 h 100"/>
                <a:gd name="T2" fmla="*/ 0 w 186"/>
                <a:gd name="T3" fmla="*/ 0 h 100"/>
                <a:gd name="T4" fmla="*/ 0 w 186"/>
                <a:gd name="T5" fmla="*/ 0 h 100"/>
                <a:gd name="T6" fmla="*/ 0 w 186"/>
                <a:gd name="T7" fmla="*/ 0 h 100"/>
                <a:gd name="T8" fmla="*/ 0 w 186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6"/>
                <a:gd name="T16" fmla="*/ 0 h 100"/>
                <a:gd name="T17" fmla="*/ 186 w 186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6" h="100">
                  <a:moveTo>
                    <a:pt x="186" y="0"/>
                  </a:moveTo>
                  <a:lnTo>
                    <a:pt x="0" y="100"/>
                  </a:lnTo>
                  <a:lnTo>
                    <a:pt x="84" y="100"/>
                  </a:lnTo>
                  <a:lnTo>
                    <a:pt x="186" y="44"/>
                  </a:lnTo>
                  <a:lnTo>
                    <a:pt x="18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381" name="Freeform 35">
              <a:extLst>
                <a:ext uri="{FF2B5EF4-FFF2-40B4-BE49-F238E27FC236}">
                  <a16:creationId xmlns:a16="http://schemas.microsoft.com/office/drawing/2014/main" id="{00000000-0008-0000-0300-000065050000}"/>
                </a:ext>
              </a:extLst>
            </xdr:cNvPr>
            <xdr:cNvSpPr>
              <a:spLocks/>
            </xdr:cNvSpPr>
          </xdr:nvSpPr>
          <xdr:spPr bwMode="auto">
            <a:xfrm>
              <a:off x="44" y="61"/>
              <a:ext cx="18" cy="10"/>
            </a:xfrm>
            <a:custGeom>
              <a:avLst/>
              <a:gdLst>
                <a:gd name="T0" fmla="*/ 0 w 185"/>
                <a:gd name="T1" fmla="*/ 0 h 100"/>
                <a:gd name="T2" fmla="*/ 0 w 185"/>
                <a:gd name="T3" fmla="*/ 0 h 100"/>
                <a:gd name="T4" fmla="*/ 0 w 185"/>
                <a:gd name="T5" fmla="*/ 0 h 100"/>
                <a:gd name="T6" fmla="*/ 0 w 185"/>
                <a:gd name="T7" fmla="*/ 0 h 100"/>
                <a:gd name="T8" fmla="*/ 0 w 185"/>
                <a:gd name="T9" fmla="*/ 0 h 10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  <a:gd name="T15" fmla="*/ 0 w 185"/>
                <a:gd name="T16" fmla="*/ 0 h 100"/>
                <a:gd name="T17" fmla="*/ 185 w 185"/>
                <a:gd name="T18" fmla="*/ 100 h 100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T15" t="T16" r="T17" b="T18"/>
              <a:pathLst>
                <a:path w="185" h="100">
                  <a:moveTo>
                    <a:pt x="0" y="0"/>
                  </a:moveTo>
                  <a:lnTo>
                    <a:pt x="185" y="100"/>
                  </a:lnTo>
                  <a:lnTo>
                    <a:pt x="101" y="100"/>
                  </a:lnTo>
                  <a:lnTo>
                    <a:pt x="0" y="4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28"/>
  <sheetViews>
    <sheetView showWhiteSpace="0" view="pageLayout" topLeftCell="A266" zoomScaleNormal="100" workbookViewId="0">
      <selection activeCell="D224" sqref="D224"/>
    </sheetView>
  </sheetViews>
  <sheetFormatPr baseColWidth="10" defaultRowHeight="16.5"/>
  <cols>
    <col min="1" max="1" width="10.42578125" style="12" customWidth="1"/>
    <col min="2" max="2" width="11" style="12" customWidth="1"/>
    <col min="3" max="4" width="9.85546875" style="12" customWidth="1"/>
    <col min="5" max="5" width="9.7109375" style="12" customWidth="1"/>
    <col min="6" max="6" width="12.5703125" style="12" customWidth="1"/>
    <col min="7" max="7" width="15.7109375" style="12" customWidth="1"/>
    <col min="8" max="8" width="13.140625" style="12" customWidth="1"/>
    <col min="9" max="9" width="11.140625" style="12" customWidth="1"/>
    <col min="10" max="11" width="9.28515625" style="12" customWidth="1"/>
    <col min="12" max="12" width="11.42578125" style="12"/>
    <col min="13" max="13" width="8.5703125" style="12" customWidth="1"/>
    <col min="14" max="14" width="8.7109375" style="12" customWidth="1"/>
    <col min="15" max="15" width="12.140625" style="12" customWidth="1"/>
    <col min="16" max="16" width="18.5703125" style="12" customWidth="1"/>
    <col min="17" max="17" width="10.85546875" style="12" customWidth="1"/>
    <col min="18" max="18" width="12.42578125" style="12" bestFit="1" customWidth="1"/>
    <col min="19" max="19" width="11.42578125" style="12"/>
    <col min="20" max="20" width="12.42578125" style="12" bestFit="1" customWidth="1"/>
    <col min="21" max="21" width="13.5703125" style="12" customWidth="1"/>
    <col min="22" max="22" width="15.28515625" style="12" customWidth="1"/>
    <col min="23" max="23" width="14.85546875" style="12" customWidth="1"/>
    <col min="24" max="16384" width="11.42578125" style="12"/>
  </cols>
  <sheetData>
    <row r="1" spans="1:23" ht="16.5" customHeight="1">
      <c r="B1" s="617" t="s">
        <v>2585</v>
      </c>
      <c r="C1" s="617"/>
      <c r="D1" s="617"/>
      <c r="E1" s="617"/>
      <c r="F1" s="617"/>
      <c r="G1" s="617"/>
      <c r="H1" s="617"/>
      <c r="J1" s="617" t="s">
        <v>2748</v>
      </c>
      <c r="K1" s="617"/>
      <c r="L1" s="617"/>
      <c r="M1" s="617"/>
      <c r="N1" s="617"/>
      <c r="O1" s="617"/>
      <c r="P1" s="617"/>
      <c r="R1" s="617" t="s">
        <v>0</v>
      </c>
      <c r="S1" s="617"/>
      <c r="T1" s="617"/>
      <c r="U1" s="617"/>
      <c r="V1" s="617"/>
    </row>
    <row r="2" spans="1:23" ht="49.5" customHeight="1">
      <c r="B2" s="613" t="s">
        <v>2177</v>
      </c>
      <c r="C2" s="613"/>
      <c r="D2" s="613"/>
      <c r="E2" s="613"/>
      <c r="F2" s="613"/>
      <c r="G2" s="613"/>
      <c r="H2" s="613"/>
      <c r="I2" s="613"/>
      <c r="Q2" s="642" t="s">
        <v>2177</v>
      </c>
      <c r="R2" s="642"/>
      <c r="S2" s="642"/>
      <c r="T2" s="642"/>
      <c r="U2" s="642"/>
      <c r="V2" s="642"/>
      <c r="W2" s="642"/>
    </row>
    <row r="3" spans="1:23" ht="18">
      <c r="A3" s="375"/>
      <c r="B3" s="507" t="s">
        <v>2991</v>
      </c>
      <c r="C3" s="375"/>
      <c r="D3" s="375"/>
      <c r="J3" s="503" t="s">
        <v>2832</v>
      </c>
    </row>
    <row r="4" spans="1:23" ht="18" thickBot="1">
      <c r="A4" s="30"/>
      <c r="G4" s="141"/>
      <c r="I4" s="30"/>
      <c r="O4" s="141"/>
      <c r="Q4" s="375"/>
      <c r="R4" s="503" t="s">
        <v>2176</v>
      </c>
    </row>
    <row r="5" spans="1:23" ht="17.25" thickBot="1">
      <c r="B5" s="30"/>
      <c r="F5" s="143"/>
      <c r="H5" s="144"/>
      <c r="J5" s="30"/>
      <c r="N5" s="143"/>
      <c r="P5" s="144"/>
      <c r="Q5" s="30"/>
      <c r="V5" s="141"/>
    </row>
    <row r="6" spans="1:23" ht="15.75" customHeight="1">
      <c r="F6" s="667" t="s">
        <v>2408</v>
      </c>
      <c r="G6" s="717"/>
      <c r="H6" s="669"/>
      <c r="N6" s="619" t="s">
        <v>2183</v>
      </c>
      <c r="O6" s="728"/>
      <c r="P6" s="621"/>
      <c r="R6" s="30"/>
      <c r="U6" s="143"/>
      <c r="W6" s="144"/>
    </row>
    <row r="7" spans="1:23">
      <c r="A7" s="12" t="s">
        <v>114</v>
      </c>
      <c r="E7" s="30" t="s">
        <v>2</v>
      </c>
      <c r="F7" s="683"/>
      <c r="G7" s="683"/>
      <c r="H7" s="684"/>
      <c r="J7" s="186" t="s">
        <v>114</v>
      </c>
      <c r="L7" s="30"/>
      <c r="M7" s="30" t="s">
        <v>2</v>
      </c>
      <c r="N7" s="729" t="s">
        <v>2186</v>
      </c>
      <c r="O7" s="729"/>
      <c r="P7" s="730"/>
      <c r="U7" s="647" t="s">
        <v>677</v>
      </c>
      <c r="V7" s="716"/>
      <c r="W7" s="648"/>
    </row>
    <row r="8" spans="1:23">
      <c r="F8" s="601" t="s">
        <v>163</v>
      </c>
      <c r="G8" s="723"/>
      <c r="H8" s="603"/>
      <c r="N8" s="766" t="s">
        <v>163</v>
      </c>
      <c r="O8" s="775"/>
      <c r="P8" s="768"/>
      <c r="Q8" s="12" t="s">
        <v>114</v>
      </c>
      <c r="T8" s="30" t="s">
        <v>963</v>
      </c>
      <c r="U8" s="605" t="s">
        <v>1664</v>
      </c>
      <c r="V8" s="605"/>
      <c r="W8" s="649"/>
    </row>
    <row r="9" spans="1:23" ht="17.25" thickBot="1">
      <c r="F9" s="140"/>
      <c r="G9" s="141"/>
      <c r="H9" s="142"/>
      <c r="I9" s="30"/>
      <c r="J9" s="30"/>
      <c r="N9" s="140"/>
      <c r="O9" s="141"/>
      <c r="P9" s="142"/>
      <c r="U9" s="601" t="s">
        <v>163</v>
      </c>
      <c r="V9" s="723"/>
      <c r="W9" s="603"/>
    </row>
    <row r="10" spans="1:23" ht="17.25" thickBot="1">
      <c r="A10" s="30"/>
      <c r="B10" s="30" t="s">
        <v>1983</v>
      </c>
      <c r="U10" s="140"/>
      <c r="V10" s="141"/>
      <c r="W10" s="142"/>
    </row>
    <row r="11" spans="1:23">
      <c r="A11" s="30"/>
      <c r="B11" s="30"/>
      <c r="I11" s="30"/>
      <c r="J11" s="30" t="s">
        <v>27</v>
      </c>
      <c r="K11" s="394" t="s">
        <v>148</v>
      </c>
    </row>
    <row r="12" spans="1:23">
      <c r="A12" s="30"/>
      <c r="B12" s="167" t="s">
        <v>2996</v>
      </c>
      <c r="C12" s="571"/>
      <c r="D12" s="595"/>
      <c r="I12" s="30"/>
      <c r="J12" s="30"/>
      <c r="K12" s="30"/>
      <c r="Q12" s="249" t="s">
        <v>27</v>
      </c>
      <c r="R12" s="30" t="s">
        <v>148</v>
      </c>
    </row>
    <row r="13" spans="1:23" ht="17.25" thickBot="1">
      <c r="A13" s="30"/>
      <c r="Q13" s="30"/>
    </row>
    <row r="14" spans="1:23" ht="17.25" customHeight="1" thickBot="1">
      <c r="A14" s="13" t="s">
        <v>3</v>
      </c>
      <c r="B14" s="724" t="s">
        <v>4</v>
      </c>
      <c r="C14" s="725"/>
      <c r="D14" s="725"/>
      <c r="E14" s="725"/>
      <c r="F14" s="725"/>
      <c r="G14" s="726"/>
      <c r="H14" s="20" t="s">
        <v>5</v>
      </c>
      <c r="I14" s="13" t="s">
        <v>3</v>
      </c>
      <c r="J14" s="696" t="s">
        <v>4</v>
      </c>
      <c r="K14" s="697"/>
      <c r="L14" s="697"/>
      <c r="M14" s="697"/>
      <c r="N14" s="697"/>
      <c r="O14" s="698"/>
      <c r="P14" s="20" t="s">
        <v>5</v>
      </c>
    </row>
    <row r="15" spans="1:23" ht="15.75" customHeight="1" thickBot="1">
      <c r="A15" s="627" t="s">
        <v>2992</v>
      </c>
      <c r="B15" s="151"/>
      <c r="C15" s="151"/>
      <c r="D15" s="151"/>
      <c r="E15" s="151"/>
      <c r="F15" s="151"/>
      <c r="G15" s="152"/>
      <c r="H15" s="65"/>
      <c r="I15" s="627" t="s">
        <v>2806</v>
      </c>
      <c r="J15" s="143"/>
      <c r="K15" s="159"/>
      <c r="L15" s="159"/>
      <c r="M15" s="159"/>
      <c r="N15" s="159"/>
      <c r="O15" s="144"/>
      <c r="P15" s="291"/>
      <c r="Q15" s="13" t="s">
        <v>112</v>
      </c>
      <c r="R15" s="696" t="s">
        <v>4</v>
      </c>
      <c r="S15" s="697"/>
      <c r="T15" s="697"/>
      <c r="U15" s="697"/>
      <c r="V15" s="698"/>
      <c r="W15" s="20" t="s">
        <v>5</v>
      </c>
    </row>
    <row r="16" spans="1:23" ht="17.25" customHeight="1" thickBot="1">
      <c r="A16" s="628"/>
      <c r="B16" s="598" t="s">
        <v>6</v>
      </c>
      <c r="C16" s="600"/>
      <c r="D16" s="591"/>
      <c r="E16" s="598" t="s">
        <v>7</v>
      </c>
      <c r="F16" s="599"/>
      <c r="G16" s="710"/>
      <c r="H16" s="65"/>
      <c r="I16" s="628"/>
      <c r="J16" s="630"/>
      <c r="K16" s="631"/>
      <c r="L16" s="631"/>
      <c r="M16" s="631"/>
      <c r="N16" s="631"/>
      <c r="O16" s="631"/>
      <c r="P16" s="291"/>
      <c r="Q16" s="627" t="s">
        <v>2445</v>
      </c>
      <c r="R16" s="143"/>
      <c r="S16" s="159"/>
      <c r="T16" s="159"/>
      <c r="U16" s="159"/>
      <c r="V16" s="144"/>
      <c r="W16" s="291"/>
    </row>
    <row r="17" spans="1:23">
      <c r="A17" s="628"/>
      <c r="B17" s="134" t="s">
        <v>26</v>
      </c>
      <c r="C17" s="133" t="s">
        <v>8</v>
      </c>
      <c r="D17" s="133"/>
      <c r="E17" s="133" t="s">
        <v>10</v>
      </c>
      <c r="F17" s="134" t="s">
        <v>8</v>
      </c>
      <c r="G17" s="135" t="s">
        <v>11</v>
      </c>
      <c r="H17" s="65"/>
      <c r="I17" s="628"/>
      <c r="J17" s="653" t="s">
        <v>1369</v>
      </c>
      <c r="K17" s="605"/>
      <c r="L17" s="605"/>
      <c r="M17" s="605"/>
      <c r="N17" s="605"/>
      <c r="O17" s="649"/>
      <c r="P17" s="291"/>
      <c r="Q17" s="628"/>
      <c r="R17" s="630" t="s">
        <v>1369</v>
      </c>
      <c r="S17" s="773"/>
      <c r="T17" s="773"/>
      <c r="U17" s="773"/>
      <c r="V17" s="632"/>
      <c r="W17" s="291"/>
    </row>
    <row r="18" spans="1:23" ht="17.25">
      <c r="A18" s="628"/>
      <c r="B18" s="153">
        <v>10</v>
      </c>
      <c r="C18" s="154">
        <v>10000</v>
      </c>
      <c r="D18" s="154"/>
      <c r="E18" s="154">
        <f>B18*C18</f>
        <v>100000</v>
      </c>
      <c r="F18" s="154">
        <v>3500</v>
      </c>
      <c r="G18" s="155">
        <f>B18*F18</f>
        <v>35000</v>
      </c>
      <c r="H18" s="162">
        <f>E18+G18</f>
        <v>135000</v>
      </c>
      <c r="I18" s="628"/>
      <c r="J18" s="676" t="s">
        <v>2831</v>
      </c>
      <c r="K18" s="677"/>
      <c r="L18" s="677"/>
      <c r="M18" s="677"/>
      <c r="N18" s="677"/>
      <c r="O18" s="678"/>
      <c r="P18" s="148">
        <v>1800000</v>
      </c>
      <c r="Q18" s="628"/>
      <c r="R18" s="705" t="s">
        <v>1872</v>
      </c>
      <c r="S18" s="706"/>
      <c r="T18" s="706"/>
      <c r="U18" s="706"/>
      <c r="V18" s="707"/>
      <c r="W18" s="291"/>
    </row>
    <row r="19" spans="1:23" ht="15" customHeight="1">
      <c r="A19" s="628"/>
      <c r="G19" s="156"/>
      <c r="H19" s="65"/>
      <c r="I19" s="628"/>
      <c r="J19" s="64"/>
      <c r="K19" s="30"/>
      <c r="L19" s="30"/>
      <c r="M19" s="30"/>
      <c r="N19" s="30"/>
      <c r="O19" s="65"/>
      <c r="P19" s="291"/>
      <c r="Q19" s="628"/>
      <c r="R19" s="636"/>
      <c r="S19" s="637"/>
      <c r="T19" s="637"/>
      <c r="U19" s="637"/>
      <c r="V19" s="638"/>
      <c r="W19" s="148">
        <v>27916900</v>
      </c>
    </row>
    <row r="20" spans="1:23" ht="15.75" customHeight="1" thickBot="1">
      <c r="A20" s="628"/>
      <c r="G20" s="156"/>
      <c r="H20" s="65"/>
      <c r="I20" s="629"/>
      <c r="J20" s="140"/>
      <c r="K20" s="141"/>
      <c r="L20" s="141"/>
      <c r="M20" s="141"/>
      <c r="N20" s="141"/>
      <c r="O20" s="142"/>
      <c r="P20" s="291"/>
      <c r="Q20" s="628"/>
      <c r="R20" s="64"/>
      <c r="S20" s="604"/>
      <c r="T20" s="604"/>
      <c r="V20" s="65"/>
      <c r="W20" s="291"/>
    </row>
    <row r="21" spans="1:23" ht="15.75" customHeight="1" thickBot="1">
      <c r="A21" s="629"/>
      <c r="B21" s="157"/>
      <c r="C21" s="157"/>
      <c r="D21" s="157"/>
      <c r="E21" s="157"/>
      <c r="F21" s="157"/>
      <c r="G21" s="158"/>
      <c r="H21" s="65"/>
      <c r="I21" s="20" t="s">
        <v>12</v>
      </c>
      <c r="J21" s="614" t="s">
        <v>13</v>
      </c>
      <c r="K21" s="615"/>
      <c r="L21" s="62" t="s">
        <v>14</v>
      </c>
      <c r="M21" s="63"/>
      <c r="N21" s="62" t="s">
        <v>15</v>
      </c>
      <c r="O21" s="62" t="s">
        <v>16</v>
      </c>
      <c r="P21" s="20" t="s">
        <v>17</v>
      </c>
      <c r="Q21" s="629"/>
      <c r="R21" s="140"/>
      <c r="S21" s="141"/>
      <c r="T21" s="141"/>
      <c r="U21" s="141"/>
      <c r="V21" s="142"/>
      <c r="W21" s="291"/>
    </row>
    <row r="22" spans="1:23" ht="18" thickBot="1">
      <c r="A22" s="20" t="s">
        <v>563</v>
      </c>
      <c r="B22" s="663" t="s">
        <v>13</v>
      </c>
      <c r="C22" s="664"/>
      <c r="D22" s="586"/>
      <c r="E22" s="63"/>
      <c r="F22" s="62" t="s">
        <v>15</v>
      </c>
      <c r="G22" s="62" t="s">
        <v>16</v>
      </c>
      <c r="H22" s="20" t="s">
        <v>17</v>
      </c>
      <c r="I22" s="22" t="s">
        <v>18</v>
      </c>
      <c r="J22" s="606">
        <f>+P18</f>
        <v>1800000</v>
      </c>
      <c r="K22" s="607"/>
      <c r="L22" s="23">
        <f>0</f>
        <v>0</v>
      </c>
      <c r="M22" s="24"/>
      <c r="N22" s="25">
        <f>0</f>
        <v>0</v>
      </c>
      <c r="O22" s="36">
        <f>+J22</f>
        <v>1800000</v>
      </c>
      <c r="P22" s="38">
        <f>+P18</f>
        <v>1800000</v>
      </c>
      <c r="Q22" s="20" t="s">
        <v>12</v>
      </c>
      <c r="R22" s="611" t="s">
        <v>13</v>
      </c>
      <c r="S22" s="612"/>
      <c r="T22" s="62" t="s">
        <v>14</v>
      </c>
      <c r="U22" s="62" t="s">
        <v>15</v>
      </c>
      <c r="V22" s="62" t="s">
        <v>16</v>
      </c>
      <c r="W22" s="20" t="s">
        <v>17</v>
      </c>
    </row>
    <row r="23" spans="1:23" ht="18" thickBot="1">
      <c r="A23" s="22">
        <v>214</v>
      </c>
      <c r="B23" s="469">
        <f>+H18</f>
        <v>135000</v>
      </c>
      <c r="C23" s="136"/>
      <c r="D23" s="136"/>
      <c r="E23" s="25"/>
      <c r="F23" s="25">
        <f>0</f>
        <v>0</v>
      </c>
      <c r="G23" s="36">
        <f>+B23</f>
        <v>135000</v>
      </c>
      <c r="H23" s="38">
        <f>+H18</f>
        <v>135000</v>
      </c>
      <c r="I23" s="22" t="s">
        <v>113</v>
      </c>
      <c r="J23" s="606">
        <f>+J22/650.599</f>
        <v>2766.6811661253705</v>
      </c>
      <c r="K23" s="607"/>
      <c r="L23" s="23">
        <f>0</f>
        <v>0</v>
      </c>
      <c r="M23" s="24"/>
      <c r="N23" s="25">
        <f>0</f>
        <v>0</v>
      </c>
      <c r="O23" s="36">
        <f>+J23</f>
        <v>2766.6811661253705</v>
      </c>
      <c r="P23" s="38"/>
      <c r="Q23" s="22" t="s">
        <v>18</v>
      </c>
      <c r="R23" s="606">
        <f>+W19</f>
        <v>27916900</v>
      </c>
      <c r="S23" s="652"/>
      <c r="T23" s="567">
        <f>0</f>
        <v>0</v>
      </c>
      <c r="U23" s="25">
        <f>0</f>
        <v>0</v>
      </c>
      <c r="V23" s="36">
        <f>+R23</f>
        <v>27916900</v>
      </c>
      <c r="W23" s="38">
        <f>+W19</f>
        <v>27916900</v>
      </c>
    </row>
    <row r="24" spans="1:23" ht="18" thickBot="1">
      <c r="Q24" s="22" t="s">
        <v>113</v>
      </c>
      <c r="R24" s="606">
        <f>+R23/650.599</f>
        <v>42909.534137002971</v>
      </c>
      <c r="S24" s="652"/>
      <c r="T24" s="567">
        <f>0</f>
        <v>0</v>
      </c>
      <c r="U24" s="25">
        <f>0</f>
        <v>0</v>
      </c>
      <c r="V24" s="36">
        <f>+R24</f>
        <v>42909.534137002971</v>
      </c>
      <c r="W24" s="38">
        <f>+V24</f>
        <v>42909.534137002971</v>
      </c>
    </row>
    <row r="25" spans="1:23">
      <c r="A25" s="395" t="s">
        <v>1268</v>
      </c>
      <c r="B25" s="26"/>
      <c r="C25" s="26"/>
      <c r="D25" s="26"/>
      <c r="E25" s="26"/>
      <c r="F25" s="26"/>
      <c r="G25" s="26"/>
      <c r="I25" s="395" t="s">
        <v>1268</v>
      </c>
      <c r="J25" s="26"/>
      <c r="K25" s="26"/>
      <c r="L25" s="26"/>
      <c r="M25" s="26"/>
      <c r="N25" s="26"/>
      <c r="O25" s="26"/>
    </row>
    <row r="26" spans="1:23">
      <c r="A26" s="407" t="s">
        <v>2993</v>
      </c>
      <c r="B26" s="26"/>
      <c r="C26" s="26"/>
      <c r="D26" s="26"/>
      <c r="E26" s="26"/>
      <c r="F26" s="26"/>
      <c r="G26" s="26"/>
      <c r="I26" s="408" t="s">
        <v>2185</v>
      </c>
      <c r="J26" s="26"/>
      <c r="K26" s="26"/>
      <c r="L26" s="26"/>
      <c r="M26" s="26"/>
      <c r="N26" s="26"/>
      <c r="O26" s="26"/>
      <c r="Q26" s="26" t="s">
        <v>1321</v>
      </c>
      <c r="R26" s="26"/>
      <c r="S26" s="26"/>
      <c r="T26" s="26"/>
      <c r="U26" s="26"/>
      <c r="V26" s="26"/>
    </row>
    <row r="27" spans="1:23">
      <c r="A27" s="26" t="s">
        <v>19</v>
      </c>
      <c r="B27" s="26"/>
      <c r="C27" s="26"/>
      <c r="D27" s="26"/>
      <c r="E27" s="26"/>
      <c r="F27" s="26"/>
      <c r="G27" s="26"/>
      <c r="I27" s="26" t="s">
        <v>19</v>
      </c>
      <c r="J27" s="26"/>
      <c r="K27" s="26"/>
      <c r="L27" s="26"/>
      <c r="M27" s="26"/>
      <c r="N27" s="26"/>
      <c r="O27" s="26"/>
      <c r="Q27" s="411" t="s">
        <v>2447</v>
      </c>
      <c r="R27" s="26"/>
      <c r="S27" s="26"/>
      <c r="T27" s="26"/>
      <c r="U27" s="26"/>
      <c r="V27" s="26"/>
    </row>
    <row r="28" spans="1:23">
      <c r="A28" s="26" t="s">
        <v>965</v>
      </c>
      <c r="B28" s="26"/>
      <c r="C28" s="26"/>
      <c r="D28" s="26"/>
      <c r="E28" s="26"/>
      <c r="F28" s="26"/>
      <c r="G28" s="26"/>
      <c r="I28" s="26" t="s">
        <v>20</v>
      </c>
      <c r="J28" s="26"/>
      <c r="K28" s="26"/>
      <c r="L28" s="26"/>
      <c r="M28" s="26"/>
      <c r="N28" s="26"/>
      <c r="O28" s="26"/>
      <c r="Q28" s="26" t="s">
        <v>19</v>
      </c>
      <c r="R28" s="26"/>
      <c r="S28" s="26"/>
      <c r="T28" s="26"/>
      <c r="U28" s="26"/>
      <c r="V28" s="26"/>
    </row>
    <row r="29" spans="1:23">
      <c r="A29" s="26" t="s">
        <v>21</v>
      </c>
      <c r="B29" s="26"/>
      <c r="C29" s="26"/>
      <c r="D29" s="26"/>
      <c r="E29" s="26"/>
      <c r="F29" s="26"/>
      <c r="G29" s="26"/>
      <c r="H29" s="12" t="s">
        <v>631</v>
      </c>
      <c r="I29" s="26" t="s">
        <v>21</v>
      </c>
      <c r="J29" s="26"/>
      <c r="K29" s="26"/>
      <c r="L29" s="26"/>
      <c r="M29" s="26"/>
      <c r="N29" s="26"/>
      <c r="O29" s="26"/>
      <c r="Q29" s="26" t="s">
        <v>965</v>
      </c>
      <c r="R29" s="26"/>
      <c r="S29" s="26"/>
      <c r="T29" s="26"/>
      <c r="U29" s="26"/>
      <c r="V29" s="26"/>
    </row>
    <row r="30" spans="1:23">
      <c r="A30" s="26" t="s">
        <v>1229</v>
      </c>
      <c r="B30" s="26"/>
      <c r="C30" s="26"/>
      <c r="D30" s="26"/>
      <c r="E30" s="26"/>
      <c r="F30" s="26"/>
      <c r="G30" s="26"/>
      <c r="I30" s="26" t="s">
        <v>1229</v>
      </c>
      <c r="J30" s="26"/>
      <c r="K30" s="26"/>
      <c r="L30" s="26"/>
      <c r="M30" s="26"/>
      <c r="N30" s="26"/>
      <c r="O30" s="26"/>
      <c r="Q30" s="26" t="s">
        <v>21</v>
      </c>
      <c r="R30" s="26"/>
      <c r="S30" s="26"/>
      <c r="T30" s="26"/>
      <c r="U30" s="26"/>
      <c r="V30" s="26"/>
    </row>
    <row r="31" spans="1:23">
      <c r="I31" s="26"/>
      <c r="J31" s="26"/>
      <c r="K31" s="26"/>
      <c r="L31" s="26"/>
      <c r="M31" s="26"/>
      <c r="N31" s="26"/>
      <c r="O31" s="26"/>
      <c r="Q31" s="26" t="s">
        <v>1229</v>
      </c>
      <c r="R31" s="26"/>
      <c r="S31" s="26"/>
      <c r="T31" s="26"/>
      <c r="U31" s="26"/>
      <c r="V31" s="26"/>
    </row>
    <row r="33" spans="1:23">
      <c r="E33" s="604" t="s">
        <v>24</v>
      </c>
      <c r="F33" s="604"/>
      <c r="G33" s="604"/>
      <c r="H33" s="604"/>
      <c r="I33" s="82"/>
      <c r="L33" s="605" t="s">
        <v>24</v>
      </c>
      <c r="M33" s="605"/>
      <c r="N33" s="605"/>
      <c r="O33" s="605"/>
    </row>
    <row r="34" spans="1:23">
      <c r="E34" s="604" t="s">
        <v>1269</v>
      </c>
      <c r="F34" s="604"/>
      <c r="G34" s="604"/>
      <c r="H34" s="604"/>
      <c r="I34" s="82"/>
      <c r="L34" s="605" t="s">
        <v>1269</v>
      </c>
      <c r="M34" s="605"/>
      <c r="N34" s="605"/>
      <c r="O34" s="605"/>
      <c r="T34" s="30" t="s">
        <v>24</v>
      </c>
      <c r="U34" s="30"/>
    </row>
    <row r="35" spans="1:23" ht="16.5" customHeight="1">
      <c r="E35" s="604" t="s">
        <v>2994</v>
      </c>
      <c r="F35" s="604"/>
      <c r="G35" s="604"/>
      <c r="H35" s="604"/>
      <c r="I35" s="82"/>
      <c r="L35" s="605" t="s">
        <v>152</v>
      </c>
      <c r="M35" s="605"/>
      <c r="N35" s="605"/>
      <c r="O35" s="605"/>
      <c r="T35" s="30" t="s">
        <v>149</v>
      </c>
      <c r="U35" s="30"/>
    </row>
    <row r="36" spans="1:23">
      <c r="E36" s="572"/>
      <c r="F36" s="572"/>
      <c r="G36" s="572"/>
      <c r="H36" s="572"/>
      <c r="T36" s="563" t="s">
        <v>2968</v>
      </c>
      <c r="U36" s="565"/>
      <c r="W36" s="30"/>
    </row>
    <row r="37" spans="1:23">
      <c r="E37" s="572"/>
      <c r="F37" s="572"/>
      <c r="G37" s="572"/>
      <c r="H37" s="572"/>
      <c r="L37" s="26"/>
      <c r="M37" s="26"/>
      <c r="N37" s="26"/>
      <c r="O37" s="26"/>
      <c r="W37" s="167"/>
    </row>
    <row r="38" spans="1:23" ht="18" customHeight="1">
      <c r="A38" s="26"/>
      <c r="B38" s="26"/>
      <c r="C38" s="26"/>
      <c r="D38" s="26"/>
      <c r="E38" s="573"/>
      <c r="F38" s="573"/>
      <c r="G38" s="573"/>
      <c r="H38" s="573"/>
      <c r="I38" s="26"/>
      <c r="J38" s="26"/>
      <c r="K38" s="26"/>
      <c r="L38" s="26"/>
      <c r="M38" s="26"/>
      <c r="N38" s="29"/>
      <c r="O38" s="29"/>
      <c r="T38" s="26"/>
      <c r="U38" s="26"/>
    </row>
    <row r="39" spans="1:23" ht="15.75" customHeight="1">
      <c r="A39" s="26"/>
      <c r="B39" s="26"/>
      <c r="C39" s="26"/>
      <c r="D39" s="26"/>
      <c r="E39" s="573"/>
      <c r="F39" s="575" t="s">
        <v>2995</v>
      </c>
      <c r="G39" s="575"/>
      <c r="H39" s="574"/>
      <c r="I39" s="26"/>
      <c r="J39" s="26"/>
      <c r="K39" s="26"/>
      <c r="L39" s="616"/>
      <c r="M39" s="616"/>
      <c r="N39" s="616"/>
      <c r="O39" s="616"/>
      <c r="P39" s="29"/>
      <c r="Q39" s="26"/>
      <c r="R39" s="26"/>
      <c r="S39" s="26"/>
      <c r="T39" s="645"/>
      <c r="U39" s="645"/>
      <c r="V39" s="645"/>
      <c r="W39" s="26"/>
    </row>
    <row r="40" spans="1:23" ht="18" customHeight="1">
      <c r="A40" s="384"/>
      <c r="B40" s="26"/>
      <c r="C40" s="26"/>
      <c r="D40" s="26"/>
      <c r="H40" s="29"/>
      <c r="I40" s="384"/>
      <c r="J40" s="26"/>
      <c r="K40" s="26"/>
      <c r="P40" s="29"/>
      <c r="Q40" s="384"/>
      <c r="R40" s="26"/>
      <c r="S40" s="26"/>
      <c r="T40" s="645" t="s">
        <v>2926</v>
      </c>
      <c r="U40" s="645"/>
      <c r="V40" s="645"/>
      <c r="W40" s="259"/>
    </row>
    <row r="41" spans="1:23" ht="18" customHeight="1">
      <c r="A41" s="617"/>
      <c r="B41" s="617"/>
      <c r="C41" s="617"/>
      <c r="D41" s="617"/>
      <c r="E41" s="617"/>
      <c r="F41" s="617"/>
      <c r="G41" s="617"/>
      <c r="H41" s="617"/>
      <c r="I41" s="617" t="s">
        <v>2567</v>
      </c>
      <c r="J41" s="617"/>
      <c r="K41" s="617"/>
      <c r="L41" s="617"/>
      <c r="M41" s="617"/>
      <c r="N41" s="617"/>
      <c r="O41" s="617"/>
      <c r="P41" s="617"/>
      <c r="Q41" s="564"/>
      <c r="R41" s="564"/>
      <c r="S41" s="396"/>
      <c r="T41" s="645"/>
      <c r="U41" s="645"/>
      <c r="V41" s="645"/>
      <c r="W41" s="396"/>
    </row>
    <row r="42" spans="1:23" ht="15.75" customHeight="1"/>
    <row r="43" spans="1:23" ht="14.25" customHeight="1">
      <c r="S43" s="396" t="s">
        <v>2967</v>
      </c>
      <c r="T43" s="396"/>
      <c r="U43" s="396"/>
      <c r="V43" s="396"/>
    </row>
    <row r="44" spans="1:23" ht="43.5" customHeight="1">
      <c r="A44" s="709" t="s">
        <v>2177</v>
      </c>
      <c r="B44" s="709"/>
      <c r="C44" s="709"/>
      <c r="D44" s="709"/>
      <c r="E44" s="709"/>
      <c r="F44" s="709"/>
      <c r="G44" s="709"/>
      <c r="H44" s="709"/>
      <c r="I44" s="727" t="s">
        <v>2177</v>
      </c>
      <c r="J44" s="727"/>
      <c r="K44" s="727"/>
      <c r="L44" s="727"/>
      <c r="M44" s="727"/>
      <c r="N44" s="727"/>
      <c r="O44" s="727"/>
      <c r="P44" s="727"/>
      <c r="Q44" s="715" t="s">
        <v>2771</v>
      </c>
      <c r="R44" s="715"/>
      <c r="S44" s="715"/>
      <c r="T44" s="715"/>
      <c r="U44" s="715"/>
      <c r="V44" s="715"/>
      <c r="W44" s="715"/>
    </row>
    <row r="46" spans="1:23" ht="18.75" thickBot="1">
      <c r="A46" s="30"/>
      <c r="B46" s="507" t="s">
        <v>2716</v>
      </c>
      <c r="I46" s="448"/>
      <c r="J46" s="458" t="s">
        <v>2866</v>
      </c>
      <c r="Q46" s="30" t="s">
        <v>2775</v>
      </c>
    </row>
    <row r="47" spans="1:23" ht="17.25" thickBot="1">
      <c r="A47" s="30"/>
      <c r="G47" s="141"/>
      <c r="I47" s="30"/>
      <c r="O47" s="141"/>
      <c r="Q47" s="30"/>
      <c r="V47" s="144"/>
    </row>
    <row r="48" spans="1:23">
      <c r="B48" s="30"/>
      <c r="F48" s="143"/>
      <c r="H48" s="144"/>
      <c r="J48" s="30"/>
      <c r="N48" s="143"/>
      <c r="P48" s="144"/>
      <c r="R48" s="30"/>
      <c r="U48" s="716"/>
      <c r="V48" s="648"/>
    </row>
    <row r="49" spans="1:22" ht="17.25">
      <c r="F49" s="667" t="s">
        <v>2408</v>
      </c>
      <c r="G49" s="668"/>
      <c r="H49" s="669"/>
      <c r="N49" s="667" t="s">
        <v>2865</v>
      </c>
      <c r="O49" s="668"/>
      <c r="P49" s="669"/>
      <c r="V49" s="65"/>
    </row>
    <row r="50" spans="1:22">
      <c r="A50" s="12" t="s">
        <v>114</v>
      </c>
      <c r="E50" s="30" t="s">
        <v>2</v>
      </c>
      <c r="F50" s="683" t="s">
        <v>2997</v>
      </c>
      <c r="G50" s="683"/>
      <c r="H50" s="684"/>
      <c r="I50" s="12" t="s">
        <v>114</v>
      </c>
      <c r="L50" s="249" t="s">
        <v>2</v>
      </c>
      <c r="N50" s="631"/>
      <c r="O50" s="631"/>
      <c r="P50" s="631"/>
      <c r="T50" s="30" t="s">
        <v>2</v>
      </c>
      <c r="U50" s="192" t="s">
        <v>904</v>
      </c>
      <c r="V50" s="65"/>
    </row>
    <row r="51" spans="1:22" ht="17.25" thickBot="1">
      <c r="F51" s="601" t="s">
        <v>163</v>
      </c>
      <c r="G51" s="602"/>
      <c r="H51" s="603"/>
      <c r="N51" s="631" t="s">
        <v>148</v>
      </c>
      <c r="O51" s="631"/>
      <c r="P51" s="631"/>
      <c r="Q51" s="12" t="s">
        <v>114</v>
      </c>
      <c r="U51" s="141"/>
      <c r="V51" s="142"/>
    </row>
    <row r="52" spans="1:22" ht="17.25" thickBot="1">
      <c r="F52" s="140"/>
      <c r="G52" s="141"/>
      <c r="H52" s="142"/>
      <c r="N52" s="140"/>
      <c r="O52" s="141"/>
      <c r="P52" s="142"/>
    </row>
    <row r="53" spans="1:22">
      <c r="A53" s="30"/>
      <c r="B53" s="30" t="s">
        <v>3002</v>
      </c>
      <c r="C53" s="30"/>
      <c r="D53" s="595"/>
      <c r="R53" s="12" t="s">
        <v>2779</v>
      </c>
    </row>
    <row r="54" spans="1:22">
      <c r="A54" s="30"/>
      <c r="B54" s="30" t="s">
        <v>2998</v>
      </c>
      <c r="I54" s="249" t="s">
        <v>27</v>
      </c>
      <c r="J54" s="394" t="s">
        <v>148</v>
      </c>
      <c r="K54" s="394"/>
      <c r="Q54" s="30" t="s">
        <v>27</v>
      </c>
      <c r="R54" s="12" t="s">
        <v>904</v>
      </c>
    </row>
    <row r="55" spans="1:22" ht="17.25" customHeight="1" thickBot="1">
      <c r="B55" s="30"/>
    </row>
    <row r="56" spans="1:22" ht="17.25" customHeight="1" thickBot="1">
      <c r="A56" s="13" t="s">
        <v>3</v>
      </c>
      <c r="B56" s="696" t="s">
        <v>4</v>
      </c>
      <c r="C56" s="697"/>
      <c r="D56" s="697"/>
      <c r="E56" s="697"/>
      <c r="F56" s="697"/>
      <c r="G56" s="698"/>
      <c r="H56" s="20" t="s">
        <v>5</v>
      </c>
      <c r="I56" s="13" t="s">
        <v>112</v>
      </c>
      <c r="J56" s="696" t="s">
        <v>4</v>
      </c>
      <c r="K56" s="697"/>
      <c r="L56" s="697"/>
      <c r="M56" s="697"/>
      <c r="N56" s="697"/>
      <c r="O56" s="698"/>
      <c r="P56" s="364" t="s">
        <v>5</v>
      </c>
      <c r="Q56" s="546" t="s">
        <v>3</v>
      </c>
      <c r="R56" s="696" t="s">
        <v>4</v>
      </c>
      <c r="S56" s="697"/>
      <c r="T56" s="697"/>
      <c r="U56" s="698"/>
      <c r="V56" s="376" t="s">
        <v>5</v>
      </c>
    </row>
    <row r="57" spans="1:22" ht="15.75" customHeight="1" thickBot="1">
      <c r="A57" s="627" t="s">
        <v>2999</v>
      </c>
      <c r="B57" s="143"/>
      <c r="C57" s="159"/>
      <c r="D57" s="159"/>
      <c r="E57" s="159"/>
      <c r="F57" s="159"/>
      <c r="G57" s="144"/>
      <c r="H57" s="65"/>
      <c r="I57" s="627" t="s">
        <v>2862</v>
      </c>
      <c r="J57" s="143"/>
      <c r="K57" s="159"/>
      <c r="L57" s="159"/>
      <c r="M57" s="159"/>
      <c r="N57" s="159"/>
      <c r="O57" s="159"/>
      <c r="P57" s="290"/>
      <c r="Q57" s="633">
        <v>2023</v>
      </c>
      <c r="R57" s="143"/>
      <c r="S57" s="159"/>
      <c r="T57" s="159"/>
      <c r="U57" s="144"/>
      <c r="V57" s="290"/>
    </row>
    <row r="58" spans="1:22" ht="17.25" thickBot="1">
      <c r="A58" s="628"/>
      <c r="B58" s="598" t="s">
        <v>6</v>
      </c>
      <c r="C58" s="600"/>
      <c r="D58" s="591"/>
      <c r="E58" s="598" t="s">
        <v>7</v>
      </c>
      <c r="F58" s="599"/>
      <c r="G58" s="600"/>
      <c r="H58" s="65"/>
      <c r="I58" s="628"/>
      <c r="J58" s="630"/>
      <c r="K58" s="631"/>
      <c r="L58" s="631"/>
      <c r="M58" s="631"/>
      <c r="N58" s="631"/>
      <c r="O58" s="631"/>
      <c r="P58" s="291"/>
      <c r="Q58" s="634"/>
      <c r="R58" s="539"/>
      <c r="S58" s="394"/>
      <c r="T58" s="394"/>
      <c r="U58" s="541"/>
      <c r="V58" s="542"/>
    </row>
    <row r="59" spans="1:22" ht="18" thickBot="1">
      <c r="A59" s="628"/>
      <c r="B59" s="17" t="s">
        <v>26</v>
      </c>
      <c r="C59" s="18" t="s">
        <v>8</v>
      </c>
      <c r="D59" s="18"/>
      <c r="E59" s="18" t="s">
        <v>10</v>
      </c>
      <c r="F59" s="19" t="s">
        <v>8</v>
      </c>
      <c r="G59" s="18" t="s">
        <v>11</v>
      </c>
      <c r="H59" s="65"/>
      <c r="I59" s="628"/>
      <c r="J59" s="66"/>
      <c r="K59" s="668" t="s">
        <v>2352</v>
      </c>
      <c r="L59" s="668"/>
      <c r="M59" s="668"/>
      <c r="N59" s="668"/>
      <c r="O59" s="367"/>
      <c r="P59" s="291"/>
      <c r="Q59" s="634"/>
      <c r="V59" s="545" t="s">
        <v>2776</v>
      </c>
    </row>
    <row r="60" spans="1:22" ht="15" customHeight="1">
      <c r="A60" s="628"/>
      <c r="B60" s="237">
        <v>52</v>
      </c>
      <c r="C60" s="154">
        <v>10000</v>
      </c>
      <c r="D60" s="154"/>
      <c r="E60" s="154">
        <f>B60*C60</f>
        <v>520000</v>
      </c>
      <c r="F60" s="154">
        <v>3500</v>
      </c>
      <c r="G60" s="161">
        <f>B60*F60</f>
        <v>182000</v>
      </c>
      <c r="H60" s="39">
        <f>E60+G60</f>
        <v>702000</v>
      </c>
      <c r="I60" s="628"/>
      <c r="J60" s="385"/>
      <c r="K60" s="375" t="s">
        <v>2853</v>
      </c>
      <c r="L60" s="375"/>
      <c r="M60" s="375"/>
      <c r="N60" s="375"/>
      <c r="O60" s="294"/>
      <c r="P60" s="553">
        <v>1000000</v>
      </c>
      <c r="Q60" s="634"/>
      <c r="R60" s="711" t="s">
        <v>2780</v>
      </c>
      <c r="S60" s="718"/>
      <c r="T60" s="718"/>
      <c r="U60" s="712"/>
      <c r="V60" s="543"/>
    </row>
    <row r="61" spans="1:22" ht="15" customHeight="1">
      <c r="A61" s="628"/>
      <c r="B61" s="64"/>
      <c r="G61" s="65"/>
      <c r="H61" s="65"/>
      <c r="I61" s="628"/>
      <c r="J61" s="64"/>
      <c r="K61" s="604"/>
      <c r="L61" s="604"/>
      <c r="M61" s="604"/>
      <c r="N61" s="604"/>
      <c r="P61" s="434"/>
      <c r="Q61" s="634"/>
      <c r="R61" s="667" t="s">
        <v>2781</v>
      </c>
      <c r="S61" s="717"/>
      <c r="T61" s="717"/>
      <c r="U61" s="669"/>
      <c r="V61" s="291"/>
    </row>
    <row r="62" spans="1:22" ht="15" customHeight="1">
      <c r="A62" s="628"/>
      <c r="B62" s="64"/>
      <c r="G62" s="65"/>
      <c r="H62" s="65"/>
      <c r="I62" s="628"/>
      <c r="J62" s="647"/>
      <c r="K62" s="610"/>
      <c r="L62" s="610"/>
      <c r="M62" s="610"/>
      <c r="N62" s="610"/>
      <c r="O62" s="648"/>
      <c r="P62" s="434"/>
      <c r="Q62" s="634"/>
      <c r="R62" s="540"/>
      <c r="S62" s="191" t="s">
        <v>2772</v>
      </c>
      <c r="T62" s="191"/>
      <c r="U62" s="173" t="s">
        <v>2777</v>
      </c>
      <c r="V62" s="544"/>
    </row>
    <row r="63" spans="1:22" ht="15" customHeight="1" thickBot="1">
      <c r="A63" s="628"/>
      <c r="B63" s="64"/>
      <c r="G63" s="65"/>
      <c r="H63" s="65"/>
      <c r="I63" s="629"/>
      <c r="J63" s="140"/>
      <c r="K63" s="141"/>
      <c r="L63" s="141"/>
      <c r="M63" s="141"/>
      <c r="N63" s="141"/>
      <c r="O63" s="141"/>
      <c r="P63" s="381"/>
      <c r="Q63" s="634"/>
      <c r="R63" s="140"/>
      <c r="S63" s="141"/>
      <c r="T63" s="141"/>
      <c r="U63" s="142"/>
      <c r="V63" s="381"/>
    </row>
    <row r="64" spans="1:22" ht="15.75" customHeight="1" thickBot="1">
      <c r="A64" s="629"/>
      <c r="B64" s="140"/>
      <c r="C64" s="141"/>
      <c r="D64" s="141"/>
      <c r="E64" s="141"/>
      <c r="F64" s="141"/>
      <c r="G64" s="142"/>
      <c r="H64" s="65"/>
      <c r="I64" s="20" t="s">
        <v>12</v>
      </c>
      <c r="J64" s="614" t="s">
        <v>16</v>
      </c>
      <c r="K64" s="615"/>
      <c r="L64" s="62" t="s">
        <v>14</v>
      </c>
      <c r="M64" s="63"/>
      <c r="N64" s="62" t="s">
        <v>15</v>
      </c>
      <c r="O64" s="62" t="s">
        <v>16</v>
      </c>
      <c r="P64" s="554">
        <f>+P60+P61</f>
        <v>1000000</v>
      </c>
      <c r="Q64" s="635"/>
      <c r="R64" s="140"/>
      <c r="S64" s="141"/>
      <c r="T64" s="141"/>
      <c r="U64" s="141"/>
      <c r="V64" s="381"/>
    </row>
    <row r="65" spans="1:25" ht="18" thickBot="1">
      <c r="A65" s="20" t="s">
        <v>563</v>
      </c>
      <c r="B65" s="611" t="s">
        <v>13</v>
      </c>
      <c r="C65" s="612"/>
      <c r="D65" s="585"/>
      <c r="E65" s="20"/>
      <c r="F65" s="21" t="s">
        <v>15</v>
      </c>
      <c r="G65" s="21" t="s">
        <v>16</v>
      </c>
      <c r="H65" s="20" t="s">
        <v>17</v>
      </c>
      <c r="I65" s="22" t="s">
        <v>18</v>
      </c>
      <c r="J65" s="606">
        <f>+P60</f>
        <v>1000000</v>
      </c>
      <c r="K65" s="607"/>
      <c r="L65" s="359"/>
      <c r="M65" s="24"/>
      <c r="N65" s="25">
        <f>0</f>
        <v>0</v>
      </c>
      <c r="O65" s="36">
        <f>+J65+L65</f>
        <v>1000000</v>
      </c>
      <c r="P65" s="38"/>
      <c r="Q65" s="121" t="s">
        <v>12</v>
      </c>
      <c r="R65" s="719" t="s">
        <v>13</v>
      </c>
      <c r="S65" s="720"/>
      <c r="T65" s="354" t="s">
        <v>14</v>
      </c>
      <c r="U65" s="149" t="s">
        <v>16</v>
      </c>
      <c r="V65" s="382" t="s">
        <v>17</v>
      </c>
    </row>
    <row r="66" spans="1:25" ht="18" thickBot="1">
      <c r="A66" s="22">
        <v>745</v>
      </c>
      <c r="B66" s="137">
        <f>+H60</f>
        <v>702000</v>
      </c>
      <c r="C66" s="138"/>
      <c r="D66" s="24"/>
      <c r="E66" s="24"/>
      <c r="F66" s="25">
        <f>0</f>
        <v>0</v>
      </c>
      <c r="G66" s="36">
        <f>+H66</f>
        <v>702000</v>
      </c>
      <c r="H66" s="38">
        <f>+H60</f>
        <v>702000</v>
      </c>
      <c r="I66" s="518" t="s">
        <v>113</v>
      </c>
      <c r="J66" s="721">
        <f>+J65/650.599</f>
        <v>1537.0450922918724</v>
      </c>
      <c r="K66" s="722"/>
      <c r="L66" s="519">
        <f>0</f>
        <v>0</v>
      </c>
      <c r="M66" s="520"/>
      <c r="N66" s="521">
        <f>0</f>
        <v>0</v>
      </c>
      <c r="O66" s="522">
        <f>+J66</f>
        <v>1537.0450922918724</v>
      </c>
      <c r="P66" s="523"/>
      <c r="Q66" s="120" t="s">
        <v>18</v>
      </c>
      <c r="R66" s="713" t="str">
        <f>+V59</f>
        <v>128 000</v>
      </c>
      <c r="S66" s="714"/>
      <c r="T66" s="369">
        <f>0</f>
        <v>0</v>
      </c>
      <c r="U66" s="123">
        <f>+U60</f>
        <v>0</v>
      </c>
      <c r="V66" s="124" t="str">
        <f>+V59</f>
        <v>128 000</v>
      </c>
    </row>
    <row r="68" spans="1:25">
      <c r="A68" s="37" t="s">
        <v>1337</v>
      </c>
      <c r="B68" s="26"/>
      <c r="C68" s="26"/>
      <c r="D68" s="26"/>
      <c r="E68" s="26"/>
      <c r="F68" s="26"/>
      <c r="G68" s="26"/>
      <c r="I68" s="26" t="s">
        <v>2765</v>
      </c>
      <c r="J68" s="26"/>
      <c r="K68" s="26"/>
      <c r="L68" s="26"/>
      <c r="M68" s="26"/>
      <c r="N68" s="26"/>
      <c r="O68" s="26"/>
      <c r="Q68" s="395" t="s">
        <v>2774</v>
      </c>
      <c r="R68" s="26"/>
      <c r="S68" s="26"/>
      <c r="T68" s="26"/>
      <c r="U68" s="26"/>
    </row>
    <row r="69" spans="1:25">
      <c r="A69" s="407" t="s">
        <v>3000</v>
      </c>
      <c r="B69" s="26"/>
      <c r="C69" s="26"/>
      <c r="D69" s="26"/>
      <c r="E69" s="26"/>
      <c r="F69" s="26"/>
      <c r="G69" s="26"/>
      <c r="I69" s="407" t="s">
        <v>2864</v>
      </c>
      <c r="J69" s="26"/>
      <c r="K69" s="26"/>
      <c r="L69" s="26"/>
      <c r="M69" s="26"/>
      <c r="N69" s="26"/>
      <c r="O69" s="26"/>
      <c r="Q69" s="774" t="s">
        <v>2778</v>
      </c>
      <c r="R69" s="774"/>
      <c r="S69" s="774"/>
      <c r="T69" s="774"/>
      <c r="U69" s="26"/>
    </row>
    <row r="70" spans="1:25">
      <c r="A70" s="82" t="s">
        <v>19</v>
      </c>
      <c r="B70" s="26"/>
      <c r="C70" s="26"/>
      <c r="D70" s="26"/>
      <c r="E70" s="26"/>
      <c r="F70" s="26"/>
      <c r="G70" s="26"/>
      <c r="I70" s="82" t="s">
        <v>19</v>
      </c>
      <c r="J70" s="26"/>
      <c r="K70" s="26"/>
      <c r="L70" s="26"/>
      <c r="M70" s="26"/>
      <c r="N70" s="26"/>
      <c r="O70" s="26"/>
      <c r="Q70" s="26" t="s">
        <v>19</v>
      </c>
      <c r="R70" s="26"/>
      <c r="S70" s="26"/>
      <c r="T70" s="26"/>
      <c r="U70" s="26"/>
    </row>
    <row r="71" spans="1:25">
      <c r="A71" s="26" t="s">
        <v>965</v>
      </c>
      <c r="B71" s="26"/>
      <c r="C71" s="26"/>
      <c r="D71" s="26"/>
      <c r="E71" s="26"/>
      <c r="F71" s="26"/>
      <c r="G71" s="26"/>
      <c r="I71" s="26" t="s">
        <v>965</v>
      </c>
      <c r="J71" s="26"/>
      <c r="K71" s="26"/>
      <c r="L71" s="26"/>
      <c r="M71" s="26"/>
      <c r="N71" s="26"/>
      <c r="O71" s="26"/>
      <c r="Q71" s="26" t="s">
        <v>20</v>
      </c>
      <c r="R71" s="26"/>
      <c r="S71" s="26"/>
      <c r="T71" s="26"/>
      <c r="U71" s="26"/>
      <c r="Y71" s="12" t="s">
        <v>2918</v>
      </c>
    </row>
    <row r="72" spans="1:25">
      <c r="A72" s="26" t="s">
        <v>21</v>
      </c>
      <c r="B72" s="26"/>
      <c r="C72" s="26"/>
      <c r="D72" s="26"/>
      <c r="E72" s="26"/>
      <c r="F72" s="26"/>
      <c r="G72" s="26"/>
      <c r="I72" s="26" t="s">
        <v>21</v>
      </c>
      <c r="J72" s="26"/>
      <c r="K72" s="26"/>
      <c r="L72" s="26"/>
      <c r="M72" s="26"/>
      <c r="N72" s="26"/>
      <c r="O72" s="26"/>
      <c r="Q72" s="26" t="s">
        <v>21</v>
      </c>
      <c r="R72" s="26"/>
      <c r="S72" s="26"/>
      <c r="T72" s="26"/>
      <c r="U72" s="26"/>
    </row>
    <row r="73" spans="1:25">
      <c r="A73" s="26" t="s">
        <v>1229</v>
      </c>
      <c r="B73" s="26"/>
      <c r="C73" s="26"/>
      <c r="D73" s="26"/>
      <c r="E73" s="26"/>
      <c r="F73" s="26"/>
      <c r="G73" s="26"/>
      <c r="I73" s="26" t="s">
        <v>1229</v>
      </c>
      <c r="J73" s="26"/>
      <c r="K73" s="26"/>
      <c r="L73" s="26"/>
      <c r="M73" s="26"/>
      <c r="N73" s="26"/>
      <c r="O73" s="26"/>
      <c r="Q73" s="26" t="s">
        <v>2773</v>
      </c>
      <c r="R73" s="26"/>
      <c r="S73" s="26"/>
      <c r="T73" s="26"/>
      <c r="U73" s="26"/>
    </row>
    <row r="75" spans="1:25">
      <c r="E75" s="30"/>
      <c r="F75" s="30"/>
      <c r="G75" s="30"/>
    </row>
    <row r="76" spans="1:25">
      <c r="C76" s="571"/>
      <c r="D76" s="595"/>
      <c r="F76" s="571" t="s">
        <v>24</v>
      </c>
      <c r="G76" s="571"/>
      <c r="H76" s="571"/>
      <c r="L76" s="30" t="s">
        <v>24</v>
      </c>
      <c r="M76" s="30"/>
      <c r="N76" s="30"/>
      <c r="T76" s="30" t="s">
        <v>24</v>
      </c>
      <c r="U76" s="30"/>
    </row>
    <row r="77" spans="1:25">
      <c r="C77" s="571"/>
      <c r="D77" s="595"/>
      <c r="F77" s="571" t="s">
        <v>149</v>
      </c>
      <c r="G77" s="571"/>
      <c r="H77" s="571"/>
      <c r="L77" s="30" t="s">
        <v>149</v>
      </c>
      <c r="M77" s="30"/>
      <c r="N77" s="30"/>
      <c r="T77" s="30" t="s">
        <v>149</v>
      </c>
      <c r="U77" s="30"/>
    </row>
    <row r="78" spans="1:25">
      <c r="C78" s="570"/>
      <c r="D78" s="590"/>
      <c r="F78" s="576" t="s">
        <v>2974</v>
      </c>
      <c r="G78" s="576"/>
      <c r="H78" s="576"/>
      <c r="L78" s="315" t="s">
        <v>150</v>
      </c>
      <c r="M78" s="315"/>
      <c r="N78" s="315"/>
      <c r="T78" s="315" t="s">
        <v>150</v>
      </c>
      <c r="U78" s="315"/>
    </row>
    <row r="79" spans="1:25" ht="17.25" customHeight="1">
      <c r="E79" s="645"/>
      <c r="F79" s="645"/>
      <c r="G79" s="645"/>
      <c r="H79" s="645"/>
    </row>
    <row r="80" spans="1:25" ht="17.25" customHeight="1">
      <c r="A80" s="26"/>
      <c r="B80" s="26"/>
      <c r="C80" s="26"/>
      <c r="D80" s="26"/>
      <c r="E80" s="645"/>
      <c r="F80" s="645"/>
      <c r="G80" s="645"/>
      <c r="H80" s="645"/>
      <c r="I80" s="26"/>
      <c r="J80" s="26"/>
      <c r="K80" s="26"/>
      <c r="L80" s="26"/>
      <c r="M80" s="26"/>
      <c r="N80" s="26"/>
      <c r="O80" s="26"/>
      <c r="Q80" s="26"/>
      <c r="R80" s="26"/>
      <c r="S80" s="26"/>
      <c r="T80" s="26"/>
      <c r="U80" s="26"/>
    </row>
    <row r="81" spans="1:22" ht="18" customHeight="1">
      <c r="A81" s="26"/>
      <c r="B81" s="26"/>
      <c r="C81" s="26"/>
      <c r="D81" s="26"/>
      <c r="H81" s="145"/>
      <c r="I81" s="26"/>
      <c r="J81" s="26"/>
      <c r="K81" s="26"/>
      <c r="L81" s="645"/>
      <c r="M81" s="645"/>
      <c r="N81" s="645"/>
      <c r="O81" s="645"/>
      <c r="P81" s="145"/>
      <c r="Q81" s="26"/>
      <c r="R81" s="26"/>
      <c r="S81" s="26"/>
      <c r="T81" s="26"/>
      <c r="U81" s="735"/>
      <c r="V81" s="735"/>
    </row>
    <row r="82" spans="1:22" ht="18" customHeight="1">
      <c r="A82" s="26"/>
      <c r="B82" s="26"/>
      <c r="C82" s="26"/>
      <c r="D82" s="26"/>
      <c r="F82" s="575" t="s">
        <v>3001</v>
      </c>
      <c r="G82" s="575"/>
      <c r="H82" s="145"/>
      <c r="I82" s="26"/>
      <c r="J82" s="26"/>
      <c r="K82" s="26"/>
      <c r="L82" s="417"/>
      <c r="M82" s="417"/>
      <c r="N82" s="417"/>
      <c r="O82" s="417"/>
      <c r="P82" s="145"/>
      <c r="Q82" s="26"/>
      <c r="R82" s="26"/>
      <c r="S82" s="26"/>
      <c r="T82" s="26"/>
      <c r="U82" s="368"/>
      <c r="V82" s="368"/>
    </row>
    <row r="83" spans="1:22" ht="16.5" customHeight="1">
      <c r="A83" s="26"/>
      <c r="B83" s="26"/>
      <c r="C83" s="26"/>
      <c r="D83" s="26"/>
      <c r="H83" s="145"/>
      <c r="I83" s="26"/>
      <c r="J83" s="26"/>
      <c r="K83" s="26"/>
      <c r="L83" s="645"/>
      <c r="M83" s="645"/>
      <c r="N83" s="645"/>
      <c r="O83" s="645"/>
      <c r="P83" s="145"/>
      <c r="Q83" s="26"/>
      <c r="R83" s="26"/>
      <c r="S83" s="26"/>
      <c r="T83" s="26"/>
      <c r="U83" s="368"/>
      <c r="V83" s="368"/>
    </row>
    <row r="84" spans="1:22" ht="20.25" customHeight="1">
      <c r="I84" s="617" t="s">
        <v>2567</v>
      </c>
      <c r="J84" s="617"/>
      <c r="K84" s="617"/>
      <c r="L84" s="617"/>
      <c r="M84" s="617"/>
      <c r="N84" s="617"/>
      <c r="O84" s="617"/>
      <c r="P84" s="617"/>
      <c r="R84" s="617" t="s">
        <v>0</v>
      </c>
      <c r="S84" s="617"/>
      <c r="T84" s="617"/>
      <c r="U84" s="617"/>
      <c r="V84" s="617"/>
    </row>
    <row r="86" spans="1:22" ht="48">
      <c r="A86" s="727" t="s">
        <v>1</v>
      </c>
      <c r="B86" s="727"/>
      <c r="C86" s="727"/>
      <c r="D86" s="727"/>
      <c r="E86" s="727"/>
      <c r="F86" s="727"/>
      <c r="G86" s="727"/>
      <c r="H86" s="727"/>
    </row>
    <row r="87" spans="1:22" ht="45" customHeight="1">
      <c r="I87" s="727" t="s">
        <v>1</v>
      </c>
      <c r="J87" s="727"/>
      <c r="K87" s="727"/>
      <c r="L87" s="727"/>
      <c r="M87" s="727"/>
      <c r="N87" s="727"/>
      <c r="O87" s="727"/>
      <c r="P87" s="727"/>
      <c r="S87" s="688" t="s">
        <v>1</v>
      </c>
      <c r="T87" s="688"/>
    </row>
    <row r="88" spans="1:22" ht="17.25">
      <c r="A88" s="30"/>
      <c r="B88" s="503" t="s">
        <v>2433</v>
      </c>
    </row>
    <row r="89" spans="1:22" ht="18" thickBot="1">
      <c r="A89" s="30"/>
      <c r="G89" s="141"/>
      <c r="I89" s="375"/>
      <c r="J89" s="375" t="s">
        <v>714</v>
      </c>
      <c r="Q89" s="30" t="s">
        <v>118</v>
      </c>
    </row>
    <row r="90" spans="1:22" ht="17.25" thickBot="1">
      <c r="B90" s="30"/>
      <c r="F90" s="143"/>
      <c r="H90" s="144"/>
      <c r="I90" s="30"/>
      <c r="O90" s="141"/>
      <c r="Q90" s="30"/>
      <c r="U90" s="141"/>
    </row>
    <row r="91" spans="1:22" ht="17.25">
      <c r="F91" s="667" t="s">
        <v>815</v>
      </c>
      <c r="G91" s="668"/>
      <c r="H91" s="669"/>
      <c r="J91" s="30"/>
      <c r="N91" s="143"/>
      <c r="P91" s="144"/>
      <c r="R91" s="30"/>
      <c r="V91" s="144"/>
    </row>
    <row r="92" spans="1:22" ht="15" customHeight="1">
      <c r="B92" s="12" t="s">
        <v>114</v>
      </c>
      <c r="E92" s="30" t="s">
        <v>2</v>
      </c>
      <c r="F92" s="683"/>
      <c r="G92" s="683"/>
      <c r="H92" s="684"/>
      <c r="N92" s="711" t="s">
        <v>2612</v>
      </c>
      <c r="O92" s="694"/>
      <c r="P92" s="712"/>
      <c r="U92" s="191" t="s">
        <v>32</v>
      </c>
      <c r="V92" s="65"/>
    </row>
    <row r="93" spans="1:22">
      <c r="F93" s="601" t="s">
        <v>163</v>
      </c>
      <c r="G93" s="602"/>
      <c r="H93" s="603"/>
      <c r="I93" s="12" t="s">
        <v>114</v>
      </c>
      <c r="L93" s="249" t="s">
        <v>1663</v>
      </c>
      <c r="N93" s="683" t="s">
        <v>2633</v>
      </c>
      <c r="O93" s="683"/>
      <c r="P93" s="684"/>
      <c r="T93" s="30" t="s">
        <v>2</v>
      </c>
      <c r="V93" s="65"/>
    </row>
    <row r="94" spans="1:22" ht="17.25" thickBot="1">
      <c r="F94" s="140"/>
      <c r="G94" s="141"/>
      <c r="H94" s="142"/>
      <c r="N94" s="601" t="s">
        <v>163</v>
      </c>
      <c r="O94" s="602"/>
      <c r="P94" s="603"/>
      <c r="Q94" s="12" t="s">
        <v>114</v>
      </c>
      <c r="U94" s="192" t="s">
        <v>29</v>
      </c>
      <c r="V94" s="65"/>
    </row>
    <row r="95" spans="1:22" ht="17.25" thickBot="1">
      <c r="N95" s="140"/>
      <c r="O95" s="141"/>
      <c r="P95" s="142"/>
      <c r="U95" s="141"/>
      <c r="V95" s="142"/>
    </row>
    <row r="96" spans="1:22">
      <c r="A96" s="30"/>
      <c r="B96" s="30" t="s">
        <v>3003</v>
      </c>
      <c r="C96" s="30"/>
      <c r="D96" s="595"/>
    </row>
    <row r="97" spans="1:22">
      <c r="A97" s="30"/>
      <c r="B97" s="167" t="s">
        <v>3004</v>
      </c>
      <c r="C97" s="30"/>
      <c r="D97" s="595"/>
      <c r="I97" s="249" t="s">
        <v>27</v>
      </c>
      <c r="J97" s="394" t="s">
        <v>214</v>
      </c>
      <c r="Q97" s="30" t="s">
        <v>27</v>
      </c>
      <c r="R97" s="12" t="s">
        <v>29</v>
      </c>
    </row>
    <row r="98" spans="1:22" ht="17.25" thickBot="1">
      <c r="A98" s="30"/>
      <c r="I98" s="30"/>
      <c r="Q98" s="30"/>
    </row>
    <row r="99" spans="1:22" ht="17.25" thickBot="1">
      <c r="A99" s="13" t="s">
        <v>3</v>
      </c>
      <c r="B99" s="696" t="s">
        <v>4</v>
      </c>
      <c r="C99" s="697"/>
      <c r="D99" s="697"/>
      <c r="E99" s="697"/>
      <c r="F99" s="697"/>
      <c r="G99" s="698"/>
      <c r="H99" s="20" t="s">
        <v>5</v>
      </c>
    </row>
    <row r="100" spans="1:22" ht="17.25" customHeight="1" thickBot="1">
      <c r="A100" s="627" t="s">
        <v>2999</v>
      </c>
      <c r="B100" s="143"/>
      <c r="C100" s="159"/>
      <c r="D100" s="159"/>
      <c r="E100" s="159"/>
      <c r="F100" s="159"/>
      <c r="G100" s="144"/>
      <c r="H100" s="65"/>
      <c r="I100" s="13" t="s">
        <v>112</v>
      </c>
      <c r="J100" s="624" t="s">
        <v>4</v>
      </c>
      <c r="K100" s="625"/>
      <c r="L100" s="625"/>
      <c r="M100" s="625"/>
      <c r="N100" s="625"/>
      <c r="O100" s="626"/>
      <c r="P100" s="20" t="s">
        <v>5</v>
      </c>
      <c r="Q100" s="119" t="s">
        <v>3</v>
      </c>
      <c r="R100" s="696" t="s">
        <v>4</v>
      </c>
      <c r="S100" s="697"/>
      <c r="T100" s="697"/>
      <c r="U100" s="698"/>
      <c r="V100" s="376" t="s">
        <v>5</v>
      </c>
    </row>
    <row r="101" spans="1:22" ht="15.75" customHeight="1" thickBot="1">
      <c r="A101" s="628"/>
      <c r="B101" s="598" t="s">
        <v>6</v>
      </c>
      <c r="C101" s="600"/>
      <c r="D101" s="591"/>
      <c r="E101" s="598" t="s">
        <v>7</v>
      </c>
      <c r="F101" s="599"/>
      <c r="G101" s="600"/>
      <c r="H101" s="65"/>
      <c r="I101" s="627" t="s">
        <v>2634</v>
      </c>
      <c r="J101" s="143"/>
      <c r="K101" s="159"/>
      <c r="L101" s="159"/>
      <c r="M101" s="159"/>
      <c r="N101" s="159"/>
      <c r="O101" s="144"/>
      <c r="P101" s="245"/>
      <c r="Q101" s="731">
        <v>2015</v>
      </c>
      <c r="R101" s="736"/>
      <c r="S101" s="737"/>
      <c r="T101" s="737"/>
      <c r="U101" s="738"/>
      <c r="V101" s="290"/>
    </row>
    <row r="102" spans="1:22" ht="17.25" thickBot="1">
      <c r="A102" s="628"/>
      <c r="B102" s="17" t="s">
        <v>26</v>
      </c>
      <c r="C102" s="18" t="s">
        <v>8</v>
      </c>
      <c r="D102" s="18"/>
      <c r="E102" s="18" t="s">
        <v>10</v>
      </c>
      <c r="F102" s="19" t="s">
        <v>8</v>
      </c>
      <c r="G102" s="18" t="s">
        <v>11</v>
      </c>
      <c r="H102" s="65"/>
      <c r="I102" s="628"/>
      <c r="J102" s="630" t="s">
        <v>1369</v>
      </c>
      <c r="K102" s="631"/>
      <c r="L102" s="631"/>
      <c r="M102" s="631"/>
      <c r="N102" s="631"/>
      <c r="O102" s="632"/>
      <c r="P102" s="245"/>
      <c r="Q102" s="634"/>
      <c r="R102" s="732" t="s">
        <v>141</v>
      </c>
      <c r="S102" s="733"/>
      <c r="T102" s="733"/>
      <c r="U102" s="734"/>
      <c r="V102" s="291"/>
    </row>
    <row r="103" spans="1:22" ht="17.25">
      <c r="A103" s="628"/>
      <c r="B103" s="237">
        <v>43</v>
      </c>
      <c r="C103" s="438">
        <v>10000</v>
      </c>
      <c r="D103" s="438"/>
      <c r="E103" s="154">
        <f>B103*C103</f>
        <v>430000</v>
      </c>
      <c r="F103" s="154">
        <v>3500</v>
      </c>
      <c r="G103" s="161"/>
      <c r="H103" s="162">
        <f>E103</f>
        <v>430000</v>
      </c>
      <c r="I103" s="628"/>
      <c r="J103" s="705" t="s">
        <v>2635</v>
      </c>
      <c r="K103" s="706"/>
      <c r="L103" s="706"/>
      <c r="M103" s="706"/>
      <c r="N103" s="706"/>
      <c r="O103" s="707"/>
      <c r="P103" s="245">
        <v>1500000</v>
      </c>
      <c r="Q103" s="634"/>
      <c r="R103" s="150" t="s">
        <v>26</v>
      </c>
      <c r="S103" s="117" t="s">
        <v>8</v>
      </c>
      <c r="T103" s="117" t="s">
        <v>9</v>
      </c>
      <c r="U103" s="122" t="s">
        <v>11</v>
      </c>
      <c r="V103" s="291"/>
    </row>
    <row r="104" spans="1:22" ht="15" customHeight="1">
      <c r="A104" s="628"/>
      <c r="B104" s="64"/>
      <c r="G104" s="65"/>
      <c r="H104" s="65"/>
      <c r="I104" s="628"/>
      <c r="J104" s="385"/>
      <c r="K104" s="201"/>
      <c r="L104" s="604"/>
      <c r="M104" s="604"/>
      <c r="N104" s="187"/>
      <c r="O104" s="132"/>
      <c r="P104" s="224"/>
      <c r="Q104" s="634"/>
      <c r="R104" s="377">
        <v>9</v>
      </c>
      <c r="S104" s="378">
        <v>15000</v>
      </c>
      <c r="T104" s="378">
        <f>R104*S104</f>
        <v>135000</v>
      </c>
      <c r="U104" s="379"/>
      <c r="V104" s="148">
        <f>+T104+U104</f>
        <v>135000</v>
      </c>
    </row>
    <row r="105" spans="1:22" ht="15" customHeight="1">
      <c r="A105" s="628"/>
      <c r="B105" s="64"/>
      <c r="G105" s="65"/>
      <c r="H105" s="65"/>
      <c r="I105" s="628"/>
      <c r="J105" s="64"/>
      <c r="K105" s="30"/>
      <c r="L105" s="30"/>
      <c r="M105" s="30"/>
      <c r="O105" s="65"/>
      <c r="P105" s="224"/>
      <c r="Q105" s="634"/>
      <c r="R105" s="380"/>
      <c r="S105" s="151"/>
      <c r="T105" s="151"/>
      <c r="U105" s="151"/>
      <c r="V105" s="291"/>
    </row>
    <row r="106" spans="1:22" ht="15" customHeight="1" thickBot="1">
      <c r="A106" s="629"/>
      <c r="B106" s="140"/>
      <c r="C106" s="141"/>
      <c r="D106" s="141"/>
      <c r="E106" s="141"/>
      <c r="F106" s="141"/>
      <c r="G106" s="142"/>
      <c r="H106" s="65"/>
      <c r="I106" s="629"/>
      <c r="J106" s="140"/>
      <c r="K106" s="141"/>
      <c r="L106" s="141"/>
      <c r="M106" s="141"/>
      <c r="N106" s="141"/>
      <c r="O106" s="142"/>
      <c r="P106" s="245"/>
      <c r="Q106" s="634"/>
      <c r="R106" s="64"/>
      <c r="V106" s="291"/>
    </row>
    <row r="107" spans="1:22" ht="15.75" customHeight="1" thickBot="1">
      <c r="A107" s="20" t="s">
        <v>563</v>
      </c>
      <c r="B107" s="611" t="s">
        <v>13</v>
      </c>
      <c r="C107" s="612"/>
      <c r="D107" s="585"/>
      <c r="E107" s="20"/>
      <c r="F107" s="21" t="s">
        <v>15</v>
      </c>
      <c r="G107" s="21" t="s">
        <v>16</v>
      </c>
      <c r="H107" s="20" t="s">
        <v>17</v>
      </c>
      <c r="I107" s="20" t="s">
        <v>12</v>
      </c>
      <c r="J107" s="614" t="s">
        <v>13</v>
      </c>
      <c r="K107" s="615"/>
      <c r="L107" s="62" t="s">
        <v>14</v>
      </c>
      <c r="M107" s="63"/>
      <c r="N107" s="62" t="s">
        <v>15</v>
      </c>
      <c r="O107" s="62" t="s">
        <v>16</v>
      </c>
      <c r="P107" s="20" t="s">
        <v>17</v>
      </c>
      <c r="Q107" s="635"/>
      <c r="R107" s="140"/>
      <c r="S107" s="141"/>
      <c r="T107" s="141"/>
      <c r="U107" s="141"/>
      <c r="V107" s="381"/>
    </row>
    <row r="108" spans="1:22" ht="18" thickBot="1">
      <c r="A108" s="22">
        <v>890</v>
      </c>
      <c r="B108" s="606">
        <f>+H103</f>
        <v>430000</v>
      </c>
      <c r="C108" s="652"/>
      <c r="D108" s="596"/>
      <c r="E108" s="516"/>
      <c r="F108" s="517">
        <f>0</f>
        <v>0</v>
      </c>
      <c r="G108" s="36">
        <f>+H108</f>
        <v>430000</v>
      </c>
      <c r="H108" s="38">
        <f>+H103</f>
        <v>430000</v>
      </c>
      <c r="I108" s="22" t="s">
        <v>18</v>
      </c>
      <c r="J108" s="606">
        <f>+P103</f>
        <v>1500000</v>
      </c>
      <c r="K108" s="607"/>
      <c r="L108" s="23">
        <f>0</f>
        <v>0</v>
      </c>
      <c r="M108" s="24"/>
      <c r="N108" s="25">
        <f>0</f>
        <v>0</v>
      </c>
      <c r="O108" s="36">
        <f>+J108</f>
        <v>1500000</v>
      </c>
      <c r="P108" s="38">
        <f>+P103</f>
        <v>1500000</v>
      </c>
      <c r="Q108" s="121" t="s">
        <v>12</v>
      </c>
      <c r="R108" s="719" t="s">
        <v>13</v>
      </c>
      <c r="S108" s="720"/>
      <c r="T108" s="354" t="s">
        <v>14</v>
      </c>
      <c r="U108" s="149" t="s">
        <v>16</v>
      </c>
      <c r="V108" s="382" t="s">
        <v>17</v>
      </c>
    </row>
    <row r="109" spans="1:22" ht="18" thickBot="1">
      <c r="I109" s="22" t="s">
        <v>113</v>
      </c>
      <c r="J109" s="606">
        <f>+J108/650.599</f>
        <v>2305.5676384378089</v>
      </c>
      <c r="K109" s="607"/>
      <c r="L109" s="23">
        <f>0</f>
        <v>0</v>
      </c>
      <c r="M109" s="24"/>
      <c r="N109" s="25">
        <f>0</f>
        <v>0</v>
      </c>
      <c r="O109" s="36">
        <f>+O105</f>
        <v>0</v>
      </c>
      <c r="P109" s="77">
        <f>+J109</f>
        <v>2305.5676384378089</v>
      </c>
      <c r="Q109" s="120" t="s">
        <v>18</v>
      </c>
      <c r="R109" s="713">
        <f>+T104</f>
        <v>135000</v>
      </c>
      <c r="S109" s="714"/>
      <c r="T109" s="369">
        <f>0</f>
        <v>0</v>
      </c>
      <c r="U109" s="123">
        <f>+U104</f>
        <v>0</v>
      </c>
      <c r="V109" s="124">
        <f>+V104</f>
        <v>135000</v>
      </c>
    </row>
    <row r="110" spans="1:22">
      <c r="A110" s="395" t="s">
        <v>1268</v>
      </c>
      <c r="B110" s="26"/>
      <c r="C110" s="26"/>
      <c r="D110" s="26"/>
      <c r="E110" s="26"/>
      <c r="F110" s="26"/>
      <c r="G110" s="26"/>
    </row>
    <row r="111" spans="1:22">
      <c r="A111" s="407" t="s">
        <v>3005</v>
      </c>
      <c r="B111" s="26"/>
      <c r="C111" s="26"/>
      <c r="D111" s="26"/>
      <c r="E111" s="26"/>
      <c r="F111" s="26"/>
      <c r="G111" s="26"/>
      <c r="I111" s="26" t="s">
        <v>1530</v>
      </c>
      <c r="J111" s="26"/>
      <c r="K111" s="26"/>
      <c r="L111" s="26"/>
      <c r="M111" s="26"/>
      <c r="N111" s="26"/>
      <c r="O111" s="26"/>
      <c r="Q111" s="37" t="s">
        <v>140</v>
      </c>
      <c r="R111" s="26"/>
      <c r="S111" s="26"/>
      <c r="T111" s="26"/>
      <c r="U111" s="26"/>
    </row>
    <row r="112" spans="1:22">
      <c r="A112" s="26" t="s">
        <v>19</v>
      </c>
      <c r="B112" s="26"/>
      <c r="C112" s="26"/>
      <c r="D112" s="26"/>
      <c r="E112" s="26"/>
      <c r="F112" s="26"/>
      <c r="G112" s="26"/>
      <c r="I112" s="82" t="s">
        <v>2636</v>
      </c>
      <c r="J112" s="26"/>
      <c r="K112" s="26"/>
      <c r="L112" s="26"/>
      <c r="M112" s="26"/>
      <c r="N112" s="26"/>
      <c r="O112" s="26"/>
      <c r="Q112" s="37"/>
      <c r="R112" s="26"/>
      <c r="S112" s="26"/>
      <c r="T112" s="26"/>
      <c r="U112" s="26"/>
    </row>
    <row r="113" spans="1:22">
      <c r="A113" s="26" t="s">
        <v>965</v>
      </c>
      <c r="B113" s="26"/>
      <c r="C113" s="26"/>
      <c r="D113" s="26"/>
      <c r="E113" s="26"/>
      <c r="F113" s="26"/>
      <c r="G113" s="26"/>
      <c r="I113" s="26" t="s">
        <v>19</v>
      </c>
      <c r="J113" s="26"/>
      <c r="K113" s="26"/>
      <c r="L113" s="26"/>
      <c r="M113" s="26"/>
      <c r="N113" s="26"/>
      <c r="O113" s="26"/>
      <c r="Q113" s="26" t="s">
        <v>19</v>
      </c>
      <c r="R113" s="26"/>
      <c r="S113" s="26"/>
      <c r="T113" s="26"/>
      <c r="U113" s="26"/>
    </row>
    <row r="114" spans="1:22">
      <c r="A114" s="26" t="s">
        <v>21</v>
      </c>
      <c r="B114" s="26"/>
      <c r="C114" s="26"/>
      <c r="D114" s="26"/>
      <c r="E114" s="26"/>
      <c r="F114" s="26"/>
      <c r="G114" s="26"/>
      <c r="I114" s="26" t="s">
        <v>965</v>
      </c>
      <c r="J114" s="26"/>
      <c r="K114" s="26"/>
      <c r="L114" s="26"/>
      <c r="M114" s="26"/>
      <c r="N114" s="26"/>
      <c r="O114" s="26"/>
      <c r="Q114" s="26" t="s">
        <v>20</v>
      </c>
      <c r="R114" s="26"/>
      <c r="S114" s="26"/>
      <c r="T114" s="26"/>
      <c r="U114" s="26"/>
    </row>
    <row r="115" spans="1:22">
      <c r="A115" s="26" t="s">
        <v>1229</v>
      </c>
      <c r="B115" s="26"/>
      <c r="C115" s="26"/>
      <c r="D115" s="26"/>
      <c r="E115" s="26"/>
      <c r="F115" s="26"/>
      <c r="G115" s="26"/>
      <c r="I115" s="26" t="s">
        <v>21</v>
      </c>
      <c r="J115" s="26"/>
      <c r="K115" s="26"/>
      <c r="L115" s="26"/>
      <c r="M115" s="26"/>
      <c r="N115" s="26"/>
      <c r="O115" s="26"/>
      <c r="Q115" s="26" t="s">
        <v>21</v>
      </c>
      <c r="R115" s="26"/>
      <c r="S115" s="26"/>
      <c r="T115" s="26"/>
      <c r="U115" s="26"/>
    </row>
    <row r="116" spans="1:22">
      <c r="I116" s="26" t="s">
        <v>1229</v>
      </c>
      <c r="J116" s="26"/>
      <c r="K116" s="26"/>
      <c r="L116" s="26"/>
      <c r="M116" s="26"/>
      <c r="N116" s="26"/>
      <c r="O116" s="26"/>
      <c r="Q116" s="26" t="s">
        <v>1229</v>
      </c>
      <c r="R116" s="26"/>
      <c r="S116" s="26"/>
      <c r="T116" s="26"/>
      <c r="U116" s="26"/>
    </row>
    <row r="117" spans="1:22">
      <c r="E117" s="579"/>
      <c r="F117" s="579"/>
      <c r="G117" s="579"/>
      <c r="H117" s="579"/>
    </row>
    <row r="118" spans="1:22">
      <c r="E118" s="579" t="s">
        <v>3009</v>
      </c>
      <c r="F118" s="579"/>
      <c r="G118" s="579"/>
      <c r="H118" s="579"/>
    </row>
    <row r="119" spans="1:22">
      <c r="E119" s="167" t="s">
        <v>3010</v>
      </c>
      <c r="F119" s="167"/>
      <c r="G119" s="167"/>
      <c r="H119" s="167"/>
      <c r="L119" s="30" t="s">
        <v>24</v>
      </c>
      <c r="M119" s="30"/>
      <c r="N119" s="30"/>
      <c r="O119" s="30"/>
    </row>
    <row r="120" spans="1:22">
      <c r="E120" s="580" t="s">
        <v>3011</v>
      </c>
      <c r="F120" s="580"/>
      <c r="G120" s="580"/>
      <c r="H120" s="580"/>
      <c r="L120" s="167" t="s">
        <v>149</v>
      </c>
      <c r="M120" s="167"/>
      <c r="N120" s="167"/>
      <c r="O120" s="167"/>
      <c r="T120" s="30"/>
    </row>
    <row r="121" spans="1:22">
      <c r="E121" s="167"/>
      <c r="F121" s="167"/>
      <c r="G121" s="167"/>
      <c r="H121" s="167"/>
      <c r="L121" s="604" t="s">
        <v>150</v>
      </c>
      <c r="M121" s="604"/>
      <c r="N121" s="604"/>
      <c r="O121" s="604"/>
      <c r="T121" s="30" t="s">
        <v>25</v>
      </c>
    </row>
    <row r="122" spans="1:22">
      <c r="E122" s="604"/>
      <c r="F122" s="604"/>
      <c r="G122" s="604"/>
      <c r="H122" s="604"/>
    </row>
    <row r="123" spans="1:22" ht="17.25">
      <c r="A123" s="26"/>
      <c r="B123" s="26"/>
      <c r="C123" s="26"/>
      <c r="D123" s="26"/>
      <c r="E123" s="296"/>
      <c r="F123" s="296"/>
      <c r="G123" s="296"/>
      <c r="H123" s="296"/>
      <c r="L123" s="26"/>
      <c r="M123" s="26"/>
      <c r="N123" s="26"/>
      <c r="O123" s="26"/>
    </row>
    <row r="124" spans="1:22" ht="17.25">
      <c r="A124" s="26"/>
      <c r="B124" s="26"/>
      <c r="C124" s="26"/>
      <c r="D124" s="26"/>
      <c r="E124" s="296"/>
      <c r="F124" s="575"/>
      <c r="G124" s="575"/>
      <c r="H124" s="296"/>
      <c r="I124" s="26"/>
      <c r="J124" s="26"/>
      <c r="K124" s="26"/>
      <c r="L124" s="645" t="s">
        <v>2347</v>
      </c>
      <c r="M124" s="645"/>
      <c r="N124" s="645"/>
      <c r="O124" s="645"/>
      <c r="Q124" s="26"/>
      <c r="R124" s="26"/>
      <c r="S124" s="26"/>
      <c r="T124" s="26"/>
      <c r="U124" s="26"/>
    </row>
    <row r="125" spans="1:22" ht="18" customHeight="1">
      <c r="A125" s="384"/>
      <c r="B125" s="26"/>
      <c r="C125" s="26"/>
      <c r="D125" s="26"/>
      <c r="E125" s="575"/>
      <c r="F125" s="575"/>
      <c r="G125" s="145"/>
      <c r="H125" s="296"/>
      <c r="I125" s="26"/>
      <c r="J125" s="26"/>
      <c r="K125" s="26"/>
      <c r="L125" s="645"/>
      <c r="M125" s="645"/>
      <c r="N125" s="645"/>
      <c r="O125" s="645"/>
      <c r="Q125" s="26"/>
      <c r="R125" s="26"/>
      <c r="S125" s="26"/>
      <c r="T125" s="26"/>
      <c r="U125" s="735"/>
      <c r="V125" s="735"/>
    </row>
    <row r="126" spans="1:22" ht="18" customHeight="1">
      <c r="I126" s="384"/>
      <c r="J126" s="26"/>
      <c r="K126" s="26"/>
      <c r="P126" s="362"/>
      <c r="Q126" s="384"/>
      <c r="R126" s="26"/>
      <c r="S126" s="26"/>
      <c r="T126" s="26"/>
      <c r="U126" s="735"/>
      <c r="V126" s="735"/>
    </row>
    <row r="127" spans="1:22" ht="18" customHeight="1">
      <c r="I127" s="384"/>
      <c r="J127" s="617" t="s">
        <v>0</v>
      </c>
      <c r="K127" s="617"/>
      <c r="L127" s="617"/>
      <c r="M127" s="617"/>
      <c r="N127" s="617"/>
      <c r="O127" s="617"/>
      <c r="P127" s="617"/>
      <c r="Q127" s="384"/>
      <c r="R127" s="26"/>
      <c r="S127" s="26"/>
      <c r="T127" s="26"/>
      <c r="U127" s="368"/>
      <c r="V127" s="368"/>
    </row>
    <row r="128" spans="1:22">
      <c r="J128" s="396"/>
      <c r="K128" s="396"/>
      <c r="L128" s="396"/>
      <c r="M128" s="396"/>
      <c r="N128" s="396"/>
      <c r="O128" s="396"/>
      <c r="P128" s="396"/>
      <c r="R128" s="617" t="s">
        <v>0</v>
      </c>
      <c r="S128" s="617"/>
      <c r="T128" s="617"/>
      <c r="U128" s="617"/>
      <c r="V128" s="617"/>
    </row>
    <row r="129" spans="1:22" ht="48">
      <c r="A129" s="613" t="s">
        <v>1</v>
      </c>
      <c r="B129" s="613"/>
      <c r="C129" s="613"/>
      <c r="D129" s="613"/>
      <c r="E129" s="613"/>
      <c r="F129" s="613"/>
      <c r="G129" s="613"/>
      <c r="H129" s="613"/>
    </row>
    <row r="131" spans="1:22" ht="40.5" customHeight="1">
      <c r="A131" s="375"/>
      <c r="B131" s="503" t="s">
        <v>1720</v>
      </c>
      <c r="I131" s="739" t="s">
        <v>2177</v>
      </c>
      <c r="J131" s="739"/>
      <c r="K131" s="739"/>
      <c r="L131" s="739"/>
      <c r="M131" s="739"/>
      <c r="N131" s="739"/>
      <c r="O131" s="739"/>
      <c r="P131" s="739"/>
      <c r="S131" s="688" t="s">
        <v>1</v>
      </c>
      <c r="T131" s="688"/>
    </row>
    <row r="132" spans="1:22" ht="15.75" customHeight="1" thickBot="1">
      <c r="A132" s="30"/>
      <c r="G132" s="141"/>
    </row>
    <row r="133" spans="1:22" ht="17.25">
      <c r="B133" s="30"/>
      <c r="F133" s="143"/>
      <c r="H133" s="144"/>
      <c r="I133" s="375"/>
      <c r="J133" s="503" t="s">
        <v>2515</v>
      </c>
      <c r="Q133" s="30" t="s">
        <v>116</v>
      </c>
    </row>
    <row r="134" spans="1:22" ht="18" thickBot="1">
      <c r="F134" s="667" t="s">
        <v>2091</v>
      </c>
      <c r="G134" s="668"/>
      <c r="H134" s="669"/>
      <c r="I134" s="30"/>
      <c r="O134" s="141"/>
      <c r="Q134" s="30"/>
      <c r="U134" s="141"/>
    </row>
    <row r="135" spans="1:22">
      <c r="B135" s="12" t="s">
        <v>114</v>
      </c>
      <c r="E135" s="30" t="s">
        <v>2</v>
      </c>
      <c r="F135" s="683" t="s">
        <v>1379</v>
      </c>
      <c r="G135" s="683"/>
      <c r="H135" s="684"/>
      <c r="J135" s="30"/>
      <c r="N135" s="143"/>
      <c r="P135" s="144"/>
      <c r="R135" s="30"/>
      <c r="V135" s="144"/>
    </row>
    <row r="136" spans="1:22" ht="17.25">
      <c r="F136" s="601" t="s">
        <v>163</v>
      </c>
      <c r="G136" s="602"/>
      <c r="H136" s="603"/>
      <c r="N136" s="647" t="s">
        <v>677</v>
      </c>
      <c r="O136" s="610"/>
      <c r="P136" s="648"/>
      <c r="U136" s="375" t="s">
        <v>119</v>
      </c>
      <c r="V136" s="65"/>
    </row>
    <row r="137" spans="1:22" ht="17.25" thickBot="1">
      <c r="F137" s="140"/>
      <c r="G137" s="141"/>
      <c r="H137" s="142"/>
      <c r="I137" s="12" t="s">
        <v>114</v>
      </c>
      <c r="L137" s="30" t="s">
        <v>963</v>
      </c>
      <c r="N137" s="605" t="s">
        <v>1664</v>
      </c>
      <c r="O137" s="605"/>
      <c r="P137" s="649"/>
      <c r="T137" s="30" t="s">
        <v>2</v>
      </c>
      <c r="V137" s="65"/>
    </row>
    <row r="138" spans="1:22">
      <c r="A138" s="30"/>
      <c r="B138" s="30"/>
      <c r="N138" s="601" t="s">
        <v>163</v>
      </c>
      <c r="O138" s="602"/>
      <c r="P138" s="603"/>
      <c r="Q138" s="12" t="s">
        <v>114</v>
      </c>
      <c r="U138" s="192" t="s">
        <v>29</v>
      </c>
      <c r="V138" s="65"/>
    </row>
    <row r="139" spans="1:22" ht="17.25" thickBot="1">
      <c r="A139" s="30"/>
      <c r="B139" s="30" t="s">
        <v>27</v>
      </c>
      <c r="C139" s="30" t="s">
        <v>115</v>
      </c>
      <c r="D139" s="595"/>
      <c r="N139" s="140"/>
      <c r="O139" s="141"/>
      <c r="P139" s="142"/>
      <c r="U139" s="141"/>
      <c r="V139" s="142"/>
    </row>
    <row r="140" spans="1:22">
      <c r="A140" s="30"/>
      <c r="B140" s="30" t="s">
        <v>142</v>
      </c>
      <c r="C140" s="30" t="s">
        <v>2793</v>
      </c>
      <c r="D140" s="595"/>
    </row>
    <row r="141" spans="1:22" ht="17.25" thickBot="1">
      <c r="I141" s="249" t="s">
        <v>27</v>
      </c>
      <c r="J141" s="30" t="s">
        <v>148</v>
      </c>
      <c r="Q141" s="30" t="s">
        <v>27</v>
      </c>
      <c r="R141" s="12" t="s">
        <v>29</v>
      </c>
    </row>
    <row r="142" spans="1:22" ht="17.25" thickBot="1">
      <c r="A142" s="13" t="s">
        <v>3</v>
      </c>
      <c r="B142" s="696" t="s">
        <v>4</v>
      </c>
      <c r="C142" s="697"/>
      <c r="D142" s="697"/>
      <c r="E142" s="697"/>
      <c r="F142" s="697"/>
      <c r="G142" s="698"/>
      <c r="H142" s="20" t="s">
        <v>5</v>
      </c>
      <c r="I142" s="30"/>
      <c r="Q142" s="30"/>
    </row>
    <row r="143" spans="1:22" ht="17.25" thickBot="1">
      <c r="A143" s="692" t="s">
        <v>2791</v>
      </c>
      <c r="B143" s="143"/>
      <c r="C143" s="159"/>
      <c r="D143" s="159"/>
      <c r="E143" s="159"/>
      <c r="F143" s="159"/>
      <c r="G143" s="144"/>
      <c r="H143" s="65"/>
    </row>
    <row r="144" spans="1:22" ht="17.25" customHeight="1" thickBot="1">
      <c r="A144" s="693"/>
      <c r="B144" s="598" t="s">
        <v>6</v>
      </c>
      <c r="C144" s="600"/>
      <c r="D144" s="591"/>
      <c r="E144" s="598" t="s">
        <v>1341</v>
      </c>
      <c r="F144" s="599"/>
      <c r="G144" s="600"/>
      <c r="H144" s="65"/>
      <c r="I144" s="13" t="s">
        <v>112</v>
      </c>
      <c r="J144" s="624" t="s">
        <v>4</v>
      </c>
      <c r="K144" s="625"/>
      <c r="L144" s="625"/>
      <c r="M144" s="625"/>
      <c r="N144" s="625"/>
      <c r="O144" s="626"/>
      <c r="P144" s="20" t="s">
        <v>5</v>
      </c>
      <c r="Q144" s="119" t="s">
        <v>3</v>
      </c>
      <c r="R144" s="696" t="s">
        <v>4</v>
      </c>
      <c r="S144" s="697"/>
      <c r="T144" s="697"/>
      <c r="U144" s="698"/>
      <c r="V144" s="376" t="s">
        <v>5</v>
      </c>
    </row>
    <row r="145" spans="1:22" ht="17.25" customHeight="1" thickBot="1">
      <c r="A145" s="693"/>
      <c r="B145" s="17" t="s">
        <v>26</v>
      </c>
      <c r="C145" s="18" t="s">
        <v>8</v>
      </c>
      <c r="D145" s="18"/>
      <c r="E145" s="18" t="s">
        <v>10</v>
      </c>
      <c r="F145" s="19" t="s">
        <v>8</v>
      </c>
      <c r="G145" s="18" t="s">
        <v>11</v>
      </c>
      <c r="H145" s="65"/>
      <c r="I145" s="627" t="s">
        <v>2806</v>
      </c>
      <c r="J145" s="143"/>
      <c r="K145" s="159"/>
      <c r="L145" s="159"/>
      <c r="M145" s="159"/>
      <c r="N145" s="159"/>
      <c r="O145" s="144"/>
      <c r="P145" s="291"/>
      <c r="Q145" s="731">
        <v>2015</v>
      </c>
      <c r="R145" s="736"/>
      <c r="S145" s="737"/>
      <c r="T145" s="737"/>
      <c r="U145" s="738"/>
      <c r="V145" s="290"/>
    </row>
    <row r="146" spans="1:22" ht="15.75" customHeight="1">
      <c r="A146" s="693"/>
      <c r="B146" s="160">
        <v>92</v>
      </c>
      <c r="C146" s="154">
        <v>10000</v>
      </c>
      <c r="D146" s="154"/>
      <c r="E146" s="154"/>
      <c r="F146" s="154">
        <v>3500</v>
      </c>
      <c r="G146" s="161"/>
      <c r="H146" s="39" t="e">
        <f>+#REF!+G146</f>
        <v>#REF!</v>
      </c>
      <c r="I146" s="628"/>
      <c r="J146" s="630" t="s">
        <v>1369</v>
      </c>
      <c r="K146" s="631"/>
      <c r="L146" s="631"/>
      <c r="M146" s="631"/>
      <c r="N146" s="631"/>
      <c r="O146" s="632"/>
      <c r="P146" s="291"/>
      <c r="Q146" s="634"/>
      <c r="R146" s="732" t="s">
        <v>141</v>
      </c>
      <c r="S146" s="733"/>
      <c r="T146" s="733"/>
      <c r="U146" s="734"/>
      <c r="V146" s="291"/>
    </row>
    <row r="147" spans="1:22" ht="17.25">
      <c r="A147" s="693"/>
      <c r="B147" s="64"/>
      <c r="G147" s="65"/>
      <c r="H147" s="65"/>
      <c r="I147" s="628"/>
      <c r="J147" s="705" t="s">
        <v>2815</v>
      </c>
      <c r="K147" s="706"/>
      <c r="L147" s="706"/>
      <c r="M147" s="706"/>
      <c r="N147" s="706"/>
      <c r="O147" s="707"/>
      <c r="P147" s="291"/>
      <c r="Q147" s="634"/>
      <c r="R147" s="150" t="s">
        <v>26</v>
      </c>
      <c r="S147" s="117" t="s">
        <v>8</v>
      </c>
      <c r="T147" s="117" t="s">
        <v>9</v>
      </c>
      <c r="U147" s="122" t="s">
        <v>11</v>
      </c>
      <c r="V147" s="291"/>
    </row>
    <row r="148" spans="1:22">
      <c r="A148" s="693"/>
      <c r="B148" s="64"/>
      <c r="G148" s="65"/>
      <c r="H148" s="65"/>
      <c r="I148" s="628"/>
      <c r="J148" s="636"/>
      <c r="K148" s="637"/>
      <c r="L148" s="637"/>
      <c r="M148" s="637"/>
      <c r="N148" s="637"/>
      <c r="O148" s="638"/>
      <c r="P148" s="148">
        <v>27916900</v>
      </c>
      <c r="Q148" s="634"/>
      <c r="R148" s="377">
        <v>9</v>
      </c>
      <c r="S148" s="378">
        <v>15000</v>
      </c>
      <c r="T148" s="378">
        <f>R148*S148</f>
        <v>135000</v>
      </c>
      <c r="U148" s="379"/>
      <c r="V148" s="148">
        <f>+T148+U148</f>
        <v>135000</v>
      </c>
    </row>
    <row r="149" spans="1:22" ht="15" customHeight="1" thickBot="1">
      <c r="A149" s="693"/>
      <c r="B149" s="140"/>
      <c r="C149" s="141"/>
      <c r="D149" s="141"/>
      <c r="E149" s="141"/>
      <c r="F149" s="141"/>
      <c r="G149" s="142"/>
      <c r="H149" s="65"/>
      <c r="I149" s="628"/>
      <c r="J149" s="64"/>
      <c r="K149" s="604"/>
      <c r="L149" s="604"/>
      <c r="M149" s="604"/>
      <c r="O149" s="65"/>
      <c r="P149" s="291"/>
      <c r="Q149" s="634"/>
      <c r="R149" s="380"/>
      <c r="S149" s="151"/>
      <c r="T149" s="151"/>
      <c r="U149" s="151"/>
      <c r="V149" s="291"/>
    </row>
    <row r="150" spans="1:22" ht="15" customHeight="1" thickBot="1">
      <c r="A150" s="20" t="s">
        <v>563</v>
      </c>
      <c r="B150" s="611" t="s">
        <v>13</v>
      </c>
      <c r="C150" s="612"/>
      <c r="D150" s="585"/>
      <c r="E150" s="20"/>
      <c r="F150" s="21" t="s">
        <v>15</v>
      </c>
      <c r="G150" s="21" t="s">
        <v>16</v>
      </c>
      <c r="H150" s="20" t="s">
        <v>17</v>
      </c>
      <c r="I150" s="629"/>
      <c r="J150" s="140"/>
      <c r="K150" s="141"/>
      <c r="L150" s="141"/>
      <c r="M150" s="141"/>
      <c r="N150" s="141"/>
      <c r="O150" s="142"/>
      <c r="P150" s="291"/>
      <c r="Q150" s="634"/>
      <c r="R150" s="64"/>
      <c r="V150" s="291"/>
    </row>
    <row r="151" spans="1:22" ht="15" customHeight="1" thickBot="1">
      <c r="A151" s="22">
        <v>1931</v>
      </c>
      <c r="B151" s="606" t="e">
        <f>+H146</f>
        <v>#REF!</v>
      </c>
      <c r="C151" s="652"/>
      <c r="D151" s="596"/>
      <c r="E151" s="24"/>
      <c r="F151" s="25">
        <f>0</f>
        <v>0</v>
      </c>
      <c r="G151" s="36" t="e">
        <f>+B151</f>
        <v>#REF!</v>
      </c>
      <c r="H151" s="38" t="e">
        <f>+H146</f>
        <v>#REF!</v>
      </c>
      <c r="I151" s="20" t="s">
        <v>12</v>
      </c>
      <c r="J151" s="614" t="s">
        <v>13</v>
      </c>
      <c r="K151" s="615"/>
      <c r="L151" s="62" t="s">
        <v>14</v>
      </c>
      <c r="M151" s="63"/>
      <c r="N151" s="62" t="s">
        <v>15</v>
      </c>
      <c r="O151" s="62" t="s">
        <v>16</v>
      </c>
      <c r="P151" s="20" t="s">
        <v>17</v>
      </c>
      <c r="Q151" s="635"/>
      <c r="R151" s="140"/>
      <c r="S151" s="141"/>
      <c r="T151" s="141"/>
      <c r="U151" s="141"/>
      <c r="V151" s="381"/>
    </row>
    <row r="152" spans="1:22" ht="15.75" customHeight="1" thickBot="1">
      <c r="I152" s="22" t="s">
        <v>18</v>
      </c>
      <c r="J152" s="606">
        <f>+P148</f>
        <v>27916900</v>
      </c>
      <c r="K152" s="607"/>
      <c r="L152" s="23">
        <f>0</f>
        <v>0</v>
      </c>
      <c r="M152" s="24"/>
      <c r="N152" s="25">
        <f>0</f>
        <v>0</v>
      </c>
      <c r="O152" s="36">
        <f>+J152</f>
        <v>27916900</v>
      </c>
      <c r="P152" s="38">
        <f>+P148</f>
        <v>27916900</v>
      </c>
      <c r="Q152" s="121" t="s">
        <v>12</v>
      </c>
      <c r="R152" s="719" t="s">
        <v>13</v>
      </c>
      <c r="S152" s="720"/>
      <c r="T152" s="354" t="s">
        <v>14</v>
      </c>
      <c r="U152" s="149" t="s">
        <v>16</v>
      </c>
      <c r="V152" s="382" t="s">
        <v>17</v>
      </c>
    </row>
    <row r="153" spans="1:22" ht="18" thickBot="1">
      <c r="A153" s="37" t="s">
        <v>1342</v>
      </c>
      <c r="B153" s="26"/>
      <c r="C153" s="26"/>
      <c r="D153" s="26"/>
      <c r="E153" s="26"/>
      <c r="F153" s="26"/>
      <c r="G153" s="26"/>
      <c r="I153" s="22" t="s">
        <v>113</v>
      </c>
      <c r="J153" s="606">
        <f>+J152/650.599</f>
        <v>42909.534137002971</v>
      </c>
      <c r="K153" s="607"/>
      <c r="L153" s="23">
        <f>0</f>
        <v>0</v>
      </c>
      <c r="M153" s="24"/>
      <c r="N153" s="25">
        <f>0</f>
        <v>0</v>
      </c>
      <c r="O153" s="36">
        <f>+J153</f>
        <v>42909.534137002971</v>
      </c>
      <c r="P153" s="38">
        <f>+O153</f>
        <v>42909.534137002971</v>
      </c>
      <c r="Q153" s="120" t="s">
        <v>18</v>
      </c>
      <c r="R153" s="713">
        <f>+T148</f>
        <v>135000</v>
      </c>
      <c r="S153" s="714"/>
      <c r="T153" s="369">
        <f>0</f>
        <v>0</v>
      </c>
      <c r="U153" s="123">
        <f>+U148</f>
        <v>0</v>
      </c>
      <c r="V153" s="124">
        <f>+V148</f>
        <v>135000</v>
      </c>
    </row>
    <row r="154" spans="1:22">
      <c r="A154" s="407" t="s">
        <v>2794</v>
      </c>
      <c r="B154" s="26"/>
      <c r="C154" s="26"/>
      <c r="D154" s="26"/>
      <c r="E154" s="26"/>
      <c r="F154" s="26"/>
      <c r="G154" s="26"/>
    </row>
    <row r="155" spans="1:22">
      <c r="A155" s="26" t="s">
        <v>19</v>
      </c>
      <c r="B155" s="26"/>
      <c r="C155" s="26"/>
      <c r="D155" s="26"/>
      <c r="E155" s="26"/>
      <c r="F155" s="26"/>
      <c r="G155" s="26"/>
      <c r="I155" s="26" t="s">
        <v>1530</v>
      </c>
      <c r="J155" s="26"/>
      <c r="K155" s="26"/>
      <c r="L155" s="26"/>
      <c r="M155" s="26"/>
      <c r="N155" s="26"/>
      <c r="O155" s="26"/>
      <c r="Q155" s="37" t="s">
        <v>121</v>
      </c>
      <c r="R155" s="26"/>
      <c r="S155" s="26"/>
      <c r="T155" s="26"/>
      <c r="U155" s="26"/>
    </row>
    <row r="156" spans="1:22">
      <c r="A156" s="26" t="s">
        <v>965</v>
      </c>
      <c r="B156" s="26"/>
      <c r="C156" s="26"/>
      <c r="D156" s="26"/>
      <c r="E156" s="26"/>
      <c r="F156" s="26"/>
      <c r="G156" s="26"/>
      <c r="I156" s="411" t="s">
        <v>2447</v>
      </c>
      <c r="J156" s="26"/>
      <c r="K156" s="26"/>
      <c r="L156" s="26"/>
      <c r="M156" s="26"/>
      <c r="N156" s="26"/>
      <c r="O156" s="26"/>
      <c r="Q156" s="37"/>
      <c r="R156" s="26"/>
      <c r="S156" s="26"/>
      <c r="T156" s="26"/>
      <c r="U156" s="26"/>
    </row>
    <row r="157" spans="1:22">
      <c r="A157" s="26" t="s">
        <v>21</v>
      </c>
      <c r="B157" s="26"/>
      <c r="C157" s="26"/>
      <c r="D157" s="26"/>
      <c r="E157" s="26"/>
      <c r="F157" s="26"/>
      <c r="G157" s="26"/>
      <c r="I157" s="26" t="s">
        <v>19</v>
      </c>
      <c r="J157" s="26"/>
      <c r="K157" s="26"/>
      <c r="L157" s="26"/>
      <c r="M157" s="26"/>
      <c r="N157" s="26"/>
      <c r="O157" s="26"/>
      <c r="Q157" s="26" t="s">
        <v>19</v>
      </c>
      <c r="R157" s="26"/>
      <c r="S157" s="26"/>
      <c r="T157" s="26"/>
      <c r="U157" s="26"/>
    </row>
    <row r="158" spans="1:22">
      <c r="A158" s="26" t="s">
        <v>1229</v>
      </c>
      <c r="B158" s="26"/>
      <c r="C158" s="26"/>
      <c r="D158" s="26"/>
      <c r="E158" s="26"/>
      <c r="F158" s="26"/>
      <c r="G158" s="26"/>
      <c r="I158" s="26" t="s">
        <v>965</v>
      </c>
      <c r="J158" s="26"/>
      <c r="K158" s="26"/>
      <c r="L158" s="26"/>
      <c r="M158" s="26"/>
      <c r="N158" s="26"/>
      <c r="O158" s="26"/>
      <c r="Q158" s="26" t="s">
        <v>20</v>
      </c>
      <c r="R158" s="26"/>
      <c r="S158" s="26"/>
      <c r="T158" s="26"/>
      <c r="U158" s="26"/>
    </row>
    <row r="159" spans="1:22">
      <c r="I159" s="26" t="s">
        <v>21</v>
      </c>
      <c r="J159" s="26"/>
      <c r="K159" s="26"/>
      <c r="L159" s="26"/>
      <c r="M159" s="26"/>
      <c r="N159" s="26"/>
      <c r="O159" s="26"/>
      <c r="Q159" s="26" t="s">
        <v>21</v>
      </c>
      <c r="R159" s="26"/>
      <c r="S159" s="26"/>
      <c r="T159" s="26"/>
      <c r="U159" s="26"/>
    </row>
    <row r="160" spans="1:22">
      <c r="I160" s="26" t="s">
        <v>1229</v>
      </c>
      <c r="J160" s="26"/>
      <c r="K160" s="26"/>
      <c r="L160" s="26"/>
      <c r="M160" s="26"/>
      <c r="N160" s="26"/>
      <c r="O160" s="26"/>
      <c r="Q160" s="26" t="s">
        <v>1229</v>
      </c>
      <c r="R160" s="26"/>
      <c r="S160" s="26"/>
      <c r="T160" s="26"/>
      <c r="U160" s="26"/>
    </row>
    <row r="161" spans="1:22">
      <c r="E161" s="30" t="s">
        <v>24</v>
      </c>
      <c r="F161" s="30"/>
      <c r="G161" s="30"/>
    </row>
    <row r="162" spans="1:22">
      <c r="E162" s="30" t="s">
        <v>149</v>
      </c>
      <c r="F162" s="30"/>
      <c r="G162" s="30"/>
    </row>
    <row r="163" spans="1:22">
      <c r="E163" s="315" t="s">
        <v>150</v>
      </c>
      <c r="F163" s="315"/>
      <c r="G163" s="315"/>
      <c r="L163" s="30" t="s">
        <v>24</v>
      </c>
      <c r="M163" s="30"/>
      <c r="N163" s="30"/>
    </row>
    <row r="164" spans="1:22">
      <c r="L164" s="30" t="s">
        <v>149</v>
      </c>
      <c r="M164" s="30"/>
      <c r="N164" s="30"/>
    </row>
    <row r="165" spans="1:22">
      <c r="E165" s="26"/>
      <c r="F165" s="26"/>
      <c r="G165" s="26"/>
      <c r="L165" s="315" t="s">
        <v>150</v>
      </c>
      <c r="M165" s="315"/>
      <c r="N165" s="315"/>
      <c r="P165" s="30"/>
      <c r="T165" s="30"/>
    </row>
    <row r="166" spans="1:22" ht="17.25">
      <c r="E166" s="645"/>
      <c r="F166" s="741"/>
      <c r="G166" s="741"/>
      <c r="P166" s="167"/>
      <c r="T166" s="30" t="s">
        <v>25</v>
      </c>
    </row>
    <row r="167" spans="1:22" ht="18">
      <c r="A167" s="26"/>
      <c r="B167" s="26"/>
      <c r="C167" s="26"/>
      <c r="D167" s="26"/>
      <c r="H167" s="29"/>
      <c r="L167" s="26"/>
      <c r="M167" s="26"/>
      <c r="N167" s="26"/>
    </row>
    <row r="168" spans="1:22" ht="18" customHeight="1">
      <c r="A168" s="617" t="s">
        <v>2585</v>
      </c>
      <c r="B168" s="617"/>
      <c r="C168" s="617"/>
      <c r="D168" s="617"/>
      <c r="E168" s="617"/>
      <c r="F168" s="617"/>
      <c r="G168" s="617"/>
      <c r="H168" s="617"/>
      <c r="I168" s="26"/>
      <c r="J168" s="26"/>
      <c r="K168" s="26"/>
      <c r="L168" s="645"/>
      <c r="M168" s="645"/>
      <c r="N168" s="645"/>
      <c r="O168" s="645"/>
      <c r="P168" s="26"/>
    </row>
    <row r="169" spans="1:22" ht="18" customHeight="1">
      <c r="I169" s="384"/>
      <c r="J169" s="26"/>
      <c r="K169" s="26"/>
      <c r="L169" s="644"/>
      <c r="M169" s="644"/>
      <c r="N169" s="644"/>
      <c r="O169" s="644"/>
      <c r="P169" s="259"/>
      <c r="Q169" s="26"/>
      <c r="R169" s="26"/>
      <c r="S169" s="26"/>
      <c r="T169" s="26"/>
      <c r="U169" s="735"/>
      <c r="V169" s="735"/>
    </row>
    <row r="170" spans="1:22" ht="18">
      <c r="I170" s="617" t="s">
        <v>2824</v>
      </c>
      <c r="J170" s="617"/>
      <c r="K170" s="617"/>
      <c r="L170" s="617"/>
      <c r="M170" s="617"/>
      <c r="N170" s="617"/>
      <c r="O170" s="617"/>
      <c r="P170" s="617"/>
      <c r="Q170" s="396"/>
      <c r="R170" s="26"/>
      <c r="S170" s="26"/>
      <c r="T170" s="26"/>
      <c r="U170" s="368"/>
      <c r="V170" s="368"/>
    </row>
    <row r="172" spans="1:22" ht="48">
      <c r="A172" s="740" t="s">
        <v>1</v>
      </c>
      <c r="B172" s="740"/>
      <c r="C172" s="740"/>
      <c r="D172" s="740"/>
      <c r="E172" s="740"/>
      <c r="F172" s="740"/>
      <c r="G172" s="740"/>
      <c r="H172" s="740"/>
    </row>
    <row r="174" spans="1:22" ht="49.5" customHeight="1">
      <c r="A174" s="30"/>
      <c r="B174" s="503" t="s">
        <v>703</v>
      </c>
      <c r="I174" s="618" t="s">
        <v>1</v>
      </c>
      <c r="J174" s="618"/>
      <c r="K174" s="618"/>
      <c r="L174" s="618"/>
      <c r="M174" s="618"/>
      <c r="N174" s="618"/>
      <c r="O174" s="618"/>
      <c r="P174" s="618"/>
    </row>
    <row r="175" spans="1:22" ht="17.25" thickBot="1">
      <c r="A175" s="30"/>
      <c r="G175" s="141"/>
    </row>
    <row r="176" spans="1:22" ht="17.25">
      <c r="B176" s="30"/>
      <c r="F176" s="143"/>
      <c r="H176" s="144"/>
      <c r="I176" s="375"/>
      <c r="J176" s="503" t="s">
        <v>1406</v>
      </c>
    </row>
    <row r="177" spans="1:16" ht="18" thickBot="1">
      <c r="F177" s="667" t="s">
        <v>2408</v>
      </c>
      <c r="G177" s="668"/>
      <c r="H177" s="669"/>
      <c r="I177" s="30"/>
      <c r="O177" s="141"/>
    </row>
    <row r="178" spans="1:16">
      <c r="B178" s="12" t="s">
        <v>114</v>
      </c>
      <c r="E178" s="30" t="s">
        <v>2</v>
      </c>
      <c r="F178" s="683" t="s">
        <v>2431</v>
      </c>
      <c r="G178" s="683"/>
      <c r="H178" s="684"/>
      <c r="J178" s="30"/>
      <c r="N178" s="143"/>
      <c r="P178" s="144"/>
    </row>
    <row r="179" spans="1:16">
      <c r="F179" s="601" t="s">
        <v>163</v>
      </c>
      <c r="G179" s="602"/>
      <c r="H179" s="603"/>
      <c r="N179" s="619" t="s">
        <v>678</v>
      </c>
      <c r="O179" s="620"/>
      <c r="P179" s="621"/>
    </row>
    <row r="180" spans="1:16" ht="17.25" thickBot="1">
      <c r="F180" s="140"/>
      <c r="G180" s="141"/>
      <c r="H180" s="142"/>
      <c r="I180" s="12" t="s">
        <v>114</v>
      </c>
      <c r="L180" s="30" t="s">
        <v>963</v>
      </c>
      <c r="N180" s="605" t="s">
        <v>1665</v>
      </c>
      <c r="O180" s="605"/>
      <c r="P180" s="649"/>
    </row>
    <row r="181" spans="1:16">
      <c r="A181" s="30"/>
      <c r="B181" s="30"/>
      <c r="N181" s="601" t="s">
        <v>163</v>
      </c>
      <c r="O181" s="602"/>
      <c r="P181" s="603"/>
    </row>
    <row r="182" spans="1:16" ht="17.25" thickBot="1">
      <c r="A182" s="30"/>
      <c r="B182" s="30" t="s">
        <v>27</v>
      </c>
      <c r="C182" s="30" t="s">
        <v>115</v>
      </c>
      <c r="D182" s="595"/>
      <c r="N182" s="140"/>
      <c r="O182" s="141"/>
      <c r="P182" s="142"/>
    </row>
    <row r="183" spans="1:16">
      <c r="A183" s="30"/>
      <c r="B183" s="30" t="s">
        <v>142</v>
      </c>
      <c r="C183" s="30" t="s">
        <v>2868</v>
      </c>
      <c r="D183" s="595"/>
    </row>
    <row r="184" spans="1:16" ht="17.25" thickBot="1">
      <c r="I184" s="250" t="s">
        <v>27</v>
      </c>
      <c r="J184" s="394" t="s">
        <v>148</v>
      </c>
    </row>
    <row r="185" spans="1:16" ht="17.25" thickBot="1">
      <c r="A185" s="13" t="s">
        <v>3</v>
      </c>
      <c r="B185" s="696" t="s">
        <v>4</v>
      </c>
      <c r="C185" s="697"/>
      <c r="D185" s="697"/>
      <c r="E185" s="697"/>
      <c r="F185" s="697"/>
      <c r="G185" s="698"/>
      <c r="H185" s="20" t="s">
        <v>5</v>
      </c>
      <c r="I185" s="167"/>
    </row>
    <row r="186" spans="1:16" ht="17.25" customHeight="1" thickBot="1">
      <c r="A186" s="700" t="s">
        <v>2891</v>
      </c>
      <c r="B186" s="143"/>
      <c r="C186" s="159"/>
      <c r="D186" s="159"/>
      <c r="E186" s="159"/>
      <c r="F186" s="159"/>
      <c r="G186" s="144"/>
      <c r="H186" s="65"/>
    </row>
    <row r="187" spans="1:16" ht="17.25" customHeight="1" thickBot="1">
      <c r="A187" s="701"/>
      <c r="B187" s="598" t="s">
        <v>6</v>
      </c>
      <c r="C187" s="600"/>
      <c r="D187" s="591"/>
      <c r="E187" s="15" t="s">
        <v>7</v>
      </c>
      <c r="F187" s="16"/>
      <c r="G187" s="32"/>
      <c r="H187" s="65"/>
      <c r="I187" s="13" t="s">
        <v>112</v>
      </c>
      <c r="J187" s="624" t="s">
        <v>4</v>
      </c>
      <c r="K187" s="625"/>
      <c r="L187" s="625"/>
      <c r="M187" s="625"/>
      <c r="N187" s="625"/>
      <c r="O187" s="626"/>
      <c r="P187" s="20" t="s">
        <v>5</v>
      </c>
    </row>
    <row r="188" spans="1:16" ht="15.75" customHeight="1" thickBot="1">
      <c r="A188" s="701"/>
      <c r="B188" s="17" t="s">
        <v>26</v>
      </c>
      <c r="C188" s="18" t="s">
        <v>8</v>
      </c>
      <c r="D188" s="18"/>
      <c r="E188" s="18" t="s">
        <v>10</v>
      </c>
      <c r="F188" s="265" t="s">
        <v>8</v>
      </c>
      <c r="G188" s="18" t="s">
        <v>11</v>
      </c>
      <c r="H188" s="65"/>
      <c r="I188" s="633" t="s">
        <v>2837</v>
      </c>
      <c r="J188" s="143"/>
      <c r="K188" s="159"/>
      <c r="L188" s="159"/>
      <c r="M188" s="159"/>
      <c r="N188" s="159"/>
      <c r="O188" s="144"/>
      <c r="P188" s="291"/>
    </row>
    <row r="189" spans="1:16">
      <c r="A189" s="701"/>
      <c r="B189" s="237">
        <f>51+38</f>
        <v>89</v>
      </c>
      <c r="C189" s="386">
        <v>10000</v>
      </c>
      <c r="D189" s="386"/>
      <c r="E189" s="386">
        <f>+B189</f>
        <v>89</v>
      </c>
      <c r="F189" s="386">
        <v>3500</v>
      </c>
      <c r="G189" s="387">
        <f>+E189*F189</f>
        <v>311500</v>
      </c>
      <c r="H189" s="162" t="e">
        <f>+G189+#REF!</f>
        <v>#REF!</v>
      </c>
      <c r="I189" s="634"/>
      <c r="J189" s="630" t="s">
        <v>1369</v>
      </c>
      <c r="K189" s="631"/>
      <c r="L189" s="631"/>
      <c r="M189" s="631"/>
      <c r="N189" s="631"/>
      <c r="O189" s="632"/>
      <c r="P189" s="291"/>
    </row>
    <row r="190" spans="1:16">
      <c r="A190" s="701"/>
      <c r="B190" s="64"/>
      <c r="C190" s="388"/>
      <c r="D190" s="597"/>
      <c r="G190" s="65"/>
      <c r="H190" s="65"/>
      <c r="I190" s="634"/>
      <c r="J190" s="679" t="s">
        <v>2838</v>
      </c>
      <c r="K190" s="680"/>
      <c r="L190" s="680"/>
      <c r="M190" s="680"/>
      <c r="N190" s="680"/>
      <c r="O190" s="681"/>
      <c r="P190" s="291"/>
    </row>
    <row r="191" spans="1:16">
      <c r="A191" s="701"/>
      <c r="B191" s="64"/>
      <c r="G191" s="65"/>
      <c r="H191" s="65"/>
      <c r="I191" s="634"/>
      <c r="J191" s="409"/>
      <c r="K191" s="294"/>
      <c r="L191" s="294"/>
      <c r="M191" s="294"/>
      <c r="N191" s="294"/>
      <c r="O191" s="173"/>
      <c r="P191" s="148">
        <v>1260000</v>
      </c>
    </row>
    <row r="192" spans="1:16" ht="15.75" customHeight="1" thickBot="1">
      <c r="A192" s="701"/>
      <c r="B192" s="140"/>
      <c r="C192" s="141"/>
      <c r="D192" s="141"/>
      <c r="E192" s="141"/>
      <c r="F192" s="141"/>
      <c r="G192" s="142"/>
      <c r="H192" s="65"/>
      <c r="I192" s="634"/>
      <c r="J192" s="64"/>
      <c r="K192" s="604"/>
      <c r="L192" s="604"/>
      <c r="M192" s="604"/>
      <c r="O192" s="65"/>
      <c r="P192" s="291"/>
    </row>
    <row r="193" spans="1:16" ht="15.75" customHeight="1" thickBot="1">
      <c r="A193" s="20" t="s">
        <v>563</v>
      </c>
      <c r="B193" s="611" t="s">
        <v>13</v>
      </c>
      <c r="C193" s="612"/>
      <c r="D193" s="585"/>
      <c r="E193" s="20"/>
      <c r="F193" s="21" t="s">
        <v>15</v>
      </c>
      <c r="G193" s="21" t="s">
        <v>16</v>
      </c>
      <c r="H193" s="20" t="s">
        <v>17</v>
      </c>
      <c r="I193" s="635"/>
      <c r="J193" s="140"/>
      <c r="K193" s="141"/>
      <c r="L193" s="141"/>
      <c r="M193" s="141"/>
      <c r="N193" s="141"/>
      <c r="O193" s="142"/>
      <c r="P193" s="291"/>
    </row>
    <row r="194" spans="1:16" ht="18" thickBot="1">
      <c r="A194" s="22">
        <v>1077</v>
      </c>
      <c r="B194" s="606" t="e">
        <f>+#REF!</f>
        <v>#REF!</v>
      </c>
      <c r="C194" s="652"/>
      <c r="D194" s="596"/>
      <c r="E194" s="24"/>
      <c r="F194" s="25">
        <f>0</f>
        <v>0</v>
      </c>
      <c r="G194" s="36" t="e">
        <f>+B194</f>
        <v>#REF!</v>
      </c>
      <c r="H194" s="38" t="e">
        <f>+H189</f>
        <v>#REF!</v>
      </c>
      <c r="I194" s="20" t="s">
        <v>12</v>
      </c>
      <c r="J194" s="614" t="s">
        <v>13</v>
      </c>
      <c r="K194" s="615"/>
      <c r="L194" s="62" t="s">
        <v>14</v>
      </c>
      <c r="M194" s="63"/>
      <c r="N194" s="62" t="s">
        <v>15</v>
      </c>
      <c r="O194" s="62" t="s">
        <v>16</v>
      </c>
      <c r="P194" s="20" t="s">
        <v>17</v>
      </c>
    </row>
    <row r="195" spans="1:16" ht="18" thickBot="1">
      <c r="A195" s="22">
        <f>772+760</f>
        <v>1532</v>
      </c>
      <c r="B195" s="606" t="e">
        <f>+H189</f>
        <v>#REF!</v>
      </c>
      <c r="C195" s="652"/>
      <c r="D195" s="596"/>
      <c r="E195" s="24"/>
      <c r="F195" s="25">
        <f>0</f>
        <v>0</v>
      </c>
      <c r="G195" s="36" t="e">
        <f>+B195</f>
        <v>#REF!</v>
      </c>
      <c r="H195" s="38" t="e">
        <f>+H189</f>
        <v>#REF!</v>
      </c>
      <c r="I195" s="22" t="s">
        <v>18</v>
      </c>
      <c r="J195" s="606">
        <f>+P191</f>
        <v>1260000</v>
      </c>
      <c r="K195" s="607"/>
      <c r="L195" s="23">
        <f>0</f>
        <v>0</v>
      </c>
      <c r="M195" s="24"/>
      <c r="N195" s="25">
        <f>0</f>
        <v>0</v>
      </c>
      <c r="O195" s="36">
        <f>+J195</f>
        <v>1260000</v>
      </c>
      <c r="P195" s="38">
        <f>+P191</f>
        <v>1260000</v>
      </c>
    </row>
    <row r="196" spans="1:16" ht="18" hidden="1" customHeight="1" thickBot="1">
      <c r="G196" s="26"/>
      <c r="I196" s="22" t="s">
        <v>113</v>
      </c>
      <c r="J196" s="606">
        <f>+J195/650.599</f>
        <v>1936.6768162877593</v>
      </c>
      <c r="K196" s="607"/>
      <c r="L196" s="23">
        <f>0</f>
        <v>0</v>
      </c>
      <c r="M196" s="24"/>
      <c r="N196" s="25">
        <f>0</f>
        <v>0</v>
      </c>
      <c r="O196" s="36">
        <f>+J196</f>
        <v>1936.6768162877593</v>
      </c>
      <c r="P196" s="38">
        <f>+O196</f>
        <v>1936.6768162877593</v>
      </c>
    </row>
    <row r="197" spans="1:16">
      <c r="A197" s="412" t="s">
        <v>1268</v>
      </c>
      <c r="B197" s="26"/>
      <c r="C197" s="26"/>
      <c r="D197" s="26"/>
      <c r="E197" s="26"/>
      <c r="F197" s="26"/>
      <c r="G197" s="26"/>
    </row>
    <row r="198" spans="1:16">
      <c r="A198" s="408" t="s">
        <v>2867</v>
      </c>
      <c r="B198" s="26"/>
      <c r="C198" s="26"/>
      <c r="D198" s="26"/>
      <c r="E198" s="26"/>
      <c r="F198" s="26"/>
      <c r="G198" s="26"/>
      <c r="I198" s="26" t="s">
        <v>1370</v>
      </c>
      <c r="J198" s="26"/>
      <c r="K198" s="26"/>
      <c r="L198" s="26"/>
      <c r="M198" s="26"/>
      <c r="N198" s="26"/>
      <c r="O198" s="26"/>
    </row>
    <row r="199" spans="1:16">
      <c r="A199" s="26" t="s">
        <v>19</v>
      </c>
      <c r="B199" s="26"/>
      <c r="C199" s="26"/>
      <c r="D199" s="26"/>
      <c r="E199" s="26"/>
      <c r="F199" s="26"/>
      <c r="G199" s="26"/>
      <c r="I199" s="408" t="s">
        <v>2839</v>
      </c>
      <c r="J199" s="26"/>
      <c r="K199" s="26"/>
      <c r="L199" s="26"/>
      <c r="M199" s="26"/>
      <c r="N199" s="26"/>
      <c r="O199" s="26"/>
    </row>
    <row r="200" spans="1:16">
      <c r="A200" s="26" t="s">
        <v>965</v>
      </c>
      <c r="B200" s="26"/>
      <c r="C200" s="26"/>
      <c r="D200" s="26"/>
      <c r="E200" s="26"/>
      <c r="F200" s="26"/>
      <c r="G200" s="26"/>
      <c r="I200" s="82" t="s">
        <v>19</v>
      </c>
      <c r="J200" s="26"/>
      <c r="K200" s="26"/>
      <c r="L200" s="26"/>
      <c r="M200" s="26"/>
      <c r="N200" s="26"/>
      <c r="O200" s="26"/>
    </row>
    <row r="201" spans="1:16">
      <c r="A201" s="26" t="s">
        <v>21</v>
      </c>
      <c r="B201" s="26"/>
      <c r="C201" s="26"/>
      <c r="D201" s="26"/>
      <c r="E201" s="26"/>
      <c r="F201" s="26"/>
      <c r="G201" s="26"/>
      <c r="I201" s="26" t="s">
        <v>965</v>
      </c>
      <c r="J201" s="26"/>
      <c r="K201" s="26"/>
      <c r="L201" s="26"/>
      <c r="M201" s="26"/>
      <c r="N201" s="26"/>
      <c r="O201" s="26"/>
    </row>
    <row r="202" spans="1:16">
      <c r="A202" s="26" t="s">
        <v>1229</v>
      </c>
      <c r="B202" s="26"/>
      <c r="C202" s="26"/>
      <c r="D202" s="26"/>
      <c r="E202" s="26"/>
      <c r="F202" s="26"/>
      <c r="G202" s="26"/>
      <c r="I202" s="26" t="s">
        <v>21</v>
      </c>
      <c r="J202" s="26"/>
      <c r="K202" s="26"/>
      <c r="L202" s="26"/>
      <c r="M202" s="26"/>
      <c r="N202" s="26"/>
      <c r="O202" s="26"/>
    </row>
    <row r="203" spans="1:16">
      <c r="I203" s="26" t="s">
        <v>1229</v>
      </c>
      <c r="J203" s="26"/>
      <c r="K203" s="26"/>
      <c r="L203" s="26"/>
      <c r="M203" s="26"/>
      <c r="N203" s="26"/>
      <c r="O203" s="26"/>
    </row>
    <row r="204" spans="1:16">
      <c r="I204" s="26"/>
      <c r="J204" s="26"/>
      <c r="K204" s="26"/>
      <c r="L204" s="26"/>
      <c r="M204" s="26"/>
      <c r="N204" s="26"/>
      <c r="O204" s="26"/>
    </row>
    <row r="205" spans="1:16">
      <c r="E205" s="30" t="s">
        <v>24</v>
      </c>
      <c r="F205" s="30"/>
      <c r="G205" s="30"/>
    </row>
    <row r="206" spans="1:16">
      <c r="E206" s="30" t="s">
        <v>149</v>
      </c>
      <c r="F206" s="30"/>
      <c r="G206" s="30"/>
      <c r="L206" s="30" t="s">
        <v>24</v>
      </c>
      <c r="M206" s="30"/>
      <c r="N206" s="30"/>
    </row>
    <row r="207" spans="1:16">
      <c r="E207" s="699" t="s">
        <v>150</v>
      </c>
      <c r="F207" s="699"/>
      <c r="G207" s="699"/>
      <c r="L207" s="30" t="s">
        <v>149</v>
      </c>
      <c r="M207" s="30"/>
      <c r="N207" s="30"/>
    </row>
    <row r="208" spans="1:16">
      <c r="L208" s="315" t="s">
        <v>150</v>
      </c>
      <c r="M208" s="315"/>
      <c r="N208" s="315"/>
    </row>
    <row r="209" spans="1:16">
      <c r="A209" s="26"/>
      <c r="B209" s="26"/>
      <c r="C209" s="26"/>
      <c r="D209" s="26"/>
      <c r="E209" s="26"/>
      <c r="F209" s="26"/>
      <c r="G209" s="26"/>
    </row>
    <row r="210" spans="1:16">
      <c r="A210" s="617" t="s">
        <v>2585</v>
      </c>
      <c r="B210" s="617"/>
      <c r="C210" s="617"/>
      <c r="D210" s="617"/>
      <c r="E210" s="617"/>
      <c r="F210" s="617"/>
      <c r="G210" s="617"/>
      <c r="H210" s="617"/>
      <c r="L210" s="26"/>
      <c r="M210" s="26"/>
      <c r="N210" s="26"/>
      <c r="O210" s="26"/>
    </row>
    <row r="211" spans="1:16" ht="17.25">
      <c r="A211" s="617"/>
      <c r="B211" s="617"/>
      <c r="C211" s="617"/>
      <c r="D211" s="617"/>
      <c r="E211" s="617"/>
      <c r="F211" s="617"/>
      <c r="G211" s="617"/>
      <c r="H211" s="617"/>
      <c r="I211" s="26"/>
      <c r="J211" s="26"/>
      <c r="K211" s="26"/>
      <c r="L211" s="645"/>
      <c r="M211" s="645"/>
      <c r="N211" s="645"/>
      <c r="O211" s="645"/>
    </row>
    <row r="212" spans="1:16" ht="18" customHeight="1">
      <c r="I212" s="384"/>
      <c r="J212" s="26"/>
      <c r="K212" s="26"/>
      <c r="L212" s="645"/>
      <c r="M212" s="645"/>
      <c r="N212" s="645"/>
      <c r="O212" s="645"/>
    </row>
    <row r="213" spans="1:16" ht="18" customHeight="1">
      <c r="I213" s="384"/>
      <c r="J213" s="26"/>
      <c r="K213" s="26"/>
    </row>
    <row r="214" spans="1:16" ht="48">
      <c r="C214" s="613" t="s">
        <v>1</v>
      </c>
      <c r="D214" s="613"/>
      <c r="E214" s="613"/>
      <c r="F214" s="613"/>
      <c r="J214" s="617" t="s">
        <v>2670</v>
      </c>
      <c r="K214" s="617"/>
      <c r="L214" s="617"/>
      <c r="M214" s="617"/>
      <c r="N214" s="617"/>
      <c r="O214" s="617"/>
      <c r="P214" s="617"/>
    </row>
    <row r="215" spans="1:16" ht="18" thickBot="1">
      <c r="A215" s="375"/>
      <c r="B215" s="503" t="s">
        <v>2555</v>
      </c>
    </row>
    <row r="216" spans="1:16">
      <c r="B216" s="30"/>
      <c r="F216" s="143"/>
      <c r="H216" s="144"/>
    </row>
    <row r="217" spans="1:16" ht="40.5" customHeight="1">
      <c r="B217" s="12" t="s">
        <v>114</v>
      </c>
      <c r="F217" s="667" t="s">
        <v>2091</v>
      </c>
      <c r="G217" s="668"/>
      <c r="H217" s="669"/>
      <c r="I217" s="660" t="s">
        <v>1</v>
      </c>
      <c r="J217" s="660"/>
      <c r="K217" s="660"/>
      <c r="L217" s="660"/>
      <c r="M217" s="660"/>
      <c r="N217" s="660"/>
      <c r="O217" s="660"/>
      <c r="P217" s="660"/>
    </row>
    <row r="218" spans="1:16">
      <c r="E218" s="30" t="s">
        <v>2</v>
      </c>
      <c r="F218" s="683"/>
      <c r="G218" s="683"/>
      <c r="H218" s="684"/>
    </row>
    <row r="219" spans="1:16">
      <c r="F219" s="601" t="s">
        <v>2935</v>
      </c>
      <c r="G219" s="723"/>
      <c r="H219" s="603"/>
    </row>
    <row r="220" spans="1:16" ht="18" thickBot="1">
      <c r="F220" s="140"/>
      <c r="G220" s="141"/>
      <c r="H220" s="142"/>
      <c r="I220" s="375"/>
      <c r="J220" s="503" t="s">
        <v>2689</v>
      </c>
    </row>
    <row r="221" spans="1:16" ht="17.25" thickBot="1">
      <c r="A221" s="30"/>
      <c r="B221" s="30"/>
      <c r="I221" s="30"/>
      <c r="O221" s="141"/>
    </row>
    <row r="222" spans="1:16">
      <c r="A222" s="30"/>
      <c r="B222" s="30" t="s">
        <v>27</v>
      </c>
      <c r="C222" s="583" t="s">
        <v>2935</v>
      </c>
      <c r="D222" s="595"/>
      <c r="J222" s="30"/>
      <c r="N222" s="143"/>
      <c r="P222" s="144"/>
    </row>
    <row r="223" spans="1:16">
      <c r="A223" s="30"/>
      <c r="B223" s="30" t="s">
        <v>142</v>
      </c>
      <c r="C223" s="30" t="s">
        <v>3032</v>
      </c>
      <c r="D223" s="595"/>
      <c r="N223" s="647" t="s">
        <v>679</v>
      </c>
      <c r="O223" s="610"/>
      <c r="P223" s="648"/>
    </row>
    <row r="224" spans="1:16">
      <c r="A224" s="595"/>
      <c r="B224" s="595" t="s">
        <v>3034</v>
      </c>
      <c r="C224" s="595"/>
      <c r="D224" s="595"/>
      <c r="N224" s="592"/>
      <c r="O224" s="584"/>
      <c r="P224" s="587"/>
    </row>
    <row r="225" spans="1:16" ht="17.25" thickBot="1">
      <c r="I225" s="12" t="s">
        <v>114</v>
      </c>
      <c r="L225" s="249" t="s">
        <v>1663</v>
      </c>
      <c r="N225" s="622" t="s">
        <v>727</v>
      </c>
      <c r="O225" s="622"/>
      <c r="P225" s="623"/>
    </row>
    <row r="226" spans="1:16" ht="17.25" customHeight="1" thickBot="1">
      <c r="A226" s="13" t="s">
        <v>3</v>
      </c>
      <c r="B226" s="696" t="s">
        <v>4</v>
      </c>
      <c r="C226" s="697"/>
      <c r="D226" s="697"/>
      <c r="E226" s="697"/>
      <c r="F226" s="697"/>
      <c r="G226" s="698"/>
      <c r="H226" s="20" t="s">
        <v>5</v>
      </c>
      <c r="N226" s="601" t="s">
        <v>163</v>
      </c>
      <c r="O226" s="602"/>
      <c r="P226" s="603"/>
    </row>
    <row r="227" spans="1:16" ht="17.25" thickBot="1">
      <c r="A227" s="692" t="s">
        <v>3035</v>
      </c>
      <c r="B227" s="143"/>
      <c r="C227" s="159"/>
      <c r="D227" s="159"/>
      <c r="E227" s="159"/>
      <c r="F227" s="159"/>
      <c r="G227" s="144"/>
      <c r="H227" s="65"/>
      <c r="N227" s="140"/>
      <c r="O227" s="141"/>
      <c r="P227" s="142"/>
    </row>
    <row r="228" spans="1:16" ht="17.25" thickBot="1">
      <c r="A228" s="693"/>
      <c r="B228" s="598" t="s">
        <v>6</v>
      </c>
      <c r="C228" s="600"/>
      <c r="D228" s="591"/>
      <c r="E228" s="598" t="s">
        <v>7</v>
      </c>
      <c r="F228" s="599"/>
      <c r="G228" s="600"/>
      <c r="H228" s="65"/>
    </row>
    <row r="229" spans="1:16" ht="17.25" thickBot="1">
      <c r="A229" s="693"/>
      <c r="B229" s="17" t="s">
        <v>26</v>
      </c>
      <c r="C229" s="18" t="s">
        <v>8</v>
      </c>
      <c r="D229" s="18" t="s">
        <v>9</v>
      </c>
      <c r="E229" s="18" t="s">
        <v>10</v>
      </c>
      <c r="F229" s="19" t="s">
        <v>8</v>
      </c>
      <c r="G229" s="18"/>
      <c r="H229" s="65"/>
      <c r="I229" s="249" t="s">
        <v>27</v>
      </c>
      <c r="J229" s="394" t="s">
        <v>148</v>
      </c>
    </row>
    <row r="230" spans="1:16">
      <c r="A230" s="693"/>
      <c r="B230" s="160">
        <v>94</v>
      </c>
      <c r="C230" s="154">
        <v>10000</v>
      </c>
      <c r="D230" s="154">
        <v>940000</v>
      </c>
      <c r="E230" s="154">
        <v>96</v>
      </c>
      <c r="F230" s="154">
        <v>3500</v>
      </c>
      <c r="G230" s="161">
        <v>336000</v>
      </c>
      <c r="H230" s="162">
        <v>-1276000</v>
      </c>
      <c r="I230" s="167"/>
    </row>
    <row r="231" spans="1:16" ht="17.25" thickBot="1">
      <c r="A231" s="693"/>
      <c r="B231" s="64"/>
      <c r="G231" s="65"/>
      <c r="H231" s="65"/>
    </row>
    <row r="232" spans="1:16" ht="17.25" customHeight="1" thickBot="1">
      <c r="A232" s="693"/>
      <c r="B232" s="64"/>
      <c r="G232" s="65"/>
      <c r="H232" s="65"/>
      <c r="I232" s="13" t="s">
        <v>112</v>
      </c>
      <c r="J232" s="624" t="s">
        <v>4</v>
      </c>
      <c r="K232" s="625"/>
      <c r="L232" s="625"/>
      <c r="M232" s="625"/>
      <c r="N232" s="625"/>
      <c r="O232" s="626"/>
      <c r="P232" s="20" t="s">
        <v>5</v>
      </c>
    </row>
    <row r="233" spans="1:16" ht="15" customHeight="1" thickBot="1">
      <c r="A233" s="693"/>
      <c r="B233" s="140"/>
      <c r="C233" s="141"/>
      <c r="D233" s="141"/>
      <c r="E233" s="141"/>
      <c r="F233" s="141"/>
      <c r="G233" s="142"/>
      <c r="H233" s="65"/>
      <c r="I233" s="627" t="s">
        <v>2491</v>
      </c>
      <c r="J233" s="143"/>
      <c r="K233" s="159"/>
      <c r="L233" s="159"/>
      <c r="M233" s="159"/>
      <c r="N233" s="159"/>
      <c r="O233" s="144"/>
      <c r="P233" s="291"/>
    </row>
    <row r="234" spans="1:16" ht="16.5" customHeight="1" thickBot="1">
      <c r="A234" s="20" t="s">
        <v>563</v>
      </c>
      <c r="B234" s="611" t="s">
        <v>13</v>
      </c>
      <c r="C234" s="612"/>
      <c r="D234" s="585"/>
      <c r="E234" s="20"/>
      <c r="F234" s="21" t="s">
        <v>15</v>
      </c>
      <c r="G234" s="21" t="s">
        <v>16</v>
      </c>
      <c r="H234" s="20" t="s">
        <v>17</v>
      </c>
      <c r="I234" s="628"/>
      <c r="J234" s="64"/>
      <c r="O234" s="65"/>
      <c r="P234" s="291"/>
    </row>
    <row r="235" spans="1:16" ht="18" thickBot="1">
      <c r="A235" s="22">
        <v>1446</v>
      </c>
      <c r="B235" s="606">
        <v>1276000</v>
      </c>
      <c r="C235" s="652"/>
      <c r="D235" s="596"/>
      <c r="E235" s="24"/>
      <c r="F235" s="25">
        <f>0</f>
        <v>0</v>
      </c>
      <c r="G235" s="36">
        <v>1276000</v>
      </c>
      <c r="H235" s="38">
        <v>-1276000</v>
      </c>
      <c r="I235" s="628"/>
      <c r="J235" s="66"/>
      <c r="K235" s="367"/>
      <c r="L235" s="367" t="s">
        <v>286</v>
      </c>
      <c r="M235" s="367"/>
      <c r="N235" s="367"/>
      <c r="O235" s="67"/>
      <c r="P235" s="291"/>
    </row>
    <row r="236" spans="1:16">
      <c r="I236" s="628"/>
      <c r="J236" s="385"/>
      <c r="K236" s="187"/>
      <c r="L236" s="147" t="s">
        <v>2695</v>
      </c>
      <c r="M236" s="187"/>
      <c r="N236" s="187"/>
      <c r="O236" s="132"/>
      <c r="P236" s="148">
        <v>942000</v>
      </c>
    </row>
    <row r="237" spans="1:16" ht="15" customHeight="1">
      <c r="A237" s="395" t="s">
        <v>1268</v>
      </c>
      <c r="B237" s="26"/>
      <c r="C237" s="26"/>
      <c r="D237" s="26"/>
      <c r="E237" s="26"/>
      <c r="F237" s="26"/>
      <c r="G237" s="26"/>
      <c r="I237" s="628"/>
      <c r="J237" s="64"/>
      <c r="K237" s="604"/>
      <c r="L237" s="604"/>
      <c r="M237" s="604"/>
      <c r="O237" s="65"/>
      <c r="P237" s="291"/>
    </row>
    <row r="238" spans="1:16" ht="15.75" customHeight="1" thickBot="1">
      <c r="A238" s="408" t="s">
        <v>3033</v>
      </c>
      <c r="B238" s="26"/>
      <c r="C238" s="26"/>
      <c r="D238" s="26"/>
      <c r="E238" s="26"/>
      <c r="F238" s="26"/>
      <c r="G238" s="26"/>
      <c r="I238" s="629"/>
      <c r="J238" s="140"/>
      <c r="K238" s="141"/>
      <c r="L238" s="141"/>
      <c r="M238" s="141"/>
      <c r="N238" s="141"/>
      <c r="O238" s="142"/>
      <c r="P238" s="291"/>
    </row>
    <row r="239" spans="1:16" ht="15.75" customHeight="1" thickBot="1">
      <c r="A239" s="26" t="s">
        <v>19</v>
      </c>
      <c r="B239" s="26"/>
      <c r="C239" s="26"/>
      <c r="D239" s="26"/>
      <c r="E239" s="26"/>
      <c r="F239" s="26"/>
      <c r="G239" s="26"/>
      <c r="I239" s="20" t="s">
        <v>12</v>
      </c>
      <c r="J239" s="614" t="s">
        <v>13</v>
      </c>
      <c r="K239" s="615"/>
      <c r="L239" s="62" t="s">
        <v>14</v>
      </c>
      <c r="M239" s="63"/>
      <c r="N239" s="62" t="s">
        <v>15</v>
      </c>
      <c r="O239" s="62" t="s">
        <v>16</v>
      </c>
      <c r="P239" s="20" t="s">
        <v>17</v>
      </c>
    </row>
    <row r="240" spans="1:16" ht="15.75" customHeight="1" thickBot="1">
      <c r="A240" s="26" t="s">
        <v>965</v>
      </c>
      <c r="B240" s="26"/>
      <c r="C240" s="26"/>
      <c r="D240" s="26"/>
      <c r="E240" s="26"/>
      <c r="F240" s="26"/>
      <c r="G240" s="26"/>
      <c r="I240" s="22" t="s">
        <v>18</v>
      </c>
      <c r="J240" s="643">
        <f>+P236</f>
        <v>942000</v>
      </c>
      <c r="K240" s="612"/>
      <c r="L240" s="363">
        <f>0</f>
        <v>0</v>
      </c>
      <c r="M240" s="62"/>
      <c r="N240" s="20">
        <f>0</f>
        <v>0</v>
      </c>
      <c r="O240" s="247">
        <f>+J240</f>
        <v>942000</v>
      </c>
      <c r="P240" s="77">
        <f>+P236</f>
        <v>942000</v>
      </c>
    </row>
    <row r="241" spans="1:16" ht="18" hidden="1" customHeight="1" thickBot="1">
      <c r="A241" s="26" t="s">
        <v>21</v>
      </c>
      <c r="B241" s="26"/>
      <c r="C241" s="26"/>
      <c r="D241" s="26"/>
      <c r="E241" s="26"/>
      <c r="F241" s="26"/>
      <c r="G241" s="26"/>
      <c r="I241" s="22" t="s">
        <v>113</v>
      </c>
      <c r="J241" s="643">
        <f>+J240/650.599</f>
        <v>1447.8964769389438</v>
      </c>
      <c r="K241" s="612"/>
      <c r="L241" s="363">
        <f>0</f>
        <v>0</v>
      </c>
      <c r="M241" s="62"/>
      <c r="N241" s="20">
        <f>0</f>
        <v>0</v>
      </c>
      <c r="O241" s="247">
        <f>+J241</f>
        <v>1447.8964769389438</v>
      </c>
      <c r="P241" s="77">
        <f>+O241</f>
        <v>1447.8964769389438</v>
      </c>
    </row>
    <row r="242" spans="1:16">
      <c r="A242" s="26" t="s">
        <v>1229</v>
      </c>
      <c r="B242" s="26"/>
      <c r="C242" s="26"/>
      <c r="D242" s="26"/>
      <c r="E242" s="26"/>
      <c r="F242" s="26"/>
      <c r="G242" s="26"/>
    </row>
    <row r="243" spans="1:16">
      <c r="I243" s="26" t="s">
        <v>2671</v>
      </c>
      <c r="J243" s="26"/>
      <c r="K243" s="26"/>
      <c r="L243" s="26"/>
      <c r="M243" s="26"/>
      <c r="N243" s="26"/>
      <c r="O243" s="26"/>
    </row>
    <row r="244" spans="1:16">
      <c r="I244" s="82" t="s">
        <v>2696</v>
      </c>
      <c r="J244" s="26"/>
      <c r="K244" s="26"/>
      <c r="L244" s="26"/>
      <c r="M244" s="26"/>
      <c r="N244" s="26"/>
      <c r="O244" s="26"/>
    </row>
    <row r="245" spans="1:16">
      <c r="I245" s="26" t="s">
        <v>19</v>
      </c>
      <c r="J245" s="26"/>
      <c r="K245" s="26"/>
      <c r="L245" s="26"/>
      <c r="M245" s="26"/>
      <c r="N245" s="26"/>
      <c r="O245" s="26"/>
    </row>
    <row r="246" spans="1:16">
      <c r="E246" s="30" t="s">
        <v>24</v>
      </c>
      <c r="F246" s="30"/>
      <c r="G246" s="30"/>
      <c r="I246" s="26" t="s">
        <v>965</v>
      </c>
      <c r="J246" s="26"/>
      <c r="K246" s="26"/>
      <c r="L246" s="26"/>
      <c r="M246" s="26"/>
      <c r="N246" s="26"/>
      <c r="O246" s="26"/>
    </row>
    <row r="247" spans="1:16">
      <c r="E247" s="30" t="s">
        <v>149</v>
      </c>
      <c r="F247" s="30"/>
      <c r="G247" s="30"/>
      <c r="I247" s="26" t="s">
        <v>21</v>
      </c>
      <c r="J247" s="26"/>
      <c r="K247" s="26"/>
      <c r="L247" s="26"/>
      <c r="M247" s="26"/>
      <c r="N247" s="26"/>
      <c r="O247" s="26"/>
    </row>
    <row r="248" spans="1:16">
      <c r="E248" s="699" t="s">
        <v>150</v>
      </c>
      <c r="F248" s="699"/>
      <c r="G248" s="699"/>
      <c r="I248" s="26" t="s">
        <v>1229</v>
      </c>
      <c r="J248" s="26"/>
      <c r="K248" s="26"/>
      <c r="L248" s="26"/>
      <c r="M248" s="26"/>
      <c r="N248" s="26"/>
      <c r="O248" s="26"/>
    </row>
    <row r="250" spans="1:16">
      <c r="A250" s="26"/>
      <c r="B250" s="26"/>
      <c r="C250" s="26"/>
      <c r="D250" s="26"/>
      <c r="E250" s="26"/>
      <c r="F250" s="26"/>
      <c r="G250" s="26"/>
    </row>
    <row r="251" spans="1:16" ht="17.25" customHeight="1">
      <c r="A251" s="26"/>
      <c r="B251" s="26"/>
      <c r="C251" s="26"/>
      <c r="D251" s="26"/>
      <c r="E251" s="645" t="s">
        <v>2926</v>
      </c>
      <c r="F251" s="645"/>
      <c r="G251" s="645"/>
    </row>
    <row r="252" spans="1:16" ht="17.25">
      <c r="A252" s="26"/>
      <c r="B252" s="26"/>
      <c r="C252" s="26"/>
      <c r="D252" s="26"/>
      <c r="E252" s="417"/>
      <c r="F252" s="418"/>
      <c r="G252" s="418"/>
      <c r="L252" s="30" t="s">
        <v>24</v>
      </c>
      <c r="M252" s="30"/>
      <c r="N252" s="30"/>
      <c r="O252" s="30"/>
    </row>
    <row r="253" spans="1:16" ht="17.25">
      <c r="A253" s="26"/>
      <c r="B253" s="26"/>
      <c r="C253" s="26"/>
      <c r="D253" s="26"/>
      <c r="E253" s="645"/>
      <c r="F253" s="645"/>
      <c r="G253" s="645"/>
      <c r="L253" s="167" t="s">
        <v>149</v>
      </c>
      <c r="M253" s="167"/>
      <c r="N253" s="167"/>
      <c r="O253" s="167"/>
    </row>
    <row r="254" spans="1:16">
      <c r="A254" s="617" t="s">
        <v>2625</v>
      </c>
      <c r="B254" s="617"/>
      <c r="C254" s="617"/>
      <c r="D254" s="617"/>
      <c r="E254" s="617"/>
      <c r="F254" s="617"/>
      <c r="G254" s="617"/>
      <c r="H254" s="617"/>
      <c r="L254" s="604" t="s">
        <v>150</v>
      </c>
      <c r="M254" s="604"/>
      <c r="N254" s="604"/>
      <c r="O254" s="604"/>
    </row>
    <row r="256" spans="1:16">
      <c r="I256" s="26"/>
      <c r="J256" s="26"/>
      <c r="K256" s="26"/>
      <c r="L256" s="26"/>
      <c r="M256" s="26"/>
      <c r="N256" s="26"/>
      <c r="O256" s="26"/>
    </row>
    <row r="257" spans="1:16" ht="18" customHeight="1">
      <c r="A257" s="695" t="s">
        <v>1</v>
      </c>
      <c r="B257" s="695"/>
      <c r="C257" s="695"/>
      <c r="D257" s="695"/>
      <c r="E257" s="695"/>
      <c r="F257" s="695"/>
      <c r="G257" s="695"/>
      <c r="H257" s="695"/>
      <c r="I257" s="26"/>
      <c r="J257" s="26"/>
      <c r="K257" s="26"/>
      <c r="L257" s="645"/>
      <c r="M257" s="645"/>
      <c r="N257" s="645"/>
      <c r="O257" s="645"/>
      <c r="P257" s="145"/>
    </row>
    <row r="258" spans="1:16" ht="18" customHeight="1">
      <c r="I258" s="26"/>
      <c r="J258" s="26"/>
      <c r="K258" s="26"/>
      <c r="L258" s="417"/>
      <c r="M258" s="417"/>
      <c r="N258" s="417"/>
      <c r="O258" s="417"/>
      <c r="P258" s="145"/>
    </row>
    <row r="259" spans="1:16" ht="18" customHeight="1">
      <c r="I259" s="384"/>
      <c r="J259" s="26"/>
      <c r="K259" s="26"/>
      <c r="L259" s="645"/>
      <c r="M259" s="645"/>
      <c r="N259" s="645"/>
      <c r="O259" s="645"/>
      <c r="P259" s="29"/>
    </row>
    <row r="260" spans="1:16" ht="17.25">
      <c r="A260" s="30"/>
      <c r="B260" s="503" t="s">
        <v>2764</v>
      </c>
      <c r="I260" s="617" t="s">
        <v>2625</v>
      </c>
      <c r="J260" s="617"/>
      <c r="K260" s="617"/>
      <c r="L260" s="617"/>
      <c r="M260" s="617"/>
      <c r="N260" s="617"/>
      <c r="O260" s="617"/>
      <c r="P260" s="617"/>
    </row>
    <row r="261" spans="1:16" ht="17.25" thickBot="1">
      <c r="A261" s="30"/>
      <c r="G261" s="141"/>
    </row>
    <row r="262" spans="1:16" ht="16.5" customHeight="1">
      <c r="B262" s="30"/>
      <c r="F262" s="143"/>
      <c r="H262" s="144"/>
    </row>
    <row r="263" spans="1:16" ht="45" customHeight="1">
      <c r="F263" s="667" t="s">
        <v>2627</v>
      </c>
      <c r="G263" s="668"/>
      <c r="H263" s="669"/>
      <c r="I263" s="660" t="s">
        <v>1</v>
      </c>
      <c r="J263" s="660"/>
      <c r="K263" s="660"/>
      <c r="L263" s="660"/>
      <c r="M263" s="660"/>
      <c r="N263" s="660"/>
      <c r="O263" s="660"/>
      <c r="P263" s="660"/>
    </row>
    <row r="264" spans="1:16">
      <c r="A264" s="12" t="s">
        <v>114</v>
      </c>
      <c r="E264" s="30" t="s">
        <v>2</v>
      </c>
      <c r="F264" s="683" t="s">
        <v>2626</v>
      </c>
      <c r="G264" s="683"/>
      <c r="H264" s="684"/>
    </row>
    <row r="265" spans="1:16">
      <c r="F265" s="601" t="s">
        <v>163</v>
      </c>
      <c r="G265" s="602"/>
      <c r="H265" s="603"/>
    </row>
    <row r="266" spans="1:16" ht="18" thickBot="1">
      <c r="F266" s="140"/>
      <c r="G266" s="141"/>
      <c r="H266" s="142"/>
      <c r="I266" s="448"/>
      <c r="J266" s="448" t="s">
        <v>713</v>
      </c>
    </row>
    <row r="267" spans="1:16" ht="17.25" thickBot="1">
      <c r="A267" s="30"/>
      <c r="B267" s="30" t="s">
        <v>27</v>
      </c>
      <c r="C267" s="30" t="s">
        <v>214</v>
      </c>
      <c r="D267" s="595"/>
      <c r="I267" s="30"/>
      <c r="O267" s="141"/>
    </row>
    <row r="268" spans="1:16">
      <c r="A268" s="30"/>
      <c r="B268" s="30" t="s">
        <v>142</v>
      </c>
      <c r="C268" s="30" t="s">
        <v>2759</v>
      </c>
      <c r="D268" s="595"/>
      <c r="J268" s="30"/>
      <c r="N268" s="143"/>
      <c r="P268" s="144"/>
    </row>
    <row r="269" spans="1:16" ht="18" thickBot="1">
      <c r="N269" s="667" t="s">
        <v>2627</v>
      </c>
      <c r="O269" s="668"/>
      <c r="P269" s="669"/>
    </row>
    <row r="270" spans="1:16" ht="33.75" thickBot="1">
      <c r="A270" s="13" t="s">
        <v>3</v>
      </c>
      <c r="B270" s="370" t="s">
        <v>4</v>
      </c>
      <c r="C270" s="371"/>
      <c r="D270" s="589"/>
      <c r="E270" s="371"/>
      <c r="F270" s="371"/>
      <c r="G270" s="372"/>
      <c r="H270" s="20" t="s">
        <v>5</v>
      </c>
      <c r="I270" s="12" t="s">
        <v>114</v>
      </c>
      <c r="L270" s="249" t="s">
        <v>1663</v>
      </c>
      <c r="N270" s="683" t="s">
        <v>2626</v>
      </c>
      <c r="O270" s="683"/>
      <c r="P270" s="684"/>
    </row>
    <row r="271" spans="1:16" ht="17.25" thickBot="1">
      <c r="A271" s="633" t="s">
        <v>2757</v>
      </c>
      <c r="B271" s="143"/>
      <c r="C271" s="159"/>
      <c r="D271" s="159"/>
      <c r="E271" s="159"/>
      <c r="F271" s="159"/>
      <c r="G271" s="144"/>
      <c r="H271" s="65"/>
      <c r="N271" s="601" t="s">
        <v>163</v>
      </c>
      <c r="O271" s="602"/>
      <c r="P271" s="603"/>
    </row>
    <row r="272" spans="1:16" ht="17.25" thickBot="1">
      <c r="A272" s="701"/>
      <c r="B272" s="598" t="s">
        <v>6</v>
      </c>
      <c r="C272" s="600"/>
      <c r="D272" s="591"/>
      <c r="E272" s="598" t="s">
        <v>7</v>
      </c>
      <c r="F272" s="599"/>
      <c r="G272" s="600"/>
      <c r="H272" s="65"/>
      <c r="N272" s="140"/>
      <c r="O272" s="141"/>
      <c r="P272" s="142"/>
    </row>
    <row r="273" spans="1:16">
      <c r="A273" s="701"/>
      <c r="B273" s="420" t="s">
        <v>26</v>
      </c>
      <c r="C273" s="421" t="s">
        <v>8</v>
      </c>
      <c r="D273" s="421"/>
      <c r="E273" s="421" t="s">
        <v>10</v>
      </c>
      <c r="F273" s="422" t="s">
        <v>8</v>
      </c>
      <c r="G273" s="421" t="s">
        <v>11</v>
      </c>
      <c r="H273" s="65"/>
    </row>
    <row r="274" spans="1:16">
      <c r="A274" s="701"/>
      <c r="B274" s="426">
        <v>94</v>
      </c>
      <c r="C274" s="378">
        <v>10000</v>
      </c>
      <c r="D274" s="378"/>
      <c r="E274" s="424">
        <v>94</v>
      </c>
      <c r="F274" s="378">
        <v>3500</v>
      </c>
      <c r="G274" s="427">
        <f>+E274*F274</f>
        <v>329000</v>
      </c>
      <c r="H274" s="162">
        <f>+B274*C274</f>
        <v>940000</v>
      </c>
      <c r="I274" s="447" t="s">
        <v>27</v>
      </c>
      <c r="J274" s="394" t="s">
        <v>214</v>
      </c>
    </row>
    <row r="275" spans="1:16" ht="17.25" customHeight="1" thickBot="1">
      <c r="A275" s="701"/>
      <c r="B275" s="423"/>
      <c r="C275" s="388"/>
      <c r="D275" s="597"/>
      <c r="F275" s="388"/>
      <c r="G275" s="425"/>
      <c r="H275" s="65"/>
    </row>
    <row r="276" spans="1:16" ht="15" customHeight="1" thickBot="1">
      <c r="A276" s="701"/>
      <c r="B276" s="64"/>
      <c r="G276" s="65"/>
      <c r="H276" s="65"/>
      <c r="I276" s="13" t="s">
        <v>112</v>
      </c>
      <c r="J276" s="624" t="s">
        <v>4</v>
      </c>
      <c r="K276" s="625"/>
      <c r="L276" s="625"/>
      <c r="M276" s="625"/>
      <c r="N276" s="625"/>
      <c r="O276" s="626"/>
      <c r="P276" s="20" t="s">
        <v>5</v>
      </c>
    </row>
    <row r="277" spans="1:16" ht="15" customHeight="1" thickBot="1">
      <c r="A277" s="708"/>
      <c r="B277" s="140"/>
      <c r="C277" s="141"/>
      <c r="D277" s="141"/>
      <c r="E277" s="141"/>
      <c r="F277" s="141"/>
      <c r="G277" s="142"/>
      <c r="H277" s="65"/>
      <c r="I277" s="627" t="s">
        <v>2637</v>
      </c>
      <c r="J277" s="143"/>
      <c r="K277" s="159"/>
      <c r="L277" s="159"/>
      <c r="M277" s="159"/>
      <c r="N277" s="159"/>
      <c r="O277" s="144"/>
      <c r="P277" s="291"/>
    </row>
    <row r="278" spans="1:16" ht="16.5" customHeight="1" thickBot="1">
      <c r="A278" s="20" t="s">
        <v>563</v>
      </c>
      <c r="B278" s="363" t="s">
        <v>13</v>
      </c>
      <c r="C278" s="364"/>
      <c r="D278" s="585"/>
      <c r="E278" s="20"/>
      <c r="F278" s="21" t="s">
        <v>15</v>
      </c>
      <c r="G278" s="21" t="s">
        <v>16</v>
      </c>
      <c r="H278" s="20" t="s">
        <v>17</v>
      </c>
      <c r="I278" s="628"/>
      <c r="J278" s="66"/>
      <c r="K278" s="367"/>
      <c r="L278" s="367" t="s">
        <v>286</v>
      </c>
      <c r="M278" s="367"/>
      <c r="N278" s="367"/>
      <c r="O278" s="67"/>
      <c r="P278" s="291"/>
    </row>
    <row r="279" spans="1:16" ht="18" thickBot="1">
      <c r="A279" s="22">
        <v>740</v>
      </c>
      <c r="B279" s="359" t="e">
        <f>+#REF!</f>
        <v>#REF!</v>
      </c>
      <c r="C279" s="360"/>
      <c r="D279" s="594"/>
      <c r="E279" s="24"/>
      <c r="F279" s="25">
        <f>0</f>
        <v>0</v>
      </c>
      <c r="G279" s="36" t="e">
        <f>+B279</f>
        <v>#REF!</v>
      </c>
      <c r="H279" s="38">
        <f>+H274</f>
        <v>940000</v>
      </c>
      <c r="I279" s="628"/>
      <c r="J279" s="449"/>
      <c r="K279" s="450"/>
      <c r="L279" s="446" t="s">
        <v>2639</v>
      </c>
      <c r="M279" s="450"/>
      <c r="N279" s="450"/>
      <c r="O279" s="451"/>
      <c r="P279" s="291"/>
    </row>
    <row r="280" spans="1:16">
      <c r="I280" s="628"/>
      <c r="J280" s="385"/>
      <c r="K280" s="389"/>
      <c r="L280" s="246"/>
      <c r="M280" s="389"/>
      <c r="N280" s="187"/>
      <c r="O280" s="132"/>
      <c r="P280" s="248">
        <v>1256700</v>
      </c>
    </row>
    <row r="281" spans="1:16" ht="15" customHeight="1">
      <c r="A281" s="395" t="s">
        <v>1268</v>
      </c>
      <c r="B281" s="26"/>
      <c r="C281" s="26"/>
      <c r="D281" s="26"/>
      <c r="E281" s="26"/>
      <c r="F281" s="26"/>
      <c r="G281" s="26"/>
      <c r="I281" s="628"/>
      <c r="J281" s="64"/>
      <c r="K281" s="604"/>
      <c r="L281" s="604"/>
      <c r="M281" s="604"/>
      <c r="O281" s="65"/>
      <c r="P281" s="291"/>
    </row>
    <row r="282" spans="1:16" ht="15.75" customHeight="1" thickBot="1">
      <c r="A282" s="408" t="s">
        <v>2758</v>
      </c>
      <c r="B282" s="26"/>
      <c r="C282" s="26"/>
      <c r="D282" s="26"/>
      <c r="E282" s="26"/>
      <c r="F282" s="26"/>
      <c r="G282" s="26"/>
      <c r="I282" s="629"/>
      <c r="J282" s="140"/>
      <c r="K282" s="141"/>
      <c r="L282" s="141"/>
      <c r="M282" s="141"/>
      <c r="N282" s="141"/>
      <c r="O282" s="142"/>
      <c r="P282" s="291"/>
    </row>
    <row r="283" spans="1:16" ht="17.25" thickBot="1">
      <c r="A283" s="26" t="s">
        <v>19</v>
      </c>
      <c r="B283" s="26"/>
      <c r="C283" s="26"/>
      <c r="D283" s="26"/>
      <c r="E283" s="26"/>
      <c r="F283" s="26"/>
      <c r="G283" s="26"/>
      <c r="I283" s="20" t="s">
        <v>12</v>
      </c>
      <c r="J283" s="614" t="s">
        <v>13</v>
      </c>
      <c r="K283" s="615"/>
      <c r="L283" s="62" t="s">
        <v>14</v>
      </c>
      <c r="M283" s="63"/>
      <c r="N283" s="62" t="s">
        <v>15</v>
      </c>
      <c r="O283" s="62" t="s">
        <v>16</v>
      </c>
      <c r="P283" s="20" t="s">
        <v>17</v>
      </c>
    </row>
    <row r="284" spans="1:16" ht="15.75" customHeight="1" thickBot="1">
      <c r="A284" s="26" t="s">
        <v>965</v>
      </c>
      <c r="B284" s="26"/>
      <c r="C284" s="26"/>
      <c r="D284" s="26"/>
      <c r="E284" s="26"/>
      <c r="F284" s="26"/>
      <c r="G284" s="26"/>
      <c r="I284" s="22" t="s">
        <v>18</v>
      </c>
      <c r="J284" s="643">
        <f>+P280</f>
        <v>1256700</v>
      </c>
      <c r="K284" s="612"/>
      <c r="L284" s="23">
        <f>0</f>
        <v>0</v>
      </c>
      <c r="M284" s="24"/>
      <c r="N284" s="25">
        <f>0</f>
        <v>0</v>
      </c>
      <c r="O284" s="36">
        <f>+J284</f>
        <v>1256700</v>
      </c>
      <c r="P284" s="38">
        <f>+P280</f>
        <v>1256700</v>
      </c>
    </row>
    <row r="285" spans="1:16" ht="15.75" customHeight="1" thickBot="1">
      <c r="A285" s="26" t="s">
        <v>21</v>
      </c>
      <c r="B285" s="26"/>
      <c r="C285" s="26"/>
      <c r="D285" s="26"/>
      <c r="E285" s="26"/>
      <c r="F285" s="26"/>
      <c r="G285" s="26"/>
      <c r="I285" s="22" t="s">
        <v>113</v>
      </c>
      <c r="J285" s="643">
        <f>+J284/650.599</f>
        <v>1931.6045674831962</v>
      </c>
      <c r="K285" s="612"/>
      <c r="L285" s="23">
        <f>0</f>
        <v>0</v>
      </c>
      <c r="M285" s="24"/>
      <c r="N285" s="25">
        <f>0</f>
        <v>0</v>
      </c>
      <c r="O285" s="36">
        <f>+J285</f>
        <v>1931.6045674831962</v>
      </c>
      <c r="P285" s="77">
        <f>+O285</f>
        <v>1931.6045674831962</v>
      </c>
    </row>
    <row r="286" spans="1:16">
      <c r="A286" s="26" t="s">
        <v>1229</v>
      </c>
      <c r="B286" s="26"/>
      <c r="C286" s="26"/>
      <c r="D286" s="26"/>
      <c r="E286" s="26"/>
      <c r="F286" s="26"/>
      <c r="G286" s="26"/>
    </row>
    <row r="287" spans="1:16">
      <c r="I287" s="395" t="s">
        <v>2653</v>
      </c>
      <c r="J287" s="26"/>
      <c r="K287" s="26"/>
      <c r="L287" s="26"/>
      <c r="M287" s="26"/>
      <c r="N287" s="26"/>
      <c r="O287" s="26"/>
    </row>
    <row r="288" spans="1:16">
      <c r="I288" s="408" t="s">
        <v>2638</v>
      </c>
      <c r="J288" s="26"/>
      <c r="K288" s="26"/>
      <c r="L288" s="26"/>
      <c r="M288" s="26"/>
      <c r="N288" s="26"/>
      <c r="O288" s="26"/>
    </row>
    <row r="289" spans="1:16">
      <c r="E289" s="30" t="s">
        <v>24</v>
      </c>
      <c r="F289" s="30"/>
      <c r="G289" s="30"/>
      <c r="I289" s="26" t="s">
        <v>19</v>
      </c>
      <c r="J289" s="26"/>
      <c r="K289" s="26"/>
      <c r="L289" s="26"/>
      <c r="M289" s="26"/>
      <c r="N289" s="26"/>
      <c r="O289" s="26"/>
    </row>
    <row r="290" spans="1:16">
      <c r="E290" s="30" t="s">
        <v>149</v>
      </c>
      <c r="F290" s="30"/>
      <c r="G290" s="30"/>
      <c r="I290" s="26" t="s">
        <v>965</v>
      </c>
      <c r="J290" s="26"/>
      <c r="K290" s="26"/>
      <c r="L290" s="26"/>
      <c r="M290" s="26"/>
      <c r="N290" s="26"/>
      <c r="O290" s="26"/>
    </row>
    <row r="291" spans="1:16">
      <c r="E291" s="315" t="s">
        <v>150</v>
      </c>
      <c r="F291" s="315"/>
      <c r="G291" s="315"/>
      <c r="I291" s="26" t="s">
        <v>21</v>
      </c>
      <c r="J291" s="26"/>
      <c r="K291" s="26"/>
      <c r="L291" s="26"/>
      <c r="M291" s="26"/>
      <c r="N291" s="26"/>
      <c r="O291" s="26"/>
    </row>
    <row r="292" spans="1:16">
      <c r="I292" s="26" t="s">
        <v>1229</v>
      </c>
      <c r="J292" s="26"/>
      <c r="K292" s="26"/>
      <c r="L292" s="26"/>
      <c r="M292" s="26"/>
      <c r="N292" s="26"/>
      <c r="O292" s="26"/>
    </row>
    <row r="293" spans="1:16">
      <c r="A293" s="26"/>
      <c r="B293" s="26"/>
      <c r="C293" s="26"/>
      <c r="D293" s="26"/>
      <c r="E293" s="26"/>
      <c r="F293" s="26"/>
      <c r="G293" s="26"/>
    </row>
    <row r="294" spans="1:16" ht="17.25">
      <c r="A294" s="26"/>
      <c r="B294" s="26"/>
      <c r="C294" s="26"/>
      <c r="D294" s="26"/>
      <c r="E294" s="746"/>
      <c r="F294" s="746"/>
      <c r="G294" s="746"/>
      <c r="H294" s="746"/>
    </row>
    <row r="295" spans="1:16" ht="17.25">
      <c r="A295" s="26"/>
      <c r="B295" s="26"/>
      <c r="C295" s="26"/>
      <c r="D295" s="26"/>
      <c r="E295" s="644"/>
      <c r="F295" s="644"/>
      <c r="G295" s="644"/>
      <c r="H295" s="644"/>
    </row>
    <row r="296" spans="1:16" ht="18">
      <c r="A296" s="26"/>
      <c r="B296" s="26"/>
      <c r="C296" s="26"/>
      <c r="D296" s="26"/>
      <c r="E296" s="368"/>
      <c r="F296" s="368"/>
      <c r="G296" s="368"/>
      <c r="L296" s="604" t="s">
        <v>24</v>
      </c>
      <c r="M296" s="604"/>
      <c r="N296" s="604"/>
      <c r="O296" s="604"/>
    </row>
    <row r="297" spans="1:16">
      <c r="A297" s="617" t="s">
        <v>2628</v>
      </c>
      <c r="B297" s="617"/>
      <c r="C297" s="617"/>
      <c r="D297" s="617"/>
      <c r="E297" s="617"/>
      <c r="F297" s="617"/>
      <c r="G297" s="617"/>
      <c r="H297" s="617"/>
      <c r="L297" s="604" t="s">
        <v>149</v>
      </c>
      <c r="M297" s="604"/>
      <c r="N297" s="604"/>
      <c r="O297" s="604"/>
    </row>
    <row r="298" spans="1:16">
      <c r="L298" s="604" t="s">
        <v>150</v>
      </c>
      <c r="M298" s="604"/>
      <c r="N298" s="604"/>
      <c r="O298" s="604"/>
    </row>
    <row r="299" spans="1:16">
      <c r="I299" s="26"/>
      <c r="J299" s="26"/>
      <c r="K299" s="26"/>
      <c r="L299" s="26"/>
      <c r="M299" s="26"/>
      <c r="N299" s="26"/>
      <c r="O299" s="26"/>
    </row>
    <row r="300" spans="1:16" ht="18" customHeight="1">
      <c r="A300" s="695" t="s">
        <v>1</v>
      </c>
      <c r="B300" s="695"/>
      <c r="C300" s="695"/>
      <c r="D300" s="695"/>
      <c r="E300" s="695"/>
      <c r="F300" s="695"/>
      <c r="G300" s="695"/>
      <c r="H300" s="695"/>
      <c r="I300" s="26"/>
      <c r="J300" s="26"/>
      <c r="K300" s="26"/>
      <c r="L300" s="26"/>
      <c r="M300" s="29"/>
      <c r="N300" s="29"/>
      <c r="O300" s="29"/>
      <c r="P300" s="145"/>
    </row>
    <row r="301" spans="1:16" ht="18" customHeight="1">
      <c r="I301" s="384"/>
      <c r="J301" s="26"/>
      <c r="K301" s="26"/>
      <c r="L301" s="645" t="s">
        <v>2347</v>
      </c>
      <c r="M301" s="645"/>
      <c r="N301" s="645"/>
      <c r="O301" s="645"/>
      <c r="P301" s="29"/>
    </row>
    <row r="302" spans="1:16" ht="18" customHeight="1">
      <c r="A302" s="30"/>
      <c r="B302" s="503" t="s">
        <v>2738</v>
      </c>
      <c r="I302" s="384"/>
      <c r="J302" s="26"/>
      <c r="K302" s="26"/>
      <c r="L302" s="26"/>
      <c r="M302" s="373"/>
      <c r="N302" s="373"/>
      <c r="O302" s="373"/>
      <c r="P302" s="29"/>
    </row>
    <row r="303" spans="1:16" ht="17.25" thickBot="1">
      <c r="A303" s="30"/>
      <c r="G303" s="141"/>
      <c r="I303" s="617" t="s">
        <v>2625</v>
      </c>
      <c r="J303" s="617"/>
      <c r="K303" s="617"/>
      <c r="L303" s="617"/>
      <c r="M303" s="617"/>
      <c r="N303" s="617"/>
      <c r="O303" s="617"/>
      <c r="P303" s="617"/>
    </row>
    <row r="304" spans="1:16">
      <c r="B304" s="30"/>
      <c r="F304" s="143"/>
      <c r="H304" s="144"/>
    </row>
    <row r="305" spans="1:16" ht="17.25">
      <c r="F305" s="667" t="s">
        <v>2627</v>
      </c>
      <c r="G305" s="668"/>
      <c r="H305" s="669"/>
    </row>
    <row r="306" spans="1:16" ht="45" customHeight="1">
      <c r="A306" s="12" t="s">
        <v>114</v>
      </c>
      <c r="E306" s="30" t="s">
        <v>2</v>
      </c>
      <c r="F306" s="683" t="s">
        <v>2626</v>
      </c>
      <c r="G306" s="683"/>
      <c r="H306" s="684"/>
      <c r="K306" s="642" t="s">
        <v>1</v>
      </c>
      <c r="L306" s="642"/>
      <c r="M306" s="642"/>
      <c r="N306" s="642"/>
    </row>
    <row r="307" spans="1:16">
      <c r="F307" s="601" t="s">
        <v>163</v>
      </c>
      <c r="G307" s="602"/>
      <c r="H307" s="603"/>
    </row>
    <row r="308" spans="1:16" ht="18" thickBot="1">
      <c r="F308" s="140"/>
      <c r="G308" s="141"/>
      <c r="H308" s="142"/>
      <c r="I308" s="375"/>
      <c r="J308" s="375" t="s">
        <v>2011</v>
      </c>
    </row>
    <row r="309" spans="1:16" ht="18" thickBot="1">
      <c r="A309" s="30"/>
      <c r="B309" s="236" t="s">
        <v>27</v>
      </c>
      <c r="C309" s="513" t="s">
        <v>214</v>
      </c>
      <c r="D309" s="513"/>
      <c r="I309" s="30"/>
      <c r="O309" s="141"/>
    </row>
    <row r="310" spans="1:16" ht="16.5" customHeight="1">
      <c r="A310" s="30"/>
      <c r="B310" s="30" t="s">
        <v>2739</v>
      </c>
      <c r="C310" s="30"/>
      <c r="D310" s="595"/>
      <c r="J310" s="30"/>
      <c r="N310" s="143"/>
      <c r="P310" s="144"/>
    </row>
    <row r="311" spans="1:16" ht="17.25" thickBot="1">
      <c r="N311" s="647" t="s">
        <v>2296</v>
      </c>
      <c r="O311" s="610"/>
      <c r="P311" s="648"/>
    </row>
    <row r="312" spans="1:16" ht="17.25" customHeight="1" thickBot="1">
      <c r="A312" s="13" t="s">
        <v>3</v>
      </c>
      <c r="B312" s="696" t="s">
        <v>4</v>
      </c>
      <c r="C312" s="697"/>
      <c r="D312" s="697"/>
      <c r="E312" s="697"/>
      <c r="F312" s="697"/>
      <c r="G312" s="698"/>
      <c r="H312" s="20" t="s">
        <v>5</v>
      </c>
      <c r="I312" s="12" t="s">
        <v>114</v>
      </c>
      <c r="L312" s="249" t="s">
        <v>2</v>
      </c>
      <c r="N312" s="622" t="s">
        <v>2299</v>
      </c>
      <c r="O312" s="622"/>
      <c r="P312" s="623"/>
    </row>
    <row r="313" spans="1:16" ht="12.75" customHeight="1" thickBot="1">
      <c r="A313" s="692" t="s">
        <v>2727</v>
      </c>
      <c r="B313" s="143"/>
      <c r="C313" s="159"/>
      <c r="D313" s="159"/>
      <c r="E313" s="159"/>
      <c r="F313" s="159"/>
      <c r="G313" s="144"/>
      <c r="H313" s="65"/>
      <c r="N313" s="601" t="s">
        <v>904</v>
      </c>
      <c r="O313" s="602"/>
      <c r="P313" s="603"/>
    </row>
    <row r="314" spans="1:16" ht="17.25" thickBot="1">
      <c r="A314" s="693"/>
      <c r="B314" s="598" t="s">
        <v>6</v>
      </c>
      <c r="C314" s="600"/>
      <c r="D314" s="591"/>
      <c r="E314" s="15" t="s">
        <v>7</v>
      </c>
      <c r="F314" s="16"/>
      <c r="G314" s="32"/>
      <c r="H314" s="65"/>
      <c r="N314" s="140"/>
      <c r="O314" s="141"/>
      <c r="P314" s="142"/>
    </row>
    <row r="315" spans="1:16" ht="15" customHeight="1" thickBot="1">
      <c r="A315" s="693"/>
      <c r="B315" s="17" t="s">
        <v>26</v>
      </c>
      <c r="C315" s="18" t="s">
        <v>8</v>
      </c>
      <c r="D315" s="18"/>
      <c r="E315" s="18" t="s">
        <v>10</v>
      </c>
      <c r="F315" s="19" t="s">
        <v>8</v>
      </c>
      <c r="G315" s="18" t="s">
        <v>11</v>
      </c>
      <c r="H315" s="65"/>
    </row>
    <row r="316" spans="1:16" ht="17.25" customHeight="1">
      <c r="A316" s="693"/>
      <c r="B316" s="160">
        <v>49</v>
      </c>
      <c r="C316" s="154">
        <v>10000</v>
      </c>
      <c r="D316" s="154"/>
      <c r="E316" s="154"/>
      <c r="F316" s="154">
        <v>3500</v>
      </c>
      <c r="G316" s="161"/>
      <c r="H316" s="39" t="e">
        <f>+#REF!+G316</f>
        <v>#REF!</v>
      </c>
      <c r="I316" s="249" t="s">
        <v>27</v>
      </c>
      <c r="J316" s="394" t="s">
        <v>145</v>
      </c>
    </row>
    <row r="317" spans="1:16" ht="17.25" thickBot="1">
      <c r="A317" s="693"/>
      <c r="B317" s="64"/>
      <c r="G317" s="65"/>
      <c r="H317" s="65"/>
    </row>
    <row r="318" spans="1:16" ht="17.25" thickBot="1">
      <c r="A318" s="693"/>
      <c r="B318" s="64"/>
      <c r="G318" s="65"/>
      <c r="H318" s="65"/>
      <c r="I318" s="13" t="s">
        <v>112</v>
      </c>
      <c r="J318" s="624" t="s">
        <v>4</v>
      </c>
      <c r="K318" s="625"/>
      <c r="L318" s="625"/>
      <c r="M318" s="625"/>
      <c r="N318" s="625"/>
      <c r="O318" s="626"/>
      <c r="P318" s="20" t="s">
        <v>5</v>
      </c>
    </row>
    <row r="319" spans="1:16" ht="17.25" customHeight="1" thickBot="1">
      <c r="A319" s="693"/>
      <c r="B319" s="140"/>
      <c r="C319" s="141"/>
      <c r="D319" s="141"/>
      <c r="E319" s="141"/>
      <c r="F319" s="141"/>
      <c r="G319" s="142"/>
      <c r="H319" s="65"/>
      <c r="I319" s="627" t="s">
        <v>2478</v>
      </c>
      <c r="J319" s="143"/>
      <c r="K319" s="159"/>
      <c r="L319" s="159"/>
      <c r="M319" s="159"/>
      <c r="N319" s="159"/>
      <c r="O319" s="144"/>
      <c r="P319" s="291"/>
    </row>
    <row r="320" spans="1:16" ht="17.25" customHeight="1" thickBot="1">
      <c r="A320" s="20" t="s">
        <v>563</v>
      </c>
      <c r="B320" s="611" t="s">
        <v>13</v>
      </c>
      <c r="C320" s="612"/>
      <c r="D320" s="585"/>
      <c r="E320" s="20"/>
      <c r="F320" s="21" t="s">
        <v>15</v>
      </c>
      <c r="G320" s="21" t="s">
        <v>16</v>
      </c>
      <c r="H320" s="20" t="s">
        <v>17</v>
      </c>
      <c r="I320" s="628"/>
      <c r="J320" s="64"/>
      <c r="O320" s="65"/>
      <c r="P320" s="291"/>
    </row>
    <row r="321" spans="1:16" ht="18" thickBot="1">
      <c r="A321" s="22">
        <v>624</v>
      </c>
      <c r="B321" s="606" t="e">
        <f>+#REF!</f>
        <v>#REF!</v>
      </c>
      <c r="C321" s="652"/>
      <c r="D321" s="596"/>
      <c r="E321" s="24"/>
      <c r="F321" s="25">
        <f>0</f>
        <v>0</v>
      </c>
      <c r="G321" s="36">
        <f>+G316</f>
        <v>0</v>
      </c>
      <c r="H321" s="38" t="e">
        <f>+H316</f>
        <v>#REF!</v>
      </c>
      <c r="I321" s="628"/>
      <c r="J321" s="630" t="s">
        <v>286</v>
      </c>
      <c r="K321" s="631"/>
      <c r="L321" s="631"/>
      <c r="M321" s="631"/>
      <c r="N321" s="631"/>
      <c r="O321" s="632"/>
      <c r="P321" s="291"/>
    </row>
    <row r="322" spans="1:16" ht="18.75" customHeight="1">
      <c r="I322" s="628"/>
      <c r="J322" s="636" t="s">
        <v>2298</v>
      </c>
      <c r="K322" s="637"/>
      <c r="L322" s="637"/>
      <c r="M322" s="637"/>
      <c r="N322" s="637"/>
      <c r="O322" s="638"/>
      <c r="P322" s="148">
        <v>3600000</v>
      </c>
    </row>
    <row r="323" spans="1:16">
      <c r="A323" s="395" t="s">
        <v>1479</v>
      </c>
      <c r="B323" s="26"/>
      <c r="C323" s="26"/>
      <c r="D323" s="26"/>
      <c r="E323" s="26"/>
      <c r="F323" s="26"/>
      <c r="G323" s="26"/>
      <c r="I323" s="628"/>
      <c r="J323" s="64"/>
      <c r="K323" s="604"/>
      <c r="L323" s="604"/>
      <c r="M323" s="604"/>
      <c r="O323" s="65"/>
      <c r="P323" s="291"/>
    </row>
    <row r="324" spans="1:16" ht="15" customHeight="1" thickBot="1">
      <c r="A324" s="408" t="s">
        <v>2737</v>
      </c>
      <c r="B324" s="26"/>
      <c r="C324" s="26"/>
      <c r="D324" s="26"/>
      <c r="E324" s="26"/>
      <c r="F324" s="26"/>
      <c r="G324" s="26"/>
      <c r="I324" s="629"/>
      <c r="J324" s="140"/>
      <c r="K324" s="141"/>
      <c r="L324" s="141"/>
      <c r="M324" s="141"/>
      <c r="N324" s="141"/>
      <c r="O324" s="142"/>
      <c r="P324" s="291"/>
    </row>
    <row r="325" spans="1:16" ht="15.75" customHeight="1" thickBot="1">
      <c r="A325" s="26" t="s">
        <v>19</v>
      </c>
      <c r="B325" s="26"/>
      <c r="C325" s="26"/>
      <c r="D325" s="26"/>
      <c r="E325" s="26"/>
      <c r="F325" s="26"/>
      <c r="G325" s="26"/>
      <c r="I325" s="20" t="s">
        <v>12</v>
      </c>
      <c r="J325" s="614" t="s">
        <v>13</v>
      </c>
      <c r="K325" s="615"/>
      <c r="L325" s="62" t="s">
        <v>14</v>
      </c>
      <c r="M325" s="63"/>
      <c r="N325" s="62" t="s">
        <v>15</v>
      </c>
      <c r="O325" s="62" t="s">
        <v>16</v>
      </c>
      <c r="P325" s="20" t="s">
        <v>17</v>
      </c>
    </row>
    <row r="326" spans="1:16" ht="18" thickBot="1">
      <c r="A326" s="26" t="s">
        <v>965</v>
      </c>
      <c r="B326" s="26"/>
      <c r="C326" s="26"/>
      <c r="D326" s="26"/>
      <c r="E326" s="26"/>
      <c r="F326" s="26"/>
      <c r="G326" s="26"/>
      <c r="I326" s="63" t="s">
        <v>18</v>
      </c>
      <c r="J326" s="643">
        <f>+P322</f>
        <v>3600000</v>
      </c>
      <c r="K326" s="612"/>
      <c r="L326" s="363">
        <f>0</f>
        <v>0</v>
      </c>
      <c r="M326" s="62"/>
      <c r="N326" s="20">
        <f>0</f>
        <v>0</v>
      </c>
      <c r="O326" s="247">
        <f>+J326</f>
        <v>3600000</v>
      </c>
      <c r="P326" s="77">
        <f>+P322</f>
        <v>3600000</v>
      </c>
    </row>
    <row r="327" spans="1:16" ht="18" thickBot="1">
      <c r="A327" s="26" t="s">
        <v>21</v>
      </c>
      <c r="B327" s="26"/>
      <c r="C327" s="26"/>
      <c r="D327" s="26"/>
      <c r="E327" s="26"/>
      <c r="F327" s="26"/>
      <c r="G327" s="26"/>
      <c r="I327" s="63" t="s">
        <v>113</v>
      </c>
      <c r="J327" s="643">
        <f>+J326/650.599</f>
        <v>5533.362332250741</v>
      </c>
      <c r="K327" s="612"/>
      <c r="L327" s="363">
        <f>0</f>
        <v>0</v>
      </c>
      <c r="M327" s="62"/>
      <c r="N327" s="20">
        <f>0</f>
        <v>0</v>
      </c>
      <c r="O327" s="247">
        <f>+J327</f>
        <v>5533.362332250741</v>
      </c>
      <c r="P327" s="77">
        <f>+O327</f>
        <v>5533.362332250741</v>
      </c>
    </row>
    <row r="328" spans="1:16">
      <c r="A328" s="26" t="s">
        <v>1229</v>
      </c>
      <c r="B328" s="26"/>
      <c r="C328" s="26"/>
      <c r="D328" s="26"/>
      <c r="E328" s="26"/>
      <c r="F328" s="26"/>
      <c r="G328" s="26"/>
    </row>
    <row r="329" spans="1:16">
      <c r="I329" s="26" t="s">
        <v>1268</v>
      </c>
      <c r="J329" s="26"/>
      <c r="K329" s="26"/>
      <c r="L329" s="26"/>
      <c r="M329" s="26"/>
      <c r="N329" s="26"/>
      <c r="O329" s="26"/>
    </row>
    <row r="330" spans="1:16">
      <c r="I330" s="408" t="s">
        <v>2517</v>
      </c>
      <c r="J330" s="26"/>
      <c r="K330" s="26"/>
      <c r="L330" s="26"/>
      <c r="M330" s="26"/>
      <c r="N330" s="26"/>
      <c r="O330" s="26"/>
    </row>
    <row r="331" spans="1:16">
      <c r="I331" s="26" t="s">
        <v>19</v>
      </c>
      <c r="J331" s="26"/>
      <c r="K331" s="26"/>
      <c r="L331" s="26"/>
      <c r="M331" s="26"/>
      <c r="N331" s="26"/>
      <c r="O331" s="26"/>
    </row>
    <row r="332" spans="1:16">
      <c r="E332" s="30" t="s">
        <v>24</v>
      </c>
      <c r="F332" s="30"/>
      <c r="G332" s="30"/>
      <c r="I332" s="26" t="s">
        <v>965</v>
      </c>
      <c r="J332" s="26"/>
      <c r="K332" s="26"/>
      <c r="L332" s="26"/>
      <c r="M332" s="26"/>
      <c r="N332" s="26"/>
      <c r="O332" s="26"/>
    </row>
    <row r="333" spans="1:16">
      <c r="E333" s="30" t="s">
        <v>149</v>
      </c>
      <c r="F333" s="30"/>
      <c r="G333" s="30"/>
      <c r="I333" s="26" t="s">
        <v>21</v>
      </c>
      <c r="J333" s="26"/>
      <c r="K333" s="26"/>
      <c r="L333" s="26"/>
      <c r="M333" s="26"/>
      <c r="N333" s="26"/>
      <c r="O333" s="26"/>
    </row>
    <row r="334" spans="1:16">
      <c r="E334" s="699" t="s">
        <v>150</v>
      </c>
      <c r="F334" s="699"/>
      <c r="G334" s="699"/>
      <c r="I334" s="26" t="s">
        <v>1229</v>
      </c>
      <c r="J334" s="26"/>
      <c r="K334" s="26"/>
      <c r="L334" s="26"/>
      <c r="M334" s="26"/>
      <c r="N334" s="26"/>
      <c r="O334" s="26"/>
    </row>
    <row r="336" spans="1:16" ht="18">
      <c r="A336" s="26"/>
      <c r="B336" s="26"/>
      <c r="C336" s="26"/>
      <c r="D336" s="26"/>
      <c r="E336" s="759"/>
      <c r="F336" s="759"/>
      <c r="G336" s="759"/>
    </row>
    <row r="337" spans="1:16" ht="17.25">
      <c r="A337" s="26"/>
      <c r="B337" s="26"/>
      <c r="C337" s="26"/>
      <c r="D337" s="26"/>
      <c r="E337" s="645"/>
      <c r="F337" s="645"/>
      <c r="G337" s="645"/>
      <c r="H337" s="645"/>
      <c r="L337" s="610" t="s">
        <v>24</v>
      </c>
      <c r="M337" s="610"/>
      <c r="N337" s="610"/>
      <c r="O337" s="610"/>
    </row>
    <row r="338" spans="1:16" ht="17.25">
      <c r="A338" s="26"/>
      <c r="B338" s="26"/>
      <c r="C338" s="26"/>
      <c r="D338" s="26"/>
      <c r="E338" s="417"/>
      <c r="F338" s="418"/>
      <c r="G338" s="418"/>
      <c r="L338" s="610" t="s">
        <v>149</v>
      </c>
      <c r="M338" s="610"/>
      <c r="N338" s="610"/>
      <c r="O338" s="610"/>
    </row>
    <row r="339" spans="1:16" ht="18">
      <c r="A339" s="26"/>
      <c r="B339" s="26"/>
      <c r="C339" s="26"/>
      <c r="D339" s="26"/>
      <c r="E339" s="365"/>
      <c r="F339" s="366"/>
      <c r="G339" s="366"/>
      <c r="L339" s="608" t="s">
        <v>150</v>
      </c>
      <c r="M339" s="608"/>
      <c r="N339" s="608"/>
      <c r="O339" s="608"/>
    </row>
    <row r="340" spans="1:16">
      <c r="A340" s="617" t="s">
        <v>2628</v>
      </c>
      <c r="B340" s="617"/>
      <c r="C340" s="617"/>
      <c r="D340" s="617"/>
      <c r="E340" s="617"/>
      <c r="F340" s="617"/>
      <c r="G340" s="617"/>
      <c r="H340" s="617"/>
    </row>
    <row r="341" spans="1:16">
      <c r="B341" s="617"/>
      <c r="C341" s="617"/>
      <c r="D341" s="617"/>
      <c r="E341" s="617"/>
      <c r="F341" s="617"/>
      <c r="G341" s="617"/>
      <c r="L341" s="26"/>
      <c r="M341" s="26"/>
      <c r="N341" s="26"/>
    </row>
    <row r="342" spans="1:16" ht="18">
      <c r="I342" s="26"/>
      <c r="J342" s="26"/>
      <c r="K342" s="26"/>
      <c r="L342" s="645" t="s">
        <v>2347</v>
      </c>
      <c r="M342" s="645"/>
      <c r="N342" s="645"/>
      <c r="O342" s="645"/>
      <c r="P342" s="145"/>
    </row>
    <row r="343" spans="1:16" ht="18" customHeight="1">
      <c r="C343" s="642" t="s">
        <v>1</v>
      </c>
      <c r="D343" s="642"/>
      <c r="E343" s="642"/>
      <c r="F343" s="642"/>
      <c r="I343" s="26"/>
      <c r="J343" s="26"/>
      <c r="K343" s="26"/>
      <c r="L343" s="26"/>
      <c r="M343" s="416"/>
      <c r="N343" s="416"/>
      <c r="O343" s="416"/>
      <c r="P343" s="145"/>
    </row>
    <row r="344" spans="1:16" ht="18" customHeight="1">
      <c r="I344" s="26"/>
      <c r="J344" s="26"/>
      <c r="K344" s="26"/>
      <c r="L344" s="26"/>
      <c r="M344" s="416"/>
      <c r="N344" s="416"/>
      <c r="O344" s="416"/>
      <c r="P344" s="145"/>
    </row>
    <row r="345" spans="1:16" ht="18">
      <c r="A345" s="30"/>
      <c r="B345" s="375" t="s">
        <v>754</v>
      </c>
      <c r="I345" s="26"/>
      <c r="J345" s="26"/>
      <c r="K345" s="26"/>
      <c r="L345" s="26"/>
      <c r="M345" s="416"/>
      <c r="N345" s="416"/>
      <c r="O345" s="416"/>
      <c r="P345" s="145"/>
    </row>
    <row r="346" spans="1:16" ht="17.25" thickBot="1">
      <c r="A346" s="30"/>
      <c r="F346" s="141"/>
      <c r="G346" s="141"/>
      <c r="I346" s="617" t="s">
        <v>2625</v>
      </c>
      <c r="J346" s="617"/>
      <c r="K346" s="617"/>
      <c r="L346" s="617"/>
      <c r="M346" s="617"/>
      <c r="N346" s="617"/>
      <c r="O346" s="617"/>
      <c r="P346" s="617"/>
    </row>
    <row r="347" spans="1:16">
      <c r="B347" s="30"/>
      <c r="F347" s="143"/>
      <c r="H347" s="144"/>
    </row>
    <row r="348" spans="1:16">
      <c r="F348" s="647" t="s">
        <v>1691</v>
      </c>
      <c r="G348" s="610"/>
      <c r="H348" s="648"/>
    </row>
    <row r="349" spans="1:16" ht="49.5" customHeight="1">
      <c r="B349" s="12" t="s">
        <v>114</v>
      </c>
      <c r="E349" s="30" t="s">
        <v>2</v>
      </c>
      <c r="G349" s="403" t="s">
        <v>1574</v>
      </c>
      <c r="I349" s="660" t="s">
        <v>1</v>
      </c>
      <c r="J349" s="660"/>
      <c r="K349" s="660"/>
      <c r="L349" s="660"/>
      <c r="M349" s="660"/>
      <c r="N349" s="660"/>
      <c r="O349" s="660"/>
      <c r="P349" s="660"/>
    </row>
    <row r="350" spans="1:16">
      <c r="F350" s="670" t="s">
        <v>1575</v>
      </c>
      <c r="G350" s="604"/>
      <c r="H350" s="671"/>
    </row>
    <row r="351" spans="1:16" ht="14.25" customHeight="1" thickBot="1">
      <c r="F351" s="140"/>
      <c r="G351" s="443" t="s">
        <v>163</v>
      </c>
      <c r="H351" s="142"/>
    </row>
    <row r="352" spans="1:16" ht="15.75" customHeight="1">
      <c r="I352" s="375"/>
      <c r="J352" s="375" t="s">
        <v>712</v>
      </c>
    </row>
    <row r="353" spans="1:16" ht="17.25" thickBot="1">
      <c r="A353" s="30" t="s">
        <v>27</v>
      </c>
      <c r="B353" s="12" t="s">
        <v>145</v>
      </c>
      <c r="I353" s="30"/>
      <c r="O353" s="141"/>
    </row>
    <row r="354" spans="1:16" ht="17.25" thickBot="1">
      <c r="J354" s="30"/>
      <c r="N354" s="143"/>
      <c r="P354" s="144"/>
    </row>
    <row r="355" spans="1:16" ht="17.25" customHeight="1" thickBot="1">
      <c r="A355" s="13" t="s">
        <v>112</v>
      </c>
      <c r="B355" s="696" t="s">
        <v>4</v>
      </c>
      <c r="C355" s="697"/>
      <c r="D355" s="697"/>
      <c r="E355" s="697"/>
      <c r="F355" s="698"/>
      <c r="G355" s="190" t="s">
        <v>5</v>
      </c>
      <c r="H355" s="82"/>
      <c r="N355" s="647" t="s">
        <v>2640</v>
      </c>
      <c r="O355" s="610"/>
      <c r="P355" s="648"/>
    </row>
    <row r="356" spans="1:16">
      <c r="A356" s="700" t="s">
        <v>1867</v>
      </c>
      <c r="B356" s="742"/>
      <c r="C356" s="743"/>
      <c r="D356" s="743"/>
      <c r="E356" s="743"/>
      <c r="F356" s="744"/>
      <c r="G356" s="290"/>
      <c r="I356" s="12" t="s">
        <v>114</v>
      </c>
      <c r="L356" s="249" t="s">
        <v>2</v>
      </c>
      <c r="N356" s="622" t="s">
        <v>2641</v>
      </c>
      <c r="O356" s="622"/>
      <c r="P356" s="623"/>
    </row>
    <row r="357" spans="1:16">
      <c r="A357" s="701"/>
      <c r="B357" s="64"/>
      <c r="F357" s="65"/>
      <c r="G357" s="291"/>
      <c r="N357" s="601" t="s">
        <v>904</v>
      </c>
      <c r="O357" s="602"/>
      <c r="P357" s="603"/>
    </row>
    <row r="358" spans="1:16" ht="17.25" thickBot="1">
      <c r="A358" s="701"/>
      <c r="B358" s="185"/>
      <c r="C358" s="30"/>
      <c r="D358" s="595"/>
      <c r="E358" s="394"/>
      <c r="F358" s="128"/>
      <c r="N358" s="140"/>
      <c r="O358" s="141"/>
      <c r="P358" s="142"/>
    </row>
    <row r="359" spans="1:16">
      <c r="A359" s="701"/>
      <c r="B359" s="670"/>
      <c r="C359" s="756"/>
      <c r="D359" s="756"/>
      <c r="E359" s="756"/>
      <c r="F359" s="671"/>
      <c r="G359" s="292">
        <v>12949788</v>
      </c>
    </row>
    <row r="360" spans="1:16" ht="15.75" customHeight="1">
      <c r="A360" s="701"/>
      <c r="B360" s="702" t="s">
        <v>2401</v>
      </c>
      <c r="C360" s="703"/>
      <c r="D360" s="703"/>
      <c r="E360" s="703"/>
      <c r="F360" s="704"/>
      <c r="G360" s="292"/>
      <c r="I360" s="249" t="s">
        <v>27</v>
      </c>
      <c r="J360" s="394" t="s">
        <v>214</v>
      </c>
    </row>
    <row r="361" spans="1:16" ht="15" customHeight="1" thickBot="1">
      <c r="A361" s="701"/>
      <c r="B361" s="185"/>
      <c r="E361" s="187"/>
      <c r="F361" s="128"/>
      <c r="G361" s="293"/>
    </row>
    <row r="362" spans="1:16" ht="17.25" customHeight="1" thickBot="1">
      <c r="A362" s="701"/>
      <c r="B362" s="499"/>
      <c r="C362" s="24"/>
      <c r="D362" s="24"/>
      <c r="E362" s="141"/>
      <c r="F362" s="502"/>
      <c r="G362" s="291"/>
      <c r="I362" s="13" t="s">
        <v>112</v>
      </c>
      <c r="J362" s="696" t="s">
        <v>4</v>
      </c>
      <c r="K362" s="697"/>
      <c r="L362" s="697"/>
      <c r="M362" s="697"/>
      <c r="N362" s="697"/>
      <c r="O362" s="698"/>
      <c r="P362" s="20" t="s">
        <v>5</v>
      </c>
    </row>
    <row r="363" spans="1:16" ht="16.5" customHeight="1" thickBot="1">
      <c r="A363" s="514"/>
      <c r="B363" s="499"/>
      <c r="C363" s="24"/>
      <c r="D363" s="24"/>
      <c r="E363" s="141"/>
      <c r="F363" s="502"/>
      <c r="G363" s="291"/>
      <c r="I363" s="627" t="s">
        <v>2642</v>
      </c>
      <c r="J363" s="143"/>
      <c r="K363" s="159"/>
      <c r="L363" s="159"/>
      <c r="M363" s="159"/>
      <c r="N363" s="159"/>
      <c r="O363" s="144"/>
      <c r="P363" s="291"/>
    </row>
    <row r="364" spans="1:16" ht="17.25" thickBot="1">
      <c r="A364" s="514"/>
      <c r="B364" s="499"/>
      <c r="C364" s="24"/>
      <c r="D364" s="24"/>
      <c r="E364" s="141"/>
      <c r="F364" s="502"/>
      <c r="G364" s="291"/>
      <c r="I364" s="628"/>
      <c r="J364" s="630" t="s">
        <v>286</v>
      </c>
      <c r="K364" s="631"/>
      <c r="L364" s="631"/>
      <c r="M364" s="631"/>
      <c r="N364" s="631"/>
      <c r="O364" s="632"/>
      <c r="P364" s="291"/>
    </row>
    <row r="365" spans="1:16" ht="17.25" thickBot="1">
      <c r="A365" s="20" t="s">
        <v>12</v>
      </c>
      <c r="B365" s="611" t="s">
        <v>13</v>
      </c>
      <c r="C365" s="612"/>
      <c r="D365" s="21"/>
      <c r="E365" s="21" t="s">
        <v>15</v>
      </c>
      <c r="F365" s="364" t="s">
        <v>16</v>
      </c>
      <c r="G365" s="444">
        <f>+G359+G360</f>
        <v>12949788</v>
      </c>
      <c r="I365" s="628"/>
      <c r="J365" s="636" t="s">
        <v>2643</v>
      </c>
      <c r="K365" s="637"/>
      <c r="L365" s="637"/>
      <c r="M365" s="637"/>
      <c r="N365" s="637"/>
      <c r="O365" s="638"/>
      <c r="P365" s="148">
        <v>420000</v>
      </c>
    </row>
    <row r="366" spans="1:16" ht="18" thickBot="1">
      <c r="A366" s="22" t="s">
        <v>18</v>
      </c>
      <c r="B366" s="606">
        <f>+G365</f>
        <v>12949788</v>
      </c>
      <c r="C366" s="652"/>
      <c r="D366" s="588"/>
      <c r="E366" s="25">
        <f>0</f>
        <v>0</v>
      </c>
      <c r="F366" s="36">
        <f>+B366</f>
        <v>12949788</v>
      </c>
      <c r="G366" s="130"/>
      <c r="I366" s="628"/>
      <c r="J366" s="64"/>
      <c r="K366" s="604"/>
      <c r="L366" s="604"/>
      <c r="M366" s="604"/>
      <c r="O366" s="65"/>
      <c r="P366" s="291"/>
    </row>
    <row r="367" spans="1:16" ht="18" thickBot="1">
      <c r="A367" s="22" t="s">
        <v>113</v>
      </c>
      <c r="B367" s="643">
        <f>+B366/660</f>
        <v>19620.890909090907</v>
      </c>
      <c r="C367" s="745"/>
      <c r="D367" s="593"/>
      <c r="E367" s="25">
        <f>0</f>
        <v>0</v>
      </c>
      <c r="F367" s="131">
        <f>+B367</f>
        <v>19620.890909090907</v>
      </c>
      <c r="G367" s="129"/>
      <c r="I367" s="629"/>
      <c r="J367" s="140"/>
      <c r="K367" s="141"/>
      <c r="L367" s="141"/>
      <c r="M367" s="141"/>
      <c r="N367" s="141"/>
      <c r="O367" s="142"/>
      <c r="P367" s="291"/>
    </row>
    <row r="368" spans="1:16" ht="17.25" thickBot="1">
      <c r="I368" s="20" t="s">
        <v>12</v>
      </c>
      <c r="J368" s="614" t="s">
        <v>13</v>
      </c>
      <c r="K368" s="615"/>
      <c r="L368" s="62" t="s">
        <v>14</v>
      </c>
      <c r="M368" s="63"/>
      <c r="N368" s="62" t="s">
        <v>15</v>
      </c>
      <c r="O368" s="62" t="s">
        <v>16</v>
      </c>
      <c r="P368" s="20" t="s">
        <v>17</v>
      </c>
    </row>
    <row r="369" spans="1:16" ht="18" thickBot="1">
      <c r="A369" s="26" t="s">
        <v>1576</v>
      </c>
      <c r="B369" s="26"/>
      <c r="C369" s="26"/>
      <c r="D369" s="26"/>
      <c r="E369" s="26"/>
      <c r="F369" s="26"/>
      <c r="I369" s="22" t="s">
        <v>18</v>
      </c>
      <c r="J369" s="606">
        <f>+P365</f>
        <v>420000</v>
      </c>
      <c r="K369" s="607"/>
      <c r="L369" s="23">
        <f>0</f>
        <v>0</v>
      </c>
      <c r="M369" s="24"/>
      <c r="N369" s="25">
        <f>0</f>
        <v>0</v>
      </c>
      <c r="O369" s="36">
        <f>+J369</f>
        <v>420000</v>
      </c>
      <c r="P369" s="38">
        <f>+P365</f>
        <v>420000</v>
      </c>
    </row>
    <row r="370" spans="1:16" ht="18" thickBot="1">
      <c r="A370" s="445" t="s">
        <v>2402</v>
      </c>
      <c r="B370" s="26"/>
      <c r="C370" s="26"/>
      <c r="D370" s="26"/>
      <c r="E370" s="26"/>
      <c r="F370" s="26"/>
      <c r="I370" s="22" t="s">
        <v>113</v>
      </c>
      <c r="J370" s="606">
        <f>+J369/650.599</f>
        <v>645.55893876258642</v>
      </c>
      <c r="K370" s="607"/>
      <c r="L370" s="23">
        <f>0</f>
        <v>0</v>
      </c>
      <c r="M370" s="24"/>
      <c r="N370" s="25">
        <f>0</f>
        <v>0</v>
      </c>
      <c r="O370" s="36">
        <f>+J370</f>
        <v>645.55893876258642</v>
      </c>
      <c r="P370" s="38">
        <f>+O370</f>
        <v>645.55893876258642</v>
      </c>
    </row>
    <row r="371" spans="1:16">
      <c r="A371" s="26" t="s">
        <v>19</v>
      </c>
      <c r="B371" s="26"/>
      <c r="C371" s="26"/>
      <c r="D371" s="26"/>
      <c r="E371" s="26"/>
      <c r="F371" s="26"/>
    </row>
    <row r="372" spans="1:16">
      <c r="A372" s="26" t="s">
        <v>965</v>
      </c>
      <c r="B372" s="26"/>
      <c r="C372" s="26"/>
      <c r="D372" s="26"/>
      <c r="E372" s="26"/>
      <c r="F372" s="26"/>
      <c r="G372" s="26"/>
      <c r="I372" s="395" t="s">
        <v>1268</v>
      </c>
      <c r="J372" s="26"/>
      <c r="K372" s="26"/>
      <c r="L372" s="26"/>
      <c r="M372" s="26"/>
      <c r="N372" s="26"/>
      <c r="O372" s="26"/>
    </row>
    <row r="373" spans="1:16">
      <c r="A373" s="26" t="s">
        <v>21</v>
      </c>
      <c r="B373" s="26"/>
      <c r="C373" s="26"/>
      <c r="D373" s="26"/>
      <c r="E373" s="26"/>
      <c r="F373" s="26"/>
      <c r="I373" s="394" t="s">
        <v>2644</v>
      </c>
    </row>
    <row r="374" spans="1:16">
      <c r="A374" s="26" t="s">
        <v>1229</v>
      </c>
      <c r="B374" s="26"/>
      <c r="C374" s="26"/>
      <c r="D374" s="26"/>
      <c r="E374" s="26"/>
      <c r="F374" s="26"/>
      <c r="I374" s="82" t="s">
        <v>19</v>
      </c>
      <c r="J374" s="26"/>
      <c r="K374" s="26"/>
      <c r="L374" s="26"/>
      <c r="M374" s="26"/>
      <c r="N374" s="26"/>
      <c r="O374" s="26"/>
    </row>
    <row r="375" spans="1:16">
      <c r="I375" s="26" t="s">
        <v>965</v>
      </c>
      <c r="J375" s="26"/>
      <c r="K375" s="26"/>
      <c r="L375" s="26"/>
      <c r="M375" s="26"/>
      <c r="N375" s="26"/>
      <c r="O375" s="26"/>
    </row>
    <row r="376" spans="1:16">
      <c r="E376" s="30" t="s">
        <v>252</v>
      </c>
      <c r="I376" s="26"/>
      <c r="J376" s="26"/>
      <c r="K376" s="26"/>
      <c r="L376" s="26"/>
      <c r="M376" s="26"/>
      <c r="N376" s="26"/>
      <c r="O376" s="26"/>
    </row>
    <row r="377" spans="1:16">
      <c r="E377" s="30" t="s">
        <v>151</v>
      </c>
      <c r="I377" s="26" t="s">
        <v>21</v>
      </c>
      <c r="J377" s="26"/>
      <c r="K377" s="26"/>
      <c r="L377" s="26"/>
      <c r="M377" s="26"/>
      <c r="N377" s="26"/>
      <c r="O377" s="26"/>
    </row>
    <row r="378" spans="1:16">
      <c r="F378" s="501" t="s">
        <v>152</v>
      </c>
      <c r="I378" s="26" t="s">
        <v>1229</v>
      </c>
      <c r="J378" s="26"/>
      <c r="K378" s="26"/>
      <c r="L378" s="26"/>
      <c r="M378" s="26"/>
      <c r="N378" s="26"/>
      <c r="O378" s="26"/>
    </row>
    <row r="379" spans="1:16">
      <c r="F379" s="30"/>
    </row>
    <row r="381" spans="1:16" ht="17.25">
      <c r="E381" s="645"/>
      <c r="F381" s="645"/>
      <c r="G381" s="645"/>
      <c r="H381" s="645"/>
      <c r="L381" s="604" t="s">
        <v>24</v>
      </c>
      <c r="M381" s="604"/>
      <c r="N381" s="604"/>
      <c r="O381" s="604"/>
    </row>
    <row r="382" spans="1:16" ht="17.25">
      <c r="E382" s="417"/>
      <c r="F382" s="417"/>
      <c r="G382" s="417"/>
      <c r="H382" s="417"/>
      <c r="L382" s="604" t="s">
        <v>149</v>
      </c>
      <c r="M382" s="604"/>
      <c r="N382" s="604"/>
      <c r="O382" s="604"/>
    </row>
    <row r="383" spans="1:16">
      <c r="A383" s="617" t="s">
        <v>2628</v>
      </c>
      <c r="B383" s="617"/>
      <c r="C383" s="617"/>
      <c r="D383" s="617"/>
      <c r="E383" s="617"/>
      <c r="F383" s="617"/>
      <c r="G383" s="617"/>
      <c r="H383" s="617"/>
      <c r="L383" s="605" t="s">
        <v>150</v>
      </c>
      <c r="M383" s="605"/>
      <c r="N383" s="605"/>
      <c r="O383" s="605"/>
    </row>
    <row r="386" spans="1:16" ht="49.5" customHeight="1">
      <c r="A386" s="642" t="s">
        <v>1</v>
      </c>
      <c r="B386" s="642"/>
      <c r="C386" s="642"/>
      <c r="D386" s="642"/>
      <c r="E386" s="642"/>
      <c r="F386" s="642"/>
      <c r="G386" s="642"/>
      <c r="H386" s="642"/>
      <c r="L386" s="645" t="s">
        <v>2347</v>
      </c>
      <c r="M386" s="645"/>
      <c r="N386" s="645"/>
      <c r="O386" s="645"/>
    </row>
    <row r="387" spans="1:16" ht="18" customHeight="1">
      <c r="I387" s="26"/>
      <c r="J387" s="26"/>
      <c r="K387" s="26"/>
      <c r="L387" s="645"/>
      <c r="M387" s="645"/>
      <c r="N387" s="645"/>
      <c r="O387" s="645"/>
      <c r="P387" s="145"/>
    </row>
    <row r="388" spans="1:16" ht="18" customHeight="1">
      <c r="I388" s="26"/>
      <c r="J388" s="26"/>
      <c r="K388" s="26"/>
      <c r="L388" s="417"/>
      <c r="M388" s="417"/>
      <c r="N388" s="417"/>
      <c r="O388" s="417"/>
      <c r="P388" s="145"/>
    </row>
    <row r="389" spans="1:16" ht="17.25">
      <c r="A389" s="30"/>
      <c r="B389" s="375" t="s">
        <v>2632</v>
      </c>
      <c r="J389" s="617" t="s">
        <v>2821</v>
      </c>
      <c r="K389" s="617"/>
      <c r="L389" s="617"/>
      <c r="M389" s="617"/>
      <c r="N389" s="617"/>
      <c r="O389" s="617"/>
      <c r="P389" s="617"/>
    </row>
    <row r="390" spans="1:16" ht="17.25" thickBot="1">
      <c r="A390" s="30"/>
    </row>
    <row r="391" spans="1:16" ht="18.75" customHeight="1">
      <c r="B391" s="30"/>
      <c r="F391" s="143"/>
      <c r="H391" s="144"/>
    </row>
    <row r="392" spans="1:16" ht="45" customHeight="1">
      <c r="E392" s="191"/>
      <c r="F392" s="667"/>
      <c r="G392" s="668"/>
      <c r="H392" s="669"/>
      <c r="I392" s="642" t="s">
        <v>1</v>
      </c>
      <c r="J392" s="642"/>
      <c r="K392" s="642"/>
      <c r="L392" s="642"/>
      <c r="M392" s="642"/>
      <c r="N392" s="642"/>
      <c r="O392" s="642"/>
      <c r="P392" s="642"/>
    </row>
    <row r="393" spans="1:16">
      <c r="F393" s="683" t="s">
        <v>2630</v>
      </c>
      <c r="G393" s="683"/>
      <c r="H393" s="684"/>
    </row>
    <row r="394" spans="1:16">
      <c r="B394" s="12" t="s">
        <v>114</v>
      </c>
      <c r="E394" s="192"/>
      <c r="F394" s="601" t="s">
        <v>163</v>
      </c>
      <c r="G394" s="602"/>
      <c r="H394" s="603"/>
    </row>
    <row r="395" spans="1:16" ht="18" thickBot="1">
      <c r="F395" s="140"/>
      <c r="G395" s="141"/>
      <c r="H395" s="142"/>
      <c r="I395" s="375"/>
      <c r="J395" s="503" t="s">
        <v>1895</v>
      </c>
    </row>
    <row r="396" spans="1:16" ht="17.25" thickBot="1">
      <c r="I396" s="30"/>
      <c r="O396" s="141"/>
    </row>
    <row r="397" spans="1:16">
      <c r="A397" s="30"/>
      <c r="B397" s="30" t="s">
        <v>27</v>
      </c>
      <c r="C397" s="12" t="s">
        <v>214</v>
      </c>
      <c r="J397" s="30"/>
      <c r="N397" s="143"/>
      <c r="P397" s="144"/>
    </row>
    <row r="398" spans="1:16" ht="17.25" thickBot="1">
      <c r="N398" s="647" t="s">
        <v>2453</v>
      </c>
      <c r="O398" s="610"/>
      <c r="P398" s="648"/>
    </row>
    <row r="399" spans="1:16" ht="17.25" customHeight="1" thickBot="1">
      <c r="A399" s="13" t="s">
        <v>112</v>
      </c>
      <c r="B399" s="696" t="s">
        <v>4</v>
      </c>
      <c r="C399" s="697"/>
      <c r="D399" s="697"/>
      <c r="E399" s="697"/>
      <c r="F399" s="698"/>
      <c r="G399" s="364" t="s">
        <v>5</v>
      </c>
      <c r="I399" s="12" t="s">
        <v>114</v>
      </c>
      <c r="L399" s="30"/>
      <c r="M399" s="30" t="s">
        <v>2</v>
      </c>
      <c r="N399" s="622" t="s">
        <v>2458</v>
      </c>
      <c r="O399" s="622"/>
      <c r="P399" s="623"/>
    </row>
    <row r="400" spans="1:16">
      <c r="A400" s="633">
        <v>2015</v>
      </c>
      <c r="B400" s="747" t="s">
        <v>1531</v>
      </c>
      <c r="C400" s="748"/>
      <c r="D400" s="748"/>
      <c r="E400" s="748"/>
      <c r="F400" s="749"/>
      <c r="G400" s="433"/>
      <c r="N400" s="601" t="s">
        <v>163</v>
      </c>
      <c r="O400" s="602"/>
      <c r="P400" s="603"/>
    </row>
    <row r="401" spans="1:16" ht="18" thickBot="1">
      <c r="A401" s="634"/>
      <c r="B401" s="185" t="s">
        <v>1532</v>
      </c>
      <c r="C401" s="186"/>
      <c r="D401" s="186"/>
      <c r="E401" s="30"/>
      <c r="F401" s="30"/>
      <c r="G401" s="434">
        <v>2946700</v>
      </c>
      <c r="I401" s="249"/>
      <c r="J401" s="375"/>
      <c r="N401" s="140"/>
      <c r="O401" s="141"/>
      <c r="P401" s="142"/>
    </row>
    <row r="402" spans="1:16">
      <c r="A402" s="634"/>
      <c r="G402" s="435"/>
    </row>
    <row r="403" spans="1:16">
      <c r="A403" s="634"/>
      <c r="B403" s="185" t="s">
        <v>1533</v>
      </c>
      <c r="C403" s="30"/>
      <c r="D403" s="595"/>
      <c r="E403" s="30"/>
      <c r="F403" s="30"/>
      <c r="G403" s="434">
        <v>1749500</v>
      </c>
      <c r="I403" s="30" t="s">
        <v>27</v>
      </c>
      <c r="J403" s="394" t="s">
        <v>148</v>
      </c>
    </row>
    <row r="404" spans="1:16" ht="17.25" thickBot="1">
      <c r="A404" s="634"/>
      <c r="G404" s="435"/>
    </row>
    <row r="405" spans="1:16" ht="18" customHeight="1" thickBot="1">
      <c r="A405" s="634"/>
      <c r="B405" s="185" t="s">
        <v>1534</v>
      </c>
      <c r="C405" s="30"/>
      <c r="D405" s="595"/>
      <c r="E405" s="30"/>
      <c r="F405" s="30"/>
      <c r="G405" s="434">
        <v>2702200</v>
      </c>
      <c r="I405" s="13" t="s">
        <v>112</v>
      </c>
      <c r="J405" s="624" t="s">
        <v>4</v>
      </c>
      <c r="K405" s="625"/>
      <c r="L405" s="625"/>
      <c r="M405" s="625"/>
      <c r="N405" s="625"/>
      <c r="O405" s="626"/>
      <c r="P405" s="20" t="s">
        <v>5</v>
      </c>
    </row>
    <row r="406" spans="1:16" ht="16.5" customHeight="1">
      <c r="A406" s="634"/>
      <c r="G406" s="435"/>
      <c r="I406" s="627" t="s">
        <v>2806</v>
      </c>
      <c r="J406" s="143"/>
      <c r="K406" s="159"/>
      <c r="L406" s="159"/>
      <c r="M406" s="159"/>
      <c r="N406" s="159"/>
      <c r="O406" s="144"/>
      <c r="P406" s="291"/>
    </row>
    <row r="407" spans="1:16">
      <c r="A407" s="634"/>
      <c r="B407" s="185" t="s">
        <v>1535</v>
      </c>
      <c r="C407" s="186"/>
      <c r="D407" s="186"/>
      <c r="E407" s="30"/>
      <c r="F407" s="30"/>
      <c r="G407" s="434">
        <v>715600</v>
      </c>
      <c r="I407" s="628"/>
      <c r="J407" s="64"/>
      <c r="O407" s="65"/>
      <c r="P407" s="291"/>
    </row>
    <row r="408" spans="1:16">
      <c r="A408" s="634"/>
      <c r="C408" s="187"/>
      <c r="D408" s="187"/>
      <c r="E408" s="187"/>
      <c r="F408" s="187"/>
      <c r="G408" s="436"/>
      <c r="I408" s="628"/>
      <c r="J408" s="630" t="s">
        <v>286</v>
      </c>
      <c r="K408" s="631"/>
      <c r="L408" s="631"/>
      <c r="M408" s="631"/>
      <c r="N408" s="631"/>
      <c r="O408" s="632"/>
      <c r="P408" s="291"/>
    </row>
    <row r="409" spans="1:16" ht="17.25" thickBot="1">
      <c r="A409" s="634"/>
      <c r="B409" s="185" t="s">
        <v>1536</v>
      </c>
      <c r="G409" s="437">
        <v>4427900</v>
      </c>
      <c r="I409" s="628"/>
      <c r="J409" s="636" t="s">
        <v>2822</v>
      </c>
      <c r="K409" s="637"/>
      <c r="L409" s="637"/>
      <c r="M409" s="637"/>
      <c r="N409" s="637"/>
      <c r="O409" s="638"/>
      <c r="P409" s="148">
        <v>6000000</v>
      </c>
    </row>
    <row r="410" spans="1:16" ht="17.25" thickBot="1">
      <c r="A410" s="20" t="s">
        <v>12</v>
      </c>
      <c r="B410" s="611" t="s">
        <v>13</v>
      </c>
      <c r="C410" s="612"/>
      <c r="D410" s="21"/>
      <c r="E410" s="21" t="s">
        <v>15</v>
      </c>
      <c r="F410" s="364" t="s">
        <v>16</v>
      </c>
      <c r="G410" s="20" t="s">
        <v>17</v>
      </c>
      <c r="I410" s="628"/>
      <c r="J410" s="64"/>
      <c r="K410" s="604"/>
      <c r="L410" s="604"/>
      <c r="M410" s="604"/>
      <c r="O410" s="65"/>
      <c r="P410" s="291"/>
    </row>
    <row r="411" spans="1:16" ht="18" thickBot="1">
      <c r="A411" s="22" t="s">
        <v>18</v>
      </c>
      <c r="B411" s="606">
        <f>+G403+G405+G408</f>
        <v>4451700</v>
      </c>
      <c r="C411" s="652"/>
      <c r="D411" s="588"/>
      <c r="E411" s="25">
        <f>0</f>
        <v>0</v>
      </c>
      <c r="F411" s="36">
        <f>+B411</f>
        <v>4451700</v>
      </c>
      <c r="G411" s="130">
        <f>+G403+G405+G407+G401+G409</f>
        <v>12541900</v>
      </c>
      <c r="I411" s="629"/>
      <c r="J411" s="140"/>
      <c r="K411" s="141"/>
      <c r="L411" s="141"/>
      <c r="M411" s="141"/>
      <c r="N411" s="141"/>
      <c r="O411" s="142"/>
      <c r="P411" s="291"/>
    </row>
    <row r="412" spans="1:16" ht="18" thickBot="1">
      <c r="A412" s="22" t="s">
        <v>113</v>
      </c>
      <c r="B412" s="643">
        <v>3243</v>
      </c>
      <c r="C412" s="745"/>
      <c r="D412" s="593"/>
      <c r="E412" s="25">
        <f>0</f>
        <v>0</v>
      </c>
      <c r="F412" s="131">
        <v>3243</v>
      </c>
      <c r="G412" s="129"/>
      <c r="I412" s="20" t="s">
        <v>12</v>
      </c>
      <c r="J412" s="614" t="s">
        <v>13</v>
      </c>
      <c r="K412" s="615"/>
      <c r="L412" s="62" t="s">
        <v>14</v>
      </c>
      <c r="M412" s="63"/>
      <c r="N412" s="62" t="s">
        <v>15</v>
      </c>
      <c r="O412" s="62" t="s">
        <v>16</v>
      </c>
      <c r="P412" s="20" t="s">
        <v>17</v>
      </c>
    </row>
    <row r="413" spans="1:16" ht="18" thickBot="1">
      <c r="I413" s="22" t="s">
        <v>18</v>
      </c>
      <c r="J413" s="606">
        <f>+P409</f>
        <v>6000000</v>
      </c>
      <c r="K413" s="607"/>
      <c r="L413" s="23">
        <f>0</f>
        <v>0</v>
      </c>
      <c r="M413" s="24"/>
      <c r="N413" s="25">
        <f>0</f>
        <v>0</v>
      </c>
      <c r="O413" s="36">
        <f>+J413</f>
        <v>6000000</v>
      </c>
      <c r="P413" s="38">
        <f>+P409</f>
        <v>6000000</v>
      </c>
    </row>
    <row r="414" spans="1:16" ht="18" thickBot="1">
      <c r="A414" s="26" t="s">
        <v>253</v>
      </c>
      <c r="B414" s="26"/>
      <c r="C414" s="26"/>
      <c r="D414" s="26"/>
      <c r="E414" s="26"/>
      <c r="F414" s="26"/>
      <c r="I414" s="22" t="s">
        <v>113</v>
      </c>
      <c r="J414" s="606">
        <f>+J413/650.599</f>
        <v>9222.2705537512356</v>
      </c>
      <c r="K414" s="607"/>
      <c r="L414" s="23">
        <f>0</f>
        <v>0</v>
      </c>
      <c r="M414" s="24"/>
      <c r="N414" s="25">
        <f>0</f>
        <v>0</v>
      </c>
      <c r="O414" s="36">
        <f>+J414</f>
        <v>9222.2705537512356</v>
      </c>
      <c r="P414" s="38">
        <f>+O414</f>
        <v>9222.2705537512356</v>
      </c>
    </row>
    <row r="415" spans="1:16">
      <c r="A415" s="26" t="s">
        <v>19</v>
      </c>
      <c r="B415" s="26"/>
      <c r="C415" s="26"/>
      <c r="D415" s="26"/>
      <c r="E415" s="26"/>
      <c r="F415" s="26"/>
    </row>
    <row r="416" spans="1:16">
      <c r="A416" s="26" t="s">
        <v>965</v>
      </c>
      <c r="B416" s="26"/>
      <c r="C416" s="26"/>
      <c r="D416" s="26"/>
      <c r="E416" s="26"/>
      <c r="F416" s="26"/>
      <c r="G416" s="26"/>
      <c r="I416" s="395" t="s">
        <v>1268</v>
      </c>
      <c r="J416" s="26"/>
      <c r="K416" s="26"/>
      <c r="L416" s="26"/>
      <c r="M416" s="26"/>
      <c r="N416" s="26"/>
      <c r="O416" s="26"/>
    </row>
    <row r="417" spans="1:16">
      <c r="I417" s="394" t="s">
        <v>2455</v>
      </c>
    </row>
    <row r="418" spans="1:16">
      <c r="E418" s="30" t="s">
        <v>252</v>
      </c>
      <c r="I418" s="82" t="s">
        <v>19</v>
      </c>
      <c r="J418" s="26"/>
      <c r="K418" s="26"/>
      <c r="L418" s="26"/>
      <c r="M418" s="26"/>
      <c r="N418" s="26"/>
      <c r="O418" s="26"/>
    </row>
    <row r="419" spans="1:16">
      <c r="E419" s="30" t="s">
        <v>151</v>
      </c>
      <c r="I419" s="26" t="s">
        <v>965</v>
      </c>
      <c r="J419" s="26"/>
      <c r="K419" s="26"/>
      <c r="L419" s="26"/>
      <c r="M419" s="26"/>
      <c r="N419" s="26"/>
      <c r="O419" s="26"/>
    </row>
    <row r="420" spans="1:16">
      <c r="F420" s="30" t="s">
        <v>152</v>
      </c>
      <c r="I420" s="26" t="s">
        <v>21</v>
      </c>
      <c r="J420" s="26"/>
      <c r="K420" s="26"/>
      <c r="L420" s="26"/>
      <c r="M420" s="26"/>
      <c r="N420" s="26"/>
      <c r="O420" s="26"/>
    </row>
    <row r="421" spans="1:16">
      <c r="I421" s="26" t="s">
        <v>1229</v>
      </c>
      <c r="J421" s="26"/>
      <c r="K421" s="26"/>
      <c r="L421" s="26"/>
      <c r="M421" s="26"/>
      <c r="N421" s="26"/>
      <c r="O421" s="26"/>
    </row>
    <row r="422" spans="1:16" ht="17.25">
      <c r="E422" s="645"/>
      <c r="F422" s="645"/>
      <c r="G422" s="645"/>
      <c r="H422" s="645"/>
    </row>
    <row r="423" spans="1:16" ht="17.25">
      <c r="E423" s="645"/>
      <c r="F423" s="645"/>
      <c r="G423" s="645"/>
      <c r="H423" s="645"/>
      <c r="L423" s="604" t="s">
        <v>24</v>
      </c>
      <c r="M423" s="604"/>
      <c r="N423" s="604"/>
      <c r="O423" s="604"/>
    </row>
    <row r="424" spans="1:16">
      <c r="F424" s="189"/>
      <c r="L424" s="604" t="s">
        <v>149</v>
      </c>
      <c r="M424" s="604"/>
      <c r="N424" s="604"/>
      <c r="O424" s="604"/>
    </row>
    <row r="425" spans="1:16">
      <c r="A425" s="617" t="s">
        <v>2628</v>
      </c>
      <c r="B425" s="617"/>
      <c r="C425" s="617"/>
      <c r="D425" s="617"/>
      <c r="E425" s="617"/>
      <c r="F425" s="617"/>
      <c r="G425" s="617"/>
      <c r="H425" s="617"/>
      <c r="L425" s="605" t="s">
        <v>150</v>
      </c>
      <c r="M425" s="605"/>
      <c r="N425" s="605"/>
      <c r="O425" s="605"/>
    </row>
    <row r="427" spans="1:16">
      <c r="I427" s="26"/>
      <c r="J427" s="26"/>
      <c r="K427" s="26"/>
      <c r="L427" s="30"/>
      <c r="P427" s="26"/>
    </row>
    <row r="428" spans="1:16" ht="45.75" customHeight="1">
      <c r="A428" s="695" t="s">
        <v>1</v>
      </c>
      <c r="B428" s="695"/>
      <c r="C428" s="695"/>
      <c r="D428" s="695"/>
      <c r="E428" s="695"/>
      <c r="F428" s="695"/>
      <c r="G428" s="695"/>
      <c r="H428" s="695"/>
      <c r="I428" s="26"/>
      <c r="J428" s="26"/>
      <c r="K428" s="26"/>
      <c r="L428" s="645"/>
      <c r="M428" s="645"/>
      <c r="N428" s="645"/>
      <c r="O428" s="645"/>
      <c r="P428" s="145"/>
    </row>
    <row r="429" spans="1:16" ht="18">
      <c r="I429" s="26"/>
      <c r="J429" s="26"/>
      <c r="K429" s="26"/>
      <c r="L429" s="417"/>
      <c r="M429" s="417"/>
      <c r="N429" s="417"/>
      <c r="O429" s="417"/>
      <c r="P429" s="145"/>
    </row>
    <row r="430" spans="1:16" ht="18">
      <c r="I430" s="26"/>
      <c r="J430" s="26"/>
      <c r="K430" s="26"/>
      <c r="L430" s="361"/>
      <c r="M430" s="361"/>
      <c r="N430" s="361"/>
      <c r="O430" s="361"/>
      <c r="P430" s="145"/>
    </row>
    <row r="431" spans="1:16" ht="17.25">
      <c r="A431" s="375"/>
      <c r="B431" s="375" t="s">
        <v>754</v>
      </c>
      <c r="I431" s="617" t="s">
        <v>2573</v>
      </c>
      <c r="J431" s="617"/>
      <c r="K431" s="617"/>
      <c r="L431" s="617"/>
      <c r="M431" s="617"/>
      <c r="N431" s="617"/>
      <c r="O431" s="617"/>
      <c r="P431" s="617"/>
    </row>
    <row r="432" spans="1:16" ht="17.25" thickBot="1">
      <c r="A432" s="30"/>
      <c r="G432" s="141"/>
    </row>
    <row r="433" spans="1:16">
      <c r="B433" s="30"/>
      <c r="F433" s="143"/>
      <c r="H433" s="144"/>
    </row>
    <row r="434" spans="1:16" ht="48" customHeight="1">
      <c r="F434" s="667" t="s">
        <v>2629</v>
      </c>
      <c r="G434" s="668"/>
      <c r="H434" s="669"/>
      <c r="I434" s="618" t="s">
        <v>1</v>
      </c>
      <c r="J434" s="618"/>
      <c r="K434" s="618"/>
      <c r="L434" s="618"/>
      <c r="M434" s="618"/>
      <c r="N434" s="618"/>
      <c r="O434" s="618"/>
      <c r="P434" s="618"/>
    </row>
    <row r="435" spans="1:16">
      <c r="B435" s="12" t="s">
        <v>114</v>
      </c>
      <c r="E435" s="30" t="s">
        <v>2</v>
      </c>
      <c r="F435" s="683" t="s">
        <v>2631</v>
      </c>
      <c r="G435" s="683"/>
      <c r="H435" s="684"/>
    </row>
    <row r="436" spans="1:16">
      <c r="F436" s="601" t="s">
        <v>163</v>
      </c>
      <c r="G436" s="602"/>
      <c r="H436" s="603"/>
    </row>
    <row r="437" spans="1:16" ht="18" thickBot="1">
      <c r="F437" s="140"/>
      <c r="G437" s="141"/>
      <c r="H437" s="142"/>
      <c r="I437" s="375"/>
      <c r="J437" s="375" t="s">
        <v>1394</v>
      </c>
    </row>
    <row r="438" spans="1:16" ht="17.25" thickBot="1">
      <c r="A438" s="30"/>
      <c r="B438" s="30" t="s">
        <v>27</v>
      </c>
      <c r="C438" s="12" t="s">
        <v>214</v>
      </c>
      <c r="I438" s="30"/>
      <c r="O438" s="141"/>
    </row>
    <row r="439" spans="1:16">
      <c r="A439" s="30"/>
      <c r="B439" s="30" t="s">
        <v>2652</v>
      </c>
      <c r="C439" s="30"/>
      <c r="D439" s="595"/>
      <c r="J439" s="30"/>
      <c r="N439" s="143"/>
      <c r="P439" s="144"/>
    </row>
    <row r="440" spans="1:16" ht="17.25" thickBot="1">
      <c r="N440" s="619" t="s">
        <v>1079</v>
      </c>
      <c r="O440" s="620"/>
      <c r="P440" s="621"/>
    </row>
    <row r="441" spans="1:16" ht="17.25" customHeight="1" thickBot="1">
      <c r="A441" s="13" t="s">
        <v>3</v>
      </c>
      <c r="B441" s="696" t="s">
        <v>4</v>
      </c>
      <c r="C441" s="697"/>
      <c r="D441" s="697"/>
      <c r="E441" s="697"/>
      <c r="F441" s="697"/>
      <c r="G441" s="698"/>
      <c r="H441" s="20" t="s">
        <v>5</v>
      </c>
      <c r="I441" s="12" t="s">
        <v>114</v>
      </c>
      <c r="L441" s="30"/>
      <c r="M441" s="30" t="s">
        <v>2</v>
      </c>
      <c r="N441" s="622" t="s">
        <v>1870</v>
      </c>
      <c r="O441" s="622"/>
      <c r="P441" s="623"/>
    </row>
    <row r="442" spans="1:16" ht="17.25" thickBot="1">
      <c r="A442" s="692" t="s">
        <v>2621</v>
      </c>
      <c r="B442" s="143"/>
      <c r="C442" s="159"/>
      <c r="D442" s="159"/>
      <c r="E442" s="159"/>
      <c r="F442" s="159"/>
      <c r="G442" s="144"/>
      <c r="H442" s="65"/>
      <c r="N442" s="601" t="s">
        <v>163</v>
      </c>
      <c r="O442" s="602"/>
      <c r="P442" s="603"/>
    </row>
    <row r="443" spans="1:16" ht="17.25" thickBot="1">
      <c r="A443" s="693"/>
      <c r="B443" s="598" t="s">
        <v>6</v>
      </c>
      <c r="C443" s="600"/>
      <c r="D443" s="591"/>
      <c r="E443" s="15" t="s">
        <v>7</v>
      </c>
      <c r="F443" s="16"/>
      <c r="G443" s="32"/>
      <c r="H443" s="65"/>
      <c r="N443" s="140"/>
      <c r="O443" s="141"/>
      <c r="P443" s="142"/>
    </row>
    <row r="444" spans="1:16" ht="17.25" thickBot="1">
      <c r="A444" s="693"/>
      <c r="B444" s="17" t="s">
        <v>26</v>
      </c>
      <c r="C444" s="18" t="s">
        <v>8</v>
      </c>
      <c r="D444" s="18"/>
      <c r="E444" s="18" t="s">
        <v>10</v>
      </c>
      <c r="F444" s="19" t="s">
        <v>8</v>
      </c>
      <c r="G444" s="18" t="s">
        <v>11</v>
      </c>
      <c r="H444" s="65"/>
    </row>
    <row r="445" spans="1:16">
      <c r="A445" s="693"/>
      <c r="B445" s="160">
        <v>8</v>
      </c>
      <c r="C445" s="154">
        <v>10000</v>
      </c>
      <c r="D445" s="154"/>
      <c r="E445" s="154"/>
      <c r="F445" s="154"/>
      <c r="G445" s="161">
        <f>+E445*F445</f>
        <v>0</v>
      </c>
      <c r="H445" s="39" t="e">
        <f>+#REF!+G445</f>
        <v>#REF!</v>
      </c>
      <c r="I445" s="249" t="s">
        <v>27</v>
      </c>
      <c r="J445" s="394" t="s">
        <v>148</v>
      </c>
    </row>
    <row r="446" spans="1:16" ht="17.25" thickBot="1">
      <c r="A446" s="693"/>
      <c r="B446" s="64"/>
      <c r="G446" s="65"/>
      <c r="H446" s="65"/>
    </row>
    <row r="447" spans="1:16" ht="17.25" thickBot="1">
      <c r="A447" s="693"/>
      <c r="B447" s="64"/>
      <c r="G447" s="65"/>
      <c r="H447" s="65"/>
      <c r="I447" s="13" t="s">
        <v>112</v>
      </c>
      <c r="J447" s="624" t="s">
        <v>4</v>
      </c>
      <c r="K447" s="625"/>
      <c r="L447" s="625"/>
      <c r="M447" s="625"/>
      <c r="N447" s="625"/>
      <c r="O447" s="626"/>
      <c r="P447" s="20" t="s">
        <v>5</v>
      </c>
    </row>
    <row r="448" spans="1:16" ht="17.25" thickBot="1">
      <c r="A448" s="693"/>
      <c r="B448" s="140"/>
      <c r="C448" s="141"/>
      <c r="D448" s="141"/>
      <c r="E448" s="141"/>
      <c r="F448" s="141"/>
      <c r="G448" s="142"/>
      <c r="H448" s="65"/>
      <c r="I448" s="627" t="s">
        <v>2806</v>
      </c>
      <c r="J448" s="143"/>
      <c r="K448" s="159"/>
      <c r="L448" s="159"/>
      <c r="M448" s="159"/>
      <c r="N448" s="159"/>
      <c r="O448" s="144"/>
      <c r="P448" s="291"/>
    </row>
    <row r="449" spans="1:16" ht="17.25" thickBot="1">
      <c r="A449" s="20" t="s">
        <v>563</v>
      </c>
      <c r="B449" s="611" t="s">
        <v>13</v>
      </c>
      <c r="C449" s="612"/>
      <c r="D449" s="585"/>
      <c r="E449" s="20"/>
      <c r="F449" s="21" t="s">
        <v>15</v>
      </c>
      <c r="G449" s="21" t="s">
        <v>16</v>
      </c>
      <c r="H449" s="20" t="s">
        <v>17</v>
      </c>
      <c r="I449" s="628"/>
      <c r="J449" s="64"/>
      <c r="O449" s="65"/>
      <c r="P449" s="291"/>
    </row>
    <row r="450" spans="1:16" ht="18" thickBot="1">
      <c r="A450" s="22">
        <v>69</v>
      </c>
      <c r="B450" s="606" t="e">
        <f>+#REF!</f>
        <v>#REF!</v>
      </c>
      <c r="C450" s="652"/>
      <c r="D450" s="596"/>
      <c r="E450" s="24"/>
      <c r="F450" s="25">
        <f>0</f>
        <v>0</v>
      </c>
      <c r="G450" s="36" t="e">
        <f>+H445</f>
        <v>#REF!</v>
      </c>
      <c r="H450" s="38" t="e">
        <f>+H445</f>
        <v>#REF!</v>
      </c>
      <c r="I450" s="628"/>
      <c r="J450" s="630" t="s">
        <v>286</v>
      </c>
      <c r="K450" s="631"/>
      <c r="L450" s="631"/>
      <c r="M450" s="631"/>
      <c r="N450" s="631"/>
      <c r="O450" s="632"/>
      <c r="P450" s="291"/>
    </row>
    <row r="451" spans="1:16">
      <c r="I451" s="628"/>
      <c r="J451" s="636" t="s">
        <v>2466</v>
      </c>
      <c r="K451" s="637"/>
      <c r="L451" s="637"/>
      <c r="M451" s="637"/>
      <c r="N451" s="637"/>
      <c r="O451" s="638"/>
      <c r="P451" s="148">
        <v>3900000</v>
      </c>
    </row>
    <row r="452" spans="1:16">
      <c r="A452" s="395" t="s">
        <v>1584</v>
      </c>
      <c r="B452" s="26"/>
      <c r="C452" s="26"/>
      <c r="D452" s="26"/>
      <c r="E452" s="26"/>
      <c r="F452" s="26"/>
      <c r="G452" s="26"/>
      <c r="I452" s="628"/>
      <c r="J452" s="64"/>
      <c r="K452" s="604"/>
      <c r="L452" s="604"/>
      <c r="M452" s="604"/>
      <c r="O452" s="65"/>
      <c r="P452" s="291"/>
    </row>
    <row r="453" spans="1:16" ht="17.25" thickBot="1">
      <c r="A453" s="408" t="s">
        <v>1585</v>
      </c>
      <c r="B453" s="26"/>
      <c r="C453" s="26"/>
      <c r="D453" s="26"/>
      <c r="E453" s="26"/>
      <c r="F453" s="26"/>
      <c r="G453" s="26"/>
      <c r="I453" s="629"/>
      <c r="J453" s="140"/>
      <c r="K453" s="141"/>
      <c r="L453" s="141"/>
      <c r="M453" s="141"/>
      <c r="N453" s="141"/>
      <c r="O453" s="142"/>
      <c r="P453" s="291"/>
    </row>
    <row r="454" spans="1:16" ht="17.25" thickBot="1">
      <c r="A454" s="26" t="s">
        <v>19</v>
      </c>
      <c r="B454" s="26"/>
      <c r="C454" s="26"/>
      <c r="D454" s="26"/>
      <c r="E454" s="26"/>
      <c r="F454" s="26"/>
      <c r="G454" s="26"/>
      <c r="I454" s="20" t="s">
        <v>12</v>
      </c>
      <c r="J454" s="614" t="s">
        <v>13</v>
      </c>
      <c r="K454" s="615"/>
      <c r="L454" s="62" t="s">
        <v>14</v>
      </c>
      <c r="M454" s="63"/>
      <c r="N454" s="62" t="s">
        <v>15</v>
      </c>
      <c r="O454" s="62" t="s">
        <v>16</v>
      </c>
      <c r="P454" s="20" t="s">
        <v>17</v>
      </c>
    </row>
    <row r="455" spans="1:16" ht="18" thickBot="1">
      <c r="A455" s="26" t="s">
        <v>965</v>
      </c>
      <c r="B455" s="26"/>
      <c r="C455" s="26"/>
      <c r="D455" s="26"/>
      <c r="E455" s="26"/>
      <c r="F455" s="26"/>
      <c r="G455" s="26"/>
      <c r="I455" s="22" t="s">
        <v>18</v>
      </c>
      <c r="J455" s="606">
        <f>+P451</f>
        <v>3900000</v>
      </c>
      <c r="K455" s="607"/>
      <c r="L455" s="23">
        <f>0</f>
        <v>0</v>
      </c>
      <c r="M455" s="24"/>
      <c r="N455" s="25">
        <f>0</f>
        <v>0</v>
      </c>
      <c r="O455" s="36">
        <f>+J455</f>
        <v>3900000</v>
      </c>
      <c r="P455" s="38">
        <f>+P451</f>
        <v>3900000</v>
      </c>
    </row>
    <row r="456" spans="1:16" ht="18" thickBot="1">
      <c r="A456" s="26" t="s">
        <v>21</v>
      </c>
      <c r="B456" s="26"/>
      <c r="C456" s="26"/>
      <c r="D456" s="26"/>
      <c r="E456" s="26"/>
      <c r="F456" s="26"/>
      <c r="G456" s="26"/>
      <c r="I456" s="22" t="s">
        <v>113</v>
      </c>
      <c r="J456" s="643">
        <f>+J455/650.599</f>
        <v>5994.4758599383022</v>
      </c>
      <c r="K456" s="612"/>
      <c r="L456" s="23">
        <f>0</f>
        <v>0</v>
      </c>
      <c r="M456" s="24"/>
      <c r="N456" s="25">
        <f>0</f>
        <v>0</v>
      </c>
      <c r="O456" s="36">
        <f>+J456</f>
        <v>5994.4758599383022</v>
      </c>
      <c r="P456" s="38">
        <f>+O456</f>
        <v>5994.4758599383022</v>
      </c>
    </row>
    <row r="457" spans="1:16">
      <c r="A457" s="26" t="s">
        <v>1229</v>
      </c>
      <c r="B457" s="26"/>
      <c r="C457" s="26"/>
      <c r="D457" s="26"/>
      <c r="E457" s="26"/>
      <c r="F457" s="26"/>
      <c r="G457" s="26"/>
    </row>
    <row r="458" spans="1:16">
      <c r="A458" s="26"/>
      <c r="B458" s="26"/>
      <c r="C458" s="26"/>
      <c r="D458" s="26"/>
      <c r="E458" s="26"/>
      <c r="F458" s="26"/>
      <c r="G458" s="26"/>
      <c r="I458" s="395" t="s">
        <v>1584</v>
      </c>
      <c r="J458" s="26"/>
      <c r="K458" s="26"/>
      <c r="L458" s="26"/>
      <c r="M458" s="26"/>
      <c r="N458" s="26"/>
      <c r="O458" s="26"/>
    </row>
    <row r="459" spans="1:16">
      <c r="I459" s="408" t="s">
        <v>2148</v>
      </c>
      <c r="J459" s="26"/>
      <c r="K459" s="26"/>
      <c r="L459" s="26"/>
      <c r="M459" s="26"/>
      <c r="N459" s="26"/>
      <c r="O459" s="26"/>
    </row>
    <row r="460" spans="1:16">
      <c r="E460" s="30" t="s">
        <v>24</v>
      </c>
      <c r="F460" s="30"/>
      <c r="G460" s="30"/>
      <c r="I460" s="26" t="s">
        <v>19</v>
      </c>
      <c r="J460" s="26"/>
      <c r="K460" s="26"/>
      <c r="L460" s="26"/>
      <c r="M460" s="26"/>
      <c r="N460" s="26"/>
      <c r="O460" s="26"/>
    </row>
    <row r="461" spans="1:16">
      <c r="E461" s="30" t="s">
        <v>149</v>
      </c>
      <c r="F461" s="30"/>
      <c r="G461" s="30"/>
      <c r="I461" s="26" t="s">
        <v>965</v>
      </c>
      <c r="J461" s="26"/>
      <c r="K461" s="26"/>
      <c r="L461" s="26"/>
      <c r="M461" s="26"/>
      <c r="N461" s="26"/>
      <c r="O461" s="26"/>
    </row>
    <row r="462" spans="1:16">
      <c r="E462" s="315" t="s">
        <v>150</v>
      </c>
      <c r="F462" s="315"/>
      <c r="G462" s="315"/>
      <c r="I462" s="26" t="s">
        <v>21</v>
      </c>
      <c r="J462" s="26"/>
      <c r="K462" s="26"/>
      <c r="L462" s="26"/>
      <c r="M462" s="26"/>
      <c r="N462" s="26"/>
      <c r="O462" s="26"/>
    </row>
    <row r="463" spans="1:16">
      <c r="E463" s="315"/>
      <c r="F463" s="315"/>
      <c r="G463" s="315"/>
      <c r="I463" s="26" t="s">
        <v>1229</v>
      </c>
      <c r="J463" s="26"/>
      <c r="K463" s="26"/>
      <c r="L463" s="26"/>
      <c r="M463" s="26"/>
      <c r="N463" s="26"/>
      <c r="O463" s="26"/>
    </row>
    <row r="464" spans="1:16">
      <c r="I464" s="26"/>
      <c r="J464" s="26"/>
      <c r="K464" s="26"/>
      <c r="L464" s="26"/>
      <c r="M464" s="26"/>
      <c r="N464" s="26"/>
      <c r="O464" s="26"/>
    </row>
    <row r="465" spans="1:16" ht="17.25">
      <c r="E465" s="645"/>
      <c r="F465" s="645"/>
      <c r="G465" s="645"/>
      <c r="H465" s="645"/>
      <c r="L465" s="604" t="s">
        <v>24</v>
      </c>
      <c r="M465" s="604"/>
      <c r="N465" s="604"/>
      <c r="O465" s="604"/>
    </row>
    <row r="466" spans="1:16" ht="17.25">
      <c r="E466" s="417"/>
      <c r="F466" s="417"/>
      <c r="G466" s="417"/>
      <c r="H466" s="417"/>
      <c r="L466" s="604" t="s">
        <v>149</v>
      </c>
      <c r="M466" s="604"/>
      <c r="N466" s="604"/>
      <c r="O466" s="604"/>
    </row>
    <row r="467" spans="1:16" ht="17.25">
      <c r="E467" s="645"/>
      <c r="F467" s="645"/>
      <c r="G467" s="645"/>
      <c r="L467" s="605" t="s">
        <v>150</v>
      </c>
      <c r="M467" s="605"/>
      <c r="N467" s="605"/>
      <c r="O467" s="605"/>
    </row>
    <row r="468" spans="1:16">
      <c r="A468" s="617" t="s">
        <v>2628</v>
      </c>
      <c r="B468" s="617"/>
      <c r="C468" s="617"/>
      <c r="D468" s="617"/>
      <c r="E468" s="617"/>
      <c r="F468" s="617"/>
      <c r="G468" s="617"/>
      <c r="H468" s="617"/>
      <c r="L468" s="30"/>
    </row>
    <row r="469" spans="1:16">
      <c r="L469" s="30"/>
    </row>
    <row r="470" spans="1:16" ht="13.5" customHeight="1">
      <c r="M470" s="26"/>
      <c r="N470" s="26"/>
      <c r="O470" s="26"/>
    </row>
    <row r="471" spans="1:16" ht="17.25" customHeight="1">
      <c r="A471" s="695" t="s">
        <v>1</v>
      </c>
      <c r="B471" s="695"/>
      <c r="C471" s="695"/>
      <c r="D471" s="695"/>
      <c r="E471" s="695"/>
      <c r="F471" s="695"/>
      <c r="G471" s="695"/>
      <c r="H471" s="695"/>
      <c r="L471" s="616"/>
      <c r="M471" s="616"/>
      <c r="N471" s="616"/>
      <c r="O471" s="616"/>
    </row>
    <row r="472" spans="1:16" ht="17.25" customHeight="1">
      <c r="L472" s="510"/>
      <c r="M472" s="510"/>
      <c r="N472" s="510"/>
      <c r="O472" s="510"/>
    </row>
    <row r="473" spans="1:16" ht="13.5" customHeight="1">
      <c r="L473" s="645"/>
      <c r="M473" s="645"/>
      <c r="N473" s="645"/>
      <c r="O473" s="645"/>
    </row>
    <row r="474" spans="1:16" ht="17.25">
      <c r="A474" s="694" t="s">
        <v>1586</v>
      </c>
      <c r="B474" s="694"/>
      <c r="I474" s="617" t="s">
        <v>2534</v>
      </c>
      <c r="J474" s="617"/>
      <c r="K474" s="617"/>
      <c r="L474" s="617"/>
      <c r="M474" s="617"/>
      <c r="N474" s="617"/>
      <c r="O474" s="617"/>
      <c r="P474" s="617"/>
    </row>
    <row r="475" spans="1:16" ht="17.25" thickBot="1">
      <c r="A475" s="30"/>
      <c r="G475" s="141"/>
    </row>
    <row r="476" spans="1:16">
      <c r="B476" s="30"/>
      <c r="F476" s="143"/>
      <c r="H476" s="144"/>
    </row>
    <row r="477" spans="1:16" ht="45.75" customHeight="1">
      <c r="F477" s="667" t="s">
        <v>120</v>
      </c>
      <c r="G477" s="668"/>
      <c r="H477" s="669"/>
      <c r="I477" s="642" t="s">
        <v>1</v>
      </c>
      <c r="J477" s="642"/>
      <c r="K477" s="642"/>
      <c r="L477" s="642"/>
      <c r="M477" s="642"/>
      <c r="N477" s="642"/>
      <c r="O477" s="642"/>
      <c r="P477" s="642"/>
    </row>
    <row r="478" spans="1:16" ht="17.25" customHeight="1">
      <c r="A478" s="12" t="s">
        <v>114</v>
      </c>
      <c r="E478" s="30" t="s">
        <v>2</v>
      </c>
      <c r="F478" s="186"/>
      <c r="G478" s="186" t="s">
        <v>1379</v>
      </c>
      <c r="H478" s="440"/>
      <c r="K478" s="642"/>
      <c r="L478" s="642"/>
      <c r="M478" s="642"/>
      <c r="N478" s="642"/>
    </row>
    <row r="479" spans="1:16">
      <c r="F479" s="601" t="s">
        <v>163</v>
      </c>
      <c r="G479" s="602"/>
      <c r="H479" s="603"/>
    </row>
    <row r="480" spans="1:16" ht="17.25" thickBot="1">
      <c r="F480" s="140"/>
      <c r="G480" s="141"/>
      <c r="H480" s="142"/>
    </row>
    <row r="481" spans="1:16" ht="18">
      <c r="A481" s="30"/>
      <c r="B481" s="30" t="s">
        <v>27</v>
      </c>
      <c r="C481" s="12" t="s">
        <v>29</v>
      </c>
      <c r="I481" s="375"/>
      <c r="J481" s="507" t="s">
        <v>1758</v>
      </c>
    </row>
    <row r="482" spans="1:16" ht="17.25" thickBot="1">
      <c r="A482" s="30"/>
      <c r="B482" s="30" t="s">
        <v>1587</v>
      </c>
      <c r="C482" s="30"/>
      <c r="D482" s="595"/>
      <c r="I482" s="30"/>
      <c r="O482" s="141"/>
    </row>
    <row r="483" spans="1:16" ht="17.25" thickBot="1">
      <c r="J483" s="30"/>
      <c r="N483" s="143"/>
      <c r="P483" s="144"/>
    </row>
    <row r="484" spans="1:16" ht="17.25" customHeight="1" thickBot="1">
      <c r="A484" s="13" t="s">
        <v>3</v>
      </c>
      <c r="B484" s="696" t="s">
        <v>4</v>
      </c>
      <c r="C484" s="697"/>
      <c r="D484" s="697"/>
      <c r="E484" s="697"/>
      <c r="F484" s="697"/>
      <c r="G484" s="698"/>
      <c r="H484" s="20" t="s">
        <v>5</v>
      </c>
      <c r="N484" s="647" t="s">
        <v>2370</v>
      </c>
      <c r="O484" s="610"/>
      <c r="P484" s="648"/>
    </row>
    <row r="485" spans="1:16" ht="17.25" thickBot="1">
      <c r="A485" s="692" t="s">
        <v>1581</v>
      </c>
      <c r="B485" s="143"/>
      <c r="C485" s="159"/>
      <c r="D485" s="159"/>
      <c r="E485" s="159"/>
      <c r="F485" s="159"/>
      <c r="G485" s="144"/>
      <c r="H485" s="65"/>
      <c r="I485" s="12" t="s">
        <v>114</v>
      </c>
      <c r="L485" s="30" t="s">
        <v>2</v>
      </c>
      <c r="N485" s="622" t="s">
        <v>2371</v>
      </c>
      <c r="O485" s="622"/>
      <c r="P485" s="623"/>
    </row>
    <row r="486" spans="1:16" ht="17.25" thickBot="1">
      <c r="A486" s="693"/>
      <c r="B486" s="598" t="s">
        <v>6</v>
      </c>
      <c r="C486" s="600"/>
      <c r="D486" s="591"/>
      <c r="E486" s="15" t="s">
        <v>7</v>
      </c>
      <c r="F486" s="16"/>
      <c r="G486" s="32"/>
      <c r="H486" s="65"/>
      <c r="N486" s="601" t="s">
        <v>163</v>
      </c>
      <c r="O486" s="602"/>
      <c r="P486" s="603"/>
    </row>
    <row r="487" spans="1:16" ht="17.25" thickBot="1">
      <c r="A487" s="693"/>
      <c r="B487" s="17" t="s">
        <v>26</v>
      </c>
      <c r="C487" s="18" t="s">
        <v>8</v>
      </c>
      <c r="D487" s="18"/>
      <c r="E487" s="18" t="s">
        <v>10</v>
      </c>
      <c r="F487" s="19" t="s">
        <v>8</v>
      </c>
      <c r="G487" s="18" t="s">
        <v>11</v>
      </c>
      <c r="H487" s="65"/>
      <c r="N487" s="140"/>
      <c r="O487" s="141"/>
      <c r="P487" s="142"/>
    </row>
    <row r="488" spans="1:16">
      <c r="A488" s="693"/>
      <c r="B488" s="160">
        <v>30</v>
      </c>
      <c r="C488" s="154">
        <v>10000</v>
      </c>
      <c r="D488" s="154"/>
      <c r="E488" s="154"/>
      <c r="F488" s="154"/>
      <c r="G488" s="161">
        <f>+E488*F488</f>
        <v>0</v>
      </c>
      <c r="H488" s="39" t="e">
        <f>+#REF!+G488</f>
        <v>#REF!</v>
      </c>
      <c r="I488" s="249" t="s">
        <v>27</v>
      </c>
      <c r="J488" s="394" t="s">
        <v>115</v>
      </c>
    </row>
    <row r="489" spans="1:16" ht="17.25" thickBot="1">
      <c r="A489" s="693"/>
      <c r="B489" s="140"/>
      <c r="C489" s="141"/>
      <c r="D489" s="141"/>
      <c r="E489" s="141"/>
      <c r="F489" s="141"/>
      <c r="G489" s="142"/>
      <c r="H489" s="65"/>
      <c r="I489" s="249"/>
    </row>
    <row r="490" spans="1:16" ht="17.25" customHeight="1" thickBot="1">
      <c r="A490" s="20" t="s">
        <v>563</v>
      </c>
      <c r="B490" s="611" t="s">
        <v>13</v>
      </c>
      <c r="C490" s="612"/>
      <c r="D490" s="585"/>
      <c r="E490" s="20"/>
      <c r="F490" s="21" t="s">
        <v>15</v>
      </c>
      <c r="G490" s="21" t="s">
        <v>16</v>
      </c>
      <c r="H490" s="20" t="s">
        <v>17</v>
      </c>
      <c r="I490" s="13" t="s">
        <v>112</v>
      </c>
      <c r="J490" s="696" t="s">
        <v>4</v>
      </c>
      <c r="K490" s="697"/>
      <c r="L490" s="697"/>
      <c r="M490" s="697"/>
      <c r="N490" s="697"/>
      <c r="O490" s="698"/>
      <c r="P490" s="20" t="s">
        <v>5</v>
      </c>
    </row>
    <row r="491" spans="1:16" ht="17.25" customHeight="1" thickBot="1">
      <c r="A491" s="22">
        <v>559</v>
      </c>
      <c r="B491" s="606" t="e">
        <f>+#REF!</f>
        <v>#REF!</v>
      </c>
      <c r="C491" s="652"/>
      <c r="D491" s="596"/>
      <c r="E491" s="24"/>
      <c r="F491" s="25">
        <f>0</f>
        <v>0</v>
      </c>
      <c r="G491" s="36" t="e">
        <f>+H488</f>
        <v>#REF!</v>
      </c>
      <c r="H491" s="38" t="e">
        <f>+H488</f>
        <v>#REF!</v>
      </c>
      <c r="I491" s="627" t="s">
        <v>2445</v>
      </c>
      <c r="J491" s="143"/>
      <c r="K491" s="159"/>
      <c r="L491" s="159"/>
      <c r="M491" s="159"/>
      <c r="N491" s="159"/>
      <c r="O491" s="144"/>
      <c r="P491" s="291"/>
    </row>
    <row r="492" spans="1:16" ht="17.25" customHeight="1">
      <c r="I492" s="628"/>
      <c r="J492" s="630" t="s">
        <v>286</v>
      </c>
      <c r="K492" s="631"/>
      <c r="L492" s="631"/>
      <c r="M492" s="631"/>
      <c r="N492" s="631"/>
      <c r="O492" s="632"/>
      <c r="P492" s="457">
        <v>420000</v>
      </c>
    </row>
    <row r="493" spans="1:16">
      <c r="A493" s="395" t="s">
        <v>1584</v>
      </c>
      <c r="B493" s="26"/>
      <c r="C493" s="26"/>
      <c r="D493" s="26"/>
      <c r="E493" s="26"/>
      <c r="F493" s="26"/>
      <c r="G493" s="26"/>
      <c r="I493" s="628"/>
      <c r="J493" s="636" t="s">
        <v>2372</v>
      </c>
      <c r="K493" s="637"/>
      <c r="L493" s="637"/>
      <c r="M493" s="637"/>
      <c r="N493" s="637"/>
      <c r="O493" s="638"/>
      <c r="P493" s="291"/>
    </row>
    <row r="494" spans="1:16" ht="17.25" thickBot="1">
      <c r="A494" s="408" t="s">
        <v>1588</v>
      </c>
      <c r="B494" s="26"/>
      <c r="C494" s="26"/>
      <c r="D494" s="26"/>
      <c r="E494" s="26"/>
      <c r="F494" s="26"/>
      <c r="G494" s="26"/>
      <c r="I494" s="628"/>
      <c r="J494" s="636"/>
      <c r="K494" s="637"/>
      <c r="L494" s="637"/>
      <c r="M494" s="637"/>
      <c r="N494" s="637"/>
      <c r="O494" s="638"/>
      <c r="P494" s="148"/>
    </row>
    <row r="495" spans="1:16" ht="17.25" thickBot="1">
      <c r="A495" s="26" t="s">
        <v>19</v>
      </c>
      <c r="B495" s="26"/>
      <c r="C495" s="26"/>
      <c r="D495" s="26"/>
      <c r="E495" s="26"/>
      <c r="F495" s="26"/>
      <c r="G495" s="26"/>
      <c r="I495" s="20" t="s">
        <v>12</v>
      </c>
      <c r="J495" s="363" t="s">
        <v>13</v>
      </c>
      <c r="K495" s="364"/>
      <c r="L495" s="21" t="s">
        <v>14</v>
      </c>
      <c r="M495" s="20"/>
      <c r="N495" s="21" t="s">
        <v>15</v>
      </c>
      <c r="O495" s="364" t="s">
        <v>16</v>
      </c>
      <c r="P495" s="20" t="s">
        <v>17</v>
      </c>
    </row>
    <row r="496" spans="1:16" ht="18" thickBot="1">
      <c r="A496" s="26" t="s">
        <v>965</v>
      </c>
      <c r="B496" s="26"/>
      <c r="C496" s="26"/>
      <c r="D496" s="26"/>
      <c r="E496" s="26"/>
      <c r="F496" s="26"/>
      <c r="G496" s="26"/>
      <c r="I496" s="22" t="s">
        <v>18</v>
      </c>
      <c r="J496" s="606">
        <f>+P492</f>
        <v>420000</v>
      </c>
      <c r="K496" s="652"/>
      <c r="L496" s="23">
        <f>0</f>
        <v>0</v>
      </c>
      <c r="M496" s="24"/>
      <c r="N496" s="25">
        <f>0</f>
        <v>0</v>
      </c>
      <c r="O496" s="36">
        <f>+J496</f>
        <v>420000</v>
      </c>
      <c r="P496" s="38">
        <f>+P494</f>
        <v>0</v>
      </c>
    </row>
    <row r="497" spans="1:16" ht="18" thickBot="1">
      <c r="A497" s="26" t="s">
        <v>21</v>
      </c>
      <c r="B497" s="26"/>
      <c r="C497" s="26"/>
      <c r="D497" s="26"/>
      <c r="E497" s="26"/>
      <c r="F497" s="26"/>
      <c r="G497" s="26"/>
      <c r="I497" s="22" t="s">
        <v>113</v>
      </c>
      <c r="J497" s="606">
        <f>+J496/650.599</f>
        <v>645.55893876258642</v>
      </c>
      <c r="K497" s="607"/>
      <c r="L497" s="23">
        <f>0</f>
        <v>0</v>
      </c>
      <c r="M497" s="24"/>
      <c r="N497" s="25">
        <f>0</f>
        <v>0</v>
      </c>
      <c r="O497" s="36">
        <f>+J497</f>
        <v>645.55893876258642</v>
      </c>
      <c r="P497" s="38">
        <f>+O497</f>
        <v>645.55893876258642</v>
      </c>
    </row>
    <row r="498" spans="1:16">
      <c r="A498" s="26" t="s">
        <v>1229</v>
      </c>
      <c r="B498" s="26"/>
      <c r="C498" s="26"/>
      <c r="D498" s="26"/>
      <c r="E498" s="26"/>
      <c r="F498" s="26"/>
      <c r="G498" s="26"/>
    </row>
    <row r="499" spans="1:16">
      <c r="I499" s="37" t="s">
        <v>1373</v>
      </c>
      <c r="J499" s="26"/>
      <c r="K499" s="26"/>
      <c r="L499" s="26"/>
      <c r="M499" s="26"/>
      <c r="N499" s="26"/>
      <c r="O499" s="26"/>
    </row>
    <row r="500" spans="1:16">
      <c r="I500" s="394" t="s">
        <v>2537</v>
      </c>
      <c r="N500" s="26"/>
      <c r="O500" s="26"/>
    </row>
    <row r="501" spans="1:16">
      <c r="E501" s="30" t="s">
        <v>24</v>
      </c>
      <c r="F501" s="30"/>
      <c r="G501" s="30"/>
      <c r="I501" s="26" t="s">
        <v>19</v>
      </c>
      <c r="J501" s="26"/>
      <c r="K501" s="26"/>
      <c r="L501" s="26"/>
      <c r="M501" s="26"/>
    </row>
    <row r="502" spans="1:16">
      <c r="E502" s="30" t="s">
        <v>149</v>
      </c>
      <c r="F502" s="30"/>
      <c r="G502" s="30"/>
      <c r="I502" s="26" t="s">
        <v>965</v>
      </c>
      <c r="J502" s="26"/>
      <c r="K502" s="26"/>
      <c r="L502" s="26"/>
      <c r="M502" s="26"/>
      <c r="N502" s="26"/>
      <c r="O502" s="26"/>
    </row>
    <row r="503" spans="1:16">
      <c r="E503" s="315" t="s">
        <v>150</v>
      </c>
      <c r="F503" s="315"/>
      <c r="G503" s="315"/>
      <c r="I503" s="26" t="s">
        <v>21</v>
      </c>
      <c r="J503" s="26"/>
      <c r="K503" s="26"/>
      <c r="L503" s="26"/>
      <c r="M503" s="26"/>
      <c r="N503" s="26"/>
      <c r="O503" s="26"/>
    </row>
    <row r="504" spans="1:16">
      <c r="E504" s="315"/>
      <c r="F504" s="315"/>
      <c r="G504" s="315"/>
      <c r="I504" s="26" t="s">
        <v>1229</v>
      </c>
      <c r="J504" s="26"/>
      <c r="K504" s="26"/>
      <c r="L504" s="26"/>
      <c r="M504" s="26"/>
      <c r="N504" s="26"/>
      <c r="O504" s="26"/>
    </row>
    <row r="505" spans="1:16">
      <c r="N505" s="26"/>
      <c r="O505" s="26"/>
    </row>
    <row r="506" spans="1:16">
      <c r="E506" s="26"/>
      <c r="F506" s="26"/>
      <c r="G506" s="26"/>
    </row>
    <row r="507" spans="1:16" ht="17.25" customHeight="1">
      <c r="E507" s="645" t="s">
        <v>1335</v>
      </c>
      <c r="F507" s="645"/>
      <c r="G507" s="645"/>
      <c r="L507" s="30" t="s">
        <v>24</v>
      </c>
      <c r="M507" s="30"/>
      <c r="N507" s="30"/>
    </row>
    <row r="508" spans="1:16" ht="17.25">
      <c r="E508" s="417"/>
      <c r="F508" s="418"/>
      <c r="G508" s="418"/>
      <c r="L508" s="30" t="s">
        <v>149</v>
      </c>
      <c r="M508" s="30"/>
      <c r="N508" s="30"/>
    </row>
    <row r="509" spans="1:16" ht="18">
      <c r="A509" s="26"/>
      <c r="B509" s="26"/>
      <c r="C509" s="26"/>
      <c r="D509" s="26"/>
      <c r="E509" s="26"/>
      <c r="F509" s="29"/>
      <c r="G509" s="29"/>
      <c r="H509" s="29"/>
      <c r="L509" s="604" t="s">
        <v>150</v>
      </c>
      <c r="M509" s="604"/>
      <c r="N509" s="604"/>
      <c r="O509" s="604"/>
    </row>
    <row r="510" spans="1:16">
      <c r="A510" s="617" t="s">
        <v>0</v>
      </c>
      <c r="B510" s="617"/>
      <c r="C510" s="617"/>
      <c r="D510" s="617"/>
      <c r="E510" s="617"/>
      <c r="F510" s="617"/>
      <c r="G510" s="617"/>
      <c r="H510" s="617"/>
      <c r="L510" s="403"/>
      <c r="M510" s="403"/>
      <c r="N510" s="403"/>
      <c r="O510" s="403"/>
    </row>
    <row r="511" spans="1:16">
      <c r="L511" s="30"/>
    </row>
    <row r="512" spans="1:16" ht="17.25">
      <c r="L512" s="645" t="s">
        <v>2347</v>
      </c>
      <c r="M512" s="645"/>
      <c r="N512" s="645"/>
      <c r="O512" s="645"/>
    </row>
    <row r="513" spans="1:16" ht="18" customHeight="1">
      <c r="C513" s="688" t="s">
        <v>1</v>
      </c>
      <c r="D513" s="688"/>
      <c r="E513" s="688"/>
      <c r="F513" s="688"/>
      <c r="L513" s="645"/>
      <c r="M513" s="645"/>
      <c r="N513" s="645"/>
      <c r="O513" s="645"/>
    </row>
    <row r="514" spans="1:16" ht="18" customHeight="1">
      <c r="L514" s="417"/>
      <c r="M514" s="417"/>
      <c r="N514" s="417"/>
      <c r="O514" s="417"/>
    </row>
    <row r="515" spans="1:16" ht="18" customHeight="1">
      <c r="A515" s="82"/>
      <c r="B515" s="82" t="s">
        <v>1925</v>
      </c>
      <c r="I515" s="26"/>
      <c r="J515" s="26"/>
      <c r="K515" s="26"/>
      <c r="P515" s="145"/>
    </row>
    <row r="516" spans="1:16" ht="17.25" thickBot="1">
      <c r="A516" s="30"/>
      <c r="G516" s="141"/>
      <c r="I516" s="617" t="s">
        <v>2647</v>
      </c>
      <c r="J516" s="617"/>
      <c r="K516" s="617"/>
      <c r="L516" s="617"/>
      <c r="M516" s="617"/>
      <c r="N516" s="617"/>
      <c r="O516" s="617"/>
      <c r="P516" s="617"/>
    </row>
    <row r="517" spans="1:16">
      <c r="B517" s="30"/>
      <c r="F517" s="143"/>
      <c r="H517" s="144"/>
    </row>
    <row r="518" spans="1:16">
      <c r="F518" s="647" t="s">
        <v>31</v>
      </c>
      <c r="G518" s="610"/>
      <c r="H518" s="648"/>
    </row>
    <row r="519" spans="1:16" ht="39.75" customHeight="1">
      <c r="A519" s="12" t="s">
        <v>114</v>
      </c>
      <c r="E519" s="30" t="s">
        <v>2</v>
      </c>
      <c r="H519" s="65"/>
      <c r="I519" s="660" t="s">
        <v>1</v>
      </c>
      <c r="J519" s="660"/>
      <c r="K519" s="660"/>
      <c r="L519" s="660"/>
      <c r="M519" s="660"/>
      <c r="N519" s="660"/>
      <c r="O519" s="660"/>
      <c r="P519" s="660"/>
    </row>
    <row r="520" spans="1:16" ht="14.25" customHeight="1">
      <c r="F520" s="601" t="s">
        <v>29</v>
      </c>
      <c r="G520" s="602"/>
      <c r="H520" s="603"/>
      <c r="K520" s="642"/>
      <c r="L520" s="642"/>
      <c r="M520" s="642"/>
      <c r="N520" s="642"/>
    </row>
    <row r="521" spans="1:16" ht="18" customHeight="1" thickBot="1">
      <c r="F521" s="140"/>
      <c r="G521" s="141"/>
      <c r="H521" s="142"/>
      <c r="I521" s="375"/>
      <c r="J521" s="375" t="s">
        <v>711</v>
      </c>
    </row>
    <row r="522" spans="1:16" ht="17.25" thickBot="1">
      <c r="A522" s="30" t="s">
        <v>27</v>
      </c>
      <c r="B522" s="12" t="s">
        <v>115</v>
      </c>
    </row>
    <row r="523" spans="1:16">
      <c r="A523" s="30" t="s">
        <v>142</v>
      </c>
      <c r="B523" s="30" t="s">
        <v>831</v>
      </c>
      <c r="N523" s="143"/>
      <c r="P523" s="144"/>
    </row>
    <row r="524" spans="1:16" ht="17.25" thickBot="1">
      <c r="I524" s="30"/>
      <c r="N524" s="647" t="s">
        <v>2640</v>
      </c>
      <c r="O524" s="610"/>
      <c r="P524" s="648"/>
    </row>
    <row r="525" spans="1:16" ht="33.75" thickBot="1">
      <c r="A525" s="13" t="s">
        <v>3</v>
      </c>
      <c r="B525" s="370" t="s">
        <v>4</v>
      </c>
      <c r="C525" s="371"/>
      <c r="D525" s="589"/>
      <c r="E525" s="371"/>
      <c r="F525" s="371"/>
      <c r="G525" s="372"/>
      <c r="H525" s="20" t="s">
        <v>5</v>
      </c>
      <c r="J525" s="30"/>
      <c r="L525" s="249" t="s">
        <v>2</v>
      </c>
      <c r="N525" s="622" t="s">
        <v>2641</v>
      </c>
      <c r="O525" s="622"/>
      <c r="P525" s="623"/>
    </row>
    <row r="526" spans="1:16" ht="17.25" thickBot="1">
      <c r="A526" s="627" t="s">
        <v>828</v>
      </c>
      <c r="B526" s="143"/>
      <c r="C526" s="159"/>
      <c r="D526" s="159"/>
      <c r="E526" s="159"/>
      <c r="F526" s="159"/>
      <c r="G526" s="144"/>
      <c r="H526" s="65"/>
      <c r="I526" s="12" t="s">
        <v>114</v>
      </c>
      <c r="L526" s="30"/>
      <c r="N526" s="601" t="s">
        <v>904</v>
      </c>
      <c r="O526" s="602"/>
      <c r="P526" s="603"/>
    </row>
    <row r="527" spans="1:16" ht="17.25" thickBot="1">
      <c r="A527" s="628"/>
      <c r="B527" s="598" t="s">
        <v>6</v>
      </c>
      <c r="C527" s="600"/>
      <c r="D527" s="591"/>
      <c r="E527" s="598" t="s">
        <v>7</v>
      </c>
      <c r="F527" s="599"/>
      <c r="G527" s="600"/>
      <c r="H527" s="65"/>
      <c r="L527" s="30"/>
      <c r="N527" s="140"/>
      <c r="O527" s="141"/>
      <c r="P527" s="142"/>
    </row>
    <row r="528" spans="1:16" ht="17.25" thickBot="1">
      <c r="A528" s="693"/>
      <c r="B528" s="17" t="s">
        <v>26</v>
      </c>
      <c r="C528" s="18" t="s">
        <v>8</v>
      </c>
      <c r="D528" s="18"/>
      <c r="E528" s="18" t="s">
        <v>10</v>
      </c>
      <c r="F528" s="19" t="s">
        <v>8</v>
      </c>
      <c r="G528" s="18" t="s">
        <v>11</v>
      </c>
      <c r="H528" s="65"/>
    </row>
    <row r="529" spans="1:16">
      <c r="A529" s="693"/>
      <c r="B529" s="160">
        <v>67</v>
      </c>
      <c r="C529" s="154">
        <v>10000</v>
      </c>
      <c r="D529" s="154"/>
      <c r="E529" s="154"/>
      <c r="F529" s="154"/>
      <c r="G529" s="161">
        <f>+E529*F529</f>
        <v>0</v>
      </c>
      <c r="H529" s="162">
        <f>+B529*C529</f>
        <v>670000</v>
      </c>
      <c r="I529" s="249" t="s">
        <v>27</v>
      </c>
      <c r="J529" s="394" t="s">
        <v>775</v>
      </c>
    </row>
    <row r="530" spans="1:16" ht="17.25" thickBot="1">
      <c r="A530" s="693"/>
      <c r="B530" s="64"/>
      <c r="F530" s="388"/>
      <c r="G530" s="65"/>
      <c r="H530" s="65"/>
      <c r="I530" s="249"/>
    </row>
    <row r="531" spans="1:16" ht="17.25" thickBot="1">
      <c r="A531" s="693"/>
      <c r="B531" s="64"/>
      <c r="G531" s="65"/>
      <c r="H531" s="65"/>
      <c r="I531" s="363" t="s">
        <v>112</v>
      </c>
      <c r="J531" s="750" t="s">
        <v>4</v>
      </c>
      <c r="K531" s="751"/>
      <c r="L531" s="751"/>
      <c r="M531" s="751"/>
      <c r="N531" s="751"/>
      <c r="O531" s="752"/>
      <c r="P531" s="20" t="s">
        <v>5</v>
      </c>
    </row>
    <row r="532" spans="1:16" ht="17.25" customHeight="1" thickBot="1">
      <c r="A532" s="758"/>
      <c r="B532" s="140"/>
      <c r="C532" s="141"/>
      <c r="D532" s="141"/>
      <c r="E532" s="141"/>
      <c r="F532" s="141"/>
      <c r="G532" s="142"/>
      <c r="H532" s="65"/>
      <c r="I532" s="627" t="s">
        <v>2611</v>
      </c>
      <c r="J532" s="143"/>
      <c r="K532" s="159"/>
      <c r="L532" s="159"/>
      <c r="M532" s="159"/>
      <c r="N532" s="159"/>
      <c r="O532" s="144"/>
      <c r="P532" s="291"/>
    </row>
    <row r="533" spans="1:16" ht="17.25" customHeight="1" thickBot="1">
      <c r="A533" s="20" t="s">
        <v>563</v>
      </c>
      <c r="B533" s="363" t="s">
        <v>13</v>
      </c>
      <c r="C533" s="364"/>
      <c r="D533" s="585"/>
      <c r="E533" s="20"/>
      <c r="F533" s="21" t="s">
        <v>15</v>
      </c>
      <c r="G533" s="21" t="s">
        <v>16</v>
      </c>
      <c r="H533" s="20" t="s">
        <v>17</v>
      </c>
      <c r="I533" s="628"/>
      <c r="J533" s="64"/>
      <c r="O533" s="65"/>
      <c r="P533" s="291"/>
    </row>
    <row r="534" spans="1:16" ht="17.25" customHeight="1" thickBot="1">
      <c r="A534" s="22">
        <v>287</v>
      </c>
      <c r="B534" s="359" t="e">
        <f>+#REF!</f>
        <v>#REF!</v>
      </c>
      <c r="C534" s="360"/>
      <c r="D534" s="594"/>
      <c r="E534" s="24"/>
      <c r="F534" s="25">
        <f>0</f>
        <v>0</v>
      </c>
      <c r="G534" s="36" t="e">
        <f>+B534</f>
        <v>#REF!</v>
      </c>
      <c r="H534" s="38">
        <f>+H529</f>
        <v>670000</v>
      </c>
      <c r="I534" s="628"/>
      <c r="J534" s="630" t="s">
        <v>286</v>
      </c>
      <c r="K534" s="631"/>
      <c r="L534" s="631"/>
      <c r="M534" s="631"/>
      <c r="N534" s="631"/>
      <c r="O534" s="632"/>
      <c r="P534" s="457">
        <v>612600</v>
      </c>
    </row>
    <row r="535" spans="1:16" ht="16.5" customHeight="1">
      <c r="I535" s="628"/>
      <c r="J535" s="636" t="s">
        <v>2645</v>
      </c>
      <c r="K535" s="637"/>
      <c r="L535" s="637"/>
      <c r="M535" s="637"/>
      <c r="N535" s="637"/>
      <c r="O535" s="638"/>
      <c r="P535" s="148"/>
    </row>
    <row r="536" spans="1:16">
      <c r="A536" s="37" t="s">
        <v>832</v>
      </c>
      <c r="B536" s="26"/>
      <c r="C536" s="26"/>
      <c r="D536" s="26"/>
      <c r="E536" s="26"/>
      <c r="F536" s="26"/>
      <c r="G536" s="26"/>
      <c r="I536" s="628"/>
      <c r="J536" s="64"/>
      <c r="K536" s="403"/>
      <c r="L536" s="403"/>
      <c r="M536" s="403"/>
      <c r="O536" s="65"/>
      <c r="P536" s="291"/>
    </row>
    <row r="537" spans="1:16" ht="17.25" thickBot="1">
      <c r="A537" s="26" t="s">
        <v>19</v>
      </c>
      <c r="B537" s="26"/>
      <c r="C537" s="26"/>
      <c r="D537" s="26"/>
      <c r="E537" s="26"/>
      <c r="F537" s="26"/>
      <c r="G537" s="26"/>
      <c r="I537" s="629"/>
      <c r="J537" s="140"/>
      <c r="K537" s="141"/>
      <c r="L537" s="141"/>
      <c r="M537" s="141"/>
      <c r="N537" s="141"/>
      <c r="O537" s="142"/>
      <c r="P537" s="291"/>
    </row>
    <row r="538" spans="1:16" ht="17.25" thickBot="1">
      <c r="A538" s="26" t="s">
        <v>965</v>
      </c>
      <c r="B538" s="26"/>
      <c r="C538" s="26"/>
      <c r="D538" s="26"/>
      <c r="E538" s="26"/>
      <c r="F538" s="26"/>
      <c r="G538" s="26"/>
      <c r="I538" s="20" t="s">
        <v>12</v>
      </c>
      <c r="J538" s="404" t="s">
        <v>13</v>
      </c>
      <c r="K538" s="405"/>
      <c r="L538" s="62" t="s">
        <v>14</v>
      </c>
      <c r="M538" s="63"/>
      <c r="N538" s="62" t="s">
        <v>15</v>
      </c>
      <c r="O538" s="62" t="s">
        <v>16</v>
      </c>
      <c r="P538" s="20" t="s">
        <v>17</v>
      </c>
    </row>
    <row r="539" spans="1:16" ht="18" thickBot="1">
      <c r="A539" s="26" t="s">
        <v>21</v>
      </c>
      <c r="B539" s="26"/>
      <c r="C539" s="26"/>
      <c r="D539" s="26"/>
      <c r="E539" s="26"/>
      <c r="F539" s="26"/>
      <c r="G539" s="26"/>
      <c r="I539" s="22" t="s">
        <v>18</v>
      </c>
      <c r="J539" s="606">
        <f>+P534</f>
        <v>612600</v>
      </c>
      <c r="K539" s="652"/>
      <c r="L539" s="23">
        <f>0</f>
        <v>0</v>
      </c>
      <c r="M539" s="24"/>
      <c r="N539" s="25">
        <f>0</f>
        <v>0</v>
      </c>
      <c r="O539" s="36">
        <f>+J539</f>
        <v>612600</v>
      </c>
      <c r="P539" s="38">
        <f>+P534</f>
        <v>612600</v>
      </c>
    </row>
    <row r="540" spans="1:16" ht="18" thickBot="1">
      <c r="A540" s="26" t="s">
        <v>1229</v>
      </c>
      <c r="B540" s="26"/>
      <c r="C540" s="26"/>
      <c r="D540" s="26"/>
      <c r="E540" s="26"/>
      <c r="F540" s="26"/>
      <c r="G540" s="26"/>
      <c r="I540" s="22" t="s">
        <v>113</v>
      </c>
      <c r="J540" s="359">
        <f>+J539/650.599</f>
        <v>941.59382353800106</v>
      </c>
      <c r="K540" s="360"/>
      <c r="L540" s="23">
        <f>0</f>
        <v>0</v>
      </c>
      <c r="M540" s="24"/>
      <c r="N540" s="25">
        <f>0</f>
        <v>0</v>
      </c>
      <c r="O540" s="36">
        <f>+J540</f>
        <v>941.59382353800106</v>
      </c>
      <c r="P540" s="38">
        <f>+O540</f>
        <v>941.59382353800106</v>
      </c>
    </row>
    <row r="542" spans="1:16">
      <c r="I542" s="37" t="s">
        <v>1373</v>
      </c>
      <c r="J542" s="26"/>
      <c r="K542" s="26"/>
      <c r="L542" s="26"/>
      <c r="M542" s="26"/>
      <c r="N542" s="26"/>
      <c r="O542" s="26"/>
    </row>
    <row r="543" spans="1:16">
      <c r="I543" s="394" t="s">
        <v>2646</v>
      </c>
    </row>
    <row r="544" spans="1:16">
      <c r="E544" s="30" t="s">
        <v>24</v>
      </c>
      <c r="F544" s="30"/>
      <c r="G544" s="30"/>
      <c r="I544" s="26" t="s">
        <v>19</v>
      </c>
      <c r="J544" s="26"/>
      <c r="K544" s="26"/>
      <c r="L544" s="26"/>
      <c r="M544" s="26"/>
      <c r="N544" s="26"/>
      <c r="O544" s="26"/>
    </row>
    <row r="545" spans="1:16">
      <c r="E545" s="30" t="s">
        <v>149</v>
      </c>
      <c r="F545" s="30"/>
      <c r="G545" s="30"/>
      <c r="I545" s="26" t="s">
        <v>965</v>
      </c>
      <c r="J545" s="26"/>
      <c r="K545" s="26"/>
      <c r="L545" s="26"/>
      <c r="M545" s="26"/>
      <c r="N545" s="26"/>
      <c r="O545" s="26"/>
    </row>
    <row r="546" spans="1:16">
      <c r="E546" s="315" t="s">
        <v>150</v>
      </c>
      <c r="F546" s="315"/>
      <c r="G546" s="315"/>
      <c r="I546" s="26" t="s">
        <v>21</v>
      </c>
      <c r="J546" s="26"/>
      <c r="K546" s="26"/>
      <c r="L546" s="26"/>
      <c r="M546" s="26"/>
      <c r="N546" s="26"/>
      <c r="O546" s="26"/>
    </row>
    <row r="547" spans="1:16">
      <c r="E547" s="315"/>
      <c r="F547" s="315"/>
      <c r="G547" s="315"/>
      <c r="I547" s="26" t="s">
        <v>1229</v>
      </c>
      <c r="J547" s="26"/>
      <c r="K547" s="26"/>
      <c r="L547" s="26"/>
      <c r="M547" s="26"/>
      <c r="N547" s="26"/>
      <c r="O547" s="26"/>
    </row>
    <row r="548" spans="1:16">
      <c r="I548" s="26"/>
      <c r="J548" s="26"/>
      <c r="K548" s="26"/>
      <c r="L548" s="26"/>
      <c r="M548" s="26"/>
      <c r="N548" s="26"/>
      <c r="O548" s="26"/>
    </row>
    <row r="549" spans="1:16">
      <c r="A549" s="26"/>
      <c r="B549" s="26"/>
      <c r="C549" s="26"/>
      <c r="D549" s="26"/>
      <c r="E549" s="26"/>
      <c r="F549" s="26"/>
      <c r="G549" s="26"/>
    </row>
    <row r="550" spans="1:16">
      <c r="A550" s="26"/>
      <c r="B550" s="26"/>
      <c r="C550" s="26"/>
      <c r="D550" s="26"/>
      <c r="E550" s="26"/>
      <c r="F550" s="26"/>
      <c r="G550" s="26"/>
      <c r="L550" s="30" t="s">
        <v>24</v>
      </c>
      <c r="M550" s="30"/>
      <c r="N550" s="30"/>
    </row>
    <row r="551" spans="1:16" ht="18">
      <c r="A551" s="26"/>
      <c r="B551" s="26"/>
      <c r="C551" s="26"/>
      <c r="D551" s="26"/>
      <c r="E551" s="757"/>
      <c r="F551" s="757"/>
      <c r="G551" s="757"/>
      <c r="L551" s="30" t="s">
        <v>149</v>
      </c>
      <c r="M551" s="30"/>
      <c r="N551" s="30"/>
    </row>
    <row r="552" spans="1:16">
      <c r="L552" s="604" t="s">
        <v>150</v>
      </c>
      <c r="M552" s="604"/>
      <c r="N552" s="604"/>
      <c r="O552" s="604"/>
    </row>
    <row r="553" spans="1:16">
      <c r="L553" s="403"/>
      <c r="M553" s="403"/>
      <c r="N553" s="403"/>
      <c r="O553" s="403"/>
    </row>
    <row r="554" spans="1:16" ht="15.75" customHeight="1">
      <c r="L554" s="30"/>
    </row>
    <row r="555" spans="1:16" ht="45.75" customHeight="1">
      <c r="C555" s="688" t="s">
        <v>1</v>
      </c>
      <c r="D555" s="688"/>
      <c r="E555" s="688"/>
      <c r="F555" s="688"/>
      <c r="L555" s="645" t="s">
        <v>2347</v>
      </c>
      <c r="M555" s="645"/>
      <c r="N555" s="645"/>
      <c r="O555" s="645"/>
    </row>
    <row r="556" spans="1:16" ht="17.25">
      <c r="L556" s="417"/>
      <c r="M556" s="417"/>
      <c r="N556" s="417"/>
      <c r="O556" s="417"/>
    </row>
    <row r="557" spans="1:16" ht="20.25" customHeight="1">
      <c r="A557" s="30" t="s">
        <v>833</v>
      </c>
      <c r="I557" s="26"/>
      <c r="J557" s="26"/>
      <c r="K557" s="26"/>
      <c r="L557" s="645"/>
      <c r="M557" s="645"/>
      <c r="N557" s="645"/>
      <c r="O557" s="645"/>
      <c r="P557" s="145"/>
    </row>
    <row r="558" spans="1:16" ht="17.25" thickBot="1">
      <c r="A558" s="30"/>
      <c r="G558" s="141"/>
      <c r="I558" s="617" t="s">
        <v>0</v>
      </c>
      <c r="J558" s="617"/>
      <c r="K558" s="617"/>
      <c r="L558" s="617"/>
      <c r="M558" s="617"/>
      <c r="N558" s="617"/>
      <c r="O558" s="617"/>
      <c r="P558" s="617"/>
    </row>
    <row r="559" spans="1:16">
      <c r="B559" s="30"/>
      <c r="F559" s="143"/>
      <c r="H559" s="144"/>
      <c r="I559" s="474"/>
      <c r="J559" s="474"/>
      <c r="K559" s="474"/>
      <c r="L559" s="474"/>
      <c r="M559" s="474"/>
      <c r="N559" s="474"/>
      <c r="O559" s="474"/>
      <c r="P559" s="474"/>
    </row>
    <row r="560" spans="1:16" ht="17.25">
      <c r="F560" s="753" t="s">
        <v>28</v>
      </c>
      <c r="G560" s="754"/>
      <c r="H560" s="755"/>
    </row>
    <row r="561" spans="1:16" ht="39.75" customHeight="1">
      <c r="A561" s="12" t="s">
        <v>114</v>
      </c>
      <c r="E561" s="30" t="s">
        <v>2</v>
      </c>
      <c r="H561" s="65"/>
      <c r="I561" s="760" t="s">
        <v>1</v>
      </c>
      <c r="J561" s="760"/>
      <c r="K561" s="760"/>
      <c r="L561" s="760"/>
      <c r="M561" s="760"/>
      <c r="N561" s="760"/>
      <c r="O561" s="760"/>
      <c r="P561" s="760"/>
    </row>
    <row r="562" spans="1:16" ht="16.5" customHeight="1">
      <c r="F562" s="601" t="s">
        <v>29</v>
      </c>
      <c r="G562" s="602"/>
      <c r="H562" s="603"/>
      <c r="K562" s="688"/>
      <c r="L562" s="688"/>
      <c r="M562" s="688"/>
      <c r="N562" s="688"/>
    </row>
    <row r="563" spans="1:16" ht="15.75" customHeight="1" thickBot="1">
      <c r="F563" s="140"/>
      <c r="G563" s="141"/>
      <c r="H563" s="142"/>
      <c r="K563" s="642"/>
      <c r="L563" s="642"/>
      <c r="M563" s="642"/>
      <c r="N563" s="642"/>
    </row>
    <row r="564" spans="1:16" ht="17.25">
      <c r="A564" s="30" t="s">
        <v>27</v>
      </c>
      <c r="B564" s="12" t="s">
        <v>29</v>
      </c>
      <c r="I564" s="375"/>
      <c r="J564" s="503" t="s">
        <v>1668</v>
      </c>
    </row>
    <row r="565" spans="1:16" ht="17.25" thickBot="1">
      <c r="A565" s="30" t="s">
        <v>834</v>
      </c>
      <c r="B565" s="30"/>
    </row>
    <row r="566" spans="1:16" ht="17.25" thickBot="1">
      <c r="N566" s="143"/>
      <c r="P566" s="144"/>
    </row>
    <row r="567" spans="1:16" ht="17.25" customHeight="1" thickBot="1">
      <c r="A567" s="13" t="s">
        <v>3</v>
      </c>
      <c r="B567" s="696" t="s">
        <v>4</v>
      </c>
      <c r="C567" s="697"/>
      <c r="D567" s="697"/>
      <c r="E567" s="697"/>
      <c r="F567" s="697"/>
      <c r="G567" s="698"/>
      <c r="H567" s="20" t="s">
        <v>5</v>
      </c>
      <c r="I567" s="30"/>
      <c r="N567" s="647" t="s">
        <v>1921</v>
      </c>
      <c r="O567" s="610"/>
      <c r="P567" s="648"/>
    </row>
    <row r="568" spans="1:16" ht="17.25" thickBot="1">
      <c r="A568" s="692" t="s">
        <v>829</v>
      </c>
      <c r="B568" s="143"/>
      <c r="C568" s="159"/>
      <c r="D568" s="159"/>
      <c r="E568" s="159"/>
      <c r="F568" s="159"/>
      <c r="G568" s="144"/>
      <c r="H568" s="65"/>
      <c r="J568" s="30"/>
      <c r="L568" s="249" t="s">
        <v>2</v>
      </c>
      <c r="N568" s="605" t="s">
        <v>1922</v>
      </c>
      <c r="O568" s="605"/>
      <c r="P568" s="649"/>
    </row>
    <row r="569" spans="1:16" ht="17.25" thickBot="1">
      <c r="A569" s="693"/>
      <c r="B569" s="598" t="s">
        <v>6</v>
      </c>
      <c r="C569" s="600"/>
      <c r="D569" s="591"/>
      <c r="E569" s="15" t="s">
        <v>7</v>
      </c>
      <c r="F569" s="16"/>
      <c r="G569" s="32"/>
      <c r="H569" s="65"/>
      <c r="I569" s="12" t="s">
        <v>114</v>
      </c>
      <c r="L569" s="30"/>
      <c r="N569" s="601" t="s">
        <v>163</v>
      </c>
      <c r="O569" s="602"/>
      <c r="P569" s="603"/>
    </row>
    <row r="570" spans="1:16" ht="17.25" thickBot="1">
      <c r="A570" s="693"/>
      <c r="B570" s="17" t="s">
        <v>26</v>
      </c>
      <c r="C570" s="18" t="s">
        <v>8</v>
      </c>
      <c r="D570" s="18"/>
      <c r="E570" s="18" t="s">
        <v>10</v>
      </c>
      <c r="F570" s="19" t="s">
        <v>8</v>
      </c>
      <c r="G570" s="18" t="s">
        <v>11</v>
      </c>
      <c r="H570" s="65"/>
      <c r="L570" s="30"/>
      <c r="N570" s="140"/>
      <c r="O570" s="141"/>
      <c r="P570" s="142"/>
    </row>
    <row r="571" spans="1:16">
      <c r="A571" s="693"/>
      <c r="B571" s="160">
        <v>3</v>
      </c>
      <c r="C571" s="154">
        <v>10000</v>
      </c>
      <c r="D571" s="154"/>
      <c r="E571" s="154"/>
      <c r="F571" s="154"/>
      <c r="G571" s="161">
        <f>+E571*F571</f>
        <v>0</v>
      </c>
      <c r="H571" s="39" t="e">
        <f>+#REF!+G571</f>
        <v>#REF!</v>
      </c>
      <c r="J571" s="167" t="s">
        <v>27</v>
      </c>
      <c r="K571" s="394" t="s">
        <v>148</v>
      </c>
    </row>
    <row r="572" spans="1:16">
      <c r="A572" s="693"/>
      <c r="B572" s="64"/>
      <c r="G572" s="65"/>
      <c r="H572" s="65"/>
      <c r="J572" s="30"/>
    </row>
    <row r="573" spans="1:16" ht="17.25" thickBot="1">
      <c r="A573" s="693"/>
      <c r="B573" s="64"/>
      <c r="G573" s="65"/>
      <c r="H573" s="65"/>
      <c r="I573" s="249"/>
    </row>
    <row r="574" spans="1:16" ht="17.25" customHeight="1" thickBot="1">
      <c r="A574" s="693"/>
      <c r="B574" s="140"/>
      <c r="C574" s="141"/>
      <c r="D574" s="141"/>
      <c r="E574" s="141"/>
      <c r="F574" s="141"/>
      <c r="G574" s="142"/>
      <c r="H574" s="65"/>
      <c r="I574" s="363" t="s">
        <v>112</v>
      </c>
      <c r="J574" s="750" t="s">
        <v>4</v>
      </c>
      <c r="K574" s="751"/>
      <c r="L574" s="751"/>
      <c r="M574" s="751"/>
      <c r="N574" s="751"/>
      <c r="O574" s="752"/>
      <c r="P574" s="20" t="s">
        <v>5</v>
      </c>
    </row>
    <row r="575" spans="1:16" ht="17.25" customHeight="1" thickBot="1">
      <c r="A575" s="20" t="s">
        <v>563</v>
      </c>
      <c r="B575" s="611" t="s">
        <v>13</v>
      </c>
      <c r="C575" s="612"/>
      <c r="D575" s="585"/>
      <c r="E575" s="20"/>
      <c r="F575" s="21" t="s">
        <v>15</v>
      </c>
      <c r="G575" s="21" t="s">
        <v>16</v>
      </c>
      <c r="H575" s="20" t="s">
        <v>17</v>
      </c>
      <c r="I575" s="627" t="s">
        <v>2806</v>
      </c>
      <c r="J575" s="143"/>
      <c r="K575" s="159"/>
      <c r="L575" s="159"/>
      <c r="M575" s="159"/>
      <c r="N575" s="159"/>
      <c r="O575" s="144"/>
      <c r="P575" s="291"/>
    </row>
    <row r="576" spans="1:16" ht="17.25" customHeight="1" thickBot="1">
      <c r="A576" s="22">
        <v>85</v>
      </c>
      <c r="B576" s="606" t="e">
        <f>+#REF!</f>
        <v>#REF!</v>
      </c>
      <c r="C576" s="652"/>
      <c r="D576" s="596"/>
      <c r="E576" s="24"/>
      <c r="F576" s="25">
        <f>0</f>
        <v>0</v>
      </c>
      <c r="G576" s="36">
        <f>+G571</f>
        <v>0</v>
      </c>
      <c r="H576" s="38" t="e">
        <f>+H571</f>
        <v>#REF!</v>
      </c>
      <c r="I576" s="628"/>
      <c r="J576" s="64"/>
      <c r="O576" s="65"/>
      <c r="P576" s="291"/>
    </row>
    <row r="577" spans="1:16">
      <c r="I577" s="628"/>
      <c r="J577" s="630" t="s">
        <v>286</v>
      </c>
      <c r="K577" s="631"/>
      <c r="L577" s="631"/>
      <c r="M577" s="631"/>
      <c r="N577" s="631"/>
      <c r="O577" s="632"/>
      <c r="P577" s="291"/>
    </row>
    <row r="578" spans="1:16">
      <c r="A578" s="37" t="s">
        <v>835</v>
      </c>
      <c r="B578" s="26"/>
      <c r="C578" s="26"/>
      <c r="D578" s="26"/>
      <c r="E578" s="26"/>
      <c r="F578" s="26"/>
      <c r="G578" s="26"/>
      <c r="I578" s="628"/>
      <c r="J578" s="636" t="s">
        <v>2816</v>
      </c>
      <c r="K578" s="637"/>
      <c r="L578" s="637"/>
      <c r="M578" s="637"/>
      <c r="N578" s="637"/>
      <c r="O578" s="638"/>
      <c r="P578" s="148">
        <v>14875000</v>
      </c>
    </row>
    <row r="579" spans="1:16">
      <c r="A579" s="26" t="s">
        <v>19</v>
      </c>
      <c r="B579" s="26"/>
      <c r="C579" s="26"/>
      <c r="D579" s="26"/>
      <c r="E579" s="26"/>
      <c r="F579" s="26"/>
      <c r="G579" s="26"/>
      <c r="I579" s="628"/>
      <c r="J579" s="64"/>
      <c r="K579" s="403"/>
      <c r="L579" s="403"/>
      <c r="M579" s="403"/>
      <c r="O579" s="65"/>
      <c r="P579" s="291"/>
    </row>
    <row r="580" spans="1:16" ht="17.25" thickBot="1">
      <c r="A580" s="26" t="s">
        <v>965</v>
      </c>
      <c r="B580" s="26"/>
      <c r="C580" s="26"/>
      <c r="D580" s="26"/>
      <c r="E580" s="26"/>
      <c r="F580" s="26"/>
      <c r="G580" s="26"/>
      <c r="I580" s="629"/>
      <c r="J580" s="140"/>
      <c r="K580" s="141"/>
      <c r="L580" s="141"/>
      <c r="M580" s="141"/>
      <c r="N580" s="141"/>
      <c r="O580" s="142"/>
      <c r="P580" s="291"/>
    </row>
    <row r="581" spans="1:16" ht="17.25" thickBot="1">
      <c r="A581" s="26" t="s">
        <v>21</v>
      </c>
      <c r="B581" s="26"/>
      <c r="C581" s="26"/>
      <c r="D581" s="26"/>
      <c r="E581" s="26"/>
      <c r="F581" s="26"/>
      <c r="G581" s="26"/>
      <c r="I581" s="20" t="s">
        <v>12</v>
      </c>
      <c r="J581" s="611" t="s">
        <v>13</v>
      </c>
      <c r="K581" s="612"/>
      <c r="L581" s="62" t="s">
        <v>14</v>
      </c>
      <c r="M581" s="63"/>
      <c r="N581" s="62" t="s">
        <v>15</v>
      </c>
      <c r="O581" s="20" t="s">
        <v>16</v>
      </c>
      <c r="P581" s="20" t="s">
        <v>17</v>
      </c>
    </row>
    <row r="582" spans="1:16" ht="18" thickBot="1">
      <c r="A582" s="26" t="s">
        <v>1229</v>
      </c>
      <c r="B582" s="26"/>
      <c r="C582" s="26"/>
      <c r="D582" s="26"/>
      <c r="E582" s="26"/>
      <c r="F582" s="26"/>
      <c r="G582" s="26"/>
      <c r="I582" s="22" t="s">
        <v>18</v>
      </c>
      <c r="J582" s="606">
        <f>+P578</f>
        <v>14875000</v>
      </c>
      <c r="K582" s="652"/>
      <c r="L582" s="23">
        <f>0</f>
        <v>0</v>
      </c>
      <c r="M582" s="24"/>
      <c r="N582" s="25">
        <f>0</f>
        <v>0</v>
      </c>
      <c r="O582" s="36">
        <f>+J582</f>
        <v>14875000</v>
      </c>
      <c r="P582" s="38">
        <f>+P578</f>
        <v>14875000</v>
      </c>
    </row>
    <row r="583" spans="1:16" ht="18" thickBot="1">
      <c r="I583" s="22" t="s">
        <v>113</v>
      </c>
      <c r="J583" s="606">
        <f>+J582/650.599</f>
        <v>22863.545747841603</v>
      </c>
      <c r="K583" s="652"/>
      <c r="L583" s="23">
        <f>0</f>
        <v>0</v>
      </c>
      <c r="M583" s="24"/>
      <c r="N583" s="25">
        <f>0</f>
        <v>0</v>
      </c>
      <c r="O583" s="36">
        <f>+J583</f>
        <v>22863.545747841603</v>
      </c>
      <c r="P583" s="38">
        <f>+O583</f>
        <v>22863.545747841603</v>
      </c>
    </row>
    <row r="585" spans="1:16">
      <c r="I585" s="37" t="s">
        <v>1373</v>
      </c>
      <c r="J585" s="26"/>
      <c r="K585" s="26"/>
      <c r="L585" s="26"/>
      <c r="M585" s="26"/>
      <c r="N585" s="26"/>
      <c r="O585" s="26"/>
    </row>
    <row r="586" spans="1:16">
      <c r="E586" s="30" t="s">
        <v>24</v>
      </c>
      <c r="F586" s="30"/>
      <c r="G586" s="30"/>
      <c r="I586" s="394" t="s">
        <v>2468</v>
      </c>
    </row>
    <row r="587" spans="1:16">
      <c r="E587" s="30" t="s">
        <v>149</v>
      </c>
      <c r="F587" s="30"/>
      <c r="G587" s="30"/>
      <c r="I587" s="26"/>
      <c r="J587" s="26"/>
      <c r="K587" s="26"/>
      <c r="L587" s="26"/>
      <c r="M587" s="26"/>
      <c r="N587" s="26"/>
      <c r="O587" s="26"/>
    </row>
    <row r="588" spans="1:16">
      <c r="E588" s="699" t="s">
        <v>150</v>
      </c>
      <c r="F588" s="699"/>
      <c r="G588" s="699"/>
      <c r="I588" s="26" t="s">
        <v>965</v>
      </c>
      <c r="J588" s="26"/>
      <c r="K588" s="26"/>
      <c r="L588" s="26"/>
      <c r="M588" s="26"/>
      <c r="N588" s="26"/>
      <c r="O588" s="26"/>
    </row>
    <row r="589" spans="1:16">
      <c r="I589" s="26" t="s">
        <v>21</v>
      </c>
      <c r="J589" s="26"/>
      <c r="K589" s="26"/>
      <c r="L589" s="26"/>
      <c r="M589" s="26"/>
      <c r="N589" s="26"/>
      <c r="O589" s="26"/>
    </row>
    <row r="590" spans="1:16">
      <c r="E590" s="26"/>
      <c r="F590" s="26"/>
      <c r="G590" s="26"/>
      <c r="I590" s="26" t="s">
        <v>1229</v>
      </c>
      <c r="J590" s="26"/>
      <c r="K590" s="26"/>
      <c r="L590" s="26"/>
      <c r="M590" s="26"/>
      <c r="N590" s="26"/>
      <c r="O590" s="26"/>
    </row>
    <row r="591" spans="1:16" ht="18" customHeight="1">
      <c r="A591" s="26"/>
      <c r="B591" s="26"/>
      <c r="C591" s="26"/>
      <c r="D591" s="26"/>
      <c r="E591" s="759" t="s">
        <v>23</v>
      </c>
      <c r="F591" s="759"/>
      <c r="G591" s="759"/>
    </row>
    <row r="592" spans="1:16" ht="18">
      <c r="A592" s="26"/>
      <c r="B592" s="26"/>
      <c r="C592" s="26"/>
      <c r="D592" s="26"/>
      <c r="E592" s="365"/>
      <c r="F592" s="366"/>
      <c r="G592" s="366"/>
    </row>
    <row r="593" spans="9:16">
      <c r="L593" s="30" t="s">
        <v>24</v>
      </c>
      <c r="M593" s="30"/>
      <c r="N593" s="30"/>
    </row>
    <row r="594" spans="9:16">
      <c r="L594" s="30" t="s">
        <v>149</v>
      </c>
      <c r="M594" s="30"/>
      <c r="N594" s="30"/>
    </row>
    <row r="595" spans="9:16">
      <c r="L595" s="604" t="s">
        <v>150</v>
      </c>
      <c r="M595" s="604"/>
      <c r="N595" s="604"/>
      <c r="O595" s="604"/>
    </row>
    <row r="596" spans="9:16">
      <c r="L596" s="30"/>
    </row>
    <row r="597" spans="9:16" ht="18">
      <c r="I597" s="26"/>
      <c r="J597" s="26"/>
      <c r="K597" s="26"/>
      <c r="M597" s="26"/>
      <c r="N597" s="26"/>
      <c r="O597" s="26"/>
      <c r="P597" s="145"/>
    </row>
    <row r="598" spans="9:16" ht="18">
      <c r="I598" s="26"/>
      <c r="J598" s="26"/>
      <c r="K598" s="26"/>
      <c r="L598" s="645"/>
      <c r="M598" s="645"/>
      <c r="N598" s="645"/>
      <c r="O598" s="645"/>
      <c r="P598" s="145"/>
    </row>
    <row r="599" spans="9:16" ht="18">
      <c r="I599" s="26"/>
      <c r="J599" s="26"/>
      <c r="K599" s="26"/>
      <c r="L599" s="645"/>
      <c r="M599" s="645"/>
      <c r="N599" s="645"/>
      <c r="O599" s="645"/>
      <c r="P599" s="145"/>
    </row>
    <row r="600" spans="9:16" ht="18">
      <c r="I600" s="26"/>
      <c r="J600" s="26"/>
      <c r="K600" s="26"/>
      <c r="L600" s="361"/>
      <c r="M600" s="361"/>
      <c r="N600" s="361"/>
      <c r="O600" s="361"/>
      <c r="P600" s="145"/>
    </row>
    <row r="601" spans="9:16">
      <c r="J601" s="617" t="s">
        <v>2648</v>
      </c>
      <c r="K601" s="617"/>
      <c r="L601" s="617"/>
      <c r="M601" s="617"/>
      <c r="N601" s="617"/>
      <c r="O601" s="617"/>
      <c r="P601" s="617"/>
    </row>
    <row r="604" spans="9:16" ht="49.5" customHeight="1">
      <c r="I604" s="660" t="s">
        <v>1</v>
      </c>
      <c r="J604" s="660"/>
      <c r="K604" s="660"/>
      <c r="L604" s="660"/>
      <c r="M604" s="660"/>
      <c r="N604" s="660"/>
      <c r="O604" s="660"/>
      <c r="P604" s="660"/>
    </row>
    <row r="607" spans="9:16" ht="17.25">
      <c r="I607" s="375"/>
      <c r="J607" s="375" t="s">
        <v>710</v>
      </c>
    </row>
    <row r="608" spans="9:16" ht="17.25" thickBot="1">
      <c r="I608" s="30"/>
      <c r="O608" s="141"/>
    </row>
    <row r="609" spans="9:16">
      <c r="J609" s="30"/>
      <c r="N609" s="143"/>
      <c r="P609" s="144"/>
    </row>
    <row r="610" spans="9:16">
      <c r="N610" s="647" t="s">
        <v>2640</v>
      </c>
      <c r="O610" s="610"/>
      <c r="P610" s="648"/>
    </row>
    <row r="611" spans="9:16">
      <c r="I611" s="12" t="s">
        <v>114</v>
      </c>
      <c r="L611" s="249" t="s">
        <v>2</v>
      </c>
      <c r="N611" s="622" t="s">
        <v>2641</v>
      </c>
      <c r="O611" s="622"/>
      <c r="P611" s="623"/>
    </row>
    <row r="612" spans="9:16">
      <c r="N612" s="601" t="s">
        <v>163</v>
      </c>
      <c r="O612" s="602"/>
      <c r="P612" s="603"/>
    </row>
    <row r="613" spans="9:16" ht="17.25" thickBot="1">
      <c r="N613" s="140"/>
      <c r="O613" s="141"/>
      <c r="P613" s="142"/>
    </row>
    <row r="614" spans="9:16">
      <c r="I614" s="249" t="s">
        <v>27</v>
      </c>
      <c r="J614" s="394" t="s">
        <v>148</v>
      </c>
    </row>
    <row r="615" spans="9:16" ht="17.25" thickBot="1"/>
    <row r="616" spans="9:16" ht="17.25" thickBot="1">
      <c r="I616" s="13" t="s">
        <v>112</v>
      </c>
      <c r="J616" s="624" t="s">
        <v>4</v>
      </c>
      <c r="K616" s="625"/>
      <c r="L616" s="625"/>
      <c r="M616" s="625"/>
      <c r="N616" s="625"/>
      <c r="O616" s="626"/>
      <c r="P616" s="20" t="s">
        <v>5</v>
      </c>
    </row>
    <row r="617" spans="9:16">
      <c r="I617" s="627" t="s">
        <v>2611</v>
      </c>
      <c r="J617" s="143"/>
      <c r="K617" s="159"/>
      <c r="L617" s="159"/>
      <c r="M617" s="159"/>
      <c r="N617" s="159"/>
      <c r="O617" s="144"/>
      <c r="P617" s="291"/>
    </row>
    <row r="618" spans="9:16">
      <c r="I618" s="628"/>
      <c r="J618" s="64"/>
      <c r="O618" s="65"/>
      <c r="P618" s="291"/>
    </row>
    <row r="619" spans="9:16">
      <c r="I619" s="628"/>
      <c r="J619" s="630" t="s">
        <v>286</v>
      </c>
      <c r="K619" s="631"/>
      <c r="L619" s="631"/>
      <c r="M619" s="631"/>
      <c r="N619" s="631"/>
      <c r="O619" s="632"/>
      <c r="P619" s="291"/>
    </row>
    <row r="620" spans="9:16">
      <c r="I620" s="628"/>
      <c r="J620" s="636" t="s">
        <v>2649</v>
      </c>
      <c r="K620" s="637"/>
      <c r="L620" s="637"/>
      <c r="M620" s="637"/>
      <c r="N620" s="637"/>
      <c r="O620" s="638"/>
      <c r="P620" s="148">
        <v>1470000</v>
      </c>
    </row>
    <row r="621" spans="9:16">
      <c r="I621" s="628"/>
      <c r="J621" s="64"/>
      <c r="K621" s="604"/>
      <c r="L621" s="604"/>
      <c r="M621" s="604"/>
      <c r="O621" s="65"/>
      <c r="P621" s="291"/>
    </row>
    <row r="622" spans="9:16" ht="17.25" thickBot="1">
      <c r="I622" s="629"/>
      <c r="J622" s="140"/>
      <c r="K622" s="141"/>
      <c r="L622" s="141"/>
      <c r="M622" s="141"/>
      <c r="N622" s="141"/>
      <c r="O622" s="142"/>
      <c r="P622" s="291"/>
    </row>
    <row r="623" spans="9:16" ht="17.25" thickBot="1">
      <c r="I623" s="20" t="s">
        <v>12</v>
      </c>
      <c r="J623" s="614" t="s">
        <v>13</v>
      </c>
      <c r="K623" s="615"/>
      <c r="L623" s="62" t="s">
        <v>14</v>
      </c>
      <c r="M623" s="63"/>
      <c r="N623" s="62" t="s">
        <v>15</v>
      </c>
      <c r="O623" s="62" t="s">
        <v>16</v>
      </c>
      <c r="P623" s="20" t="s">
        <v>17</v>
      </c>
    </row>
    <row r="624" spans="9:16" ht="18" thickBot="1">
      <c r="I624" s="22" t="s">
        <v>18</v>
      </c>
      <c r="J624" s="606">
        <f>+P620</f>
        <v>1470000</v>
      </c>
      <c r="K624" s="607"/>
      <c r="L624" s="23">
        <f>0</f>
        <v>0</v>
      </c>
      <c r="M624" s="24"/>
      <c r="N624" s="25">
        <f>0</f>
        <v>0</v>
      </c>
      <c r="O624" s="36">
        <f>+J624</f>
        <v>1470000</v>
      </c>
      <c r="P624" s="38">
        <f>+P620</f>
        <v>1470000</v>
      </c>
    </row>
    <row r="625" spans="9:16" ht="18" thickBot="1">
      <c r="I625" s="22" t="s">
        <v>113</v>
      </c>
      <c r="J625" s="606">
        <f>+J624/650.599</f>
        <v>2259.4562856690527</v>
      </c>
      <c r="K625" s="607"/>
      <c r="L625" s="23">
        <f>0</f>
        <v>0</v>
      </c>
      <c r="M625" s="24"/>
      <c r="N625" s="25">
        <f>0</f>
        <v>0</v>
      </c>
      <c r="O625" s="36">
        <f>+J625</f>
        <v>2259.4562856690527</v>
      </c>
      <c r="P625" s="38">
        <f>+O625</f>
        <v>2259.4562856690527</v>
      </c>
    </row>
    <row r="627" spans="9:16">
      <c r="I627" s="395" t="s">
        <v>1268</v>
      </c>
      <c r="J627" s="26"/>
      <c r="K627" s="26"/>
      <c r="L627" s="26"/>
      <c r="M627" s="26"/>
      <c r="N627" s="26"/>
      <c r="O627" s="26"/>
    </row>
    <row r="628" spans="9:16">
      <c r="I628" s="408" t="s">
        <v>2650</v>
      </c>
      <c r="J628" s="26"/>
      <c r="K628" s="26"/>
      <c r="L628" s="26"/>
      <c r="M628" s="26"/>
      <c r="N628" s="26"/>
      <c r="O628" s="26"/>
    </row>
    <row r="629" spans="9:16">
      <c r="I629" s="82" t="s">
        <v>19</v>
      </c>
      <c r="J629" s="26"/>
      <c r="K629" s="26"/>
      <c r="L629" s="26"/>
      <c r="M629" s="26"/>
      <c r="N629" s="26"/>
      <c r="O629" s="26"/>
    </row>
    <row r="630" spans="9:16">
      <c r="I630" s="26" t="s">
        <v>965</v>
      </c>
      <c r="J630" s="26"/>
      <c r="K630" s="26"/>
      <c r="L630" s="26"/>
      <c r="M630" s="26"/>
      <c r="N630" s="26"/>
      <c r="O630" s="26"/>
    </row>
    <row r="631" spans="9:16">
      <c r="I631" s="26" t="s">
        <v>21</v>
      </c>
      <c r="J631" s="26"/>
      <c r="K631" s="26"/>
      <c r="L631" s="26"/>
      <c r="M631" s="26"/>
      <c r="N631" s="26"/>
      <c r="O631" s="26"/>
    </row>
    <row r="632" spans="9:16">
      <c r="I632" s="26" t="s">
        <v>1229</v>
      </c>
      <c r="J632" s="26"/>
      <c r="K632" s="26"/>
      <c r="L632" s="26"/>
      <c r="M632" s="26"/>
      <c r="N632" s="26"/>
      <c r="O632" s="26"/>
    </row>
    <row r="635" spans="9:16">
      <c r="L635" s="30" t="s">
        <v>24</v>
      </c>
      <c r="N635" s="30"/>
      <c r="O635" s="30"/>
    </row>
    <row r="636" spans="9:16">
      <c r="L636" s="30" t="s">
        <v>149</v>
      </c>
      <c r="N636" s="30"/>
      <c r="O636" s="30"/>
    </row>
    <row r="637" spans="9:16">
      <c r="L637" s="605" t="s">
        <v>150</v>
      </c>
      <c r="M637" s="605"/>
      <c r="N637" s="605"/>
      <c r="O637" s="605"/>
    </row>
    <row r="638" spans="9:16">
      <c r="L638" s="30"/>
    </row>
    <row r="639" spans="9:16">
      <c r="M639" s="26"/>
      <c r="N639" s="26"/>
      <c r="O639" s="26"/>
    </row>
    <row r="640" spans="9:16" ht="18">
      <c r="L640" s="145"/>
      <c r="M640" s="145"/>
      <c r="N640" s="145"/>
      <c r="O640" s="145"/>
    </row>
    <row r="641" spans="9:16" ht="18" customHeight="1">
      <c r="I641" s="26"/>
      <c r="J641" s="26"/>
      <c r="K641" s="26"/>
      <c r="L641" s="645" t="s">
        <v>2347</v>
      </c>
      <c r="M641" s="645"/>
      <c r="N641" s="645"/>
      <c r="O641" s="645"/>
      <c r="P641" s="145"/>
    </row>
    <row r="642" spans="9:16" ht="18">
      <c r="I642" s="26"/>
      <c r="J642" s="26"/>
      <c r="K642" s="26"/>
      <c r="L642" s="417"/>
      <c r="M642" s="417"/>
      <c r="N642" s="417"/>
      <c r="O642" s="417"/>
      <c r="P642" s="145"/>
    </row>
    <row r="643" spans="9:16" ht="15" customHeight="1">
      <c r="I643" s="26"/>
      <c r="J643" s="26"/>
      <c r="K643" s="26"/>
      <c r="L643" s="26"/>
      <c r="M643" s="373"/>
      <c r="N643" s="373"/>
      <c r="O643" s="373"/>
      <c r="P643" s="145"/>
    </row>
    <row r="644" spans="9:16">
      <c r="J644" s="617" t="s">
        <v>2534</v>
      </c>
      <c r="K644" s="617"/>
      <c r="L644" s="617"/>
      <c r="M644" s="617"/>
      <c r="N644" s="617"/>
      <c r="O644" s="617"/>
      <c r="P644" s="617"/>
    </row>
    <row r="647" spans="9:16" ht="49.5" customHeight="1">
      <c r="I647" s="661" t="s">
        <v>1</v>
      </c>
      <c r="J647" s="661"/>
      <c r="K647" s="661"/>
      <c r="L647" s="661"/>
      <c r="M647" s="661"/>
      <c r="N647" s="661"/>
      <c r="O647" s="661"/>
      <c r="P647" s="661"/>
    </row>
    <row r="650" spans="9:16" ht="17.25">
      <c r="I650" s="375"/>
      <c r="J650" s="503" t="s">
        <v>1913</v>
      </c>
    </row>
    <row r="651" spans="9:16" ht="17.25" thickBot="1">
      <c r="I651" s="30"/>
      <c r="O651" s="141"/>
    </row>
    <row r="652" spans="9:16">
      <c r="J652" s="30"/>
      <c r="N652" s="143"/>
      <c r="P652" s="144"/>
    </row>
    <row r="653" spans="9:16">
      <c r="N653" s="647" t="s">
        <v>2506</v>
      </c>
      <c r="O653" s="610"/>
      <c r="P653" s="648"/>
    </row>
    <row r="654" spans="9:16">
      <c r="I654" s="12" t="s">
        <v>114</v>
      </c>
      <c r="L654" s="249" t="s">
        <v>2</v>
      </c>
      <c r="N654" s="605" t="s">
        <v>2538</v>
      </c>
      <c r="O654" s="605"/>
      <c r="P654" s="649"/>
    </row>
    <row r="655" spans="9:16">
      <c r="N655" s="601" t="s">
        <v>163</v>
      </c>
      <c r="O655" s="602"/>
      <c r="P655" s="603"/>
    </row>
    <row r="656" spans="9:16" ht="17.25" thickBot="1">
      <c r="N656" s="140"/>
      <c r="O656" s="141"/>
      <c r="P656" s="142"/>
    </row>
    <row r="658" spans="9:16">
      <c r="I658" s="249" t="s">
        <v>27</v>
      </c>
      <c r="J658" s="30" t="s">
        <v>1908</v>
      </c>
    </row>
    <row r="659" spans="9:16" ht="17.25" thickBot="1"/>
    <row r="660" spans="9:16" ht="17.25" thickBot="1">
      <c r="I660" s="13" t="s">
        <v>112</v>
      </c>
      <c r="J660" s="624" t="s">
        <v>4</v>
      </c>
      <c r="K660" s="625"/>
      <c r="L660" s="625"/>
      <c r="M660" s="625"/>
      <c r="N660" s="625"/>
      <c r="O660" s="626"/>
      <c r="P660" s="20" t="s">
        <v>5</v>
      </c>
    </row>
    <row r="661" spans="9:16">
      <c r="I661" s="633" t="s">
        <v>2445</v>
      </c>
      <c r="J661" s="143"/>
      <c r="K661" s="159"/>
      <c r="L661" s="159"/>
      <c r="M661" s="159"/>
      <c r="N661" s="159"/>
      <c r="O661" s="144"/>
      <c r="P661" s="291"/>
    </row>
    <row r="662" spans="9:16">
      <c r="I662" s="634"/>
      <c r="J662" s="64"/>
      <c r="O662" s="65"/>
      <c r="P662" s="291"/>
    </row>
    <row r="663" spans="9:16">
      <c r="I663" s="634"/>
      <c r="J663" s="630" t="s">
        <v>286</v>
      </c>
      <c r="K663" s="631"/>
      <c r="L663" s="631"/>
      <c r="M663" s="631"/>
      <c r="N663" s="631"/>
      <c r="O663" s="632"/>
      <c r="P663" s="291"/>
    </row>
    <row r="664" spans="9:16">
      <c r="I664" s="634"/>
      <c r="J664" s="636" t="s">
        <v>2549</v>
      </c>
      <c r="K664" s="637"/>
      <c r="L664" s="637"/>
      <c r="M664" s="637"/>
      <c r="N664" s="637"/>
      <c r="O664" s="638"/>
      <c r="P664" s="148">
        <v>1500000</v>
      </c>
    </row>
    <row r="665" spans="9:16">
      <c r="I665" s="634"/>
      <c r="J665" s="64"/>
      <c r="K665" s="604"/>
      <c r="L665" s="604"/>
      <c r="M665" s="604"/>
      <c r="O665" s="65"/>
      <c r="P665" s="291"/>
    </row>
    <row r="666" spans="9:16" ht="17.25" thickBot="1">
      <c r="I666" s="635"/>
      <c r="J666" s="140"/>
      <c r="K666" s="141"/>
      <c r="L666" s="141"/>
      <c r="M666" s="141"/>
      <c r="N666" s="141"/>
      <c r="O666" s="142"/>
      <c r="P666" s="291"/>
    </row>
    <row r="667" spans="9:16" ht="17.25" thickBot="1">
      <c r="I667" s="20" t="s">
        <v>12</v>
      </c>
      <c r="J667" s="614" t="s">
        <v>13</v>
      </c>
      <c r="K667" s="615"/>
      <c r="L667" s="62" t="s">
        <v>14</v>
      </c>
      <c r="M667" s="63"/>
      <c r="N667" s="62" t="s">
        <v>15</v>
      </c>
      <c r="O667" s="62" t="s">
        <v>16</v>
      </c>
      <c r="P667" s="20" t="s">
        <v>17</v>
      </c>
    </row>
    <row r="668" spans="9:16" ht="18" thickBot="1">
      <c r="I668" s="22" t="s">
        <v>18</v>
      </c>
      <c r="J668" s="606">
        <f>+P664</f>
        <v>1500000</v>
      </c>
      <c r="K668" s="607"/>
      <c r="L668" s="23">
        <f>0</f>
        <v>0</v>
      </c>
      <c r="M668" s="24"/>
      <c r="N668" s="25">
        <f>0</f>
        <v>0</v>
      </c>
      <c r="O668" s="36">
        <f>+J668</f>
        <v>1500000</v>
      </c>
      <c r="P668" s="38">
        <f>+P664</f>
        <v>1500000</v>
      </c>
    </row>
    <row r="669" spans="9:16" ht="18" thickBot="1">
      <c r="I669" s="22" t="s">
        <v>113</v>
      </c>
      <c r="J669" s="606">
        <f>+J668/650.599</f>
        <v>2305.5676384378089</v>
      </c>
      <c r="K669" s="607"/>
      <c r="L669" s="23">
        <f>0</f>
        <v>0</v>
      </c>
      <c r="M669" s="24"/>
      <c r="N669" s="25">
        <f>0</f>
        <v>0</v>
      </c>
      <c r="O669" s="36">
        <f>+J669</f>
        <v>2305.5676384378089</v>
      </c>
      <c r="P669" s="38">
        <f>+O669</f>
        <v>2305.5676384378089</v>
      </c>
    </row>
    <row r="671" spans="9:16">
      <c r="I671" s="395" t="s">
        <v>1268</v>
      </c>
      <c r="J671" s="26"/>
      <c r="K671" s="26"/>
      <c r="L671" s="26"/>
      <c r="M671" s="26"/>
      <c r="N671" s="26"/>
      <c r="O671" s="26"/>
    </row>
    <row r="672" spans="9:16">
      <c r="I672" s="408" t="s">
        <v>2539</v>
      </c>
      <c r="J672" s="26"/>
      <c r="K672" s="26"/>
      <c r="L672" s="26"/>
      <c r="M672" s="26"/>
      <c r="N672" s="26"/>
      <c r="O672" s="26"/>
    </row>
    <row r="673" spans="9:16">
      <c r="I673" s="82" t="s">
        <v>19</v>
      </c>
      <c r="J673" s="26"/>
      <c r="K673" s="26"/>
      <c r="L673" s="26"/>
      <c r="M673" s="26"/>
      <c r="N673" s="26"/>
      <c r="O673" s="26"/>
    </row>
    <row r="674" spans="9:16">
      <c r="I674" s="26" t="s">
        <v>965</v>
      </c>
      <c r="J674" s="26"/>
      <c r="K674" s="26"/>
      <c r="L674" s="26"/>
      <c r="M674" s="26"/>
      <c r="N674" s="26"/>
      <c r="O674" s="26"/>
    </row>
    <row r="675" spans="9:16">
      <c r="I675" s="26" t="s">
        <v>21</v>
      </c>
      <c r="J675" s="26"/>
      <c r="K675" s="26"/>
      <c r="L675" s="26"/>
      <c r="M675" s="26"/>
      <c r="N675" s="26"/>
      <c r="O675" s="26"/>
    </row>
    <row r="676" spans="9:16">
      <c r="I676" s="26" t="s">
        <v>1229</v>
      </c>
      <c r="J676" s="26"/>
      <c r="K676" s="26"/>
      <c r="L676" s="26"/>
      <c r="M676" s="26"/>
      <c r="N676" s="26"/>
      <c r="O676" s="26"/>
    </row>
    <row r="679" spans="9:16">
      <c r="L679" s="30" t="s">
        <v>24</v>
      </c>
      <c r="N679" s="30"/>
      <c r="O679" s="30"/>
    </row>
    <row r="680" spans="9:16">
      <c r="L680" s="30" t="s">
        <v>149</v>
      </c>
      <c r="N680" s="30"/>
      <c r="O680" s="30"/>
    </row>
    <row r="681" spans="9:16">
      <c r="L681" s="605" t="s">
        <v>624</v>
      </c>
      <c r="M681" s="605"/>
      <c r="N681" s="605"/>
      <c r="O681" s="605"/>
    </row>
    <row r="682" spans="9:16">
      <c r="L682" s="30"/>
    </row>
    <row r="683" spans="9:16">
      <c r="L683" s="30"/>
    </row>
    <row r="684" spans="9:16">
      <c r="M684" s="26"/>
      <c r="N684" s="26"/>
      <c r="O684" s="26"/>
    </row>
    <row r="685" spans="9:16" ht="18">
      <c r="I685" s="26"/>
      <c r="J685" s="26"/>
      <c r="K685" s="26"/>
      <c r="L685" s="645" t="s">
        <v>2347</v>
      </c>
      <c r="M685" s="645"/>
      <c r="N685" s="645"/>
      <c r="O685" s="645"/>
      <c r="P685" s="145"/>
    </row>
    <row r="686" spans="9:16" ht="18">
      <c r="I686" s="26"/>
      <c r="J686" s="26"/>
      <c r="K686" s="26"/>
      <c r="L686" s="26"/>
      <c r="M686" s="373"/>
      <c r="N686" s="373"/>
      <c r="O686" s="373"/>
      <c r="P686" s="145"/>
    </row>
    <row r="687" spans="9:16">
      <c r="I687" s="617" t="s">
        <v>2607</v>
      </c>
      <c r="J687" s="617"/>
      <c r="K687" s="617"/>
      <c r="L687" s="617"/>
      <c r="M687" s="617"/>
      <c r="N687" s="617"/>
      <c r="O687" s="617"/>
      <c r="P687" s="617"/>
    </row>
    <row r="690" spans="9:16" ht="49.5" customHeight="1">
      <c r="I690" s="665" t="s">
        <v>1</v>
      </c>
      <c r="J690" s="665"/>
      <c r="K690" s="665"/>
      <c r="L690" s="665"/>
      <c r="M690" s="665"/>
      <c r="N690" s="665"/>
      <c r="O690" s="665"/>
      <c r="P690" s="665"/>
    </row>
    <row r="693" spans="9:16" ht="17.25">
      <c r="I693" s="375"/>
      <c r="J693" s="503" t="s">
        <v>1392</v>
      </c>
    </row>
    <row r="694" spans="9:16" ht="17.25" thickBot="1">
      <c r="I694" s="30"/>
      <c r="O694" s="141"/>
    </row>
    <row r="695" spans="9:16">
      <c r="J695" s="30"/>
      <c r="N695" s="143"/>
      <c r="P695" s="144"/>
    </row>
    <row r="696" spans="9:16">
      <c r="N696" s="619" t="s">
        <v>2826</v>
      </c>
      <c r="O696" s="620"/>
      <c r="P696" s="621"/>
    </row>
    <row r="697" spans="9:16">
      <c r="I697" s="455" t="s">
        <v>114</v>
      </c>
      <c r="L697" s="249" t="s">
        <v>2</v>
      </c>
      <c r="N697" s="605" t="s">
        <v>1639</v>
      </c>
      <c r="O697" s="605"/>
      <c r="P697" s="649"/>
    </row>
    <row r="698" spans="9:16">
      <c r="N698" s="601" t="s">
        <v>163</v>
      </c>
      <c r="O698" s="602"/>
      <c r="P698" s="603"/>
    </row>
    <row r="699" spans="9:16" ht="17.25" thickBot="1">
      <c r="N699" s="140"/>
      <c r="O699" s="141"/>
      <c r="P699" s="142"/>
    </row>
    <row r="701" spans="9:16">
      <c r="I701" s="249" t="s">
        <v>27</v>
      </c>
      <c r="J701" s="394" t="s">
        <v>148</v>
      </c>
    </row>
    <row r="702" spans="9:16" ht="17.25" thickBot="1"/>
    <row r="703" spans="9:16" ht="17.25" thickBot="1">
      <c r="I703" s="13" t="s">
        <v>112</v>
      </c>
      <c r="J703" s="624" t="s">
        <v>4</v>
      </c>
      <c r="K703" s="625"/>
      <c r="L703" s="625"/>
      <c r="M703" s="625"/>
      <c r="N703" s="625"/>
      <c r="O703" s="626"/>
      <c r="P703" s="20" t="s">
        <v>5</v>
      </c>
    </row>
    <row r="704" spans="9:16">
      <c r="I704" s="627" t="s">
        <v>2806</v>
      </c>
      <c r="J704" s="143"/>
      <c r="K704" s="159"/>
      <c r="L704" s="159"/>
      <c r="M704" s="159"/>
      <c r="N704" s="159"/>
      <c r="O704" s="144"/>
      <c r="P704" s="291"/>
    </row>
    <row r="705" spans="9:16">
      <c r="I705" s="628"/>
      <c r="J705" s="64"/>
      <c r="O705" s="65"/>
      <c r="P705" s="291"/>
    </row>
    <row r="706" spans="9:16">
      <c r="I706" s="628"/>
      <c r="J706" s="66"/>
      <c r="K706" s="367"/>
      <c r="L706" s="367" t="s">
        <v>286</v>
      </c>
      <c r="M706" s="367"/>
      <c r="N706" s="367"/>
      <c r="O706" s="67"/>
      <c r="P706" s="291"/>
    </row>
    <row r="707" spans="9:16">
      <c r="I707" s="628"/>
      <c r="J707" s="385"/>
      <c r="K707" s="187"/>
      <c r="L707" s="551" t="s">
        <v>2828</v>
      </c>
      <c r="M707" s="187"/>
      <c r="N707" s="187"/>
      <c r="O707" s="132"/>
      <c r="P707" s="548">
        <v>25661500</v>
      </c>
    </row>
    <row r="708" spans="9:16">
      <c r="I708" s="628"/>
      <c r="J708" s="64"/>
      <c r="K708" s="604"/>
      <c r="L708" s="604"/>
      <c r="M708" s="604"/>
      <c r="O708" s="65"/>
      <c r="P708" s="291"/>
    </row>
    <row r="709" spans="9:16" ht="17.25" thickBot="1">
      <c r="I709" s="629"/>
      <c r="J709" s="140"/>
      <c r="K709" s="141"/>
      <c r="L709" s="141"/>
      <c r="M709" s="141"/>
      <c r="N709" s="141"/>
      <c r="O709" s="142"/>
      <c r="P709" s="291"/>
    </row>
    <row r="710" spans="9:16" ht="17.25" thickBot="1">
      <c r="I710" s="20" t="s">
        <v>12</v>
      </c>
      <c r="J710" s="614" t="s">
        <v>13</v>
      </c>
      <c r="K710" s="615"/>
      <c r="L710" s="62" t="s">
        <v>14</v>
      </c>
      <c r="M710" s="63"/>
      <c r="N710" s="62" t="s">
        <v>15</v>
      </c>
      <c r="O710" s="62" t="s">
        <v>16</v>
      </c>
      <c r="P710" s="20" t="s">
        <v>17</v>
      </c>
    </row>
    <row r="711" spans="9:16" ht="18" thickBot="1">
      <c r="I711" s="22" t="s">
        <v>18</v>
      </c>
      <c r="J711" s="606">
        <f>+P707</f>
        <v>25661500</v>
      </c>
      <c r="K711" s="607"/>
      <c r="L711" s="23">
        <f>0</f>
        <v>0</v>
      </c>
      <c r="M711" s="24"/>
      <c r="N711" s="25">
        <f>0</f>
        <v>0</v>
      </c>
      <c r="O711" s="36">
        <f>+J711</f>
        <v>25661500</v>
      </c>
      <c r="P711" s="38">
        <f>+P707</f>
        <v>25661500</v>
      </c>
    </row>
    <row r="712" spans="9:16" ht="18" thickBot="1">
      <c r="I712" s="22" t="s">
        <v>113</v>
      </c>
      <c r="J712" s="606">
        <f>+J711/650.599</f>
        <v>39442.882635847884</v>
      </c>
      <c r="K712" s="607"/>
      <c r="L712" s="23">
        <f>0</f>
        <v>0</v>
      </c>
      <c r="M712" s="24"/>
      <c r="N712" s="25">
        <f>0</f>
        <v>0</v>
      </c>
      <c r="O712" s="36">
        <f>+J712</f>
        <v>39442.882635847884</v>
      </c>
      <c r="P712" s="38">
        <f>+O712</f>
        <v>39442.882635847884</v>
      </c>
    </row>
    <row r="714" spans="9:16">
      <c r="I714" s="26" t="s">
        <v>1268</v>
      </c>
      <c r="J714" s="26"/>
      <c r="K714" s="26"/>
      <c r="L714" s="26"/>
      <c r="M714" s="26"/>
      <c r="N714" s="26"/>
      <c r="O714" s="26"/>
    </row>
    <row r="715" spans="9:16">
      <c r="I715" s="413" t="s">
        <v>2829</v>
      </c>
      <c r="J715" s="26"/>
      <c r="K715" s="26"/>
      <c r="L715" s="26"/>
      <c r="M715" s="26"/>
      <c r="N715" s="26"/>
      <c r="O715" s="26"/>
    </row>
    <row r="716" spans="9:16">
      <c r="I716" s="82" t="s">
        <v>19</v>
      </c>
      <c r="J716" s="26"/>
      <c r="K716" s="26"/>
      <c r="L716" s="26"/>
      <c r="M716" s="26"/>
      <c r="N716" s="26"/>
      <c r="O716" s="26"/>
    </row>
    <row r="717" spans="9:16">
      <c r="I717" s="26" t="s">
        <v>965</v>
      </c>
      <c r="J717" s="26"/>
      <c r="K717" s="26"/>
      <c r="L717" s="26"/>
      <c r="M717" s="26"/>
      <c r="N717" s="26"/>
      <c r="O717" s="26"/>
    </row>
    <row r="718" spans="9:16">
      <c r="I718" s="26" t="s">
        <v>21</v>
      </c>
      <c r="J718" s="26"/>
      <c r="K718" s="26"/>
      <c r="L718" s="26"/>
      <c r="M718" s="26"/>
      <c r="N718" s="26"/>
      <c r="O718" s="26"/>
    </row>
    <row r="719" spans="9:16">
      <c r="I719" s="26" t="s">
        <v>1229</v>
      </c>
      <c r="J719" s="26"/>
      <c r="K719" s="26"/>
      <c r="L719" s="26"/>
      <c r="M719" s="26"/>
      <c r="N719" s="26"/>
      <c r="O719" s="26"/>
    </row>
    <row r="722" spans="9:16">
      <c r="L722" s="30" t="s">
        <v>24</v>
      </c>
      <c r="N722" s="30"/>
      <c r="O722" s="30"/>
    </row>
    <row r="723" spans="9:16">
      <c r="L723" s="30" t="s">
        <v>149</v>
      </c>
      <c r="N723" s="30"/>
      <c r="O723" s="30"/>
    </row>
    <row r="724" spans="9:16">
      <c r="L724" s="605" t="s">
        <v>150</v>
      </c>
      <c r="M724" s="605"/>
      <c r="N724" s="605"/>
      <c r="O724" s="605"/>
    </row>
    <row r="726" spans="9:16">
      <c r="M726" s="26"/>
      <c r="N726" s="26"/>
      <c r="O726" s="26"/>
    </row>
    <row r="727" spans="9:16" ht="17.25">
      <c r="L727" s="644"/>
      <c r="M727" s="644"/>
      <c r="N727" s="644"/>
      <c r="O727" s="644"/>
    </row>
    <row r="728" spans="9:16" ht="18">
      <c r="I728" s="26"/>
      <c r="J728" s="26"/>
      <c r="K728" s="26"/>
      <c r="L728" s="644"/>
      <c r="M728" s="644"/>
      <c r="N728" s="644"/>
      <c r="O728" s="644"/>
      <c r="P728" s="145"/>
    </row>
    <row r="729" spans="9:16" ht="18">
      <c r="I729" s="26"/>
      <c r="J729" s="26"/>
      <c r="K729" s="26"/>
      <c r="L729" s="644"/>
      <c r="M729" s="644"/>
      <c r="N729" s="644"/>
      <c r="O729" s="644"/>
      <c r="P729" s="145"/>
    </row>
    <row r="730" spans="9:16">
      <c r="J730" s="617" t="s">
        <v>2534</v>
      </c>
      <c r="K730" s="617"/>
      <c r="L730" s="617"/>
      <c r="M730" s="617"/>
      <c r="N730" s="617"/>
      <c r="O730" s="617"/>
      <c r="P730" s="617"/>
    </row>
    <row r="733" spans="9:16" ht="49.5" customHeight="1">
      <c r="I733" s="642" t="s">
        <v>1</v>
      </c>
      <c r="J733" s="642"/>
      <c r="K733" s="642"/>
      <c r="L733" s="642"/>
      <c r="M733" s="642"/>
      <c r="N733" s="642"/>
      <c r="O733" s="642"/>
      <c r="P733" s="642"/>
    </row>
    <row r="736" spans="9:16" ht="17.25">
      <c r="I736" s="375"/>
      <c r="J736" s="503" t="s">
        <v>2542</v>
      </c>
    </row>
    <row r="737" spans="9:16" ht="17.25" thickBot="1">
      <c r="I737" s="30"/>
      <c r="O737" s="141"/>
    </row>
    <row r="738" spans="9:16">
      <c r="J738" s="30"/>
      <c r="N738" s="143"/>
      <c r="P738" s="144"/>
    </row>
    <row r="739" spans="9:16">
      <c r="N739" s="647" t="s">
        <v>2540</v>
      </c>
      <c r="O739" s="610"/>
      <c r="P739" s="648"/>
    </row>
    <row r="740" spans="9:16">
      <c r="I740" s="12" t="s">
        <v>114</v>
      </c>
      <c r="L740" s="30" t="s">
        <v>2</v>
      </c>
      <c r="N740" s="605" t="s">
        <v>2541</v>
      </c>
      <c r="O740" s="605"/>
      <c r="P740" s="649"/>
    </row>
    <row r="741" spans="9:16">
      <c r="N741" s="601" t="s">
        <v>163</v>
      </c>
      <c r="O741" s="602"/>
      <c r="P741" s="603"/>
    </row>
    <row r="742" spans="9:16" ht="17.25" thickBot="1">
      <c r="N742" s="140"/>
      <c r="O742" s="141"/>
      <c r="P742" s="142"/>
    </row>
    <row r="744" spans="9:16">
      <c r="I744" s="249" t="s">
        <v>27</v>
      </c>
      <c r="J744" s="394" t="s">
        <v>115</v>
      </c>
    </row>
    <row r="745" spans="9:16" ht="17.25" thickBot="1"/>
    <row r="746" spans="9:16" ht="17.25" thickBot="1">
      <c r="I746" s="13" t="s">
        <v>112</v>
      </c>
      <c r="J746" s="672" t="s">
        <v>4</v>
      </c>
      <c r="K746" s="673"/>
      <c r="L746" s="673"/>
      <c r="M746" s="673"/>
      <c r="N746" s="673"/>
      <c r="O746" s="674"/>
      <c r="P746" s="20" t="s">
        <v>5</v>
      </c>
    </row>
    <row r="747" spans="9:16">
      <c r="I747" s="627" t="s">
        <v>2445</v>
      </c>
      <c r="J747" s="143"/>
      <c r="K747" s="159"/>
      <c r="L747" s="159"/>
      <c r="M747" s="159"/>
      <c r="N747" s="159"/>
      <c r="O747" s="144"/>
      <c r="P747" s="291"/>
    </row>
    <row r="748" spans="9:16">
      <c r="I748" s="628"/>
      <c r="J748" s="64"/>
      <c r="O748" s="65"/>
      <c r="P748" s="291"/>
    </row>
    <row r="749" spans="9:16">
      <c r="I749" s="628"/>
      <c r="J749" s="66"/>
      <c r="K749" s="367"/>
      <c r="L749" s="367" t="s">
        <v>286</v>
      </c>
      <c r="M749" s="367"/>
      <c r="N749" s="367"/>
      <c r="O749" s="67"/>
      <c r="P749" s="291"/>
    </row>
    <row r="750" spans="9:16">
      <c r="I750" s="628"/>
      <c r="J750" s="385"/>
      <c r="K750" s="187"/>
      <c r="L750" s="147" t="s">
        <v>2543</v>
      </c>
      <c r="M750" s="187"/>
      <c r="N750" s="187"/>
      <c r="O750" s="132"/>
      <c r="P750" s="148">
        <v>480000</v>
      </c>
    </row>
    <row r="751" spans="9:16">
      <c r="I751" s="628"/>
      <c r="J751" s="64"/>
      <c r="K751" s="604"/>
      <c r="L751" s="604"/>
      <c r="M751" s="604"/>
      <c r="O751" s="65"/>
      <c r="P751" s="291"/>
    </row>
    <row r="752" spans="9:16" ht="17.25" thickBot="1">
      <c r="I752" s="629"/>
      <c r="J752" s="140"/>
      <c r="K752" s="141"/>
      <c r="L752" s="141"/>
      <c r="M752" s="141"/>
      <c r="N752" s="141"/>
      <c r="O752" s="142"/>
      <c r="P752" s="291"/>
    </row>
    <row r="753" spans="9:16" ht="17.25" thickBot="1">
      <c r="I753" s="20" t="s">
        <v>12</v>
      </c>
      <c r="J753" s="614" t="s">
        <v>13</v>
      </c>
      <c r="K753" s="615"/>
      <c r="L753" s="62" t="s">
        <v>14</v>
      </c>
      <c r="M753" s="63"/>
      <c r="N753" s="62" t="s">
        <v>15</v>
      </c>
      <c r="O753" s="62" t="s">
        <v>16</v>
      </c>
      <c r="P753" s="20" t="s">
        <v>17</v>
      </c>
    </row>
    <row r="754" spans="9:16" ht="18" thickBot="1">
      <c r="I754" s="22" t="s">
        <v>18</v>
      </c>
      <c r="J754" s="606">
        <f>+P750</f>
        <v>480000</v>
      </c>
      <c r="K754" s="607"/>
      <c r="L754" s="363">
        <f>0</f>
        <v>0</v>
      </c>
      <c r="M754" s="62"/>
      <c r="N754" s="20">
        <f>0</f>
        <v>0</v>
      </c>
      <c r="O754" s="36">
        <f>+J754</f>
        <v>480000</v>
      </c>
      <c r="P754" s="38">
        <f>+P750</f>
        <v>480000</v>
      </c>
    </row>
    <row r="755" spans="9:16" ht="18" thickBot="1">
      <c r="I755" s="22" t="s">
        <v>113</v>
      </c>
      <c r="J755" s="606">
        <f>+J754/650.599</f>
        <v>737.78164430009883</v>
      </c>
      <c r="K755" s="607"/>
      <c r="L755" s="363">
        <f>0</f>
        <v>0</v>
      </c>
      <c r="M755" s="62"/>
      <c r="N755" s="20">
        <f>0</f>
        <v>0</v>
      </c>
      <c r="O755" s="36">
        <f>+J755</f>
        <v>737.78164430009883</v>
      </c>
      <c r="P755" s="38">
        <f>+O755</f>
        <v>737.78164430009883</v>
      </c>
    </row>
    <row r="757" spans="9:16">
      <c r="I757" s="395" t="s">
        <v>1268</v>
      </c>
      <c r="J757" s="26"/>
      <c r="K757" s="26"/>
      <c r="L757" s="26"/>
      <c r="M757" s="26"/>
      <c r="N757" s="26"/>
      <c r="O757" s="26"/>
    </row>
    <row r="758" spans="9:16">
      <c r="I758" s="407" t="s">
        <v>2544</v>
      </c>
      <c r="J758" s="26"/>
      <c r="K758" s="26"/>
      <c r="L758" s="26"/>
      <c r="M758" s="26"/>
      <c r="N758" s="26"/>
      <c r="O758" s="26"/>
    </row>
    <row r="759" spans="9:16">
      <c r="I759" s="26" t="s">
        <v>19</v>
      </c>
      <c r="J759" s="26"/>
      <c r="K759" s="26"/>
      <c r="L759" s="26"/>
      <c r="M759" s="26"/>
      <c r="N759" s="26"/>
      <c r="O759" s="26"/>
    </row>
    <row r="760" spans="9:16">
      <c r="I760" s="26" t="s">
        <v>965</v>
      </c>
      <c r="J760" s="26"/>
      <c r="K760" s="26"/>
      <c r="L760" s="26"/>
      <c r="M760" s="26"/>
      <c r="N760" s="26"/>
      <c r="O760" s="26"/>
    </row>
    <row r="761" spans="9:16">
      <c r="I761" s="26" t="s">
        <v>21</v>
      </c>
      <c r="J761" s="26"/>
      <c r="K761" s="26"/>
      <c r="L761" s="26"/>
      <c r="M761" s="26"/>
      <c r="N761" s="26"/>
      <c r="O761" s="26"/>
    </row>
    <row r="762" spans="9:16">
      <c r="I762" s="26" t="s">
        <v>1229</v>
      </c>
      <c r="J762" s="26"/>
      <c r="K762" s="26"/>
      <c r="L762" s="26"/>
      <c r="M762" s="26"/>
      <c r="N762" s="26"/>
      <c r="O762" s="26"/>
    </row>
    <row r="765" spans="9:16">
      <c r="L765" s="30" t="s">
        <v>24</v>
      </c>
      <c r="N765" s="30"/>
      <c r="O765" s="30"/>
    </row>
    <row r="766" spans="9:16">
      <c r="L766" s="30" t="s">
        <v>149</v>
      </c>
      <c r="N766" s="30"/>
      <c r="O766" s="30"/>
    </row>
    <row r="767" spans="9:16">
      <c r="L767" s="605" t="s">
        <v>150</v>
      </c>
      <c r="M767" s="605"/>
      <c r="N767" s="605"/>
      <c r="O767" s="605"/>
    </row>
    <row r="768" spans="9:16">
      <c r="M768" s="26"/>
      <c r="N768" s="26"/>
      <c r="O768" s="26"/>
    </row>
    <row r="769" spans="9:16" ht="18">
      <c r="L769" s="145"/>
      <c r="M769" s="145"/>
      <c r="N769" s="145"/>
      <c r="O769" s="145"/>
    </row>
    <row r="770" spans="9:16" ht="18">
      <c r="I770" s="26"/>
      <c r="J770" s="26"/>
      <c r="K770" s="26"/>
      <c r="L770" s="644" t="s">
        <v>2347</v>
      </c>
      <c r="M770" s="644"/>
      <c r="N770" s="644"/>
      <c r="O770" s="644"/>
      <c r="P770" s="145"/>
    </row>
    <row r="771" spans="9:16" ht="18">
      <c r="I771" s="26"/>
      <c r="J771" s="26"/>
      <c r="K771" s="26"/>
      <c r="L771" s="361"/>
      <c r="M771" s="361"/>
      <c r="N771" s="361"/>
      <c r="O771" s="361"/>
      <c r="P771" s="145"/>
    </row>
    <row r="772" spans="9:16" ht="19.5" customHeight="1">
      <c r="J772" s="617" t="s">
        <v>2824</v>
      </c>
      <c r="K772" s="617"/>
      <c r="L772" s="617"/>
      <c r="M772" s="617"/>
      <c r="N772" s="617"/>
      <c r="O772" s="617"/>
      <c r="P772" s="617"/>
    </row>
    <row r="775" spans="9:16" ht="44.25" customHeight="1">
      <c r="I775" s="618" t="s">
        <v>1</v>
      </c>
      <c r="J775" s="618"/>
      <c r="K775" s="618"/>
      <c r="L775" s="618"/>
      <c r="M775" s="618"/>
      <c r="N775" s="618"/>
      <c r="O775" s="618"/>
      <c r="P775" s="618"/>
    </row>
    <row r="778" spans="9:16" ht="17.25">
      <c r="I778" s="375"/>
      <c r="J778" s="503" t="s">
        <v>1383</v>
      </c>
    </row>
    <row r="779" spans="9:16" ht="17.25" thickBot="1">
      <c r="I779" s="30"/>
      <c r="O779" s="141"/>
    </row>
    <row r="780" spans="9:16">
      <c r="J780" s="30"/>
      <c r="N780" s="143"/>
      <c r="P780" s="144"/>
    </row>
    <row r="781" spans="9:16">
      <c r="N781" s="619" t="s">
        <v>695</v>
      </c>
      <c r="O781" s="620"/>
      <c r="P781" s="621"/>
    </row>
    <row r="782" spans="9:16">
      <c r="I782" s="12" t="s">
        <v>114</v>
      </c>
      <c r="L782" s="30" t="s">
        <v>2</v>
      </c>
      <c r="N782" s="605" t="s">
        <v>715</v>
      </c>
      <c r="O782" s="605"/>
      <c r="P782" s="649"/>
    </row>
    <row r="783" spans="9:16">
      <c r="N783" s="601" t="s">
        <v>163</v>
      </c>
      <c r="O783" s="602"/>
      <c r="P783" s="603"/>
    </row>
    <row r="784" spans="9:16" ht="17.25" thickBot="1">
      <c r="N784" s="140"/>
      <c r="O784" s="141"/>
      <c r="P784" s="142"/>
    </row>
    <row r="786" spans="9:16">
      <c r="I786" s="30" t="s">
        <v>27</v>
      </c>
      <c r="J786" s="394" t="s">
        <v>36</v>
      </c>
    </row>
    <row r="787" spans="9:16" ht="17.25" thickBot="1"/>
    <row r="788" spans="9:16" ht="17.25" customHeight="1" thickBot="1">
      <c r="I788" s="13" t="s">
        <v>112</v>
      </c>
      <c r="J788" s="624" t="s">
        <v>4</v>
      </c>
      <c r="K788" s="625"/>
      <c r="L788" s="625"/>
      <c r="M788" s="625"/>
      <c r="N788" s="625"/>
      <c r="O788" s="626"/>
      <c r="P788" s="20" t="s">
        <v>5</v>
      </c>
    </row>
    <row r="789" spans="9:16" ht="16.5" customHeight="1">
      <c r="I789" s="633" t="s">
        <v>2806</v>
      </c>
      <c r="J789" s="143"/>
      <c r="K789" s="159"/>
      <c r="L789" s="159"/>
      <c r="M789" s="159"/>
      <c r="N789" s="159"/>
      <c r="O789" s="144"/>
      <c r="P789" s="291"/>
    </row>
    <row r="790" spans="9:16">
      <c r="I790" s="634"/>
      <c r="J790" s="64"/>
      <c r="O790" s="65"/>
      <c r="P790" s="291"/>
    </row>
    <row r="791" spans="9:16">
      <c r="I791" s="634"/>
      <c r="J791" s="630" t="s">
        <v>286</v>
      </c>
      <c r="K791" s="631"/>
      <c r="L791" s="631"/>
      <c r="M791" s="631"/>
      <c r="N791" s="631"/>
      <c r="O791" s="632"/>
      <c r="P791" s="291"/>
    </row>
    <row r="792" spans="9:16">
      <c r="I792" s="634"/>
      <c r="J792" s="636" t="s">
        <v>1742</v>
      </c>
      <c r="K792" s="637"/>
      <c r="L792" s="637"/>
      <c r="M792" s="637"/>
      <c r="N792" s="637"/>
      <c r="O792" s="638"/>
      <c r="P792" s="148">
        <v>7139940</v>
      </c>
    </row>
    <row r="793" spans="9:16">
      <c r="I793" s="634"/>
      <c r="J793" s="64"/>
      <c r="K793" s="604"/>
      <c r="L793" s="604"/>
      <c r="M793" s="604"/>
      <c r="O793" s="65"/>
      <c r="P793" s="291"/>
    </row>
    <row r="794" spans="9:16" ht="17.25" thickBot="1">
      <c r="I794" s="635"/>
      <c r="J794" s="140"/>
      <c r="K794" s="141"/>
      <c r="L794" s="141"/>
      <c r="M794" s="141"/>
      <c r="N794" s="141"/>
      <c r="O794" s="142"/>
      <c r="P794" s="291"/>
    </row>
    <row r="795" spans="9:16" ht="17.25" thickBot="1">
      <c r="I795" s="20" t="s">
        <v>12</v>
      </c>
      <c r="J795" s="614" t="s">
        <v>13</v>
      </c>
      <c r="K795" s="615"/>
      <c r="L795" s="62" t="s">
        <v>14</v>
      </c>
      <c r="M795" s="20"/>
      <c r="N795" s="62" t="s">
        <v>15</v>
      </c>
      <c r="O795" s="62" t="s">
        <v>16</v>
      </c>
      <c r="P795" s="20" t="s">
        <v>17</v>
      </c>
    </row>
    <row r="796" spans="9:16" ht="18" thickBot="1">
      <c r="I796" s="22" t="s">
        <v>18</v>
      </c>
      <c r="J796" s="606">
        <f>+P792</f>
        <v>7139940</v>
      </c>
      <c r="K796" s="607"/>
      <c r="L796" s="23">
        <f>0</f>
        <v>0</v>
      </c>
      <c r="M796" s="25"/>
      <c r="N796" s="25">
        <f>0</f>
        <v>0</v>
      </c>
      <c r="O796" s="36">
        <f>+J796</f>
        <v>7139940</v>
      </c>
      <c r="P796" s="38">
        <f>+P792</f>
        <v>7139940</v>
      </c>
    </row>
    <row r="797" spans="9:16" ht="18" thickBot="1">
      <c r="I797" s="22" t="s">
        <v>113</v>
      </c>
      <c r="J797" s="606">
        <f>+J796/650.599</f>
        <v>10974.409736258433</v>
      </c>
      <c r="K797" s="607"/>
      <c r="L797" s="23">
        <f>0</f>
        <v>0</v>
      </c>
      <c r="M797" s="460"/>
      <c r="N797" s="25">
        <f>0</f>
        <v>0</v>
      </c>
      <c r="O797" s="36">
        <f>+J797</f>
        <v>10974.409736258433</v>
      </c>
      <c r="P797" s="38">
        <f>+O797</f>
        <v>10974.409736258433</v>
      </c>
    </row>
    <row r="799" spans="9:16">
      <c r="I799" s="26" t="s">
        <v>1398</v>
      </c>
      <c r="J799" s="26"/>
      <c r="K799" s="26"/>
      <c r="L799" s="26"/>
      <c r="M799" s="26"/>
      <c r="N799" s="26"/>
      <c r="O799" s="26"/>
    </row>
    <row r="800" spans="9:16">
      <c r="I800" s="408" t="s">
        <v>2464</v>
      </c>
      <c r="J800" s="26"/>
      <c r="K800" s="26"/>
      <c r="L800" s="26"/>
      <c r="M800" s="26"/>
      <c r="N800" s="26"/>
      <c r="O800" s="26"/>
    </row>
    <row r="801" spans="9:16">
      <c r="I801" s="82" t="s">
        <v>19</v>
      </c>
      <c r="J801" s="26"/>
      <c r="K801" s="26"/>
      <c r="L801" s="26"/>
      <c r="M801" s="26"/>
      <c r="N801" s="26"/>
      <c r="O801" s="26"/>
    </row>
    <row r="802" spans="9:16">
      <c r="I802" s="26" t="s">
        <v>965</v>
      </c>
      <c r="J802" s="26"/>
      <c r="K802" s="26"/>
      <c r="L802" s="26"/>
      <c r="M802" s="26"/>
      <c r="N802" s="26"/>
      <c r="O802" s="26"/>
    </row>
    <row r="803" spans="9:16">
      <c r="I803" s="26" t="s">
        <v>21</v>
      </c>
      <c r="J803" s="26"/>
      <c r="K803" s="26"/>
      <c r="L803" s="26"/>
      <c r="M803" s="26"/>
      <c r="N803" s="26"/>
      <c r="O803" s="26"/>
    </row>
    <row r="804" spans="9:16">
      <c r="I804" s="26" t="s">
        <v>1229</v>
      </c>
      <c r="J804" s="26"/>
      <c r="K804" s="26"/>
      <c r="L804" s="26"/>
      <c r="M804" s="26"/>
      <c r="N804" s="26"/>
      <c r="O804" s="26"/>
    </row>
    <row r="807" spans="9:16">
      <c r="L807" s="604" t="s">
        <v>24</v>
      </c>
      <c r="M807" s="604"/>
      <c r="N807" s="604"/>
      <c r="O807" s="604"/>
    </row>
    <row r="808" spans="9:16">
      <c r="L808" s="604" t="s">
        <v>149</v>
      </c>
      <c r="M808" s="604"/>
      <c r="N808" s="604"/>
      <c r="O808" s="604"/>
    </row>
    <row r="809" spans="9:16">
      <c r="L809" s="605" t="s">
        <v>150</v>
      </c>
      <c r="M809" s="605"/>
      <c r="N809" s="605"/>
      <c r="O809" s="605"/>
    </row>
    <row r="810" spans="9:16">
      <c r="M810" s="26"/>
      <c r="N810" s="26"/>
      <c r="O810" s="26"/>
    </row>
    <row r="811" spans="9:16" ht="18">
      <c r="L811" s="145"/>
      <c r="M811" s="145"/>
      <c r="N811" s="145"/>
      <c r="O811" s="145"/>
    </row>
    <row r="812" spans="9:16" ht="17.25">
      <c r="L812" s="644"/>
      <c r="M812" s="644"/>
      <c r="N812" s="644"/>
      <c r="O812" s="644"/>
    </row>
    <row r="813" spans="9:16" ht="18">
      <c r="I813" s="26"/>
      <c r="J813" s="26"/>
      <c r="K813" s="26"/>
      <c r="L813" s="644"/>
      <c r="M813" s="644"/>
      <c r="N813" s="644"/>
      <c r="O813" s="644"/>
      <c r="P813" s="145"/>
    </row>
    <row r="814" spans="9:16" ht="18">
      <c r="I814" s="26"/>
      <c r="J814" s="26"/>
      <c r="K814" s="26"/>
      <c r="P814" s="145"/>
    </row>
    <row r="815" spans="9:16">
      <c r="J815" s="617" t="s">
        <v>0</v>
      </c>
      <c r="K815" s="617"/>
      <c r="L815" s="617"/>
      <c r="M815" s="617"/>
      <c r="N815" s="617"/>
      <c r="O815" s="617"/>
      <c r="P815" s="617"/>
    </row>
    <row r="818" spans="9:16" ht="49.5" customHeight="1">
      <c r="I818" s="642" t="s">
        <v>1</v>
      </c>
      <c r="J818" s="642"/>
      <c r="K818" s="642"/>
      <c r="L818" s="642"/>
      <c r="M818" s="642"/>
      <c r="N818" s="642"/>
      <c r="O818" s="642"/>
      <c r="P818" s="642"/>
    </row>
    <row r="820" spans="9:16" ht="17.25">
      <c r="I820" s="375"/>
      <c r="J820" s="375" t="s">
        <v>2011</v>
      </c>
    </row>
    <row r="821" spans="9:16" ht="17.25" thickBot="1">
      <c r="I821" s="30"/>
      <c r="O821" s="141"/>
    </row>
    <row r="822" spans="9:16">
      <c r="J822" s="30"/>
      <c r="N822" s="143"/>
      <c r="P822" s="144"/>
    </row>
    <row r="823" spans="9:16">
      <c r="N823" s="647" t="s">
        <v>2010</v>
      </c>
      <c r="O823" s="610"/>
      <c r="P823" s="648"/>
    </row>
    <row r="824" spans="9:16">
      <c r="I824" s="12" t="s">
        <v>114</v>
      </c>
      <c r="L824" s="30" t="s">
        <v>2</v>
      </c>
      <c r="N824" s="605" t="s">
        <v>716</v>
      </c>
      <c r="O824" s="605"/>
      <c r="P824" s="649"/>
    </row>
    <row r="825" spans="9:16">
      <c r="N825" s="601" t="s">
        <v>163</v>
      </c>
      <c r="O825" s="602"/>
      <c r="P825" s="603"/>
    </row>
    <row r="826" spans="9:16" ht="17.25" thickBot="1">
      <c r="N826" s="140"/>
      <c r="O826" s="141"/>
      <c r="P826" s="142"/>
    </row>
    <row r="828" spans="9:16">
      <c r="I828" s="30" t="s">
        <v>27</v>
      </c>
      <c r="J828" s="30" t="s">
        <v>115</v>
      </c>
    </row>
    <row r="829" spans="9:16" ht="17.25" thickBot="1"/>
    <row r="830" spans="9:16" ht="17.25" customHeight="1" thickBot="1">
      <c r="I830" s="13" t="s">
        <v>112</v>
      </c>
      <c r="J830" s="624" t="s">
        <v>4</v>
      </c>
      <c r="K830" s="625"/>
      <c r="L830" s="625"/>
      <c r="M830" s="625"/>
      <c r="N830" s="625"/>
      <c r="O830" s="626"/>
      <c r="P830" s="20" t="s">
        <v>5</v>
      </c>
    </row>
    <row r="831" spans="9:16" ht="16.5" customHeight="1">
      <c r="I831" s="633" t="s">
        <v>1867</v>
      </c>
      <c r="J831" s="143"/>
      <c r="K831" s="159"/>
      <c r="L831" s="159"/>
      <c r="M831" s="159"/>
      <c r="N831" s="159"/>
      <c r="O831" s="144"/>
      <c r="P831" s="291"/>
    </row>
    <row r="832" spans="9:16">
      <c r="I832" s="634"/>
      <c r="J832" s="64"/>
      <c r="O832" s="65"/>
      <c r="P832" s="291"/>
    </row>
    <row r="833" spans="9:16">
      <c r="I833" s="634"/>
      <c r="J833" s="630" t="s">
        <v>286</v>
      </c>
      <c r="K833" s="631"/>
      <c r="L833" s="631"/>
      <c r="M833" s="631"/>
      <c r="N833" s="631"/>
      <c r="O833" s="632"/>
      <c r="P833" s="291"/>
    </row>
    <row r="834" spans="9:16">
      <c r="I834" s="634"/>
      <c r="J834" s="636" t="s">
        <v>2005</v>
      </c>
      <c r="K834" s="637"/>
      <c r="L834" s="637"/>
      <c r="M834" s="637"/>
      <c r="N834" s="637"/>
      <c r="O834" s="638"/>
      <c r="P834" s="148">
        <v>1512000</v>
      </c>
    </row>
    <row r="835" spans="9:16">
      <c r="I835" s="634"/>
      <c r="J835" s="64"/>
      <c r="K835" s="604"/>
      <c r="L835" s="604"/>
      <c r="M835" s="604"/>
      <c r="O835" s="65"/>
      <c r="P835" s="291"/>
    </row>
    <row r="836" spans="9:16" ht="17.25" thickBot="1">
      <c r="I836" s="635"/>
      <c r="J836" s="140"/>
      <c r="K836" s="141"/>
      <c r="L836" s="141"/>
      <c r="M836" s="141"/>
      <c r="N836" s="141"/>
      <c r="O836" s="142"/>
      <c r="P836" s="291"/>
    </row>
    <row r="837" spans="9:16" ht="17.25" thickBot="1">
      <c r="I837" s="20" t="s">
        <v>12</v>
      </c>
      <c r="J837" s="614" t="s">
        <v>13</v>
      </c>
      <c r="K837" s="615"/>
      <c r="L837" s="62" t="s">
        <v>14</v>
      </c>
      <c r="M837" s="63"/>
      <c r="N837" s="62" t="s">
        <v>15</v>
      </c>
      <c r="O837" s="62" t="s">
        <v>16</v>
      </c>
      <c r="P837" s="20" t="s">
        <v>17</v>
      </c>
    </row>
    <row r="838" spans="9:16" ht="18" thickBot="1">
      <c r="I838" s="22" t="s">
        <v>18</v>
      </c>
      <c r="J838" s="606">
        <f>+P834</f>
        <v>1512000</v>
      </c>
      <c r="K838" s="607"/>
      <c r="L838" s="23">
        <f>0</f>
        <v>0</v>
      </c>
      <c r="M838" s="24"/>
      <c r="N838" s="25">
        <f>0</f>
        <v>0</v>
      </c>
      <c r="O838" s="36">
        <f>+J838</f>
        <v>1512000</v>
      </c>
      <c r="P838" s="38">
        <f>+P834</f>
        <v>1512000</v>
      </c>
    </row>
    <row r="839" spans="9:16" ht="18" thickBot="1">
      <c r="I839" s="22" t="s">
        <v>113</v>
      </c>
      <c r="J839" s="606">
        <f>+J838/650.599</f>
        <v>2324.012179545311</v>
      </c>
      <c r="K839" s="607"/>
      <c r="L839" s="23">
        <f>0</f>
        <v>0</v>
      </c>
      <c r="M839" s="24"/>
      <c r="N839" s="25">
        <f>0</f>
        <v>0</v>
      </c>
      <c r="O839" s="36">
        <f>+J839</f>
        <v>2324.012179545311</v>
      </c>
      <c r="P839" s="38">
        <f>+O839</f>
        <v>2324.012179545311</v>
      </c>
    </row>
    <row r="841" spans="9:16">
      <c r="I841" s="412" t="s">
        <v>1268</v>
      </c>
      <c r="J841" s="26"/>
      <c r="K841" s="26"/>
      <c r="L841" s="26"/>
      <c r="M841" s="26"/>
      <c r="N841" s="26"/>
      <c r="O841" s="26"/>
    </row>
    <row r="842" spans="9:16" ht="17.25">
      <c r="I842" s="458" t="s">
        <v>2006</v>
      </c>
      <c r="J842" s="26"/>
      <c r="K842" s="26"/>
      <c r="L842" s="26"/>
      <c r="M842" s="26"/>
      <c r="N842" s="26"/>
      <c r="O842" s="26"/>
    </row>
    <row r="843" spans="9:16">
      <c r="I843" s="26" t="s">
        <v>19</v>
      </c>
      <c r="J843" s="26"/>
      <c r="K843" s="26"/>
      <c r="L843" s="26"/>
      <c r="M843" s="26"/>
      <c r="N843" s="26"/>
      <c r="O843" s="26"/>
    </row>
    <row r="844" spans="9:16">
      <c r="I844" s="26" t="s">
        <v>965</v>
      </c>
      <c r="J844" s="26"/>
      <c r="K844" s="26"/>
      <c r="L844" s="26"/>
      <c r="M844" s="26"/>
      <c r="N844" s="26"/>
      <c r="O844" s="26"/>
    </row>
    <row r="845" spans="9:16">
      <c r="I845" s="26" t="s">
        <v>21</v>
      </c>
      <c r="J845" s="26"/>
      <c r="K845" s="26"/>
      <c r="L845" s="26"/>
      <c r="M845" s="26"/>
      <c r="N845" s="26"/>
      <c r="O845" s="26"/>
    </row>
    <row r="846" spans="9:16">
      <c r="I846" s="26" t="s">
        <v>1229</v>
      </c>
      <c r="J846" s="26"/>
      <c r="K846" s="26"/>
      <c r="L846" s="26"/>
      <c r="M846" s="26"/>
      <c r="N846" s="26"/>
      <c r="O846" s="26"/>
    </row>
    <row r="850" spans="9:16">
      <c r="L850" s="30" t="s">
        <v>24</v>
      </c>
      <c r="N850" s="30"/>
      <c r="O850" s="30"/>
    </row>
    <row r="851" spans="9:16">
      <c r="L851" s="30" t="s">
        <v>149</v>
      </c>
      <c r="N851" s="30"/>
      <c r="O851" s="30"/>
    </row>
    <row r="852" spans="9:16">
      <c r="L852" s="605" t="s">
        <v>150</v>
      </c>
      <c r="M852" s="605"/>
      <c r="N852" s="605"/>
      <c r="O852" s="605"/>
    </row>
    <row r="853" spans="9:16">
      <c r="M853" s="26"/>
      <c r="N853" s="26"/>
      <c r="O853" s="26"/>
    </row>
    <row r="854" spans="9:16" ht="18">
      <c r="L854" s="145"/>
      <c r="M854" s="145"/>
      <c r="N854" s="145"/>
      <c r="O854" s="145"/>
    </row>
    <row r="855" spans="9:16" ht="18">
      <c r="I855" s="26"/>
      <c r="J855" s="26"/>
      <c r="K855" s="26"/>
      <c r="L855" s="644" t="s">
        <v>1696</v>
      </c>
      <c r="M855" s="644"/>
      <c r="N855" s="644"/>
      <c r="O855" s="644"/>
      <c r="P855" s="145"/>
    </row>
    <row r="856" spans="9:16" ht="18">
      <c r="I856" s="26"/>
      <c r="J856" s="26"/>
      <c r="K856" s="26"/>
      <c r="L856" s="644"/>
      <c r="M856" s="644"/>
      <c r="N856" s="644"/>
      <c r="O856" s="644"/>
      <c r="P856" s="145"/>
    </row>
    <row r="857" spans="9:16">
      <c r="J857" s="617" t="s">
        <v>0</v>
      </c>
      <c r="K857" s="617"/>
      <c r="L857" s="617"/>
      <c r="M857" s="617"/>
      <c r="N857" s="617"/>
      <c r="O857" s="617"/>
      <c r="P857" s="617"/>
    </row>
    <row r="860" spans="9:16" ht="49.5" customHeight="1">
      <c r="I860" s="642" t="s">
        <v>1940</v>
      </c>
      <c r="J860" s="642"/>
      <c r="K860" s="642"/>
      <c r="L860" s="642"/>
      <c r="M860" s="642"/>
      <c r="N860" s="642"/>
      <c r="O860" s="642"/>
      <c r="P860" s="642"/>
    </row>
    <row r="863" spans="9:16" ht="17.25">
      <c r="I863" s="375"/>
      <c r="J863" s="375" t="s">
        <v>1942</v>
      </c>
    </row>
    <row r="864" spans="9:16" ht="17.25" thickBot="1">
      <c r="I864" s="30"/>
      <c r="O864" s="141"/>
    </row>
    <row r="865" spans="9:16">
      <c r="J865" s="30"/>
      <c r="N865" s="143"/>
      <c r="P865" s="144"/>
    </row>
    <row r="866" spans="9:16">
      <c r="N866" s="647" t="s">
        <v>723</v>
      </c>
      <c r="O866" s="610"/>
      <c r="P866" s="648"/>
    </row>
    <row r="867" spans="9:16">
      <c r="I867" s="12" t="s">
        <v>114</v>
      </c>
      <c r="L867" s="249" t="s">
        <v>2</v>
      </c>
      <c r="N867" s="605" t="s">
        <v>728</v>
      </c>
      <c r="O867" s="605"/>
      <c r="P867" s="649"/>
    </row>
    <row r="868" spans="9:16">
      <c r="N868" s="685" t="s">
        <v>163</v>
      </c>
      <c r="O868" s="686"/>
      <c r="P868" s="687"/>
    </row>
    <row r="869" spans="9:16" ht="17.25" thickBot="1">
      <c r="I869" s="30"/>
      <c r="J869" s="30" t="s">
        <v>1941</v>
      </c>
      <c r="N869" s="140"/>
      <c r="O869" s="141"/>
      <c r="P869" s="142"/>
    </row>
    <row r="871" spans="9:16">
      <c r="I871" s="249" t="s">
        <v>27</v>
      </c>
      <c r="J871" s="394" t="s">
        <v>148</v>
      </c>
    </row>
    <row r="872" spans="9:16" ht="17.25" thickBot="1"/>
    <row r="873" spans="9:16" ht="17.25" customHeight="1" thickBot="1">
      <c r="I873" s="13" t="s">
        <v>112</v>
      </c>
      <c r="J873" s="624" t="s">
        <v>4</v>
      </c>
      <c r="K873" s="625"/>
      <c r="L873" s="625"/>
      <c r="M873" s="625"/>
      <c r="N873" s="625"/>
      <c r="O873" s="626"/>
      <c r="P873" s="20" t="s">
        <v>5</v>
      </c>
    </row>
    <row r="874" spans="9:16" ht="16.5" customHeight="1">
      <c r="I874" s="627" t="s">
        <v>1867</v>
      </c>
      <c r="J874" s="143"/>
      <c r="K874" s="159"/>
      <c r="L874" s="159"/>
      <c r="M874" s="159"/>
      <c r="N874" s="159"/>
      <c r="O874" s="144"/>
      <c r="P874" s="291"/>
    </row>
    <row r="875" spans="9:16">
      <c r="I875" s="628"/>
      <c r="J875" s="64"/>
      <c r="O875" s="65"/>
      <c r="P875" s="291"/>
    </row>
    <row r="876" spans="9:16">
      <c r="I876" s="628"/>
      <c r="J876" s="630" t="s">
        <v>286</v>
      </c>
      <c r="K876" s="631"/>
      <c r="L876" s="631"/>
      <c r="M876" s="631"/>
      <c r="N876" s="631"/>
      <c r="O876" s="632"/>
      <c r="P876" s="291"/>
    </row>
    <row r="877" spans="9:16">
      <c r="I877" s="628"/>
      <c r="J877" s="636" t="s">
        <v>1750</v>
      </c>
      <c r="K877" s="637"/>
      <c r="L877" s="637"/>
      <c r="M877" s="637"/>
      <c r="N877" s="637"/>
      <c r="O877" s="638"/>
      <c r="P877" s="148">
        <v>630000</v>
      </c>
    </row>
    <row r="878" spans="9:16">
      <c r="I878" s="628"/>
      <c r="J878" s="64"/>
      <c r="K878" s="604"/>
      <c r="L878" s="604"/>
      <c r="M878" s="604"/>
      <c r="O878" s="65"/>
      <c r="P878" s="291"/>
    </row>
    <row r="879" spans="9:16" ht="17.25" thickBot="1">
      <c r="I879" s="629"/>
      <c r="J879" s="140"/>
      <c r="K879" s="141"/>
      <c r="L879" s="141"/>
      <c r="M879" s="141"/>
      <c r="N879" s="141"/>
      <c r="O879" s="142"/>
      <c r="P879" s="291"/>
    </row>
    <row r="880" spans="9:16" ht="17.25" thickBot="1">
      <c r="I880" s="20" t="s">
        <v>12</v>
      </c>
      <c r="J880" s="614" t="s">
        <v>13</v>
      </c>
      <c r="K880" s="615"/>
      <c r="L880" s="62" t="s">
        <v>14</v>
      </c>
      <c r="M880" s="63"/>
      <c r="N880" s="62" t="s">
        <v>15</v>
      </c>
      <c r="O880" s="62" t="s">
        <v>16</v>
      </c>
      <c r="P880" s="20" t="s">
        <v>17</v>
      </c>
    </row>
    <row r="881" spans="9:16" ht="18" thickBot="1">
      <c r="I881" s="22" t="s">
        <v>18</v>
      </c>
      <c r="J881" s="606">
        <f>+P877</f>
        <v>630000</v>
      </c>
      <c r="K881" s="607"/>
      <c r="L881" s="23">
        <f>0</f>
        <v>0</v>
      </c>
      <c r="M881" s="24"/>
      <c r="N881" s="25">
        <f>0</f>
        <v>0</v>
      </c>
      <c r="O881" s="36">
        <f>+J881</f>
        <v>630000</v>
      </c>
      <c r="P881" s="38">
        <f>+P877</f>
        <v>630000</v>
      </c>
    </row>
    <row r="882" spans="9:16" ht="18" thickBot="1">
      <c r="I882" s="22" t="s">
        <v>113</v>
      </c>
      <c r="J882" s="606">
        <f>+J881/650.599</f>
        <v>968.33840814387963</v>
      </c>
      <c r="K882" s="607"/>
      <c r="L882" s="23">
        <f>0</f>
        <v>0</v>
      </c>
      <c r="M882" s="24"/>
      <c r="N882" s="25">
        <f>0</f>
        <v>0</v>
      </c>
      <c r="O882" s="36">
        <f>+J882</f>
        <v>968.33840814387963</v>
      </c>
      <c r="P882" s="38">
        <f>+O882</f>
        <v>968.33840814387963</v>
      </c>
    </row>
    <row r="884" spans="9:16">
      <c r="I884" s="412" t="s">
        <v>1268</v>
      </c>
      <c r="J884" s="26"/>
      <c r="K884" s="26"/>
      <c r="L884" s="26"/>
      <c r="M884" s="26"/>
      <c r="N884" s="26"/>
      <c r="O884" s="26"/>
    </row>
    <row r="885" spans="9:16" ht="17.25">
      <c r="I885" s="458" t="s">
        <v>1419</v>
      </c>
      <c r="J885" s="26"/>
      <c r="K885" s="26"/>
      <c r="L885" s="26"/>
      <c r="M885" s="26"/>
      <c r="N885" s="26"/>
      <c r="O885" s="26"/>
    </row>
    <row r="886" spans="9:16">
      <c r="I886" s="26" t="s">
        <v>19</v>
      </c>
      <c r="J886" s="26"/>
      <c r="K886" s="26"/>
      <c r="L886" s="26"/>
      <c r="M886" s="26"/>
      <c r="N886" s="26"/>
      <c r="O886" s="26"/>
    </row>
    <row r="887" spans="9:16">
      <c r="I887" s="26" t="s">
        <v>965</v>
      </c>
      <c r="J887" s="26"/>
      <c r="K887" s="26"/>
      <c r="L887" s="26"/>
      <c r="M887" s="26"/>
      <c r="N887" s="26"/>
      <c r="O887" s="26"/>
    </row>
    <row r="888" spans="9:16">
      <c r="I888" s="26" t="s">
        <v>21</v>
      </c>
      <c r="J888" s="26"/>
      <c r="K888" s="26"/>
      <c r="L888" s="26"/>
      <c r="M888" s="26"/>
      <c r="N888" s="26"/>
      <c r="O888" s="26"/>
    </row>
    <row r="889" spans="9:16">
      <c r="I889" s="26" t="s">
        <v>1229</v>
      </c>
      <c r="J889" s="26"/>
      <c r="K889" s="26"/>
      <c r="L889" s="26"/>
      <c r="M889" s="26"/>
      <c r="N889" s="26"/>
      <c r="O889" s="26"/>
    </row>
    <row r="892" spans="9:16">
      <c r="L892" s="30" t="s">
        <v>24</v>
      </c>
      <c r="N892" s="30"/>
      <c r="O892" s="30"/>
    </row>
    <row r="893" spans="9:16">
      <c r="L893" s="30" t="s">
        <v>149</v>
      </c>
      <c r="N893" s="30"/>
      <c r="O893" s="30"/>
    </row>
    <row r="894" spans="9:16">
      <c r="L894" s="605" t="s">
        <v>150</v>
      </c>
      <c r="M894" s="605"/>
      <c r="N894" s="605"/>
      <c r="O894" s="605"/>
    </row>
    <row r="895" spans="9:16">
      <c r="L895" s="30"/>
    </row>
    <row r="896" spans="9:16">
      <c r="M896" s="26"/>
      <c r="N896" s="26"/>
      <c r="O896" s="26"/>
    </row>
    <row r="897" spans="9:16" ht="17.25">
      <c r="L897" s="644" t="s">
        <v>1696</v>
      </c>
      <c r="M897" s="644"/>
      <c r="N897" s="644"/>
      <c r="O897" s="644"/>
    </row>
    <row r="898" spans="9:16" ht="17.25">
      <c r="L898" s="361"/>
      <c r="M898" s="361"/>
      <c r="N898" s="361"/>
      <c r="O898" s="361"/>
    </row>
    <row r="899" spans="9:16" ht="18">
      <c r="I899" s="26"/>
      <c r="J899" s="26"/>
      <c r="K899" s="26"/>
      <c r="L899" s="644"/>
      <c r="M899" s="644"/>
      <c r="N899" s="644"/>
      <c r="O899" s="644"/>
      <c r="P899" s="145"/>
    </row>
    <row r="900" spans="9:16">
      <c r="J900" s="617" t="s">
        <v>0</v>
      </c>
      <c r="K900" s="617"/>
      <c r="L900" s="617"/>
      <c r="M900" s="617"/>
      <c r="N900" s="617"/>
      <c r="O900" s="617"/>
      <c r="P900" s="617"/>
    </row>
    <row r="903" spans="9:16" ht="39.75" customHeight="1">
      <c r="I903" s="642" t="s">
        <v>1</v>
      </c>
      <c r="J903" s="642"/>
      <c r="K903" s="642"/>
      <c r="L903" s="642"/>
      <c r="M903" s="642"/>
      <c r="N903" s="642"/>
      <c r="O903" s="642"/>
      <c r="P903" s="642"/>
    </row>
    <row r="906" spans="9:16" ht="17.25">
      <c r="J906" s="375" t="s">
        <v>1785</v>
      </c>
    </row>
    <row r="907" spans="9:16" ht="17.25" thickBot="1">
      <c r="I907" s="30"/>
      <c r="O907" s="141"/>
    </row>
    <row r="908" spans="9:16">
      <c r="J908" s="30"/>
      <c r="N908" s="143"/>
      <c r="P908" s="144"/>
    </row>
    <row r="909" spans="9:16">
      <c r="N909" s="647" t="s">
        <v>385</v>
      </c>
      <c r="O909" s="610"/>
      <c r="P909" s="648"/>
    </row>
    <row r="910" spans="9:16">
      <c r="I910" s="12" t="s">
        <v>114</v>
      </c>
      <c r="L910" s="249" t="s">
        <v>2</v>
      </c>
      <c r="N910" s="605" t="s">
        <v>753</v>
      </c>
      <c r="O910" s="605"/>
      <c r="P910" s="649"/>
    </row>
    <row r="911" spans="9:16">
      <c r="N911" s="601" t="s">
        <v>163</v>
      </c>
      <c r="O911" s="602"/>
      <c r="P911" s="603"/>
    </row>
    <row r="912" spans="9:16" ht="17.25" thickBot="1">
      <c r="N912" s="140"/>
      <c r="O912" s="141"/>
      <c r="P912" s="142"/>
    </row>
    <row r="914" spans="9:16">
      <c r="I914" s="249" t="s">
        <v>27</v>
      </c>
      <c r="J914" s="394" t="s">
        <v>148</v>
      </c>
    </row>
    <row r="915" spans="9:16" ht="17.25" thickBot="1"/>
    <row r="916" spans="9:16" ht="17.25" customHeight="1" thickBot="1">
      <c r="I916" s="13" t="s">
        <v>112</v>
      </c>
      <c r="J916" s="624" t="s">
        <v>4</v>
      </c>
      <c r="K916" s="625"/>
      <c r="L916" s="625"/>
      <c r="M916" s="625"/>
      <c r="N916" s="625"/>
      <c r="O916" s="626"/>
      <c r="P916" s="20" t="s">
        <v>5</v>
      </c>
    </row>
    <row r="917" spans="9:16" ht="16.5" customHeight="1">
      <c r="I917" s="633" t="s">
        <v>2140</v>
      </c>
      <c r="J917" s="143"/>
      <c r="K917" s="159"/>
      <c r="L917" s="159"/>
      <c r="M917" s="159"/>
      <c r="N917" s="159"/>
      <c r="O917" s="144"/>
      <c r="P917" s="291"/>
    </row>
    <row r="918" spans="9:16">
      <c r="I918" s="634"/>
      <c r="J918" s="64"/>
      <c r="O918" s="65"/>
      <c r="P918" s="291"/>
    </row>
    <row r="919" spans="9:16">
      <c r="I919" s="634"/>
      <c r="J919" s="630" t="s">
        <v>286</v>
      </c>
      <c r="K919" s="631"/>
      <c r="L919" s="631"/>
      <c r="M919" s="631"/>
      <c r="N919" s="631"/>
      <c r="O919" s="632"/>
      <c r="P919" s="291"/>
    </row>
    <row r="920" spans="9:16">
      <c r="I920" s="634"/>
      <c r="J920" s="636" t="s">
        <v>1751</v>
      </c>
      <c r="K920" s="637"/>
      <c r="L920" s="637"/>
      <c r="M920" s="637"/>
      <c r="N920" s="637"/>
      <c r="O920" s="638"/>
      <c r="P920" s="148">
        <v>3937500</v>
      </c>
    </row>
    <row r="921" spans="9:16">
      <c r="I921" s="634"/>
      <c r="J921" s="64"/>
      <c r="K921" s="604"/>
      <c r="L921" s="604"/>
      <c r="M921" s="604"/>
      <c r="O921" s="65"/>
      <c r="P921" s="291"/>
    </row>
    <row r="922" spans="9:16" ht="17.25" thickBot="1">
      <c r="I922" s="635"/>
      <c r="J922" s="140"/>
      <c r="K922" s="141"/>
      <c r="L922" s="141"/>
      <c r="M922" s="141"/>
      <c r="N922" s="141"/>
      <c r="O922" s="142"/>
      <c r="P922" s="291"/>
    </row>
    <row r="923" spans="9:16" ht="17.25" thickBot="1">
      <c r="I923" s="20" t="s">
        <v>12</v>
      </c>
      <c r="J923" s="614" t="s">
        <v>13</v>
      </c>
      <c r="K923" s="615"/>
      <c r="L923" s="62" t="s">
        <v>14</v>
      </c>
      <c r="M923" s="63"/>
      <c r="N923" s="62" t="s">
        <v>15</v>
      </c>
      <c r="O923" s="62" t="s">
        <v>16</v>
      </c>
      <c r="P923" s="20" t="s">
        <v>17</v>
      </c>
    </row>
    <row r="924" spans="9:16" ht="18" thickBot="1">
      <c r="I924" s="22" t="s">
        <v>18</v>
      </c>
      <c r="J924" s="606">
        <f>+P920</f>
        <v>3937500</v>
      </c>
      <c r="K924" s="607"/>
      <c r="L924" s="23">
        <f>0</f>
        <v>0</v>
      </c>
      <c r="M924" s="24"/>
      <c r="N924" s="25">
        <f>0</f>
        <v>0</v>
      </c>
      <c r="O924" s="36">
        <f>+J924</f>
        <v>3937500</v>
      </c>
      <c r="P924" s="38">
        <f>+P920</f>
        <v>3937500</v>
      </c>
    </row>
    <row r="925" spans="9:16" ht="18" thickBot="1">
      <c r="I925" s="22" t="s">
        <v>113</v>
      </c>
      <c r="J925" s="606">
        <f>+J924/650.599</f>
        <v>6052.1150508992478</v>
      </c>
      <c r="K925" s="607"/>
      <c r="L925" s="23">
        <f>0</f>
        <v>0</v>
      </c>
      <c r="M925" s="24"/>
      <c r="N925" s="25">
        <f>0</f>
        <v>0</v>
      </c>
      <c r="O925" s="36">
        <f>+J925</f>
        <v>6052.1150508992478</v>
      </c>
      <c r="P925" s="38">
        <f>+O925</f>
        <v>6052.1150508992478</v>
      </c>
    </row>
    <row r="927" spans="9:16">
      <c r="I927" s="412" t="s">
        <v>1268</v>
      </c>
      <c r="J927" s="26"/>
      <c r="K927" s="26"/>
      <c r="L927" s="26"/>
      <c r="M927" s="26"/>
      <c r="N927" s="26"/>
      <c r="O927" s="26"/>
    </row>
    <row r="928" spans="9:16" ht="17.25">
      <c r="I928" s="458" t="s">
        <v>1752</v>
      </c>
      <c r="J928" s="26"/>
      <c r="K928" s="26"/>
      <c r="L928" s="26"/>
      <c r="M928" s="26"/>
      <c r="N928" s="26"/>
      <c r="O928" s="26"/>
    </row>
    <row r="929" spans="9:16">
      <c r="I929" s="82" t="s">
        <v>19</v>
      </c>
      <c r="J929" s="26"/>
      <c r="K929" s="26"/>
      <c r="L929" s="26"/>
      <c r="M929" s="26"/>
      <c r="N929" s="26"/>
      <c r="O929" s="26"/>
    </row>
    <row r="930" spans="9:16">
      <c r="I930" s="26" t="s">
        <v>965</v>
      </c>
      <c r="J930" s="26"/>
      <c r="K930" s="26"/>
      <c r="L930" s="26"/>
      <c r="M930" s="26"/>
      <c r="N930" s="26"/>
      <c r="O930" s="26"/>
    </row>
    <row r="931" spans="9:16">
      <c r="I931" s="26" t="s">
        <v>21</v>
      </c>
      <c r="J931" s="26"/>
      <c r="K931" s="26"/>
      <c r="L931" s="26"/>
      <c r="M931" s="26"/>
      <c r="N931" s="26"/>
      <c r="O931" s="26"/>
    </row>
    <row r="932" spans="9:16">
      <c r="I932" s="26" t="s">
        <v>1229</v>
      </c>
      <c r="J932" s="26"/>
      <c r="K932" s="26"/>
      <c r="L932" s="26"/>
      <c r="M932" s="26"/>
      <c r="N932" s="26"/>
      <c r="O932" s="26"/>
    </row>
    <row r="935" spans="9:16">
      <c r="L935" s="604" t="s">
        <v>24</v>
      </c>
      <c r="M935" s="604"/>
      <c r="N935" s="604"/>
      <c r="O935" s="604"/>
    </row>
    <row r="936" spans="9:16">
      <c r="L936" s="604" t="s">
        <v>149</v>
      </c>
      <c r="M936" s="604"/>
      <c r="N936" s="604"/>
      <c r="O936" s="604"/>
    </row>
    <row r="937" spans="9:16">
      <c r="L937" s="605" t="s">
        <v>150</v>
      </c>
      <c r="M937" s="605"/>
      <c r="N937" s="605"/>
      <c r="O937" s="605"/>
    </row>
    <row r="939" spans="9:16">
      <c r="L939" s="30"/>
    </row>
    <row r="940" spans="9:16">
      <c r="M940" s="26"/>
      <c r="N940" s="26"/>
      <c r="O940" s="26"/>
    </row>
    <row r="941" spans="9:16" ht="18">
      <c r="I941" s="26"/>
      <c r="J941" s="26"/>
      <c r="K941" s="26"/>
      <c r="L941" s="644" t="s">
        <v>2147</v>
      </c>
      <c r="M941" s="644"/>
      <c r="N941" s="644"/>
      <c r="O941" s="644"/>
      <c r="P941" s="145"/>
    </row>
    <row r="942" spans="9:16" ht="18">
      <c r="I942" s="26"/>
      <c r="J942" s="26"/>
      <c r="K942" s="26"/>
      <c r="L942" s="361"/>
      <c r="M942" s="361"/>
      <c r="N942" s="361"/>
      <c r="O942" s="361"/>
      <c r="P942" s="145"/>
    </row>
    <row r="943" spans="9:16" ht="18">
      <c r="I943" s="26"/>
      <c r="J943" s="26"/>
      <c r="K943" s="26"/>
      <c r="L943" s="361"/>
      <c r="M943" s="361"/>
      <c r="N943" s="361"/>
      <c r="O943" s="361"/>
      <c r="P943" s="145"/>
    </row>
    <row r="944" spans="9:16" ht="18" customHeight="1">
      <c r="I944" s="202"/>
      <c r="J944" s="202"/>
      <c r="K944" s="202"/>
      <c r="L944" s="259"/>
      <c r="M944" s="259"/>
      <c r="N944" s="259"/>
      <c r="O944" s="259"/>
      <c r="P944" s="406"/>
    </row>
    <row r="945" spans="9:17" ht="16.5" customHeight="1">
      <c r="I945" s="617" t="s">
        <v>0</v>
      </c>
      <c r="J945" s="617"/>
      <c r="K945" s="617"/>
      <c r="L945" s="617"/>
      <c r="M945" s="617"/>
      <c r="N945" s="617"/>
      <c r="O945" s="617"/>
      <c r="P945" s="617"/>
    </row>
    <row r="948" spans="9:17" ht="49.5" customHeight="1">
      <c r="I948" s="642" t="s">
        <v>1</v>
      </c>
      <c r="J948" s="642"/>
      <c r="K948" s="642"/>
      <c r="L948" s="642"/>
      <c r="M948" s="642"/>
      <c r="N948" s="642"/>
      <c r="O948" s="642"/>
      <c r="P948" s="642"/>
    </row>
    <row r="949" spans="9:17">
      <c r="N949" s="82"/>
      <c r="O949" s="82"/>
      <c r="P949" s="82"/>
      <c r="Q949" s="82"/>
    </row>
    <row r="951" spans="9:17" ht="17.25">
      <c r="I951" s="375"/>
      <c r="J951" s="375" t="s">
        <v>2451</v>
      </c>
    </row>
    <row r="952" spans="9:17" ht="17.25" thickBot="1">
      <c r="I952" s="30"/>
      <c r="O952" s="141"/>
    </row>
    <row r="953" spans="9:17">
      <c r="J953" s="30"/>
      <c r="N953" s="143"/>
      <c r="P953" s="144"/>
    </row>
    <row r="954" spans="9:17">
      <c r="N954" s="647" t="s">
        <v>267</v>
      </c>
      <c r="O954" s="610"/>
      <c r="P954" s="648"/>
    </row>
    <row r="955" spans="9:17">
      <c r="I955" s="12" t="s">
        <v>114</v>
      </c>
      <c r="L955" s="249" t="s">
        <v>2</v>
      </c>
      <c r="N955" s="605" t="s">
        <v>755</v>
      </c>
      <c r="O955" s="605"/>
      <c r="P955" s="649"/>
    </row>
    <row r="956" spans="9:17">
      <c r="N956" s="601" t="s">
        <v>36</v>
      </c>
      <c r="O956" s="602"/>
      <c r="P956" s="603"/>
    </row>
    <row r="957" spans="9:17" ht="17.25" thickBot="1">
      <c r="N957" s="140"/>
      <c r="O957" s="141"/>
      <c r="P957" s="142"/>
    </row>
    <row r="959" spans="9:17">
      <c r="I959" s="250" t="s">
        <v>27</v>
      </c>
      <c r="J959" s="394" t="s">
        <v>148</v>
      </c>
    </row>
    <row r="960" spans="9:17" ht="17.25" thickBot="1"/>
    <row r="961" spans="9:16" ht="17.25" customHeight="1" thickBot="1">
      <c r="I961" s="13" t="s">
        <v>112</v>
      </c>
      <c r="J961" s="624" t="s">
        <v>4</v>
      </c>
      <c r="K961" s="625"/>
      <c r="L961" s="625"/>
      <c r="M961" s="625"/>
      <c r="N961" s="625"/>
      <c r="O961" s="626"/>
      <c r="P961" s="20" t="s">
        <v>5</v>
      </c>
    </row>
    <row r="962" spans="9:16" ht="16.5" customHeight="1">
      <c r="I962" s="627" t="s">
        <v>2445</v>
      </c>
      <c r="J962" s="143"/>
      <c r="K962" s="159"/>
      <c r="L962" s="159"/>
      <c r="M962" s="159"/>
      <c r="N962" s="159"/>
      <c r="O962" s="144"/>
      <c r="P962" s="291"/>
    </row>
    <row r="963" spans="9:16">
      <c r="I963" s="628"/>
      <c r="J963" s="64"/>
      <c r="O963" s="65"/>
      <c r="P963" s="291"/>
    </row>
    <row r="964" spans="9:16">
      <c r="I964" s="628"/>
      <c r="J964" s="630" t="s">
        <v>286</v>
      </c>
      <c r="K964" s="631"/>
      <c r="L964" s="631"/>
      <c r="M964" s="631"/>
      <c r="N964" s="631"/>
      <c r="O964" s="632"/>
      <c r="P964" s="291"/>
    </row>
    <row r="965" spans="9:16">
      <c r="I965" s="628"/>
      <c r="J965" s="636" t="s">
        <v>1723</v>
      </c>
      <c r="K965" s="637"/>
      <c r="L965" s="637"/>
      <c r="M965" s="637"/>
      <c r="N965" s="637"/>
      <c r="O965" s="638"/>
      <c r="P965" s="148">
        <v>33195000</v>
      </c>
    </row>
    <row r="966" spans="9:16">
      <c r="I966" s="628"/>
      <c r="J966" s="64"/>
      <c r="K966" s="604"/>
      <c r="L966" s="604"/>
      <c r="M966" s="604"/>
      <c r="O966" s="65"/>
      <c r="P966" s="291"/>
    </row>
    <row r="967" spans="9:16" ht="17.25" thickBot="1">
      <c r="I967" s="629"/>
      <c r="J967" s="140"/>
      <c r="K967" s="141"/>
      <c r="L967" s="141"/>
      <c r="M967" s="141"/>
      <c r="N967" s="141"/>
      <c r="O967" s="142"/>
      <c r="P967" s="291"/>
    </row>
    <row r="968" spans="9:16" ht="17.25" thickBot="1">
      <c r="I968" s="20" t="s">
        <v>12</v>
      </c>
      <c r="J968" s="614" t="s">
        <v>13</v>
      </c>
      <c r="K968" s="615"/>
      <c r="L968" s="62" t="s">
        <v>14</v>
      </c>
      <c r="M968" s="63"/>
      <c r="N968" s="62" t="s">
        <v>15</v>
      </c>
      <c r="O968" s="62" t="s">
        <v>16</v>
      </c>
      <c r="P968" s="20" t="s">
        <v>17</v>
      </c>
    </row>
    <row r="969" spans="9:16" ht="18" thickBot="1">
      <c r="I969" s="22" t="s">
        <v>18</v>
      </c>
      <c r="J969" s="606">
        <f>+P965</f>
        <v>33195000</v>
      </c>
      <c r="K969" s="607"/>
      <c r="L969" s="23">
        <f>0</f>
        <v>0</v>
      </c>
      <c r="M969" s="24"/>
      <c r="N969" s="25">
        <f>0</f>
        <v>0</v>
      </c>
      <c r="O969" s="36">
        <f>+J969</f>
        <v>33195000</v>
      </c>
      <c r="P969" s="38">
        <f>+P965</f>
        <v>33195000</v>
      </c>
    </row>
    <row r="970" spans="9:16" ht="18" thickBot="1">
      <c r="I970" s="22" t="s">
        <v>113</v>
      </c>
      <c r="J970" s="606">
        <f>+J969/650.599</f>
        <v>51022.211838628704</v>
      </c>
      <c r="K970" s="607"/>
      <c r="L970" s="23">
        <f>0</f>
        <v>0</v>
      </c>
      <c r="M970" s="24"/>
      <c r="N970" s="25">
        <f>0</f>
        <v>0</v>
      </c>
      <c r="O970" s="36">
        <f>+J970</f>
        <v>51022.211838628704</v>
      </c>
      <c r="P970" s="38">
        <f>+O970</f>
        <v>51022.211838628704</v>
      </c>
    </row>
    <row r="972" spans="9:16">
      <c r="I972" s="412" t="s">
        <v>1268</v>
      </c>
      <c r="J972" s="26"/>
      <c r="K972" s="26"/>
      <c r="L972" s="26"/>
      <c r="M972" s="26"/>
      <c r="N972" s="26"/>
      <c r="O972" s="26"/>
    </row>
    <row r="973" spans="9:16">
      <c r="I973" s="413" t="s">
        <v>1724</v>
      </c>
      <c r="J973" s="26"/>
      <c r="K973" s="26"/>
      <c r="L973" s="26"/>
      <c r="M973" s="26"/>
      <c r="N973" s="26"/>
      <c r="O973" s="26"/>
    </row>
    <row r="974" spans="9:16">
      <c r="I974" s="82" t="s">
        <v>19</v>
      </c>
      <c r="J974" s="26"/>
      <c r="K974" s="26"/>
      <c r="L974" s="26"/>
      <c r="M974" s="26"/>
      <c r="N974" s="26"/>
      <c r="O974" s="26"/>
    </row>
    <row r="975" spans="9:16">
      <c r="I975" s="26" t="s">
        <v>965</v>
      </c>
      <c r="J975" s="26"/>
      <c r="K975" s="26"/>
      <c r="L975" s="26"/>
      <c r="M975" s="26"/>
      <c r="N975" s="26"/>
      <c r="O975" s="26"/>
    </row>
    <row r="976" spans="9:16">
      <c r="I976" s="26" t="s">
        <v>21</v>
      </c>
      <c r="J976" s="26"/>
      <c r="K976" s="26"/>
      <c r="L976" s="26"/>
      <c r="M976" s="26"/>
      <c r="N976" s="26"/>
      <c r="O976" s="26"/>
    </row>
    <row r="977" spans="9:16">
      <c r="I977" s="26" t="s">
        <v>1229</v>
      </c>
      <c r="J977" s="26"/>
      <c r="K977" s="26"/>
      <c r="L977" s="26"/>
      <c r="M977" s="26"/>
      <c r="N977" s="26"/>
      <c r="O977" s="26"/>
    </row>
    <row r="980" spans="9:16">
      <c r="L980" s="604" t="s">
        <v>24</v>
      </c>
      <c r="M980" s="604"/>
      <c r="N980" s="604"/>
      <c r="O980" s="604"/>
    </row>
    <row r="981" spans="9:16">
      <c r="L981" s="604" t="s">
        <v>149</v>
      </c>
      <c r="M981" s="604"/>
      <c r="N981" s="604"/>
      <c r="O981" s="604"/>
    </row>
    <row r="982" spans="9:16">
      <c r="L982" s="605" t="s">
        <v>150</v>
      </c>
      <c r="M982" s="605"/>
      <c r="N982" s="605"/>
      <c r="O982" s="605"/>
    </row>
    <row r="983" spans="9:16">
      <c r="L983" s="188"/>
      <c r="M983" s="26"/>
      <c r="N983" s="26"/>
      <c r="O983" s="26"/>
    </row>
    <row r="984" spans="9:16" ht="18">
      <c r="L984" s="145"/>
      <c r="M984" s="145"/>
      <c r="N984" s="145"/>
      <c r="O984" s="145"/>
    </row>
    <row r="985" spans="9:16" ht="17.25">
      <c r="L985" s="644" t="s">
        <v>2347</v>
      </c>
      <c r="M985" s="644"/>
      <c r="N985" s="644"/>
      <c r="O985" s="644"/>
    </row>
    <row r="986" spans="9:16" ht="13.5" customHeight="1">
      <c r="I986" s="26"/>
      <c r="J986" s="26"/>
      <c r="K986" s="26"/>
      <c r="L986" s="644"/>
      <c r="M986" s="644"/>
      <c r="N986" s="644"/>
      <c r="O986" s="644"/>
      <c r="P986" s="145"/>
    </row>
    <row r="987" spans="9:16" ht="13.5" customHeight="1">
      <c r="I987" s="26"/>
      <c r="J987" s="26"/>
      <c r="K987" s="26"/>
      <c r="L987" s="361"/>
      <c r="M987" s="361"/>
      <c r="N987" s="361"/>
      <c r="O987" s="361"/>
      <c r="P987" s="145"/>
    </row>
    <row r="988" spans="9:16">
      <c r="I988" s="617" t="s">
        <v>0</v>
      </c>
      <c r="J988" s="617"/>
      <c r="K988" s="617"/>
      <c r="L988" s="617"/>
      <c r="M988" s="617"/>
      <c r="N988" s="617"/>
      <c r="O988" s="617"/>
      <c r="P988" s="617"/>
    </row>
    <row r="991" spans="9:16" ht="49.5" customHeight="1">
      <c r="I991" s="642" t="s">
        <v>1</v>
      </c>
      <c r="J991" s="642"/>
      <c r="K991" s="642"/>
      <c r="L991" s="642"/>
      <c r="M991" s="642"/>
      <c r="N991" s="642"/>
      <c r="O991" s="642"/>
      <c r="P991" s="642"/>
    </row>
    <row r="992" spans="9:16" hidden="1"/>
    <row r="993" spans="9:16" hidden="1"/>
    <row r="994" spans="9:16" ht="17.25">
      <c r="I994" s="375" t="s">
        <v>1406</v>
      </c>
    </row>
    <row r="995" spans="9:16" ht="17.25" thickBot="1">
      <c r="I995" s="30"/>
      <c r="O995" s="141"/>
    </row>
    <row r="996" spans="9:16">
      <c r="J996" s="30"/>
      <c r="N996" s="143"/>
      <c r="P996" s="144"/>
    </row>
    <row r="997" spans="9:16">
      <c r="N997" s="647" t="s">
        <v>739</v>
      </c>
      <c r="O997" s="610"/>
      <c r="P997" s="648"/>
    </row>
    <row r="998" spans="9:16">
      <c r="I998" s="12" t="s">
        <v>114</v>
      </c>
      <c r="L998" s="249" t="s">
        <v>2</v>
      </c>
      <c r="N998" s="605" t="s">
        <v>756</v>
      </c>
      <c r="O998" s="605"/>
      <c r="P998" s="649"/>
    </row>
    <row r="999" spans="9:16">
      <c r="N999" s="601" t="s">
        <v>36</v>
      </c>
      <c r="O999" s="602"/>
      <c r="P999" s="603"/>
    </row>
    <row r="1000" spans="9:16" ht="17.25" thickBot="1">
      <c r="N1000" s="140"/>
      <c r="O1000" s="141"/>
      <c r="P1000" s="142"/>
    </row>
    <row r="1002" spans="9:16">
      <c r="I1002" s="249" t="s">
        <v>27</v>
      </c>
      <c r="J1002" s="394" t="s">
        <v>148</v>
      </c>
    </row>
    <row r="1003" spans="9:16" ht="17.25" thickBot="1"/>
    <row r="1004" spans="9:16" ht="17.25" customHeight="1" thickBot="1">
      <c r="I1004" s="13" t="s">
        <v>112</v>
      </c>
      <c r="J1004" s="624" t="s">
        <v>4</v>
      </c>
      <c r="K1004" s="625"/>
      <c r="L1004" s="625"/>
      <c r="M1004" s="625"/>
      <c r="N1004" s="625"/>
      <c r="O1004" s="626"/>
      <c r="P1004" s="20" t="s">
        <v>5</v>
      </c>
    </row>
    <row r="1005" spans="9:16" ht="16.5" customHeight="1">
      <c r="I1005" s="633" t="s">
        <v>1716</v>
      </c>
      <c r="J1005" s="143"/>
      <c r="K1005" s="159"/>
      <c r="L1005" s="159"/>
      <c r="M1005" s="159"/>
      <c r="N1005" s="159"/>
      <c r="O1005" s="144"/>
      <c r="P1005" s="291"/>
    </row>
    <row r="1006" spans="9:16">
      <c r="I1006" s="634"/>
      <c r="J1006" s="64"/>
      <c r="O1006" s="65"/>
      <c r="P1006" s="291"/>
    </row>
    <row r="1007" spans="9:16">
      <c r="I1007" s="634"/>
      <c r="J1007" s="676" t="s">
        <v>286</v>
      </c>
      <c r="K1007" s="677"/>
      <c r="L1007" s="677"/>
      <c r="M1007" s="677"/>
      <c r="N1007" s="677"/>
      <c r="O1007" s="678"/>
      <c r="P1007" s="291"/>
    </row>
    <row r="1008" spans="9:16">
      <c r="I1008" s="634"/>
      <c r="J1008" s="636" t="s">
        <v>1749</v>
      </c>
      <c r="K1008" s="637"/>
      <c r="L1008" s="637"/>
      <c r="M1008" s="637"/>
      <c r="N1008" s="637"/>
      <c r="O1008" s="638"/>
      <c r="P1008" s="148">
        <v>1440000</v>
      </c>
    </row>
    <row r="1009" spans="9:16" ht="17.25" thickBot="1">
      <c r="I1009" s="634"/>
      <c r="J1009" s="64"/>
      <c r="K1009" s="604"/>
      <c r="L1009" s="604"/>
      <c r="M1009" s="604"/>
      <c r="O1009" s="65"/>
      <c r="P1009" s="291"/>
    </row>
    <row r="1010" spans="9:16" ht="17.25" thickBot="1">
      <c r="I1010" s="20" t="s">
        <v>12</v>
      </c>
      <c r="J1010" s="614" t="s">
        <v>13</v>
      </c>
      <c r="K1010" s="615"/>
      <c r="L1010" s="62" t="s">
        <v>14</v>
      </c>
      <c r="M1010" s="63"/>
      <c r="N1010" s="62" t="s">
        <v>15</v>
      </c>
      <c r="O1010" s="62" t="s">
        <v>16</v>
      </c>
      <c r="P1010" s="20" t="s">
        <v>17</v>
      </c>
    </row>
    <row r="1011" spans="9:16" ht="18" thickBot="1">
      <c r="I1011" s="22" t="s">
        <v>18</v>
      </c>
      <c r="J1011" s="606">
        <f>+P1008</f>
        <v>1440000</v>
      </c>
      <c r="K1011" s="607"/>
      <c r="L1011" s="23">
        <f>0</f>
        <v>0</v>
      </c>
      <c r="M1011" s="24"/>
      <c r="N1011" s="25">
        <f>0</f>
        <v>0</v>
      </c>
      <c r="O1011" s="36">
        <f>+J1011</f>
        <v>1440000</v>
      </c>
      <c r="P1011" s="38">
        <f>+P1008</f>
        <v>1440000</v>
      </c>
    </row>
    <row r="1012" spans="9:16" ht="18" thickBot="1">
      <c r="I1012" s="22" t="s">
        <v>113</v>
      </c>
      <c r="J1012" s="606">
        <f>+J1011/650.599</f>
        <v>2213.3449329002965</v>
      </c>
      <c r="K1012" s="607"/>
      <c r="L1012" s="23">
        <f>0</f>
        <v>0</v>
      </c>
      <c r="M1012" s="24"/>
      <c r="N1012" s="25">
        <f>0</f>
        <v>0</v>
      </c>
      <c r="O1012" s="36">
        <f>+J1012</f>
        <v>2213.3449329002965</v>
      </c>
      <c r="P1012" s="38">
        <f>+O1012</f>
        <v>2213.3449329002965</v>
      </c>
    </row>
    <row r="1013" spans="9:16" ht="7.5" customHeight="1"/>
    <row r="1014" spans="9:16">
      <c r="I1014" s="412" t="s">
        <v>1268</v>
      </c>
      <c r="J1014" s="26"/>
      <c r="K1014" s="26"/>
      <c r="L1014" s="26"/>
      <c r="M1014" s="26"/>
      <c r="N1014" s="26"/>
      <c r="O1014" s="26"/>
    </row>
    <row r="1015" spans="9:16" ht="17.25">
      <c r="I1015" s="458" t="s">
        <v>1426</v>
      </c>
      <c r="J1015" s="26"/>
      <c r="K1015" s="26"/>
      <c r="L1015" s="26"/>
      <c r="M1015" s="26"/>
      <c r="N1015" s="26"/>
      <c r="O1015" s="26"/>
    </row>
    <row r="1016" spans="9:16">
      <c r="I1016" s="82" t="s">
        <v>19</v>
      </c>
      <c r="J1016" s="26"/>
      <c r="K1016" s="26"/>
      <c r="L1016" s="26"/>
      <c r="M1016" s="26"/>
      <c r="N1016" s="26"/>
      <c r="O1016" s="26"/>
    </row>
    <row r="1017" spans="9:16">
      <c r="I1017" s="26" t="s">
        <v>965</v>
      </c>
      <c r="J1017" s="26"/>
      <c r="K1017" s="26"/>
      <c r="L1017" s="26"/>
      <c r="M1017" s="26"/>
      <c r="N1017" s="26"/>
      <c r="O1017" s="26"/>
    </row>
    <row r="1018" spans="9:16">
      <c r="I1018" s="26" t="s">
        <v>21</v>
      </c>
      <c r="J1018" s="26"/>
      <c r="K1018" s="26"/>
      <c r="L1018" s="26"/>
      <c r="M1018" s="26"/>
      <c r="N1018" s="26"/>
      <c r="O1018" s="26"/>
    </row>
    <row r="1019" spans="9:16">
      <c r="I1019" s="26" t="s">
        <v>1229</v>
      </c>
      <c r="J1019" s="26"/>
      <c r="K1019" s="26"/>
      <c r="L1019" s="26"/>
      <c r="M1019" s="26"/>
      <c r="N1019" s="26"/>
      <c r="O1019" s="26"/>
    </row>
    <row r="1022" spans="9:16">
      <c r="L1022" s="604" t="s">
        <v>24</v>
      </c>
      <c r="M1022" s="604"/>
      <c r="N1022" s="604"/>
      <c r="O1022" s="604"/>
    </row>
    <row r="1023" spans="9:16">
      <c r="L1023" s="604" t="s">
        <v>149</v>
      </c>
      <c r="M1023" s="604"/>
      <c r="N1023" s="604"/>
      <c r="O1023" s="604"/>
    </row>
    <row r="1024" spans="9:16">
      <c r="L1024" s="605" t="s">
        <v>150</v>
      </c>
      <c r="M1024" s="605"/>
      <c r="N1024" s="605"/>
      <c r="O1024" s="605"/>
    </row>
    <row r="1025" spans="9:16" ht="18">
      <c r="L1025" s="145"/>
      <c r="M1025" s="145"/>
      <c r="N1025" s="145"/>
      <c r="O1025" s="145"/>
    </row>
    <row r="1026" spans="9:16" ht="17.25">
      <c r="L1026" s="259"/>
      <c r="M1026" s="259"/>
      <c r="N1026" s="259"/>
      <c r="O1026" s="259"/>
    </row>
    <row r="1027" spans="9:16" ht="17.25">
      <c r="L1027" s="259"/>
      <c r="M1027" s="259"/>
      <c r="N1027" s="259"/>
      <c r="O1027" s="259"/>
    </row>
    <row r="1028" spans="9:16" ht="17.25">
      <c r="L1028" s="259"/>
      <c r="M1028" s="259"/>
      <c r="N1028" s="259"/>
      <c r="O1028" s="259"/>
    </row>
    <row r="1029" spans="9:16" ht="18">
      <c r="I1029" s="26"/>
      <c r="J1029" s="26"/>
      <c r="K1029" s="26"/>
      <c r="L1029" s="644" t="s">
        <v>1696</v>
      </c>
      <c r="M1029" s="644"/>
      <c r="N1029" s="644"/>
      <c r="O1029" s="644"/>
      <c r="P1029" s="145"/>
    </row>
    <row r="1030" spans="9:16">
      <c r="I1030" s="617" t="s">
        <v>2748</v>
      </c>
      <c r="J1030" s="617"/>
      <c r="K1030" s="617"/>
      <c r="L1030" s="617"/>
      <c r="M1030" s="617"/>
      <c r="N1030" s="617"/>
      <c r="O1030" s="617"/>
      <c r="P1030" s="617"/>
    </row>
    <row r="1033" spans="9:16" ht="49.5" customHeight="1">
      <c r="I1033" s="618" t="s">
        <v>1</v>
      </c>
      <c r="J1033" s="618"/>
      <c r="K1033" s="618"/>
      <c r="L1033" s="618"/>
      <c r="M1033" s="618"/>
      <c r="N1033" s="618"/>
      <c r="O1033" s="618"/>
      <c r="P1033" s="618"/>
    </row>
    <row r="1036" spans="9:16" ht="17.25">
      <c r="I1036" s="375"/>
      <c r="J1036" s="503" t="s">
        <v>2056</v>
      </c>
    </row>
    <row r="1037" spans="9:16" ht="17.25" thickBot="1">
      <c r="I1037" s="30"/>
      <c r="O1037" s="141"/>
    </row>
    <row r="1038" spans="9:16">
      <c r="J1038" s="30"/>
      <c r="N1038" s="143"/>
      <c r="P1038" s="144"/>
    </row>
    <row r="1039" spans="9:16">
      <c r="N1039" s="761" t="s">
        <v>2444</v>
      </c>
      <c r="O1039" s="608"/>
      <c r="P1039" s="762"/>
    </row>
    <row r="1040" spans="9:16">
      <c r="I1040" s="12" t="s">
        <v>114</v>
      </c>
      <c r="L1040" s="249" t="s">
        <v>2</v>
      </c>
      <c r="N1040" s="605" t="s">
        <v>2469</v>
      </c>
      <c r="O1040" s="605"/>
      <c r="P1040" s="649"/>
    </row>
    <row r="1041" spans="9:16">
      <c r="N1041" s="766" t="s">
        <v>163</v>
      </c>
      <c r="O1041" s="767"/>
      <c r="P1041" s="768"/>
    </row>
    <row r="1042" spans="9:16" ht="17.25" thickBot="1">
      <c r="N1042" s="140"/>
      <c r="O1042" s="141"/>
      <c r="P1042" s="142"/>
    </row>
    <row r="1044" spans="9:16">
      <c r="I1044" s="249" t="s">
        <v>27</v>
      </c>
      <c r="J1044" s="394" t="s">
        <v>148</v>
      </c>
    </row>
    <row r="1045" spans="9:16" ht="17.25" thickBot="1"/>
    <row r="1046" spans="9:16" ht="17.25" thickBot="1">
      <c r="I1046" s="13" t="s">
        <v>112</v>
      </c>
      <c r="J1046" s="624" t="s">
        <v>4</v>
      </c>
      <c r="K1046" s="625"/>
      <c r="L1046" s="625"/>
      <c r="M1046" s="625"/>
      <c r="N1046" s="625"/>
      <c r="O1046" s="626"/>
      <c r="P1046" s="20" t="s">
        <v>5</v>
      </c>
    </row>
    <row r="1047" spans="9:16">
      <c r="I1047" s="633" t="s">
        <v>2806</v>
      </c>
      <c r="J1047" s="143"/>
      <c r="K1047" s="159"/>
      <c r="L1047" s="159"/>
      <c r="M1047" s="159"/>
      <c r="N1047" s="159"/>
      <c r="O1047" s="144"/>
      <c r="P1047" s="291"/>
    </row>
    <row r="1048" spans="9:16">
      <c r="I1048" s="634"/>
      <c r="J1048" s="64"/>
      <c r="O1048" s="65"/>
      <c r="P1048" s="291"/>
    </row>
    <row r="1049" spans="9:16">
      <c r="I1049" s="634"/>
      <c r="J1049" s="630" t="s">
        <v>286</v>
      </c>
      <c r="K1049" s="631"/>
      <c r="L1049" s="631"/>
      <c r="M1049" s="631"/>
      <c r="N1049" s="631"/>
      <c r="O1049" s="632"/>
      <c r="P1049" s="291"/>
    </row>
    <row r="1050" spans="9:16">
      <c r="I1050" s="634"/>
      <c r="J1050" s="636" t="s">
        <v>2834</v>
      </c>
      <c r="K1050" s="637"/>
      <c r="L1050" s="637"/>
      <c r="M1050" s="637"/>
      <c r="N1050" s="637"/>
      <c r="O1050" s="638"/>
      <c r="P1050" s="548">
        <v>2583132</v>
      </c>
    </row>
    <row r="1051" spans="9:16">
      <c r="I1051" s="634"/>
      <c r="J1051" s="64"/>
      <c r="K1051" s="604"/>
      <c r="L1051" s="604"/>
      <c r="M1051" s="604"/>
      <c r="O1051" s="65"/>
      <c r="P1051" s="291"/>
    </row>
    <row r="1052" spans="9:16" ht="17.25" thickBot="1">
      <c r="I1052" s="635"/>
      <c r="J1052" s="140"/>
      <c r="K1052" s="141"/>
      <c r="L1052" s="141"/>
      <c r="M1052" s="141"/>
      <c r="N1052" s="141"/>
      <c r="O1052" s="142"/>
      <c r="P1052" s="291"/>
    </row>
    <row r="1053" spans="9:16" ht="17.25" thickBot="1">
      <c r="I1053" s="20" t="s">
        <v>12</v>
      </c>
      <c r="J1053" s="614" t="s">
        <v>13</v>
      </c>
      <c r="K1053" s="615"/>
      <c r="L1053" s="62" t="s">
        <v>14</v>
      </c>
      <c r="M1053" s="63"/>
      <c r="N1053" s="62" t="s">
        <v>15</v>
      </c>
      <c r="O1053" s="62" t="s">
        <v>16</v>
      </c>
      <c r="P1053" s="20" t="s">
        <v>17</v>
      </c>
    </row>
    <row r="1054" spans="9:16" ht="18" thickBot="1">
      <c r="I1054" s="22" t="s">
        <v>18</v>
      </c>
      <c r="J1054" s="606">
        <f>+P1050</f>
        <v>2583132</v>
      </c>
      <c r="K1054" s="607"/>
      <c r="L1054" s="23">
        <f>0</f>
        <v>0</v>
      </c>
      <c r="M1054" s="24"/>
      <c r="N1054" s="25">
        <f>0</f>
        <v>0</v>
      </c>
      <c r="O1054" s="36">
        <f>+J1054</f>
        <v>2583132</v>
      </c>
      <c r="P1054" s="38">
        <f>+P1050</f>
        <v>2583132</v>
      </c>
    </row>
    <row r="1055" spans="9:16" ht="18" thickBot="1">
      <c r="I1055" s="22" t="s">
        <v>113</v>
      </c>
      <c r="J1055" s="606">
        <f>+J1054/650.599</f>
        <v>3970.3903633420891</v>
      </c>
      <c r="K1055" s="607"/>
      <c r="L1055" s="23">
        <f>0</f>
        <v>0</v>
      </c>
      <c r="M1055" s="24"/>
      <c r="N1055" s="25">
        <f>0</f>
        <v>0</v>
      </c>
      <c r="O1055" s="36">
        <f>+J1055</f>
        <v>3970.3903633420891</v>
      </c>
      <c r="P1055" s="38">
        <f>+O1055</f>
        <v>3970.3903633420891</v>
      </c>
    </row>
    <row r="1057" spans="9:16">
      <c r="I1057" s="395" t="s">
        <v>1268</v>
      </c>
      <c r="J1057" s="26"/>
      <c r="K1057" s="26"/>
      <c r="L1057" s="26"/>
      <c r="M1057" s="26"/>
      <c r="N1057" s="26"/>
      <c r="O1057" s="26"/>
    </row>
    <row r="1058" spans="9:16">
      <c r="I1058" s="413" t="s">
        <v>2471</v>
      </c>
      <c r="J1058" s="26"/>
      <c r="K1058" s="26"/>
      <c r="L1058" s="26"/>
      <c r="M1058" s="26"/>
      <c r="N1058" s="26"/>
      <c r="O1058" s="26"/>
    </row>
    <row r="1059" spans="9:16">
      <c r="I1059" s="82" t="s">
        <v>19</v>
      </c>
      <c r="J1059" s="26"/>
      <c r="K1059" s="26"/>
      <c r="L1059" s="26"/>
      <c r="M1059" s="26"/>
      <c r="N1059" s="26"/>
      <c r="O1059" s="26"/>
    </row>
    <row r="1060" spans="9:16">
      <c r="I1060" s="26" t="s">
        <v>965</v>
      </c>
      <c r="J1060" s="26"/>
      <c r="K1060" s="26"/>
      <c r="L1060" s="26"/>
      <c r="M1060" s="26"/>
      <c r="N1060" s="26"/>
      <c r="O1060" s="26"/>
    </row>
    <row r="1061" spans="9:16">
      <c r="I1061" s="26" t="s">
        <v>21</v>
      </c>
      <c r="J1061" s="26"/>
      <c r="K1061" s="26"/>
      <c r="L1061" s="26"/>
      <c r="M1061" s="26"/>
      <c r="N1061" s="26"/>
      <c r="O1061" s="26"/>
    </row>
    <row r="1062" spans="9:16">
      <c r="I1062" s="26" t="s">
        <v>1229</v>
      </c>
      <c r="J1062" s="26"/>
      <c r="K1062" s="26"/>
      <c r="L1062" s="26"/>
      <c r="M1062" s="26"/>
      <c r="N1062" s="26"/>
      <c r="O1062" s="26"/>
    </row>
    <row r="1066" spans="9:16">
      <c r="L1066" s="30" t="s">
        <v>24</v>
      </c>
      <c r="N1066" s="30"/>
      <c r="O1066" s="30"/>
    </row>
    <row r="1067" spans="9:16">
      <c r="L1067" s="30" t="s">
        <v>149</v>
      </c>
      <c r="N1067" s="30"/>
      <c r="O1067" s="30"/>
    </row>
    <row r="1068" spans="9:16">
      <c r="L1068" s="605" t="s">
        <v>150</v>
      </c>
      <c r="M1068" s="605"/>
      <c r="N1068" s="605"/>
      <c r="O1068" s="605"/>
    </row>
    <row r="1071" spans="9:16" ht="18">
      <c r="I1071" s="26"/>
      <c r="J1071" s="26"/>
      <c r="K1071" s="26"/>
      <c r="L1071" s="644"/>
      <c r="M1071" s="644"/>
      <c r="N1071" s="644"/>
      <c r="O1071" s="644"/>
      <c r="P1071" s="145"/>
    </row>
    <row r="1072" spans="9:16" ht="18">
      <c r="I1072" s="26"/>
      <c r="J1072" s="26"/>
      <c r="K1072" s="26"/>
      <c r="L1072" s="644"/>
      <c r="M1072" s="644"/>
      <c r="N1072" s="644"/>
      <c r="O1072" s="644"/>
      <c r="P1072" s="145"/>
    </row>
    <row r="1073" spans="9:16" ht="18.75" customHeight="1">
      <c r="I1073" s="617" t="s">
        <v>2740</v>
      </c>
      <c r="J1073" s="617"/>
      <c r="K1073" s="617"/>
      <c r="L1073" s="617"/>
      <c r="M1073" s="617"/>
      <c r="N1073" s="617"/>
      <c r="O1073" s="617"/>
      <c r="P1073" s="617"/>
    </row>
    <row r="1076" spans="9:16" ht="49.5" customHeight="1">
      <c r="I1076" s="642" t="s">
        <v>1</v>
      </c>
      <c r="J1076" s="642"/>
      <c r="K1076" s="642"/>
      <c r="L1076" s="642"/>
      <c r="M1076" s="642"/>
      <c r="N1076" s="642"/>
      <c r="O1076" s="642"/>
      <c r="P1076" s="642"/>
    </row>
    <row r="1078" spans="9:16" ht="17.25">
      <c r="I1078" s="375"/>
      <c r="J1078" s="375" t="s">
        <v>1895</v>
      </c>
    </row>
    <row r="1079" spans="9:16" ht="17.25" thickBot="1">
      <c r="I1079" s="30"/>
      <c r="O1079" s="141"/>
    </row>
    <row r="1080" spans="9:16">
      <c r="J1080" s="30"/>
      <c r="N1080" s="143"/>
      <c r="P1080" s="144"/>
    </row>
    <row r="1081" spans="9:16">
      <c r="N1081" s="647" t="s">
        <v>1764</v>
      </c>
      <c r="O1081" s="610"/>
      <c r="P1081" s="648"/>
    </row>
    <row r="1082" spans="9:16">
      <c r="I1082" s="12" t="s">
        <v>114</v>
      </c>
      <c r="L1082" s="30" t="s">
        <v>2</v>
      </c>
      <c r="N1082" s="605" t="s">
        <v>760</v>
      </c>
      <c r="O1082" s="605"/>
      <c r="P1082" s="649"/>
    </row>
    <row r="1083" spans="9:16">
      <c r="N1083" s="601" t="s">
        <v>163</v>
      </c>
      <c r="O1083" s="602"/>
      <c r="P1083" s="603"/>
    </row>
    <row r="1084" spans="9:16" ht="17.25" thickBot="1">
      <c r="N1084" s="140"/>
      <c r="O1084" s="141"/>
      <c r="P1084" s="142"/>
    </row>
    <row r="1086" spans="9:16">
      <c r="I1086" s="30" t="s">
        <v>27</v>
      </c>
      <c r="J1086" s="394" t="s">
        <v>115</v>
      </c>
    </row>
    <row r="1087" spans="9:16" ht="17.25" thickBot="1"/>
    <row r="1088" spans="9:16" ht="17.25" thickBot="1">
      <c r="I1088" s="13" t="s">
        <v>112</v>
      </c>
      <c r="J1088" s="624" t="s">
        <v>4</v>
      </c>
      <c r="K1088" s="625"/>
      <c r="L1088" s="625"/>
      <c r="M1088" s="625"/>
      <c r="N1088" s="625"/>
      <c r="O1088" s="626"/>
      <c r="P1088" s="20" t="s">
        <v>5</v>
      </c>
    </row>
    <row r="1089" spans="9:16">
      <c r="I1089" s="633" t="s">
        <v>2272</v>
      </c>
      <c r="J1089" s="143"/>
      <c r="K1089" s="159"/>
      <c r="L1089" s="159"/>
      <c r="M1089" s="159"/>
      <c r="N1089" s="159"/>
      <c r="O1089" s="144"/>
      <c r="P1089" s="291"/>
    </row>
    <row r="1090" spans="9:16">
      <c r="I1090" s="634"/>
      <c r="J1090" s="64"/>
      <c r="O1090" s="65"/>
      <c r="P1090" s="291"/>
    </row>
    <row r="1091" spans="9:16">
      <c r="I1091" s="634"/>
      <c r="J1091" s="630" t="s">
        <v>286</v>
      </c>
      <c r="K1091" s="631"/>
      <c r="L1091" s="631"/>
      <c r="M1091" s="631"/>
      <c r="N1091" s="631"/>
      <c r="O1091" s="632"/>
      <c r="P1091" s="291"/>
    </row>
    <row r="1092" spans="9:16">
      <c r="I1092" s="634"/>
      <c r="J1092" s="636" t="s">
        <v>1774</v>
      </c>
      <c r="K1092" s="637"/>
      <c r="L1092" s="637"/>
      <c r="M1092" s="637"/>
      <c r="N1092" s="637"/>
      <c r="O1092" s="638"/>
      <c r="P1092" s="148">
        <v>7519800</v>
      </c>
    </row>
    <row r="1093" spans="9:16">
      <c r="I1093" s="634"/>
      <c r="J1093" s="64"/>
      <c r="K1093" s="604"/>
      <c r="L1093" s="604"/>
      <c r="M1093" s="604"/>
      <c r="O1093" s="65"/>
      <c r="P1093" s="291"/>
    </row>
    <row r="1094" spans="9:16" ht="17.25" thickBot="1">
      <c r="I1094" s="635"/>
      <c r="J1094" s="140"/>
      <c r="K1094" s="141"/>
      <c r="L1094" s="141"/>
      <c r="M1094" s="141"/>
      <c r="N1094" s="141"/>
      <c r="O1094" s="142"/>
      <c r="P1094" s="291"/>
    </row>
    <row r="1095" spans="9:16" ht="17.25" thickBot="1">
      <c r="I1095" s="20" t="s">
        <v>12</v>
      </c>
      <c r="J1095" s="614" t="s">
        <v>13</v>
      </c>
      <c r="K1095" s="615"/>
      <c r="L1095" s="62" t="s">
        <v>14</v>
      </c>
      <c r="M1095" s="63"/>
      <c r="N1095" s="62" t="s">
        <v>15</v>
      </c>
      <c r="O1095" s="62" t="s">
        <v>16</v>
      </c>
      <c r="P1095" s="20" t="s">
        <v>17</v>
      </c>
    </row>
    <row r="1096" spans="9:16" ht="18" thickBot="1">
      <c r="I1096" s="22" t="s">
        <v>18</v>
      </c>
      <c r="J1096" s="606">
        <f>+P1092</f>
        <v>7519800</v>
      </c>
      <c r="K1096" s="607"/>
      <c r="L1096" s="23">
        <f>0</f>
        <v>0</v>
      </c>
      <c r="M1096" s="24"/>
      <c r="N1096" s="25">
        <f>0</f>
        <v>0</v>
      </c>
      <c r="O1096" s="36">
        <f>+J1096</f>
        <v>7519800</v>
      </c>
      <c r="P1096" s="38">
        <f>+P1092</f>
        <v>7519800</v>
      </c>
    </row>
    <row r="1097" spans="9:16" ht="18" thickBot="1">
      <c r="I1097" s="22" t="s">
        <v>113</v>
      </c>
      <c r="J1097" s="606">
        <f>+J1096/650.599</f>
        <v>11558.271685016423</v>
      </c>
      <c r="K1097" s="607"/>
      <c r="L1097" s="23">
        <f>0</f>
        <v>0</v>
      </c>
      <c r="M1097" s="24"/>
      <c r="N1097" s="25">
        <f>0</f>
        <v>0</v>
      </c>
      <c r="O1097" s="36">
        <f>+J1097</f>
        <v>11558.271685016423</v>
      </c>
      <c r="P1097" s="38">
        <f>+O1097</f>
        <v>11558.271685016423</v>
      </c>
    </row>
    <row r="1099" spans="9:16">
      <c r="I1099" s="26" t="s">
        <v>1398</v>
      </c>
      <c r="J1099" s="26"/>
      <c r="K1099" s="26"/>
      <c r="L1099" s="26"/>
      <c r="M1099" s="26"/>
      <c r="N1099" s="26"/>
      <c r="O1099" s="26"/>
    </row>
    <row r="1100" spans="9:16">
      <c r="I1100" s="765" t="s">
        <v>1906</v>
      </c>
      <c r="J1100" s="765"/>
      <c r="K1100" s="765"/>
      <c r="L1100" s="765"/>
      <c r="M1100" s="765"/>
      <c r="N1100" s="765"/>
      <c r="O1100" s="765"/>
    </row>
    <row r="1101" spans="9:16">
      <c r="I1101" s="82" t="s">
        <v>19</v>
      </c>
      <c r="J1101" s="26"/>
      <c r="K1101" s="26"/>
      <c r="L1101" s="26"/>
      <c r="M1101" s="26"/>
      <c r="N1101" s="26"/>
      <c r="O1101" s="26"/>
    </row>
    <row r="1102" spans="9:16">
      <c r="I1102" s="26" t="s">
        <v>965</v>
      </c>
      <c r="J1102" s="26"/>
      <c r="K1102" s="26"/>
      <c r="L1102" s="26"/>
      <c r="M1102" s="26"/>
      <c r="N1102" s="26"/>
      <c r="O1102" s="26"/>
    </row>
    <row r="1103" spans="9:16">
      <c r="I1103" s="26" t="s">
        <v>21</v>
      </c>
      <c r="J1103" s="26"/>
      <c r="K1103" s="26"/>
      <c r="L1103" s="26"/>
      <c r="M1103" s="26"/>
      <c r="N1103" s="26"/>
      <c r="O1103" s="26"/>
    </row>
    <row r="1104" spans="9:16">
      <c r="I1104" s="26" t="s">
        <v>1229</v>
      </c>
      <c r="J1104" s="26"/>
      <c r="K1104" s="26"/>
      <c r="L1104" s="26"/>
      <c r="M1104" s="26"/>
      <c r="N1104" s="26"/>
      <c r="O1104" s="26"/>
    </row>
    <row r="1107" spans="9:16">
      <c r="L1107" s="30" t="s">
        <v>24</v>
      </c>
      <c r="N1107" s="30"/>
      <c r="O1107" s="30"/>
    </row>
    <row r="1108" spans="9:16">
      <c r="L1108" s="30" t="s">
        <v>149</v>
      </c>
      <c r="N1108" s="30"/>
      <c r="O1108" s="30"/>
    </row>
    <row r="1109" spans="9:16">
      <c r="L1109" s="605" t="s">
        <v>150</v>
      </c>
      <c r="M1109" s="605"/>
      <c r="N1109" s="605"/>
      <c r="O1109" s="605"/>
    </row>
    <row r="1110" spans="9:16">
      <c r="M1110" s="26"/>
      <c r="N1110" s="26"/>
      <c r="O1110" s="26"/>
    </row>
    <row r="1111" spans="9:16" ht="18">
      <c r="L1111" s="145"/>
      <c r="M1111" s="145"/>
      <c r="N1111" s="145"/>
      <c r="O1111" s="145"/>
    </row>
    <row r="1112" spans="9:16" ht="17.25">
      <c r="L1112" s="644" t="s">
        <v>2147</v>
      </c>
      <c r="M1112" s="644"/>
      <c r="N1112" s="644"/>
      <c r="O1112" s="644"/>
    </row>
    <row r="1113" spans="9:16" ht="18">
      <c r="L1113" s="145"/>
      <c r="M1113" s="145"/>
      <c r="N1113" s="145"/>
      <c r="O1113" s="145"/>
    </row>
    <row r="1114" spans="9:16" ht="18.75" customHeight="1">
      <c r="I1114" s="617" t="s">
        <v>2534</v>
      </c>
      <c r="J1114" s="617"/>
      <c r="K1114" s="617"/>
      <c r="L1114" s="617"/>
      <c r="M1114" s="617"/>
      <c r="N1114" s="617"/>
      <c r="O1114" s="617"/>
      <c r="P1114" s="617"/>
    </row>
    <row r="1117" spans="9:16" ht="49.5" customHeight="1">
      <c r="I1117" s="642" t="s">
        <v>1</v>
      </c>
      <c r="J1117" s="642"/>
      <c r="K1117" s="642"/>
      <c r="L1117" s="642"/>
      <c r="M1117" s="642"/>
      <c r="N1117" s="642"/>
      <c r="O1117" s="642"/>
      <c r="P1117" s="642"/>
    </row>
    <row r="1120" spans="9:16" ht="17.25">
      <c r="I1120" s="375"/>
      <c r="J1120" s="503" t="s">
        <v>2056</v>
      </c>
    </row>
    <row r="1121" spans="9:16" ht="17.25" thickBot="1">
      <c r="I1121" s="30"/>
      <c r="O1121" s="141"/>
    </row>
    <row r="1122" spans="9:16">
      <c r="J1122" s="30"/>
      <c r="N1122" s="143"/>
      <c r="P1122" s="144"/>
    </row>
    <row r="1123" spans="9:16">
      <c r="N1123" s="647" t="s">
        <v>1897</v>
      </c>
      <c r="O1123" s="610"/>
      <c r="P1123" s="648"/>
    </row>
    <row r="1124" spans="9:16">
      <c r="I1124" s="12" t="s">
        <v>114</v>
      </c>
      <c r="L1124" s="249" t="s">
        <v>2</v>
      </c>
      <c r="N1124" s="605" t="s">
        <v>760</v>
      </c>
      <c r="O1124" s="605"/>
      <c r="P1124" s="649"/>
    </row>
    <row r="1125" spans="9:16">
      <c r="N1125" s="601" t="s">
        <v>163</v>
      </c>
      <c r="O1125" s="602"/>
      <c r="P1125" s="603"/>
    </row>
    <row r="1126" spans="9:16" ht="17.25" thickBot="1">
      <c r="N1126" s="140"/>
      <c r="O1126" s="141"/>
      <c r="P1126" s="142"/>
    </row>
    <row r="1128" spans="9:16">
      <c r="I1128" s="250" t="s">
        <v>27</v>
      </c>
      <c r="J1128" s="394" t="s">
        <v>115</v>
      </c>
    </row>
    <row r="1129" spans="9:16" ht="17.25" thickBot="1"/>
    <row r="1130" spans="9:16" ht="17.25" customHeight="1" thickBot="1">
      <c r="I1130" s="13" t="s">
        <v>112</v>
      </c>
      <c r="J1130" s="624" t="s">
        <v>4</v>
      </c>
      <c r="K1130" s="625"/>
      <c r="L1130" s="625"/>
      <c r="M1130" s="625"/>
      <c r="N1130" s="625"/>
      <c r="O1130" s="626"/>
      <c r="P1130" s="20" t="s">
        <v>5</v>
      </c>
    </row>
    <row r="1131" spans="9:16" ht="16.5" customHeight="1">
      <c r="I1131" s="633" t="s">
        <v>2445</v>
      </c>
      <c r="J1131" s="143"/>
      <c r="K1131" s="159"/>
      <c r="L1131" s="159"/>
      <c r="M1131" s="159"/>
      <c r="N1131" s="159"/>
      <c r="O1131" s="144"/>
      <c r="P1131" s="291"/>
    </row>
    <row r="1132" spans="9:16">
      <c r="I1132" s="634"/>
      <c r="J1132" s="64"/>
      <c r="O1132" s="65"/>
      <c r="P1132" s="291"/>
    </row>
    <row r="1133" spans="9:16">
      <c r="I1133" s="634"/>
      <c r="J1133" s="66"/>
      <c r="K1133" s="367"/>
      <c r="L1133" s="367" t="s">
        <v>286</v>
      </c>
      <c r="M1133" s="367"/>
      <c r="N1133" s="367"/>
      <c r="O1133" s="67"/>
      <c r="P1133" s="291"/>
    </row>
    <row r="1134" spans="9:16">
      <c r="I1134" s="634"/>
      <c r="J1134" s="385"/>
      <c r="K1134" s="187"/>
      <c r="L1134" s="147" t="s">
        <v>2319</v>
      </c>
      <c r="M1134" s="187"/>
      <c r="N1134" s="187"/>
      <c r="O1134" s="132"/>
      <c r="P1134" s="148">
        <v>3600000</v>
      </c>
    </row>
    <row r="1135" spans="9:16">
      <c r="I1135" s="634"/>
      <c r="J1135" s="64"/>
      <c r="K1135" s="604"/>
      <c r="L1135" s="604"/>
      <c r="M1135" s="604"/>
      <c r="O1135" s="65"/>
      <c r="P1135" s="291"/>
    </row>
    <row r="1136" spans="9:16" ht="17.25" thickBot="1">
      <c r="I1136" s="635"/>
      <c r="J1136" s="140"/>
      <c r="K1136" s="141"/>
      <c r="L1136" s="141"/>
      <c r="M1136" s="141"/>
      <c r="N1136" s="141"/>
      <c r="O1136" s="142"/>
      <c r="P1136" s="291"/>
    </row>
    <row r="1137" spans="9:16" ht="17.25" thickBot="1">
      <c r="I1137" s="20" t="s">
        <v>12</v>
      </c>
      <c r="J1137" s="614" t="s">
        <v>13</v>
      </c>
      <c r="K1137" s="615"/>
      <c r="L1137" s="62" t="s">
        <v>14</v>
      </c>
      <c r="M1137" s="63"/>
      <c r="N1137" s="62" t="s">
        <v>15</v>
      </c>
      <c r="O1137" s="62" t="s">
        <v>16</v>
      </c>
      <c r="P1137" s="20" t="s">
        <v>17</v>
      </c>
    </row>
    <row r="1138" spans="9:16" ht="18" thickBot="1">
      <c r="I1138" s="22" t="s">
        <v>18</v>
      </c>
      <c r="J1138" s="606">
        <f>+P1134</f>
        <v>3600000</v>
      </c>
      <c r="K1138" s="607"/>
      <c r="L1138" s="23">
        <f>0</f>
        <v>0</v>
      </c>
      <c r="M1138" s="24"/>
      <c r="N1138" s="25">
        <f>0</f>
        <v>0</v>
      </c>
      <c r="O1138" s="36">
        <f>+J1138</f>
        <v>3600000</v>
      </c>
      <c r="P1138" s="38">
        <f>+P1134</f>
        <v>3600000</v>
      </c>
    </row>
    <row r="1139" spans="9:16" ht="18" thickBot="1">
      <c r="I1139" s="22" t="s">
        <v>113</v>
      </c>
      <c r="J1139" s="606">
        <f>+J1138/650.599</f>
        <v>5533.362332250741</v>
      </c>
      <c r="K1139" s="607"/>
      <c r="L1139" s="23">
        <f>0</f>
        <v>0</v>
      </c>
      <c r="M1139" s="24"/>
      <c r="N1139" s="25">
        <f>0</f>
        <v>0</v>
      </c>
      <c r="O1139" s="36">
        <f>+J1139</f>
        <v>5533.362332250741</v>
      </c>
      <c r="P1139" s="38">
        <f>+O1139</f>
        <v>5533.362332250741</v>
      </c>
    </row>
    <row r="1141" spans="9:16">
      <c r="I1141" s="410" t="s">
        <v>1268</v>
      </c>
      <c r="J1141" s="26"/>
      <c r="K1141" s="26"/>
      <c r="L1141" s="26"/>
      <c r="M1141" s="26"/>
      <c r="N1141" s="26"/>
      <c r="O1141" s="26"/>
    </row>
    <row r="1142" spans="9:16">
      <c r="I1142" s="411" t="s">
        <v>2320</v>
      </c>
      <c r="J1142" s="26"/>
      <c r="K1142" s="26"/>
      <c r="L1142" s="26"/>
      <c r="M1142" s="26"/>
      <c r="N1142" s="26"/>
      <c r="O1142" s="26"/>
    </row>
    <row r="1143" spans="9:16">
      <c r="I1143" s="82" t="s">
        <v>19</v>
      </c>
      <c r="J1143" s="26"/>
      <c r="K1143" s="26"/>
      <c r="L1143" s="26"/>
      <c r="M1143" s="26"/>
      <c r="N1143" s="26"/>
      <c r="O1143" s="26"/>
    </row>
    <row r="1144" spans="9:16">
      <c r="I1144" s="26" t="s">
        <v>965</v>
      </c>
      <c r="J1144" s="26"/>
      <c r="K1144" s="26"/>
      <c r="L1144" s="26"/>
      <c r="M1144" s="26"/>
      <c r="N1144" s="26"/>
      <c r="O1144" s="26"/>
    </row>
    <row r="1145" spans="9:16">
      <c r="I1145" s="26" t="s">
        <v>21</v>
      </c>
      <c r="J1145" s="26"/>
      <c r="K1145" s="26"/>
      <c r="L1145" s="26"/>
      <c r="M1145" s="26"/>
      <c r="N1145" s="26"/>
      <c r="O1145" s="26"/>
    </row>
    <row r="1146" spans="9:16">
      <c r="I1146" s="26" t="s">
        <v>1229</v>
      </c>
      <c r="J1146" s="26"/>
      <c r="K1146" s="26"/>
      <c r="L1146" s="26"/>
      <c r="M1146" s="26"/>
      <c r="N1146" s="26"/>
      <c r="O1146" s="26"/>
    </row>
    <row r="1149" spans="9:16">
      <c r="L1149" s="30" t="s">
        <v>24</v>
      </c>
      <c r="N1149" s="30"/>
      <c r="O1149" s="30"/>
    </row>
    <row r="1150" spans="9:16">
      <c r="L1150" s="30" t="s">
        <v>149</v>
      </c>
      <c r="N1150" s="30"/>
      <c r="O1150" s="30"/>
    </row>
    <row r="1151" spans="9:16">
      <c r="L1151" s="605" t="s">
        <v>150</v>
      </c>
      <c r="M1151" s="605"/>
      <c r="N1151" s="605"/>
      <c r="O1151" s="605"/>
    </row>
    <row r="1152" spans="9:16">
      <c r="L1152" s="30"/>
    </row>
    <row r="1153" spans="9:16">
      <c r="M1153" s="26"/>
      <c r="N1153" s="26"/>
      <c r="O1153" s="26"/>
    </row>
    <row r="1154" spans="9:16" ht="17.25">
      <c r="L1154" s="644" t="s">
        <v>2347</v>
      </c>
      <c r="M1154" s="644"/>
      <c r="N1154" s="644"/>
      <c r="O1154" s="644"/>
    </row>
    <row r="1155" spans="9:16" ht="17.25">
      <c r="L1155" s="361"/>
      <c r="M1155" s="361"/>
      <c r="N1155" s="361"/>
      <c r="O1155" s="361"/>
    </row>
    <row r="1156" spans="9:16" ht="18">
      <c r="I1156" s="26"/>
      <c r="J1156" s="26"/>
      <c r="K1156" s="26"/>
      <c r="L1156" s="644"/>
      <c r="M1156" s="644"/>
      <c r="N1156" s="644"/>
      <c r="O1156" s="644"/>
      <c r="P1156" s="145"/>
    </row>
    <row r="1157" spans="9:16" ht="19.5" customHeight="1">
      <c r="I1157" s="617" t="s">
        <v>2748</v>
      </c>
      <c r="J1157" s="617"/>
      <c r="K1157" s="617"/>
      <c r="L1157" s="617"/>
      <c r="M1157" s="617"/>
      <c r="N1157" s="617"/>
      <c r="O1157" s="617"/>
      <c r="P1157" s="617"/>
    </row>
    <row r="1160" spans="9:16" ht="49.5" customHeight="1">
      <c r="I1160" s="661" t="s">
        <v>1</v>
      </c>
      <c r="J1160" s="661"/>
      <c r="K1160" s="661"/>
      <c r="L1160" s="661"/>
      <c r="M1160" s="661"/>
      <c r="N1160" s="661"/>
      <c r="O1160" s="661"/>
      <c r="P1160" s="661"/>
    </row>
    <row r="1163" spans="9:16" ht="17.25">
      <c r="I1163" s="375"/>
      <c r="J1163" s="503" t="s">
        <v>1758</v>
      </c>
    </row>
    <row r="1164" spans="9:16" ht="17.25" thickBot="1">
      <c r="I1164" s="30"/>
      <c r="O1164" s="141"/>
    </row>
    <row r="1165" spans="9:16">
      <c r="J1165" s="30"/>
      <c r="N1165" s="143"/>
      <c r="P1165" s="144"/>
    </row>
    <row r="1166" spans="9:16">
      <c r="N1166" s="619" t="s">
        <v>555</v>
      </c>
      <c r="O1166" s="620"/>
      <c r="P1166" s="621"/>
    </row>
    <row r="1167" spans="9:16">
      <c r="I1167" s="186" t="s">
        <v>114</v>
      </c>
      <c r="L1167" s="249" t="s">
        <v>2</v>
      </c>
      <c r="N1167" s="605" t="s">
        <v>1676</v>
      </c>
      <c r="O1167" s="605"/>
      <c r="P1167" s="649"/>
    </row>
    <row r="1168" spans="9:16">
      <c r="N1168" s="601" t="s">
        <v>163</v>
      </c>
      <c r="O1168" s="602"/>
      <c r="P1168" s="603"/>
    </row>
    <row r="1169" spans="9:16" ht="18" thickBot="1">
      <c r="I1169" s="249"/>
      <c r="J1169" s="375"/>
      <c r="N1169" s="140"/>
      <c r="O1169" s="141"/>
      <c r="P1169" s="142"/>
    </row>
    <row r="1171" spans="9:16">
      <c r="I1171" s="30" t="s">
        <v>27</v>
      </c>
      <c r="J1171" s="394" t="s">
        <v>115</v>
      </c>
    </row>
    <row r="1172" spans="9:16" ht="17.25" thickBot="1"/>
    <row r="1173" spans="9:16" ht="17.25" customHeight="1" thickBot="1">
      <c r="I1173" s="13" t="s">
        <v>112</v>
      </c>
      <c r="J1173" s="624" t="s">
        <v>4</v>
      </c>
      <c r="K1173" s="625"/>
      <c r="L1173" s="625"/>
      <c r="M1173" s="625"/>
      <c r="N1173" s="625"/>
      <c r="O1173" s="626"/>
      <c r="P1173" s="20" t="s">
        <v>5</v>
      </c>
    </row>
    <row r="1174" spans="9:16" ht="16.5" customHeight="1">
      <c r="I1174" s="633" t="s">
        <v>2806</v>
      </c>
      <c r="J1174" s="143"/>
      <c r="K1174" s="159"/>
      <c r="L1174" s="159"/>
      <c r="M1174" s="159"/>
      <c r="N1174" s="159"/>
      <c r="O1174" s="144"/>
      <c r="P1174" s="291"/>
    </row>
    <row r="1175" spans="9:16">
      <c r="I1175" s="634"/>
      <c r="J1175" s="64"/>
      <c r="O1175" s="65"/>
      <c r="P1175" s="291"/>
    </row>
    <row r="1176" spans="9:16">
      <c r="I1176" s="634"/>
      <c r="J1176" s="630" t="s">
        <v>286</v>
      </c>
      <c r="K1176" s="631"/>
      <c r="L1176" s="631"/>
      <c r="M1176" s="631"/>
      <c r="N1176" s="631"/>
      <c r="O1176" s="632"/>
      <c r="P1176" s="291"/>
    </row>
    <row r="1177" spans="9:16">
      <c r="I1177" s="634"/>
      <c r="J1177" s="636" t="s">
        <v>2322</v>
      </c>
      <c r="K1177" s="637"/>
      <c r="L1177" s="637"/>
      <c r="M1177" s="637"/>
      <c r="N1177" s="637"/>
      <c r="O1177" s="638"/>
      <c r="P1177" s="148">
        <v>3300000</v>
      </c>
    </row>
    <row r="1178" spans="9:16" ht="17.25" thickBot="1">
      <c r="I1178" s="634"/>
      <c r="J1178" s="64"/>
      <c r="K1178" s="764"/>
      <c r="L1178" s="764"/>
      <c r="M1178" s="764"/>
      <c r="O1178" s="65"/>
      <c r="P1178" s="291"/>
    </row>
    <row r="1179" spans="9:16" ht="17.25" thickBot="1">
      <c r="I1179" s="20" t="s">
        <v>12</v>
      </c>
      <c r="J1179" s="611" t="s">
        <v>13</v>
      </c>
      <c r="K1179" s="612"/>
      <c r="L1179" s="21" t="s">
        <v>14</v>
      </c>
      <c r="M1179" s="20"/>
      <c r="N1179" s="21" t="s">
        <v>15</v>
      </c>
      <c r="O1179" s="364" t="s">
        <v>16</v>
      </c>
      <c r="P1179" s="20" t="s">
        <v>17</v>
      </c>
    </row>
    <row r="1180" spans="9:16" ht="18" thickBot="1">
      <c r="I1180" s="22" t="s">
        <v>18</v>
      </c>
      <c r="J1180" s="769">
        <f>+P1177</f>
        <v>3300000</v>
      </c>
      <c r="K1180" s="770"/>
      <c r="L1180" s="459">
        <f>0</f>
        <v>0</v>
      </c>
      <c r="M1180" s="24"/>
      <c r="N1180" s="460">
        <f>0</f>
        <v>0</v>
      </c>
      <c r="O1180" s="36">
        <f>+J1180</f>
        <v>3300000</v>
      </c>
      <c r="P1180" s="38">
        <f>+P1177</f>
        <v>3300000</v>
      </c>
    </row>
    <row r="1181" spans="9:16" ht="18" thickBot="1">
      <c r="I1181" s="22" t="s">
        <v>113</v>
      </c>
      <c r="J1181" s="606">
        <f>+J1180/650.599</f>
        <v>5072.248804563179</v>
      </c>
      <c r="K1181" s="607"/>
      <c r="L1181" s="23">
        <f>0</f>
        <v>0</v>
      </c>
      <c r="M1181" s="24"/>
      <c r="N1181" s="25">
        <f>0</f>
        <v>0</v>
      </c>
      <c r="O1181" s="36">
        <f>+J1181</f>
        <v>5072.248804563179</v>
      </c>
      <c r="P1181" s="38">
        <f>+O1181</f>
        <v>5072.248804563179</v>
      </c>
    </row>
    <row r="1183" spans="9:16">
      <c r="I1183" s="412" t="s">
        <v>1430</v>
      </c>
      <c r="J1183" s="26"/>
      <c r="K1183" s="26"/>
      <c r="L1183" s="26"/>
      <c r="M1183" s="26"/>
      <c r="N1183" s="26"/>
      <c r="O1183" s="26"/>
    </row>
    <row r="1184" spans="9:16">
      <c r="I1184" s="413" t="s">
        <v>2477</v>
      </c>
      <c r="J1184" s="26"/>
      <c r="K1184" s="26"/>
      <c r="L1184" s="26"/>
      <c r="M1184" s="26"/>
      <c r="N1184" s="26"/>
      <c r="O1184" s="26"/>
    </row>
    <row r="1185" spans="9:16">
      <c r="I1185" s="82" t="s">
        <v>19</v>
      </c>
      <c r="J1185" s="26"/>
      <c r="K1185" s="26"/>
      <c r="L1185" s="26"/>
      <c r="M1185" s="26"/>
      <c r="N1185" s="26"/>
      <c r="O1185" s="26"/>
    </row>
    <row r="1186" spans="9:16">
      <c r="I1186" s="26" t="s">
        <v>965</v>
      </c>
      <c r="J1186" s="26"/>
      <c r="K1186" s="26"/>
      <c r="L1186" s="26"/>
      <c r="M1186" s="26"/>
      <c r="N1186" s="26"/>
      <c r="O1186" s="26"/>
    </row>
    <row r="1187" spans="9:16">
      <c r="I1187" s="26" t="s">
        <v>21</v>
      </c>
      <c r="J1187" s="26"/>
      <c r="K1187" s="26"/>
      <c r="L1187" s="26"/>
      <c r="M1187" s="26"/>
      <c r="N1187" s="26"/>
      <c r="O1187" s="26"/>
    </row>
    <row r="1188" spans="9:16">
      <c r="I1188" s="26" t="s">
        <v>1229</v>
      </c>
      <c r="J1188" s="26"/>
      <c r="K1188" s="26"/>
      <c r="L1188" s="26"/>
      <c r="M1188" s="26"/>
      <c r="N1188" s="26"/>
      <c r="O1188" s="26"/>
    </row>
    <row r="1191" spans="9:16">
      <c r="L1191" s="30" t="s">
        <v>24</v>
      </c>
      <c r="N1191" s="30"/>
      <c r="O1191" s="30"/>
    </row>
    <row r="1192" spans="9:16">
      <c r="L1192" s="30" t="s">
        <v>149</v>
      </c>
      <c r="N1192" s="30"/>
      <c r="O1192" s="30"/>
    </row>
    <row r="1193" spans="9:16">
      <c r="L1193" s="605" t="s">
        <v>150</v>
      </c>
      <c r="M1193" s="605"/>
      <c r="N1193" s="605"/>
      <c r="O1193" s="605"/>
    </row>
    <row r="1194" spans="9:16">
      <c r="M1194" s="26"/>
      <c r="N1194" s="26"/>
      <c r="O1194" s="26"/>
    </row>
    <row r="1195" spans="9:16" ht="18">
      <c r="L1195" s="145"/>
      <c r="M1195" s="145"/>
      <c r="N1195" s="145"/>
      <c r="O1195" s="145"/>
    </row>
    <row r="1196" spans="9:16" ht="18">
      <c r="I1196" s="26"/>
      <c r="J1196" s="26"/>
      <c r="K1196" s="26"/>
      <c r="L1196" s="644" t="s">
        <v>2347</v>
      </c>
      <c r="M1196" s="644"/>
      <c r="N1196" s="644"/>
      <c r="O1196" s="644"/>
      <c r="P1196" s="145"/>
    </row>
    <row r="1197" spans="9:16" ht="18">
      <c r="I1197" s="26"/>
      <c r="J1197" s="26"/>
      <c r="K1197" s="26"/>
      <c r="L1197" s="361"/>
      <c r="M1197" s="361"/>
      <c r="N1197" s="361"/>
      <c r="O1197" s="361"/>
      <c r="P1197" s="145"/>
    </row>
    <row r="1198" spans="9:16" ht="18">
      <c r="I1198" s="26"/>
      <c r="J1198" s="26"/>
      <c r="K1198" s="26"/>
      <c r="L1198" s="26"/>
      <c r="M1198" s="373"/>
      <c r="N1198" s="373"/>
      <c r="O1198" s="373"/>
      <c r="P1198" s="145"/>
    </row>
    <row r="1199" spans="9:16" ht="18.75" customHeight="1">
      <c r="I1199" s="617" t="s">
        <v>2529</v>
      </c>
      <c r="J1199" s="617"/>
      <c r="K1199" s="617"/>
      <c r="L1199" s="617"/>
      <c r="M1199" s="617"/>
      <c r="N1199" s="617"/>
      <c r="O1199" s="617"/>
      <c r="P1199" s="617"/>
    </row>
    <row r="1202" spans="9:16" ht="49.5" customHeight="1">
      <c r="I1202" s="665" t="s">
        <v>1</v>
      </c>
      <c r="J1202" s="665"/>
      <c r="K1202" s="665"/>
      <c r="L1202" s="665"/>
      <c r="M1202" s="665"/>
      <c r="N1202" s="665"/>
      <c r="O1202" s="665"/>
      <c r="P1202" s="665"/>
    </row>
    <row r="1205" spans="9:16" ht="17.25">
      <c r="J1205" s="375" t="s">
        <v>1392</v>
      </c>
    </row>
    <row r="1206" spans="9:16" ht="17.25" thickBot="1">
      <c r="I1206" s="30"/>
      <c r="O1206" s="141"/>
    </row>
    <row r="1207" spans="9:16">
      <c r="J1207" s="30"/>
      <c r="N1207" s="143"/>
      <c r="P1207" s="144"/>
    </row>
    <row r="1208" spans="9:16">
      <c r="N1208" s="647" t="s">
        <v>555</v>
      </c>
      <c r="O1208" s="610"/>
      <c r="P1208" s="648"/>
    </row>
    <row r="1209" spans="9:16">
      <c r="I1209" s="12" t="s">
        <v>114</v>
      </c>
      <c r="L1209" s="249" t="s">
        <v>2</v>
      </c>
      <c r="N1209" s="605" t="s">
        <v>1676</v>
      </c>
      <c r="O1209" s="605"/>
      <c r="P1209" s="649"/>
    </row>
    <row r="1210" spans="9:16">
      <c r="N1210" s="601" t="s">
        <v>163</v>
      </c>
      <c r="O1210" s="602"/>
      <c r="P1210" s="603"/>
    </row>
    <row r="1211" spans="9:16" ht="17.25" thickBot="1">
      <c r="N1211" s="140"/>
      <c r="O1211" s="141"/>
      <c r="P1211" s="142"/>
    </row>
    <row r="1213" spans="9:16">
      <c r="I1213" s="249" t="s">
        <v>27</v>
      </c>
      <c r="J1213" s="394" t="s">
        <v>115</v>
      </c>
    </row>
    <row r="1214" spans="9:16" ht="17.25" thickBot="1"/>
    <row r="1215" spans="9:16" ht="17.25" customHeight="1" thickBot="1">
      <c r="I1215" s="13" t="s">
        <v>112</v>
      </c>
      <c r="J1215" s="624" t="s">
        <v>4</v>
      </c>
      <c r="K1215" s="625"/>
      <c r="L1215" s="625"/>
      <c r="M1215" s="625"/>
      <c r="N1215" s="625"/>
      <c r="O1215" s="626"/>
      <c r="P1215" s="20" t="s">
        <v>5</v>
      </c>
    </row>
    <row r="1216" spans="9:16" ht="16.5" customHeight="1">
      <c r="I1216" s="633" t="s">
        <v>2445</v>
      </c>
      <c r="J1216" s="143"/>
      <c r="K1216" s="159"/>
      <c r="L1216" s="159"/>
      <c r="M1216" s="159"/>
      <c r="N1216" s="159"/>
      <c r="O1216" s="144"/>
      <c r="P1216" s="291"/>
    </row>
    <row r="1217" spans="9:16">
      <c r="I1217" s="634"/>
      <c r="J1217" s="64"/>
      <c r="O1217" s="65"/>
      <c r="P1217" s="291"/>
    </row>
    <row r="1218" spans="9:16">
      <c r="I1218" s="634"/>
      <c r="J1218" s="630" t="s">
        <v>286</v>
      </c>
      <c r="K1218" s="631"/>
      <c r="L1218" s="631"/>
      <c r="M1218" s="631"/>
      <c r="N1218" s="631"/>
      <c r="O1218" s="632"/>
      <c r="P1218" s="291"/>
    </row>
    <row r="1219" spans="9:16">
      <c r="I1219" s="634"/>
      <c r="J1219" s="636" t="s">
        <v>2438</v>
      </c>
      <c r="K1219" s="637"/>
      <c r="L1219" s="637"/>
      <c r="M1219" s="637"/>
      <c r="N1219" s="637"/>
      <c r="O1219" s="638"/>
      <c r="P1219" s="148">
        <v>1392800</v>
      </c>
    </row>
    <row r="1220" spans="9:16" ht="17.25" thickBot="1">
      <c r="I1220" s="635"/>
      <c r="J1220" s="140"/>
      <c r="K1220" s="141"/>
      <c r="L1220" s="141"/>
      <c r="M1220" s="141"/>
      <c r="N1220" s="141"/>
      <c r="O1220" s="142"/>
      <c r="P1220" s="291"/>
    </row>
    <row r="1221" spans="9:16" ht="17.25" thickBot="1">
      <c r="I1221" s="20" t="s">
        <v>12</v>
      </c>
      <c r="J1221" s="614" t="s">
        <v>13</v>
      </c>
      <c r="K1221" s="615"/>
      <c r="L1221" s="62" t="s">
        <v>14</v>
      </c>
      <c r="M1221" s="63"/>
      <c r="N1221" s="62" t="s">
        <v>15</v>
      </c>
      <c r="O1221" s="62" t="s">
        <v>16</v>
      </c>
      <c r="P1221" s="20" t="s">
        <v>17</v>
      </c>
    </row>
    <row r="1222" spans="9:16" ht="18" thickBot="1">
      <c r="I1222" s="22" t="s">
        <v>18</v>
      </c>
      <c r="J1222" s="606">
        <f>+P1219</f>
        <v>1392800</v>
      </c>
      <c r="K1222" s="607"/>
      <c r="L1222" s="23">
        <f>0</f>
        <v>0</v>
      </c>
      <c r="M1222" s="24"/>
      <c r="N1222" s="25">
        <f>0</f>
        <v>0</v>
      </c>
      <c r="O1222" s="36">
        <f>+J1222</f>
        <v>1392800</v>
      </c>
      <c r="P1222" s="38">
        <f>+P1219</f>
        <v>1392800</v>
      </c>
    </row>
    <row r="1223" spans="9:16" ht="18" thickBot="1">
      <c r="I1223" s="22" t="s">
        <v>113</v>
      </c>
      <c r="J1223" s="606">
        <f>+J1222/650.599</f>
        <v>2140.7964045441199</v>
      </c>
      <c r="K1223" s="607"/>
      <c r="L1223" s="23">
        <f>0</f>
        <v>0</v>
      </c>
      <c r="M1223" s="24"/>
      <c r="N1223" s="25">
        <f>0</f>
        <v>0</v>
      </c>
      <c r="O1223" s="36">
        <f>+J1223</f>
        <v>2140.7964045441199</v>
      </c>
      <c r="P1223" s="38">
        <f>+O1223</f>
        <v>2140.7964045441199</v>
      </c>
    </row>
    <row r="1225" spans="9:16">
      <c r="I1225" s="395" t="s">
        <v>1268</v>
      </c>
      <c r="J1225" s="26"/>
      <c r="K1225" s="26"/>
      <c r="L1225" s="26"/>
      <c r="M1225" s="26"/>
      <c r="N1225" s="26"/>
      <c r="O1225" s="26"/>
    </row>
    <row r="1226" spans="9:16">
      <c r="I1226" s="413" t="s">
        <v>2528</v>
      </c>
      <c r="J1226" s="26"/>
      <c r="K1226" s="26"/>
      <c r="L1226" s="26"/>
      <c r="M1226" s="26"/>
      <c r="N1226" s="26"/>
      <c r="O1226" s="26"/>
    </row>
    <row r="1227" spans="9:16">
      <c r="I1227" s="82" t="s">
        <v>19</v>
      </c>
      <c r="J1227" s="26"/>
      <c r="K1227" s="26"/>
      <c r="L1227" s="26"/>
      <c r="M1227" s="26"/>
      <c r="N1227" s="26"/>
      <c r="O1227" s="26"/>
    </row>
    <row r="1228" spans="9:16">
      <c r="I1228" s="26" t="s">
        <v>965</v>
      </c>
      <c r="J1228" s="26"/>
      <c r="K1228" s="26"/>
      <c r="L1228" s="26"/>
      <c r="M1228" s="26"/>
      <c r="N1228" s="26"/>
      <c r="O1228" s="26"/>
    </row>
    <row r="1229" spans="9:16">
      <c r="I1229" s="26" t="s">
        <v>21</v>
      </c>
      <c r="J1229" s="26"/>
      <c r="K1229" s="26"/>
      <c r="L1229" s="26"/>
      <c r="M1229" s="26"/>
      <c r="N1229" s="26"/>
      <c r="O1229" s="26"/>
    </row>
    <row r="1230" spans="9:16">
      <c r="I1230" s="26" t="s">
        <v>1229</v>
      </c>
      <c r="J1230" s="26"/>
      <c r="K1230" s="26"/>
      <c r="L1230" s="26"/>
      <c r="M1230" s="26"/>
      <c r="N1230" s="26"/>
      <c r="O1230" s="26"/>
    </row>
    <row r="1233" spans="9:16">
      <c r="L1233" s="30" t="s">
        <v>24</v>
      </c>
      <c r="N1233" s="30"/>
      <c r="O1233" s="30"/>
    </row>
    <row r="1234" spans="9:16">
      <c r="L1234" s="30" t="s">
        <v>149</v>
      </c>
      <c r="N1234" s="30"/>
      <c r="O1234" s="30"/>
    </row>
    <row r="1235" spans="9:16">
      <c r="L1235" s="605" t="s">
        <v>150</v>
      </c>
      <c r="M1235" s="605"/>
      <c r="N1235" s="605"/>
      <c r="O1235" s="605"/>
    </row>
    <row r="1236" spans="9:16">
      <c r="L1236" s="30"/>
    </row>
    <row r="1237" spans="9:16">
      <c r="M1237" s="26"/>
      <c r="N1237" s="26"/>
      <c r="O1237" s="26"/>
    </row>
    <row r="1238" spans="9:16" ht="18">
      <c r="L1238" s="145"/>
      <c r="M1238" s="145"/>
      <c r="N1238" s="145"/>
      <c r="O1238" s="145"/>
    </row>
    <row r="1239" spans="9:16" ht="18">
      <c r="I1239" s="26"/>
      <c r="J1239" s="26"/>
      <c r="K1239" s="26"/>
      <c r="L1239" s="644" t="s">
        <v>2347</v>
      </c>
      <c r="M1239" s="644"/>
      <c r="N1239" s="644"/>
      <c r="O1239" s="644"/>
      <c r="P1239" s="145"/>
    </row>
    <row r="1240" spans="9:16" ht="18">
      <c r="I1240" s="26"/>
      <c r="J1240" s="26"/>
      <c r="K1240" s="26"/>
      <c r="L1240" s="26"/>
      <c r="M1240" s="373"/>
      <c r="N1240" s="373"/>
      <c r="O1240" s="373"/>
      <c r="P1240" s="145"/>
    </row>
    <row r="1241" spans="9:16">
      <c r="I1241" s="617" t="s">
        <v>2529</v>
      </c>
      <c r="J1241" s="617"/>
      <c r="K1241" s="617"/>
      <c r="L1241" s="617"/>
      <c r="M1241" s="617"/>
      <c r="N1241" s="617"/>
      <c r="O1241" s="617"/>
      <c r="P1241" s="617"/>
    </row>
    <row r="1244" spans="9:16" ht="49.5" customHeight="1">
      <c r="I1244" s="665" t="s">
        <v>1</v>
      </c>
      <c r="J1244" s="665"/>
      <c r="K1244" s="665"/>
      <c r="L1244" s="665"/>
      <c r="M1244" s="665"/>
      <c r="N1244" s="665"/>
      <c r="O1244" s="665"/>
      <c r="P1244" s="665"/>
    </row>
    <row r="1247" spans="9:16" ht="17.25">
      <c r="I1247" s="375"/>
      <c r="J1247" s="375" t="s">
        <v>2880</v>
      </c>
    </row>
    <row r="1248" spans="9:16" ht="17.25" thickBot="1">
      <c r="I1248" s="30"/>
      <c r="O1248" s="141"/>
    </row>
    <row r="1249" spans="9:16">
      <c r="J1249" s="30"/>
      <c r="N1249" s="143"/>
      <c r="P1249" s="144"/>
    </row>
    <row r="1250" spans="9:16">
      <c r="N1250" s="619" t="s">
        <v>2877</v>
      </c>
      <c r="O1250" s="620"/>
      <c r="P1250" s="621"/>
    </row>
    <row r="1251" spans="9:16">
      <c r="I1251" s="12" t="s">
        <v>114</v>
      </c>
      <c r="L1251" s="249" t="s">
        <v>2</v>
      </c>
      <c r="N1251" s="605" t="s">
        <v>760</v>
      </c>
      <c r="O1251" s="605"/>
      <c r="P1251" s="649"/>
    </row>
    <row r="1252" spans="9:16">
      <c r="N1252" s="601" t="s">
        <v>163</v>
      </c>
      <c r="O1252" s="602"/>
      <c r="P1252" s="603"/>
    </row>
    <row r="1253" spans="9:16" ht="17.25" thickBot="1">
      <c r="N1253" s="140"/>
      <c r="O1253" s="141"/>
      <c r="P1253" s="142"/>
    </row>
    <row r="1255" spans="9:16">
      <c r="I1255" s="30" t="s">
        <v>27</v>
      </c>
      <c r="J1255" s="394" t="s">
        <v>115</v>
      </c>
    </row>
    <row r="1256" spans="9:16" ht="17.25" thickBot="1"/>
    <row r="1257" spans="9:16" ht="17.25" thickBot="1">
      <c r="I1257" s="13" t="s">
        <v>112</v>
      </c>
      <c r="J1257" s="624" t="s">
        <v>4</v>
      </c>
      <c r="K1257" s="625"/>
      <c r="L1257" s="625"/>
      <c r="M1257" s="625"/>
      <c r="N1257" s="625"/>
      <c r="O1257" s="626"/>
      <c r="P1257" s="20" t="s">
        <v>5</v>
      </c>
    </row>
    <row r="1258" spans="9:16">
      <c r="I1258" s="633" t="s">
        <v>2806</v>
      </c>
      <c r="J1258" s="143"/>
      <c r="K1258" s="159"/>
      <c r="L1258" s="159"/>
      <c r="M1258" s="159"/>
      <c r="N1258" s="159"/>
      <c r="O1258" s="144"/>
      <c r="P1258" s="291"/>
    </row>
    <row r="1259" spans="9:16">
      <c r="I1259" s="634"/>
      <c r="J1259" s="64"/>
      <c r="O1259" s="65"/>
      <c r="P1259" s="291"/>
    </row>
    <row r="1260" spans="9:16">
      <c r="I1260" s="634"/>
      <c r="J1260" s="630" t="s">
        <v>286</v>
      </c>
      <c r="K1260" s="631"/>
      <c r="L1260" s="631"/>
      <c r="M1260" s="631"/>
      <c r="N1260" s="631"/>
      <c r="O1260" s="632"/>
      <c r="P1260" s="291"/>
    </row>
    <row r="1261" spans="9:16">
      <c r="I1261" s="634"/>
      <c r="J1261" s="636" t="s">
        <v>2878</v>
      </c>
      <c r="K1261" s="637"/>
      <c r="L1261" s="637"/>
      <c r="M1261" s="637"/>
      <c r="N1261" s="637"/>
      <c r="O1261" s="638"/>
      <c r="P1261" s="148">
        <v>5000000</v>
      </c>
    </row>
    <row r="1262" spans="9:16">
      <c r="I1262" s="634"/>
      <c r="J1262" s="64"/>
      <c r="K1262" s="604"/>
      <c r="L1262" s="604"/>
      <c r="M1262" s="604"/>
      <c r="O1262" s="65"/>
      <c r="P1262" s="291"/>
    </row>
    <row r="1263" spans="9:16" ht="17.25" thickBot="1">
      <c r="I1263" s="635"/>
      <c r="J1263" s="140"/>
      <c r="K1263" s="141"/>
      <c r="L1263" s="141"/>
      <c r="M1263" s="141"/>
      <c r="N1263" s="141"/>
      <c r="O1263" s="142"/>
      <c r="P1263" s="291"/>
    </row>
    <row r="1264" spans="9:16" ht="17.25" thickBot="1">
      <c r="I1264" s="20" t="s">
        <v>12</v>
      </c>
      <c r="J1264" s="614" t="s">
        <v>13</v>
      </c>
      <c r="K1264" s="615"/>
      <c r="L1264" s="62" t="s">
        <v>14</v>
      </c>
      <c r="M1264" s="63"/>
      <c r="N1264" s="62" t="s">
        <v>15</v>
      </c>
      <c r="O1264" s="62" t="s">
        <v>16</v>
      </c>
      <c r="P1264" s="20" t="s">
        <v>17</v>
      </c>
    </row>
    <row r="1265" spans="9:16" ht="18" thickBot="1">
      <c r="I1265" s="22" t="s">
        <v>18</v>
      </c>
      <c r="J1265" s="606">
        <f>+P1261</f>
        <v>5000000</v>
      </c>
      <c r="K1265" s="607"/>
      <c r="L1265" s="23">
        <f>0</f>
        <v>0</v>
      </c>
      <c r="M1265" s="24"/>
      <c r="N1265" s="25">
        <f>0</f>
        <v>0</v>
      </c>
      <c r="O1265" s="36">
        <f>+J1265</f>
        <v>5000000</v>
      </c>
      <c r="P1265" s="38">
        <f>+P1261</f>
        <v>5000000</v>
      </c>
    </row>
    <row r="1266" spans="9:16" ht="18" thickBot="1">
      <c r="I1266" s="22" t="s">
        <v>113</v>
      </c>
      <c r="J1266" s="606">
        <f>+J1265/650.599</f>
        <v>7685.2254614593621</v>
      </c>
      <c r="K1266" s="607"/>
      <c r="L1266" s="23">
        <f>0</f>
        <v>0</v>
      </c>
      <c r="M1266" s="24"/>
      <c r="N1266" s="25">
        <f>0</f>
        <v>0</v>
      </c>
      <c r="O1266" s="36">
        <f>+J1266</f>
        <v>7685.2254614593621</v>
      </c>
      <c r="P1266" s="38">
        <f>+O1266</f>
        <v>7685.2254614593621</v>
      </c>
    </row>
    <row r="1268" spans="9:16">
      <c r="I1268" s="395" t="s">
        <v>1268</v>
      </c>
      <c r="J1268" s="26"/>
      <c r="K1268" s="26"/>
      <c r="L1268" s="26"/>
      <c r="M1268" s="26"/>
      <c r="N1268" s="26"/>
      <c r="O1268" s="26"/>
    </row>
    <row r="1269" spans="9:16">
      <c r="I1269" s="408" t="s">
        <v>2879</v>
      </c>
      <c r="J1269" s="26"/>
      <c r="K1269" s="26"/>
      <c r="L1269" s="26"/>
      <c r="M1269" s="26"/>
      <c r="N1269" s="26"/>
      <c r="O1269" s="26"/>
    </row>
    <row r="1270" spans="9:16">
      <c r="I1270" s="82" t="s">
        <v>19</v>
      </c>
      <c r="J1270" s="26"/>
      <c r="K1270" s="26"/>
      <c r="L1270" s="26"/>
      <c r="M1270" s="26"/>
      <c r="N1270" s="26"/>
      <c r="O1270" s="26"/>
    </row>
    <row r="1271" spans="9:16">
      <c r="I1271" s="26" t="s">
        <v>965</v>
      </c>
      <c r="J1271" s="26"/>
      <c r="K1271" s="26"/>
      <c r="L1271" s="26"/>
      <c r="M1271" s="26"/>
      <c r="N1271" s="26"/>
      <c r="O1271" s="26"/>
    </row>
    <row r="1272" spans="9:16">
      <c r="I1272" s="26" t="s">
        <v>21</v>
      </c>
      <c r="J1272" s="26"/>
      <c r="K1272" s="26"/>
      <c r="L1272" s="26"/>
      <c r="M1272" s="26"/>
      <c r="N1272" s="26"/>
      <c r="O1272" s="26"/>
    </row>
    <row r="1273" spans="9:16">
      <c r="I1273" s="26" t="s">
        <v>1229</v>
      </c>
      <c r="J1273" s="26"/>
      <c r="K1273" s="26"/>
      <c r="L1273" s="26"/>
      <c r="M1273" s="26"/>
      <c r="N1273" s="26"/>
      <c r="O1273" s="26"/>
    </row>
    <row r="1276" spans="9:16">
      <c r="L1276" s="604" t="s">
        <v>24</v>
      </c>
      <c r="M1276" s="604"/>
      <c r="N1276" s="604"/>
      <c r="O1276" s="604"/>
    </row>
    <row r="1277" spans="9:16">
      <c r="L1277" s="604" t="s">
        <v>149</v>
      </c>
      <c r="M1277" s="604"/>
      <c r="N1277" s="604"/>
      <c r="O1277" s="604"/>
    </row>
    <row r="1278" spans="9:16">
      <c r="L1278" s="605" t="s">
        <v>150</v>
      </c>
      <c r="M1278" s="605"/>
      <c r="N1278" s="605"/>
      <c r="O1278" s="605"/>
    </row>
    <row r="1279" spans="9:16">
      <c r="L1279" s="30"/>
    </row>
    <row r="1280" spans="9:16">
      <c r="M1280" s="26"/>
      <c r="N1280" s="26"/>
      <c r="O1280" s="26"/>
    </row>
    <row r="1281" spans="9:16" ht="18">
      <c r="I1281" s="26"/>
      <c r="J1281" s="26"/>
      <c r="K1281" s="26"/>
      <c r="L1281" s="361"/>
      <c r="M1281" s="361"/>
      <c r="N1281" s="361"/>
      <c r="O1281" s="361"/>
      <c r="P1281" s="145"/>
    </row>
    <row r="1282" spans="9:16" ht="18">
      <c r="I1282" s="26"/>
      <c r="J1282" s="26"/>
      <c r="K1282" s="26"/>
      <c r="L1282" s="361"/>
      <c r="M1282" s="361"/>
      <c r="N1282" s="361"/>
      <c r="O1282" s="361"/>
      <c r="P1282" s="145"/>
    </row>
    <row r="1283" spans="9:16" ht="18">
      <c r="I1283" s="26"/>
      <c r="J1283" s="26"/>
      <c r="K1283" s="26"/>
      <c r="L1283" s="361"/>
      <c r="M1283" s="361"/>
      <c r="N1283" s="361"/>
      <c r="O1283" s="361"/>
      <c r="P1283" s="145"/>
    </row>
    <row r="1284" spans="9:16" ht="18.75" customHeight="1">
      <c r="J1284" s="617" t="s">
        <v>2556</v>
      </c>
      <c r="K1284" s="617"/>
      <c r="L1284" s="617"/>
      <c r="M1284" s="617"/>
      <c r="N1284" s="617"/>
      <c r="O1284" s="617"/>
      <c r="P1284" s="617"/>
    </row>
    <row r="1287" spans="9:16" ht="49.5" customHeight="1">
      <c r="I1287" s="618" t="s">
        <v>1</v>
      </c>
      <c r="J1287" s="618"/>
      <c r="K1287" s="618"/>
      <c r="L1287" s="618"/>
      <c r="M1287" s="618"/>
      <c r="N1287" s="618"/>
      <c r="O1287" s="618"/>
      <c r="P1287" s="618"/>
    </row>
    <row r="1290" spans="9:16" ht="17.25">
      <c r="I1290" s="375"/>
      <c r="J1290" s="503" t="s">
        <v>2818</v>
      </c>
    </row>
    <row r="1291" spans="9:16" ht="17.25" thickBot="1">
      <c r="I1291" s="30"/>
      <c r="O1291" s="141"/>
    </row>
    <row r="1292" spans="9:16">
      <c r="J1292" s="30"/>
      <c r="N1292" s="143"/>
      <c r="P1292" s="144"/>
    </row>
    <row r="1293" spans="9:16">
      <c r="N1293" s="647" t="s">
        <v>2060</v>
      </c>
      <c r="O1293" s="610"/>
      <c r="P1293" s="648"/>
    </row>
    <row r="1294" spans="9:16">
      <c r="I1294" s="12" t="s">
        <v>114</v>
      </c>
      <c r="L1294" s="249" t="s">
        <v>2</v>
      </c>
      <c r="N1294" s="605" t="s">
        <v>2061</v>
      </c>
      <c r="O1294" s="605"/>
      <c r="P1294" s="649"/>
    </row>
    <row r="1295" spans="9:16">
      <c r="N1295" s="601" t="s">
        <v>904</v>
      </c>
      <c r="O1295" s="602"/>
      <c r="P1295" s="603"/>
    </row>
    <row r="1296" spans="9:16" ht="17.25" thickBot="1">
      <c r="N1296" s="140"/>
      <c r="O1296" s="141"/>
      <c r="P1296" s="142"/>
    </row>
    <row r="1298" spans="9:16">
      <c r="I1298" s="249" t="s">
        <v>27</v>
      </c>
      <c r="J1298" s="394" t="s">
        <v>148</v>
      </c>
    </row>
    <row r="1299" spans="9:16" ht="17.25" thickBot="1"/>
    <row r="1300" spans="9:16" ht="17.25" thickBot="1">
      <c r="I1300" s="13" t="s">
        <v>112</v>
      </c>
      <c r="J1300" s="624" t="s">
        <v>4</v>
      </c>
      <c r="K1300" s="625"/>
      <c r="L1300" s="625"/>
      <c r="M1300" s="625"/>
      <c r="N1300" s="625"/>
      <c r="O1300" s="626"/>
      <c r="P1300" s="20" t="s">
        <v>5</v>
      </c>
    </row>
    <row r="1301" spans="9:16">
      <c r="I1301" s="633" t="s">
        <v>2806</v>
      </c>
      <c r="J1301" s="143"/>
      <c r="K1301" s="159"/>
      <c r="L1301" s="159"/>
      <c r="M1301" s="159"/>
      <c r="N1301" s="159"/>
      <c r="O1301" s="144"/>
      <c r="P1301" s="291"/>
    </row>
    <row r="1302" spans="9:16">
      <c r="I1302" s="634"/>
      <c r="J1302" s="64"/>
      <c r="O1302" s="65"/>
      <c r="P1302" s="291"/>
    </row>
    <row r="1303" spans="9:16">
      <c r="I1303" s="634"/>
      <c r="J1303" s="630" t="s">
        <v>286</v>
      </c>
      <c r="K1303" s="631"/>
      <c r="L1303" s="631"/>
      <c r="M1303" s="631"/>
      <c r="N1303" s="631"/>
      <c r="O1303" s="632"/>
      <c r="P1303" s="291"/>
    </row>
    <row r="1304" spans="9:16">
      <c r="I1304" s="634"/>
      <c r="J1304" s="679" t="s">
        <v>2819</v>
      </c>
      <c r="K1304" s="680"/>
      <c r="L1304" s="680"/>
      <c r="M1304" s="680"/>
      <c r="N1304" s="680"/>
      <c r="O1304" s="681"/>
      <c r="P1304" s="548">
        <v>1920000</v>
      </c>
    </row>
    <row r="1305" spans="9:16">
      <c r="I1305" s="634"/>
      <c r="J1305" s="64"/>
      <c r="K1305" s="604"/>
      <c r="L1305" s="604"/>
      <c r="M1305" s="604"/>
      <c r="O1305" s="65"/>
      <c r="P1305" s="291"/>
    </row>
    <row r="1306" spans="9:16" ht="17.25" thickBot="1">
      <c r="I1306" s="635"/>
      <c r="J1306" s="140"/>
      <c r="K1306" s="141"/>
      <c r="L1306" s="141"/>
      <c r="M1306" s="141"/>
      <c r="N1306" s="141"/>
      <c r="O1306" s="142"/>
      <c r="P1306" s="291"/>
    </row>
    <row r="1307" spans="9:16" ht="17.25" thickBot="1">
      <c r="I1307" s="20" t="s">
        <v>12</v>
      </c>
      <c r="J1307" s="614" t="s">
        <v>13</v>
      </c>
      <c r="K1307" s="615"/>
      <c r="L1307" s="62" t="s">
        <v>14</v>
      </c>
      <c r="M1307" s="63"/>
      <c r="N1307" s="62" t="s">
        <v>15</v>
      </c>
      <c r="O1307" s="62" t="s">
        <v>16</v>
      </c>
      <c r="P1307" s="20" t="s">
        <v>17</v>
      </c>
    </row>
    <row r="1308" spans="9:16" ht="18" thickBot="1">
      <c r="I1308" s="22" t="s">
        <v>18</v>
      </c>
      <c r="J1308" s="606">
        <f>+P1304</f>
        <v>1920000</v>
      </c>
      <c r="K1308" s="607"/>
      <c r="L1308" s="23">
        <f>0</f>
        <v>0</v>
      </c>
      <c r="M1308" s="24"/>
      <c r="N1308" s="25">
        <f>0</f>
        <v>0</v>
      </c>
      <c r="O1308" s="36">
        <f>+J1308</f>
        <v>1920000</v>
      </c>
      <c r="P1308" s="38">
        <f>+P1304</f>
        <v>1920000</v>
      </c>
    </row>
    <row r="1309" spans="9:16" ht="18" thickBot="1">
      <c r="I1309" s="22" t="s">
        <v>113</v>
      </c>
      <c r="J1309" s="606">
        <f>+J1308/650.599</f>
        <v>2951.1265772003953</v>
      </c>
      <c r="K1309" s="607"/>
      <c r="L1309" s="23">
        <f>0</f>
        <v>0</v>
      </c>
      <c r="M1309" s="24"/>
      <c r="N1309" s="25">
        <f>0</f>
        <v>0</v>
      </c>
      <c r="O1309" s="36">
        <f>+J1309</f>
        <v>2951.1265772003953</v>
      </c>
      <c r="P1309" s="38">
        <f>+O1309</f>
        <v>2951.1265772003953</v>
      </c>
    </row>
    <row r="1311" spans="9:16">
      <c r="I1311" s="395" t="s">
        <v>1268</v>
      </c>
      <c r="J1311" s="26"/>
      <c r="K1311" s="26"/>
      <c r="L1311" s="26"/>
      <c r="M1311" s="26"/>
      <c r="N1311" s="26"/>
      <c r="O1311" s="26"/>
    </row>
    <row r="1312" spans="9:16" ht="17.25">
      <c r="I1312" s="458" t="s">
        <v>2820</v>
      </c>
      <c r="J1312" s="26"/>
      <c r="K1312" s="26"/>
      <c r="L1312" s="26"/>
      <c r="M1312" s="26"/>
      <c r="N1312" s="26"/>
      <c r="O1312" s="26"/>
    </row>
    <row r="1313" spans="9:16">
      <c r="I1313" s="82" t="s">
        <v>19</v>
      </c>
      <c r="J1313" s="26"/>
      <c r="K1313" s="26"/>
      <c r="L1313" s="26"/>
      <c r="M1313" s="26"/>
      <c r="N1313" s="26"/>
      <c r="O1313" s="26"/>
    </row>
    <row r="1314" spans="9:16">
      <c r="I1314" s="26" t="s">
        <v>965</v>
      </c>
      <c r="J1314" s="26"/>
      <c r="K1314" s="26"/>
      <c r="L1314" s="26"/>
      <c r="M1314" s="26"/>
      <c r="N1314" s="26"/>
      <c r="O1314" s="26"/>
    </row>
    <row r="1315" spans="9:16">
      <c r="I1315" s="26" t="s">
        <v>21</v>
      </c>
      <c r="J1315" s="26"/>
      <c r="K1315" s="26"/>
      <c r="L1315" s="26"/>
      <c r="M1315" s="26"/>
      <c r="N1315" s="26"/>
      <c r="O1315" s="26"/>
    </row>
    <row r="1316" spans="9:16">
      <c r="I1316" s="26" t="s">
        <v>1229</v>
      </c>
      <c r="J1316" s="26"/>
      <c r="K1316" s="26"/>
      <c r="L1316" s="26"/>
      <c r="M1316" s="26"/>
      <c r="N1316" s="26"/>
      <c r="O1316" s="26"/>
    </row>
    <row r="1319" spans="9:16">
      <c r="L1319" s="604" t="s">
        <v>24</v>
      </c>
      <c r="M1319" s="604"/>
      <c r="N1319" s="604"/>
      <c r="O1319" s="604"/>
    </row>
    <row r="1320" spans="9:16">
      <c r="L1320" s="604" t="s">
        <v>149</v>
      </c>
      <c r="M1320" s="604"/>
      <c r="N1320" s="604"/>
      <c r="O1320" s="604"/>
    </row>
    <row r="1321" spans="9:16">
      <c r="L1321" s="605" t="s">
        <v>150</v>
      </c>
      <c r="M1321" s="605"/>
      <c r="N1321" s="605"/>
      <c r="O1321" s="605"/>
    </row>
    <row r="1322" spans="9:16">
      <c r="L1322" s="30"/>
    </row>
    <row r="1323" spans="9:16">
      <c r="M1323" s="26"/>
      <c r="N1323" s="26"/>
      <c r="O1323" s="26"/>
    </row>
    <row r="1324" spans="9:16" ht="17.25">
      <c r="L1324" s="644"/>
      <c r="M1324" s="644"/>
      <c r="N1324" s="644"/>
      <c r="O1324" s="644"/>
    </row>
    <row r="1325" spans="9:16" ht="14.25" customHeight="1">
      <c r="L1325" s="644"/>
      <c r="M1325" s="644"/>
      <c r="N1325" s="644"/>
      <c r="O1325" s="644"/>
    </row>
    <row r="1326" spans="9:16" ht="17.25" customHeight="1">
      <c r="L1326" s="361"/>
      <c r="M1326" s="361"/>
      <c r="N1326" s="361"/>
      <c r="O1326" s="361"/>
    </row>
    <row r="1327" spans="9:16" ht="18.75" customHeight="1">
      <c r="I1327" s="617" t="s">
        <v>2534</v>
      </c>
      <c r="J1327" s="617"/>
      <c r="K1327" s="617"/>
      <c r="L1327" s="617"/>
      <c r="M1327" s="617"/>
      <c r="N1327" s="617"/>
      <c r="O1327" s="617"/>
      <c r="P1327" s="617"/>
    </row>
    <row r="1330" spans="9:16" ht="49.5" customHeight="1">
      <c r="I1330" s="618" t="s">
        <v>1</v>
      </c>
      <c r="J1330" s="618"/>
      <c r="K1330" s="618"/>
      <c r="L1330" s="618"/>
      <c r="M1330" s="618"/>
      <c r="N1330" s="618"/>
      <c r="O1330" s="618"/>
      <c r="P1330" s="618"/>
    </row>
    <row r="1333" spans="9:16" ht="17.25">
      <c r="I1333" s="375"/>
      <c r="J1333" s="503" t="s">
        <v>2885</v>
      </c>
    </row>
    <row r="1334" spans="9:16" ht="17.25" thickBot="1">
      <c r="I1334" s="30"/>
      <c r="O1334" s="141"/>
    </row>
    <row r="1335" spans="9:16">
      <c r="J1335" s="30"/>
      <c r="N1335" s="143"/>
      <c r="P1335" s="144"/>
    </row>
    <row r="1336" spans="9:16">
      <c r="N1336" s="619" t="s">
        <v>2877</v>
      </c>
      <c r="O1336" s="620"/>
      <c r="P1336" s="621"/>
    </row>
    <row r="1337" spans="9:16">
      <c r="I1337" s="12" t="s">
        <v>114</v>
      </c>
      <c r="L1337" s="249" t="s">
        <v>2</v>
      </c>
      <c r="N1337" s="605" t="s">
        <v>760</v>
      </c>
      <c r="O1337" s="605"/>
      <c r="P1337" s="649"/>
    </row>
    <row r="1338" spans="9:16">
      <c r="I1338" s="30"/>
      <c r="N1338" s="601" t="s">
        <v>163</v>
      </c>
      <c r="O1338" s="602"/>
      <c r="P1338" s="603"/>
    </row>
    <row r="1339" spans="9:16" ht="18" thickBot="1">
      <c r="I1339" s="249"/>
      <c r="J1339" s="375"/>
      <c r="N1339" s="140"/>
      <c r="O1339" s="141"/>
      <c r="P1339" s="142"/>
    </row>
    <row r="1341" spans="9:16">
      <c r="I1341" s="30" t="s">
        <v>27</v>
      </c>
      <c r="J1341" s="394" t="s">
        <v>115</v>
      </c>
    </row>
    <row r="1342" spans="9:16" ht="17.25" thickBot="1"/>
    <row r="1343" spans="9:16" ht="17.25" thickBot="1">
      <c r="I1343" s="13" t="s">
        <v>112</v>
      </c>
      <c r="J1343" s="624" t="s">
        <v>4</v>
      </c>
      <c r="K1343" s="625"/>
      <c r="L1343" s="625"/>
      <c r="M1343" s="625"/>
      <c r="N1343" s="625"/>
      <c r="O1343" s="626"/>
      <c r="P1343" s="20" t="s">
        <v>5</v>
      </c>
    </row>
    <row r="1344" spans="9:16">
      <c r="I1344" s="633" t="s">
        <v>2882</v>
      </c>
      <c r="J1344" s="143"/>
      <c r="K1344" s="159"/>
      <c r="L1344" s="159"/>
      <c r="M1344" s="159"/>
      <c r="N1344" s="159"/>
      <c r="O1344" s="144"/>
      <c r="P1344" s="291"/>
    </row>
    <row r="1345" spans="9:16">
      <c r="I1345" s="634"/>
      <c r="J1345" s="64"/>
      <c r="O1345" s="65"/>
      <c r="P1345" s="291"/>
    </row>
    <row r="1346" spans="9:16">
      <c r="I1346" s="634"/>
      <c r="J1346" s="630" t="s">
        <v>286</v>
      </c>
      <c r="K1346" s="631"/>
      <c r="L1346" s="631"/>
      <c r="M1346" s="631"/>
      <c r="N1346" s="631"/>
      <c r="O1346" s="632"/>
      <c r="P1346" s="291"/>
    </row>
    <row r="1347" spans="9:16">
      <c r="I1347" s="634"/>
      <c r="J1347" s="636" t="s">
        <v>2883</v>
      </c>
      <c r="K1347" s="637"/>
      <c r="L1347" s="637"/>
      <c r="M1347" s="637"/>
      <c r="N1347" s="637"/>
      <c r="O1347" s="638"/>
      <c r="P1347" s="548">
        <v>2519800</v>
      </c>
    </row>
    <row r="1348" spans="9:16">
      <c r="I1348" s="634"/>
      <c r="J1348" s="64"/>
      <c r="K1348" s="30"/>
      <c r="L1348" s="30"/>
      <c r="M1348" s="30"/>
      <c r="O1348" s="65"/>
      <c r="P1348" s="291"/>
    </row>
    <row r="1349" spans="9:16" ht="17.25" thickBot="1">
      <c r="I1349" s="635"/>
      <c r="J1349" s="140"/>
      <c r="K1349" s="141"/>
      <c r="L1349" s="141"/>
      <c r="M1349" s="141"/>
      <c r="N1349" s="141"/>
      <c r="O1349" s="142"/>
      <c r="P1349" s="291"/>
    </row>
    <row r="1350" spans="9:16" ht="17.25" thickBot="1">
      <c r="I1350" s="20" t="s">
        <v>12</v>
      </c>
      <c r="J1350" s="614" t="s">
        <v>13</v>
      </c>
      <c r="K1350" s="615"/>
      <c r="L1350" s="62" t="s">
        <v>14</v>
      </c>
      <c r="M1350" s="63"/>
      <c r="N1350" s="62" t="s">
        <v>15</v>
      </c>
      <c r="O1350" s="62" t="s">
        <v>16</v>
      </c>
      <c r="P1350" s="20" t="s">
        <v>17</v>
      </c>
    </row>
    <row r="1351" spans="9:16" ht="18" thickBot="1">
      <c r="I1351" s="22" t="s">
        <v>18</v>
      </c>
      <c r="J1351" s="606">
        <f>+P1347</f>
        <v>2519800</v>
      </c>
      <c r="K1351" s="607"/>
      <c r="L1351" s="23">
        <f>0</f>
        <v>0</v>
      </c>
      <c r="M1351" s="24"/>
      <c r="N1351" s="25">
        <f>0</f>
        <v>0</v>
      </c>
      <c r="O1351" s="36">
        <f>+J1351</f>
        <v>2519800</v>
      </c>
      <c r="P1351" s="38">
        <f>+P1347</f>
        <v>2519800</v>
      </c>
    </row>
    <row r="1352" spans="9:16" ht="18" thickBot="1">
      <c r="I1352" s="22" t="s">
        <v>113</v>
      </c>
      <c r="J1352" s="606">
        <f>+J1351/650.599</f>
        <v>3873.0462235570603</v>
      </c>
      <c r="K1352" s="607"/>
      <c r="L1352" s="23">
        <f>0</f>
        <v>0</v>
      </c>
      <c r="M1352" s="24"/>
      <c r="N1352" s="25">
        <f>0</f>
        <v>0</v>
      </c>
      <c r="O1352" s="36">
        <f>+J1352</f>
        <v>3873.0462235570603</v>
      </c>
      <c r="P1352" s="38">
        <f>+O1352</f>
        <v>3873.0462235570603</v>
      </c>
    </row>
    <row r="1354" spans="9:16">
      <c r="I1354" s="412" t="s">
        <v>1268</v>
      </c>
      <c r="J1354" s="26"/>
      <c r="K1354" s="26"/>
      <c r="L1354" s="26"/>
      <c r="M1354" s="26"/>
      <c r="N1354" s="26"/>
      <c r="O1354" s="26"/>
    </row>
    <row r="1355" spans="9:16">
      <c r="I1355" s="413" t="s">
        <v>2884</v>
      </c>
      <c r="J1355" s="26"/>
      <c r="K1355" s="26"/>
      <c r="L1355" s="26"/>
      <c r="M1355" s="26"/>
      <c r="N1355" s="26"/>
      <c r="O1355" s="26"/>
    </row>
    <row r="1356" spans="9:16">
      <c r="I1356" s="82" t="s">
        <v>19</v>
      </c>
      <c r="J1356" s="26"/>
      <c r="K1356" s="26"/>
      <c r="L1356" s="26"/>
      <c r="M1356" s="26"/>
      <c r="N1356" s="26"/>
      <c r="O1356" s="26"/>
    </row>
    <row r="1357" spans="9:16">
      <c r="I1357" s="26" t="s">
        <v>965</v>
      </c>
      <c r="J1357" s="26"/>
      <c r="K1357" s="26"/>
      <c r="L1357" s="26"/>
      <c r="M1357" s="26"/>
      <c r="N1357" s="26"/>
      <c r="O1357" s="26"/>
    </row>
    <row r="1358" spans="9:16">
      <c r="I1358" s="26" t="s">
        <v>21</v>
      </c>
      <c r="J1358" s="26"/>
      <c r="K1358" s="26"/>
      <c r="L1358" s="26"/>
      <c r="M1358" s="26"/>
      <c r="N1358" s="26"/>
      <c r="O1358" s="26"/>
    </row>
    <row r="1359" spans="9:16">
      <c r="I1359" s="26" t="s">
        <v>1229</v>
      </c>
      <c r="J1359" s="26"/>
      <c r="K1359" s="26"/>
      <c r="L1359" s="26"/>
      <c r="M1359" s="26"/>
      <c r="N1359" s="26"/>
      <c r="O1359" s="26"/>
    </row>
    <row r="1362" spans="9:16">
      <c r="L1362" s="604" t="s">
        <v>24</v>
      </c>
      <c r="M1362" s="604"/>
      <c r="N1362" s="604"/>
      <c r="O1362" s="604"/>
    </row>
    <row r="1363" spans="9:16">
      <c r="L1363" s="604" t="s">
        <v>149</v>
      </c>
      <c r="M1363" s="604"/>
      <c r="N1363" s="604"/>
      <c r="O1363" s="604"/>
    </row>
    <row r="1364" spans="9:16">
      <c r="L1364" s="605" t="s">
        <v>150</v>
      </c>
      <c r="M1364" s="605"/>
      <c r="N1364" s="605"/>
      <c r="O1364" s="605"/>
    </row>
    <row r="1365" spans="9:16">
      <c r="L1365" s="30"/>
    </row>
    <row r="1366" spans="9:16" ht="5.25" customHeight="1">
      <c r="M1366" s="26"/>
      <c r="N1366" s="26"/>
      <c r="O1366" s="26"/>
    </row>
    <row r="1367" spans="9:16" ht="17.25">
      <c r="L1367" s="644"/>
      <c r="M1367" s="644"/>
      <c r="N1367" s="644"/>
      <c r="O1367" s="644"/>
    </row>
    <row r="1368" spans="9:16" ht="18">
      <c r="I1368" s="26"/>
      <c r="J1368" s="26"/>
      <c r="K1368" s="26"/>
      <c r="L1368" s="644"/>
      <c r="M1368" s="644"/>
      <c r="N1368" s="644"/>
      <c r="O1368" s="644"/>
      <c r="P1368" s="145"/>
    </row>
    <row r="1369" spans="9:16" ht="18">
      <c r="I1369" s="26"/>
      <c r="J1369" s="26"/>
      <c r="K1369" s="26"/>
      <c r="L1369" s="26"/>
      <c r="M1369" s="373"/>
      <c r="N1369" s="373"/>
      <c r="O1369" s="373"/>
      <c r="P1369" s="145"/>
    </row>
    <row r="1370" spans="9:16">
      <c r="I1370" s="617" t="s">
        <v>2534</v>
      </c>
      <c r="J1370" s="617"/>
      <c r="K1370" s="617"/>
      <c r="L1370" s="617"/>
      <c r="M1370" s="617"/>
      <c r="N1370" s="617"/>
      <c r="O1370" s="617"/>
      <c r="P1370" s="617"/>
    </row>
    <row r="1373" spans="9:16" ht="49.5" customHeight="1">
      <c r="I1373" s="618" t="s">
        <v>1</v>
      </c>
      <c r="J1373" s="618"/>
      <c r="K1373" s="618"/>
      <c r="L1373" s="618"/>
      <c r="M1373" s="618"/>
      <c r="N1373" s="618"/>
      <c r="O1373" s="618"/>
      <c r="P1373" s="618"/>
    </row>
    <row r="1376" spans="9:16" ht="17.25">
      <c r="I1376" s="375"/>
      <c r="J1376" s="503" t="s">
        <v>2881</v>
      </c>
    </row>
    <row r="1377" spans="9:16" ht="17.25" thickBot="1">
      <c r="I1377" s="30"/>
      <c r="O1377" s="141"/>
    </row>
    <row r="1378" spans="9:16">
      <c r="J1378" s="30"/>
      <c r="N1378" s="143"/>
      <c r="P1378" s="144"/>
    </row>
    <row r="1379" spans="9:16">
      <c r="N1379" s="619" t="s">
        <v>2877</v>
      </c>
      <c r="O1379" s="620"/>
      <c r="P1379" s="621"/>
    </row>
    <row r="1380" spans="9:16">
      <c r="I1380" s="12" t="s">
        <v>114</v>
      </c>
      <c r="L1380" s="30" t="s">
        <v>2</v>
      </c>
      <c r="N1380" s="605" t="s">
        <v>760</v>
      </c>
      <c r="O1380" s="605"/>
      <c r="P1380" s="649"/>
    </row>
    <row r="1381" spans="9:16">
      <c r="N1381" s="601" t="s">
        <v>163</v>
      </c>
      <c r="O1381" s="602"/>
      <c r="P1381" s="603"/>
    </row>
    <row r="1382" spans="9:16" ht="17.25" thickBot="1">
      <c r="N1382" s="140"/>
      <c r="O1382" s="141"/>
      <c r="P1382" s="142"/>
    </row>
    <row r="1384" spans="9:16">
      <c r="I1384" s="30" t="s">
        <v>27</v>
      </c>
      <c r="J1384" s="394" t="s">
        <v>115</v>
      </c>
    </row>
    <row r="1385" spans="9:16" ht="17.25" thickBot="1"/>
    <row r="1386" spans="9:16" ht="17.25" thickBot="1">
      <c r="I1386" s="13" t="s">
        <v>112</v>
      </c>
      <c r="J1386" s="624" t="s">
        <v>4</v>
      </c>
      <c r="K1386" s="625"/>
      <c r="L1386" s="625"/>
      <c r="M1386" s="625"/>
      <c r="N1386" s="625"/>
      <c r="O1386" s="626"/>
      <c r="P1386" s="20" t="s">
        <v>5</v>
      </c>
    </row>
    <row r="1387" spans="9:16">
      <c r="I1387" s="633" t="s">
        <v>2806</v>
      </c>
      <c r="J1387" s="143"/>
      <c r="K1387" s="159"/>
      <c r="L1387" s="159"/>
      <c r="M1387" s="159"/>
      <c r="N1387" s="159"/>
      <c r="O1387" s="144"/>
      <c r="P1387" s="291"/>
    </row>
    <row r="1388" spans="9:16">
      <c r="I1388" s="634"/>
      <c r="J1388" s="64"/>
      <c r="O1388" s="65"/>
      <c r="P1388" s="291"/>
    </row>
    <row r="1389" spans="9:16">
      <c r="I1389" s="634"/>
      <c r="J1389" s="630" t="s">
        <v>286</v>
      </c>
      <c r="K1389" s="631"/>
      <c r="L1389" s="631"/>
      <c r="M1389" s="631"/>
      <c r="N1389" s="631"/>
      <c r="O1389" s="632"/>
      <c r="P1389" s="291"/>
    </row>
    <row r="1390" spans="9:16">
      <c r="I1390" s="634"/>
      <c r="J1390" s="636" t="s">
        <v>2886</v>
      </c>
      <c r="K1390" s="637"/>
      <c r="L1390" s="637"/>
      <c r="M1390" s="637"/>
      <c r="N1390" s="637"/>
      <c r="O1390" s="638"/>
      <c r="P1390" s="148">
        <v>2379200</v>
      </c>
    </row>
    <row r="1391" spans="9:16" ht="17.25" thickBot="1">
      <c r="I1391" s="635"/>
      <c r="J1391" s="140"/>
      <c r="K1391" s="141"/>
      <c r="L1391" s="141"/>
      <c r="M1391" s="141"/>
      <c r="N1391" s="141"/>
      <c r="O1391" s="142"/>
      <c r="P1391" s="291"/>
    </row>
    <row r="1392" spans="9:16" ht="17.25" thickBot="1">
      <c r="I1392" s="20" t="s">
        <v>12</v>
      </c>
      <c r="J1392" s="614" t="s">
        <v>13</v>
      </c>
      <c r="K1392" s="615"/>
      <c r="L1392" s="62" t="s">
        <v>14</v>
      </c>
      <c r="M1392" s="63"/>
      <c r="N1392" s="62" t="s">
        <v>15</v>
      </c>
      <c r="O1392" s="62" t="s">
        <v>16</v>
      </c>
      <c r="P1392" s="20" t="s">
        <v>17</v>
      </c>
    </row>
    <row r="1393" spans="9:16" ht="18" thickBot="1">
      <c r="I1393" s="22" t="s">
        <v>18</v>
      </c>
      <c r="J1393" s="606">
        <f>+P1390</f>
        <v>2379200</v>
      </c>
      <c r="K1393" s="607"/>
      <c r="L1393" s="23">
        <f>0</f>
        <v>0</v>
      </c>
      <c r="M1393" s="24"/>
      <c r="N1393" s="25">
        <f>0</f>
        <v>0</v>
      </c>
      <c r="O1393" s="36">
        <f>+J1393</f>
        <v>2379200</v>
      </c>
      <c r="P1393" s="38">
        <f>+P1390</f>
        <v>2379200</v>
      </c>
    </row>
    <row r="1394" spans="9:16" ht="18" thickBot="1">
      <c r="I1394" s="22" t="s">
        <v>113</v>
      </c>
      <c r="J1394" s="606">
        <f>+J1393/650.599</f>
        <v>3656.937683580823</v>
      </c>
      <c r="K1394" s="607"/>
      <c r="L1394" s="23">
        <f>0</f>
        <v>0</v>
      </c>
      <c r="M1394" s="24"/>
      <c r="N1394" s="25">
        <f>0</f>
        <v>0</v>
      </c>
      <c r="O1394" s="36">
        <f>+J1394</f>
        <v>3656.937683580823</v>
      </c>
      <c r="P1394" s="38">
        <f>+O1394</f>
        <v>3656.937683580823</v>
      </c>
    </row>
    <row r="1396" spans="9:16">
      <c r="I1396" s="412" t="s">
        <v>1268</v>
      </c>
      <c r="J1396" s="26"/>
      <c r="K1396" s="26"/>
      <c r="L1396" s="26"/>
      <c r="M1396" s="26"/>
      <c r="N1396" s="26"/>
      <c r="O1396" s="26"/>
    </row>
    <row r="1397" spans="9:16">
      <c r="I1397" s="413" t="s">
        <v>2887</v>
      </c>
      <c r="J1397" s="26"/>
      <c r="K1397" s="26"/>
      <c r="L1397" s="26"/>
      <c r="M1397" s="26"/>
      <c r="N1397" s="26"/>
      <c r="O1397" s="26"/>
    </row>
    <row r="1398" spans="9:16">
      <c r="I1398" s="82" t="s">
        <v>19</v>
      </c>
      <c r="J1398" s="26"/>
      <c r="K1398" s="26"/>
      <c r="L1398" s="26"/>
      <c r="M1398" s="26"/>
      <c r="N1398" s="26"/>
      <c r="O1398" s="26"/>
    </row>
    <row r="1399" spans="9:16">
      <c r="I1399" s="26" t="s">
        <v>965</v>
      </c>
      <c r="J1399" s="26"/>
      <c r="K1399" s="26"/>
      <c r="L1399" s="26"/>
      <c r="M1399" s="26"/>
      <c r="N1399" s="26"/>
      <c r="O1399" s="26"/>
    </row>
    <row r="1400" spans="9:16">
      <c r="I1400" s="26" t="s">
        <v>21</v>
      </c>
      <c r="J1400" s="26"/>
      <c r="K1400" s="26"/>
      <c r="L1400" s="26"/>
      <c r="M1400" s="26"/>
      <c r="N1400" s="26"/>
      <c r="O1400" s="26"/>
    </row>
    <row r="1401" spans="9:16">
      <c r="I1401" s="26" t="s">
        <v>1229</v>
      </c>
      <c r="J1401" s="26"/>
      <c r="K1401" s="26"/>
      <c r="L1401" s="26"/>
      <c r="M1401" s="26"/>
      <c r="N1401" s="26"/>
      <c r="O1401" s="26"/>
    </row>
    <row r="1404" spans="9:16">
      <c r="L1404" s="30" t="s">
        <v>24</v>
      </c>
      <c r="N1404" s="30"/>
      <c r="O1404" s="30"/>
    </row>
    <row r="1405" spans="9:16">
      <c r="L1405" s="30" t="s">
        <v>149</v>
      </c>
      <c r="N1405" s="30"/>
      <c r="O1405" s="30"/>
    </row>
    <row r="1406" spans="9:16">
      <c r="L1406" s="605" t="s">
        <v>150</v>
      </c>
      <c r="M1406" s="605"/>
      <c r="N1406" s="605"/>
      <c r="O1406" s="605"/>
    </row>
    <row r="1407" spans="9:16">
      <c r="L1407" s="30"/>
    </row>
    <row r="1408" spans="9:16">
      <c r="M1408" s="26"/>
      <c r="N1408" s="26"/>
      <c r="O1408" s="26"/>
    </row>
    <row r="1409" spans="9:16" ht="17.25">
      <c r="L1409" s="644"/>
      <c r="M1409" s="644"/>
      <c r="N1409" s="644"/>
      <c r="O1409" s="644"/>
    </row>
    <row r="1410" spans="9:16" ht="17.25">
      <c r="L1410" s="361"/>
      <c r="M1410" s="361"/>
      <c r="N1410" s="361"/>
      <c r="O1410" s="361"/>
    </row>
    <row r="1411" spans="9:16" ht="17.25">
      <c r="L1411" s="361"/>
      <c r="M1411" s="361"/>
      <c r="N1411" s="361"/>
      <c r="O1411" s="361"/>
    </row>
    <row r="1412" spans="9:16" ht="18">
      <c r="I1412" s="26"/>
      <c r="J1412" s="26"/>
      <c r="K1412" s="26"/>
      <c r="L1412" s="675"/>
      <c r="M1412" s="675"/>
      <c r="N1412" s="675"/>
      <c r="O1412" s="675"/>
      <c r="P1412" s="145"/>
    </row>
    <row r="1413" spans="9:16" ht="19.5" customHeight="1">
      <c r="I1413" s="617" t="s">
        <v>2573</v>
      </c>
      <c r="J1413" s="617"/>
      <c r="K1413" s="617"/>
      <c r="L1413" s="617"/>
      <c r="M1413" s="617"/>
      <c r="N1413" s="617"/>
      <c r="O1413" s="617"/>
      <c r="P1413" s="617"/>
    </row>
    <row r="1415" spans="9:16">
      <c r="I1415" s="549"/>
      <c r="J1415" s="549"/>
      <c r="K1415" s="549"/>
      <c r="L1415" s="549"/>
      <c r="M1415" s="549"/>
      <c r="N1415" s="549"/>
      <c r="O1415" s="549"/>
      <c r="P1415" s="549"/>
    </row>
    <row r="1416" spans="9:16" ht="49.5" customHeight="1">
      <c r="I1416" s="618" t="s">
        <v>1</v>
      </c>
      <c r="J1416" s="618"/>
      <c r="K1416" s="618"/>
      <c r="L1416" s="618"/>
      <c r="M1416" s="618"/>
      <c r="N1416" s="618"/>
      <c r="O1416" s="618"/>
      <c r="P1416" s="618"/>
    </row>
    <row r="1419" spans="9:16" ht="17.25">
      <c r="I1419" s="375"/>
      <c r="J1419" s="503" t="s">
        <v>2011</v>
      </c>
    </row>
    <row r="1420" spans="9:16" ht="17.25" thickBot="1">
      <c r="I1420" s="30"/>
      <c r="O1420" s="141"/>
    </row>
    <row r="1421" spans="9:16">
      <c r="J1421" s="30"/>
      <c r="N1421" s="143"/>
      <c r="P1421" s="144"/>
    </row>
    <row r="1422" spans="9:16">
      <c r="N1422" s="647" t="s">
        <v>672</v>
      </c>
      <c r="O1422" s="610"/>
      <c r="P1422" s="648"/>
    </row>
    <row r="1423" spans="9:16">
      <c r="I1423" s="186" t="s">
        <v>114</v>
      </c>
      <c r="L1423" s="249" t="s">
        <v>2</v>
      </c>
      <c r="M1423" s="30"/>
      <c r="N1423" s="605" t="s">
        <v>1740</v>
      </c>
      <c r="O1423" s="605"/>
      <c r="P1423" s="649"/>
    </row>
    <row r="1424" spans="9:16">
      <c r="N1424" s="601" t="s">
        <v>163</v>
      </c>
      <c r="O1424" s="602"/>
      <c r="P1424" s="603"/>
    </row>
    <row r="1425" spans="9:16" ht="17.25" thickBot="1">
      <c r="N1425" s="140"/>
      <c r="O1425" s="141"/>
      <c r="P1425" s="142"/>
    </row>
    <row r="1427" spans="9:16">
      <c r="I1427" s="249" t="s">
        <v>27</v>
      </c>
      <c r="J1427" s="394" t="s">
        <v>148</v>
      </c>
    </row>
    <row r="1428" spans="9:16" ht="17.25" thickBot="1"/>
    <row r="1429" spans="9:16" ht="17.25" customHeight="1" thickBot="1">
      <c r="I1429" s="13" t="s">
        <v>112</v>
      </c>
      <c r="J1429" s="624" t="s">
        <v>4</v>
      </c>
      <c r="K1429" s="625"/>
      <c r="L1429" s="625"/>
      <c r="M1429" s="625"/>
      <c r="N1429" s="625"/>
      <c r="O1429" s="626"/>
      <c r="P1429" s="20" t="s">
        <v>5</v>
      </c>
    </row>
    <row r="1430" spans="9:16" ht="16.5" customHeight="1">
      <c r="I1430" s="627" t="s">
        <v>2806</v>
      </c>
      <c r="J1430" s="143"/>
      <c r="K1430" s="159"/>
      <c r="L1430" s="159"/>
      <c r="M1430" s="159"/>
      <c r="N1430" s="159"/>
      <c r="O1430" s="144"/>
      <c r="P1430" s="291"/>
    </row>
    <row r="1431" spans="9:16">
      <c r="I1431" s="628"/>
      <c r="J1431" s="630" t="s">
        <v>286</v>
      </c>
      <c r="K1431" s="631"/>
      <c r="L1431" s="631"/>
      <c r="M1431" s="631"/>
      <c r="N1431" s="631"/>
      <c r="O1431" s="632"/>
      <c r="P1431" s="291"/>
    </row>
    <row r="1432" spans="9:16">
      <c r="I1432" s="628"/>
      <c r="J1432" s="636" t="s">
        <v>2817</v>
      </c>
      <c r="K1432" s="637"/>
      <c r="L1432" s="637"/>
      <c r="M1432" s="637"/>
      <c r="N1432" s="637"/>
      <c r="O1432" s="638"/>
      <c r="P1432" s="548">
        <v>21521960</v>
      </c>
    </row>
    <row r="1433" spans="9:16">
      <c r="I1433" s="628"/>
      <c r="J1433" s="64"/>
      <c r="K1433" s="604"/>
      <c r="L1433" s="604"/>
      <c r="M1433" s="604"/>
      <c r="O1433" s="65"/>
      <c r="P1433" s="291"/>
    </row>
    <row r="1434" spans="9:16" ht="17.25" thickBot="1">
      <c r="I1434" s="629"/>
      <c r="J1434" s="140"/>
      <c r="K1434" s="141"/>
      <c r="L1434" s="141"/>
      <c r="M1434" s="141"/>
      <c r="N1434" s="141"/>
      <c r="O1434" s="142"/>
      <c r="P1434" s="291"/>
    </row>
    <row r="1435" spans="9:16" ht="17.25" thickBot="1">
      <c r="I1435" s="20" t="s">
        <v>12</v>
      </c>
      <c r="J1435" s="614" t="s">
        <v>13</v>
      </c>
      <c r="K1435" s="615"/>
      <c r="L1435" s="62" t="s">
        <v>14</v>
      </c>
      <c r="M1435" s="63"/>
      <c r="N1435" s="62" t="s">
        <v>15</v>
      </c>
      <c r="O1435" s="62" t="s">
        <v>16</v>
      </c>
      <c r="P1435" s="20" t="s">
        <v>17</v>
      </c>
    </row>
    <row r="1436" spans="9:16" ht="18" thickBot="1">
      <c r="I1436" s="22" t="s">
        <v>18</v>
      </c>
      <c r="J1436" s="606">
        <f>+P1432</f>
        <v>21521960</v>
      </c>
      <c r="K1436" s="607"/>
      <c r="L1436" s="23">
        <f>0</f>
        <v>0</v>
      </c>
      <c r="M1436" s="24"/>
      <c r="N1436" s="25">
        <f>0</f>
        <v>0</v>
      </c>
      <c r="O1436" s="36">
        <f>+J1436</f>
        <v>21521960</v>
      </c>
      <c r="P1436" s="38">
        <f>+P1432</f>
        <v>21521960</v>
      </c>
    </row>
    <row r="1437" spans="9:16" ht="18" thickBot="1">
      <c r="I1437" s="22" t="s">
        <v>113</v>
      </c>
      <c r="J1437" s="606">
        <f>+J1436/650.599</f>
        <v>33080.222994501986</v>
      </c>
      <c r="K1437" s="607"/>
      <c r="L1437" s="23">
        <f>0</f>
        <v>0</v>
      </c>
      <c r="M1437" s="24"/>
      <c r="N1437" s="25">
        <f>0</f>
        <v>0</v>
      </c>
      <c r="O1437" s="36">
        <f>+J1437</f>
        <v>33080.222994501986</v>
      </c>
      <c r="P1437" s="38">
        <f>+O1437</f>
        <v>33080.222994501986</v>
      </c>
    </row>
    <row r="1439" spans="9:16">
      <c r="I1439" s="410" t="s">
        <v>1457</v>
      </c>
      <c r="J1439" s="26"/>
      <c r="K1439" s="26"/>
      <c r="L1439" s="26"/>
      <c r="M1439" s="26"/>
      <c r="N1439" s="26"/>
      <c r="O1439" s="26"/>
    </row>
    <row r="1440" spans="9:16">
      <c r="I1440" s="411" t="s">
        <v>1874</v>
      </c>
      <c r="J1440" s="26"/>
      <c r="K1440" s="26"/>
      <c r="L1440" s="26"/>
      <c r="M1440" s="26"/>
      <c r="N1440" s="26"/>
      <c r="O1440" s="26"/>
    </row>
    <row r="1441" spans="9:16">
      <c r="I1441" s="82" t="s">
        <v>19</v>
      </c>
      <c r="J1441" s="26"/>
      <c r="K1441" s="26"/>
      <c r="L1441" s="26"/>
      <c r="M1441" s="26"/>
      <c r="N1441" s="26"/>
      <c r="O1441" s="26"/>
    </row>
    <row r="1442" spans="9:16">
      <c r="I1442" s="26" t="s">
        <v>965</v>
      </c>
      <c r="J1442" s="26"/>
      <c r="K1442" s="26"/>
      <c r="L1442" s="26"/>
      <c r="M1442" s="26"/>
      <c r="N1442" s="26"/>
      <c r="O1442" s="26"/>
    </row>
    <row r="1443" spans="9:16">
      <c r="I1443" s="26" t="s">
        <v>21</v>
      </c>
      <c r="J1443" s="26"/>
      <c r="K1443" s="26"/>
      <c r="L1443" s="26"/>
      <c r="M1443" s="26"/>
      <c r="N1443" s="26"/>
      <c r="O1443" s="26"/>
    </row>
    <row r="1444" spans="9:16">
      <c r="I1444" s="26" t="s">
        <v>1229</v>
      </c>
      <c r="J1444" s="26"/>
      <c r="K1444" s="26"/>
      <c r="L1444" s="26"/>
      <c r="M1444" s="26"/>
      <c r="N1444" s="26"/>
      <c r="O1444" s="26"/>
    </row>
    <row r="1447" spans="9:16">
      <c r="L1447" s="604" t="s">
        <v>24</v>
      </c>
      <c r="M1447" s="604"/>
      <c r="N1447" s="604"/>
      <c r="O1447" s="604"/>
    </row>
    <row r="1448" spans="9:16">
      <c r="L1448" s="604" t="s">
        <v>149</v>
      </c>
      <c r="M1448" s="604"/>
      <c r="N1448" s="604"/>
      <c r="O1448" s="604"/>
    </row>
    <row r="1449" spans="9:16">
      <c r="L1449" s="605" t="s">
        <v>150</v>
      </c>
      <c r="M1449" s="605"/>
      <c r="N1449" s="605"/>
      <c r="O1449" s="605"/>
    </row>
    <row r="1450" spans="9:16">
      <c r="L1450" s="30"/>
    </row>
    <row r="1451" spans="9:16">
      <c r="M1451" s="26"/>
      <c r="N1451" s="26"/>
      <c r="O1451" s="26"/>
    </row>
    <row r="1452" spans="9:16" ht="17.25">
      <c r="L1452" s="644"/>
      <c r="M1452" s="644"/>
      <c r="N1452" s="644"/>
      <c r="O1452" s="644"/>
    </row>
    <row r="1453" spans="9:16" ht="18">
      <c r="I1453" s="26"/>
      <c r="J1453" s="26"/>
      <c r="K1453" s="26"/>
      <c r="L1453" s="644"/>
      <c r="M1453" s="644"/>
      <c r="N1453" s="644"/>
      <c r="O1453" s="644"/>
      <c r="P1453" s="145"/>
    </row>
    <row r="1454" spans="9:16" ht="18">
      <c r="I1454" s="26"/>
      <c r="J1454" s="26"/>
      <c r="K1454" s="26"/>
      <c r="L1454" s="361"/>
      <c r="M1454" s="361"/>
      <c r="N1454" s="361"/>
      <c r="O1454" s="361"/>
      <c r="P1454" s="145"/>
    </row>
    <row r="1455" spans="9:16" ht="22.5" customHeight="1">
      <c r="J1455" s="617" t="s">
        <v>2824</v>
      </c>
      <c r="K1455" s="617"/>
      <c r="L1455" s="617"/>
      <c r="M1455" s="617"/>
      <c r="N1455" s="617"/>
      <c r="O1455" s="617"/>
      <c r="P1455" s="617"/>
    </row>
    <row r="1456" spans="9:16" ht="15" customHeight="1"/>
    <row r="1458" spans="9:16" ht="49.5" customHeight="1">
      <c r="I1458" s="618" t="s">
        <v>1</v>
      </c>
      <c r="J1458" s="618"/>
      <c r="K1458" s="618"/>
      <c r="L1458" s="618"/>
      <c r="M1458" s="618"/>
      <c r="N1458" s="618"/>
      <c r="O1458" s="618"/>
      <c r="P1458" s="618"/>
    </row>
    <row r="1461" spans="9:16" ht="17.25">
      <c r="I1461" s="375"/>
      <c r="J1461" s="503" t="s">
        <v>1384</v>
      </c>
    </row>
    <row r="1462" spans="9:16" ht="17.25" thickBot="1">
      <c r="I1462" s="30"/>
      <c r="O1462" s="141"/>
    </row>
    <row r="1463" spans="9:16">
      <c r="J1463" s="30"/>
      <c r="N1463" s="143"/>
      <c r="P1463" s="144"/>
    </row>
    <row r="1464" spans="9:16">
      <c r="N1464" s="619" t="s">
        <v>1656</v>
      </c>
      <c r="O1464" s="620"/>
      <c r="P1464" s="621"/>
    </row>
    <row r="1465" spans="9:16">
      <c r="I1465" s="12" t="s">
        <v>114</v>
      </c>
      <c r="L1465" s="249" t="s">
        <v>2</v>
      </c>
      <c r="N1465" s="605" t="s">
        <v>1680</v>
      </c>
      <c r="O1465" s="605"/>
      <c r="P1465" s="649"/>
    </row>
    <row r="1466" spans="9:16">
      <c r="N1466" s="601" t="s">
        <v>163</v>
      </c>
      <c r="O1466" s="602"/>
      <c r="P1466" s="603"/>
    </row>
    <row r="1467" spans="9:16" ht="17.25" thickBot="1">
      <c r="N1467" s="140"/>
      <c r="O1467" s="141"/>
      <c r="P1467" s="142"/>
    </row>
    <row r="1469" spans="9:16">
      <c r="I1469" s="249" t="s">
        <v>27</v>
      </c>
      <c r="J1469" s="394" t="s">
        <v>148</v>
      </c>
    </row>
    <row r="1470" spans="9:16" ht="17.25" thickBot="1"/>
    <row r="1471" spans="9:16" ht="17.25" thickBot="1">
      <c r="I1471" s="13" t="s">
        <v>112</v>
      </c>
      <c r="J1471" s="624" t="s">
        <v>4</v>
      </c>
      <c r="K1471" s="625"/>
      <c r="L1471" s="625"/>
      <c r="M1471" s="625"/>
      <c r="N1471" s="625"/>
      <c r="O1471" s="626"/>
      <c r="P1471" s="20" t="s">
        <v>5</v>
      </c>
    </row>
    <row r="1472" spans="9:16">
      <c r="I1472" s="633" t="s">
        <v>2806</v>
      </c>
      <c r="J1472" s="143"/>
      <c r="K1472" s="159"/>
      <c r="L1472" s="159"/>
      <c r="M1472" s="159"/>
      <c r="N1472" s="159"/>
      <c r="O1472" s="144"/>
      <c r="P1472" s="291"/>
    </row>
    <row r="1473" spans="9:16">
      <c r="I1473" s="634"/>
      <c r="J1473" s="64"/>
      <c r="O1473" s="65"/>
      <c r="P1473" s="291"/>
    </row>
    <row r="1474" spans="9:16">
      <c r="I1474" s="634"/>
      <c r="J1474" s="630" t="s">
        <v>286</v>
      </c>
      <c r="K1474" s="631"/>
      <c r="L1474" s="631"/>
      <c r="M1474" s="631"/>
      <c r="N1474" s="631"/>
      <c r="O1474" s="632"/>
      <c r="P1474" s="291"/>
    </row>
    <row r="1475" spans="9:16">
      <c r="I1475" s="634"/>
      <c r="J1475" s="636" t="s">
        <v>2825</v>
      </c>
      <c r="K1475" s="637"/>
      <c r="L1475" s="637"/>
      <c r="M1475" s="637"/>
      <c r="N1475" s="637"/>
      <c r="O1475" s="638"/>
      <c r="P1475" s="550">
        <v>1463000</v>
      </c>
    </row>
    <row r="1476" spans="9:16">
      <c r="I1476" s="634"/>
      <c r="J1476" s="64"/>
      <c r="K1476" s="604"/>
      <c r="L1476" s="604"/>
      <c r="M1476" s="604"/>
      <c r="O1476" s="65"/>
      <c r="P1476" s="291"/>
    </row>
    <row r="1477" spans="9:16" ht="17.25" thickBot="1">
      <c r="I1477" s="635"/>
      <c r="J1477" s="140"/>
      <c r="K1477" s="141"/>
      <c r="L1477" s="141"/>
      <c r="M1477" s="141"/>
      <c r="N1477" s="141"/>
      <c r="O1477" s="142"/>
      <c r="P1477" s="291"/>
    </row>
    <row r="1478" spans="9:16" ht="17.25" thickBot="1">
      <c r="I1478" s="20" t="s">
        <v>12</v>
      </c>
      <c r="J1478" s="614" t="s">
        <v>13</v>
      </c>
      <c r="K1478" s="615"/>
      <c r="L1478" s="62" t="s">
        <v>14</v>
      </c>
      <c r="M1478" s="63"/>
      <c r="N1478" s="62" t="s">
        <v>15</v>
      </c>
      <c r="O1478" s="62" t="s">
        <v>16</v>
      </c>
      <c r="P1478" s="20" t="s">
        <v>17</v>
      </c>
    </row>
    <row r="1479" spans="9:16" ht="18" thickBot="1">
      <c r="I1479" s="22" t="s">
        <v>18</v>
      </c>
      <c r="J1479" s="606">
        <f>+P1475</f>
        <v>1463000</v>
      </c>
      <c r="K1479" s="607"/>
      <c r="L1479" s="23">
        <f>0</f>
        <v>0</v>
      </c>
      <c r="M1479" s="24"/>
      <c r="N1479" s="25">
        <f>0</f>
        <v>0</v>
      </c>
      <c r="O1479" s="36">
        <f>+J1479</f>
        <v>1463000</v>
      </c>
      <c r="P1479" s="38">
        <f>+P1475</f>
        <v>1463000</v>
      </c>
    </row>
    <row r="1480" spans="9:16" ht="18" thickBot="1">
      <c r="I1480" s="22" t="s">
        <v>113</v>
      </c>
      <c r="J1480" s="606">
        <f>+J1479/650.599</f>
        <v>2248.6969700230093</v>
      </c>
      <c r="K1480" s="607"/>
      <c r="L1480" s="23">
        <f>0</f>
        <v>0</v>
      </c>
      <c r="M1480" s="24"/>
      <c r="N1480" s="25">
        <f>0</f>
        <v>0</v>
      </c>
      <c r="O1480" s="36">
        <f>+J1480</f>
        <v>2248.6969700230093</v>
      </c>
      <c r="P1480" s="38">
        <f>+O1480</f>
        <v>2248.6969700230093</v>
      </c>
    </row>
    <row r="1482" spans="9:16">
      <c r="I1482" s="412" t="s">
        <v>1268</v>
      </c>
      <c r="J1482" s="26"/>
      <c r="K1482" s="26"/>
      <c r="L1482" s="26"/>
      <c r="M1482" s="26"/>
      <c r="N1482" s="26"/>
      <c r="O1482" s="26"/>
    </row>
    <row r="1483" spans="9:16">
      <c r="I1483" s="413" t="s">
        <v>2049</v>
      </c>
      <c r="J1483" s="26"/>
      <c r="K1483" s="26"/>
      <c r="L1483" s="26"/>
      <c r="M1483" s="26"/>
      <c r="N1483" s="26"/>
      <c r="O1483" s="26"/>
    </row>
    <row r="1484" spans="9:16">
      <c r="I1484" s="82" t="s">
        <v>19</v>
      </c>
      <c r="J1484" s="26"/>
      <c r="K1484" s="26"/>
      <c r="L1484" s="26"/>
      <c r="M1484" s="26"/>
      <c r="N1484" s="26"/>
      <c r="O1484" s="26"/>
    </row>
    <row r="1485" spans="9:16">
      <c r="I1485" s="26" t="s">
        <v>965</v>
      </c>
      <c r="J1485" s="26"/>
      <c r="K1485" s="26"/>
      <c r="L1485" s="26"/>
      <c r="M1485" s="26"/>
      <c r="N1485" s="26"/>
      <c r="O1485" s="26"/>
    </row>
    <row r="1486" spans="9:16">
      <c r="I1486" s="26" t="s">
        <v>21</v>
      </c>
      <c r="J1486" s="26"/>
      <c r="K1486" s="26"/>
      <c r="L1486" s="26"/>
      <c r="M1486" s="26"/>
      <c r="N1486" s="26"/>
      <c r="O1486" s="26"/>
    </row>
    <row r="1487" spans="9:16">
      <c r="I1487" s="26" t="s">
        <v>1229</v>
      </c>
      <c r="J1487" s="26"/>
      <c r="K1487" s="26"/>
      <c r="L1487" s="26"/>
      <c r="M1487" s="26"/>
      <c r="N1487" s="26"/>
      <c r="O1487" s="26"/>
    </row>
    <row r="1490" spans="9:16">
      <c r="L1490" s="604" t="s">
        <v>24</v>
      </c>
      <c r="M1490" s="604"/>
      <c r="N1490" s="604"/>
      <c r="O1490" s="604"/>
    </row>
    <row r="1491" spans="9:16">
      <c r="L1491" s="604" t="s">
        <v>149</v>
      </c>
      <c r="M1491" s="604"/>
      <c r="N1491" s="604"/>
      <c r="O1491" s="604"/>
    </row>
    <row r="1492" spans="9:16">
      <c r="L1492" s="605" t="s">
        <v>150</v>
      </c>
      <c r="M1492" s="605"/>
      <c r="N1492" s="605"/>
      <c r="O1492" s="605"/>
    </row>
    <row r="1493" spans="9:16">
      <c r="L1493" s="30"/>
    </row>
    <row r="1494" spans="9:16">
      <c r="M1494" s="26"/>
      <c r="N1494" s="26"/>
      <c r="O1494" s="26"/>
    </row>
    <row r="1495" spans="9:16" ht="17.25">
      <c r="L1495" s="644"/>
      <c r="M1495" s="644"/>
      <c r="N1495" s="644"/>
      <c r="O1495" s="644"/>
    </row>
    <row r="1496" spans="9:16" ht="17.25">
      <c r="L1496" s="361"/>
      <c r="M1496" s="361"/>
      <c r="N1496" s="361"/>
      <c r="O1496" s="361"/>
    </row>
    <row r="1497" spans="9:16" ht="17.25" customHeight="1">
      <c r="I1497" s="617" t="s">
        <v>0</v>
      </c>
      <c r="J1497" s="617"/>
      <c r="K1497" s="617"/>
      <c r="L1497" s="617"/>
      <c r="M1497" s="617"/>
      <c r="N1497" s="617"/>
      <c r="O1497" s="617"/>
      <c r="P1497" s="617"/>
    </row>
    <row r="1500" spans="9:16" ht="49.5" customHeight="1">
      <c r="I1500" s="642" t="s">
        <v>1</v>
      </c>
      <c r="J1500" s="642"/>
      <c r="K1500" s="642"/>
      <c r="L1500" s="642"/>
      <c r="M1500" s="642"/>
      <c r="N1500" s="642"/>
      <c r="O1500" s="642"/>
      <c r="P1500" s="642"/>
    </row>
    <row r="1503" spans="9:16" ht="17.25">
      <c r="I1503" s="375"/>
      <c r="J1503" s="503" t="s">
        <v>2835</v>
      </c>
    </row>
    <row r="1504" spans="9:16" ht="17.25" thickBot="1">
      <c r="I1504" s="30"/>
      <c r="O1504" s="141"/>
    </row>
    <row r="1505" spans="9:16">
      <c r="J1505" s="30"/>
      <c r="N1505" s="143"/>
      <c r="P1505" s="144"/>
    </row>
    <row r="1506" spans="9:16">
      <c r="N1506" s="619" t="s">
        <v>555</v>
      </c>
      <c r="O1506" s="620"/>
      <c r="P1506" s="621"/>
    </row>
    <row r="1507" spans="9:16">
      <c r="I1507" s="12" t="s">
        <v>114</v>
      </c>
      <c r="L1507" s="249" t="s">
        <v>2</v>
      </c>
      <c r="N1507" s="605" t="s">
        <v>1882</v>
      </c>
      <c r="O1507" s="605"/>
      <c r="P1507" s="649"/>
    </row>
    <row r="1508" spans="9:16">
      <c r="N1508" s="601" t="s">
        <v>163</v>
      </c>
      <c r="O1508" s="602"/>
      <c r="P1508" s="603"/>
    </row>
    <row r="1509" spans="9:16" ht="17.25" thickBot="1">
      <c r="N1509" s="140"/>
      <c r="O1509" s="141"/>
      <c r="P1509" s="142"/>
    </row>
    <row r="1511" spans="9:16">
      <c r="I1511" s="249" t="s">
        <v>27</v>
      </c>
      <c r="J1511" s="394" t="s">
        <v>148</v>
      </c>
    </row>
    <row r="1512" spans="9:16" ht="17.25" thickBot="1"/>
    <row r="1513" spans="9:16" ht="17.25" thickBot="1">
      <c r="I1513" s="13" t="s">
        <v>112</v>
      </c>
      <c r="J1513" s="624" t="s">
        <v>4</v>
      </c>
      <c r="K1513" s="625"/>
      <c r="L1513" s="625"/>
      <c r="M1513" s="625"/>
      <c r="N1513" s="625"/>
      <c r="O1513" s="626"/>
      <c r="P1513" s="20" t="s">
        <v>5</v>
      </c>
    </row>
    <row r="1514" spans="9:16">
      <c r="I1514" s="633" t="s">
        <v>2806</v>
      </c>
      <c r="J1514" s="143"/>
      <c r="K1514" s="159"/>
      <c r="L1514" s="159"/>
      <c r="M1514" s="159"/>
      <c r="N1514" s="159"/>
      <c r="O1514" s="144"/>
      <c r="P1514" s="291"/>
    </row>
    <row r="1515" spans="9:16">
      <c r="I1515" s="634"/>
      <c r="J1515" s="64"/>
      <c r="O1515" s="65"/>
      <c r="P1515" s="291"/>
    </row>
    <row r="1516" spans="9:16">
      <c r="I1516" s="634"/>
      <c r="J1516" s="630" t="s">
        <v>286</v>
      </c>
      <c r="K1516" s="631"/>
      <c r="L1516" s="631"/>
      <c r="M1516" s="631"/>
      <c r="N1516" s="631"/>
      <c r="O1516" s="632"/>
      <c r="P1516" s="291"/>
    </row>
    <row r="1517" spans="9:16">
      <c r="I1517" s="634"/>
      <c r="J1517" s="679" t="s">
        <v>2836</v>
      </c>
      <c r="K1517" s="680"/>
      <c r="L1517" s="680"/>
      <c r="M1517" s="680"/>
      <c r="N1517" s="680"/>
      <c r="O1517" s="681"/>
      <c r="P1517" s="148">
        <v>7623000</v>
      </c>
    </row>
    <row r="1518" spans="9:16">
      <c r="I1518" s="634"/>
      <c r="J1518" s="64"/>
      <c r="K1518" s="604"/>
      <c r="L1518" s="604"/>
      <c r="M1518" s="604"/>
      <c r="O1518" s="65"/>
      <c r="P1518" s="291"/>
    </row>
    <row r="1519" spans="9:16" ht="17.25" thickBot="1">
      <c r="I1519" s="635"/>
      <c r="J1519" s="140"/>
      <c r="K1519" s="141"/>
      <c r="L1519" s="141"/>
      <c r="M1519" s="141"/>
      <c r="N1519" s="141"/>
      <c r="O1519" s="142"/>
      <c r="P1519" s="291"/>
    </row>
    <row r="1520" spans="9:16" ht="17.25" thickBot="1">
      <c r="I1520" s="20" t="s">
        <v>12</v>
      </c>
      <c r="J1520" s="614" t="s">
        <v>13</v>
      </c>
      <c r="K1520" s="615"/>
      <c r="L1520" s="62" t="s">
        <v>14</v>
      </c>
      <c r="M1520" s="63"/>
      <c r="N1520" s="62" t="s">
        <v>15</v>
      </c>
      <c r="O1520" s="62" t="s">
        <v>16</v>
      </c>
      <c r="P1520" s="20" t="s">
        <v>17</v>
      </c>
    </row>
    <row r="1521" spans="9:16" ht="18" thickBot="1">
      <c r="I1521" s="22" t="s">
        <v>18</v>
      </c>
      <c r="J1521" s="606">
        <f>+P1517</f>
        <v>7623000</v>
      </c>
      <c r="K1521" s="607"/>
      <c r="L1521" s="23">
        <f>0</f>
        <v>0</v>
      </c>
      <c r="M1521" s="24"/>
      <c r="N1521" s="25">
        <f>0</f>
        <v>0</v>
      </c>
      <c r="O1521" s="36">
        <f>+J1521</f>
        <v>7623000</v>
      </c>
      <c r="P1521" s="38">
        <f>+P1517</f>
        <v>7623000</v>
      </c>
    </row>
    <row r="1522" spans="9:16" ht="18" hidden="1" thickBot="1">
      <c r="I1522" s="22" t="s">
        <v>113</v>
      </c>
      <c r="J1522" s="606">
        <f>+J1521/650.599</f>
        <v>11716.894738540943</v>
      </c>
      <c r="K1522" s="607"/>
      <c r="L1522" s="23">
        <f>0</f>
        <v>0</v>
      </c>
      <c r="M1522" s="24"/>
      <c r="N1522" s="25">
        <f>0</f>
        <v>0</v>
      </c>
      <c r="O1522" s="36">
        <f>+J1522</f>
        <v>11716.894738540943</v>
      </c>
      <c r="P1522" s="38">
        <f>+O1522</f>
        <v>11716.894738540943</v>
      </c>
    </row>
    <row r="1524" spans="9:16">
      <c r="I1524" s="412" t="s">
        <v>1268</v>
      </c>
      <c r="J1524" s="26"/>
      <c r="K1524" s="26"/>
      <c r="L1524" s="26"/>
      <c r="M1524" s="26"/>
      <c r="N1524" s="26"/>
      <c r="O1524" s="26"/>
    </row>
    <row r="1525" spans="9:16">
      <c r="I1525" s="413" t="s">
        <v>2487</v>
      </c>
      <c r="J1525" s="26"/>
      <c r="K1525" s="26"/>
      <c r="L1525" s="26"/>
      <c r="M1525" s="26"/>
      <c r="N1525" s="26"/>
      <c r="O1525" s="26"/>
    </row>
    <row r="1526" spans="9:16">
      <c r="I1526" s="82" t="s">
        <v>19</v>
      </c>
      <c r="J1526" s="26"/>
      <c r="K1526" s="26"/>
      <c r="L1526" s="26"/>
      <c r="M1526" s="26"/>
      <c r="N1526" s="26"/>
      <c r="O1526" s="26"/>
    </row>
    <row r="1527" spans="9:16">
      <c r="I1527" s="26" t="s">
        <v>965</v>
      </c>
      <c r="J1527" s="26"/>
      <c r="K1527" s="26"/>
      <c r="L1527" s="26"/>
      <c r="M1527" s="26"/>
      <c r="N1527" s="26"/>
      <c r="O1527" s="26"/>
    </row>
    <row r="1528" spans="9:16">
      <c r="I1528" s="26" t="s">
        <v>21</v>
      </c>
      <c r="J1528" s="26"/>
      <c r="K1528" s="26"/>
      <c r="L1528" s="26"/>
      <c r="M1528" s="26"/>
      <c r="N1528" s="26"/>
      <c r="O1528" s="26"/>
    </row>
    <row r="1529" spans="9:16">
      <c r="I1529" s="26" t="s">
        <v>1229</v>
      </c>
      <c r="J1529" s="26"/>
      <c r="K1529" s="26"/>
      <c r="L1529" s="26"/>
      <c r="M1529" s="26"/>
      <c r="N1529" s="26"/>
      <c r="O1529" s="26"/>
    </row>
    <row r="1532" spans="9:16">
      <c r="L1532" s="604" t="s">
        <v>24</v>
      </c>
      <c r="M1532" s="604"/>
      <c r="N1532" s="604"/>
      <c r="O1532" s="604"/>
    </row>
    <row r="1533" spans="9:16">
      <c r="L1533" s="604" t="s">
        <v>149</v>
      </c>
      <c r="M1533" s="604"/>
      <c r="N1533" s="604"/>
      <c r="O1533" s="604"/>
    </row>
    <row r="1534" spans="9:16">
      <c r="L1534" s="605" t="s">
        <v>150</v>
      </c>
      <c r="M1534" s="605"/>
      <c r="N1534" s="605"/>
      <c r="O1534" s="605"/>
    </row>
    <row r="1535" spans="9:16">
      <c r="L1535" s="30"/>
    </row>
    <row r="1536" spans="9:16">
      <c r="M1536" s="26"/>
      <c r="N1536" s="26"/>
      <c r="O1536" s="26"/>
    </row>
    <row r="1537" spans="9:16" ht="18">
      <c r="I1537" s="26"/>
      <c r="J1537" s="26"/>
      <c r="K1537" s="26"/>
      <c r="L1537" s="644"/>
      <c r="M1537" s="644"/>
      <c r="N1537" s="644"/>
      <c r="O1537" s="644"/>
      <c r="P1537" s="145"/>
    </row>
    <row r="1538" spans="9:16" ht="18">
      <c r="I1538" s="26"/>
      <c r="J1538" s="26"/>
      <c r="K1538" s="26"/>
      <c r="L1538" s="361"/>
      <c r="M1538" s="361"/>
      <c r="N1538" s="361"/>
      <c r="O1538" s="361"/>
      <c r="P1538" s="145"/>
    </row>
    <row r="1539" spans="9:16" ht="18">
      <c r="I1539" s="26"/>
      <c r="J1539" s="26"/>
      <c r="K1539" s="26"/>
      <c r="L1539" s="361"/>
      <c r="M1539" s="361"/>
      <c r="N1539" s="361"/>
      <c r="O1539" s="361"/>
      <c r="P1539" s="145"/>
    </row>
    <row r="1540" spans="9:16" ht="18.75" customHeight="1">
      <c r="J1540" s="617" t="s">
        <v>2573</v>
      </c>
      <c r="K1540" s="617"/>
      <c r="L1540" s="617"/>
      <c r="M1540" s="617"/>
      <c r="N1540" s="617"/>
      <c r="O1540" s="617"/>
      <c r="P1540" s="617"/>
    </row>
    <row r="1542" spans="9:16" ht="20.25" customHeight="1"/>
    <row r="1543" spans="9:16" ht="49.5" customHeight="1">
      <c r="I1543" s="618" t="s">
        <v>1</v>
      </c>
      <c r="J1543" s="618"/>
      <c r="K1543" s="618"/>
      <c r="L1543" s="618"/>
      <c r="M1543" s="618"/>
      <c r="N1543" s="618"/>
      <c r="O1543" s="618"/>
      <c r="P1543" s="618"/>
    </row>
    <row r="1546" spans="9:16" ht="17.25">
      <c r="I1546" s="375"/>
      <c r="J1546" s="503" t="s">
        <v>2341</v>
      </c>
    </row>
    <row r="1547" spans="9:16" ht="17.25" thickBot="1">
      <c r="I1547" s="30"/>
      <c r="O1547" s="141"/>
    </row>
    <row r="1548" spans="9:16">
      <c r="J1548" s="30"/>
      <c r="N1548" s="143"/>
      <c r="P1548" s="144"/>
    </row>
    <row r="1549" spans="9:16">
      <c r="N1549" s="619" t="s">
        <v>1427</v>
      </c>
      <c r="O1549" s="620"/>
      <c r="P1549" s="621"/>
    </row>
    <row r="1550" spans="9:16">
      <c r="I1550" s="12" t="s">
        <v>114</v>
      </c>
      <c r="L1550" s="249" t="s">
        <v>2</v>
      </c>
      <c r="N1550" s="605" t="s">
        <v>1681</v>
      </c>
      <c r="O1550" s="605"/>
      <c r="P1550" s="649"/>
    </row>
    <row r="1551" spans="9:16">
      <c r="N1551" s="601" t="s">
        <v>904</v>
      </c>
      <c r="O1551" s="602"/>
      <c r="P1551" s="603"/>
    </row>
    <row r="1552" spans="9:16" ht="17.25" thickBot="1">
      <c r="N1552" s="140"/>
      <c r="O1552" s="141"/>
      <c r="P1552" s="142"/>
    </row>
    <row r="1554" spans="9:16">
      <c r="I1554" s="249" t="s">
        <v>27</v>
      </c>
      <c r="J1554" s="394" t="s">
        <v>148</v>
      </c>
    </row>
    <row r="1555" spans="9:16" ht="17.25" thickBot="1"/>
    <row r="1556" spans="9:16" ht="17.25" customHeight="1" thickBot="1">
      <c r="I1556" s="13" t="s">
        <v>112</v>
      </c>
      <c r="J1556" s="624" t="s">
        <v>4</v>
      </c>
      <c r="K1556" s="625"/>
      <c r="L1556" s="625"/>
      <c r="M1556" s="625"/>
      <c r="N1556" s="625"/>
      <c r="O1556" s="626"/>
      <c r="P1556" s="20" t="s">
        <v>5</v>
      </c>
    </row>
    <row r="1557" spans="9:16" ht="16.5" customHeight="1">
      <c r="I1557" s="633" t="s">
        <v>2806</v>
      </c>
      <c r="J1557" s="143"/>
      <c r="K1557" s="159"/>
      <c r="L1557" s="159"/>
      <c r="M1557" s="159"/>
      <c r="N1557" s="159"/>
      <c r="O1557" s="144"/>
      <c r="P1557" s="291"/>
    </row>
    <row r="1558" spans="9:16">
      <c r="I1558" s="634"/>
      <c r="J1558" s="64"/>
      <c r="O1558" s="65"/>
      <c r="P1558" s="291"/>
    </row>
    <row r="1559" spans="9:16">
      <c r="I1559" s="634"/>
      <c r="J1559" s="630" t="s">
        <v>286</v>
      </c>
      <c r="K1559" s="631"/>
      <c r="L1559" s="631"/>
      <c r="M1559" s="631"/>
      <c r="N1559" s="631"/>
      <c r="O1559" s="632"/>
      <c r="P1559" s="291"/>
    </row>
    <row r="1560" spans="9:16">
      <c r="I1560" s="634"/>
      <c r="J1560" s="636" t="s">
        <v>2840</v>
      </c>
      <c r="K1560" s="637"/>
      <c r="L1560" s="637"/>
      <c r="M1560" s="637"/>
      <c r="N1560" s="637"/>
      <c r="O1560" s="638"/>
      <c r="P1560" s="548">
        <v>7875000</v>
      </c>
    </row>
    <row r="1561" spans="9:16">
      <c r="I1561" s="634"/>
      <c r="J1561" s="64"/>
      <c r="K1561" s="604"/>
      <c r="L1561" s="604"/>
      <c r="M1561" s="604"/>
      <c r="O1561" s="65"/>
      <c r="P1561" s="291"/>
    </row>
    <row r="1562" spans="9:16" ht="17.25" thickBot="1">
      <c r="I1562" s="635"/>
      <c r="J1562" s="140"/>
      <c r="K1562" s="141"/>
      <c r="L1562" s="141"/>
      <c r="M1562" s="141"/>
      <c r="N1562" s="141"/>
      <c r="O1562" s="142"/>
      <c r="P1562" s="291"/>
    </row>
    <row r="1563" spans="9:16" ht="17.25" thickBot="1">
      <c r="I1563" s="20" t="s">
        <v>12</v>
      </c>
      <c r="J1563" s="614" t="s">
        <v>13</v>
      </c>
      <c r="K1563" s="615"/>
      <c r="L1563" s="62" t="s">
        <v>14</v>
      </c>
      <c r="M1563" s="63"/>
      <c r="N1563" s="62" t="s">
        <v>15</v>
      </c>
      <c r="O1563" s="62" t="s">
        <v>16</v>
      </c>
      <c r="P1563" s="20" t="s">
        <v>17</v>
      </c>
    </row>
    <row r="1564" spans="9:16" ht="18" thickBot="1">
      <c r="I1564" s="22" t="s">
        <v>18</v>
      </c>
      <c r="J1564" s="606">
        <f>+P1560</f>
        <v>7875000</v>
      </c>
      <c r="K1564" s="607"/>
      <c r="L1564" s="23">
        <f>0</f>
        <v>0</v>
      </c>
      <c r="M1564" s="24"/>
      <c r="N1564" s="25">
        <f>0</f>
        <v>0</v>
      </c>
      <c r="O1564" s="36">
        <f>+J1564</f>
        <v>7875000</v>
      </c>
      <c r="P1564" s="38">
        <f>+P1560</f>
        <v>7875000</v>
      </c>
    </row>
    <row r="1565" spans="9:16" ht="18" hidden="1" thickBot="1">
      <c r="I1565" s="22" t="s">
        <v>113</v>
      </c>
      <c r="J1565" s="606">
        <f>+J1564/650.599</f>
        <v>12104.230101798496</v>
      </c>
      <c r="K1565" s="607"/>
      <c r="L1565" s="23">
        <f>0</f>
        <v>0</v>
      </c>
      <c r="M1565" s="24"/>
      <c r="N1565" s="25">
        <f>0</f>
        <v>0</v>
      </c>
      <c r="O1565" s="36">
        <f>+J1565</f>
        <v>12104.230101798496</v>
      </c>
      <c r="P1565" s="38">
        <f>+O1565</f>
        <v>12104.230101798496</v>
      </c>
    </row>
    <row r="1567" spans="9:16">
      <c r="I1567" s="412" t="s">
        <v>1268</v>
      </c>
      <c r="J1567" s="26"/>
      <c r="K1567" s="26"/>
      <c r="L1567" s="26"/>
      <c r="M1567" s="26"/>
      <c r="N1567" s="26"/>
      <c r="O1567" s="26"/>
    </row>
    <row r="1568" spans="9:16" ht="17.25">
      <c r="I1568" s="458" t="s">
        <v>2016</v>
      </c>
      <c r="J1568" s="26"/>
      <c r="K1568" s="26"/>
      <c r="L1568" s="26"/>
      <c r="M1568" s="26"/>
      <c r="N1568" s="26"/>
      <c r="O1568" s="26"/>
    </row>
    <row r="1569" spans="9:16" ht="11.25" customHeight="1">
      <c r="I1569" s="458"/>
      <c r="J1569" s="26"/>
      <c r="K1569" s="26"/>
      <c r="L1569" s="26"/>
      <c r="M1569" s="26"/>
      <c r="N1569" s="26"/>
      <c r="O1569" s="26"/>
    </row>
    <row r="1570" spans="9:16">
      <c r="I1570" s="82" t="s">
        <v>19</v>
      </c>
      <c r="J1570" s="26"/>
      <c r="K1570" s="26"/>
      <c r="L1570" s="26"/>
      <c r="M1570" s="26"/>
      <c r="N1570" s="26"/>
      <c r="O1570" s="26"/>
    </row>
    <row r="1571" spans="9:16">
      <c r="I1571" s="26" t="s">
        <v>965</v>
      </c>
      <c r="J1571" s="26"/>
      <c r="K1571" s="26"/>
      <c r="L1571" s="26"/>
      <c r="M1571" s="26"/>
      <c r="N1571" s="26"/>
      <c r="O1571" s="26"/>
    </row>
    <row r="1572" spans="9:16" ht="17.25" customHeight="1">
      <c r="I1572" s="26" t="s">
        <v>21</v>
      </c>
      <c r="J1572" s="26"/>
      <c r="K1572" s="26"/>
      <c r="L1572" s="26"/>
      <c r="M1572" s="26"/>
      <c r="N1572" s="26"/>
      <c r="O1572" s="26"/>
    </row>
    <row r="1573" spans="9:16" ht="20.25" customHeight="1">
      <c r="I1573" s="26" t="s">
        <v>1229</v>
      </c>
      <c r="J1573" s="26"/>
      <c r="K1573" s="26"/>
      <c r="L1573" s="26"/>
      <c r="M1573" s="26"/>
      <c r="N1573" s="26"/>
      <c r="O1573" s="26"/>
    </row>
    <row r="1576" spans="9:16">
      <c r="L1576" s="604" t="s">
        <v>24</v>
      </c>
      <c r="M1576" s="604"/>
      <c r="N1576" s="604"/>
      <c r="O1576" s="604"/>
    </row>
    <row r="1577" spans="9:16">
      <c r="L1577" s="604" t="s">
        <v>149</v>
      </c>
      <c r="M1577" s="604"/>
      <c r="N1577" s="604"/>
      <c r="O1577" s="604"/>
    </row>
    <row r="1578" spans="9:16">
      <c r="L1578" s="605" t="s">
        <v>150</v>
      </c>
      <c r="M1578" s="605"/>
      <c r="N1578" s="605"/>
      <c r="O1578" s="605"/>
    </row>
    <row r="1579" spans="9:16">
      <c r="L1579" s="477"/>
      <c r="M1579" s="477"/>
      <c r="N1579" s="477"/>
      <c r="O1579" s="477"/>
    </row>
    <row r="1580" spans="9:16">
      <c r="L1580" s="30"/>
    </row>
    <row r="1581" spans="9:16" ht="18">
      <c r="I1581" s="26"/>
      <c r="J1581" s="26"/>
      <c r="K1581" s="26"/>
      <c r="L1581" s="644"/>
      <c r="M1581" s="644"/>
      <c r="N1581" s="644"/>
      <c r="O1581" s="644"/>
      <c r="P1581" s="145"/>
    </row>
    <row r="1582" spans="9:16" ht="18">
      <c r="I1582" s="26"/>
      <c r="J1582" s="26"/>
      <c r="K1582" s="26"/>
      <c r="L1582" s="361"/>
      <c r="M1582" s="361"/>
      <c r="N1582" s="361"/>
      <c r="O1582" s="361"/>
      <c r="P1582" s="145"/>
    </row>
    <row r="1583" spans="9:16" ht="15.75" customHeight="1">
      <c r="J1583" s="617" t="s">
        <v>0</v>
      </c>
      <c r="K1583" s="617"/>
      <c r="L1583" s="617"/>
      <c r="M1583" s="617"/>
      <c r="N1583" s="617"/>
      <c r="O1583" s="617"/>
      <c r="P1583" s="617"/>
    </row>
    <row r="1586" spans="9:16" ht="49.5" customHeight="1">
      <c r="I1586" s="642" t="s">
        <v>1</v>
      </c>
      <c r="J1586" s="642"/>
      <c r="K1586" s="642"/>
      <c r="L1586" s="642"/>
      <c r="M1586" s="642"/>
      <c r="N1586" s="642"/>
      <c r="O1586" s="642"/>
      <c r="P1586" s="642"/>
    </row>
    <row r="1589" spans="9:16" ht="17.25">
      <c r="I1589" s="375"/>
      <c r="J1589" s="375" t="s">
        <v>1384</v>
      </c>
    </row>
    <row r="1590" spans="9:16" ht="17.25" thickBot="1">
      <c r="I1590" s="30"/>
      <c r="O1590" s="141"/>
    </row>
    <row r="1591" spans="9:16">
      <c r="J1591" s="30"/>
      <c r="N1591" s="143"/>
      <c r="P1591" s="144"/>
    </row>
    <row r="1592" spans="9:16">
      <c r="N1592" s="647" t="s">
        <v>2031</v>
      </c>
      <c r="O1592" s="610"/>
      <c r="P1592" s="648"/>
    </row>
    <row r="1593" spans="9:16">
      <c r="I1593" s="12" t="s">
        <v>114</v>
      </c>
      <c r="L1593" s="249" t="s">
        <v>2</v>
      </c>
      <c r="N1593" s="605" t="s">
        <v>2032</v>
      </c>
      <c r="O1593" s="605"/>
      <c r="P1593" s="649"/>
    </row>
    <row r="1594" spans="9:16">
      <c r="N1594" s="601" t="s">
        <v>163</v>
      </c>
      <c r="O1594" s="602"/>
      <c r="P1594" s="603"/>
    </row>
    <row r="1595" spans="9:16" ht="17.25" thickBot="1">
      <c r="N1595" s="140"/>
      <c r="O1595" s="141"/>
      <c r="P1595" s="142"/>
    </row>
    <row r="1597" spans="9:16">
      <c r="I1597" s="249" t="s">
        <v>27</v>
      </c>
      <c r="J1597" s="30" t="s">
        <v>1946</v>
      </c>
    </row>
    <row r="1598" spans="9:16" ht="17.25" thickBot="1"/>
    <row r="1599" spans="9:16" ht="17.25" thickBot="1">
      <c r="I1599" s="13" t="s">
        <v>112</v>
      </c>
      <c r="J1599" s="624" t="s">
        <v>4</v>
      </c>
      <c r="K1599" s="625"/>
      <c r="L1599" s="625"/>
      <c r="M1599" s="625"/>
      <c r="N1599" s="625"/>
      <c r="O1599" s="626"/>
      <c r="P1599" s="20" t="s">
        <v>5</v>
      </c>
    </row>
    <row r="1600" spans="9:16">
      <c r="I1600" s="633" t="s">
        <v>2140</v>
      </c>
      <c r="J1600" s="143"/>
      <c r="K1600" s="159"/>
      <c r="L1600" s="159"/>
      <c r="M1600" s="159"/>
      <c r="N1600" s="159"/>
      <c r="O1600" s="144"/>
      <c r="P1600" s="291"/>
    </row>
    <row r="1601" spans="9:16">
      <c r="I1601" s="634"/>
      <c r="J1601" s="64"/>
      <c r="O1601" s="65"/>
      <c r="P1601" s="291"/>
    </row>
    <row r="1602" spans="9:16">
      <c r="I1602" s="634"/>
      <c r="J1602" s="676" t="s">
        <v>286</v>
      </c>
      <c r="K1602" s="677"/>
      <c r="L1602" s="677"/>
      <c r="M1602" s="677"/>
      <c r="N1602" s="677"/>
      <c r="O1602" s="678"/>
      <c r="P1602" s="291"/>
    </row>
    <row r="1603" spans="9:16">
      <c r="I1603" s="634"/>
      <c r="J1603" s="636" t="s">
        <v>2033</v>
      </c>
      <c r="K1603" s="637"/>
      <c r="L1603" s="637"/>
      <c r="M1603" s="637"/>
      <c r="N1603" s="637"/>
      <c r="O1603" s="638"/>
      <c r="P1603" s="148">
        <v>600000</v>
      </c>
    </row>
    <row r="1604" spans="9:16">
      <c r="I1604" s="634"/>
      <c r="J1604" s="64"/>
      <c r="K1604" s="604"/>
      <c r="L1604" s="604"/>
      <c r="M1604" s="604"/>
      <c r="O1604" s="65"/>
      <c r="P1604" s="291"/>
    </row>
    <row r="1605" spans="9:16" ht="17.25" thickBot="1">
      <c r="I1605" s="635"/>
      <c r="J1605" s="140"/>
      <c r="K1605" s="141"/>
      <c r="L1605" s="141"/>
      <c r="M1605" s="141"/>
      <c r="N1605" s="141"/>
      <c r="O1605" s="142"/>
      <c r="P1605" s="291"/>
    </row>
    <row r="1606" spans="9:16" ht="17.25" thickBot="1">
      <c r="I1606" s="20" t="s">
        <v>12</v>
      </c>
      <c r="J1606" s="614" t="s">
        <v>13</v>
      </c>
      <c r="K1606" s="615"/>
      <c r="L1606" s="62" t="s">
        <v>14</v>
      </c>
      <c r="M1606" s="63"/>
      <c r="N1606" s="62" t="s">
        <v>15</v>
      </c>
      <c r="O1606" s="62" t="s">
        <v>16</v>
      </c>
      <c r="P1606" s="20" t="s">
        <v>17</v>
      </c>
    </row>
    <row r="1607" spans="9:16" ht="18" thickBot="1">
      <c r="I1607" s="22" t="s">
        <v>18</v>
      </c>
      <c r="J1607" s="606">
        <f>+P1603</f>
        <v>600000</v>
      </c>
      <c r="K1607" s="607"/>
      <c r="L1607" s="23">
        <f>0</f>
        <v>0</v>
      </c>
      <c r="M1607" s="24"/>
      <c r="N1607" s="25">
        <f>0</f>
        <v>0</v>
      </c>
      <c r="O1607" s="36">
        <f>+J1607</f>
        <v>600000</v>
      </c>
      <c r="P1607" s="38">
        <f>+P1603</f>
        <v>600000</v>
      </c>
    </row>
    <row r="1608" spans="9:16" ht="18" thickBot="1">
      <c r="I1608" s="22" t="s">
        <v>113</v>
      </c>
      <c r="J1608" s="606">
        <f>+J1607/650.599</f>
        <v>922.22705537512343</v>
      </c>
      <c r="K1608" s="607"/>
      <c r="L1608" s="23">
        <f>0</f>
        <v>0</v>
      </c>
      <c r="M1608" s="24"/>
      <c r="N1608" s="25">
        <f>0</f>
        <v>0</v>
      </c>
      <c r="O1608" s="36">
        <f>+J1608</f>
        <v>922.22705537512343</v>
      </c>
      <c r="P1608" s="38">
        <f>+O1608</f>
        <v>922.22705537512343</v>
      </c>
    </row>
    <row r="1610" spans="9:16">
      <c r="I1610" s="412" t="s">
        <v>1268</v>
      </c>
      <c r="J1610" s="26"/>
      <c r="K1610" s="26"/>
      <c r="L1610" s="26"/>
      <c r="M1610" s="26"/>
      <c r="N1610" s="26"/>
      <c r="O1610" s="26"/>
    </row>
    <row r="1611" spans="9:16" ht="17.25">
      <c r="I1611" s="458" t="s">
        <v>2034</v>
      </c>
      <c r="J1611" s="26"/>
      <c r="K1611" s="26"/>
      <c r="L1611" s="26"/>
      <c r="M1611" s="26"/>
      <c r="N1611" s="26"/>
      <c r="O1611" s="26"/>
    </row>
    <row r="1612" spans="9:16">
      <c r="I1612" s="82" t="s">
        <v>19</v>
      </c>
      <c r="J1612" s="26"/>
      <c r="K1612" s="26"/>
      <c r="L1612" s="26"/>
      <c r="M1612" s="26"/>
      <c r="N1612" s="26"/>
      <c r="O1612" s="26"/>
    </row>
    <row r="1613" spans="9:16">
      <c r="I1613" s="26" t="s">
        <v>965</v>
      </c>
      <c r="J1613" s="26"/>
      <c r="K1613" s="26"/>
      <c r="L1613" s="26"/>
      <c r="M1613" s="26"/>
      <c r="N1613" s="26"/>
      <c r="O1613" s="26"/>
    </row>
    <row r="1614" spans="9:16">
      <c r="I1614" s="26" t="s">
        <v>21</v>
      </c>
      <c r="J1614" s="26"/>
      <c r="K1614" s="26"/>
      <c r="L1614" s="26"/>
      <c r="M1614" s="26"/>
      <c r="N1614" s="26"/>
      <c r="O1614" s="26"/>
    </row>
    <row r="1615" spans="9:16">
      <c r="I1615" s="26" t="s">
        <v>1229</v>
      </c>
      <c r="J1615" s="26"/>
      <c r="K1615" s="26"/>
      <c r="L1615" s="26"/>
      <c r="M1615" s="26"/>
      <c r="N1615" s="26"/>
      <c r="O1615" s="26"/>
    </row>
    <row r="1618" spans="9:16">
      <c r="L1618" s="30" t="s">
        <v>24</v>
      </c>
      <c r="N1618" s="30"/>
      <c r="O1618" s="30"/>
    </row>
    <row r="1619" spans="9:16">
      <c r="L1619" s="30" t="s">
        <v>149</v>
      </c>
      <c r="N1619" s="30"/>
      <c r="O1619" s="30"/>
    </row>
    <row r="1620" spans="9:16">
      <c r="L1620" s="605" t="s">
        <v>150</v>
      </c>
      <c r="M1620" s="605"/>
      <c r="N1620" s="605"/>
      <c r="O1620" s="605"/>
    </row>
    <row r="1621" spans="9:16">
      <c r="L1621" s="477"/>
      <c r="M1621" s="477"/>
      <c r="N1621" s="477"/>
      <c r="O1621" s="477"/>
    </row>
    <row r="1622" spans="9:16">
      <c r="L1622" s="477"/>
      <c r="M1622" s="477"/>
      <c r="N1622" s="477"/>
      <c r="O1622" s="477"/>
    </row>
    <row r="1623" spans="9:16">
      <c r="L1623" s="477"/>
      <c r="M1623" s="477"/>
      <c r="N1623" s="477"/>
      <c r="O1623" s="477"/>
    </row>
    <row r="1624" spans="9:16">
      <c r="L1624" s="477"/>
      <c r="M1624" s="477"/>
      <c r="N1624" s="477"/>
      <c r="O1624" s="477"/>
    </row>
    <row r="1625" spans="9:16" ht="18">
      <c r="I1625" s="26"/>
      <c r="J1625" s="26"/>
      <c r="K1625" s="26"/>
      <c r="L1625" s="644" t="s">
        <v>2147</v>
      </c>
      <c r="M1625" s="644"/>
      <c r="N1625" s="644"/>
      <c r="O1625" s="644"/>
      <c r="P1625" s="145"/>
    </row>
    <row r="1626" spans="9:16">
      <c r="I1626" s="617" t="s">
        <v>2909</v>
      </c>
      <c r="J1626" s="617"/>
      <c r="K1626" s="617"/>
      <c r="L1626" s="617"/>
      <c r="M1626" s="617"/>
      <c r="N1626" s="617"/>
      <c r="O1626" s="617"/>
      <c r="P1626" s="617"/>
    </row>
    <row r="1629" spans="9:16" ht="49.5" customHeight="1">
      <c r="I1629" s="618" t="s">
        <v>1</v>
      </c>
      <c r="J1629" s="618"/>
      <c r="K1629" s="618"/>
      <c r="L1629" s="618"/>
      <c r="M1629" s="618"/>
      <c r="N1629" s="618"/>
      <c r="O1629" s="618"/>
      <c r="P1629" s="618"/>
    </row>
    <row r="1632" spans="9:16" ht="17.25">
      <c r="I1632" s="375"/>
      <c r="J1632" s="503" t="s">
        <v>710</v>
      </c>
    </row>
    <row r="1633" spans="1:16" ht="17.25" thickBot="1">
      <c r="I1633" s="30"/>
      <c r="O1633" s="141"/>
    </row>
    <row r="1634" spans="1:16">
      <c r="J1634" s="30"/>
      <c r="N1634" s="143"/>
      <c r="P1634" s="144"/>
    </row>
    <row r="1635" spans="1:16">
      <c r="N1635" s="619" t="s">
        <v>1659</v>
      </c>
      <c r="O1635" s="620"/>
      <c r="P1635" s="621"/>
    </row>
    <row r="1636" spans="1:16">
      <c r="I1636" s="12" t="s">
        <v>114</v>
      </c>
      <c r="L1636" s="249" t="s">
        <v>2</v>
      </c>
      <c r="N1636" s="605" t="s">
        <v>1682</v>
      </c>
      <c r="O1636" s="605"/>
      <c r="P1636" s="649"/>
    </row>
    <row r="1637" spans="1:16">
      <c r="N1637" s="601" t="s">
        <v>904</v>
      </c>
      <c r="O1637" s="602"/>
      <c r="P1637" s="603"/>
    </row>
    <row r="1638" spans="1:16" ht="17.25" thickBot="1">
      <c r="N1638" s="140"/>
      <c r="O1638" s="141"/>
      <c r="P1638" s="142"/>
    </row>
    <row r="1640" spans="1:16">
      <c r="I1640" s="250" t="s">
        <v>27</v>
      </c>
      <c r="J1640" s="394" t="s">
        <v>148</v>
      </c>
    </row>
    <row r="1641" spans="1:16" ht="17.25" thickBot="1"/>
    <row r="1642" spans="1:16" ht="17.25" thickBot="1">
      <c r="I1642" s="13" t="s">
        <v>112</v>
      </c>
      <c r="J1642" s="624" t="s">
        <v>4</v>
      </c>
      <c r="K1642" s="625"/>
      <c r="L1642" s="625"/>
      <c r="M1642" s="625"/>
      <c r="N1642" s="625"/>
      <c r="O1642" s="626"/>
      <c r="P1642" s="20" t="s">
        <v>5</v>
      </c>
    </row>
    <row r="1643" spans="1:16">
      <c r="I1643" s="633" t="s">
        <v>2908</v>
      </c>
      <c r="J1643" s="143"/>
      <c r="K1643" s="159"/>
      <c r="L1643" s="159"/>
      <c r="M1643" s="159"/>
      <c r="N1643" s="159"/>
      <c r="O1643" s="144"/>
      <c r="P1643" s="291"/>
    </row>
    <row r="1644" spans="1:16">
      <c r="I1644" s="634"/>
      <c r="J1644" s="64"/>
      <c r="O1644" s="65"/>
      <c r="P1644" s="291"/>
    </row>
    <row r="1645" spans="1:16">
      <c r="I1645" s="634"/>
      <c r="J1645" s="630" t="s">
        <v>286</v>
      </c>
      <c r="K1645" s="631"/>
      <c r="L1645" s="631"/>
      <c r="M1645" s="631"/>
      <c r="N1645" s="631"/>
      <c r="O1645" s="632"/>
      <c r="P1645" s="291"/>
    </row>
    <row r="1646" spans="1:16">
      <c r="I1646" s="634"/>
      <c r="J1646" s="636" t="s">
        <v>2907</v>
      </c>
      <c r="K1646" s="637"/>
      <c r="L1646" s="637"/>
      <c r="M1646" s="637"/>
      <c r="N1646" s="637"/>
      <c r="O1646" s="638"/>
      <c r="P1646" s="148">
        <v>3600000</v>
      </c>
    </row>
    <row r="1647" spans="1:16">
      <c r="I1647" s="634"/>
      <c r="J1647" s="64"/>
      <c r="K1647" s="604"/>
      <c r="L1647" s="604"/>
      <c r="M1647" s="604"/>
      <c r="O1647" s="65"/>
      <c r="P1647" s="291"/>
    </row>
    <row r="1648" spans="1:16" ht="17.25" thickBot="1">
      <c r="A1648" s="414"/>
      <c r="B1648" s="414"/>
      <c r="C1648" s="414"/>
      <c r="D1648" s="414"/>
      <c r="E1648" s="414"/>
      <c r="F1648" s="414"/>
      <c r="G1648" s="414"/>
      <c r="H1648" s="414"/>
      <c r="I1648" s="635"/>
      <c r="J1648" s="140"/>
      <c r="K1648" s="141"/>
      <c r="L1648" s="141"/>
      <c r="M1648" s="141"/>
      <c r="N1648" s="141"/>
      <c r="O1648" s="142"/>
      <c r="P1648" s="291"/>
    </row>
    <row r="1649" spans="1:16" ht="17.25" thickBot="1">
      <c r="I1649" s="20" t="s">
        <v>12</v>
      </c>
      <c r="J1649" s="614" t="s">
        <v>13</v>
      </c>
      <c r="K1649" s="615"/>
      <c r="L1649" s="62" t="s">
        <v>14</v>
      </c>
      <c r="M1649" s="63"/>
      <c r="N1649" s="62" t="s">
        <v>15</v>
      </c>
      <c r="O1649" s="62" t="s">
        <v>16</v>
      </c>
      <c r="P1649" s="20" t="s">
        <v>17</v>
      </c>
    </row>
    <row r="1650" spans="1:16" ht="18" thickBot="1">
      <c r="I1650" s="22" t="s">
        <v>18</v>
      </c>
      <c r="J1650" s="606">
        <f>+P1646</f>
        <v>3600000</v>
      </c>
      <c r="K1650" s="607"/>
      <c r="L1650" s="23">
        <f>0</f>
        <v>0</v>
      </c>
      <c r="M1650" s="24"/>
      <c r="N1650" s="25">
        <f>0</f>
        <v>0</v>
      </c>
      <c r="O1650" s="36">
        <f>+J1650</f>
        <v>3600000</v>
      </c>
      <c r="P1650" s="38">
        <f>+P1646</f>
        <v>3600000</v>
      </c>
    </row>
    <row r="1651" spans="1:16" ht="18" thickBot="1">
      <c r="I1651" s="22" t="s">
        <v>113</v>
      </c>
      <c r="J1651" s="606">
        <f>+J1650/650.599</f>
        <v>5533.362332250741</v>
      </c>
      <c r="K1651" s="607"/>
      <c r="L1651" s="23">
        <f>0</f>
        <v>0</v>
      </c>
      <c r="M1651" s="24"/>
      <c r="N1651" s="25">
        <f>0</f>
        <v>0</v>
      </c>
      <c r="O1651" s="36">
        <f>+J1651</f>
        <v>5533.362332250741</v>
      </c>
      <c r="P1651" s="38">
        <f>+O1651</f>
        <v>5533.362332250741</v>
      </c>
    </row>
    <row r="1653" spans="1:16">
      <c r="I1653" s="412" t="s">
        <v>1268</v>
      </c>
      <c r="J1653" s="26"/>
      <c r="K1653" s="26"/>
      <c r="L1653" s="26"/>
      <c r="M1653" s="26"/>
      <c r="N1653" s="26"/>
      <c r="O1653" s="26"/>
    </row>
    <row r="1654" spans="1:16" s="414" customFormat="1">
      <c r="A1654" s="12"/>
      <c r="B1654" s="12"/>
      <c r="C1654" s="12"/>
      <c r="D1654" s="12"/>
      <c r="E1654" s="12"/>
      <c r="F1654" s="12"/>
      <c r="G1654" s="12"/>
      <c r="H1654" s="12"/>
      <c r="I1654" s="413" t="s">
        <v>2020</v>
      </c>
      <c r="J1654" s="410"/>
      <c r="K1654" s="410"/>
      <c r="L1654" s="410"/>
      <c r="M1654" s="410"/>
      <c r="N1654" s="410"/>
      <c r="O1654" s="410"/>
    </row>
    <row r="1655" spans="1:16">
      <c r="I1655" s="82" t="s">
        <v>19</v>
      </c>
      <c r="J1655" s="26"/>
      <c r="K1655" s="26"/>
      <c r="L1655" s="26"/>
      <c r="M1655" s="26"/>
      <c r="N1655" s="26"/>
      <c r="O1655" s="26"/>
    </row>
    <row r="1656" spans="1:16">
      <c r="I1656" s="26" t="s">
        <v>965</v>
      </c>
      <c r="J1656" s="26"/>
      <c r="K1656" s="26"/>
      <c r="L1656" s="26"/>
      <c r="M1656" s="26"/>
      <c r="N1656" s="26"/>
      <c r="O1656" s="26"/>
    </row>
    <row r="1657" spans="1:16">
      <c r="I1657" s="26" t="s">
        <v>21</v>
      </c>
      <c r="J1657" s="26"/>
      <c r="K1657" s="26"/>
      <c r="L1657" s="26"/>
      <c r="M1657" s="26"/>
      <c r="N1657" s="26"/>
      <c r="O1657" s="26"/>
    </row>
    <row r="1658" spans="1:16">
      <c r="I1658" s="26" t="s">
        <v>1229</v>
      </c>
      <c r="J1658" s="26"/>
      <c r="K1658" s="26"/>
      <c r="L1658" s="26"/>
      <c r="M1658" s="26"/>
      <c r="N1658" s="26"/>
      <c r="O1658" s="26"/>
    </row>
    <row r="1661" spans="1:16">
      <c r="L1661" s="30" t="s">
        <v>24</v>
      </c>
      <c r="N1661" s="30"/>
      <c r="O1661" s="30"/>
    </row>
    <row r="1662" spans="1:16">
      <c r="L1662" s="30" t="s">
        <v>149</v>
      </c>
      <c r="N1662" s="30"/>
      <c r="O1662" s="30"/>
    </row>
    <row r="1663" spans="1:16">
      <c r="L1663" s="605" t="s">
        <v>150</v>
      </c>
      <c r="M1663" s="605"/>
      <c r="N1663" s="605"/>
      <c r="O1663" s="605"/>
    </row>
    <row r="1664" spans="1:16">
      <c r="L1664" s="30"/>
    </row>
    <row r="1665" spans="9:16">
      <c r="M1665" s="26"/>
      <c r="N1665" s="26"/>
      <c r="O1665" s="26"/>
    </row>
    <row r="1666" spans="9:16" ht="18">
      <c r="L1666" s="145"/>
      <c r="M1666" s="145"/>
      <c r="N1666" s="145"/>
      <c r="O1666" s="145"/>
    </row>
    <row r="1667" spans="9:16" ht="14.25" customHeight="1">
      <c r="L1667" s="145"/>
      <c r="M1667" s="145"/>
      <c r="N1667" s="145"/>
      <c r="O1667" s="145"/>
    </row>
    <row r="1668" spans="9:16" ht="18">
      <c r="I1668" s="26"/>
      <c r="J1668" s="26"/>
      <c r="K1668" s="26"/>
      <c r="L1668" s="644"/>
      <c r="M1668" s="644"/>
      <c r="N1668" s="644"/>
      <c r="O1668" s="644"/>
      <c r="P1668" s="145"/>
    </row>
    <row r="1669" spans="9:16">
      <c r="I1669" s="617" t="s">
        <v>2911</v>
      </c>
      <c r="J1669" s="617"/>
      <c r="K1669" s="617"/>
      <c r="L1669" s="617"/>
      <c r="M1669" s="617"/>
      <c r="N1669" s="617"/>
      <c r="O1669" s="617"/>
      <c r="P1669" s="617"/>
    </row>
    <row r="1670" spans="9:16">
      <c r="I1670" s="474"/>
      <c r="J1670" s="474"/>
      <c r="K1670" s="474"/>
      <c r="L1670" s="474"/>
      <c r="M1670" s="474"/>
      <c r="N1670" s="474"/>
      <c r="O1670" s="474"/>
      <c r="P1670" s="474"/>
    </row>
    <row r="1671" spans="9:16">
      <c r="I1671" s="474"/>
      <c r="J1671" s="474"/>
      <c r="K1671" s="474"/>
      <c r="L1671" s="474"/>
      <c r="M1671" s="474"/>
      <c r="N1671" s="474"/>
      <c r="O1671" s="474"/>
      <c r="P1671" s="474"/>
    </row>
    <row r="1672" spans="9:16" ht="52.5" customHeight="1">
      <c r="I1672" s="665" t="s">
        <v>1</v>
      </c>
      <c r="J1672" s="665"/>
      <c r="K1672" s="665"/>
      <c r="L1672" s="665"/>
      <c r="M1672" s="665"/>
      <c r="N1672" s="665"/>
      <c r="O1672" s="665"/>
      <c r="P1672" s="665"/>
    </row>
    <row r="1675" spans="9:16" ht="17.25">
      <c r="I1675" s="375"/>
      <c r="J1675" s="503" t="s">
        <v>711</v>
      </c>
    </row>
    <row r="1676" spans="9:16" ht="17.25" thickBot="1">
      <c r="I1676" s="30"/>
      <c r="O1676" s="141"/>
    </row>
    <row r="1677" spans="9:16">
      <c r="J1677" s="30"/>
      <c r="N1677" s="143"/>
      <c r="P1677" s="144"/>
    </row>
    <row r="1678" spans="9:16" ht="17.25">
      <c r="N1678" s="667" t="s">
        <v>2910</v>
      </c>
      <c r="O1678" s="668"/>
      <c r="P1678" s="669"/>
    </row>
    <row r="1679" spans="9:16">
      <c r="I1679" s="12" t="s">
        <v>114</v>
      </c>
      <c r="L1679" s="249" t="s">
        <v>2</v>
      </c>
      <c r="N1679" s="605"/>
      <c r="O1679" s="605"/>
      <c r="P1679" s="649"/>
    </row>
    <row r="1680" spans="9:16">
      <c r="N1680" s="601" t="s">
        <v>904</v>
      </c>
      <c r="O1680" s="602"/>
      <c r="P1680" s="603"/>
    </row>
    <row r="1681" spans="9:16" ht="17.25" thickBot="1">
      <c r="N1681" s="140"/>
      <c r="O1681" s="141"/>
      <c r="P1681" s="142"/>
    </row>
    <row r="1683" spans="9:16">
      <c r="I1683" s="249" t="s">
        <v>27</v>
      </c>
      <c r="J1683" s="394" t="s">
        <v>148</v>
      </c>
    </row>
    <row r="1684" spans="9:16" ht="17.25" thickBot="1"/>
    <row r="1685" spans="9:16" ht="17.25" thickBot="1">
      <c r="I1685" s="13" t="s">
        <v>112</v>
      </c>
      <c r="J1685" s="624" t="s">
        <v>4</v>
      </c>
      <c r="K1685" s="625"/>
      <c r="L1685" s="625"/>
      <c r="M1685" s="625"/>
      <c r="N1685" s="625"/>
      <c r="O1685" s="626"/>
      <c r="P1685" s="20" t="s">
        <v>5</v>
      </c>
    </row>
    <row r="1686" spans="9:16">
      <c r="I1686" s="689" t="s">
        <v>2882</v>
      </c>
      <c r="J1686" s="143"/>
      <c r="K1686" s="159"/>
      <c r="L1686" s="159"/>
      <c r="M1686" s="159"/>
      <c r="N1686" s="159"/>
      <c r="O1686" s="144"/>
      <c r="P1686" s="291"/>
    </row>
    <row r="1687" spans="9:16">
      <c r="I1687" s="690"/>
      <c r="J1687" s="64"/>
      <c r="O1687" s="65"/>
      <c r="P1687" s="291"/>
    </row>
    <row r="1688" spans="9:16">
      <c r="I1688" s="690"/>
      <c r="J1688" s="630" t="s">
        <v>286</v>
      </c>
      <c r="K1688" s="631"/>
      <c r="L1688" s="631"/>
      <c r="M1688" s="631"/>
      <c r="N1688" s="631"/>
      <c r="O1688" s="632"/>
      <c r="P1688" s="291"/>
    </row>
    <row r="1689" spans="9:16">
      <c r="I1689" s="690"/>
      <c r="J1689" s="636" t="s">
        <v>2915</v>
      </c>
      <c r="K1689" s="637"/>
      <c r="L1689" s="637"/>
      <c r="M1689" s="637"/>
      <c r="N1689" s="637"/>
      <c r="O1689" s="638"/>
      <c r="P1689" s="548">
        <v>2000000</v>
      </c>
    </row>
    <row r="1690" spans="9:16">
      <c r="I1690" s="690"/>
      <c r="J1690" s="64"/>
      <c r="K1690" s="604"/>
      <c r="L1690" s="604"/>
      <c r="M1690" s="604"/>
      <c r="O1690" s="65"/>
      <c r="P1690" s="291"/>
    </row>
    <row r="1691" spans="9:16" ht="17.25" thickBot="1">
      <c r="I1691" s="691"/>
      <c r="J1691" s="140"/>
      <c r="K1691" s="141"/>
      <c r="L1691" s="141"/>
      <c r="M1691" s="141"/>
      <c r="N1691" s="141"/>
      <c r="O1691" s="142"/>
      <c r="P1691" s="291"/>
    </row>
    <row r="1692" spans="9:16" ht="17.25" thickBot="1">
      <c r="I1692" s="20" t="s">
        <v>12</v>
      </c>
      <c r="J1692" s="614" t="s">
        <v>13</v>
      </c>
      <c r="K1692" s="615"/>
      <c r="L1692" s="62" t="s">
        <v>14</v>
      </c>
      <c r="M1692" s="63"/>
      <c r="N1692" s="62" t="s">
        <v>15</v>
      </c>
      <c r="O1692" s="62" t="s">
        <v>16</v>
      </c>
      <c r="P1692" s="20" t="s">
        <v>17</v>
      </c>
    </row>
    <row r="1693" spans="9:16" ht="18" thickBot="1">
      <c r="I1693" s="22" t="s">
        <v>18</v>
      </c>
      <c r="J1693" s="606">
        <f>+P1689</f>
        <v>2000000</v>
      </c>
      <c r="K1693" s="607"/>
      <c r="L1693" s="23">
        <f>0</f>
        <v>0</v>
      </c>
      <c r="M1693" s="24"/>
      <c r="N1693" s="25">
        <f>0</f>
        <v>0</v>
      </c>
      <c r="O1693" s="36">
        <f>+J1693</f>
        <v>2000000</v>
      </c>
      <c r="P1693" s="557">
        <f>+P1689</f>
        <v>2000000</v>
      </c>
    </row>
    <row r="1694" spans="9:16" ht="18" thickBot="1">
      <c r="I1694" s="22" t="s">
        <v>113</v>
      </c>
      <c r="J1694" s="606">
        <f>+J1693/650.599</f>
        <v>3074.0901845837448</v>
      </c>
      <c r="K1694" s="607"/>
      <c r="L1694" s="23">
        <f>0</f>
        <v>0</v>
      </c>
      <c r="M1694" s="24"/>
      <c r="N1694" s="25">
        <f>0</f>
        <v>0</v>
      </c>
      <c r="O1694" s="36">
        <f>+J1694</f>
        <v>3074.0901845837448</v>
      </c>
      <c r="P1694" s="38">
        <f>+O1694</f>
        <v>3074.0901845837448</v>
      </c>
    </row>
    <row r="1696" spans="9:16">
      <c r="I1696" s="412" t="s">
        <v>1268</v>
      </c>
      <c r="J1696" s="26"/>
      <c r="K1696" s="26"/>
      <c r="L1696" s="26"/>
      <c r="M1696" s="26"/>
      <c r="N1696" s="26"/>
      <c r="O1696" s="26"/>
    </row>
    <row r="1697" spans="9:16">
      <c r="I1697" s="408" t="s">
        <v>2912</v>
      </c>
      <c r="J1697" s="26"/>
      <c r="K1697" s="26"/>
      <c r="L1697" s="26"/>
      <c r="M1697" s="26"/>
      <c r="N1697" s="26"/>
      <c r="O1697" s="26"/>
    </row>
    <row r="1698" spans="9:16">
      <c r="I1698" s="82" t="s">
        <v>19</v>
      </c>
      <c r="J1698" s="26"/>
      <c r="K1698" s="26"/>
      <c r="L1698" s="26"/>
      <c r="M1698" s="26"/>
      <c r="N1698" s="26"/>
      <c r="O1698" s="26"/>
    </row>
    <row r="1699" spans="9:16">
      <c r="I1699" s="26" t="s">
        <v>965</v>
      </c>
      <c r="J1699" s="26"/>
      <c r="K1699" s="26"/>
      <c r="L1699" s="26"/>
      <c r="M1699" s="26"/>
      <c r="N1699" s="26"/>
      <c r="O1699" s="26"/>
    </row>
    <row r="1700" spans="9:16">
      <c r="I1700" s="26" t="s">
        <v>21</v>
      </c>
      <c r="J1700" s="26"/>
      <c r="K1700" s="26"/>
      <c r="L1700" s="26"/>
      <c r="M1700" s="26"/>
      <c r="N1700" s="26"/>
      <c r="O1700" s="26"/>
    </row>
    <row r="1701" spans="9:16">
      <c r="I1701" s="26" t="s">
        <v>1229</v>
      </c>
      <c r="J1701" s="26"/>
      <c r="K1701" s="26"/>
      <c r="L1701" s="26"/>
      <c r="M1701" s="26"/>
      <c r="N1701" s="26"/>
      <c r="O1701" s="26"/>
    </row>
    <row r="1702" spans="9:16">
      <c r="I1702" s="26"/>
      <c r="J1702" s="26"/>
      <c r="K1702" s="26"/>
      <c r="L1702" s="26"/>
      <c r="M1702" s="26"/>
      <c r="N1702" s="26"/>
      <c r="O1702" s="26"/>
    </row>
    <row r="1704" spans="9:16">
      <c r="L1704" s="30" t="s">
        <v>24</v>
      </c>
      <c r="N1704" s="30"/>
      <c r="O1704" s="30"/>
    </row>
    <row r="1705" spans="9:16">
      <c r="L1705" s="30" t="s">
        <v>149</v>
      </c>
      <c r="N1705" s="30"/>
      <c r="O1705" s="30"/>
    </row>
    <row r="1706" spans="9:16">
      <c r="L1706" s="605" t="s">
        <v>150</v>
      </c>
      <c r="M1706" s="605"/>
      <c r="N1706" s="605"/>
      <c r="O1706" s="605"/>
    </row>
    <row r="1707" spans="9:16">
      <c r="L1707" s="477"/>
      <c r="M1707" s="477"/>
      <c r="N1707" s="477"/>
      <c r="O1707" s="477"/>
    </row>
    <row r="1708" spans="9:16">
      <c r="L1708" s="477"/>
      <c r="M1708" s="477"/>
      <c r="N1708" s="477"/>
      <c r="O1708" s="477"/>
    </row>
    <row r="1709" spans="9:16">
      <c r="L1709" s="666"/>
      <c r="M1709" s="666"/>
      <c r="N1709" s="666"/>
      <c r="O1709" s="666"/>
    </row>
    <row r="1710" spans="9:16">
      <c r="L1710" s="349"/>
      <c r="M1710" s="349"/>
      <c r="N1710" s="349"/>
      <c r="O1710" s="349"/>
    </row>
    <row r="1711" spans="9:16">
      <c r="L1711" s="349"/>
      <c r="M1711" s="349"/>
      <c r="N1711" s="349"/>
      <c r="O1711" s="349"/>
    </row>
    <row r="1712" spans="9:16">
      <c r="I1712" s="617" t="s">
        <v>2748</v>
      </c>
      <c r="J1712" s="617"/>
      <c r="K1712" s="617"/>
      <c r="L1712" s="617"/>
      <c r="M1712" s="617"/>
      <c r="N1712" s="617"/>
      <c r="O1712" s="617"/>
      <c r="P1712" s="617"/>
    </row>
    <row r="1715" spans="9:16" ht="49.5" customHeight="1">
      <c r="I1715" s="642" t="s">
        <v>1</v>
      </c>
      <c r="J1715" s="642"/>
      <c r="K1715" s="642"/>
      <c r="L1715" s="642"/>
      <c r="M1715" s="642"/>
      <c r="N1715" s="642"/>
      <c r="O1715" s="642"/>
      <c r="P1715" s="642"/>
    </row>
    <row r="1718" spans="9:16" ht="17.25">
      <c r="J1718" s="503" t="s">
        <v>2742</v>
      </c>
    </row>
    <row r="1719" spans="9:16" ht="17.25" thickBot="1">
      <c r="I1719" s="30"/>
      <c r="O1719" s="141"/>
    </row>
    <row r="1720" spans="9:16">
      <c r="J1720" s="30"/>
      <c r="N1720" s="143"/>
      <c r="P1720" s="144"/>
    </row>
    <row r="1721" spans="9:16">
      <c r="N1721" s="647" t="s">
        <v>1885</v>
      </c>
      <c r="O1721" s="610"/>
      <c r="P1721" s="648"/>
    </row>
    <row r="1722" spans="9:16">
      <c r="I1722" s="186" t="s">
        <v>114</v>
      </c>
      <c r="L1722" s="30" t="s">
        <v>2</v>
      </c>
      <c r="N1722" s="605" t="s">
        <v>760</v>
      </c>
      <c r="O1722" s="605"/>
      <c r="P1722" s="649"/>
    </row>
    <row r="1723" spans="9:16">
      <c r="N1723" s="601" t="s">
        <v>163</v>
      </c>
      <c r="O1723" s="602"/>
      <c r="P1723" s="603"/>
    </row>
    <row r="1724" spans="9:16" ht="17.25" thickBot="1">
      <c r="N1724" s="140"/>
      <c r="O1724" s="141"/>
      <c r="P1724" s="142"/>
    </row>
    <row r="1726" spans="9:16">
      <c r="I1726" s="30" t="s">
        <v>27</v>
      </c>
      <c r="J1726" s="12" t="s">
        <v>36</v>
      </c>
    </row>
    <row r="1727" spans="9:16" ht="17.25" thickBot="1"/>
    <row r="1728" spans="9:16" ht="17.25" thickBot="1">
      <c r="I1728" s="13" t="s">
        <v>112</v>
      </c>
      <c r="J1728" s="624" t="s">
        <v>4</v>
      </c>
      <c r="K1728" s="625"/>
      <c r="L1728" s="625"/>
      <c r="M1728" s="625"/>
      <c r="N1728" s="625"/>
      <c r="O1728" s="626"/>
      <c r="P1728" s="20" t="s">
        <v>5</v>
      </c>
    </row>
    <row r="1729" spans="9:16">
      <c r="I1729" s="627" t="s">
        <v>2445</v>
      </c>
      <c r="J1729" s="143"/>
      <c r="K1729" s="159"/>
      <c r="L1729" s="159"/>
      <c r="M1729" s="159"/>
      <c r="N1729" s="159"/>
      <c r="O1729" s="144"/>
      <c r="P1729" s="291"/>
    </row>
    <row r="1730" spans="9:16">
      <c r="I1730" s="628"/>
      <c r="J1730" s="64"/>
      <c r="O1730" s="65"/>
      <c r="P1730" s="291"/>
    </row>
    <row r="1731" spans="9:16">
      <c r="I1731" s="628"/>
      <c r="J1731" s="630" t="s">
        <v>286</v>
      </c>
      <c r="K1731" s="631"/>
      <c r="L1731" s="631"/>
      <c r="M1731" s="631"/>
      <c r="N1731" s="631"/>
      <c r="O1731" s="632"/>
      <c r="P1731" s="291"/>
    </row>
    <row r="1732" spans="9:16">
      <c r="I1732" s="628"/>
      <c r="J1732" s="636" t="s">
        <v>1886</v>
      </c>
      <c r="K1732" s="637"/>
      <c r="L1732" s="637"/>
      <c r="M1732" s="637"/>
      <c r="N1732" s="637"/>
      <c r="O1732" s="638"/>
      <c r="P1732" s="148">
        <v>5000000</v>
      </c>
    </row>
    <row r="1733" spans="9:16">
      <c r="I1733" s="628"/>
      <c r="J1733" s="64"/>
      <c r="K1733" s="604"/>
      <c r="L1733" s="604"/>
      <c r="M1733" s="604"/>
      <c r="O1733" s="65"/>
      <c r="P1733" s="291"/>
    </row>
    <row r="1734" spans="9:16" ht="17.25" thickBot="1">
      <c r="I1734" s="629"/>
      <c r="J1734" s="140"/>
      <c r="K1734" s="141"/>
      <c r="L1734" s="141"/>
      <c r="M1734" s="141"/>
      <c r="N1734" s="141"/>
      <c r="O1734" s="142"/>
      <c r="P1734" s="291"/>
    </row>
    <row r="1735" spans="9:16" ht="17.25" thickBot="1">
      <c r="I1735" s="20" t="s">
        <v>12</v>
      </c>
      <c r="J1735" s="614" t="s">
        <v>13</v>
      </c>
      <c r="K1735" s="615"/>
      <c r="L1735" s="62" t="s">
        <v>14</v>
      </c>
      <c r="M1735" s="63"/>
      <c r="N1735" s="62" t="s">
        <v>15</v>
      </c>
      <c r="O1735" s="62" t="s">
        <v>16</v>
      </c>
      <c r="P1735" s="20" t="s">
        <v>17</v>
      </c>
    </row>
    <row r="1736" spans="9:16" ht="18" thickBot="1">
      <c r="I1736" s="22" t="s">
        <v>18</v>
      </c>
      <c r="J1736" s="606">
        <f>+P1732</f>
        <v>5000000</v>
      </c>
      <c r="K1736" s="607"/>
      <c r="L1736" s="23">
        <f>0</f>
        <v>0</v>
      </c>
      <c r="M1736" s="24"/>
      <c r="N1736" s="25">
        <f>0</f>
        <v>0</v>
      </c>
      <c r="O1736" s="36">
        <f>+J1736</f>
        <v>5000000</v>
      </c>
      <c r="P1736" s="38">
        <f>+P1732</f>
        <v>5000000</v>
      </c>
    </row>
    <row r="1737" spans="9:16" ht="18" hidden="1" thickBot="1">
      <c r="I1737" s="22" t="s">
        <v>113</v>
      </c>
      <c r="J1737" s="606">
        <f>+J1736/650.599</f>
        <v>7685.2254614593621</v>
      </c>
      <c r="K1737" s="607"/>
      <c r="L1737" s="23">
        <f>0</f>
        <v>0</v>
      </c>
      <c r="M1737" s="24"/>
      <c r="N1737" s="25">
        <f>0</f>
        <v>0</v>
      </c>
      <c r="O1737" s="36">
        <f>+J1737</f>
        <v>7685.2254614593621</v>
      </c>
      <c r="P1737" s="38">
        <f>+O1737</f>
        <v>7685.2254614593621</v>
      </c>
    </row>
    <row r="1739" spans="9:16">
      <c r="I1739" s="412" t="s">
        <v>1268</v>
      </c>
      <c r="J1739" s="26"/>
      <c r="K1739" s="26"/>
      <c r="L1739" s="26"/>
      <c r="M1739" s="26"/>
      <c r="N1739" s="26"/>
      <c r="O1739" s="26"/>
    </row>
    <row r="1740" spans="9:16">
      <c r="I1740" s="413" t="s">
        <v>2022</v>
      </c>
      <c r="J1740" s="26"/>
      <c r="K1740" s="26"/>
      <c r="L1740" s="26"/>
      <c r="M1740" s="26"/>
      <c r="N1740" s="26"/>
      <c r="O1740" s="26"/>
    </row>
    <row r="1741" spans="9:16">
      <c r="I1741" s="82" t="s">
        <v>19</v>
      </c>
      <c r="J1741" s="26"/>
      <c r="K1741" s="26"/>
      <c r="L1741" s="26"/>
      <c r="M1741" s="26"/>
      <c r="N1741" s="26"/>
      <c r="O1741" s="26"/>
    </row>
    <row r="1742" spans="9:16">
      <c r="I1742" s="26" t="s">
        <v>965</v>
      </c>
      <c r="J1742" s="26"/>
      <c r="K1742" s="26"/>
      <c r="L1742" s="26"/>
      <c r="M1742" s="26"/>
      <c r="N1742" s="26"/>
      <c r="O1742" s="26"/>
    </row>
    <row r="1743" spans="9:16">
      <c r="I1743" s="26" t="s">
        <v>21</v>
      </c>
      <c r="J1743" s="26"/>
      <c r="K1743" s="26"/>
      <c r="L1743" s="26"/>
      <c r="M1743" s="26"/>
      <c r="N1743" s="26"/>
      <c r="O1743" s="26"/>
    </row>
    <row r="1744" spans="9:16">
      <c r="I1744" s="26" t="s">
        <v>1229</v>
      </c>
      <c r="J1744" s="26"/>
      <c r="K1744" s="26"/>
      <c r="L1744" s="26"/>
      <c r="M1744" s="26"/>
      <c r="N1744" s="26"/>
      <c r="O1744" s="26"/>
    </row>
    <row r="1745" spans="9:16">
      <c r="I1745" s="26"/>
      <c r="J1745" s="26"/>
      <c r="K1745" s="26"/>
      <c r="L1745" s="26"/>
      <c r="M1745" s="26"/>
      <c r="N1745" s="26"/>
      <c r="O1745" s="26"/>
    </row>
    <row r="1748" spans="9:16">
      <c r="L1748" s="30" t="s">
        <v>24</v>
      </c>
      <c r="N1748" s="30"/>
      <c r="O1748" s="30"/>
    </row>
    <row r="1749" spans="9:16">
      <c r="L1749" s="30" t="s">
        <v>149</v>
      </c>
      <c r="N1749" s="30"/>
      <c r="O1749" s="30"/>
    </row>
    <row r="1750" spans="9:16">
      <c r="L1750" s="605" t="s">
        <v>150</v>
      </c>
      <c r="M1750" s="605"/>
      <c r="N1750" s="605"/>
      <c r="O1750" s="605"/>
    </row>
    <row r="1751" spans="9:16">
      <c r="L1751" s="30"/>
    </row>
    <row r="1752" spans="9:16">
      <c r="M1752" s="26"/>
      <c r="N1752" s="26"/>
      <c r="O1752" s="26"/>
    </row>
    <row r="1753" spans="9:16" ht="18">
      <c r="L1753" s="145"/>
      <c r="M1753" s="145"/>
      <c r="N1753" s="145"/>
      <c r="O1753" s="145"/>
    </row>
    <row r="1754" spans="9:16" ht="18">
      <c r="I1754" s="26"/>
      <c r="J1754" s="26"/>
      <c r="K1754" s="26"/>
      <c r="L1754" s="666"/>
      <c r="M1754" s="666"/>
      <c r="N1754" s="666"/>
      <c r="O1754" s="666"/>
      <c r="P1754" s="145"/>
    </row>
    <row r="1755" spans="9:16" ht="18">
      <c r="I1755" s="26"/>
      <c r="J1755" s="26"/>
      <c r="K1755" s="26"/>
      <c r="L1755" s="349"/>
      <c r="M1755" s="349"/>
      <c r="N1755" s="349"/>
      <c r="O1755" s="349"/>
      <c r="P1755" s="145"/>
    </row>
    <row r="1756" spans="9:16" ht="18">
      <c r="I1756" s="26"/>
      <c r="J1756" s="26"/>
      <c r="K1756" s="26"/>
      <c r="L1756" s="349"/>
      <c r="M1756" s="349"/>
      <c r="N1756" s="349"/>
      <c r="O1756" s="349"/>
      <c r="P1756" s="145"/>
    </row>
    <row r="1757" spans="9:16" ht="18">
      <c r="I1757" s="26"/>
      <c r="J1757" s="26"/>
      <c r="K1757" s="26"/>
      <c r="L1757" s="26"/>
      <c r="M1757" s="373"/>
      <c r="N1757" s="373"/>
      <c r="O1757" s="373"/>
      <c r="P1757" s="145"/>
    </row>
    <row r="1758" spans="9:16" ht="20.25" customHeight="1">
      <c r="I1758" s="617" t="s">
        <v>2690</v>
      </c>
      <c r="J1758" s="617"/>
      <c r="K1758" s="617"/>
      <c r="L1758" s="617"/>
      <c r="M1758" s="617"/>
      <c r="N1758" s="617"/>
      <c r="O1758" s="617"/>
      <c r="P1758" s="617"/>
    </row>
    <row r="1761" spans="9:16" ht="49.5" customHeight="1">
      <c r="I1761" s="660" t="s">
        <v>1</v>
      </c>
      <c r="J1761" s="660"/>
      <c r="K1761" s="660"/>
      <c r="L1761" s="660"/>
      <c r="M1761" s="660"/>
      <c r="N1761" s="660"/>
      <c r="O1761" s="660"/>
      <c r="P1761" s="660"/>
    </row>
    <row r="1764" spans="9:16" ht="17.25">
      <c r="I1764" s="30"/>
      <c r="J1764" s="503" t="s">
        <v>2693</v>
      </c>
    </row>
    <row r="1765" spans="9:16" ht="17.25" thickBot="1">
      <c r="I1765" s="30"/>
      <c r="O1765" s="141"/>
    </row>
    <row r="1766" spans="9:16">
      <c r="J1766" s="30"/>
      <c r="N1766" s="143"/>
      <c r="P1766" s="144"/>
    </row>
    <row r="1767" spans="9:16">
      <c r="N1767" s="647" t="s">
        <v>889</v>
      </c>
      <c r="O1767" s="610"/>
      <c r="P1767" s="648"/>
    </row>
    <row r="1768" spans="9:16">
      <c r="I1768" s="12" t="s">
        <v>114</v>
      </c>
      <c r="L1768" s="249" t="s">
        <v>2</v>
      </c>
      <c r="N1768" s="605" t="s">
        <v>1429</v>
      </c>
      <c r="O1768" s="605"/>
      <c r="P1768" s="649"/>
    </row>
    <row r="1769" spans="9:16">
      <c r="N1769" s="601" t="s">
        <v>163</v>
      </c>
      <c r="O1769" s="602"/>
      <c r="P1769" s="603"/>
    </row>
    <row r="1770" spans="9:16" ht="17.25" thickBot="1">
      <c r="N1770" s="140"/>
      <c r="O1770" s="141"/>
      <c r="P1770" s="142"/>
    </row>
    <row r="1772" spans="9:16">
      <c r="I1772" s="250" t="s">
        <v>27</v>
      </c>
      <c r="J1772" s="394" t="s">
        <v>145</v>
      </c>
    </row>
    <row r="1773" spans="9:16" ht="17.25" thickBot="1"/>
    <row r="1774" spans="9:16" ht="17.25" thickBot="1">
      <c r="I1774" s="13" t="s">
        <v>112</v>
      </c>
      <c r="J1774" s="624" t="s">
        <v>4</v>
      </c>
      <c r="K1774" s="625"/>
      <c r="L1774" s="625"/>
      <c r="M1774" s="625"/>
      <c r="N1774" s="625"/>
      <c r="O1774" s="626"/>
      <c r="P1774" s="20" t="s">
        <v>5</v>
      </c>
    </row>
    <row r="1775" spans="9:16" ht="15" customHeight="1">
      <c r="I1775" s="633" t="s">
        <v>2445</v>
      </c>
      <c r="J1775" s="143"/>
      <c r="K1775" s="159"/>
      <c r="L1775" s="159"/>
      <c r="M1775" s="159"/>
      <c r="N1775" s="159"/>
      <c r="O1775" s="144"/>
      <c r="P1775" s="291"/>
    </row>
    <row r="1776" spans="9:16">
      <c r="I1776" s="634"/>
      <c r="J1776" s="64"/>
      <c r="O1776" s="65"/>
      <c r="P1776" s="291"/>
    </row>
    <row r="1777" spans="9:16">
      <c r="I1777" s="634"/>
      <c r="J1777" s="66"/>
      <c r="K1777" s="367"/>
      <c r="L1777" s="367" t="s">
        <v>286</v>
      </c>
      <c r="M1777" s="367"/>
      <c r="N1777" s="367"/>
      <c r="O1777" s="67"/>
      <c r="P1777" s="291"/>
    </row>
    <row r="1778" spans="9:16">
      <c r="I1778" s="634"/>
      <c r="J1778" s="385"/>
      <c r="K1778" s="187"/>
      <c r="L1778" s="147" t="s">
        <v>1762</v>
      </c>
      <c r="M1778" s="187"/>
      <c r="N1778" s="187"/>
      <c r="O1778" s="132"/>
      <c r="P1778" s="148">
        <v>1950000</v>
      </c>
    </row>
    <row r="1779" spans="9:16" ht="15" customHeight="1">
      <c r="I1779" s="634"/>
      <c r="J1779" s="64"/>
      <c r="K1779" s="604"/>
      <c r="L1779" s="604"/>
      <c r="M1779" s="604"/>
      <c r="O1779" s="65"/>
      <c r="P1779" s="291"/>
    </row>
    <row r="1780" spans="9:16" ht="15.75" customHeight="1" thickBot="1">
      <c r="I1780" s="635"/>
      <c r="J1780" s="140"/>
      <c r="K1780" s="141"/>
      <c r="L1780" s="141"/>
      <c r="M1780" s="141"/>
      <c r="N1780" s="141"/>
      <c r="O1780" s="142"/>
      <c r="P1780" s="291"/>
    </row>
    <row r="1781" spans="9:16" ht="17.25" thickBot="1">
      <c r="I1781" s="20" t="s">
        <v>12</v>
      </c>
      <c r="J1781" s="614" t="s">
        <v>13</v>
      </c>
      <c r="K1781" s="615"/>
      <c r="L1781" s="62" t="s">
        <v>14</v>
      </c>
      <c r="M1781" s="63"/>
      <c r="N1781" s="62" t="s">
        <v>15</v>
      </c>
      <c r="O1781" s="62" t="s">
        <v>16</v>
      </c>
      <c r="P1781" s="20" t="s">
        <v>17</v>
      </c>
    </row>
    <row r="1782" spans="9:16" ht="18" thickBot="1">
      <c r="I1782" s="22" t="s">
        <v>18</v>
      </c>
      <c r="J1782" s="606">
        <f>+P1778</f>
        <v>1950000</v>
      </c>
      <c r="K1782" s="607"/>
      <c r="L1782" s="23">
        <f>0</f>
        <v>0</v>
      </c>
      <c r="M1782" s="24"/>
      <c r="N1782" s="25">
        <f>0</f>
        <v>0</v>
      </c>
      <c r="O1782" s="36">
        <f>+J1782</f>
        <v>1950000</v>
      </c>
      <c r="P1782" s="38">
        <f>+P1778</f>
        <v>1950000</v>
      </c>
    </row>
    <row r="1783" spans="9:16" ht="18" hidden="1" thickBot="1">
      <c r="I1783" s="22" t="s">
        <v>113</v>
      </c>
      <c r="J1783" s="606">
        <f>+J1782/650.599</f>
        <v>2997.2379299691511</v>
      </c>
      <c r="K1783" s="607"/>
      <c r="L1783" s="23">
        <f>0</f>
        <v>0</v>
      </c>
      <c r="M1783" s="24"/>
      <c r="N1783" s="25">
        <f>0</f>
        <v>0</v>
      </c>
      <c r="O1783" s="36">
        <f>+J1783</f>
        <v>2997.2379299691511</v>
      </c>
      <c r="P1783" s="38">
        <f>+O1783</f>
        <v>2997.2379299691511</v>
      </c>
    </row>
    <row r="1785" spans="9:16">
      <c r="I1785" s="410" t="s">
        <v>1268</v>
      </c>
      <c r="J1785" s="26"/>
      <c r="K1785" s="26"/>
      <c r="L1785" s="26"/>
      <c r="M1785" s="26"/>
      <c r="N1785" s="26"/>
      <c r="O1785" s="26"/>
    </row>
    <row r="1786" spans="9:16">
      <c r="I1786" s="413" t="s">
        <v>2041</v>
      </c>
      <c r="J1786" s="26"/>
      <c r="K1786" s="26"/>
      <c r="L1786" s="26"/>
      <c r="M1786" s="26"/>
      <c r="N1786" s="26"/>
      <c r="O1786" s="26"/>
    </row>
    <row r="1787" spans="9:16">
      <c r="I1787" s="82" t="s">
        <v>19</v>
      </c>
      <c r="J1787" s="26"/>
      <c r="K1787" s="26"/>
      <c r="L1787" s="26"/>
      <c r="M1787" s="26"/>
      <c r="N1787" s="26"/>
      <c r="O1787" s="26"/>
    </row>
    <row r="1788" spans="9:16">
      <c r="I1788" s="26" t="s">
        <v>965</v>
      </c>
      <c r="J1788" s="26"/>
      <c r="K1788" s="26"/>
      <c r="L1788" s="26"/>
      <c r="M1788" s="26"/>
      <c r="N1788" s="26"/>
      <c r="O1788" s="26"/>
    </row>
    <row r="1789" spans="9:16">
      <c r="I1789" s="26" t="s">
        <v>21</v>
      </c>
      <c r="J1789" s="26"/>
      <c r="K1789" s="26"/>
      <c r="L1789" s="26"/>
      <c r="M1789" s="26"/>
      <c r="N1789" s="26"/>
      <c r="O1789" s="26"/>
    </row>
    <row r="1790" spans="9:16">
      <c r="I1790" s="26" t="s">
        <v>1229</v>
      </c>
      <c r="J1790" s="26"/>
      <c r="K1790" s="26"/>
      <c r="L1790" s="26"/>
      <c r="M1790" s="26"/>
      <c r="N1790" s="26"/>
      <c r="O1790" s="26"/>
    </row>
    <row r="1793" spans="9:16">
      <c r="L1793" s="30" t="s">
        <v>24</v>
      </c>
      <c r="N1793" s="30"/>
      <c r="O1793" s="30"/>
    </row>
    <row r="1794" spans="9:16">
      <c r="L1794" s="30" t="s">
        <v>149</v>
      </c>
      <c r="N1794" s="30"/>
      <c r="O1794" s="30"/>
    </row>
    <row r="1795" spans="9:16">
      <c r="L1795" s="605" t="s">
        <v>150</v>
      </c>
      <c r="M1795" s="605"/>
      <c r="N1795" s="605"/>
      <c r="O1795" s="605"/>
    </row>
    <row r="1796" spans="9:16" ht="18.75" customHeight="1">
      <c r="L1796" s="30"/>
    </row>
    <row r="1797" spans="9:16" ht="18.75" customHeight="1">
      <c r="L1797" s="30"/>
    </row>
    <row r="1798" spans="9:16">
      <c r="L1798" s="30"/>
    </row>
    <row r="1799" spans="9:16" ht="18.75" customHeight="1">
      <c r="I1799" s="617" t="s">
        <v>2523</v>
      </c>
      <c r="J1799" s="617"/>
      <c r="K1799" s="617"/>
      <c r="L1799" s="617"/>
      <c r="M1799" s="617"/>
      <c r="N1799" s="617"/>
      <c r="O1799" s="617"/>
      <c r="P1799" s="617"/>
    </row>
    <row r="1800" spans="9:16">
      <c r="I1800" s="474"/>
      <c r="J1800" s="474"/>
      <c r="K1800" s="474"/>
      <c r="L1800" s="474"/>
      <c r="M1800" s="474"/>
      <c r="N1800" s="474"/>
      <c r="O1800" s="474"/>
      <c r="P1800" s="474"/>
    </row>
    <row r="1802" spans="9:16" ht="49.5" customHeight="1">
      <c r="I1802" s="665" t="s">
        <v>1</v>
      </c>
      <c r="J1802" s="665"/>
      <c r="K1802" s="665"/>
      <c r="L1802" s="665"/>
      <c r="M1802" s="665"/>
      <c r="N1802" s="665"/>
      <c r="O1802" s="665"/>
      <c r="P1802" s="665"/>
    </row>
    <row r="1805" spans="9:16" ht="17.25">
      <c r="I1805" s="30"/>
      <c r="J1805" s="503" t="s">
        <v>712</v>
      </c>
    </row>
    <row r="1806" spans="9:16" ht="17.25" thickBot="1">
      <c r="I1806" s="30"/>
      <c r="O1806" s="141"/>
    </row>
    <row r="1807" spans="9:16">
      <c r="J1807" s="30"/>
      <c r="N1807" s="143"/>
      <c r="P1807" s="144"/>
    </row>
    <row r="1808" spans="9:16">
      <c r="N1808" s="647" t="s">
        <v>2900</v>
      </c>
      <c r="O1808" s="610"/>
      <c r="P1808" s="648"/>
    </row>
    <row r="1809" spans="9:16">
      <c r="I1809" s="12" t="s">
        <v>114</v>
      </c>
      <c r="L1809" s="30" t="s">
        <v>2</v>
      </c>
      <c r="N1809" s="605"/>
      <c r="O1809" s="605"/>
      <c r="P1809" s="649"/>
    </row>
    <row r="1810" spans="9:16">
      <c r="N1810" s="601" t="s">
        <v>163</v>
      </c>
      <c r="O1810" s="602"/>
      <c r="P1810" s="603"/>
    </row>
    <row r="1811" spans="9:16" ht="17.25" thickBot="1">
      <c r="N1811" s="140"/>
      <c r="O1811" s="141"/>
      <c r="P1811" s="142"/>
    </row>
    <row r="1813" spans="9:16">
      <c r="I1813" s="249" t="s">
        <v>27</v>
      </c>
      <c r="J1813" s="394" t="s">
        <v>148</v>
      </c>
    </row>
    <row r="1814" spans="9:16" ht="17.25" thickBot="1"/>
    <row r="1815" spans="9:16" ht="17.25" thickBot="1">
      <c r="I1815" s="363" t="s">
        <v>112</v>
      </c>
      <c r="J1815" s="672" t="s">
        <v>4</v>
      </c>
      <c r="K1815" s="673"/>
      <c r="L1815" s="673"/>
      <c r="M1815" s="673"/>
      <c r="N1815" s="673"/>
      <c r="O1815" s="674"/>
      <c r="P1815" s="20" t="s">
        <v>5</v>
      </c>
    </row>
    <row r="1816" spans="9:16" ht="15" customHeight="1">
      <c r="I1816" s="627" t="s">
        <v>2837</v>
      </c>
      <c r="J1816" s="143"/>
      <c r="K1816" s="159"/>
      <c r="L1816" s="159"/>
      <c r="M1816" s="159"/>
      <c r="N1816" s="159"/>
      <c r="O1816" s="144"/>
      <c r="P1816" s="291"/>
    </row>
    <row r="1817" spans="9:16">
      <c r="I1817" s="628"/>
      <c r="J1817" s="64"/>
      <c r="O1817" s="65"/>
      <c r="P1817" s="291"/>
    </row>
    <row r="1818" spans="9:16">
      <c r="I1818" s="628"/>
      <c r="J1818" s="630" t="s">
        <v>2916</v>
      </c>
      <c r="K1818" s="631"/>
      <c r="L1818" s="631"/>
      <c r="M1818" s="631"/>
      <c r="N1818" s="631"/>
      <c r="O1818" s="632"/>
      <c r="P1818" s="291"/>
    </row>
    <row r="1819" spans="9:16">
      <c r="I1819" s="628"/>
      <c r="J1819" s="636" t="s">
        <v>2913</v>
      </c>
      <c r="K1819" s="637"/>
      <c r="L1819" s="637"/>
      <c r="M1819" s="637"/>
      <c r="N1819" s="637"/>
      <c r="O1819" s="638"/>
      <c r="P1819" s="558">
        <v>1680000</v>
      </c>
    </row>
    <row r="1820" spans="9:16" ht="15" customHeight="1">
      <c r="I1820" s="628"/>
      <c r="J1820" s="670"/>
      <c r="K1820" s="604"/>
      <c r="L1820" s="604"/>
      <c r="M1820" s="604"/>
      <c r="N1820" s="604"/>
      <c r="O1820" s="671"/>
      <c r="P1820" s="291"/>
    </row>
    <row r="1821" spans="9:16" ht="15.75" customHeight="1" thickBot="1">
      <c r="I1821" s="629"/>
      <c r="J1821" s="140"/>
      <c r="K1821" s="141"/>
      <c r="L1821" s="141"/>
      <c r="M1821" s="141"/>
      <c r="N1821" s="141"/>
      <c r="O1821" s="142"/>
      <c r="P1821" s="291"/>
    </row>
    <row r="1822" spans="9:16" ht="17.25" thickBot="1">
      <c r="I1822" s="20" t="s">
        <v>12</v>
      </c>
      <c r="J1822" s="614" t="s">
        <v>13</v>
      </c>
      <c r="K1822" s="615"/>
      <c r="L1822" s="62" t="s">
        <v>14</v>
      </c>
      <c r="M1822" s="63"/>
      <c r="N1822" s="62" t="s">
        <v>15</v>
      </c>
      <c r="O1822" s="62" t="s">
        <v>16</v>
      </c>
      <c r="P1822" s="20" t="s">
        <v>17</v>
      </c>
    </row>
    <row r="1823" spans="9:16" ht="18" thickBot="1">
      <c r="I1823" s="22" t="s">
        <v>18</v>
      </c>
      <c r="J1823" s="606">
        <f>+P1819</f>
        <v>1680000</v>
      </c>
      <c r="K1823" s="607"/>
      <c r="L1823" s="23">
        <f>0</f>
        <v>0</v>
      </c>
      <c r="M1823" s="24"/>
      <c r="N1823" s="25">
        <f>0</f>
        <v>0</v>
      </c>
      <c r="O1823" s="36">
        <f>+J1823</f>
        <v>1680000</v>
      </c>
      <c r="P1823" s="557">
        <f>+P1819</f>
        <v>1680000</v>
      </c>
    </row>
    <row r="1824" spans="9:16" ht="18" hidden="1" thickBot="1">
      <c r="I1824" s="22" t="s">
        <v>113</v>
      </c>
      <c r="J1824" s="606">
        <f>+J1823/650.599</f>
        <v>2582.2357550503457</v>
      </c>
      <c r="K1824" s="607"/>
      <c r="L1824" s="23">
        <f>0</f>
        <v>0</v>
      </c>
      <c r="M1824" s="24"/>
      <c r="N1824" s="25">
        <f>0</f>
        <v>0</v>
      </c>
      <c r="O1824" s="36">
        <f>+J1824</f>
        <v>2582.2357550503457</v>
      </c>
      <c r="P1824" s="38">
        <f>+O1824</f>
        <v>2582.2357550503457</v>
      </c>
    </row>
    <row r="1826" spans="9:15">
      <c r="I1826" s="412" t="s">
        <v>1268</v>
      </c>
      <c r="J1826" s="26"/>
      <c r="K1826" s="26"/>
      <c r="L1826" s="26"/>
      <c r="M1826" s="26"/>
      <c r="N1826" s="26"/>
      <c r="O1826" s="26"/>
    </row>
    <row r="1827" spans="9:15">
      <c r="I1827" s="413" t="s">
        <v>2914</v>
      </c>
      <c r="J1827" s="26"/>
      <c r="K1827" s="26"/>
      <c r="L1827" s="26"/>
      <c r="M1827" s="26"/>
      <c r="N1827" s="26"/>
      <c r="O1827" s="26"/>
    </row>
    <row r="1828" spans="9:15">
      <c r="I1828" s="82" t="s">
        <v>19</v>
      </c>
      <c r="J1828" s="26"/>
      <c r="K1828" s="26"/>
      <c r="L1828" s="26"/>
      <c r="M1828" s="26"/>
      <c r="N1828" s="26"/>
      <c r="O1828" s="26"/>
    </row>
    <row r="1829" spans="9:15">
      <c r="I1829" s="26" t="s">
        <v>965</v>
      </c>
      <c r="J1829" s="26"/>
      <c r="K1829" s="26"/>
      <c r="L1829" s="26"/>
      <c r="M1829" s="26"/>
      <c r="N1829" s="26"/>
      <c r="O1829" s="26"/>
    </row>
    <row r="1830" spans="9:15">
      <c r="I1830" s="26" t="s">
        <v>21</v>
      </c>
      <c r="J1830" s="26"/>
      <c r="K1830" s="26"/>
      <c r="L1830" s="26"/>
      <c r="M1830" s="26"/>
      <c r="N1830" s="26"/>
      <c r="O1830" s="26"/>
    </row>
    <row r="1831" spans="9:15">
      <c r="I1831" s="26" t="s">
        <v>1229</v>
      </c>
      <c r="J1831" s="26"/>
      <c r="K1831" s="26"/>
      <c r="L1831" s="26"/>
      <c r="M1831" s="26"/>
      <c r="N1831" s="26"/>
      <c r="O1831" s="26"/>
    </row>
    <row r="1835" spans="9:15">
      <c r="L1835" s="30" t="s">
        <v>24</v>
      </c>
      <c r="N1835" s="30"/>
      <c r="O1835" s="30"/>
    </row>
    <row r="1836" spans="9:15">
      <c r="L1836" s="30" t="s">
        <v>149</v>
      </c>
      <c r="N1836" s="30"/>
      <c r="O1836" s="30"/>
    </row>
    <row r="1837" spans="9:15">
      <c r="L1837" s="605" t="s">
        <v>150</v>
      </c>
      <c r="M1837" s="605"/>
      <c r="N1837" s="605"/>
      <c r="O1837" s="605"/>
    </row>
    <row r="1839" spans="9:15">
      <c r="L1839" s="477"/>
      <c r="M1839" s="477"/>
      <c r="N1839" s="477"/>
      <c r="O1839" s="477"/>
    </row>
    <row r="1840" spans="9:15">
      <c r="L1840" s="477"/>
      <c r="M1840" s="477"/>
      <c r="N1840" s="477"/>
      <c r="O1840" s="477"/>
    </row>
    <row r="1841" spans="9:16">
      <c r="L1841" s="477"/>
      <c r="M1841" s="477"/>
      <c r="N1841" s="477"/>
      <c r="O1841" s="477"/>
    </row>
    <row r="1842" spans="9:16" ht="16.5" customHeight="1">
      <c r="I1842" s="26"/>
      <c r="J1842" s="26"/>
      <c r="K1842" s="26"/>
      <c r="L1842" s="644"/>
      <c r="M1842" s="644"/>
      <c r="N1842" s="644"/>
      <c r="O1842" s="644"/>
      <c r="P1842" s="145"/>
    </row>
    <row r="1843" spans="9:16">
      <c r="I1843" s="617" t="s">
        <v>2824</v>
      </c>
      <c r="J1843" s="617"/>
      <c r="K1843" s="617"/>
      <c r="L1843" s="617"/>
      <c r="M1843" s="617"/>
      <c r="N1843" s="617"/>
      <c r="O1843" s="617"/>
      <c r="P1843" s="617"/>
    </row>
    <row r="1846" spans="9:16" ht="49.5" customHeight="1">
      <c r="I1846" s="618" t="s">
        <v>1</v>
      </c>
      <c r="J1846" s="618"/>
      <c r="K1846" s="618"/>
      <c r="L1846" s="618"/>
      <c r="M1846" s="618"/>
      <c r="N1846" s="618"/>
      <c r="O1846" s="618"/>
      <c r="P1846" s="618"/>
    </row>
    <row r="1849" spans="9:16" ht="17.25">
      <c r="I1849" s="30"/>
      <c r="J1849" s="503" t="s">
        <v>2063</v>
      </c>
    </row>
    <row r="1850" spans="9:16" ht="17.25" thickBot="1">
      <c r="I1850" s="30"/>
      <c r="O1850" s="141"/>
    </row>
    <row r="1851" spans="9:16">
      <c r="J1851" s="30"/>
      <c r="N1851" s="143"/>
      <c r="P1851" s="144"/>
    </row>
    <row r="1852" spans="9:16">
      <c r="N1852" s="619" t="s">
        <v>555</v>
      </c>
      <c r="O1852" s="620"/>
      <c r="P1852" s="621"/>
    </row>
    <row r="1853" spans="9:16">
      <c r="I1853" s="186" t="s">
        <v>114</v>
      </c>
      <c r="L1853" s="249" t="s">
        <v>2</v>
      </c>
      <c r="N1853" s="605" t="s">
        <v>1676</v>
      </c>
      <c r="O1853" s="605"/>
      <c r="P1853" s="649"/>
    </row>
    <row r="1854" spans="9:16">
      <c r="N1854" s="601" t="s">
        <v>163</v>
      </c>
      <c r="O1854" s="602"/>
      <c r="P1854" s="603"/>
    </row>
    <row r="1855" spans="9:16" ht="17.25" thickBot="1">
      <c r="N1855" s="140"/>
      <c r="O1855" s="141"/>
      <c r="P1855" s="142"/>
    </row>
    <row r="1857" spans="9:16">
      <c r="I1857" s="30" t="s">
        <v>27</v>
      </c>
      <c r="J1857" s="394" t="s">
        <v>148</v>
      </c>
    </row>
    <row r="1858" spans="9:16" ht="17.25" thickBot="1"/>
    <row r="1859" spans="9:16" ht="17.25" thickBot="1">
      <c r="I1859" s="13" t="s">
        <v>112</v>
      </c>
      <c r="J1859" s="624" t="s">
        <v>4</v>
      </c>
      <c r="K1859" s="625"/>
      <c r="L1859" s="625"/>
      <c r="M1859" s="625"/>
      <c r="N1859" s="625"/>
      <c r="O1859" s="626"/>
      <c r="P1859" s="20" t="s">
        <v>5</v>
      </c>
    </row>
    <row r="1860" spans="9:16" ht="15" customHeight="1">
      <c r="I1860" s="633" t="s">
        <v>2806</v>
      </c>
      <c r="J1860" s="143"/>
      <c r="K1860" s="159"/>
      <c r="L1860" s="159"/>
      <c r="M1860" s="159"/>
      <c r="N1860" s="159"/>
      <c r="O1860" s="144"/>
      <c r="P1860" s="291"/>
    </row>
    <row r="1861" spans="9:16">
      <c r="I1861" s="634"/>
      <c r="J1861" s="64"/>
      <c r="O1861" s="65"/>
      <c r="P1861" s="291"/>
    </row>
    <row r="1862" spans="9:16">
      <c r="I1862" s="634"/>
      <c r="J1862" s="630" t="s">
        <v>286</v>
      </c>
      <c r="K1862" s="631"/>
      <c r="L1862" s="631"/>
      <c r="M1862" s="631"/>
      <c r="N1862" s="631"/>
      <c r="O1862" s="632"/>
      <c r="P1862" s="291"/>
    </row>
    <row r="1863" spans="9:16">
      <c r="I1863" s="634"/>
      <c r="J1863" s="679" t="s">
        <v>2827</v>
      </c>
      <c r="K1863" s="680"/>
      <c r="L1863" s="680"/>
      <c r="M1863" s="680"/>
      <c r="N1863" s="680"/>
      <c r="O1863" s="681"/>
      <c r="P1863" s="548">
        <v>5400000</v>
      </c>
    </row>
    <row r="1864" spans="9:16" ht="15" customHeight="1">
      <c r="I1864" s="634"/>
      <c r="J1864" s="64"/>
      <c r="K1864" s="604"/>
      <c r="L1864" s="604"/>
      <c r="M1864" s="604"/>
      <c r="O1864" s="65"/>
      <c r="P1864" s="291"/>
    </row>
    <row r="1865" spans="9:16" ht="15.75" customHeight="1" thickBot="1">
      <c r="I1865" s="635"/>
      <c r="J1865" s="140"/>
      <c r="K1865" s="141"/>
      <c r="L1865" s="141"/>
      <c r="M1865" s="141"/>
      <c r="N1865" s="141"/>
      <c r="O1865" s="142"/>
      <c r="P1865" s="291"/>
    </row>
    <row r="1866" spans="9:16" ht="17.25" thickBot="1">
      <c r="I1866" s="20" t="s">
        <v>12</v>
      </c>
      <c r="J1866" s="614" t="s">
        <v>13</v>
      </c>
      <c r="K1866" s="615"/>
      <c r="L1866" s="62" t="s">
        <v>14</v>
      </c>
      <c r="M1866" s="63"/>
      <c r="N1866" s="62" t="s">
        <v>15</v>
      </c>
      <c r="O1866" s="62" t="s">
        <v>16</v>
      </c>
      <c r="P1866" s="20" t="s">
        <v>17</v>
      </c>
    </row>
    <row r="1867" spans="9:16" ht="18" thickBot="1">
      <c r="I1867" s="22" t="s">
        <v>18</v>
      </c>
      <c r="J1867" s="606">
        <f>+P1863</f>
        <v>5400000</v>
      </c>
      <c r="K1867" s="607"/>
      <c r="L1867" s="23">
        <f>0</f>
        <v>0</v>
      </c>
      <c r="M1867" s="24"/>
      <c r="N1867" s="25">
        <f>0</f>
        <v>0</v>
      </c>
      <c r="O1867" s="36">
        <f>+J1867</f>
        <v>5400000</v>
      </c>
      <c r="P1867" s="38">
        <f>+P1863</f>
        <v>5400000</v>
      </c>
    </row>
    <row r="1868" spans="9:16" ht="18" hidden="1" thickBot="1">
      <c r="I1868" s="22" t="s">
        <v>113</v>
      </c>
      <c r="J1868" s="606">
        <f>+J1867/650.599</f>
        <v>8300.0434983761115</v>
      </c>
      <c r="K1868" s="607"/>
      <c r="L1868" s="23">
        <f>0</f>
        <v>0</v>
      </c>
      <c r="M1868" s="24"/>
      <c r="N1868" s="25">
        <f>0</f>
        <v>0</v>
      </c>
      <c r="O1868" s="36">
        <f>+J1868</f>
        <v>8300.0434983761115</v>
      </c>
      <c r="P1868" s="38">
        <f>+O1868</f>
        <v>8300.0434983761115</v>
      </c>
    </row>
    <row r="1870" spans="9:16">
      <c r="I1870" s="412" t="s">
        <v>1430</v>
      </c>
      <c r="J1870" s="26"/>
      <c r="K1870" s="26"/>
      <c r="L1870" s="26"/>
      <c r="M1870" s="26"/>
      <c r="N1870" s="26"/>
      <c r="O1870" s="26"/>
    </row>
    <row r="1871" spans="9:16">
      <c r="I1871" s="413" t="s">
        <v>2475</v>
      </c>
      <c r="J1871" s="26"/>
      <c r="K1871" s="26"/>
      <c r="L1871" s="26"/>
      <c r="M1871" s="26"/>
      <c r="N1871" s="26"/>
      <c r="O1871" s="26"/>
    </row>
    <row r="1872" spans="9:16">
      <c r="I1872" s="82" t="s">
        <v>19</v>
      </c>
      <c r="J1872" s="26"/>
      <c r="K1872" s="26"/>
      <c r="L1872" s="26"/>
      <c r="M1872" s="26"/>
      <c r="N1872" s="26"/>
      <c r="O1872" s="26"/>
    </row>
    <row r="1873" spans="9:16">
      <c r="I1873" s="26" t="s">
        <v>965</v>
      </c>
      <c r="J1873" s="26"/>
      <c r="K1873" s="26"/>
      <c r="L1873" s="26"/>
      <c r="M1873" s="26"/>
      <c r="N1873" s="26"/>
      <c r="O1873" s="26"/>
    </row>
    <row r="1874" spans="9:16">
      <c r="I1874" s="26" t="s">
        <v>21</v>
      </c>
      <c r="J1874" s="26"/>
      <c r="K1874" s="26"/>
      <c r="L1874" s="26"/>
      <c r="M1874" s="26"/>
      <c r="N1874" s="26"/>
      <c r="O1874" s="26"/>
    </row>
    <row r="1875" spans="9:16">
      <c r="I1875" s="26" t="s">
        <v>1229</v>
      </c>
      <c r="J1875" s="26"/>
      <c r="K1875" s="26"/>
      <c r="L1875" s="26"/>
      <c r="M1875" s="26"/>
      <c r="N1875" s="26"/>
      <c r="O1875" s="26"/>
    </row>
    <row r="1878" spans="9:16">
      <c r="L1878" s="30" t="s">
        <v>24</v>
      </c>
      <c r="N1878" s="30"/>
      <c r="O1878" s="30"/>
    </row>
    <row r="1879" spans="9:16">
      <c r="L1879" s="30" t="s">
        <v>149</v>
      </c>
      <c r="N1879" s="30"/>
      <c r="O1879" s="30"/>
    </row>
    <row r="1880" spans="9:16">
      <c r="L1880" s="605" t="s">
        <v>150</v>
      </c>
      <c r="M1880" s="605"/>
      <c r="N1880" s="605"/>
      <c r="O1880" s="605"/>
    </row>
    <row r="1881" spans="9:16">
      <c r="L1881" s="477"/>
      <c r="M1881" s="477"/>
      <c r="N1881" s="477"/>
      <c r="O1881" s="477"/>
    </row>
    <row r="1882" spans="9:16">
      <c r="L1882" s="30"/>
    </row>
    <row r="1883" spans="9:16">
      <c r="M1883" s="26"/>
      <c r="N1883" s="26"/>
      <c r="O1883" s="26"/>
    </row>
    <row r="1884" spans="9:16">
      <c r="M1884" s="26"/>
      <c r="N1884" s="26"/>
      <c r="O1884" s="26"/>
    </row>
    <row r="1885" spans="9:16">
      <c r="M1885" s="26"/>
      <c r="N1885" s="26"/>
      <c r="O1885" s="26"/>
    </row>
    <row r="1886" spans="9:16" ht="17.25">
      <c r="L1886" s="644"/>
      <c r="M1886" s="682"/>
      <c r="N1886" s="682"/>
      <c r="O1886" s="682"/>
    </row>
    <row r="1887" spans="9:16" ht="18" customHeight="1">
      <c r="I1887" s="617" t="s">
        <v>2556</v>
      </c>
      <c r="J1887" s="617"/>
      <c r="K1887" s="617"/>
      <c r="L1887" s="617"/>
      <c r="M1887" s="617"/>
      <c r="N1887" s="617"/>
      <c r="O1887" s="617"/>
      <c r="P1887" s="617"/>
    </row>
    <row r="1888" spans="9:16">
      <c r="I1888" s="474"/>
      <c r="J1888" s="474"/>
      <c r="K1888" s="474"/>
      <c r="L1888" s="474"/>
      <c r="M1888" s="474"/>
      <c r="N1888" s="474"/>
      <c r="O1888" s="474"/>
      <c r="P1888" s="474"/>
    </row>
    <row r="1890" spans="9:16" ht="49.5" customHeight="1">
      <c r="I1890" s="642" t="s">
        <v>1940</v>
      </c>
      <c r="J1890" s="642"/>
      <c r="K1890" s="642"/>
      <c r="L1890" s="642"/>
      <c r="M1890" s="642"/>
      <c r="N1890" s="642"/>
      <c r="O1890" s="642"/>
      <c r="P1890" s="642"/>
    </row>
    <row r="1893" spans="9:16" ht="17.25">
      <c r="I1893" s="30"/>
      <c r="J1893" s="503" t="s">
        <v>2555</v>
      </c>
    </row>
    <row r="1894" spans="9:16" ht="17.25" thickBot="1">
      <c r="I1894" s="30"/>
      <c r="O1894" s="141"/>
    </row>
    <row r="1895" spans="9:16">
      <c r="J1895" s="30"/>
      <c r="N1895" s="143"/>
      <c r="P1895" s="144"/>
    </row>
    <row r="1896" spans="9:16">
      <c r="N1896" s="647" t="s">
        <v>2231</v>
      </c>
      <c r="O1896" s="610"/>
      <c r="P1896" s="648"/>
    </row>
    <row r="1897" spans="9:16">
      <c r="I1897" s="186" t="s">
        <v>114</v>
      </c>
      <c r="L1897" s="30" t="s">
        <v>2</v>
      </c>
      <c r="N1897" s="605" t="s">
        <v>2234</v>
      </c>
      <c r="O1897" s="605"/>
      <c r="P1897" s="649"/>
    </row>
    <row r="1898" spans="9:16">
      <c r="N1898" s="601" t="s">
        <v>163</v>
      </c>
      <c r="O1898" s="602"/>
      <c r="P1898" s="603"/>
    </row>
    <row r="1899" spans="9:16" ht="18" thickBot="1">
      <c r="I1899" s="249" t="s">
        <v>2557</v>
      </c>
      <c r="J1899" s="375" t="s">
        <v>2558</v>
      </c>
      <c r="N1899" s="140"/>
      <c r="O1899" s="141"/>
      <c r="P1899" s="142"/>
    </row>
    <row r="1901" spans="9:16">
      <c r="I1901" s="30" t="s">
        <v>27</v>
      </c>
      <c r="J1901" s="30" t="s">
        <v>148</v>
      </c>
    </row>
    <row r="1902" spans="9:16" ht="17.25" thickBot="1"/>
    <row r="1903" spans="9:16" ht="17.25" thickBot="1">
      <c r="I1903" s="13" t="s">
        <v>112</v>
      </c>
      <c r="J1903" s="624" t="s">
        <v>4</v>
      </c>
      <c r="K1903" s="625"/>
      <c r="L1903" s="625"/>
      <c r="M1903" s="625"/>
      <c r="N1903" s="625"/>
      <c r="O1903" s="626"/>
      <c r="P1903" s="20" t="s">
        <v>5</v>
      </c>
    </row>
    <row r="1904" spans="9:16">
      <c r="I1904" s="633" t="s">
        <v>2445</v>
      </c>
      <c r="J1904" s="143"/>
      <c r="K1904" s="159"/>
      <c r="L1904" s="159"/>
      <c r="M1904" s="159"/>
      <c r="N1904" s="159"/>
      <c r="O1904" s="144"/>
      <c r="P1904" s="291"/>
    </row>
    <row r="1905" spans="9:16">
      <c r="I1905" s="634"/>
      <c r="J1905" s="64"/>
      <c r="O1905" s="65"/>
      <c r="P1905" s="291"/>
    </row>
    <row r="1906" spans="9:16">
      <c r="I1906" s="634"/>
      <c r="J1906" s="66"/>
      <c r="K1906" s="367"/>
      <c r="L1906" s="367" t="s">
        <v>286</v>
      </c>
      <c r="M1906" s="367"/>
      <c r="N1906" s="367"/>
      <c r="O1906" s="67"/>
      <c r="P1906" s="291"/>
    </row>
    <row r="1907" spans="9:16">
      <c r="I1907" s="634"/>
      <c r="J1907" s="385"/>
      <c r="K1907" s="187"/>
      <c r="L1907" s="147" t="s">
        <v>2495</v>
      </c>
      <c r="M1907" s="187"/>
      <c r="N1907" s="187"/>
      <c r="O1907" s="132"/>
      <c r="P1907" s="148">
        <v>5100000</v>
      </c>
    </row>
    <row r="1908" spans="9:16">
      <c r="I1908" s="634"/>
      <c r="J1908" s="64"/>
      <c r="K1908" s="604"/>
      <c r="L1908" s="604"/>
      <c r="M1908" s="604"/>
      <c r="O1908" s="65"/>
      <c r="P1908" s="291"/>
    </row>
    <row r="1909" spans="9:16" ht="17.25" thickBot="1">
      <c r="I1909" s="635"/>
      <c r="J1909" s="140"/>
      <c r="K1909" s="141"/>
      <c r="L1909" s="141"/>
      <c r="M1909" s="141"/>
      <c r="N1909" s="141"/>
      <c r="O1909" s="142"/>
      <c r="P1909" s="291"/>
    </row>
    <row r="1910" spans="9:16" ht="17.25" thickBot="1">
      <c r="I1910" s="20" t="s">
        <v>12</v>
      </c>
      <c r="J1910" s="614" t="s">
        <v>13</v>
      </c>
      <c r="K1910" s="615"/>
      <c r="L1910" s="62" t="s">
        <v>14</v>
      </c>
      <c r="M1910" s="63"/>
      <c r="N1910" s="62" t="s">
        <v>15</v>
      </c>
      <c r="O1910" s="62" t="s">
        <v>16</v>
      </c>
      <c r="P1910" s="20" t="s">
        <v>17</v>
      </c>
    </row>
    <row r="1911" spans="9:16" ht="18" thickBot="1">
      <c r="I1911" s="22" t="s">
        <v>18</v>
      </c>
      <c r="J1911" s="606">
        <f>+P1907</f>
        <v>5100000</v>
      </c>
      <c r="K1911" s="607"/>
      <c r="L1911" s="23">
        <f>0</f>
        <v>0</v>
      </c>
      <c r="M1911" s="24"/>
      <c r="N1911" s="25">
        <f>0</f>
        <v>0</v>
      </c>
      <c r="O1911" s="36">
        <f>+J1911</f>
        <v>5100000</v>
      </c>
      <c r="P1911" s="38">
        <f>+P1907</f>
        <v>5100000</v>
      </c>
    </row>
    <row r="1912" spans="9:16" ht="18" thickBot="1">
      <c r="I1912" s="22" t="s">
        <v>113</v>
      </c>
      <c r="J1912" s="606">
        <f>+J1911/650.599</f>
        <v>7838.9299706885495</v>
      </c>
      <c r="K1912" s="607"/>
      <c r="L1912" s="23">
        <f>0</f>
        <v>0</v>
      </c>
      <c r="M1912" s="24"/>
      <c r="N1912" s="25">
        <f>0</f>
        <v>0</v>
      </c>
      <c r="O1912" s="36">
        <f>+J1912</f>
        <v>7838.9299706885495</v>
      </c>
      <c r="P1912" s="38">
        <f>+O1912</f>
        <v>7838.9299706885495</v>
      </c>
    </row>
    <row r="1914" spans="9:16">
      <c r="I1914" s="412" t="s">
        <v>2560</v>
      </c>
      <c r="J1914" s="26"/>
      <c r="K1914" s="26"/>
      <c r="L1914" s="26"/>
      <c r="M1914" s="26"/>
      <c r="N1914" s="26"/>
      <c r="O1914" s="26"/>
    </row>
    <row r="1915" spans="9:16">
      <c r="I1915" s="413" t="s">
        <v>2462</v>
      </c>
      <c r="J1915" s="26"/>
      <c r="K1915" s="26"/>
      <c r="L1915" s="26"/>
      <c r="M1915" s="26"/>
      <c r="N1915" s="26"/>
      <c r="O1915" s="26"/>
    </row>
    <row r="1916" spans="9:16">
      <c r="I1916" s="82" t="s">
        <v>19</v>
      </c>
      <c r="J1916" s="26"/>
      <c r="K1916" s="26"/>
      <c r="L1916" s="26"/>
      <c r="M1916" s="26"/>
      <c r="N1916" s="26"/>
      <c r="O1916" s="26"/>
    </row>
    <row r="1917" spans="9:16">
      <c r="I1917" s="26" t="s">
        <v>965</v>
      </c>
      <c r="J1917" s="26"/>
      <c r="K1917" s="26"/>
      <c r="L1917" s="26"/>
      <c r="M1917" s="26"/>
      <c r="N1917" s="26"/>
      <c r="O1917" s="26"/>
    </row>
    <row r="1918" spans="9:16">
      <c r="I1918" s="26" t="s">
        <v>21</v>
      </c>
      <c r="J1918" s="26"/>
      <c r="K1918" s="26"/>
      <c r="L1918" s="26"/>
      <c r="M1918" s="26"/>
      <c r="N1918" s="26"/>
      <c r="O1918" s="26"/>
    </row>
    <row r="1919" spans="9:16">
      <c r="I1919" s="26" t="s">
        <v>1229</v>
      </c>
      <c r="J1919" s="26"/>
      <c r="K1919" s="26"/>
      <c r="L1919" s="26"/>
      <c r="M1919" s="26"/>
      <c r="N1919" s="26"/>
      <c r="O1919" s="26"/>
    </row>
    <row r="1922" spans="9:16">
      <c r="L1922" s="30" t="s">
        <v>24</v>
      </c>
      <c r="N1922" s="30"/>
      <c r="O1922" s="30"/>
    </row>
    <row r="1923" spans="9:16">
      <c r="L1923" s="30" t="s">
        <v>149</v>
      </c>
      <c r="N1923" s="30"/>
      <c r="O1923" s="30"/>
    </row>
    <row r="1924" spans="9:16">
      <c r="L1924" s="605" t="s">
        <v>150</v>
      </c>
      <c r="M1924" s="605"/>
      <c r="N1924" s="605"/>
      <c r="O1924" s="605"/>
    </row>
    <row r="1925" spans="9:16">
      <c r="L1925" s="30"/>
    </row>
    <row r="1926" spans="9:16">
      <c r="L1926" s="30"/>
    </row>
    <row r="1927" spans="9:16">
      <c r="L1927" s="608" t="s">
        <v>2347</v>
      </c>
      <c r="M1927" s="608"/>
      <c r="N1927" s="608"/>
      <c r="O1927" s="608"/>
    </row>
    <row r="1928" spans="9:16">
      <c r="L1928" s="222"/>
      <c r="M1928" s="222"/>
      <c r="N1928" s="222"/>
      <c r="O1928" s="222"/>
    </row>
    <row r="1929" spans="9:16">
      <c r="L1929" s="222"/>
      <c r="M1929" s="222"/>
      <c r="N1929" s="222"/>
      <c r="O1929" s="222"/>
    </row>
    <row r="1930" spans="9:16">
      <c r="L1930" s="222"/>
      <c r="M1930" s="222"/>
      <c r="N1930" s="222"/>
      <c r="O1930" s="222"/>
    </row>
    <row r="1931" spans="9:16" ht="18">
      <c r="I1931" s="26"/>
      <c r="J1931" s="26"/>
      <c r="K1931" s="26"/>
      <c r="L1931" s="608"/>
      <c r="M1931" s="608"/>
      <c r="N1931" s="608"/>
      <c r="O1931" s="608"/>
      <c r="P1931" s="145"/>
    </row>
    <row r="1932" spans="9:16" ht="20.25" customHeight="1">
      <c r="I1932" s="617" t="s">
        <v>2530</v>
      </c>
      <c r="J1932" s="617"/>
      <c r="K1932" s="617"/>
      <c r="L1932" s="617"/>
      <c r="M1932" s="617"/>
      <c r="N1932" s="617"/>
      <c r="O1932" s="617"/>
      <c r="P1932" s="617"/>
    </row>
    <row r="1934" spans="9:16" ht="18.75" customHeight="1"/>
    <row r="1935" spans="9:16" ht="49.5" customHeight="1">
      <c r="I1935" s="642" t="s">
        <v>1</v>
      </c>
      <c r="J1935" s="642"/>
      <c r="K1935" s="642"/>
      <c r="L1935" s="642"/>
      <c r="M1935" s="642"/>
      <c r="N1935" s="642"/>
      <c r="O1935" s="642"/>
      <c r="P1935" s="642"/>
    </row>
    <row r="1938" spans="9:16" ht="17.25">
      <c r="I1938" s="30"/>
      <c r="J1938" s="375" t="s">
        <v>2747</v>
      </c>
    </row>
    <row r="1939" spans="9:16" ht="17.25" thickBot="1">
      <c r="I1939" s="30"/>
      <c r="O1939" s="141"/>
    </row>
    <row r="1940" spans="9:16">
      <c r="J1940" s="30"/>
      <c r="N1940" s="143"/>
      <c r="P1940" s="144"/>
    </row>
    <row r="1941" spans="9:16">
      <c r="N1941" s="647" t="s">
        <v>1768</v>
      </c>
      <c r="O1941" s="610"/>
      <c r="P1941" s="648"/>
    </row>
    <row r="1942" spans="9:16">
      <c r="I1942" s="12" t="s">
        <v>114</v>
      </c>
      <c r="L1942" s="30" t="s">
        <v>2</v>
      </c>
      <c r="N1942" s="605" t="s">
        <v>1776</v>
      </c>
      <c r="O1942" s="605"/>
      <c r="P1942" s="649"/>
    </row>
    <row r="1943" spans="9:16">
      <c r="N1943" s="601" t="s">
        <v>1777</v>
      </c>
      <c r="O1943" s="602"/>
      <c r="P1943" s="603"/>
    </row>
    <row r="1944" spans="9:16" ht="17.25" thickBot="1">
      <c r="N1944" s="140"/>
      <c r="O1944" s="141"/>
      <c r="P1944" s="142"/>
    </row>
    <row r="1946" spans="9:16">
      <c r="I1946" s="30" t="s">
        <v>27</v>
      </c>
      <c r="J1946" s="30" t="s">
        <v>775</v>
      </c>
    </row>
    <row r="1947" spans="9:16" ht="17.25" thickBot="1"/>
    <row r="1948" spans="9:16" ht="17.25" thickBot="1">
      <c r="I1948" s="13" t="s">
        <v>112</v>
      </c>
      <c r="J1948" s="624" t="s">
        <v>4</v>
      </c>
      <c r="K1948" s="625"/>
      <c r="L1948" s="625"/>
      <c r="M1948" s="625"/>
      <c r="N1948" s="625"/>
      <c r="O1948" s="626"/>
      <c r="P1948" s="20" t="s">
        <v>5</v>
      </c>
    </row>
    <row r="1949" spans="9:16">
      <c r="I1949" s="627" t="s">
        <v>2445</v>
      </c>
      <c r="J1949" s="143"/>
      <c r="K1949" s="159"/>
      <c r="L1949" s="159"/>
      <c r="M1949" s="159"/>
      <c r="N1949" s="159"/>
      <c r="O1949" s="144"/>
      <c r="P1949" s="291"/>
    </row>
    <row r="1950" spans="9:16">
      <c r="I1950" s="628"/>
      <c r="J1950" s="64"/>
      <c r="O1950" s="65"/>
      <c r="P1950" s="291"/>
    </row>
    <row r="1951" spans="9:16">
      <c r="I1951" s="628"/>
      <c r="J1951" s="66"/>
      <c r="K1951" s="367"/>
      <c r="L1951" s="367" t="s">
        <v>286</v>
      </c>
      <c r="M1951" s="367"/>
      <c r="N1951" s="367"/>
      <c r="O1951" s="67"/>
      <c r="P1951" s="291"/>
    </row>
    <row r="1952" spans="9:16">
      <c r="I1952" s="628"/>
      <c r="J1952" s="385"/>
      <c r="K1952" s="187"/>
      <c r="L1952" s="147" t="s">
        <v>2518</v>
      </c>
      <c r="M1952" s="187"/>
      <c r="N1952" s="187"/>
      <c r="O1952" s="132"/>
      <c r="P1952" s="148">
        <v>1008000</v>
      </c>
    </row>
    <row r="1953" spans="9:16">
      <c r="I1953" s="628"/>
      <c r="J1953" s="64"/>
      <c r="K1953" s="604"/>
      <c r="L1953" s="604"/>
      <c r="M1953" s="604"/>
      <c r="O1953" s="65"/>
      <c r="P1953" s="291"/>
    </row>
    <row r="1954" spans="9:16" ht="17.25" thickBot="1">
      <c r="I1954" s="629"/>
      <c r="J1954" s="140"/>
      <c r="K1954" s="141"/>
      <c r="L1954" s="141"/>
      <c r="M1954" s="141"/>
      <c r="N1954" s="141"/>
      <c r="O1954" s="142"/>
      <c r="P1954" s="291"/>
    </row>
    <row r="1955" spans="9:16" ht="17.25" thickBot="1">
      <c r="I1955" s="20" t="s">
        <v>12</v>
      </c>
      <c r="J1955" s="614" t="s">
        <v>13</v>
      </c>
      <c r="K1955" s="615"/>
      <c r="L1955" s="62" t="s">
        <v>14</v>
      </c>
      <c r="M1955" s="63"/>
      <c r="N1955" s="62" t="s">
        <v>15</v>
      </c>
      <c r="O1955" s="62" t="s">
        <v>16</v>
      </c>
      <c r="P1955" s="20" t="s">
        <v>17</v>
      </c>
    </row>
    <row r="1956" spans="9:16" ht="18" thickBot="1">
      <c r="I1956" s="22" t="s">
        <v>18</v>
      </c>
      <c r="J1956" s="606">
        <f>+P1952</f>
        <v>1008000</v>
      </c>
      <c r="K1956" s="607"/>
      <c r="L1956" s="23">
        <f>0</f>
        <v>0</v>
      </c>
      <c r="M1956" s="24"/>
      <c r="N1956" s="25">
        <f>0</f>
        <v>0</v>
      </c>
      <c r="O1956" s="36">
        <f>+J1956</f>
        <v>1008000</v>
      </c>
      <c r="P1956" s="38">
        <f>+P1952</f>
        <v>1008000</v>
      </c>
    </row>
    <row r="1957" spans="9:16" ht="18" hidden="1" thickBot="1">
      <c r="I1957" s="22" t="s">
        <v>113</v>
      </c>
      <c r="J1957" s="606">
        <f>+J1956/650.599</f>
        <v>1549.3414530302075</v>
      </c>
      <c r="K1957" s="607"/>
      <c r="L1957" s="23">
        <f>0</f>
        <v>0</v>
      </c>
      <c r="M1957" s="24"/>
      <c r="N1957" s="25">
        <f>0</f>
        <v>0</v>
      </c>
      <c r="O1957" s="36">
        <f>+J1957</f>
        <v>1549.3414530302075</v>
      </c>
      <c r="P1957" s="38">
        <f>+O1957</f>
        <v>1549.3414530302075</v>
      </c>
    </row>
    <row r="1959" spans="9:16">
      <c r="I1959" s="37" t="s">
        <v>1268</v>
      </c>
      <c r="J1959" s="26"/>
      <c r="K1959" s="26"/>
      <c r="L1959" s="26"/>
      <c r="M1959" s="26"/>
      <c r="N1959" s="26"/>
      <c r="O1959" s="26"/>
    </row>
    <row r="1960" spans="9:16">
      <c r="I1960" s="408" t="s">
        <v>1778</v>
      </c>
      <c r="J1960" s="26"/>
      <c r="K1960" s="26"/>
      <c r="L1960" s="26"/>
      <c r="M1960" s="26"/>
      <c r="N1960" s="26"/>
      <c r="O1960" s="26"/>
    </row>
    <row r="1961" spans="9:16">
      <c r="I1961" s="82" t="s">
        <v>19</v>
      </c>
      <c r="J1961" s="26"/>
      <c r="K1961" s="26"/>
      <c r="L1961" s="26"/>
      <c r="M1961" s="26"/>
      <c r="N1961" s="26"/>
      <c r="O1961" s="26"/>
    </row>
    <row r="1962" spans="9:16">
      <c r="I1962" s="26" t="s">
        <v>965</v>
      </c>
      <c r="J1962" s="26"/>
      <c r="K1962" s="26"/>
      <c r="L1962" s="26"/>
      <c r="M1962" s="26"/>
      <c r="N1962" s="26"/>
      <c r="O1962" s="26"/>
    </row>
    <row r="1963" spans="9:16">
      <c r="I1963" s="26" t="s">
        <v>21</v>
      </c>
      <c r="J1963" s="26"/>
      <c r="K1963" s="26"/>
      <c r="L1963" s="26"/>
      <c r="M1963" s="26"/>
      <c r="N1963" s="26"/>
      <c r="O1963" s="26"/>
    </row>
    <row r="1964" spans="9:16">
      <c r="I1964" s="26" t="s">
        <v>1229</v>
      </c>
      <c r="J1964" s="26"/>
      <c r="K1964" s="26"/>
      <c r="L1964" s="26"/>
      <c r="M1964" s="26"/>
      <c r="N1964" s="26"/>
      <c r="O1964" s="26"/>
    </row>
    <row r="1965" spans="9:16">
      <c r="I1965" s="26"/>
      <c r="J1965" s="26"/>
      <c r="K1965" s="26"/>
      <c r="L1965" s="26"/>
      <c r="M1965" s="26"/>
      <c r="N1965" s="26"/>
      <c r="O1965" s="26"/>
    </row>
    <row r="1966" spans="9:16">
      <c r="I1966" s="26"/>
      <c r="J1966" s="26"/>
      <c r="K1966" s="26"/>
      <c r="L1966" s="26"/>
      <c r="M1966" s="26"/>
      <c r="N1966" s="26"/>
      <c r="O1966" s="26"/>
    </row>
    <row r="1968" spans="9:16">
      <c r="K1968" s="604" t="s">
        <v>24</v>
      </c>
      <c r="L1968" s="604"/>
      <c r="M1968" s="604"/>
      <c r="N1968" s="604"/>
      <c r="O1968" s="604"/>
      <c r="P1968" s="30"/>
    </row>
    <row r="1969" spans="9:16">
      <c r="K1969" s="604" t="s">
        <v>149</v>
      </c>
      <c r="L1969" s="604"/>
      <c r="M1969" s="604"/>
      <c r="N1969" s="604"/>
      <c r="O1969" s="604"/>
      <c r="P1969" s="30"/>
    </row>
    <row r="1970" spans="9:16">
      <c r="K1970" s="605" t="s">
        <v>150</v>
      </c>
      <c r="L1970" s="605"/>
      <c r="M1970" s="605"/>
      <c r="N1970" s="605"/>
      <c r="O1970" s="605"/>
      <c r="P1970" s="477"/>
    </row>
    <row r="1971" spans="9:16">
      <c r="K1971" s="477"/>
      <c r="L1971" s="477"/>
      <c r="M1971" s="477"/>
      <c r="N1971" s="477"/>
      <c r="O1971" s="477"/>
      <c r="P1971" s="477"/>
    </row>
    <row r="1972" spans="9:16">
      <c r="M1972" s="26"/>
      <c r="N1972" s="26"/>
      <c r="O1972" s="26"/>
    </row>
    <row r="1973" spans="9:16" ht="17.25">
      <c r="L1973" s="644"/>
      <c r="M1973" s="644"/>
      <c r="N1973" s="644"/>
      <c r="O1973" s="644"/>
    </row>
    <row r="1974" spans="9:16" ht="18">
      <c r="I1974" s="26"/>
      <c r="J1974" s="26"/>
      <c r="K1974" s="26"/>
      <c r="L1974" s="644"/>
      <c r="M1974" s="644"/>
      <c r="N1974" s="644"/>
      <c r="O1974" s="644"/>
      <c r="P1974" s="145"/>
    </row>
    <row r="1975" spans="9:16">
      <c r="J1975" s="617" t="s">
        <v>0</v>
      </c>
      <c r="K1975" s="617"/>
      <c r="L1975" s="617"/>
      <c r="M1975" s="617"/>
      <c r="N1975" s="617"/>
      <c r="O1975" s="617"/>
      <c r="P1975" s="617"/>
    </row>
    <row r="1978" spans="9:16" ht="49.5">
      <c r="K1978" s="642" t="s">
        <v>1940</v>
      </c>
      <c r="L1978" s="642"/>
      <c r="M1978" s="642"/>
      <c r="N1978" s="642"/>
    </row>
    <row r="1981" spans="9:16" ht="17.25">
      <c r="I1981" s="30"/>
      <c r="J1981" s="375" t="s">
        <v>2213</v>
      </c>
    </row>
    <row r="1982" spans="9:16" ht="17.25" thickBot="1">
      <c r="I1982" s="30"/>
      <c r="O1982" s="141"/>
    </row>
    <row r="1983" spans="9:16">
      <c r="J1983" s="30"/>
      <c r="N1983" s="143"/>
      <c r="P1983" s="144"/>
    </row>
    <row r="1984" spans="9:16" ht="17.25">
      <c r="N1984" s="667" t="s">
        <v>2091</v>
      </c>
      <c r="O1984" s="668"/>
      <c r="P1984" s="669"/>
    </row>
    <row r="1985" spans="9:16">
      <c r="I1985" s="12" t="s">
        <v>114</v>
      </c>
      <c r="L1985" s="30" t="s">
        <v>2</v>
      </c>
      <c r="N1985" s="683" t="s">
        <v>1379</v>
      </c>
      <c r="O1985" s="683"/>
      <c r="P1985" s="684"/>
    </row>
    <row r="1986" spans="9:16">
      <c r="N1986" s="601" t="s">
        <v>2209</v>
      </c>
      <c r="O1986" s="602"/>
      <c r="P1986" s="603"/>
    </row>
    <row r="1987" spans="9:16" ht="17.25" thickBot="1">
      <c r="N1987" s="140"/>
      <c r="O1987" s="141"/>
      <c r="P1987" s="142"/>
    </row>
    <row r="1989" spans="9:16">
      <c r="I1989" s="30" t="s">
        <v>27</v>
      </c>
      <c r="J1989" s="30" t="s">
        <v>2214</v>
      </c>
    </row>
    <row r="1990" spans="9:16" ht="17.25" thickBot="1"/>
    <row r="1991" spans="9:16" ht="17.25" thickBot="1">
      <c r="I1991" s="13" t="s">
        <v>112</v>
      </c>
      <c r="J1991" s="624" t="s">
        <v>4</v>
      </c>
      <c r="K1991" s="625"/>
      <c r="L1991" s="625"/>
      <c r="M1991" s="625"/>
      <c r="N1991" s="625"/>
      <c r="O1991" s="626"/>
      <c r="P1991" s="20" t="s">
        <v>5</v>
      </c>
    </row>
    <row r="1992" spans="9:16" ht="15" customHeight="1">
      <c r="I1992" s="627" t="s">
        <v>2206</v>
      </c>
      <c r="J1992" s="143"/>
      <c r="K1992" s="159"/>
      <c r="L1992" s="159"/>
      <c r="M1992" s="159"/>
      <c r="N1992" s="159"/>
      <c r="O1992" s="144"/>
      <c r="P1992" s="291"/>
    </row>
    <row r="1993" spans="9:16">
      <c r="I1993" s="628"/>
      <c r="J1993" s="654" t="s">
        <v>2210</v>
      </c>
      <c r="K1993" s="655"/>
      <c r="L1993" s="655"/>
      <c r="M1993" s="655"/>
      <c r="N1993" s="655"/>
      <c r="O1993" s="656"/>
      <c r="P1993" s="291"/>
    </row>
    <row r="1994" spans="9:16">
      <c r="I1994" s="628"/>
      <c r="J1994" s="654" t="s">
        <v>2212</v>
      </c>
      <c r="K1994" s="655"/>
      <c r="L1994" s="655"/>
      <c r="M1994" s="655"/>
      <c r="N1994" s="655"/>
      <c r="O1994" s="656"/>
      <c r="P1994" s="291"/>
    </row>
    <row r="1995" spans="9:16">
      <c r="I1995" s="628"/>
      <c r="J1995" s="654" t="s">
        <v>2211</v>
      </c>
      <c r="K1995" s="655"/>
      <c r="L1995" s="655"/>
      <c r="M1995" s="655"/>
      <c r="N1995" s="655"/>
      <c r="O1995" s="656"/>
      <c r="P1995" s="148">
        <v>5251500</v>
      </c>
    </row>
    <row r="1996" spans="9:16" ht="15" customHeight="1">
      <c r="I1996" s="628"/>
      <c r="J1996" s="654" t="s">
        <v>2217</v>
      </c>
      <c r="K1996" s="655"/>
      <c r="L1996" s="655"/>
      <c r="M1996" s="655"/>
      <c r="N1996" s="655"/>
      <c r="O1996" s="656"/>
      <c r="P1996" s="291"/>
    </row>
    <row r="1997" spans="9:16" ht="15.75" customHeight="1" thickBot="1">
      <c r="I1997" s="629"/>
      <c r="J1997" s="499"/>
      <c r="K1997" s="141"/>
      <c r="L1997" s="141"/>
      <c r="M1997" s="141"/>
      <c r="N1997" s="141"/>
      <c r="O1997" s="142"/>
      <c r="P1997" s="291"/>
    </row>
    <row r="1998" spans="9:16" ht="17.25" thickBot="1">
      <c r="I1998" s="20" t="s">
        <v>12</v>
      </c>
      <c r="J1998" s="614" t="s">
        <v>13</v>
      </c>
      <c r="K1998" s="615"/>
      <c r="L1998" s="62" t="s">
        <v>14</v>
      </c>
      <c r="M1998" s="63"/>
      <c r="N1998" s="62" t="s">
        <v>15</v>
      </c>
      <c r="O1998" s="62" t="s">
        <v>16</v>
      </c>
      <c r="P1998" s="20" t="s">
        <v>17</v>
      </c>
    </row>
    <row r="1999" spans="9:16" ht="18" thickBot="1">
      <c r="I1999" s="22" t="s">
        <v>18</v>
      </c>
      <c r="J1999" s="606">
        <f>+P1995</f>
        <v>5251500</v>
      </c>
      <c r="K1999" s="607"/>
      <c r="L1999" s="23">
        <f>0</f>
        <v>0</v>
      </c>
      <c r="M1999" s="24"/>
      <c r="N1999" s="25">
        <f>0</f>
        <v>0</v>
      </c>
      <c r="O1999" s="36">
        <f>+J1999</f>
        <v>5251500</v>
      </c>
      <c r="P1999" s="38">
        <f>+P1995</f>
        <v>5251500</v>
      </c>
    </row>
    <row r="2000" spans="9:16" ht="18" thickBot="1">
      <c r="I2000" s="22" t="s">
        <v>113</v>
      </c>
      <c r="J2000" s="606">
        <f>+J1999/650.599</f>
        <v>8071.7923021707684</v>
      </c>
      <c r="K2000" s="607"/>
      <c r="L2000" s="23">
        <f>0</f>
        <v>0</v>
      </c>
      <c r="M2000" s="24"/>
      <c r="N2000" s="25">
        <f>0</f>
        <v>0</v>
      </c>
      <c r="O2000" s="36">
        <f>+J2000</f>
        <v>8071.7923021707684</v>
      </c>
      <c r="P2000" s="38">
        <f>+O2000</f>
        <v>8071.7923021707684</v>
      </c>
    </row>
    <row r="2002" spans="9:16">
      <c r="I2002" s="412" t="s">
        <v>1891</v>
      </c>
      <c r="J2002" s="26"/>
      <c r="K2002" s="26"/>
      <c r="L2002" s="26"/>
      <c r="M2002" s="26"/>
      <c r="N2002" s="26"/>
      <c r="O2002" s="26"/>
    </row>
    <row r="2003" spans="9:16">
      <c r="I2003" s="411" t="s">
        <v>2215</v>
      </c>
      <c r="J2003" s="26"/>
      <c r="K2003" s="26"/>
      <c r="L2003" s="26"/>
      <c r="M2003" s="26"/>
      <c r="N2003" s="26"/>
      <c r="O2003" s="26"/>
    </row>
    <row r="2004" spans="9:16">
      <c r="I2004" s="82" t="s">
        <v>19</v>
      </c>
      <c r="J2004" s="26"/>
      <c r="K2004" s="26"/>
      <c r="L2004" s="26"/>
      <c r="M2004" s="26"/>
      <c r="N2004" s="26"/>
      <c r="O2004" s="26"/>
    </row>
    <row r="2005" spans="9:16">
      <c r="I2005" s="26" t="s">
        <v>965</v>
      </c>
      <c r="J2005" s="26"/>
      <c r="K2005" s="26"/>
      <c r="L2005" s="26"/>
      <c r="M2005" s="26"/>
      <c r="N2005" s="26"/>
      <c r="O2005" s="26"/>
    </row>
    <row r="2006" spans="9:16">
      <c r="I2006" s="26" t="s">
        <v>21</v>
      </c>
      <c r="J2006" s="26"/>
      <c r="K2006" s="26"/>
      <c r="L2006" s="26"/>
      <c r="M2006" s="26"/>
      <c r="N2006" s="26"/>
      <c r="O2006" s="26"/>
    </row>
    <row r="2007" spans="9:16">
      <c r="I2007" s="26" t="s">
        <v>1229</v>
      </c>
      <c r="J2007" s="26"/>
      <c r="K2007" s="26"/>
      <c r="L2007" s="26"/>
      <c r="M2007" s="26"/>
      <c r="N2007" s="26"/>
      <c r="O2007" s="26"/>
    </row>
    <row r="2009" spans="9:16">
      <c r="L2009" s="30" t="s">
        <v>811</v>
      </c>
      <c r="N2009" s="30"/>
      <c r="O2009" s="30"/>
    </row>
    <row r="2010" spans="9:16">
      <c r="L2010" s="30" t="s">
        <v>149</v>
      </c>
      <c r="N2010" s="30"/>
      <c r="O2010" s="30"/>
    </row>
    <row r="2011" spans="9:16">
      <c r="L2011" s="605" t="s">
        <v>150</v>
      </c>
      <c r="M2011" s="605"/>
      <c r="N2011" s="605"/>
      <c r="O2011" s="605"/>
    </row>
    <row r="2012" spans="9:16">
      <c r="L2012" s="30"/>
    </row>
    <row r="2013" spans="9:16">
      <c r="M2013" s="26"/>
      <c r="N2013" s="26"/>
      <c r="O2013" s="26"/>
    </row>
    <row r="2014" spans="9:16" ht="18">
      <c r="L2014" s="145"/>
      <c r="M2014" s="145"/>
      <c r="N2014" s="145"/>
      <c r="O2014" s="145"/>
    </row>
    <row r="2015" spans="9:16" ht="18">
      <c r="I2015" s="26"/>
      <c r="J2015" s="26"/>
      <c r="K2015" s="26"/>
      <c r="L2015" s="644" t="s">
        <v>2147</v>
      </c>
      <c r="M2015" s="644"/>
      <c r="N2015" s="644"/>
      <c r="O2015" s="644"/>
      <c r="P2015" s="145"/>
    </row>
    <row r="2016" spans="9:16" ht="18">
      <c r="I2016" s="26"/>
      <c r="J2016" s="26"/>
      <c r="K2016" s="26"/>
      <c r="L2016" s="361"/>
      <c r="M2016" s="361"/>
      <c r="N2016" s="361"/>
      <c r="O2016" s="361"/>
      <c r="P2016" s="145"/>
    </row>
    <row r="2017" spans="9:16" ht="18">
      <c r="I2017" s="26"/>
      <c r="J2017" s="26"/>
      <c r="K2017" s="26"/>
      <c r="L2017" s="26"/>
      <c r="M2017" s="373"/>
      <c r="N2017" s="373"/>
      <c r="O2017" s="373"/>
      <c r="P2017" s="145"/>
    </row>
    <row r="2018" spans="9:16">
      <c r="J2018" s="617" t="s">
        <v>2527</v>
      </c>
      <c r="K2018" s="617"/>
      <c r="L2018" s="617"/>
      <c r="M2018" s="617"/>
      <c r="N2018" s="617"/>
      <c r="O2018" s="617"/>
      <c r="P2018" s="617"/>
    </row>
    <row r="2021" spans="9:16" ht="49.5" customHeight="1">
      <c r="I2021" s="618" t="s">
        <v>1</v>
      </c>
      <c r="J2021" s="618"/>
      <c r="K2021" s="618"/>
      <c r="L2021" s="618"/>
      <c r="M2021" s="618"/>
      <c r="N2021" s="618"/>
      <c r="O2021" s="618"/>
      <c r="P2021" s="618"/>
    </row>
    <row r="2024" spans="9:16" ht="17.25">
      <c r="I2024" s="30"/>
      <c r="J2024" s="503" t="s">
        <v>2889</v>
      </c>
    </row>
    <row r="2025" spans="9:16" ht="17.25" thickBot="1">
      <c r="I2025" s="30"/>
      <c r="O2025" s="141"/>
    </row>
    <row r="2026" spans="9:16">
      <c r="J2026" s="30"/>
      <c r="N2026" s="143"/>
      <c r="P2026" s="144"/>
    </row>
    <row r="2027" spans="9:16">
      <c r="N2027" s="619" t="s">
        <v>1904</v>
      </c>
      <c r="O2027" s="620"/>
      <c r="P2027" s="621"/>
    </row>
    <row r="2028" spans="9:16">
      <c r="I2028" s="12" t="s">
        <v>114</v>
      </c>
      <c r="L2028" s="30" t="s">
        <v>2</v>
      </c>
      <c r="N2028" s="605" t="s">
        <v>1905</v>
      </c>
      <c r="O2028" s="605"/>
      <c r="P2028" s="649"/>
    </row>
    <row r="2029" spans="9:16">
      <c r="N2029" s="601" t="s">
        <v>163</v>
      </c>
      <c r="O2029" s="602"/>
      <c r="P2029" s="603"/>
    </row>
    <row r="2030" spans="9:16" ht="17.25" thickBot="1">
      <c r="N2030" s="140"/>
      <c r="O2030" s="141"/>
      <c r="P2030" s="142"/>
    </row>
    <row r="2032" spans="9:16">
      <c r="J2032" s="30" t="s">
        <v>27</v>
      </c>
      <c r="K2032" s="30" t="s">
        <v>775</v>
      </c>
    </row>
    <row r="2033" spans="9:16" ht="17.25" thickBot="1"/>
    <row r="2034" spans="9:16" ht="17.25" thickBot="1">
      <c r="I2034" s="556" t="s">
        <v>112</v>
      </c>
      <c r="J2034" s="657" t="s">
        <v>4</v>
      </c>
      <c r="K2034" s="658"/>
      <c r="L2034" s="658"/>
      <c r="M2034" s="658"/>
      <c r="N2034" s="658"/>
      <c r="O2034" s="659"/>
      <c r="P2034" s="555" t="s">
        <v>5</v>
      </c>
    </row>
    <row r="2035" spans="9:16" ht="15" customHeight="1">
      <c r="I2035" s="633" t="s">
        <v>2806</v>
      </c>
      <c r="J2035" s="143"/>
      <c r="K2035" s="159"/>
      <c r="L2035" s="159"/>
      <c r="M2035" s="159"/>
      <c r="N2035" s="159"/>
      <c r="O2035" s="144"/>
      <c r="P2035" s="291"/>
    </row>
    <row r="2036" spans="9:16">
      <c r="I2036" s="634"/>
      <c r="J2036" s="64"/>
      <c r="O2036" s="65"/>
      <c r="P2036" s="291"/>
    </row>
    <row r="2037" spans="9:16">
      <c r="I2037" s="634"/>
      <c r="J2037" s="66"/>
      <c r="K2037" s="367"/>
      <c r="L2037" s="367" t="s">
        <v>286</v>
      </c>
      <c r="M2037" s="367"/>
      <c r="N2037" s="367"/>
      <c r="O2037" s="67"/>
      <c r="P2037" s="291"/>
    </row>
    <row r="2038" spans="9:16">
      <c r="I2038" s="634"/>
      <c r="J2038" s="385"/>
      <c r="K2038" s="187"/>
      <c r="L2038" s="147" t="s">
        <v>2888</v>
      </c>
      <c r="M2038" s="187"/>
      <c r="N2038" s="187"/>
      <c r="O2038" s="132"/>
      <c r="P2038" s="548">
        <v>4000000</v>
      </c>
    </row>
    <row r="2039" spans="9:16" ht="15" customHeight="1">
      <c r="I2039" s="634"/>
      <c r="J2039" s="64"/>
      <c r="K2039" s="604"/>
      <c r="L2039" s="604"/>
      <c r="M2039" s="604"/>
      <c r="O2039" s="65"/>
      <c r="P2039" s="291"/>
    </row>
    <row r="2040" spans="9:16" ht="15.75" customHeight="1" thickBot="1">
      <c r="I2040" s="635"/>
      <c r="J2040" s="140"/>
      <c r="K2040" s="141"/>
      <c r="L2040" s="141"/>
      <c r="M2040" s="141"/>
      <c r="N2040" s="141"/>
      <c r="O2040" s="142"/>
      <c r="P2040" s="291"/>
    </row>
    <row r="2041" spans="9:16" ht="17.25" thickBot="1">
      <c r="I2041" s="20" t="s">
        <v>12</v>
      </c>
      <c r="J2041" s="614" t="s">
        <v>13</v>
      </c>
      <c r="K2041" s="615"/>
      <c r="L2041" s="62" t="s">
        <v>14</v>
      </c>
      <c r="M2041" s="63"/>
      <c r="N2041" s="62" t="s">
        <v>15</v>
      </c>
      <c r="O2041" s="62" t="s">
        <v>16</v>
      </c>
      <c r="P2041" s="20" t="s">
        <v>17</v>
      </c>
    </row>
    <row r="2042" spans="9:16" ht="18" thickBot="1">
      <c r="I2042" s="22" t="s">
        <v>18</v>
      </c>
      <c r="J2042" s="606">
        <f>+P2038</f>
        <v>4000000</v>
      </c>
      <c r="K2042" s="607"/>
      <c r="L2042" s="23">
        <f>0</f>
        <v>0</v>
      </c>
      <c r="M2042" s="24"/>
      <c r="N2042" s="25">
        <f>0</f>
        <v>0</v>
      </c>
      <c r="O2042" s="36">
        <f>+J2042</f>
        <v>4000000</v>
      </c>
      <c r="P2042" s="38">
        <f>+P2038</f>
        <v>4000000</v>
      </c>
    </row>
    <row r="2043" spans="9:16" ht="18" thickBot="1">
      <c r="I2043" s="22" t="s">
        <v>113</v>
      </c>
      <c r="J2043" s="606">
        <f>+J2042/650.599</f>
        <v>6148.1803691674895</v>
      </c>
      <c r="K2043" s="607"/>
      <c r="L2043" s="23">
        <f>0</f>
        <v>0</v>
      </c>
      <c r="M2043" s="24"/>
      <c r="N2043" s="25">
        <f>0</f>
        <v>0</v>
      </c>
      <c r="O2043" s="36">
        <f>+J2043</f>
        <v>6148.1803691674895</v>
      </c>
      <c r="P2043" s="38">
        <f>+O2043</f>
        <v>6148.1803691674895</v>
      </c>
    </row>
    <row r="2045" spans="9:16">
      <c r="I2045" s="412" t="s">
        <v>1775</v>
      </c>
      <c r="J2045" s="26"/>
      <c r="K2045" s="26"/>
      <c r="L2045" s="26"/>
      <c r="M2045" s="26"/>
      <c r="N2045" s="26"/>
      <c r="O2045" s="26"/>
    </row>
    <row r="2046" spans="9:16">
      <c r="I2046" s="413" t="s">
        <v>2053</v>
      </c>
      <c r="J2046" s="26"/>
      <c r="K2046" s="26"/>
      <c r="L2046" s="26"/>
      <c r="M2046" s="26"/>
      <c r="N2046" s="26"/>
      <c r="O2046" s="26"/>
    </row>
    <row r="2047" spans="9:16">
      <c r="I2047" s="82" t="s">
        <v>19</v>
      </c>
      <c r="J2047" s="26"/>
      <c r="K2047" s="26"/>
      <c r="L2047" s="26"/>
      <c r="M2047" s="26"/>
      <c r="N2047" s="26"/>
      <c r="O2047" s="26"/>
    </row>
    <row r="2048" spans="9:16">
      <c r="I2048" s="26" t="s">
        <v>965</v>
      </c>
      <c r="J2048" s="26"/>
      <c r="K2048" s="26"/>
      <c r="L2048" s="26"/>
      <c r="M2048" s="26"/>
      <c r="N2048" s="26"/>
      <c r="O2048" s="26"/>
    </row>
    <row r="2049" spans="9:16">
      <c r="I2049" s="26" t="s">
        <v>21</v>
      </c>
      <c r="J2049" s="26"/>
      <c r="K2049" s="26"/>
      <c r="L2049" s="26"/>
      <c r="M2049" s="26"/>
      <c r="N2049" s="26"/>
      <c r="O2049" s="26"/>
    </row>
    <row r="2050" spans="9:16">
      <c r="I2050" s="26" t="s">
        <v>1229</v>
      </c>
      <c r="J2050" s="26"/>
      <c r="K2050" s="26"/>
      <c r="L2050" s="26"/>
      <c r="M2050" s="26"/>
      <c r="N2050" s="26"/>
      <c r="O2050" s="26"/>
    </row>
    <row r="2053" spans="9:16">
      <c r="L2053" s="30" t="s">
        <v>811</v>
      </c>
      <c r="N2053" s="30"/>
      <c r="O2053" s="30"/>
    </row>
    <row r="2054" spans="9:16">
      <c r="L2054" s="30" t="s">
        <v>149</v>
      </c>
      <c r="N2054" s="30"/>
      <c r="O2054" s="30"/>
    </row>
    <row r="2055" spans="9:16">
      <c r="L2055" s="605" t="s">
        <v>150</v>
      </c>
      <c r="M2055" s="605"/>
      <c r="N2055" s="605"/>
      <c r="O2055" s="605"/>
    </row>
    <row r="2056" spans="9:16">
      <c r="L2056" s="30"/>
    </row>
    <row r="2057" spans="9:16">
      <c r="M2057" s="26"/>
      <c r="N2057" s="26"/>
      <c r="O2057" s="26"/>
    </row>
    <row r="2058" spans="9:16" ht="18">
      <c r="I2058" s="26"/>
      <c r="J2058" s="26"/>
      <c r="K2058" s="26"/>
      <c r="L2058" s="259"/>
      <c r="M2058" s="259"/>
      <c r="N2058" s="259"/>
      <c r="O2058" s="259"/>
      <c r="P2058" s="145"/>
    </row>
    <row r="2059" spans="9:16" ht="18">
      <c r="I2059" s="26"/>
      <c r="J2059" s="26"/>
      <c r="K2059" s="26"/>
      <c r="L2059" s="644"/>
      <c r="M2059" s="644"/>
      <c r="N2059" s="644"/>
      <c r="O2059" s="644"/>
      <c r="P2059" s="145"/>
    </row>
    <row r="2060" spans="9:16" ht="18">
      <c r="I2060" s="26"/>
      <c r="J2060" s="26"/>
      <c r="K2060" s="26"/>
      <c r="L2060" s="361"/>
      <c r="M2060" s="361"/>
      <c r="N2060" s="361"/>
      <c r="O2060" s="361"/>
      <c r="P2060" s="145"/>
    </row>
    <row r="2061" spans="9:16">
      <c r="J2061" s="617" t="s">
        <v>0</v>
      </c>
      <c r="K2061" s="617"/>
      <c r="L2061" s="617"/>
      <c r="M2061" s="617"/>
      <c r="N2061" s="617"/>
      <c r="O2061" s="617"/>
      <c r="P2061" s="617"/>
    </row>
    <row r="2064" spans="9:16" ht="49.5">
      <c r="K2064" s="642" t="s">
        <v>1</v>
      </c>
      <c r="L2064" s="642"/>
      <c r="M2064" s="642"/>
      <c r="N2064" s="642"/>
    </row>
    <row r="2067" spans="9:16" ht="17.25">
      <c r="I2067" s="30"/>
      <c r="J2067" s="375" t="s">
        <v>1406</v>
      </c>
    </row>
    <row r="2068" spans="9:16" ht="17.25" thickBot="1">
      <c r="I2068" s="30"/>
      <c r="O2068" s="141"/>
    </row>
    <row r="2069" spans="9:16">
      <c r="J2069" s="30"/>
      <c r="N2069" s="143"/>
      <c r="P2069" s="144"/>
    </row>
    <row r="2070" spans="9:16">
      <c r="N2070" s="647" t="s">
        <v>2161</v>
      </c>
      <c r="O2070" s="610"/>
      <c r="P2070" s="648"/>
    </row>
    <row r="2071" spans="9:16">
      <c r="I2071" s="12" t="s">
        <v>114</v>
      </c>
      <c r="L2071" s="30" t="s">
        <v>2</v>
      </c>
      <c r="N2071" s="605" t="s">
        <v>2043</v>
      </c>
      <c r="O2071" s="605"/>
      <c r="P2071" s="649"/>
    </row>
    <row r="2072" spans="9:16">
      <c r="N2072" s="601" t="s">
        <v>163</v>
      </c>
      <c r="O2072" s="602"/>
      <c r="P2072" s="603"/>
    </row>
    <row r="2073" spans="9:16" ht="17.25" thickBot="1">
      <c r="N2073" s="140"/>
      <c r="O2073" s="141"/>
      <c r="P2073" s="142"/>
    </row>
    <row r="2075" spans="9:16">
      <c r="I2075" s="30" t="s">
        <v>27</v>
      </c>
      <c r="J2075" s="30" t="s">
        <v>1908</v>
      </c>
    </row>
    <row r="2076" spans="9:16" ht="17.25" thickBot="1"/>
    <row r="2077" spans="9:16" ht="17.25" thickBot="1">
      <c r="I2077" s="13" t="s">
        <v>112</v>
      </c>
      <c r="J2077" s="624" t="s">
        <v>4</v>
      </c>
      <c r="K2077" s="625"/>
      <c r="L2077" s="625"/>
      <c r="M2077" s="625"/>
      <c r="N2077" s="625"/>
      <c r="O2077" s="626"/>
      <c r="P2077" s="20" t="s">
        <v>5</v>
      </c>
    </row>
    <row r="2078" spans="9:16">
      <c r="I2078" s="627" t="s">
        <v>2272</v>
      </c>
      <c r="J2078" s="143"/>
      <c r="K2078" s="159"/>
      <c r="L2078" s="159"/>
      <c r="M2078" s="159"/>
      <c r="N2078" s="159"/>
      <c r="O2078" s="144"/>
      <c r="P2078" s="291"/>
    </row>
    <row r="2079" spans="9:16">
      <c r="I2079" s="628"/>
      <c r="J2079" s="64"/>
      <c r="O2079" s="65"/>
      <c r="P2079" s="291"/>
    </row>
    <row r="2080" spans="9:16">
      <c r="I2080" s="628"/>
      <c r="J2080" s="66"/>
      <c r="K2080" s="367"/>
      <c r="L2080" s="367" t="s">
        <v>286</v>
      </c>
      <c r="M2080" s="367"/>
      <c r="N2080" s="367"/>
      <c r="O2080" s="67"/>
      <c r="P2080" s="291"/>
    </row>
    <row r="2081" spans="9:16">
      <c r="I2081" s="628"/>
      <c r="J2081" s="385"/>
      <c r="K2081" s="187"/>
      <c r="L2081" s="147" t="s">
        <v>2044</v>
      </c>
      <c r="M2081" s="187"/>
      <c r="N2081" s="187"/>
      <c r="O2081" s="132"/>
      <c r="P2081" s="148">
        <v>2400000</v>
      </c>
    </row>
    <row r="2082" spans="9:16">
      <c r="I2082" s="628"/>
      <c r="J2082" s="64"/>
      <c r="K2082" s="604"/>
      <c r="L2082" s="604"/>
      <c r="M2082" s="604"/>
      <c r="O2082" s="65"/>
      <c r="P2082" s="291"/>
    </row>
    <row r="2083" spans="9:16" ht="17.25" thickBot="1">
      <c r="I2083" s="629"/>
      <c r="J2083" s="140"/>
      <c r="K2083" s="141"/>
      <c r="L2083" s="141"/>
      <c r="M2083" s="141"/>
      <c r="N2083" s="141"/>
      <c r="O2083" s="142"/>
      <c r="P2083" s="291"/>
    </row>
    <row r="2084" spans="9:16" ht="17.25" thickBot="1">
      <c r="I2084" s="20" t="s">
        <v>12</v>
      </c>
      <c r="J2084" s="614" t="s">
        <v>13</v>
      </c>
      <c r="K2084" s="615"/>
      <c r="L2084" s="62" t="s">
        <v>14</v>
      </c>
      <c r="M2084" s="63"/>
      <c r="N2084" s="62" t="s">
        <v>15</v>
      </c>
      <c r="O2084" s="62" t="s">
        <v>16</v>
      </c>
      <c r="P2084" s="20" t="s">
        <v>17</v>
      </c>
    </row>
    <row r="2085" spans="9:16" ht="18" thickBot="1">
      <c r="I2085" s="22" t="s">
        <v>18</v>
      </c>
      <c r="J2085" s="606">
        <f>+P2081</f>
        <v>2400000</v>
      </c>
      <c r="K2085" s="607"/>
      <c r="L2085" s="23">
        <f>0</f>
        <v>0</v>
      </c>
      <c r="M2085" s="24"/>
      <c r="N2085" s="25">
        <f>0</f>
        <v>0</v>
      </c>
      <c r="O2085" s="36">
        <f>+J2085</f>
        <v>2400000</v>
      </c>
      <c r="P2085" s="38">
        <f>+P2081</f>
        <v>2400000</v>
      </c>
    </row>
    <row r="2086" spans="9:16" ht="18" thickBot="1">
      <c r="I2086" s="22" t="s">
        <v>113</v>
      </c>
      <c r="J2086" s="606">
        <f>+J2085/650.599</f>
        <v>3688.9082215004937</v>
      </c>
      <c r="K2086" s="607"/>
      <c r="L2086" s="23">
        <f>0</f>
        <v>0</v>
      </c>
      <c r="M2086" s="24"/>
      <c r="N2086" s="25">
        <f>0</f>
        <v>0</v>
      </c>
      <c r="O2086" s="36">
        <f>+J2086</f>
        <v>3688.9082215004937</v>
      </c>
      <c r="P2086" s="38">
        <f>+O2086</f>
        <v>3688.9082215004937</v>
      </c>
    </row>
    <row r="2088" spans="9:16">
      <c r="I2088" s="412" t="s">
        <v>1382</v>
      </c>
      <c r="J2088" s="26"/>
      <c r="K2088" s="26"/>
      <c r="L2088" s="26"/>
      <c r="M2088" s="26"/>
      <c r="N2088" s="26"/>
      <c r="O2088" s="26"/>
    </row>
    <row r="2089" spans="9:16">
      <c r="I2089" s="408" t="s">
        <v>2162</v>
      </c>
      <c r="J2089" s="26"/>
      <c r="K2089" s="26"/>
      <c r="L2089" s="26"/>
      <c r="M2089" s="26"/>
      <c r="N2089" s="26"/>
      <c r="O2089" s="26"/>
    </row>
    <row r="2090" spans="9:16">
      <c r="I2090" s="82" t="s">
        <v>19</v>
      </c>
      <c r="J2090" s="26"/>
      <c r="K2090" s="26"/>
      <c r="L2090" s="26"/>
      <c r="M2090" s="26"/>
      <c r="N2090" s="26"/>
      <c r="O2090" s="26"/>
    </row>
    <row r="2091" spans="9:16">
      <c r="I2091" s="26" t="s">
        <v>965</v>
      </c>
      <c r="J2091" s="26"/>
      <c r="K2091" s="26"/>
      <c r="L2091" s="26"/>
      <c r="M2091" s="26"/>
      <c r="N2091" s="26"/>
      <c r="O2091" s="26"/>
    </row>
    <row r="2092" spans="9:16">
      <c r="I2092" s="26" t="s">
        <v>21</v>
      </c>
      <c r="J2092" s="26"/>
      <c r="K2092" s="26"/>
      <c r="L2092" s="26"/>
      <c r="M2092" s="26"/>
      <c r="N2092" s="26"/>
      <c r="O2092" s="26"/>
    </row>
    <row r="2093" spans="9:16">
      <c r="I2093" s="26" t="s">
        <v>1229</v>
      </c>
      <c r="J2093" s="26"/>
      <c r="K2093" s="26"/>
      <c r="L2093" s="26"/>
      <c r="M2093" s="26"/>
      <c r="N2093" s="26"/>
      <c r="O2093" s="26"/>
    </row>
    <row r="2096" spans="9:16">
      <c r="L2096" s="30" t="s">
        <v>811</v>
      </c>
      <c r="N2096" s="30"/>
      <c r="O2096" s="30"/>
    </row>
    <row r="2097" spans="9:16">
      <c r="L2097" s="30" t="s">
        <v>149</v>
      </c>
      <c r="N2097" s="30"/>
      <c r="O2097" s="30"/>
    </row>
    <row r="2098" spans="9:16">
      <c r="L2098" s="605" t="s">
        <v>150</v>
      </c>
      <c r="M2098" s="605"/>
      <c r="N2098" s="605"/>
      <c r="O2098" s="605"/>
    </row>
    <row r="2099" spans="9:16">
      <c r="L2099" s="30"/>
    </row>
    <row r="2100" spans="9:16">
      <c r="I2100" s="617" t="s">
        <v>2530</v>
      </c>
      <c r="J2100" s="617"/>
      <c r="K2100" s="617"/>
      <c r="L2100" s="617"/>
      <c r="M2100" s="617"/>
      <c r="N2100" s="617"/>
      <c r="O2100" s="617"/>
      <c r="P2100" s="617"/>
    </row>
    <row r="2103" spans="9:16" ht="49.5">
      <c r="K2103" s="642" t="s">
        <v>1</v>
      </c>
      <c r="L2103" s="642"/>
      <c r="M2103" s="642"/>
      <c r="N2103" s="642"/>
    </row>
    <row r="2106" spans="9:16" ht="17.25">
      <c r="I2106" s="30"/>
      <c r="J2106" s="375" t="s">
        <v>1902</v>
      </c>
    </row>
    <row r="2107" spans="9:16" ht="17.25" thickBot="1">
      <c r="I2107" s="30"/>
      <c r="O2107" s="141"/>
    </row>
    <row r="2108" spans="9:16">
      <c r="J2108" s="30"/>
      <c r="N2108" s="143"/>
      <c r="P2108" s="144"/>
    </row>
    <row r="2109" spans="9:16">
      <c r="N2109" s="647" t="s">
        <v>778</v>
      </c>
      <c r="O2109" s="610"/>
      <c r="P2109" s="648"/>
    </row>
    <row r="2110" spans="9:16">
      <c r="I2110" s="12" t="s">
        <v>114</v>
      </c>
      <c r="L2110" s="30" t="s">
        <v>2</v>
      </c>
      <c r="N2110" s="605" t="s">
        <v>1776</v>
      </c>
      <c r="O2110" s="605"/>
      <c r="P2110" s="649"/>
    </row>
    <row r="2111" spans="9:16">
      <c r="N2111" s="601" t="s">
        <v>163</v>
      </c>
      <c r="O2111" s="602"/>
      <c r="P2111" s="603"/>
    </row>
    <row r="2112" spans="9:16" ht="17.25" thickBot="1">
      <c r="N2112" s="140"/>
      <c r="O2112" s="141"/>
      <c r="P2112" s="142"/>
    </row>
    <row r="2114" spans="9:16">
      <c r="I2114" s="30" t="s">
        <v>27</v>
      </c>
      <c r="J2114" s="30" t="s">
        <v>775</v>
      </c>
    </row>
    <row r="2115" spans="9:16" ht="17.25" thickBot="1"/>
    <row r="2116" spans="9:16" ht="17.25" thickBot="1">
      <c r="I2116" s="13" t="s">
        <v>112</v>
      </c>
      <c r="J2116" s="624" t="s">
        <v>4</v>
      </c>
      <c r="K2116" s="625"/>
      <c r="L2116" s="625"/>
      <c r="M2116" s="625"/>
      <c r="N2116" s="625"/>
      <c r="O2116" s="626"/>
      <c r="P2116" s="20" t="s">
        <v>5</v>
      </c>
    </row>
    <row r="2117" spans="9:16">
      <c r="I2117" s="627" t="s">
        <v>2445</v>
      </c>
      <c r="J2117" s="143"/>
      <c r="K2117" s="159"/>
      <c r="L2117" s="159"/>
      <c r="M2117" s="159"/>
      <c r="N2117" s="159"/>
      <c r="O2117" s="144"/>
      <c r="P2117" s="291"/>
    </row>
    <row r="2118" spans="9:16">
      <c r="I2118" s="628"/>
      <c r="J2118" s="64"/>
      <c r="O2118" s="65"/>
      <c r="P2118" s="291"/>
    </row>
    <row r="2119" spans="9:16">
      <c r="I2119" s="628"/>
      <c r="J2119" s="66"/>
      <c r="K2119" s="367"/>
      <c r="L2119" s="367" t="s">
        <v>286</v>
      </c>
      <c r="M2119" s="367"/>
      <c r="N2119" s="367"/>
      <c r="O2119" s="67"/>
      <c r="P2119" s="291"/>
    </row>
    <row r="2120" spans="9:16">
      <c r="I2120" s="628"/>
      <c r="J2120" s="385"/>
      <c r="K2120" s="187"/>
      <c r="L2120" s="147" t="s">
        <v>2257</v>
      </c>
      <c r="M2120" s="187"/>
      <c r="N2120" s="187"/>
      <c r="O2120" s="132"/>
      <c r="P2120" s="148">
        <v>750000</v>
      </c>
    </row>
    <row r="2121" spans="9:16">
      <c r="I2121" s="628"/>
      <c r="J2121" s="64"/>
      <c r="K2121" s="604"/>
      <c r="L2121" s="604"/>
      <c r="M2121" s="604"/>
      <c r="O2121" s="65"/>
      <c r="P2121" s="291"/>
    </row>
    <row r="2122" spans="9:16" ht="17.25" thickBot="1">
      <c r="I2122" s="629"/>
      <c r="J2122" s="140"/>
      <c r="K2122" s="141"/>
      <c r="L2122" s="141"/>
      <c r="M2122" s="141"/>
      <c r="N2122" s="141"/>
      <c r="O2122" s="142"/>
      <c r="P2122" s="291"/>
    </row>
    <row r="2123" spans="9:16" ht="17.25" thickBot="1">
      <c r="I2123" s="20" t="s">
        <v>12</v>
      </c>
      <c r="J2123" s="614" t="s">
        <v>13</v>
      </c>
      <c r="K2123" s="615"/>
      <c r="L2123" s="62" t="s">
        <v>14</v>
      </c>
      <c r="M2123" s="63"/>
      <c r="N2123" s="62" t="s">
        <v>15</v>
      </c>
      <c r="O2123" s="62" t="s">
        <v>16</v>
      </c>
      <c r="P2123" s="20" t="s">
        <v>17</v>
      </c>
    </row>
    <row r="2124" spans="9:16" ht="18" thickBot="1">
      <c r="I2124" s="22" t="s">
        <v>18</v>
      </c>
      <c r="J2124" s="606">
        <f>+P2120</f>
        <v>750000</v>
      </c>
      <c r="K2124" s="607"/>
      <c r="L2124" s="23">
        <f>0</f>
        <v>0</v>
      </c>
      <c r="M2124" s="24"/>
      <c r="N2124" s="25">
        <f>0</f>
        <v>0</v>
      </c>
      <c r="O2124" s="36">
        <f>+J2124</f>
        <v>750000</v>
      </c>
      <c r="P2124" s="38">
        <f>+P2120</f>
        <v>750000</v>
      </c>
    </row>
    <row r="2125" spans="9:16" ht="18" thickBot="1">
      <c r="I2125" s="22" t="s">
        <v>113</v>
      </c>
      <c r="J2125" s="606">
        <f>+J2124/650.599</f>
        <v>1152.7838192189045</v>
      </c>
      <c r="K2125" s="607"/>
      <c r="L2125" s="23">
        <f>0</f>
        <v>0</v>
      </c>
      <c r="M2125" s="24"/>
      <c r="N2125" s="25">
        <f>0</f>
        <v>0</v>
      </c>
      <c r="O2125" s="36">
        <f>+J2125</f>
        <v>1152.7838192189045</v>
      </c>
      <c r="P2125" s="38">
        <f>+O2125</f>
        <v>1152.7838192189045</v>
      </c>
    </row>
    <row r="2127" spans="9:16">
      <c r="I2127" s="412" t="s">
        <v>1268</v>
      </c>
      <c r="J2127" s="26"/>
      <c r="K2127" s="26"/>
      <c r="L2127" s="26"/>
      <c r="M2127" s="26"/>
      <c r="N2127" s="26"/>
      <c r="O2127" s="26"/>
    </row>
    <row r="2128" spans="9:16" ht="17.25">
      <c r="I2128" s="458" t="s">
        <v>2309</v>
      </c>
      <c r="J2128" s="26"/>
      <c r="K2128" s="26"/>
      <c r="L2128" s="26"/>
      <c r="M2128" s="26"/>
      <c r="N2128" s="26"/>
      <c r="O2128" s="26"/>
    </row>
    <row r="2129" spans="9:16">
      <c r="I2129" s="82" t="s">
        <v>19</v>
      </c>
      <c r="J2129" s="26"/>
      <c r="K2129" s="26"/>
      <c r="L2129" s="26"/>
      <c r="M2129" s="26"/>
      <c r="N2129" s="26"/>
      <c r="O2129" s="26"/>
    </row>
    <row r="2130" spans="9:16">
      <c r="I2130" s="26" t="s">
        <v>965</v>
      </c>
      <c r="J2130" s="26"/>
      <c r="K2130" s="26"/>
      <c r="L2130" s="26"/>
      <c r="M2130" s="26"/>
      <c r="N2130" s="26"/>
      <c r="O2130" s="26"/>
    </row>
    <row r="2131" spans="9:16">
      <c r="I2131" s="26" t="s">
        <v>21</v>
      </c>
      <c r="J2131" s="26"/>
      <c r="K2131" s="26"/>
      <c r="L2131" s="26"/>
      <c r="M2131" s="26"/>
      <c r="N2131" s="26"/>
      <c r="O2131" s="26"/>
    </row>
    <row r="2132" spans="9:16">
      <c r="I2132" s="26" t="s">
        <v>1229</v>
      </c>
      <c r="J2132" s="26"/>
      <c r="K2132" s="26"/>
      <c r="L2132" s="26"/>
      <c r="M2132" s="26"/>
      <c r="N2132" s="26"/>
      <c r="O2132" s="26"/>
    </row>
    <row r="2135" spans="9:16">
      <c r="L2135" s="30" t="s">
        <v>811</v>
      </c>
      <c r="N2135" s="30"/>
      <c r="O2135" s="30"/>
    </row>
    <row r="2136" spans="9:16">
      <c r="L2136" s="30" t="s">
        <v>149</v>
      </c>
      <c r="N2136" s="30"/>
      <c r="O2136" s="30"/>
    </row>
    <row r="2137" spans="9:16">
      <c r="L2137" s="605" t="s">
        <v>150</v>
      </c>
      <c r="M2137" s="605"/>
      <c r="N2137" s="605"/>
      <c r="O2137" s="605"/>
    </row>
    <row r="2138" spans="9:16">
      <c r="L2138" s="30"/>
    </row>
    <row r="2139" spans="9:16">
      <c r="M2139" s="26"/>
      <c r="N2139" s="26"/>
      <c r="O2139" s="26"/>
    </row>
    <row r="2140" spans="9:16" ht="17.25">
      <c r="L2140" s="644" t="s">
        <v>2347</v>
      </c>
      <c r="M2140" s="644"/>
      <c r="N2140" s="644"/>
      <c r="O2140" s="644"/>
    </row>
    <row r="2141" spans="9:16" ht="18">
      <c r="I2141" s="26"/>
      <c r="J2141" s="26"/>
      <c r="K2141" s="26"/>
      <c r="L2141" s="644"/>
      <c r="M2141" s="644"/>
      <c r="N2141" s="644"/>
      <c r="O2141" s="644"/>
      <c r="P2141" s="145"/>
    </row>
    <row r="2142" spans="9:16" ht="21.75" customHeight="1">
      <c r="J2142" s="617" t="s">
        <v>2534</v>
      </c>
      <c r="K2142" s="617"/>
      <c r="L2142" s="617"/>
      <c r="M2142" s="617"/>
      <c r="N2142" s="617"/>
      <c r="O2142" s="617"/>
      <c r="P2142" s="617"/>
    </row>
    <row r="2145" spans="9:16" ht="60" customHeight="1">
      <c r="I2145" s="661" t="s">
        <v>1</v>
      </c>
      <c r="J2145" s="661"/>
      <c r="K2145" s="661"/>
      <c r="L2145" s="661"/>
      <c r="M2145" s="661"/>
      <c r="N2145" s="661"/>
      <c r="O2145" s="661"/>
      <c r="P2145" s="661"/>
    </row>
    <row r="2148" spans="9:16" ht="17.25">
      <c r="I2148" s="30"/>
      <c r="J2148" s="503" t="s">
        <v>1394</v>
      </c>
    </row>
    <row r="2149" spans="9:16" ht="17.25" thickBot="1">
      <c r="I2149" s="30"/>
      <c r="O2149" s="141"/>
    </row>
    <row r="2150" spans="9:16">
      <c r="J2150" s="30"/>
      <c r="N2150" s="143"/>
      <c r="P2150" s="144"/>
    </row>
    <row r="2151" spans="9:16">
      <c r="N2151" s="647" t="s">
        <v>2167</v>
      </c>
      <c r="O2151" s="610"/>
      <c r="P2151" s="648"/>
    </row>
    <row r="2152" spans="9:16">
      <c r="I2152" s="12" t="s">
        <v>114</v>
      </c>
      <c r="L2152" s="30" t="s">
        <v>2</v>
      </c>
      <c r="N2152" s="605" t="s">
        <v>1779</v>
      </c>
      <c r="O2152" s="605"/>
      <c r="P2152" s="649"/>
    </row>
    <row r="2153" spans="9:16">
      <c r="N2153" s="601" t="s">
        <v>163</v>
      </c>
      <c r="O2153" s="602"/>
      <c r="P2153" s="603"/>
    </row>
    <row r="2154" spans="9:16" ht="17.25" thickBot="1">
      <c r="N2154" s="140"/>
      <c r="O2154" s="141"/>
      <c r="P2154" s="142"/>
    </row>
    <row r="2156" spans="9:16">
      <c r="I2156" s="30" t="s">
        <v>27</v>
      </c>
      <c r="J2156" s="30" t="s">
        <v>775</v>
      </c>
    </row>
    <row r="2157" spans="9:16" ht="17.25" thickBot="1"/>
    <row r="2158" spans="9:16" ht="17.25" thickBot="1">
      <c r="I2158" s="13" t="s">
        <v>112</v>
      </c>
      <c r="J2158" s="624" t="s">
        <v>4</v>
      </c>
      <c r="K2158" s="625"/>
      <c r="L2158" s="625"/>
      <c r="M2158" s="625"/>
      <c r="N2158" s="625"/>
      <c r="O2158" s="626"/>
      <c r="P2158" s="20" t="s">
        <v>5</v>
      </c>
    </row>
    <row r="2159" spans="9:16">
      <c r="I2159" s="633" t="s">
        <v>2445</v>
      </c>
      <c r="J2159" s="143"/>
      <c r="K2159" s="159"/>
      <c r="L2159" s="159"/>
      <c r="M2159" s="159"/>
      <c r="N2159" s="159"/>
      <c r="O2159" s="144"/>
      <c r="P2159" s="291"/>
    </row>
    <row r="2160" spans="9:16">
      <c r="I2160" s="634"/>
      <c r="J2160" s="64"/>
      <c r="O2160" s="65"/>
      <c r="P2160" s="291"/>
    </row>
    <row r="2161" spans="9:16">
      <c r="I2161" s="634"/>
      <c r="J2161" s="66"/>
      <c r="K2161" s="367"/>
      <c r="L2161" s="367" t="s">
        <v>286</v>
      </c>
      <c r="M2161" s="367"/>
      <c r="N2161" s="367"/>
      <c r="O2161" s="67"/>
      <c r="P2161" s="291"/>
    </row>
    <row r="2162" spans="9:16">
      <c r="I2162" s="634"/>
      <c r="J2162" s="385"/>
      <c r="K2162" s="187"/>
      <c r="L2162" s="147" t="s">
        <v>2137</v>
      </c>
      <c r="M2162" s="187"/>
      <c r="N2162" s="187"/>
      <c r="O2162" s="132"/>
      <c r="P2162" s="148">
        <v>3000000</v>
      </c>
    </row>
    <row r="2163" spans="9:16">
      <c r="I2163" s="634"/>
      <c r="J2163" s="64"/>
      <c r="K2163" s="30"/>
      <c r="L2163" s="30"/>
      <c r="M2163" s="30"/>
      <c r="O2163" s="65"/>
      <c r="P2163" s="291"/>
    </row>
    <row r="2164" spans="9:16" ht="17.25" thickBot="1">
      <c r="I2164" s="635"/>
      <c r="J2164" s="140"/>
      <c r="K2164" s="141"/>
      <c r="L2164" s="141"/>
      <c r="M2164" s="141"/>
      <c r="N2164" s="141"/>
      <c r="O2164" s="142"/>
      <c r="P2164" s="291"/>
    </row>
    <row r="2165" spans="9:16" ht="17.25" thickBot="1">
      <c r="I2165" s="20" t="s">
        <v>12</v>
      </c>
      <c r="J2165" s="614" t="s">
        <v>13</v>
      </c>
      <c r="K2165" s="615"/>
      <c r="L2165" s="62" t="s">
        <v>14</v>
      </c>
      <c r="M2165" s="63"/>
      <c r="N2165" s="62" t="s">
        <v>15</v>
      </c>
      <c r="O2165" s="62" t="s">
        <v>16</v>
      </c>
      <c r="P2165" s="20" t="s">
        <v>17</v>
      </c>
    </row>
    <row r="2166" spans="9:16" ht="18" thickBot="1">
      <c r="I2166" s="22" t="s">
        <v>18</v>
      </c>
      <c r="J2166" s="606">
        <f>+P2162</f>
        <v>3000000</v>
      </c>
      <c r="K2166" s="607"/>
      <c r="L2166" s="23">
        <f>0</f>
        <v>0</v>
      </c>
      <c r="M2166" s="24"/>
      <c r="N2166" s="25">
        <f>0</f>
        <v>0</v>
      </c>
      <c r="O2166" s="36">
        <f>+J2166</f>
        <v>3000000</v>
      </c>
      <c r="P2166" s="38">
        <f>+P2162</f>
        <v>3000000</v>
      </c>
    </row>
    <row r="2167" spans="9:16" ht="18" thickBot="1">
      <c r="I2167" s="22" t="s">
        <v>113</v>
      </c>
      <c r="J2167" s="606">
        <f>+J2166/650.599</f>
        <v>4611.1352768756178</v>
      </c>
      <c r="K2167" s="607"/>
      <c r="L2167" s="23">
        <f>0</f>
        <v>0</v>
      </c>
      <c r="M2167" s="24"/>
      <c r="N2167" s="25">
        <f>0</f>
        <v>0</v>
      </c>
      <c r="O2167" s="36">
        <f>+J2167</f>
        <v>4611.1352768756178</v>
      </c>
      <c r="P2167" s="38">
        <f>+O2167</f>
        <v>4611.1352768756178</v>
      </c>
    </row>
    <row r="2168" spans="9:16" ht="7.5" customHeight="1"/>
    <row r="2169" spans="9:16">
      <c r="I2169" s="412" t="s">
        <v>1268</v>
      </c>
      <c r="J2169" s="26"/>
      <c r="K2169" s="26"/>
      <c r="L2169" s="26"/>
      <c r="M2169" s="26"/>
      <c r="N2169" s="26"/>
      <c r="O2169" s="26"/>
    </row>
    <row r="2170" spans="9:16">
      <c r="I2170" s="413" t="s">
        <v>2321</v>
      </c>
      <c r="J2170" s="26"/>
      <c r="K2170" s="26"/>
      <c r="L2170" s="26"/>
      <c r="M2170" s="26"/>
      <c r="N2170" s="26"/>
      <c r="O2170" s="26"/>
    </row>
    <row r="2171" spans="9:16">
      <c r="I2171" s="82" t="s">
        <v>19</v>
      </c>
      <c r="J2171" s="26"/>
      <c r="K2171" s="26"/>
      <c r="L2171" s="26"/>
      <c r="M2171" s="26"/>
      <c r="N2171" s="26"/>
      <c r="O2171" s="26"/>
    </row>
    <row r="2172" spans="9:16">
      <c r="I2172" s="26" t="s">
        <v>965</v>
      </c>
      <c r="J2172" s="26"/>
      <c r="K2172" s="26"/>
      <c r="L2172" s="26"/>
      <c r="M2172" s="26"/>
      <c r="N2172" s="26"/>
      <c r="O2172" s="26"/>
    </row>
    <row r="2173" spans="9:16">
      <c r="I2173" s="26" t="s">
        <v>21</v>
      </c>
      <c r="J2173" s="26"/>
      <c r="K2173" s="26"/>
      <c r="L2173" s="26"/>
      <c r="M2173" s="26"/>
      <c r="N2173" s="26"/>
      <c r="O2173" s="26"/>
    </row>
    <row r="2174" spans="9:16">
      <c r="I2174" s="26" t="s">
        <v>1229</v>
      </c>
      <c r="J2174" s="26"/>
      <c r="K2174" s="26"/>
      <c r="L2174" s="26"/>
      <c r="M2174" s="26"/>
      <c r="N2174" s="26"/>
      <c r="O2174" s="26"/>
    </row>
    <row r="2177" spans="9:16">
      <c r="L2177" s="30" t="s">
        <v>811</v>
      </c>
      <c r="N2177" s="30"/>
      <c r="O2177" s="30"/>
    </row>
    <row r="2178" spans="9:16">
      <c r="L2178" s="30" t="s">
        <v>149</v>
      </c>
      <c r="N2178" s="30"/>
      <c r="O2178" s="30"/>
    </row>
    <row r="2179" spans="9:16">
      <c r="L2179" s="605" t="s">
        <v>150</v>
      </c>
      <c r="M2179" s="605"/>
      <c r="N2179" s="605"/>
      <c r="O2179" s="605"/>
    </row>
    <row r="2180" spans="9:16">
      <c r="L2180" s="30"/>
    </row>
    <row r="2181" spans="9:16">
      <c r="M2181" s="26"/>
      <c r="N2181" s="26"/>
      <c r="O2181" s="26"/>
    </row>
    <row r="2182" spans="9:16" ht="18">
      <c r="I2182" s="26"/>
      <c r="J2182" s="26"/>
      <c r="K2182" s="26"/>
      <c r="L2182" s="644" t="s">
        <v>2347</v>
      </c>
      <c r="M2182" s="644"/>
      <c r="N2182" s="644"/>
      <c r="O2182" s="644"/>
      <c r="P2182" s="145"/>
    </row>
    <row r="2183" spans="9:16" ht="18">
      <c r="I2183" s="26"/>
      <c r="J2183" s="26"/>
      <c r="K2183" s="26"/>
      <c r="L2183" s="361"/>
      <c r="M2183" s="361"/>
      <c r="N2183" s="361"/>
      <c r="O2183" s="361"/>
      <c r="P2183" s="145"/>
    </row>
    <row r="2184" spans="9:16" ht="15.75" customHeight="1">
      <c r="J2184" s="617" t="s">
        <v>2526</v>
      </c>
      <c r="K2184" s="617"/>
      <c r="L2184" s="617"/>
      <c r="M2184" s="617"/>
      <c r="N2184" s="617"/>
      <c r="O2184" s="617"/>
      <c r="P2184" s="617"/>
    </row>
    <row r="2187" spans="9:16" ht="49.5">
      <c r="K2187" s="660" t="s">
        <v>907</v>
      </c>
      <c r="L2187" s="660"/>
      <c r="M2187" s="660"/>
      <c r="N2187" s="660"/>
    </row>
    <row r="2190" spans="9:16" ht="17.25">
      <c r="I2190" s="30"/>
      <c r="J2190" s="375" t="s">
        <v>2604</v>
      </c>
    </row>
    <row r="2191" spans="9:16" ht="17.25" thickBot="1">
      <c r="I2191" s="30"/>
      <c r="O2191" s="141"/>
    </row>
    <row r="2192" spans="9:16">
      <c r="J2192" s="30"/>
      <c r="N2192" s="143"/>
      <c r="P2192" s="144"/>
    </row>
    <row r="2193" spans="9:16">
      <c r="N2193" s="647" t="s">
        <v>780</v>
      </c>
      <c r="O2193" s="610"/>
      <c r="P2193" s="648"/>
    </row>
    <row r="2194" spans="9:16">
      <c r="I2194" s="12" t="s">
        <v>114</v>
      </c>
      <c r="L2194" s="30" t="s">
        <v>2</v>
      </c>
      <c r="N2194" s="605" t="s">
        <v>1680</v>
      </c>
      <c r="O2194" s="605"/>
      <c r="P2194" s="649"/>
    </row>
    <row r="2195" spans="9:16" ht="17.25">
      <c r="J2195" s="375"/>
      <c r="N2195" s="601" t="s">
        <v>29</v>
      </c>
      <c r="O2195" s="602"/>
      <c r="P2195" s="603"/>
    </row>
    <row r="2196" spans="9:16" ht="17.25" thickBot="1">
      <c r="I2196" s="12" t="s">
        <v>2603</v>
      </c>
      <c r="N2196" s="140"/>
      <c r="O2196" s="141"/>
      <c r="P2196" s="142"/>
    </row>
    <row r="2198" spans="9:16">
      <c r="J2198" s="30" t="s">
        <v>27</v>
      </c>
      <c r="K2198" s="30" t="s">
        <v>115</v>
      </c>
    </row>
    <row r="2199" spans="9:16" ht="17.25" thickBot="1"/>
    <row r="2200" spans="9:16" ht="17.25" thickBot="1">
      <c r="I2200" s="13" t="s">
        <v>112</v>
      </c>
      <c r="J2200" s="624" t="s">
        <v>4</v>
      </c>
      <c r="K2200" s="625"/>
      <c r="L2200" s="625"/>
      <c r="M2200" s="625"/>
      <c r="N2200" s="625"/>
      <c r="O2200" s="626"/>
      <c r="P2200" s="20" t="s">
        <v>5</v>
      </c>
    </row>
    <row r="2201" spans="9:16">
      <c r="I2201" s="633" t="s">
        <v>2605</v>
      </c>
      <c r="J2201" s="143"/>
      <c r="K2201" s="159"/>
      <c r="L2201" s="159"/>
      <c r="M2201" s="159"/>
      <c r="N2201" s="159"/>
      <c r="O2201" s="144"/>
      <c r="P2201" s="291"/>
    </row>
    <row r="2202" spans="9:16">
      <c r="I2202" s="634"/>
      <c r="J2202" s="64"/>
      <c r="O2202" s="65"/>
      <c r="P2202" s="291"/>
    </row>
    <row r="2203" spans="9:16">
      <c r="I2203" s="634"/>
      <c r="J2203" s="66"/>
      <c r="K2203" s="367"/>
      <c r="L2203" s="367" t="s">
        <v>286</v>
      </c>
      <c r="M2203" s="367"/>
      <c r="N2203" s="367"/>
      <c r="O2203" s="67"/>
      <c r="P2203" s="291"/>
    </row>
    <row r="2204" spans="9:16">
      <c r="I2204" s="634"/>
      <c r="J2204" s="385"/>
      <c r="K2204" s="187"/>
      <c r="L2204" s="147" t="s">
        <v>2546</v>
      </c>
      <c r="M2204" s="187"/>
      <c r="N2204" s="187"/>
      <c r="O2204" s="132"/>
      <c r="P2204" s="148">
        <v>-2818542</v>
      </c>
    </row>
    <row r="2205" spans="9:16">
      <c r="I2205" s="634"/>
      <c r="J2205" s="64"/>
      <c r="K2205" s="604"/>
      <c r="L2205" s="604"/>
      <c r="M2205" s="604"/>
      <c r="O2205" s="65"/>
      <c r="P2205" s="291"/>
    </row>
    <row r="2206" spans="9:16" ht="17.25" thickBot="1">
      <c r="I2206" s="635"/>
      <c r="J2206" s="140"/>
      <c r="K2206" s="141"/>
      <c r="L2206" s="141"/>
      <c r="M2206" s="141"/>
      <c r="N2206" s="141"/>
      <c r="O2206" s="142"/>
      <c r="P2206" s="291"/>
    </row>
    <row r="2207" spans="9:16" ht="17.25" thickBot="1">
      <c r="I2207" s="20" t="s">
        <v>12</v>
      </c>
      <c r="J2207" s="614" t="s">
        <v>13</v>
      </c>
      <c r="K2207" s="615"/>
      <c r="L2207" s="62" t="s">
        <v>14</v>
      </c>
      <c r="M2207" s="63"/>
      <c r="N2207" s="62" t="s">
        <v>15</v>
      </c>
      <c r="O2207" s="62" t="s">
        <v>16</v>
      </c>
      <c r="P2207" s="20" t="s">
        <v>17</v>
      </c>
    </row>
    <row r="2208" spans="9:16" ht="18" thickBot="1">
      <c r="I2208" s="22" t="s">
        <v>18</v>
      </c>
      <c r="J2208" s="606">
        <f>+P2204</f>
        <v>-2818542</v>
      </c>
      <c r="K2208" s="607"/>
      <c r="L2208" s="23">
        <f>0</f>
        <v>0</v>
      </c>
      <c r="M2208" s="24"/>
      <c r="N2208" s="25">
        <f>0</f>
        <v>0</v>
      </c>
      <c r="O2208" s="36">
        <f>+J2208</f>
        <v>-2818542</v>
      </c>
      <c r="P2208" s="38">
        <f>+P2204</f>
        <v>-2818542</v>
      </c>
    </row>
    <row r="2209" spans="9:16" ht="18" thickBot="1">
      <c r="I2209" s="22" t="s">
        <v>113</v>
      </c>
      <c r="J2209" s="606">
        <f>+J2208/650.599</f>
        <v>-4332.226148518519</v>
      </c>
      <c r="K2209" s="607"/>
      <c r="L2209" s="23">
        <f>0</f>
        <v>0</v>
      </c>
      <c r="M2209" s="24"/>
      <c r="N2209" s="25">
        <f>0</f>
        <v>0</v>
      </c>
      <c r="O2209" s="36">
        <f>+J2209</f>
        <v>-4332.226148518519</v>
      </c>
      <c r="P2209" s="38">
        <f>+O2209</f>
        <v>-4332.226148518519</v>
      </c>
    </row>
    <row r="2211" spans="9:16">
      <c r="I2211" s="412" t="s">
        <v>2601</v>
      </c>
      <c r="J2211" s="26"/>
      <c r="K2211" s="26"/>
      <c r="L2211" s="26"/>
      <c r="M2211" s="26"/>
      <c r="N2211" s="26"/>
      <c r="O2211" s="26"/>
    </row>
    <row r="2212" spans="9:16">
      <c r="I2212" s="413" t="s">
        <v>2606</v>
      </c>
      <c r="J2212" s="26"/>
      <c r="K2212" s="26"/>
      <c r="L2212" s="26"/>
      <c r="M2212" s="26"/>
      <c r="N2212" s="26"/>
      <c r="O2212" s="26"/>
    </row>
    <row r="2213" spans="9:16">
      <c r="I2213" s="82" t="s">
        <v>19</v>
      </c>
      <c r="J2213" s="26"/>
      <c r="K2213" s="26"/>
      <c r="L2213" s="26"/>
      <c r="M2213" s="26"/>
      <c r="N2213" s="26"/>
      <c r="O2213" s="26"/>
    </row>
    <row r="2214" spans="9:16">
      <c r="I2214" s="26" t="s">
        <v>965</v>
      </c>
      <c r="J2214" s="26"/>
      <c r="K2214" s="26"/>
      <c r="L2214" s="26"/>
      <c r="M2214" s="26"/>
      <c r="N2214" s="26"/>
      <c r="O2214" s="26"/>
    </row>
    <row r="2215" spans="9:16">
      <c r="I2215" s="26" t="s">
        <v>21</v>
      </c>
      <c r="J2215" s="26"/>
      <c r="K2215" s="26"/>
      <c r="L2215" s="26"/>
      <c r="M2215" s="26"/>
      <c r="N2215" s="26"/>
      <c r="O2215" s="26"/>
    </row>
    <row r="2216" spans="9:16">
      <c r="I2216" s="26" t="s">
        <v>1229</v>
      </c>
      <c r="J2216" s="26"/>
      <c r="K2216" s="26"/>
      <c r="L2216" s="26"/>
      <c r="M2216" s="26"/>
      <c r="N2216" s="26"/>
      <c r="O2216" s="26"/>
    </row>
    <row r="2219" spans="9:16">
      <c r="L2219" s="30" t="s">
        <v>811</v>
      </c>
      <c r="N2219" s="30"/>
      <c r="O2219" s="30"/>
    </row>
    <row r="2220" spans="9:16">
      <c r="L2220" s="30" t="s">
        <v>149</v>
      </c>
      <c r="N2220" s="30"/>
      <c r="O2220" s="30"/>
    </row>
    <row r="2221" spans="9:16">
      <c r="L2221" s="605" t="s">
        <v>150</v>
      </c>
      <c r="M2221" s="605"/>
      <c r="N2221" s="605"/>
      <c r="O2221" s="605"/>
    </row>
    <row r="2222" spans="9:16">
      <c r="L2222" s="30"/>
    </row>
    <row r="2223" spans="9:16">
      <c r="M2223" s="26"/>
      <c r="N2223" s="26"/>
      <c r="O2223" s="26"/>
    </row>
    <row r="2224" spans="9:16" ht="14.25" customHeight="1">
      <c r="L2224" s="644" t="s">
        <v>2347</v>
      </c>
      <c r="M2224" s="644"/>
      <c r="N2224" s="644"/>
      <c r="O2224" s="644"/>
    </row>
    <row r="2225" spans="9:16" ht="8.25" customHeight="1">
      <c r="L2225" s="361"/>
      <c r="M2225" s="361"/>
      <c r="N2225" s="361"/>
      <c r="O2225" s="361"/>
    </row>
    <row r="2226" spans="9:16" ht="8.25" customHeight="1">
      <c r="L2226" s="361"/>
      <c r="M2226" s="361"/>
      <c r="N2226" s="361"/>
      <c r="O2226" s="361"/>
    </row>
    <row r="2227" spans="9:16" ht="18">
      <c r="I2227" s="26"/>
      <c r="J2227" s="26"/>
      <c r="K2227" s="26"/>
      <c r="L2227" s="644"/>
      <c r="M2227" s="644"/>
      <c r="N2227" s="644"/>
      <c r="O2227" s="644"/>
      <c r="P2227" s="145"/>
    </row>
    <row r="2228" spans="9:16" ht="20.25" customHeight="1">
      <c r="I2228" s="617" t="s">
        <v>2530</v>
      </c>
      <c r="J2228" s="617"/>
      <c r="K2228" s="617"/>
      <c r="L2228" s="617"/>
      <c r="M2228" s="617"/>
      <c r="N2228" s="617"/>
      <c r="O2228" s="617"/>
      <c r="P2228" s="617"/>
    </row>
    <row r="2229" spans="9:16" ht="17.25" customHeight="1"/>
    <row r="2231" spans="9:16" ht="49.5" customHeight="1">
      <c r="I2231" s="642" t="s">
        <v>1</v>
      </c>
      <c r="J2231" s="642"/>
      <c r="K2231" s="642"/>
      <c r="L2231" s="642"/>
      <c r="M2231" s="642"/>
      <c r="N2231" s="642"/>
      <c r="O2231" s="642"/>
      <c r="P2231" s="642"/>
    </row>
    <row r="2234" spans="9:16" ht="17.25">
      <c r="I2234" s="30"/>
      <c r="J2234" s="375" t="s">
        <v>1668</v>
      </c>
    </row>
    <row r="2235" spans="9:16" ht="17.25" thickBot="1">
      <c r="I2235" s="30"/>
      <c r="O2235" s="141"/>
    </row>
    <row r="2236" spans="9:16">
      <c r="J2236" s="30"/>
      <c r="N2236" s="143"/>
      <c r="P2236" s="144"/>
    </row>
    <row r="2237" spans="9:16">
      <c r="N2237" s="647" t="s">
        <v>1820</v>
      </c>
      <c r="O2237" s="610"/>
      <c r="P2237" s="648"/>
    </row>
    <row r="2238" spans="9:16">
      <c r="I2238" s="12" t="s">
        <v>114</v>
      </c>
      <c r="L2238" s="30" t="s">
        <v>2</v>
      </c>
      <c r="N2238" s="605" t="s">
        <v>2045</v>
      </c>
      <c r="O2238" s="605"/>
      <c r="P2238" s="649"/>
    </row>
    <row r="2239" spans="9:16">
      <c r="N2239" s="601" t="s">
        <v>904</v>
      </c>
      <c r="O2239" s="602"/>
      <c r="P2239" s="603"/>
    </row>
    <row r="2240" spans="9:16" ht="17.25" thickBot="1">
      <c r="N2240" s="140"/>
      <c r="O2240" s="141"/>
      <c r="P2240" s="142"/>
    </row>
    <row r="2242" spans="9:16">
      <c r="I2242" s="30" t="s">
        <v>27</v>
      </c>
      <c r="J2242" s="30" t="s">
        <v>163</v>
      </c>
    </row>
    <row r="2243" spans="9:16" ht="17.25" thickBot="1"/>
    <row r="2244" spans="9:16" ht="17.25" thickBot="1">
      <c r="I2244" s="13" t="s">
        <v>112</v>
      </c>
      <c r="J2244" s="624" t="s">
        <v>4</v>
      </c>
      <c r="K2244" s="625"/>
      <c r="L2244" s="625"/>
      <c r="M2244" s="625"/>
      <c r="N2244" s="625"/>
      <c r="O2244" s="626"/>
      <c r="P2244" s="20" t="s">
        <v>5</v>
      </c>
    </row>
    <row r="2245" spans="9:16">
      <c r="I2245" s="633" t="s">
        <v>2445</v>
      </c>
      <c r="J2245" s="143"/>
      <c r="K2245" s="159"/>
      <c r="L2245" s="159"/>
      <c r="M2245" s="159"/>
      <c r="N2245" s="159"/>
      <c r="O2245" s="144"/>
      <c r="P2245" s="291"/>
    </row>
    <row r="2246" spans="9:16">
      <c r="I2246" s="634"/>
      <c r="J2246" s="64"/>
      <c r="O2246" s="65"/>
      <c r="P2246" s="291"/>
    </row>
    <row r="2247" spans="9:16">
      <c r="I2247" s="634"/>
      <c r="J2247" s="630" t="s">
        <v>286</v>
      </c>
      <c r="K2247" s="631"/>
      <c r="L2247" s="631"/>
      <c r="M2247" s="631"/>
      <c r="N2247" s="631"/>
      <c r="O2247" s="632"/>
      <c r="P2247" s="291"/>
    </row>
    <row r="2248" spans="9:16">
      <c r="I2248" s="634"/>
      <c r="J2248" s="636" t="s">
        <v>2531</v>
      </c>
      <c r="K2248" s="637"/>
      <c r="L2248" s="637"/>
      <c r="M2248" s="637"/>
      <c r="N2248" s="637"/>
      <c r="O2248" s="638"/>
      <c r="P2248" s="148">
        <v>2200000</v>
      </c>
    </row>
    <row r="2249" spans="9:16" ht="17.25" thickBot="1">
      <c r="I2249" s="635"/>
      <c r="J2249" s="140"/>
      <c r="K2249" s="141"/>
      <c r="L2249" s="141"/>
      <c r="M2249" s="141"/>
      <c r="N2249" s="141"/>
      <c r="O2249" s="142"/>
      <c r="P2249" s="291"/>
    </row>
    <row r="2250" spans="9:16" ht="17.25" thickBot="1">
      <c r="I2250" s="20" t="s">
        <v>12</v>
      </c>
      <c r="J2250" s="614" t="s">
        <v>13</v>
      </c>
      <c r="K2250" s="615"/>
      <c r="L2250" s="62" t="s">
        <v>14</v>
      </c>
      <c r="M2250" s="63"/>
      <c r="N2250" s="62" t="s">
        <v>15</v>
      </c>
      <c r="O2250" s="62" t="s">
        <v>16</v>
      </c>
      <c r="P2250" s="20" t="s">
        <v>17</v>
      </c>
    </row>
    <row r="2251" spans="9:16" ht="18" thickBot="1">
      <c r="I2251" s="22" t="s">
        <v>18</v>
      </c>
      <c r="J2251" s="606">
        <f>+P2248</f>
        <v>2200000</v>
      </c>
      <c r="K2251" s="607"/>
      <c r="L2251" s="23">
        <f>0</f>
        <v>0</v>
      </c>
      <c r="M2251" s="24"/>
      <c r="N2251" s="25">
        <f>0</f>
        <v>0</v>
      </c>
      <c r="O2251" s="36">
        <f>+J2251</f>
        <v>2200000</v>
      </c>
      <c r="P2251" s="38">
        <f>+P2248</f>
        <v>2200000</v>
      </c>
    </row>
    <row r="2252" spans="9:16" ht="18" thickBot="1">
      <c r="I2252" s="22" t="s">
        <v>113</v>
      </c>
      <c r="J2252" s="606">
        <f>+J2251/650.599</f>
        <v>3381.4992030421195</v>
      </c>
      <c r="K2252" s="607"/>
      <c r="L2252" s="23">
        <f>0</f>
        <v>0</v>
      </c>
      <c r="M2252" s="24"/>
      <c r="N2252" s="25">
        <f>0</f>
        <v>0</v>
      </c>
      <c r="O2252" s="36">
        <f>+J2252</f>
        <v>3381.4992030421195</v>
      </c>
      <c r="P2252" s="38">
        <f>+O2252</f>
        <v>3381.4992030421195</v>
      </c>
    </row>
    <row r="2254" spans="9:16">
      <c r="I2254" s="412" t="s">
        <v>1268</v>
      </c>
      <c r="J2254" s="26"/>
      <c r="K2254" s="26"/>
      <c r="L2254" s="26"/>
      <c r="M2254" s="26"/>
      <c r="N2254" s="26"/>
      <c r="O2254" s="26"/>
    </row>
    <row r="2255" spans="9:16">
      <c r="I2255" s="413" t="s">
        <v>2048</v>
      </c>
      <c r="J2255" s="26"/>
      <c r="K2255" s="26"/>
      <c r="L2255" s="26"/>
      <c r="M2255" s="26"/>
      <c r="N2255" s="26"/>
      <c r="O2255" s="26"/>
    </row>
    <row r="2256" spans="9:16">
      <c r="I2256" s="82" t="s">
        <v>19</v>
      </c>
      <c r="J2256" s="26"/>
      <c r="K2256" s="26"/>
      <c r="L2256" s="26"/>
      <c r="M2256" s="26"/>
      <c r="N2256" s="26"/>
      <c r="O2256" s="26"/>
    </row>
    <row r="2257" spans="9:16">
      <c r="I2257" s="26" t="s">
        <v>965</v>
      </c>
      <c r="J2257" s="26"/>
      <c r="K2257" s="26"/>
      <c r="L2257" s="26"/>
      <c r="M2257" s="26"/>
      <c r="N2257" s="26"/>
      <c r="O2257" s="26"/>
    </row>
    <row r="2258" spans="9:16">
      <c r="I2258" s="26" t="s">
        <v>21</v>
      </c>
      <c r="J2258" s="26"/>
      <c r="K2258" s="26"/>
      <c r="L2258" s="26"/>
      <c r="M2258" s="26"/>
      <c r="N2258" s="26"/>
      <c r="O2258" s="26"/>
    </row>
    <row r="2259" spans="9:16">
      <c r="I2259" s="26" t="s">
        <v>1229</v>
      </c>
      <c r="J2259" s="26"/>
      <c r="K2259" s="26"/>
      <c r="L2259" s="26"/>
      <c r="M2259" s="26"/>
      <c r="N2259" s="26"/>
      <c r="O2259" s="26"/>
    </row>
    <row r="2262" spans="9:16">
      <c r="L2262" s="604" t="s">
        <v>811</v>
      </c>
      <c r="M2262" s="604"/>
      <c r="N2262" s="604"/>
      <c r="O2262" s="604"/>
    </row>
    <row r="2263" spans="9:16">
      <c r="L2263" s="604" t="s">
        <v>149</v>
      </c>
      <c r="M2263" s="604"/>
      <c r="N2263" s="604"/>
      <c r="O2263" s="604"/>
    </row>
    <row r="2264" spans="9:16">
      <c r="L2264" s="605" t="s">
        <v>150</v>
      </c>
      <c r="M2264" s="605"/>
      <c r="N2264" s="605"/>
      <c r="O2264" s="605"/>
    </row>
    <row r="2265" spans="9:16">
      <c r="L2265" s="30"/>
    </row>
    <row r="2266" spans="9:16">
      <c r="M2266" s="26"/>
      <c r="N2266" s="26"/>
      <c r="O2266" s="26"/>
    </row>
    <row r="2267" spans="9:16" ht="17.25">
      <c r="L2267" s="644" t="s">
        <v>2347</v>
      </c>
      <c r="M2267" s="644"/>
      <c r="N2267" s="644"/>
      <c r="O2267" s="644"/>
    </row>
    <row r="2268" spans="9:16" ht="17.25">
      <c r="L2268" s="361"/>
      <c r="M2268" s="361"/>
      <c r="N2268" s="361"/>
      <c r="O2268" s="361"/>
    </row>
    <row r="2269" spans="9:16" ht="18">
      <c r="I2269" s="26"/>
      <c r="J2269" s="26"/>
      <c r="K2269" s="26"/>
      <c r="L2269" s="644"/>
      <c r="M2269" s="644"/>
      <c r="N2269" s="644"/>
      <c r="O2269" s="644"/>
      <c r="P2269" s="145"/>
    </row>
    <row r="2270" spans="9:16" ht="17.25" customHeight="1">
      <c r="I2270" s="617" t="s">
        <v>2532</v>
      </c>
      <c r="J2270" s="617"/>
      <c r="K2270" s="617"/>
      <c r="L2270" s="617"/>
      <c r="M2270" s="617"/>
      <c r="N2270" s="617"/>
      <c r="O2270" s="617"/>
      <c r="P2270" s="617"/>
    </row>
    <row r="2273" spans="9:16" ht="49.5" customHeight="1">
      <c r="I2273" s="618" t="s">
        <v>1</v>
      </c>
      <c r="J2273" s="618"/>
      <c r="K2273" s="618"/>
      <c r="L2273" s="618"/>
      <c r="M2273" s="618"/>
      <c r="N2273" s="618"/>
      <c r="O2273" s="618"/>
      <c r="P2273" s="618"/>
    </row>
    <row r="2276" spans="9:16" ht="17.25">
      <c r="I2276" s="30"/>
      <c r="J2276" s="503" t="s">
        <v>1903</v>
      </c>
    </row>
    <row r="2277" spans="9:16" ht="17.25" thickBot="1">
      <c r="I2277" s="30"/>
      <c r="O2277" s="141"/>
    </row>
    <row r="2278" spans="9:16">
      <c r="J2278" s="30"/>
      <c r="N2278" s="143"/>
      <c r="P2278" s="144"/>
    </row>
    <row r="2279" spans="9:16">
      <c r="N2279" s="647" t="s">
        <v>806</v>
      </c>
      <c r="O2279" s="610"/>
      <c r="P2279" s="648"/>
    </row>
    <row r="2280" spans="9:16">
      <c r="I2280" s="12" t="s">
        <v>114</v>
      </c>
      <c r="L2280" s="30" t="s">
        <v>2</v>
      </c>
      <c r="N2280" s="605" t="s">
        <v>807</v>
      </c>
      <c r="O2280" s="605"/>
      <c r="P2280" s="649"/>
    </row>
    <row r="2281" spans="9:16">
      <c r="N2281" s="601" t="s">
        <v>163</v>
      </c>
      <c r="O2281" s="602"/>
      <c r="P2281" s="603"/>
    </row>
    <row r="2282" spans="9:16" ht="17.25" thickBot="1">
      <c r="N2282" s="140"/>
      <c r="O2282" s="141"/>
      <c r="P2282" s="142"/>
    </row>
    <row r="2284" spans="9:16">
      <c r="I2284" s="30" t="s">
        <v>27</v>
      </c>
      <c r="J2284" s="30" t="s">
        <v>165</v>
      </c>
    </row>
    <row r="2285" spans="9:16" ht="17.25" thickBot="1"/>
    <row r="2286" spans="9:16" ht="17.25" thickBot="1">
      <c r="I2286" s="13" t="s">
        <v>112</v>
      </c>
      <c r="J2286" s="624" t="s">
        <v>4</v>
      </c>
      <c r="K2286" s="625"/>
      <c r="L2286" s="625"/>
      <c r="M2286" s="625"/>
      <c r="N2286" s="625"/>
      <c r="O2286" s="626"/>
      <c r="P2286" s="20" t="s">
        <v>5</v>
      </c>
    </row>
    <row r="2287" spans="9:16">
      <c r="I2287" s="633" t="s">
        <v>2806</v>
      </c>
      <c r="J2287" s="143"/>
      <c r="K2287" s="159"/>
      <c r="L2287" s="159"/>
      <c r="M2287" s="159"/>
      <c r="N2287" s="159"/>
      <c r="O2287" s="144"/>
      <c r="P2287" s="291"/>
    </row>
    <row r="2288" spans="9:16">
      <c r="I2288" s="634"/>
      <c r="J2288" s="64"/>
      <c r="O2288" s="65"/>
      <c r="P2288" s="291"/>
    </row>
    <row r="2289" spans="9:16">
      <c r="I2289" s="634"/>
      <c r="J2289" s="630" t="s">
        <v>286</v>
      </c>
      <c r="K2289" s="631"/>
      <c r="L2289" s="631"/>
      <c r="M2289" s="631"/>
      <c r="N2289" s="631"/>
      <c r="O2289" s="632"/>
      <c r="P2289" s="291"/>
    </row>
    <row r="2290" spans="9:16">
      <c r="I2290" s="634"/>
      <c r="J2290" s="636" t="s">
        <v>1745</v>
      </c>
      <c r="K2290" s="637"/>
      <c r="L2290" s="637"/>
      <c r="M2290" s="637"/>
      <c r="N2290" s="637"/>
      <c r="O2290" s="638"/>
      <c r="P2290" s="548">
        <v>1600000</v>
      </c>
    </row>
    <row r="2291" spans="9:16">
      <c r="I2291" s="634"/>
      <c r="J2291" s="64"/>
      <c r="K2291" s="604"/>
      <c r="L2291" s="604"/>
      <c r="M2291" s="604"/>
      <c r="O2291" s="65"/>
      <c r="P2291" s="291"/>
    </row>
    <row r="2292" spans="9:16" ht="17.25" thickBot="1">
      <c r="I2292" s="635"/>
      <c r="J2292" s="140"/>
      <c r="K2292" s="141"/>
      <c r="L2292" s="141"/>
      <c r="M2292" s="141"/>
      <c r="N2292" s="141"/>
      <c r="O2292" s="142"/>
      <c r="P2292" s="291"/>
    </row>
    <row r="2293" spans="9:16" ht="17.25" thickBot="1">
      <c r="I2293" s="20" t="s">
        <v>12</v>
      </c>
      <c r="J2293" s="614" t="s">
        <v>13</v>
      </c>
      <c r="K2293" s="615"/>
      <c r="L2293" s="62" t="s">
        <v>14</v>
      </c>
      <c r="M2293" s="63"/>
      <c r="N2293" s="62" t="s">
        <v>15</v>
      </c>
      <c r="O2293" s="62" t="s">
        <v>16</v>
      </c>
      <c r="P2293" s="20" t="s">
        <v>17</v>
      </c>
    </row>
    <row r="2294" spans="9:16" ht="18" thickBot="1">
      <c r="I2294" s="22" t="s">
        <v>18</v>
      </c>
      <c r="J2294" s="606">
        <f>+P2290</f>
        <v>1600000</v>
      </c>
      <c r="K2294" s="607"/>
      <c r="L2294" s="23">
        <f>0</f>
        <v>0</v>
      </c>
      <c r="M2294" s="24"/>
      <c r="N2294" s="25">
        <f>0</f>
        <v>0</v>
      </c>
      <c r="O2294" s="36">
        <f>+J2294</f>
        <v>1600000</v>
      </c>
      <c r="P2294" s="38">
        <f>+P2290</f>
        <v>1600000</v>
      </c>
    </row>
    <row r="2295" spans="9:16" ht="18" thickBot="1">
      <c r="I2295" s="22" t="s">
        <v>113</v>
      </c>
      <c r="J2295" s="606">
        <f>+J2294/650.599</f>
        <v>2459.2721476669958</v>
      </c>
      <c r="K2295" s="607"/>
      <c r="L2295" s="23">
        <f>0</f>
        <v>0</v>
      </c>
      <c r="M2295" s="24"/>
      <c r="N2295" s="25">
        <f>0</f>
        <v>0</v>
      </c>
      <c r="O2295" s="36">
        <f>+J2295</f>
        <v>2459.2721476669958</v>
      </c>
      <c r="P2295" s="38">
        <f>+O2295</f>
        <v>2459.2721476669958</v>
      </c>
    </row>
    <row r="2297" spans="9:16">
      <c r="I2297" s="412" t="s">
        <v>1268</v>
      </c>
      <c r="J2297" s="26"/>
      <c r="K2297" s="26"/>
      <c r="L2297" s="26"/>
      <c r="M2297" s="26"/>
      <c r="N2297" s="26"/>
      <c r="O2297" s="26"/>
    </row>
    <row r="2298" spans="9:16">
      <c r="I2298" s="413" t="s">
        <v>2027</v>
      </c>
      <c r="J2298" s="26"/>
      <c r="K2298" s="26"/>
      <c r="L2298" s="26"/>
      <c r="M2298" s="26"/>
      <c r="N2298" s="26"/>
      <c r="O2298" s="26"/>
    </row>
    <row r="2299" spans="9:16">
      <c r="I2299" s="82" t="s">
        <v>19</v>
      </c>
      <c r="J2299" s="26"/>
      <c r="K2299" s="26"/>
      <c r="L2299" s="26"/>
      <c r="M2299" s="26"/>
      <c r="N2299" s="26"/>
      <c r="O2299" s="26"/>
    </row>
    <row r="2300" spans="9:16">
      <c r="I2300" s="26" t="s">
        <v>965</v>
      </c>
      <c r="J2300" s="26"/>
      <c r="K2300" s="26"/>
      <c r="L2300" s="26"/>
      <c r="M2300" s="26"/>
      <c r="N2300" s="26"/>
      <c r="O2300" s="26"/>
    </row>
    <row r="2301" spans="9:16">
      <c r="I2301" s="26" t="s">
        <v>21</v>
      </c>
      <c r="J2301" s="26"/>
      <c r="K2301" s="26"/>
      <c r="L2301" s="26"/>
      <c r="M2301" s="26"/>
      <c r="N2301" s="26"/>
      <c r="O2301" s="26"/>
    </row>
    <row r="2302" spans="9:16">
      <c r="I2302" s="26" t="s">
        <v>1229</v>
      </c>
      <c r="J2302" s="26"/>
      <c r="K2302" s="26"/>
      <c r="L2302" s="26"/>
      <c r="M2302" s="26"/>
      <c r="N2302" s="26"/>
      <c r="O2302" s="26"/>
    </row>
    <row r="2305" spans="9:16">
      <c r="L2305" s="30" t="s">
        <v>811</v>
      </c>
      <c r="N2305" s="30"/>
      <c r="O2305" s="30"/>
    </row>
    <row r="2306" spans="9:16">
      <c r="L2306" s="30" t="s">
        <v>149</v>
      </c>
      <c r="N2306" s="30"/>
      <c r="O2306" s="30"/>
    </row>
    <row r="2307" spans="9:16">
      <c r="L2307" s="605" t="s">
        <v>150</v>
      </c>
      <c r="M2307" s="605"/>
      <c r="N2307" s="605"/>
      <c r="O2307" s="605"/>
    </row>
    <row r="2308" spans="9:16">
      <c r="L2308" s="30"/>
    </row>
    <row r="2309" spans="9:16">
      <c r="M2309" s="26"/>
      <c r="N2309" s="26"/>
      <c r="O2309" s="26"/>
    </row>
    <row r="2310" spans="9:16" ht="17.25">
      <c r="L2310" s="644"/>
      <c r="M2310" s="644"/>
      <c r="N2310" s="644"/>
      <c r="O2310" s="644"/>
    </row>
    <row r="2311" spans="9:16" ht="17.25">
      <c r="L2311" s="644"/>
      <c r="M2311" s="644"/>
      <c r="N2311" s="644"/>
      <c r="O2311" s="644"/>
    </row>
    <row r="2312" spans="9:16" ht="17.25">
      <c r="L2312" s="361"/>
      <c r="M2312" s="361"/>
      <c r="N2312" s="361"/>
      <c r="O2312" s="361"/>
    </row>
    <row r="2313" spans="9:16" ht="17.25">
      <c r="L2313" s="361"/>
      <c r="M2313" s="361"/>
      <c r="N2313" s="361"/>
      <c r="O2313" s="361"/>
    </row>
    <row r="2314" spans="9:16" ht="18">
      <c r="I2314" s="26"/>
      <c r="J2314" s="26"/>
      <c r="K2314" s="26"/>
      <c r="P2314" s="145"/>
    </row>
    <row r="2315" spans="9:16" ht="18" customHeight="1">
      <c r="J2315" s="617" t="s">
        <v>0</v>
      </c>
      <c r="K2315" s="617"/>
      <c r="L2315" s="617"/>
      <c r="M2315" s="617"/>
      <c r="N2315" s="617"/>
      <c r="O2315" s="617"/>
      <c r="P2315" s="617"/>
    </row>
    <row r="2318" spans="9:16" ht="49.5" customHeight="1">
      <c r="I2318" s="642" t="s">
        <v>1</v>
      </c>
      <c r="J2318" s="642"/>
      <c r="K2318" s="642"/>
      <c r="L2318" s="642"/>
      <c r="M2318" s="642"/>
      <c r="N2318" s="642"/>
      <c r="O2318" s="642"/>
      <c r="P2318" s="642"/>
    </row>
    <row r="2321" spans="9:16">
      <c r="I2321" s="30" t="s">
        <v>805</v>
      </c>
    </row>
    <row r="2322" spans="9:16" ht="17.25" thickBot="1">
      <c r="I2322" s="30"/>
      <c r="O2322" s="141"/>
    </row>
    <row r="2323" spans="9:16">
      <c r="J2323" s="30"/>
      <c r="N2323" s="143"/>
      <c r="P2323" s="144"/>
    </row>
    <row r="2324" spans="9:16">
      <c r="N2324" s="647" t="s">
        <v>677</v>
      </c>
      <c r="O2324" s="610"/>
      <c r="P2324" s="648"/>
    </row>
    <row r="2325" spans="9:16">
      <c r="I2325" s="12" t="s">
        <v>114</v>
      </c>
      <c r="L2325" s="30" t="s">
        <v>2</v>
      </c>
      <c r="N2325" s="605" t="s">
        <v>1839</v>
      </c>
      <c r="O2325" s="605"/>
      <c r="P2325" s="649"/>
    </row>
    <row r="2326" spans="9:16">
      <c r="N2326" s="601" t="s">
        <v>163</v>
      </c>
      <c r="O2326" s="602"/>
      <c r="P2326" s="603"/>
    </row>
    <row r="2327" spans="9:16" ht="17.25" thickBot="1">
      <c r="N2327" s="140"/>
      <c r="O2327" s="141"/>
      <c r="P2327" s="142"/>
    </row>
    <row r="2329" spans="9:16">
      <c r="I2329" s="30" t="s">
        <v>27</v>
      </c>
      <c r="J2329" s="30" t="s">
        <v>1892</v>
      </c>
    </row>
    <row r="2330" spans="9:16" ht="17.25" thickBot="1"/>
    <row r="2331" spans="9:16" ht="17.25" thickBot="1">
      <c r="I2331" s="13" t="s">
        <v>112</v>
      </c>
      <c r="J2331" s="624" t="s">
        <v>4</v>
      </c>
      <c r="K2331" s="625"/>
      <c r="L2331" s="625"/>
      <c r="M2331" s="625"/>
      <c r="N2331" s="625"/>
      <c r="O2331" s="626"/>
      <c r="P2331" s="20" t="s">
        <v>5</v>
      </c>
    </row>
    <row r="2332" spans="9:16">
      <c r="I2332" s="633" t="s">
        <v>1716</v>
      </c>
      <c r="J2332" s="143"/>
      <c r="K2332" s="159"/>
      <c r="L2332" s="159"/>
      <c r="M2332" s="159"/>
      <c r="N2332" s="159"/>
      <c r="O2332" s="144"/>
      <c r="P2332" s="291"/>
    </row>
    <row r="2333" spans="9:16">
      <c r="I2333" s="634"/>
      <c r="J2333" s="64"/>
      <c r="O2333" s="65"/>
      <c r="P2333" s="291"/>
    </row>
    <row r="2334" spans="9:16">
      <c r="I2334" s="634"/>
      <c r="J2334" s="630" t="s">
        <v>286</v>
      </c>
      <c r="K2334" s="631"/>
      <c r="L2334" s="631"/>
      <c r="M2334" s="631"/>
      <c r="N2334" s="631"/>
      <c r="O2334" s="632"/>
      <c r="P2334" s="291"/>
    </row>
    <row r="2335" spans="9:16">
      <c r="I2335" s="634"/>
      <c r="J2335" s="636" t="s">
        <v>1840</v>
      </c>
      <c r="K2335" s="637"/>
      <c r="L2335" s="637"/>
      <c r="M2335" s="637"/>
      <c r="N2335" s="637"/>
      <c r="O2335" s="638"/>
      <c r="P2335" s="148">
        <v>369410</v>
      </c>
    </row>
    <row r="2336" spans="9:16">
      <c r="I2336" s="634"/>
      <c r="J2336" s="64"/>
      <c r="K2336" s="604"/>
      <c r="L2336" s="604"/>
      <c r="M2336" s="604"/>
      <c r="O2336" s="65"/>
      <c r="P2336" s="291"/>
    </row>
    <row r="2337" spans="9:16" ht="17.25" thickBot="1">
      <c r="I2337" s="635"/>
      <c r="J2337" s="140"/>
      <c r="K2337" s="141"/>
      <c r="L2337" s="141"/>
      <c r="M2337" s="141"/>
      <c r="N2337" s="141"/>
      <c r="O2337" s="142"/>
      <c r="P2337" s="291"/>
    </row>
    <row r="2338" spans="9:16" ht="17.25" thickBot="1">
      <c r="I2338" s="20" t="s">
        <v>12</v>
      </c>
      <c r="J2338" s="614" t="s">
        <v>13</v>
      </c>
      <c r="K2338" s="615"/>
      <c r="L2338" s="62" t="s">
        <v>14</v>
      </c>
      <c r="M2338" s="63"/>
      <c r="N2338" s="62" t="s">
        <v>15</v>
      </c>
      <c r="O2338" s="62" t="s">
        <v>16</v>
      </c>
      <c r="P2338" s="20" t="s">
        <v>17</v>
      </c>
    </row>
    <row r="2339" spans="9:16" ht="18" thickBot="1">
      <c r="I2339" s="22" t="s">
        <v>18</v>
      </c>
      <c r="J2339" s="606">
        <f>+P2335</f>
        <v>369410</v>
      </c>
      <c r="K2339" s="607"/>
      <c r="L2339" s="23">
        <f>0</f>
        <v>0</v>
      </c>
      <c r="M2339" s="24"/>
      <c r="N2339" s="25">
        <f>0</f>
        <v>0</v>
      </c>
      <c r="O2339" s="36">
        <f>+J2339</f>
        <v>369410</v>
      </c>
      <c r="P2339" s="38">
        <f>+P2335</f>
        <v>369410</v>
      </c>
    </row>
    <row r="2340" spans="9:16" ht="18" thickBot="1">
      <c r="I2340" s="22" t="s">
        <v>113</v>
      </c>
      <c r="J2340" s="606">
        <f>+J2339/650.599</f>
        <v>567.79982754354057</v>
      </c>
      <c r="K2340" s="607"/>
      <c r="L2340" s="23">
        <f>0</f>
        <v>0</v>
      </c>
      <c r="M2340" s="24"/>
      <c r="N2340" s="25">
        <f>0</f>
        <v>0</v>
      </c>
      <c r="O2340" s="36">
        <f>+J2340</f>
        <v>567.79982754354057</v>
      </c>
      <c r="P2340" s="38">
        <f>+O2340</f>
        <v>567.79982754354057</v>
      </c>
    </row>
    <row r="2342" spans="9:16">
      <c r="I2342" s="412" t="s">
        <v>1268</v>
      </c>
      <c r="J2342" s="26"/>
      <c r="K2342" s="26"/>
      <c r="L2342" s="26"/>
      <c r="M2342" s="26"/>
      <c r="N2342" s="26"/>
      <c r="O2342" s="26"/>
    </row>
    <row r="2343" spans="9:16">
      <c r="I2343" s="413" t="s">
        <v>1841</v>
      </c>
      <c r="J2343" s="26"/>
      <c r="K2343" s="26"/>
      <c r="L2343" s="26"/>
      <c r="M2343" s="26"/>
      <c r="N2343" s="26"/>
      <c r="O2343" s="26"/>
    </row>
    <row r="2344" spans="9:16">
      <c r="I2344" s="82" t="s">
        <v>19</v>
      </c>
      <c r="J2344" s="26"/>
      <c r="K2344" s="26"/>
      <c r="L2344" s="26"/>
      <c r="M2344" s="26"/>
      <c r="N2344" s="26"/>
      <c r="O2344" s="26"/>
    </row>
    <row r="2345" spans="9:16">
      <c r="I2345" s="26" t="s">
        <v>965</v>
      </c>
      <c r="J2345" s="26"/>
      <c r="K2345" s="26"/>
      <c r="L2345" s="26"/>
      <c r="M2345" s="26"/>
      <c r="N2345" s="26"/>
      <c r="O2345" s="26"/>
    </row>
    <row r="2346" spans="9:16">
      <c r="I2346" s="26" t="s">
        <v>21</v>
      </c>
      <c r="J2346" s="26"/>
      <c r="K2346" s="26"/>
      <c r="L2346" s="26"/>
      <c r="M2346" s="26"/>
      <c r="N2346" s="26"/>
      <c r="O2346" s="26"/>
    </row>
    <row r="2347" spans="9:16">
      <c r="I2347" s="26" t="s">
        <v>1229</v>
      </c>
      <c r="J2347" s="26"/>
      <c r="K2347" s="26"/>
      <c r="L2347" s="26"/>
      <c r="M2347" s="26"/>
      <c r="N2347" s="26"/>
      <c r="O2347" s="26"/>
    </row>
    <row r="2350" spans="9:16">
      <c r="L2350" s="30" t="s">
        <v>811</v>
      </c>
      <c r="N2350" s="30"/>
      <c r="O2350" s="30"/>
    </row>
    <row r="2351" spans="9:16">
      <c r="L2351" s="30" t="s">
        <v>149</v>
      </c>
      <c r="N2351" s="30"/>
      <c r="O2351" s="30"/>
    </row>
    <row r="2352" spans="9:16">
      <c r="L2352" s="605" t="s">
        <v>150</v>
      </c>
      <c r="M2352" s="605"/>
      <c r="N2352" s="605"/>
      <c r="O2352" s="605"/>
    </row>
    <row r="2353" spans="9:16">
      <c r="L2353" s="30"/>
    </row>
    <row r="2354" spans="9:16">
      <c r="M2354" s="26"/>
      <c r="N2354" s="26"/>
      <c r="O2354" s="26"/>
    </row>
    <row r="2355" spans="9:16" ht="17.25">
      <c r="L2355" s="644" t="s">
        <v>1696</v>
      </c>
      <c r="M2355" s="644"/>
      <c r="N2355" s="644"/>
      <c r="O2355" s="644"/>
    </row>
    <row r="2356" spans="9:16" ht="17.25">
      <c r="L2356" s="361"/>
      <c r="M2356" s="361"/>
      <c r="N2356" s="361"/>
      <c r="O2356" s="361"/>
    </row>
    <row r="2357" spans="9:16" ht="18">
      <c r="I2357" s="26"/>
      <c r="J2357" s="26"/>
      <c r="K2357" s="26"/>
      <c r="L2357" s="644"/>
      <c r="M2357" s="644"/>
      <c r="N2357" s="644"/>
      <c r="O2357" s="644"/>
      <c r="P2357" s="145"/>
    </row>
    <row r="2358" spans="9:16">
      <c r="J2358" s="617" t="s">
        <v>0</v>
      </c>
      <c r="K2358" s="617"/>
      <c r="L2358" s="617"/>
      <c r="M2358" s="617"/>
      <c r="N2358" s="617"/>
      <c r="O2358" s="617"/>
      <c r="P2358" s="617"/>
    </row>
    <row r="2361" spans="9:16" ht="49.5">
      <c r="K2361" s="642" t="s">
        <v>1</v>
      </c>
      <c r="L2361" s="642"/>
      <c r="M2361" s="642"/>
      <c r="N2361" s="642"/>
    </row>
    <row r="2364" spans="9:16" ht="17.25">
      <c r="I2364" s="30"/>
      <c r="J2364" s="375" t="s">
        <v>2056</v>
      </c>
    </row>
    <row r="2365" spans="9:16" ht="17.25" thickBot="1">
      <c r="I2365" s="30"/>
      <c r="O2365" s="141"/>
    </row>
    <row r="2366" spans="9:16">
      <c r="J2366" s="30"/>
      <c r="N2366" s="143"/>
      <c r="P2366" s="144"/>
    </row>
    <row r="2367" spans="9:16">
      <c r="N2367" s="647" t="s">
        <v>1900</v>
      </c>
      <c r="O2367" s="610"/>
      <c r="P2367" s="648"/>
    </row>
    <row r="2368" spans="9:16">
      <c r="I2368" s="12" t="s">
        <v>114</v>
      </c>
      <c r="L2368" s="30" t="s">
        <v>2</v>
      </c>
      <c r="N2368" s="605" t="s">
        <v>2055</v>
      </c>
      <c r="O2368" s="605"/>
      <c r="P2368" s="649"/>
    </row>
    <row r="2369" spans="9:16">
      <c r="N2369" s="601" t="s">
        <v>163</v>
      </c>
      <c r="O2369" s="602"/>
      <c r="P2369" s="603"/>
    </row>
    <row r="2370" spans="9:16" ht="17.25" thickBot="1">
      <c r="N2370" s="140"/>
      <c r="O2370" s="141"/>
      <c r="P2370" s="142"/>
    </row>
    <row r="2372" spans="9:16">
      <c r="I2372" s="30" t="s">
        <v>27</v>
      </c>
      <c r="J2372" s="30" t="s">
        <v>115</v>
      </c>
    </row>
    <row r="2373" spans="9:16" ht="17.25" thickBot="1"/>
    <row r="2374" spans="9:16" ht="17.25" thickBot="1">
      <c r="I2374" s="13" t="s">
        <v>112</v>
      </c>
      <c r="J2374" s="624" t="s">
        <v>4</v>
      </c>
      <c r="K2374" s="625"/>
      <c r="L2374" s="625"/>
      <c r="M2374" s="625"/>
      <c r="N2374" s="625"/>
      <c r="O2374" s="626"/>
      <c r="P2374" s="20" t="s">
        <v>5</v>
      </c>
    </row>
    <row r="2375" spans="9:16">
      <c r="I2375" s="627" t="s">
        <v>2140</v>
      </c>
      <c r="J2375" s="143"/>
      <c r="K2375" s="159"/>
      <c r="L2375" s="159"/>
      <c r="M2375" s="159"/>
      <c r="N2375" s="159"/>
      <c r="O2375" s="144"/>
      <c r="P2375" s="291"/>
    </row>
    <row r="2376" spans="9:16">
      <c r="I2376" s="628"/>
      <c r="J2376" s="64"/>
      <c r="O2376" s="65"/>
      <c r="P2376" s="291"/>
    </row>
    <row r="2377" spans="9:16">
      <c r="I2377" s="628"/>
      <c r="J2377" s="630" t="s">
        <v>286</v>
      </c>
      <c r="K2377" s="631"/>
      <c r="L2377" s="631"/>
      <c r="M2377" s="631"/>
      <c r="N2377" s="631"/>
      <c r="O2377" s="632"/>
      <c r="P2377" s="291"/>
    </row>
    <row r="2378" spans="9:16">
      <c r="I2378" s="628"/>
      <c r="J2378" s="636" t="s">
        <v>2057</v>
      </c>
      <c r="K2378" s="637"/>
      <c r="L2378" s="637"/>
      <c r="M2378" s="637"/>
      <c r="N2378" s="637"/>
      <c r="O2378" s="638"/>
      <c r="P2378" s="148">
        <v>1350000</v>
      </c>
    </row>
    <row r="2379" spans="9:16">
      <c r="I2379" s="628"/>
      <c r="J2379" s="64"/>
      <c r="K2379" s="604"/>
      <c r="L2379" s="604"/>
      <c r="M2379" s="604"/>
      <c r="O2379" s="65"/>
      <c r="P2379" s="291"/>
    </row>
    <row r="2380" spans="9:16" ht="17.25" thickBot="1">
      <c r="I2380" s="629"/>
      <c r="J2380" s="140"/>
      <c r="K2380" s="141"/>
      <c r="L2380" s="141"/>
      <c r="M2380" s="141"/>
      <c r="N2380" s="141"/>
      <c r="O2380" s="142"/>
      <c r="P2380" s="291"/>
    </row>
    <row r="2381" spans="9:16" ht="17.25" thickBot="1">
      <c r="I2381" s="20" t="s">
        <v>12</v>
      </c>
      <c r="J2381" s="614" t="s">
        <v>13</v>
      </c>
      <c r="K2381" s="615"/>
      <c r="L2381" s="62" t="s">
        <v>14</v>
      </c>
      <c r="M2381" s="63"/>
      <c r="N2381" s="62" t="s">
        <v>15</v>
      </c>
      <c r="O2381" s="62" t="s">
        <v>16</v>
      </c>
      <c r="P2381" s="20" t="s">
        <v>17</v>
      </c>
    </row>
    <row r="2382" spans="9:16" ht="18" thickBot="1">
      <c r="I2382" s="22" t="s">
        <v>18</v>
      </c>
      <c r="J2382" s="606">
        <f>+P2378</f>
        <v>1350000</v>
      </c>
      <c r="K2382" s="607"/>
      <c r="L2382" s="23">
        <f>0</f>
        <v>0</v>
      </c>
      <c r="M2382" s="24"/>
      <c r="N2382" s="25">
        <f>0</f>
        <v>0</v>
      </c>
      <c r="O2382" s="36">
        <f>+J2382</f>
        <v>1350000</v>
      </c>
      <c r="P2382" s="38">
        <f>+P2378</f>
        <v>1350000</v>
      </c>
    </row>
    <row r="2383" spans="9:16" ht="18" thickBot="1">
      <c r="I2383" s="22" t="s">
        <v>113</v>
      </c>
      <c r="J2383" s="606">
        <f>+J2382/650.599</f>
        <v>2075.0108745940279</v>
      </c>
      <c r="K2383" s="607"/>
      <c r="L2383" s="23">
        <f>0</f>
        <v>0</v>
      </c>
      <c r="M2383" s="24"/>
      <c r="N2383" s="25">
        <f>0</f>
        <v>0</v>
      </c>
      <c r="O2383" s="36">
        <f>+J2383</f>
        <v>2075.0108745940279</v>
      </c>
      <c r="P2383" s="38">
        <f>+O2383</f>
        <v>2075.0108745940279</v>
      </c>
    </row>
    <row r="2385" spans="9:16">
      <c r="I2385" s="410" t="s">
        <v>1268</v>
      </c>
      <c r="J2385" s="26"/>
      <c r="K2385" s="26"/>
      <c r="L2385" s="26"/>
      <c r="M2385" s="26"/>
      <c r="N2385" s="26"/>
      <c r="O2385" s="26"/>
    </row>
    <row r="2386" spans="9:16">
      <c r="I2386" s="411" t="s">
        <v>2169</v>
      </c>
      <c r="J2386" s="26"/>
      <c r="K2386" s="26"/>
      <c r="L2386" s="26"/>
      <c r="M2386" s="26"/>
      <c r="N2386" s="26"/>
      <c r="O2386" s="26"/>
    </row>
    <row r="2387" spans="9:16">
      <c r="I2387" s="82" t="s">
        <v>19</v>
      </c>
      <c r="J2387" s="26"/>
      <c r="K2387" s="26"/>
      <c r="L2387" s="26"/>
      <c r="M2387" s="26"/>
      <c r="N2387" s="26"/>
      <c r="O2387" s="26"/>
    </row>
    <row r="2388" spans="9:16">
      <c r="I2388" s="26" t="s">
        <v>965</v>
      </c>
      <c r="J2388" s="26"/>
      <c r="K2388" s="26"/>
      <c r="L2388" s="26"/>
      <c r="M2388" s="26"/>
      <c r="N2388" s="26"/>
      <c r="O2388" s="26"/>
    </row>
    <row r="2389" spans="9:16">
      <c r="I2389" s="26" t="s">
        <v>21</v>
      </c>
      <c r="J2389" s="26"/>
      <c r="K2389" s="26"/>
      <c r="L2389" s="26"/>
      <c r="M2389" s="26"/>
      <c r="N2389" s="26"/>
      <c r="O2389" s="26"/>
    </row>
    <row r="2390" spans="9:16">
      <c r="I2390" s="26" t="s">
        <v>1229</v>
      </c>
      <c r="J2390" s="26"/>
      <c r="K2390" s="26"/>
      <c r="L2390" s="26"/>
      <c r="M2390" s="26"/>
      <c r="N2390" s="26"/>
      <c r="O2390" s="26"/>
    </row>
    <row r="2393" spans="9:16">
      <c r="L2393" s="30" t="s">
        <v>811</v>
      </c>
      <c r="N2393" s="30"/>
      <c r="O2393" s="30"/>
    </row>
    <row r="2394" spans="9:16">
      <c r="L2394" s="30" t="s">
        <v>149</v>
      </c>
      <c r="N2394" s="30"/>
      <c r="O2394" s="30"/>
    </row>
    <row r="2395" spans="9:16">
      <c r="L2395" s="605" t="s">
        <v>150</v>
      </c>
      <c r="M2395" s="605"/>
      <c r="N2395" s="605"/>
      <c r="O2395" s="605"/>
    </row>
    <row r="2396" spans="9:16">
      <c r="L2396" s="30"/>
    </row>
    <row r="2397" spans="9:16">
      <c r="M2397" s="26"/>
      <c r="N2397" s="26"/>
      <c r="O2397" s="26"/>
    </row>
    <row r="2398" spans="9:16" ht="18">
      <c r="L2398" s="145"/>
      <c r="M2398" s="145"/>
      <c r="N2398" s="145"/>
      <c r="O2398" s="145"/>
    </row>
    <row r="2399" spans="9:16" ht="18">
      <c r="L2399" s="145"/>
      <c r="M2399" s="145"/>
      <c r="N2399" s="145"/>
      <c r="O2399" s="145"/>
    </row>
    <row r="2400" spans="9:16" ht="18">
      <c r="I2400" s="26"/>
      <c r="J2400" s="26"/>
      <c r="K2400" s="26"/>
      <c r="L2400" s="644" t="s">
        <v>2147</v>
      </c>
      <c r="M2400" s="644"/>
      <c r="N2400" s="644"/>
      <c r="O2400" s="644"/>
      <c r="P2400" s="145"/>
    </row>
    <row r="2401" spans="9:16">
      <c r="J2401" s="617" t="s">
        <v>2901</v>
      </c>
      <c r="K2401" s="617"/>
      <c r="L2401" s="617"/>
      <c r="M2401" s="617"/>
      <c r="N2401" s="617"/>
      <c r="O2401" s="617"/>
      <c r="P2401" s="617"/>
    </row>
    <row r="2404" spans="9:16" ht="49.5" customHeight="1">
      <c r="I2404" s="618" t="s">
        <v>1</v>
      </c>
      <c r="J2404" s="618"/>
      <c r="K2404" s="618"/>
      <c r="L2404" s="618"/>
      <c r="M2404" s="618"/>
      <c r="N2404" s="618"/>
      <c r="O2404" s="618"/>
      <c r="P2404" s="618"/>
    </row>
    <row r="2407" spans="9:16" ht="17.25">
      <c r="I2407" s="30"/>
      <c r="J2407" s="375" t="s">
        <v>708</v>
      </c>
    </row>
    <row r="2408" spans="9:16" ht="17.25" thickBot="1">
      <c r="I2408" s="30"/>
      <c r="O2408" s="141"/>
    </row>
    <row r="2409" spans="9:16">
      <c r="J2409" s="30"/>
      <c r="N2409" s="143"/>
      <c r="P2409" s="144"/>
    </row>
    <row r="2410" spans="9:16">
      <c r="N2410" s="619" t="s">
        <v>1820</v>
      </c>
      <c r="O2410" s="620"/>
      <c r="P2410" s="621"/>
    </row>
    <row r="2411" spans="9:16">
      <c r="I2411" s="12" t="s">
        <v>114</v>
      </c>
      <c r="L2411" s="30" t="s">
        <v>2</v>
      </c>
      <c r="N2411" s="605" t="s">
        <v>2045</v>
      </c>
      <c r="O2411" s="605"/>
      <c r="P2411" s="649"/>
    </row>
    <row r="2412" spans="9:16">
      <c r="N2412" s="601" t="s">
        <v>163</v>
      </c>
      <c r="O2412" s="602"/>
      <c r="P2412" s="603"/>
    </row>
    <row r="2413" spans="9:16" ht="17.25" thickBot="1">
      <c r="N2413" s="140"/>
      <c r="O2413" s="141"/>
      <c r="P2413" s="142"/>
    </row>
    <row r="2414" spans="9:16">
      <c r="J2414" s="30" t="s">
        <v>27</v>
      </c>
      <c r="K2414" s="394" t="s">
        <v>148</v>
      </c>
    </row>
    <row r="2415" spans="9:16">
      <c r="I2415" s="30"/>
      <c r="J2415" s="30"/>
    </row>
    <row r="2416" spans="9:16" ht="17.25" thickBot="1"/>
    <row r="2417" spans="9:16" ht="17.25" thickBot="1">
      <c r="I2417" s="13" t="s">
        <v>112</v>
      </c>
      <c r="J2417" s="624" t="s">
        <v>4</v>
      </c>
      <c r="K2417" s="625"/>
      <c r="L2417" s="625"/>
      <c r="M2417" s="625"/>
      <c r="N2417" s="625"/>
      <c r="O2417" s="626"/>
      <c r="P2417" s="20" t="s">
        <v>5</v>
      </c>
    </row>
    <row r="2418" spans="9:16">
      <c r="I2418" s="627" t="s">
        <v>2806</v>
      </c>
      <c r="J2418" s="143"/>
      <c r="K2418" s="159"/>
      <c r="L2418" s="159"/>
      <c r="M2418" s="159"/>
      <c r="N2418" s="159"/>
      <c r="O2418" s="144"/>
      <c r="P2418" s="291"/>
    </row>
    <row r="2419" spans="9:16">
      <c r="I2419" s="628"/>
      <c r="J2419" s="64"/>
      <c r="O2419" s="65"/>
      <c r="P2419" s="291"/>
    </row>
    <row r="2420" spans="9:16">
      <c r="I2420" s="628"/>
      <c r="J2420" s="630" t="s">
        <v>286</v>
      </c>
      <c r="K2420" s="631"/>
      <c r="L2420" s="631"/>
      <c r="M2420" s="631"/>
      <c r="N2420" s="631"/>
      <c r="O2420" s="632"/>
      <c r="P2420" s="291"/>
    </row>
    <row r="2421" spans="9:16">
      <c r="I2421" s="628"/>
      <c r="J2421" s="636" t="s">
        <v>2903</v>
      </c>
      <c r="K2421" s="637"/>
      <c r="L2421" s="637"/>
      <c r="M2421" s="637"/>
      <c r="N2421" s="637"/>
      <c r="O2421" s="638"/>
      <c r="P2421" s="548">
        <v>600000</v>
      </c>
    </row>
    <row r="2422" spans="9:16">
      <c r="I2422" s="628"/>
      <c r="J2422" s="64"/>
      <c r="K2422" s="604"/>
      <c r="L2422" s="604"/>
      <c r="M2422" s="604"/>
      <c r="O2422" s="65"/>
      <c r="P2422" s="291"/>
    </row>
    <row r="2423" spans="9:16" ht="17.25" thickBot="1">
      <c r="I2423" s="629"/>
      <c r="J2423" s="140"/>
      <c r="K2423" s="141"/>
      <c r="L2423" s="141"/>
      <c r="M2423" s="141"/>
      <c r="N2423" s="141"/>
      <c r="O2423" s="142"/>
      <c r="P2423" s="291"/>
    </row>
    <row r="2424" spans="9:16" ht="17.25" thickBot="1">
      <c r="I2424" s="20" t="s">
        <v>12</v>
      </c>
      <c r="J2424" s="614" t="s">
        <v>13</v>
      </c>
      <c r="K2424" s="615"/>
      <c r="L2424" s="62" t="s">
        <v>14</v>
      </c>
      <c r="M2424" s="63"/>
      <c r="N2424" s="62" t="s">
        <v>15</v>
      </c>
      <c r="O2424" s="62" t="s">
        <v>16</v>
      </c>
      <c r="P2424" s="20" t="s">
        <v>17</v>
      </c>
    </row>
    <row r="2425" spans="9:16" ht="18" thickBot="1">
      <c r="I2425" s="22" t="s">
        <v>18</v>
      </c>
      <c r="J2425" s="606">
        <f>+P2421</f>
        <v>600000</v>
      </c>
      <c r="K2425" s="607"/>
      <c r="L2425" s="23">
        <f>0</f>
        <v>0</v>
      </c>
      <c r="M2425" s="24"/>
      <c r="N2425" s="25">
        <f>0</f>
        <v>0</v>
      </c>
      <c r="O2425" s="36">
        <f>+J2425</f>
        <v>600000</v>
      </c>
      <c r="P2425" s="557">
        <f>+P2421</f>
        <v>600000</v>
      </c>
    </row>
    <row r="2426" spans="9:16" ht="18" thickBot="1">
      <c r="I2426" s="22" t="s">
        <v>113</v>
      </c>
      <c r="J2426" s="606">
        <f>+J2425/650.599</f>
        <v>922.22705537512343</v>
      </c>
      <c r="K2426" s="607"/>
      <c r="L2426" s="23">
        <f>0</f>
        <v>0</v>
      </c>
      <c r="M2426" s="24"/>
      <c r="N2426" s="25">
        <f>0</f>
        <v>0</v>
      </c>
      <c r="O2426" s="36">
        <f>+J2426</f>
        <v>922.22705537512343</v>
      </c>
      <c r="P2426" s="38">
        <f>+O2426</f>
        <v>922.22705537512343</v>
      </c>
    </row>
    <row r="2428" spans="9:16">
      <c r="I2428" s="412" t="s">
        <v>1382</v>
      </c>
      <c r="J2428" s="26"/>
      <c r="K2428" s="26"/>
      <c r="L2428" s="26"/>
      <c r="M2428" s="26"/>
      <c r="N2428" s="26"/>
      <c r="O2428" s="26"/>
    </row>
    <row r="2429" spans="9:16">
      <c r="I2429" s="415" t="s">
        <v>2902</v>
      </c>
      <c r="J2429" s="26"/>
      <c r="K2429" s="26"/>
      <c r="L2429" s="26"/>
      <c r="M2429" s="26"/>
      <c r="N2429" s="26"/>
      <c r="O2429" s="26"/>
    </row>
    <row r="2430" spans="9:16">
      <c r="I2430" s="82" t="s">
        <v>19</v>
      </c>
      <c r="J2430" s="26"/>
      <c r="K2430" s="26"/>
      <c r="L2430" s="26"/>
      <c r="M2430" s="26"/>
      <c r="N2430" s="26"/>
      <c r="O2430" s="26"/>
    </row>
    <row r="2431" spans="9:16">
      <c r="I2431" s="26" t="s">
        <v>965</v>
      </c>
      <c r="J2431" s="26"/>
      <c r="K2431" s="26"/>
      <c r="L2431" s="26"/>
      <c r="M2431" s="26"/>
      <c r="N2431" s="26"/>
      <c r="O2431" s="26"/>
    </row>
    <row r="2432" spans="9:16">
      <c r="I2432" s="26" t="s">
        <v>21</v>
      </c>
      <c r="J2432" s="26"/>
      <c r="K2432" s="26"/>
      <c r="L2432" s="26"/>
      <c r="M2432" s="26"/>
      <c r="N2432" s="26"/>
      <c r="O2432" s="26"/>
    </row>
    <row r="2433" spans="9:16">
      <c r="I2433" s="26" t="s">
        <v>1229</v>
      </c>
      <c r="J2433" s="26"/>
      <c r="K2433" s="26"/>
      <c r="L2433" s="26"/>
      <c r="M2433" s="26"/>
      <c r="N2433" s="26"/>
      <c r="O2433" s="26"/>
    </row>
    <row r="2435" spans="9:16" ht="19.5" customHeight="1"/>
    <row r="2436" spans="9:16">
      <c r="L2436" s="30" t="s">
        <v>811</v>
      </c>
      <c r="N2436" s="30"/>
      <c r="O2436" s="30"/>
    </row>
    <row r="2437" spans="9:16">
      <c r="L2437" s="30" t="s">
        <v>149</v>
      </c>
      <c r="N2437" s="30"/>
      <c r="O2437" s="30"/>
    </row>
    <row r="2438" spans="9:16">
      <c r="L2438" s="605" t="s">
        <v>150</v>
      </c>
      <c r="M2438" s="605"/>
      <c r="N2438" s="605"/>
      <c r="O2438" s="605"/>
    </row>
    <row r="2439" spans="9:16">
      <c r="L2439" s="30"/>
    </row>
    <row r="2440" spans="9:16">
      <c r="L2440" s="30"/>
    </row>
    <row r="2441" spans="9:16" ht="17.25">
      <c r="L2441" s="644"/>
      <c r="M2441" s="644"/>
      <c r="N2441" s="644"/>
      <c r="O2441" s="644"/>
    </row>
    <row r="2442" spans="9:16" ht="18">
      <c r="I2442" s="26"/>
      <c r="J2442" s="26"/>
      <c r="K2442" s="26"/>
      <c r="L2442" s="644"/>
      <c r="M2442" s="644"/>
      <c r="N2442" s="644"/>
      <c r="O2442" s="644"/>
      <c r="P2442" s="145"/>
    </row>
    <row r="2443" spans="9:16" ht="18.75" customHeight="1">
      <c r="I2443" s="617" t="s">
        <v>2534</v>
      </c>
      <c r="J2443" s="617"/>
      <c r="K2443" s="617"/>
      <c r="L2443" s="617"/>
      <c r="M2443" s="617"/>
      <c r="N2443" s="617"/>
      <c r="O2443" s="617"/>
      <c r="P2443" s="617"/>
    </row>
    <row r="2446" spans="9:16" ht="54.75" customHeight="1">
      <c r="I2446" s="661" t="s">
        <v>1</v>
      </c>
      <c r="J2446" s="661"/>
      <c r="K2446" s="661"/>
      <c r="L2446" s="661"/>
      <c r="M2446" s="661"/>
      <c r="N2446" s="661"/>
      <c r="O2446" s="661"/>
      <c r="P2446" s="661"/>
    </row>
    <row r="2449" spans="9:16" ht="17.25">
      <c r="I2449" s="30"/>
      <c r="J2449" s="503" t="s">
        <v>1903</v>
      </c>
    </row>
    <row r="2450" spans="9:16" ht="17.25" thickBot="1">
      <c r="I2450" s="30"/>
      <c r="O2450" s="141"/>
    </row>
    <row r="2451" spans="9:16">
      <c r="J2451" s="30"/>
      <c r="N2451" s="143"/>
      <c r="P2451" s="144"/>
    </row>
    <row r="2452" spans="9:16">
      <c r="N2452" s="647" t="s">
        <v>2224</v>
      </c>
      <c r="O2452" s="610"/>
      <c r="P2452" s="648"/>
    </row>
    <row r="2453" spans="9:16">
      <c r="I2453" s="12" t="s">
        <v>114</v>
      </c>
      <c r="L2453" s="30" t="s">
        <v>2</v>
      </c>
      <c r="N2453" s="605" t="s">
        <v>2225</v>
      </c>
      <c r="O2453" s="605"/>
      <c r="P2453" s="649"/>
    </row>
    <row r="2454" spans="9:16">
      <c r="N2454" s="601" t="s">
        <v>163</v>
      </c>
      <c r="O2454" s="602"/>
      <c r="P2454" s="603"/>
    </row>
    <row r="2455" spans="9:16" ht="17.25" thickBot="1">
      <c r="N2455" s="140"/>
      <c r="O2455" s="141"/>
      <c r="P2455" s="142"/>
    </row>
    <row r="2457" spans="9:16">
      <c r="I2457" s="30" t="s">
        <v>27</v>
      </c>
      <c r="J2457" s="30" t="s">
        <v>115</v>
      </c>
    </row>
    <row r="2458" spans="9:16" ht="17.25" thickBot="1"/>
    <row r="2459" spans="9:16" ht="17.25" thickBot="1">
      <c r="I2459" s="13" t="s">
        <v>112</v>
      </c>
      <c r="J2459" s="624" t="s">
        <v>4</v>
      </c>
      <c r="K2459" s="625"/>
      <c r="L2459" s="625"/>
      <c r="M2459" s="625"/>
      <c r="N2459" s="625"/>
      <c r="O2459" s="626"/>
      <c r="P2459" s="20" t="s">
        <v>5</v>
      </c>
    </row>
    <row r="2460" spans="9:16" ht="15" customHeight="1">
      <c r="I2460" s="633" t="s">
        <v>2535</v>
      </c>
      <c r="J2460" s="143"/>
      <c r="K2460" s="159"/>
      <c r="L2460" s="159"/>
      <c r="M2460" s="159"/>
      <c r="N2460" s="159"/>
      <c r="O2460" s="144"/>
      <c r="P2460" s="291"/>
    </row>
    <row r="2461" spans="9:16">
      <c r="I2461" s="634"/>
      <c r="J2461" s="64"/>
      <c r="O2461" s="65"/>
      <c r="P2461" s="291"/>
    </row>
    <row r="2462" spans="9:16">
      <c r="I2462" s="634"/>
      <c r="J2462" s="630" t="s">
        <v>286</v>
      </c>
      <c r="K2462" s="631"/>
      <c r="L2462" s="631"/>
      <c r="M2462" s="631"/>
      <c r="N2462" s="631"/>
      <c r="O2462" s="632"/>
      <c r="P2462" s="291"/>
    </row>
    <row r="2463" spans="9:16">
      <c r="I2463" s="634"/>
      <c r="J2463" s="636" t="s">
        <v>2226</v>
      </c>
      <c r="K2463" s="637"/>
      <c r="L2463" s="637"/>
      <c r="M2463" s="637"/>
      <c r="N2463" s="637"/>
      <c r="O2463" s="638"/>
      <c r="P2463" s="148">
        <v>1200000</v>
      </c>
    </row>
    <row r="2464" spans="9:16" ht="15" customHeight="1">
      <c r="I2464" s="634"/>
      <c r="J2464" s="64"/>
      <c r="K2464" s="604"/>
      <c r="L2464" s="604"/>
      <c r="M2464" s="604"/>
      <c r="O2464" s="65"/>
      <c r="P2464" s="291"/>
    </row>
    <row r="2465" spans="9:16" ht="15.75" customHeight="1" thickBot="1">
      <c r="I2465" s="635"/>
      <c r="J2465" s="140"/>
      <c r="K2465" s="141"/>
      <c r="L2465" s="141"/>
      <c r="M2465" s="141"/>
      <c r="N2465" s="141"/>
      <c r="O2465" s="142"/>
      <c r="P2465" s="291"/>
    </row>
    <row r="2466" spans="9:16" ht="17.25" thickBot="1">
      <c r="I2466" s="20" t="s">
        <v>12</v>
      </c>
      <c r="J2466" s="614" t="s">
        <v>13</v>
      </c>
      <c r="K2466" s="615"/>
      <c r="L2466" s="62" t="s">
        <v>14</v>
      </c>
      <c r="M2466" s="63"/>
      <c r="N2466" s="62" t="s">
        <v>15</v>
      </c>
      <c r="O2466" s="62" t="s">
        <v>16</v>
      </c>
      <c r="P2466" s="20" t="s">
        <v>17</v>
      </c>
    </row>
    <row r="2467" spans="9:16" ht="18" thickBot="1">
      <c r="I2467" s="22" t="s">
        <v>18</v>
      </c>
      <c r="J2467" s="606">
        <f>+P2463</f>
        <v>1200000</v>
      </c>
      <c r="K2467" s="607"/>
      <c r="L2467" s="23">
        <f>0</f>
        <v>0</v>
      </c>
      <c r="M2467" s="24"/>
      <c r="N2467" s="25">
        <f>0</f>
        <v>0</v>
      </c>
      <c r="O2467" s="36">
        <f>+J2467</f>
        <v>1200000</v>
      </c>
      <c r="P2467" s="38">
        <f>+P2463</f>
        <v>1200000</v>
      </c>
    </row>
    <row r="2468" spans="9:16" ht="18" thickBot="1">
      <c r="I2468" s="22" t="s">
        <v>113</v>
      </c>
      <c r="J2468" s="606">
        <f>+J2467/650.599</f>
        <v>1844.4541107502469</v>
      </c>
      <c r="K2468" s="607"/>
      <c r="L2468" s="23">
        <f>0</f>
        <v>0</v>
      </c>
      <c r="M2468" s="24"/>
      <c r="N2468" s="25">
        <f>0</f>
        <v>0</v>
      </c>
      <c r="O2468" s="36">
        <f>+J2468</f>
        <v>1844.4541107502469</v>
      </c>
      <c r="P2468" s="38">
        <f>+O2468</f>
        <v>1844.4541107502469</v>
      </c>
    </row>
    <row r="2470" spans="9:16">
      <c r="I2470" s="412" t="s">
        <v>1382</v>
      </c>
      <c r="J2470" s="26"/>
      <c r="K2470" s="26"/>
      <c r="L2470" s="26"/>
      <c r="M2470" s="26"/>
      <c r="N2470" s="26"/>
      <c r="O2470" s="26"/>
    </row>
    <row r="2471" spans="9:16">
      <c r="I2471" s="413" t="s">
        <v>2227</v>
      </c>
      <c r="J2471" s="26"/>
      <c r="K2471" s="26"/>
      <c r="L2471" s="26"/>
      <c r="M2471" s="26"/>
      <c r="N2471" s="26"/>
      <c r="O2471" s="26"/>
    </row>
    <row r="2472" spans="9:16">
      <c r="I2472" s="82" t="s">
        <v>19</v>
      </c>
      <c r="J2472" s="26"/>
      <c r="K2472" s="26"/>
      <c r="L2472" s="26"/>
      <c r="M2472" s="26"/>
      <c r="N2472" s="26"/>
      <c r="O2472" s="26"/>
    </row>
    <row r="2473" spans="9:16">
      <c r="I2473" s="26" t="s">
        <v>965</v>
      </c>
      <c r="J2473" s="26"/>
      <c r="K2473" s="26"/>
      <c r="L2473" s="26"/>
      <c r="M2473" s="26"/>
      <c r="N2473" s="26"/>
      <c r="O2473" s="26"/>
    </row>
    <row r="2474" spans="9:16">
      <c r="I2474" s="26" t="s">
        <v>21</v>
      </c>
      <c r="J2474" s="26"/>
      <c r="K2474" s="26"/>
      <c r="L2474" s="26"/>
      <c r="M2474" s="26"/>
      <c r="N2474" s="26"/>
      <c r="O2474" s="26"/>
    </row>
    <row r="2475" spans="9:16">
      <c r="I2475" s="26" t="s">
        <v>1229</v>
      </c>
      <c r="J2475" s="26"/>
      <c r="K2475" s="26"/>
      <c r="L2475" s="26"/>
      <c r="M2475" s="26"/>
      <c r="N2475" s="26"/>
      <c r="O2475" s="26"/>
    </row>
    <row r="2478" spans="9:16">
      <c r="L2478" s="30" t="s">
        <v>811</v>
      </c>
      <c r="N2478" s="30"/>
      <c r="O2478" s="30"/>
    </row>
    <row r="2479" spans="9:16">
      <c r="L2479" s="30" t="s">
        <v>149</v>
      </c>
      <c r="N2479" s="30"/>
      <c r="O2479" s="30"/>
    </row>
    <row r="2480" spans="9:16">
      <c r="L2480" s="605" t="s">
        <v>150</v>
      </c>
      <c r="M2480" s="605"/>
      <c r="N2480" s="605"/>
      <c r="O2480" s="605"/>
    </row>
    <row r="2481" spans="9:16">
      <c r="L2481" s="30"/>
    </row>
    <row r="2482" spans="9:16">
      <c r="M2482" s="26"/>
      <c r="N2482" s="26"/>
      <c r="O2482" s="26"/>
    </row>
    <row r="2483" spans="9:16" ht="17.25">
      <c r="L2483" s="259" t="s">
        <v>2347</v>
      </c>
      <c r="M2483" s="259"/>
      <c r="N2483" s="259"/>
      <c r="O2483" s="259"/>
    </row>
    <row r="2484" spans="9:16" ht="18">
      <c r="I2484" s="26"/>
      <c r="J2484" s="26"/>
      <c r="K2484" s="26"/>
      <c r="L2484" s="644"/>
      <c r="M2484" s="644"/>
      <c r="N2484" s="644"/>
      <c r="O2484" s="644"/>
      <c r="P2484" s="145"/>
    </row>
    <row r="2485" spans="9:16" ht="18">
      <c r="I2485" s="26"/>
      <c r="J2485" s="26"/>
      <c r="K2485" s="26"/>
      <c r="L2485" s="26"/>
      <c r="M2485" s="373"/>
      <c r="N2485" s="373"/>
      <c r="O2485" s="373"/>
      <c r="P2485" s="145"/>
    </row>
    <row r="2486" spans="9:16">
      <c r="I2486" s="617" t="s">
        <v>0</v>
      </c>
      <c r="J2486" s="617"/>
      <c r="K2486" s="617"/>
      <c r="L2486" s="617"/>
      <c r="M2486" s="617"/>
      <c r="N2486" s="617"/>
      <c r="O2486" s="617"/>
      <c r="P2486" s="617"/>
    </row>
    <row r="2489" spans="9:16" ht="49.5" customHeight="1">
      <c r="I2489" s="642" t="s">
        <v>1</v>
      </c>
      <c r="J2489" s="642"/>
      <c r="K2489" s="642"/>
      <c r="L2489" s="642"/>
      <c r="M2489" s="642"/>
      <c r="N2489" s="642"/>
      <c r="O2489" s="642"/>
      <c r="P2489" s="642"/>
    </row>
    <row r="2492" spans="9:16" ht="17.25">
      <c r="I2492" s="30"/>
      <c r="J2492" s="375" t="s">
        <v>803</v>
      </c>
    </row>
    <row r="2493" spans="9:16" ht="17.25" thickBot="1">
      <c r="I2493" s="30"/>
      <c r="O2493" s="141"/>
    </row>
    <row r="2494" spans="9:16">
      <c r="J2494" s="30"/>
      <c r="N2494" s="143"/>
      <c r="P2494" s="144"/>
    </row>
    <row r="2495" spans="9:16">
      <c r="N2495" s="647" t="s">
        <v>2353</v>
      </c>
      <c r="O2495" s="610"/>
      <c r="P2495" s="648"/>
    </row>
    <row r="2496" spans="9:16">
      <c r="I2496" s="12" t="s">
        <v>114</v>
      </c>
      <c r="L2496" s="30" t="s">
        <v>2</v>
      </c>
      <c r="N2496" s="605" t="s">
        <v>2356</v>
      </c>
      <c r="O2496" s="605"/>
      <c r="P2496" s="649"/>
    </row>
    <row r="2497" spans="9:16">
      <c r="N2497" s="601" t="s">
        <v>163</v>
      </c>
      <c r="O2497" s="602"/>
      <c r="P2497" s="603"/>
    </row>
    <row r="2498" spans="9:16" ht="17.25" thickBot="1">
      <c r="N2498" s="140"/>
      <c r="O2498" s="141"/>
      <c r="P2498" s="142"/>
    </row>
    <row r="2500" spans="9:16">
      <c r="I2500" s="30" t="s">
        <v>27</v>
      </c>
      <c r="J2500" s="30" t="s">
        <v>785</v>
      </c>
    </row>
    <row r="2501" spans="9:16" ht="17.25" thickBot="1"/>
    <row r="2502" spans="9:16" ht="17.25" thickBot="1">
      <c r="I2502" s="13" t="s">
        <v>112</v>
      </c>
      <c r="J2502" s="624" t="s">
        <v>4</v>
      </c>
      <c r="K2502" s="625"/>
      <c r="L2502" s="625"/>
      <c r="M2502" s="625"/>
      <c r="N2502" s="625"/>
      <c r="O2502" s="626"/>
      <c r="P2502" s="20" t="s">
        <v>5</v>
      </c>
    </row>
    <row r="2503" spans="9:16" ht="15" customHeight="1">
      <c r="I2503" s="627" t="s">
        <v>2376</v>
      </c>
      <c r="J2503" s="143"/>
      <c r="K2503" s="159"/>
      <c r="L2503" s="159"/>
      <c r="M2503" s="159"/>
      <c r="N2503" s="159"/>
      <c r="O2503" s="144"/>
      <c r="P2503" s="291"/>
    </row>
    <row r="2504" spans="9:16">
      <c r="I2504" s="628"/>
      <c r="J2504" s="64"/>
      <c r="O2504" s="65"/>
      <c r="P2504" s="291"/>
    </row>
    <row r="2505" spans="9:16">
      <c r="I2505" s="628"/>
      <c r="J2505" s="630" t="s">
        <v>286</v>
      </c>
      <c r="K2505" s="631"/>
      <c r="L2505" s="631"/>
      <c r="M2505" s="631"/>
      <c r="N2505" s="631"/>
      <c r="O2505" s="632"/>
      <c r="P2505" s="291"/>
    </row>
    <row r="2506" spans="9:16">
      <c r="I2506" s="628"/>
      <c r="J2506" s="636" t="s">
        <v>2392</v>
      </c>
      <c r="K2506" s="637"/>
      <c r="L2506" s="637"/>
      <c r="M2506" s="637"/>
      <c r="N2506" s="637"/>
      <c r="O2506" s="638"/>
      <c r="P2506" s="148">
        <v>500000</v>
      </c>
    </row>
    <row r="2507" spans="9:16" ht="15" customHeight="1">
      <c r="I2507" s="628"/>
      <c r="J2507" s="64"/>
      <c r="K2507" s="604"/>
      <c r="L2507" s="604"/>
      <c r="M2507" s="604"/>
      <c r="O2507" s="65"/>
      <c r="P2507" s="291"/>
    </row>
    <row r="2508" spans="9:16" ht="15.75" customHeight="1" thickBot="1">
      <c r="I2508" s="629"/>
      <c r="J2508" s="140"/>
      <c r="K2508" s="141"/>
      <c r="L2508" s="141"/>
      <c r="M2508" s="141"/>
      <c r="N2508" s="141"/>
      <c r="O2508" s="142"/>
      <c r="P2508" s="291"/>
    </row>
    <row r="2509" spans="9:16" ht="17.25" thickBot="1">
      <c r="I2509" s="20" t="s">
        <v>12</v>
      </c>
      <c r="J2509" s="614" t="s">
        <v>13</v>
      </c>
      <c r="K2509" s="615"/>
      <c r="L2509" s="62" t="s">
        <v>14</v>
      </c>
      <c r="M2509" s="63"/>
      <c r="N2509" s="62" t="s">
        <v>15</v>
      </c>
      <c r="O2509" s="62" t="s">
        <v>16</v>
      </c>
      <c r="P2509" s="20" t="s">
        <v>17</v>
      </c>
    </row>
    <row r="2510" spans="9:16" ht="18" thickBot="1">
      <c r="I2510" s="22" t="s">
        <v>18</v>
      </c>
      <c r="J2510" s="606">
        <v>2025956</v>
      </c>
      <c r="K2510" s="607"/>
      <c r="L2510" s="23">
        <f>0</f>
        <v>0</v>
      </c>
      <c r="M2510" s="24"/>
      <c r="N2510" s="25">
        <f>0</f>
        <v>0</v>
      </c>
      <c r="O2510" s="36">
        <f>+J2510</f>
        <v>2025956</v>
      </c>
      <c r="P2510" s="38">
        <f>+P2506</f>
        <v>500000</v>
      </c>
    </row>
    <row r="2511" spans="9:16" ht="18" thickBot="1">
      <c r="I2511" s="22" t="s">
        <v>113</v>
      </c>
      <c r="J2511" s="606">
        <f>+J2510/650.599</f>
        <v>3113.9857269992726</v>
      </c>
      <c r="K2511" s="607"/>
      <c r="L2511" s="23">
        <f>0</f>
        <v>0</v>
      </c>
      <c r="M2511" s="24"/>
      <c r="N2511" s="25">
        <f>0</f>
        <v>0</v>
      </c>
      <c r="O2511" s="36">
        <f>+J2511</f>
        <v>3113.9857269992726</v>
      </c>
      <c r="P2511" s="38">
        <f>+O2511</f>
        <v>3113.9857269992726</v>
      </c>
    </row>
    <row r="2513" spans="9:16">
      <c r="I2513" s="395" t="s">
        <v>1268</v>
      </c>
      <c r="J2513" s="26"/>
      <c r="K2513" s="26"/>
      <c r="L2513" s="26"/>
      <c r="M2513" s="26"/>
      <c r="N2513" s="26"/>
      <c r="O2513" s="26"/>
    </row>
    <row r="2514" spans="9:16">
      <c r="I2514" s="408" t="s">
        <v>2393</v>
      </c>
      <c r="J2514" s="26"/>
      <c r="K2514" s="26"/>
      <c r="L2514" s="26"/>
      <c r="M2514" s="26"/>
      <c r="N2514" s="26"/>
      <c r="O2514" s="26"/>
    </row>
    <row r="2515" spans="9:16">
      <c r="I2515" s="82" t="s">
        <v>19</v>
      </c>
      <c r="J2515" s="26"/>
      <c r="K2515" s="26"/>
      <c r="L2515" s="26"/>
      <c r="M2515" s="26"/>
      <c r="N2515" s="26"/>
      <c r="O2515" s="26"/>
    </row>
    <row r="2516" spans="9:16">
      <c r="I2516" s="26" t="s">
        <v>965</v>
      </c>
      <c r="J2516" s="26"/>
      <c r="K2516" s="26"/>
      <c r="L2516" s="26"/>
      <c r="M2516" s="26"/>
      <c r="N2516" s="26"/>
      <c r="O2516" s="26"/>
    </row>
    <row r="2517" spans="9:16">
      <c r="I2517" s="26" t="s">
        <v>21</v>
      </c>
      <c r="J2517" s="26"/>
      <c r="K2517" s="26"/>
      <c r="L2517" s="26"/>
      <c r="M2517" s="26"/>
      <c r="N2517" s="26"/>
      <c r="O2517" s="26"/>
    </row>
    <row r="2518" spans="9:16">
      <c r="I2518" s="26" t="s">
        <v>1229</v>
      </c>
      <c r="J2518" s="26"/>
      <c r="K2518" s="26"/>
      <c r="L2518" s="26"/>
      <c r="M2518" s="26"/>
      <c r="N2518" s="26"/>
      <c r="O2518" s="26"/>
    </row>
    <row r="2521" spans="9:16">
      <c r="L2521" s="30" t="s">
        <v>811</v>
      </c>
      <c r="N2521" s="30"/>
      <c r="O2521" s="30"/>
    </row>
    <row r="2522" spans="9:16">
      <c r="L2522" s="30" t="s">
        <v>149</v>
      </c>
      <c r="N2522" s="30"/>
      <c r="O2522" s="30"/>
    </row>
    <row r="2523" spans="9:16">
      <c r="L2523" s="605" t="s">
        <v>150</v>
      </c>
      <c r="M2523" s="605"/>
      <c r="N2523" s="605"/>
      <c r="O2523" s="605"/>
    </row>
    <row r="2524" spans="9:16">
      <c r="L2524" s="30"/>
    </row>
    <row r="2525" spans="9:16">
      <c r="M2525" s="26"/>
      <c r="N2525" s="26"/>
      <c r="O2525" s="26"/>
    </row>
    <row r="2526" spans="9:16" ht="18">
      <c r="L2526" s="145"/>
      <c r="M2526" s="145"/>
      <c r="N2526" s="145"/>
      <c r="O2526" s="145"/>
    </row>
    <row r="2527" spans="9:16" ht="18">
      <c r="I2527" s="26"/>
      <c r="J2527" s="26"/>
      <c r="K2527" s="26"/>
      <c r="L2527" s="644" t="s">
        <v>2347</v>
      </c>
      <c r="M2527" s="644"/>
      <c r="N2527" s="644"/>
      <c r="O2527" s="644"/>
      <c r="P2527" s="145"/>
    </row>
    <row r="2528" spans="9:16" ht="18">
      <c r="I2528" s="26"/>
      <c r="J2528" s="26"/>
      <c r="K2528" s="26"/>
      <c r="L2528" s="26"/>
      <c r="M2528" s="373"/>
      <c r="N2528" s="373"/>
      <c r="O2528" s="373"/>
      <c r="P2528" s="145"/>
    </row>
    <row r="2529" spans="9:16">
      <c r="I2529" s="617" t="s">
        <v>0</v>
      </c>
      <c r="J2529" s="617"/>
      <c r="K2529" s="617"/>
      <c r="L2529" s="617"/>
      <c r="M2529" s="617"/>
      <c r="N2529" s="617"/>
      <c r="O2529" s="617"/>
      <c r="P2529" s="617"/>
    </row>
    <row r="2532" spans="9:16" ht="49.5" customHeight="1">
      <c r="I2532" s="642" t="s">
        <v>1</v>
      </c>
      <c r="J2532" s="642"/>
      <c r="K2532" s="642"/>
      <c r="L2532" s="642"/>
      <c r="M2532" s="642"/>
      <c r="N2532" s="642"/>
      <c r="O2532" s="642"/>
      <c r="P2532" s="642"/>
    </row>
    <row r="2535" spans="9:16" ht="17.25">
      <c r="I2535" s="30"/>
      <c r="J2535" s="375" t="s">
        <v>2515</v>
      </c>
    </row>
    <row r="2536" spans="9:16" ht="17.25" thickBot="1">
      <c r="I2536" s="30"/>
      <c r="O2536" s="141"/>
    </row>
    <row r="2537" spans="9:16">
      <c r="J2537" s="30"/>
      <c r="N2537" s="143"/>
      <c r="P2537" s="144"/>
    </row>
    <row r="2538" spans="9:16">
      <c r="N2538" s="647" t="s">
        <v>2512</v>
      </c>
      <c r="O2538" s="610"/>
      <c r="P2538" s="648"/>
    </row>
    <row r="2539" spans="9:16">
      <c r="I2539" s="12" t="s">
        <v>114</v>
      </c>
      <c r="L2539" s="30" t="s">
        <v>2</v>
      </c>
      <c r="N2539" s="605" t="s">
        <v>2516</v>
      </c>
      <c r="O2539" s="605"/>
      <c r="P2539" s="649"/>
    </row>
    <row r="2540" spans="9:16">
      <c r="N2540" s="601" t="s">
        <v>163</v>
      </c>
      <c r="O2540" s="602"/>
      <c r="P2540" s="603"/>
    </row>
    <row r="2541" spans="9:16" ht="17.25" thickBot="1">
      <c r="N2541" s="140"/>
      <c r="O2541" s="141"/>
      <c r="P2541" s="142"/>
    </row>
    <row r="2543" spans="9:16">
      <c r="I2543" s="30" t="s">
        <v>27</v>
      </c>
      <c r="J2543" s="30" t="s">
        <v>145</v>
      </c>
    </row>
    <row r="2544" spans="9:16" ht="17.25" thickBot="1"/>
    <row r="2545" spans="9:16" ht="17.25" thickBot="1">
      <c r="I2545" s="13" t="s">
        <v>112</v>
      </c>
      <c r="J2545" s="624" t="s">
        <v>4</v>
      </c>
      <c r="K2545" s="625"/>
      <c r="L2545" s="625"/>
      <c r="M2545" s="625"/>
      <c r="N2545" s="625"/>
      <c r="O2545" s="626"/>
      <c r="P2545" s="20" t="s">
        <v>5</v>
      </c>
    </row>
    <row r="2546" spans="9:16" ht="15" customHeight="1">
      <c r="I2546" s="627" t="s">
        <v>2445</v>
      </c>
      <c r="J2546" s="143"/>
      <c r="K2546" s="159"/>
      <c r="L2546" s="159"/>
      <c r="M2546" s="159"/>
      <c r="N2546" s="159"/>
      <c r="O2546" s="144"/>
      <c r="P2546" s="291"/>
    </row>
    <row r="2547" spans="9:16">
      <c r="I2547" s="628"/>
      <c r="J2547" s="64"/>
      <c r="O2547" s="65"/>
      <c r="P2547" s="291"/>
    </row>
    <row r="2548" spans="9:16">
      <c r="I2548" s="628"/>
      <c r="J2548" s="630" t="s">
        <v>286</v>
      </c>
      <c r="K2548" s="631"/>
      <c r="L2548" s="631"/>
      <c r="M2548" s="631"/>
      <c r="N2548" s="631"/>
      <c r="O2548" s="632"/>
      <c r="P2548" s="291"/>
    </row>
    <row r="2549" spans="9:16">
      <c r="I2549" s="628"/>
      <c r="J2549" s="636" t="s">
        <v>2513</v>
      </c>
      <c r="K2549" s="637"/>
      <c r="L2549" s="637"/>
      <c r="M2549" s="637"/>
      <c r="N2549" s="637"/>
      <c r="O2549" s="638"/>
      <c r="P2549" s="148">
        <v>1200000</v>
      </c>
    </row>
    <row r="2550" spans="9:16" ht="15" customHeight="1">
      <c r="I2550" s="628"/>
      <c r="J2550" s="64"/>
      <c r="K2550" s="30"/>
      <c r="L2550" s="30"/>
      <c r="M2550" s="30"/>
      <c r="O2550" s="65"/>
      <c r="P2550" s="291"/>
    </row>
    <row r="2551" spans="9:16" ht="15.75" customHeight="1" thickBot="1">
      <c r="I2551" s="629"/>
      <c r="J2551" s="140"/>
      <c r="K2551" s="141"/>
      <c r="L2551" s="141"/>
      <c r="M2551" s="141"/>
      <c r="N2551" s="141"/>
      <c r="O2551" s="142"/>
      <c r="P2551" s="291"/>
    </row>
    <row r="2552" spans="9:16" ht="17.25" thickBot="1">
      <c r="I2552" s="20" t="s">
        <v>12</v>
      </c>
      <c r="J2552" s="614" t="s">
        <v>13</v>
      </c>
      <c r="K2552" s="615"/>
      <c r="L2552" s="62" t="s">
        <v>14</v>
      </c>
      <c r="M2552" s="63"/>
      <c r="N2552" s="62" t="s">
        <v>15</v>
      </c>
      <c r="O2552" s="62" t="s">
        <v>16</v>
      </c>
      <c r="P2552" s="20" t="s">
        <v>17</v>
      </c>
    </row>
    <row r="2553" spans="9:16" ht="18" thickBot="1">
      <c r="I2553" s="22" t="s">
        <v>18</v>
      </c>
      <c r="J2553" s="606">
        <f>+P2549</f>
        <v>1200000</v>
      </c>
      <c r="K2553" s="607"/>
      <c r="L2553" s="23">
        <f>0</f>
        <v>0</v>
      </c>
      <c r="M2553" s="24"/>
      <c r="N2553" s="25">
        <f>0</f>
        <v>0</v>
      </c>
      <c r="O2553" s="36">
        <f>+J2553</f>
        <v>1200000</v>
      </c>
      <c r="P2553" s="38">
        <f>+P2549</f>
        <v>1200000</v>
      </c>
    </row>
    <row r="2554" spans="9:16" ht="18" thickBot="1">
      <c r="I2554" s="22" t="s">
        <v>113</v>
      </c>
      <c r="J2554" s="606">
        <f>+J2553/650.599</f>
        <v>1844.4541107502469</v>
      </c>
      <c r="K2554" s="607"/>
      <c r="L2554" s="23">
        <f>0</f>
        <v>0</v>
      </c>
      <c r="M2554" s="24"/>
      <c r="N2554" s="25">
        <f>0</f>
        <v>0</v>
      </c>
      <c r="O2554" s="36">
        <f>+J2554</f>
        <v>1844.4541107502469</v>
      </c>
      <c r="P2554" s="38">
        <f>+O2554</f>
        <v>1844.4541107502469</v>
      </c>
    </row>
    <row r="2556" spans="9:16">
      <c r="I2556" s="412" t="s">
        <v>1268</v>
      </c>
      <c r="J2556" s="26"/>
      <c r="K2556" s="26"/>
      <c r="L2556" s="26"/>
      <c r="M2556" s="26"/>
      <c r="N2556" s="26"/>
      <c r="O2556" s="26"/>
    </row>
    <row r="2557" spans="9:16">
      <c r="I2557" s="413" t="s">
        <v>2514</v>
      </c>
      <c r="J2557" s="410"/>
      <c r="K2557" s="410"/>
      <c r="L2557" s="410"/>
      <c r="M2557" s="410"/>
      <c r="N2557" s="410"/>
      <c r="O2557" s="410"/>
    </row>
    <row r="2558" spans="9:16">
      <c r="I2558" s="411" t="s">
        <v>19</v>
      </c>
      <c r="J2558" s="410"/>
      <c r="K2558" s="410"/>
      <c r="L2558" s="410"/>
      <c r="M2558" s="410"/>
      <c r="N2558" s="410"/>
      <c r="O2558" s="410"/>
    </row>
    <row r="2559" spans="9:16">
      <c r="I2559" s="410" t="s">
        <v>1914</v>
      </c>
      <c r="J2559" s="410"/>
      <c r="K2559" s="410"/>
      <c r="L2559" s="410"/>
      <c r="M2559" s="410"/>
      <c r="N2559" s="410"/>
      <c r="O2559" s="410"/>
    </row>
    <row r="2560" spans="9:16">
      <c r="I2560" s="410" t="s">
        <v>21</v>
      </c>
      <c r="J2560" s="410"/>
      <c r="K2560" s="410"/>
      <c r="L2560" s="410"/>
      <c r="M2560" s="410"/>
      <c r="N2560" s="410"/>
      <c r="O2560" s="410"/>
    </row>
    <row r="2561" spans="9:16">
      <c r="I2561" s="410" t="s">
        <v>1229</v>
      </c>
      <c r="J2561" s="410"/>
      <c r="K2561" s="410"/>
      <c r="L2561" s="410"/>
      <c r="M2561" s="410"/>
      <c r="N2561" s="410"/>
      <c r="O2561" s="410"/>
    </row>
    <row r="2564" spans="9:16">
      <c r="L2564" s="30" t="s">
        <v>24</v>
      </c>
      <c r="N2564" s="30"/>
      <c r="O2564" s="30"/>
    </row>
    <row r="2565" spans="9:16">
      <c r="L2565" s="30" t="s">
        <v>149</v>
      </c>
      <c r="N2565" s="30"/>
      <c r="O2565" s="30"/>
    </row>
    <row r="2566" spans="9:16">
      <c r="L2566" s="605" t="s">
        <v>150</v>
      </c>
      <c r="M2566" s="605"/>
      <c r="N2566" s="605"/>
      <c r="O2566" s="605"/>
    </row>
    <row r="2567" spans="9:16">
      <c r="L2567" s="477"/>
      <c r="M2567" s="477"/>
      <c r="N2567" s="477"/>
      <c r="O2567" s="477"/>
    </row>
    <row r="2568" spans="9:16">
      <c r="L2568" s="30"/>
    </row>
    <row r="2569" spans="9:16">
      <c r="M2569" s="26"/>
      <c r="N2569" s="26"/>
      <c r="O2569" s="26"/>
    </row>
    <row r="2570" spans="9:16" ht="18" customHeight="1">
      <c r="L2570" s="644" t="s">
        <v>2347</v>
      </c>
      <c r="M2570" s="644"/>
      <c r="N2570" s="644"/>
      <c r="O2570" s="644"/>
    </row>
    <row r="2571" spans="9:16" ht="18">
      <c r="I2571" s="26"/>
      <c r="J2571" s="26"/>
      <c r="K2571" s="26"/>
      <c r="L2571" s="644"/>
      <c r="M2571" s="644"/>
      <c r="N2571" s="644"/>
      <c r="O2571" s="644"/>
      <c r="P2571" s="145"/>
    </row>
    <row r="2572" spans="9:16" ht="18">
      <c r="I2572" s="26"/>
      <c r="J2572" s="26"/>
      <c r="K2572" s="26"/>
      <c r="L2572" s="361"/>
      <c r="M2572" s="361"/>
      <c r="N2572" s="361"/>
      <c r="O2572" s="361"/>
      <c r="P2572" s="145"/>
    </row>
    <row r="2573" spans="9:16" ht="18">
      <c r="I2573" s="26"/>
      <c r="J2573" s="26"/>
      <c r="K2573" s="26"/>
      <c r="L2573" s="361"/>
      <c r="M2573" s="361"/>
      <c r="N2573" s="361"/>
      <c r="O2573" s="361"/>
      <c r="P2573" s="145"/>
    </row>
    <row r="2574" spans="9:16" ht="18">
      <c r="I2574" s="26"/>
      <c r="J2574" s="26"/>
      <c r="K2574" s="26"/>
      <c r="L2574" s="26"/>
      <c r="M2574" s="373"/>
      <c r="N2574" s="373"/>
      <c r="O2574" s="373"/>
      <c r="P2574" s="145"/>
    </row>
    <row r="2575" spans="9:16" ht="18" customHeight="1">
      <c r="I2575" s="617" t="s">
        <v>0</v>
      </c>
      <c r="J2575" s="617"/>
      <c r="K2575" s="617"/>
      <c r="L2575" s="617"/>
      <c r="M2575" s="617"/>
      <c r="N2575" s="617"/>
      <c r="O2575" s="617"/>
      <c r="P2575" s="617"/>
    </row>
    <row r="2578" spans="9:16" ht="49.5" customHeight="1">
      <c r="I2578" s="642" t="s">
        <v>1</v>
      </c>
      <c r="J2578" s="642"/>
      <c r="K2578" s="642"/>
      <c r="L2578" s="642"/>
      <c r="M2578" s="642"/>
      <c r="N2578" s="642"/>
      <c r="O2578" s="642"/>
      <c r="P2578" s="642"/>
    </row>
    <row r="2581" spans="9:16" ht="17.25">
      <c r="I2581" s="30"/>
      <c r="J2581" s="375" t="s">
        <v>706</v>
      </c>
    </row>
    <row r="2582" spans="9:16" ht="17.25" thickBot="1">
      <c r="I2582" s="30"/>
      <c r="O2582" s="141"/>
    </row>
    <row r="2583" spans="9:16">
      <c r="J2583" s="30"/>
      <c r="N2583" s="143"/>
      <c r="P2583" s="144"/>
    </row>
    <row r="2584" spans="9:16">
      <c r="N2584" s="647" t="s">
        <v>1951</v>
      </c>
      <c r="O2584" s="610"/>
      <c r="P2584" s="648"/>
    </row>
    <row r="2585" spans="9:16">
      <c r="I2585" s="12" t="s">
        <v>114</v>
      </c>
      <c r="L2585" s="30" t="s">
        <v>2</v>
      </c>
      <c r="N2585" s="605" t="s">
        <v>1952</v>
      </c>
      <c r="O2585" s="605"/>
      <c r="P2585" s="649"/>
    </row>
    <row r="2586" spans="9:16">
      <c r="N2586" s="601" t="s">
        <v>163</v>
      </c>
      <c r="O2586" s="602"/>
      <c r="P2586" s="603"/>
    </row>
    <row r="2587" spans="9:16" ht="17.25" thickBot="1">
      <c r="N2587" s="140"/>
      <c r="O2587" s="141"/>
      <c r="P2587" s="142"/>
    </row>
    <row r="2589" spans="9:16">
      <c r="I2589" s="30" t="s">
        <v>27</v>
      </c>
      <c r="J2589" s="30" t="s">
        <v>1675</v>
      </c>
    </row>
    <row r="2590" spans="9:16" ht="17.25" thickBot="1"/>
    <row r="2591" spans="9:16" ht="17.25" thickBot="1">
      <c r="I2591" s="13" t="s">
        <v>112</v>
      </c>
      <c r="J2591" s="624" t="s">
        <v>4</v>
      </c>
      <c r="K2591" s="625"/>
      <c r="L2591" s="625"/>
      <c r="M2591" s="625"/>
      <c r="N2591" s="625"/>
      <c r="O2591" s="626"/>
      <c r="P2591" s="20" t="s">
        <v>5</v>
      </c>
    </row>
    <row r="2592" spans="9:16" ht="15" customHeight="1">
      <c r="I2592" s="627" t="s">
        <v>1953</v>
      </c>
      <c r="J2592" s="143"/>
      <c r="K2592" s="159"/>
      <c r="L2592" s="159"/>
      <c r="M2592" s="159"/>
      <c r="N2592" s="159"/>
      <c r="O2592" s="144"/>
      <c r="P2592" s="291"/>
    </row>
    <row r="2593" spans="9:16">
      <c r="I2593" s="634"/>
      <c r="J2593" s="64"/>
      <c r="O2593" s="65"/>
      <c r="P2593" s="291"/>
    </row>
    <row r="2594" spans="9:16">
      <c r="I2594" s="634"/>
      <c r="J2594" s="630" t="s">
        <v>286</v>
      </c>
      <c r="K2594" s="631"/>
      <c r="L2594" s="631"/>
      <c r="M2594" s="631"/>
      <c r="N2594" s="631"/>
      <c r="O2594" s="632"/>
      <c r="P2594" s="291"/>
    </row>
    <row r="2595" spans="9:16">
      <c r="I2595" s="634"/>
      <c r="J2595" s="636" t="s">
        <v>1954</v>
      </c>
      <c r="K2595" s="637"/>
      <c r="L2595" s="637"/>
      <c r="M2595" s="637"/>
      <c r="N2595" s="637"/>
      <c r="O2595" s="638"/>
      <c r="P2595" s="148">
        <v>2700000</v>
      </c>
    </row>
    <row r="2596" spans="9:16" ht="15" customHeight="1">
      <c r="I2596" s="634"/>
      <c r="J2596" s="64"/>
      <c r="K2596" s="604"/>
      <c r="L2596" s="604"/>
      <c r="M2596" s="604"/>
      <c r="O2596" s="65"/>
      <c r="P2596" s="291"/>
    </row>
    <row r="2597" spans="9:16" ht="15.75" customHeight="1" thickBot="1">
      <c r="I2597" s="635"/>
      <c r="J2597" s="140"/>
      <c r="K2597" s="141"/>
      <c r="L2597" s="141"/>
      <c r="M2597" s="141"/>
      <c r="N2597" s="141"/>
      <c r="O2597" s="142"/>
      <c r="P2597" s="291"/>
    </row>
    <row r="2598" spans="9:16" ht="17.25" thickBot="1">
      <c r="I2598" s="20" t="s">
        <v>12</v>
      </c>
      <c r="J2598" s="614" t="s">
        <v>13</v>
      </c>
      <c r="K2598" s="615"/>
      <c r="L2598" s="62" t="s">
        <v>14</v>
      </c>
      <c r="M2598" s="63"/>
      <c r="N2598" s="62" t="s">
        <v>15</v>
      </c>
      <c r="O2598" s="62" t="s">
        <v>16</v>
      </c>
      <c r="P2598" s="20" t="s">
        <v>17</v>
      </c>
    </row>
    <row r="2599" spans="9:16" ht="18" thickBot="1">
      <c r="I2599" s="22" t="s">
        <v>18</v>
      </c>
      <c r="J2599" s="606">
        <f>+P2595</f>
        <v>2700000</v>
      </c>
      <c r="K2599" s="607"/>
      <c r="L2599" s="23">
        <f>0</f>
        <v>0</v>
      </c>
      <c r="M2599" s="24"/>
      <c r="N2599" s="25">
        <f>0</f>
        <v>0</v>
      </c>
      <c r="O2599" s="36">
        <f>+J2599</f>
        <v>2700000</v>
      </c>
      <c r="P2599" s="38">
        <f>+P2595</f>
        <v>2700000</v>
      </c>
    </row>
    <row r="2600" spans="9:16" ht="18" thickBot="1">
      <c r="I2600" s="22" t="s">
        <v>113</v>
      </c>
      <c r="J2600" s="606">
        <f>+J2599/650.599</f>
        <v>4150.0217491880558</v>
      </c>
      <c r="K2600" s="607"/>
      <c r="L2600" s="23">
        <f>0</f>
        <v>0</v>
      </c>
      <c r="M2600" s="24"/>
      <c r="N2600" s="25">
        <f>0</f>
        <v>0</v>
      </c>
      <c r="O2600" s="36">
        <f>+J2600</f>
        <v>4150.0217491880558</v>
      </c>
      <c r="P2600" s="38">
        <f>+O2600</f>
        <v>4150.0217491880558</v>
      </c>
    </row>
    <row r="2602" spans="9:16">
      <c r="I2602" s="410" t="s">
        <v>1268</v>
      </c>
      <c r="J2602" s="26"/>
      <c r="K2602" s="26"/>
      <c r="L2602" s="26"/>
      <c r="M2602" s="26"/>
      <c r="N2602" s="26"/>
      <c r="O2602" s="26"/>
    </row>
    <row r="2603" spans="9:16">
      <c r="I2603" s="411" t="s">
        <v>1955</v>
      </c>
      <c r="J2603" s="26"/>
      <c r="K2603" s="26"/>
      <c r="L2603" s="26"/>
      <c r="M2603" s="26"/>
      <c r="N2603" s="26"/>
      <c r="O2603" s="26"/>
    </row>
    <row r="2604" spans="9:16">
      <c r="I2604" s="82" t="s">
        <v>19</v>
      </c>
      <c r="J2604" s="26"/>
      <c r="K2604" s="26"/>
      <c r="L2604" s="26"/>
      <c r="M2604" s="26"/>
      <c r="N2604" s="26"/>
      <c r="O2604" s="26"/>
    </row>
    <row r="2605" spans="9:16">
      <c r="I2605" s="26" t="s">
        <v>965</v>
      </c>
      <c r="J2605" s="26"/>
      <c r="K2605" s="26"/>
      <c r="L2605" s="26"/>
      <c r="M2605" s="26"/>
      <c r="N2605" s="26"/>
      <c r="O2605" s="26"/>
    </row>
    <row r="2606" spans="9:16">
      <c r="I2606" s="26" t="s">
        <v>21</v>
      </c>
      <c r="J2606" s="26"/>
      <c r="K2606" s="26"/>
      <c r="L2606" s="26"/>
      <c r="M2606" s="26"/>
      <c r="N2606" s="26"/>
      <c r="O2606" s="26"/>
    </row>
    <row r="2607" spans="9:16">
      <c r="I2607" s="26" t="s">
        <v>1229</v>
      </c>
      <c r="J2607" s="26"/>
      <c r="K2607" s="26"/>
      <c r="L2607" s="26"/>
      <c r="M2607" s="26"/>
      <c r="N2607" s="26"/>
      <c r="O2607" s="26"/>
    </row>
    <row r="2610" spans="9:16">
      <c r="L2610" s="30" t="s">
        <v>24</v>
      </c>
      <c r="N2610" s="30"/>
      <c r="O2610" s="30"/>
    </row>
    <row r="2611" spans="9:16">
      <c r="L2611" s="30" t="s">
        <v>149</v>
      </c>
      <c r="N2611" s="30"/>
      <c r="O2611" s="30"/>
    </row>
    <row r="2612" spans="9:16">
      <c r="L2612" s="605" t="s">
        <v>150</v>
      </c>
      <c r="M2612" s="605"/>
      <c r="N2612" s="605"/>
      <c r="O2612" s="605"/>
    </row>
    <row r="2613" spans="9:16">
      <c r="L2613" s="30"/>
    </row>
    <row r="2614" spans="9:16">
      <c r="M2614" s="26"/>
      <c r="N2614" s="26"/>
      <c r="O2614" s="26"/>
    </row>
    <row r="2615" spans="9:16" ht="18">
      <c r="L2615" s="145"/>
      <c r="M2615" s="145"/>
      <c r="N2615" s="145"/>
      <c r="O2615" s="145"/>
    </row>
    <row r="2616" spans="9:16" ht="18">
      <c r="I2616" s="26"/>
      <c r="J2616" s="26"/>
      <c r="K2616" s="26"/>
      <c r="L2616" s="145"/>
      <c r="M2616" s="145" t="s">
        <v>1696</v>
      </c>
      <c r="N2616" s="145"/>
      <c r="O2616" s="145"/>
      <c r="P2616" s="145"/>
    </row>
    <row r="2617" spans="9:16" ht="18">
      <c r="I2617" s="26"/>
      <c r="J2617" s="26"/>
      <c r="K2617" s="26"/>
      <c r="L2617" s="26"/>
      <c r="M2617" s="373"/>
      <c r="N2617" s="373"/>
      <c r="O2617" s="373"/>
      <c r="P2617" s="145"/>
    </row>
    <row r="2618" spans="9:16">
      <c r="I2618" s="617" t="s">
        <v>0</v>
      </c>
      <c r="J2618" s="617"/>
      <c r="K2618" s="617"/>
      <c r="L2618" s="617"/>
      <c r="M2618" s="617"/>
      <c r="N2618" s="617"/>
      <c r="O2618" s="617"/>
      <c r="P2618" s="617"/>
    </row>
    <row r="2621" spans="9:16" ht="49.5" customHeight="1">
      <c r="I2621" s="642" t="s">
        <v>1</v>
      </c>
      <c r="J2621" s="642"/>
      <c r="K2621" s="642"/>
      <c r="L2621" s="642"/>
      <c r="M2621" s="642"/>
      <c r="N2621" s="642"/>
      <c r="O2621" s="642"/>
      <c r="P2621" s="642"/>
    </row>
    <row r="2624" spans="9:16">
      <c r="I2624" s="30"/>
      <c r="J2624" s="30" t="s">
        <v>1418</v>
      </c>
    </row>
    <row r="2625" spans="9:16" ht="17.25" thickBot="1">
      <c r="I2625" s="30"/>
      <c r="O2625" s="141"/>
    </row>
    <row r="2626" spans="9:16">
      <c r="J2626" s="30"/>
      <c r="N2626" s="143"/>
      <c r="P2626" s="144"/>
    </row>
    <row r="2627" spans="9:16">
      <c r="N2627" s="647" t="s">
        <v>1773</v>
      </c>
      <c r="O2627" s="610"/>
      <c r="P2627" s="648"/>
    </row>
    <row r="2628" spans="9:16">
      <c r="I2628" s="12" t="s">
        <v>114</v>
      </c>
      <c r="L2628" s="30" t="s">
        <v>2</v>
      </c>
      <c r="N2628" s="605" t="s">
        <v>808</v>
      </c>
      <c r="O2628" s="605"/>
      <c r="P2628" s="649"/>
    </row>
    <row r="2629" spans="9:16">
      <c r="N2629" s="601" t="s">
        <v>163</v>
      </c>
      <c r="O2629" s="602"/>
      <c r="P2629" s="603"/>
    </row>
    <row r="2630" spans="9:16" ht="17.25" thickBot="1">
      <c r="N2630" s="140"/>
      <c r="O2630" s="141"/>
      <c r="P2630" s="142"/>
    </row>
    <row r="2632" spans="9:16">
      <c r="I2632" s="30" t="s">
        <v>27</v>
      </c>
      <c r="J2632" s="30" t="s">
        <v>784</v>
      </c>
    </row>
    <row r="2633" spans="9:16" ht="17.25" thickBot="1"/>
    <row r="2634" spans="9:16" ht="17.25" thickBot="1">
      <c r="I2634" s="13" t="s">
        <v>112</v>
      </c>
      <c r="J2634" s="624" t="s">
        <v>4</v>
      </c>
      <c r="K2634" s="625"/>
      <c r="L2634" s="625"/>
      <c r="M2634" s="625"/>
      <c r="N2634" s="625"/>
      <c r="O2634" s="626"/>
      <c r="P2634" s="20" t="s">
        <v>5</v>
      </c>
    </row>
    <row r="2635" spans="9:16">
      <c r="I2635" s="633" t="s">
        <v>1716</v>
      </c>
      <c r="J2635" s="143"/>
      <c r="K2635" s="159"/>
      <c r="L2635" s="159"/>
      <c r="M2635" s="159"/>
      <c r="N2635" s="159"/>
      <c r="O2635" s="144"/>
      <c r="P2635" s="291"/>
    </row>
    <row r="2636" spans="9:16">
      <c r="I2636" s="634"/>
      <c r="J2636" s="64"/>
      <c r="O2636" s="65"/>
      <c r="P2636" s="291"/>
    </row>
    <row r="2637" spans="9:16">
      <c r="I2637" s="634"/>
      <c r="J2637" s="630" t="s">
        <v>286</v>
      </c>
      <c r="K2637" s="631"/>
      <c r="L2637" s="631"/>
      <c r="M2637" s="631"/>
      <c r="N2637" s="631"/>
      <c r="O2637" s="632"/>
      <c r="P2637" s="291"/>
    </row>
    <row r="2638" spans="9:16">
      <c r="I2638" s="634"/>
      <c r="J2638" s="636" t="s">
        <v>1772</v>
      </c>
      <c r="K2638" s="637"/>
      <c r="L2638" s="637"/>
      <c r="M2638" s="637"/>
      <c r="N2638" s="637"/>
      <c r="O2638" s="638"/>
      <c r="P2638" s="148">
        <v>630000</v>
      </c>
    </row>
    <row r="2639" spans="9:16">
      <c r="I2639" s="634"/>
      <c r="J2639" s="64"/>
      <c r="K2639" s="604"/>
      <c r="L2639" s="604"/>
      <c r="M2639" s="604"/>
      <c r="O2639" s="65"/>
      <c r="P2639" s="291"/>
    </row>
    <row r="2640" spans="9:16" ht="17.25" thickBot="1">
      <c r="I2640" s="635"/>
      <c r="J2640" s="140"/>
      <c r="K2640" s="141"/>
      <c r="L2640" s="141"/>
      <c r="M2640" s="141"/>
      <c r="N2640" s="141"/>
      <c r="O2640" s="142"/>
      <c r="P2640" s="291"/>
    </row>
    <row r="2641" spans="9:16" ht="17.25" thickBot="1">
      <c r="I2641" s="20" t="s">
        <v>12</v>
      </c>
      <c r="J2641" s="614" t="s">
        <v>13</v>
      </c>
      <c r="K2641" s="615"/>
      <c r="L2641" s="62" t="s">
        <v>14</v>
      </c>
      <c r="M2641" s="63"/>
      <c r="N2641" s="62" t="s">
        <v>15</v>
      </c>
      <c r="O2641" s="62" t="s">
        <v>16</v>
      </c>
      <c r="P2641" s="20" t="s">
        <v>17</v>
      </c>
    </row>
    <row r="2642" spans="9:16" ht="18" thickBot="1">
      <c r="I2642" s="22" t="s">
        <v>18</v>
      </c>
      <c r="J2642" s="606">
        <f>+P2638</f>
        <v>630000</v>
      </c>
      <c r="K2642" s="607"/>
      <c r="L2642" s="23">
        <f>0</f>
        <v>0</v>
      </c>
      <c r="M2642" s="24"/>
      <c r="N2642" s="25">
        <f>0</f>
        <v>0</v>
      </c>
      <c r="O2642" s="36">
        <f>+J2642</f>
        <v>630000</v>
      </c>
      <c r="P2642" s="38">
        <f>+P2638</f>
        <v>630000</v>
      </c>
    </row>
    <row r="2643" spans="9:16" ht="18" thickBot="1">
      <c r="I2643" s="22" t="s">
        <v>113</v>
      </c>
      <c r="J2643" s="606">
        <f>+J2642/650.599</f>
        <v>968.33840814387963</v>
      </c>
      <c r="K2643" s="607"/>
      <c r="L2643" s="23">
        <f>0</f>
        <v>0</v>
      </c>
      <c r="M2643" s="24"/>
      <c r="N2643" s="25">
        <f>0</f>
        <v>0</v>
      </c>
      <c r="O2643" s="36">
        <f>+J2643</f>
        <v>968.33840814387963</v>
      </c>
      <c r="P2643" s="38">
        <f>+O2643</f>
        <v>968.33840814387963</v>
      </c>
    </row>
    <row r="2645" spans="9:16">
      <c r="I2645" s="412" t="s">
        <v>1268</v>
      </c>
      <c r="J2645" s="26"/>
      <c r="K2645" s="26"/>
      <c r="L2645" s="26"/>
      <c r="M2645" s="26"/>
      <c r="N2645" s="26"/>
      <c r="O2645" s="26"/>
    </row>
    <row r="2646" spans="9:16">
      <c r="I2646" s="413" t="s">
        <v>1780</v>
      </c>
      <c r="J2646" s="26"/>
      <c r="K2646" s="26"/>
      <c r="L2646" s="26"/>
      <c r="M2646" s="26"/>
      <c r="N2646" s="26"/>
      <c r="O2646" s="26"/>
    </row>
    <row r="2647" spans="9:16">
      <c r="I2647" s="82" t="s">
        <v>19</v>
      </c>
      <c r="J2647" s="26"/>
      <c r="K2647" s="26"/>
      <c r="L2647" s="26"/>
      <c r="M2647" s="26"/>
      <c r="N2647" s="26"/>
      <c r="O2647" s="26"/>
    </row>
    <row r="2648" spans="9:16">
      <c r="I2648" s="26" t="s">
        <v>965</v>
      </c>
      <c r="J2648" s="26"/>
      <c r="K2648" s="26"/>
      <c r="L2648" s="26"/>
      <c r="M2648" s="26"/>
      <c r="N2648" s="26"/>
      <c r="O2648" s="26"/>
    </row>
    <row r="2649" spans="9:16">
      <c r="I2649" s="26" t="s">
        <v>21</v>
      </c>
      <c r="J2649" s="26"/>
      <c r="K2649" s="26"/>
      <c r="L2649" s="26"/>
      <c r="M2649" s="26"/>
      <c r="N2649" s="26"/>
      <c r="O2649" s="26"/>
    </row>
    <row r="2650" spans="9:16">
      <c r="I2650" s="26" t="s">
        <v>1229</v>
      </c>
      <c r="J2650" s="26"/>
      <c r="K2650" s="26"/>
      <c r="L2650" s="26"/>
      <c r="M2650" s="26"/>
      <c r="N2650" s="26"/>
      <c r="O2650" s="26"/>
    </row>
    <row r="2653" spans="9:16">
      <c r="L2653" s="30" t="s">
        <v>24</v>
      </c>
      <c r="N2653" s="30"/>
      <c r="O2653" s="30"/>
    </row>
    <row r="2654" spans="9:16">
      <c r="L2654" s="30" t="s">
        <v>149</v>
      </c>
      <c r="N2654" s="30"/>
      <c r="O2654" s="30"/>
    </row>
    <row r="2655" spans="9:16">
      <c r="L2655" s="605" t="s">
        <v>150</v>
      </c>
      <c r="M2655" s="605"/>
      <c r="N2655" s="605"/>
      <c r="O2655" s="605"/>
    </row>
    <row r="2656" spans="9:16">
      <c r="L2656" s="30"/>
    </row>
    <row r="2657" spans="9:16">
      <c r="J2657" s="617" t="s">
        <v>0</v>
      </c>
      <c r="K2657" s="617"/>
      <c r="L2657" s="617"/>
      <c r="M2657" s="617"/>
      <c r="N2657" s="617"/>
      <c r="O2657" s="617"/>
      <c r="P2657" s="617"/>
    </row>
    <row r="2660" spans="9:16" ht="49.5">
      <c r="I2660" s="642" t="s">
        <v>1940</v>
      </c>
      <c r="J2660" s="642"/>
      <c r="K2660" s="642"/>
      <c r="L2660" s="642"/>
      <c r="M2660" s="642"/>
      <c r="N2660" s="642"/>
      <c r="O2660" s="642"/>
      <c r="P2660" s="642"/>
    </row>
    <row r="2662" spans="9:16" ht="18.75" customHeight="1"/>
    <row r="2663" spans="9:16" ht="17.25">
      <c r="I2663" s="375"/>
      <c r="J2663" s="503" t="s">
        <v>2207</v>
      </c>
    </row>
    <row r="2664" spans="9:16" ht="17.25" thickBot="1">
      <c r="I2664" s="30"/>
      <c r="O2664" s="141"/>
    </row>
    <row r="2665" spans="9:16">
      <c r="J2665" s="30"/>
      <c r="N2665" s="143"/>
      <c r="P2665" s="144"/>
    </row>
    <row r="2666" spans="9:16">
      <c r="N2666" s="647" t="s">
        <v>2178</v>
      </c>
      <c r="O2666" s="610"/>
      <c r="P2666" s="648"/>
    </row>
    <row r="2667" spans="9:16">
      <c r="I2667" s="12" t="s">
        <v>114</v>
      </c>
      <c r="L2667" s="249" t="s">
        <v>2</v>
      </c>
      <c r="N2667" s="605" t="s">
        <v>2187</v>
      </c>
      <c r="O2667" s="605"/>
      <c r="P2667" s="649"/>
    </row>
    <row r="2668" spans="9:16">
      <c r="I2668" s="30"/>
      <c r="N2668" s="601" t="s">
        <v>163</v>
      </c>
      <c r="O2668" s="602"/>
      <c r="P2668" s="603"/>
    </row>
    <row r="2669" spans="9:16" ht="18" thickBot="1">
      <c r="I2669" s="249" t="s">
        <v>2380</v>
      </c>
      <c r="J2669" s="375" t="s">
        <v>2559</v>
      </c>
      <c r="N2669" s="140"/>
      <c r="O2669" s="141"/>
      <c r="P2669" s="142"/>
    </row>
    <row r="2671" spans="9:16">
      <c r="I2671" s="30" t="s">
        <v>27</v>
      </c>
      <c r="J2671" s="30" t="s">
        <v>148</v>
      </c>
    </row>
    <row r="2672" spans="9:16" ht="17.25" thickBot="1"/>
    <row r="2673" spans="9:16" ht="17.25" thickBot="1">
      <c r="I2673" s="13" t="s">
        <v>112</v>
      </c>
      <c r="J2673" s="624" t="s">
        <v>4</v>
      </c>
      <c r="K2673" s="625"/>
      <c r="L2673" s="625"/>
      <c r="M2673" s="625"/>
      <c r="N2673" s="625"/>
      <c r="O2673" s="626"/>
      <c r="P2673" s="20" t="s">
        <v>5</v>
      </c>
    </row>
    <row r="2674" spans="9:16">
      <c r="I2674" s="633" t="s">
        <v>2459</v>
      </c>
      <c r="J2674" s="143"/>
      <c r="K2674" s="159"/>
      <c r="L2674" s="159"/>
      <c r="M2674" s="159"/>
      <c r="N2674" s="159"/>
      <c r="O2674" s="144"/>
      <c r="P2674" s="291"/>
    </row>
    <row r="2675" spans="9:16" ht="17.25" customHeight="1">
      <c r="I2675" s="634"/>
      <c r="J2675" s="64"/>
      <c r="O2675" s="65"/>
      <c r="P2675" s="291"/>
    </row>
    <row r="2676" spans="9:16" ht="16.5" customHeight="1">
      <c r="I2676" s="634"/>
      <c r="J2676" s="630" t="s">
        <v>286</v>
      </c>
      <c r="K2676" s="631"/>
      <c r="L2676" s="631"/>
      <c r="M2676" s="631"/>
      <c r="N2676" s="631"/>
      <c r="O2676" s="632"/>
      <c r="P2676" s="291"/>
    </row>
    <row r="2677" spans="9:16">
      <c r="I2677" s="634"/>
      <c r="J2677" s="636" t="s">
        <v>2493</v>
      </c>
      <c r="K2677" s="637"/>
      <c r="L2677" s="637"/>
      <c r="M2677" s="637"/>
      <c r="N2677" s="637"/>
      <c r="O2677" s="638"/>
      <c r="P2677" s="148">
        <v>960000</v>
      </c>
    </row>
    <row r="2678" spans="9:16" ht="17.25" thickBot="1">
      <c r="I2678" s="635"/>
      <c r="J2678" s="140"/>
      <c r="K2678" s="141"/>
      <c r="L2678" s="141"/>
      <c r="M2678" s="141"/>
      <c r="N2678" s="141"/>
      <c r="O2678" s="142"/>
      <c r="P2678" s="291"/>
    </row>
    <row r="2679" spans="9:16" ht="17.25" thickBot="1">
      <c r="I2679" s="20" t="s">
        <v>12</v>
      </c>
      <c r="J2679" s="614" t="s">
        <v>13</v>
      </c>
      <c r="K2679" s="615"/>
      <c r="L2679" s="62" t="s">
        <v>14</v>
      </c>
      <c r="M2679" s="63"/>
      <c r="N2679" s="62" t="s">
        <v>15</v>
      </c>
      <c r="O2679" s="62" t="s">
        <v>16</v>
      </c>
      <c r="P2679" s="20" t="s">
        <v>17</v>
      </c>
    </row>
    <row r="2680" spans="9:16" ht="18" thickBot="1">
      <c r="I2680" s="22" t="s">
        <v>18</v>
      </c>
      <c r="J2680" s="606">
        <f>+P2677</f>
        <v>960000</v>
      </c>
      <c r="K2680" s="607"/>
      <c r="L2680" s="23">
        <f>0</f>
        <v>0</v>
      </c>
      <c r="M2680" s="24"/>
      <c r="N2680" s="25">
        <f>0</f>
        <v>0</v>
      </c>
      <c r="O2680" s="36">
        <f>+J2680</f>
        <v>960000</v>
      </c>
      <c r="P2680" s="38">
        <f>+P2677</f>
        <v>960000</v>
      </c>
    </row>
    <row r="2681" spans="9:16" ht="18" thickBot="1">
      <c r="I2681" s="22" t="s">
        <v>113</v>
      </c>
      <c r="J2681" s="606">
        <f>+J2680/650.599</f>
        <v>1475.5632886001977</v>
      </c>
      <c r="K2681" s="607"/>
      <c r="L2681" s="23">
        <f>0</f>
        <v>0</v>
      </c>
      <c r="M2681" s="24"/>
      <c r="N2681" s="25">
        <f>0</f>
        <v>0</v>
      </c>
      <c r="O2681" s="36">
        <f>+J2681</f>
        <v>1475.5632886001977</v>
      </c>
      <c r="P2681" s="38">
        <f>+O2681</f>
        <v>1475.5632886001977</v>
      </c>
    </row>
    <row r="2683" spans="9:16">
      <c r="I2683" s="412" t="s">
        <v>2560</v>
      </c>
      <c r="J2683" s="26"/>
      <c r="K2683" s="26"/>
      <c r="L2683" s="26"/>
      <c r="M2683" s="26"/>
      <c r="N2683" s="26"/>
      <c r="O2683" s="26"/>
    </row>
    <row r="2684" spans="9:16">
      <c r="I2684" s="413" t="s">
        <v>2492</v>
      </c>
      <c r="J2684" s="26"/>
      <c r="K2684" s="26"/>
      <c r="L2684" s="26"/>
      <c r="M2684" s="26"/>
      <c r="N2684" s="26"/>
      <c r="O2684" s="26"/>
    </row>
    <row r="2685" spans="9:16">
      <c r="I2685" s="82" t="s">
        <v>19</v>
      </c>
      <c r="J2685" s="26"/>
      <c r="K2685" s="26"/>
      <c r="L2685" s="26"/>
      <c r="M2685" s="26"/>
      <c r="N2685" s="26"/>
      <c r="O2685" s="26"/>
    </row>
    <row r="2686" spans="9:16">
      <c r="I2686" s="26" t="s">
        <v>965</v>
      </c>
      <c r="J2686" s="26"/>
      <c r="K2686" s="26"/>
      <c r="L2686" s="26"/>
      <c r="M2686" s="26"/>
      <c r="N2686" s="26"/>
      <c r="O2686" s="26"/>
    </row>
    <row r="2687" spans="9:16">
      <c r="I2687" s="26" t="s">
        <v>21</v>
      </c>
      <c r="J2687" s="26"/>
      <c r="K2687" s="26"/>
      <c r="L2687" s="26"/>
      <c r="M2687" s="26"/>
      <c r="N2687" s="26"/>
      <c r="O2687" s="26"/>
    </row>
    <row r="2688" spans="9:16">
      <c r="I2688" s="26" t="s">
        <v>1229</v>
      </c>
      <c r="J2688" s="26"/>
      <c r="K2688" s="26"/>
      <c r="L2688" s="26"/>
      <c r="M2688" s="26"/>
      <c r="N2688" s="26"/>
      <c r="O2688" s="26"/>
    </row>
    <row r="2689" spans="9:16" hidden="1"/>
    <row r="2691" spans="9:16">
      <c r="L2691" s="604" t="s">
        <v>24</v>
      </c>
      <c r="M2691" s="604"/>
      <c r="N2691" s="604"/>
      <c r="O2691" s="604"/>
    </row>
    <row r="2692" spans="9:16" ht="15" customHeight="1">
      <c r="L2692" s="604" t="s">
        <v>149</v>
      </c>
      <c r="M2692" s="604"/>
      <c r="N2692" s="604"/>
      <c r="O2692" s="604"/>
    </row>
    <row r="2693" spans="9:16">
      <c r="L2693" s="605" t="s">
        <v>150</v>
      </c>
      <c r="M2693" s="605"/>
      <c r="N2693" s="605"/>
      <c r="O2693" s="605"/>
    </row>
    <row r="2694" spans="9:16">
      <c r="L2694" s="30"/>
    </row>
    <row r="2695" spans="9:16" ht="15.75" customHeight="1">
      <c r="M2695" s="26"/>
      <c r="N2695" s="26"/>
      <c r="O2695" s="26"/>
    </row>
    <row r="2696" spans="9:16" ht="17.25">
      <c r="L2696" s="644" t="s">
        <v>2391</v>
      </c>
      <c r="M2696" s="644"/>
      <c r="N2696" s="644"/>
      <c r="O2696" s="644"/>
    </row>
    <row r="2697" spans="9:16" ht="21" customHeight="1">
      <c r="I2697" s="617" t="s">
        <v>2548</v>
      </c>
      <c r="J2697" s="617"/>
      <c r="K2697" s="617"/>
      <c r="L2697" s="617"/>
      <c r="M2697" s="617"/>
      <c r="N2697" s="617"/>
      <c r="O2697" s="617"/>
      <c r="P2697" s="617"/>
    </row>
    <row r="2700" spans="9:16" ht="49.5" customHeight="1">
      <c r="I2700" s="642" t="s">
        <v>1</v>
      </c>
      <c r="J2700" s="642"/>
      <c r="K2700" s="642"/>
      <c r="L2700" s="642"/>
      <c r="M2700" s="642"/>
      <c r="N2700" s="642"/>
      <c r="O2700" s="642"/>
      <c r="P2700" s="642"/>
    </row>
    <row r="2703" spans="9:16" ht="17.25">
      <c r="I2703" s="30"/>
      <c r="J2703" s="375" t="s">
        <v>1393</v>
      </c>
    </row>
    <row r="2704" spans="9:16" ht="17.25" thickBot="1">
      <c r="I2704" s="30"/>
      <c r="O2704" s="141"/>
    </row>
    <row r="2705" spans="9:16">
      <c r="J2705" s="30"/>
      <c r="N2705" s="143"/>
      <c r="P2705" s="144"/>
    </row>
    <row r="2706" spans="9:16">
      <c r="N2706" s="647" t="s">
        <v>2266</v>
      </c>
      <c r="O2706" s="610"/>
      <c r="P2706" s="648"/>
    </row>
    <row r="2707" spans="9:16">
      <c r="I2707" s="12" t="s">
        <v>114</v>
      </c>
      <c r="L2707" s="30" t="s">
        <v>2</v>
      </c>
      <c r="N2707" s="605" t="s">
        <v>809</v>
      </c>
      <c r="O2707" s="605"/>
      <c r="P2707" s="649"/>
    </row>
    <row r="2708" spans="9:16">
      <c r="N2708" s="601" t="s">
        <v>163</v>
      </c>
      <c r="O2708" s="602"/>
      <c r="P2708" s="603"/>
    </row>
    <row r="2709" spans="9:16" ht="17.25" thickBot="1">
      <c r="N2709" s="140"/>
      <c r="O2709" s="141"/>
      <c r="P2709" s="142"/>
    </row>
    <row r="2711" spans="9:16">
      <c r="I2711" s="30" t="s">
        <v>27</v>
      </c>
      <c r="J2711" s="30" t="s">
        <v>165</v>
      </c>
    </row>
    <row r="2712" spans="9:16" ht="17.25" thickBot="1"/>
    <row r="2713" spans="9:16" ht="17.25" thickBot="1">
      <c r="I2713" s="13" t="s">
        <v>112</v>
      </c>
      <c r="J2713" s="624" t="s">
        <v>4</v>
      </c>
      <c r="K2713" s="625"/>
      <c r="L2713" s="625"/>
      <c r="M2713" s="625"/>
      <c r="N2713" s="625"/>
      <c r="O2713" s="626"/>
      <c r="P2713" s="20" t="s">
        <v>5</v>
      </c>
    </row>
    <row r="2714" spans="9:16">
      <c r="I2714" s="627" t="s">
        <v>2445</v>
      </c>
      <c r="J2714" s="143"/>
      <c r="K2714" s="159"/>
      <c r="L2714" s="159"/>
      <c r="M2714" s="159"/>
      <c r="N2714" s="159"/>
      <c r="O2714" s="144"/>
      <c r="P2714" s="291"/>
    </row>
    <row r="2715" spans="9:16">
      <c r="I2715" s="628"/>
      <c r="J2715" s="64"/>
      <c r="O2715" s="65"/>
      <c r="P2715" s="291"/>
    </row>
    <row r="2716" spans="9:16">
      <c r="I2716" s="628"/>
      <c r="J2716" s="630" t="s">
        <v>286</v>
      </c>
      <c r="K2716" s="631"/>
      <c r="L2716" s="631"/>
      <c r="M2716" s="631"/>
      <c r="N2716" s="631"/>
      <c r="O2716" s="632"/>
      <c r="P2716" s="291"/>
    </row>
    <row r="2717" spans="9:16">
      <c r="I2717" s="628"/>
      <c r="J2717" s="636" t="s">
        <v>1456</v>
      </c>
      <c r="K2717" s="637"/>
      <c r="L2717" s="637"/>
      <c r="M2717" s="637"/>
      <c r="N2717" s="637"/>
      <c r="O2717" s="638"/>
      <c r="P2717" s="148">
        <v>1500000</v>
      </c>
    </row>
    <row r="2718" spans="9:16">
      <c r="I2718" s="628"/>
      <c r="J2718" s="64"/>
      <c r="K2718" s="604"/>
      <c r="L2718" s="604"/>
      <c r="M2718" s="604"/>
      <c r="O2718" s="65"/>
      <c r="P2718" s="291"/>
    </row>
    <row r="2719" spans="9:16" ht="17.25" thickBot="1">
      <c r="I2719" s="629"/>
      <c r="J2719" s="140"/>
      <c r="K2719" s="141"/>
      <c r="L2719" s="141"/>
      <c r="M2719" s="141"/>
      <c r="N2719" s="141"/>
      <c r="O2719" s="142"/>
      <c r="P2719" s="291"/>
    </row>
    <row r="2720" spans="9:16" ht="17.25" thickBot="1">
      <c r="I2720" s="20" t="s">
        <v>12</v>
      </c>
      <c r="J2720" s="614" t="s">
        <v>13</v>
      </c>
      <c r="K2720" s="615"/>
      <c r="L2720" s="62" t="s">
        <v>14</v>
      </c>
      <c r="M2720" s="63"/>
      <c r="N2720" s="62" t="s">
        <v>15</v>
      </c>
      <c r="O2720" s="62" t="s">
        <v>16</v>
      </c>
      <c r="P2720" s="20" t="s">
        <v>17</v>
      </c>
    </row>
    <row r="2721" spans="9:16" ht="18" thickBot="1">
      <c r="I2721" s="22" t="s">
        <v>18</v>
      </c>
      <c r="J2721" s="606">
        <f>+P2717</f>
        <v>1500000</v>
      </c>
      <c r="K2721" s="607"/>
      <c r="L2721" s="23">
        <f>0</f>
        <v>0</v>
      </c>
      <c r="M2721" s="24"/>
      <c r="N2721" s="25">
        <f>0</f>
        <v>0</v>
      </c>
      <c r="O2721" s="36">
        <f>+J2721</f>
        <v>1500000</v>
      </c>
      <c r="P2721" s="38">
        <f>+P2717</f>
        <v>1500000</v>
      </c>
    </row>
    <row r="2722" spans="9:16" ht="18" thickBot="1">
      <c r="I2722" s="22" t="s">
        <v>113</v>
      </c>
      <c r="J2722" s="606">
        <f>+J2721/650.599</f>
        <v>2305.5676384378089</v>
      </c>
      <c r="K2722" s="607"/>
      <c r="L2722" s="23">
        <f>0</f>
        <v>0</v>
      </c>
      <c r="M2722" s="24"/>
      <c r="N2722" s="25">
        <f>0</f>
        <v>0</v>
      </c>
      <c r="O2722" s="36">
        <f>+J2722</f>
        <v>2305.5676384378089</v>
      </c>
      <c r="P2722" s="38">
        <f>+O2722</f>
        <v>2305.5676384378089</v>
      </c>
    </row>
    <row r="2724" spans="9:16">
      <c r="I2724" s="412" t="s">
        <v>1268</v>
      </c>
      <c r="J2724" s="26"/>
      <c r="K2724" s="26"/>
      <c r="L2724" s="26"/>
      <c r="M2724" s="26"/>
      <c r="N2724" s="26"/>
      <c r="O2724" s="26"/>
    </row>
    <row r="2725" spans="9:16">
      <c r="I2725" s="413" t="s">
        <v>2029</v>
      </c>
      <c r="J2725" s="26"/>
      <c r="K2725" s="26"/>
      <c r="L2725" s="26"/>
      <c r="M2725" s="26"/>
      <c r="N2725" s="26"/>
      <c r="O2725" s="26"/>
    </row>
    <row r="2726" spans="9:16">
      <c r="I2726" s="82" t="s">
        <v>19</v>
      </c>
      <c r="J2726" s="26"/>
      <c r="K2726" s="26"/>
      <c r="L2726" s="26"/>
      <c r="M2726" s="26"/>
      <c r="N2726" s="26"/>
      <c r="O2726" s="26"/>
    </row>
    <row r="2727" spans="9:16">
      <c r="I2727" s="26" t="s">
        <v>965</v>
      </c>
      <c r="J2727" s="26"/>
      <c r="K2727" s="26"/>
      <c r="L2727" s="26"/>
      <c r="M2727" s="26"/>
      <c r="N2727" s="26"/>
      <c r="O2727" s="26"/>
    </row>
    <row r="2728" spans="9:16">
      <c r="I2728" s="26" t="s">
        <v>21</v>
      </c>
      <c r="J2728" s="26"/>
      <c r="K2728" s="26"/>
      <c r="L2728" s="26"/>
      <c r="M2728" s="26"/>
      <c r="N2728" s="26"/>
      <c r="O2728" s="26"/>
    </row>
    <row r="2729" spans="9:16">
      <c r="I2729" s="26" t="s">
        <v>1229</v>
      </c>
      <c r="J2729" s="26"/>
      <c r="K2729" s="26"/>
      <c r="L2729" s="26"/>
      <c r="M2729" s="26"/>
      <c r="N2729" s="26"/>
      <c r="O2729" s="26"/>
    </row>
    <row r="2732" spans="9:16">
      <c r="L2732" s="30" t="s">
        <v>24</v>
      </c>
      <c r="N2732" s="30"/>
      <c r="O2732" s="30"/>
    </row>
    <row r="2733" spans="9:16">
      <c r="L2733" s="30" t="s">
        <v>149</v>
      </c>
      <c r="N2733" s="30"/>
      <c r="O2733" s="30"/>
    </row>
    <row r="2734" spans="9:16">
      <c r="L2734" s="605" t="s">
        <v>150</v>
      </c>
      <c r="M2734" s="605"/>
      <c r="N2734" s="605"/>
      <c r="O2734" s="605"/>
    </row>
    <row r="2735" spans="9:16">
      <c r="L2735" s="30"/>
    </row>
    <row r="2736" spans="9:16">
      <c r="M2736" s="26"/>
      <c r="N2736" s="26"/>
      <c r="O2736" s="26"/>
    </row>
    <row r="2737" spans="9:16" ht="18">
      <c r="I2737" s="26"/>
      <c r="J2737" s="26"/>
      <c r="K2737" s="26"/>
      <c r="L2737" s="644" t="s">
        <v>2391</v>
      </c>
      <c r="M2737" s="644"/>
      <c r="N2737" s="644"/>
      <c r="O2737" s="644"/>
      <c r="P2737" s="145"/>
    </row>
    <row r="2738" spans="9:16" ht="18">
      <c r="I2738" s="26"/>
      <c r="J2738" s="26"/>
      <c r="K2738" s="26"/>
      <c r="L2738" s="26"/>
      <c r="M2738" s="373"/>
      <c r="N2738" s="373"/>
      <c r="O2738" s="373"/>
      <c r="P2738" s="145"/>
    </row>
    <row r="2739" spans="9:16" ht="19.5" customHeight="1">
      <c r="I2739" s="617" t="s">
        <v>2534</v>
      </c>
      <c r="J2739" s="617"/>
      <c r="K2739" s="617"/>
      <c r="L2739" s="617"/>
      <c r="M2739" s="617"/>
      <c r="N2739" s="617"/>
      <c r="O2739" s="617"/>
      <c r="P2739" s="617"/>
    </row>
    <row r="2742" spans="9:16" ht="49.5" customHeight="1">
      <c r="I2742" s="661" t="s">
        <v>1</v>
      </c>
      <c r="J2742" s="661"/>
      <c r="K2742" s="661"/>
      <c r="L2742" s="661"/>
      <c r="M2742" s="661"/>
      <c r="N2742" s="661"/>
      <c r="O2742" s="661"/>
      <c r="P2742" s="661"/>
    </row>
    <row r="2745" spans="9:16" ht="17.25">
      <c r="I2745" s="30"/>
      <c r="J2745" s="503" t="s">
        <v>2751</v>
      </c>
    </row>
    <row r="2746" spans="9:16" ht="17.25" thickBot="1">
      <c r="I2746" s="30"/>
      <c r="O2746" s="141"/>
    </row>
    <row r="2747" spans="9:16">
      <c r="J2747" s="30"/>
      <c r="N2747" s="143"/>
      <c r="P2747" s="144"/>
    </row>
    <row r="2748" spans="9:16">
      <c r="N2748" s="647" t="s">
        <v>1770</v>
      </c>
      <c r="O2748" s="610"/>
      <c r="P2748" s="648"/>
    </row>
    <row r="2749" spans="9:16">
      <c r="I2749" s="12" t="s">
        <v>114</v>
      </c>
      <c r="L2749" s="30" t="s">
        <v>2</v>
      </c>
      <c r="N2749" s="605" t="s">
        <v>810</v>
      </c>
      <c r="O2749" s="605"/>
      <c r="P2749" s="649"/>
    </row>
    <row r="2750" spans="9:16">
      <c r="N2750" s="601" t="s">
        <v>163</v>
      </c>
      <c r="O2750" s="602"/>
      <c r="P2750" s="603"/>
    </row>
    <row r="2751" spans="9:16" ht="17.25" thickBot="1">
      <c r="N2751" s="140"/>
      <c r="O2751" s="141"/>
      <c r="P2751" s="142"/>
    </row>
    <row r="2753" spans="9:16">
      <c r="I2753" s="30" t="s">
        <v>27</v>
      </c>
      <c r="J2753" s="30" t="s">
        <v>165</v>
      </c>
    </row>
    <row r="2754" spans="9:16" ht="17.25" thickBot="1"/>
    <row r="2755" spans="9:16" ht="17.25" thickBot="1">
      <c r="I2755" s="13" t="s">
        <v>112</v>
      </c>
      <c r="J2755" s="624" t="s">
        <v>4</v>
      </c>
      <c r="K2755" s="625"/>
      <c r="L2755" s="625"/>
      <c r="M2755" s="625"/>
      <c r="N2755" s="625"/>
      <c r="O2755" s="626"/>
      <c r="P2755" s="20" t="s">
        <v>5</v>
      </c>
    </row>
    <row r="2756" spans="9:16">
      <c r="I2756" s="633" t="s">
        <v>2445</v>
      </c>
      <c r="J2756" s="143"/>
      <c r="K2756" s="159"/>
      <c r="L2756" s="159"/>
      <c r="M2756" s="159"/>
      <c r="N2756" s="159"/>
      <c r="O2756" s="144"/>
      <c r="P2756" s="291"/>
    </row>
    <row r="2757" spans="9:16">
      <c r="I2757" s="634"/>
      <c r="J2757" s="64"/>
      <c r="O2757" s="65"/>
      <c r="P2757" s="291"/>
    </row>
    <row r="2758" spans="9:16">
      <c r="I2758" s="634"/>
      <c r="J2758" s="630" t="s">
        <v>286</v>
      </c>
      <c r="K2758" s="631"/>
      <c r="L2758" s="631"/>
      <c r="M2758" s="631"/>
      <c r="N2758" s="631"/>
      <c r="O2758" s="632"/>
      <c r="P2758" s="291"/>
    </row>
    <row r="2759" spans="9:16">
      <c r="I2759" s="634"/>
      <c r="J2759" s="636" t="s">
        <v>2030</v>
      </c>
      <c r="K2759" s="637"/>
      <c r="L2759" s="637"/>
      <c r="M2759" s="637"/>
      <c r="N2759" s="637"/>
      <c r="O2759" s="638"/>
      <c r="P2759" s="148">
        <v>1200000</v>
      </c>
    </row>
    <row r="2760" spans="9:16">
      <c r="I2760" s="634"/>
      <c r="J2760" s="64"/>
      <c r="K2760" s="604"/>
      <c r="L2760" s="604"/>
      <c r="M2760" s="604"/>
      <c r="O2760" s="65"/>
      <c r="P2760" s="291"/>
    </row>
    <row r="2761" spans="9:16" ht="17.25" thickBot="1">
      <c r="I2761" s="635"/>
      <c r="J2761" s="140"/>
      <c r="K2761" s="141"/>
      <c r="L2761" s="141"/>
      <c r="M2761" s="141"/>
      <c r="N2761" s="141"/>
      <c r="O2761" s="142"/>
      <c r="P2761" s="291"/>
    </row>
    <row r="2762" spans="9:16" ht="17.25" thickBot="1">
      <c r="I2762" s="20" t="s">
        <v>12</v>
      </c>
      <c r="J2762" s="614" t="s">
        <v>13</v>
      </c>
      <c r="K2762" s="615"/>
      <c r="L2762" s="62" t="s">
        <v>14</v>
      </c>
      <c r="M2762" s="63"/>
      <c r="N2762" s="62" t="s">
        <v>15</v>
      </c>
      <c r="O2762" s="62" t="s">
        <v>16</v>
      </c>
      <c r="P2762" s="20" t="s">
        <v>17</v>
      </c>
    </row>
    <row r="2763" spans="9:16" ht="18" thickBot="1">
      <c r="I2763" s="22" t="s">
        <v>18</v>
      </c>
      <c r="J2763" s="606">
        <f>+P2759</f>
        <v>1200000</v>
      </c>
      <c r="K2763" s="607"/>
      <c r="L2763" s="23">
        <f>0</f>
        <v>0</v>
      </c>
      <c r="M2763" s="24"/>
      <c r="N2763" s="25">
        <f>0</f>
        <v>0</v>
      </c>
      <c r="O2763" s="36">
        <f>+J2763</f>
        <v>1200000</v>
      </c>
      <c r="P2763" s="38">
        <f>+P2759</f>
        <v>1200000</v>
      </c>
    </row>
    <row r="2764" spans="9:16" ht="18" hidden="1" thickBot="1">
      <c r="I2764" s="22" t="s">
        <v>113</v>
      </c>
      <c r="J2764" s="606">
        <f>+J2763/650.599</f>
        <v>1844.4541107502469</v>
      </c>
      <c r="K2764" s="607"/>
      <c r="L2764" s="23">
        <f>0</f>
        <v>0</v>
      </c>
      <c r="M2764" s="24"/>
      <c r="N2764" s="25">
        <f>0</f>
        <v>0</v>
      </c>
      <c r="O2764" s="36">
        <f>+J2764</f>
        <v>1844.4541107502469</v>
      </c>
      <c r="P2764" s="38">
        <f>+O2764</f>
        <v>1844.4541107502469</v>
      </c>
    </row>
    <row r="2766" spans="9:16">
      <c r="I2766" s="412" t="s">
        <v>1268</v>
      </c>
      <c r="J2766" s="26"/>
      <c r="K2766" s="26"/>
      <c r="L2766" s="26"/>
      <c r="M2766" s="26"/>
      <c r="N2766" s="26"/>
      <c r="O2766" s="26"/>
    </row>
    <row r="2767" spans="9:16">
      <c r="I2767" s="413" t="s">
        <v>2028</v>
      </c>
      <c r="J2767" s="26"/>
      <c r="K2767" s="26"/>
      <c r="L2767" s="26"/>
      <c r="M2767" s="26"/>
      <c r="N2767" s="26"/>
      <c r="O2767" s="26"/>
    </row>
    <row r="2768" spans="9:16">
      <c r="I2768" s="82" t="s">
        <v>19</v>
      </c>
      <c r="J2768" s="26"/>
      <c r="K2768" s="26"/>
      <c r="L2768" s="26"/>
      <c r="M2768" s="26"/>
      <c r="N2768" s="26"/>
      <c r="O2768" s="26"/>
    </row>
    <row r="2769" spans="9:16">
      <c r="I2769" s="26" t="s">
        <v>965</v>
      </c>
      <c r="J2769" s="26"/>
      <c r="K2769" s="26"/>
      <c r="L2769" s="26"/>
      <c r="M2769" s="26"/>
      <c r="N2769" s="26"/>
      <c r="O2769" s="26"/>
    </row>
    <row r="2770" spans="9:16">
      <c r="I2770" s="26" t="s">
        <v>21</v>
      </c>
      <c r="J2770" s="26"/>
      <c r="K2770" s="26"/>
      <c r="L2770" s="26"/>
      <c r="M2770" s="26"/>
      <c r="N2770" s="26"/>
      <c r="O2770" s="26"/>
    </row>
    <row r="2771" spans="9:16">
      <c r="I2771" s="26" t="s">
        <v>1229</v>
      </c>
      <c r="J2771" s="26"/>
      <c r="K2771" s="26"/>
      <c r="L2771" s="26"/>
      <c r="M2771" s="26"/>
      <c r="N2771" s="26"/>
      <c r="O2771" s="26"/>
    </row>
    <row r="2773" spans="9:16" ht="8.25" customHeight="1"/>
    <row r="2775" spans="9:16">
      <c r="L2775" s="30" t="s">
        <v>24</v>
      </c>
      <c r="N2775" s="30"/>
      <c r="O2775" s="30"/>
    </row>
    <row r="2776" spans="9:16">
      <c r="L2776" s="30" t="s">
        <v>149</v>
      </c>
      <c r="N2776" s="30"/>
      <c r="O2776" s="30"/>
    </row>
    <row r="2777" spans="9:16">
      <c r="L2777" s="605" t="s">
        <v>150</v>
      </c>
      <c r="M2777" s="605"/>
      <c r="N2777" s="605"/>
      <c r="O2777" s="605"/>
    </row>
    <row r="2778" spans="9:16" ht="9" customHeight="1">
      <c r="L2778" s="30"/>
    </row>
    <row r="2779" spans="9:16">
      <c r="L2779" s="30"/>
    </row>
    <row r="2780" spans="9:16">
      <c r="M2780" s="26"/>
      <c r="N2780" s="26"/>
      <c r="O2780" s="26"/>
    </row>
    <row r="2781" spans="9:16" ht="16.5" customHeight="1">
      <c r="L2781" s="644"/>
      <c r="M2781" s="644"/>
      <c r="N2781" s="644"/>
      <c r="O2781" s="644"/>
    </row>
    <row r="2782" spans="9:16" ht="16.5" customHeight="1">
      <c r="L2782" s="361"/>
      <c r="M2782" s="361"/>
      <c r="N2782" s="361"/>
      <c r="O2782" s="361"/>
    </row>
    <row r="2783" spans="9:16" ht="18">
      <c r="I2783" s="26"/>
      <c r="J2783" s="26"/>
      <c r="K2783" s="26"/>
      <c r="L2783" s="644"/>
      <c r="M2783" s="644"/>
      <c r="N2783" s="644"/>
      <c r="O2783" s="644"/>
      <c r="P2783" s="145"/>
    </row>
    <row r="2784" spans="9:16">
      <c r="I2784" s="617" t="s">
        <v>2534</v>
      </c>
      <c r="J2784" s="617"/>
      <c r="K2784" s="617"/>
      <c r="L2784" s="617"/>
      <c r="M2784" s="617"/>
      <c r="N2784" s="617"/>
      <c r="O2784" s="617"/>
      <c r="P2784" s="617"/>
    </row>
    <row r="2787" spans="9:16" ht="49.5" customHeight="1">
      <c r="I2787" s="763" t="s">
        <v>1</v>
      </c>
      <c r="J2787" s="763"/>
      <c r="K2787" s="763"/>
      <c r="L2787" s="763"/>
      <c r="M2787" s="763"/>
      <c r="N2787" s="763"/>
      <c r="O2787" s="763"/>
      <c r="P2787" s="763"/>
    </row>
    <row r="2790" spans="9:16" ht="17.25">
      <c r="I2790" s="30"/>
      <c r="J2790" s="375" t="s">
        <v>2661</v>
      </c>
    </row>
    <row r="2791" spans="9:16" ht="17.25" thickBot="1">
      <c r="I2791" s="30"/>
      <c r="O2791" s="141"/>
    </row>
    <row r="2792" spans="9:16">
      <c r="J2792" s="30"/>
      <c r="N2792" s="143"/>
      <c r="P2792" s="144"/>
    </row>
    <row r="2793" spans="9:16">
      <c r="N2793" s="647" t="s">
        <v>2663</v>
      </c>
      <c r="O2793" s="610"/>
      <c r="P2793" s="648"/>
    </row>
    <row r="2794" spans="9:16">
      <c r="I2794" s="12" t="s">
        <v>114</v>
      </c>
      <c r="L2794" s="30" t="s">
        <v>2</v>
      </c>
      <c r="N2794" s="605" t="s">
        <v>2664</v>
      </c>
      <c r="O2794" s="605"/>
      <c r="P2794" s="649"/>
    </row>
    <row r="2795" spans="9:16">
      <c r="N2795" s="601" t="s">
        <v>163</v>
      </c>
      <c r="O2795" s="602"/>
      <c r="P2795" s="603"/>
    </row>
    <row r="2796" spans="9:16" ht="17.25" thickBot="1">
      <c r="N2796" s="140"/>
      <c r="O2796" s="141"/>
      <c r="P2796" s="142"/>
    </row>
    <row r="2798" spans="9:16">
      <c r="I2798" s="191" t="s">
        <v>27</v>
      </c>
      <c r="J2798" s="191" t="s">
        <v>1946</v>
      </c>
    </row>
    <row r="2799" spans="9:16" ht="17.25" thickBot="1"/>
    <row r="2800" spans="9:16" ht="17.25" thickBot="1">
      <c r="I2800" s="13" t="s">
        <v>112</v>
      </c>
      <c r="J2800" s="624" t="s">
        <v>4</v>
      </c>
      <c r="K2800" s="625"/>
      <c r="L2800" s="625"/>
      <c r="M2800" s="625"/>
      <c r="N2800" s="625"/>
      <c r="O2800" s="626"/>
      <c r="P2800" s="20" t="s">
        <v>5</v>
      </c>
    </row>
    <row r="2801" spans="9:16">
      <c r="I2801" s="633" t="s">
        <v>2445</v>
      </c>
      <c r="J2801" s="143"/>
      <c r="K2801" s="159"/>
      <c r="L2801" s="159"/>
      <c r="M2801" s="159"/>
      <c r="N2801" s="159"/>
      <c r="O2801" s="144"/>
      <c r="P2801" s="291"/>
    </row>
    <row r="2802" spans="9:16">
      <c r="I2802" s="634"/>
      <c r="J2802" s="64"/>
      <c r="O2802" s="65"/>
      <c r="P2802" s="291"/>
    </row>
    <row r="2803" spans="9:16">
      <c r="I2803" s="634"/>
      <c r="J2803" s="630" t="s">
        <v>286</v>
      </c>
      <c r="K2803" s="631"/>
      <c r="L2803" s="631"/>
      <c r="M2803" s="631"/>
      <c r="N2803" s="631"/>
      <c r="O2803" s="632"/>
      <c r="P2803" s="291"/>
    </row>
    <row r="2804" spans="9:16">
      <c r="I2804" s="634"/>
      <c r="J2804" s="636" t="s">
        <v>2665</v>
      </c>
      <c r="K2804" s="637"/>
      <c r="L2804" s="637"/>
      <c r="M2804" s="637"/>
      <c r="N2804" s="637"/>
      <c r="O2804" s="638"/>
      <c r="P2804" s="148">
        <v>480000</v>
      </c>
    </row>
    <row r="2805" spans="9:16">
      <c r="I2805" s="634"/>
      <c r="J2805" s="64"/>
      <c r="K2805" s="604"/>
      <c r="L2805" s="604"/>
      <c r="M2805" s="604"/>
      <c r="O2805" s="65"/>
      <c r="P2805" s="291"/>
    </row>
    <row r="2806" spans="9:16" ht="17.25" thickBot="1">
      <c r="I2806" s="635"/>
      <c r="J2806" s="140"/>
      <c r="K2806" s="141"/>
      <c r="L2806" s="141"/>
      <c r="M2806" s="141"/>
      <c r="N2806" s="141"/>
      <c r="O2806" s="142"/>
      <c r="P2806" s="291"/>
    </row>
    <row r="2807" spans="9:16" ht="17.25" thickBot="1">
      <c r="I2807" s="20" t="s">
        <v>12</v>
      </c>
      <c r="J2807" s="614" t="s">
        <v>13</v>
      </c>
      <c r="K2807" s="615"/>
      <c r="L2807" s="62" t="s">
        <v>14</v>
      </c>
      <c r="M2807" s="63"/>
      <c r="N2807" s="62" t="s">
        <v>15</v>
      </c>
      <c r="O2807" s="62" t="s">
        <v>16</v>
      </c>
      <c r="P2807" s="20" t="s">
        <v>17</v>
      </c>
    </row>
    <row r="2808" spans="9:16" ht="18" thickBot="1">
      <c r="I2808" s="22" t="s">
        <v>18</v>
      </c>
      <c r="J2808" s="606">
        <f>+P2804</f>
        <v>480000</v>
      </c>
      <c r="K2808" s="607"/>
      <c r="L2808" s="23">
        <f>0</f>
        <v>0</v>
      </c>
      <c r="M2808" s="24"/>
      <c r="N2808" s="25">
        <f>0</f>
        <v>0</v>
      </c>
      <c r="O2808" s="36">
        <f>+J2808</f>
        <v>480000</v>
      </c>
      <c r="P2808" s="38">
        <f>+P2804</f>
        <v>480000</v>
      </c>
    </row>
    <row r="2809" spans="9:16" ht="18" hidden="1" thickBot="1">
      <c r="I2809" s="22" t="s">
        <v>113</v>
      </c>
      <c r="J2809" s="606">
        <f>+J2808/650.599</f>
        <v>737.78164430009883</v>
      </c>
      <c r="K2809" s="607"/>
      <c r="L2809" s="23">
        <f>0</f>
        <v>0</v>
      </c>
      <c r="M2809" s="24"/>
      <c r="N2809" s="25">
        <f>0</f>
        <v>0</v>
      </c>
      <c r="O2809" s="36">
        <f>+J2809</f>
        <v>737.78164430009883</v>
      </c>
      <c r="P2809" s="38">
        <f>+O2809</f>
        <v>737.78164430009883</v>
      </c>
    </row>
    <row r="2811" spans="9:16">
      <c r="I2811" s="412" t="s">
        <v>1382</v>
      </c>
      <c r="J2811" s="26"/>
      <c r="K2811" s="26"/>
      <c r="L2811" s="26"/>
      <c r="M2811" s="26"/>
      <c r="N2811" s="26"/>
      <c r="O2811" s="26"/>
    </row>
    <row r="2812" spans="9:16">
      <c r="I2812" s="413" t="s">
        <v>2666</v>
      </c>
      <c r="J2812" s="26"/>
      <c r="K2812" s="26"/>
      <c r="L2812" s="26"/>
      <c r="M2812" s="26"/>
      <c r="N2812" s="26"/>
      <c r="O2812" s="26"/>
    </row>
    <row r="2813" spans="9:16">
      <c r="I2813" s="82" t="s">
        <v>19</v>
      </c>
      <c r="J2813" s="26"/>
      <c r="K2813" s="26"/>
      <c r="L2813" s="26"/>
      <c r="M2813" s="26"/>
      <c r="N2813" s="26"/>
      <c r="O2813" s="26"/>
    </row>
    <row r="2814" spans="9:16">
      <c r="I2814" s="26" t="s">
        <v>965</v>
      </c>
      <c r="J2814" s="26"/>
      <c r="K2814" s="26"/>
      <c r="L2814" s="26"/>
      <c r="M2814" s="26"/>
      <c r="N2814" s="26"/>
      <c r="O2814" s="26"/>
    </row>
    <row r="2815" spans="9:16">
      <c r="I2815" s="26" t="s">
        <v>21</v>
      </c>
      <c r="J2815" s="26"/>
      <c r="K2815" s="26"/>
      <c r="L2815" s="26"/>
      <c r="M2815" s="26"/>
      <c r="N2815" s="26"/>
      <c r="O2815" s="26"/>
    </row>
    <row r="2816" spans="9:16">
      <c r="I2816" s="26" t="s">
        <v>1229</v>
      </c>
      <c r="J2816" s="26"/>
      <c r="K2816" s="26"/>
      <c r="L2816" s="26"/>
      <c r="M2816" s="26"/>
      <c r="N2816" s="26"/>
      <c r="O2816" s="26"/>
    </row>
    <row r="2817" spans="9:16">
      <c r="I2817" s="26"/>
      <c r="J2817" s="26"/>
      <c r="K2817" s="26"/>
      <c r="L2817" s="26"/>
      <c r="M2817" s="26"/>
      <c r="N2817" s="26"/>
      <c r="O2817" s="26"/>
    </row>
    <row r="2819" spans="9:16">
      <c r="L2819" s="604" t="s">
        <v>24</v>
      </c>
      <c r="M2819" s="604"/>
      <c r="N2819" s="604"/>
      <c r="O2819" s="604"/>
    </row>
    <row r="2820" spans="9:16">
      <c r="L2820" s="604" t="s">
        <v>149</v>
      </c>
      <c r="M2820" s="604"/>
      <c r="N2820" s="604"/>
      <c r="O2820" s="604"/>
    </row>
    <row r="2821" spans="9:16">
      <c r="L2821" s="605" t="s">
        <v>150</v>
      </c>
      <c r="M2821" s="605"/>
      <c r="N2821" s="605"/>
      <c r="O2821" s="605"/>
    </row>
    <row r="2822" spans="9:16">
      <c r="L2822" s="30"/>
    </row>
    <row r="2823" spans="9:16">
      <c r="L2823" s="30"/>
    </row>
    <row r="2824" spans="9:16">
      <c r="M2824" s="26"/>
      <c r="N2824" s="26"/>
      <c r="O2824" s="26"/>
    </row>
    <row r="2825" spans="9:16" ht="18">
      <c r="I2825" s="26"/>
      <c r="J2825" s="26"/>
      <c r="K2825" s="26"/>
      <c r="L2825" s="644"/>
      <c r="M2825" s="644"/>
      <c r="N2825" s="644"/>
      <c r="O2825" s="644"/>
      <c r="P2825" s="145"/>
    </row>
    <row r="2826" spans="9:16" ht="18">
      <c r="I2826" s="26"/>
      <c r="J2826" s="26"/>
      <c r="K2826" s="26"/>
      <c r="L2826" s="361"/>
      <c r="M2826" s="361"/>
      <c r="N2826" s="361"/>
      <c r="O2826" s="361"/>
      <c r="P2826" s="145"/>
    </row>
    <row r="2827" spans="9:16" ht="18">
      <c r="I2827" s="26"/>
      <c r="J2827" s="26"/>
      <c r="K2827" s="26"/>
      <c r="L2827" s="361"/>
      <c r="M2827" s="361"/>
      <c r="N2827" s="361"/>
      <c r="O2827" s="361"/>
      <c r="P2827" s="145"/>
    </row>
    <row r="2828" spans="9:16">
      <c r="I2828" s="617" t="s">
        <v>2748</v>
      </c>
      <c r="J2828" s="617"/>
      <c r="K2828" s="617"/>
      <c r="L2828" s="617"/>
      <c r="M2828" s="617"/>
      <c r="N2828" s="617"/>
      <c r="O2828" s="617"/>
      <c r="P2828" s="617"/>
    </row>
    <row r="2831" spans="9:16" ht="49.5" customHeight="1">
      <c r="I2831" s="618" t="s">
        <v>1</v>
      </c>
      <c r="J2831" s="618"/>
      <c r="K2831" s="618"/>
      <c r="L2831" s="618"/>
      <c r="M2831" s="618"/>
      <c r="N2831" s="618"/>
      <c r="O2831" s="618"/>
      <c r="P2831" s="618"/>
    </row>
    <row r="2833" spans="9:16" ht="14.25" customHeight="1"/>
    <row r="2834" spans="9:16" ht="17.25">
      <c r="I2834" s="30"/>
      <c r="J2834" s="503" t="s">
        <v>1902</v>
      </c>
    </row>
    <row r="2835" spans="9:16" ht="17.25" thickBot="1">
      <c r="I2835" s="30"/>
      <c r="O2835" s="141"/>
    </row>
    <row r="2836" spans="9:16">
      <c r="J2836" s="30"/>
      <c r="N2836" s="143"/>
      <c r="P2836" s="144"/>
    </row>
    <row r="2837" spans="9:16">
      <c r="N2837" s="619" t="s">
        <v>1959</v>
      </c>
      <c r="O2837" s="620"/>
      <c r="P2837" s="621"/>
    </row>
    <row r="2838" spans="9:16">
      <c r="I2838" s="12" t="s">
        <v>114</v>
      </c>
      <c r="L2838" s="30"/>
      <c r="M2838" s="30" t="s">
        <v>2</v>
      </c>
      <c r="N2838" s="605" t="s">
        <v>1960</v>
      </c>
      <c r="O2838" s="605"/>
      <c r="P2838" s="649"/>
    </row>
    <row r="2839" spans="9:16">
      <c r="N2839" s="601" t="s">
        <v>163</v>
      </c>
      <c r="O2839" s="602"/>
      <c r="P2839" s="603"/>
    </row>
    <row r="2840" spans="9:16" ht="17.25" thickBot="1">
      <c r="N2840" s="140"/>
      <c r="O2840" s="141"/>
      <c r="P2840" s="142"/>
    </row>
    <row r="2842" spans="9:16">
      <c r="I2842" s="191" t="s">
        <v>27</v>
      </c>
      <c r="J2842" s="552" t="s">
        <v>1675</v>
      </c>
    </row>
    <row r="2843" spans="9:16" ht="17.25" thickBot="1"/>
    <row r="2844" spans="9:16" ht="17.25" thickBot="1">
      <c r="I2844" s="13" t="s">
        <v>112</v>
      </c>
      <c r="J2844" s="624" t="s">
        <v>4</v>
      </c>
      <c r="K2844" s="625"/>
      <c r="L2844" s="625"/>
      <c r="M2844" s="625"/>
      <c r="N2844" s="625"/>
      <c r="O2844" s="626"/>
      <c r="P2844" s="20" t="s">
        <v>5</v>
      </c>
    </row>
    <row r="2845" spans="9:16">
      <c r="I2845" s="633" t="s">
        <v>2806</v>
      </c>
      <c r="J2845" s="143"/>
      <c r="K2845" s="159"/>
      <c r="L2845" s="159"/>
      <c r="M2845" s="159"/>
      <c r="N2845" s="159"/>
      <c r="O2845" s="144"/>
      <c r="P2845" s="291"/>
    </row>
    <row r="2846" spans="9:16">
      <c r="I2846" s="634"/>
      <c r="J2846" s="64"/>
      <c r="O2846" s="65"/>
      <c r="P2846" s="291"/>
    </row>
    <row r="2847" spans="9:16">
      <c r="I2847" s="634"/>
      <c r="J2847" s="630" t="s">
        <v>286</v>
      </c>
      <c r="K2847" s="631"/>
      <c r="L2847" s="631"/>
      <c r="M2847" s="631"/>
      <c r="N2847" s="631"/>
      <c r="O2847" s="632"/>
      <c r="P2847" s="291"/>
    </row>
    <row r="2848" spans="9:16">
      <c r="I2848" s="634"/>
      <c r="J2848" s="636" t="s">
        <v>2833</v>
      </c>
      <c r="K2848" s="637"/>
      <c r="L2848" s="637"/>
      <c r="M2848" s="637"/>
      <c r="N2848" s="637"/>
      <c r="O2848" s="638"/>
      <c r="P2848" s="548">
        <v>2520000</v>
      </c>
    </row>
    <row r="2849" spans="9:16">
      <c r="I2849" s="634"/>
      <c r="J2849" s="64"/>
      <c r="K2849" s="604"/>
      <c r="L2849" s="604"/>
      <c r="M2849" s="604"/>
      <c r="O2849" s="65"/>
      <c r="P2849" s="291"/>
    </row>
    <row r="2850" spans="9:16" ht="17.25" thickBot="1">
      <c r="I2850" s="635"/>
      <c r="J2850" s="140"/>
      <c r="K2850" s="141"/>
      <c r="L2850" s="141"/>
      <c r="M2850" s="141"/>
      <c r="N2850" s="141"/>
      <c r="O2850" s="142"/>
      <c r="P2850" s="291"/>
    </row>
    <row r="2851" spans="9:16" ht="17.25" thickBot="1">
      <c r="I2851" s="20" t="s">
        <v>12</v>
      </c>
      <c r="J2851" s="614" t="s">
        <v>13</v>
      </c>
      <c r="K2851" s="615"/>
      <c r="L2851" s="62" t="s">
        <v>14</v>
      </c>
      <c r="M2851" s="63"/>
      <c r="N2851" s="62" t="s">
        <v>15</v>
      </c>
      <c r="O2851" s="62" t="s">
        <v>16</v>
      </c>
      <c r="P2851" s="20" t="s">
        <v>17</v>
      </c>
    </row>
    <row r="2852" spans="9:16" ht="18" thickBot="1">
      <c r="I2852" s="22" t="s">
        <v>18</v>
      </c>
      <c r="J2852" s="606">
        <f>+P2848</f>
        <v>2520000</v>
      </c>
      <c r="K2852" s="607"/>
      <c r="L2852" s="23">
        <f>0</f>
        <v>0</v>
      </c>
      <c r="M2852" s="24"/>
      <c r="N2852" s="25">
        <f>0</f>
        <v>0</v>
      </c>
      <c r="O2852" s="36">
        <f>+J2852</f>
        <v>2520000</v>
      </c>
      <c r="P2852" s="38">
        <f>+P2848</f>
        <v>2520000</v>
      </c>
    </row>
    <row r="2853" spans="9:16" ht="18" thickBot="1">
      <c r="I2853" s="22" t="s">
        <v>113</v>
      </c>
      <c r="J2853" s="606">
        <f>+J2852/650.599</f>
        <v>3873.3536325755185</v>
      </c>
      <c r="K2853" s="607"/>
      <c r="L2853" s="23">
        <f>0</f>
        <v>0</v>
      </c>
      <c r="M2853" s="24"/>
      <c r="N2853" s="25">
        <f>0</f>
        <v>0</v>
      </c>
      <c r="O2853" s="36">
        <f>+J2853</f>
        <v>3873.3536325755185</v>
      </c>
      <c r="P2853" s="38">
        <f>+O2853</f>
        <v>3873.3536325755185</v>
      </c>
    </row>
    <row r="2855" spans="9:16">
      <c r="I2855" s="412" t="s">
        <v>1268</v>
      </c>
      <c r="J2855" s="26"/>
      <c r="K2855" s="26"/>
      <c r="L2855" s="26"/>
      <c r="M2855" s="26"/>
      <c r="N2855" s="26"/>
      <c r="O2855" s="26"/>
    </row>
    <row r="2856" spans="9:16">
      <c r="I2856" s="413" t="s">
        <v>2064</v>
      </c>
      <c r="J2856" s="26"/>
      <c r="K2856" s="26"/>
      <c r="L2856" s="26"/>
      <c r="M2856" s="26"/>
      <c r="N2856" s="26"/>
      <c r="O2856" s="26"/>
    </row>
    <row r="2857" spans="9:16">
      <c r="I2857" s="82" t="s">
        <v>19</v>
      </c>
      <c r="J2857" s="26"/>
      <c r="K2857" s="26"/>
      <c r="L2857" s="26"/>
      <c r="M2857" s="26"/>
      <c r="N2857" s="26"/>
      <c r="O2857" s="26"/>
    </row>
    <row r="2858" spans="9:16">
      <c r="I2858" s="26" t="s">
        <v>965</v>
      </c>
      <c r="J2858" s="26"/>
      <c r="K2858" s="26"/>
      <c r="L2858" s="26"/>
      <c r="M2858" s="26"/>
      <c r="N2858" s="26"/>
      <c r="O2858" s="26"/>
    </row>
    <row r="2859" spans="9:16">
      <c r="I2859" s="26" t="s">
        <v>21</v>
      </c>
      <c r="J2859" s="26"/>
      <c r="K2859" s="26"/>
      <c r="L2859" s="26"/>
      <c r="M2859" s="26"/>
      <c r="N2859" s="26"/>
      <c r="O2859" s="26"/>
    </row>
    <row r="2860" spans="9:16">
      <c r="I2860" s="26" t="s">
        <v>1229</v>
      </c>
      <c r="J2860" s="26"/>
      <c r="K2860" s="26"/>
      <c r="L2860" s="26"/>
      <c r="M2860" s="26"/>
      <c r="N2860" s="26"/>
      <c r="O2860" s="26"/>
    </row>
    <row r="2863" spans="9:16">
      <c r="L2863" s="604" t="s">
        <v>24</v>
      </c>
      <c r="M2863" s="604"/>
      <c r="N2863" s="604"/>
      <c r="O2863" s="604"/>
    </row>
    <row r="2864" spans="9:16">
      <c r="L2864" s="604" t="s">
        <v>149</v>
      </c>
      <c r="M2864" s="604"/>
      <c r="N2864" s="604"/>
      <c r="O2864" s="604"/>
    </row>
    <row r="2865" spans="9:16">
      <c r="L2865" s="605" t="s">
        <v>150</v>
      </c>
      <c r="M2865" s="605"/>
      <c r="N2865" s="605"/>
      <c r="O2865" s="605"/>
    </row>
    <row r="2866" spans="9:16">
      <c r="L2866" s="477"/>
      <c r="M2866" s="477"/>
      <c r="N2866" s="477"/>
      <c r="O2866" s="477"/>
    </row>
    <row r="2867" spans="9:16">
      <c r="M2867" s="30"/>
    </row>
    <row r="2868" spans="9:16">
      <c r="I2868" s="26"/>
      <c r="J2868" s="26"/>
      <c r="K2868" s="26"/>
      <c r="L2868" s="26"/>
      <c r="N2868" s="26"/>
      <c r="O2868" s="26"/>
      <c r="P2868" s="26"/>
    </row>
    <row r="2869" spans="9:16" ht="17.25">
      <c r="I2869" s="26"/>
      <c r="J2869" s="26"/>
      <c r="K2869" s="26"/>
      <c r="L2869" s="508"/>
      <c r="M2869" s="259"/>
      <c r="N2869" s="259"/>
      <c r="O2869" s="259"/>
      <c r="P2869" s="259"/>
    </row>
    <row r="2870" spans="9:16" ht="21" customHeight="1">
      <c r="I2870" s="26"/>
      <c r="J2870" s="26"/>
      <c r="K2870" s="26"/>
      <c r="L2870" s="644"/>
      <c r="M2870" s="644"/>
      <c r="N2870" s="644"/>
      <c r="O2870" s="644"/>
      <c r="P2870" s="145"/>
    </row>
    <row r="2871" spans="9:16">
      <c r="I2871" s="617" t="s">
        <v>0</v>
      </c>
      <c r="J2871" s="617"/>
      <c r="K2871" s="617"/>
      <c r="L2871" s="617"/>
      <c r="M2871" s="617"/>
      <c r="N2871" s="617"/>
      <c r="O2871" s="617"/>
      <c r="P2871" s="617"/>
    </row>
    <row r="2874" spans="9:16" ht="49.5" customHeight="1">
      <c r="I2874" s="642" t="s">
        <v>1</v>
      </c>
      <c r="J2874" s="642"/>
      <c r="K2874" s="642"/>
      <c r="L2874" s="642"/>
      <c r="M2874" s="642"/>
      <c r="N2874" s="642"/>
      <c r="O2874" s="642"/>
      <c r="P2874" s="642"/>
    </row>
    <row r="2877" spans="9:16">
      <c r="I2877" s="30"/>
      <c r="J2877" s="30" t="s">
        <v>1758</v>
      </c>
    </row>
    <row r="2878" spans="9:16" ht="17.25" thickBot="1">
      <c r="I2878" s="30"/>
      <c r="O2878" s="141"/>
    </row>
    <row r="2879" spans="9:16">
      <c r="J2879" s="30"/>
      <c r="N2879" s="143"/>
      <c r="P2879" s="144"/>
    </row>
    <row r="2880" spans="9:16">
      <c r="N2880" s="647" t="s">
        <v>2156</v>
      </c>
      <c r="O2880" s="610"/>
      <c r="P2880" s="648"/>
    </row>
    <row r="2881" spans="9:16">
      <c r="I2881" s="12" t="s">
        <v>114</v>
      </c>
      <c r="L2881" s="30"/>
      <c r="M2881" s="30" t="s">
        <v>2</v>
      </c>
      <c r="N2881" s="605" t="s">
        <v>2157</v>
      </c>
      <c r="O2881" s="605"/>
      <c r="P2881" s="649"/>
    </row>
    <row r="2882" spans="9:16">
      <c r="N2882" s="601" t="s">
        <v>163</v>
      </c>
      <c r="O2882" s="602"/>
      <c r="P2882" s="603"/>
    </row>
    <row r="2883" spans="9:16" ht="17.25" thickBot="1">
      <c r="N2883" s="140"/>
      <c r="O2883" s="141"/>
      <c r="P2883" s="142"/>
    </row>
    <row r="2885" spans="9:16">
      <c r="I2885" s="30" t="s">
        <v>27</v>
      </c>
      <c r="J2885" s="30" t="s">
        <v>1908</v>
      </c>
    </row>
    <row r="2886" spans="9:16" ht="17.25" thickBot="1"/>
    <row r="2887" spans="9:16" ht="17.25" thickBot="1">
      <c r="I2887" s="13" t="s">
        <v>112</v>
      </c>
      <c r="J2887" s="624" t="s">
        <v>4</v>
      </c>
      <c r="K2887" s="625"/>
      <c r="L2887" s="625"/>
      <c r="M2887" s="625"/>
      <c r="N2887" s="625"/>
      <c r="O2887" s="626"/>
      <c r="P2887" s="20" t="s">
        <v>5</v>
      </c>
    </row>
    <row r="2888" spans="9:16">
      <c r="I2888" s="633" t="s">
        <v>2272</v>
      </c>
      <c r="J2888" s="143"/>
      <c r="K2888" s="159"/>
      <c r="L2888" s="159"/>
      <c r="M2888" s="159"/>
      <c r="N2888" s="159"/>
      <c r="O2888" s="144"/>
      <c r="P2888" s="291"/>
    </row>
    <row r="2889" spans="9:16">
      <c r="I2889" s="634"/>
      <c r="J2889" s="64"/>
      <c r="O2889" s="65"/>
      <c r="P2889" s="291"/>
    </row>
    <row r="2890" spans="9:16">
      <c r="I2890" s="634"/>
      <c r="J2890" s="630" t="s">
        <v>286</v>
      </c>
      <c r="K2890" s="631"/>
      <c r="L2890" s="631"/>
      <c r="M2890" s="631"/>
      <c r="N2890" s="631"/>
      <c r="O2890" s="632"/>
      <c r="P2890" s="291"/>
    </row>
    <row r="2891" spans="9:16">
      <c r="I2891" s="634"/>
      <c r="J2891" s="636" t="s">
        <v>2158</v>
      </c>
      <c r="K2891" s="637"/>
      <c r="L2891" s="637"/>
      <c r="M2891" s="637"/>
      <c r="N2891" s="637"/>
      <c r="O2891" s="638"/>
      <c r="P2891" s="148">
        <v>1020000</v>
      </c>
    </row>
    <row r="2892" spans="9:16">
      <c r="I2892" s="634"/>
      <c r="J2892" s="64"/>
      <c r="K2892" s="604"/>
      <c r="L2892" s="604"/>
      <c r="M2892" s="604"/>
      <c r="O2892" s="65"/>
      <c r="P2892" s="291"/>
    </row>
    <row r="2893" spans="9:16" ht="17.25" thickBot="1">
      <c r="I2893" s="635"/>
      <c r="J2893" s="140"/>
      <c r="K2893" s="141"/>
      <c r="L2893" s="141"/>
      <c r="M2893" s="141"/>
      <c r="N2893" s="141"/>
      <c r="O2893" s="142"/>
      <c r="P2893" s="291"/>
    </row>
    <row r="2894" spans="9:16" ht="17.25" thickBot="1">
      <c r="I2894" s="20" t="s">
        <v>12</v>
      </c>
      <c r="J2894" s="614" t="s">
        <v>13</v>
      </c>
      <c r="K2894" s="615"/>
      <c r="L2894" s="62" t="s">
        <v>14</v>
      </c>
      <c r="M2894" s="63"/>
      <c r="N2894" s="62" t="s">
        <v>15</v>
      </c>
      <c r="O2894" s="62" t="s">
        <v>16</v>
      </c>
      <c r="P2894" s="20" t="s">
        <v>17</v>
      </c>
    </row>
    <row r="2895" spans="9:16" ht="18" thickBot="1">
      <c r="I2895" s="22" t="s">
        <v>18</v>
      </c>
      <c r="J2895" s="606">
        <f>+P2891</f>
        <v>1020000</v>
      </c>
      <c r="K2895" s="607"/>
      <c r="L2895" s="23">
        <f>0</f>
        <v>0</v>
      </c>
      <c r="M2895" s="24"/>
      <c r="N2895" s="25">
        <f>0</f>
        <v>0</v>
      </c>
      <c r="O2895" s="36">
        <f>+J2895</f>
        <v>1020000</v>
      </c>
      <c r="P2895" s="38">
        <f>+P2891</f>
        <v>1020000</v>
      </c>
    </row>
    <row r="2896" spans="9:16" ht="18" thickBot="1">
      <c r="I2896" s="22" t="s">
        <v>113</v>
      </c>
      <c r="J2896" s="606">
        <f>+J2895/650.599</f>
        <v>1567.7859941377098</v>
      </c>
      <c r="K2896" s="607"/>
      <c r="L2896" s="23">
        <f>0</f>
        <v>0</v>
      </c>
      <c r="M2896" s="24"/>
      <c r="N2896" s="25">
        <f>0</f>
        <v>0</v>
      </c>
      <c r="O2896" s="36">
        <f>+J2896</f>
        <v>1567.7859941377098</v>
      </c>
      <c r="P2896" s="38">
        <f>+O2896</f>
        <v>1567.7859941377098</v>
      </c>
    </row>
    <row r="2898" spans="9:16">
      <c r="I2898" s="412" t="s">
        <v>1268</v>
      </c>
      <c r="J2898" s="26"/>
      <c r="K2898" s="26"/>
      <c r="L2898" s="26"/>
      <c r="M2898" s="26"/>
      <c r="N2898" s="26"/>
      <c r="O2898" s="26"/>
    </row>
    <row r="2899" spans="9:16">
      <c r="I2899" s="413" t="s">
        <v>2159</v>
      </c>
      <c r="J2899" s="26"/>
      <c r="K2899" s="26"/>
      <c r="L2899" s="26"/>
      <c r="M2899" s="26"/>
      <c r="N2899" s="26"/>
      <c r="O2899" s="26"/>
    </row>
    <row r="2900" spans="9:16">
      <c r="I2900" s="82" t="s">
        <v>19</v>
      </c>
      <c r="J2900" s="26"/>
      <c r="K2900" s="26"/>
      <c r="L2900" s="26"/>
      <c r="M2900" s="26"/>
      <c r="N2900" s="26"/>
      <c r="O2900" s="26"/>
    </row>
    <row r="2901" spans="9:16">
      <c r="I2901" s="26" t="s">
        <v>965</v>
      </c>
      <c r="J2901" s="26"/>
      <c r="K2901" s="26"/>
      <c r="L2901" s="26"/>
      <c r="M2901" s="26"/>
      <c r="N2901" s="26"/>
      <c r="O2901" s="26"/>
    </row>
    <row r="2902" spans="9:16">
      <c r="I2902" s="26" t="s">
        <v>21</v>
      </c>
      <c r="J2902" s="26"/>
      <c r="K2902" s="26"/>
      <c r="L2902" s="26"/>
      <c r="M2902" s="26"/>
      <c r="N2902" s="26"/>
      <c r="O2902" s="26"/>
    </row>
    <row r="2903" spans="9:16">
      <c r="I2903" s="26" t="s">
        <v>1229</v>
      </c>
      <c r="J2903" s="26"/>
      <c r="K2903" s="26"/>
      <c r="L2903" s="26"/>
      <c r="M2903" s="26"/>
      <c r="N2903" s="26"/>
      <c r="O2903" s="26"/>
    </row>
    <row r="2906" spans="9:16">
      <c r="L2906" s="604" t="s">
        <v>24</v>
      </c>
      <c r="M2906" s="604"/>
      <c r="N2906" s="604"/>
      <c r="O2906" s="604"/>
    </row>
    <row r="2907" spans="9:16">
      <c r="L2907" s="604" t="s">
        <v>149</v>
      </c>
      <c r="M2907" s="604"/>
      <c r="N2907" s="604"/>
      <c r="O2907" s="604"/>
    </row>
    <row r="2908" spans="9:16">
      <c r="L2908" s="605" t="s">
        <v>150</v>
      </c>
      <c r="M2908" s="605"/>
      <c r="N2908" s="605"/>
      <c r="O2908" s="605"/>
    </row>
    <row r="2909" spans="9:16">
      <c r="M2909" s="30"/>
    </row>
    <row r="2910" spans="9:16">
      <c r="I2910" s="26"/>
      <c r="J2910" s="26"/>
      <c r="K2910" s="26"/>
      <c r="L2910" s="26"/>
      <c r="N2910" s="26"/>
      <c r="O2910" s="26"/>
      <c r="P2910" s="26"/>
    </row>
    <row r="2911" spans="9:16" ht="17.25">
      <c r="I2911" s="26"/>
      <c r="J2911" s="26"/>
      <c r="K2911" s="26"/>
      <c r="L2911" s="259"/>
      <c r="M2911" s="259"/>
      <c r="N2911" s="259"/>
      <c r="O2911" s="259"/>
      <c r="P2911" s="361"/>
    </row>
    <row r="2912" spans="9:16" ht="18">
      <c r="I2912" s="26"/>
      <c r="J2912" s="26"/>
      <c r="K2912" s="26"/>
      <c r="L2912" s="644" t="s">
        <v>2147</v>
      </c>
      <c r="M2912" s="644"/>
      <c r="N2912" s="644"/>
      <c r="O2912" s="644"/>
      <c r="P2912" s="145"/>
    </row>
    <row r="2914" spans="9:16">
      <c r="I2914" s="617" t="s">
        <v>2554</v>
      </c>
      <c r="J2914" s="617"/>
      <c r="K2914" s="617"/>
      <c r="L2914" s="617"/>
      <c r="M2914" s="617"/>
      <c r="N2914" s="617"/>
      <c r="O2914" s="617"/>
      <c r="P2914" s="617"/>
    </row>
    <row r="2917" spans="9:16" ht="49.5" customHeight="1">
      <c r="I2917" s="642" t="s">
        <v>1</v>
      </c>
      <c r="J2917" s="642"/>
      <c r="K2917" s="642"/>
      <c r="L2917" s="642"/>
      <c r="M2917" s="642"/>
      <c r="N2917" s="642"/>
      <c r="O2917" s="642"/>
      <c r="P2917" s="642"/>
    </row>
    <row r="2920" spans="9:16" ht="17.25">
      <c r="J2920" s="375" t="s">
        <v>1915</v>
      </c>
    </row>
    <row r="2921" spans="9:16" ht="17.25" thickBot="1">
      <c r="I2921" s="30"/>
      <c r="O2921" s="141"/>
    </row>
    <row r="2922" spans="9:16">
      <c r="J2922" s="30"/>
      <c r="N2922" s="143"/>
      <c r="P2922" s="144"/>
    </row>
    <row r="2923" spans="9:16">
      <c r="N2923" s="647" t="s">
        <v>2342</v>
      </c>
      <c r="O2923" s="610"/>
      <c r="P2923" s="648"/>
    </row>
    <row r="2924" spans="9:16">
      <c r="I2924" s="12" t="s">
        <v>114</v>
      </c>
      <c r="L2924" s="30"/>
      <c r="M2924" s="30" t="s">
        <v>2</v>
      </c>
      <c r="N2924" s="605" t="s">
        <v>906</v>
      </c>
      <c r="O2924" s="605"/>
      <c r="P2924" s="649"/>
    </row>
    <row r="2925" spans="9:16">
      <c r="N2925" s="601" t="s">
        <v>163</v>
      </c>
      <c r="O2925" s="602"/>
      <c r="P2925" s="603"/>
    </row>
    <row r="2926" spans="9:16" ht="17.25" thickBot="1">
      <c r="N2926" s="140"/>
      <c r="O2926" s="141"/>
      <c r="P2926" s="142"/>
    </row>
    <row r="2928" spans="9:16">
      <c r="I2928" s="509" t="s">
        <v>27</v>
      </c>
      <c r="J2928" s="30" t="s">
        <v>2335</v>
      </c>
    </row>
    <row r="2929" spans="9:16" ht="17.25" thickBot="1"/>
    <row r="2930" spans="9:16" ht="17.25" customHeight="1" thickBot="1">
      <c r="I2930" s="13" t="s">
        <v>112</v>
      </c>
      <c r="J2930" s="624" t="s">
        <v>4</v>
      </c>
      <c r="K2930" s="625"/>
      <c r="L2930" s="625"/>
      <c r="M2930" s="625"/>
      <c r="N2930" s="625"/>
      <c r="O2930" s="626"/>
      <c r="P2930" s="20" t="s">
        <v>5</v>
      </c>
    </row>
    <row r="2931" spans="9:16" ht="16.5" customHeight="1">
      <c r="I2931" s="633" t="s">
        <v>2445</v>
      </c>
      <c r="J2931" s="143"/>
      <c r="K2931" s="159"/>
      <c r="L2931" s="159"/>
      <c r="M2931" s="159"/>
      <c r="N2931" s="159"/>
      <c r="O2931" s="144"/>
      <c r="P2931" s="291"/>
    </row>
    <row r="2932" spans="9:16">
      <c r="I2932" s="634"/>
      <c r="J2932" s="64"/>
      <c r="O2932" s="65"/>
      <c r="P2932" s="291"/>
    </row>
    <row r="2933" spans="9:16">
      <c r="I2933" s="634"/>
      <c r="J2933" s="630" t="s">
        <v>286</v>
      </c>
      <c r="K2933" s="631"/>
      <c r="L2933" s="631"/>
      <c r="M2933" s="631"/>
      <c r="N2933" s="631"/>
      <c r="O2933" s="632"/>
      <c r="P2933" s="291"/>
    </row>
    <row r="2934" spans="9:16">
      <c r="I2934" s="634"/>
      <c r="J2934" s="636" t="s">
        <v>2343</v>
      </c>
      <c r="K2934" s="637"/>
      <c r="L2934" s="637"/>
      <c r="M2934" s="637"/>
      <c r="N2934" s="637"/>
      <c r="O2934" s="638"/>
      <c r="P2934" s="148">
        <v>600000</v>
      </c>
    </row>
    <row r="2935" spans="9:16">
      <c r="I2935" s="634"/>
      <c r="J2935" s="64"/>
      <c r="K2935" s="604"/>
      <c r="L2935" s="604"/>
      <c r="M2935" s="604"/>
      <c r="O2935" s="65"/>
      <c r="P2935" s="291"/>
    </row>
    <row r="2936" spans="9:16" ht="17.25" thickBot="1">
      <c r="I2936" s="635"/>
      <c r="J2936" s="140"/>
      <c r="K2936" s="141"/>
      <c r="L2936" s="141"/>
      <c r="M2936" s="141"/>
      <c r="N2936" s="141"/>
      <c r="O2936" s="142"/>
      <c r="P2936" s="291"/>
    </row>
    <row r="2937" spans="9:16" ht="17.25" thickBot="1">
      <c r="I2937" s="20" t="s">
        <v>12</v>
      </c>
      <c r="J2937" s="614" t="s">
        <v>13</v>
      </c>
      <c r="K2937" s="615"/>
      <c r="L2937" s="62" t="s">
        <v>14</v>
      </c>
      <c r="M2937" s="63"/>
      <c r="N2937" s="62" t="s">
        <v>15</v>
      </c>
      <c r="O2937" s="62" t="s">
        <v>16</v>
      </c>
      <c r="P2937" s="20" t="s">
        <v>17</v>
      </c>
    </row>
    <row r="2938" spans="9:16" ht="18" thickBot="1">
      <c r="I2938" s="22" t="s">
        <v>18</v>
      </c>
      <c r="J2938" s="606">
        <f>+P2934</f>
        <v>600000</v>
      </c>
      <c r="K2938" s="607"/>
      <c r="L2938" s="23">
        <f>0</f>
        <v>0</v>
      </c>
      <c r="M2938" s="24"/>
      <c r="N2938" s="25">
        <f>0</f>
        <v>0</v>
      </c>
      <c r="O2938" s="36">
        <f>+J2938</f>
        <v>600000</v>
      </c>
      <c r="P2938" s="38">
        <f>+P2934</f>
        <v>600000</v>
      </c>
    </row>
    <row r="2939" spans="9:16" ht="18" thickBot="1">
      <c r="I2939" s="22" t="s">
        <v>113</v>
      </c>
      <c r="J2939" s="606">
        <f>+J2938/650.599</f>
        <v>922.22705537512343</v>
      </c>
      <c r="K2939" s="607"/>
      <c r="L2939" s="23">
        <f>0</f>
        <v>0</v>
      </c>
      <c r="M2939" s="24"/>
      <c r="N2939" s="25">
        <f>0</f>
        <v>0</v>
      </c>
      <c r="O2939" s="36">
        <f>+J2939</f>
        <v>922.22705537512343</v>
      </c>
      <c r="P2939" s="38">
        <f>+O2939</f>
        <v>922.22705537512343</v>
      </c>
    </row>
    <row r="2941" spans="9:16">
      <c r="I2941" s="412" t="s">
        <v>1268</v>
      </c>
      <c r="J2941" s="26"/>
      <c r="K2941" s="26"/>
      <c r="L2941" s="26"/>
      <c r="M2941" s="26"/>
      <c r="N2941" s="26"/>
      <c r="O2941" s="26"/>
    </row>
    <row r="2942" spans="9:16">
      <c r="I2942" s="413" t="s">
        <v>2344</v>
      </c>
      <c r="J2942" s="26"/>
      <c r="K2942" s="26"/>
      <c r="L2942" s="26"/>
      <c r="M2942" s="26"/>
      <c r="N2942" s="26"/>
      <c r="O2942" s="26"/>
    </row>
    <row r="2943" spans="9:16">
      <c r="I2943" s="82" t="s">
        <v>19</v>
      </c>
      <c r="J2943" s="26"/>
      <c r="K2943" s="26"/>
      <c r="L2943" s="26"/>
      <c r="M2943" s="26"/>
      <c r="N2943" s="26"/>
      <c r="O2943" s="26"/>
    </row>
    <row r="2944" spans="9:16">
      <c r="I2944" s="26" t="s">
        <v>965</v>
      </c>
      <c r="J2944" s="26"/>
      <c r="K2944" s="26"/>
      <c r="L2944" s="26"/>
      <c r="M2944" s="26"/>
      <c r="N2944" s="26"/>
      <c r="O2944" s="26"/>
    </row>
    <row r="2945" spans="9:16">
      <c r="I2945" s="26" t="s">
        <v>21</v>
      </c>
      <c r="J2945" s="26"/>
      <c r="K2945" s="26"/>
      <c r="L2945" s="26"/>
      <c r="M2945" s="26"/>
      <c r="N2945" s="26"/>
      <c r="O2945" s="26"/>
    </row>
    <row r="2946" spans="9:16">
      <c r="I2946" s="26" t="s">
        <v>1229</v>
      </c>
      <c r="J2946" s="26"/>
      <c r="K2946" s="26"/>
      <c r="L2946" s="26"/>
      <c r="M2946" s="26"/>
      <c r="N2946" s="26"/>
      <c r="O2946" s="26"/>
    </row>
    <row r="2949" spans="9:16">
      <c r="L2949" s="604" t="s">
        <v>24</v>
      </c>
      <c r="M2949" s="604"/>
      <c r="N2949" s="604"/>
      <c r="O2949" s="604"/>
    </row>
    <row r="2950" spans="9:16">
      <c r="L2950" s="604" t="s">
        <v>149</v>
      </c>
      <c r="M2950" s="604"/>
      <c r="N2950" s="604"/>
      <c r="O2950" s="604"/>
    </row>
    <row r="2951" spans="9:16">
      <c r="L2951" s="605" t="s">
        <v>150</v>
      </c>
      <c r="M2951" s="605"/>
      <c r="N2951" s="605"/>
      <c r="O2951" s="605"/>
    </row>
    <row r="2952" spans="9:16">
      <c r="M2952" s="30"/>
    </row>
    <row r="2953" spans="9:16">
      <c r="I2953" s="26"/>
      <c r="J2953" s="26"/>
      <c r="K2953" s="26"/>
      <c r="L2953" s="26"/>
      <c r="N2953" s="26"/>
      <c r="O2953" s="26"/>
      <c r="P2953" s="26"/>
    </row>
    <row r="2954" spans="9:16" ht="18">
      <c r="I2954" s="26"/>
      <c r="J2954" s="26"/>
      <c r="K2954" s="26"/>
      <c r="L2954" s="644" t="s">
        <v>2347</v>
      </c>
      <c r="M2954" s="644"/>
      <c r="N2954" s="644"/>
      <c r="O2954" s="644"/>
      <c r="P2954" s="145"/>
    </row>
    <row r="2955" spans="9:16" ht="18">
      <c r="I2955" s="26"/>
      <c r="J2955" s="26"/>
      <c r="K2955" s="26"/>
      <c r="L2955" s="361"/>
      <c r="M2955" s="361"/>
      <c r="N2955" s="361"/>
      <c r="O2955" s="361"/>
      <c r="P2955" s="145"/>
    </row>
    <row r="2956" spans="9:16" ht="18">
      <c r="I2956" s="26"/>
      <c r="J2956" s="26"/>
      <c r="K2956" s="26"/>
      <c r="L2956" s="361"/>
      <c r="M2956" s="361"/>
      <c r="N2956" s="361"/>
      <c r="O2956" s="361"/>
      <c r="P2956" s="145"/>
    </row>
    <row r="2957" spans="9:16">
      <c r="I2957" s="617" t="s">
        <v>0</v>
      </c>
      <c r="J2957" s="617"/>
      <c r="K2957" s="617"/>
      <c r="L2957" s="617"/>
      <c r="M2957" s="617"/>
      <c r="N2957" s="617"/>
      <c r="O2957" s="617"/>
      <c r="P2957" s="617"/>
    </row>
    <row r="2960" spans="9:16" ht="49.5" customHeight="1">
      <c r="I2960" s="642" t="s">
        <v>1</v>
      </c>
      <c r="J2960" s="642"/>
      <c r="K2960" s="642"/>
      <c r="L2960" s="642"/>
      <c r="M2960" s="642"/>
      <c r="N2960" s="642"/>
      <c r="O2960" s="642"/>
      <c r="P2960" s="642"/>
    </row>
    <row r="2963" spans="9:16">
      <c r="I2963" s="30"/>
      <c r="J2963" s="30" t="s">
        <v>1879</v>
      </c>
    </row>
    <row r="2964" spans="9:16" ht="17.25" thickBot="1">
      <c r="I2964" s="30"/>
      <c r="O2964" s="141"/>
    </row>
    <row r="2965" spans="9:16">
      <c r="J2965" s="30"/>
      <c r="N2965" s="143"/>
      <c r="P2965" s="144"/>
    </row>
    <row r="2966" spans="9:16">
      <c r="N2966" s="647" t="s">
        <v>1679</v>
      </c>
      <c r="O2966" s="610"/>
      <c r="P2966" s="648"/>
    </row>
    <row r="2967" spans="9:16">
      <c r="I2967" s="12" t="s">
        <v>114</v>
      </c>
      <c r="L2967" s="249" t="s">
        <v>2</v>
      </c>
      <c r="M2967" s="30"/>
      <c r="N2967" s="605" t="s">
        <v>1464</v>
      </c>
      <c r="O2967" s="605"/>
      <c r="P2967" s="649"/>
    </row>
    <row r="2968" spans="9:16">
      <c r="N2968" s="601" t="s">
        <v>163</v>
      </c>
      <c r="O2968" s="602"/>
      <c r="P2968" s="603"/>
    </row>
    <row r="2969" spans="9:16" ht="17.25" thickBot="1">
      <c r="N2969" s="140"/>
      <c r="O2969" s="141"/>
      <c r="P2969" s="142"/>
    </row>
    <row r="2971" spans="9:16">
      <c r="I2971" s="249" t="s">
        <v>27</v>
      </c>
      <c r="J2971" s="394" t="s">
        <v>148</v>
      </c>
    </row>
    <row r="2972" spans="9:16" ht="17.25" thickBot="1"/>
    <row r="2973" spans="9:16" ht="17.25" thickBot="1">
      <c r="I2973" s="13" t="s">
        <v>112</v>
      </c>
      <c r="J2973" s="624" t="s">
        <v>4</v>
      </c>
      <c r="K2973" s="625"/>
      <c r="L2973" s="625"/>
      <c r="M2973" s="625"/>
      <c r="N2973" s="625"/>
      <c r="O2973" s="626"/>
      <c r="P2973" s="20" t="s">
        <v>5</v>
      </c>
    </row>
    <row r="2974" spans="9:16">
      <c r="I2974" s="627" t="s">
        <v>2014</v>
      </c>
      <c r="J2974" s="143"/>
      <c r="K2974" s="159"/>
      <c r="L2974" s="159"/>
      <c r="M2974" s="159"/>
      <c r="N2974" s="159"/>
      <c r="O2974" s="144"/>
      <c r="P2974" s="291"/>
    </row>
    <row r="2975" spans="9:16">
      <c r="I2975" s="628"/>
      <c r="J2975" s="630" t="s">
        <v>286</v>
      </c>
      <c r="K2975" s="631"/>
      <c r="L2975" s="631"/>
      <c r="M2975" s="631"/>
      <c r="N2975" s="631"/>
      <c r="O2975" s="632"/>
      <c r="P2975" s="291"/>
    </row>
    <row r="2976" spans="9:16">
      <c r="I2976" s="628"/>
      <c r="J2976" s="636" t="s">
        <v>1465</v>
      </c>
      <c r="K2976" s="637"/>
      <c r="L2976" s="637"/>
      <c r="M2976" s="637"/>
      <c r="N2976" s="637"/>
      <c r="O2976" s="638"/>
      <c r="P2976" s="148">
        <v>7821240</v>
      </c>
    </row>
    <row r="2977" spans="9:16">
      <c r="I2977" s="628"/>
      <c r="J2977" s="64"/>
      <c r="K2977" s="604"/>
      <c r="L2977" s="604"/>
      <c r="M2977" s="604"/>
      <c r="O2977" s="65"/>
      <c r="P2977" s="291"/>
    </row>
    <row r="2978" spans="9:16" ht="17.25" thickBot="1">
      <c r="I2978" s="629"/>
      <c r="J2978" s="140"/>
      <c r="K2978" s="141"/>
      <c r="L2978" s="141"/>
      <c r="M2978" s="141"/>
      <c r="N2978" s="141"/>
      <c r="O2978" s="142"/>
      <c r="P2978" s="291"/>
    </row>
    <row r="2979" spans="9:16" ht="17.25" thickBot="1">
      <c r="I2979" s="20" t="s">
        <v>12</v>
      </c>
      <c r="J2979" s="614" t="s">
        <v>13</v>
      </c>
      <c r="K2979" s="615"/>
      <c r="L2979" s="62" t="s">
        <v>14</v>
      </c>
      <c r="M2979" s="63"/>
      <c r="N2979" s="62" t="s">
        <v>15</v>
      </c>
      <c r="O2979" s="62" t="s">
        <v>16</v>
      </c>
      <c r="P2979" s="20" t="s">
        <v>17</v>
      </c>
    </row>
    <row r="2980" spans="9:16" ht="18" thickBot="1">
      <c r="I2980" s="22" t="s">
        <v>18</v>
      </c>
      <c r="J2980" s="606">
        <f>+P2976</f>
        <v>7821240</v>
      </c>
      <c r="K2980" s="607"/>
      <c r="L2980" s="23">
        <f>0</f>
        <v>0</v>
      </c>
      <c r="M2980" s="24"/>
      <c r="N2980" s="25">
        <f>0</f>
        <v>0</v>
      </c>
      <c r="O2980" s="36">
        <f>+J2980</f>
        <v>7821240</v>
      </c>
      <c r="P2980" s="38">
        <f>+P2976</f>
        <v>7821240</v>
      </c>
    </row>
    <row r="2981" spans="9:16" ht="18" thickBot="1">
      <c r="I2981" s="22" t="s">
        <v>113</v>
      </c>
      <c r="J2981" s="606">
        <f>+J2980/650.599</f>
        <v>12021.598557636884</v>
      </c>
      <c r="K2981" s="607"/>
      <c r="L2981" s="23">
        <f>0</f>
        <v>0</v>
      </c>
      <c r="M2981" s="24"/>
      <c r="N2981" s="25">
        <f>0</f>
        <v>0</v>
      </c>
      <c r="O2981" s="36">
        <f>+J2981</f>
        <v>12021.598557636884</v>
      </c>
      <c r="P2981" s="38">
        <f>+O2981</f>
        <v>12021.598557636884</v>
      </c>
    </row>
    <row r="2983" spans="9:16">
      <c r="I2983" s="410" t="s">
        <v>1457</v>
      </c>
      <c r="J2983" s="26"/>
      <c r="K2983" s="26"/>
      <c r="L2983" s="26"/>
      <c r="M2983" s="26"/>
      <c r="N2983" s="26"/>
      <c r="O2983" s="26"/>
    </row>
    <row r="2984" spans="9:16" ht="17.25">
      <c r="I2984" s="448" t="s">
        <v>1466</v>
      </c>
      <c r="J2984" s="26"/>
      <c r="K2984" s="26"/>
      <c r="L2984" s="26"/>
      <c r="M2984" s="26"/>
      <c r="N2984" s="26"/>
      <c r="O2984" s="26"/>
    </row>
    <row r="2985" spans="9:16">
      <c r="I2985" s="82" t="s">
        <v>19</v>
      </c>
      <c r="J2985" s="26"/>
      <c r="K2985" s="26"/>
      <c r="L2985" s="26"/>
      <c r="M2985" s="26"/>
      <c r="N2985" s="26"/>
      <c r="O2985" s="26"/>
    </row>
    <row r="2986" spans="9:16">
      <c r="I2986" s="26" t="s">
        <v>965</v>
      </c>
      <c r="J2986" s="26"/>
      <c r="K2986" s="26"/>
      <c r="L2986" s="26"/>
      <c r="M2986" s="26"/>
      <c r="N2986" s="26"/>
      <c r="O2986" s="26"/>
    </row>
    <row r="2987" spans="9:16">
      <c r="I2987" s="26" t="s">
        <v>21</v>
      </c>
      <c r="J2987" s="26"/>
      <c r="K2987" s="26"/>
      <c r="L2987" s="26"/>
      <c r="M2987" s="26"/>
      <c r="N2987" s="26"/>
      <c r="O2987" s="26"/>
    </row>
    <row r="2988" spans="9:16">
      <c r="I2988" s="26" t="s">
        <v>1229</v>
      </c>
      <c r="J2988" s="26"/>
      <c r="K2988" s="26"/>
      <c r="L2988" s="26"/>
      <c r="M2988" s="26"/>
      <c r="N2988" s="26"/>
      <c r="O2988" s="26"/>
    </row>
    <row r="2992" spans="9:16">
      <c r="L2992" s="604" t="s">
        <v>24</v>
      </c>
      <c r="M2992" s="604"/>
      <c r="N2992" s="604"/>
      <c r="O2992" s="604"/>
    </row>
    <row r="2993" spans="9:16">
      <c r="L2993" s="604" t="s">
        <v>149</v>
      </c>
      <c r="M2993" s="604"/>
      <c r="N2993" s="604"/>
      <c r="O2993" s="604"/>
    </row>
    <row r="2994" spans="9:16">
      <c r="L2994" s="605" t="s">
        <v>150</v>
      </c>
      <c r="M2994" s="605"/>
      <c r="N2994" s="605"/>
      <c r="O2994" s="605"/>
    </row>
    <row r="2995" spans="9:16">
      <c r="M2995" s="30"/>
    </row>
    <row r="2996" spans="9:16">
      <c r="I2996" s="26"/>
      <c r="J2996" s="26"/>
      <c r="K2996" s="26"/>
      <c r="L2996" s="26"/>
      <c r="N2996" s="26"/>
      <c r="O2996" s="26"/>
      <c r="P2996" s="26"/>
    </row>
    <row r="2997" spans="9:16" ht="17.25">
      <c r="I2997" s="26"/>
      <c r="J2997" s="26"/>
      <c r="K2997" s="26"/>
      <c r="L2997" s="259"/>
      <c r="M2997" s="259"/>
      <c r="N2997" s="259"/>
      <c r="O2997" s="259"/>
      <c r="P2997" s="361"/>
    </row>
    <row r="2998" spans="9:16" ht="18">
      <c r="I2998" s="26"/>
      <c r="J2998" s="26"/>
      <c r="K2998" s="26"/>
      <c r="L2998" s="644" t="s">
        <v>1696</v>
      </c>
      <c r="M2998" s="644"/>
      <c r="N2998" s="644"/>
      <c r="O2998" s="644"/>
      <c r="P2998" s="145"/>
    </row>
    <row r="2999" spans="9:16" ht="13.5" customHeight="1">
      <c r="I2999" s="26"/>
      <c r="J2999" s="26"/>
      <c r="K2999" s="26"/>
      <c r="L2999" s="361"/>
      <c r="M2999" s="361"/>
      <c r="N2999" s="361"/>
      <c r="O2999" s="361"/>
      <c r="P2999" s="145"/>
    </row>
    <row r="3000" spans="9:16">
      <c r="I3000" s="617" t="s">
        <v>0</v>
      </c>
      <c r="J3000" s="617"/>
      <c r="K3000" s="617"/>
      <c r="L3000" s="617"/>
      <c r="M3000" s="617"/>
      <c r="N3000" s="617"/>
      <c r="O3000" s="617"/>
      <c r="P3000" s="617"/>
    </row>
    <row r="3003" spans="9:16" ht="49.5">
      <c r="K3003" s="642" t="s">
        <v>1</v>
      </c>
      <c r="L3003" s="642"/>
      <c r="M3003" s="642"/>
      <c r="N3003" s="642"/>
    </row>
    <row r="3006" spans="9:16" ht="17.25">
      <c r="I3006" s="30"/>
      <c r="J3006" s="375" t="s">
        <v>2341</v>
      </c>
    </row>
    <row r="3007" spans="9:16" ht="17.25" thickBot="1">
      <c r="I3007" s="30"/>
      <c r="O3007" s="141"/>
    </row>
    <row r="3008" spans="9:16">
      <c r="J3008" s="30"/>
      <c r="N3008" s="143"/>
      <c r="P3008" s="144"/>
    </row>
    <row r="3009" spans="9:16">
      <c r="N3009" s="647" t="s">
        <v>799</v>
      </c>
      <c r="O3009" s="610"/>
      <c r="P3009" s="648"/>
    </row>
    <row r="3010" spans="9:16">
      <c r="I3010" s="12" t="s">
        <v>114</v>
      </c>
      <c r="L3010" s="30"/>
      <c r="M3010" s="30" t="s">
        <v>2</v>
      </c>
      <c r="N3010" s="622" t="s">
        <v>2338</v>
      </c>
      <c r="O3010" s="622"/>
      <c r="P3010" s="623"/>
    </row>
    <row r="3011" spans="9:16">
      <c r="N3011" s="601" t="s">
        <v>163</v>
      </c>
      <c r="O3011" s="602"/>
      <c r="P3011" s="603"/>
    </row>
    <row r="3012" spans="9:16" ht="17.25" thickBot="1">
      <c r="N3012" s="140"/>
      <c r="O3012" s="141"/>
      <c r="P3012" s="142"/>
    </row>
    <row r="3014" spans="9:16">
      <c r="I3014" s="30" t="s">
        <v>27</v>
      </c>
      <c r="J3014" s="30" t="s">
        <v>165</v>
      </c>
    </row>
    <row r="3015" spans="9:16" ht="17.25" thickBot="1"/>
    <row r="3016" spans="9:16" ht="17.25" thickBot="1">
      <c r="I3016" s="13" t="s">
        <v>112</v>
      </c>
      <c r="J3016" s="624" t="s">
        <v>4</v>
      </c>
      <c r="K3016" s="625"/>
      <c r="L3016" s="625"/>
      <c r="M3016" s="625"/>
      <c r="N3016" s="625"/>
      <c r="O3016" s="626"/>
      <c r="P3016" s="20" t="s">
        <v>5</v>
      </c>
    </row>
    <row r="3017" spans="9:16">
      <c r="I3017" s="633" t="s">
        <v>2339</v>
      </c>
      <c r="J3017" s="143"/>
      <c r="K3017" s="159"/>
      <c r="L3017" s="159"/>
      <c r="M3017" s="159"/>
      <c r="N3017" s="159"/>
      <c r="O3017" s="144"/>
      <c r="P3017" s="291"/>
    </row>
    <row r="3018" spans="9:16">
      <c r="I3018" s="634"/>
      <c r="J3018" s="64"/>
      <c r="O3018" s="65"/>
      <c r="P3018" s="291"/>
    </row>
    <row r="3019" spans="9:16">
      <c r="I3019" s="634"/>
      <c r="J3019" s="66"/>
      <c r="K3019" s="367"/>
      <c r="L3019" s="367" t="s">
        <v>286</v>
      </c>
      <c r="M3019" s="367"/>
      <c r="N3019" s="367"/>
      <c r="O3019" s="67"/>
      <c r="P3019" s="291"/>
    </row>
    <row r="3020" spans="9:16">
      <c r="I3020" s="634"/>
      <c r="J3020" s="385"/>
      <c r="K3020" s="187"/>
      <c r="L3020" s="147" t="s">
        <v>1912</v>
      </c>
      <c r="M3020" s="187"/>
      <c r="N3020" s="187"/>
      <c r="O3020" s="132"/>
      <c r="P3020" s="148">
        <v>1200000</v>
      </c>
    </row>
    <row r="3021" spans="9:16">
      <c r="I3021" s="634"/>
      <c r="J3021" s="64"/>
      <c r="K3021" s="604"/>
      <c r="L3021" s="604"/>
      <c r="M3021" s="604"/>
      <c r="O3021" s="65"/>
      <c r="P3021" s="291"/>
    </row>
    <row r="3022" spans="9:16" ht="17.25" thickBot="1">
      <c r="I3022" s="635"/>
      <c r="J3022" s="140"/>
      <c r="K3022" s="141"/>
      <c r="L3022" s="141"/>
      <c r="M3022" s="141"/>
      <c r="N3022" s="141"/>
      <c r="O3022" s="142"/>
      <c r="P3022" s="291"/>
    </row>
    <row r="3023" spans="9:16" ht="17.25" thickBot="1">
      <c r="I3023" s="20" t="s">
        <v>12</v>
      </c>
      <c r="J3023" s="614" t="s">
        <v>13</v>
      </c>
      <c r="K3023" s="615"/>
      <c r="L3023" s="62" t="s">
        <v>14</v>
      </c>
      <c r="M3023" s="63"/>
      <c r="N3023" s="62" t="s">
        <v>15</v>
      </c>
      <c r="O3023" s="62" t="s">
        <v>16</v>
      </c>
      <c r="P3023" s="20" t="s">
        <v>17</v>
      </c>
    </row>
    <row r="3024" spans="9:16" ht="18" thickBot="1">
      <c r="I3024" s="22" t="s">
        <v>18</v>
      </c>
      <c r="J3024" s="606">
        <f>+P3020</f>
        <v>1200000</v>
      </c>
      <c r="K3024" s="607"/>
      <c r="L3024" s="23">
        <f>0</f>
        <v>0</v>
      </c>
      <c r="M3024" s="24"/>
      <c r="N3024" s="25">
        <f>0</f>
        <v>0</v>
      </c>
      <c r="O3024" s="36">
        <f>+J3024</f>
        <v>1200000</v>
      </c>
      <c r="P3024" s="38">
        <f>+P3020</f>
        <v>1200000</v>
      </c>
    </row>
    <row r="3025" spans="9:16" ht="18" thickBot="1">
      <c r="I3025" s="22" t="s">
        <v>113</v>
      </c>
      <c r="J3025" s="606">
        <f>+J3024/650.599</f>
        <v>1844.4541107502469</v>
      </c>
      <c r="K3025" s="607"/>
      <c r="L3025" s="23">
        <f>0</f>
        <v>0</v>
      </c>
      <c r="M3025" s="24"/>
      <c r="N3025" s="25">
        <f>0</f>
        <v>0</v>
      </c>
      <c r="O3025" s="36">
        <f>+J3025</f>
        <v>1844.4541107502469</v>
      </c>
      <c r="P3025" s="38">
        <f>+O3025</f>
        <v>1844.4541107502469</v>
      </c>
    </row>
    <row r="3027" spans="9:16">
      <c r="I3027" s="395" t="s">
        <v>1268</v>
      </c>
      <c r="J3027" s="26"/>
      <c r="K3027" s="26"/>
      <c r="L3027" s="26"/>
      <c r="M3027" s="26"/>
      <c r="N3027" s="26"/>
      <c r="O3027" s="26"/>
    </row>
    <row r="3028" spans="9:16">
      <c r="I3028" s="408" t="s">
        <v>2340</v>
      </c>
      <c r="J3028" s="26"/>
      <c r="K3028" s="26"/>
      <c r="L3028" s="26"/>
      <c r="M3028" s="26"/>
      <c r="N3028" s="26"/>
      <c r="O3028" s="26"/>
    </row>
    <row r="3029" spans="9:16">
      <c r="I3029" s="82" t="s">
        <v>19</v>
      </c>
      <c r="J3029" s="26"/>
      <c r="K3029" s="26"/>
      <c r="L3029" s="26"/>
      <c r="M3029" s="26"/>
      <c r="N3029" s="26"/>
      <c r="O3029" s="26"/>
    </row>
    <row r="3030" spans="9:16">
      <c r="I3030" s="26" t="s">
        <v>965</v>
      </c>
      <c r="J3030" s="26"/>
      <c r="K3030" s="26"/>
      <c r="L3030" s="26"/>
      <c r="M3030" s="26"/>
      <c r="N3030" s="26"/>
      <c r="O3030" s="26"/>
    </row>
    <row r="3031" spans="9:16">
      <c r="I3031" s="26" t="s">
        <v>21</v>
      </c>
      <c r="J3031" s="26"/>
      <c r="K3031" s="26"/>
      <c r="L3031" s="26"/>
      <c r="M3031" s="26"/>
      <c r="N3031" s="26"/>
      <c r="O3031" s="26"/>
    </row>
    <row r="3032" spans="9:16">
      <c r="I3032" s="26" t="s">
        <v>1229</v>
      </c>
      <c r="J3032" s="26"/>
      <c r="K3032" s="26"/>
      <c r="L3032" s="26"/>
      <c r="M3032" s="26"/>
      <c r="N3032" s="26"/>
      <c r="O3032" s="26"/>
    </row>
    <row r="3035" spans="9:16">
      <c r="L3035" s="30" t="s">
        <v>24</v>
      </c>
      <c r="M3035" s="30"/>
      <c r="N3035" s="30"/>
    </row>
    <row r="3036" spans="9:16">
      <c r="L3036" s="30" t="s">
        <v>149</v>
      </c>
      <c r="M3036" s="30"/>
      <c r="N3036" s="30"/>
    </row>
    <row r="3037" spans="9:16">
      <c r="L3037" s="374" t="s">
        <v>150</v>
      </c>
      <c r="M3037" s="374"/>
      <c r="N3037" s="374"/>
    </row>
    <row r="3038" spans="9:16" ht="17.25">
      <c r="I3038" s="26"/>
      <c r="J3038" s="26"/>
      <c r="K3038" s="26"/>
      <c r="L3038" s="259"/>
      <c r="M3038" s="259"/>
      <c r="N3038" s="259"/>
      <c r="O3038" s="259"/>
      <c r="P3038" s="361"/>
    </row>
    <row r="3039" spans="9:16" ht="18">
      <c r="I3039" s="26"/>
      <c r="J3039" s="26"/>
      <c r="K3039" s="26"/>
      <c r="L3039" s="644"/>
      <c r="M3039" s="644"/>
      <c r="N3039" s="644"/>
      <c r="O3039" s="644"/>
      <c r="P3039" s="145"/>
    </row>
    <row r="3040" spans="9:16" ht="18">
      <c r="I3040" s="26"/>
      <c r="J3040" s="26"/>
      <c r="K3040" s="26"/>
      <c r="L3040" s="644" t="s">
        <v>2147</v>
      </c>
      <c r="M3040" s="644"/>
      <c r="N3040" s="644"/>
      <c r="O3040" s="644"/>
      <c r="P3040" s="145"/>
    </row>
    <row r="3042" spans="9:16" ht="18.75" customHeight="1">
      <c r="I3042" s="617" t="s">
        <v>2534</v>
      </c>
      <c r="J3042" s="617"/>
      <c r="K3042" s="617"/>
      <c r="L3042" s="617"/>
      <c r="M3042" s="617"/>
      <c r="N3042" s="617"/>
      <c r="O3042" s="617"/>
      <c r="P3042" s="617"/>
    </row>
    <row r="3045" spans="9:16" ht="49.5" customHeight="1">
      <c r="I3045" s="642" t="s">
        <v>1</v>
      </c>
      <c r="J3045" s="642"/>
      <c r="K3045" s="642"/>
      <c r="L3045" s="642"/>
      <c r="M3045" s="642"/>
      <c r="N3045" s="642"/>
      <c r="O3045" s="642"/>
      <c r="P3045" s="642"/>
    </row>
    <row r="3048" spans="9:16" ht="17.25">
      <c r="I3048" s="30"/>
      <c r="J3048" s="503" t="s">
        <v>1759</v>
      </c>
    </row>
    <row r="3049" spans="9:16" ht="17.25" thickBot="1">
      <c r="I3049" s="30"/>
      <c r="O3049" s="141"/>
    </row>
    <row r="3050" spans="9:16">
      <c r="J3050" s="30"/>
      <c r="N3050" s="143"/>
      <c r="P3050" s="144"/>
    </row>
    <row r="3051" spans="9:16">
      <c r="N3051" s="647" t="s">
        <v>2332</v>
      </c>
      <c r="O3051" s="610"/>
      <c r="P3051" s="648"/>
    </row>
    <row r="3052" spans="9:16">
      <c r="I3052" s="12" t="s">
        <v>114</v>
      </c>
      <c r="L3052" s="30"/>
      <c r="M3052" s="30" t="s">
        <v>2</v>
      </c>
      <c r="N3052" s="622" t="s">
        <v>2155</v>
      </c>
      <c r="O3052" s="622"/>
      <c r="P3052" s="623"/>
    </row>
    <row r="3053" spans="9:16">
      <c r="N3053" s="601" t="s">
        <v>163</v>
      </c>
      <c r="O3053" s="602"/>
      <c r="P3053" s="603"/>
    </row>
    <row r="3054" spans="9:16" ht="17.25" thickBot="1">
      <c r="N3054" s="140"/>
      <c r="O3054" s="141"/>
      <c r="P3054" s="142"/>
    </row>
    <row r="3056" spans="9:16">
      <c r="I3056" s="30" t="s">
        <v>27</v>
      </c>
      <c r="J3056" s="30" t="s">
        <v>165</v>
      </c>
    </row>
    <row r="3057" spans="9:16" ht="17.25" thickBot="1"/>
    <row r="3058" spans="9:16" ht="17.25" thickBot="1">
      <c r="I3058" s="13" t="s">
        <v>112</v>
      </c>
      <c r="J3058" s="624" t="s">
        <v>4</v>
      </c>
      <c r="K3058" s="625"/>
      <c r="L3058" s="625"/>
      <c r="M3058" s="625"/>
      <c r="N3058" s="625"/>
      <c r="O3058" s="626"/>
      <c r="P3058" s="20" t="s">
        <v>5</v>
      </c>
    </row>
    <row r="3059" spans="9:16">
      <c r="I3059" s="633" t="s">
        <v>2445</v>
      </c>
      <c r="J3059" s="143"/>
      <c r="K3059" s="159"/>
      <c r="L3059" s="159"/>
      <c r="M3059" s="159"/>
      <c r="N3059" s="159"/>
      <c r="O3059" s="144"/>
      <c r="P3059" s="291"/>
    </row>
    <row r="3060" spans="9:16">
      <c r="I3060" s="634"/>
      <c r="J3060" s="64"/>
      <c r="O3060" s="65"/>
      <c r="P3060" s="291"/>
    </row>
    <row r="3061" spans="9:16">
      <c r="I3061" s="634"/>
      <c r="J3061" s="66"/>
      <c r="K3061" s="367"/>
      <c r="L3061" s="367" t="s">
        <v>286</v>
      </c>
      <c r="M3061" s="367"/>
      <c r="N3061" s="367"/>
      <c r="O3061" s="67"/>
      <c r="P3061" s="291"/>
    </row>
    <row r="3062" spans="9:16">
      <c r="I3062" s="634"/>
      <c r="J3062" s="385"/>
      <c r="K3062" s="187"/>
      <c r="L3062" s="147" t="s">
        <v>2153</v>
      </c>
      <c r="M3062" s="187"/>
      <c r="N3062" s="187"/>
      <c r="O3062" s="132"/>
      <c r="P3062" s="148">
        <v>600000</v>
      </c>
    </row>
    <row r="3063" spans="9:16" ht="17.25" thickBot="1">
      <c r="I3063" s="635"/>
      <c r="J3063" s="140"/>
      <c r="K3063" s="141"/>
      <c r="L3063" s="141"/>
      <c r="M3063" s="141"/>
      <c r="N3063" s="141"/>
      <c r="O3063" s="142"/>
      <c r="P3063" s="291"/>
    </row>
    <row r="3064" spans="9:16" ht="17.25" thickBot="1">
      <c r="I3064" s="20" t="s">
        <v>12</v>
      </c>
      <c r="J3064" s="614" t="s">
        <v>13</v>
      </c>
      <c r="K3064" s="615"/>
      <c r="L3064" s="62" t="s">
        <v>14</v>
      </c>
      <c r="M3064" s="63"/>
      <c r="N3064" s="62" t="s">
        <v>15</v>
      </c>
      <c r="O3064" s="62" t="s">
        <v>16</v>
      </c>
      <c r="P3064" s="20" t="s">
        <v>17</v>
      </c>
    </row>
    <row r="3065" spans="9:16" ht="18" thickBot="1">
      <c r="I3065" s="22" t="s">
        <v>18</v>
      </c>
      <c r="J3065" s="606">
        <f>+P3062</f>
        <v>600000</v>
      </c>
      <c r="K3065" s="607"/>
      <c r="L3065" s="23">
        <f>0</f>
        <v>0</v>
      </c>
      <c r="M3065" s="24"/>
      <c r="N3065" s="25">
        <f>0</f>
        <v>0</v>
      </c>
      <c r="O3065" s="36">
        <f>+J3065</f>
        <v>600000</v>
      </c>
      <c r="P3065" s="38">
        <f>+P3062</f>
        <v>600000</v>
      </c>
    </row>
    <row r="3066" spans="9:16" ht="18" thickBot="1">
      <c r="I3066" s="22" t="s">
        <v>113</v>
      </c>
      <c r="J3066" s="606">
        <f>+J3065/650.599</f>
        <v>922.22705537512343</v>
      </c>
      <c r="K3066" s="607"/>
      <c r="L3066" s="23">
        <f>0</f>
        <v>0</v>
      </c>
      <c r="M3066" s="24"/>
      <c r="N3066" s="25">
        <f>0</f>
        <v>0</v>
      </c>
      <c r="O3066" s="36">
        <f>+J3066</f>
        <v>922.22705537512343</v>
      </c>
      <c r="P3066" s="38">
        <f>+O3066</f>
        <v>922.22705537512343</v>
      </c>
    </row>
    <row r="3068" spans="9:16">
      <c r="I3068" s="412" t="s">
        <v>1268</v>
      </c>
      <c r="J3068" s="26"/>
      <c r="K3068" s="26"/>
      <c r="L3068" s="26"/>
      <c r="M3068" s="26"/>
      <c r="N3068" s="26"/>
      <c r="O3068" s="26"/>
    </row>
    <row r="3069" spans="9:16">
      <c r="I3069" s="413" t="s">
        <v>2337</v>
      </c>
      <c r="J3069" s="26"/>
      <c r="K3069" s="26"/>
      <c r="L3069" s="26"/>
      <c r="M3069" s="26"/>
      <c r="N3069" s="26"/>
      <c r="O3069" s="26"/>
    </row>
    <row r="3070" spans="9:16">
      <c r="I3070" s="82" t="s">
        <v>19</v>
      </c>
      <c r="J3070" s="26"/>
      <c r="K3070" s="26"/>
      <c r="L3070" s="26"/>
      <c r="M3070" s="26"/>
      <c r="N3070" s="26"/>
      <c r="O3070" s="26"/>
    </row>
    <row r="3071" spans="9:16">
      <c r="I3071" s="410" t="s">
        <v>1914</v>
      </c>
      <c r="J3071" s="410"/>
      <c r="K3071" s="410"/>
      <c r="L3071" s="410"/>
      <c r="M3071" s="410"/>
      <c r="N3071" s="410"/>
      <c r="O3071" s="410"/>
    </row>
    <row r="3072" spans="9:16">
      <c r="I3072" s="410" t="s">
        <v>21</v>
      </c>
      <c r="J3072" s="410"/>
      <c r="K3072" s="410"/>
      <c r="L3072" s="410"/>
      <c r="M3072" s="410"/>
      <c r="N3072" s="410"/>
      <c r="O3072" s="410"/>
    </row>
    <row r="3073" spans="9:16">
      <c r="I3073" s="410" t="s">
        <v>1229</v>
      </c>
      <c r="J3073" s="410"/>
      <c r="K3073" s="410"/>
      <c r="L3073" s="410"/>
      <c r="M3073" s="410"/>
      <c r="N3073" s="410"/>
      <c r="O3073" s="410"/>
    </row>
    <row r="3076" spans="9:16">
      <c r="L3076" s="30" t="s">
        <v>24</v>
      </c>
      <c r="M3076" s="30"/>
      <c r="N3076" s="30"/>
    </row>
    <row r="3077" spans="9:16">
      <c r="L3077" s="30" t="s">
        <v>149</v>
      </c>
      <c r="M3077" s="30"/>
      <c r="N3077" s="30"/>
    </row>
    <row r="3078" spans="9:16">
      <c r="L3078" s="374" t="s">
        <v>150</v>
      </c>
      <c r="M3078" s="374"/>
      <c r="N3078" s="374"/>
    </row>
    <row r="3080" spans="9:16" ht="17.25">
      <c r="I3080" s="26"/>
      <c r="J3080" s="26"/>
      <c r="K3080" s="26"/>
      <c r="L3080" s="644"/>
      <c r="M3080" s="644"/>
      <c r="N3080" s="644"/>
      <c r="O3080" s="644"/>
      <c r="P3080" s="361"/>
    </row>
    <row r="3081" spans="9:16" ht="18">
      <c r="I3081" s="26"/>
      <c r="J3081" s="26"/>
      <c r="K3081" s="26"/>
      <c r="L3081" s="644" t="s">
        <v>2347</v>
      </c>
      <c r="M3081" s="644"/>
      <c r="N3081" s="644"/>
      <c r="O3081" s="644"/>
      <c r="P3081" s="145"/>
    </row>
    <row r="3085" spans="9:16" ht="19.5" customHeight="1">
      <c r="I3085" s="617" t="s">
        <v>2534</v>
      </c>
      <c r="J3085" s="617"/>
      <c r="K3085" s="617"/>
      <c r="L3085" s="617"/>
      <c r="M3085" s="617"/>
      <c r="N3085" s="617"/>
      <c r="O3085" s="617"/>
      <c r="P3085" s="617"/>
    </row>
    <row r="3088" spans="9:16" ht="49.5" customHeight="1">
      <c r="I3088" s="660" t="s">
        <v>1</v>
      </c>
      <c r="J3088" s="660"/>
      <c r="K3088" s="660"/>
      <c r="L3088" s="660"/>
      <c r="M3088" s="660"/>
      <c r="N3088" s="660"/>
      <c r="O3088" s="660"/>
      <c r="P3088" s="660"/>
    </row>
    <row r="3091" spans="9:16" ht="17.25">
      <c r="I3091" s="30"/>
      <c r="J3091" s="375" t="s">
        <v>2677</v>
      </c>
    </row>
    <row r="3092" spans="9:16" ht="17.25" thickBot="1">
      <c r="I3092" s="30"/>
      <c r="O3092" s="141"/>
    </row>
    <row r="3093" spans="9:16">
      <c r="J3093" s="30"/>
      <c r="N3093" s="143"/>
      <c r="P3093" s="144"/>
    </row>
    <row r="3094" spans="9:16">
      <c r="N3094" s="619" t="s">
        <v>2673</v>
      </c>
      <c r="O3094" s="620"/>
      <c r="P3094" s="621"/>
    </row>
    <row r="3095" spans="9:16">
      <c r="I3095" s="12" t="s">
        <v>114</v>
      </c>
      <c r="L3095" s="30"/>
      <c r="M3095" s="30" t="s">
        <v>2</v>
      </c>
      <c r="N3095" s="683" t="s">
        <v>2674</v>
      </c>
      <c r="O3095" s="683"/>
      <c r="P3095" s="684"/>
    </row>
    <row r="3096" spans="9:16">
      <c r="N3096" s="601" t="s">
        <v>904</v>
      </c>
      <c r="O3096" s="602"/>
      <c r="P3096" s="603"/>
    </row>
    <row r="3097" spans="9:16" ht="17.25" thickBot="1">
      <c r="N3097" s="140"/>
      <c r="O3097" s="141"/>
      <c r="P3097" s="142"/>
    </row>
    <row r="3099" spans="9:16">
      <c r="I3099" s="30" t="s">
        <v>27</v>
      </c>
      <c r="J3099" s="30" t="s">
        <v>115</v>
      </c>
    </row>
    <row r="3100" spans="9:16" ht="17.25" thickBot="1"/>
    <row r="3101" spans="9:16" ht="17.25" thickBot="1">
      <c r="I3101" s="13" t="s">
        <v>112</v>
      </c>
      <c r="J3101" s="624" t="s">
        <v>4</v>
      </c>
      <c r="K3101" s="625"/>
      <c r="L3101" s="625"/>
      <c r="M3101" s="625"/>
      <c r="N3101" s="625"/>
      <c r="O3101" s="626"/>
      <c r="P3101" s="20" t="s">
        <v>5</v>
      </c>
    </row>
    <row r="3102" spans="9:16">
      <c r="I3102" s="633" t="s">
        <v>2445</v>
      </c>
      <c r="J3102" s="143"/>
      <c r="K3102" s="159"/>
      <c r="L3102" s="159"/>
      <c r="M3102" s="159"/>
      <c r="N3102" s="159"/>
      <c r="O3102" s="144"/>
      <c r="P3102" s="291"/>
    </row>
    <row r="3103" spans="9:16">
      <c r="I3103" s="634"/>
      <c r="J3103" s="64"/>
      <c r="O3103" s="65"/>
      <c r="P3103" s="291"/>
    </row>
    <row r="3104" spans="9:16">
      <c r="I3104" s="634"/>
      <c r="J3104" s="66"/>
      <c r="K3104" s="367"/>
      <c r="L3104" s="367" t="s">
        <v>286</v>
      </c>
      <c r="M3104" s="367"/>
      <c r="N3104" s="367"/>
      <c r="O3104" s="67"/>
      <c r="P3104" s="291"/>
    </row>
    <row r="3105" spans="9:16">
      <c r="I3105" s="634"/>
      <c r="J3105" s="385"/>
      <c r="K3105" s="187"/>
      <c r="L3105" s="147" t="s">
        <v>2675</v>
      </c>
      <c r="M3105" s="187"/>
      <c r="N3105" s="187"/>
      <c r="O3105" s="132"/>
      <c r="P3105" s="148">
        <v>2379200</v>
      </c>
    </row>
    <row r="3106" spans="9:16">
      <c r="I3106" s="634"/>
      <c r="J3106" s="64"/>
      <c r="K3106" s="604"/>
      <c r="L3106" s="604"/>
      <c r="M3106" s="604"/>
      <c r="O3106" s="65"/>
      <c r="P3106" s="291"/>
    </row>
    <row r="3107" spans="9:16" ht="17.25" thickBot="1">
      <c r="I3107" s="635"/>
      <c r="J3107" s="140"/>
      <c r="K3107" s="141"/>
      <c r="L3107" s="141"/>
      <c r="M3107" s="141"/>
      <c r="N3107" s="141"/>
      <c r="O3107" s="142"/>
      <c r="P3107" s="291"/>
    </row>
    <row r="3108" spans="9:16" ht="17.25" thickBot="1">
      <c r="I3108" s="20" t="s">
        <v>12</v>
      </c>
      <c r="J3108" s="614" t="s">
        <v>13</v>
      </c>
      <c r="K3108" s="615"/>
      <c r="L3108" s="62" t="s">
        <v>14</v>
      </c>
      <c r="M3108" s="63"/>
      <c r="N3108" s="62" t="s">
        <v>15</v>
      </c>
      <c r="O3108" s="62" t="s">
        <v>16</v>
      </c>
      <c r="P3108" s="20" t="s">
        <v>17</v>
      </c>
    </row>
    <row r="3109" spans="9:16" ht="18" thickBot="1">
      <c r="I3109" s="22" t="s">
        <v>18</v>
      </c>
      <c r="J3109" s="606">
        <f>+P3105</f>
        <v>2379200</v>
      </c>
      <c r="K3109" s="607"/>
      <c r="L3109" s="23">
        <f>0</f>
        <v>0</v>
      </c>
      <c r="M3109" s="24"/>
      <c r="N3109" s="25">
        <f>0</f>
        <v>0</v>
      </c>
      <c r="O3109" s="36">
        <f>+J3109</f>
        <v>2379200</v>
      </c>
      <c r="P3109" s="38">
        <f>+P3105</f>
        <v>2379200</v>
      </c>
    </row>
    <row r="3110" spans="9:16" ht="18" thickBot="1">
      <c r="I3110" s="518" t="s">
        <v>113</v>
      </c>
      <c r="J3110" s="721">
        <f>+J3109/650.599</f>
        <v>3656.937683580823</v>
      </c>
      <c r="K3110" s="722"/>
      <c r="L3110" s="519">
        <f>0</f>
        <v>0</v>
      </c>
      <c r="M3110" s="520"/>
      <c r="N3110" s="521">
        <f>0</f>
        <v>0</v>
      </c>
      <c r="O3110" s="522">
        <f>+J3110</f>
        <v>3656.937683580823</v>
      </c>
      <c r="P3110" s="523">
        <f>+O3110</f>
        <v>3656.937683580823</v>
      </c>
    </row>
    <row r="3112" spans="9:16">
      <c r="I3112" s="395" t="s">
        <v>1382</v>
      </c>
      <c r="J3112" s="26"/>
      <c r="K3112" s="26"/>
      <c r="L3112" s="26"/>
      <c r="M3112" s="26"/>
      <c r="N3112" s="26"/>
      <c r="O3112" s="26"/>
    </row>
    <row r="3113" spans="9:16">
      <c r="I3113" s="408" t="s">
        <v>2676</v>
      </c>
      <c r="J3113" s="26"/>
      <c r="K3113" s="26"/>
      <c r="L3113" s="26"/>
      <c r="M3113" s="26"/>
      <c r="N3113" s="26"/>
      <c r="O3113" s="26"/>
    </row>
    <row r="3114" spans="9:16">
      <c r="I3114" s="82" t="s">
        <v>19</v>
      </c>
      <c r="J3114" s="26"/>
      <c r="K3114" s="26"/>
      <c r="L3114" s="26"/>
      <c r="M3114" s="26"/>
      <c r="N3114" s="26"/>
      <c r="O3114" s="26"/>
    </row>
    <row r="3115" spans="9:16">
      <c r="I3115" s="26" t="s">
        <v>965</v>
      </c>
      <c r="J3115" s="26"/>
      <c r="K3115" s="26"/>
      <c r="L3115" s="26"/>
      <c r="M3115" s="26"/>
      <c r="N3115" s="26"/>
      <c r="O3115" s="26"/>
    </row>
    <row r="3116" spans="9:16">
      <c r="I3116" s="26" t="s">
        <v>21</v>
      </c>
      <c r="J3116" s="26"/>
      <c r="K3116" s="26"/>
      <c r="L3116" s="26"/>
      <c r="M3116" s="26"/>
      <c r="N3116" s="26"/>
      <c r="O3116" s="26"/>
    </row>
    <row r="3117" spans="9:16">
      <c r="I3117" s="26" t="s">
        <v>1229</v>
      </c>
      <c r="J3117" s="26"/>
      <c r="K3117" s="26"/>
      <c r="L3117" s="26"/>
      <c r="M3117" s="26"/>
      <c r="N3117" s="26"/>
      <c r="O3117" s="26"/>
    </row>
    <row r="3119" spans="9:16" ht="19.5" customHeight="1"/>
    <row r="3120" spans="9:16">
      <c r="L3120" s="30" t="s">
        <v>24</v>
      </c>
      <c r="M3120" s="30"/>
      <c r="N3120" s="30"/>
    </row>
    <row r="3121" spans="9:16">
      <c r="L3121" s="30" t="s">
        <v>149</v>
      </c>
      <c r="M3121" s="30"/>
      <c r="N3121" s="30"/>
    </row>
    <row r="3122" spans="9:16">
      <c r="L3122" s="374" t="s">
        <v>150</v>
      </c>
      <c r="M3122" s="374"/>
      <c r="N3122" s="374"/>
    </row>
    <row r="3123" spans="9:16">
      <c r="L3123" s="374"/>
      <c r="M3123" s="374"/>
      <c r="N3123" s="374"/>
    </row>
    <row r="3124" spans="9:16">
      <c r="L3124" s="374"/>
      <c r="M3124" s="374"/>
      <c r="N3124" s="374"/>
    </row>
    <row r="3125" spans="9:16">
      <c r="L3125" s="374"/>
      <c r="M3125" s="374"/>
      <c r="N3125" s="374"/>
    </row>
    <row r="3126" spans="9:16" ht="21" customHeight="1">
      <c r="I3126" s="26"/>
      <c r="J3126" s="26"/>
      <c r="K3126" s="26"/>
      <c r="L3126" s="644"/>
      <c r="M3126" s="644"/>
      <c r="N3126" s="644"/>
      <c r="O3126" s="644"/>
      <c r="P3126" s="145"/>
    </row>
    <row r="3127" spans="9:16">
      <c r="J3127" s="617" t="s">
        <v>0</v>
      </c>
      <c r="K3127" s="617"/>
      <c r="L3127" s="617"/>
      <c r="M3127" s="617"/>
      <c r="N3127" s="617"/>
      <c r="O3127" s="617"/>
      <c r="P3127" s="617"/>
    </row>
    <row r="3130" spans="9:16" ht="49.5" customHeight="1">
      <c r="I3130" s="661" t="s">
        <v>1</v>
      </c>
      <c r="J3130" s="661"/>
      <c r="K3130" s="661"/>
      <c r="L3130" s="661"/>
      <c r="M3130" s="661"/>
      <c r="N3130" s="661"/>
      <c r="O3130" s="661"/>
      <c r="P3130" s="661"/>
    </row>
    <row r="3133" spans="9:16" ht="17.25">
      <c r="I3133" s="30"/>
      <c r="J3133" s="503" t="s">
        <v>2437</v>
      </c>
    </row>
    <row r="3134" spans="9:16" ht="17.25" thickBot="1">
      <c r="I3134" s="30"/>
      <c r="O3134" s="141"/>
    </row>
    <row r="3135" spans="9:16">
      <c r="J3135" s="30"/>
      <c r="N3135" s="143"/>
      <c r="P3135" s="144"/>
    </row>
    <row r="3136" spans="9:16">
      <c r="N3136" s="619" t="s">
        <v>2435</v>
      </c>
      <c r="O3136" s="620"/>
      <c r="P3136" s="621"/>
    </row>
    <row r="3137" spans="9:16">
      <c r="I3137" s="12" t="s">
        <v>114</v>
      </c>
      <c r="L3137" s="30"/>
      <c r="M3137" s="30" t="s">
        <v>2</v>
      </c>
      <c r="N3137" s="622" t="s">
        <v>2436</v>
      </c>
      <c r="O3137" s="622"/>
      <c r="P3137" s="623"/>
    </row>
    <row r="3138" spans="9:16">
      <c r="N3138" s="601" t="s">
        <v>163</v>
      </c>
      <c r="O3138" s="602"/>
      <c r="P3138" s="603"/>
    </row>
    <row r="3139" spans="9:16" ht="17.25" thickBot="1">
      <c r="N3139" s="140"/>
      <c r="O3139" s="141"/>
      <c r="P3139" s="142"/>
    </row>
    <row r="3141" spans="9:16">
      <c r="I3141" s="30" t="s">
        <v>27</v>
      </c>
      <c r="J3141" s="30" t="s">
        <v>775</v>
      </c>
    </row>
    <row r="3142" spans="9:16" ht="17.25" thickBot="1"/>
    <row r="3143" spans="9:16" ht="17.25" thickBot="1">
      <c r="I3143" s="13" t="s">
        <v>112</v>
      </c>
      <c r="J3143" s="624" t="s">
        <v>4</v>
      </c>
      <c r="K3143" s="625"/>
      <c r="L3143" s="625"/>
      <c r="M3143" s="625"/>
      <c r="N3143" s="625"/>
      <c r="O3143" s="626"/>
      <c r="P3143" s="20" t="s">
        <v>5</v>
      </c>
    </row>
    <row r="3144" spans="9:16">
      <c r="I3144" s="633" t="s">
        <v>2390</v>
      </c>
      <c r="J3144" s="143"/>
      <c r="K3144" s="159"/>
      <c r="L3144" s="159"/>
      <c r="M3144" s="159"/>
      <c r="N3144" s="159"/>
      <c r="O3144" s="144"/>
      <c r="P3144" s="291"/>
    </row>
    <row r="3145" spans="9:16">
      <c r="I3145" s="634"/>
      <c r="J3145" s="64"/>
      <c r="O3145" s="65"/>
      <c r="P3145" s="291"/>
    </row>
    <row r="3146" spans="9:16">
      <c r="I3146" s="634"/>
      <c r="J3146" s="630" t="s">
        <v>286</v>
      </c>
      <c r="K3146" s="631"/>
      <c r="L3146" s="631"/>
      <c r="M3146" s="631"/>
      <c r="N3146" s="631"/>
      <c r="O3146" s="632"/>
      <c r="P3146" s="291"/>
    </row>
    <row r="3147" spans="9:16">
      <c r="I3147" s="634"/>
      <c r="J3147" s="636" t="s">
        <v>2438</v>
      </c>
      <c r="K3147" s="637"/>
      <c r="L3147" s="637"/>
      <c r="M3147" s="637"/>
      <c r="N3147" s="637"/>
      <c r="O3147" s="638"/>
      <c r="P3147" s="148">
        <v>348000</v>
      </c>
    </row>
    <row r="3148" spans="9:16">
      <c r="I3148" s="634"/>
      <c r="J3148" s="64"/>
      <c r="K3148" s="604"/>
      <c r="L3148" s="604"/>
      <c r="M3148" s="604"/>
      <c r="O3148" s="65"/>
      <c r="P3148" s="291"/>
    </row>
    <row r="3149" spans="9:16" ht="17.25" thickBot="1">
      <c r="I3149" s="635"/>
      <c r="J3149" s="140"/>
      <c r="K3149" s="141"/>
      <c r="L3149" s="141"/>
      <c r="M3149" s="141"/>
      <c r="N3149" s="141"/>
      <c r="O3149" s="142"/>
      <c r="P3149" s="291"/>
    </row>
    <row r="3150" spans="9:16" ht="17.25" thickBot="1">
      <c r="I3150" s="20" t="s">
        <v>12</v>
      </c>
      <c r="J3150" s="614" t="s">
        <v>13</v>
      </c>
      <c r="K3150" s="615"/>
      <c r="L3150" s="62" t="s">
        <v>14</v>
      </c>
      <c r="M3150" s="63"/>
      <c r="N3150" s="62" t="s">
        <v>15</v>
      </c>
      <c r="O3150" s="62" t="s">
        <v>16</v>
      </c>
      <c r="P3150" s="20" t="s">
        <v>17</v>
      </c>
    </row>
    <row r="3151" spans="9:16" ht="18" thickBot="1">
      <c r="I3151" s="22" t="s">
        <v>18</v>
      </c>
      <c r="J3151" s="606">
        <f>+P3147</f>
        <v>348000</v>
      </c>
      <c r="K3151" s="607"/>
      <c r="L3151" s="23">
        <f>0</f>
        <v>0</v>
      </c>
      <c r="M3151" s="24"/>
      <c r="N3151" s="25">
        <f>0</f>
        <v>0</v>
      </c>
      <c r="O3151" s="36">
        <f>+J3151</f>
        <v>348000</v>
      </c>
      <c r="P3151" s="38">
        <f>+P3147</f>
        <v>348000</v>
      </c>
    </row>
    <row r="3152" spans="9:16" ht="18" thickBot="1">
      <c r="I3152" s="22" t="s">
        <v>113</v>
      </c>
      <c r="J3152" s="606">
        <f>+J3151/650.599</f>
        <v>534.89169211757167</v>
      </c>
      <c r="K3152" s="607"/>
      <c r="L3152" s="23">
        <f>0</f>
        <v>0</v>
      </c>
      <c r="M3152" s="24"/>
      <c r="N3152" s="25">
        <f>0</f>
        <v>0</v>
      </c>
      <c r="O3152" s="36">
        <f>+J3152</f>
        <v>534.89169211757167</v>
      </c>
      <c r="P3152" s="38">
        <f>+O3152</f>
        <v>534.89169211757167</v>
      </c>
    </row>
    <row r="3154" spans="9:15">
      <c r="I3154" s="395" t="s">
        <v>1268</v>
      </c>
      <c r="J3154" s="26"/>
      <c r="K3154" s="26"/>
      <c r="L3154" s="26"/>
      <c r="M3154" s="26"/>
      <c r="N3154" s="26"/>
      <c r="O3154" s="26"/>
    </row>
    <row r="3155" spans="9:15">
      <c r="I3155" s="408" t="s">
        <v>2439</v>
      </c>
      <c r="J3155" s="26"/>
      <c r="K3155" s="26"/>
      <c r="L3155" s="26"/>
      <c r="M3155" s="26"/>
      <c r="N3155" s="26"/>
      <c r="O3155" s="26"/>
    </row>
    <row r="3156" spans="9:15">
      <c r="I3156" s="82" t="s">
        <v>19</v>
      </c>
      <c r="J3156" s="26"/>
      <c r="K3156" s="26"/>
      <c r="L3156" s="26"/>
      <c r="M3156" s="26"/>
      <c r="N3156" s="26"/>
      <c r="O3156" s="26"/>
    </row>
    <row r="3157" spans="9:15">
      <c r="I3157" s="26" t="s">
        <v>965</v>
      </c>
      <c r="J3157" s="26"/>
      <c r="K3157" s="26"/>
      <c r="L3157" s="26"/>
      <c r="M3157" s="26"/>
      <c r="N3157" s="26"/>
      <c r="O3157" s="26"/>
    </row>
    <row r="3158" spans="9:15">
      <c r="I3158" s="26" t="s">
        <v>21</v>
      </c>
      <c r="J3158" s="26"/>
      <c r="K3158" s="26"/>
      <c r="L3158" s="26"/>
      <c r="M3158" s="26"/>
      <c r="N3158" s="26"/>
      <c r="O3158" s="26"/>
    </row>
    <row r="3159" spans="9:15">
      <c r="I3159" s="26" t="s">
        <v>1229</v>
      </c>
      <c r="J3159" s="26"/>
      <c r="K3159" s="26"/>
      <c r="L3159" s="26"/>
      <c r="M3159" s="26"/>
      <c r="N3159" s="26"/>
      <c r="O3159" s="26"/>
    </row>
    <row r="3161" spans="9:15">
      <c r="L3161" s="30" t="s">
        <v>24</v>
      </c>
      <c r="M3161" s="30"/>
      <c r="N3161" s="30"/>
    </row>
    <row r="3162" spans="9:15">
      <c r="L3162" s="30" t="s">
        <v>149</v>
      </c>
      <c r="M3162" s="30"/>
      <c r="N3162" s="30"/>
    </row>
    <row r="3163" spans="9:15">
      <c r="L3163" s="30"/>
      <c r="M3163" s="30" t="s">
        <v>152</v>
      </c>
      <c r="N3163" s="30"/>
    </row>
    <row r="3166" spans="9:15" ht="17.25">
      <c r="L3166" s="644" t="s">
        <v>2347</v>
      </c>
      <c r="M3166" s="644"/>
      <c r="N3166" s="644"/>
      <c r="O3166" s="644"/>
    </row>
    <row r="3167" spans="9:15" ht="17.25">
      <c r="L3167" s="361"/>
      <c r="M3167" s="361"/>
      <c r="N3167" s="361"/>
      <c r="O3167" s="361"/>
    </row>
    <row r="3168" spans="9:15" ht="17.25">
      <c r="L3168" s="361"/>
      <c r="M3168" s="361"/>
      <c r="N3168" s="361"/>
      <c r="O3168" s="361"/>
    </row>
    <row r="3169" spans="9:16" ht="17.25">
      <c r="L3169" s="361"/>
      <c r="M3169" s="361"/>
      <c r="N3169" s="361"/>
      <c r="O3169" s="361"/>
    </row>
    <row r="3170" spans="9:16" ht="17.25">
      <c r="L3170" s="361"/>
      <c r="M3170" s="361"/>
      <c r="N3170" s="361"/>
      <c r="O3170" s="361"/>
    </row>
    <row r="3171" spans="9:16" ht="13.5" customHeight="1">
      <c r="I3171" s="26"/>
      <c r="J3171" s="26"/>
      <c r="K3171" s="26"/>
      <c r="L3171" s="644"/>
      <c r="M3171" s="644"/>
      <c r="N3171" s="644"/>
      <c r="O3171" s="644"/>
      <c r="P3171" s="145"/>
    </row>
    <row r="3172" spans="9:16">
      <c r="J3172" s="617" t="s">
        <v>2625</v>
      </c>
      <c r="K3172" s="617"/>
      <c r="L3172" s="617"/>
      <c r="M3172" s="617"/>
      <c r="N3172" s="617"/>
      <c r="O3172" s="617"/>
      <c r="P3172" s="617"/>
    </row>
    <row r="3175" spans="9:16" ht="45.75" customHeight="1">
      <c r="I3175" s="660" t="s">
        <v>1</v>
      </c>
      <c r="J3175" s="660"/>
      <c r="K3175" s="660"/>
      <c r="L3175" s="660"/>
      <c r="M3175" s="660"/>
      <c r="N3175" s="660"/>
      <c r="O3175" s="660"/>
      <c r="P3175" s="660"/>
    </row>
    <row r="3178" spans="9:16" ht="17.25">
      <c r="I3178" s="30"/>
      <c r="J3178" s="503" t="s">
        <v>2176</v>
      </c>
    </row>
    <row r="3179" spans="9:16" ht="17.25" thickBot="1">
      <c r="I3179" s="30"/>
      <c r="O3179" s="141"/>
    </row>
    <row r="3180" spans="9:16">
      <c r="J3180" s="30"/>
      <c r="N3180" s="143"/>
      <c r="P3180" s="144"/>
    </row>
    <row r="3181" spans="9:16">
      <c r="N3181" s="619" t="s">
        <v>2904</v>
      </c>
      <c r="O3181" s="620"/>
      <c r="P3181" s="621"/>
    </row>
    <row r="3182" spans="9:16">
      <c r="I3182" s="12" t="s">
        <v>114</v>
      </c>
      <c r="L3182" s="30"/>
      <c r="M3182" s="30" t="s">
        <v>2</v>
      </c>
      <c r="N3182" s="683" t="s">
        <v>2674</v>
      </c>
      <c r="O3182" s="683"/>
      <c r="P3182" s="684"/>
    </row>
    <row r="3183" spans="9:16">
      <c r="N3183" s="601" t="s">
        <v>163</v>
      </c>
      <c r="O3183" s="602"/>
      <c r="P3183" s="603"/>
    </row>
    <row r="3184" spans="9:16" ht="17.25" thickBot="1">
      <c r="J3184" s="30"/>
      <c r="N3184" s="140"/>
      <c r="O3184" s="141"/>
      <c r="P3184" s="142"/>
    </row>
    <row r="3186" spans="9:17">
      <c r="I3186" s="30" t="s">
        <v>27</v>
      </c>
      <c r="J3186" s="30" t="s">
        <v>115</v>
      </c>
    </row>
    <row r="3187" spans="9:17" ht="17.25" thickBot="1"/>
    <row r="3188" spans="9:17" ht="17.25" thickBot="1">
      <c r="I3188" s="13" t="s">
        <v>112</v>
      </c>
      <c r="J3188" s="624" t="s">
        <v>4</v>
      </c>
      <c r="K3188" s="625"/>
      <c r="L3188" s="625"/>
      <c r="M3188" s="625"/>
      <c r="N3188" s="625"/>
      <c r="O3188" s="626"/>
      <c r="P3188" s="20" t="s">
        <v>5</v>
      </c>
    </row>
    <row r="3189" spans="9:17">
      <c r="I3189" s="627" t="s">
        <v>2905</v>
      </c>
      <c r="J3189" s="143"/>
      <c r="K3189" s="159"/>
      <c r="L3189" s="159"/>
      <c r="M3189" s="159"/>
      <c r="N3189" s="159"/>
      <c r="O3189" s="144"/>
      <c r="P3189" s="291"/>
    </row>
    <row r="3190" spans="9:17">
      <c r="I3190" s="628"/>
      <c r="J3190" s="64"/>
      <c r="O3190" s="65"/>
      <c r="P3190" s="291"/>
    </row>
    <row r="3191" spans="9:17">
      <c r="I3191" s="628"/>
      <c r="J3191" s="66"/>
      <c r="K3191" s="367"/>
      <c r="L3191" s="367" t="s">
        <v>286</v>
      </c>
      <c r="M3191" s="367"/>
      <c r="N3191" s="367"/>
      <c r="O3191" s="67"/>
      <c r="P3191" s="524"/>
    </row>
    <row r="3192" spans="9:17">
      <c r="I3192" s="628"/>
      <c r="J3192" s="636" t="s">
        <v>2679</v>
      </c>
      <c r="K3192" s="637"/>
      <c r="L3192" s="637"/>
      <c r="M3192" s="637"/>
      <c r="N3192" s="637"/>
      <c r="O3192" s="638"/>
      <c r="P3192" s="524">
        <v>7559400</v>
      </c>
    </row>
    <row r="3193" spans="9:17" ht="17.25" thickBot="1">
      <c r="I3193" s="628"/>
      <c r="J3193" s="64"/>
      <c r="K3193" s="604" t="s">
        <v>2681</v>
      </c>
      <c r="L3193" s="604"/>
      <c r="M3193" s="604"/>
      <c r="O3193" s="65"/>
      <c r="P3193" s="291"/>
    </row>
    <row r="3194" spans="9:17" ht="17.25" thickBot="1">
      <c r="I3194" s="20" t="s">
        <v>12</v>
      </c>
      <c r="J3194" s="663" t="s">
        <v>13</v>
      </c>
      <c r="K3194" s="664"/>
      <c r="L3194" s="466" t="s">
        <v>14</v>
      </c>
      <c r="M3194" s="467"/>
      <c r="N3194" s="466" t="s">
        <v>15</v>
      </c>
      <c r="O3194" s="468" t="s">
        <v>16</v>
      </c>
      <c r="P3194" s="20" t="s">
        <v>17</v>
      </c>
    </row>
    <row r="3195" spans="9:17" ht="18" thickBot="1">
      <c r="I3195" s="22" t="s">
        <v>18</v>
      </c>
      <c r="J3195" s="606">
        <f>+P3192</f>
        <v>7559400</v>
      </c>
      <c r="K3195" s="607"/>
      <c r="L3195" s="23">
        <f>0</f>
        <v>0</v>
      </c>
      <c r="M3195" s="24"/>
      <c r="N3195" s="25">
        <f>0</f>
        <v>0</v>
      </c>
      <c r="O3195" s="36">
        <f>+J3195</f>
        <v>7559400</v>
      </c>
      <c r="P3195" s="38">
        <f>+P3192</f>
        <v>7559400</v>
      </c>
    </row>
    <row r="3196" spans="9:17" ht="18" thickBot="1">
      <c r="I3196" s="525" t="s">
        <v>113</v>
      </c>
      <c r="J3196" s="650">
        <f>+J3195/650.599</f>
        <v>11619.13867067118</v>
      </c>
      <c r="K3196" s="651"/>
      <c r="L3196" s="526">
        <f>0</f>
        <v>0</v>
      </c>
      <c r="M3196" s="527"/>
      <c r="N3196" s="528">
        <f>0</f>
        <v>0</v>
      </c>
      <c r="O3196" s="529">
        <f>+J3196</f>
        <v>11619.13867067118</v>
      </c>
      <c r="P3196" s="530">
        <f>+O3196</f>
        <v>11619.13867067118</v>
      </c>
      <c r="Q3196" s="531"/>
    </row>
    <row r="3198" spans="9:17">
      <c r="I3198" s="395" t="s">
        <v>2678</v>
      </c>
      <c r="J3198" s="26"/>
      <c r="K3198" s="26"/>
      <c r="L3198" s="26"/>
      <c r="M3198" s="26"/>
      <c r="N3198" s="26"/>
      <c r="O3198" s="26"/>
    </row>
    <row r="3199" spans="9:17">
      <c r="I3199" s="82" t="s">
        <v>2680</v>
      </c>
      <c r="J3199" s="26"/>
      <c r="K3199" s="26"/>
      <c r="L3199" s="26"/>
      <c r="M3199" s="26"/>
      <c r="N3199" s="26"/>
      <c r="O3199" s="26"/>
    </row>
    <row r="3200" spans="9:17">
      <c r="I3200" s="82" t="s">
        <v>1054</v>
      </c>
      <c r="J3200" s="26"/>
      <c r="K3200" s="26"/>
      <c r="L3200" s="26"/>
      <c r="M3200" s="26"/>
      <c r="N3200" s="26"/>
      <c r="O3200" s="26"/>
    </row>
    <row r="3201" spans="9:16">
      <c r="I3201" s="26" t="s">
        <v>965</v>
      </c>
      <c r="J3201" s="26"/>
      <c r="K3201" s="26"/>
      <c r="L3201" s="26"/>
      <c r="M3201" s="26"/>
      <c r="N3201" s="26"/>
      <c r="O3201" s="26"/>
    </row>
    <row r="3202" spans="9:16">
      <c r="I3202" s="26" t="s">
        <v>21</v>
      </c>
      <c r="J3202" s="26"/>
      <c r="K3202" s="26"/>
      <c r="L3202" s="26"/>
      <c r="M3202" s="26"/>
      <c r="N3202" s="26"/>
      <c r="O3202" s="26"/>
    </row>
    <row r="3203" spans="9:16">
      <c r="I3203" s="26" t="s">
        <v>1229</v>
      </c>
      <c r="J3203" s="26"/>
      <c r="K3203" s="26"/>
      <c r="L3203" s="26"/>
      <c r="M3203" s="26"/>
      <c r="N3203" s="26"/>
      <c r="O3203" s="26"/>
    </row>
    <row r="3204" spans="9:16">
      <c r="I3204" s="26"/>
      <c r="J3204" s="26"/>
      <c r="K3204" s="26"/>
      <c r="L3204" s="26"/>
      <c r="M3204" s="26"/>
      <c r="N3204" s="26"/>
      <c r="O3204" s="26"/>
    </row>
    <row r="3205" spans="9:16">
      <c r="I3205" s="26"/>
      <c r="J3205" s="26"/>
      <c r="K3205" s="26"/>
      <c r="L3205" s="30"/>
      <c r="M3205" s="30"/>
      <c r="N3205" s="30"/>
    </row>
    <row r="3206" spans="9:16">
      <c r="L3206" s="30"/>
      <c r="M3206" s="30"/>
      <c r="N3206" s="30"/>
    </row>
    <row r="3207" spans="9:16">
      <c r="L3207" s="403" t="s">
        <v>24</v>
      </c>
      <c r="M3207" s="403"/>
      <c r="N3207" s="403"/>
      <c r="O3207" s="188"/>
    </row>
    <row r="3208" spans="9:16">
      <c r="L3208" s="403" t="s">
        <v>149</v>
      </c>
      <c r="M3208" s="403"/>
      <c r="N3208" s="403"/>
      <c r="O3208" s="188"/>
    </row>
    <row r="3209" spans="9:16">
      <c r="L3209" s="477" t="s">
        <v>150</v>
      </c>
      <c r="M3209" s="477"/>
      <c r="N3209" s="477"/>
      <c r="O3209" s="477"/>
    </row>
    <row r="3210" spans="9:16" ht="17.25">
      <c r="L3210" s="644"/>
      <c r="M3210" s="644"/>
      <c r="N3210" s="644"/>
      <c r="O3210" s="644"/>
    </row>
    <row r="3212" spans="9:16" ht="17.25">
      <c r="I3212" s="26"/>
      <c r="J3212" s="26"/>
      <c r="K3212" s="26"/>
      <c r="P3212" s="361"/>
    </row>
    <row r="3213" spans="9:16" ht="17.25">
      <c r="I3213" s="26"/>
      <c r="J3213" s="26"/>
      <c r="K3213" s="26"/>
      <c r="P3213" s="361"/>
    </row>
    <row r="3214" spans="9:16" ht="18">
      <c r="I3214" s="26"/>
      <c r="J3214" s="26"/>
      <c r="K3214" s="26"/>
      <c r="L3214" s="644"/>
      <c r="M3214" s="644"/>
      <c r="N3214" s="644"/>
      <c r="O3214" s="644"/>
      <c r="P3214" s="145"/>
    </row>
    <row r="3215" spans="9:16" ht="18.75" customHeight="1">
      <c r="J3215" s="617" t="s">
        <v>2525</v>
      </c>
      <c r="K3215" s="617"/>
      <c r="L3215" s="617"/>
      <c r="M3215" s="617"/>
      <c r="N3215" s="617"/>
      <c r="O3215" s="617"/>
      <c r="P3215" s="617"/>
    </row>
    <row r="3218" spans="9:16" ht="49.5" customHeight="1">
      <c r="I3218" s="618" t="s">
        <v>1</v>
      </c>
      <c r="J3218" s="618"/>
      <c r="K3218" s="618"/>
      <c r="L3218" s="618"/>
      <c r="M3218" s="618"/>
      <c r="N3218" s="618"/>
      <c r="O3218" s="618"/>
      <c r="P3218" s="618"/>
    </row>
    <row r="3221" spans="9:16" ht="17.25">
      <c r="I3221" s="30"/>
      <c r="J3221" s="503" t="s">
        <v>709</v>
      </c>
    </row>
    <row r="3222" spans="9:16" ht="17.25" thickBot="1">
      <c r="I3222" s="30"/>
      <c r="O3222" s="141"/>
    </row>
    <row r="3223" spans="9:16">
      <c r="J3223" s="30"/>
      <c r="N3223" s="143"/>
      <c r="P3223" s="144"/>
    </row>
    <row r="3224" spans="9:16">
      <c r="N3224" s="619" t="s">
        <v>2917</v>
      </c>
      <c r="O3224" s="620"/>
      <c r="P3224" s="621"/>
    </row>
    <row r="3225" spans="9:16">
      <c r="I3225" s="12" t="s">
        <v>114</v>
      </c>
      <c r="L3225" s="30"/>
      <c r="M3225" s="30" t="s">
        <v>2</v>
      </c>
      <c r="N3225" s="605" t="s">
        <v>760</v>
      </c>
      <c r="O3225" s="605"/>
      <c r="P3225" s="649"/>
    </row>
    <row r="3226" spans="9:16">
      <c r="N3226" s="601" t="s">
        <v>163</v>
      </c>
      <c r="O3226" s="602"/>
      <c r="P3226" s="603"/>
    </row>
    <row r="3227" spans="9:16" ht="17.25" thickBot="1">
      <c r="N3227" s="140"/>
      <c r="O3227" s="141"/>
      <c r="P3227" s="142"/>
    </row>
    <row r="3229" spans="9:16">
      <c r="I3229" s="249" t="s">
        <v>27</v>
      </c>
      <c r="J3229" s="394" t="s">
        <v>148</v>
      </c>
    </row>
    <row r="3230" spans="9:16" ht="17.25" thickBot="1"/>
    <row r="3231" spans="9:16" ht="17.25" thickBot="1">
      <c r="I3231" s="13" t="s">
        <v>112</v>
      </c>
      <c r="J3231" s="624" t="s">
        <v>4</v>
      </c>
      <c r="K3231" s="625"/>
      <c r="L3231" s="625"/>
      <c r="M3231" s="625"/>
      <c r="N3231" s="625"/>
      <c r="O3231" s="626"/>
      <c r="P3231" s="20" t="s">
        <v>5</v>
      </c>
    </row>
    <row r="3232" spans="9:16">
      <c r="I3232" s="633" t="s">
        <v>2806</v>
      </c>
      <c r="J3232" s="143"/>
      <c r="K3232" s="159"/>
      <c r="L3232" s="159"/>
      <c r="M3232" s="159"/>
      <c r="N3232" s="159"/>
      <c r="O3232" s="144"/>
      <c r="P3232" s="291"/>
    </row>
    <row r="3233" spans="9:16">
      <c r="I3233" s="634"/>
      <c r="J3233" s="64"/>
      <c r="O3233" s="65"/>
      <c r="P3233" s="291"/>
    </row>
    <row r="3234" spans="9:16">
      <c r="I3234" s="634"/>
      <c r="J3234" s="66"/>
      <c r="K3234" s="367"/>
      <c r="L3234" s="367" t="s">
        <v>286</v>
      </c>
      <c r="M3234" s="367"/>
      <c r="N3234" s="367"/>
      <c r="O3234" s="67"/>
      <c r="P3234" s="291"/>
    </row>
    <row r="3235" spans="9:16">
      <c r="I3235" s="634"/>
      <c r="J3235" s="385"/>
      <c r="K3235" s="187"/>
      <c r="L3235" s="147" t="s">
        <v>2906</v>
      </c>
      <c r="M3235" s="187"/>
      <c r="N3235" s="187"/>
      <c r="O3235" s="132"/>
      <c r="P3235" s="548">
        <v>5000000</v>
      </c>
    </row>
    <row r="3236" spans="9:16">
      <c r="I3236" s="634"/>
      <c r="J3236" s="64"/>
      <c r="K3236" s="604"/>
      <c r="L3236" s="604"/>
      <c r="M3236" s="604"/>
      <c r="O3236" s="65"/>
      <c r="P3236" s="291"/>
    </row>
    <row r="3237" spans="9:16" ht="17.25" thickBot="1">
      <c r="I3237" s="635"/>
      <c r="J3237" s="140"/>
      <c r="K3237" s="141"/>
      <c r="L3237" s="141"/>
      <c r="M3237" s="141"/>
      <c r="N3237" s="141"/>
      <c r="O3237" s="142"/>
      <c r="P3237" s="291"/>
    </row>
    <row r="3238" spans="9:16" ht="17.25" thickBot="1">
      <c r="I3238" s="20" t="s">
        <v>12</v>
      </c>
      <c r="J3238" s="614" t="s">
        <v>13</v>
      </c>
      <c r="K3238" s="615"/>
      <c r="L3238" s="62" t="s">
        <v>14</v>
      </c>
      <c r="M3238" s="63"/>
      <c r="N3238" s="62" t="s">
        <v>15</v>
      </c>
      <c r="O3238" s="62" t="s">
        <v>16</v>
      </c>
      <c r="P3238" s="20" t="s">
        <v>17</v>
      </c>
    </row>
    <row r="3239" spans="9:16" ht="18" thickBot="1">
      <c r="I3239" s="22" t="s">
        <v>18</v>
      </c>
      <c r="J3239" s="606">
        <f>+P3235</f>
        <v>5000000</v>
      </c>
      <c r="K3239" s="607"/>
      <c r="L3239" s="23">
        <f>0</f>
        <v>0</v>
      </c>
      <c r="M3239" s="24"/>
      <c r="N3239" s="25">
        <f>0</f>
        <v>0</v>
      </c>
      <c r="O3239" s="36">
        <f>+J3239</f>
        <v>5000000</v>
      </c>
      <c r="P3239" s="557">
        <f>+P3235</f>
        <v>5000000</v>
      </c>
    </row>
    <row r="3240" spans="9:16" ht="18" thickBot="1">
      <c r="I3240" s="22" t="s">
        <v>113</v>
      </c>
      <c r="J3240" s="606">
        <f>+J3239/650.599</f>
        <v>7685.2254614593621</v>
      </c>
      <c r="K3240" s="607"/>
      <c r="L3240" s="23">
        <f>0</f>
        <v>0</v>
      </c>
      <c r="M3240" s="24"/>
      <c r="N3240" s="25">
        <f>0</f>
        <v>0</v>
      </c>
      <c r="O3240" s="36">
        <f>+J3240</f>
        <v>7685.2254614593621</v>
      </c>
      <c r="P3240" s="38">
        <f>+O3240</f>
        <v>7685.2254614593621</v>
      </c>
    </row>
    <row r="3242" spans="9:16">
      <c r="I3242" s="395" t="s">
        <v>1268</v>
      </c>
      <c r="J3242" s="26"/>
      <c r="K3242" s="26"/>
      <c r="L3242" s="26"/>
      <c r="M3242" s="26"/>
      <c r="N3242" s="26"/>
      <c r="O3242" s="26"/>
    </row>
    <row r="3243" spans="9:16">
      <c r="I3243" s="82" t="s">
        <v>2520</v>
      </c>
      <c r="J3243" s="26"/>
      <c r="K3243" s="26"/>
      <c r="L3243" s="26"/>
      <c r="M3243" s="26"/>
      <c r="N3243" s="26"/>
      <c r="O3243" s="26"/>
    </row>
    <row r="3244" spans="9:16">
      <c r="I3244" s="82" t="s">
        <v>1054</v>
      </c>
      <c r="J3244" s="26"/>
      <c r="K3244" s="26"/>
      <c r="L3244" s="26"/>
      <c r="M3244" s="26"/>
      <c r="N3244" s="26"/>
      <c r="O3244" s="26"/>
    </row>
    <row r="3245" spans="9:16">
      <c r="I3245" s="26" t="s">
        <v>965</v>
      </c>
      <c r="J3245" s="26"/>
      <c r="K3245" s="26"/>
      <c r="L3245" s="26"/>
      <c r="M3245" s="26"/>
      <c r="N3245" s="26"/>
      <c r="O3245" s="26"/>
    </row>
    <row r="3246" spans="9:16">
      <c r="I3246" s="26" t="s">
        <v>21</v>
      </c>
      <c r="J3246" s="26"/>
      <c r="K3246" s="26"/>
      <c r="L3246" s="26"/>
      <c r="M3246" s="26"/>
      <c r="N3246" s="26"/>
      <c r="O3246" s="26"/>
    </row>
    <row r="3247" spans="9:16">
      <c r="I3247" s="26" t="s">
        <v>1229</v>
      </c>
      <c r="J3247" s="26"/>
      <c r="K3247" s="26"/>
      <c r="L3247" s="26"/>
      <c r="M3247" s="26"/>
      <c r="N3247" s="26"/>
      <c r="O3247" s="26"/>
    </row>
    <row r="3250" spans="9:16">
      <c r="L3250" s="30" t="s">
        <v>24</v>
      </c>
      <c r="M3250" s="30"/>
      <c r="N3250" s="30"/>
    </row>
    <row r="3251" spans="9:16">
      <c r="L3251" s="30" t="s">
        <v>149</v>
      </c>
      <c r="M3251" s="30"/>
      <c r="N3251" s="30"/>
    </row>
    <row r="3252" spans="9:16">
      <c r="L3252" s="374" t="s">
        <v>150</v>
      </c>
      <c r="M3252" s="374"/>
      <c r="N3252" s="374"/>
    </row>
    <row r="3253" spans="9:16">
      <c r="M3253" s="30"/>
    </row>
    <row r="3254" spans="9:16">
      <c r="I3254" s="26"/>
      <c r="J3254" s="26"/>
      <c r="K3254" s="26"/>
      <c r="L3254" s="26"/>
      <c r="N3254" s="26"/>
      <c r="O3254" s="26"/>
      <c r="P3254" s="26"/>
    </row>
    <row r="3255" spans="9:16">
      <c r="I3255" s="26"/>
      <c r="J3255" s="26"/>
      <c r="K3255" s="26"/>
      <c r="L3255" s="26"/>
      <c r="N3255" s="26"/>
      <c r="O3255" s="26"/>
      <c r="P3255" s="26"/>
    </row>
    <row r="3256" spans="9:16" ht="17.25">
      <c r="I3256" s="26"/>
      <c r="J3256" s="26"/>
      <c r="K3256" s="26"/>
      <c r="L3256" s="644"/>
      <c r="M3256" s="644"/>
      <c r="N3256" s="644"/>
      <c r="O3256" s="644"/>
      <c r="P3256" s="26"/>
    </row>
    <row r="3257" spans="9:16" ht="17.25">
      <c r="I3257" s="26"/>
      <c r="J3257" s="26"/>
      <c r="K3257" s="26"/>
      <c r="L3257" s="644"/>
      <c r="M3257" s="644"/>
      <c r="N3257" s="644"/>
      <c r="O3257" s="644"/>
      <c r="P3257" s="361"/>
    </row>
    <row r="3258" spans="9:16">
      <c r="J3258" s="617" t="s">
        <v>0</v>
      </c>
      <c r="K3258" s="617"/>
      <c r="L3258" s="617"/>
      <c r="M3258" s="617"/>
      <c r="N3258" s="617"/>
      <c r="O3258" s="617"/>
      <c r="P3258" s="617"/>
    </row>
    <row r="3261" spans="9:16" ht="49.5">
      <c r="K3261" s="642" t="s">
        <v>1</v>
      </c>
      <c r="L3261" s="642"/>
      <c r="M3261" s="642"/>
      <c r="N3261" s="642"/>
    </row>
    <row r="3264" spans="9:16" ht="17.25">
      <c r="I3264" s="30"/>
      <c r="J3264" s="375" t="s">
        <v>2011</v>
      </c>
    </row>
    <row r="3265" spans="9:16" ht="17.25" thickBot="1">
      <c r="I3265" s="30"/>
      <c r="L3265" s="12" t="s">
        <v>631</v>
      </c>
    </row>
    <row r="3266" spans="9:16">
      <c r="J3266" s="30"/>
      <c r="N3266" s="143"/>
      <c r="O3266" s="159"/>
      <c r="P3266" s="144"/>
    </row>
    <row r="3267" spans="9:16">
      <c r="N3267" s="647" t="s">
        <v>1969</v>
      </c>
      <c r="O3267" s="610"/>
      <c r="P3267" s="648"/>
    </row>
    <row r="3268" spans="9:16">
      <c r="I3268" s="12" t="s">
        <v>114</v>
      </c>
      <c r="L3268" s="30"/>
      <c r="M3268" s="30" t="s">
        <v>2</v>
      </c>
      <c r="N3268" s="761" t="s">
        <v>1970</v>
      </c>
      <c r="O3268" s="608"/>
      <c r="P3268" s="762"/>
    </row>
    <row r="3269" spans="9:16">
      <c r="N3269" s="662" t="s">
        <v>1971</v>
      </c>
      <c r="O3269" s="622"/>
      <c r="P3269" s="623"/>
    </row>
    <row r="3270" spans="9:16" ht="17.25" thickBot="1">
      <c r="N3270" s="639" t="s">
        <v>163</v>
      </c>
      <c r="O3270" s="640"/>
      <c r="P3270" s="641"/>
    </row>
    <row r="3272" spans="9:16">
      <c r="I3272" s="30"/>
      <c r="J3272" s="30" t="s">
        <v>27</v>
      </c>
      <c r="K3272" s="30" t="s">
        <v>145</v>
      </c>
    </row>
    <row r="3273" spans="9:16" ht="17.25" thickBot="1"/>
    <row r="3274" spans="9:16" ht="17.25" thickBot="1">
      <c r="I3274" s="13" t="s">
        <v>112</v>
      </c>
      <c r="J3274" s="624" t="s">
        <v>4</v>
      </c>
      <c r="K3274" s="625"/>
      <c r="L3274" s="625"/>
      <c r="M3274" s="625"/>
      <c r="N3274" s="625"/>
      <c r="O3274" s="626"/>
      <c r="P3274" s="20" t="s">
        <v>5</v>
      </c>
    </row>
    <row r="3275" spans="9:16">
      <c r="I3275" s="633" t="s">
        <v>2140</v>
      </c>
      <c r="J3275" s="143"/>
      <c r="K3275" s="159"/>
      <c r="L3275" s="159"/>
      <c r="M3275" s="159"/>
      <c r="N3275" s="159"/>
      <c r="O3275" s="144"/>
      <c r="P3275" s="291"/>
    </row>
    <row r="3276" spans="9:16">
      <c r="I3276" s="634"/>
      <c r="J3276" s="64"/>
      <c r="O3276" s="65"/>
      <c r="P3276" s="291"/>
    </row>
    <row r="3277" spans="9:16">
      <c r="I3277" s="634"/>
      <c r="J3277" s="66"/>
      <c r="K3277" s="367"/>
      <c r="L3277" s="367" t="s">
        <v>286</v>
      </c>
      <c r="M3277" s="367"/>
      <c r="N3277" s="367"/>
      <c r="O3277" s="67"/>
      <c r="P3277" s="291"/>
    </row>
    <row r="3278" spans="9:16">
      <c r="I3278" s="634"/>
      <c r="J3278" s="385"/>
      <c r="K3278" s="187"/>
      <c r="L3278" s="147" t="s">
        <v>1972</v>
      </c>
      <c r="M3278" s="187"/>
      <c r="N3278" s="187"/>
      <c r="O3278" s="132"/>
      <c r="P3278" s="148">
        <v>3600000</v>
      </c>
    </row>
    <row r="3279" spans="9:16">
      <c r="I3279" s="634"/>
      <c r="J3279" s="64"/>
      <c r="K3279" s="604"/>
      <c r="L3279" s="604"/>
      <c r="M3279" s="604"/>
      <c r="O3279" s="65"/>
      <c r="P3279" s="291"/>
    </row>
    <row r="3280" spans="9:16" ht="17.25" thickBot="1">
      <c r="I3280" s="635"/>
      <c r="J3280" s="140"/>
      <c r="K3280" s="141"/>
      <c r="L3280" s="141"/>
      <c r="M3280" s="141"/>
      <c r="N3280" s="141"/>
      <c r="O3280" s="142"/>
      <c r="P3280" s="291"/>
    </row>
    <row r="3281" spans="9:16" ht="17.25" thickBot="1">
      <c r="I3281" s="20" t="s">
        <v>12</v>
      </c>
      <c r="J3281" s="614" t="s">
        <v>13</v>
      </c>
      <c r="K3281" s="615"/>
      <c r="L3281" s="62" t="s">
        <v>14</v>
      </c>
      <c r="M3281" s="63"/>
      <c r="N3281" s="62" t="s">
        <v>15</v>
      </c>
      <c r="O3281" s="62" t="s">
        <v>16</v>
      </c>
      <c r="P3281" s="20" t="s">
        <v>17</v>
      </c>
    </row>
    <row r="3282" spans="9:16" ht="18" thickBot="1">
      <c r="I3282" s="22" t="s">
        <v>18</v>
      </c>
      <c r="J3282" s="606">
        <f>+P3278</f>
        <v>3600000</v>
      </c>
      <c r="K3282" s="607"/>
      <c r="L3282" s="23">
        <f>0</f>
        <v>0</v>
      </c>
      <c r="M3282" s="24"/>
      <c r="N3282" s="25">
        <f>0</f>
        <v>0</v>
      </c>
      <c r="O3282" s="36">
        <f>+J3282</f>
        <v>3600000</v>
      </c>
      <c r="P3282" s="38">
        <f>+P3278</f>
        <v>3600000</v>
      </c>
    </row>
    <row r="3283" spans="9:16" ht="18" thickBot="1">
      <c r="I3283" s="22" t="s">
        <v>113</v>
      </c>
      <c r="J3283" s="606">
        <f>+J3282/650.599</f>
        <v>5533.362332250741</v>
      </c>
      <c r="K3283" s="607"/>
      <c r="L3283" s="23">
        <f>0</f>
        <v>0</v>
      </c>
      <c r="M3283" s="24"/>
      <c r="N3283" s="25">
        <f>0</f>
        <v>0</v>
      </c>
      <c r="O3283" s="36">
        <f>+J3283</f>
        <v>5533.362332250741</v>
      </c>
      <c r="P3283" s="38">
        <f>+O3283</f>
        <v>5533.362332250741</v>
      </c>
    </row>
    <row r="3285" spans="9:16">
      <c r="I3285" s="395" t="s">
        <v>1268</v>
      </c>
      <c r="J3285" s="26"/>
      <c r="K3285" s="26"/>
      <c r="L3285" s="26"/>
      <c r="M3285" s="26"/>
      <c r="N3285" s="26"/>
      <c r="O3285" s="26"/>
    </row>
    <row r="3286" spans="9:16">
      <c r="I3286" s="408" t="s">
        <v>2046</v>
      </c>
      <c r="J3286" s="26"/>
      <c r="K3286" s="26"/>
      <c r="L3286" s="26"/>
      <c r="M3286" s="26"/>
      <c r="N3286" s="26"/>
      <c r="O3286" s="26"/>
    </row>
    <row r="3287" spans="9:16">
      <c r="I3287" s="82" t="s">
        <v>19</v>
      </c>
      <c r="J3287" s="26"/>
      <c r="K3287" s="26"/>
      <c r="L3287" s="26"/>
      <c r="M3287" s="26"/>
      <c r="N3287" s="26"/>
      <c r="O3287" s="26"/>
    </row>
    <row r="3288" spans="9:16">
      <c r="I3288" s="26" t="s">
        <v>965</v>
      </c>
      <c r="J3288" s="26"/>
      <c r="K3288" s="26"/>
      <c r="L3288" s="26"/>
      <c r="M3288" s="26"/>
      <c r="N3288" s="26"/>
      <c r="O3288" s="26"/>
    </row>
    <row r="3289" spans="9:16">
      <c r="I3289" s="26" t="s">
        <v>21</v>
      </c>
      <c r="J3289" s="26"/>
      <c r="K3289" s="26"/>
      <c r="L3289" s="26"/>
      <c r="M3289" s="26"/>
      <c r="N3289" s="26"/>
      <c r="O3289" s="26"/>
    </row>
    <row r="3290" spans="9:16">
      <c r="I3290" s="26" t="s">
        <v>1229</v>
      </c>
      <c r="J3290" s="26"/>
      <c r="K3290" s="26"/>
      <c r="L3290" s="26"/>
      <c r="M3290" s="26"/>
      <c r="N3290" s="26"/>
      <c r="O3290" s="26"/>
    </row>
    <row r="3293" spans="9:16">
      <c r="L3293" s="30" t="s">
        <v>24</v>
      </c>
      <c r="M3293" s="30"/>
      <c r="N3293" s="30"/>
    </row>
    <row r="3294" spans="9:16">
      <c r="L3294" s="30" t="s">
        <v>149</v>
      </c>
      <c r="M3294" s="30"/>
      <c r="N3294" s="30"/>
    </row>
    <row r="3295" spans="9:16">
      <c r="L3295" s="374" t="s">
        <v>150</v>
      </c>
      <c r="M3295" s="374"/>
      <c r="N3295" s="374"/>
    </row>
    <row r="3296" spans="9:16">
      <c r="M3296" s="30"/>
    </row>
    <row r="3297" spans="9:16">
      <c r="L3297" s="26"/>
      <c r="N3297" s="26"/>
      <c r="O3297" s="26"/>
    </row>
    <row r="3298" spans="9:16" ht="17.25">
      <c r="I3298" s="26"/>
      <c r="J3298" s="26"/>
      <c r="K3298" s="26"/>
      <c r="L3298" s="259"/>
      <c r="M3298" s="259"/>
      <c r="N3298" s="259"/>
      <c r="O3298" s="259"/>
      <c r="P3298" s="26"/>
    </row>
    <row r="3299" spans="9:16" ht="17.25">
      <c r="I3299" s="26"/>
      <c r="J3299" s="26"/>
      <c r="K3299" s="26"/>
      <c r="L3299" s="644" t="s">
        <v>2147</v>
      </c>
      <c r="M3299" s="644"/>
      <c r="N3299" s="644"/>
      <c r="O3299" s="644"/>
      <c r="P3299" s="361"/>
    </row>
    <row r="3300" spans="9:16" ht="17.25">
      <c r="I3300" s="26"/>
      <c r="J3300" s="26"/>
      <c r="K3300" s="26"/>
      <c r="L3300" s="361"/>
      <c r="M3300" s="361"/>
      <c r="N3300" s="361"/>
      <c r="O3300" s="361"/>
      <c r="P3300" s="361"/>
    </row>
    <row r="3301" spans="9:16" ht="17.25">
      <c r="I3301" s="26"/>
      <c r="J3301" s="26"/>
      <c r="K3301" s="26"/>
      <c r="L3301" s="361"/>
      <c r="M3301" s="361"/>
      <c r="N3301" s="361"/>
      <c r="O3301" s="361"/>
      <c r="P3301" s="361"/>
    </row>
    <row r="3302" spans="9:16" ht="17.25">
      <c r="I3302" s="26"/>
      <c r="J3302" s="26"/>
      <c r="K3302" s="26"/>
      <c r="L3302" s="361"/>
      <c r="M3302" s="361"/>
      <c r="N3302" s="361"/>
      <c r="O3302" s="361"/>
      <c r="P3302" s="361"/>
    </row>
    <row r="3303" spans="9:16" ht="18.75" customHeight="1">
      <c r="J3303" s="617" t="s">
        <v>2748</v>
      </c>
      <c r="K3303" s="617"/>
      <c r="L3303" s="617"/>
      <c r="M3303" s="617"/>
      <c r="N3303" s="617"/>
      <c r="O3303" s="617"/>
      <c r="P3303" s="617"/>
    </row>
    <row r="3306" spans="9:16" ht="49.5" customHeight="1">
      <c r="I3306" s="618" t="s">
        <v>1</v>
      </c>
      <c r="J3306" s="618"/>
      <c r="K3306" s="618"/>
      <c r="L3306" s="618"/>
      <c r="M3306" s="618"/>
      <c r="N3306" s="618"/>
      <c r="O3306" s="618"/>
      <c r="P3306" s="618"/>
    </row>
    <row r="3309" spans="9:16" ht="17.25">
      <c r="I3309" s="30"/>
      <c r="J3309" s="503" t="s">
        <v>1758</v>
      </c>
    </row>
    <row r="3310" spans="9:16" ht="17.25" thickBot="1">
      <c r="I3310" s="30"/>
      <c r="L3310" s="12" t="s">
        <v>631</v>
      </c>
      <c r="O3310" s="141"/>
    </row>
    <row r="3311" spans="9:16">
      <c r="J3311" s="30"/>
      <c r="N3311" s="143"/>
      <c r="P3311" s="144"/>
    </row>
    <row r="3312" spans="9:16">
      <c r="N3312" s="619" t="s">
        <v>555</v>
      </c>
      <c r="O3312" s="620"/>
      <c r="P3312" s="621"/>
    </row>
    <row r="3313" spans="9:16">
      <c r="I3313" s="12" t="s">
        <v>114</v>
      </c>
      <c r="L3313" s="30"/>
      <c r="M3313" s="30" t="s">
        <v>2</v>
      </c>
      <c r="N3313" s="605" t="s">
        <v>1882</v>
      </c>
      <c r="O3313" s="605"/>
      <c r="P3313" s="649"/>
    </row>
    <row r="3314" spans="9:16">
      <c r="N3314" s="601" t="s">
        <v>163</v>
      </c>
      <c r="O3314" s="602"/>
      <c r="P3314" s="603"/>
    </row>
    <row r="3315" spans="9:16" ht="17.25" thickBot="1">
      <c r="N3315" s="140"/>
      <c r="O3315" s="141"/>
      <c r="P3315" s="142"/>
    </row>
    <row r="3317" spans="9:16">
      <c r="I3317" s="30" t="s">
        <v>27</v>
      </c>
      <c r="J3317" s="394" t="s">
        <v>148</v>
      </c>
    </row>
    <row r="3318" spans="9:16" ht="17.25" thickBot="1"/>
    <row r="3319" spans="9:16" ht="17.25" thickBot="1">
      <c r="I3319" s="13" t="s">
        <v>112</v>
      </c>
      <c r="J3319" s="624" t="s">
        <v>4</v>
      </c>
      <c r="K3319" s="625"/>
      <c r="L3319" s="625"/>
      <c r="M3319" s="625"/>
      <c r="N3319" s="625"/>
      <c r="O3319" s="626"/>
      <c r="P3319" s="20" t="s">
        <v>5</v>
      </c>
    </row>
    <row r="3320" spans="9:16">
      <c r="I3320" s="633" t="s">
        <v>2806</v>
      </c>
      <c r="J3320" s="143"/>
      <c r="K3320" s="159"/>
      <c r="L3320" s="159"/>
      <c r="M3320" s="159"/>
      <c r="N3320" s="159"/>
      <c r="O3320" s="144"/>
      <c r="P3320" s="291"/>
    </row>
    <row r="3321" spans="9:16">
      <c r="I3321" s="634"/>
      <c r="J3321" s="64"/>
      <c r="O3321" s="65"/>
      <c r="P3321" s="291"/>
    </row>
    <row r="3322" spans="9:16">
      <c r="I3322" s="634"/>
      <c r="J3322" s="66"/>
      <c r="K3322" s="367"/>
      <c r="L3322" s="367" t="s">
        <v>286</v>
      </c>
      <c r="M3322" s="367"/>
      <c r="N3322" s="367"/>
      <c r="O3322" s="67"/>
      <c r="P3322" s="291"/>
    </row>
    <row r="3323" spans="9:16">
      <c r="I3323" s="634"/>
      <c r="J3323" s="385"/>
      <c r="K3323" s="187"/>
      <c r="L3323" s="147" t="s">
        <v>2825</v>
      </c>
      <c r="M3323" s="187"/>
      <c r="N3323" s="187"/>
      <c r="O3323" s="132"/>
      <c r="P3323" s="148">
        <v>3300000</v>
      </c>
    </row>
    <row r="3324" spans="9:16" ht="17.25" thickBot="1">
      <c r="I3324" s="634"/>
      <c r="J3324" s="64"/>
      <c r="K3324" s="604"/>
      <c r="L3324" s="604"/>
      <c r="M3324" s="604"/>
      <c r="O3324" s="65"/>
      <c r="P3324" s="291"/>
    </row>
    <row r="3325" spans="9:16" ht="17.25" thickBot="1">
      <c r="I3325" s="20" t="s">
        <v>12</v>
      </c>
      <c r="J3325" s="663" t="s">
        <v>13</v>
      </c>
      <c r="K3325" s="664"/>
      <c r="L3325" s="466" t="s">
        <v>14</v>
      </c>
      <c r="M3325" s="467"/>
      <c r="N3325" s="466" t="s">
        <v>15</v>
      </c>
      <c r="O3325" s="468" t="s">
        <v>16</v>
      </c>
      <c r="P3325" s="20" t="s">
        <v>17</v>
      </c>
    </row>
    <row r="3326" spans="9:16" ht="18" thickBot="1">
      <c r="I3326" s="22" t="s">
        <v>18</v>
      </c>
      <c r="J3326" s="606">
        <f>+P3323</f>
        <v>3300000</v>
      </c>
      <c r="K3326" s="607"/>
      <c r="L3326" s="23">
        <f>0</f>
        <v>0</v>
      </c>
      <c r="M3326" s="24"/>
      <c r="N3326" s="25">
        <f>0</f>
        <v>0</v>
      </c>
      <c r="O3326" s="36">
        <f>+J3326</f>
        <v>3300000</v>
      </c>
      <c r="P3326" s="38">
        <f>+P3323</f>
        <v>3300000</v>
      </c>
    </row>
    <row r="3327" spans="9:16" ht="18" hidden="1" thickBot="1">
      <c r="I3327" s="22" t="s">
        <v>113</v>
      </c>
      <c r="J3327" s="606">
        <f>+J3326/650.599</f>
        <v>5072.248804563179</v>
      </c>
      <c r="K3327" s="607"/>
      <c r="L3327" s="23">
        <f>0</f>
        <v>0</v>
      </c>
      <c r="M3327" s="24"/>
      <c r="N3327" s="25">
        <f>0</f>
        <v>0</v>
      </c>
      <c r="O3327" s="36">
        <f>+J3327</f>
        <v>5072.248804563179</v>
      </c>
      <c r="P3327" s="38">
        <f>+O3327</f>
        <v>5072.248804563179</v>
      </c>
    </row>
    <row r="3329" spans="9:16">
      <c r="I3329" s="412" t="s">
        <v>1268</v>
      </c>
      <c r="J3329" s="26"/>
      <c r="K3329" s="26"/>
      <c r="L3329" s="26"/>
      <c r="M3329" s="26"/>
      <c r="N3329" s="26"/>
      <c r="O3329" s="26"/>
    </row>
    <row r="3330" spans="9:16">
      <c r="I3330" s="413" t="s">
        <v>2281</v>
      </c>
      <c r="J3330" s="26"/>
      <c r="K3330" s="26"/>
      <c r="L3330" s="26"/>
      <c r="M3330" s="26"/>
      <c r="N3330" s="26"/>
      <c r="O3330" s="26"/>
    </row>
    <row r="3331" spans="9:16">
      <c r="I3331" s="82" t="s">
        <v>19</v>
      </c>
      <c r="J3331" s="26"/>
      <c r="K3331" s="26"/>
      <c r="L3331" s="26"/>
      <c r="M3331" s="26"/>
      <c r="N3331" s="26"/>
      <c r="O3331" s="26"/>
    </row>
    <row r="3332" spans="9:16">
      <c r="I3332" s="26" t="s">
        <v>965</v>
      </c>
      <c r="J3332" s="26"/>
      <c r="K3332" s="26"/>
      <c r="L3332" s="26"/>
      <c r="M3332" s="26"/>
      <c r="N3332" s="26"/>
      <c r="O3332" s="26"/>
    </row>
    <row r="3333" spans="9:16">
      <c r="I3333" s="26" t="s">
        <v>21</v>
      </c>
      <c r="J3333" s="26"/>
      <c r="K3333" s="26"/>
      <c r="L3333" s="26"/>
      <c r="M3333" s="26"/>
      <c r="N3333" s="26"/>
      <c r="O3333" s="26"/>
    </row>
    <row r="3334" spans="9:16">
      <c r="I3334" s="26" t="s">
        <v>1229</v>
      </c>
      <c r="J3334" s="26"/>
      <c r="K3334" s="26"/>
      <c r="L3334" s="26"/>
      <c r="M3334" s="26"/>
      <c r="N3334" s="26"/>
      <c r="O3334" s="26"/>
    </row>
    <row r="3338" spans="9:16">
      <c r="L3338" s="30" t="s">
        <v>24</v>
      </c>
      <c r="M3338" s="30"/>
      <c r="N3338" s="30"/>
    </row>
    <row r="3339" spans="9:16">
      <c r="L3339" s="30" t="s">
        <v>149</v>
      </c>
      <c r="M3339" s="30"/>
      <c r="N3339" s="30"/>
    </row>
    <row r="3340" spans="9:16">
      <c r="L3340" s="605" t="s">
        <v>150</v>
      </c>
      <c r="M3340" s="605"/>
      <c r="N3340" s="605"/>
      <c r="O3340" s="605"/>
    </row>
    <row r="3341" spans="9:16">
      <c r="M3341" s="30"/>
    </row>
    <row r="3342" spans="9:16">
      <c r="M3342" s="30"/>
    </row>
    <row r="3343" spans="9:16">
      <c r="L3343" s="602"/>
      <c r="M3343" s="604"/>
      <c r="N3343" s="604"/>
      <c r="O3343" s="604"/>
    </row>
    <row r="3344" spans="9:16">
      <c r="I3344" s="26"/>
      <c r="J3344" s="26"/>
      <c r="K3344" s="26"/>
      <c r="L3344" s="26"/>
      <c r="N3344" s="26"/>
      <c r="O3344" s="26"/>
      <c r="P3344" s="26"/>
    </row>
    <row r="3345" spans="9:16">
      <c r="I3345" s="26"/>
      <c r="J3345" s="26"/>
      <c r="K3345" s="26"/>
      <c r="L3345" s="26"/>
      <c r="N3345" s="26"/>
      <c r="O3345" s="26"/>
      <c r="P3345" s="26"/>
    </row>
    <row r="3346" spans="9:16" ht="25.5" customHeight="1">
      <c r="I3346" s="26"/>
      <c r="J3346" s="26"/>
      <c r="K3346" s="26"/>
      <c r="L3346" s="644"/>
      <c r="M3346" s="644"/>
      <c r="N3346" s="644"/>
      <c r="O3346" s="644"/>
      <c r="P3346" s="361"/>
    </row>
    <row r="3347" spans="9:16">
      <c r="J3347" s="617" t="s">
        <v>2534</v>
      </c>
      <c r="K3347" s="617"/>
      <c r="L3347" s="617"/>
      <c r="M3347" s="617"/>
      <c r="N3347" s="617"/>
      <c r="O3347" s="617"/>
      <c r="P3347" s="617"/>
    </row>
    <row r="3350" spans="9:16" ht="49.5" customHeight="1">
      <c r="I3350" s="661" t="s">
        <v>1</v>
      </c>
      <c r="J3350" s="661"/>
      <c r="K3350" s="661"/>
      <c r="L3350" s="661"/>
      <c r="M3350" s="661"/>
      <c r="N3350" s="661"/>
      <c r="O3350" s="661"/>
      <c r="P3350" s="661"/>
    </row>
    <row r="3353" spans="9:16" ht="17.25">
      <c r="I3353" s="375"/>
      <c r="J3353" s="503" t="s">
        <v>2063</v>
      </c>
    </row>
    <row r="3354" spans="9:16" ht="17.25" thickBot="1">
      <c r="I3354" s="30"/>
      <c r="O3354" s="141"/>
    </row>
    <row r="3355" spans="9:16">
      <c r="J3355" s="30"/>
      <c r="N3355" s="143"/>
      <c r="P3355" s="144"/>
    </row>
    <row r="3356" spans="9:16">
      <c r="N3356" s="647" t="s">
        <v>555</v>
      </c>
      <c r="O3356" s="610"/>
      <c r="P3356" s="648"/>
    </row>
    <row r="3357" spans="9:16">
      <c r="I3357" s="12" t="s">
        <v>114</v>
      </c>
      <c r="L3357" s="30"/>
      <c r="M3357" s="30" t="s">
        <v>2</v>
      </c>
      <c r="N3357" s="605" t="s">
        <v>1882</v>
      </c>
      <c r="O3357" s="605"/>
      <c r="P3357" s="649"/>
    </row>
    <row r="3358" spans="9:16">
      <c r="N3358" s="601" t="s">
        <v>163</v>
      </c>
      <c r="O3358" s="602"/>
      <c r="P3358" s="603"/>
    </row>
    <row r="3359" spans="9:16" ht="17.25" thickBot="1">
      <c r="N3359" s="140"/>
      <c r="O3359" s="141"/>
      <c r="P3359" s="142"/>
    </row>
    <row r="3361" spans="9:16">
      <c r="I3361" s="249" t="s">
        <v>27</v>
      </c>
      <c r="J3361" s="394" t="s">
        <v>115</v>
      </c>
    </row>
    <row r="3362" spans="9:16" ht="17.25" thickBot="1"/>
    <row r="3363" spans="9:16" ht="17.25" thickBot="1">
      <c r="I3363" s="13" t="s">
        <v>112</v>
      </c>
      <c r="J3363" s="624" t="s">
        <v>4</v>
      </c>
      <c r="K3363" s="625"/>
      <c r="L3363" s="625"/>
      <c r="M3363" s="625"/>
      <c r="N3363" s="625"/>
      <c r="O3363" s="626"/>
      <c r="P3363" s="20" t="s">
        <v>5</v>
      </c>
    </row>
    <row r="3364" spans="9:16">
      <c r="I3364" s="627" t="s">
        <v>2445</v>
      </c>
      <c r="J3364" s="143"/>
      <c r="K3364" s="159"/>
      <c r="L3364" s="159"/>
      <c r="M3364" s="159"/>
      <c r="N3364" s="159"/>
      <c r="O3364" s="144"/>
      <c r="P3364" s="291"/>
    </row>
    <row r="3365" spans="9:16">
      <c r="I3365" s="628"/>
      <c r="J3365" s="64"/>
      <c r="O3365" s="65"/>
      <c r="P3365" s="291"/>
    </row>
    <row r="3366" spans="9:16">
      <c r="I3366" s="628"/>
      <c r="J3366" s="630" t="s">
        <v>286</v>
      </c>
      <c r="K3366" s="631"/>
      <c r="L3366" s="631"/>
      <c r="M3366" s="631"/>
      <c r="N3366" s="631"/>
      <c r="O3366" s="632"/>
      <c r="P3366" s="291"/>
    </row>
    <row r="3367" spans="9:16">
      <c r="I3367" s="628"/>
      <c r="J3367" s="636" t="s">
        <v>2322</v>
      </c>
      <c r="K3367" s="637"/>
      <c r="L3367" s="637"/>
      <c r="M3367" s="637"/>
      <c r="N3367" s="637"/>
      <c r="O3367" s="638"/>
      <c r="P3367" s="148">
        <v>3600000</v>
      </c>
    </row>
    <row r="3368" spans="9:16">
      <c r="I3368" s="628"/>
      <c r="J3368" s="64"/>
      <c r="K3368" s="604"/>
      <c r="L3368" s="604"/>
      <c r="M3368" s="604"/>
      <c r="O3368" s="65"/>
      <c r="P3368" s="291"/>
    </row>
    <row r="3369" spans="9:16" ht="17.25" thickBot="1">
      <c r="I3369" s="629"/>
      <c r="J3369" s="140"/>
      <c r="K3369" s="141"/>
      <c r="L3369" s="141"/>
      <c r="M3369" s="141"/>
      <c r="N3369" s="141"/>
      <c r="O3369" s="142"/>
      <c r="P3369" s="291"/>
    </row>
    <row r="3370" spans="9:16" ht="17.25" thickBot="1">
      <c r="I3370" s="20" t="s">
        <v>12</v>
      </c>
      <c r="J3370" s="614" t="s">
        <v>13</v>
      </c>
      <c r="K3370" s="615"/>
      <c r="L3370" s="62" t="s">
        <v>14</v>
      </c>
      <c r="M3370" s="63"/>
      <c r="N3370" s="62" t="s">
        <v>15</v>
      </c>
      <c r="O3370" s="62" t="s">
        <v>16</v>
      </c>
      <c r="P3370" s="20" t="s">
        <v>17</v>
      </c>
    </row>
    <row r="3371" spans="9:16" ht="18" thickBot="1">
      <c r="I3371" s="22" t="s">
        <v>18</v>
      </c>
      <c r="J3371" s="606">
        <f>+P3367</f>
        <v>3600000</v>
      </c>
      <c r="K3371" s="607"/>
      <c r="L3371" s="23">
        <f>0</f>
        <v>0</v>
      </c>
      <c r="M3371" s="24"/>
      <c r="N3371" s="25">
        <f>0</f>
        <v>0</v>
      </c>
      <c r="O3371" s="36">
        <f>+J3371</f>
        <v>3600000</v>
      </c>
      <c r="P3371" s="38">
        <f>+P3367</f>
        <v>3600000</v>
      </c>
    </row>
    <row r="3372" spans="9:16" ht="18" thickBot="1">
      <c r="I3372" s="22" t="s">
        <v>113</v>
      </c>
      <c r="J3372" s="643">
        <f>+J3371/650.599</f>
        <v>5533.362332250741</v>
      </c>
      <c r="K3372" s="612"/>
      <c r="L3372" s="23">
        <f>0</f>
        <v>0</v>
      </c>
      <c r="M3372" s="24"/>
      <c r="N3372" s="25">
        <f>0</f>
        <v>0</v>
      </c>
      <c r="O3372" s="36">
        <f>+J3372</f>
        <v>5533.362332250741</v>
      </c>
      <c r="P3372" s="38">
        <f>+O3372</f>
        <v>5533.362332250741</v>
      </c>
    </row>
    <row r="3374" spans="9:16">
      <c r="I3374" s="395" t="s">
        <v>1584</v>
      </c>
      <c r="J3374" s="26"/>
      <c r="K3374" s="26"/>
      <c r="L3374" s="26"/>
      <c r="M3374" s="26"/>
      <c r="N3374" s="26"/>
      <c r="O3374" s="26"/>
    </row>
    <row r="3375" spans="9:16">
      <c r="I3375" s="408" t="s">
        <v>2323</v>
      </c>
      <c r="J3375" s="26"/>
      <c r="K3375" s="26"/>
      <c r="L3375" s="26"/>
      <c r="M3375" s="26"/>
      <c r="N3375" s="26"/>
      <c r="O3375" s="26"/>
    </row>
    <row r="3376" spans="9:16">
      <c r="I3376" s="26" t="s">
        <v>19</v>
      </c>
      <c r="J3376" s="26"/>
      <c r="K3376" s="26"/>
      <c r="L3376" s="26"/>
      <c r="M3376" s="26"/>
      <c r="N3376" s="26"/>
      <c r="O3376" s="26"/>
    </row>
    <row r="3377" spans="9:16">
      <c r="I3377" s="26" t="s">
        <v>965</v>
      </c>
      <c r="J3377" s="26"/>
      <c r="K3377" s="26"/>
      <c r="L3377" s="26"/>
      <c r="M3377" s="26"/>
      <c r="N3377" s="26"/>
      <c r="O3377" s="26"/>
    </row>
    <row r="3378" spans="9:16">
      <c r="I3378" s="26" t="s">
        <v>21</v>
      </c>
      <c r="J3378" s="26"/>
      <c r="K3378" s="26"/>
      <c r="L3378" s="26"/>
      <c r="M3378" s="26"/>
      <c r="N3378" s="26"/>
      <c r="O3378" s="26"/>
    </row>
    <row r="3379" spans="9:16">
      <c r="I3379" s="26" t="s">
        <v>1229</v>
      </c>
      <c r="J3379" s="26"/>
      <c r="K3379" s="26"/>
      <c r="L3379" s="26"/>
      <c r="M3379" s="26"/>
      <c r="N3379" s="26"/>
      <c r="O3379" s="26"/>
    </row>
    <row r="3380" spans="9:16">
      <c r="I3380" s="26"/>
      <c r="J3380" s="26"/>
      <c r="K3380" s="26"/>
      <c r="L3380" s="26"/>
      <c r="M3380" s="26"/>
      <c r="N3380" s="26"/>
      <c r="O3380" s="26"/>
    </row>
    <row r="3382" spans="9:16">
      <c r="L3382" s="604" t="s">
        <v>24</v>
      </c>
      <c r="M3382" s="604"/>
      <c r="N3382" s="604"/>
      <c r="O3382" s="604"/>
    </row>
    <row r="3383" spans="9:16">
      <c r="L3383" s="604" t="s">
        <v>149</v>
      </c>
      <c r="M3383" s="604"/>
      <c r="N3383" s="604"/>
      <c r="O3383" s="604"/>
    </row>
    <row r="3384" spans="9:16">
      <c r="L3384" s="605" t="s">
        <v>150</v>
      </c>
      <c r="M3384" s="605"/>
      <c r="N3384" s="605"/>
      <c r="O3384" s="605"/>
    </row>
    <row r="3385" spans="9:16">
      <c r="L3385" s="477"/>
      <c r="M3385" s="477"/>
      <c r="N3385" s="477"/>
      <c r="O3385" s="477"/>
    </row>
    <row r="3386" spans="9:16">
      <c r="L3386" s="30"/>
    </row>
    <row r="3387" spans="9:16" ht="17.25">
      <c r="L3387" s="645" t="s">
        <v>2347</v>
      </c>
      <c r="M3387" s="645"/>
      <c r="N3387" s="645"/>
      <c r="O3387" s="645"/>
    </row>
    <row r="3390" spans="9:16">
      <c r="J3390" s="617" t="s">
        <v>0</v>
      </c>
      <c r="K3390" s="617"/>
      <c r="L3390" s="617"/>
      <c r="M3390" s="617"/>
      <c r="N3390" s="617"/>
      <c r="O3390" s="617"/>
      <c r="P3390" s="617"/>
    </row>
    <row r="3393" spans="9:16" ht="47.25">
      <c r="I3393" s="646" t="s">
        <v>1</v>
      </c>
      <c r="J3393" s="646"/>
      <c r="K3393" s="646"/>
      <c r="L3393" s="646"/>
      <c r="M3393" s="646"/>
      <c r="N3393" s="646"/>
      <c r="O3393" s="646"/>
      <c r="P3393" s="646"/>
    </row>
    <row r="3395" spans="9:16" ht="17.25">
      <c r="J3395" s="375" t="s">
        <v>2256</v>
      </c>
    </row>
    <row r="3396" spans="9:16" ht="17.25" thickBot="1">
      <c r="I3396" s="30"/>
      <c r="O3396" s="141"/>
    </row>
    <row r="3397" spans="9:16">
      <c r="J3397" s="30"/>
      <c r="N3397" s="143"/>
      <c r="P3397" s="144"/>
    </row>
    <row r="3398" spans="9:16">
      <c r="N3398" s="647" t="s">
        <v>2254</v>
      </c>
      <c r="O3398" s="610"/>
      <c r="P3398" s="648"/>
    </row>
    <row r="3399" spans="9:16">
      <c r="J3399" s="12" t="s">
        <v>114</v>
      </c>
      <c r="L3399" s="30"/>
      <c r="M3399" s="30" t="s">
        <v>2</v>
      </c>
      <c r="N3399" s="729" t="s">
        <v>2255</v>
      </c>
      <c r="O3399" s="771"/>
      <c r="P3399" s="772"/>
    </row>
    <row r="3400" spans="9:16">
      <c r="N3400" s="766" t="s">
        <v>163</v>
      </c>
      <c r="O3400" s="767"/>
      <c r="P3400" s="768"/>
    </row>
    <row r="3401" spans="9:16" ht="17.25" thickBot="1">
      <c r="I3401" s="30"/>
      <c r="J3401" s="30"/>
      <c r="N3401" s="140"/>
      <c r="O3401" s="141"/>
      <c r="P3401" s="142"/>
    </row>
    <row r="3403" spans="9:16">
      <c r="I3403" s="30"/>
      <c r="J3403" s="30" t="s">
        <v>27</v>
      </c>
      <c r="K3403" s="394" t="s">
        <v>115</v>
      </c>
    </row>
    <row r="3404" spans="9:16">
      <c r="I3404" s="30"/>
      <c r="J3404" s="30"/>
      <c r="K3404" s="30"/>
    </row>
    <row r="3405" spans="9:16" ht="17.25" thickBot="1"/>
    <row r="3406" spans="9:16" ht="17.25" thickBot="1">
      <c r="I3406" s="13" t="s">
        <v>3</v>
      </c>
      <c r="J3406" s="624" t="s">
        <v>4</v>
      </c>
      <c r="K3406" s="625"/>
      <c r="L3406" s="625"/>
      <c r="M3406" s="625"/>
      <c r="N3406" s="625"/>
      <c r="O3406" s="626"/>
      <c r="P3406" s="20" t="s">
        <v>5</v>
      </c>
    </row>
    <row r="3407" spans="9:16">
      <c r="I3407" s="627" t="s">
        <v>2258</v>
      </c>
      <c r="J3407" s="143"/>
      <c r="K3407" s="159"/>
      <c r="L3407" s="159"/>
      <c r="M3407" s="159"/>
      <c r="N3407" s="159"/>
      <c r="O3407" s="144"/>
      <c r="P3407" s="291"/>
    </row>
    <row r="3408" spans="9:16">
      <c r="I3408" s="628"/>
      <c r="J3408" s="630" t="s">
        <v>286</v>
      </c>
      <c r="K3408" s="631"/>
      <c r="L3408" s="631"/>
      <c r="M3408" s="631"/>
      <c r="N3408" s="631"/>
      <c r="O3408" s="632"/>
      <c r="P3408" s="291"/>
    </row>
    <row r="3409" spans="9:16">
      <c r="I3409" s="628"/>
      <c r="J3409" s="636" t="s">
        <v>2257</v>
      </c>
      <c r="K3409" s="637"/>
      <c r="L3409" s="637"/>
      <c r="M3409" s="637"/>
      <c r="N3409" s="637"/>
      <c r="O3409" s="638"/>
      <c r="P3409" s="291"/>
    </row>
    <row r="3410" spans="9:16">
      <c r="I3410" s="628"/>
      <c r="J3410" s="653"/>
      <c r="K3410" s="605"/>
      <c r="L3410" s="605"/>
      <c r="M3410" s="605"/>
      <c r="N3410" s="605"/>
      <c r="O3410" s="649"/>
      <c r="P3410" s="148">
        <v>750000</v>
      </c>
    </row>
    <row r="3411" spans="9:16">
      <c r="I3411" s="628"/>
      <c r="J3411" s="64"/>
      <c r="K3411" s="30"/>
      <c r="L3411" s="30"/>
      <c r="M3411" s="30"/>
      <c r="N3411" s="30"/>
      <c r="O3411" s="65"/>
      <c r="P3411" s="291"/>
    </row>
    <row r="3412" spans="9:16" ht="17.25" thickBot="1">
      <c r="I3412" s="629"/>
      <c r="J3412" s="140"/>
      <c r="K3412" s="141"/>
      <c r="L3412" s="141"/>
      <c r="M3412" s="141"/>
      <c r="N3412" s="141"/>
      <c r="O3412" s="142"/>
      <c r="P3412" s="291"/>
    </row>
    <row r="3413" spans="9:16" ht="17.25" thickBot="1">
      <c r="I3413" s="20" t="s">
        <v>12</v>
      </c>
      <c r="J3413" s="614" t="s">
        <v>13</v>
      </c>
      <c r="K3413" s="615"/>
      <c r="L3413" s="62" t="s">
        <v>14</v>
      </c>
      <c r="M3413" s="63"/>
      <c r="N3413" s="62" t="s">
        <v>15</v>
      </c>
      <c r="O3413" s="62" t="s">
        <v>16</v>
      </c>
      <c r="P3413" s="20" t="s">
        <v>17</v>
      </c>
    </row>
    <row r="3414" spans="9:16" ht="18" thickBot="1">
      <c r="I3414" s="22" t="s">
        <v>18</v>
      </c>
      <c r="J3414" s="606">
        <f>+P3410</f>
        <v>750000</v>
      </c>
      <c r="K3414" s="607"/>
      <c r="L3414" s="23">
        <f>0</f>
        <v>0</v>
      </c>
      <c r="M3414" s="24"/>
      <c r="N3414" s="25">
        <f>0</f>
        <v>0</v>
      </c>
      <c r="O3414" s="36">
        <f>+J3414</f>
        <v>750000</v>
      </c>
      <c r="P3414" s="38">
        <f>+P3410</f>
        <v>750000</v>
      </c>
    </row>
    <row r="3415" spans="9:16" ht="18" thickBot="1">
      <c r="I3415" s="22" t="s">
        <v>113</v>
      </c>
      <c r="J3415" s="606">
        <f>+J3414/650.599</f>
        <v>1152.7838192189045</v>
      </c>
      <c r="K3415" s="607"/>
      <c r="L3415" s="23">
        <f>0</f>
        <v>0</v>
      </c>
      <c r="M3415" s="24"/>
      <c r="N3415" s="25">
        <f>0</f>
        <v>0</v>
      </c>
      <c r="O3415" s="36">
        <f>+J3415</f>
        <v>1152.7838192189045</v>
      </c>
      <c r="P3415" s="38"/>
    </row>
    <row r="3417" spans="9:16">
      <c r="I3417" s="395" t="s">
        <v>1268</v>
      </c>
      <c r="J3417" s="26"/>
      <c r="K3417" s="26"/>
      <c r="L3417" s="26"/>
      <c r="M3417" s="26"/>
      <c r="N3417" s="26"/>
      <c r="O3417" s="26"/>
    </row>
    <row r="3418" spans="9:16">
      <c r="I3418" s="408" t="s">
        <v>2259</v>
      </c>
      <c r="J3418" s="26"/>
      <c r="K3418" s="26"/>
      <c r="L3418" s="26"/>
      <c r="M3418" s="26"/>
      <c r="N3418" s="26"/>
      <c r="O3418" s="26"/>
    </row>
    <row r="3419" spans="9:16">
      <c r="I3419" s="26" t="s">
        <v>19</v>
      </c>
      <c r="J3419" s="26"/>
      <c r="K3419" s="26"/>
      <c r="L3419" s="26"/>
      <c r="M3419" s="26"/>
      <c r="N3419" s="26"/>
      <c r="O3419" s="26"/>
    </row>
    <row r="3420" spans="9:16">
      <c r="I3420" s="26" t="s">
        <v>20</v>
      </c>
      <c r="J3420" s="26"/>
      <c r="K3420" s="26"/>
      <c r="L3420" s="26"/>
      <c r="M3420" s="26"/>
      <c r="N3420" s="26"/>
      <c r="O3420" s="26"/>
    </row>
    <row r="3421" spans="9:16">
      <c r="I3421" s="26" t="s">
        <v>21</v>
      </c>
      <c r="J3421" s="26"/>
      <c r="K3421" s="26"/>
      <c r="L3421" s="26"/>
      <c r="M3421" s="26"/>
      <c r="N3421" s="26"/>
      <c r="O3421" s="26"/>
    </row>
    <row r="3422" spans="9:16">
      <c r="I3422" s="26" t="s">
        <v>1229</v>
      </c>
      <c r="J3422" s="26"/>
      <c r="K3422" s="26"/>
      <c r="L3422" s="26"/>
      <c r="M3422" s="26"/>
      <c r="N3422" s="26"/>
      <c r="O3422" s="26"/>
    </row>
    <row r="3424" spans="9:16">
      <c r="L3424" s="605" t="s">
        <v>24</v>
      </c>
      <c r="M3424" s="605"/>
      <c r="N3424" s="605"/>
      <c r="O3424" s="605"/>
    </row>
    <row r="3425" spans="9:16">
      <c r="L3425" s="605" t="s">
        <v>1269</v>
      </c>
      <c r="M3425" s="605"/>
      <c r="N3425" s="605"/>
      <c r="O3425" s="605"/>
    </row>
    <row r="3426" spans="9:16">
      <c r="L3426" s="605" t="s">
        <v>152</v>
      </c>
      <c r="M3426" s="605"/>
      <c r="N3426" s="605"/>
      <c r="O3426" s="605"/>
    </row>
    <row r="3428" spans="9:16">
      <c r="L3428" s="26"/>
      <c r="M3428" s="26"/>
      <c r="N3428" s="26"/>
      <c r="O3428" s="26"/>
    </row>
    <row r="3429" spans="9:16" ht="18">
      <c r="I3429" s="26"/>
      <c r="J3429" s="26"/>
      <c r="K3429" s="26"/>
      <c r="L3429" s="645" t="s">
        <v>2147</v>
      </c>
      <c r="M3429" s="645"/>
      <c r="N3429" s="645"/>
      <c r="O3429" s="645"/>
      <c r="P3429" s="29"/>
    </row>
    <row r="3431" spans="9:16">
      <c r="J3431" s="617" t="s">
        <v>2480</v>
      </c>
      <c r="K3431" s="617"/>
      <c r="L3431" s="617"/>
      <c r="M3431" s="617"/>
      <c r="N3431" s="617"/>
      <c r="O3431" s="617"/>
      <c r="P3431" s="617"/>
    </row>
    <row r="3434" spans="9:16" ht="49.5" customHeight="1">
      <c r="I3434" s="618" t="s">
        <v>1</v>
      </c>
      <c r="J3434" s="618"/>
      <c r="K3434" s="618"/>
      <c r="L3434" s="618"/>
      <c r="M3434" s="618"/>
      <c r="N3434" s="618"/>
      <c r="O3434" s="618"/>
      <c r="P3434" s="618"/>
    </row>
    <row r="3437" spans="9:16" ht="17.25">
      <c r="I3437" s="30"/>
      <c r="J3437" s="503" t="s">
        <v>706</v>
      </c>
    </row>
    <row r="3438" spans="9:16" ht="17.25" thickBot="1">
      <c r="I3438" s="30"/>
      <c r="L3438" s="12" t="s">
        <v>631</v>
      </c>
      <c r="O3438" s="141"/>
    </row>
    <row r="3439" spans="9:16">
      <c r="J3439" s="30"/>
      <c r="N3439" s="143"/>
      <c r="P3439" s="144"/>
    </row>
    <row r="3440" spans="9:16">
      <c r="N3440" s="619" t="s">
        <v>2290</v>
      </c>
      <c r="O3440" s="620"/>
      <c r="P3440" s="621"/>
    </row>
    <row r="3441" spans="9:16">
      <c r="I3441" s="12" t="s">
        <v>114</v>
      </c>
      <c r="L3441" s="30"/>
      <c r="M3441" s="30" t="s">
        <v>2</v>
      </c>
      <c r="N3441" s="605" t="s">
        <v>2192</v>
      </c>
      <c r="O3441" s="605"/>
      <c r="P3441" s="649"/>
    </row>
    <row r="3442" spans="9:16">
      <c r="N3442" s="601" t="s">
        <v>36</v>
      </c>
      <c r="O3442" s="602"/>
      <c r="P3442" s="603"/>
    </row>
    <row r="3443" spans="9:16" ht="17.25" thickBot="1">
      <c r="N3443" s="140"/>
      <c r="O3443" s="141"/>
      <c r="P3443" s="142"/>
    </row>
    <row r="3445" spans="9:16">
      <c r="I3445" s="30" t="s">
        <v>27</v>
      </c>
      <c r="J3445" s="394" t="s">
        <v>115</v>
      </c>
    </row>
    <row r="3446" spans="9:16" ht="17.25" thickBot="1"/>
    <row r="3447" spans="9:16" ht="17.25" thickBot="1">
      <c r="I3447" s="13" t="s">
        <v>112</v>
      </c>
      <c r="J3447" s="624" t="s">
        <v>4</v>
      </c>
      <c r="K3447" s="625"/>
      <c r="L3447" s="625"/>
      <c r="M3447" s="625"/>
      <c r="N3447" s="625"/>
      <c r="O3447" s="626"/>
      <c r="P3447" s="20" t="s">
        <v>5</v>
      </c>
    </row>
    <row r="3448" spans="9:16">
      <c r="I3448" s="633" t="s">
        <v>2806</v>
      </c>
      <c r="J3448" s="143"/>
      <c r="K3448" s="159"/>
      <c r="L3448" s="159"/>
      <c r="M3448" s="159"/>
      <c r="N3448" s="159"/>
      <c r="O3448" s="144"/>
      <c r="P3448" s="291"/>
    </row>
    <row r="3449" spans="9:16">
      <c r="I3449" s="634"/>
      <c r="J3449" s="64"/>
      <c r="O3449" s="65"/>
      <c r="P3449" s="291"/>
    </row>
    <row r="3450" spans="9:16">
      <c r="I3450" s="634"/>
      <c r="J3450" s="630" t="s">
        <v>286</v>
      </c>
      <c r="K3450" s="631"/>
      <c r="L3450" s="631"/>
      <c r="M3450" s="631"/>
      <c r="N3450" s="631"/>
      <c r="O3450" s="632"/>
      <c r="P3450" s="291"/>
    </row>
    <row r="3451" spans="9:16">
      <c r="I3451" s="634"/>
      <c r="J3451" s="636" t="s">
        <v>2890</v>
      </c>
      <c r="K3451" s="637"/>
      <c r="L3451" s="637"/>
      <c r="M3451" s="637"/>
      <c r="N3451" s="637"/>
      <c r="O3451" s="638"/>
      <c r="P3451" s="548">
        <v>1500000</v>
      </c>
    </row>
    <row r="3452" spans="9:16" ht="17.25" thickBot="1">
      <c r="I3452" s="634"/>
      <c r="J3452" s="64"/>
      <c r="K3452" s="604"/>
      <c r="L3452" s="604"/>
      <c r="M3452" s="604"/>
      <c r="O3452" s="65"/>
      <c r="P3452" s="291"/>
    </row>
    <row r="3453" spans="9:16" ht="17.25" thickBot="1">
      <c r="I3453" s="20" t="s">
        <v>12</v>
      </c>
      <c r="J3453" s="611" t="s">
        <v>13</v>
      </c>
      <c r="K3453" s="612"/>
      <c r="L3453" s="21" t="s">
        <v>14</v>
      </c>
      <c r="M3453" s="20"/>
      <c r="N3453" s="21" t="s">
        <v>15</v>
      </c>
      <c r="O3453" s="364" t="s">
        <v>16</v>
      </c>
      <c r="P3453" s="20" t="s">
        <v>17</v>
      </c>
    </row>
    <row r="3454" spans="9:16" ht="18" thickBot="1">
      <c r="I3454" s="22" t="s">
        <v>18</v>
      </c>
      <c r="J3454" s="606">
        <f>+P3451</f>
        <v>1500000</v>
      </c>
      <c r="K3454" s="607"/>
      <c r="L3454" s="23">
        <f>0</f>
        <v>0</v>
      </c>
      <c r="M3454" s="24"/>
      <c r="N3454" s="25">
        <f>0</f>
        <v>0</v>
      </c>
      <c r="O3454" s="36">
        <f>+J3454</f>
        <v>1500000</v>
      </c>
      <c r="P3454" s="38">
        <f>+P3451</f>
        <v>1500000</v>
      </c>
    </row>
    <row r="3455" spans="9:16" ht="18" thickBot="1">
      <c r="I3455" s="22" t="s">
        <v>113</v>
      </c>
      <c r="J3455" s="606">
        <f>+J3454/650.599</f>
        <v>2305.5676384378089</v>
      </c>
      <c r="K3455" s="607"/>
      <c r="L3455" s="23">
        <f>0</f>
        <v>0</v>
      </c>
      <c r="M3455" s="24"/>
      <c r="N3455" s="25">
        <f>0</f>
        <v>0</v>
      </c>
      <c r="O3455" s="36">
        <f>+J3455</f>
        <v>2305.5676384378089</v>
      </c>
      <c r="P3455" s="38">
        <f>+O3455</f>
        <v>2305.5676384378089</v>
      </c>
    </row>
    <row r="3457" spans="9:16">
      <c r="I3457" s="412" t="s">
        <v>1268</v>
      </c>
      <c r="J3457" s="26"/>
      <c r="K3457" s="26"/>
      <c r="L3457" s="26"/>
      <c r="M3457" s="26"/>
      <c r="N3457" s="26"/>
      <c r="O3457" s="26"/>
    </row>
    <row r="3458" spans="9:16">
      <c r="I3458" s="413" t="s">
        <v>2479</v>
      </c>
      <c r="J3458" s="26"/>
      <c r="K3458" s="26"/>
      <c r="L3458" s="26"/>
      <c r="M3458" s="26"/>
      <c r="N3458" s="26"/>
      <c r="O3458" s="26"/>
    </row>
    <row r="3459" spans="9:16">
      <c r="I3459" s="82" t="s">
        <v>19</v>
      </c>
      <c r="J3459" s="26"/>
      <c r="K3459" s="26"/>
      <c r="L3459" s="26"/>
      <c r="M3459" s="26"/>
      <c r="N3459" s="26"/>
      <c r="O3459" s="26"/>
    </row>
    <row r="3460" spans="9:16">
      <c r="I3460" s="26" t="s">
        <v>965</v>
      </c>
      <c r="J3460" s="26"/>
      <c r="K3460" s="26"/>
      <c r="L3460" s="26"/>
      <c r="M3460" s="26"/>
      <c r="N3460" s="26"/>
      <c r="O3460" s="26"/>
    </row>
    <row r="3461" spans="9:16">
      <c r="I3461" s="26" t="s">
        <v>21</v>
      </c>
      <c r="J3461" s="26"/>
      <c r="K3461" s="26"/>
      <c r="L3461" s="26"/>
      <c r="M3461" s="26"/>
      <c r="N3461" s="26"/>
      <c r="O3461" s="26"/>
    </row>
    <row r="3462" spans="9:16">
      <c r="I3462" s="26" t="s">
        <v>1229</v>
      </c>
      <c r="J3462" s="26"/>
      <c r="K3462" s="26"/>
      <c r="L3462" s="26"/>
      <c r="M3462" s="26"/>
      <c r="N3462" s="26"/>
      <c r="O3462" s="26"/>
    </row>
    <row r="3464" spans="9:16">
      <c r="L3464" s="30" t="s">
        <v>24</v>
      </c>
      <c r="M3464" s="30"/>
      <c r="N3464" s="30"/>
    </row>
    <row r="3465" spans="9:16">
      <c r="L3465" s="30" t="s">
        <v>149</v>
      </c>
      <c r="M3465" s="30"/>
      <c r="N3465" s="30"/>
    </row>
    <row r="3466" spans="9:16">
      <c r="L3466" s="605" t="s">
        <v>150</v>
      </c>
      <c r="M3466" s="605"/>
      <c r="N3466" s="605"/>
      <c r="O3466" s="605"/>
    </row>
    <row r="3467" spans="9:16">
      <c r="M3467" s="30"/>
    </row>
    <row r="3468" spans="9:16">
      <c r="M3468" s="30"/>
    </row>
    <row r="3469" spans="9:16">
      <c r="I3469" s="26"/>
      <c r="J3469" s="26"/>
      <c r="K3469" s="26"/>
      <c r="L3469" s="602"/>
      <c r="M3469" s="602"/>
      <c r="N3469" s="602"/>
      <c r="O3469" s="602"/>
      <c r="P3469" s="26"/>
    </row>
    <row r="3470" spans="9:16" ht="17.25">
      <c r="I3470" s="26"/>
      <c r="J3470" s="26"/>
      <c r="K3470" s="26"/>
      <c r="L3470" s="644"/>
      <c r="M3470" s="644"/>
      <c r="N3470" s="644"/>
      <c r="O3470" s="644"/>
      <c r="P3470" s="361"/>
    </row>
    <row r="3471" spans="9:16" ht="17.25">
      <c r="I3471" s="26"/>
      <c r="J3471" s="26"/>
      <c r="K3471" s="26"/>
      <c r="L3471" s="361"/>
      <c r="M3471" s="361"/>
      <c r="N3471" s="361"/>
      <c r="O3471" s="361"/>
      <c r="P3471" s="361"/>
    </row>
    <row r="3473" spans="9:16" ht="20.25" customHeight="1">
      <c r="I3473" s="617" t="s">
        <v>2750</v>
      </c>
      <c r="J3473" s="617"/>
      <c r="K3473" s="617"/>
      <c r="L3473" s="617"/>
      <c r="M3473" s="617"/>
      <c r="N3473" s="617"/>
      <c r="O3473" s="617"/>
      <c r="P3473" s="617"/>
    </row>
    <row r="3474" spans="9:16">
      <c r="I3474" s="474"/>
      <c r="J3474" s="474"/>
      <c r="K3474" s="474"/>
      <c r="L3474" s="474"/>
      <c r="M3474" s="474"/>
      <c r="N3474" s="474"/>
      <c r="O3474" s="474"/>
      <c r="P3474" s="474"/>
    </row>
    <row r="3475" spans="9:16" ht="19.5" customHeight="1"/>
    <row r="3476" spans="9:16" ht="49.5">
      <c r="I3476" s="642" t="s">
        <v>1</v>
      </c>
      <c r="J3476" s="642"/>
      <c r="K3476" s="642"/>
      <c r="L3476" s="642"/>
      <c r="M3476" s="642"/>
      <c r="N3476" s="642"/>
      <c r="O3476" s="642"/>
      <c r="P3476" s="642"/>
    </row>
    <row r="3478" spans="9:16" ht="17.25">
      <c r="I3478" s="375"/>
      <c r="J3478" s="503" t="s">
        <v>2749</v>
      </c>
    </row>
    <row r="3479" spans="9:16" ht="17.25" thickBot="1">
      <c r="I3479" s="30"/>
      <c r="O3479" s="141"/>
    </row>
    <row r="3480" spans="9:16">
      <c r="J3480" s="30"/>
      <c r="N3480" s="143"/>
      <c r="P3480" s="144"/>
    </row>
    <row r="3481" spans="9:16">
      <c r="N3481" s="647" t="s">
        <v>2308</v>
      </c>
      <c r="O3481" s="610"/>
      <c r="P3481" s="648"/>
    </row>
    <row r="3482" spans="9:16">
      <c r="I3482" s="12" t="s">
        <v>114</v>
      </c>
      <c r="L3482" s="30" t="s">
        <v>2</v>
      </c>
      <c r="N3482" s="605" t="s">
        <v>716</v>
      </c>
      <c r="O3482" s="605"/>
      <c r="P3482" s="649"/>
    </row>
    <row r="3483" spans="9:16">
      <c r="N3483" s="601" t="s">
        <v>163</v>
      </c>
      <c r="O3483" s="602"/>
      <c r="P3483" s="603"/>
    </row>
    <row r="3484" spans="9:16" ht="17.25" thickBot="1">
      <c r="N3484" s="140"/>
      <c r="O3484" s="141"/>
      <c r="P3484" s="142"/>
    </row>
    <row r="3486" spans="9:16">
      <c r="I3486" s="30" t="s">
        <v>27</v>
      </c>
      <c r="J3486" s="30" t="s">
        <v>115</v>
      </c>
    </row>
    <row r="3487" spans="9:16" ht="17.25" thickBot="1"/>
    <row r="3488" spans="9:16" ht="17.25" thickBot="1">
      <c r="I3488" s="13" t="s">
        <v>112</v>
      </c>
      <c r="J3488" s="624" t="s">
        <v>4</v>
      </c>
      <c r="K3488" s="625"/>
      <c r="L3488" s="625"/>
      <c r="M3488" s="625"/>
      <c r="N3488" s="625"/>
      <c r="O3488" s="626"/>
      <c r="P3488" s="20" t="s">
        <v>5</v>
      </c>
    </row>
    <row r="3489" spans="9:16">
      <c r="I3489" s="633" t="s">
        <v>2445</v>
      </c>
      <c r="J3489" s="143"/>
      <c r="K3489" s="159"/>
      <c r="L3489" s="159"/>
      <c r="M3489" s="159"/>
      <c r="N3489" s="159"/>
      <c r="O3489" s="144"/>
      <c r="P3489" s="291"/>
    </row>
    <row r="3490" spans="9:16">
      <c r="I3490" s="634"/>
      <c r="J3490" s="64"/>
      <c r="O3490" s="65"/>
      <c r="P3490" s="291"/>
    </row>
    <row r="3491" spans="9:16">
      <c r="I3491" s="634"/>
      <c r="J3491" s="630" t="s">
        <v>286</v>
      </c>
      <c r="K3491" s="631"/>
      <c r="L3491" s="631"/>
      <c r="M3491" s="631"/>
      <c r="N3491" s="631"/>
      <c r="O3491" s="632"/>
      <c r="P3491" s="291"/>
    </row>
    <row r="3492" spans="9:16">
      <c r="I3492" s="634"/>
      <c r="J3492" s="636" t="s">
        <v>2197</v>
      </c>
      <c r="K3492" s="637"/>
      <c r="L3492" s="637"/>
      <c r="M3492" s="637"/>
      <c r="N3492" s="637"/>
      <c r="O3492" s="638"/>
      <c r="P3492" s="148">
        <v>870000</v>
      </c>
    </row>
    <row r="3493" spans="9:16">
      <c r="I3493" s="634"/>
      <c r="J3493" s="64"/>
      <c r="K3493" s="604"/>
      <c r="L3493" s="604"/>
      <c r="M3493" s="604"/>
      <c r="O3493" s="65"/>
      <c r="P3493" s="291"/>
    </row>
    <row r="3494" spans="9:16" ht="17.25" thickBot="1">
      <c r="I3494" s="635"/>
      <c r="J3494" s="140"/>
      <c r="K3494" s="141"/>
      <c r="L3494" s="141"/>
      <c r="M3494" s="141"/>
      <c r="N3494" s="141"/>
      <c r="O3494" s="142"/>
      <c r="P3494" s="291"/>
    </row>
    <row r="3495" spans="9:16" ht="17.25" thickBot="1">
      <c r="I3495" s="20" t="s">
        <v>12</v>
      </c>
      <c r="J3495" s="614" t="s">
        <v>13</v>
      </c>
      <c r="K3495" s="615"/>
      <c r="L3495" s="62" t="s">
        <v>14</v>
      </c>
      <c r="M3495" s="63"/>
      <c r="N3495" s="62" t="s">
        <v>15</v>
      </c>
      <c r="O3495" s="62" t="s">
        <v>16</v>
      </c>
      <c r="P3495" s="20" t="s">
        <v>17</v>
      </c>
    </row>
    <row r="3496" spans="9:16" ht="18" thickBot="1">
      <c r="I3496" s="22" t="s">
        <v>18</v>
      </c>
      <c r="J3496" s="606">
        <f>+P3492</f>
        <v>870000</v>
      </c>
      <c r="K3496" s="607"/>
      <c r="L3496" s="23">
        <f>0</f>
        <v>0</v>
      </c>
      <c r="M3496" s="24"/>
      <c r="N3496" s="25">
        <f>0</f>
        <v>0</v>
      </c>
      <c r="O3496" s="36">
        <f>+J3496</f>
        <v>870000</v>
      </c>
      <c r="P3496" s="38">
        <f>+P3492</f>
        <v>870000</v>
      </c>
    </row>
    <row r="3497" spans="9:16" ht="18" hidden="1" thickBot="1">
      <c r="I3497" s="22" t="s">
        <v>113</v>
      </c>
      <c r="J3497" s="606">
        <f>+J3496/650.599</f>
        <v>1337.229230293929</v>
      </c>
      <c r="K3497" s="607"/>
      <c r="L3497" s="23">
        <f>0</f>
        <v>0</v>
      </c>
      <c r="M3497" s="24"/>
      <c r="N3497" s="25">
        <f>0</f>
        <v>0</v>
      </c>
      <c r="O3497" s="36">
        <f>+J3497</f>
        <v>1337.229230293929</v>
      </c>
      <c r="P3497" s="38">
        <f>+O3497</f>
        <v>1337.229230293929</v>
      </c>
    </row>
    <row r="3499" spans="9:16">
      <c r="I3499" s="412" t="s">
        <v>1268</v>
      </c>
      <c r="J3499" s="26"/>
      <c r="K3499" s="26"/>
      <c r="L3499" s="26"/>
      <c r="M3499" s="26"/>
      <c r="N3499" s="26"/>
      <c r="O3499" s="26"/>
    </row>
    <row r="3500" spans="9:16" ht="17.25">
      <c r="I3500" s="458" t="s">
        <v>2198</v>
      </c>
      <c r="J3500" s="26"/>
      <c r="K3500" s="26"/>
      <c r="L3500" s="26"/>
      <c r="M3500" s="26"/>
      <c r="N3500" s="26"/>
      <c r="O3500" s="26"/>
    </row>
    <row r="3501" spans="9:16">
      <c r="I3501" s="26" t="s">
        <v>19</v>
      </c>
      <c r="J3501" s="26"/>
      <c r="K3501" s="26"/>
      <c r="L3501" s="26"/>
      <c r="M3501" s="26"/>
      <c r="N3501" s="26"/>
      <c r="O3501" s="26"/>
    </row>
    <row r="3502" spans="9:16">
      <c r="I3502" s="26" t="s">
        <v>965</v>
      </c>
      <c r="J3502" s="26"/>
      <c r="K3502" s="26"/>
      <c r="L3502" s="26"/>
      <c r="M3502" s="26"/>
      <c r="N3502" s="26"/>
      <c r="O3502" s="26"/>
    </row>
    <row r="3503" spans="9:16">
      <c r="I3503" s="26" t="s">
        <v>21</v>
      </c>
      <c r="J3503" s="26"/>
      <c r="K3503" s="26"/>
      <c r="L3503" s="26"/>
      <c r="M3503" s="26"/>
      <c r="N3503" s="26"/>
      <c r="O3503" s="26"/>
    </row>
    <row r="3504" spans="9:16">
      <c r="I3504" s="26" t="s">
        <v>1229</v>
      </c>
      <c r="J3504" s="26"/>
      <c r="K3504" s="26"/>
      <c r="L3504" s="26"/>
      <c r="M3504" s="26"/>
      <c r="N3504" s="26"/>
      <c r="O3504" s="26"/>
    </row>
    <row r="3508" spans="9:16">
      <c r="L3508" s="30" t="s">
        <v>24</v>
      </c>
      <c r="N3508" s="30"/>
      <c r="O3508" s="30"/>
    </row>
    <row r="3509" spans="9:16">
      <c r="L3509" s="30" t="s">
        <v>149</v>
      </c>
      <c r="N3509" s="30"/>
      <c r="O3509" s="30"/>
    </row>
    <row r="3510" spans="9:16">
      <c r="L3510" s="605" t="s">
        <v>150</v>
      </c>
      <c r="M3510" s="605"/>
      <c r="N3510" s="605"/>
      <c r="O3510" s="605"/>
    </row>
    <row r="3511" spans="9:16">
      <c r="L3511" s="477"/>
      <c r="M3511" s="477"/>
      <c r="N3511" s="477"/>
      <c r="O3511" s="477"/>
    </row>
    <row r="3512" spans="9:16">
      <c r="L3512" s="477"/>
      <c r="M3512" s="477"/>
      <c r="N3512" s="477"/>
      <c r="O3512" s="477"/>
    </row>
    <row r="3513" spans="9:16">
      <c r="L3513" s="477"/>
      <c r="M3513" s="477"/>
      <c r="N3513" s="477"/>
      <c r="O3513" s="477"/>
    </row>
    <row r="3514" spans="9:16">
      <c r="L3514" s="477"/>
      <c r="M3514" s="477"/>
      <c r="N3514" s="477"/>
      <c r="O3514" s="477"/>
    </row>
    <row r="3515" spans="9:16">
      <c r="L3515" s="477"/>
      <c r="M3515" s="477"/>
      <c r="N3515" s="477"/>
      <c r="O3515" s="477"/>
    </row>
    <row r="3516" spans="9:16">
      <c r="I3516" s="617" t="s">
        <v>0</v>
      </c>
      <c r="J3516" s="617"/>
      <c r="K3516" s="617"/>
      <c r="L3516" s="617"/>
      <c r="M3516" s="617"/>
      <c r="N3516" s="617"/>
      <c r="O3516" s="617"/>
      <c r="P3516" s="617"/>
    </row>
    <row r="3517" spans="9:16">
      <c r="I3517" s="474"/>
      <c r="J3517" s="474"/>
      <c r="K3517" s="474"/>
      <c r="L3517" s="474"/>
      <c r="M3517" s="474"/>
      <c r="N3517" s="474"/>
      <c r="O3517" s="474"/>
      <c r="P3517" s="474"/>
    </row>
    <row r="3519" spans="9:16" ht="49.5">
      <c r="I3519" s="642" t="s">
        <v>1</v>
      </c>
      <c r="J3519" s="642"/>
      <c r="K3519" s="642"/>
      <c r="L3519" s="642"/>
      <c r="M3519" s="642"/>
      <c r="N3519" s="642"/>
      <c r="O3519" s="642"/>
      <c r="P3519" s="642"/>
    </row>
    <row r="3521" spans="9:16" ht="18">
      <c r="I3521" s="375"/>
      <c r="J3521" s="489" t="s">
        <v>802</v>
      </c>
    </row>
    <row r="3522" spans="9:16" ht="17.25" thickBot="1">
      <c r="I3522" s="30"/>
      <c r="O3522" s="141"/>
    </row>
    <row r="3523" spans="9:16">
      <c r="J3523" s="30"/>
      <c r="N3523" s="143"/>
      <c r="P3523" s="144"/>
    </row>
    <row r="3524" spans="9:16">
      <c r="N3524" s="647" t="s">
        <v>2384</v>
      </c>
      <c r="O3524" s="610"/>
      <c r="P3524" s="648"/>
    </row>
    <row r="3525" spans="9:16">
      <c r="I3525" s="12" t="s">
        <v>114</v>
      </c>
      <c r="L3525" s="30" t="s">
        <v>2</v>
      </c>
      <c r="N3525" s="605" t="s">
        <v>2377</v>
      </c>
      <c r="O3525" s="605"/>
      <c r="P3525" s="649"/>
    </row>
    <row r="3526" spans="9:16">
      <c r="N3526" s="601" t="s">
        <v>2385</v>
      </c>
      <c r="O3526" s="602"/>
      <c r="P3526" s="603"/>
    </row>
    <row r="3527" spans="9:16" ht="17.25" thickBot="1">
      <c r="N3527" s="639" t="s">
        <v>163</v>
      </c>
      <c r="O3527" s="640"/>
      <c r="P3527" s="641"/>
    </row>
    <row r="3528" spans="9:16">
      <c r="I3528" s="30" t="s">
        <v>27</v>
      </c>
      <c r="J3528" s="30" t="s">
        <v>148</v>
      </c>
    </row>
    <row r="3529" spans="9:16">
      <c r="I3529" s="30" t="s">
        <v>2380</v>
      </c>
      <c r="J3529" s="12" t="s">
        <v>2381</v>
      </c>
    </row>
    <row r="3530" spans="9:16" ht="17.25" thickBot="1"/>
    <row r="3531" spans="9:16" ht="17.25" thickBot="1">
      <c r="I3531" s="13" t="s">
        <v>112</v>
      </c>
      <c r="J3531" s="624" t="s">
        <v>4</v>
      </c>
      <c r="K3531" s="625"/>
      <c r="L3531" s="625"/>
      <c r="M3531" s="625"/>
      <c r="N3531" s="625"/>
      <c r="O3531" s="626"/>
      <c r="P3531" s="20" t="s">
        <v>5</v>
      </c>
    </row>
    <row r="3532" spans="9:16">
      <c r="I3532" s="633" t="s">
        <v>2383</v>
      </c>
      <c r="J3532" s="143"/>
      <c r="K3532" s="159"/>
      <c r="L3532" s="159"/>
      <c r="M3532" s="159"/>
      <c r="N3532" s="159"/>
      <c r="O3532" s="144"/>
      <c r="P3532" s="291"/>
    </row>
    <row r="3533" spans="9:16">
      <c r="I3533" s="634"/>
      <c r="J3533" s="64"/>
      <c r="O3533" s="65"/>
      <c r="P3533" s="291"/>
    </row>
    <row r="3534" spans="9:16">
      <c r="I3534" s="634"/>
      <c r="J3534" s="630" t="s">
        <v>2378</v>
      </c>
      <c r="K3534" s="631"/>
      <c r="L3534" s="631"/>
      <c r="M3534" s="631"/>
      <c r="N3534" s="631"/>
      <c r="O3534" s="632"/>
      <c r="P3534" s="291"/>
    </row>
    <row r="3535" spans="9:16">
      <c r="I3535" s="634"/>
      <c r="J3535" s="636" t="s">
        <v>2379</v>
      </c>
      <c r="K3535" s="637"/>
      <c r="L3535" s="637"/>
      <c r="M3535" s="637"/>
      <c r="N3535" s="637"/>
      <c r="O3535" s="638"/>
      <c r="P3535" s="148">
        <v>1500000</v>
      </c>
    </row>
    <row r="3536" spans="9:16">
      <c r="I3536" s="634"/>
      <c r="J3536" s="64"/>
      <c r="K3536" s="604"/>
      <c r="L3536" s="604"/>
      <c r="M3536" s="604"/>
      <c r="O3536" s="65"/>
      <c r="P3536" s="291"/>
    </row>
    <row r="3537" spans="9:16" ht="17.25" thickBot="1">
      <c r="I3537" s="635"/>
      <c r="J3537" s="140"/>
      <c r="K3537" s="141"/>
      <c r="L3537" s="141"/>
      <c r="M3537" s="141"/>
      <c r="N3537" s="141"/>
      <c r="O3537" s="142"/>
      <c r="P3537" s="291"/>
    </row>
    <row r="3538" spans="9:16" ht="17.25" thickBot="1">
      <c r="I3538" s="20" t="s">
        <v>12</v>
      </c>
      <c r="J3538" s="614" t="s">
        <v>13</v>
      </c>
      <c r="K3538" s="615"/>
      <c r="L3538" s="62" t="s">
        <v>14</v>
      </c>
      <c r="M3538" s="63"/>
      <c r="N3538" s="62" t="s">
        <v>15</v>
      </c>
      <c r="O3538" s="62" t="s">
        <v>16</v>
      </c>
      <c r="P3538" s="20" t="s">
        <v>17</v>
      </c>
    </row>
    <row r="3539" spans="9:16" ht="18" thickBot="1">
      <c r="I3539" s="22" t="s">
        <v>18</v>
      </c>
      <c r="J3539" s="606">
        <f>+P3535</f>
        <v>1500000</v>
      </c>
      <c r="K3539" s="607"/>
      <c r="L3539" s="23">
        <f>0</f>
        <v>0</v>
      </c>
      <c r="M3539" s="24"/>
      <c r="N3539" s="25">
        <f>0</f>
        <v>0</v>
      </c>
      <c r="O3539" s="36">
        <f>+J3539</f>
        <v>1500000</v>
      </c>
      <c r="P3539" s="38">
        <f>+P3535</f>
        <v>1500000</v>
      </c>
    </row>
    <row r="3540" spans="9:16" ht="18" thickBot="1">
      <c r="I3540" s="22" t="s">
        <v>113</v>
      </c>
      <c r="J3540" s="606">
        <f>+J3539/650.599</f>
        <v>2305.5676384378089</v>
      </c>
      <c r="K3540" s="607"/>
      <c r="L3540" s="23">
        <f>0</f>
        <v>0</v>
      </c>
      <c r="M3540" s="24"/>
      <c r="N3540" s="25">
        <f>0</f>
        <v>0</v>
      </c>
      <c r="O3540" s="36">
        <f>+J3540</f>
        <v>2305.5676384378089</v>
      </c>
      <c r="P3540" s="38">
        <f>+O3540</f>
        <v>2305.5676384378089</v>
      </c>
    </row>
    <row r="3542" spans="9:16">
      <c r="I3542" s="412" t="s">
        <v>1268</v>
      </c>
      <c r="J3542" s="26"/>
      <c r="K3542" s="26"/>
      <c r="L3542" s="26"/>
      <c r="M3542" s="26"/>
      <c r="N3542" s="26"/>
      <c r="O3542" s="26"/>
    </row>
    <row r="3543" spans="9:16">
      <c r="I3543" s="413" t="s">
        <v>2382</v>
      </c>
      <c r="J3543" s="26"/>
      <c r="K3543" s="26"/>
      <c r="L3543" s="26"/>
      <c r="M3543" s="26"/>
      <c r="N3543" s="26"/>
      <c r="O3543" s="26"/>
    </row>
    <row r="3544" spans="9:16">
      <c r="I3544" s="26" t="s">
        <v>19</v>
      </c>
      <c r="J3544" s="26"/>
      <c r="K3544" s="26"/>
      <c r="L3544" s="26"/>
      <c r="M3544" s="26"/>
      <c r="N3544" s="26"/>
      <c r="O3544" s="26"/>
    </row>
    <row r="3545" spans="9:16">
      <c r="I3545" s="26" t="s">
        <v>965</v>
      </c>
      <c r="J3545" s="26"/>
      <c r="K3545" s="26"/>
      <c r="L3545" s="26"/>
      <c r="M3545" s="26"/>
      <c r="N3545" s="26"/>
      <c r="O3545" s="26"/>
    </row>
    <row r="3546" spans="9:16">
      <c r="I3546" s="26" t="s">
        <v>21</v>
      </c>
      <c r="J3546" s="26"/>
      <c r="K3546" s="26"/>
      <c r="L3546" s="26"/>
      <c r="M3546" s="26"/>
      <c r="N3546" s="26"/>
      <c r="O3546" s="26"/>
    </row>
    <row r="3547" spans="9:16">
      <c r="I3547" s="26" t="s">
        <v>1229</v>
      </c>
      <c r="J3547" s="26"/>
      <c r="K3547" s="26"/>
      <c r="L3547" s="26"/>
      <c r="M3547" s="26"/>
      <c r="N3547" s="26"/>
      <c r="O3547" s="26"/>
    </row>
    <row r="3551" spans="9:16">
      <c r="L3551" s="191" t="s">
        <v>24</v>
      </c>
      <c r="M3551" s="414"/>
      <c r="N3551" s="191"/>
      <c r="O3551" s="191"/>
    </row>
    <row r="3552" spans="9:16">
      <c r="L3552" s="191" t="s">
        <v>149</v>
      </c>
      <c r="M3552" s="414"/>
      <c r="N3552" s="191"/>
      <c r="O3552" s="191"/>
    </row>
    <row r="3553" spans="9:16">
      <c r="L3553" s="608" t="s">
        <v>150</v>
      </c>
      <c r="M3553" s="608"/>
      <c r="N3553" s="608"/>
      <c r="O3553" s="608"/>
    </row>
    <row r="3554" spans="9:16">
      <c r="L3554" s="609" t="s">
        <v>2347</v>
      </c>
      <c r="M3554" s="610"/>
      <c r="N3554" s="610"/>
      <c r="O3554" s="610"/>
    </row>
    <row r="3558" spans="9:16">
      <c r="I3558" s="617" t="s">
        <v>0</v>
      </c>
      <c r="J3558" s="617"/>
      <c r="K3558" s="617"/>
      <c r="L3558" s="617"/>
      <c r="M3558" s="617"/>
      <c r="N3558" s="617"/>
      <c r="O3558" s="617"/>
      <c r="P3558" s="617"/>
    </row>
    <row r="3559" spans="9:16">
      <c r="I3559" s="474"/>
      <c r="J3559" s="474"/>
      <c r="K3559" s="474"/>
      <c r="L3559" s="474"/>
      <c r="M3559" s="474"/>
      <c r="N3559" s="474"/>
      <c r="O3559" s="474"/>
      <c r="P3559" s="474"/>
    </row>
    <row r="3561" spans="9:16" ht="49.5">
      <c r="I3561" s="642" t="s">
        <v>1</v>
      </c>
      <c r="J3561" s="642"/>
      <c r="K3561" s="642"/>
      <c r="L3561" s="642"/>
      <c r="M3561" s="642"/>
      <c r="N3561" s="642"/>
      <c r="O3561" s="642"/>
      <c r="P3561" s="642"/>
    </row>
    <row r="3563" spans="9:16" ht="17.25">
      <c r="I3563" s="375"/>
      <c r="J3563" s="375" t="s">
        <v>2042</v>
      </c>
    </row>
    <row r="3564" spans="9:16" ht="17.25" thickBot="1">
      <c r="I3564" s="30"/>
      <c r="O3564" s="141"/>
    </row>
    <row r="3565" spans="9:16">
      <c r="J3565" s="30"/>
      <c r="N3565" s="143"/>
      <c r="P3565" s="144"/>
    </row>
    <row r="3566" spans="9:16">
      <c r="N3566" s="647" t="s">
        <v>2416</v>
      </c>
      <c r="O3566" s="610"/>
      <c r="P3566" s="648"/>
    </row>
    <row r="3567" spans="9:16">
      <c r="I3567" s="12" t="s">
        <v>114</v>
      </c>
      <c r="L3567" s="30" t="s">
        <v>2</v>
      </c>
      <c r="N3567" s="605" t="s">
        <v>2417</v>
      </c>
      <c r="O3567" s="605"/>
      <c r="P3567" s="649"/>
    </row>
    <row r="3568" spans="9:16">
      <c r="N3568" s="601" t="s">
        <v>163</v>
      </c>
      <c r="O3568" s="602"/>
      <c r="P3568" s="603"/>
    </row>
    <row r="3569" spans="9:16" ht="17.25" thickBot="1">
      <c r="N3569" s="140"/>
      <c r="O3569" s="141"/>
      <c r="P3569" s="142"/>
    </row>
    <row r="3571" spans="9:16">
      <c r="I3571" s="30" t="s">
        <v>27</v>
      </c>
      <c r="J3571" s="30" t="s">
        <v>1908</v>
      </c>
    </row>
    <row r="3572" spans="9:16" ht="17.25" thickBot="1"/>
    <row r="3573" spans="9:16" ht="17.25" thickBot="1">
      <c r="I3573" s="13" t="s">
        <v>112</v>
      </c>
      <c r="J3573" s="624" t="s">
        <v>4</v>
      </c>
      <c r="K3573" s="625"/>
      <c r="L3573" s="625"/>
      <c r="M3573" s="625"/>
      <c r="N3573" s="625"/>
      <c r="O3573" s="626"/>
      <c r="P3573" s="20" t="s">
        <v>5</v>
      </c>
    </row>
    <row r="3574" spans="9:16">
      <c r="I3574" s="633" t="s">
        <v>2445</v>
      </c>
      <c r="J3574" s="143"/>
      <c r="K3574" s="159"/>
      <c r="L3574" s="159"/>
      <c r="M3574" s="159"/>
      <c r="N3574" s="159"/>
      <c r="O3574" s="144"/>
      <c r="P3574" s="291"/>
    </row>
    <row r="3575" spans="9:16">
      <c r="I3575" s="634"/>
      <c r="J3575" s="64"/>
      <c r="O3575" s="65"/>
      <c r="P3575" s="291"/>
    </row>
    <row r="3576" spans="9:16">
      <c r="I3576" s="634"/>
      <c r="J3576" s="630" t="s">
        <v>286</v>
      </c>
      <c r="K3576" s="631"/>
      <c r="L3576" s="631"/>
      <c r="M3576" s="631"/>
      <c r="N3576" s="631"/>
      <c r="O3576" s="632"/>
      <c r="P3576" s="291"/>
    </row>
    <row r="3577" spans="9:16">
      <c r="I3577" s="634"/>
      <c r="J3577" s="636" t="s">
        <v>2418</v>
      </c>
      <c r="K3577" s="637"/>
      <c r="L3577" s="637"/>
      <c r="M3577" s="637"/>
      <c r="N3577" s="637"/>
      <c r="O3577" s="638"/>
      <c r="P3577" s="148">
        <v>1121040</v>
      </c>
    </row>
    <row r="3578" spans="9:16" ht="17.25" thickBot="1">
      <c r="I3578" s="635"/>
      <c r="J3578" s="140"/>
      <c r="K3578" s="141"/>
      <c r="L3578" s="141"/>
      <c r="M3578" s="141"/>
      <c r="N3578" s="141"/>
      <c r="O3578" s="142"/>
      <c r="P3578" s="291"/>
    </row>
    <row r="3579" spans="9:16" ht="17.25" thickBot="1">
      <c r="I3579" s="20" t="s">
        <v>12</v>
      </c>
      <c r="J3579" s="614" t="s">
        <v>13</v>
      </c>
      <c r="K3579" s="615"/>
      <c r="L3579" s="62" t="s">
        <v>14</v>
      </c>
      <c r="M3579" s="63"/>
      <c r="N3579" s="62" t="s">
        <v>15</v>
      </c>
      <c r="O3579" s="62" t="s">
        <v>16</v>
      </c>
      <c r="P3579" s="20" t="s">
        <v>17</v>
      </c>
    </row>
    <row r="3580" spans="9:16" ht="18" thickBot="1">
      <c r="I3580" s="22" t="s">
        <v>18</v>
      </c>
      <c r="J3580" s="606">
        <f>+P3577</f>
        <v>1121040</v>
      </c>
      <c r="K3580" s="607"/>
      <c r="L3580" s="23">
        <f>0</f>
        <v>0</v>
      </c>
      <c r="M3580" s="24"/>
      <c r="N3580" s="25">
        <f>0</f>
        <v>0</v>
      </c>
      <c r="O3580" s="36">
        <f>+J3580</f>
        <v>1121040</v>
      </c>
      <c r="P3580" s="38">
        <f>+P3577</f>
        <v>1121040</v>
      </c>
    </row>
    <row r="3581" spans="9:16" ht="18" thickBot="1">
      <c r="I3581" s="22" t="s">
        <v>113</v>
      </c>
      <c r="J3581" s="606">
        <f>+J3580/650.599</f>
        <v>1723.0890302628807</v>
      </c>
      <c r="K3581" s="607"/>
      <c r="L3581" s="23">
        <f>0</f>
        <v>0</v>
      </c>
      <c r="M3581" s="24"/>
      <c r="N3581" s="25">
        <f>0</f>
        <v>0</v>
      </c>
      <c r="O3581" s="36">
        <f>+J3581</f>
        <v>1723.0890302628807</v>
      </c>
      <c r="P3581" s="38">
        <f>+O3581</f>
        <v>1723.0890302628807</v>
      </c>
    </row>
    <row r="3583" spans="9:16">
      <c r="I3583" s="412" t="s">
        <v>1268</v>
      </c>
      <c r="J3583" s="26"/>
      <c r="K3583" s="26"/>
      <c r="L3583" s="26"/>
      <c r="M3583" s="26"/>
      <c r="N3583" s="26"/>
      <c r="O3583" s="26"/>
    </row>
    <row r="3584" spans="9:16">
      <c r="I3584" s="413" t="s">
        <v>2509</v>
      </c>
      <c r="J3584" s="26"/>
      <c r="K3584" s="26"/>
      <c r="L3584" s="26"/>
      <c r="M3584" s="26"/>
      <c r="N3584" s="26"/>
      <c r="O3584" s="26"/>
    </row>
    <row r="3585" spans="9:16">
      <c r="I3585" s="26" t="s">
        <v>19</v>
      </c>
      <c r="J3585" s="26"/>
      <c r="K3585" s="26"/>
      <c r="L3585" s="26"/>
      <c r="M3585" s="26"/>
      <c r="N3585" s="26"/>
      <c r="O3585" s="26"/>
    </row>
    <row r="3586" spans="9:16">
      <c r="I3586" s="26" t="s">
        <v>965</v>
      </c>
      <c r="J3586" s="26"/>
      <c r="K3586" s="26"/>
      <c r="L3586" s="26"/>
      <c r="M3586" s="26"/>
      <c r="N3586" s="26"/>
      <c r="O3586" s="26"/>
    </row>
    <row r="3587" spans="9:16">
      <c r="I3587" s="26" t="s">
        <v>21</v>
      </c>
      <c r="J3587" s="26"/>
      <c r="K3587" s="26"/>
      <c r="L3587" s="26"/>
      <c r="M3587" s="26"/>
      <c r="N3587" s="26"/>
      <c r="O3587" s="26"/>
    </row>
    <row r="3588" spans="9:16">
      <c r="I3588" s="26" t="s">
        <v>1229</v>
      </c>
      <c r="J3588" s="26"/>
      <c r="K3588" s="26"/>
      <c r="L3588" s="26"/>
      <c r="M3588" s="26"/>
      <c r="N3588" s="26"/>
      <c r="O3588" s="26"/>
    </row>
    <row r="3589" spans="9:16">
      <c r="I3589" s="26"/>
      <c r="J3589" s="26"/>
      <c r="K3589" s="26"/>
      <c r="L3589" s="26"/>
      <c r="M3589" s="26"/>
      <c r="N3589" s="26"/>
      <c r="O3589" s="26"/>
    </row>
    <row r="3590" spans="9:16">
      <c r="L3590" s="30" t="s">
        <v>24</v>
      </c>
      <c r="N3590" s="30"/>
      <c r="O3590" s="30"/>
    </row>
    <row r="3591" spans="9:16">
      <c r="L3591" s="30" t="s">
        <v>149</v>
      </c>
      <c r="N3591" s="30"/>
      <c r="O3591" s="30"/>
    </row>
    <row r="3592" spans="9:16">
      <c r="L3592" s="605" t="s">
        <v>150</v>
      </c>
      <c r="M3592" s="605"/>
      <c r="N3592" s="605"/>
      <c r="O3592" s="605"/>
    </row>
    <row r="3595" spans="9:16">
      <c r="L3595" s="609" t="s">
        <v>2347</v>
      </c>
      <c r="M3595" s="610"/>
      <c r="N3595" s="610"/>
      <c r="O3595" s="610"/>
    </row>
    <row r="3599" spans="9:16">
      <c r="I3599" s="617" t="s">
        <v>2567</v>
      </c>
      <c r="J3599" s="617"/>
      <c r="K3599" s="617"/>
      <c r="L3599" s="617"/>
      <c r="M3599" s="617"/>
      <c r="N3599" s="617"/>
      <c r="O3599" s="617"/>
      <c r="P3599" s="617"/>
    </row>
    <row r="3600" spans="9:16">
      <c r="I3600" s="474"/>
      <c r="J3600" s="474"/>
      <c r="K3600" s="474"/>
      <c r="L3600" s="474"/>
      <c r="M3600" s="474"/>
      <c r="N3600" s="474"/>
      <c r="O3600" s="474"/>
      <c r="P3600" s="474"/>
    </row>
    <row r="3602" spans="9:16" ht="49.5">
      <c r="I3602" s="618" t="s">
        <v>1</v>
      </c>
      <c r="J3602" s="618"/>
      <c r="K3602" s="618"/>
      <c r="L3602" s="618"/>
      <c r="M3602" s="618"/>
      <c r="N3602" s="618"/>
      <c r="O3602" s="618"/>
      <c r="P3602" s="618"/>
    </row>
    <row r="3603" spans="9:16" ht="9" customHeight="1"/>
    <row r="3605" spans="9:16" ht="17.25">
      <c r="I3605" s="375"/>
      <c r="J3605" s="503" t="s">
        <v>2042</v>
      </c>
    </row>
    <row r="3606" spans="9:16" ht="17.25" thickBot="1">
      <c r="I3606" s="30"/>
      <c r="O3606" s="141"/>
    </row>
    <row r="3607" spans="9:16">
      <c r="J3607" s="30"/>
      <c r="N3607" s="143"/>
      <c r="P3607" s="144"/>
    </row>
    <row r="3608" spans="9:16">
      <c r="N3608" s="647" t="s">
        <v>1091</v>
      </c>
      <c r="O3608" s="610"/>
      <c r="P3608" s="648"/>
    </row>
    <row r="3609" spans="9:16">
      <c r="I3609" s="12" t="s">
        <v>114</v>
      </c>
      <c r="L3609" s="30"/>
      <c r="M3609" s="30" t="s">
        <v>2</v>
      </c>
      <c r="N3609" s="622" t="s">
        <v>1870</v>
      </c>
      <c r="O3609" s="622"/>
      <c r="P3609" s="623"/>
    </row>
    <row r="3610" spans="9:16">
      <c r="N3610" s="601" t="s">
        <v>163</v>
      </c>
      <c r="O3610" s="602"/>
      <c r="P3610" s="603"/>
    </row>
    <row r="3611" spans="9:16" ht="17.25" thickBot="1">
      <c r="N3611" s="140"/>
      <c r="O3611" s="141"/>
      <c r="P3611" s="142"/>
    </row>
    <row r="3614" spans="9:16">
      <c r="I3614" s="249" t="s">
        <v>27</v>
      </c>
      <c r="J3614" s="394" t="s">
        <v>148</v>
      </c>
    </row>
    <row r="3615" spans="9:16" ht="17.25" thickBot="1"/>
    <row r="3616" spans="9:16" ht="17.25" thickBot="1">
      <c r="I3616" s="13" t="s">
        <v>112</v>
      </c>
      <c r="J3616" s="624" t="s">
        <v>4</v>
      </c>
      <c r="K3616" s="625"/>
      <c r="L3616" s="625"/>
      <c r="M3616" s="625"/>
      <c r="N3616" s="625"/>
      <c r="O3616" s="626"/>
      <c r="P3616" s="20" t="s">
        <v>5</v>
      </c>
    </row>
    <row r="3617" spans="9:16">
      <c r="I3617" s="627" t="s">
        <v>2806</v>
      </c>
      <c r="J3617" s="143"/>
      <c r="K3617" s="159"/>
      <c r="L3617" s="159"/>
      <c r="M3617" s="159"/>
      <c r="N3617" s="159"/>
      <c r="O3617" s="144"/>
      <c r="P3617" s="291"/>
    </row>
    <row r="3618" spans="9:16">
      <c r="I3618" s="628"/>
      <c r="J3618" s="64"/>
      <c r="O3618" s="65"/>
      <c r="P3618" s="291"/>
    </row>
    <row r="3619" spans="9:16">
      <c r="I3619" s="628"/>
      <c r="J3619" s="630" t="s">
        <v>286</v>
      </c>
      <c r="K3619" s="631"/>
      <c r="L3619" s="631"/>
      <c r="M3619" s="631"/>
      <c r="N3619" s="631"/>
      <c r="O3619" s="632"/>
      <c r="P3619" s="291"/>
    </row>
    <row r="3620" spans="9:16">
      <c r="I3620" s="628"/>
      <c r="J3620" s="636" t="s">
        <v>2814</v>
      </c>
      <c r="K3620" s="637"/>
      <c r="L3620" s="637"/>
      <c r="M3620" s="637"/>
      <c r="N3620" s="637"/>
      <c r="O3620" s="638"/>
      <c r="P3620" s="148">
        <v>46252500</v>
      </c>
    </row>
    <row r="3621" spans="9:16">
      <c r="I3621" s="628"/>
      <c r="J3621" s="64"/>
      <c r="K3621" s="604"/>
      <c r="L3621" s="604"/>
      <c r="M3621" s="604"/>
      <c r="O3621" s="65"/>
      <c r="P3621" s="291"/>
    </row>
    <row r="3622" spans="9:16" ht="17.25" thickBot="1">
      <c r="I3622" s="629"/>
      <c r="J3622" s="140"/>
      <c r="K3622" s="141"/>
      <c r="L3622" s="141"/>
      <c r="M3622" s="141"/>
      <c r="N3622" s="141"/>
      <c r="O3622" s="142"/>
      <c r="P3622" s="291"/>
    </row>
    <row r="3623" spans="9:16" ht="17.25" thickBot="1">
      <c r="I3623" s="20" t="s">
        <v>12</v>
      </c>
      <c r="J3623" s="614" t="s">
        <v>13</v>
      </c>
      <c r="K3623" s="615"/>
      <c r="L3623" s="62" t="s">
        <v>14</v>
      </c>
      <c r="M3623" s="63"/>
      <c r="N3623" s="62" t="s">
        <v>15</v>
      </c>
      <c r="O3623" s="62" t="s">
        <v>16</v>
      </c>
      <c r="P3623" s="20" t="s">
        <v>17</v>
      </c>
    </row>
    <row r="3624" spans="9:16" ht="18" thickBot="1">
      <c r="I3624" s="22" t="s">
        <v>18</v>
      </c>
      <c r="J3624" s="606">
        <f>+P3620</f>
        <v>46252500</v>
      </c>
      <c r="K3624" s="607"/>
      <c r="L3624" s="23">
        <f>0</f>
        <v>0</v>
      </c>
      <c r="M3624" s="24"/>
      <c r="N3624" s="25">
        <f>0</f>
        <v>0</v>
      </c>
      <c r="O3624" s="36">
        <f>+J3624</f>
        <v>46252500</v>
      </c>
      <c r="P3624" s="38">
        <f>+P3620</f>
        <v>46252500</v>
      </c>
    </row>
    <row r="3625" spans="9:16" ht="18" thickBot="1">
      <c r="I3625" s="22"/>
      <c r="J3625" s="643"/>
      <c r="K3625" s="612"/>
      <c r="L3625" s="23"/>
      <c r="M3625" s="24"/>
      <c r="N3625" s="25"/>
      <c r="O3625" s="36">
        <f>+J3625</f>
        <v>0</v>
      </c>
      <c r="P3625" s="38">
        <f>+O3625</f>
        <v>0</v>
      </c>
    </row>
    <row r="3626" spans="9:16" ht="11.25" customHeight="1"/>
    <row r="3627" spans="9:16">
      <c r="I3627" s="395" t="s">
        <v>1584</v>
      </c>
      <c r="J3627" s="26"/>
      <c r="K3627" s="26"/>
      <c r="L3627" s="26"/>
      <c r="M3627" s="26"/>
      <c r="N3627" s="26"/>
      <c r="O3627" s="26"/>
    </row>
    <row r="3628" spans="9:16">
      <c r="I3628" s="408" t="s">
        <v>2449</v>
      </c>
      <c r="J3628" s="26"/>
      <c r="K3628" s="26"/>
      <c r="L3628" s="26"/>
      <c r="M3628" s="26"/>
      <c r="N3628" s="26"/>
      <c r="O3628" s="26"/>
    </row>
    <row r="3629" spans="9:16">
      <c r="I3629" s="26" t="s">
        <v>19</v>
      </c>
      <c r="J3629" s="26"/>
      <c r="K3629" s="26"/>
      <c r="L3629" s="26"/>
      <c r="M3629" s="26"/>
      <c r="N3629" s="26"/>
      <c r="O3629" s="26"/>
    </row>
    <row r="3630" spans="9:16">
      <c r="I3630" s="26" t="s">
        <v>965</v>
      </c>
      <c r="J3630" s="26"/>
      <c r="K3630" s="26"/>
      <c r="L3630" s="26"/>
      <c r="M3630" s="26"/>
      <c r="N3630" s="26"/>
      <c r="O3630" s="26"/>
    </row>
    <row r="3631" spans="9:16">
      <c r="I3631" s="26" t="s">
        <v>21</v>
      </c>
      <c r="J3631" s="26"/>
      <c r="K3631" s="26"/>
      <c r="L3631" s="26"/>
      <c r="M3631" s="26"/>
      <c r="N3631" s="26"/>
      <c r="O3631" s="26"/>
    </row>
    <row r="3632" spans="9:16">
      <c r="I3632" s="26" t="s">
        <v>1229</v>
      </c>
      <c r="J3632" s="26"/>
      <c r="K3632" s="26"/>
      <c r="L3632" s="26"/>
      <c r="M3632" s="26"/>
      <c r="N3632" s="26"/>
      <c r="O3632" s="26"/>
    </row>
    <row r="3633" spans="9:16">
      <c r="I3633" s="26"/>
      <c r="J3633" s="26"/>
      <c r="K3633" s="26"/>
      <c r="L3633" s="26"/>
      <c r="M3633" s="26"/>
      <c r="N3633" s="26"/>
      <c r="O3633" s="26"/>
    </row>
    <row r="3634" spans="9:16">
      <c r="I3634" s="26"/>
      <c r="J3634" s="26"/>
      <c r="K3634" s="26"/>
      <c r="L3634" s="26"/>
      <c r="M3634" s="26"/>
      <c r="N3634" s="26"/>
      <c r="O3634" s="26"/>
    </row>
    <row r="3635" spans="9:16">
      <c r="L3635" s="604" t="s">
        <v>24</v>
      </c>
      <c r="M3635" s="604"/>
      <c r="N3635" s="604"/>
      <c r="O3635" s="604"/>
    </row>
    <row r="3636" spans="9:16">
      <c r="L3636" s="604" t="s">
        <v>149</v>
      </c>
      <c r="M3636" s="604"/>
      <c r="N3636" s="604"/>
      <c r="O3636" s="604"/>
    </row>
    <row r="3637" spans="9:16">
      <c r="L3637" s="605" t="s">
        <v>150</v>
      </c>
      <c r="M3637" s="605"/>
      <c r="N3637" s="605"/>
      <c r="O3637" s="605"/>
    </row>
    <row r="3638" spans="9:16">
      <c r="M3638" s="26"/>
      <c r="N3638" s="26"/>
      <c r="O3638" s="26"/>
    </row>
    <row r="3639" spans="9:16">
      <c r="L3639" s="616"/>
      <c r="M3639" s="616"/>
      <c r="N3639" s="616"/>
      <c r="O3639" s="616"/>
    </row>
    <row r="3641" spans="9:16">
      <c r="I3641" s="617" t="s">
        <v>0</v>
      </c>
      <c r="J3641" s="617"/>
      <c r="K3641" s="617"/>
      <c r="L3641" s="617"/>
      <c r="M3641" s="617"/>
      <c r="N3641" s="617"/>
      <c r="O3641" s="617"/>
      <c r="P3641" s="617"/>
    </row>
    <row r="3644" spans="9:16" ht="49.5">
      <c r="I3644" s="618" t="s">
        <v>1</v>
      </c>
      <c r="J3644" s="618"/>
      <c r="K3644" s="618"/>
      <c r="L3644" s="618"/>
      <c r="M3644" s="618"/>
      <c r="N3644" s="618"/>
      <c r="O3644" s="618"/>
      <c r="P3644" s="618"/>
    </row>
    <row r="3647" spans="9:16" ht="17.25">
      <c r="I3647" s="375"/>
      <c r="J3647" s="503" t="s">
        <v>2051</v>
      </c>
    </row>
    <row r="3648" spans="9:16" ht="17.25" thickBot="1">
      <c r="I3648" s="30"/>
      <c r="O3648" s="141"/>
    </row>
    <row r="3649" spans="9:16">
      <c r="J3649" s="30"/>
      <c r="N3649" s="143"/>
      <c r="P3649" s="144"/>
    </row>
    <row r="3650" spans="9:16">
      <c r="N3650" s="619" t="s">
        <v>2482</v>
      </c>
      <c r="O3650" s="620"/>
      <c r="P3650" s="621"/>
    </row>
    <row r="3651" spans="9:16">
      <c r="I3651" s="12" t="s">
        <v>114</v>
      </c>
      <c r="L3651" s="30"/>
      <c r="M3651" s="30" t="s">
        <v>2</v>
      </c>
      <c r="N3651" s="622" t="s">
        <v>2483</v>
      </c>
      <c r="O3651" s="622"/>
      <c r="P3651" s="623"/>
    </row>
    <row r="3652" spans="9:16">
      <c r="N3652" s="601" t="s">
        <v>163</v>
      </c>
      <c r="O3652" s="602"/>
      <c r="P3652" s="603"/>
    </row>
    <row r="3653" spans="9:16" ht="17.25" thickBot="1">
      <c r="N3653" s="140"/>
      <c r="O3653" s="141"/>
      <c r="P3653" s="142"/>
    </row>
    <row r="3655" spans="9:16">
      <c r="I3655" s="249" t="s">
        <v>27</v>
      </c>
      <c r="J3655" s="394" t="s">
        <v>148</v>
      </c>
    </row>
    <row r="3656" spans="9:16" ht="17.25" thickBot="1"/>
    <row r="3657" spans="9:16" ht="17.25" thickBot="1">
      <c r="I3657" s="13" t="s">
        <v>112</v>
      </c>
      <c r="J3657" s="624" t="s">
        <v>4</v>
      </c>
      <c r="K3657" s="625"/>
      <c r="L3657" s="625"/>
      <c r="M3657" s="625"/>
      <c r="N3657" s="625"/>
      <c r="O3657" s="626"/>
      <c r="P3657" s="20" t="s">
        <v>5</v>
      </c>
    </row>
    <row r="3658" spans="9:16">
      <c r="I3658" s="627" t="s">
        <v>2806</v>
      </c>
      <c r="J3658" s="143"/>
      <c r="K3658" s="159"/>
      <c r="L3658" s="159"/>
      <c r="M3658" s="159"/>
      <c r="N3658" s="159"/>
      <c r="O3658" s="144"/>
      <c r="P3658" s="291"/>
    </row>
    <row r="3659" spans="9:16">
      <c r="I3659" s="628"/>
      <c r="J3659" s="64"/>
      <c r="O3659" s="65"/>
      <c r="P3659" s="291"/>
    </row>
    <row r="3660" spans="9:16">
      <c r="I3660" s="628"/>
      <c r="J3660" s="630" t="s">
        <v>286</v>
      </c>
      <c r="K3660" s="631"/>
      <c r="L3660" s="631"/>
      <c r="M3660" s="631"/>
      <c r="N3660" s="631"/>
      <c r="O3660" s="632"/>
      <c r="P3660" s="291"/>
    </row>
    <row r="3661" spans="9:16">
      <c r="I3661" s="628"/>
      <c r="J3661" s="636" t="s">
        <v>2823</v>
      </c>
      <c r="K3661" s="637"/>
      <c r="L3661" s="637"/>
      <c r="M3661" s="637"/>
      <c r="N3661" s="637"/>
      <c r="O3661" s="638"/>
      <c r="P3661" s="548">
        <v>1500000</v>
      </c>
    </row>
    <row r="3662" spans="9:16">
      <c r="I3662" s="628"/>
      <c r="J3662" s="64"/>
      <c r="K3662" s="604"/>
      <c r="L3662" s="604"/>
      <c r="M3662" s="604"/>
      <c r="O3662" s="65"/>
      <c r="P3662" s="291"/>
    </row>
    <row r="3663" spans="9:16" ht="17.25" thickBot="1">
      <c r="I3663" s="629"/>
      <c r="J3663" s="140"/>
      <c r="K3663" s="141"/>
      <c r="L3663" s="141"/>
      <c r="M3663" s="141"/>
      <c r="N3663" s="141"/>
      <c r="O3663" s="142"/>
      <c r="P3663" s="291"/>
    </row>
    <row r="3664" spans="9:16" ht="17.25" thickBot="1">
      <c r="I3664" s="20" t="s">
        <v>12</v>
      </c>
      <c r="J3664" s="614" t="s">
        <v>13</v>
      </c>
      <c r="K3664" s="615"/>
      <c r="L3664" s="62" t="s">
        <v>14</v>
      </c>
      <c r="M3664" s="63"/>
      <c r="N3664" s="62" t="s">
        <v>15</v>
      </c>
      <c r="O3664" s="62" t="s">
        <v>16</v>
      </c>
      <c r="P3664" s="20" t="s">
        <v>17</v>
      </c>
    </row>
    <row r="3665" spans="9:16" ht="18" thickBot="1">
      <c r="I3665" s="22" t="s">
        <v>18</v>
      </c>
      <c r="J3665" s="606">
        <f>+P3661</f>
        <v>1500000</v>
      </c>
      <c r="K3665" s="607"/>
      <c r="L3665" s="23">
        <f>0</f>
        <v>0</v>
      </c>
      <c r="M3665" s="24"/>
      <c r="N3665" s="25">
        <f>0</f>
        <v>0</v>
      </c>
      <c r="O3665" s="36">
        <f>+J3665</f>
        <v>1500000</v>
      </c>
      <c r="P3665" s="38">
        <f>+P3661</f>
        <v>1500000</v>
      </c>
    </row>
    <row r="3666" spans="9:16" ht="18" thickBot="1">
      <c r="I3666" s="22" t="s">
        <v>113</v>
      </c>
      <c r="J3666" s="643">
        <f>+J3665/650.599</f>
        <v>2305.5676384378089</v>
      </c>
      <c r="K3666" s="612"/>
      <c r="L3666" s="23">
        <f>0</f>
        <v>0</v>
      </c>
      <c r="M3666" s="24"/>
      <c r="N3666" s="25">
        <f>0</f>
        <v>0</v>
      </c>
      <c r="O3666" s="36">
        <f>+J3666</f>
        <v>2305.5676384378089</v>
      </c>
      <c r="P3666" s="38">
        <f>+O3666</f>
        <v>2305.5676384378089</v>
      </c>
    </row>
    <row r="3668" spans="9:16">
      <c r="I3668" s="395" t="s">
        <v>1584</v>
      </c>
      <c r="J3668" s="26"/>
      <c r="K3668" s="26"/>
      <c r="L3668" s="26"/>
      <c r="M3668" s="26"/>
      <c r="N3668" s="26"/>
      <c r="O3668" s="26"/>
    </row>
    <row r="3669" spans="9:16">
      <c r="I3669" s="408" t="s">
        <v>2485</v>
      </c>
      <c r="J3669" s="26"/>
      <c r="K3669" s="26"/>
      <c r="L3669" s="26"/>
      <c r="M3669" s="26"/>
      <c r="N3669" s="26"/>
      <c r="O3669" s="26"/>
    </row>
    <row r="3670" spans="9:16">
      <c r="I3670" s="26" t="s">
        <v>19</v>
      </c>
      <c r="J3670" s="26"/>
      <c r="K3670" s="26"/>
      <c r="L3670" s="26"/>
      <c r="M3670" s="26"/>
      <c r="N3670" s="26"/>
      <c r="O3670" s="26"/>
    </row>
    <row r="3671" spans="9:16">
      <c r="I3671" s="26" t="s">
        <v>965</v>
      </c>
      <c r="J3671" s="26"/>
      <c r="K3671" s="26"/>
      <c r="L3671" s="26"/>
      <c r="M3671" s="26"/>
      <c r="N3671" s="26"/>
      <c r="O3671" s="26"/>
    </row>
    <row r="3672" spans="9:16">
      <c r="I3672" s="26" t="s">
        <v>21</v>
      </c>
      <c r="J3672" s="26"/>
      <c r="K3672" s="26"/>
      <c r="L3672" s="26"/>
      <c r="M3672" s="26"/>
      <c r="N3672" s="26"/>
      <c r="O3672" s="26"/>
    </row>
    <row r="3673" spans="9:16">
      <c r="I3673" s="26" t="s">
        <v>1229</v>
      </c>
      <c r="J3673" s="26"/>
      <c r="K3673" s="26"/>
      <c r="L3673" s="26"/>
      <c r="M3673" s="26"/>
      <c r="N3673" s="26"/>
      <c r="O3673" s="26"/>
    </row>
    <row r="3674" spans="9:16">
      <c r="I3674" s="26"/>
      <c r="J3674" s="26"/>
      <c r="K3674" s="26"/>
      <c r="L3674" s="26"/>
      <c r="M3674" s="26"/>
      <c r="N3674" s="26"/>
      <c r="O3674" s="26"/>
    </row>
    <row r="3675" spans="9:16">
      <c r="I3675" s="26"/>
      <c r="J3675" s="26"/>
      <c r="K3675" s="26"/>
      <c r="L3675" s="26"/>
      <c r="M3675" s="26"/>
      <c r="N3675" s="26"/>
      <c r="O3675" s="26"/>
    </row>
    <row r="3677" spans="9:16">
      <c r="L3677" s="604" t="s">
        <v>24</v>
      </c>
      <c r="M3677" s="604"/>
      <c r="N3677" s="604"/>
      <c r="O3677" s="604"/>
    </row>
    <row r="3678" spans="9:16">
      <c r="L3678" s="604" t="s">
        <v>149</v>
      </c>
      <c r="M3678" s="604"/>
      <c r="N3678" s="604"/>
      <c r="O3678" s="604"/>
    </row>
    <row r="3679" spans="9:16">
      <c r="L3679" s="605" t="s">
        <v>150</v>
      </c>
      <c r="M3679" s="605"/>
      <c r="N3679" s="605"/>
      <c r="O3679" s="605"/>
    </row>
    <row r="3680" spans="9:16">
      <c r="L3680" s="30"/>
    </row>
    <row r="3681" spans="9:16">
      <c r="M3681" s="26"/>
      <c r="N3681" s="26"/>
      <c r="O3681" s="26"/>
    </row>
    <row r="3682" spans="9:16">
      <c r="L3682" s="616"/>
      <c r="M3682" s="616"/>
      <c r="N3682" s="616"/>
      <c r="O3682" s="616"/>
    </row>
    <row r="3687" spans="9:16">
      <c r="I3687" s="617" t="s">
        <v>2534</v>
      </c>
      <c r="J3687" s="617"/>
      <c r="K3687" s="617"/>
      <c r="L3687" s="617"/>
      <c r="M3687" s="617"/>
      <c r="N3687" s="617"/>
      <c r="O3687" s="617"/>
      <c r="P3687" s="617"/>
    </row>
    <row r="3690" spans="9:16" ht="49.5">
      <c r="I3690" s="642" t="s">
        <v>1</v>
      </c>
      <c r="J3690" s="642"/>
      <c r="K3690" s="642"/>
      <c r="L3690" s="642"/>
      <c r="M3690" s="642"/>
      <c r="N3690" s="642"/>
      <c r="O3690" s="642"/>
      <c r="P3690" s="642"/>
    </row>
    <row r="3693" spans="9:16" ht="17.25">
      <c r="I3693" s="375"/>
      <c r="J3693" s="503" t="s">
        <v>1397</v>
      </c>
    </row>
    <row r="3694" spans="9:16" ht="17.25" thickBot="1">
      <c r="I3694" s="30"/>
      <c r="O3694" s="141"/>
    </row>
    <row r="3695" spans="9:16">
      <c r="J3695" s="30"/>
      <c r="N3695" s="143"/>
      <c r="P3695" s="144"/>
    </row>
    <row r="3696" spans="9:16">
      <c r="N3696" s="647" t="s">
        <v>555</v>
      </c>
      <c r="O3696" s="610"/>
      <c r="P3696" s="648"/>
    </row>
    <row r="3697" spans="9:16">
      <c r="I3697" s="12" t="s">
        <v>114</v>
      </c>
      <c r="L3697" s="30"/>
      <c r="M3697" s="30" t="s">
        <v>2</v>
      </c>
      <c r="N3697" s="605" t="s">
        <v>1882</v>
      </c>
      <c r="O3697" s="605"/>
      <c r="P3697" s="649"/>
    </row>
    <row r="3698" spans="9:16">
      <c r="N3698" s="601" t="s">
        <v>163</v>
      </c>
      <c r="O3698" s="602"/>
      <c r="P3698" s="603"/>
    </row>
    <row r="3699" spans="9:16" ht="17.25" thickBot="1">
      <c r="N3699" s="140"/>
      <c r="O3699" s="141"/>
      <c r="P3699" s="142"/>
    </row>
    <row r="3701" spans="9:16">
      <c r="I3701" s="249" t="s">
        <v>27</v>
      </c>
      <c r="J3701" s="394" t="s">
        <v>115</v>
      </c>
    </row>
    <row r="3702" spans="9:16" ht="17.25" thickBot="1"/>
    <row r="3703" spans="9:16" ht="17.25" thickBot="1">
      <c r="I3703" s="13" t="s">
        <v>112</v>
      </c>
      <c r="J3703" s="624" t="s">
        <v>4</v>
      </c>
      <c r="K3703" s="625"/>
      <c r="L3703" s="625"/>
      <c r="M3703" s="625"/>
      <c r="N3703" s="625"/>
      <c r="O3703" s="626"/>
      <c r="P3703" s="20" t="s">
        <v>5</v>
      </c>
    </row>
    <row r="3704" spans="9:16">
      <c r="I3704" s="633" t="s">
        <v>2445</v>
      </c>
      <c r="J3704" s="143"/>
      <c r="K3704" s="159"/>
      <c r="L3704" s="159"/>
      <c r="M3704" s="159"/>
      <c r="N3704" s="159"/>
      <c r="O3704" s="144"/>
      <c r="P3704" s="291"/>
    </row>
    <row r="3705" spans="9:16">
      <c r="I3705" s="634"/>
      <c r="J3705" s="64"/>
      <c r="O3705" s="65"/>
      <c r="P3705" s="291"/>
    </row>
    <row r="3706" spans="9:16">
      <c r="I3706" s="634"/>
      <c r="J3706" s="630" t="s">
        <v>286</v>
      </c>
      <c r="K3706" s="631"/>
      <c r="L3706" s="631"/>
      <c r="M3706" s="631"/>
      <c r="N3706" s="631"/>
      <c r="O3706" s="632"/>
      <c r="P3706" s="291"/>
    </row>
    <row r="3707" spans="9:16">
      <c r="I3707" s="634"/>
      <c r="J3707" s="636" t="s">
        <v>2536</v>
      </c>
      <c r="K3707" s="637"/>
      <c r="L3707" s="637"/>
      <c r="M3707" s="637"/>
      <c r="N3707" s="637"/>
      <c r="O3707" s="638"/>
      <c r="P3707" s="148">
        <v>2400000</v>
      </c>
    </row>
    <row r="3708" spans="9:16">
      <c r="I3708" s="634"/>
      <c r="J3708" s="64"/>
      <c r="K3708" s="604"/>
      <c r="L3708" s="604"/>
      <c r="M3708" s="604"/>
      <c r="O3708" s="65"/>
      <c r="P3708" s="291"/>
    </row>
    <row r="3709" spans="9:16" ht="17.25" thickBot="1">
      <c r="I3709" s="635"/>
      <c r="J3709" s="140"/>
      <c r="K3709" s="141"/>
      <c r="L3709" s="141"/>
      <c r="M3709" s="141"/>
      <c r="N3709" s="141"/>
      <c r="O3709" s="142"/>
      <c r="P3709" s="291"/>
    </row>
    <row r="3710" spans="9:16" ht="17.25" thickBot="1">
      <c r="I3710" s="20" t="s">
        <v>12</v>
      </c>
      <c r="J3710" s="614" t="s">
        <v>13</v>
      </c>
      <c r="K3710" s="615"/>
      <c r="L3710" s="62" t="s">
        <v>14</v>
      </c>
      <c r="M3710" s="63"/>
      <c r="N3710" s="62" t="s">
        <v>15</v>
      </c>
      <c r="O3710" s="62" t="s">
        <v>16</v>
      </c>
      <c r="P3710" s="20" t="s">
        <v>17</v>
      </c>
    </row>
    <row r="3711" spans="9:16" ht="18" thickBot="1">
      <c r="I3711" s="22" t="s">
        <v>18</v>
      </c>
      <c r="J3711" s="606">
        <f>+P3707</f>
        <v>2400000</v>
      </c>
      <c r="K3711" s="607"/>
      <c r="L3711" s="23">
        <f>0</f>
        <v>0</v>
      </c>
      <c r="M3711" s="24"/>
      <c r="N3711" s="25">
        <f>0</f>
        <v>0</v>
      </c>
      <c r="O3711" s="36">
        <f>+J3711</f>
        <v>2400000</v>
      </c>
      <c r="P3711" s="38">
        <f>+P3707</f>
        <v>2400000</v>
      </c>
    </row>
    <row r="3712" spans="9:16" ht="18" thickBot="1">
      <c r="I3712" s="22" t="s">
        <v>113</v>
      </c>
      <c r="J3712" s="643">
        <f>+J3711/650.599</f>
        <v>3688.9082215004937</v>
      </c>
      <c r="K3712" s="612"/>
      <c r="L3712" s="23">
        <f>0</f>
        <v>0</v>
      </c>
      <c r="M3712" s="24"/>
      <c r="N3712" s="25">
        <f>0</f>
        <v>0</v>
      </c>
      <c r="O3712" s="36">
        <f>+J3712</f>
        <v>3688.9082215004937</v>
      </c>
      <c r="P3712" s="38">
        <f>+O3712</f>
        <v>3688.9082215004937</v>
      </c>
    </row>
    <row r="3714" spans="9:15">
      <c r="I3714" s="395" t="s">
        <v>1584</v>
      </c>
      <c r="J3714" s="26"/>
      <c r="K3714" s="26"/>
      <c r="L3714" s="26"/>
      <c r="M3714" s="26"/>
      <c r="N3714" s="26"/>
      <c r="O3714" s="26"/>
    </row>
    <row r="3715" spans="9:15">
      <c r="I3715" s="408" t="s">
        <v>2473</v>
      </c>
      <c r="J3715" s="26"/>
      <c r="K3715" s="26"/>
      <c r="L3715" s="26"/>
      <c r="M3715" s="26"/>
      <c r="N3715" s="26"/>
      <c r="O3715" s="26"/>
    </row>
    <row r="3716" spans="9:15">
      <c r="I3716" s="26" t="s">
        <v>19</v>
      </c>
      <c r="J3716" s="26"/>
      <c r="K3716" s="26"/>
      <c r="L3716" s="26"/>
      <c r="M3716" s="26"/>
      <c r="N3716" s="26"/>
      <c r="O3716" s="26"/>
    </row>
    <row r="3717" spans="9:15">
      <c r="I3717" s="26" t="s">
        <v>965</v>
      </c>
      <c r="J3717" s="26"/>
      <c r="K3717" s="26"/>
      <c r="L3717" s="26"/>
      <c r="M3717" s="26"/>
      <c r="N3717" s="26"/>
      <c r="O3717" s="26"/>
    </row>
    <row r="3718" spans="9:15">
      <c r="I3718" s="26" t="s">
        <v>21</v>
      </c>
      <c r="J3718" s="26"/>
      <c r="K3718" s="26"/>
      <c r="L3718" s="26"/>
      <c r="M3718" s="26"/>
      <c r="N3718" s="26"/>
      <c r="O3718" s="26"/>
    </row>
    <row r="3719" spans="9:15">
      <c r="I3719" s="26" t="s">
        <v>1229</v>
      </c>
      <c r="J3719" s="26"/>
      <c r="K3719" s="26"/>
      <c r="L3719" s="26"/>
      <c r="M3719" s="26"/>
      <c r="N3719" s="26"/>
      <c r="O3719" s="26"/>
    </row>
    <row r="3720" spans="9:15">
      <c r="I3720" s="26"/>
      <c r="J3720" s="26"/>
      <c r="K3720" s="26"/>
      <c r="L3720" s="26"/>
      <c r="M3720" s="26"/>
      <c r="N3720" s="26"/>
      <c r="O3720" s="26"/>
    </row>
    <row r="3722" spans="9:15">
      <c r="L3722" s="604" t="s">
        <v>24</v>
      </c>
      <c r="M3722" s="604"/>
      <c r="N3722" s="604"/>
      <c r="O3722" s="604"/>
    </row>
    <row r="3723" spans="9:15">
      <c r="L3723" s="604" t="s">
        <v>149</v>
      </c>
      <c r="M3723" s="604"/>
      <c r="N3723" s="604"/>
      <c r="O3723" s="604"/>
    </row>
    <row r="3724" spans="9:15">
      <c r="L3724" s="605" t="s">
        <v>150</v>
      </c>
      <c r="M3724" s="605"/>
      <c r="N3724" s="605"/>
      <c r="O3724" s="605"/>
    </row>
    <row r="3725" spans="9:15">
      <c r="L3725" s="30"/>
    </row>
    <row r="3726" spans="9:15" ht="17.25">
      <c r="L3726" s="645"/>
      <c r="M3726" s="645"/>
      <c r="N3726" s="645"/>
      <c r="O3726" s="645"/>
    </row>
    <row r="3727" spans="9:15" ht="17.25">
      <c r="L3727" s="645"/>
      <c r="M3727" s="645"/>
      <c r="N3727" s="645"/>
      <c r="O3727" s="645"/>
    </row>
    <row r="3728" spans="9:15" ht="17.25">
      <c r="L3728" s="645" t="s">
        <v>2347</v>
      </c>
      <c r="M3728" s="645"/>
      <c r="N3728" s="645"/>
      <c r="O3728" s="645"/>
    </row>
  </sheetData>
  <mergeCells count="1557">
    <mergeCell ref="J3495:K3495"/>
    <mergeCell ref="K1262:M1262"/>
    <mergeCell ref="J1264:K1264"/>
    <mergeCell ref="K2064:N2064"/>
    <mergeCell ref="N2070:P2070"/>
    <mergeCell ref="L1534:O1534"/>
    <mergeCell ref="L2264:O2264"/>
    <mergeCell ref="L2571:O2571"/>
    <mergeCell ref="I2914:P2914"/>
    <mergeCell ref="J3326:K3326"/>
    <mergeCell ref="N2966:P2966"/>
    <mergeCell ref="L1532:O1532"/>
    <mergeCell ref="I3275:I3280"/>
    <mergeCell ref="J3239:K3239"/>
    <mergeCell ref="N3312:P3312"/>
    <mergeCell ref="L2992:O2992"/>
    <mergeCell ref="J3492:O3492"/>
    <mergeCell ref="J1435:K1435"/>
    <mergeCell ref="L3340:O3340"/>
    <mergeCell ref="J2938:K2938"/>
    <mergeCell ref="J2939:K2939"/>
    <mergeCell ref="J3108:K3108"/>
    <mergeCell ref="N3095:P3095"/>
    <mergeCell ref="I2575:P2575"/>
    <mergeCell ref="K3148:M3148"/>
    <mergeCell ref="L1276:O1276"/>
    <mergeCell ref="N1293:P1293"/>
    <mergeCell ref="N1294:P1294"/>
    <mergeCell ref="I1287:P1287"/>
    <mergeCell ref="J1304:O1304"/>
    <mergeCell ref="I1258:I1263"/>
    <mergeCell ref="Q2:W2"/>
    <mergeCell ref="U7:W7"/>
    <mergeCell ref="U8:W8"/>
    <mergeCell ref="U9:W9"/>
    <mergeCell ref="R15:V15"/>
    <mergeCell ref="Q16:Q21"/>
    <mergeCell ref="R17:V17"/>
    <mergeCell ref="R18:V18"/>
    <mergeCell ref="R19:V19"/>
    <mergeCell ref="S20:T20"/>
    <mergeCell ref="R24:S24"/>
    <mergeCell ref="T39:V39"/>
    <mergeCell ref="T40:V40"/>
    <mergeCell ref="Q69:T69"/>
    <mergeCell ref="T41:V41"/>
    <mergeCell ref="N8:P8"/>
    <mergeCell ref="J1215:O1215"/>
    <mergeCell ref="I1241:P1241"/>
    <mergeCell ref="J1260:O1260"/>
    <mergeCell ref="J920:O920"/>
    <mergeCell ref="L855:O855"/>
    <mergeCell ref="L982:O982"/>
    <mergeCell ref="K921:M921"/>
    <mergeCell ref="L856:O856"/>
    <mergeCell ref="I903:P903"/>
    <mergeCell ref="J881:K881"/>
    <mergeCell ref="L935:O935"/>
    <mergeCell ref="I948:P948"/>
    <mergeCell ref="J877:O877"/>
    <mergeCell ref="J3496:K3496"/>
    <mergeCell ref="A300:H300"/>
    <mergeCell ref="A168:H168"/>
    <mergeCell ref="A211:H211"/>
    <mergeCell ref="J3319:O3319"/>
    <mergeCell ref="N3313:P3313"/>
    <mergeCell ref="J321:O321"/>
    <mergeCell ref="J322:O322"/>
    <mergeCell ref="K3279:M3279"/>
    <mergeCell ref="N3181:P3181"/>
    <mergeCell ref="N3182:P3182"/>
    <mergeCell ref="I3434:P3434"/>
    <mergeCell ref="L3469:O3469"/>
    <mergeCell ref="J1181:K1181"/>
    <mergeCell ref="J964:O964"/>
    <mergeCell ref="J965:O965"/>
    <mergeCell ref="I1030:P1030"/>
    <mergeCell ref="N997:P997"/>
    <mergeCell ref="J2896:K2896"/>
    <mergeCell ref="L2870:O2870"/>
    <mergeCell ref="L2825:O2825"/>
    <mergeCell ref="I991:P991"/>
    <mergeCell ref="K966:M966"/>
    <mergeCell ref="I1033:P1033"/>
    <mergeCell ref="L3171:O3171"/>
    <mergeCell ref="I2888:I2893"/>
    <mergeCell ref="J3491:O3491"/>
    <mergeCell ref="K3493:M3493"/>
    <mergeCell ref="J1352:K1352"/>
    <mergeCell ref="L1364:O1364"/>
    <mergeCell ref="L1368:O1368"/>
    <mergeCell ref="N1379:P1379"/>
    <mergeCell ref="N3483:P3483"/>
    <mergeCell ref="J3488:O3488"/>
    <mergeCell ref="I3489:I3494"/>
    <mergeCell ref="J3347:P3347"/>
    <mergeCell ref="J3497:K3497"/>
    <mergeCell ref="N3399:P3399"/>
    <mergeCell ref="N3400:P3400"/>
    <mergeCell ref="J3451:O3451"/>
    <mergeCell ref="I3017:I3022"/>
    <mergeCell ref="L2438:O2438"/>
    <mergeCell ref="I2801:I2806"/>
    <mergeCell ref="L2357:O2357"/>
    <mergeCell ref="I1430:I1434"/>
    <mergeCell ref="J2894:K2894"/>
    <mergeCell ref="N3137:P3137"/>
    <mergeCell ref="N3138:P3138"/>
    <mergeCell ref="J3143:O3143"/>
    <mergeCell ref="I2418:I2423"/>
    <mergeCell ref="J3195:K3195"/>
    <mergeCell ref="J2890:O2890"/>
    <mergeCell ref="N3136:P3136"/>
    <mergeCell ref="N3051:P3051"/>
    <mergeCell ref="J3327:K3327"/>
    <mergeCell ref="I3000:P3000"/>
    <mergeCell ref="J2981:K2981"/>
    <mergeCell ref="K3003:N3003"/>
    <mergeCell ref="N3009:P3009"/>
    <mergeCell ref="J3058:O3058"/>
    <mergeCell ref="J3023:K3023"/>
    <mergeCell ref="I3042:P3042"/>
    <mergeCell ref="I3085:P3085"/>
    <mergeCell ref="L2998:O2998"/>
    <mergeCell ref="L1022:O1022"/>
    <mergeCell ref="L1029:O1029"/>
    <mergeCell ref="N1251:P1251"/>
    <mergeCell ref="J1177:O1177"/>
    <mergeCell ref="L1235:O1235"/>
    <mergeCell ref="L1239:O1239"/>
    <mergeCell ref="N1167:P1167"/>
    <mergeCell ref="I1202:P1202"/>
    <mergeCell ref="J1218:O1218"/>
    <mergeCell ref="N3524:P3524"/>
    <mergeCell ref="N3525:P3525"/>
    <mergeCell ref="N3526:P3526"/>
    <mergeCell ref="J3531:O3531"/>
    <mergeCell ref="L3343:O3343"/>
    <mergeCell ref="I3350:P3350"/>
    <mergeCell ref="N3356:P3356"/>
    <mergeCell ref="N3357:P3357"/>
    <mergeCell ref="N3358:P3358"/>
    <mergeCell ref="J3363:O3363"/>
    <mergeCell ref="I3364:I3369"/>
    <mergeCell ref="J3366:O3366"/>
    <mergeCell ref="J3367:O3367"/>
    <mergeCell ref="K3368:M3368"/>
    <mergeCell ref="J3414:K3414"/>
    <mergeCell ref="J3415:K3415"/>
    <mergeCell ref="J3413:K3413"/>
    <mergeCell ref="J3370:K3370"/>
    <mergeCell ref="J3371:K3371"/>
    <mergeCell ref="L3346:O3346"/>
    <mergeCell ref="I3476:P3476"/>
    <mergeCell ref="N3481:P3481"/>
    <mergeCell ref="N3482:P3482"/>
    <mergeCell ref="N1124:P1124"/>
    <mergeCell ref="J1180:K1180"/>
    <mergeCell ref="J1176:O1176"/>
    <mergeCell ref="N1039:P1039"/>
    <mergeCell ref="L1196:O1196"/>
    <mergeCell ref="J2847:O2847"/>
    <mergeCell ref="K2760:M2760"/>
    <mergeCell ref="J2808:K2808"/>
    <mergeCell ref="L2865:O2865"/>
    <mergeCell ref="L2864:O2864"/>
    <mergeCell ref="L2863:O2863"/>
    <mergeCell ref="I1330:P1330"/>
    <mergeCell ref="K1305:M1305"/>
    <mergeCell ref="J1307:K1307"/>
    <mergeCell ref="J1308:K1308"/>
    <mergeCell ref="J1309:K1309"/>
    <mergeCell ref="L1321:O1321"/>
    <mergeCell ref="I1370:P1370"/>
    <mergeCell ref="N1337:P1337"/>
    <mergeCell ref="J1221:K1221"/>
    <mergeCell ref="I1387:I1391"/>
    <mergeCell ref="J1343:O1343"/>
    <mergeCell ref="N1381:P1381"/>
    <mergeCell ref="J1386:O1386"/>
    <mergeCell ref="J1261:O1261"/>
    <mergeCell ref="N1250:P1250"/>
    <mergeCell ref="J1054:K1054"/>
    <mergeCell ref="J1732:O1732"/>
    <mergeCell ref="J1606:K1606"/>
    <mergeCell ref="N1252:P1252"/>
    <mergeCell ref="J1257:O1257"/>
    <mergeCell ref="J1431:O1431"/>
    <mergeCell ref="L852:O852"/>
    <mergeCell ref="I860:P860"/>
    <mergeCell ref="I874:I879"/>
    <mergeCell ref="J873:O873"/>
    <mergeCell ref="J882:K882"/>
    <mergeCell ref="N866:P866"/>
    <mergeCell ref="J919:O919"/>
    <mergeCell ref="L897:O897"/>
    <mergeCell ref="N909:P909"/>
    <mergeCell ref="J970:K970"/>
    <mergeCell ref="N1082:P1082"/>
    <mergeCell ref="L1109:O1109"/>
    <mergeCell ref="J1096:K1096"/>
    <mergeCell ref="I1089:I1094"/>
    <mergeCell ref="J969:K969"/>
    <mergeCell ref="J2930:O2930"/>
    <mergeCell ref="N2967:P2967"/>
    <mergeCell ref="L2912:O2912"/>
    <mergeCell ref="K1178:M1178"/>
    <mergeCell ref="J1179:K1179"/>
    <mergeCell ref="N999:P999"/>
    <mergeCell ref="J1004:O1004"/>
    <mergeCell ref="J1091:O1091"/>
    <mergeCell ref="I1073:P1073"/>
    <mergeCell ref="I1076:P1076"/>
    <mergeCell ref="I1199:P1199"/>
    <mergeCell ref="I1100:O1100"/>
    <mergeCell ref="L1156:O1156"/>
    <mergeCell ref="N1166:P1166"/>
    <mergeCell ref="N1041:P1041"/>
    <mergeCell ref="J1049:O1049"/>
    <mergeCell ref="N2880:P2880"/>
    <mergeCell ref="I945:P945"/>
    <mergeCell ref="J900:P900"/>
    <mergeCell ref="L1024:O1024"/>
    <mergeCell ref="K1093:M1093"/>
    <mergeCell ref="K1009:M1009"/>
    <mergeCell ref="L1071:O1071"/>
    <mergeCell ref="L1072:O1072"/>
    <mergeCell ref="J1137:K1137"/>
    <mergeCell ref="K1135:M1135"/>
    <mergeCell ref="J1138:K1138"/>
    <mergeCell ref="N3010:P3010"/>
    <mergeCell ref="L2993:O2993"/>
    <mergeCell ref="L2951:O2951"/>
    <mergeCell ref="I2960:P2960"/>
    <mergeCell ref="N2629:P2629"/>
    <mergeCell ref="J2716:O2716"/>
    <mergeCell ref="N998:P998"/>
    <mergeCell ref="N956:P956"/>
    <mergeCell ref="J968:K968"/>
    <mergeCell ref="J1010:K1010"/>
    <mergeCell ref="L936:O936"/>
    <mergeCell ref="L981:O981"/>
    <mergeCell ref="L980:O980"/>
    <mergeCell ref="I1157:P1157"/>
    <mergeCell ref="I1117:P1117"/>
    <mergeCell ref="L1112:O1112"/>
    <mergeCell ref="I1005:I1009"/>
    <mergeCell ref="J1046:O1046"/>
    <mergeCell ref="I1047:I1052"/>
    <mergeCell ref="J2933:O2933"/>
    <mergeCell ref="J1222:K1222"/>
    <mergeCell ref="I1344:I1349"/>
    <mergeCell ref="L3081:O3081"/>
    <mergeCell ref="L3126:O3126"/>
    <mergeCell ref="L3080:O3080"/>
    <mergeCell ref="I2871:P2871"/>
    <mergeCell ref="J2976:O2976"/>
    <mergeCell ref="J2657:P2657"/>
    <mergeCell ref="I2660:P2660"/>
    <mergeCell ref="N2749:P2749"/>
    <mergeCell ref="N2750:P2750"/>
    <mergeCell ref="J2722:K2722"/>
    <mergeCell ref="L2734:O2734"/>
    <mergeCell ref="I2756:I2761"/>
    <mergeCell ref="I2742:P2742"/>
    <mergeCell ref="I2700:P2700"/>
    <mergeCell ref="I2697:P2697"/>
    <mergeCell ref="J2717:O2717"/>
    <mergeCell ref="K2805:M2805"/>
    <mergeCell ref="L2691:O2691"/>
    <mergeCell ref="L2692:O2692"/>
    <mergeCell ref="L2693:O2693"/>
    <mergeCell ref="L2696:O2696"/>
    <mergeCell ref="J3110:K3110"/>
    <mergeCell ref="J3024:K3024"/>
    <mergeCell ref="J3025:K3025"/>
    <mergeCell ref="L3039:O3039"/>
    <mergeCell ref="N3011:P3011"/>
    <mergeCell ref="J3016:O3016"/>
    <mergeCell ref="L2994:O2994"/>
    <mergeCell ref="J3064:K3064"/>
    <mergeCell ref="K2892:M2892"/>
    <mergeCell ref="J3065:K3065"/>
    <mergeCell ref="K2849:M2849"/>
    <mergeCell ref="N2968:P2968"/>
    <mergeCell ref="I2739:P2739"/>
    <mergeCell ref="I2917:P2917"/>
    <mergeCell ref="N2924:P2924"/>
    <mergeCell ref="J2975:O2975"/>
    <mergeCell ref="N2839:P2839"/>
    <mergeCell ref="J2844:O2844"/>
    <mergeCell ref="L2781:O2781"/>
    <mergeCell ref="L2908:O2908"/>
    <mergeCell ref="L2907:O2907"/>
    <mergeCell ref="L2906:O2906"/>
    <mergeCell ref="J2809:K2809"/>
    <mergeCell ref="J2895:K2895"/>
    <mergeCell ref="N2837:P2837"/>
    <mergeCell ref="N2882:P2882"/>
    <mergeCell ref="I2784:P2784"/>
    <mergeCell ref="J3066:K3066"/>
    <mergeCell ref="J2759:O2759"/>
    <mergeCell ref="N2925:P2925"/>
    <mergeCell ref="J2973:O2973"/>
    <mergeCell ref="K3021:M3021"/>
    <mergeCell ref="L2954:O2954"/>
    <mergeCell ref="I3045:P3045"/>
    <mergeCell ref="J2934:O2934"/>
    <mergeCell ref="J2764:K2764"/>
    <mergeCell ref="L2777:O2777"/>
    <mergeCell ref="J2848:O2848"/>
    <mergeCell ref="N2748:P2748"/>
    <mergeCell ref="N2881:P2881"/>
    <mergeCell ref="J2891:O2891"/>
    <mergeCell ref="I2974:I2978"/>
    <mergeCell ref="L2783:O2783"/>
    <mergeCell ref="J2679:K2679"/>
    <mergeCell ref="L1277:O1277"/>
    <mergeCell ref="J3274:O3274"/>
    <mergeCell ref="N2707:P2707"/>
    <mergeCell ref="J3282:K3282"/>
    <mergeCell ref="J2979:K2979"/>
    <mergeCell ref="J2980:K2980"/>
    <mergeCell ref="N2923:P2923"/>
    <mergeCell ref="J2803:O2803"/>
    <mergeCell ref="J3188:O3188"/>
    <mergeCell ref="L2949:O2949"/>
    <mergeCell ref="L2950:O2950"/>
    <mergeCell ref="I3088:P3088"/>
    <mergeCell ref="I3130:P3130"/>
    <mergeCell ref="L3040:O3040"/>
    <mergeCell ref="K2977:M2977"/>
    <mergeCell ref="I2931:I2936"/>
    <mergeCell ref="J3258:P3258"/>
    <mergeCell ref="K3261:N3261"/>
    <mergeCell ref="J2853:K2853"/>
    <mergeCell ref="J2852:K2852"/>
    <mergeCell ref="N3052:P3052"/>
    <mergeCell ref="N3053:P3053"/>
    <mergeCell ref="N3267:P3267"/>
    <mergeCell ref="I2957:P2957"/>
    <mergeCell ref="N3268:P3268"/>
    <mergeCell ref="J3150:K3150"/>
    <mergeCell ref="K3193:M3193"/>
    <mergeCell ref="J2887:O2887"/>
    <mergeCell ref="I2787:P2787"/>
    <mergeCell ref="J3238:K3238"/>
    <mergeCell ref="J3240:K3240"/>
    <mergeCell ref="J2937:K2937"/>
    <mergeCell ref="J2208:K2208"/>
    <mergeCell ref="L2612:O2612"/>
    <mergeCell ref="N2668:P2668"/>
    <mergeCell ref="L2821:O2821"/>
    <mergeCell ref="J2290:O2290"/>
    <mergeCell ref="J2244:O2244"/>
    <mergeCell ref="I2245:I2249"/>
    <mergeCell ref="J2251:K2251"/>
    <mergeCell ref="I2231:P2231"/>
    <mergeCell ref="J2358:P2358"/>
    <mergeCell ref="N2237:P2237"/>
    <mergeCell ref="K2336:M2336"/>
    <mergeCell ref="K2935:M2935"/>
    <mergeCell ref="J2462:O2462"/>
    <mergeCell ref="L2570:O2570"/>
    <mergeCell ref="I2489:P2489"/>
    <mergeCell ref="N2452:P2452"/>
    <mergeCell ref="J2554:K2554"/>
    <mergeCell ref="J2509:K2509"/>
    <mergeCell ref="J2549:O2549"/>
    <mergeCell ref="J2643:K2643"/>
    <mergeCell ref="N2708:P2708"/>
    <mergeCell ref="J2340:K2340"/>
    <mergeCell ref="N2794:P2794"/>
    <mergeCell ref="I2874:P2874"/>
    <mergeCell ref="N2628:P2628"/>
    <mergeCell ref="I2845:I2850"/>
    <mergeCell ref="I2831:P2831"/>
    <mergeCell ref="L2819:O2819"/>
    <mergeCell ref="I2618:P2618"/>
    <mergeCell ref="J2680:K2680"/>
    <mergeCell ref="J2851:K2851"/>
    <mergeCell ref="J2800:O2800"/>
    <mergeCell ref="J2713:O2713"/>
    <mergeCell ref="L2737:O2737"/>
    <mergeCell ref="J2720:K2720"/>
    <mergeCell ref="J2641:K2641"/>
    <mergeCell ref="L2655:O2655"/>
    <mergeCell ref="J2548:O2548"/>
    <mergeCell ref="J2638:O2638"/>
    <mergeCell ref="J2637:O2637"/>
    <mergeCell ref="J2599:K2599"/>
    <mergeCell ref="J2600:K2600"/>
    <mergeCell ref="J2642:K2642"/>
    <mergeCell ref="K2361:N2361"/>
    <mergeCell ref="K2639:M2639"/>
    <mergeCell ref="K2464:M2464"/>
    <mergeCell ref="N2667:P2667"/>
    <mergeCell ref="J2807:K2807"/>
    <mergeCell ref="J2595:O2595"/>
    <mergeCell ref="I2578:P2578"/>
    <mergeCell ref="I2532:P2532"/>
    <mergeCell ref="J2420:O2420"/>
    <mergeCell ref="J2421:O2421"/>
    <mergeCell ref="N2586:P2586"/>
    <mergeCell ref="J2673:O2673"/>
    <mergeCell ref="N2838:P2838"/>
    <mergeCell ref="J2598:K2598"/>
    <mergeCell ref="J2594:O2594"/>
    <mergeCell ref="J2511:K2511"/>
    <mergeCell ref="N2584:P2584"/>
    <mergeCell ref="J2762:K2762"/>
    <mergeCell ref="K2596:M2596"/>
    <mergeCell ref="N954:P954"/>
    <mergeCell ref="J916:O916"/>
    <mergeCell ref="J1008:O1008"/>
    <mergeCell ref="N1208:P1208"/>
    <mergeCell ref="N1209:P1209"/>
    <mergeCell ref="N1210:P1210"/>
    <mergeCell ref="N1040:P1040"/>
    <mergeCell ref="J830:O830"/>
    <mergeCell ref="J925:K925"/>
    <mergeCell ref="L937:O937"/>
    <mergeCell ref="L986:O986"/>
    <mergeCell ref="J880:K880"/>
    <mergeCell ref="J1055:K1055"/>
    <mergeCell ref="N1123:P1123"/>
    <mergeCell ref="J2200:O2200"/>
    <mergeCell ref="J2294:K2294"/>
    <mergeCell ref="J2315:P2315"/>
    <mergeCell ref="J2295:K2295"/>
    <mergeCell ref="K2291:M2291"/>
    <mergeCell ref="L2263:O2263"/>
    <mergeCell ref="L2262:O2262"/>
    <mergeCell ref="J1139:K1139"/>
    <mergeCell ref="N955:P955"/>
    <mergeCell ref="L894:O894"/>
    <mergeCell ref="L941:O941"/>
    <mergeCell ref="I1160:P1160"/>
    <mergeCell ref="L1154:O1154"/>
    <mergeCell ref="J1012:K1012"/>
    <mergeCell ref="I917:I922"/>
    <mergeCell ref="L1193:O1193"/>
    <mergeCell ref="K1051:M1051"/>
    <mergeCell ref="L1068:O1068"/>
    <mergeCell ref="J792:O792"/>
    <mergeCell ref="I789:I794"/>
    <mergeCell ref="J795:K795"/>
    <mergeCell ref="J791:O791"/>
    <mergeCell ref="J796:K796"/>
    <mergeCell ref="J797:K797"/>
    <mergeCell ref="K793:M793"/>
    <mergeCell ref="J839:K839"/>
    <mergeCell ref="J788:O788"/>
    <mergeCell ref="N655:P655"/>
    <mergeCell ref="L637:O637"/>
    <mergeCell ref="J838:K838"/>
    <mergeCell ref="N823:P823"/>
    <mergeCell ref="N824:P824"/>
    <mergeCell ref="N825:P825"/>
    <mergeCell ref="J837:K837"/>
    <mergeCell ref="L813:O813"/>
    <mergeCell ref="J815:P815"/>
    <mergeCell ref="J833:O833"/>
    <mergeCell ref="J834:O834"/>
    <mergeCell ref="J667:K667"/>
    <mergeCell ref="J660:O660"/>
    <mergeCell ref="I818:P818"/>
    <mergeCell ref="K835:M835"/>
    <mergeCell ref="I831:I836"/>
    <mergeCell ref="N740:P740"/>
    <mergeCell ref="N741:P741"/>
    <mergeCell ref="J620:O620"/>
    <mergeCell ref="N698:P698"/>
    <mergeCell ref="N654:P654"/>
    <mergeCell ref="I687:P687"/>
    <mergeCell ref="L728:O728"/>
    <mergeCell ref="K621:M621"/>
    <mergeCell ref="J601:P601"/>
    <mergeCell ref="I561:P561"/>
    <mergeCell ref="J668:K668"/>
    <mergeCell ref="I617:I622"/>
    <mergeCell ref="J755:K755"/>
    <mergeCell ref="L681:O681"/>
    <mergeCell ref="I733:P733"/>
    <mergeCell ref="L685:O685"/>
    <mergeCell ref="I604:P604"/>
    <mergeCell ref="N610:P610"/>
    <mergeCell ref="N611:P611"/>
    <mergeCell ref="N696:P696"/>
    <mergeCell ref="N697:P697"/>
    <mergeCell ref="N612:P612"/>
    <mergeCell ref="J616:O616"/>
    <mergeCell ref="B567:G567"/>
    <mergeCell ref="I558:P558"/>
    <mergeCell ref="K563:N563"/>
    <mergeCell ref="A510:H510"/>
    <mergeCell ref="A526:A532"/>
    <mergeCell ref="A485:A489"/>
    <mergeCell ref="F520:H520"/>
    <mergeCell ref="E591:G591"/>
    <mergeCell ref="L598:O598"/>
    <mergeCell ref="J581:K581"/>
    <mergeCell ref="I704:I709"/>
    <mergeCell ref="J746:O746"/>
    <mergeCell ref="N783:P783"/>
    <mergeCell ref="K520:N520"/>
    <mergeCell ref="J535:O535"/>
    <mergeCell ref="I519:P519"/>
    <mergeCell ref="N524:P524"/>
    <mergeCell ref="J619:O619"/>
    <mergeCell ref="K665:M665"/>
    <mergeCell ref="J624:K624"/>
    <mergeCell ref="N739:P739"/>
    <mergeCell ref="L641:O641"/>
    <mergeCell ref="J644:P644"/>
    <mergeCell ref="N525:P525"/>
    <mergeCell ref="J663:O663"/>
    <mergeCell ref="J754:K754"/>
    <mergeCell ref="J772:P772"/>
    <mergeCell ref="L770:O770"/>
    <mergeCell ref="B576:C576"/>
    <mergeCell ref="E588:G588"/>
    <mergeCell ref="L552:O552"/>
    <mergeCell ref="J539:K539"/>
    <mergeCell ref="C555:F555"/>
    <mergeCell ref="F560:H560"/>
    <mergeCell ref="F562:H562"/>
    <mergeCell ref="L301:O301"/>
    <mergeCell ref="B359:F359"/>
    <mergeCell ref="B441:G441"/>
    <mergeCell ref="J451:O451"/>
    <mergeCell ref="J450:O450"/>
    <mergeCell ref="K452:M452"/>
    <mergeCell ref="L428:O428"/>
    <mergeCell ref="I434:P434"/>
    <mergeCell ref="B366:C366"/>
    <mergeCell ref="A383:H383"/>
    <mergeCell ref="F393:H393"/>
    <mergeCell ref="A400:A409"/>
    <mergeCell ref="L423:O423"/>
    <mergeCell ref="L424:O424"/>
    <mergeCell ref="J405:O405"/>
    <mergeCell ref="B527:C527"/>
    <mergeCell ref="E527:G527"/>
    <mergeCell ref="E551:G551"/>
    <mergeCell ref="B484:G484"/>
    <mergeCell ref="E507:G507"/>
    <mergeCell ref="L512:O512"/>
    <mergeCell ref="I491:I494"/>
    <mergeCell ref="J494:O494"/>
    <mergeCell ref="N526:P526"/>
    <mergeCell ref="L557:O557"/>
    <mergeCell ref="I532:I537"/>
    <mergeCell ref="E336:G336"/>
    <mergeCell ref="A425:H425"/>
    <mergeCell ref="A428:H428"/>
    <mergeCell ref="E422:H422"/>
    <mergeCell ref="E423:H423"/>
    <mergeCell ref="F435:H435"/>
    <mergeCell ref="E381:H381"/>
    <mergeCell ref="L381:O381"/>
    <mergeCell ref="I392:P392"/>
    <mergeCell ref="I303:P303"/>
    <mergeCell ref="A257:H257"/>
    <mergeCell ref="E295:H295"/>
    <mergeCell ref="E294:H294"/>
    <mergeCell ref="F306:H306"/>
    <mergeCell ref="F392:H392"/>
    <mergeCell ref="F434:H434"/>
    <mergeCell ref="J412:K412"/>
    <mergeCell ref="N441:P441"/>
    <mergeCell ref="N440:P440"/>
    <mergeCell ref="J370:K370"/>
    <mergeCell ref="L386:O386"/>
    <mergeCell ref="B321:C321"/>
    <mergeCell ref="N356:P356"/>
    <mergeCell ref="F348:H348"/>
    <mergeCell ref="J325:K325"/>
    <mergeCell ref="J326:K326"/>
    <mergeCell ref="B411:C411"/>
    <mergeCell ref="B412:C412"/>
    <mergeCell ref="B400:F400"/>
    <mergeCell ref="F263:H263"/>
    <mergeCell ref="I277:I282"/>
    <mergeCell ref="A313:A319"/>
    <mergeCell ref="B314:C314"/>
    <mergeCell ref="N355:P355"/>
    <mergeCell ref="J365:O365"/>
    <mergeCell ref="B356:F356"/>
    <mergeCell ref="K237:M237"/>
    <mergeCell ref="L259:O259"/>
    <mergeCell ref="L297:O297"/>
    <mergeCell ref="I233:I238"/>
    <mergeCell ref="K192:M192"/>
    <mergeCell ref="J189:O189"/>
    <mergeCell ref="N357:P357"/>
    <mergeCell ref="B367:C367"/>
    <mergeCell ref="K323:M323"/>
    <mergeCell ref="N271:P271"/>
    <mergeCell ref="N269:P269"/>
    <mergeCell ref="B194:C194"/>
    <mergeCell ref="E207:G207"/>
    <mergeCell ref="I217:P217"/>
    <mergeCell ref="I260:P260"/>
    <mergeCell ref="A340:H340"/>
    <mergeCell ref="J283:K283"/>
    <mergeCell ref="J318:O318"/>
    <mergeCell ref="J285:K285"/>
    <mergeCell ref="K306:N306"/>
    <mergeCell ref="N270:P270"/>
    <mergeCell ref="N223:P223"/>
    <mergeCell ref="B226:G226"/>
    <mergeCell ref="L254:O254"/>
    <mergeCell ref="L339:O339"/>
    <mergeCell ref="L338:O338"/>
    <mergeCell ref="A210:H210"/>
    <mergeCell ref="R145:U145"/>
    <mergeCell ref="U125:V125"/>
    <mergeCell ref="R102:U102"/>
    <mergeCell ref="E144:G144"/>
    <mergeCell ref="I131:P131"/>
    <mergeCell ref="J144:O144"/>
    <mergeCell ref="J148:O148"/>
    <mergeCell ref="A172:H172"/>
    <mergeCell ref="I170:P170"/>
    <mergeCell ref="F264:H264"/>
    <mergeCell ref="F49:H49"/>
    <mergeCell ref="B108:C108"/>
    <mergeCell ref="L382:O382"/>
    <mergeCell ref="I349:P349"/>
    <mergeCell ref="I346:P346"/>
    <mergeCell ref="E337:H337"/>
    <mergeCell ref="E166:G166"/>
    <mergeCell ref="J195:K195"/>
    <mergeCell ref="J196:K196"/>
    <mergeCell ref="L212:O212"/>
    <mergeCell ref="N180:P180"/>
    <mergeCell ref="N136:P136"/>
    <mergeCell ref="Q101:Q107"/>
    <mergeCell ref="A297:H297"/>
    <mergeCell ref="B193:C193"/>
    <mergeCell ref="L211:O211"/>
    <mergeCell ref="J190:O190"/>
    <mergeCell ref="J194:K194"/>
    <mergeCell ref="J239:K239"/>
    <mergeCell ref="J240:K240"/>
    <mergeCell ref="J241:K241"/>
    <mergeCell ref="E272:G272"/>
    <mergeCell ref="C214:F214"/>
    <mergeCell ref="F217:H217"/>
    <mergeCell ref="B107:C107"/>
    <mergeCell ref="F265:H265"/>
    <mergeCell ref="B235:C235"/>
    <mergeCell ref="B272:C272"/>
    <mergeCell ref="F305:H305"/>
    <mergeCell ref="N312:P312"/>
    <mergeCell ref="J147:O147"/>
    <mergeCell ref="L168:O168"/>
    <mergeCell ref="I145:I150"/>
    <mergeCell ref="I188:I193"/>
    <mergeCell ref="J214:P214"/>
    <mergeCell ref="F218:H218"/>
    <mergeCell ref="N94:P94"/>
    <mergeCell ref="E101:G101"/>
    <mergeCell ref="B320:C320"/>
    <mergeCell ref="I319:I324"/>
    <mergeCell ref="J107:K107"/>
    <mergeCell ref="N181:P181"/>
    <mergeCell ref="I174:P174"/>
    <mergeCell ref="N179:P179"/>
    <mergeCell ref="J127:P127"/>
    <mergeCell ref="L257:O257"/>
    <mergeCell ref="F307:H307"/>
    <mergeCell ref="B312:G312"/>
    <mergeCell ref="N226:P226"/>
    <mergeCell ref="J232:O232"/>
    <mergeCell ref="F219:H219"/>
    <mergeCell ref="N311:P311"/>
    <mergeCell ref="E122:H122"/>
    <mergeCell ref="B187:C187"/>
    <mergeCell ref="R1:V1"/>
    <mergeCell ref="R152:S152"/>
    <mergeCell ref="Q145:Q151"/>
    <mergeCell ref="R146:U146"/>
    <mergeCell ref="S131:T131"/>
    <mergeCell ref="R128:V128"/>
    <mergeCell ref="U169:V169"/>
    <mergeCell ref="K61:N61"/>
    <mergeCell ref="J62:O62"/>
    <mergeCell ref="R66:S66"/>
    <mergeCell ref="U81:V81"/>
    <mergeCell ref="R84:V84"/>
    <mergeCell ref="L125:O125"/>
    <mergeCell ref="U126:V126"/>
    <mergeCell ref="R22:S22"/>
    <mergeCell ref="R23:S23"/>
    <mergeCell ref="I44:P44"/>
    <mergeCell ref="I57:I63"/>
    <mergeCell ref="J56:O56"/>
    <mergeCell ref="I15:I20"/>
    <mergeCell ref="J58:O58"/>
    <mergeCell ref="R153:S153"/>
    <mergeCell ref="R144:U144"/>
    <mergeCell ref="K149:M149"/>
    <mergeCell ref="J1:P1"/>
    <mergeCell ref="J14:O14"/>
    <mergeCell ref="J65:K65"/>
    <mergeCell ref="J64:K64"/>
    <mergeCell ref="L121:O121"/>
    <mergeCell ref="Q57:Q64"/>
    <mergeCell ref="L104:M104"/>
    <mergeCell ref="R101:U101"/>
    <mergeCell ref="B1:H1"/>
    <mergeCell ref="F6:H6"/>
    <mergeCell ref="F8:H8"/>
    <mergeCell ref="B14:G14"/>
    <mergeCell ref="B144:C144"/>
    <mergeCell ref="F134:H134"/>
    <mergeCell ref="F136:H136"/>
    <mergeCell ref="A86:H86"/>
    <mergeCell ref="J187:O187"/>
    <mergeCell ref="J151:K151"/>
    <mergeCell ref="A186:A192"/>
    <mergeCell ref="F179:H179"/>
    <mergeCell ref="F177:H177"/>
    <mergeCell ref="B185:G185"/>
    <mergeCell ref="E79:H79"/>
    <mergeCell ref="F7:H7"/>
    <mergeCell ref="A41:H41"/>
    <mergeCell ref="J22:K22"/>
    <mergeCell ref="I87:P87"/>
    <mergeCell ref="I101:I106"/>
    <mergeCell ref="J109:K109"/>
    <mergeCell ref="J100:O100"/>
    <mergeCell ref="J108:K108"/>
    <mergeCell ref="N6:P6"/>
    <mergeCell ref="J18:O18"/>
    <mergeCell ref="N50:P50"/>
    <mergeCell ref="N7:P7"/>
    <mergeCell ref="J16:O16"/>
    <mergeCell ref="L169:O169"/>
    <mergeCell ref="L83:O83"/>
    <mergeCell ref="F93:H93"/>
    <mergeCell ref="B99:G99"/>
    <mergeCell ref="B65:C65"/>
    <mergeCell ref="R56:U56"/>
    <mergeCell ref="N92:P92"/>
    <mergeCell ref="S87:T87"/>
    <mergeCell ref="R109:S109"/>
    <mergeCell ref="L35:O35"/>
    <mergeCell ref="B101:C101"/>
    <mergeCell ref="N49:P49"/>
    <mergeCell ref="Q44:W44"/>
    <mergeCell ref="U48:V48"/>
    <mergeCell ref="R61:U61"/>
    <mergeCell ref="R60:U60"/>
    <mergeCell ref="R100:U100"/>
    <mergeCell ref="R108:S108"/>
    <mergeCell ref="R65:S65"/>
    <mergeCell ref="J66:K66"/>
    <mergeCell ref="F50:H50"/>
    <mergeCell ref="J21:K21"/>
    <mergeCell ref="L34:O34"/>
    <mergeCell ref="J146:O146"/>
    <mergeCell ref="B56:G56"/>
    <mergeCell ref="F178:H178"/>
    <mergeCell ref="A44:H44"/>
    <mergeCell ref="F51:H51"/>
    <mergeCell ref="F135:H135"/>
    <mergeCell ref="A15:A21"/>
    <mergeCell ref="E16:G16"/>
    <mergeCell ref="B150:C150"/>
    <mergeCell ref="I41:P41"/>
    <mergeCell ref="I84:P84"/>
    <mergeCell ref="L124:O124"/>
    <mergeCell ref="L33:O33"/>
    <mergeCell ref="F92:H92"/>
    <mergeCell ref="B142:G142"/>
    <mergeCell ref="A100:A106"/>
    <mergeCell ref="B16:C16"/>
    <mergeCell ref="B22:C22"/>
    <mergeCell ref="A143:A149"/>
    <mergeCell ref="N137:P137"/>
    <mergeCell ref="N138:P138"/>
    <mergeCell ref="E80:H80"/>
    <mergeCell ref="L81:O81"/>
    <mergeCell ref="N93:P93"/>
    <mergeCell ref="A57:A64"/>
    <mergeCell ref="J23:K23"/>
    <mergeCell ref="K59:N59"/>
    <mergeCell ref="B58:C58"/>
    <mergeCell ref="E58:G58"/>
    <mergeCell ref="F91:H91"/>
    <mergeCell ref="N225:P225"/>
    <mergeCell ref="B151:C151"/>
    <mergeCell ref="A386:H386"/>
    <mergeCell ref="J409:O409"/>
    <mergeCell ref="J408:O408"/>
    <mergeCell ref="N400:P400"/>
    <mergeCell ref="A227:A233"/>
    <mergeCell ref="J17:O17"/>
    <mergeCell ref="E334:G334"/>
    <mergeCell ref="A356:A362"/>
    <mergeCell ref="K366:M366"/>
    <mergeCell ref="B360:F360"/>
    <mergeCell ref="B228:C228"/>
    <mergeCell ref="E253:G253"/>
    <mergeCell ref="L296:O296"/>
    <mergeCell ref="L298:O298"/>
    <mergeCell ref="A254:H254"/>
    <mergeCell ref="L342:O342"/>
    <mergeCell ref="B234:C234"/>
    <mergeCell ref="E248:G248"/>
    <mergeCell ref="E251:G251"/>
    <mergeCell ref="J276:O276"/>
    <mergeCell ref="K281:M281"/>
    <mergeCell ref="J102:O102"/>
    <mergeCell ref="J103:O103"/>
    <mergeCell ref="L39:O39"/>
    <mergeCell ref="N51:P51"/>
    <mergeCell ref="F350:H350"/>
    <mergeCell ref="I263:P263"/>
    <mergeCell ref="J152:K152"/>
    <mergeCell ref="A271:A277"/>
    <mergeCell ref="J153:K153"/>
    <mergeCell ref="J327:K327"/>
    <mergeCell ref="J284:K284"/>
    <mergeCell ref="B341:G341"/>
    <mergeCell ref="B355:F355"/>
    <mergeCell ref="J362:O362"/>
    <mergeCell ref="N313:P313"/>
    <mergeCell ref="C343:F343"/>
    <mergeCell ref="A129:H129"/>
    <mergeCell ref="L1491:O1491"/>
    <mergeCell ref="J1265:K1265"/>
    <mergeCell ref="J1266:K1266"/>
    <mergeCell ref="L1278:O1278"/>
    <mergeCell ref="J1347:O1347"/>
    <mergeCell ref="N1336:P1336"/>
    <mergeCell ref="F394:H394"/>
    <mergeCell ref="B399:F399"/>
    <mergeCell ref="J413:K413"/>
    <mergeCell ref="J414:K414"/>
    <mergeCell ref="L337:O337"/>
    <mergeCell ref="J364:O364"/>
    <mergeCell ref="N1125:P1125"/>
    <mergeCell ref="J1130:O1130"/>
    <mergeCell ref="I1131:I1136"/>
    <mergeCell ref="J1097:K1097"/>
    <mergeCell ref="N1081:P1081"/>
    <mergeCell ref="N1083:P1083"/>
    <mergeCell ref="J1088:O1088"/>
    <mergeCell ref="N1168:P1168"/>
    <mergeCell ref="J1173:O1173"/>
    <mergeCell ref="J389:P389"/>
    <mergeCell ref="J455:K455"/>
    <mergeCell ref="B365:C365"/>
    <mergeCell ref="B450:C450"/>
    <mergeCell ref="F436:H436"/>
    <mergeCell ref="N442:P442"/>
    <mergeCell ref="J456:K456"/>
    <mergeCell ref="L467:O467"/>
    <mergeCell ref="B486:C486"/>
    <mergeCell ref="J454:K454"/>
    <mergeCell ref="L985:O985"/>
    <mergeCell ref="I448:I453"/>
    <mergeCell ref="B443:C443"/>
    <mergeCell ref="A474:B474"/>
    <mergeCell ref="J496:K496"/>
    <mergeCell ref="J497:K497"/>
    <mergeCell ref="N486:P486"/>
    <mergeCell ref="B490:C490"/>
    <mergeCell ref="L465:O465"/>
    <mergeCell ref="J447:O447"/>
    <mergeCell ref="K478:N478"/>
    <mergeCell ref="J582:K582"/>
    <mergeCell ref="L595:O595"/>
    <mergeCell ref="E465:H465"/>
    <mergeCell ref="A468:H468"/>
    <mergeCell ref="A471:H471"/>
    <mergeCell ref="C513:F513"/>
    <mergeCell ref="F518:H518"/>
    <mergeCell ref="B491:C491"/>
    <mergeCell ref="L473:O473"/>
    <mergeCell ref="N910:P910"/>
    <mergeCell ref="K878:M878"/>
    <mergeCell ref="N484:P484"/>
    <mergeCell ref="N485:P485"/>
    <mergeCell ref="L509:O509"/>
    <mergeCell ref="I1244:P1244"/>
    <mergeCell ref="I1216:I1220"/>
    <mergeCell ref="J1095:K1095"/>
    <mergeCell ref="J923:K923"/>
    <mergeCell ref="J924:K924"/>
    <mergeCell ref="L899:O899"/>
    <mergeCell ref="N911:P911"/>
    <mergeCell ref="N398:P398"/>
    <mergeCell ref="F477:H477"/>
    <mergeCell ref="F479:H479"/>
    <mergeCell ref="A442:A448"/>
    <mergeCell ref="L471:O471"/>
    <mergeCell ref="L466:O466"/>
    <mergeCell ref="K1476:M1476"/>
    <mergeCell ref="J1478:K1478"/>
    <mergeCell ref="J1479:K1479"/>
    <mergeCell ref="J1480:K1480"/>
    <mergeCell ref="I1413:P1413"/>
    <mergeCell ref="J1390:O1390"/>
    <mergeCell ref="L1449:O1449"/>
    <mergeCell ref="I1174:I1178"/>
    <mergeCell ref="J1219:O1219"/>
    <mergeCell ref="E467:G467"/>
    <mergeCell ref="A568:A574"/>
    <mergeCell ref="B569:C569"/>
    <mergeCell ref="N569:P569"/>
    <mergeCell ref="B575:C575"/>
    <mergeCell ref="J577:O577"/>
    <mergeCell ref="J492:O492"/>
    <mergeCell ref="L513:O513"/>
    <mergeCell ref="I406:I411"/>
    <mergeCell ref="B449:C449"/>
    <mergeCell ref="I363:I367"/>
    <mergeCell ref="J1223:K1223"/>
    <mergeCell ref="I474:P474"/>
    <mergeCell ref="J368:K368"/>
    <mergeCell ref="L425:O425"/>
    <mergeCell ref="J493:O493"/>
    <mergeCell ref="L809:O809"/>
    <mergeCell ref="L807:O807"/>
    <mergeCell ref="N653:P653"/>
    <mergeCell ref="I661:I666"/>
    <mergeCell ref="L599:O599"/>
    <mergeCell ref="L767:O767"/>
    <mergeCell ref="J623:K623"/>
    <mergeCell ref="K751:M751"/>
    <mergeCell ref="J753:K753"/>
    <mergeCell ref="L729:O729"/>
    <mergeCell ref="I690:P690"/>
    <mergeCell ref="I747:I752"/>
    <mergeCell ref="K708:M708"/>
    <mergeCell ref="J710:K710"/>
    <mergeCell ref="J712:K712"/>
    <mergeCell ref="I962:I967"/>
    <mergeCell ref="K410:M410"/>
    <mergeCell ref="L387:O387"/>
    <mergeCell ref="N399:P399"/>
    <mergeCell ref="L383:O383"/>
    <mergeCell ref="J369:K369"/>
    <mergeCell ref="J490:O490"/>
    <mergeCell ref="I516:P516"/>
    <mergeCell ref="J534:O534"/>
    <mergeCell ref="N568:P568"/>
    <mergeCell ref="J531:O531"/>
    <mergeCell ref="K1604:M1604"/>
    <mergeCell ref="N1637:P1637"/>
    <mergeCell ref="J1540:P1540"/>
    <mergeCell ref="J1560:O1560"/>
    <mergeCell ref="J1471:O1471"/>
    <mergeCell ref="J1389:O1389"/>
    <mergeCell ref="L1447:O1447"/>
    <mergeCell ref="J1437:K1437"/>
    <mergeCell ref="L1448:O1448"/>
    <mergeCell ref="I1500:P1500"/>
    <mergeCell ref="L1576:O1576"/>
    <mergeCell ref="J1583:P1583"/>
    <mergeCell ref="I1586:P1586"/>
    <mergeCell ref="N1594:P1594"/>
    <mergeCell ref="K1561:M1561"/>
    <mergeCell ref="N1508:P1508"/>
    <mergeCell ref="I1686:I1691"/>
    <mergeCell ref="J1607:K1607"/>
    <mergeCell ref="I1600:I1605"/>
    <mergeCell ref="J1603:O1603"/>
    <mergeCell ref="I1497:P1497"/>
    <mergeCell ref="L1492:O1492"/>
    <mergeCell ref="J1520:K1520"/>
    <mergeCell ref="J1516:O1516"/>
    <mergeCell ref="J1556:O1556"/>
    <mergeCell ref="I1557:I1562"/>
    <mergeCell ref="J1513:O1513"/>
    <mergeCell ref="L1495:O1495"/>
    <mergeCell ref="I1514:I1519"/>
    <mergeCell ref="L1533:O1533"/>
    <mergeCell ref="L1409:O1409"/>
    <mergeCell ref="J1429:O1429"/>
    <mergeCell ref="N868:P868"/>
    <mergeCell ref="L1023:O1023"/>
    <mergeCell ref="J1050:O1050"/>
    <mergeCell ref="J1092:O1092"/>
    <mergeCell ref="I1114:P1114"/>
    <mergeCell ref="N867:P867"/>
    <mergeCell ref="J961:O961"/>
    <mergeCell ref="I988:P988"/>
    <mergeCell ref="J1007:O1007"/>
    <mergeCell ref="J1053:K1053"/>
    <mergeCell ref="L1151:O1151"/>
    <mergeCell ref="J857:P857"/>
    <mergeCell ref="J1011:K1011"/>
    <mergeCell ref="J876:O876"/>
    <mergeCell ref="K562:N562"/>
    <mergeCell ref="N567:P567"/>
    <mergeCell ref="J583:K583"/>
    <mergeCell ref="L724:O724"/>
    <mergeCell ref="J730:P730"/>
    <mergeCell ref="I775:P775"/>
    <mergeCell ref="L808:O808"/>
    <mergeCell ref="J703:O703"/>
    <mergeCell ref="J669:K669"/>
    <mergeCell ref="J578:O578"/>
    <mergeCell ref="J574:O574"/>
    <mergeCell ref="I575:I580"/>
    <mergeCell ref="I647:P647"/>
    <mergeCell ref="L727:O727"/>
    <mergeCell ref="J625:K625"/>
    <mergeCell ref="J711:K711"/>
    <mergeCell ref="N782:P782"/>
    <mergeCell ref="N781:P781"/>
    <mergeCell ref="J2041:K2041"/>
    <mergeCell ref="N1898:P1898"/>
    <mergeCell ref="J1955:K1955"/>
    <mergeCell ref="N1941:P1941"/>
    <mergeCell ref="I1799:P1799"/>
    <mergeCell ref="J1910:K1910"/>
    <mergeCell ref="L1668:O1668"/>
    <mergeCell ref="J1689:O1689"/>
    <mergeCell ref="N1897:P1897"/>
    <mergeCell ref="I1626:P1626"/>
    <mergeCell ref="I1669:P1669"/>
    <mergeCell ref="J1688:O1688"/>
    <mergeCell ref="I1729:I1734"/>
    <mergeCell ref="N1768:P1768"/>
    <mergeCell ref="L1795:O1795"/>
    <mergeCell ref="I1890:P1890"/>
    <mergeCell ref="N1985:P1985"/>
    <mergeCell ref="N1854:P1854"/>
    <mergeCell ref="I1712:P1712"/>
    <mergeCell ref="I1643:I1648"/>
    <mergeCell ref="J1912:K1912"/>
    <mergeCell ref="N1636:P1636"/>
    <mergeCell ref="J1642:O1642"/>
    <mergeCell ref="J1645:O1645"/>
    <mergeCell ref="J1649:K1649"/>
    <mergeCell ref="J1650:K1650"/>
    <mergeCell ref="K1690:M1690"/>
    <mergeCell ref="J1735:K1735"/>
    <mergeCell ref="J1736:K1736"/>
    <mergeCell ref="I1843:P1843"/>
    <mergeCell ref="I2201:I2206"/>
    <mergeCell ref="K2205:M2205"/>
    <mergeCell ref="I1935:P1935"/>
    <mergeCell ref="I1949:I1954"/>
    <mergeCell ref="J1948:O1948"/>
    <mergeCell ref="J1993:O1993"/>
    <mergeCell ref="J2000:K2000"/>
    <mergeCell ref="N1809:P1809"/>
    <mergeCell ref="J2338:K2338"/>
    <mergeCell ref="L2141:O2141"/>
    <mergeCell ref="J2142:P2142"/>
    <mergeCell ref="I2332:I2337"/>
    <mergeCell ref="N1464:P1464"/>
    <mergeCell ref="K1733:M1733"/>
    <mergeCell ref="I1802:P1802"/>
    <mergeCell ref="L1625:O1625"/>
    <mergeCell ref="K1647:M1647"/>
    <mergeCell ref="L1620:O1620"/>
    <mergeCell ref="N1635:P1635"/>
    <mergeCell ref="L1663:O1663"/>
    <mergeCell ref="J1859:O1859"/>
    <mergeCell ref="L1842:O1842"/>
    <mergeCell ref="J1956:K1956"/>
    <mergeCell ref="I1758:P1758"/>
    <mergeCell ref="J2085:K2085"/>
    <mergeCell ref="J2061:P2061"/>
    <mergeCell ref="L1886:O1886"/>
    <mergeCell ref="J1694:K1694"/>
    <mergeCell ref="L1706:O1706"/>
    <mergeCell ref="J2339:K2339"/>
    <mergeCell ref="L2179:O2179"/>
    <mergeCell ref="N2151:P2151"/>
    <mergeCell ref="J2125:K2125"/>
    <mergeCell ref="I2117:I2122"/>
    <mergeCell ref="J1823:K1823"/>
    <mergeCell ref="N2071:P2071"/>
    <mergeCell ref="N1810:P1810"/>
    <mergeCell ref="J1863:O1863"/>
    <mergeCell ref="N1984:P1984"/>
    <mergeCell ref="L2227:O2227"/>
    <mergeCell ref="I2287:I2292"/>
    <mergeCell ref="L2221:O2221"/>
    <mergeCell ref="N2238:P2238"/>
    <mergeCell ref="N2280:P2280"/>
    <mergeCell ref="I2228:P2228"/>
    <mergeCell ref="N2279:P2279"/>
    <mergeCell ref="J2158:O2158"/>
    <mergeCell ref="I2159:I2164"/>
    <mergeCell ref="J2165:K2165"/>
    <mergeCell ref="L2015:O2015"/>
    <mergeCell ref="N2029:P2029"/>
    <mergeCell ref="N2028:P2028"/>
    <mergeCell ref="J2084:K2084"/>
    <mergeCell ref="I2078:I2083"/>
    <mergeCell ref="N2072:P2072"/>
    <mergeCell ref="J2077:O2077"/>
    <mergeCell ref="K2039:M2039"/>
    <mergeCell ref="J2123:K2123"/>
    <mergeCell ref="J2124:K2124"/>
    <mergeCell ref="K2121:M2121"/>
    <mergeCell ref="I1816:I1821"/>
    <mergeCell ref="N2795:P2795"/>
    <mergeCell ref="J2591:O2591"/>
    <mergeCell ref="J2545:O2545"/>
    <mergeCell ref="J2510:K2510"/>
    <mergeCell ref="I2529:P2529"/>
    <mergeCell ref="J2755:O2755"/>
    <mergeCell ref="J2721:K2721"/>
    <mergeCell ref="I2592:I2597"/>
    <mergeCell ref="I2714:I2719"/>
    <mergeCell ref="I2635:I2640"/>
    <mergeCell ref="I2621:P2621"/>
    <mergeCell ref="I2828:P2828"/>
    <mergeCell ref="L2820:O2820"/>
    <mergeCell ref="N2793:P2793"/>
    <mergeCell ref="J2804:O2804"/>
    <mergeCell ref="J2681:K2681"/>
    <mergeCell ref="N2195:P2195"/>
    <mergeCell ref="J2374:O2374"/>
    <mergeCell ref="J2634:O2634"/>
    <mergeCell ref="N2627:P2627"/>
    <mergeCell ref="L2352:O2352"/>
    <mergeCell ref="J2381:K2381"/>
    <mergeCell ref="J2758:O2758"/>
    <mergeCell ref="J2763:K2763"/>
    <mergeCell ref="N2706:P2706"/>
    <mergeCell ref="I2674:I2678"/>
    <mergeCell ref="J2676:O2676"/>
    <mergeCell ref="J2677:O2677"/>
    <mergeCell ref="K2718:M2718"/>
    <mergeCell ref="L2442:O2442"/>
    <mergeCell ref="L2480:O2480"/>
    <mergeCell ref="N2585:P2585"/>
    <mergeCell ref="J2506:O2506"/>
    <mergeCell ref="I2446:P2446"/>
    <mergeCell ref="N2453:P2453"/>
    <mergeCell ref="K2422:M2422"/>
    <mergeCell ref="J2424:K2424"/>
    <mergeCell ref="I2546:I2551"/>
    <mergeCell ref="N2540:P2540"/>
    <mergeCell ref="J2468:K2468"/>
    <mergeCell ref="N2539:P2539"/>
    <mergeCell ref="N2495:P2495"/>
    <mergeCell ref="L2484:O2484"/>
    <mergeCell ref="I2460:I2465"/>
    <mergeCell ref="I2486:P2486"/>
    <mergeCell ref="L2523:O2523"/>
    <mergeCell ref="L2527:O2527"/>
    <mergeCell ref="N2538:P2538"/>
    <mergeCell ref="I2404:P2404"/>
    <mergeCell ref="K2507:M2507"/>
    <mergeCell ref="J2417:O2417"/>
    <mergeCell ref="J2466:K2466"/>
    <mergeCell ref="N2412:P2412"/>
    <mergeCell ref="L2566:O2566"/>
    <mergeCell ref="J2552:K2552"/>
    <mergeCell ref="J2505:O2505"/>
    <mergeCell ref="N2497:P2497"/>
    <mergeCell ref="J2467:K2467"/>
    <mergeCell ref="J2553:K2553"/>
    <mergeCell ref="L2441:O2441"/>
    <mergeCell ref="N2454:P2454"/>
    <mergeCell ref="J2426:K2426"/>
    <mergeCell ref="I2503:I2508"/>
    <mergeCell ref="J2463:O2463"/>
    <mergeCell ref="J2502:O2502"/>
    <mergeCell ref="N2368:P2368"/>
    <mergeCell ref="N2411:P2411"/>
    <mergeCell ref="L2269:O2269"/>
    <mergeCell ref="J2286:O2286"/>
    <mergeCell ref="L2307:O2307"/>
    <mergeCell ref="L2311:O2311"/>
    <mergeCell ref="J2383:K2383"/>
    <mergeCell ref="L2395:O2395"/>
    <mergeCell ref="L2400:O2400"/>
    <mergeCell ref="J2377:O2377"/>
    <mergeCell ref="N2325:P2325"/>
    <mergeCell ref="N2326:P2326"/>
    <mergeCell ref="I2270:P2270"/>
    <mergeCell ref="J2378:O2378"/>
    <mergeCell ref="I2443:P2443"/>
    <mergeCell ref="N2496:P2496"/>
    <mergeCell ref="N2324:P2324"/>
    <mergeCell ref="I2318:P2318"/>
    <mergeCell ref="N2281:P2281"/>
    <mergeCell ref="N2367:P2367"/>
    <mergeCell ref="J2382:K2382"/>
    <mergeCell ref="I2375:I2380"/>
    <mergeCell ref="J2331:O2331"/>
    <mergeCell ref="L2355:O2355"/>
    <mergeCell ref="J2334:O2334"/>
    <mergeCell ref="N2410:P2410"/>
    <mergeCell ref="J2459:O2459"/>
    <mergeCell ref="J2335:O2335"/>
    <mergeCell ref="N2369:P2369"/>
    <mergeCell ref="J2401:P2401"/>
    <mergeCell ref="K2379:M2379"/>
    <mergeCell ref="J2425:K2425"/>
    <mergeCell ref="N2109:P2109"/>
    <mergeCell ref="N2110:P2110"/>
    <mergeCell ref="N2111:P2111"/>
    <mergeCell ref="J2116:O2116"/>
    <mergeCell ref="J2086:K2086"/>
    <mergeCell ref="K2103:N2103"/>
    <mergeCell ref="L2137:O2137"/>
    <mergeCell ref="J2250:K2250"/>
    <mergeCell ref="J2184:P2184"/>
    <mergeCell ref="N2193:P2193"/>
    <mergeCell ref="K2187:N2187"/>
    <mergeCell ref="J2207:K2207"/>
    <mergeCell ref="J2293:K2293"/>
    <mergeCell ref="I2273:P2273"/>
    <mergeCell ref="N2153:P2153"/>
    <mergeCell ref="J2166:K2166"/>
    <mergeCell ref="J2167:K2167"/>
    <mergeCell ref="N2194:P2194"/>
    <mergeCell ref="L2182:O2182"/>
    <mergeCell ref="J2289:O2289"/>
    <mergeCell ref="J1602:O1602"/>
    <mergeCell ref="N1423:P1423"/>
    <mergeCell ref="N1424:P1424"/>
    <mergeCell ref="K1433:M1433"/>
    <mergeCell ref="I1416:P1416"/>
    <mergeCell ref="J1432:O1432"/>
    <mergeCell ref="N1422:P1422"/>
    <mergeCell ref="N1507:P1507"/>
    <mergeCell ref="N1551:P1551"/>
    <mergeCell ref="J1517:O1517"/>
    <mergeCell ref="I1543:P1543"/>
    <mergeCell ref="J1559:O1559"/>
    <mergeCell ref="L1537:O1537"/>
    <mergeCell ref="N1506:P1506"/>
    <mergeCell ref="N1549:P1549"/>
    <mergeCell ref="N1380:P1380"/>
    <mergeCell ref="I1458:P1458"/>
    <mergeCell ref="J1474:O1474"/>
    <mergeCell ref="J1475:O1475"/>
    <mergeCell ref="I1472:I1477"/>
    <mergeCell ref="J1599:O1599"/>
    <mergeCell ref="N1466:P1466"/>
    <mergeCell ref="J1394:K1394"/>
    <mergeCell ref="L1406:O1406"/>
    <mergeCell ref="L1412:O1412"/>
    <mergeCell ref="J1303:O1303"/>
    <mergeCell ref="N1338:P1338"/>
    <mergeCell ref="J1436:K1436"/>
    <mergeCell ref="L1490:O1490"/>
    <mergeCell ref="N1295:P1295"/>
    <mergeCell ref="K1518:M1518"/>
    <mergeCell ref="L1577:O1577"/>
    <mergeCell ref="L1581:O1581"/>
    <mergeCell ref="N1592:P1592"/>
    <mergeCell ref="J1521:K1521"/>
    <mergeCell ref="N1550:P1550"/>
    <mergeCell ref="J1522:K1522"/>
    <mergeCell ref="N1593:P1593"/>
    <mergeCell ref="L1453:O1453"/>
    <mergeCell ref="J1455:P1455"/>
    <mergeCell ref="J1346:O1346"/>
    <mergeCell ref="L1325:O1325"/>
    <mergeCell ref="J1350:K1350"/>
    <mergeCell ref="J1351:K1351"/>
    <mergeCell ref="K1864:M1864"/>
    <mergeCell ref="J1824:K1824"/>
    <mergeCell ref="L1709:O1709"/>
    <mergeCell ref="J1783:K1783"/>
    <mergeCell ref="N1767:P1767"/>
    <mergeCell ref="J1737:K1737"/>
    <mergeCell ref="I1775:I1780"/>
    <mergeCell ref="I1887:P1887"/>
    <mergeCell ref="N1896:P1896"/>
    <mergeCell ref="L1927:O1927"/>
    <mergeCell ref="J1693:K1693"/>
    <mergeCell ref="L1750:O1750"/>
    <mergeCell ref="J1781:K1781"/>
    <mergeCell ref="I2035:I2040"/>
    <mergeCell ref="J1815:O1815"/>
    <mergeCell ref="J1284:P1284"/>
    <mergeCell ref="L1324:O1324"/>
    <mergeCell ref="L1363:O1363"/>
    <mergeCell ref="L1362:O1362"/>
    <mergeCell ref="I1327:P1327"/>
    <mergeCell ref="J1564:K1564"/>
    <mergeCell ref="J1565:K1565"/>
    <mergeCell ref="J1563:K1563"/>
    <mergeCell ref="L1578:O1578"/>
    <mergeCell ref="J1300:O1300"/>
    <mergeCell ref="I1301:I1306"/>
    <mergeCell ref="J1393:K1393"/>
    <mergeCell ref="L1320:O1320"/>
    <mergeCell ref="J1392:K1392"/>
    <mergeCell ref="L1319:O1319"/>
    <mergeCell ref="I1373:P1373"/>
    <mergeCell ref="N1465:P1465"/>
    <mergeCell ref="J3303:P3303"/>
    <mergeCell ref="J2248:O2248"/>
    <mergeCell ref="J2247:O2247"/>
    <mergeCell ref="J1911:K1911"/>
    <mergeCell ref="J1692:K1692"/>
    <mergeCell ref="J1731:O1731"/>
    <mergeCell ref="J1774:O1774"/>
    <mergeCell ref="J1651:K1651"/>
    <mergeCell ref="J1867:K1867"/>
    <mergeCell ref="N1853:P1853"/>
    <mergeCell ref="N1680:P1680"/>
    <mergeCell ref="J1685:O1685"/>
    <mergeCell ref="I1932:P1932"/>
    <mergeCell ref="K1953:M1953"/>
    <mergeCell ref="I1672:P1672"/>
    <mergeCell ref="J1903:O1903"/>
    <mergeCell ref="L1880:O1880"/>
    <mergeCell ref="J1868:K1868"/>
    <mergeCell ref="K1779:M1779"/>
    <mergeCell ref="L2098:O2098"/>
    <mergeCell ref="J2042:K2042"/>
    <mergeCell ref="L1754:O1754"/>
    <mergeCell ref="J1782:K1782"/>
    <mergeCell ref="N1769:P1769"/>
    <mergeCell ref="J1862:O1862"/>
    <mergeCell ref="N1678:P1678"/>
    <mergeCell ref="N1679:P1679"/>
    <mergeCell ref="J1820:O1820"/>
    <mergeCell ref="J1818:O1818"/>
    <mergeCell ref="J1819:O1819"/>
    <mergeCell ref="I1761:P1761"/>
    <mergeCell ref="N1808:P1808"/>
    <mergeCell ref="N1852:P1852"/>
    <mergeCell ref="J3325:K3325"/>
    <mergeCell ref="I3320:I3324"/>
    <mergeCell ref="K3324:M3324"/>
    <mergeCell ref="L3166:O3166"/>
    <mergeCell ref="J3408:O3408"/>
    <mergeCell ref="J2252:K2252"/>
    <mergeCell ref="N1986:P1986"/>
    <mergeCell ref="N1942:P1942"/>
    <mergeCell ref="N1943:P1943"/>
    <mergeCell ref="J1991:O1991"/>
    <mergeCell ref="L1974:O1974"/>
    <mergeCell ref="J1975:P1975"/>
    <mergeCell ref="L1931:O1931"/>
    <mergeCell ref="K1908:M1908"/>
    <mergeCell ref="N1721:P1721"/>
    <mergeCell ref="N1722:P1722"/>
    <mergeCell ref="J1994:O1994"/>
    <mergeCell ref="I2021:P2021"/>
    <mergeCell ref="L1837:O1837"/>
    <mergeCell ref="I1992:I1997"/>
    <mergeCell ref="J2209:K2209"/>
    <mergeCell ref="N2239:P2239"/>
    <mergeCell ref="N2027:P2027"/>
    <mergeCell ref="J2043:K2043"/>
    <mergeCell ref="N2152:P2152"/>
    <mergeCell ref="J3281:K3281"/>
    <mergeCell ref="I3189:I3193"/>
    <mergeCell ref="N3225:P3225"/>
    <mergeCell ref="J3127:P3127"/>
    <mergeCell ref="N3314:P3314"/>
    <mergeCell ref="K3236:M3236"/>
    <mergeCell ref="K3452:M3452"/>
    <mergeCell ref="L3299:O3299"/>
    <mergeCell ref="N3269:P3269"/>
    <mergeCell ref="N3224:P3224"/>
    <mergeCell ref="J3192:O3192"/>
    <mergeCell ref="I3218:P3218"/>
    <mergeCell ref="J3147:O3147"/>
    <mergeCell ref="J3283:K3283"/>
    <mergeCell ref="J3172:P3172"/>
    <mergeCell ref="N3183:P3183"/>
    <mergeCell ref="N1723:P1723"/>
    <mergeCell ref="J1728:O1728"/>
    <mergeCell ref="J1822:K1822"/>
    <mergeCell ref="N3226:P3226"/>
    <mergeCell ref="I3059:I3063"/>
    <mergeCell ref="N3096:P3096"/>
    <mergeCell ref="J3101:O3101"/>
    <mergeCell ref="J2018:P2018"/>
    <mergeCell ref="I3102:I3107"/>
    <mergeCell ref="K3106:M3106"/>
    <mergeCell ref="J3152:K3152"/>
    <mergeCell ref="N3094:P3094"/>
    <mergeCell ref="L3214:O3214"/>
    <mergeCell ref="J3215:P3215"/>
    <mergeCell ref="L2059:O2059"/>
    <mergeCell ref="J3146:O3146"/>
    <mergeCell ref="K2082:M2082"/>
    <mergeCell ref="I3144:I3149"/>
    <mergeCell ref="J3194:K3194"/>
    <mergeCell ref="J3231:O3231"/>
    <mergeCell ref="I1860:I1865"/>
    <mergeCell ref="I1846:P1846"/>
    <mergeCell ref="N3697:P3697"/>
    <mergeCell ref="L3727:O3727"/>
    <mergeCell ref="L3728:O3728"/>
    <mergeCell ref="I3687:P3687"/>
    <mergeCell ref="I477:P477"/>
    <mergeCell ref="J664:O664"/>
    <mergeCell ref="L2140:O2140"/>
    <mergeCell ref="L3256:O3256"/>
    <mergeCell ref="K1968:O1968"/>
    <mergeCell ref="K1969:O1969"/>
    <mergeCell ref="K1970:O1970"/>
    <mergeCell ref="L1973:O1973"/>
    <mergeCell ref="I2100:P2100"/>
    <mergeCell ref="L2310:O2310"/>
    <mergeCell ref="I3175:P3175"/>
    <mergeCell ref="L3210:O3210"/>
    <mergeCell ref="I2145:P2145"/>
    <mergeCell ref="I3690:P3690"/>
    <mergeCell ref="N2666:P2666"/>
    <mergeCell ref="L555:O555"/>
    <mergeCell ref="J3453:K3453"/>
    <mergeCell ref="J3454:K3454"/>
    <mergeCell ref="J3455:K3455"/>
    <mergeCell ref="L3466:O3466"/>
    <mergeCell ref="L1452:O1452"/>
    <mergeCell ref="I1629:P1629"/>
    <mergeCell ref="L812:O812"/>
    <mergeCell ref="I1715:P1715"/>
    <mergeCell ref="J3450:O3450"/>
    <mergeCell ref="L3424:O3424"/>
    <mergeCell ref="L3510:O3510"/>
    <mergeCell ref="J3661:O3661"/>
    <mergeCell ref="L2267:O2267"/>
    <mergeCell ref="L3726:O3726"/>
    <mergeCell ref="K3662:M3662"/>
    <mergeCell ref="J3664:K3664"/>
    <mergeCell ref="J3665:K3665"/>
    <mergeCell ref="J3666:K3666"/>
    <mergeCell ref="L3677:O3677"/>
    <mergeCell ref="I3599:P3599"/>
    <mergeCell ref="J3616:O3616"/>
    <mergeCell ref="L3637:O3637"/>
    <mergeCell ref="I3602:P3602"/>
    <mergeCell ref="N3608:P3608"/>
    <mergeCell ref="N3609:P3609"/>
    <mergeCell ref="N3610:P3610"/>
    <mergeCell ref="I3617:I3622"/>
    <mergeCell ref="J3619:O3619"/>
    <mergeCell ref="J3620:O3620"/>
    <mergeCell ref="L3723:O3723"/>
    <mergeCell ref="L3724:O3724"/>
    <mergeCell ref="K3621:M3621"/>
    <mergeCell ref="J3623:K3623"/>
    <mergeCell ref="J3624:K3624"/>
    <mergeCell ref="J3712:K3712"/>
    <mergeCell ref="L3722:O3722"/>
    <mergeCell ref="J3710:K3710"/>
    <mergeCell ref="J3711:K3711"/>
    <mergeCell ref="J3703:O3703"/>
    <mergeCell ref="I3704:I3709"/>
    <mergeCell ref="J3706:O3706"/>
    <mergeCell ref="J3707:O3707"/>
    <mergeCell ref="K3708:M3708"/>
    <mergeCell ref="N3696:P3696"/>
    <mergeCell ref="J3196:K3196"/>
    <mergeCell ref="B195:C195"/>
    <mergeCell ref="I3306:P3306"/>
    <mergeCell ref="I431:P431"/>
    <mergeCell ref="L3425:O3425"/>
    <mergeCell ref="L3426:O3426"/>
    <mergeCell ref="L3429:O3429"/>
    <mergeCell ref="J3431:P3431"/>
    <mergeCell ref="N3440:P3440"/>
    <mergeCell ref="N3441:P3441"/>
    <mergeCell ref="N3442:P3442"/>
    <mergeCell ref="J3447:O3447"/>
    <mergeCell ref="J3372:K3372"/>
    <mergeCell ref="J1608:K1608"/>
    <mergeCell ref="L1367:O1367"/>
    <mergeCell ref="L1924:O1924"/>
    <mergeCell ref="L2011:O2011"/>
    <mergeCell ref="J1646:O1646"/>
    <mergeCell ref="L2055:O2055"/>
    <mergeCell ref="J1866:K1866"/>
    <mergeCell ref="J3406:O3406"/>
    <mergeCell ref="I3407:I3412"/>
    <mergeCell ref="J3409:O3409"/>
    <mergeCell ref="J3410:O3410"/>
    <mergeCell ref="J1999:K1999"/>
    <mergeCell ref="J1998:K1998"/>
    <mergeCell ref="J1957:K1957"/>
    <mergeCell ref="I1904:I1909"/>
    <mergeCell ref="J1996:O1996"/>
    <mergeCell ref="J1995:O1995"/>
    <mergeCell ref="J2034:O2034"/>
    <mergeCell ref="K1978:N1978"/>
    <mergeCell ref="L3682:O3682"/>
    <mergeCell ref="J3539:K3539"/>
    <mergeCell ref="J3540:K3540"/>
    <mergeCell ref="I3558:P3558"/>
    <mergeCell ref="I3561:P3561"/>
    <mergeCell ref="I3516:P3516"/>
    <mergeCell ref="I3532:I3537"/>
    <mergeCell ref="J3534:O3534"/>
    <mergeCell ref="J3535:O3535"/>
    <mergeCell ref="K3536:M3536"/>
    <mergeCell ref="J3538:K3538"/>
    <mergeCell ref="J3625:K3625"/>
    <mergeCell ref="L3635:O3635"/>
    <mergeCell ref="L3636:O3636"/>
    <mergeCell ref="I3519:P3519"/>
    <mergeCell ref="L2224:O2224"/>
    <mergeCell ref="L3382:O3382"/>
    <mergeCell ref="L3383:O3383"/>
    <mergeCell ref="L3384:O3384"/>
    <mergeCell ref="L3387:O3387"/>
    <mergeCell ref="J3390:P3390"/>
    <mergeCell ref="I3393:P3393"/>
    <mergeCell ref="N3398:P3398"/>
    <mergeCell ref="N3566:P3566"/>
    <mergeCell ref="N3567:P3567"/>
    <mergeCell ref="I3448:I3452"/>
    <mergeCell ref="L3470:O3470"/>
    <mergeCell ref="J3151:K3151"/>
    <mergeCell ref="N3270:P3270"/>
    <mergeCell ref="L3257:O3257"/>
    <mergeCell ref="J3109:K3109"/>
    <mergeCell ref="I3232:I3237"/>
    <mergeCell ref="E228:G228"/>
    <mergeCell ref="N3698:P3698"/>
    <mergeCell ref="L3678:O3678"/>
    <mergeCell ref="L3679:O3679"/>
    <mergeCell ref="J3580:K3580"/>
    <mergeCell ref="J3581:K3581"/>
    <mergeCell ref="L3592:O3592"/>
    <mergeCell ref="L3553:O3553"/>
    <mergeCell ref="L3554:O3554"/>
    <mergeCell ref="B410:C410"/>
    <mergeCell ref="E33:H33"/>
    <mergeCell ref="E34:H34"/>
    <mergeCell ref="E35:H35"/>
    <mergeCell ref="B2:I2"/>
    <mergeCell ref="L3595:O3595"/>
    <mergeCell ref="J3579:K3579"/>
    <mergeCell ref="L3639:O3639"/>
    <mergeCell ref="I3641:P3641"/>
    <mergeCell ref="I3644:P3644"/>
    <mergeCell ref="N3650:P3650"/>
    <mergeCell ref="N3651:P3651"/>
    <mergeCell ref="N3652:P3652"/>
    <mergeCell ref="J3657:O3657"/>
    <mergeCell ref="I3658:I3663"/>
    <mergeCell ref="J3660:O3660"/>
    <mergeCell ref="I3473:P3473"/>
    <mergeCell ref="N3568:P3568"/>
    <mergeCell ref="J3573:O3573"/>
    <mergeCell ref="I3574:I3578"/>
    <mergeCell ref="J3576:O3576"/>
    <mergeCell ref="J3577:O3577"/>
    <mergeCell ref="N3527:P3527"/>
  </mergeCells>
  <phoneticPr fontId="93" type="noConversion"/>
  <pageMargins left="0.58333333333333337" right="0.35416666666666669" top="0.85416666666666663" bottom="0.67708333333333337" header="0.31496062992125984" footer="0.31496062992125984"/>
  <pageSetup paperSize="9" orientation="portrait" r:id="rId1"/>
  <headerFooter>
    <oddHeader>&amp;L&amp;8&amp;G&amp;C&amp;"Times New Roman,Gras"&amp;13           Agence pour la Sécurité de la Navigation Aérienne en Afrique et à Madagascar                                        Délégation aux Activités Aéronautiques Nationales du Gabon</oddHeader>
    <oddFooter>&amp;C&amp;"Poor Richard,Normal"&amp;7&amp;K000000 Benin-Burkina-Cameroun-Centrafrique-Comore-Congo-Côte d'ivoire-Gabon-Guinée-Guinée Equatorial-Guinée Bissau-France-Madagascar-Mali-Mauritanie-Niger-Rwanda-Sénégal-Tchad-Togo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40"/>
  <sheetViews>
    <sheetView view="pageLayout" topLeftCell="A406" zoomScaleNormal="100" workbookViewId="0">
      <selection activeCell="F422" sqref="F422"/>
    </sheetView>
  </sheetViews>
  <sheetFormatPr baseColWidth="10" defaultRowHeight="15"/>
  <cols>
    <col min="1" max="1" width="10.7109375" customWidth="1"/>
    <col min="2" max="2" width="10.85546875" customWidth="1"/>
    <col min="3" max="3" width="10.28515625" customWidth="1"/>
    <col min="4" max="4" width="11.42578125" customWidth="1"/>
    <col min="5" max="5" width="9.140625" customWidth="1"/>
    <col min="6" max="6" width="9.28515625" customWidth="1"/>
    <col min="7" max="7" width="11.5703125" customWidth="1"/>
    <col min="8" max="8" width="17.85546875" customWidth="1"/>
    <col min="9" max="9" width="10.7109375" customWidth="1"/>
    <col min="10" max="10" width="10.5703125" customWidth="1"/>
    <col min="11" max="11" width="9.7109375" customWidth="1"/>
    <col min="12" max="12" width="11.5703125" customWidth="1"/>
    <col min="13" max="13" width="9.5703125" customWidth="1"/>
    <col min="14" max="14" width="10" customWidth="1"/>
    <col min="15" max="15" width="12" customWidth="1"/>
    <col min="16" max="16" width="17.28515625" customWidth="1"/>
    <col min="17" max="17" width="11.85546875" customWidth="1"/>
    <col min="18" max="18" width="10.5703125" customWidth="1"/>
    <col min="21" max="21" width="9.5703125" customWidth="1"/>
    <col min="22" max="22" width="10.5703125" customWidth="1"/>
    <col min="23" max="23" width="12" customWidth="1"/>
    <col min="24" max="24" width="17.42578125" customWidth="1"/>
  </cols>
  <sheetData>
    <row r="1" spans="1:24" ht="15" customHeight="1">
      <c r="B1" s="617" t="s">
        <v>2534</v>
      </c>
      <c r="C1" s="617"/>
      <c r="D1" s="617"/>
      <c r="E1" s="617"/>
      <c r="F1" s="617"/>
      <c r="G1" s="617"/>
      <c r="H1" s="617"/>
      <c r="J1" s="789" t="s">
        <v>0</v>
      </c>
      <c r="K1" s="789"/>
      <c r="L1" s="789"/>
      <c r="M1" s="789"/>
      <c r="N1" s="789"/>
      <c r="O1" s="789"/>
      <c r="P1" s="789"/>
      <c r="R1" s="789" t="s">
        <v>0</v>
      </c>
      <c r="S1" s="789"/>
      <c r="T1" s="789"/>
      <c r="U1" s="789"/>
      <c r="V1" s="789"/>
      <c r="W1" s="789"/>
      <c r="X1" s="789"/>
    </row>
    <row r="4" spans="1:24" ht="45" customHeight="1">
      <c r="A4" s="793" t="s">
        <v>1</v>
      </c>
      <c r="B4" s="793"/>
      <c r="C4" s="793"/>
      <c r="D4" s="793"/>
      <c r="E4" s="793"/>
      <c r="F4" s="793"/>
      <c r="G4" s="793"/>
      <c r="H4" s="793"/>
      <c r="K4" s="785" t="s">
        <v>1</v>
      </c>
      <c r="L4" s="785"/>
      <c r="M4" s="785"/>
      <c r="N4" s="785"/>
      <c r="S4" s="785" t="s">
        <v>1</v>
      </c>
      <c r="T4" s="785"/>
      <c r="U4" s="785"/>
      <c r="V4" s="785"/>
    </row>
    <row r="7" spans="1:24" ht="17.25">
      <c r="A7" s="191"/>
      <c r="B7" s="503" t="s">
        <v>2749</v>
      </c>
      <c r="I7" s="1" t="s">
        <v>41</v>
      </c>
      <c r="Q7" s="1" t="s">
        <v>59</v>
      </c>
    </row>
    <row r="8" spans="1:24" ht="15.75" thickBot="1">
      <c r="A8" s="1"/>
      <c r="G8" s="10"/>
      <c r="I8" s="1"/>
      <c r="O8" s="10"/>
      <c r="Q8" s="1"/>
      <c r="W8" s="10"/>
    </row>
    <row r="9" spans="1:24" ht="16.5">
      <c r="B9" s="2"/>
      <c r="F9" s="3"/>
      <c r="H9" s="5"/>
      <c r="J9" s="2"/>
      <c r="N9" s="3"/>
      <c r="P9" s="5"/>
      <c r="R9" s="2"/>
      <c r="V9" s="3"/>
      <c r="X9" s="5"/>
    </row>
    <row r="10" spans="1:24" ht="17.25">
      <c r="F10" s="667" t="s">
        <v>555</v>
      </c>
      <c r="G10" s="668"/>
      <c r="H10" s="669"/>
      <c r="N10" s="6"/>
      <c r="O10" s="40" t="s">
        <v>32</v>
      </c>
      <c r="P10" s="7"/>
      <c r="V10" s="6"/>
      <c r="W10" s="40" t="s">
        <v>40</v>
      </c>
      <c r="X10" s="7"/>
    </row>
    <row r="11" spans="1:24" ht="16.5">
      <c r="A11" s="8" t="s">
        <v>114</v>
      </c>
      <c r="D11" s="27"/>
      <c r="E11" s="27" t="s">
        <v>2</v>
      </c>
      <c r="F11" s="683" t="s">
        <v>3022</v>
      </c>
      <c r="G11" s="683"/>
      <c r="H11" s="684"/>
      <c r="L11" s="27" t="s">
        <v>2</v>
      </c>
      <c r="P11" s="7"/>
      <c r="T11" s="27" t="s">
        <v>2</v>
      </c>
      <c r="X11" s="7"/>
    </row>
    <row r="12" spans="1:24" ht="16.5">
      <c r="A12" s="8"/>
      <c r="F12" s="601" t="s">
        <v>163</v>
      </c>
      <c r="G12" s="602"/>
      <c r="H12" s="603"/>
      <c r="I12" s="8" t="s">
        <v>30</v>
      </c>
      <c r="N12" s="6"/>
      <c r="O12" s="31" t="s">
        <v>36</v>
      </c>
      <c r="P12" s="7"/>
      <c r="Q12" s="8" t="s">
        <v>30</v>
      </c>
      <c r="V12" s="6"/>
      <c r="W12" s="31" t="s">
        <v>36</v>
      </c>
      <c r="X12" s="7"/>
    </row>
    <row r="13" spans="1:24" ht="15.75" thickBot="1">
      <c r="F13" s="9"/>
      <c r="G13" s="10"/>
      <c r="H13" s="11"/>
      <c r="N13" s="9"/>
      <c r="O13" s="10"/>
      <c r="P13" s="11"/>
      <c r="V13" s="9"/>
      <c r="W13" s="10"/>
      <c r="X13" s="11"/>
    </row>
    <row r="14" spans="1:24" ht="16.5">
      <c r="A14" s="30"/>
      <c r="B14" s="30" t="s">
        <v>27</v>
      </c>
      <c r="C14" s="191" t="s">
        <v>2935</v>
      </c>
      <c r="I14" s="12"/>
      <c r="J14" s="12"/>
      <c r="Q14" s="12"/>
      <c r="R14" s="12"/>
    </row>
    <row r="15" spans="1:24" ht="16.5">
      <c r="A15" s="30"/>
      <c r="B15" s="30" t="s">
        <v>1180</v>
      </c>
      <c r="C15" s="30" t="s">
        <v>3020</v>
      </c>
      <c r="I15" s="30" t="s">
        <v>27</v>
      </c>
      <c r="J15" s="12" t="s">
        <v>35</v>
      </c>
      <c r="Q15" s="30" t="s">
        <v>27</v>
      </c>
      <c r="R15" s="12" t="s">
        <v>35</v>
      </c>
    </row>
    <row r="16" spans="1:24" ht="16.5">
      <c r="A16" s="30"/>
      <c r="B16" s="30"/>
      <c r="C16" s="30" t="s">
        <v>3021</v>
      </c>
      <c r="F16" s="353"/>
      <c r="G16" s="353"/>
      <c r="I16" s="30"/>
      <c r="J16" s="12"/>
      <c r="Q16" s="30"/>
      <c r="R16" s="12"/>
    </row>
    <row r="17" spans="1:24" ht="17.25" thickBot="1">
      <c r="A17" s="24"/>
      <c r="B17" s="24"/>
    </row>
    <row r="18" spans="1:24" ht="17.25" customHeight="1" thickBot="1">
      <c r="A18" s="13" t="s">
        <v>3</v>
      </c>
      <c r="B18" s="696" t="s">
        <v>4</v>
      </c>
      <c r="C18" s="697"/>
      <c r="D18" s="697"/>
      <c r="E18" s="697"/>
      <c r="F18" s="697"/>
      <c r="G18" s="698"/>
      <c r="H18" s="20" t="s">
        <v>5</v>
      </c>
      <c r="I18" s="13" t="s">
        <v>3</v>
      </c>
      <c r="J18" s="778" t="s">
        <v>4</v>
      </c>
      <c r="K18" s="779"/>
      <c r="L18" s="779"/>
      <c r="M18" s="779"/>
      <c r="N18" s="779"/>
      <c r="O18" s="780"/>
      <c r="P18" s="14" t="s">
        <v>5</v>
      </c>
      <c r="Q18" s="13" t="s">
        <v>3</v>
      </c>
      <c r="R18" s="778" t="s">
        <v>4</v>
      </c>
      <c r="S18" s="779"/>
      <c r="T18" s="779"/>
      <c r="U18" s="779"/>
      <c r="V18" s="779"/>
      <c r="W18" s="780"/>
      <c r="X18" s="14" t="s">
        <v>5</v>
      </c>
    </row>
    <row r="19" spans="1:24" ht="15.75" customHeight="1" thickBot="1">
      <c r="A19" s="692" t="s">
        <v>3023</v>
      </c>
      <c r="B19" s="143"/>
      <c r="C19" s="159"/>
      <c r="D19" s="159"/>
      <c r="E19" s="159"/>
      <c r="F19" s="159"/>
      <c r="G19" s="144"/>
      <c r="H19" s="65"/>
      <c r="I19" s="700" t="s">
        <v>39</v>
      </c>
      <c r="J19" s="3"/>
      <c r="K19" s="4"/>
      <c r="L19" s="4"/>
      <c r="M19" s="4"/>
      <c r="N19" s="4"/>
      <c r="O19" s="5"/>
      <c r="P19" s="7"/>
      <c r="Q19" s="700" t="s">
        <v>60</v>
      </c>
      <c r="R19" s="3"/>
      <c r="S19" s="4"/>
      <c r="T19" s="4"/>
      <c r="U19" s="4"/>
      <c r="V19" s="4"/>
      <c r="W19" s="5"/>
      <c r="X19" s="7"/>
    </row>
    <row r="20" spans="1:24" ht="17.25" thickBot="1">
      <c r="A20" s="693"/>
      <c r="B20" s="776" t="s">
        <v>6</v>
      </c>
      <c r="C20" s="777"/>
      <c r="D20" s="777"/>
      <c r="E20" s="776" t="s">
        <v>7</v>
      </c>
      <c r="F20" s="777"/>
      <c r="G20" s="607"/>
      <c r="H20" s="65"/>
      <c r="I20" s="701"/>
      <c r="J20" s="776" t="s">
        <v>6</v>
      </c>
      <c r="K20" s="777"/>
      <c r="L20" s="777"/>
      <c r="M20" s="776" t="s">
        <v>7</v>
      </c>
      <c r="N20" s="777"/>
      <c r="O20" s="607"/>
      <c r="P20" s="7"/>
      <c r="Q20" s="701"/>
      <c r="R20" s="776" t="s">
        <v>6</v>
      </c>
      <c r="S20" s="777"/>
      <c r="T20" s="777"/>
      <c r="U20" s="776" t="s">
        <v>7</v>
      </c>
      <c r="V20" s="777"/>
      <c r="W20" s="607"/>
      <c r="X20" s="7"/>
    </row>
    <row r="21" spans="1:24" ht="17.25" thickBot="1">
      <c r="A21" s="693"/>
      <c r="B21" s="17" t="s">
        <v>26</v>
      </c>
      <c r="C21" s="18" t="s">
        <v>8</v>
      </c>
      <c r="D21" s="19" t="s">
        <v>9</v>
      </c>
      <c r="E21" s="18" t="s">
        <v>10</v>
      </c>
      <c r="F21" s="19" t="s">
        <v>8</v>
      </c>
      <c r="G21" s="18" t="s">
        <v>11</v>
      </c>
      <c r="H21" s="65"/>
      <c r="I21" s="701"/>
      <c r="J21" s="17" t="s">
        <v>26</v>
      </c>
      <c r="K21" s="18" t="s">
        <v>8</v>
      </c>
      <c r="L21" s="19" t="s">
        <v>9</v>
      </c>
      <c r="M21" s="18" t="s">
        <v>10</v>
      </c>
      <c r="N21" s="19" t="s">
        <v>8</v>
      </c>
      <c r="O21" s="18" t="s">
        <v>11</v>
      </c>
      <c r="P21" s="7"/>
      <c r="Q21" s="701"/>
      <c r="R21" s="17" t="s">
        <v>26</v>
      </c>
      <c r="S21" s="18" t="s">
        <v>8</v>
      </c>
      <c r="T21" s="19" t="s">
        <v>9</v>
      </c>
      <c r="U21" s="18" t="s">
        <v>10</v>
      </c>
      <c r="V21" s="19" t="s">
        <v>8</v>
      </c>
      <c r="W21" s="18" t="s">
        <v>11</v>
      </c>
      <c r="X21" s="7"/>
    </row>
    <row r="22" spans="1:24" ht="16.5">
      <c r="A22" s="693"/>
      <c r="B22" s="160">
        <v>58</v>
      </c>
      <c r="C22" s="154">
        <v>10000</v>
      </c>
      <c r="D22" s="154">
        <f>B22*C22</f>
        <v>580000</v>
      </c>
      <c r="E22" s="154">
        <v>58</v>
      </c>
      <c r="F22" s="154">
        <v>3500</v>
      </c>
      <c r="G22" s="161">
        <f>+E22*F22</f>
        <v>203000</v>
      </c>
      <c r="H22" s="39">
        <f>+D22+G22</f>
        <v>783000</v>
      </c>
      <c r="I22" s="701"/>
      <c r="J22" s="33">
        <v>4</v>
      </c>
      <c r="K22" s="34">
        <v>10000</v>
      </c>
      <c r="L22" s="34">
        <f>J22*K22</f>
        <v>40000</v>
      </c>
      <c r="M22" s="34">
        <f>+J22*2</f>
        <v>8</v>
      </c>
      <c r="N22" s="34">
        <v>2000</v>
      </c>
      <c r="O22" s="35">
        <f>+M22*N22</f>
        <v>16000</v>
      </c>
      <c r="P22" s="39">
        <f>+L22+O22</f>
        <v>56000</v>
      </c>
      <c r="Q22" s="701"/>
      <c r="R22" s="33">
        <v>19</v>
      </c>
      <c r="S22" s="34">
        <v>10000</v>
      </c>
      <c r="T22" s="34">
        <f>R22*S22</f>
        <v>190000</v>
      </c>
      <c r="U22" s="34">
        <f>+R22*2</f>
        <v>38</v>
      </c>
      <c r="V22" s="34">
        <v>2000</v>
      </c>
      <c r="W22" s="35">
        <f>+U22*V22</f>
        <v>76000</v>
      </c>
      <c r="X22" s="39">
        <f>+T22+W22</f>
        <v>266000</v>
      </c>
    </row>
    <row r="23" spans="1:24" ht="15" customHeight="1">
      <c r="A23" s="693"/>
      <c r="B23" s="64"/>
      <c r="C23" s="12"/>
      <c r="D23" s="12"/>
      <c r="E23" s="12"/>
      <c r="F23" s="12"/>
      <c r="G23" s="65"/>
      <c r="H23" s="65"/>
      <c r="I23" s="701"/>
      <c r="J23" s="6"/>
      <c r="O23" s="7"/>
      <c r="P23" s="7"/>
      <c r="Q23" s="701"/>
      <c r="R23" s="6"/>
      <c r="W23" s="7"/>
      <c r="X23" s="7"/>
    </row>
    <row r="24" spans="1:24" ht="15" customHeight="1">
      <c r="A24" s="693"/>
      <c r="B24" s="64"/>
      <c r="C24" s="12"/>
      <c r="D24" s="12"/>
      <c r="E24" s="12"/>
      <c r="F24" s="12"/>
      <c r="G24" s="65"/>
      <c r="H24" s="65"/>
      <c r="I24" s="701"/>
      <c r="J24" s="6"/>
      <c r="O24" s="7"/>
      <c r="P24" s="7"/>
      <c r="Q24" s="701"/>
      <c r="R24" s="6"/>
      <c r="W24" s="7"/>
      <c r="X24" s="7"/>
    </row>
    <row r="25" spans="1:24" ht="15.75" customHeight="1" thickBot="1">
      <c r="A25" s="693"/>
      <c r="B25" s="140"/>
      <c r="C25" s="141"/>
      <c r="D25" s="141"/>
      <c r="E25" s="141"/>
      <c r="F25" s="141"/>
      <c r="G25" s="142"/>
      <c r="H25" s="65"/>
      <c r="I25" s="701"/>
      <c r="J25" s="9"/>
      <c r="K25" s="10"/>
      <c r="L25" s="10"/>
      <c r="M25" s="10"/>
      <c r="N25" s="10"/>
      <c r="O25" s="11"/>
      <c r="P25" s="7"/>
      <c r="Q25" s="701"/>
      <c r="R25" s="9"/>
      <c r="S25" s="10"/>
      <c r="T25" s="10"/>
      <c r="U25" s="10"/>
      <c r="V25" s="10"/>
      <c r="W25" s="11"/>
      <c r="X25" s="7"/>
    </row>
    <row r="26" spans="1:24" ht="17.25" thickBot="1">
      <c r="A26" s="20" t="s">
        <v>563</v>
      </c>
      <c r="B26" s="611" t="s">
        <v>13</v>
      </c>
      <c r="C26" s="612"/>
      <c r="D26" s="21" t="s">
        <v>14</v>
      </c>
      <c r="E26" s="20"/>
      <c r="F26" s="21" t="s">
        <v>15</v>
      </c>
      <c r="G26" s="21" t="s">
        <v>13</v>
      </c>
      <c r="H26" s="20" t="s">
        <v>17</v>
      </c>
      <c r="I26" s="20" t="s">
        <v>12</v>
      </c>
      <c r="J26" s="611" t="s">
        <v>13</v>
      </c>
      <c r="K26" s="612"/>
      <c r="L26" s="21" t="s">
        <v>14</v>
      </c>
      <c r="M26" s="20"/>
      <c r="N26" s="21" t="s">
        <v>15</v>
      </c>
      <c r="O26" s="21" t="s">
        <v>16</v>
      </c>
      <c r="P26" s="14" t="s">
        <v>17</v>
      </c>
      <c r="Q26" s="20" t="s">
        <v>12</v>
      </c>
      <c r="R26" s="611" t="s">
        <v>13</v>
      </c>
      <c r="S26" s="612"/>
      <c r="T26" s="21" t="s">
        <v>14</v>
      </c>
      <c r="U26" s="20"/>
      <c r="V26" s="21" t="s">
        <v>15</v>
      </c>
      <c r="W26" s="21" t="s">
        <v>16</v>
      </c>
      <c r="X26" s="14" t="s">
        <v>17</v>
      </c>
    </row>
    <row r="27" spans="1:24" ht="18" thickBot="1">
      <c r="A27" s="22">
        <v>834</v>
      </c>
      <c r="B27" s="606">
        <f>+H22</f>
        <v>783000</v>
      </c>
      <c r="C27" s="607"/>
      <c r="D27" s="23">
        <f>0</f>
        <v>0</v>
      </c>
      <c r="E27" s="516"/>
      <c r="F27" s="517">
        <f>0</f>
        <v>0</v>
      </c>
      <c r="G27" s="36">
        <f>+H22</f>
        <v>783000</v>
      </c>
      <c r="H27" s="38">
        <f>+H22</f>
        <v>783000</v>
      </c>
      <c r="I27" s="22" t="s">
        <v>18</v>
      </c>
      <c r="J27" s="606">
        <f>+L22</f>
        <v>40000</v>
      </c>
      <c r="K27" s="607"/>
      <c r="L27" s="23">
        <f>0</f>
        <v>0</v>
      </c>
      <c r="M27" s="24"/>
      <c r="N27" s="25">
        <f>0</f>
        <v>0</v>
      </c>
      <c r="O27" s="36">
        <f>+O22</f>
        <v>16000</v>
      </c>
      <c r="P27" s="38">
        <f>+P22</f>
        <v>56000</v>
      </c>
      <c r="Q27" s="22" t="s">
        <v>18</v>
      </c>
      <c r="R27" s="606">
        <f>+T22</f>
        <v>190000</v>
      </c>
      <c r="S27" s="607"/>
      <c r="T27" s="23">
        <f>0</f>
        <v>0</v>
      </c>
      <c r="U27" s="24"/>
      <c r="V27" s="25">
        <f>0</f>
        <v>0</v>
      </c>
      <c r="W27" s="36">
        <f>+W22</f>
        <v>76000</v>
      </c>
      <c r="X27" s="38">
        <f>+X22</f>
        <v>266000</v>
      </c>
    </row>
    <row r="29" spans="1:24" ht="16.5">
      <c r="A29" s="395" t="s">
        <v>1480</v>
      </c>
      <c r="B29" s="26"/>
      <c r="C29" s="26"/>
      <c r="D29" s="26"/>
      <c r="E29" s="163"/>
      <c r="F29" s="26"/>
      <c r="G29" s="26"/>
      <c r="I29" s="37" t="s">
        <v>37</v>
      </c>
      <c r="J29" s="26"/>
      <c r="K29" s="26"/>
      <c r="L29" s="26"/>
      <c r="M29" s="26"/>
      <c r="N29" s="26"/>
      <c r="O29" s="26"/>
      <c r="Q29" s="37" t="s">
        <v>61</v>
      </c>
      <c r="R29" s="26"/>
      <c r="S29" s="26"/>
      <c r="T29" s="26"/>
      <c r="U29" s="26"/>
      <c r="V29" s="26"/>
      <c r="W29" s="26"/>
    </row>
    <row r="30" spans="1:24" ht="16.5">
      <c r="A30" s="408" t="s">
        <v>3024</v>
      </c>
      <c r="B30" s="26"/>
      <c r="C30" s="26"/>
      <c r="D30" s="26"/>
      <c r="E30" s="163"/>
      <c r="F30" s="26"/>
      <c r="G30" s="26"/>
      <c r="I30" s="37"/>
      <c r="J30" s="26"/>
      <c r="K30" s="26"/>
      <c r="L30" s="26"/>
      <c r="M30" s="26"/>
      <c r="N30" s="26"/>
      <c r="O30" s="26"/>
      <c r="Q30" s="37"/>
      <c r="R30" s="26"/>
      <c r="S30" s="26"/>
      <c r="T30" s="26"/>
      <c r="U30" s="26"/>
      <c r="V30" s="26"/>
      <c r="W30" s="26"/>
    </row>
    <row r="31" spans="1:24" ht="16.5">
      <c r="A31" s="26" t="s">
        <v>19</v>
      </c>
      <c r="B31" s="26"/>
      <c r="C31" s="26"/>
      <c r="D31" s="26"/>
      <c r="E31" s="26"/>
      <c r="F31" s="26"/>
      <c r="G31" s="26"/>
      <c r="I31" s="26" t="s">
        <v>19</v>
      </c>
      <c r="J31" s="26"/>
      <c r="K31" s="26"/>
      <c r="L31" s="26"/>
      <c r="M31" s="26"/>
      <c r="N31" s="26"/>
      <c r="O31" s="26"/>
      <c r="Q31" s="26" t="s">
        <v>19</v>
      </c>
      <c r="R31" s="26"/>
      <c r="S31" s="26"/>
      <c r="T31" s="26"/>
      <c r="U31" s="26"/>
      <c r="V31" s="26"/>
      <c r="W31" s="26"/>
    </row>
    <row r="32" spans="1:24" ht="16.5">
      <c r="A32" s="26" t="s">
        <v>965</v>
      </c>
      <c r="B32" s="26"/>
      <c r="C32" s="26"/>
      <c r="D32" s="26"/>
      <c r="E32" s="26"/>
      <c r="F32" s="26"/>
      <c r="G32" s="26"/>
      <c r="I32" s="26" t="s">
        <v>20</v>
      </c>
      <c r="J32" s="26"/>
      <c r="K32" s="26"/>
      <c r="L32" s="26"/>
      <c r="M32" s="26"/>
      <c r="N32" s="26"/>
      <c r="O32" s="26"/>
      <c r="Q32" s="26" t="s">
        <v>20</v>
      </c>
      <c r="R32" s="26"/>
      <c r="S32" s="26"/>
      <c r="T32" s="26"/>
      <c r="U32" s="26"/>
      <c r="V32" s="26"/>
      <c r="W32" s="26"/>
    </row>
    <row r="33" spans="1:24" ht="16.5">
      <c r="A33" s="26" t="s">
        <v>21</v>
      </c>
      <c r="B33" s="26"/>
      <c r="C33" s="26"/>
      <c r="D33" s="26"/>
      <c r="E33" s="26"/>
      <c r="F33" s="26"/>
      <c r="G33" s="26"/>
      <c r="I33" s="26" t="s">
        <v>21</v>
      </c>
      <c r="J33" s="26"/>
      <c r="K33" s="26"/>
      <c r="L33" s="26"/>
      <c r="M33" s="26"/>
      <c r="N33" s="26"/>
      <c r="O33" s="26"/>
      <c r="Q33" s="26" t="s">
        <v>21</v>
      </c>
      <c r="R33" s="26"/>
      <c r="S33" s="26"/>
      <c r="T33" s="26"/>
      <c r="U33" s="26"/>
      <c r="V33" s="26"/>
      <c r="W33" s="26"/>
    </row>
    <row r="34" spans="1:24" ht="16.5">
      <c r="A34" s="26" t="s">
        <v>22</v>
      </c>
      <c r="B34" s="26"/>
      <c r="C34" s="26"/>
      <c r="D34" s="26"/>
      <c r="E34" s="26"/>
      <c r="F34" s="26"/>
      <c r="G34" s="26"/>
      <c r="I34" s="26" t="s">
        <v>22</v>
      </c>
      <c r="J34" s="26"/>
      <c r="K34" s="26"/>
      <c r="L34" s="26"/>
      <c r="M34" s="26"/>
      <c r="N34" s="26"/>
      <c r="O34" s="26"/>
      <c r="Q34" s="26" t="s">
        <v>22</v>
      </c>
      <c r="R34" s="26"/>
      <c r="S34" s="26"/>
      <c r="T34" s="26"/>
      <c r="U34" s="26"/>
      <c r="V34" s="26"/>
      <c r="W34" s="26"/>
    </row>
    <row r="39" spans="1:24" ht="16.5">
      <c r="D39" s="27"/>
      <c r="E39" s="30" t="s">
        <v>24</v>
      </c>
      <c r="F39" s="30"/>
      <c r="G39" s="30"/>
      <c r="L39" s="27"/>
      <c r="M39" s="27" t="s">
        <v>24</v>
      </c>
      <c r="T39" s="27"/>
      <c r="U39" s="27" t="s">
        <v>24</v>
      </c>
    </row>
    <row r="40" spans="1:24" ht="16.5" customHeight="1">
      <c r="D40" s="781" t="s">
        <v>162</v>
      </c>
      <c r="E40" s="781"/>
      <c r="F40" s="781"/>
      <c r="G40" s="781"/>
      <c r="H40" s="781"/>
      <c r="L40" s="27" t="s">
        <v>25</v>
      </c>
      <c r="M40" s="27"/>
      <c r="T40" s="27" t="s">
        <v>25</v>
      </c>
      <c r="U40" s="27"/>
    </row>
    <row r="41" spans="1:24" ht="16.5">
      <c r="E41" s="794" t="s">
        <v>150</v>
      </c>
      <c r="F41" s="794"/>
      <c r="G41" s="794"/>
    </row>
    <row r="43" spans="1:24" ht="16.5">
      <c r="D43" s="26"/>
      <c r="E43" s="26"/>
      <c r="F43" s="26"/>
      <c r="G43" s="26"/>
      <c r="I43" s="26"/>
      <c r="J43" s="26"/>
      <c r="K43" s="26"/>
      <c r="L43" s="26"/>
      <c r="M43" s="26"/>
      <c r="N43" s="26"/>
      <c r="O43" s="26"/>
      <c r="Q43" s="26"/>
      <c r="R43" s="26"/>
      <c r="S43" s="26"/>
      <c r="T43" s="26"/>
      <c r="U43" s="26"/>
      <c r="V43" s="26"/>
      <c r="W43" s="26"/>
    </row>
    <row r="44" spans="1:24" ht="18" customHeight="1">
      <c r="A44" s="28"/>
      <c r="B44" s="26"/>
      <c r="C44" s="26"/>
      <c r="D44" s="26"/>
      <c r="E44" s="259"/>
      <c r="F44" s="569" t="s">
        <v>2926</v>
      </c>
      <c r="G44" s="145"/>
      <c r="H44" s="259"/>
      <c r="I44" s="28"/>
      <c r="J44" s="26"/>
      <c r="K44" s="26"/>
      <c r="L44" s="26"/>
      <c r="M44" s="757" t="s">
        <v>23</v>
      </c>
      <c r="N44" s="735"/>
      <c r="O44" s="735"/>
      <c r="P44" s="29"/>
      <c r="Q44" s="28"/>
      <c r="R44" s="26"/>
      <c r="S44" s="26"/>
      <c r="T44" s="26"/>
      <c r="U44" s="757" t="s">
        <v>23</v>
      </c>
      <c r="V44" s="735"/>
      <c r="W44" s="735"/>
      <c r="X44" s="29"/>
    </row>
    <row r="45" spans="1:24" ht="16.5">
      <c r="A45" s="26"/>
      <c r="B45" s="26"/>
      <c r="C45" s="26"/>
      <c r="D45" s="26"/>
      <c r="E45" s="26"/>
      <c r="F45" s="26"/>
      <c r="G45" s="26"/>
      <c r="I45" s="26"/>
      <c r="J45" s="26"/>
      <c r="K45" s="26"/>
      <c r="L45" s="26"/>
      <c r="M45" s="26"/>
      <c r="N45" s="26"/>
      <c r="O45" s="26"/>
      <c r="Q45" s="26"/>
      <c r="R45" s="26"/>
      <c r="S45" s="26"/>
      <c r="T45" s="26"/>
      <c r="U45" s="26"/>
      <c r="V45" s="26"/>
      <c r="W45" s="26"/>
    </row>
    <row r="46" spans="1:24">
      <c r="B46" s="617" t="s">
        <v>2534</v>
      </c>
      <c r="C46" s="617"/>
      <c r="D46" s="617"/>
      <c r="E46" s="617"/>
      <c r="F46" s="617"/>
      <c r="G46" s="617"/>
      <c r="H46" s="617"/>
      <c r="J46" s="789" t="s">
        <v>0</v>
      </c>
      <c r="K46" s="789"/>
      <c r="L46" s="789"/>
      <c r="M46" s="789"/>
      <c r="N46" s="789"/>
      <c r="O46" s="789"/>
      <c r="P46" s="789"/>
      <c r="R46" s="789" t="s">
        <v>0</v>
      </c>
      <c r="S46" s="789"/>
      <c r="T46" s="789"/>
      <c r="U46" s="789"/>
      <c r="V46" s="789"/>
      <c r="W46" s="789"/>
      <c r="X46" s="789"/>
    </row>
    <row r="47" spans="1:24" ht="15.75" customHeight="1"/>
    <row r="48" spans="1:24" ht="16.5" customHeight="1"/>
    <row r="49" spans="1:24" ht="39" customHeight="1">
      <c r="A49" s="727" t="s">
        <v>1</v>
      </c>
      <c r="B49" s="727"/>
      <c r="C49" s="727"/>
      <c r="D49" s="727"/>
      <c r="E49" s="727"/>
      <c r="F49" s="727"/>
      <c r="G49" s="727"/>
      <c r="H49" s="727"/>
      <c r="K49" s="785" t="s">
        <v>1</v>
      </c>
      <c r="L49" s="785"/>
      <c r="M49" s="785"/>
      <c r="N49" s="785"/>
      <c r="S49" s="785" t="s">
        <v>1</v>
      </c>
      <c r="T49" s="785"/>
      <c r="U49" s="785"/>
      <c r="V49" s="785"/>
    </row>
    <row r="52" spans="1:24" ht="17.25">
      <c r="B52" s="503" t="s">
        <v>2751</v>
      </c>
      <c r="I52" s="1" t="s">
        <v>42</v>
      </c>
      <c r="Q52" s="1" t="s">
        <v>62</v>
      </c>
    </row>
    <row r="53" spans="1:24" ht="15.75" thickBot="1">
      <c r="A53" s="1"/>
      <c r="G53" s="10"/>
      <c r="I53" s="1"/>
      <c r="O53" s="10"/>
      <c r="Q53" s="1"/>
      <c r="W53" s="10"/>
    </row>
    <row r="54" spans="1:24" ht="16.5">
      <c r="B54" s="2"/>
      <c r="F54" s="3"/>
      <c r="H54" s="5"/>
      <c r="J54" s="2"/>
      <c r="N54" s="3"/>
      <c r="P54" s="5"/>
      <c r="R54" s="2"/>
      <c r="V54" s="3"/>
      <c r="X54" s="5"/>
    </row>
    <row r="55" spans="1:24" ht="17.25">
      <c r="F55" s="667" t="s">
        <v>120</v>
      </c>
      <c r="G55" s="668"/>
      <c r="H55" s="669"/>
      <c r="N55" s="6"/>
      <c r="O55" s="40" t="s">
        <v>33</v>
      </c>
      <c r="P55" s="7"/>
      <c r="V55" s="6"/>
      <c r="W55" s="40" t="s">
        <v>28</v>
      </c>
      <c r="X55" s="7"/>
    </row>
    <row r="56" spans="1:24" ht="16.5">
      <c r="A56" s="8" t="s">
        <v>114</v>
      </c>
      <c r="B56" s="8"/>
      <c r="D56" s="27"/>
      <c r="E56" s="27" t="s">
        <v>2</v>
      </c>
      <c r="F56" s="683"/>
      <c r="G56" s="683"/>
      <c r="H56" s="684"/>
      <c r="L56" s="27" t="s">
        <v>2</v>
      </c>
      <c r="P56" s="7"/>
      <c r="T56" s="27" t="s">
        <v>2</v>
      </c>
      <c r="X56" s="7"/>
    </row>
    <row r="57" spans="1:24" ht="13.5" customHeight="1">
      <c r="A57" s="8"/>
      <c r="F57" s="601" t="s">
        <v>163</v>
      </c>
      <c r="G57" s="602"/>
      <c r="H57" s="603"/>
      <c r="I57" s="8" t="s">
        <v>30</v>
      </c>
      <c r="N57" s="6"/>
      <c r="O57" s="31" t="s">
        <v>36</v>
      </c>
      <c r="P57" s="7"/>
      <c r="Q57" s="8" t="s">
        <v>30</v>
      </c>
      <c r="V57" s="6"/>
      <c r="W57" s="31" t="s">
        <v>36</v>
      </c>
      <c r="X57" s="7"/>
    </row>
    <row r="58" spans="1:24" ht="17.25" thickBot="1">
      <c r="F58" s="140"/>
      <c r="G58" s="141"/>
      <c r="H58" s="142"/>
      <c r="N58" s="9"/>
      <c r="O58" s="10"/>
      <c r="P58" s="11"/>
      <c r="V58" s="9"/>
      <c r="W58" s="10"/>
      <c r="X58" s="11"/>
    </row>
    <row r="59" spans="1:24" ht="16.5">
      <c r="A59" s="30"/>
      <c r="B59" s="30" t="s">
        <v>27</v>
      </c>
      <c r="C59" s="191" t="s">
        <v>2935</v>
      </c>
      <c r="I59" s="12"/>
      <c r="J59" s="12"/>
      <c r="Q59" s="12"/>
      <c r="R59" s="12"/>
    </row>
    <row r="60" spans="1:24" ht="16.5">
      <c r="A60" s="30"/>
      <c r="B60" s="30" t="s">
        <v>1848</v>
      </c>
      <c r="C60" s="30" t="s">
        <v>3025</v>
      </c>
      <c r="I60" s="30" t="s">
        <v>27</v>
      </c>
      <c r="J60" s="12" t="s">
        <v>35</v>
      </c>
      <c r="Q60" s="30" t="s">
        <v>27</v>
      </c>
      <c r="R60" s="12" t="s">
        <v>35</v>
      </c>
    </row>
    <row r="61" spans="1:24" ht="16.5">
      <c r="A61" s="30"/>
      <c r="B61" s="30"/>
      <c r="C61" s="30" t="s">
        <v>3026</v>
      </c>
      <c r="I61" s="30"/>
      <c r="J61" s="12"/>
      <c r="Q61" s="30"/>
      <c r="R61" s="12"/>
    </row>
    <row r="62" spans="1:24" ht="18" customHeight="1" thickBot="1">
      <c r="A62" s="24"/>
      <c r="B62" s="24"/>
    </row>
    <row r="63" spans="1:24" ht="17.25" customHeight="1" thickBot="1">
      <c r="A63" s="13" t="s">
        <v>3</v>
      </c>
      <c r="B63" s="696" t="s">
        <v>4</v>
      </c>
      <c r="C63" s="697"/>
      <c r="D63" s="697"/>
      <c r="E63" s="697"/>
      <c r="F63" s="697"/>
      <c r="G63" s="698"/>
      <c r="H63" s="20" t="s">
        <v>5</v>
      </c>
      <c r="I63" s="13" t="s">
        <v>3</v>
      </c>
      <c r="J63" s="778" t="s">
        <v>4</v>
      </c>
      <c r="K63" s="779"/>
      <c r="L63" s="779"/>
      <c r="M63" s="779"/>
      <c r="N63" s="779"/>
      <c r="O63" s="780"/>
      <c r="P63" s="14" t="s">
        <v>5</v>
      </c>
      <c r="Q63" s="13" t="s">
        <v>3</v>
      </c>
      <c r="R63" s="778" t="s">
        <v>4</v>
      </c>
      <c r="S63" s="779"/>
      <c r="T63" s="779"/>
      <c r="U63" s="779"/>
      <c r="V63" s="779"/>
      <c r="W63" s="780"/>
      <c r="X63" s="14" t="s">
        <v>5</v>
      </c>
    </row>
    <row r="64" spans="1:24" ht="15.75" customHeight="1" thickBot="1">
      <c r="A64" s="692" t="s">
        <v>3027</v>
      </c>
      <c r="B64" s="143"/>
      <c r="C64" s="159"/>
      <c r="D64" s="159"/>
      <c r="E64" s="159"/>
      <c r="F64" s="159"/>
      <c r="G64" s="144"/>
      <c r="H64" s="65"/>
      <c r="I64" s="700" t="s">
        <v>34</v>
      </c>
      <c r="J64" s="3"/>
      <c r="K64" s="4"/>
      <c r="L64" s="4"/>
      <c r="M64" s="4"/>
      <c r="N64" s="4"/>
      <c r="O64" s="5"/>
      <c r="P64" s="7"/>
      <c r="Q64" s="700" t="s">
        <v>60</v>
      </c>
      <c r="R64" s="3"/>
      <c r="S64" s="4"/>
      <c r="T64" s="4"/>
      <c r="U64" s="4"/>
      <c r="V64" s="4"/>
      <c r="W64" s="5"/>
      <c r="X64" s="7"/>
    </row>
    <row r="65" spans="1:24" ht="17.25" thickBot="1">
      <c r="A65" s="693"/>
      <c r="B65" s="776" t="s">
        <v>6</v>
      </c>
      <c r="C65" s="777"/>
      <c r="D65" s="777"/>
      <c r="E65" s="776" t="s">
        <v>7</v>
      </c>
      <c r="F65" s="777"/>
      <c r="G65" s="607"/>
      <c r="H65" s="65"/>
      <c r="I65" s="701"/>
      <c r="J65" s="598" t="s">
        <v>6</v>
      </c>
      <c r="K65" s="599"/>
      <c r="L65" s="599"/>
      <c r="M65" s="15" t="s">
        <v>7</v>
      </c>
      <c r="N65" s="16"/>
      <c r="O65" s="32"/>
      <c r="P65" s="7"/>
      <c r="Q65" s="701"/>
      <c r="R65" s="598" t="s">
        <v>6</v>
      </c>
      <c r="S65" s="599"/>
      <c r="T65" s="599"/>
      <c r="U65" s="15" t="s">
        <v>7</v>
      </c>
      <c r="V65" s="16"/>
      <c r="W65" s="32"/>
      <c r="X65" s="7"/>
    </row>
    <row r="66" spans="1:24" ht="17.25" thickBot="1">
      <c r="A66" s="693"/>
      <c r="B66" s="17" t="s">
        <v>26</v>
      </c>
      <c r="C66" s="18" t="s">
        <v>8</v>
      </c>
      <c r="D66" s="19" t="s">
        <v>9</v>
      </c>
      <c r="E66" s="18" t="s">
        <v>10</v>
      </c>
      <c r="F66" s="19" t="s">
        <v>8</v>
      </c>
      <c r="G66" s="18" t="s">
        <v>11</v>
      </c>
      <c r="H66" s="65"/>
      <c r="I66" s="701"/>
      <c r="J66" s="17" t="s">
        <v>26</v>
      </c>
      <c r="K66" s="18" t="s">
        <v>8</v>
      </c>
      <c r="L66" s="19" t="s">
        <v>9</v>
      </c>
      <c r="M66" s="18" t="s">
        <v>10</v>
      </c>
      <c r="N66" s="19" t="s">
        <v>8</v>
      </c>
      <c r="O66" s="18" t="s">
        <v>11</v>
      </c>
      <c r="P66" s="7"/>
      <c r="Q66" s="701"/>
      <c r="R66" s="17" t="s">
        <v>26</v>
      </c>
      <c r="S66" s="18" t="s">
        <v>8</v>
      </c>
      <c r="T66" s="19" t="s">
        <v>9</v>
      </c>
      <c r="U66" s="18" t="s">
        <v>10</v>
      </c>
      <c r="V66" s="19" t="s">
        <v>8</v>
      </c>
      <c r="W66" s="18" t="s">
        <v>11</v>
      </c>
      <c r="X66" s="7"/>
    </row>
    <row r="67" spans="1:24" ht="15" customHeight="1">
      <c r="A67" s="693"/>
      <c r="B67" s="160">
        <v>94</v>
      </c>
      <c r="C67" s="154">
        <v>10000</v>
      </c>
      <c r="D67" s="154">
        <f>B67*C67</f>
        <v>940000</v>
      </c>
      <c r="E67" s="154">
        <v>94</v>
      </c>
      <c r="F67" s="154">
        <v>3500</v>
      </c>
      <c r="G67" s="161">
        <f>F67*E67</f>
        <v>329000</v>
      </c>
      <c r="H67" s="162">
        <f>+D67+G67</f>
        <v>1269000</v>
      </c>
      <c r="I67" s="701"/>
      <c r="J67" s="33">
        <v>4</v>
      </c>
      <c r="K67" s="34">
        <v>10000</v>
      </c>
      <c r="L67" s="34">
        <f>J67*K67</f>
        <v>40000</v>
      </c>
      <c r="M67" s="34">
        <f>+J67*2</f>
        <v>8</v>
      </c>
      <c r="N67" s="34">
        <v>2000</v>
      </c>
      <c r="O67" s="35">
        <f>+M67*N67</f>
        <v>16000</v>
      </c>
      <c r="P67" s="39">
        <f>+L67+O67</f>
        <v>56000</v>
      </c>
      <c r="Q67" s="701"/>
      <c r="R67" s="47">
        <v>24</v>
      </c>
      <c r="S67" s="41">
        <v>10000</v>
      </c>
      <c r="T67" s="41">
        <f>R67*S67</f>
        <v>240000</v>
      </c>
      <c r="U67" s="41">
        <f>+R67*2</f>
        <v>48</v>
      </c>
      <c r="V67" s="41">
        <v>2000</v>
      </c>
      <c r="W67" s="42">
        <f>+U67*V67</f>
        <v>96000</v>
      </c>
      <c r="X67" s="43">
        <f>+T67+W67</f>
        <v>336000</v>
      </c>
    </row>
    <row r="68" spans="1:24" ht="15" customHeight="1">
      <c r="A68" s="693"/>
      <c r="B68" s="64"/>
      <c r="C68" s="12"/>
      <c r="D68" s="12"/>
      <c r="E68" s="12"/>
      <c r="F68" s="12"/>
      <c r="G68" s="65"/>
      <c r="H68" s="65"/>
      <c r="I68" s="701"/>
      <c r="J68" s="6"/>
      <c r="O68" s="7"/>
      <c r="P68" s="7"/>
      <c r="Q68" s="701"/>
      <c r="R68" s="44"/>
      <c r="S68" s="45"/>
      <c r="T68" s="45"/>
      <c r="U68" s="45"/>
      <c r="V68" s="45"/>
      <c r="W68" s="46"/>
      <c r="X68" s="46"/>
    </row>
    <row r="69" spans="1:24" ht="15" customHeight="1">
      <c r="A69" s="693"/>
      <c r="B69" s="64"/>
      <c r="C69" s="12"/>
      <c r="D69" s="12"/>
      <c r="E69" s="12"/>
      <c r="F69" s="442"/>
      <c r="G69" s="65"/>
      <c r="H69" s="65"/>
      <c r="I69" s="701"/>
      <c r="J69" s="6"/>
      <c r="O69" s="7"/>
      <c r="P69" s="7"/>
      <c r="Q69" s="701"/>
      <c r="R69" s="6"/>
      <c r="W69" s="7"/>
      <c r="X69" s="7"/>
    </row>
    <row r="70" spans="1:24" ht="15.75" customHeight="1" thickBot="1">
      <c r="A70" s="693"/>
      <c r="B70" s="140"/>
      <c r="C70" s="141"/>
      <c r="D70" s="141"/>
      <c r="E70" s="141"/>
      <c r="F70" s="141"/>
      <c r="G70" s="142"/>
      <c r="H70" s="65"/>
      <c r="I70" s="701"/>
      <c r="J70" s="9"/>
      <c r="K70" s="10"/>
      <c r="L70" s="10"/>
      <c r="M70" s="10"/>
      <c r="N70" s="10"/>
      <c r="O70" s="11"/>
      <c r="P70" s="7"/>
      <c r="Q70" s="701"/>
      <c r="R70" s="9"/>
      <c r="S70" s="10"/>
      <c r="T70" s="10"/>
      <c r="U70" s="10"/>
      <c r="V70" s="10"/>
      <c r="W70" s="11"/>
      <c r="X70" s="7"/>
    </row>
    <row r="71" spans="1:24" ht="17.25" thickBot="1">
      <c r="A71" s="20" t="s">
        <v>563</v>
      </c>
      <c r="B71" s="611" t="s">
        <v>13</v>
      </c>
      <c r="C71" s="612"/>
      <c r="D71" s="21" t="s">
        <v>14</v>
      </c>
      <c r="E71" s="20"/>
      <c r="F71" s="21" t="s">
        <v>15</v>
      </c>
      <c r="G71" s="21" t="s">
        <v>13</v>
      </c>
      <c r="H71" s="20" t="s">
        <v>17</v>
      </c>
      <c r="I71" s="20" t="s">
        <v>12</v>
      </c>
      <c r="J71" s="611" t="s">
        <v>13</v>
      </c>
      <c r="K71" s="612"/>
      <c r="L71" s="21" t="s">
        <v>14</v>
      </c>
      <c r="M71" s="20"/>
      <c r="N71" s="21" t="s">
        <v>15</v>
      </c>
      <c r="O71" s="21" t="s">
        <v>16</v>
      </c>
      <c r="P71" s="14" t="s">
        <v>17</v>
      </c>
      <c r="Q71" s="20" t="s">
        <v>12</v>
      </c>
      <c r="R71" s="611" t="s">
        <v>13</v>
      </c>
      <c r="S71" s="612"/>
      <c r="T71" s="21" t="s">
        <v>14</v>
      </c>
      <c r="U71" s="20"/>
      <c r="V71" s="21" t="s">
        <v>15</v>
      </c>
      <c r="W71" s="21" t="s">
        <v>16</v>
      </c>
      <c r="X71" s="14" t="s">
        <v>17</v>
      </c>
    </row>
    <row r="72" spans="1:24" ht="18" thickBot="1">
      <c r="A72" s="22">
        <v>2209</v>
      </c>
      <c r="B72" s="606">
        <f>+H67</f>
        <v>1269000</v>
      </c>
      <c r="C72" s="607"/>
      <c r="D72" s="23">
        <f>0</f>
        <v>0</v>
      </c>
      <c r="E72" s="24"/>
      <c r="F72" s="25">
        <f>0</f>
        <v>0</v>
      </c>
      <c r="G72" s="36">
        <f>+H67</f>
        <v>1269000</v>
      </c>
      <c r="H72" s="77">
        <f>+H67</f>
        <v>1269000</v>
      </c>
      <c r="I72" s="22" t="s">
        <v>18</v>
      </c>
      <c r="J72" s="606">
        <f>+L67</f>
        <v>40000</v>
      </c>
      <c r="K72" s="607"/>
      <c r="L72" s="23">
        <f>0</f>
        <v>0</v>
      </c>
      <c r="M72" s="24"/>
      <c r="N72" s="25">
        <f>0</f>
        <v>0</v>
      </c>
      <c r="O72" s="36">
        <f>+O67</f>
        <v>16000</v>
      </c>
      <c r="P72" s="38">
        <f>+P67</f>
        <v>56000</v>
      </c>
      <c r="Q72" s="22" t="s">
        <v>18</v>
      </c>
      <c r="R72" s="606">
        <f>+T67</f>
        <v>240000</v>
      </c>
      <c r="S72" s="607"/>
      <c r="T72" s="23">
        <f>0</f>
        <v>0</v>
      </c>
      <c r="U72" s="24"/>
      <c r="V72" s="25">
        <f>0</f>
        <v>0</v>
      </c>
      <c r="W72" s="36">
        <f>+W67</f>
        <v>96000</v>
      </c>
      <c r="X72" s="38">
        <f>+X67</f>
        <v>336000</v>
      </c>
    </row>
    <row r="74" spans="1:24" ht="16.5">
      <c r="A74" s="395" t="s">
        <v>1268</v>
      </c>
      <c r="B74" s="26"/>
      <c r="C74" s="26"/>
      <c r="D74" s="26"/>
      <c r="E74" s="26"/>
      <c r="F74" s="26"/>
      <c r="G74" s="26"/>
      <c r="I74" s="37" t="s">
        <v>37</v>
      </c>
      <c r="J74" s="26"/>
      <c r="K74" s="26"/>
      <c r="L74" s="26"/>
      <c r="M74" s="26"/>
      <c r="N74" s="26"/>
      <c r="O74" s="26"/>
      <c r="Q74" s="37" t="s">
        <v>63</v>
      </c>
      <c r="R74" s="26"/>
      <c r="S74" s="26"/>
      <c r="T74" s="26"/>
      <c r="U74" s="26"/>
      <c r="V74" s="26"/>
      <c r="W74" s="26"/>
    </row>
    <row r="75" spans="1:24" ht="16.5">
      <c r="A75" s="408" t="s">
        <v>3028</v>
      </c>
      <c r="B75" s="26"/>
      <c r="C75" s="26"/>
      <c r="D75" s="26"/>
      <c r="E75" s="26"/>
      <c r="F75" s="26"/>
      <c r="G75" s="26"/>
      <c r="I75" s="37"/>
      <c r="J75" s="26"/>
      <c r="K75" s="26"/>
      <c r="L75" s="26"/>
      <c r="M75" s="26"/>
      <c r="N75" s="26"/>
      <c r="O75" s="26"/>
      <c r="Q75" s="37"/>
      <c r="R75" s="26"/>
      <c r="S75" s="26"/>
      <c r="T75" s="26"/>
      <c r="U75" s="26"/>
      <c r="V75" s="26"/>
      <c r="W75" s="26"/>
    </row>
    <row r="76" spans="1:24" ht="16.5">
      <c r="A76" s="26" t="s">
        <v>19</v>
      </c>
      <c r="B76" s="26"/>
      <c r="C76" s="26"/>
      <c r="D76" s="26"/>
      <c r="E76" s="26"/>
      <c r="F76" s="26"/>
      <c r="G76" s="26"/>
      <c r="I76" s="26" t="s">
        <v>19</v>
      </c>
      <c r="J76" s="26"/>
      <c r="K76" s="26"/>
      <c r="L76" s="26"/>
      <c r="M76" s="26"/>
      <c r="N76" s="26"/>
      <c r="O76" s="26"/>
      <c r="Q76" s="26" t="s">
        <v>19</v>
      </c>
      <c r="R76" s="26"/>
      <c r="S76" s="26"/>
      <c r="T76" s="26"/>
      <c r="U76" s="26"/>
      <c r="V76" s="26"/>
      <c r="W76" s="26"/>
    </row>
    <row r="77" spans="1:24" ht="16.5">
      <c r="A77" s="26" t="s">
        <v>965</v>
      </c>
      <c r="B77" s="26"/>
      <c r="C77" s="26"/>
      <c r="D77" s="26"/>
      <c r="E77" s="26"/>
      <c r="F77" s="26"/>
      <c r="G77" s="26"/>
      <c r="I77" s="26" t="s">
        <v>20</v>
      </c>
      <c r="J77" s="26"/>
      <c r="K77" s="26"/>
      <c r="L77" s="26"/>
      <c r="M77" s="26"/>
      <c r="N77" s="26"/>
      <c r="O77" s="26"/>
      <c r="Q77" s="26" t="s">
        <v>20</v>
      </c>
      <c r="R77" s="26"/>
      <c r="S77" s="26"/>
      <c r="T77" s="26"/>
      <c r="U77" s="26"/>
      <c r="V77" s="26"/>
      <c r="W77" s="26"/>
    </row>
    <row r="78" spans="1:24" ht="16.5">
      <c r="A78" s="26" t="s">
        <v>21</v>
      </c>
      <c r="B78" s="26"/>
      <c r="C78" s="26"/>
      <c r="D78" s="26"/>
      <c r="E78" s="26"/>
      <c r="F78" s="26"/>
      <c r="G78" s="26"/>
      <c r="I78" s="26" t="s">
        <v>21</v>
      </c>
      <c r="J78" s="26"/>
      <c r="K78" s="26"/>
      <c r="L78" s="26"/>
      <c r="M78" s="26"/>
      <c r="N78" s="26"/>
      <c r="O78" s="26"/>
      <c r="Q78" s="26" t="s">
        <v>21</v>
      </c>
      <c r="R78" s="26"/>
      <c r="S78" s="26"/>
      <c r="T78" s="26"/>
      <c r="U78" s="26"/>
      <c r="V78" s="26"/>
      <c r="W78" s="26"/>
    </row>
    <row r="79" spans="1:24" ht="16.5">
      <c r="A79" s="26" t="s">
        <v>22</v>
      </c>
      <c r="B79" s="26"/>
      <c r="C79" s="26"/>
      <c r="D79" s="26"/>
      <c r="E79" s="26"/>
      <c r="F79" s="26"/>
      <c r="G79" s="26"/>
      <c r="I79" s="26" t="s">
        <v>22</v>
      </c>
      <c r="J79" s="26"/>
      <c r="K79" s="26"/>
      <c r="L79" s="26"/>
      <c r="M79" s="26"/>
      <c r="N79" s="26"/>
      <c r="O79" s="26"/>
      <c r="Q79" s="26" t="s">
        <v>22</v>
      </c>
      <c r="R79" s="26"/>
      <c r="S79" s="26"/>
      <c r="T79" s="26"/>
      <c r="U79" s="26"/>
      <c r="V79" s="26"/>
      <c r="W79" s="26"/>
    </row>
    <row r="82" spans="1:24" ht="16.5">
      <c r="E82" s="568"/>
      <c r="F82" s="568"/>
      <c r="G82" s="568"/>
      <c r="H82" s="568"/>
    </row>
    <row r="83" spans="1:24" ht="16.5" customHeight="1">
      <c r="E83" s="801" t="s">
        <v>24</v>
      </c>
      <c r="F83" s="801"/>
      <c r="G83" s="801"/>
      <c r="H83" s="801"/>
      <c r="I83" s="801"/>
    </row>
    <row r="84" spans="1:24" ht="16.5" customHeight="1">
      <c r="D84" s="27"/>
      <c r="E84" s="800" t="s">
        <v>162</v>
      </c>
      <c r="F84" s="800"/>
      <c r="G84" s="800"/>
      <c r="H84" s="800"/>
      <c r="I84" s="800"/>
      <c r="L84" s="27"/>
      <c r="M84" s="27" t="s">
        <v>24</v>
      </c>
      <c r="T84" s="27"/>
      <c r="U84" s="27" t="s">
        <v>24</v>
      </c>
    </row>
    <row r="85" spans="1:24" ht="16.5" customHeight="1">
      <c r="D85" s="194"/>
      <c r="E85" s="802" t="s">
        <v>2941</v>
      </c>
      <c r="F85" s="802"/>
      <c r="G85" s="802"/>
      <c r="H85" s="802"/>
      <c r="I85" s="802"/>
      <c r="L85" s="27" t="s">
        <v>25</v>
      </c>
      <c r="M85" s="27"/>
      <c r="T85" s="27" t="s">
        <v>25</v>
      </c>
      <c r="U85" s="27"/>
    </row>
    <row r="86" spans="1:24" ht="16.5">
      <c r="E86" s="568"/>
      <c r="F86" s="568"/>
      <c r="G86" s="568"/>
      <c r="H86" s="568"/>
    </row>
    <row r="87" spans="1:24" ht="17.25">
      <c r="E87" s="416"/>
    </row>
    <row r="88" spans="1:24" ht="18">
      <c r="A88" s="26"/>
      <c r="B88" s="26"/>
      <c r="C88" s="26"/>
      <c r="D88" s="26"/>
      <c r="E88" s="26"/>
      <c r="F88" s="569" t="s">
        <v>2926</v>
      </c>
      <c r="G88" s="145"/>
      <c r="H88" s="145"/>
      <c r="I88" s="145"/>
      <c r="J88" s="26"/>
      <c r="K88" s="26"/>
      <c r="L88" s="26"/>
      <c r="M88" s="26"/>
      <c r="N88" s="26"/>
      <c r="O88" s="26"/>
      <c r="Q88" s="26"/>
      <c r="R88" s="26"/>
      <c r="S88" s="26"/>
      <c r="T88" s="26"/>
      <c r="U88" s="26"/>
      <c r="V88" s="26"/>
      <c r="W88" s="26"/>
    </row>
    <row r="89" spans="1:24" ht="18">
      <c r="A89" s="26"/>
      <c r="B89" s="26"/>
      <c r="C89" s="26"/>
      <c r="D89" s="26"/>
      <c r="F89" s="259"/>
      <c r="G89" s="259"/>
      <c r="H89" s="259"/>
      <c r="I89" s="26"/>
      <c r="J89" s="26"/>
      <c r="K89" s="26"/>
      <c r="L89" s="26"/>
      <c r="M89" s="26"/>
      <c r="N89" s="735"/>
      <c r="O89" s="735"/>
      <c r="P89" s="735"/>
      <c r="Q89" s="26"/>
      <c r="R89" s="26"/>
      <c r="S89" s="26"/>
      <c r="T89" s="26"/>
      <c r="U89" s="26"/>
      <c r="V89" s="735"/>
      <c r="W89" s="735"/>
      <c r="X89" s="735"/>
    </row>
    <row r="90" spans="1:24" ht="18">
      <c r="A90" s="26"/>
      <c r="B90" s="26"/>
      <c r="C90" s="26"/>
      <c r="D90" s="26"/>
      <c r="E90" s="145"/>
      <c r="F90" s="29"/>
      <c r="G90" s="29"/>
      <c r="H90" s="29"/>
      <c r="I90" s="26"/>
      <c r="J90" s="26"/>
      <c r="K90" s="26"/>
      <c r="L90" s="26"/>
      <c r="M90" s="26"/>
      <c r="N90" s="368"/>
      <c r="O90" s="368"/>
      <c r="P90" s="368"/>
      <c r="Q90" s="26"/>
      <c r="R90" s="26"/>
      <c r="S90" s="26"/>
      <c r="T90" s="26"/>
      <c r="U90" s="26"/>
      <c r="V90" s="368"/>
      <c r="W90" s="368"/>
      <c r="X90" s="368"/>
    </row>
    <row r="91" spans="1:24" ht="17.25" customHeight="1">
      <c r="B91" s="617" t="s">
        <v>2534</v>
      </c>
      <c r="C91" s="617"/>
      <c r="D91" s="617"/>
      <c r="E91" s="617"/>
      <c r="F91" s="617"/>
      <c r="G91" s="617"/>
      <c r="H91" s="617"/>
      <c r="J91" s="789" t="s">
        <v>0</v>
      </c>
      <c r="K91" s="789"/>
      <c r="L91" s="789"/>
      <c r="M91" s="789"/>
      <c r="N91" s="789"/>
      <c r="O91" s="789"/>
      <c r="P91" s="789"/>
      <c r="R91" s="789" t="s">
        <v>0</v>
      </c>
      <c r="S91" s="789"/>
      <c r="T91" s="789"/>
      <c r="U91" s="789"/>
      <c r="V91" s="789"/>
      <c r="W91" s="789"/>
      <c r="X91" s="789"/>
    </row>
    <row r="92" spans="1:24" ht="18" customHeight="1"/>
    <row r="93" spans="1:24" ht="17.25" customHeight="1"/>
    <row r="94" spans="1:24" ht="45" customHeight="1">
      <c r="A94" s="613" t="s">
        <v>1</v>
      </c>
      <c r="B94" s="613"/>
      <c r="C94" s="613"/>
      <c r="D94" s="613"/>
      <c r="E94" s="613"/>
      <c r="F94" s="613"/>
      <c r="G94" s="613"/>
      <c r="H94" s="613"/>
      <c r="K94" s="785" t="s">
        <v>1</v>
      </c>
      <c r="L94" s="785"/>
      <c r="M94" s="785"/>
      <c r="N94" s="785"/>
      <c r="S94" s="785" t="s">
        <v>1</v>
      </c>
      <c r="T94" s="785"/>
      <c r="U94" s="785"/>
      <c r="V94" s="785"/>
    </row>
    <row r="95" spans="1:24" ht="14.25" customHeight="1"/>
    <row r="97" spans="1:24" ht="17.25">
      <c r="B97" s="503" t="s">
        <v>2936</v>
      </c>
      <c r="I97" s="1" t="s">
        <v>43</v>
      </c>
      <c r="Q97" s="1" t="s">
        <v>64</v>
      </c>
    </row>
    <row r="98" spans="1:24" ht="9" customHeight="1" thickBot="1">
      <c r="A98" s="1"/>
      <c r="G98" s="10"/>
      <c r="I98" s="1"/>
      <c r="O98" s="10"/>
      <c r="Q98" s="1"/>
      <c r="W98" s="10"/>
    </row>
    <row r="99" spans="1:24" ht="16.5">
      <c r="B99" s="2"/>
      <c r="F99" s="143"/>
      <c r="G99" s="12"/>
      <c r="H99" s="144"/>
      <c r="J99" s="2"/>
      <c r="N99" s="3"/>
      <c r="P99" s="5"/>
      <c r="R99" s="2"/>
      <c r="V99" s="3"/>
      <c r="X99" s="5"/>
    </row>
    <row r="100" spans="1:24" ht="15.75">
      <c r="F100" s="619" t="s">
        <v>2408</v>
      </c>
      <c r="G100" s="620"/>
      <c r="H100" s="621"/>
      <c r="N100" s="6"/>
      <c r="O100" s="40" t="s">
        <v>33</v>
      </c>
      <c r="P100" s="7"/>
      <c r="V100" s="6"/>
      <c r="W100" s="40" t="s">
        <v>31</v>
      </c>
      <c r="X100" s="7"/>
    </row>
    <row r="101" spans="1:24" ht="16.5">
      <c r="A101" s="8" t="s">
        <v>114</v>
      </c>
      <c r="D101" s="27" t="s">
        <v>2</v>
      </c>
      <c r="F101" s="683"/>
      <c r="G101" s="683"/>
      <c r="H101" s="684"/>
      <c r="L101" s="27" t="s">
        <v>2</v>
      </c>
      <c r="P101" s="7"/>
      <c r="T101" s="27" t="s">
        <v>2</v>
      </c>
      <c r="X101" s="7"/>
    </row>
    <row r="102" spans="1:24" ht="15" customHeight="1">
      <c r="A102" s="8"/>
      <c r="F102" s="601" t="s">
        <v>163</v>
      </c>
      <c r="G102" s="602"/>
      <c r="H102" s="603"/>
      <c r="I102" s="8" t="s">
        <v>30</v>
      </c>
      <c r="N102" s="6"/>
      <c r="O102" s="31" t="s">
        <v>36</v>
      </c>
      <c r="P102" s="7"/>
      <c r="Q102" s="8" t="s">
        <v>30</v>
      </c>
      <c r="V102" s="6"/>
      <c r="W102" s="31" t="s">
        <v>36</v>
      </c>
      <c r="X102" s="7"/>
    </row>
    <row r="103" spans="1:24" ht="17.25" thickBot="1">
      <c r="F103" s="140"/>
      <c r="G103" s="141"/>
      <c r="H103" s="142"/>
      <c r="N103" s="9"/>
      <c r="O103" s="10"/>
      <c r="P103" s="11"/>
      <c r="V103" s="9"/>
      <c r="W103" s="10"/>
      <c r="X103" s="11"/>
    </row>
    <row r="104" spans="1:24" ht="16.5">
      <c r="A104" s="30"/>
      <c r="B104" s="30" t="s">
        <v>27</v>
      </c>
      <c r="C104" s="30" t="s">
        <v>2935</v>
      </c>
      <c r="I104" s="12"/>
      <c r="J104" s="12"/>
      <c r="Q104" s="12"/>
      <c r="R104" s="12"/>
    </row>
    <row r="105" spans="1:24" ht="16.5">
      <c r="A105" s="30"/>
      <c r="B105" s="30" t="s">
        <v>1236</v>
      </c>
      <c r="C105" s="504" t="s">
        <v>2937</v>
      </c>
      <c r="I105" s="30" t="s">
        <v>27</v>
      </c>
      <c r="J105" s="12" t="s">
        <v>35</v>
      </c>
      <c r="Q105" s="30" t="s">
        <v>27</v>
      </c>
      <c r="R105" s="12" t="s">
        <v>35</v>
      </c>
    </row>
    <row r="106" spans="1:24" ht="16.5">
      <c r="A106" s="30"/>
      <c r="B106" s="30"/>
      <c r="C106" s="236" t="s">
        <v>2938</v>
      </c>
      <c r="I106" s="30"/>
      <c r="J106" s="12"/>
      <c r="Q106" s="30"/>
      <c r="R106" s="12"/>
    </row>
    <row r="107" spans="1:24" ht="9.75" customHeight="1" thickBot="1">
      <c r="B107" s="30"/>
    </row>
    <row r="108" spans="1:24" ht="17.25" customHeight="1" thickBot="1">
      <c r="A108" s="13" t="s">
        <v>3</v>
      </c>
      <c r="B108" s="696" t="s">
        <v>4</v>
      </c>
      <c r="C108" s="697"/>
      <c r="D108" s="697"/>
      <c r="E108" s="697"/>
      <c r="F108" s="697"/>
      <c r="G108" s="698"/>
      <c r="H108" s="20" t="s">
        <v>5</v>
      </c>
      <c r="I108" s="13" t="s">
        <v>3</v>
      </c>
      <c r="J108" s="778" t="s">
        <v>4</v>
      </c>
      <c r="K108" s="779"/>
      <c r="L108" s="779"/>
      <c r="M108" s="779"/>
      <c r="N108" s="779"/>
      <c r="O108" s="780"/>
      <c r="P108" s="14" t="s">
        <v>5</v>
      </c>
      <c r="Q108" s="13" t="s">
        <v>3</v>
      </c>
      <c r="R108" s="778" t="s">
        <v>4</v>
      </c>
      <c r="S108" s="779"/>
      <c r="T108" s="779"/>
      <c r="U108" s="779"/>
      <c r="V108" s="779"/>
      <c r="W108" s="780"/>
      <c r="X108" s="14" t="s">
        <v>5</v>
      </c>
    </row>
    <row r="109" spans="1:24" ht="15.75" customHeight="1" thickBot="1">
      <c r="A109" s="692" t="s">
        <v>2939</v>
      </c>
      <c r="B109" s="143"/>
      <c r="C109" s="159"/>
      <c r="D109" s="159"/>
      <c r="E109" s="159"/>
      <c r="F109" s="159"/>
      <c r="G109" s="144"/>
      <c r="H109" s="65"/>
      <c r="I109" s="700" t="s">
        <v>44</v>
      </c>
      <c r="J109" s="3"/>
      <c r="K109" s="4"/>
      <c r="L109" s="4"/>
      <c r="M109" s="4"/>
      <c r="N109" s="4"/>
      <c r="O109" s="5"/>
      <c r="P109" s="7"/>
      <c r="Q109" s="700" t="s">
        <v>60</v>
      </c>
      <c r="R109" s="3"/>
      <c r="S109" s="4"/>
      <c r="T109" s="4"/>
      <c r="U109" s="4"/>
      <c r="V109" s="4"/>
      <c r="W109" s="5"/>
      <c r="X109" s="7"/>
    </row>
    <row r="110" spans="1:24" ht="17.25" customHeight="1" thickBot="1">
      <c r="A110" s="693"/>
      <c r="B110" s="776" t="s">
        <v>6</v>
      </c>
      <c r="C110" s="777"/>
      <c r="D110" s="777"/>
      <c r="E110" s="776" t="s">
        <v>7</v>
      </c>
      <c r="F110" s="777"/>
      <c r="G110" s="607"/>
      <c r="H110" s="65"/>
      <c r="I110" s="701"/>
      <c r="J110" s="598" t="s">
        <v>6</v>
      </c>
      <c r="K110" s="599"/>
      <c r="L110" s="599"/>
      <c r="M110" s="15" t="s">
        <v>7</v>
      </c>
      <c r="N110" s="16"/>
      <c r="O110" s="32"/>
      <c r="P110" s="7"/>
      <c r="Q110" s="701"/>
      <c r="R110" s="598" t="s">
        <v>6</v>
      </c>
      <c r="S110" s="599"/>
      <c r="T110" s="599"/>
      <c r="U110" s="15" t="s">
        <v>7</v>
      </c>
      <c r="V110" s="16"/>
      <c r="W110" s="32"/>
      <c r="X110" s="7"/>
    </row>
    <row r="111" spans="1:24" ht="17.25" thickBot="1">
      <c r="A111" s="693"/>
      <c r="B111" s="17" t="s">
        <v>26</v>
      </c>
      <c r="C111" s="18" t="s">
        <v>8</v>
      </c>
      <c r="D111" s="19" t="s">
        <v>9</v>
      </c>
      <c r="E111" s="18" t="s">
        <v>10</v>
      </c>
      <c r="F111" s="19" t="s">
        <v>8</v>
      </c>
      <c r="G111" s="18" t="s">
        <v>11</v>
      </c>
      <c r="H111" s="65"/>
      <c r="I111" s="701"/>
      <c r="J111" s="17" t="s">
        <v>26</v>
      </c>
      <c r="K111" s="18" t="s">
        <v>8</v>
      </c>
      <c r="L111" s="19" t="s">
        <v>9</v>
      </c>
      <c r="M111" s="18" t="s">
        <v>10</v>
      </c>
      <c r="N111" s="19" t="s">
        <v>8</v>
      </c>
      <c r="O111" s="18" t="s">
        <v>11</v>
      </c>
      <c r="P111" s="7"/>
      <c r="Q111" s="701"/>
      <c r="R111" s="17" t="s">
        <v>26</v>
      </c>
      <c r="S111" s="18" t="s">
        <v>8</v>
      </c>
      <c r="T111" s="19" t="s">
        <v>9</v>
      </c>
      <c r="U111" s="18" t="s">
        <v>10</v>
      </c>
      <c r="V111" s="19" t="s">
        <v>8</v>
      </c>
      <c r="W111" s="18" t="s">
        <v>11</v>
      </c>
      <c r="X111" s="7"/>
    </row>
    <row r="112" spans="1:24" ht="15" customHeight="1">
      <c r="A112" s="693"/>
      <c r="B112" s="160">
        <v>55</v>
      </c>
      <c r="C112" s="154">
        <v>10000</v>
      </c>
      <c r="D112" s="154">
        <f>B112*C112</f>
        <v>550000</v>
      </c>
      <c r="E112" s="154">
        <v>55</v>
      </c>
      <c r="F112" s="154">
        <v>3500</v>
      </c>
      <c r="G112" s="161">
        <f>+E112*F112</f>
        <v>192500</v>
      </c>
      <c r="H112" s="162">
        <f>+D112+G112</f>
        <v>742500</v>
      </c>
      <c r="I112" s="701"/>
      <c r="J112" s="33">
        <v>3</v>
      </c>
      <c r="K112" s="34">
        <v>10000</v>
      </c>
      <c r="L112" s="34">
        <f>J112*K112</f>
        <v>30000</v>
      </c>
      <c r="M112" s="34">
        <f>+J112*2</f>
        <v>6</v>
      </c>
      <c r="N112" s="34">
        <v>2000</v>
      </c>
      <c r="O112" s="35">
        <f>+M112*N112</f>
        <v>12000</v>
      </c>
      <c r="P112" s="39">
        <f>+L112+O112</f>
        <v>42000</v>
      </c>
      <c r="Q112" s="701"/>
      <c r="R112" s="33">
        <v>38</v>
      </c>
      <c r="S112" s="34">
        <v>10000</v>
      </c>
      <c r="T112" s="34">
        <f>R112*S112</f>
        <v>380000</v>
      </c>
      <c r="U112" s="34">
        <f>+R112*2</f>
        <v>76</v>
      </c>
      <c r="V112" s="34">
        <v>2000</v>
      </c>
      <c r="W112" s="35">
        <f>+U112*V112</f>
        <v>152000</v>
      </c>
      <c r="X112" s="39">
        <f>+T112+W112</f>
        <v>532000</v>
      </c>
    </row>
    <row r="113" spans="1:24" ht="15" customHeight="1">
      <c r="A113" s="693"/>
      <c r="B113" s="64"/>
      <c r="C113" s="12"/>
      <c r="D113" s="12"/>
      <c r="E113" s="12"/>
      <c r="F113" s="12"/>
      <c r="G113" s="65"/>
      <c r="H113" s="65"/>
      <c r="I113" s="701"/>
      <c r="J113" s="6"/>
      <c r="O113" s="7"/>
      <c r="P113" s="7"/>
      <c r="Q113" s="701"/>
      <c r="R113" s="6"/>
      <c r="W113" s="7"/>
      <c r="X113" s="7"/>
    </row>
    <row r="114" spans="1:24" ht="15" customHeight="1">
      <c r="A114" s="693"/>
      <c r="B114" s="64"/>
      <c r="C114" s="12"/>
      <c r="D114" s="12"/>
      <c r="E114" s="12"/>
      <c r="F114" s="12"/>
      <c r="G114" s="65"/>
      <c r="H114" s="65"/>
      <c r="I114" s="701"/>
      <c r="J114" s="6"/>
      <c r="O114" s="7"/>
      <c r="P114" s="7"/>
      <c r="Q114" s="701"/>
      <c r="R114" s="6"/>
      <c r="W114" s="7"/>
      <c r="X114" s="7"/>
    </row>
    <row r="115" spans="1:24" ht="15.75" customHeight="1" thickBot="1">
      <c r="A115" s="693"/>
      <c r="B115" s="140"/>
      <c r="C115" s="141"/>
      <c r="D115" s="141"/>
      <c r="E115" s="141"/>
      <c r="F115" s="141"/>
      <c r="G115" s="142"/>
      <c r="H115" s="65"/>
      <c r="I115" s="701"/>
      <c r="J115" s="9"/>
      <c r="K115" s="10"/>
      <c r="L115" s="10"/>
      <c r="M115" s="10"/>
      <c r="N115" s="10"/>
      <c r="O115" s="11"/>
      <c r="P115" s="7"/>
      <c r="Q115" s="701"/>
      <c r="R115" s="9"/>
      <c r="S115" s="10"/>
      <c r="T115" s="10"/>
      <c r="U115" s="10"/>
      <c r="V115" s="10"/>
      <c r="W115" s="11"/>
      <c r="X115" s="7"/>
    </row>
    <row r="116" spans="1:24" ht="17.25" thickBot="1">
      <c r="A116" s="20" t="s">
        <v>563</v>
      </c>
      <c r="B116" s="611" t="s">
        <v>13</v>
      </c>
      <c r="C116" s="612"/>
      <c r="D116" s="21" t="s">
        <v>14</v>
      </c>
      <c r="E116" s="20"/>
      <c r="F116" s="21" t="s">
        <v>15</v>
      </c>
      <c r="G116" s="21" t="s">
        <v>13</v>
      </c>
      <c r="H116" s="20" t="s">
        <v>17</v>
      </c>
      <c r="I116" s="20" t="s">
        <v>12</v>
      </c>
      <c r="J116" s="611" t="s">
        <v>13</v>
      </c>
      <c r="K116" s="612"/>
      <c r="L116" s="21" t="s">
        <v>14</v>
      </c>
      <c r="M116" s="20"/>
      <c r="N116" s="21" t="s">
        <v>15</v>
      </c>
      <c r="O116" s="21" t="s">
        <v>16</v>
      </c>
      <c r="P116" s="14" t="s">
        <v>17</v>
      </c>
      <c r="Q116" s="20" t="s">
        <v>12</v>
      </c>
      <c r="R116" s="611" t="s">
        <v>13</v>
      </c>
      <c r="S116" s="612"/>
      <c r="T116" s="21" t="s">
        <v>14</v>
      </c>
      <c r="U116" s="20"/>
      <c r="V116" s="21" t="s">
        <v>15</v>
      </c>
      <c r="W116" s="21" t="s">
        <v>16</v>
      </c>
      <c r="X116" s="14" t="s">
        <v>17</v>
      </c>
    </row>
    <row r="117" spans="1:24" ht="18" thickBot="1">
      <c r="A117" s="22">
        <v>900</v>
      </c>
      <c r="B117" s="606">
        <f>+H112</f>
        <v>742500</v>
      </c>
      <c r="C117" s="607"/>
      <c r="D117" s="23">
        <f>0</f>
        <v>0</v>
      </c>
      <c r="E117" s="24"/>
      <c r="F117" s="25">
        <f>0</f>
        <v>0</v>
      </c>
      <c r="G117" s="36">
        <f>+H112</f>
        <v>742500</v>
      </c>
      <c r="H117" s="38">
        <f>+H112</f>
        <v>742500</v>
      </c>
      <c r="I117" s="22" t="s">
        <v>18</v>
      </c>
      <c r="J117" s="606">
        <f>+L112</f>
        <v>30000</v>
      </c>
      <c r="K117" s="607"/>
      <c r="L117" s="23">
        <f>0</f>
        <v>0</v>
      </c>
      <c r="M117" s="24"/>
      <c r="N117" s="25">
        <f>0</f>
        <v>0</v>
      </c>
      <c r="O117" s="36">
        <f>+O112</f>
        <v>12000</v>
      </c>
      <c r="P117" s="38">
        <f>+P112</f>
        <v>42000</v>
      </c>
      <c r="Q117" s="22" t="s">
        <v>18</v>
      </c>
      <c r="R117" s="606">
        <f>+T112</f>
        <v>380000</v>
      </c>
      <c r="S117" s="607"/>
      <c r="T117" s="23">
        <f>0</f>
        <v>0</v>
      </c>
      <c r="U117" s="24"/>
      <c r="V117" s="25">
        <f>0</f>
        <v>0</v>
      </c>
      <c r="W117" s="36">
        <f>+W112</f>
        <v>152000</v>
      </c>
      <c r="X117" s="38">
        <f>+X112</f>
        <v>532000</v>
      </c>
    </row>
    <row r="119" spans="1:24" ht="16.5">
      <c r="A119" s="395" t="s">
        <v>1457</v>
      </c>
      <c r="B119" s="26"/>
      <c r="C119" s="26"/>
      <c r="D119" s="26"/>
      <c r="E119" s="26"/>
      <c r="F119" s="26"/>
      <c r="G119" s="26"/>
      <c r="I119" s="37" t="s">
        <v>38</v>
      </c>
      <c r="J119" s="26"/>
      <c r="K119" s="26"/>
      <c r="L119" s="26"/>
      <c r="M119" s="26"/>
      <c r="N119" s="26"/>
      <c r="O119" s="26"/>
      <c r="Q119" s="37" t="s">
        <v>65</v>
      </c>
      <c r="R119" s="26"/>
      <c r="S119" s="26"/>
      <c r="T119" s="26"/>
      <c r="U119" s="26"/>
      <c r="V119" s="26"/>
      <c r="W119" s="26"/>
    </row>
    <row r="120" spans="1:24" ht="16.5">
      <c r="A120" s="408" t="s">
        <v>2940</v>
      </c>
      <c r="B120" s="26"/>
      <c r="C120" s="26"/>
      <c r="D120" s="26"/>
      <c r="E120" s="26"/>
      <c r="F120" s="26"/>
      <c r="G120" s="26"/>
      <c r="I120" s="37"/>
      <c r="J120" s="26"/>
      <c r="K120" s="26"/>
      <c r="L120" s="26"/>
      <c r="M120" s="26"/>
      <c r="N120" s="26"/>
      <c r="O120" s="26"/>
      <c r="Q120" s="37"/>
      <c r="R120" s="26"/>
      <c r="S120" s="26"/>
      <c r="T120" s="26"/>
      <c r="U120" s="26"/>
      <c r="V120" s="26"/>
      <c r="W120" s="26"/>
    </row>
    <row r="121" spans="1:24" ht="16.5">
      <c r="A121" s="26" t="s">
        <v>19</v>
      </c>
      <c r="B121" s="26"/>
      <c r="C121" s="26"/>
      <c r="D121" s="26"/>
      <c r="E121" s="26"/>
      <c r="F121" s="26"/>
      <c r="G121" s="26"/>
      <c r="I121" s="26" t="s">
        <v>19</v>
      </c>
      <c r="J121" s="26"/>
      <c r="K121" s="26"/>
      <c r="L121" s="26"/>
      <c r="M121" s="26"/>
      <c r="N121" s="26"/>
      <c r="O121" s="26"/>
      <c r="Q121" s="26" t="s">
        <v>19</v>
      </c>
      <c r="R121" s="26"/>
      <c r="S121" s="26"/>
      <c r="T121" s="26"/>
      <c r="U121" s="26"/>
      <c r="V121" s="26"/>
      <c r="W121" s="26"/>
    </row>
    <row r="122" spans="1:24" ht="16.5">
      <c r="A122" s="26" t="s">
        <v>965</v>
      </c>
      <c r="B122" s="26"/>
      <c r="C122" s="26"/>
      <c r="D122" s="26"/>
      <c r="E122" s="26"/>
      <c r="F122" s="26"/>
      <c r="G122" s="26"/>
      <c r="I122" s="26" t="s">
        <v>20</v>
      </c>
      <c r="J122" s="26"/>
      <c r="K122" s="26"/>
      <c r="L122" s="26"/>
      <c r="M122" s="26"/>
      <c r="N122" s="26"/>
      <c r="O122" s="26"/>
      <c r="Q122" s="26" t="s">
        <v>20</v>
      </c>
      <c r="R122" s="26"/>
      <c r="S122" s="26"/>
      <c r="T122" s="26"/>
      <c r="U122" s="26"/>
      <c r="V122" s="26"/>
      <c r="W122" s="26"/>
    </row>
    <row r="123" spans="1:24" ht="16.5">
      <c r="A123" s="26" t="s">
        <v>21</v>
      </c>
      <c r="B123" s="26"/>
      <c r="C123" s="26"/>
      <c r="D123" s="26"/>
      <c r="E123" s="26"/>
      <c r="F123" s="26"/>
      <c r="G123" s="26"/>
      <c r="I123" s="26" t="s">
        <v>21</v>
      </c>
      <c r="J123" s="26"/>
      <c r="K123" s="26"/>
      <c r="L123" s="26"/>
      <c r="M123" s="26"/>
      <c r="N123" s="26"/>
      <c r="O123" s="26"/>
      <c r="Q123" s="26" t="s">
        <v>21</v>
      </c>
      <c r="R123" s="26"/>
      <c r="S123" s="26"/>
      <c r="T123" s="26"/>
      <c r="U123" s="26"/>
      <c r="V123" s="26"/>
      <c r="W123" s="26"/>
    </row>
    <row r="124" spans="1:24" ht="16.5">
      <c r="A124" s="26" t="s">
        <v>22</v>
      </c>
      <c r="B124" s="26"/>
      <c r="C124" s="26"/>
      <c r="D124" s="26"/>
      <c r="E124" s="26"/>
      <c r="F124" s="26"/>
      <c r="G124" s="26"/>
      <c r="I124" s="26" t="s">
        <v>22</v>
      </c>
      <c r="J124" s="26"/>
      <c r="K124" s="26"/>
      <c r="L124" s="26"/>
      <c r="M124" s="26"/>
      <c r="N124" s="26"/>
      <c r="O124" s="26"/>
      <c r="Q124" s="26" t="s">
        <v>22</v>
      </c>
      <c r="R124" s="26"/>
      <c r="S124" s="26"/>
      <c r="T124" s="26"/>
      <c r="U124" s="26"/>
      <c r="V124" s="26"/>
      <c r="W124" s="26"/>
    </row>
    <row r="127" spans="1:24" ht="12" customHeight="1"/>
    <row r="128" spans="1:24" ht="16.5">
      <c r="D128" s="27"/>
      <c r="E128" s="30" t="s">
        <v>24</v>
      </c>
      <c r="F128" s="30"/>
      <c r="G128" s="30"/>
      <c r="L128" s="27"/>
      <c r="M128" s="27" t="s">
        <v>24</v>
      </c>
      <c r="T128" s="27"/>
      <c r="U128" s="27" t="s">
        <v>24</v>
      </c>
    </row>
    <row r="129" spans="1:24" ht="16.5">
      <c r="D129" s="781" t="s">
        <v>162</v>
      </c>
      <c r="E129" s="781"/>
      <c r="F129" s="781"/>
      <c r="G129" s="781"/>
      <c r="H129" s="781"/>
      <c r="L129" s="27" t="s">
        <v>25</v>
      </c>
      <c r="M129" s="27"/>
      <c r="T129" s="27" t="s">
        <v>25</v>
      </c>
      <c r="U129" s="27"/>
    </row>
    <row r="130" spans="1:24" ht="16.5">
      <c r="E130" s="568" t="s">
        <v>2941</v>
      </c>
      <c r="F130" s="568"/>
      <c r="G130" s="568"/>
    </row>
    <row r="132" spans="1:24" ht="16.5">
      <c r="A132" s="26"/>
      <c r="B132" s="26"/>
      <c r="C132" s="26"/>
      <c r="D132" s="26"/>
      <c r="E132" s="26"/>
      <c r="F132" s="26"/>
      <c r="G132" s="26"/>
      <c r="I132" s="26"/>
      <c r="J132" s="26"/>
      <c r="K132" s="26"/>
      <c r="L132" s="26"/>
      <c r="M132" s="26"/>
      <c r="N132" s="26"/>
      <c r="O132" s="26"/>
      <c r="Q132" s="26"/>
      <c r="R132" s="26"/>
      <c r="S132" s="26"/>
      <c r="T132" s="26"/>
      <c r="U132" s="26"/>
      <c r="V132" s="26"/>
      <c r="W132" s="26"/>
    </row>
    <row r="133" spans="1:24" ht="18">
      <c r="A133" s="26"/>
      <c r="B133" s="26"/>
      <c r="C133" s="26"/>
      <c r="D133" s="644" t="s">
        <v>2926</v>
      </c>
      <c r="E133" s="644"/>
      <c r="F133" s="644"/>
      <c r="G133" s="644"/>
      <c r="H133" s="644"/>
      <c r="I133" s="26"/>
      <c r="J133" s="26"/>
      <c r="K133" s="26"/>
      <c r="L133" s="26"/>
      <c r="M133" s="26"/>
      <c r="N133" s="735"/>
      <c r="O133" s="735"/>
      <c r="P133" s="735"/>
      <c r="Q133" s="26"/>
      <c r="R133" s="26"/>
      <c r="S133" s="26"/>
      <c r="T133" s="26"/>
      <c r="U133" s="26"/>
      <c r="V133" s="735"/>
      <c r="W133" s="735"/>
      <c r="X133" s="735"/>
    </row>
    <row r="134" spans="1:24" ht="18" customHeight="1">
      <c r="A134" s="28"/>
      <c r="B134" s="26"/>
      <c r="C134" s="26"/>
      <c r="D134" s="644"/>
      <c r="E134" s="644"/>
      <c r="F134" s="644"/>
      <c r="G134" s="644"/>
      <c r="H134" s="644"/>
      <c r="I134" s="28"/>
      <c r="J134" s="26"/>
      <c r="K134" s="26"/>
      <c r="L134" s="26"/>
      <c r="M134" s="757" t="s">
        <v>23</v>
      </c>
      <c r="N134" s="735"/>
      <c r="O134" s="735"/>
      <c r="P134" s="29"/>
      <c r="Q134" s="28"/>
      <c r="R134" s="26"/>
      <c r="S134" s="26"/>
      <c r="T134" s="26"/>
      <c r="U134" s="757" t="s">
        <v>23</v>
      </c>
      <c r="V134" s="735"/>
      <c r="W134" s="735"/>
      <c r="X134" s="29"/>
    </row>
    <row r="135" spans="1:24" ht="18" customHeight="1">
      <c r="A135" s="26"/>
      <c r="B135" s="26"/>
      <c r="C135" s="26"/>
      <c r="D135" s="26"/>
      <c r="E135" s="26"/>
      <c r="F135" s="26"/>
      <c r="G135" s="26"/>
      <c r="I135" s="26"/>
      <c r="J135" s="26"/>
      <c r="K135" s="26"/>
      <c r="L135" s="26"/>
      <c r="M135" s="26"/>
      <c r="N135" s="26"/>
      <c r="O135" s="26"/>
      <c r="Q135" s="26"/>
      <c r="R135" s="26"/>
      <c r="S135" s="26"/>
      <c r="T135" s="26"/>
      <c r="U135" s="26"/>
      <c r="V135" s="26"/>
      <c r="W135" s="26"/>
    </row>
    <row r="136" spans="1:24">
      <c r="B136" s="617" t="s">
        <v>2534</v>
      </c>
      <c r="C136" s="617"/>
      <c r="D136" s="617"/>
      <c r="E136" s="617"/>
      <c r="F136" s="617"/>
      <c r="G136" s="617"/>
      <c r="H136" s="617"/>
      <c r="J136" s="789" t="s">
        <v>0</v>
      </c>
      <c r="K136" s="789"/>
      <c r="L136" s="789"/>
      <c r="M136" s="789"/>
      <c r="N136" s="789"/>
      <c r="O136" s="789"/>
      <c r="P136" s="789"/>
      <c r="R136" s="789" t="s">
        <v>0</v>
      </c>
      <c r="S136" s="789"/>
      <c r="T136" s="789"/>
      <c r="U136" s="789"/>
      <c r="V136" s="789"/>
      <c r="W136" s="789"/>
      <c r="X136" s="789"/>
    </row>
    <row r="139" spans="1:24" ht="48" customHeight="1">
      <c r="A139" s="740" t="s">
        <v>1</v>
      </c>
      <c r="B139" s="740"/>
      <c r="C139" s="740"/>
      <c r="D139" s="740"/>
      <c r="E139" s="740"/>
      <c r="F139" s="740"/>
      <c r="G139" s="740"/>
      <c r="H139" s="740"/>
      <c r="K139" s="785" t="s">
        <v>1</v>
      </c>
      <c r="L139" s="785"/>
      <c r="M139" s="785"/>
      <c r="N139" s="785"/>
      <c r="S139" s="785" t="s">
        <v>1</v>
      </c>
      <c r="T139" s="785"/>
      <c r="U139" s="785"/>
      <c r="V139" s="785"/>
    </row>
    <row r="141" spans="1:24" ht="17.25">
      <c r="A141" s="428"/>
    </row>
    <row r="142" spans="1:24" ht="17.25">
      <c r="A142" s="375"/>
      <c r="B142" s="503" t="s">
        <v>2942</v>
      </c>
      <c r="I142" s="1" t="s">
        <v>47</v>
      </c>
      <c r="Q142" s="1" t="s">
        <v>66</v>
      </c>
    </row>
    <row r="143" spans="1:24" ht="15.75" thickBot="1">
      <c r="A143" s="1"/>
      <c r="G143" s="10"/>
      <c r="I143" s="1"/>
      <c r="O143" s="10"/>
      <c r="Q143" s="1"/>
      <c r="W143" s="10"/>
    </row>
    <row r="144" spans="1:24" ht="16.5">
      <c r="B144" s="2"/>
      <c r="F144" s="3"/>
      <c r="H144" s="5"/>
      <c r="J144" s="2"/>
      <c r="N144" s="3"/>
      <c r="P144" s="5"/>
      <c r="R144" s="2"/>
      <c r="V144" s="3"/>
      <c r="X144" s="5"/>
    </row>
    <row r="145" spans="1:24" ht="16.5" customHeight="1">
      <c r="F145" s="619" t="s">
        <v>2408</v>
      </c>
      <c r="G145" s="620"/>
      <c r="H145" s="621"/>
      <c r="N145" s="6"/>
      <c r="O145" s="40" t="s">
        <v>28</v>
      </c>
      <c r="P145" s="7"/>
      <c r="V145" s="6"/>
      <c r="W145" s="40" t="s">
        <v>32</v>
      </c>
      <c r="X145" s="7"/>
    </row>
    <row r="146" spans="1:24" ht="16.5">
      <c r="A146" s="8" t="s">
        <v>114</v>
      </c>
      <c r="D146" s="27" t="s">
        <v>2</v>
      </c>
      <c r="F146" s="683"/>
      <c r="G146" s="683"/>
      <c r="H146" s="684"/>
      <c r="L146" s="27" t="s">
        <v>2</v>
      </c>
      <c r="P146" s="7"/>
      <c r="T146" s="27" t="s">
        <v>2</v>
      </c>
      <c r="X146" s="7"/>
    </row>
    <row r="147" spans="1:24" ht="16.5">
      <c r="A147" s="8"/>
      <c r="F147" s="601" t="s">
        <v>163</v>
      </c>
      <c r="G147" s="602"/>
      <c r="H147" s="603"/>
      <c r="I147" s="8" t="s">
        <v>30</v>
      </c>
      <c r="N147" s="6"/>
      <c r="O147" s="31" t="s">
        <v>36</v>
      </c>
      <c r="P147" s="7"/>
      <c r="Q147" s="8" t="s">
        <v>30</v>
      </c>
      <c r="V147" s="6"/>
      <c r="W147" s="31" t="s">
        <v>36</v>
      </c>
      <c r="X147" s="7"/>
    </row>
    <row r="148" spans="1:24" ht="17.25" thickBot="1">
      <c r="F148" s="140"/>
      <c r="G148" s="141"/>
      <c r="H148" s="142"/>
      <c r="N148" s="9"/>
      <c r="O148" s="10"/>
      <c r="P148" s="11"/>
      <c r="V148" s="9"/>
      <c r="W148" s="10"/>
      <c r="X148" s="11"/>
    </row>
    <row r="149" spans="1:24" ht="16.5">
      <c r="A149" s="30"/>
      <c r="B149" s="30" t="s">
        <v>27</v>
      </c>
      <c r="C149" s="30" t="s">
        <v>2935</v>
      </c>
      <c r="I149" s="12"/>
      <c r="J149" s="12"/>
      <c r="Q149" s="12"/>
      <c r="R149" s="12"/>
    </row>
    <row r="150" spans="1:24" ht="16.5">
      <c r="A150" s="30"/>
      <c r="B150" s="30" t="s">
        <v>2943</v>
      </c>
      <c r="C150" s="12"/>
      <c r="I150" s="30" t="s">
        <v>27</v>
      </c>
      <c r="J150" s="12" t="s">
        <v>35</v>
      </c>
      <c r="Q150" s="30" t="s">
        <v>27</v>
      </c>
      <c r="R150" s="12" t="s">
        <v>35</v>
      </c>
    </row>
    <row r="151" spans="1:24" ht="17.25" thickBot="1">
      <c r="B151" s="30"/>
    </row>
    <row r="152" spans="1:24" ht="17.25" customHeight="1" thickBot="1">
      <c r="A152" s="13" t="s">
        <v>3</v>
      </c>
      <c r="B152" s="696" t="s">
        <v>4</v>
      </c>
      <c r="C152" s="697"/>
      <c r="D152" s="697"/>
      <c r="E152" s="697"/>
      <c r="F152" s="697"/>
      <c r="G152" s="698"/>
      <c r="H152" s="20" t="s">
        <v>5</v>
      </c>
      <c r="I152" s="13" t="s">
        <v>3</v>
      </c>
      <c r="J152" s="778" t="s">
        <v>4</v>
      </c>
      <c r="K152" s="779"/>
      <c r="L152" s="779"/>
      <c r="M152" s="779"/>
      <c r="N152" s="779"/>
      <c r="O152" s="780"/>
      <c r="P152" s="14" t="s">
        <v>5</v>
      </c>
      <c r="Q152" s="13" t="s">
        <v>3</v>
      </c>
      <c r="R152" s="778" t="s">
        <v>4</v>
      </c>
      <c r="S152" s="779"/>
      <c r="T152" s="779"/>
      <c r="U152" s="779"/>
      <c r="V152" s="779"/>
      <c r="W152" s="780"/>
      <c r="X152" s="14" t="s">
        <v>5</v>
      </c>
    </row>
    <row r="153" spans="1:24" ht="15.75" customHeight="1" thickBot="1">
      <c r="A153" s="692" t="s">
        <v>2944</v>
      </c>
      <c r="B153" s="143"/>
      <c r="C153" s="159"/>
      <c r="D153" s="159"/>
      <c r="E153" s="159"/>
      <c r="F153" s="159"/>
      <c r="G153" s="144"/>
      <c r="H153" s="65"/>
      <c r="I153" s="700" t="s">
        <v>46</v>
      </c>
      <c r="J153" s="3"/>
      <c r="K153" s="4"/>
      <c r="L153" s="4"/>
      <c r="M153" s="4"/>
      <c r="N153" s="4"/>
      <c r="O153" s="5"/>
      <c r="P153" s="7"/>
      <c r="Q153" s="700" t="s">
        <v>60</v>
      </c>
      <c r="R153" s="3"/>
      <c r="S153" s="4"/>
      <c r="T153" s="4"/>
      <c r="U153" s="4"/>
      <c r="V153" s="4"/>
      <c r="W153" s="5"/>
      <c r="X153" s="7"/>
    </row>
    <row r="154" spans="1:24" ht="17.25" thickBot="1">
      <c r="A154" s="693"/>
      <c r="B154" s="598" t="s">
        <v>6</v>
      </c>
      <c r="C154" s="599"/>
      <c r="D154" s="599"/>
      <c r="E154" s="15" t="s">
        <v>7</v>
      </c>
      <c r="F154" s="16"/>
      <c r="G154" s="32"/>
      <c r="H154" s="65"/>
      <c r="I154" s="701"/>
      <c r="J154" s="598" t="s">
        <v>6</v>
      </c>
      <c r="K154" s="599"/>
      <c r="L154" s="599"/>
      <c r="M154" s="598" t="s">
        <v>7</v>
      </c>
      <c r="N154" s="599"/>
      <c r="O154" s="600"/>
      <c r="P154" s="7"/>
      <c r="Q154" s="701"/>
      <c r="R154" s="598" t="s">
        <v>6</v>
      </c>
      <c r="S154" s="599"/>
      <c r="T154" s="599"/>
      <c r="U154" s="15" t="s">
        <v>7</v>
      </c>
      <c r="V154" s="16"/>
      <c r="W154" s="32"/>
      <c r="X154" s="7"/>
    </row>
    <row r="155" spans="1:24" ht="17.25" thickBot="1">
      <c r="A155" s="693"/>
      <c r="B155" s="17" t="s">
        <v>26</v>
      </c>
      <c r="C155" s="18" t="s">
        <v>8</v>
      </c>
      <c r="D155" s="19" t="s">
        <v>9</v>
      </c>
      <c r="E155" s="18" t="s">
        <v>10</v>
      </c>
      <c r="F155" s="19" t="s">
        <v>8</v>
      </c>
      <c r="G155" s="18" t="s">
        <v>11</v>
      </c>
      <c r="H155" s="65"/>
      <c r="I155" s="701"/>
      <c r="J155" s="17" t="s">
        <v>26</v>
      </c>
      <c r="K155" s="18" t="s">
        <v>8</v>
      </c>
      <c r="L155" s="19" t="s">
        <v>9</v>
      </c>
      <c r="M155" s="18" t="s">
        <v>10</v>
      </c>
      <c r="N155" s="19" t="s">
        <v>8</v>
      </c>
      <c r="O155" s="18" t="s">
        <v>11</v>
      </c>
      <c r="P155" s="7"/>
      <c r="Q155" s="701"/>
      <c r="R155" s="17" t="s">
        <v>26</v>
      </c>
      <c r="S155" s="18" t="s">
        <v>8</v>
      </c>
      <c r="T155" s="19" t="s">
        <v>9</v>
      </c>
      <c r="U155" s="18" t="s">
        <v>10</v>
      </c>
      <c r="V155" s="19" t="s">
        <v>8</v>
      </c>
      <c r="W155" s="18" t="s">
        <v>11</v>
      </c>
      <c r="X155" s="7"/>
    </row>
    <row r="156" spans="1:24" ht="15" customHeight="1">
      <c r="A156" s="693"/>
      <c r="B156" s="160">
        <v>52</v>
      </c>
      <c r="C156" s="154">
        <v>10000</v>
      </c>
      <c r="D156" s="154">
        <f>B156*C156</f>
        <v>520000</v>
      </c>
      <c r="E156" s="154">
        <v>52</v>
      </c>
      <c r="F156" s="154">
        <v>3500</v>
      </c>
      <c r="G156" s="161">
        <f>+E156*F156</f>
        <v>182000</v>
      </c>
      <c r="H156" s="39">
        <f>+D156+G156</f>
        <v>702000</v>
      </c>
      <c r="I156" s="701"/>
      <c r="J156" s="33">
        <v>14</v>
      </c>
      <c r="K156" s="34">
        <v>10000</v>
      </c>
      <c r="L156" s="34">
        <f>J156*K156</f>
        <v>140000</v>
      </c>
      <c r="M156" s="34">
        <f>+J156*2</f>
        <v>28</v>
      </c>
      <c r="N156" s="34">
        <v>2000</v>
      </c>
      <c r="O156" s="35">
        <f>+M156*N156</f>
        <v>56000</v>
      </c>
      <c r="P156" s="39">
        <f>+L156+O156</f>
        <v>196000</v>
      </c>
      <c r="Q156" s="701"/>
      <c r="R156" s="33">
        <v>8</v>
      </c>
      <c r="S156" s="34">
        <v>10000</v>
      </c>
      <c r="T156" s="34">
        <f>R156*S156</f>
        <v>80000</v>
      </c>
      <c r="U156" s="34">
        <f>+R156*2</f>
        <v>16</v>
      </c>
      <c r="V156" s="34">
        <v>2000</v>
      </c>
      <c r="W156" s="35">
        <f>+U156*V156</f>
        <v>32000</v>
      </c>
      <c r="X156" s="39">
        <f>+T156+W156</f>
        <v>112000</v>
      </c>
    </row>
    <row r="157" spans="1:24" ht="15" customHeight="1">
      <c r="A157" s="693"/>
      <c r="B157" s="64"/>
      <c r="C157" s="12"/>
      <c r="D157" s="12"/>
      <c r="E157" s="12"/>
      <c r="F157" s="12"/>
      <c r="G157" s="65"/>
      <c r="H157" s="65"/>
      <c r="I157" s="701"/>
      <c r="J157" s="6"/>
      <c r="O157" s="7"/>
      <c r="P157" s="7"/>
      <c r="Q157" s="701"/>
      <c r="R157" s="6"/>
      <c r="W157" s="7"/>
      <c r="X157" s="7"/>
    </row>
    <row r="158" spans="1:24" ht="15" customHeight="1">
      <c r="A158" s="693"/>
      <c r="B158" s="64"/>
      <c r="C158" s="12"/>
      <c r="D158" s="12"/>
      <c r="E158" s="12"/>
      <c r="F158" s="12"/>
      <c r="G158" s="65"/>
      <c r="H158" s="65"/>
      <c r="I158" s="701"/>
      <c r="J158" s="6"/>
      <c r="O158" s="7"/>
      <c r="P158" s="7"/>
      <c r="Q158" s="701"/>
      <c r="R158" s="6"/>
      <c r="W158" s="7"/>
      <c r="X158" s="7"/>
    </row>
    <row r="159" spans="1:24" ht="15.75" customHeight="1" thickBot="1">
      <c r="A159" s="693"/>
      <c r="B159" s="140"/>
      <c r="C159" s="141"/>
      <c r="D159" s="141"/>
      <c r="E159" s="141"/>
      <c r="F159" s="141"/>
      <c r="G159" s="142"/>
      <c r="H159" s="65"/>
      <c r="I159" s="701"/>
      <c r="J159" s="9"/>
      <c r="K159" s="10"/>
      <c r="L159" s="10"/>
      <c r="M159" s="10"/>
      <c r="N159" s="10"/>
      <c r="O159" s="11"/>
      <c r="P159" s="7"/>
      <c r="Q159" s="701"/>
      <c r="R159" s="9"/>
      <c r="S159" s="10"/>
      <c r="T159" s="10"/>
      <c r="U159" s="10"/>
      <c r="V159" s="10"/>
      <c r="W159" s="11"/>
      <c r="X159" s="7"/>
    </row>
    <row r="160" spans="1:24" ht="17.25" thickBot="1">
      <c r="A160" s="20" t="s">
        <v>563</v>
      </c>
      <c r="B160" s="611" t="s">
        <v>13</v>
      </c>
      <c r="C160" s="612"/>
      <c r="D160" s="21" t="s">
        <v>14</v>
      </c>
      <c r="E160" s="20"/>
      <c r="F160" s="21" t="s">
        <v>15</v>
      </c>
      <c r="G160" s="21" t="s">
        <v>13</v>
      </c>
      <c r="H160" s="20" t="s">
        <v>17</v>
      </c>
      <c r="I160" s="20" t="s">
        <v>12</v>
      </c>
      <c r="J160" s="611" t="s">
        <v>13</v>
      </c>
      <c r="K160" s="612"/>
      <c r="L160" s="21" t="s">
        <v>14</v>
      </c>
      <c r="M160" s="20"/>
      <c r="N160" s="21" t="s">
        <v>15</v>
      </c>
      <c r="O160" s="21" t="s">
        <v>16</v>
      </c>
      <c r="P160" s="14" t="s">
        <v>17</v>
      </c>
      <c r="Q160" s="20" t="s">
        <v>12</v>
      </c>
      <c r="R160" s="611" t="s">
        <v>13</v>
      </c>
      <c r="S160" s="612"/>
      <c r="T160" s="21" t="s">
        <v>14</v>
      </c>
      <c r="U160" s="20"/>
      <c r="V160" s="21" t="s">
        <v>15</v>
      </c>
      <c r="W160" s="21" t="s">
        <v>16</v>
      </c>
      <c r="X160" s="14" t="s">
        <v>17</v>
      </c>
    </row>
    <row r="161" spans="1:24" ht="18" thickBot="1">
      <c r="A161" s="22">
        <v>1049</v>
      </c>
      <c r="B161" s="606">
        <f>+H156</f>
        <v>702000</v>
      </c>
      <c r="C161" s="652"/>
      <c r="D161" s="23">
        <f>0</f>
        <v>0</v>
      </c>
      <c r="E161" s="24"/>
      <c r="F161" s="25">
        <f>0</f>
        <v>0</v>
      </c>
      <c r="G161" s="36">
        <f>+H156</f>
        <v>702000</v>
      </c>
      <c r="H161" s="38">
        <f>+H156</f>
        <v>702000</v>
      </c>
      <c r="I161" s="22" t="s">
        <v>18</v>
      </c>
      <c r="J161" s="606">
        <f>+L156</f>
        <v>140000</v>
      </c>
      <c r="K161" s="607"/>
      <c r="L161" s="23">
        <f>0</f>
        <v>0</v>
      </c>
      <c r="M161" s="24"/>
      <c r="N161" s="25">
        <f>0</f>
        <v>0</v>
      </c>
      <c r="O161" s="36">
        <f>+O156</f>
        <v>56000</v>
      </c>
      <c r="P161" s="38">
        <f>+P156</f>
        <v>196000</v>
      </c>
      <c r="Q161" s="22" t="s">
        <v>18</v>
      </c>
      <c r="R161" s="606">
        <f>+T156</f>
        <v>80000</v>
      </c>
      <c r="S161" s="607"/>
      <c r="T161" s="23">
        <f>0</f>
        <v>0</v>
      </c>
      <c r="U161" s="24"/>
      <c r="V161" s="25">
        <f>0</f>
        <v>0</v>
      </c>
      <c r="W161" s="36">
        <f>+W156</f>
        <v>32000</v>
      </c>
      <c r="X161" s="38">
        <f>+X156</f>
        <v>112000</v>
      </c>
    </row>
    <row r="163" spans="1:24" ht="16.5">
      <c r="A163" s="395" t="s">
        <v>1478</v>
      </c>
      <c r="B163" s="26"/>
      <c r="C163" s="26"/>
      <c r="D163" s="26"/>
      <c r="E163" s="26"/>
      <c r="F163" s="26"/>
      <c r="G163" s="26"/>
      <c r="I163" s="37" t="s">
        <v>45</v>
      </c>
      <c r="J163" s="26"/>
      <c r="K163" s="26"/>
      <c r="L163" s="26"/>
      <c r="M163" s="26"/>
      <c r="N163" s="26"/>
      <c r="O163" s="26"/>
      <c r="Q163" s="37" t="s">
        <v>67</v>
      </c>
      <c r="R163" s="26"/>
      <c r="S163" s="26"/>
      <c r="T163" s="26"/>
      <c r="U163" s="26"/>
      <c r="V163" s="26"/>
      <c r="W163" s="26"/>
    </row>
    <row r="164" spans="1:24" ht="16.5">
      <c r="A164" s="408" t="s">
        <v>2945</v>
      </c>
      <c r="B164" s="26"/>
      <c r="C164" s="26"/>
      <c r="D164" s="26"/>
      <c r="E164" s="26"/>
      <c r="F164" s="26"/>
      <c r="G164" s="26"/>
      <c r="I164" s="37"/>
      <c r="J164" s="26"/>
      <c r="K164" s="26"/>
      <c r="L164" s="26"/>
      <c r="M164" s="26"/>
      <c r="N164" s="26"/>
      <c r="O164" s="26"/>
      <c r="Q164" s="37"/>
      <c r="R164" s="26"/>
      <c r="S164" s="26"/>
      <c r="T164" s="26"/>
      <c r="U164" s="26"/>
      <c r="V164" s="26"/>
      <c r="W164" s="26"/>
    </row>
    <row r="165" spans="1:24" ht="16.5">
      <c r="A165" s="26" t="s">
        <v>19</v>
      </c>
      <c r="B165" s="26"/>
      <c r="C165" s="26"/>
      <c r="D165" s="26"/>
      <c r="E165" s="26"/>
      <c r="F165" s="26"/>
      <c r="G165" s="26"/>
      <c r="I165" s="26" t="s">
        <v>19</v>
      </c>
      <c r="J165" s="26"/>
      <c r="K165" s="26"/>
      <c r="L165" s="26"/>
      <c r="M165" s="26"/>
      <c r="N165" s="26"/>
      <c r="O165" s="26"/>
      <c r="Q165" s="26" t="s">
        <v>19</v>
      </c>
      <c r="R165" s="26"/>
      <c r="S165" s="26"/>
      <c r="T165" s="26"/>
      <c r="U165" s="26"/>
      <c r="V165" s="26"/>
      <c r="W165" s="26"/>
    </row>
    <row r="166" spans="1:24" ht="16.5">
      <c r="A166" s="26" t="s">
        <v>965</v>
      </c>
      <c r="B166" s="26"/>
      <c r="C166" s="26"/>
      <c r="D166" s="26"/>
      <c r="E166" s="26"/>
      <c r="F166" s="26"/>
      <c r="G166" s="26"/>
      <c r="I166" s="26" t="s">
        <v>20</v>
      </c>
      <c r="J166" s="26"/>
      <c r="K166" s="26"/>
      <c r="L166" s="26"/>
      <c r="M166" s="26"/>
      <c r="N166" s="26"/>
      <c r="O166" s="26"/>
      <c r="Q166" s="26" t="s">
        <v>20</v>
      </c>
      <c r="R166" s="26"/>
      <c r="S166" s="26"/>
      <c r="T166" s="26"/>
      <c r="U166" s="26"/>
      <c r="V166" s="26"/>
      <c r="W166" s="26"/>
    </row>
    <row r="167" spans="1:24" ht="16.5">
      <c r="A167" s="26" t="s">
        <v>21</v>
      </c>
      <c r="B167" s="26"/>
      <c r="C167" s="26"/>
      <c r="D167" s="26"/>
      <c r="E167" s="26"/>
      <c r="F167" s="26"/>
      <c r="G167" s="26"/>
      <c r="I167" s="26" t="s">
        <v>21</v>
      </c>
      <c r="J167" s="26"/>
      <c r="K167" s="26"/>
      <c r="L167" s="26"/>
      <c r="M167" s="26"/>
      <c r="N167" s="26"/>
      <c r="O167" s="26"/>
      <c r="Q167" s="26" t="s">
        <v>21</v>
      </c>
      <c r="R167" s="26"/>
      <c r="S167" s="26"/>
      <c r="T167" s="26"/>
      <c r="U167" s="26"/>
      <c r="V167" s="26"/>
      <c r="W167" s="26"/>
    </row>
    <row r="168" spans="1:24" ht="16.5">
      <c r="A168" s="26" t="s">
        <v>22</v>
      </c>
      <c r="B168" s="26"/>
      <c r="C168" s="26"/>
      <c r="D168" s="26"/>
      <c r="E168" s="26"/>
      <c r="F168" s="26"/>
      <c r="G168" s="26"/>
      <c r="I168" s="26" t="s">
        <v>22</v>
      </c>
      <c r="J168" s="26"/>
      <c r="K168" s="26"/>
      <c r="L168" s="26"/>
      <c r="M168" s="26"/>
      <c r="N168" s="26"/>
      <c r="O168" s="26"/>
      <c r="Q168" s="26" t="s">
        <v>22</v>
      </c>
      <c r="R168" s="26"/>
      <c r="S168" s="26"/>
      <c r="T168" s="26"/>
      <c r="U168" s="26"/>
      <c r="V168" s="26"/>
      <c r="W168" s="26"/>
    </row>
    <row r="172" spans="1:24" ht="16.5">
      <c r="D172" s="27"/>
      <c r="E172" s="30" t="s">
        <v>24</v>
      </c>
      <c r="F172" s="30"/>
      <c r="G172" s="30"/>
      <c r="L172" s="27"/>
      <c r="M172" s="27" t="s">
        <v>24</v>
      </c>
      <c r="T172" s="27"/>
      <c r="U172" s="27" t="s">
        <v>24</v>
      </c>
    </row>
    <row r="173" spans="1:24" ht="16.5" customHeight="1">
      <c r="D173" s="194"/>
      <c r="E173" s="795" t="s">
        <v>293</v>
      </c>
      <c r="F173" s="795"/>
      <c r="G173" s="795"/>
      <c r="H173" s="795"/>
      <c r="L173" s="27" t="s">
        <v>25</v>
      </c>
      <c r="M173" s="27"/>
      <c r="T173" s="27" t="s">
        <v>25</v>
      </c>
      <c r="U173" s="27"/>
    </row>
    <row r="174" spans="1:24" ht="16.5">
      <c r="E174" s="568" t="s">
        <v>2941</v>
      </c>
      <c r="F174" s="568"/>
      <c r="G174" s="568"/>
    </row>
    <row r="176" spans="1:24" ht="16.5">
      <c r="A176" s="26"/>
      <c r="B176" s="26"/>
      <c r="C176" s="26"/>
      <c r="D176" s="26"/>
      <c r="E176" s="26"/>
      <c r="F176" s="26"/>
      <c r="G176" s="26"/>
      <c r="I176" s="26"/>
      <c r="J176" s="26"/>
      <c r="K176" s="26"/>
      <c r="L176" s="26"/>
      <c r="M176" s="26"/>
      <c r="N176" s="26"/>
      <c r="O176" s="26"/>
      <c r="Q176" s="26"/>
      <c r="R176" s="26"/>
      <c r="S176" s="26"/>
      <c r="T176" s="26"/>
      <c r="U176" s="26"/>
      <c r="V176" s="26"/>
      <c r="W176" s="26"/>
    </row>
    <row r="177" spans="1:24" ht="18">
      <c r="A177" s="26"/>
      <c r="B177" s="26"/>
      <c r="C177" s="26"/>
      <c r="D177" s="644" t="s">
        <v>2926</v>
      </c>
      <c r="E177" s="644"/>
      <c r="F177" s="644"/>
      <c r="G177" s="644"/>
      <c r="H177" s="644"/>
      <c r="I177" s="26"/>
      <c r="J177" s="26"/>
      <c r="K177" s="26"/>
      <c r="L177" s="26"/>
      <c r="M177" s="26"/>
      <c r="N177" s="29"/>
      <c r="O177" s="29"/>
      <c r="P177" s="29"/>
      <c r="Q177" s="26"/>
      <c r="R177" s="26"/>
      <c r="S177" s="26"/>
      <c r="T177" s="26"/>
      <c r="U177" s="26"/>
      <c r="V177" s="735"/>
      <c r="W177" s="735"/>
      <c r="X177" s="735"/>
    </row>
    <row r="178" spans="1:24" ht="18" customHeight="1">
      <c r="A178" s="28"/>
      <c r="B178" s="26"/>
      <c r="C178" s="26"/>
      <c r="D178" s="644"/>
      <c r="E178" s="644"/>
      <c r="F178" s="644"/>
      <c r="G178" s="644"/>
      <c r="H178" s="644"/>
      <c r="I178" s="28"/>
      <c r="J178" s="26"/>
      <c r="K178" s="26"/>
      <c r="L178" s="26"/>
      <c r="M178" s="757" t="s">
        <v>23</v>
      </c>
      <c r="N178" s="735"/>
      <c r="O178" s="735"/>
      <c r="P178" s="29"/>
      <c r="Q178" s="28"/>
      <c r="R178" s="26"/>
      <c r="S178" s="26"/>
      <c r="T178" s="26"/>
      <c r="U178" s="757" t="s">
        <v>23</v>
      </c>
      <c r="V178" s="735"/>
      <c r="W178" s="735"/>
      <c r="X178" s="29"/>
    </row>
    <row r="179" spans="1:24" ht="16.5">
      <c r="A179" s="26"/>
      <c r="B179" s="26"/>
      <c r="C179" s="26"/>
      <c r="D179" s="26"/>
      <c r="E179" s="26"/>
      <c r="F179" s="26"/>
      <c r="G179" s="26"/>
      <c r="I179" s="26"/>
      <c r="J179" s="26"/>
      <c r="K179" s="26"/>
      <c r="L179" s="26"/>
      <c r="M179" s="26"/>
      <c r="N179" s="26"/>
      <c r="O179" s="26"/>
      <c r="Q179" s="26"/>
      <c r="R179" s="26"/>
      <c r="S179" s="26"/>
      <c r="T179" s="26"/>
      <c r="U179" s="26"/>
      <c r="V179" s="26"/>
      <c r="W179" s="26"/>
    </row>
    <row r="180" spans="1:24" ht="18" customHeight="1">
      <c r="A180" s="396"/>
      <c r="B180" s="396"/>
      <c r="C180" s="396" t="s">
        <v>2534</v>
      </c>
      <c r="D180" s="396"/>
      <c r="E180" s="396"/>
      <c r="F180" s="396"/>
      <c r="G180" s="396"/>
      <c r="H180" s="396"/>
      <c r="J180" s="789" t="s">
        <v>0</v>
      </c>
      <c r="K180" s="789"/>
      <c r="L180" s="789"/>
      <c r="M180" s="789"/>
      <c r="N180" s="789"/>
      <c r="O180" s="789"/>
      <c r="P180" s="789"/>
      <c r="R180" s="789" t="s">
        <v>0</v>
      </c>
      <c r="S180" s="789"/>
      <c r="T180" s="789"/>
      <c r="U180" s="789"/>
      <c r="V180" s="789"/>
      <c r="W180" s="789"/>
      <c r="X180" s="789"/>
    </row>
    <row r="181" spans="1:24" ht="14.25" customHeight="1">
      <c r="A181" s="419"/>
      <c r="B181" s="419"/>
      <c r="C181" s="419"/>
      <c r="D181" s="419"/>
      <c r="E181" s="419"/>
      <c r="F181" s="419"/>
      <c r="G181" s="419"/>
      <c r="H181" s="419"/>
      <c r="J181" s="419"/>
      <c r="K181" s="419"/>
      <c r="L181" s="419"/>
      <c r="M181" s="419"/>
      <c r="N181" s="419"/>
      <c r="O181" s="419"/>
      <c r="P181" s="419"/>
      <c r="R181" s="419"/>
      <c r="S181" s="419"/>
      <c r="T181" s="419"/>
      <c r="U181" s="419"/>
      <c r="V181" s="419"/>
      <c r="W181" s="419"/>
      <c r="X181" s="419"/>
    </row>
    <row r="182" spans="1:24" ht="16.5" customHeight="1">
      <c r="A182" s="419"/>
      <c r="B182" s="419"/>
      <c r="C182" s="419"/>
      <c r="D182" s="419"/>
      <c r="E182" s="419"/>
      <c r="F182" s="419"/>
      <c r="G182" s="419"/>
      <c r="H182" s="419"/>
      <c r="J182" s="419"/>
      <c r="K182" s="419"/>
      <c r="L182" s="419"/>
      <c r="M182" s="419"/>
      <c r="N182" s="419"/>
      <c r="O182" s="419"/>
      <c r="P182" s="419"/>
      <c r="R182" s="419"/>
      <c r="S182" s="419"/>
      <c r="T182" s="419"/>
      <c r="U182" s="419"/>
      <c r="V182" s="419"/>
      <c r="W182" s="419"/>
      <c r="X182" s="419"/>
    </row>
    <row r="183" spans="1:24" ht="42.75" customHeight="1">
      <c r="A183" s="784" t="s">
        <v>1</v>
      </c>
      <c r="B183" s="784"/>
      <c r="C183" s="784"/>
      <c r="D183" s="784"/>
      <c r="E183" s="784"/>
      <c r="F183" s="784"/>
      <c r="G183" s="784"/>
      <c r="H183" s="784"/>
      <c r="K183" s="785" t="s">
        <v>1</v>
      </c>
      <c r="L183" s="785"/>
      <c r="M183" s="785"/>
      <c r="N183" s="785"/>
      <c r="S183" s="785" t="s">
        <v>1</v>
      </c>
      <c r="T183" s="785"/>
      <c r="U183" s="785"/>
      <c r="V183" s="785"/>
    </row>
    <row r="186" spans="1:24" ht="17.25">
      <c r="B186" s="503" t="s">
        <v>2946</v>
      </c>
      <c r="C186" s="12"/>
      <c r="D186" s="12"/>
      <c r="E186" s="12"/>
      <c r="F186" s="12"/>
      <c r="G186" s="12"/>
      <c r="H186" s="12"/>
      <c r="I186" s="1" t="s">
        <v>48</v>
      </c>
      <c r="Q186" s="1" t="s">
        <v>68</v>
      </c>
    </row>
    <row r="187" spans="1:24" ht="17.25" thickBot="1">
      <c r="A187" s="30"/>
      <c r="B187" s="12"/>
      <c r="C187" s="12"/>
      <c r="D187" s="12"/>
      <c r="E187" s="12"/>
      <c r="F187" s="12"/>
      <c r="G187" s="141"/>
      <c r="H187" s="12"/>
      <c r="I187" s="1"/>
      <c r="O187" s="10"/>
      <c r="Q187" s="1"/>
      <c r="W187" s="10"/>
    </row>
    <row r="188" spans="1:24" ht="16.5">
      <c r="A188" s="12"/>
      <c r="B188" s="30"/>
      <c r="C188" s="12"/>
      <c r="D188" s="12"/>
      <c r="E188" s="12"/>
      <c r="F188" s="143"/>
      <c r="G188" s="12"/>
      <c r="H188" s="144"/>
      <c r="J188" s="2"/>
      <c r="N188" s="3"/>
      <c r="P188" s="5"/>
      <c r="R188" s="2"/>
      <c r="V188" s="3"/>
      <c r="X188" s="5"/>
    </row>
    <row r="189" spans="1:24" ht="17.25">
      <c r="A189" s="12"/>
      <c r="B189" s="12"/>
      <c r="C189" s="12"/>
      <c r="D189" s="12"/>
      <c r="E189" s="12"/>
      <c r="F189" s="667" t="s">
        <v>120</v>
      </c>
      <c r="G189" s="668"/>
      <c r="H189" s="669"/>
      <c r="N189" s="6"/>
      <c r="O189" s="40" t="s">
        <v>31</v>
      </c>
      <c r="P189" s="7"/>
      <c r="V189" s="6"/>
      <c r="W189" s="40" t="s">
        <v>33</v>
      </c>
      <c r="X189" s="7"/>
    </row>
    <row r="190" spans="1:24" ht="16.5">
      <c r="A190" s="12"/>
      <c r="B190" s="12" t="s">
        <v>114</v>
      </c>
      <c r="C190" s="12"/>
      <c r="D190" s="30"/>
      <c r="E190" s="30" t="s">
        <v>2</v>
      </c>
      <c r="F190" s="683"/>
      <c r="G190" s="683"/>
      <c r="H190" s="684"/>
      <c r="L190" s="27" t="s">
        <v>2</v>
      </c>
      <c r="P190" s="7"/>
      <c r="T190" s="27" t="s">
        <v>2</v>
      </c>
      <c r="X190" s="7"/>
    </row>
    <row r="191" spans="1:24" ht="16.5">
      <c r="A191" s="12"/>
      <c r="B191" s="12"/>
      <c r="C191" s="12"/>
      <c r="D191" s="12"/>
      <c r="E191" s="12"/>
      <c r="F191" s="601" t="s">
        <v>163</v>
      </c>
      <c r="G191" s="602"/>
      <c r="H191" s="603"/>
      <c r="I191" s="8" t="s">
        <v>30</v>
      </c>
      <c r="N191" s="6"/>
      <c r="O191" s="31" t="s">
        <v>36</v>
      </c>
      <c r="P191" s="7"/>
      <c r="Q191" s="8" t="s">
        <v>30</v>
      </c>
      <c r="V191" s="6"/>
      <c r="W191" s="31" t="s">
        <v>36</v>
      </c>
      <c r="X191" s="7"/>
    </row>
    <row r="192" spans="1:24" ht="17.25" thickBot="1">
      <c r="A192" s="12"/>
      <c r="B192" s="12"/>
      <c r="C192" s="12"/>
      <c r="D192" s="12"/>
      <c r="E192" s="12"/>
      <c r="F192" s="140"/>
      <c r="G192" s="141"/>
      <c r="H192" s="142"/>
      <c r="N192" s="9"/>
      <c r="O192" s="10"/>
      <c r="P192" s="11"/>
      <c r="V192" s="9"/>
      <c r="W192" s="10"/>
      <c r="X192" s="11"/>
    </row>
    <row r="193" spans="1:24" ht="16.5">
      <c r="A193" s="30"/>
      <c r="B193" s="30" t="s">
        <v>27</v>
      </c>
      <c r="C193" s="191" t="s">
        <v>2935</v>
      </c>
      <c r="D193" s="12"/>
      <c r="E193" s="12"/>
      <c r="F193" s="12"/>
      <c r="G193" s="12"/>
      <c r="H193" s="12"/>
      <c r="I193" s="12"/>
      <c r="J193" s="12"/>
      <c r="Q193" s="12"/>
      <c r="R193" s="12"/>
    </row>
    <row r="194" spans="1:24" ht="16.5">
      <c r="A194" s="30"/>
      <c r="B194" s="30" t="s">
        <v>1235</v>
      </c>
      <c r="C194" s="30" t="s">
        <v>2947</v>
      </c>
      <c r="D194" s="12"/>
      <c r="E194" s="12"/>
      <c r="F194" s="12"/>
      <c r="G194" s="12"/>
      <c r="H194" s="12"/>
      <c r="I194" s="30" t="s">
        <v>27</v>
      </c>
      <c r="J194" s="12" t="s">
        <v>35</v>
      </c>
      <c r="Q194" s="30" t="s">
        <v>27</v>
      </c>
      <c r="R194" s="12" t="s">
        <v>35</v>
      </c>
    </row>
    <row r="195" spans="1:24" ht="16.5">
      <c r="A195" s="30"/>
      <c r="B195" s="30"/>
      <c r="C195" s="27" t="s">
        <v>2948</v>
      </c>
      <c r="I195" s="30"/>
      <c r="J195" s="12"/>
      <c r="Q195" s="30"/>
      <c r="R195" s="12"/>
    </row>
    <row r="196" spans="1:24" ht="15.75" customHeight="1" thickBot="1">
      <c r="A196" s="24"/>
      <c r="B196" s="24"/>
    </row>
    <row r="197" spans="1:24" ht="17.25" customHeight="1" thickBot="1">
      <c r="A197" s="13" t="s">
        <v>3</v>
      </c>
      <c r="B197" s="696" t="s">
        <v>4</v>
      </c>
      <c r="C197" s="697"/>
      <c r="D197" s="697"/>
      <c r="E197" s="697"/>
      <c r="F197" s="697"/>
      <c r="G197" s="698"/>
      <c r="H197" s="20" t="s">
        <v>5</v>
      </c>
      <c r="I197" s="13" t="s">
        <v>3</v>
      </c>
      <c r="J197" s="778" t="s">
        <v>4</v>
      </c>
      <c r="K197" s="779"/>
      <c r="L197" s="779"/>
      <c r="M197" s="779"/>
      <c r="N197" s="779"/>
      <c r="O197" s="780"/>
      <c r="P197" s="14" t="s">
        <v>5</v>
      </c>
      <c r="Q197" s="13" t="s">
        <v>3</v>
      </c>
      <c r="R197" s="778" t="s">
        <v>4</v>
      </c>
      <c r="S197" s="779"/>
      <c r="T197" s="779"/>
      <c r="U197" s="779"/>
      <c r="V197" s="779"/>
      <c r="W197" s="780"/>
      <c r="X197" s="14" t="s">
        <v>5</v>
      </c>
    </row>
    <row r="198" spans="1:24" ht="15.75" customHeight="1" thickBot="1">
      <c r="A198" s="692" t="s">
        <v>2949</v>
      </c>
      <c r="B198" s="143"/>
      <c r="C198" s="159"/>
      <c r="D198" s="159"/>
      <c r="E198" s="159"/>
      <c r="F198" s="159"/>
      <c r="G198" s="144"/>
      <c r="H198" s="65"/>
      <c r="I198" s="700" t="s">
        <v>46</v>
      </c>
      <c r="J198" s="3"/>
      <c r="K198" s="4"/>
      <c r="L198" s="4"/>
      <c r="M198" s="4"/>
      <c r="N198" s="4"/>
      <c r="O198" s="5"/>
      <c r="P198" s="7"/>
      <c r="Q198" s="700" t="s">
        <v>60</v>
      </c>
      <c r="R198" s="3"/>
      <c r="S198" s="4"/>
      <c r="T198" s="4"/>
      <c r="U198" s="4"/>
      <c r="V198" s="4"/>
      <c r="W198" s="5"/>
      <c r="X198" s="7"/>
    </row>
    <row r="199" spans="1:24" ht="17.25" thickBot="1">
      <c r="A199" s="693"/>
      <c r="B199" s="776" t="s">
        <v>6</v>
      </c>
      <c r="C199" s="777"/>
      <c r="D199" s="777"/>
      <c r="E199" s="776" t="s">
        <v>7</v>
      </c>
      <c r="F199" s="777"/>
      <c r="G199" s="607"/>
      <c r="H199" s="65"/>
      <c r="I199" s="701"/>
      <c r="J199" s="598" t="s">
        <v>6</v>
      </c>
      <c r="K199" s="599"/>
      <c r="L199" s="599"/>
      <c r="M199" s="15" t="s">
        <v>7</v>
      </c>
      <c r="N199" s="16"/>
      <c r="O199" s="32"/>
      <c r="P199" s="7"/>
      <c r="Q199" s="701"/>
      <c r="R199" s="598" t="s">
        <v>6</v>
      </c>
      <c r="S199" s="599"/>
      <c r="T199" s="599"/>
      <c r="U199" s="15" t="s">
        <v>7</v>
      </c>
      <c r="V199" s="16"/>
      <c r="W199" s="32"/>
      <c r="X199" s="7"/>
    </row>
    <row r="200" spans="1:24" ht="17.25" thickBot="1">
      <c r="A200" s="693"/>
      <c r="B200" s="17" t="s">
        <v>26</v>
      </c>
      <c r="C200" s="18" t="s">
        <v>8</v>
      </c>
      <c r="D200" s="19" t="s">
        <v>9</v>
      </c>
      <c r="E200" s="18" t="s">
        <v>10</v>
      </c>
      <c r="F200" s="19" t="s">
        <v>8</v>
      </c>
      <c r="G200" s="18" t="s">
        <v>11</v>
      </c>
      <c r="H200" s="65"/>
      <c r="I200" s="701"/>
      <c r="J200" s="17" t="s">
        <v>26</v>
      </c>
      <c r="K200" s="18" t="s">
        <v>8</v>
      </c>
      <c r="L200" s="19" t="s">
        <v>9</v>
      </c>
      <c r="M200" s="18" t="s">
        <v>10</v>
      </c>
      <c r="N200" s="19" t="s">
        <v>8</v>
      </c>
      <c r="O200" s="18" t="s">
        <v>11</v>
      </c>
      <c r="P200" s="7"/>
      <c r="Q200" s="701"/>
      <c r="R200" s="17" t="s">
        <v>26</v>
      </c>
      <c r="S200" s="18" t="s">
        <v>8</v>
      </c>
      <c r="T200" s="19" t="s">
        <v>9</v>
      </c>
      <c r="U200" s="18" t="s">
        <v>10</v>
      </c>
      <c r="V200" s="19" t="s">
        <v>8</v>
      </c>
      <c r="W200" s="18" t="s">
        <v>11</v>
      </c>
      <c r="X200" s="7"/>
    </row>
    <row r="201" spans="1:24" ht="15" customHeight="1">
      <c r="A201" s="693"/>
      <c r="B201" s="160">
        <v>88</v>
      </c>
      <c r="C201" s="154">
        <v>10000</v>
      </c>
      <c r="D201" s="154">
        <f>B201*C201</f>
        <v>880000</v>
      </c>
      <c r="E201" s="154">
        <v>88</v>
      </c>
      <c r="F201" s="154">
        <v>3500</v>
      </c>
      <c r="G201" s="161">
        <f>+E201*F201</f>
        <v>308000</v>
      </c>
      <c r="H201" s="39">
        <f>(+D201+G201)</f>
        <v>1188000</v>
      </c>
      <c r="I201" s="701"/>
      <c r="J201" s="33">
        <v>30</v>
      </c>
      <c r="K201" s="34">
        <v>10000</v>
      </c>
      <c r="L201" s="34">
        <f>J201*K201</f>
        <v>300000</v>
      </c>
      <c r="M201" s="34">
        <f>+J201*2</f>
        <v>60</v>
      </c>
      <c r="N201" s="34">
        <v>2000</v>
      </c>
      <c r="O201" s="35">
        <f>+M201*N201</f>
        <v>120000</v>
      </c>
      <c r="P201" s="39">
        <f>+L201+O201</f>
        <v>420000</v>
      </c>
      <c r="Q201" s="701"/>
      <c r="R201" s="33">
        <v>8</v>
      </c>
      <c r="S201" s="34">
        <v>10000</v>
      </c>
      <c r="T201" s="34">
        <f>R201*S201</f>
        <v>80000</v>
      </c>
      <c r="U201" s="34">
        <f>+R201*2</f>
        <v>16</v>
      </c>
      <c r="V201" s="34">
        <v>2000</v>
      </c>
      <c r="W201" s="35">
        <f>+U201*V201</f>
        <v>32000</v>
      </c>
      <c r="X201" s="39">
        <f>+T201+W201</f>
        <v>112000</v>
      </c>
    </row>
    <row r="202" spans="1:24" ht="15" customHeight="1">
      <c r="A202" s="693"/>
      <c r="B202" s="64"/>
      <c r="C202" s="12"/>
      <c r="D202" s="12"/>
      <c r="E202" s="12"/>
      <c r="F202" s="12"/>
      <c r="G202" s="65"/>
      <c r="H202" s="65"/>
      <c r="I202" s="701"/>
      <c r="J202" s="6"/>
      <c r="O202" s="7"/>
      <c r="P202" s="7"/>
      <c r="Q202" s="701"/>
      <c r="R202" s="6"/>
      <c r="W202" s="7"/>
      <c r="X202" s="7"/>
    </row>
    <row r="203" spans="1:24" ht="15" customHeight="1">
      <c r="A203" s="693"/>
      <c r="B203" s="64"/>
      <c r="C203" s="12"/>
      <c r="D203" s="12"/>
      <c r="E203" s="12"/>
      <c r="F203" s="12"/>
      <c r="G203" s="65"/>
      <c r="H203" s="65"/>
      <c r="I203" s="701"/>
      <c r="J203" s="6"/>
      <c r="O203" s="7"/>
      <c r="P203" s="7"/>
      <c r="Q203" s="701"/>
      <c r="R203" s="6"/>
      <c r="W203" s="7"/>
      <c r="X203" s="7"/>
    </row>
    <row r="204" spans="1:24" ht="15.75" customHeight="1" thickBot="1">
      <c r="A204" s="693"/>
      <c r="B204" s="140"/>
      <c r="C204" s="141"/>
      <c r="D204" s="141"/>
      <c r="E204" s="141"/>
      <c r="F204" s="141"/>
      <c r="G204" s="142"/>
      <c r="H204" s="65"/>
      <c r="I204" s="701"/>
      <c r="J204" s="9"/>
      <c r="K204" s="10"/>
      <c r="L204" s="10"/>
      <c r="M204" s="10"/>
      <c r="N204" s="10"/>
      <c r="O204" s="11"/>
      <c r="P204" s="7"/>
      <c r="Q204" s="701"/>
      <c r="R204" s="9"/>
      <c r="S204" s="10"/>
      <c r="T204" s="10"/>
      <c r="U204" s="10"/>
      <c r="V204" s="10"/>
      <c r="W204" s="11"/>
      <c r="X204" s="7"/>
    </row>
    <row r="205" spans="1:24" ht="17.25" thickBot="1">
      <c r="A205" s="20" t="s">
        <v>563</v>
      </c>
      <c r="B205" s="611" t="s">
        <v>13</v>
      </c>
      <c r="C205" s="612"/>
      <c r="D205" s="21" t="s">
        <v>14</v>
      </c>
      <c r="E205" s="20"/>
      <c r="F205" s="21" t="s">
        <v>15</v>
      </c>
      <c r="G205" s="21" t="s">
        <v>13</v>
      </c>
      <c r="H205" s="20" t="s">
        <v>17</v>
      </c>
      <c r="I205" s="20" t="s">
        <v>12</v>
      </c>
      <c r="J205" s="611" t="s">
        <v>13</v>
      </c>
      <c r="K205" s="612"/>
      <c r="L205" s="21" t="s">
        <v>14</v>
      </c>
      <c r="M205" s="20"/>
      <c r="N205" s="21" t="s">
        <v>15</v>
      </c>
      <c r="O205" s="21" t="s">
        <v>16</v>
      </c>
      <c r="P205" s="14" t="s">
        <v>17</v>
      </c>
      <c r="Q205" s="20" t="s">
        <v>12</v>
      </c>
      <c r="R205" s="611" t="s">
        <v>13</v>
      </c>
      <c r="S205" s="612"/>
      <c r="T205" s="21" t="s">
        <v>14</v>
      </c>
      <c r="U205" s="20"/>
      <c r="V205" s="21" t="s">
        <v>15</v>
      </c>
      <c r="W205" s="21" t="s">
        <v>16</v>
      </c>
      <c r="X205" s="14" t="s">
        <v>17</v>
      </c>
    </row>
    <row r="206" spans="1:24" ht="18" thickBot="1">
      <c r="A206" s="22">
        <v>2483</v>
      </c>
      <c r="B206" s="606">
        <f>+H201</f>
        <v>1188000</v>
      </c>
      <c r="C206" s="607"/>
      <c r="D206" s="23">
        <f>0</f>
        <v>0</v>
      </c>
      <c r="E206" s="24"/>
      <c r="F206" s="25">
        <f>0</f>
        <v>0</v>
      </c>
      <c r="G206" s="36">
        <f>+H201</f>
        <v>1188000</v>
      </c>
      <c r="H206" s="38">
        <f>+H201</f>
        <v>1188000</v>
      </c>
      <c r="I206" s="22" t="s">
        <v>18</v>
      </c>
      <c r="J206" s="796">
        <f>+L201</f>
        <v>300000</v>
      </c>
      <c r="K206" s="797"/>
      <c r="L206" s="23">
        <f>0</f>
        <v>0</v>
      </c>
      <c r="M206" s="24"/>
      <c r="N206" s="25">
        <f>0</f>
        <v>0</v>
      </c>
      <c r="O206" s="36">
        <f>+O201</f>
        <v>120000</v>
      </c>
      <c r="P206" s="38">
        <f>+P201</f>
        <v>420000</v>
      </c>
      <c r="Q206" s="22" t="s">
        <v>18</v>
      </c>
      <c r="R206" s="606">
        <f>+T201</f>
        <v>80000</v>
      </c>
      <c r="S206" s="607"/>
      <c r="T206" s="23">
        <f>0</f>
        <v>0</v>
      </c>
      <c r="U206" s="24"/>
      <c r="V206" s="25">
        <f>0</f>
        <v>0</v>
      </c>
      <c r="W206" s="36">
        <f>+W201</f>
        <v>32000</v>
      </c>
      <c r="X206" s="38">
        <f>+X201</f>
        <v>112000</v>
      </c>
    </row>
    <row r="208" spans="1:24" ht="16.5">
      <c r="A208" s="395" t="s">
        <v>2678</v>
      </c>
      <c r="B208" s="26"/>
      <c r="C208" s="26"/>
      <c r="D208" s="26"/>
      <c r="E208" s="163"/>
      <c r="F208" s="26"/>
      <c r="G208" s="26"/>
      <c r="I208" s="37" t="s">
        <v>49</v>
      </c>
      <c r="J208" s="26"/>
      <c r="K208" s="26"/>
      <c r="L208" s="26"/>
      <c r="M208" s="26"/>
      <c r="N208" s="26"/>
      <c r="O208" s="26"/>
      <c r="Q208" s="37" t="s">
        <v>69</v>
      </c>
      <c r="R208" s="26"/>
      <c r="S208" s="26"/>
      <c r="T208" s="26"/>
      <c r="U208" s="26"/>
      <c r="V208" s="26"/>
      <c r="W208" s="26"/>
    </row>
    <row r="209" spans="1:24" ht="16.5">
      <c r="A209" s="407" t="s">
        <v>2950</v>
      </c>
      <c r="B209" s="26"/>
      <c r="C209" s="26"/>
      <c r="D209" s="26"/>
      <c r="E209" s="163"/>
      <c r="F209" s="26"/>
      <c r="G209" s="26"/>
      <c r="I209" s="37"/>
      <c r="J209" s="26"/>
      <c r="K209" s="26"/>
      <c r="L209" s="26"/>
      <c r="M209" s="26"/>
      <c r="N209" s="26"/>
      <c r="O209" s="26"/>
      <c r="Q209" s="37"/>
      <c r="R209" s="26"/>
      <c r="S209" s="26"/>
      <c r="T209" s="26"/>
      <c r="U209" s="26"/>
      <c r="V209" s="26"/>
      <c r="W209" s="26"/>
    </row>
    <row r="210" spans="1:24" ht="16.5">
      <c r="A210" s="26" t="s">
        <v>19</v>
      </c>
      <c r="B210" s="26"/>
      <c r="C210" s="26"/>
      <c r="D210" s="26"/>
      <c r="E210" s="26"/>
      <c r="F210" s="26"/>
      <c r="G210" s="26"/>
      <c r="I210" s="26" t="s">
        <v>19</v>
      </c>
      <c r="J210" s="26"/>
      <c r="K210" s="26"/>
      <c r="L210" s="26"/>
      <c r="M210" s="26"/>
      <c r="N210" s="26"/>
      <c r="O210" s="26"/>
      <c r="Q210" s="26" t="s">
        <v>19</v>
      </c>
      <c r="R210" s="26"/>
      <c r="S210" s="26"/>
      <c r="T210" s="26"/>
      <c r="U210" s="26"/>
      <c r="V210" s="26"/>
      <c r="W210" s="26"/>
    </row>
    <row r="211" spans="1:24" ht="16.5">
      <c r="A211" s="26" t="s">
        <v>965</v>
      </c>
      <c r="B211" s="26"/>
      <c r="C211" s="26"/>
      <c r="D211" s="26"/>
      <c r="E211" s="26"/>
      <c r="F211" s="26"/>
      <c r="G211" s="26"/>
      <c r="I211" s="26" t="s">
        <v>20</v>
      </c>
      <c r="J211" s="26"/>
      <c r="K211" s="26"/>
      <c r="L211" s="26"/>
      <c r="M211" s="26"/>
      <c r="N211" s="26"/>
      <c r="O211" s="26"/>
      <c r="Q211" s="26" t="s">
        <v>20</v>
      </c>
      <c r="R211" s="26"/>
      <c r="S211" s="26"/>
      <c r="T211" s="26"/>
      <c r="U211" s="26"/>
      <c r="V211" s="26"/>
      <c r="W211" s="26"/>
    </row>
    <row r="212" spans="1:24" ht="16.5">
      <c r="A212" s="26" t="s">
        <v>21</v>
      </c>
      <c r="B212" s="26"/>
      <c r="C212" s="26"/>
      <c r="D212" s="26"/>
      <c r="E212" s="26"/>
      <c r="F212" s="26"/>
      <c r="G212" s="26"/>
      <c r="I212" s="26" t="s">
        <v>21</v>
      </c>
      <c r="J212" s="26"/>
      <c r="K212" s="26"/>
      <c r="L212" s="26"/>
      <c r="M212" s="26"/>
      <c r="N212" s="26"/>
      <c r="O212" s="26"/>
      <c r="Q212" s="26" t="s">
        <v>21</v>
      </c>
      <c r="R212" s="26"/>
      <c r="S212" s="26"/>
      <c r="T212" s="26"/>
      <c r="U212" s="26"/>
      <c r="V212" s="26"/>
      <c r="W212" s="26"/>
    </row>
    <row r="213" spans="1:24" ht="16.5">
      <c r="A213" s="26" t="s">
        <v>22</v>
      </c>
      <c r="B213" s="26"/>
      <c r="C213" s="26"/>
      <c r="D213" s="26"/>
      <c r="E213" s="26"/>
      <c r="F213" s="26"/>
      <c r="G213" s="26"/>
      <c r="I213" s="26" t="s">
        <v>22</v>
      </c>
      <c r="J213" s="26"/>
      <c r="K213" s="26"/>
      <c r="L213" s="26"/>
      <c r="M213" s="26"/>
      <c r="N213" s="26"/>
      <c r="O213" s="26"/>
      <c r="Q213" s="26" t="s">
        <v>22</v>
      </c>
      <c r="R213" s="26"/>
      <c r="S213" s="26"/>
      <c r="T213" s="26"/>
      <c r="U213" s="26"/>
      <c r="V213" s="26"/>
      <c r="W213" s="26"/>
    </row>
    <row r="217" spans="1:24" ht="16.5">
      <c r="D217" s="27"/>
      <c r="E217" s="604" t="s">
        <v>24</v>
      </c>
      <c r="F217" s="604"/>
      <c r="G217" s="604"/>
      <c r="H217" s="604"/>
      <c r="L217" s="27"/>
      <c r="M217" s="27" t="s">
        <v>24</v>
      </c>
      <c r="T217" s="27"/>
      <c r="U217" s="27" t="s">
        <v>24</v>
      </c>
    </row>
    <row r="218" spans="1:24" ht="16.5" customHeight="1">
      <c r="D218" s="194"/>
      <c r="E218" s="781" t="s">
        <v>293</v>
      </c>
      <c r="F218" s="781"/>
      <c r="G218" s="781"/>
      <c r="H218" s="781"/>
      <c r="L218" s="27" t="s">
        <v>25</v>
      </c>
      <c r="M218" s="27"/>
      <c r="T218" s="27" t="s">
        <v>25</v>
      </c>
      <c r="U218" s="27"/>
    </row>
    <row r="219" spans="1:24" ht="16.5">
      <c r="E219" s="604" t="s">
        <v>2951</v>
      </c>
      <c r="F219" s="604"/>
      <c r="G219" s="604"/>
      <c r="H219" s="604"/>
    </row>
    <row r="221" spans="1:24" ht="16.5">
      <c r="D221" s="26"/>
      <c r="E221" s="26"/>
      <c r="F221" s="26"/>
      <c r="G221" s="26"/>
      <c r="Q221" s="26"/>
      <c r="R221" s="26"/>
      <c r="S221" s="26"/>
      <c r="T221" s="26"/>
      <c r="U221" s="26"/>
      <c r="V221" s="26"/>
      <c r="W221" s="26"/>
    </row>
    <row r="222" spans="1:24" ht="18" customHeight="1">
      <c r="A222" s="28"/>
      <c r="B222" s="26"/>
      <c r="C222" s="26"/>
      <c r="D222" s="26"/>
      <c r="E222" s="782" t="s">
        <v>2926</v>
      </c>
      <c r="F222" s="675"/>
      <c r="G222" s="675"/>
      <c r="H222" s="675"/>
      <c r="I222" s="28"/>
      <c r="J222" s="26"/>
      <c r="K222" s="26"/>
      <c r="L222" s="26"/>
      <c r="M222" s="757" t="s">
        <v>23</v>
      </c>
      <c r="N222" s="735"/>
      <c r="O222" s="735"/>
      <c r="P222" s="29"/>
      <c r="Q222" s="28"/>
      <c r="R222" s="26"/>
      <c r="S222" s="26"/>
      <c r="T222" s="26"/>
      <c r="U222" s="757" t="s">
        <v>23</v>
      </c>
      <c r="V222" s="735"/>
      <c r="W222" s="735"/>
      <c r="X222" s="29"/>
    </row>
    <row r="223" spans="1:24" ht="18" customHeight="1">
      <c r="A223" s="28"/>
      <c r="B223" s="26"/>
      <c r="C223" s="26"/>
      <c r="D223" s="26"/>
      <c r="E223" s="145"/>
      <c r="F223" s="29"/>
      <c r="G223" s="29"/>
      <c r="H223" s="29"/>
      <c r="I223" s="28"/>
      <c r="J223" s="26"/>
      <c r="K223" s="26"/>
      <c r="L223" s="26"/>
      <c r="M223" s="362"/>
      <c r="N223" s="368"/>
      <c r="O223" s="368"/>
      <c r="P223" s="29"/>
      <c r="Q223" s="28"/>
      <c r="R223" s="26"/>
      <c r="S223" s="26"/>
      <c r="T223" s="26"/>
      <c r="U223" s="362"/>
      <c r="V223" s="368"/>
      <c r="W223" s="368"/>
      <c r="X223" s="29"/>
    </row>
    <row r="224" spans="1:24">
      <c r="B224" s="617" t="s">
        <v>2573</v>
      </c>
      <c r="C224" s="617"/>
      <c r="D224" s="617"/>
      <c r="E224" s="617"/>
      <c r="F224" s="617"/>
      <c r="G224" s="617"/>
      <c r="H224" s="617"/>
      <c r="J224" s="789" t="s">
        <v>0</v>
      </c>
      <c r="K224" s="789"/>
      <c r="L224" s="789"/>
      <c r="M224" s="789"/>
      <c r="N224" s="789"/>
      <c r="O224" s="789"/>
      <c r="P224" s="789"/>
      <c r="R224" s="789" t="s">
        <v>0</v>
      </c>
      <c r="S224" s="789"/>
      <c r="T224" s="789"/>
      <c r="U224" s="789"/>
      <c r="V224" s="789"/>
      <c r="W224" s="789"/>
      <c r="X224" s="789"/>
    </row>
    <row r="225" spans="1:24" ht="16.5" customHeight="1"/>
    <row r="226" spans="1:24" ht="17.25" customHeight="1"/>
    <row r="227" spans="1:24" ht="45" customHeight="1">
      <c r="A227" s="784" t="s">
        <v>1</v>
      </c>
      <c r="B227" s="784"/>
      <c r="C227" s="784"/>
      <c r="D227" s="784"/>
      <c r="E227" s="784"/>
      <c r="F227" s="784"/>
      <c r="G227" s="784"/>
      <c r="H227" s="784"/>
      <c r="K227" s="785" t="s">
        <v>1</v>
      </c>
      <c r="L227" s="785"/>
      <c r="M227" s="785"/>
      <c r="N227" s="785"/>
      <c r="S227" s="785" t="s">
        <v>1</v>
      </c>
      <c r="T227" s="785"/>
      <c r="U227" s="785"/>
      <c r="V227" s="785"/>
    </row>
    <row r="230" spans="1:24" ht="17.25">
      <c r="A230" s="1"/>
      <c r="B230" s="503" t="s">
        <v>2952</v>
      </c>
      <c r="I230" s="1" t="s">
        <v>50</v>
      </c>
      <c r="Q230" s="1" t="s">
        <v>70</v>
      </c>
    </row>
    <row r="231" spans="1:24" ht="15.75" thickBot="1">
      <c r="A231" s="1"/>
      <c r="G231" s="10"/>
      <c r="I231" s="1"/>
      <c r="O231" s="10"/>
      <c r="Q231" s="1"/>
      <c r="W231" s="10"/>
    </row>
    <row r="232" spans="1:24" ht="16.5">
      <c r="B232" s="2"/>
      <c r="F232" s="143"/>
      <c r="G232" s="12"/>
      <c r="H232" s="144"/>
      <c r="J232" s="2"/>
      <c r="N232" s="3"/>
      <c r="P232" s="5"/>
      <c r="R232" s="2"/>
      <c r="V232" s="3"/>
      <c r="X232" s="5"/>
    </row>
    <row r="233" spans="1:24" ht="17.25">
      <c r="F233" s="667" t="s">
        <v>2408</v>
      </c>
      <c r="G233" s="668"/>
      <c r="H233" s="669"/>
      <c r="N233" s="6"/>
      <c r="O233" s="40" t="s">
        <v>32</v>
      </c>
      <c r="P233" s="7"/>
      <c r="V233" s="6"/>
      <c r="W233" s="40" t="s">
        <v>32</v>
      </c>
      <c r="X233" s="7"/>
    </row>
    <row r="234" spans="1:24" ht="16.5">
      <c r="A234" s="8" t="s">
        <v>114</v>
      </c>
      <c r="D234" s="27"/>
      <c r="E234" s="27" t="s">
        <v>2</v>
      </c>
      <c r="F234" s="683"/>
      <c r="G234" s="683"/>
      <c r="H234" s="683"/>
      <c r="I234" s="440"/>
      <c r="L234" s="27" t="s">
        <v>2</v>
      </c>
      <c r="P234" s="7"/>
      <c r="T234" s="27" t="s">
        <v>2</v>
      </c>
      <c r="X234" s="7"/>
    </row>
    <row r="235" spans="1:24" ht="16.5">
      <c r="A235" s="8"/>
      <c r="F235" s="601" t="s">
        <v>163</v>
      </c>
      <c r="G235" s="602"/>
      <c r="H235" s="603"/>
      <c r="I235" s="8" t="s">
        <v>30</v>
      </c>
      <c r="N235" s="6"/>
      <c r="O235" s="31" t="s">
        <v>36</v>
      </c>
      <c r="P235" s="7"/>
      <c r="Q235" s="8" t="s">
        <v>30</v>
      </c>
      <c r="V235" s="6"/>
      <c r="W235" s="31" t="s">
        <v>36</v>
      </c>
      <c r="X235" s="7"/>
    </row>
    <row r="236" spans="1:24" ht="17.25" thickBot="1">
      <c r="F236" s="140"/>
      <c r="G236" s="141"/>
      <c r="H236" s="142"/>
      <c r="N236" s="9"/>
      <c r="O236" s="10"/>
      <c r="P236" s="11"/>
      <c r="V236" s="9"/>
      <c r="W236" s="10"/>
      <c r="X236" s="11"/>
    </row>
    <row r="237" spans="1:24" ht="16.5">
      <c r="A237" s="30"/>
      <c r="B237" s="30" t="s">
        <v>27</v>
      </c>
      <c r="C237" s="394" t="s">
        <v>2935</v>
      </c>
      <c r="I237" s="12"/>
      <c r="J237" s="12"/>
      <c r="Q237" s="12"/>
      <c r="R237" s="12"/>
    </row>
    <row r="238" spans="1:24" ht="16.5">
      <c r="A238" s="30"/>
      <c r="B238" s="30" t="s">
        <v>153</v>
      </c>
      <c r="C238" s="238" t="s">
        <v>2953</v>
      </c>
      <c r="I238" s="30" t="s">
        <v>27</v>
      </c>
      <c r="J238" s="12" t="s">
        <v>35</v>
      </c>
      <c r="Q238" s="30" t="s">
        <v>27</v>
      </c>
      <c r="R238" s="12" t="s">
        <v>35</v>
      </c>
    </row>
    <row r="239" spans="1:24" ht="17.25" thickBot="1">
      <c r="C239" s="30" t="s">
        <v>2954</v>
      </c>
    </row>
    <row r="240" spans="1:24" ht="17.25" customHeight="1" thickBot="1">
      <c r="A240" s="13" t="s">
        <v>3</v>
      </c>
      <c r="B240" s="696" t="s">
        <v>4</v>
      </c>
      <c r="C240" s="697"/>
      <c r="D240" s="697"/>
      <c r="E240" s="697"/>
      <c r="F240" s="697"/>
      <c r="G240" s="698"/>
      <c r="H240" s="20" t="s">
        <v>5</v>
      </c>
      <c r="I240" s="13" t="s">
        <v>3</v>
      </c>
      <c r="J240" s="778" t="s">
        <v>4</v>
      </c>
      <c r="K240" s="779"/>
      <c r="L240" s="779"/>
      <c r="M240" s="779"/>
      <c r="N240" s="779"/>
      <c r="O240" s="780"/>
      <c r="P240" s="14" t="s">
        <v>5</v>
      </c>
      <c r="Q240" s="13" t="s">
        <v>3</v>
      </c>
      <c r="R240" s="778" t="s">
        <v>4</v>
      </c>
      <c r="S240" s="779"/>
      <c r="T240" s="779"/>
      <c r="U240" s="779"/>
      <c r="V240" s="779"/>
      <c r="W240" s="780"/>
      <c r="X240" s="14" t="s">
        <v>5</v>
      </c>
    </row>
    <row r="241" spans="1:24" ht="15.75" customHeight="1" thickBot="1">
      <c r="A241" s="692" t="s">
        <v>2955</v>
      </c>
      <c r="B241" s="143"/>
      <c r="C241" s="159"/>
      <c r="D241" s="159"/>
      <c r="E241" s="159"/>
      <c r="F241" s="159"/>
      <c r="G241" s="144"/>
      <c r="H241" s="65"/>
      <c r="I241" s="700" t="s">
        <v>46</v>
      </c>
      <c r="J241" s="3"/>
      <c r="K241" s="4"/>
      <c r="L241" s="4"/>
      <c r="M241" s="4"/>
      <c r="N241" s="4"/>
      <c r="O241" s="5"/>
      <c r="P241" s="7"/>
      <c r="Q241" s="700" t="s">
        <v>71</v>
      </c>
      <c r="R241" s="3"/>
      <c r="S241" s="4"/>
      <c r="T241" s="4"/>
      <c r="U241" s="4"/>
      <c r="V241" s="4"/>
      <c r="W241" s="5"/>
      <c r="X241" s="7"/>
    </row>
    <row r="242" spans="1:24" ht="17.25" thickBot="1">
      <c r="A242" s="693"/>
      <c r="B242" s="776" t="s">
        <v>6</v>
      </c>
      <c r="C242" s="777"/>
      <c r="D242" s="777"/>
      <c r="E242" s="776" t="s">
        <v>7</v>
      </c>
      <c r="F242" s="777"/>
      <c r="G242" s="607"/>
      <c r="H242" s="65"/>
      <c r="I242" s="701"/>
      <c r="J242" s="598" t="s">
        <v>6</v>
      </c>
      <c r="K242" s="599"/>
      <c r="L242" s="599"/>
      <c r="M242" s="15" t="s">
        <v>7</v>
      </c>
      <c r="N242" s="16"/>
      <c r="O242" s="32"/>
      <c r="P242" s="7"/>
      <c r="Q242" s="701"/>
      <c r="R242" s="598" t="s">
        <v>6</v>
      </c>
      <c r="S242" s="599"/>
      <c r="T242" s="599"/>
      <c r="U242" s="15" t="s">
        <v>7</v>
      </c>
      <c r="V242" s="16"/>
      <c r="W242" s="32"/>
      <c r="X242" s="7"/>
    </row>
    <row r="243" spans="1:24" ht="17.25" thickBot="1">
      <c r="A243" s="693"/>
      <c r="B243" s="17" t="s">
        <v>26</v>
      </c>
      <c r="C243" s="18" t="s">
        <v>8</v>
      </c>
      <c r="D243" s="19" t="s">
        <v>9</v>
      </c>
      <c r="E243" s="18" t="s">
        <v>10</v>
      </c>
      <c r="F243" s="19" t="s">
        <v>8</v>
      </c>
      <c r="G243" s="18" t="s">
        <v>11</v>
      </c>
      <c r="H243" s="65"/>
      <c r="I243" s="701"/>
      <c r="J243" s="17" t="s">
        <v>26</v>
      </c>
      <c r="K243" s="18" t="s">
        <v>8</v>
      </c>
      <c r="L243" s="19" t="s">
        <v>9</v>
      </c>
      <c r="M243" s="18" t="s">
        <v>10</v>
      </c>
      <c r="N243" s="19" t="s">
        <v>8</v>
      </c>
      <c r="O243" s="18" t="s">
        <v>11</v>
      </c>
      <c r="P243" s="7"/>
      <c r="Q243" s="701"/>
      <c r="R243" s="17" t="s">
        <v>26</v>
      </c>
      <c r="S243" s="18" t="s">
        <v>8</v>
      </c>
      <c r="T243" s="19" t="s">
        <v>9</v>
      </c>
      <c r="U243" s="18" t="s">
        <v>10</v>
      </c>
      <c r="V243" s="19" t="s">
        <v>8</v>
      </c>
      <c r="W243" s="18" t="s">
        <v>11</v>
      </c>
      <c r="X243" s="7"/>
    </row>
    <row r="244" spans="1:24" ht="15" customHeight="1">
      <c r="A244" s="693"/>
      <c r="B244" s="160">
        <v>52</v>
      </c>
      <c r="C244" s="154">
        <v>10000</v>
      </c>
      <c r="D244" s="154">
        <f>B244*C244</f>
        <v>520000</v>
      </c>
      <c r="E244" s="154">
        <v>52</v>
      </c>
      <c r="F244" s="154">
        <v>3500</v>
      </c>
      <c r="G244" s="161">
        <f>+E244*F244</f>
        <v>182000</v>
      </c>
      <c r="H244" s="39">
        <f>+D244+G244</f>
        <v>702000</v>
      </c>
      <c r="I244" s="701"/>
      <c r="J244" s="33">
        <v>9</v>
      </c>
      <c r="K244" s="34">
        <v>10000</v>
      </c>
      <c r="L244" s="34">
        <f>J244*K244</f>
        <v>90000</v>
      </c>
      <c r="M244" s="34">
        <f>+J244*2</f>
        <v>18</v>
      </c>
      <c r="N244" s="34">
        <v>2000</v>
      </c>
      <c r="O244" s="35">
        <f>+M244*N244</f>
        <v>36000</v>
      </c>
      <c r="P244" s="39">
        <f>+L244+O244</f>
        <v>126000</v>
      </c>
      <c r="Q244" s="701"/>
      <c r="R244" s="33">
        <v>6</v>
      </c>
      <c r="S244" s="34">
        <v>10000</v>
      </c>
      <c r="T244" s="34">
        <f>R244*S244</f>
        <v>60000</v>
      </c>
      <c r="U244" s="34">
        <f>+R244*2</f>
        <v>12</v>
      </c>
      <c r="V244" s="34">
        <v>2000</v>
      </c>
      <c r="W244" s="35">
        <f>+U244*V244</f>
        <v>24000</v>
      </c>
      <c r="X244" s="39">
        <f>+T244+W244</f>
        <v>84000</v>
      </c>
    </row>
    <row r="245" spans="1:24" ht="15" customHeight="1">
      <c r="A245" s="693"/>
      <c r="B245" s="64"/>
      <c r="C245" s="12"/>
      <c r="D245" s="12"/>
      <c r="E245" s="12"/>
      <c r="F245" s="12"/>
      <c r="G245" s="65"/>
      <c r="H245" s="65"/>
      <c r="I245" s="701"/>
      <c r="J245" s="6"/>
      <c r="O245" s="7"/>
      <c r="P245" s="7"/>
      <c r="Q245" s="701"/>
      <c r="R245" s="6"/>
      <c r="W245" s="7"/>
      <c r="X245" s="7"/>
    </row>
    <row r="246" spans="1:24" ht="15" customHeight="1">
      <c r="A246" s="693"/>
      <c r="B246" s="64"/>
      <c r="C246" s="12"/>
      <c r="D246" s="12"/>
      <c r="E246" s="12"/>
      <c r="F246" s="12"/>
      <c r="G246" s="65"/>
      <c r="H246" s="65"/>
      <c r="I246" s="701"/>
      <c r="J246" s="6"/>
      <c r="O246" s="7"/>
      <c r="P246" s="7"/>
      <c r="Q246" s="701"/>
      <c r="R246" s="6"/>
      <c r="W246" s="7"/>
      <c r="X246" s="7"/>
    </row>
    <row r="247" spans="1:24" ht="15.75" customHeight="1" thickBot="1">
      <c r="A247" s="693"/>
      <c r="B247" s="140"/>
      <c r="C247" s="141"/>
      <c r="D247" s="141"/>
      <c r="E247" s="141"/>
      <c r="F247" s="141"/>
      <c r="G247" s="142"/>
      <c r="H247" s="65"/>
      <c r="I247" s="701"/>
      <c r="J247" s="9"/>
      <c r="K247" s="10"/>
      <c r="L247" s="10"/>
      <c r="M247" s="10"/>
      <c r="N247" s="10"/>
      <c r="O247" s="11"/>
      <c r="P247" s="7"/>
      <c r="Q247" s="701"/>
      <c r="R247" s="9"/>
      <c r="S247" s="10"/>
      <c r="T247" s="10"/>
      <c r="U247" s="10"/>
      <c r="V247" s="10"/>
      <c r="W247" s="11"/>
      <c r="X247" s="7"/>
    </row>
    <row r="248" spans="1:24" ht="17.25" thickBot="1">
      <c r="A248" s="20" t="s">
        <v>563</v>
      </c>
      <c r="B248" s="611" t="s">
        <v>13</v>
      </c>
      <c r="C248" s="612"/>
      <c r="D248" s="21" t="s">
        <v>14</v>
      </c>
      <c r="E248" s="20"/>
      <c r="F248" s="21" t="s">
        <v>15</v>
      </c>
      <c r="G248" s="21" t="s">
        <v>13</v>
      </c>
      <c r="H248" s="20" t="s">
        <v>17</v>
      </c>
      <c r="I248" s="20" t="s">
        <v>12</v>
      </c>
      <c r="J248" s="611" t="s">
        <v>13</v>
      </c>
      <c r="K248" s="612"/>
      <c r="L248" s="21" t="s">
        <v>14</v>
      </c>
      <c r="M248" s="20"/>
      <c r="N248" s="21" t="s">
        <v>15</v>
      </c>
      <c r="O248" s="21" t="s">
        <v>16</v>
      </c>
      <c r="P248" s="14" t="s">
        <v>17</v>
      </c>
      <c r="Q248" s="20" t="s">
        <v>12</v>
      </c>
      <c r="R248" s="611" t="s">
        <v>13</v>
      </c>
      <c r="S248" s="612"/>
      <c r="T248" s="21" t="s">
        <v>14</v>
      </c>
      <c r="U248" s="20"/>
      <c r="V248" s="21" t="s">
        <v>15</v>
      </c>
      <c r="W248" s="21" t="s">
        <v>16</v>
      </c>
      <c r="X248" s="14" t="s">
        <v>17</v>
      </c>
    </row>
    <row r="249" spans="1:24" ht="18" thickBot="1">
      <c r="A249" s="22">
        <v>953</v>
      </c>
      <c r="B249" s="606">
        <f>+H244</f>
        <v>702000</v>
      </c>
      <c r="C249" s="607"/>
      <c r="D249" s="23">
        <f>0</f>
        <v>0</v>
      </c>
      <c r="E249" s="24"/>
      <c r="F249" s="25">
        <f>0</f>
        <v>0</v>
      </c>
      <c r="G249" s="36">
        <f>+H244</f>
        <v>702000</v>
      </c>
      <c r="H249" s="38">
        <f>+H244</f>
        <v>702000</v>
      </c>
      <c r="I249" s="22" t="s">
        <v>18</v>
      </c>
      <c r="J249" s="606">
        <f>+L244</f>
        <v>90000</v>
      </c>
      <c r="K249" s="607"/>
      <c r="L249" s="23">
        <f>0</f>
        <v>0</v>
      </c>
      <c r="M249" s="24"/>
      <c r="N249" s="25">
        <f>0</f>
        <v>0</v>
      </c>
      <c r="O249" s="36">
        <f>+O244</f>
        <v>36000</v>
      </c>
      <c r="P249" s="38">
        <f>+P244</f>
        <v>126000</v>
      </c>
      <c r="Q249" s="22" t="s">
        <v>18</v>
      </c>
      <c r="R249" s="606">
        <f>+T244</f>
        <v>60000</v>
      </c>
      <c r="S249" s="607"/>
      <c r="T249" s="23">
        <f>0</f>
        <v>0</v>
      </c>
      <c r="U249" s="24"/>
      <c r="V249" s="25">
        <f>0</f>
        <v>0</v>
      </c>
      <c r="W249" s="36">
        <f>+W244</f>
        <v>24000</v>
      </c>
      <c r="X249" s="38">
        <f>+X244</f>
        <v>84000</v>
      </c>
    </row>
    <row r="251" spans="1:24" ht="16.5">
      <c r="A251" s="395" t="s">
        <v>1382</v>
      </c>
      <c r="B251" s="26"/>
      <c r="C251" s="26"/>
      <c r="D251" s="26"/>
      <c r="E251" s="26"/>
      <c r="F251" s="26"/>
      <c r="G251" s="26"/>
      <c r="I251" s="37" t="s">
        <v>51</v>
      </c>
      <c r="J251" s="26"/>
      <c r="K251" s="26"/>
      <c r="L251" s="26"/>
      <c r="M251" s="26"/>
      <c r="N251" s="26"/>
      <c r="O251" s="26"/>
      <c r="Q251" s="37" t="s">
        <v>72</v>
      </c>
      <c r="R251" s="26"/>
      <c r="S251" s="26"/>
      <c r="T251" s="26"/>
      <c r="U251" s="26"/>
      <c r="V251" s="26"/>
      <c r="W251" s="26"/>
    </row>
    <row r="252" spans="1:24" ht="13.5" customHeight="1">
      <c r="A252" s="408" t="s">
        <v>2956</v>
      </c>
      <c r="B252" s="26"/>
      <c r="C252" s="26"/>
      <c r="D252" s="26"/>
      <c r="E252" s="26"/>
      <c r="F252" s="26"/>
      <c r="G252" s="26"/>
      <c r="I252" s="37"/>
      <c r="J252" s="26"/>
      <c r="K252" s="26"/>
      <c r="L252" s="26"/>
      <c r="M252" s="26"/>
      <c r="N252" s="26"/>
      <c r="O252" s="26"/>
      <c r="Q252" s="37"/>
      <c r="R252" s="26"/>
      <c r="S252" s="26"/>
      <c r="T252" s="26"/>
      <c r="U252" s="26"/>
      <c r="V252" s="26"/>
      <c r="W252" s="26"/>
    </row>
    <row r="253" spans="1:24" ht="16.5">
      <c r="A253" s="26" t="s">
        <v>19</v>
      </c>
      <c r="B253" s="26"/>
      <c r="C253" s="26"/>
      <c r="D253" s="26"/>
      <c r="E253" s="26"/>
      <c r="F253" s="26"/>
      <c r="G253" s="26"/>
      <c r="I253" s="26" t="s">
        <v>19</v>
      </c>
      <c r="J253" s="26"/>
      <c r="K253" s="26"/>
      <c r="L253" s="26"/>
      <c r="M253" s="26"/>
      <c r="N253" s="26"/>
      <c r="O253" s="26"/>
      <c r="Q253" s="26" t="s">
        <v>19</v>
      </c>
      <c r="R253" s="26"/>
      <c r="S253" s="26"/>
      <c r="T253" s="26"/>
      <c r="U253" s="26"/>
      <c r="V253" s="26"/>
      <c r="W253" s="26"/>
    </row>
    <row r="254" spans="1:24" ht="16.5">
      <c r="A254" s="26" t="s">
        <v>965</v>
      </c>
      <c r="B254" s="26"/>
      <c r="C254" s="26"/>
      <c r="D254" s="26"/>
      <c r="E254" s="26"/>
      <c r="F254" s="26"/>
      <c r="G254" s="26"/>
      <c r="I254" s="26" t="s">
        <v>20</v>
      </c>
      <c r="J254" s="26"/>
      <c r="K254" s="26"/>
      <c r="L254" s="26"/>
      <c r="M254" s="26"/>
      <c r="N254" s="26"/>
      <c r="O254" s="26"/>
      <c r="Q254" s="26" t="s">
        <v>20</v>
      </c>
      <c r="R254" s="26"/>
      <c r="S254" s="26"/>
      <c r="T254" s="26"/>
      <c r="U254" s="26"/>
      <c r="V254" s="26"/>
      <c r="W254" s="26"/>
    </row>
    <row r="255" spans="1:24" ht="16.5">
      <c r="A255" s="26" t="s">
        <v>21</v>
      </c>
      <c r="B255" s="26"/>
      <c r="C255" s="26"/>
      <c r="D255" s="26"/>
      <c r="E255" s="26"/>
      <c r="F255" s="26"/>
      <c r="G255" s="26"/>
      <c r="I255" s="26" t="s">
        <v>21</v>
      </c>
      <c r="J255" s="26"/>
      <c r="K255" s="26"/>
      <c r="L255" s="26"/>
      <c r="M255" s="26"/>
      <c r="N255" s="26"/>
      <c r="O255" s="26"/>
      <c r="Q255" s="26" t="s">
        <v>21</v>
      </c>
      <c r="R255" s="26"/>
      <c r="S255" s="26"/>
      <c r="T255" s="26"/>
      <c r="U255" s="26"/>
      <c r="V255" s="26"/>
      <c r="W255" s="26"/>
    </row>
    <row r="256" spans="1:24" ht="16.5">
      <c r="A256" s="26" t="s">
        <v>22</v>
      </c>
      <c r="B256" s="26"/>
      <c r="C256" s="26"/>
      <c r="D256" s="26"/>
      <c r="E256" s="26"/>
      <c r="F256" s="26"/>
      <c r="G256" s="26"/>
      <c r="I256" s="26" t="s">
        <v>22</v>
      </c>
      <c r="J256" s="26"/>
      <c r="K256" s="26"/>
      <c r="L256" s="26"/>
      <c r="M256" s="26"/>
      <c r="N256" s="26"/>
      <c r="O256" s="26"/>
      <c r="Q256" s="26" t="s">
        <v>22</v>
      </c>
      <c r="R256" s="26"/>
      <c r="S256" s="26"/>
      <c r="T256" s="26"/>
      <c r="U256" s="26"/>
      <c r="V256" s="26"/>
      <c r="W256" s="26"/>
    </row>
    <row r="260" spans="1:24" ht="16.5">
      <c r="E260" s="30" t="s">
        <v>24</v>
      </c>
      <c r="F260" s="30"/>
      <c r="G260" s="30"/>
    </row>
    <row r="261" spans="1:24" ht="16.5">
      <c r="D261" s="27"/>
      <c r="E261" s="30" t="s">
        <v>149</v>
      </c>
      <c r="F261" s="30"/>
      <c r="G261" s="30"/>
      <c r="L261" s="27"/>
      <c r="M261" s="27" t="s">
        <v>24</v>
      </c>
      <c r="T261" s="27"/>
      <c r="U261" s="27" t="s">
        <v>24</v>
      </c>
    </row>
    <row r="262" spans="1:24" ht="16.5">
      <c r="D262" s="27"/>
      <c r="E262" s="568" t="s">
        <v>2957</v>
      </c>
      <c r="F262" s="568"/>
      <c r="G262" s="568"/>
      <c r="L262" s="27" t="s">
        <v>25</v>
      </c>
      <c r="M262" s="27"/>
      <c r="T262" s="27" t="s">
        <v>25</v>
      </c>
      <c r="U262" s="27"/>
    </row>
    <row r="263" spans="1:24" ht="16.5">
      <c r="E263" s="568"/>
      <c r="F263" s="568"/>
      <c r="G263" s="568"/>
    </row>
    <row r="265" spans="1:24" ht="16.5">
      <c r="A265" s="26"/>
      <c r="B265" s="26"/>
      <c r="C265" s="26"/>
      <c r="D265" s="26"/>
      <c r="E265" s="26"/>
      <c r="F265" s="26"/>
      <c r="G265" s="26"/>
      <c r="I265" s="26"/>
      <c r="J265" s="26"/>
      <c r="K265" s="26"/>
      <c r="L265" s="26"/>
      <c r="M265" s="26"/>
      <c r="N265" s="26"/>
      <c r="O265" s="26"/>
      <c r="Q265" s="26"/>
      <c r="R265" s="26"/>
      <c r="S265" s="26"/>
      <c r="T265" s="26"/>
      <c r="U265" s="26"/>
      <c r="V265" s="26"/>
      <c r="W265" s="26"/>
    </row>
    <row r="266" spans="1:24" ht="18">
      <c r="A266" s="26"/>
      <c r="B266" s="26"/>
      <c r="C266" s="26"/>
      <c r="D266" s="26"/>
      <c r="E266" s="145"/>
      <c r="F266" s="569" t="s">
        <v>2973</v>
      </c>
      <c r="G266" s="145"/>
      <c r="H266" s="368"/>
      <c r="I266" s="26"/>
      <c r="J266" s="26"/>
      <c r="K266" s="26"/>
      <c r="L266" s="26"/>
      <c r="M266" s="26"/>
      <c r="N266" s="735"/>
      <c r="O266" s="735"/>
      <c r="P266" s="735"/>
      <c r="Q266" s="26"/>
      <c r="R266" s="26"/>
      <c r="S266" s="26"/>
      <c r="T266" s="26"/>
      <c r="U266" s="26"/>
      <c r="V266" s="735"/>
      <c r="W266" s="735"/>
      <c r="X266" s="735"/>
    </row>
    <row r="267" spans="1:24" ht="18" customHeight="1">
      <c r="A267" s="28"/>
      <c r="B267" s="26"/>
      <c r="C267" s="26"/>
      <c r="D267" s="26"/>
      <c r="H267" s="29"/>
      <c r="I267" s="28"/>
      <c r="J267" s="26"/>
      <c r="K267" s="26"/>
      <c r="L267" s="26"/>
      <c r="M267" s="757" t="s">
        <v>23</v>
      </c>
      <c r="N267" s="735"/>
      <c r="O267" s="735"/>
      <c r="P267" s="29"/>
      <c r="Q267" s="28"/>
      <c r="R267" s="26"/>
      <c r="S267" s="26"/>
      <c r="T267" s="26"/>
      <c r="U267" s="757" t="s">
        <v>23</v>
      </c>
      <c r="V267" s="735"/>
      <c r="W267" s="735"/>
      <c r="X267" s="29"/>
    </row>
    <row r="268" spans="1:24" ht="16.5">
      <c r="A268" s="26"/>
      <c r="B268" s="26"/>
      <c r="C268" s="26"/>
      <c r="D268" s="26"/>
      <c r="E268" s="26"/>
      <c r="F268" s="26"/>
      <c r="G268" s="26"/>
      <c r="I268" s="26"/>
      <c r="J268" s="26"/>
      <c r="K268" s="26"/>
      <c r="L268" s="26"/>
      <c r="M268" s="26"/>
      <c r="N268" s="26"/>
      <c r="O268" s="26"/>
      <c r="Q268" s="26"/>
      <c r="R268" s="26"/>
      <c r="S268" s="26"/>
      <c r="T268" s="26"/>
      <c r="U268" s="26"/>
      <c r="V268" s="26"/>
      <c r="W268" s="26"/>
    </row>
    <row r="269" spans="1:24">
      <c r="B269" s="617" t="s">
        <v>2573</v>
      </c>
      <c r="C269" s="617"/>
      <c r="D269" s="617"/>
      <c r="E269" s="617"/>
      <c r="F269" s="617"/>
      <c r="G269" s="617"/>
      <c r="H269" s="617"/>
      <c r="J269" s="789" t="s">
        <v>0</v>
      </c>
      <c r="K269" s="789"/>
      <c r="L269" s="789"/>
      <c r="M269" s="789"/>
      <c r="N269" s="789"/>
      <c r="O269" s="789"/>
      <c r="P269" s="789"/>
      <c r="R269" s="789" t="s">
        <v>0</v>
      </c>
      <c r="S269" s="789"/>
      <c r="T269" s="789"/>
      <c r="U269" s="789"/>
      <c r="V269" s="789"/>
      <c r="W269" s="789"/>
      <c r="X269" s="789"/>
    </row>
    <row r="272" spans="1:24" ht="45" customHeight="1">
      <c r="A272" s="784" t="s">
        <v>1</v>
      </c>
      <c r="B272" s="784"/>
      <c r="C272" s="784"/>
      <c r="D272" s="784"/>
      <c r="E272" s="784"/>
      <c r="F272" s="784"/>
      <c r="G272" s="784"/>
      <c r="H272" s="784"/>
      <c r="K272" s="785" t="s">
        <v>1</v>
      </c>
      <c r="L272" s="785"/>
      <c r="M272" s="785"/>
      <c r="N272" s="785"/>
      <c r="S272" s="785" t="s">
        <v>1</v>
      </c>
      <c r="T272" s="785"/>
      <c r="U272" s="785"/>
      <c r="V272" s="785"/>
    </row>
    <row r="275" spans="1:24" ht="17.25">
      <c r="A275" s="375"/>
      <c r="B275" s="375" t="s">
        <v>2958</v>
      </c>
      <c r="I275" s="1" t="s">
        <v>52</v>
      </c>
      <c r="Q275" s="1" t="s">
        <v>73</v>
      </c>
    </row>
    <row r="276" spans="1:24" ht="15.75" thickBot="1">
      <c r="A276" s="1"/>
      <c r="G276" s="10"/>
      <c r="I276" s="1"/>
      <c r="O276" s="10"/>
      <c r="Q276" s="1"/>
      <c r="W276" s="10"/>
    </row>
    <row r="277" spans="1:24" ht="16.5">
      <c r="B277" s="2"/>
      <c r="F277" s="143"/>
      <c r="G277" s="12"/>
      <c r="H277" s="144"/>
      <c r="J277" s="2"/>
      <c r="N277" s="3"/>
      <c r="P277" s="5"/>
      <c r="R277" s="2"/>
      <c r="V277" s="3"/>
      <c r="X277" s="5"/>
    </row>
    <row r="278" spans="1:24" ht="17.25">
      <c r="F278" s="667" t="s">
        <v>815</v>
      </c>
      <c r="G278" s="668"/>
      <c r="H278" s="669"/>
      <c r="N278" s="6"/>
      <c r="O278" s="40" t="s">
        <v>28</v>
      </c>
      <c r="P278" s="7"/>
      <c r="V278" s="6"/>
      <c r="W278" s="40" t="s">
        <v>74</v>
      </c>
      <c r="X278" s="7"/>
    </row>
    <row r="279" spans="1:24" ht="16.5">
      <c r="A279" s="12" t="s">
        <v>114</v>
      </c>
      <c r="B279" s="12"/>
      <c r="C279" s="12"/>
      <c r="D279" s="30" t="s">
        <v>2</v>
      </c>
      <c r="F279" s="683"/>
      <c r="G279" s="683"/>
      <c r="H279" s="683"/>
      <c r="L279" s="27" t="s">
        <v>2</v>
      </c>
      <c r="P279" s="7"/>
      <c r="T279" s="27" t="s">
        <v>2</v>
      </c>
      <c r="X279" s="7"/>
    </row>
    <row r="280" spans="1:24" ht="16.5">
      <c r="A280" s="8"/>
      <c r="F280" s="601" t="s">
        <v>163</v>
      </c>
      <c r="G280" s="602"/>
      <c r="H280" s="603"/>
      <c r="I280" s="8" t="s">
        <v>30</v>
      </c>
      <c r="N280" s="6"/>
      <c r="O280" s="31" t="s">
        <v>36</v>
      </c>
      <c r="P280" s="7"/>
      <c r="Q280" s="8" t="s">
        <v>30</v>
      </c>
      <c r="V280" s="6"/>
      <c r="W280" s="31" t="s">
        <v>36</v>
      </c>
      <c r="X280" s="7"/>
    </row>
    <row r="281" spans="1:24" ht="17.25" thickBot="1">
      <c r="F281" s="140"/>
      <c r="G281" s="141"/>
      <c r="H281" s="142"/>
      <c r="N281" s="9"/>
      <c r="O281" s="10"/>
      <c r="P281" s="11"/>
      <c r="V281" s="9"/>
      <c r="W281" s="10"/>
      <c r="X281" s="11"/>
    </row>
    <row r="282" spans="1:24" ht="16.5">
      <c r="A282" s="30"/>
      <c r="B282" s="30" t="s">
        <v>27</v>
      </c>
      <c r="C282" s="30" t="s">
        <v>2935</v>
      </c>
      <c r="I282" s="12"/>
      <c r="J282" s="12"/>
      <c r="Q282" s="12"/>
      <c r="R282" s="12"/>
    </row>
    <row r="283" spans="1:24" ht="16.5">
      <c r="A283" s="30"/>
      <c r="B283" s="30" t="s">
        <v>153</v>
      </c>
      <c r="C283" s="30" t="s">
        <v>2959</v>
      </c>
      <c r="I283" s="30" t="s">
        <v>27</v>
      </c>
      <c r="J283" s="12" t="s">
        <v>35</v>
      </c>
      <c r="Q283" s="30" t="s">
        <v>27</v>
      </c>
      <c r="R283" s="12" t="s">
        <v>35</v>
      </c>
    </row>
    <row r="284" spans="1:24" ht="17.25" thickBot="1">
      <c r="B284" s="30"/>
      <c r="C284" s="30" t="s">
        <v>2960</v>
      </c>
    </row>
    <row r="285" spans="1:24" ht="17.25" customHeight="1" thickBot="1">
      <c r="A285" s="13" t="s">
        <v>3</v>
      </c>
      <c r="B285" s="696" t="s">
        <v>4</v>
      </c>
      <c r="C285" s="697"/>
      <c r="D285" s="697"/>
      <c r="E285" s="697"/>
      <c r="F285" s="697"/>
      <c r="G285" s="698"/>
      <c r="H285" s="20" t="s">
        <v>5</v>
      </c>
      <c r="I285" s="13" t="s">
        <v>3</v>
      </c>
      <c r="J285" s="778" t="s">
        <v>4</v>
      </c>
      <c r="K285" s="779"/>
      <c r="L285" s="779"/>
      <c r="M285" s="779"/>
      <c r="N285" s="779"/>
      <c r="O285" s="780"/>
      <c r="P285" s="14" t="s">
        <v>5</v>
      </c>
      <c r="Q285" s="13" t="s">
        <v>3</v>
      </c>
      <c r="R285" s="778" t="s">
        <v>4</v>
      </c>
      <c r="S285" s="779"/>
      <c r="T285" s="779"/>
      <c r="U285" s="779"/>
      <c r="V285" s="779"/>
      <c r="W285" s="780"/>
      <c r="X285" s="14" t="s">
        <v>5</v>
      </c>
    </row>
    <row r="286" spans="1:24" ht="15.75" customHeight="1" thickBot="1">
      <c r="A286" s="692" t="s">
        <v>2955</v>
      </c>
      <c r="B286" s="143"/>
      <c r="C286" s="159"/>
      <c r="D286" s="159"/>
      <c r="E286" s="159"/>
      <c r="F286" s="159"/>
      <c r="G286" s="144"/>
      <c r="H286" s="65"/>
      <c r="I286" s="700" t="s">
        <v>53</v>
      </c>
      <c r="J286" s="3"/>
      <c r="K286" s="4"/>
      <c r="L286" s="4"/>
      <c r="M286" s="4"/>
      <c r="N286" s="4"/>
      <c r="O286" s="5"/>
      <c r="P286" s="7"/>
      <c r="Q286" s="700" t="s">
        <v>71</v>
      </c>
      <c r="R286" s="3"/>
      <c r="S286" s="4"/>
      <c r="T286" s="4"/>
      <c r="U286" s="4"/>
      <c r="V286" s="4"/>
      <c r="W286" s="5"/>
      <c r="X286" s="7"/>
    </row>
    <row r="287" spans="1:24" ht="17.25" thickBot="1">
      <c r="A287" s="693"/>
      <c r="B287" s="598" t="s">
        <v>6</v>
      </c>
      <c r="C287" s="599"/>
      <c r="D287" s="599"/>
      <c r="E287" s="15" t="s">
        <v>7</v>
      </c>
      <c r="F287" s="16"/>
      <c r="G287" s="32"/>
      <c r="H287" s="65"/>
      <c r="I287" s="701"/>
      <c r="J287" s="598" t="s">
        <v>6</v>
      </c>
      <c r="K287" s="599"/>
      <c r="L287" s="599"/>
      <c r="M287" s="15" t="s">
        <v>7</v>
      </c>
      <c r="N287" s="16"/>
      <c r="O287" s="32"/>
      <c r="P287" s="7"/>
      <c r="Q287" s="701"/>
      <c r="R287" s="790" t="s">
        <v>6</v>
      </c>
      <c r="S287" s="791"/>
      <c r="T287" s="791"/>
      <c r="U287" s="790" t="s">
        <v>7</v>
      </c>
      <c r="V287" s="791"/>
      <c r="W287" s="792"/>
      <c r="X287" s="7"/>
    </row>
    <row r="288" spans="1:24" ht="17.25" thickBot="1">
      <c r="A288" s="693"/>
      <c r="B288" s="17" t="s">
        <v>26</v>
      </c>
      <c r="C288" s="18" t="s">
        <v>8</v>
      </c>
      <c r="D288" s="19" t="s">
        <v>9</v>
      </c>
      <c r="E288" s="18" t="s">
        <v>10</v>
      </c>
      <c r="F288" s="19" t="s">
        <v>8</v>
      </c>
      <c r="G288" s="18" t="s">
        <v>11</v>
      </c>
      <c r="H288" s="65"/>
      <c r="I288" s="701"/>
      <c r="J288" s="17" t="s">
        <v>26</v>
      </c>
      <c r="K288" s="18" t="s">
        <v>8</v>
      </c>
      <c r="L288" s="19" t="s">
        <v>9</v>
      </c>
      <c r="M288" s="18" t="s">
        <v>10</v>
      </c>
      <c r="N288" s="19" t="s">
        <v>8</v>
      </c>
      <c r="O288" s="18" t="s">
        <v>11</v>
      </c>
      <c r="P288" s="7"/>
      <c r="Q288" s="701"/>
      <c r="R288" s="17" t="s">
        <v>26</v>
      </c>
      <c r="S288" s="18" t="s">
        <v>8</v>
      </c>
      <c r="T288" s="19" t="s">
        <v>9</v>
      </c>
      <c r="U288" s="18" t="s">
        <v>10</v>
      </c>
      <c r="V288" s="19" t="s">
        <v>8</v>
      </c>
      <c r="W288" s="18" t="s">
        <v>11</v>
      </c>
      <c r="X288" s="7"/>
    </row>
    <row r="289" spans="1:24" ht="15" customHeight="1">
      <c r="A289" s="693"/>
      <c r="B289" s="160">
        <v>96</v>
      </c>
      <c r="C289" s="154">
        <v>10000</v>
      </c>
      <c r="D289" s="154">
        <f>B289*C289</f>
        <v>960000</v>
      </c>
      <c r="E289" s="154">
        <v>96</v>
      </c>
      <c r="F289" s="154">
        <v>3500</v>
      </c>
      <c r="G289" s="161">
        <f>+E289*F289</f>
        <v>336000</v>
      </c>
      <c r="H289" s="39">
        <f>+D289+G289</f>
        <v>1296000</v>
      </c>
      <c r="I289" s="701"/>
      <c r="J289" s="33">
        <v>12</v>
      </c>
      <c r="K289" s="34">
        <v>10000</v>
      </c>
      <c r="L289" s="34">
        <f>J289*K289</f>
        <v>120000</v>
      </c>
      <c r="M289" s="34">
        <f>+J289*2</f>
        <v>24</v>
      </c>
      <c r="N289" s="34">
        <v>2000</v>
      </c>
      <c r="O289" s="35">
        <f>+M289*N289</f>
        <v>48000</v>
      </c>
      <c r="P289" s="39">
        <f>+L289+O289</f>
        <v>168000</v>
      </c>
      <c r="Q289" s="701"/>
      <c r="R289" s="33">
        <v>8</v>
      </c>
      <c r="S289" s="34">
        <v>10000</v>
      </c>
      <c r="T289" s="34">
        <f>R289*S289</f>
        <v>80000</v>
      </c>
      <c r="U289" s="34">
        <f>+R289*2</f>
        <v>16</v>
      </c>
      <c r="V289" s="34">
        <v>2000</v>
      </c>
      <c r="W289" s="35">
        <f>+U289*V289</f>
        <v>32000</v>
      </c>
      <c r="X289" s="39">
        <f>+T289+W289</f>
        <v>112000</v>
      </c>
    </row>
    <row r="290" spans="1:24" ht="15" customHeight="1">
      <c r="A290" s="693"/>
      <c r="B290" s="64"/>
      <c r="C290" s="12"/>
      <c r="D290" s="12"/>
      <c r="E290" s="12"/>
      <c r="F290" s="12"/>
      <c r="G290" s="65"/>
      <c r="H290" s="65"/>
      <c r="I290" s="701"/>
      <c r="J290" s="6"/>
      <c r="O290" s="7"/>
      <c r="P290" s="7"/>
      <c r="Q290" s="701"/>
      <c r="R290" s="6"/>
      <c r="W290" s="7"/>
      <c r="X290" s="7"/>
    </row>
    <row r="291" spans="1:24" ht="15" customHeight="1">
      <c r="A291" s="693"/>
      <c r="B291" s="64"/>
      <c r="C291" s="12"/>
      <c r="D291" s="12"/>
      <c r="E291" s="12"/>
      <c r="F291" s="12"/>
      <c r="G291" s="65"/>
      <c r="H291" s="65"/>
      <c r="I291" s="701"/>
      <c r="J291" s="6"/>
      <c r="O291" s="7"/>
      <c r="P291" s="7"/>
      <c r="Q291" s="701"/>
      <c r="R291" s="6"/>
      <c r="W291" s="7"/>
      <c r="X291" s="7"/>
    </row>
    <row r="292" spans="1:24" ht="15.75" customHeight="1" thickBot="1">
      <c r="A292" s="693"/>
      <c r="B292" s="140"/>
      <c r="C292" s="141"/>
      <c r="D292" s="141"/>
      <c r="E292" s="141"/>
      <c r="F292" s="141"/>
      <c r="G292" s="142"/>
      <c r="H292" s="65"/>
      <c r="I292" s="701"/>
      <c r="J292" s="9"/>
      <c r="K292" s="10"/>
      <c r="L292" s="10"/>
      <c r="M292" s="10"/>
      <c r="N292" s="10"/>
      <c r="O292" s="11"/>
      <c r="P292" s="7"/>
      <c r="Q292" s="701"/>
      <c r="R292" s="9"/>
      <c r="S292" s="10"/>
      <c r="T292" s="10"/>
      <c r="U292" s="10"/>
      <c r="V292" s="10"/>
      <c r="W292" s="11"/>
      <c r="X292" s="7"/>
    </row>
    <row r="293" spans="1:24" ht="17.25" thickBot="1">
      <c r="A293" s="20" t="s">
        <v>563</v>
      </c>
      <c r="B293" s="611" t="s">
        <v>13</v>
      </c>
      <c r="C293" s="612"/>
      <c r="D293" s="21" t="s">
        <v>14</v>
      </c>
      <c r="E293" s="20"/>
      <c r="F293" s="21" t="s">
        <v>15</v>
      </c>
      <c r="G293" s="21" t="s">
        <v>13</v>
      </c>
      <c r="H293" s="20" t="s">
        <v>17</v>
      </c>
      <c r="I293" s="20" t="s">
        <v>12</v>
      </c>
      <c r="J293" s="611" t="s">
        <v>13</v>
      </c>
      <c r="K293" s="612"/>
      <c r="L293" s="21" t="s">
        <v>14</v>
      </c>
      <c r="M293" s="20"/>
      <c r="N293" s="21" t="s">
        <v>15</v>
      </c>
      <c r="O293" s="21" t="s">
        <v>16</v>
      </c>
      <c r="P293" s="14" t="s">
        <v>17</v>
      </c>
      <c r="Q293" s="20" t="s">
        <v>12</v>
      </c>
      <c r="R293" s="611" t="s">
        <v>13</v>
      </c>
      <c r="S293" s="612"/>
      <c r="T293" s="21" t="s">
        <v>14</v>
      </c>
      <c r="U293" s="20"/>
      <c r="V293" s="21" t="s">
        <v>15</v>
      </c>
      <c r="W293" s="21" t="s">
        <v>16</v>
      </c>
      <c r="X293" s="14" t="s">
        <v>17</v>
      </c>
    </row>
    <row r="294" spans="1:24" ht="18" thickBot="1">
      <c r="A294" s="22">
        <v>1446</v>
      </c>
      <c r="B294" s="606">
        <f>+H294</f>
        <v>1296000</v>
      </c>
      <c r="C294" s="607"/>
      <c r="D294" s="23">
        <f>0</f>
        <v>0</v>
      </c>
      <c r="E294" s="24"/>
      <c r="F294" s="25">
        <f>0</f>
        <v>0</v>
      </c>
      <c r="G294" s="36">
        <f>+H294</f>
        <v>1296000</v>
      </c>
      <c r="H294" s="38">
        <f>+H289</f>
        <v>1296000</v>
      </c>
      <c r="I294" s="22" t="s">
        <v>18</v>
      </c>
      <c r="J294" s="606">
        <f>+L289</f>
        <v>120000</v>
      </c>
      <c r="K294" s="607"/>
      <c r="L294" s="23">
        <f>0</f>
        <v>0</v>
      </c>
      <c r="M294" s="24"/>
      <c r="N294" s="25">
        <f>0</f>
        <v>0</v>
      </c>
      <c r="O294" s="36">
        <f>+O289</f>
        <v>48000</v>
      </c>
      <c r="P294" s="38">
        <f>+P289</f>
        <v>168000</v>
      </c>
      <c r="Q294" s="22" t="s">
        <v>18</v>
      </c>
      <c r="R294" s="606">
        <f>+T289</f>
        <v>80000</v>
      </c>
      <c r="S294" s="607"/>
      <c r="T294" s="23">
        <f>0</f>
        <v>0</v>
      </c>
      <c r="U294" s="24"/>
      <c r="V294" s="25">
        <f>0</f>
        <v>0</v>
      </c>
      <c r="W294" s="36">
        <f>+W289</f>
        <v>32000</v>
      </c>
      <c r="X294" s="38">
        <f>+X289</f>
        <v>112000</v>
      </c>
    </row>
    <row r="296" spans="1:24" ht="16.5">
      <c r="A296" s="395" t="s">
        <v>1479</v>
      </c>
      <c r="B296" s="26"/>
      <c r="C296" s="26"/>
      <c r="D296" s="26"/>
      <c r="E296" s="26"/>
      <c r="F296" s="26"/>
      <c r="G296" s="26"/>
      <c r="I296" s="37" t="s">
        <v>54</v>
      </c>
      <c r="J296" s="26"/>
      <c r="K296" s="26"/>
      <c r="L296" s="26"/>
      <c r="M296" s="26"/>
      <c r="N296" s="26"/>
      <c r="O296" s="26"/>
      <c r="Q296" s="37" t="s">
        <v>75</v>
      </c>
      <c r="R296" s="26"/>
      <c r="S296" s="26"/>
      <c r="T296" s="26"/>
      <c r="U296" s="26"/>
      <c r="V296" s="26"/>
      <c r="W296" s="26"/>
    </row>
    <row r="297" spans="1:24" ht="16.5">
      <c r="A297" s="408" t="s">
        <v>2961</v>
      </c>
      <c r="B297" s="26"/>
      <c r="C297" s="26"/>
      <c r="D297" s="26"/>
      <c r="E297" s="26"/>
      <c r="F297" s="26"/>
      <c r="G297" s="26"/>
      <c r="I297" s="37"/>
      <c r="J297" s="26"/>
      <c r="K297" s="26"/>
      <c r="L297" s="26"/>
      <c r="M297" s="26"/>
      <c r="N297" s="26"/>
      <c r="O297" s="26"/>
      <c r="Q297" s="37"/>
      <c r="R297" s="26"/>
      <c r="S297" s="26"/>
      <c r="T297" s="26"/>
      <c r="U297" s="26"/>
      <c r="V297" s="26"/>
      <c r="W297" s="26"/>
    </row>
    <row r="298" spans="1:24" ht="16.5">
      <c r="A298" s="26" t="s">
        <v>19</v>
      </c>
      <c r="B298" s="26"/>
      <c r="C298" s="26"/>
      <c r="D298" s="26"/>
      <c r="E298" s="26"/>
      <c r="F298" s="26"/>
      <c r="G298" s="26"/>
      <c r="I298" s="26" t="s">
        <v>19</v>
      </c>
      <c r="J298" s="26"/>
      <c r="K298" s="26"/>
      <c r="L298" s="26"/>
      <c r="M298" s="26"/>
      <c r="N298" s="26"/>
      <c r="O298" s="26"/>
      <c r="Q298" s="26" t="s">
        <v>19</v>
      </c>
      <c r="R298" s="26"/>
      <c r="S298" s="26"/>
      <c r="T298" s="26"/>
      <c r="U298" s="26"/>
      <c r="V298" s="26"/>
      <c r="W298" s="26"/>
    </row>
    <row r="299" spans="1:24" ht="16.5">
      <c r="A299" s="26" t="s">
        <v>965</v>
      </c>
      <c r="B299" s="26"/>
      <c r="C299" s="26"/>
      <c r="D299" s="26"/>
      <c r="E299" s="26"/>
      <c r="F299" s="26"/>
      <c r="G299" s="26"/>
      <c r="I299" s="26" t="s">
        <v>20</v>
      </c>
      <c r="J299" s="26"/>
      <c r="K299" s="26"/>
      <c r="L299" s="26"/>
      <c r="M299" s="26"/>
      <c r="N299" s="26"/>
      <c r="O299" s="26"/>
      <c r="Q299" s="26" t="s">
        <v>20</v>
      </c>
      <c r="R299" s="26"/>
      <c r="S299" s="26"/>
      <c r="T299" s="26"/>
      <c r="U299" s="26"/>
      <c r="V299" s="26"/>
      <c r="W299" s="26"/>
    </row>
    <row r="300" spans="1:24" ht="16.5">
      <c r="A300" s="26" t="s">
        <v>21</v>
      </c>
      <c r="B300" s="26"/>
      <c r="C300" s="26"/>
      <c r="D300" s="26"/>
      <c r="E300" s="26"/>
      <c r="F300" s="26"/>
      <c r="G300" s="26"/>
      <c r="I300" s="26" t="s">
        <v>21</v>
      </c>
      <c r="J300" s="26"/>
      <c r="K300" s="26"/>
      <c r="L300" s="26"/>
      <c r="M300" s="26"/>
      <c r="N300" s="26"/>
      <c r="O300" s="26"/>
      <c r="Q300" s="26" t="s">
        <v>21</v>
      </c>
      <c r="R300" s="26"/>
      <c r="S300" s="26"/>
      <c r="T300" s="26"/>
      <c r="U300" s="26"/>
      <c r="V300" s="26"/>
      <c r="W300" s="26"/>
    </row>
    <row r="301" spans="1:24" ht="16.5">
      <c r="A301" s="26" t="s">
        <v>22</v>
      </c>
      <c r="B301" s="26"/>
      <c r="C301" s="26"/>
      <c r="D301" s="26"/>
      <c r="E301" s="26"/>
      <c r="F301" s="26"/>
      <c r="G301" s="26"/>
      <c r="I301" s="26" t="s">
        <v>22</v>
      </c>
      <c r="J301" s="26"/>
      <c r="K301" s="26"/>
      <c r="L301" s="26"/>
      <c r="M301" s="26"/>
      <c r="N301" s="26"/>
      <c r="O301" s="26"/>
      <c r="Q301" s="26" t="s">
        <v>22</v>
      </c>
      <c r="R301" s="26"/>
      <c r="S301" s="26"/>
      <c r="T301" s="26"/>
      <c r="U301" s="26"/>
      <c r="V301" s="26"/>
      <c r="W301" s="26"/>
    </row>
    <row r="305" spans="1:24" ht="16.5">
      <c r="E305" s="30" t="s">
        <v>24</v>
      </c>
      <c r="F305" s="30"/>
      <c r="G305" s="30"/>
    </row>
    <row r="306" spans="1:24" ht="16.5">
      <c r="D306" s="27"/>
      <c r="E306" s="30" t="s">
        <v>149</v>
      </c>
      <c r="F306" s="30"/>
      <c r="G306" s="30"/>
      <c r="L306" s="27"/>
      <c r="M306" s="27" t="s">
        <v>24</v>
      </c>
      <c r="T306" s="27"/>
      <c r="U306" s="27" t="s">
        <v>24</v>
      </c>
    </row>
    <row r="307" spans="1:24" ht="16.5">
      <c r="D307" s="27"/>
      <c r="E307" s="568" t="s">
        <v>2957</v>
      </c>
      <c r="F307" s="568"/>
      <c r="G307" s="568"/>
      <c r="L307" s="27" t="s">
        <v>25</v>
      </c>
      <c r="M307" s="27"/>
      <c r="T307" s="27" t="s">
        <v>25</v>
      </c>
      <c r="U307" s="27"/>
    </row>
    <row r="308" spans="1:24" ht="16.5">
      <c r="E308" s="568"/>
      <c r="F308" s="568"/>
      <c r="G308" s="568"/>
    </row>
    <row r="310" spans="1:24" ht="16.5">
      <c r="A310" s="26"/>
      <c r="B310" s="26"/>
      <c r="C310" s="26"/>
      <c r="D310" s="26"/>
      <c r="E310" s="767" t="s">
        <v>2926</v>
      </c>
      <c r="F310" s="767"/>
      <c r="G310" s="767"/>
      <c r="I310" s="26"/>
      <c r="J310" s="26"/>
      <c r="K310" s="26"/>
      <c r="L310" s="26"/>
      <c r="M310" s="26"/>
      <c r="N310" s="26"/>
      <c r="O310" s="26"/>
      <c r="Q310" s="26"/>
      <c r="R310" s="26"/>
      <c r="S310" s="26"/>
      <c r="T310" s="26"/>
      <c r="U310" s="26"/>
      <c r="V310" s="26"/>
      <c r="W310" s="26"/>
    </row>
    <row r="311" spans="1:24" ht="18">
      <c r="A311" s="26"/>
      <c r="B311" s="68"/>
      <c r="C311" s="26"/>
      <c r="D311" s="26"/>
      <c r="E311" s="783"/>
      <c r="F311" s="783"/>
      <c r="G311" s="783"/>
      <c r="H311" s="29"/>
      <c r="I311" s="26"/>
      <c r="J311" s="26"/>
      <c r="K311" s="26"/>
      <c r="L311" s="26"/>
      <c r="M311" s="26"/>
      <c r="N311" s="735"/>
      <c r="O311" s="735"/>
      <c r="P311" s="735"/>
      <c r="Q311" s="26"/>
      <c r="R311" s="26"/>
      <c r="S311" s="26"/>
      <c r="T311" s="26"/>
      <c r="U311" s="26"/>
      <c r="V311" s="735"/>
      <c r="W311" s="735"/>
      <c r="X311" s="735"/>
    </row>
    <row r="312" spans="1:24" ht="19.5" customHeight="1">
      <c r="A312" s="26"/>
      <c r="B312" s="68"/>
      <c r="C312" s="26"/>
      <c r="D312" s="26"/>
      <c r="E312" s="476"/>
      <c r="F312" s="476"/>
      <c r="G312" s="476"/>
      <c r="H312" s="29"/>
      <c r="I312" s="26"/>
      <c r="J312" s="26"/>
      <c r="K312" s="26"/>
      <c r="L312" s="26"/>
      <c r="M312" s="26"/>
      <c r="N312" s="368"/>
      <c r="O312" s="368"/>
      <c r="P312" s="368"/>
      <c r="Q312" s="26"/>
      <c r="R312" s="26"/>
      <c r="S312" s="26"/>
      <c r="T312" s="26"/>
      <c r="U312" s="26"/>
      <c r="V312" s="368"/>
      <c r="W312" s="368"/>
      <c r="X312" s="368"/>
    </row>
    <row r="313" spans="1:24" ht="17.25" customHeight="1">
      <c r="A313" s="617" t="s">
        <v>2573</v>
      </c>
      <c r="B313" s="617"/>
      <c r="C313" s="617"/>
      <c r="D313" s="617"/>
      <c r="E313" s="617"/>
      <c r="F313" s="617"/>
      <c r="G313" s="617"/>
      <c r="H313" s="617"/>
      <c r="J313" s="789" t="s">
        <v>0</v>
      </c>
      <c r="K313" s="789"/>
      <c r="L313" s="789"/>
      <c r="M313" s="789"/>
      <c r="N313" s="789"/>
      <c r="O313" s="789"/>
      <c r="P313" s="789"/>
      <c r="R313" s="789" t="s">
        <v>0</v>
      </c>
      <c r="S313" s="789"/>
      <c r="T313" s="789"/>
      <c r="U313" s="789"/>
      <c r="V313" s="789"/>
      <c r="W313" s="789"/>
      <c r="X313" s="789"/>
    </row>
    <row r="314" spans="1:24" ht="16.5" customHeight="1"/>
    <row r="315" spans="1:24" ht="14.25" customHeight="1"/>
    <row r="316" spans="1:24" ht="42" customHeight="1">
      <c r="A316" s="784" t="s">
        <v>1</v>
      </c>
      <c r="B316" s="784"/>
      <c r="C316" s="784"/>
      <c r="D316" s="784"/>
      <c r="E316" s="784"/>
      <c r="F316" s="784"/>
      <c r="G316" s="784"/>
      <c r="H316" s="784"/>
      <c r="K316" s="785" t="s">
        <v>1</v>
      </c>
      <c r="L316" s="785"/>
      <c r="M316" s="785"/>
      <c r="N316" s="785"/>
      <c r="S316" s="785" t="s">
        <v>1</v>
      </c>
      <c r="T316" s="785"/>
      <c r="U316" s="785"/>
      <c r="V316" s="785"/>
    </row>
    <row r="319" spans="1:24" ht="17.25">
      <c r="B319" s="375" t="s">
        <v>2555</v>
      </c>
      <c r="I319" s="1" t="s">
        <v>55</v>
      </c>
      <c r="Q319" s="1" t="s">
        <v>76</v>
      </c>
    </row>
    <row r="320" spans="1:24" ht="15.75" thickBot="1">
      <c r="A320" s="1"/>
      <c r="G320" s="10"/>
      <c r="I320" s="1"/>
      <c r="O320" s="10"/>
      <c r="Q320" s="1"/>
      <c r="W320" s="10"/>
    </row>
    <row r="321" spans="1:24" ht="16.5">
      <c r="B321" s="2"/>
      <c r="F321" s="143"/>
      <c r="G321" s="12"/>
      <c r="H321" s="144"/>
      <c r="J321" s="2"/>
      <c r="N321" s="3"/>
      <c r="P321" s="5"/>
      <c r="R321" s="2"/>
      <c r="V321" s="3"/>
      <c r="X321" s="5"/>
    </row>
    <row r="322" spans="1:24" ht="17.25">
      <c r="F322" s="667" t="s">
        <v>2482</v>
      </c>
      <c r="G322" s="668"/>
      <c r="H322" s="669"/>
      <c r="N322" s="6"/>
      <c r="O322" s="40" t="s">
        <v>31</v>
      </c>
      <c r="P322" s="7"/>
      <c r="V322" s="6"/>
      <c r="W322" s="40" t="s">
        <v>40</v>
      </c>
      <c r="X322" s="7"/>
    </row>
    <row r="323" spans="1:24" ht="16.5">
      <c r="A323" s="12" t="s">
        <v>114</v>
      </c>
      <c r="B323" s="12"/>
      <c r="C323" s="12"/>
      <c r="D323" s="249" t="s">
        <v>2</v>
      </c>
      <c r="F323" s="683"/>
      <c r="G323" s="683"/>
      <c r="H323" s="683"/>
      <c r="L323" s="27" t="s">
        <v>2</v>
      </c>
      <c r="P323" s="7"/>
      <c r="T323" s="27" t="s">
        <v>2</v>
      </c>
      <c r="X323" s="7"/>
    </row>
    <row r="324" spans="1:24" ht="16.5">
      <c r="A324" s="8"/>
      <c r="F324" s="601" t="s">
        <v>163</v>
      </c>
      <c r="G324" s="602"/>
      <c r="H324" s="603"/>
      <c r="I324" s="8" t="s">
        <v>30</v>
      </c>
      <c r="N324" s="6"/>
      <c r="O324" s="31" t="s">
        <v>36</v>
      </c>
      <c r="P324" s="7"/>
      <c r="Q324" s="8" t="s">
        <v>30</v>
      </c>
      <c r="V324" s="6"/>
      <c r="W324" s="31" t="s">
        <v>36</v>
      </c>
      <c r="X324" s="7"/>
    </row>
    <row r="325" spans="1:24" ht="17.25" thickBot="1">
      <c r="F325" s="140"/>
      <c r="G325" s="141"/>
      <c r="H325" s="142"/>
      <c r="N325" s="9"/>
      <c r="O325" s="10"/>
      <c r="P325" s="11"/>
      <c r="V325" s="9"/>
      <c r="W325" s="10"/>
      <c r="X325" s="11"/>
    </row>
    <row r="326" spans="1:24" ht="16.5">
      <c r="A326" s="30"/>
      <c r="B326" s="30" t="s">
        <v>27</v>
      </c>
      <c r="C326" s="12" t="s">
        <v>148</v>
      </c>
      <c r="I326" s="12"/>
      <c r="J326" s="12"/>
      <c r="Q326" s="12"/>
      <c r="R326" s="12"/>
    </row>
    <row r="327" spans="1:24" ht="16.5">
      <c r="A327" s="30"/>
      <c r="B327" s="30" t="s">
        <v>1988</v>
      </c>
      <c r="C327" s="30"/>
      <c r="I327" s="30" t="s">
        <v>27</v>
      </c>
      <c r="J327" s="12" t="s">
        <v>35</v>
      </c>
      <c r="Q327" s="30" t="s">
        <v>27</v>
      </c>
      <c r="R327" s="12" t="s">
        <v>35</v>
      </c>
    </row>
    <row r="328" spans="1:24" ht="16.5">
      <c r="A328" s="30"/>
      <c r="B328" s="30" t="s">
        <v>2966</v>
      </c>
      <c r="C328" s="30"/>
      <c r="I328" s="30"/>
      <c r="J328" s="12"/>
      <c r="Q328" s="30"/>
      <c r="R328" s="12"/>
    </row>
    <row r="329" spans="1:24" ht="17.25" thickBot="1">
      <c r="B329" s="30"/>
    </row>
    <row r="330" spans="1:24" ht="17.25" customHeight="1" thickBot="1">
      <c r="A330" s="13" t="s">
        <v>3</v>
      </c>
      <c r="B330" s="696" t="s">
        <v>4</v>
      </c>
      <c r="C330" s="697"/>
      <c r="D330" s="697"/>
      <c r="E330" s="697"/>
      <c r="F330" s="697"/>
      <c r="G330" s="698"/>
      <c r="H330" s="20" t="s">
        <v>5</v>
      </c>
      <c r="I330" s="13" t="s">
        <v>3</v>
      </c>
      <c r="J330" s="778" t="s">
        <v>4</v>
      </c>
      <c r="K330" s="779"/>
      <c r="L330" s="779"/>
      <c r="M330" s="779"/>
      <c r="N330" s="779"/>
      <c r="O330" s="780"/>
      <c r="P330" s="14" t="s">
        <v>5</v>
      </c>
      <c r="Q330" s="13" t="s">
        <v>3</v>
      </c>
      <c r="R330" s="778" t="s">
        <v>4</v>
      </c>
      <c r="S330" s="779"/>
      <c r="T330" s="779"/>
      <c r="U330" s="779"/>
      <c r="V330" s="779"/>
      <c r="W330" s="780"/>
      <c r="X330" s="14" t="s">
        <v>5</v>
      </c>
    </row>
    <row r="331" spans="1:24" ht="15.75" customHeight="1" thickBot="1">
      <c r="A331" s="692" t="s">
        <v>2667</v>
      </c>
      <c r="B331" s="143"/>
      <c r="C331" s="159"/>
      <c r="D331" s="159"/>
      <c r="E331" s="159"/>
      <c r="F331" s="159"/>
      <c r="G331" s="144"/>
      <c r="H331" s="65"/>
      <c r="I331" s="700" t="s">
        <v>53</v>
      </c>
      <c r="J331" s="3"/>
      <c r="K331" s="4"/>
      <c r="L331" s="4"/>
      <c r="M331" s="4"/>
      <c r="N331" s="4"/>
      <c r="O331" s="5"/>
      <c r="P331" s="7"/>
      <c r="Q331" s="700" t="s">
        <v>71</v>
      </c>
      <c r="R331" s="3"/>
      <c r="S331" s="4"/>
      <c r="T331" s="4"/>
      <c r="U331" s="4"/>
      <c r="V331" s="4"/>
      <c r="W331" s="5"/>
      <c r="X331" s="7"/>
    </row>
    <row r="332" spans="1:24" ht="17.25" thickBot="1">
      <c r="A332" s="693"/>
      <c r="B332" s="776" t="s">
        <v>6</v>
      </c>
      <c r="C332" s="777"/>
      <c r="D332" s="777"/>
      <c r="E332" s="776" t="s">
        <v>7</v>
      </c>
      <c r="F332" s="777"/>
      <c r="G332" s="607"/>
      <c r="H332" s="65"/>
      <c r="I332" s="701"/>
      <c r="J332" s="598" t="s">
        <v>6</v>
      </c>
      <c r="K332" s="599"/>
      <c r="L332" s="599"/>
      <c r="M332" s="15" t="s">
        <v>7</v>
      </c>
      <c r="N332" s="16"/>
      <c r="O332" s="32"/>
      <c r="P332" s="7"/>
      <c r="Q332" s="701"/>
      <c r="R332" s="598" t="s">
        <v>6</v>
      </c>
      <c r="S332" s="599"/>
      <c r="T332" s="599"/>
      <c r="U332" s="15" t="s">
        <v>7</v>
      </c>
      <c r="V332" s="16"/>
      <c r="W332" s="32"/>
      <c r="X332" s="7"/>
    </row>
    <row r="333" spans="1:24" ht="17.25" thickBot="1">
      <c r="A333" s="693"/>
      <c r="B333" s="17" t="s">
        <v>26</v>
      </c>
      <c r="C333" s="18" t="s">
        <v>8</v>
      </c>
      <c r="D333" s="19" t="s">
        <v>9</v>
      </c>
      <c r="E333" s="18" t="s">
        <v>10</v>
      </c>
      <c r="F333" s="19" t="s">
        <v>8</v>
      </c>
      <c r="G333" s="18" t="s">
        <v>11</v>
      </c>
      <c r="H333" s="65"/>
      <c r="I333" s="701"/>
      <c r="J333" s="17" t="s">
        <v>26</v>
      </c>
      <c r="K333" s="18" t="s">
        <v>8</v>
      </c>
      <c r="L333" s="19" t="s">
        <v>9</v>
      </c>
      <c r="M333" s="18" t="s">
        <v>10</v>
      </c>
      <c r="N333" s="19" t="s">
        <v>8</v>
      </c>
      <c r="O333" s="18" t="s">
        <v>11</v>
      </c>
      <c r="P333" s="7"/>
      <c r="Q333" s="701"/>
      <c r="R333" s="17" t="s">
        <v>26</v>
      </c>
      <c r="S333" s="18" t="s">
        <v>8</v>
      </c>
      <c r="T333" s="19" t="s">
        <v>9</v>
      </c>
      <c r="U333" s="18" t="s">
        <v>10</v>
      </c>
      <c r="V333" s="19" t="s">
        <v>8</v>
      </c>
      <c r="W333" s="18" t="s">
        <v>11</v>
      </c>
      <c r="X333" s="7"/>
    </row>
    <row r="334" spans="1:24" ht="15" customHeight="1">
      <c r="A334" s="693"/>
      <c r="B334" s="160"/>
      <c r="C334" s="154">
        <v>10000</v>
      </c>
      <c r="D334" s="154">
        <f>B334*C334</f>
        <v>0</v>
      </c>
      <c r="E334" s="154">
        <v>18</v>
      </c>
      <c r="F334" s="154">
        <v>3500</v>
      </c>
      <c r="G334" s="161">
        <f>+E334*F334</f>
        <v>63000</v>
      </c>
      <c r="H334" s="162">
        <f>-(+D334+G334)</f>
        <v>-63000</v>
      </c>
      <c r="I334" s="701"/>
      <c r="J334" s="33">
        <v>23</v>
      </c>
      <c r="K334" s="34">
        <v>10000</v>
      </c>
      <c r="L334" s="34">
        <f>J334*K334</f>
        <v>230000</v>
      </c>
      <c r="M334" s="34">
        <f>+J334*2</f>
        <v>46</v>
      </c>
      <c r="N334" s="34">
        <v>2000</v>
      </c>
      <c r="O334" s="35">
        <f>+M334*N334</f>
        <v>92000</v>
      </c>
      <c r="P334" s="39">
        <f>+L334+O334</f>
        <v>322000</v>
      </c>
      <c r="Q334" s="701"/>
      <c r="R334" s="33">
        <v>23</v>
      </c>
      <c r="S334" s="34">
        <v>10000</v>
      </c>
      <c r="T334" s="34">
        <f>R334*S334</f>
        <v>230000</v>
      </c>
      <c r="U334" s="34">
        <f>+R334*2</f>
        <v>46</v>
      </c>
      <c r="V334" s="34">
        <v>2000</v>
      </c>
      <c r="W334" s="35">
        <f>+U334*V334</f>
        <v>92000</v>
      </c>
      <c r="X334" s="39">
        <f>+T334+W334</f>
        <v>322000</v>
      </c>
    </row>
    <row r="335" spans="1:24" ht="15" customHeight="1">
      <c r="A335" s="693"/>
      <c r="B335" s="64"/>
      <c r="C335" s="12"/>
      <c r="D335" s="12"/>
      <c r="E335" s="12"/>
      <c r="F335" s="12"/>
      <c r="G335" s="65"/>
      <c r="H335" s="65"/>
      <c r="I335" s="701"/>
      <c r="J335" s="6"/>
      <c r="O335" s="7"/>
      <c r="P335" s="7"/>
      <c r="Q335" s="701"/>
      <c r="R335" s="6"/>
      <c r="W335" s="7"/>
      <c r="X335" s="7"/>
    </row>
    <row r="336" spans="1:24" ht="15" customHeight="1">
      <c r="A336" s="693"/>
      <c r="B336" s="64"/>
      <c r="C336" s="12"/>
      <c r="D336" s="12"/>
      <c r="E336" s="12"/>
      <c r="F336" s="12"/>
      <c r="G336" s="65"/>
      <c r="H336" s="65"/>
      <c r="I336" s="701"/>
      <c r="J336" s="6"/>
      <c r="O336" s="7"/>
      <c r="P336" s="7"/>
      <c r="Q336" s="701"/>
      <c r="R336" s="6"/>
      <c r="W336" s="7"/>
      <c r="X336" s="7"/>
    </row>
    <row r="337" spans="1:24" ht="15.75" customHeight="1" thickBot="1">
      <c r="A337" s="693"/>
      <c r="B337" s="140"/>
      <c r="C337" s="141"/>
      <c r="D337" s="141"/>
      <c r="E337" s="141"/>
      <c r="F337" s="141"/>
      <c r="G337" s="142"/>
      <c r="H337" s="65"/>
      <c r="I337" s="701"/>
      <c r="J337" s="9"/>
      <c r="K337" s="10"/>
      <c r="L337" s="10"/>
      <c r="M337" s="10"/>
      <c r="N337" s="10"/>
      <c r="O337" s="11"/>
      <c r="P337" s="7"/>
      <c r="Q337" s="701"/>
      <c r="R337" s="9"/>
      <c r="S337" s="10"/>
      <c r="T337" s="10"/>
      <c r="U337" s="10"/>
      <c r="V337" s="10"/>
      <c r="W337" s="11"/>
      <c r="X337" s="7"/>
    </row>
    <row r="338" spans="1:24" ht="17.25" thickBot="1">
      <c r="A338" s="20" t="s">
        <v>563</v>
      </c>
      <c r="B338" s="611" t="s">
        <v>13</v>
      </c>
      <c r="C338" s="612"/>
      <c r="D338" s="21" t="s">
        <v>14</v>
      </c>
      <c r="E338" s="20"/>
      <c r="F338" s="21" t="s">
        <v>15</v>
      </c>
      <c r="G338" s="21" t="s">
        <v>13</v>
      </c>
      <c r="H338" s="20" t="s">
        <v>17</v>
      </c>
      <c r="I338" s="20" t="s">
        <v>12</v>
      </c>
      <c r="J338" s="611" t="s">
        <v>13</v>
      </c>
      <c r="K338" s="612"/>
      <c r="L338" s="21" t="s">
        <v>14</v>
      </c>
      <c r="M338" s="20"/>
      <c r="N338" s="21" t="s">
        <v>15</v>
      </c>
      <c r="O338" s="21" t="s">
        <v>16</v>
      </c>
      <c r="P338" s="14" t="s">
        <v>17</v>
      </c>
      <c r="Q338" s="20" t="s">
        <v>12</v>
      </c>
      <c r="R338" s="611" t="s">
        <v>13</v>
      </c>
      <c r="S338" s="612"/>
      <c r="T338" s="21" t="s">
        <v>14</v>
      </c>
      <c r="U338" s="20"/>
      <c r="V338" s="21" t="s">
        <v>15</v>
      </c>
      <c r="W338" s="21" t="s">
        <v>16</v>
      </c>
      <c r="X338" s="14" t="s">
        <v>17</v>
      </c>
    </row>
    <row r="339" spans="1:24" ht="18" thickBot="1">
      <c r="A339" s="20">
        <v>296</v>
      </c>
      <c r="B339" s="606">
        <f>+H334</f>
        <v>-63000</v>
      </c>
      <c r="C339" s="607"/>
      <c r="D339" s="23">
        <f>0</f>
        <v>0</v>
      </c>
      <c r="E339" s="24"/>
      <c r="F339" s="20">
        <f>0</f>
        <v>0</v>
      </c>
      <c r="G339" s="36">
        <f>+H334</f>
        <v>-63000</v>
      </c>
      <c r="H339" s="38">
        <f>+H334</f>
        <v>-63000</v>
      </c>
      <c r="I339" s="22" t="s">
        <v>18</v>
      </c>
      <c r="J339" s="606">
        <f>+L334</f>
        <v>230000</v>
      </c>
      <c r="K339" s="607"/>
      <c r="L339" s="23">
        <f>0</f>
        <v>0</v>
      </c>
      <c r="M339" s="24"/>
      <c r="N339" s="25">
        <f>0</f>
        <v>0</v>
      </c>
      <c r="O339" s="36">
        <f>+O334</f>
        <v>92000</v>
      </c>
      <c r="P339" s="38">
        <f>+P334</f>
        <v>322000</v>
      </c>
      <c r="Q339" s="22" t="s">
        <v>18</v>
      </c>
      <c r="R339" s="606">
        <f>+T334</f>
        <v>230000</v>
      </c>
      <c r="S339" s="607"/>
      <c r="T339" s="23">
        <f>0</f>
        <v>0</v>
      </c>
      <c r="U339" s="24"/>
      <c r="V339" s="25">
        <f>0</f>
        <v>0</v>
      </c>
      <c r="W339" s="36">
        <f>+W334</f>
        <v>92000</v>
      </c>
      <c r="X339" s="38">
        <f>+X334</f>
        <v>322000</v>
      </c>
    </row>
    <row r="341" spans="1:24" ht="16.5">
      <c r="A341" s="395" t="s">
        <v>2668</v>
      </c>
      <c r="B341" s="26"/>
      <c r="C341" s="26"/>
      <c r="D341" s="26"/>
      <c r="E341" s="26"/>
      <c r="F341" s="26"/>
      <c r="G341" s="26"/>
      <c r="I341" s="37" t="s">
        <v>56</v>
      </c>
      <c r="J341" s="26"/>
      <c r="K341" s="26"/>
      <c r="L341" s="26"/>
      <c r="M341" s="26"/>
      <c r="N341" s="26"/>
      <c r="O341" s="26"/>
      <c r="Q341" s="37" t="s">
        <v>77</v>
      </c>
      <c r="R341" s="26"/>
      <c r="S341" s="26"/>
      <c r="T341" s="26"/>
      <c r="U341" s="26"/>
      <c r="V341" s="26"/>
      <c r="W341" s="26"/>
    </row>
    <row r="342" spans="1:24" ht="16.5">
      <c r="A342" s="408" t="s">
        <v>2669</v>
      </c>
      <c r="B342" s="26"/>
      <c r="C342" s="26"/>
      <c r="D342" s="26"/>
      <c r="E342" s="26"/>
      <c r="F342" s="26"/>
      <c r="G342" s="26"/>
      <c r="I342" s="37"/>
      <c r="J342" s="26"/>
      <c r="K342" s="26"/>
      <c r="L342" s="26"/>
      <c r="M342" s="26"/>
      <c r="N342" s="26"/>
      <c r="O342" s="26"/>
      <c r="Q342" s="37"/>
      <c r="R342" s="26"/>
      <c r="S342" s="26"/>
      <c r="T342" s="26"/>
      <c r="U342" s="26"/>
      <c r="V342" s="26"/>
      <c r="W342" s="26"/>
    </row>
    <row r="343" spans="1:24" ht="16.5">
      <c r="A343" s="26" t="s">
        <v>19</v>
      </c>
      <c r="B343" s="26"/>
      <c r="C343" s="26"/>
      <c r="D343" s="26"/>
      <c r="E343" s="26"/>
      <c r="F343" s="26"/>
      <c r="G343" s="26"/>
      <c r="I343" s="26" t="s">
        <v>19</v>
      </c>
      <c r="J343" s="26"/>
      <c r="K343" s="26"/>
      <c r="L343" s="26"/>
      <c r="M343" s="26"/>
      <c r="N343" s="26"/>
      <c r="O343" s="26"/>
      <c r="Q343" s="26" t="s">
        <v>19</v>
      </c>
      <c r="R343" s="26"/>
      <c r="S343" s="26"/>
      <c r="T343" s="26"/>
      <c r="U343" s="26"/>
      <c r="V343" s="26"/>
      <c r="W343" s="26"/>
    </row>
    <row r="344" spans="1:24" ht="16.5">
      <c r="A344" s="26" t="s">
        <v>965</v>
      </c>
      <c r="B344" s="26"/>
      <c r="C344" s="26"/>
      <c r="D344" s="26"/>
      <c r="E344" s="26"/>
      <c r="F344" s="26"/>
      <c r="G344" s="26"/>
      <c r="I344" s="26" t="s">
        <v>20</v>
      </c>
      <c r="J344" s="26"/>
      <c r="K344" s="26"/>
      <c r="L344" s="26"/>
      <c r="M344" s="26"/>
      <c r="N344" s="26"/>
      <c r="O344" s="26"/>
      <c r="Q344" s="26" t="s">
        <v>20</v>
      </c>
      <c r="R344" s="26"/>
      <c r="S344" s="26"/>
      <c r="T344" s="26"/>
      <c r="U344" s="26"/>
      <c r="V344" s="26"/>
      <c r="W344" s="26"/>
    </row>
    <row r="345" spans="1:24" ht="16.5">
      <c r="A345" s="26" t="s">
        <v>1064</v>
      </c>
      <c r="B345" s="26"/>
      <c r="C345" s="26"/>
      <c r="D345" s="26"/>
      <c r="E345" s="26"/>
      <c r="F345" s="26"/>
      <c r="G345" s="26"/>
      <c r="I345" s="26" t="s">
        <v>21</v>
      </c>
      <c r="J345" s="26"/>
      <c r="K345" s="26"/>
      <c r="L345" s="26"/>
      <c r="M345" s="26"/>
      <c r="N345" s="26"/>
      <c r="O345" s="26"/>
      <c r="Q345" s="26" t="s">
        <v>21</v>
      </c>
      <c r="R345" s="26"/>
      <c r="S345" s="26"/>
      <c r="T345" s="26"/>
      <c r="U345" s="26"/>
      <c r="V345" s="26"/>
      <c r="W345" s="26"/>
    </row>
    <row r="346" spans="1:24" ht="16.5">
      <c r="A346" s="26" t="s">
        <v>22</v>
      </c>
      <c r="B346" s="26"/>
      <c r="C346" s="26"/>
      <c r="D346" s="26"/>
      <c r="E346" s="26"/>
      <c r="F346" s="26"/>
      <c r="G346" s="26"/>
      <c r="I346" s="26" t="s">
        <v>22</v>
      </c>
      <c r="J346" s="26"/>
      <c r="K346" s="26"/>
      <c r="L346" s="26"/>
      <c r="M346" s="26"/>
      <c r="N346" s="26"/>
      <c r="O346" s="26"/>
      <c r="Q346" s="26" t="s">
        <v>22</v>
      </c>
      <c r="R346" s="26"/>
      <c r="S346" s="26"/>
      <c r="T346" s="26"/>
      <c r="U346" s="26"/>
      <c r="V346" s="26"/>
      <c r="W346" s="26"/>
    </row>
    <row r="351" spans="1:24" ht="16.5">
      <c r="D351" s="30" t="s">
        <v>24</v>
      </c>
      <c r="E351" s="30"/>
      <c r="F351" s="30"/>
      <c r="L351" s="27"/>
      <c r="M351" s="27" t="s">
        <v>24</v>
      </c>
      <c r="T351" s="27"/>
      <c r="U351" s="27" t="s">
        <v>24</v>
      </c>
    </row>
    <row r="352" spans="1:24" ht="16.5">
      <c r="D352" s="30" t="s">
        <v>149</v>
      </c>
      <c r="E352" s="30"/>
      <c r="F352" s="30"/>
      <c r="L352" s="27" t="s">
        <v>25</v>
      </c>
      <c r="M352" s="27"/>
      <c r="T352" s="27" t="s">
        <v>25</v>
      </c>
      <c r="U352" s="27"/>
    </row>
    <row r="353" spans="1:24" ht="16.5">
      <c r="D353" s="315" t="s">
        <v>150</v>
      </c>
      <c r="E353" s="315"/>
      <c r="F353" s="315"/>
    </row>
    <row r="355" spans="1:24" ht="16.5">
      <c r="A355" s="26"/>
      <c r="B355" s="26"/>
      <c r="C355" s="26"/>
      <c r="D355" s="26"/>
      <c r="E355" s="26"/>
      <c r="F355" s="26"/>
      <c r="G355" s="26"/>
      <c r="I355" s="26"/>
      <c r="J355" s="26"/>
      <c r="K355" s="26"/>
      <c r="L355" s="26"/>
      <c r="M355" s="26"/>
      <c r="N355" s="26"/>
      <c r="O355" s="26"/>
      <c r="Q355" s="26"/>
      <c r="R355" s="26"/>
      <c r="S355" s="26"/>
      <c r="T355" s="26"/>
      <c r="U355" s="26"/>
      <c r="V355" s="26"/>
      <c r="W355" s="26"/>
    </row>
    <row r="356" spans="1:24" ht="18">
      <c r="A356" s="26"/>
      <c r="B356" s="26"/>
      <c r="C356" s="396" t="s">
        <v>0</v>
      </c>
      <c r="D356" s="396"/>
      <c r="E356" s="396"/>
      <c r="F356" s="396"/>
      <c r="G356" s="396"/>
      <c r="H356" s="396"/>
      <c r="I356" s="396"/>
      <c r="J356" s="26"/>
      <c r="K356" s="26"/>
      <c r="L356" s="26"/>
      <c r="M356" s="26"/>
      <c r="N356" s="735"/>
      <c r="O356" s="735"/>
      <c r="P356" s="735"/>
      <c r="Q356" s="26"/>
      <c r="R356" s="26"/>
      <c r="S356" s="26"/>
      <c r="T356" s="26"/>
      <c r="U356" s="26"/>
      <c r="V356" s="735"/>
      <c r="W356" s="735"/>
      <c r="X356" s="735"/>
    </row>
    <row r="357" spans="1:24" ht="18" customHeight="1">
      <c r="A357" s="28"/>
      <c r="B357" s="26"/>
      <c r="C357" s="26"/>
      <c r="D357" s="783"/>
      <c r="E357" s="783"/>
      <c r="F357" s="783"/>
      <c r="G357" s="29"/>
      <c r="H357" s="29"/>
      <c r="I357" s="28"/>
      <c r="J357" s="26"/>
      <c r="K357" s="26"/>
      <c r="L357" s="26"/>
      <c r="M357" s="757" t="s">
        <v>23</v>
      </c>
      <c r="N357" s="735"/>
      <c r="O357" s="735"/>
      <c r="P357" s="29"/>
      <c r="Q357" s="28"/>
      <c r="R357" s="26"/>
      <c r="S357" s="26"/>
      <c r="T357" s="26"/>
      <c r="U357" s="757" t="s">
        <v>23</v>
      </c>
      <c r="V357" s="735"/>
      <c r="W357" s="735"/>
      <c r="X357" s="29"/>
    </row>
    <row r="358" spans="1:24" ht="16.5">
      <c r="A358" s="26"/>
      <c r="B358" s="26"/>
      <c r="C358" s="26"/>
      <c r="D358" s="26"/>
      <c r="E358" s="26"/>
      <c r="F358" s="26"/>
      <c r="G358" s="26"/>
      <c r="I358" s="26"/>
      <c r="J358" s="26"/>
      <c r="K358" s="26"/>
      <c r="L358" s="26"/>
      <c r="M358" s="26"/>
      <c r="N358" s="26"/>
      <c r="O358" s="26"/>
      <c r="Q358" s="26"/>
      <c r="R358" s="26"/>
      <c r="S358" s="26"/>
      <c r="T358" s="26"/>
      <c r="U358" s="26"/>
      <c r="V358" s="26"/>
      <c r="W358" s="26"/>
    </row>
    <row r="361" spans="1:24" ht="39" customHeight="1">
      <c r="C361" s="785" t="s">
        <v>1</v>
      </c>
      <c r="D361" s="785"/>
      <c r="E361" s="785"/>
      <c r="F361" s="785"/>
      <c r="K361" s="785" t="s">
        <v>1</v>
      </c>
      <c r="L361" s="785"/>
      <c r="M361" s="785"/>
      <c r="N361" s="785"/>
      <c r="S361" s="785" t="s">
        <v>1</v>
      </c>
      <c r="T361" s="785"/>
      <c r="U361" s="785"/>
      <c r="V361" s="785"/>
    </row>
    <row r="364" spans="1:24" ht="17.25">
      <c r="B364" s="375" t="s">
        <v>2963</v>
      </c>
      <c r="I364" s="1" t="s">
        <v>58</v>
      </c>
      <c r="Q364" s="1" t="s">
        <v>78</v>
      </c>
    </row>
    <row r="365" spans="1:24" ht="15.75" thickBot="1">
      <c r="A365" s="1"/>
      <c r="G365" s="10"/>
      <c r="I365" s="1"/>
      <c r="O365" s="10"/>
      <c r="Q365" s="1"/>
      <c r="W365" s="10"/>
    </row>
    <row r="366" spans="1:24" ht="16.5">
      <c r="B366" s="2"/>
      <c r="F366" s="3"/>
      <c r="H366" s="5"/>
      <c r="J366" s="2"/>
      <c r="N366" s="3"/>
      <c r="P366" s="5"/>
      <c r="R366" s="2"/>
      <c r="V366" s="3"/>
      <c r="X366" s="5"/>
    </row>
    <row r="367" spans="1:24" ht="17.25">
      <c r="F367" s="667" t="s">
        <v>120</v>
      </c>
      <c r="G367" s="668"/>
      <c r="H367" s="669"/>
      <c r="N367" s="6"/>
      <c r="O367" s="40" t="s">
        <v>33</v>
      </c>
      <c r="P367" s="7"/>
      <c r="V367" s="6"/>
      <c r="W367" s="40" t="s">
        <v>28</v>
      </c>
      <c r="X367" s="7"/>
    </row>
    <row r="368" spans="1:24" ht="16.5">
      <c r="A368" s="8" t="s">
        <v>114</v>
      </c>
      <c r="D368" s="27" t="s">
        <v>2</v>
      </c>
      <c r="F368" s="683"/>
      <c r="G368" s="683"/>
      <c r="H368" s="683"/>
      <c r="L368" s="27" t="s">
        <v>2</v>
      </c>
      <c r="P368" s="7"/>
      <c r="T368" s="27" t="s">
        <v>2</v>
      </c>
      <c r="X368" s="7"/>
    </row>
    <row r="369" spans="1:24" ht="16.5">
      <c r="A369" s="8"/>
      <c r="F369" s="601" t="s">
        <v>163</v>
      </c>
      <c r="G369" s="602"/>
      <c r="H369" s="603"/>
      <c r="I369" s="8" t="s">
        <v>30</v>
      </c>
      <c r="N369" s="6"/>
      <c r="O369" s="31" t="s">
        <v>36</v>
      </c>
      <c r="P369" s="7"/>
      <c r="Q369" s="8" t="s">
        <v>30</v>
      </c>
      <c r="V369" s="6"/>
      <c r="W369" s="31" t="s">
        <v>36</v>
      </c>
      <c r="X369" s="7"/>
    </row>
    <row r="370" spans="1:24" ht="17.25" thickBot="1">
      <c r="F370" s="140"/>
      <c r="G370" s="141"/>
      <c r="H370" s="142"/>
      <c r="N370" s="9"/>
      <c r="O370" s="10"/>
      <c r="P370" s="11"/>
      <c r="V370" s="9"/>
      <c r="W370" s="10"/>
      <c r="X370" s="11"/>
    </row>
    <row r="371" spans="1:24" ht="16.5">
      <c r="A371" s="30"/>
      <c r="B371" s="30" t="s">
        <v>27</v>
      </c>
      <c r="C371" s="30" t="s">
        <v>214</v>
      </c>
      <c r="I371" s="12"/>
      <c r="J371" s="12"/>
      <c r="Q371" s="12"/>
      <c r="R371" s="12"/>
    </row>
    <row r="372" spans="1:24" ht="16.5">
      <c r="A372" s="30"/>
      <c r="B372" s="30" t="s">
        <v>1992</v>
      </c>
      <c r="C372" s="30" t="s">
        <v>2962</v>
      </c>
      <c r="I372" s="30" t="s">
        <v>27</v>
      </c>
      <c r="J372" s="12" t="s">
        <v>35</v>
      </c>
      <c r="Q372" s="30" t="s">
        <v>27</v>
      </c>
      <c r="R372" s="12" t="s">
        <v>35</v>
      </c>
    </row>
    <row r="373" spans="1:24" ht="15.75" thickBot="1"/>
    <row r="374" spans="1:24" ht="17.25" customHeight="1" thickBot="1">
      <c r="A374" s="13" t="s">
        <v>3</v>
      </c>
      <c r="B374" s="778" t="s">
        <v>4</v>
      </c>
      <c r="C374" s="779"/>
      <c r="D374" s="779"/>
      <c r="E374" s="779"/>
      <c r="F374" s="779"/>
      <c r="G374" s="780"/>
      <c r="H374" s="14" t="s">
        <v>5</v>
      </c>
      <c r="I374" s="13" t="s">
        <v>3</v>
      </c>
      <c r="J374" s="778" t="s">
        <v>4</v>
      </c>
      <c r="K374" s="779"/>
      <c r="L374" s="779"/>
      <c r="M374" s="779"/>
      <c r="N374" s="779"/>
      <c r="O374" s="780"/>
      <c r="P374" s="14" t="s">
        <v>5</v>
      </c>
      <c r="Q374" s="13" t="s">
        <v>3</v>
      </c>
      <c r="R374" s="778" t="s">
        <v>4</v>
      </c>
      <c r="S374" s="779"/>
      <c r="T374" s="779"/>
      <c r="U374" s="779"/>
      <c r="V374" s="779"/>
      <c r="W374" s="780"/>
      <c r="X374" s="14" t="s">
        <v>5</v>
      </c>
    </row>
    <row r="375" spans="1:24" ht="15.75" customHeight="1" thickBot="1">
      <c r="A375" s="692" t="s">
        <v>2955</v>
      </c>
      <c r="B375" s="143"/>
      <c r="C375" s="159"/>
      <c r="D375" s="159"/>
      <c r="E375" s="159"/>
      <c r="F375" s="159"/>
      <c r="G375" s="144"/>
      <c r="H375" s="65"/>
      <c r="I375" s="700" t="s">
        <v>53</v>
      </c>
      <c r="J375" s="3"/>
      <c r="K375" s="4"/>
      <c r="L375" s="4"/>
      <c r="M375" s="4"/>
      <c r="N375" s="4"/>
      <c r="O375" s="5"/>
      <c r="P375" s="7"/>
      <c r="Q375" s="700" t="s">
        <v>71</v>
      </c>
      <c r="R375" s="3"/>
      <c r="S375" s="4"/>
      <c r="T375" s="4"/>
      <c r="U375" s="4"/>
      <c r="V375" s="4"/>
      <c r="W375" s="5"/>
      <c r="X375" s="7"/>
    </row>
    <row r="376" spans="1:24" ht="17.25" thickBot="1">
      <c r="A376" s="693"/>
      <c r="B376" s="598" t="s">
        <v>6</v>
      </c>
      <c r="C376" s="599"/>
      <c r="D376" s="599"/>
      <c r="E376" s="15" t="s">
        <v>7</v>
      </c>
      <c r="F376" s="16"/>
      <c r="G376" s="32"/>
      <c r="H376" s="65"/>
      <c r="I376" s="701"/>
      <c r="J376" s="598" t="s">
        <v>6</v>
      </c>
      <c r="K376" s="599"/>
      <c r="L376" s="599"/>
      <c r="M376" s="15" t="s">
        <v>7</v>
      </c>
      <c r="N376" s="16"/>
      <c r="O376" s="32"/>
      <c r="P376" s="7"/>
      <c r="Q376" s="701"/>
      <c r="R376" s="776" t="s">
        <v>6</v>
      </c>
      <c r="S376" s="777"/>
      <c r="T376" s="777"/>
      <c r="U376" s="776" t="s">
        <v>7</v>
      </c>
      <c r="V376" s="777"/>
      <c r="W376" s="607"/>
      <c r="X376" s="7"/>
    </row>
    <row r="377" spans="1:24" ht="17.25" thickBot="1">
      <c r="A377" s="693"/>
      <c r="B377" s="17" t="s">
        <v>26</v>
      </c>
      <c r="C377" s="18" t="s">
        <v>8</v>
      </c>
      <c r="D377" s="19" t="s">
        <v>9</v>
      </c>
      <c r="E377" s="18" t="s">
        <v>10</v>
      </c>
      <c r="F377" s="19" t="s">
        <v>8</v>
      </c>
      <c r="G377" s="18" t="s">
        <v>11</v>
      </c>
      <c r="H377" s="65"/>
      <c r="I377" s="701"/>
      <c r="J377" s="17" t="s">
        <v>26</v>
      </c>
      <c r="K377" s="18" t="s">
        <v>8</v>
      </c>
      <c r="L377" s="19" t="s">
        <v>9</v>
      </c>
      <c r="M377" s="18" t="s">
        <v>10</v>
      </c>
      <c r="N377" s="19" t="s">
        <v>8</v>
      </c>
      <c r="O377" s="18" t="s">
        <v>11</v>
      </c>
      <c r="P377" s="7"/>
      <c r="Q377" s="701"/>
      <c r="R377" s="17" t="s">
        <v>26</v>
      </c>
      <c r="S377" s="18" t="s">
        <v>8</v>
      </c>
      <c r="T377" s="19" t="s">
        <v>9</v>
      </c>
      <c r="U377" s="18" t="s">
        <v>10</v>
      </c>
      <c r="V377" s="19" t="s">
        <v>8</v>
      </c>
      <c r="W377" s="18" t="s">
        <v>11</v>
      </c>
      <c r="X377" s="7"/>
    </row>
    <row r="378" spans="1:24" ht="15" customHeight="1">
      <c r="A378" s="693"/>
      <c r="B378" s="160">
        <v>46</v>
      </c>
      <c r="C378" s="154">
        <v>10000</v>
      </c>
      <c r="D378" s="154">
        <f>B378*C378</f>
        <v>460000</v>
      </c>
      <c r="E378" s="154"/>
      <c r="F378" s="154"/>
      <c r="G378" s="161"/>
      <c r="H378" s="162">
        <f>+D378+G378</f>
        <v>460000</v>
      </c>
      <c r="I378" s="701"/>
      <c r="J378" s="33">
        <v>3</v>
      </c>
      <c r="K378" s="34">
        <v>10000</v>
      </c>
      <c r="L378" s="34">
        <f>J378*K378</f>
        <v>30000</v>
      </c>
      <c r="M378" s="34">
        <f>+J378*2</f>
        <v>6</v>
      </c>
      <c r="N378" s="34">
        <v>2000</v>
      </c>
      <c r="O378" s="35">
        <f>+M378*N378</f>
        <v>12000</v>
      </c>
      <c r="P378" s="39">
        <f>+L378+O378</f>
        <v>42000</v>
      </c>
      <c r="Q378" s="701"/>
      <c r="R378" s="33">
        <v>26</v>
      </c>
      <c r="S378" s="34">
        <v>10000</v>
      </c>
      <c r="T378" s="34">
        <f>R378*S378</f>
        <v>260000</v>
      </c>
      <c r="U378" s="34">
        <f>+R378*2</f>
        <v>52</v>
      </c>
      <c r="V378" s="34">
        <v>2000</v>
      </c>
      <c r="W378" s="35">
        <f>+U378*V378</f>
        <v>104000</v>
      </c>
      <c r="X378" s="39">
        <f>+T378+W378</f>
        <v>364000</v>
      </c>
    </row>
    <row r="379" spans="1:24" ht="15" customHeight="1">
      <c r="A379" s="693"/>
      <c r="B379" s="64"/>
      <c r="C379" s="12"/>
      <c r="D379" s="12"/>
      <c r="E379" s="12"/>
      <c r="F379" s="12"/>
      <c r="G379" s="65"/>
      <c r="H379" s="65"/>
      <c r="I379" s="701"/>
      <c r="J379" s="6"/>
      <c r="O379" s="7"/>
      <c r="P379" s="7"/>
      <c r="Q379" s="701"/>
      <c r="R379" s="6"/>
      <c r="W379" s="7"/>
      <c r="X379" s="7"/>
    </row>
    <row r="380" spans="1:24" ht="15" customHeight="1">
      <c r="A380" s="693"/>
      <c r="B380" s="64"/>
      <c r="C380" s="12"/>
      <c r="D380" s="12"/>
      <c r="E380" s="12"/>
      <c r="F380" s="12"/>
      <c r="G380" s="65"/>
      <c r="H380" s="65"/>
      <c r="I380" s="701"/>
      <c r="J380" s="6"/>
      <c r="O380" s="7"/>
      <c r="P380" s="7"/>
      <c r="Q380" s="701"/>
      <c r="R380" s="6"/>
      <c r="W380" s="7"/>
      <c r="X380" s="7"/>
    </row>
    <row r="381" spans="1:24" ht="15.75" customHeight="1" thickBot="1">
      <c r="A381" s="693"/>
      <c r="B381" s="140"/>
      <c r="C381" s="141"/>
      <c r="D381" s="141"/>
      <c r="E381" s="141"/>
      <c r="F381" s="141"/>
      <c r="G381" s="142"/>
      <c r="H381" s="65"/>
      <c r="I381" s="701"/>
      <c r="J381" s="9"/>
      <c r="K381" s="10"/>
      <c r="L381" s="10"/>
      <c r="M381" s="10"/>
      <c r="N381" s="10"/>
      <c r="O381" s="11"/>
      <c r="P381" s="7"/>
      <c r="Q381" s="701"/>
      <c r="R381" s="9"/>
      <c r="S381" s="10"/>
      <c r="T381" s="10"/>
      <c r="U381" s="10"/>
      <c r="V381" s="10"/>
      <c r="W381" s="11"/>
      <c r="X381" s="7"/>
    </row>
    <row r="382" spans="1:24" ht="17.25" thickBot="1">
      <c r="A382" s="20" t="s">
        <v>563</v>
      </c>
      <c r="B382" s="611" t="s">
        <v>13</v>
      </c>
      <c r="C382" s="612"/>
      <c r="D382" s="21" t="s">
        <v>14</v>
      </c>
      <c r="E382" s="20"/>
      <c r="F382" s="21" t="s">
        <v>15</v>
      </c>
      <c r="G382" s="21" t="s">
        <v>13</v>
      </c>
      <c r="H382" s="20" t="s">
        <v>17</v>
      </c>
      <c r="I382" s="20" t="s">
        <v>12</v>
      </c>
      <c r="J382" s="611" t="s">
        <v>13</v>
      </c>
      <c r="K382" s="612"/>
      <c r="L382" s="21" t="s">
        <v>14</v>
      </c>
      <c r="M382" s="20"/>
      <c r="N382" s="21" t="s">
        <v>15</v>
      </c>
      <c r="O382" s="21" t="s">
        <v>16</v>
      </c>
      <c r="P382" s="14" t="s">
        <v>17</v>
      </c>
      <c r="Q382" s="20" t="s">
        <v>12</v>
      </c>
      <c r="R382" s="611" t="s">
        <v>13</v>
      </c>
      <c r="S382" s="612"/>
      <c r="T382" s="21" t="s">
        <v>14</v>
      </c>
      <c r="U382" s="20"/>
      <c r="V382" s="21" t="s">
        <v>15</v>
      </c>
      <c r="W382" s="21" t="s">
        <v>16</v>
      </c>
      <c r="X382" s="14" t="s">
        <v>17</v>
      </c>
    </row>
    <row r="383" spans="1:24" ht="18" thickBot="1">
      <c r="A383" s="22">
        <v>1142</v>
      </c>
      <c r="B383" s="606">
        <f>+H378</f>
        <v>460000</v>
      </c>
      <c r="C383" s="607"/>
      <c r="D383" s="23">
        <f>0</f>
        <v>0</v>
      </c>
      <c r="E383" s="24"/>
      <c r="F383" s="20">
        <f>0</f>
        <v>0</v>
      </c>
      <c r="G383" s="36">
        <f>+H378</f>
        <v>460000</v>
      </c>
      <c r="H383" s="38">
        <f>+H378</f>
        <v>460000</v>
      </c>
      <c r="I383" s="22" t="s">
        <v>18</v>
      </c>
      <c r="J383" s="606">
        <f>+L378</f>
        <v>30000</v>
      </c>
      <c r="K383" s="607"/>
      <c r="L383" s="23">
        <f>0</f>
        <v>0</v>
      </c>
      <c r="M383" s="24"/>
      <c r="N383" s="25">
        <f>0</f>
        <v>0</v>
      </c>
      <c r="O383" s="36">
        <f>+O378</f>
        <v>12000</v>
      </c>
      <c r="P383" s="38">
        <f>+P378</f>
        <v>42000</v>
      </c>
      <c r="Q383" s="22" t="s">
        <v>18</v>
      </c>
      <c r="R383" s="606">
        <f>+T378</f>
        <v>260000</v>
      </c>
      <c r="S383" s="607"/>
      <c r="T383" s="23">
        <f>0</f>
        <v>0</v>
      </c>
      <c r="U383" s="24"/>
      <c r="V383" s="25">
        <f>0</f>
        <v>0</v>
      </c>
      <c r="W383" s="36">
        <f>+W378</f>
        <v>104000</v>
      </c>
      <c r="X383" s="38">
        <f>+X378</f>
        <v>364000</v>
      </c>
    </row>
    <row r="385" spans="1:24" ht="16.5">
      <c r="A385" s="395" t="s">
        <v>1430</v>
      </c>
      <c r="B385" s="26"/>
      <c r="C385" s="26"/>
      <c r="D385" s="26"/>
      <c r="E385" s="26"/>
      <c r="F385" s="26"/>
      <c r="G385" s="26"/>
      <c r="I385" s="37" t="s">
        <v>57</v>
      </c>
      <c r="J385" s="26"/>
      <c r="K385" s="26"/>
      <c r="L385" s="26"/>
      <c r="M385" s="26"/>
      <c r="N385" s="26"/>
      <c r="O385" s="26"/>
      <c r="Q385" s="48" t="s">
        <v>79</v>
      </c>
      <c r="R385" s="26"/>
      <c r="S385" s="26"/>
      <c r="T385" s="26"/>
      <c r="U385" s="26"/>
      <c r="V385" s="26"/>
      <c r="W385" s="26"/>
    </row>
    <row r="386" spans="1:24" ht="16.5">
      <c r="A386" s="408" t="s">
        <v>2964</v>
      </c>
      <c r="B386" s="26"/>
      <c r="C386" s="26"/>
      <c r="D386" s="26"/>
      <c r="E386" s="26"/>
      <c r="F386" s="26"/>
      <c r="G386" s="26"/>
      <c r="I386" s="37"/>
      <c r="J386" s="26"/>
      <c r="K386" s="26"/>
      <c r="L386" s="26"/>
      <c r="M386" s="26"/>
      <c r="N386" s="26"/>
      <c r="O386" s="26"/>
      <c r="Q386" s="48"/>
      <c r="R386" s="26"/>
      <c r="S386" s="26"/>
      <c r="T386" s="26"/>
      <c r="U386" s="26"/>
      <c r="V386" s="26"/>
      <c r="W386" s="26"/>
    </row>
    <row r="387" spans="1:24" ht="16.5">
      <c r="A387" s="26" t="s">
        <v>19</v>
      </c>
      <c r="B387" s="26"/>
      <c r="C387" s="26"/>
      <c r="D387" s="26"/>
      <c r="E387" s="26"/>
      <c r="F387" s="26"/>
      <c r="G387" s="26"/>
      <c r="I387" s="26" t="s">
        <v>19</v>
      </c>
      <c r="J387" s="26"/>
      <c r="K387" s="26"/>
      <c r="L387" s="26"/>
      <c r="M387" s="26"/>
      <c r="N387" s="26"/>
      <c r="O387" s="26"/>
      <c r="Q387" s="26" t="s">
        <v>19</v>
      </c>
      <c r="R387" s="26"/>
      <c r="S387" s="26"/>
      <c r="T387" s="26"/>
      <c r="U387" s="26"/>
      <c r="V387" s="26"/>
      <c r="W387" s="26"/>
    </row>
    <row r="388" spans="1:24" ht="16.5">
      <c r="A388" s="26" t="s">
        <v>965</v>
      </c>
      <c r="B388" s="26"/>
      <c r="C388" s="26"/>
      <c r="D388" s="26"/>
      <c r="E388" s="26"/>
      <c r="F388" s="26"/>
      <c r="G388" s="26"/>
      <c r="I388" s="26" t="s">
        <v>20</v>
      </c>
      <c r="J388" s="26"/>
      <c r="K388" s="26"/>
      <c r="L388" s="26"/>
      <c r="M388" s="26"/>
      <c r="N388" s="26"/>
      <c r="O388" s="26"/>
      <c r="Q388" s="26" t="s">
        <v>20</v>
      </c>
      <c r="R388" s="26"/>
      <c r="S388" s="26"/>
      <c r="T388" s="26"/>
      <c r="U388" s="26"/>
      <c r="V388" s="26"/>
      <c r="W388" s="26"/>
    </row>
    <row r="389" spans="1:24" ht="16.5">
      <c r="A389" s="26" t="s">
        <v>21</v>
      </c>
      <c r="B389" s="26"/>
      <c r="C389" s="26"/>
      <c r="D389" s="26"/>
      <c r="E389" s="26"/>
      <c r="F389" s="26"/>
      <c r="G389" s="26"/>
      <c r="I389" s="26" t="s">
        <v>21</v>
      </c>
      <c r="J389" s="26"/>
      <c r="K389" s="26"/>
      <c r="L389" s="26"/>
      <c r="M389" s="26"/>
      <c r="N389" s="26"/>
      <c r="O389" s="26"/>
      <c r="Q389" s="26" t="s">
        <v>21</v>
      </c>
      <c r="R389" s="26"/>
      <c r="S389" s="26"/>
      <c r="T389" s="26"/>
      <c r="U389" s="26"/>
      <c r="V389" s="26"/>
      <c r="W389" s="26"/>
    </row>
    <row r="390" spans="1:24" ht="16.5">
      <c r="A390" s="26" t="s">
        <v>22</v>
      </c>
      <c r="B390" s="26"/>
      <c r="C390" s="26"/>
      <c r="D390" s="26"/>
      <c r="E390" s="26"/>
      <c r="F390" s="26"/>
      <c r="G390" s="26"/>
      <c r="I390" s="26" t="s">
        <v>22</v>
      </c>
      <c r="J390" s="26"/>
      <c r="K390" s="26"/>
      <c r="L390" s="26"/>
      <c r="M390" s="26"/>
      <c r="N390" s="26"/>
      <c r="O390" s="26"/>
      <c r="Q390" s="26" t="s">
        <v>22</v>
      </c>
      <c r="R390" s="26"/>
      <c r="S390" s="26"/>
      <c r="T390" s="26"/>
      <c r="U390" s="26"/>
      <c r="V390" s="26"/>
      <c r="W390" s="26"/>
    </row>
    <row r="394" spans="1:24" ht="16.5">
      <c r="D394" s="30" t="s">
        <v>24</v>
      </c>
      <c r="E394" s="30"/>
      <c r="F394" s="30"/>
    </row>
    <row r="395" spans="1:24" ht="16.5">
      <c r="D395" s="30" t="s">
        <v>149</v>
      </c>
      <c r="E395" s="30"/>
      <c r="F395" s="30"/>
      <c r="L395" s="27"/>
      <c r="M395" s="27" t="s">
        <v>24</v>
      </c>
      <c r="T395" s="27"/>
      <c r="U395" s="27" t="s">
        <v>24</v>
      </c>
    </row>
    <row r="396" spans="1:24" ht="16.5">
      <c r="D396" s="563" t="s">
        <v>2965</v>
      </c>
      <c r="E396" s="565"/>
      <c r="F396" s="565"/>
      <c r="L396" s="27" t="s">
        <v>25</v>
      </c>
      <c r="M396" s="27"/>
      <c r="T396" s="27" t="s">
        <v>25</v>
      </c>
      <c r="U396" s="27"/>
    </row>
    <row r="397" spans="1:24" ht="16.5">
      <c r="D397" s="563"/>
      <c r="E397" s="565"/>
      <c r="F397" s="565"/>
    </row>
    <row r="399" spans="1:24" ht="16.5">
      <c r="A399" s="26"/>
      <c r="B399" s="26"/>
      <c r="C399" s="26"/>
      <c r="D399" s="767" t="s">
        <v>2926</v>
      </c>
      <c r="E399" s="767"/>
      <c r="F399" s="767"/>
      <c r="G399" s="26"/>
      <c r="I399" s="26"/>
      <c r="J399" s="26"/>
      <c r="K399" s="26"/>
      <c r="L399" s="26"/>
      <c r="M399" s="26"/>
      <c r="N399" s="26"/>
      <c r="O399" s="26"/>
      <c r="Q399" s="26"/>
      <c r="R399" s="26"/>
      <c r="S399" s="26"/>
      <c r="T399" s="26"/>
      <c r="U399" s="26"/>
      <c r="V399" s="26"/>
      <c r="W399" s="26"/>
    </row>
    <row r="400" spans="1:24" ht="18">
      <c r="A400" s="26"/>
      <c r="B400" s="789" t="s">
        <v>0</v>
      </c>
      <c r="C400" s="789"/>
      <c r="D400" s="789"/>
      <c r="E400" s="789"/>
      <c r="F400" s="789"/>
      <c r="G400" s="789"/>
      <c r="H400" s="789"/>
      <c r="I400" s="26"/>
      <c r="J400" s="26"/>
      <c r="K400" s="26"/>
      <c r="L400" s="26"/>
      <c r="M400" s="26"/>
      <c r="N400" s="735"/>
      <c r="O400" s="735"/>
      <c r="P400" s="735"/>
      <c r="Q400" s="26"/>
      <c r="R400" s="26"/>
      <c r="S400" s="26"/>
      <c r="T400" s="26"/>
      <c r="U400" s="26"/>
      <c r="V400" s="735"/>
      <c r="W400" s="735"/>
      <c r="X400" s="735"/>
    </row>
    <row r="401" spans="1:24" ht="18" customHeight="1">
      <c r="A401" s="28"/>
      <c r="B401" s="789"/>
      <c r="C401" s="789"/>
      <c r="D401" s="789"/>
      <c r="E401" s="789"/>
      <c r="F401" s="789"/>
      <c r="G401" s="789"/>
      <c r="H401" s="789"/>
      <c r="I401" s="28"/>
      <c r="J401" s="26"/>
      <c r="K401" s="26"/>
      <c r="L401" s="26"/>
      <c r="M401" s="757" t="s">
        <v>23</v>
      </c>
      <c r="N401" s="735"/>
      <c r="O401" s="735"/>
      <c r="P401" s="29"/>
      <c r="Q401" s="28"/>
      <c r="R401" s="26"/>
      <c r="S401" s="26"/>
      <c r="T401" s="26"/>
      <c r="U401" s="757" t="s">
        <v>23</v>
      </c>
      <c r="V401" s="735"/>
      <c r="W401" s="735"/>
      <c r="X401" s="29"/>
    </row>
    <row r="403" spans="1:24">
      <c r="B403" s="789"/>
      <c r="C403" s="789"/>
      <c r="D403" s="789"/>
      <c r="E403" s="789"/>
      <c r="F403" s="789"/>
      <c r="G403" s="789"/>
      <c r="H403" s="789"/>
      <c r="J403" s="789" t="s">
        <v>0</v>
      </c>
      <c r="K403" s="789"/>
      <c r="L403" s="789"/>
      <c r="M403" s="789"/>
      <c r="N403" s="789"/>
      <c r="O403" s="789"/>
      <c r="P403" s="789"/>
      <c r="R403" s="789" t="s">
        <v>0</v>
      </c>
      <c r="S403" s="789"/>
      <c r="T403" s="789"/>
      <c r="U403" s="789"/>
      <c r="V403" s="789"/>
      <c r="W403" s="789"/>
      <c r="X403" s="789"/>
    </row>
    <row r="406" spans="1:24" ht="45" customHeight="1">
      <c r="C406" s="785" t="s">
        <v>1</v>
      </c>
      <c r="D406" s="785"/>
      <c r="E406" s="785"/>
      <c r="F406" s="785"/>
      <c r="K406" s="785" t="s">
        <v>1</v>
      </c>
      <c r="L406" s="785"/>
      <c r="M406" s="785"/>
      <c r="N406" s="785"/>
      <c r="S406" s="785" t="s">
        <v>1</v>
      </c>
      <c r="T406" s="785"/>
      <c r="U406" s="785"/>
      <c r="V406" s="785"/>
    </row>
    <row r="407" spans="1:24" ht="17.25" thickBot="1">
      <c r="A407" s="30"/>
      <c r="B407" s="12"/>
      <c r="C407" s="12"/>
      <c r="D407" s="12"/>
      <c r="E407" s="12"/>
      <c r="F407" s="12"/>
      <c r="G407" s="141"/>
      <c r="H407" s="12"/>
    </row>
    <row r="408" spans="1:24" ht="16.5">
      <c r="A408" s="30" t="s">
        <v>3031</v>
      </c>
      <c r="B408" s="30"/>
      <c r="C408" s="12"/>
      <c r="D408" s="12"/>
      <c r="E408" s="12"/>
      <c r="F408" s="143"/>
      <c r="G408" s="12"/>
      <c r="H408" s="144"/>
    </row>
    <row r="409" spans="1:24" ht="16.5">
      <c r="A409" s="12"/>
      <c r="B409" s="12"/>
      <c r="C409" s="12"/>
      <c r="D409" s="12"/>
      <c r="E409" s="12"/>
      <c r="F409" s="619" t="s">
        <v>3006</v>
      </c>
      <c r="G409" s="728"/>
      <c r="H409" s="621"/>
      <c r="I409" s="1" t="s">
        <v>82</v>
      </c>
      <c r="Q409" s="1" t="s">
        <v>80</v>
      </c>
    </row>
    <row r="410" spans="1:24" ht="17.25" thickBot="1">
      <c r="A410" s="12"/>
      <c r="B410" s="186" t="s">
        <v>114</v>
      </c>
      <c r="C410" s="12"/>
      <c r="D410" s="30"/>
      <c r="E410" s="30" t="s">
        <v>2</v>
      </c>
      <c r="F410" s="729"/>
      <c r="G410" s="729"/>
      <c r="H410" s="730"/>
      <c r="I410" s="1"/>
      <c r="O410" s="10"/>
      <c r="Q410" s="1"/>
      <c r="W410" s="10"/>
    </row>
    <row r="411" spans="1:24" ht="17.25" customHeight="1">
      <c r="A411" s="12"/>
      <c r="B411" s="12"/>
      <c r="C411" s="12"/>
      <c r="D411" s="12"/>
      <c r="E411" s="12"/>
      <c r="F411" s="766" t="s">
        <v>148</v>
      </c>
      <c r="G411" s="775"/>
      <c r="H411" s="768"/>
      <c r="J411" s="2"/>
      <c r="N411" s="3"/>
      <c r="P411" s="5"/>
      <c r="R411" s="2"/>
      <c r="V411" s="3"/>
      <c r="X411" s="5"/>
    </row>
    <row r="412" spans="1:24" ht="16.5" customHeight="1" thickBot="1">
      <c r="A412" s="30"/>
      <c r="B412" s="30"/>
      <c r="C412" s="12"/>
      <c r="D412" s="12"/>
      <c r="E412" s="12"/>
      <c r="F412" s="140"/>
      <c r="G412" s="141"/>
      <c r="H412" s="142"/>
      <c r="N412" s="6"/>
      <c r="O412" s="40" t="s">
        <v>33</v>
      </c>
      <c r="P412" s="7"/>
      <c r="V412" s="6"/>
      <c r="W412" s="40" t="s">
        <v>31</v>
      </c>
      <c r="X412" s="7"/>
    </row>
    <row r="413" spans="1:24" ht="16.5">
      <c r="A413" s="12"/>
      <c r="B413" s="12"/>
      <c r="C413" s="12"/>
      <c r="D413" s="12"/>
      <c r="E413" s="12"/>
      <c r="F413" s="12"/>
      <c r="G413" s="12"/>
      <c r="H413" s="12"/>
      <c r="L413" s="27" t="s">
        <v>2</v>
      </c>
      <c r="P413" s="7"/>
      <c r="T413" s="27" t="s">
        <v>2</v>
      </c>
      <c r="X413" s="7"/>
    </row>
    <row r="414" spans="1:24" ht="16.5">
      <c r="A414" s="30"/>
      <c r="B414" s="30" t="s">
        <v>27</v>
      </c>
      <c r="C414" s="394" t="s">
        <v>148</v>
      </c>
      <c r="D414" s="12"/>
      <c r="E414" s="12"/>
      <c r="F414" s="12"/>
      <c r="G414" s="12"/>
      <c r="H414" s="12"/>
      <c r="I414" s="8" t="s">
        <v>30</v>
      </c>
      <c r="N414" s="6"/>
      <c r="O414" s="31" t="s">
        <v>36</v>
      </c>
      <c r="P414" s="7"/>
      <c r="Q414" s="8" t="s">
        <v>30</v>
      </c>
      <c r="V414" s="6"/>
      <c r="W414" s="31" t="s">
        <v>36</v>
      </c>
      <c r="X414" s="7"/>
    </row>
    <row r="415" spans="1:24" ht="17.25" thickBot="1">
      <c r="A415" s="30"/>
      <c r="B415" s="30"/>
      <c r="C415" s="30"/>
      <c r="D415" s="12"/>
      <c r="E415" s="12"/>
      <c r="F415" s="12"/>
      <c r="G415" s="12"/>
      <c r="H415" s="12"/>
      <c r="N415" s="9"/>
      <c r="O415" s="10"/>
      <c r="P415" s="11"/>
      <c r="V415" s="9"/>
      <c r="W415" s="10"/>
      <c r="X415" s="11"/>
    </row>
    <row r="416" spans="1:24" ht="17.25" thickBo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Q416" s="12"/>
      <c r="R416" s="12"/>
    </row>
    <row r="417" spans="1:24" ht="17.25" customHeight="1" thickBot="1">
      <c r="A417" s="13" t="s">
        <v>3</v>
      </c>
      <c r="B417" s="696" t="s">
        <v>4</v>
      </c>
      <c r="C417" s="697"/>
      <c r="D417" s="697"/>
      <c r="E417" s="697"/>
      <c r="F417" s="697"/>
      <c r="G417" s="698"/>
      <c r="H417" s="20" t="s">
        <v>5</v>
      </c>
      <c r="I417" s="30" t="s">
        <v>27</v>
      </c>
      <c r="J417" s="12" t="s">
        <v>35</v>
      </c>
      <c r="Q417" s="30" t="s">
        <v>27</v>
      </c>
      <c r="R417" s="12" t="s">
        <v>35</v>
      </c>
    </row>
    <row r="418" spans="1:24" ht="17.25" customHeight="1" thickBot="1">
      <c r="A418" s="627" t="s">
        <v>3023</v>
      </c>
      <c r="B418" s="143"/>
      <c r="C418" s="159"/>
      <c r="D418" s="159"/>
      <c r="E418" s="159"/>
      <c r="F418" s="159"/>
      <c r="G418" s="144"/>
      <c r="H418" s="291"/>
    </row>
    <row r="419" spans="1:24" ht="18" customHeight="1" thickBot="1">
      <c r="A419" s="628"/>
      <c r="B419" s="630"/>
      <c r="C419" s="773"/>
      <c r="D419" s="773"/>
      <c r="E419" s="773"/>
      <c r="F419" s="773"/>
      <c r="G419" s="632"/>
      <c r="H419" s="291"/>
      <c r="I419" s="13" t="s">
        <v>3</v>
      </c>
      <c r="J419" s="778" t="s">
        <v>4</v>
      </c>
      <c r="K419" s="779"/>
      <c r="L419" s="779"/>
      <c r="M419" s="779"/>
      <c r="N419" s="779"/>
      <c r="O419" s="780"/>
      <c r="P419" s="14" t="s">
        <v>5</v>
      </c>
      <c r="Q419" s="13" t="s">
        <v>3</v>
      </c>
      <c r="R419" s="778" t="s">
        <v>4</v>
      </c>
      <c r="S419" s="779"/>
      <c r="T419" s="779"/>
      <c r="U419" s="779"/>
      <c r="V419" s="779"/>
      <c r="W419" s="780"/>
      <c r="X419" s="14" t="s">
        <v>5</v>
      </c>
    </row>
    <row r="420" spans="1:24" ht="15.75" customHeight="1" thickBot="1">
      <c r="A420" s="628"/>
      <c r="B420" s="653" t="s">
        <v>3014</v>
      </c>
      <c r="C420" s="803"/>
      <c r="D420" s="803"/>
      <c r="E420" s="803"/>
      <c r="F420" s="803"/>
      <c r="G420" s="649"/>
      <c r="H420" s="291"/>
      <c r="I420" s="700" t="s">
        <v>83</v>
      </c>
      <c r="J420" s="3"/>
      <c r="K420" s="4"/>
      <c r="L420" s="4"/>
      <c r="M420" s="4"/>
      <c r="N420" s="4"/>
      <c r="O420" s="5"/>
      <c r="P420" s="7"/>
      <c r="Q420" s="700" t="s">
        <v>71</v>
      </c>
      <c r="R420" s="3"/>
      <c r="S420" s="4"/>
      <c r="T420" s="4"/>
      <c r="U420" s="4"/>
      <c r="V420" s="4"/>
      <c r="W420" s="5"/>
      <c r="X420" s="7"/>
    </row>
    <row r="421" spans="1:24" ht="17.25" thickBot="1">
      <c r="A421" s="628"/>
      <c r="B421" s="676" t="s">
        <v>3030</v>
      </c>
      <c r="C421" s="804"/>
      <c r="D421" s="804"/>
      <c r="E421" s="804"/>
      <c r="F421" s="804"/>
      <c r="G421" s="678"/>
      <c r="H421" s="148">
        <v>1052650</v>
      </c>
      <c r="I421" s="701"/>
      <c r="J421" s="776" t="s">
        <v>6</v>
      </c>
      <c r="K421" s="777"/>
      <c r="L421" s="777"/>
      <c r="M421" s="776" t="s">
        <v>7</v>
      </c>
      <c r="N421" s="777"/>
      <c r="O421" s="607"/>
      <c r="P421" s="7"/>
      <c r="Q421" s="701"/>
      <c r="R421" s="776" t="s">
        <v>6</v>
      </c>
      <c r="S421" s="777"/>
      <c r="T421" s="777"/>
      <c r="U421" s="776" t="s">
        <v>7</v>
      </c>
      <c r="V421" s="777"/>
      <c r="W421" s="607"/>
      <c r="X421" s="7"/>
    </row>
    <row r="422" spans="1:24" ht="17.25" thickBot="1">
      <c r="A422" s="628"/>
      <c r="B422" s="64"/>
      <c r="C422" s="30"/>
      <c r="D422" s="30"/>
      <c r="E422" s="30"/>
      <c r="F422" s="30"/>
      <c r="G422" s="65"/>
      <c r="H422" s="291"/>
      <c r="I422" s="701"/>
      <c r="J422" s="17" t="s">
        <v>26</v>
      </c>
      <c r="K422" s="18" t="s">
        <v>8</v>
      </c>
      <c r="L422" s="19" t="s">
        <v>9</v>
      </c>
      <c r="M422" s="18" t="s">
        <v>10</v>
      </c>
      <c r="N422" s="19" t="s">
        <v>8</v>
      </c>
      <c r="O422" s="18" t="s">
        <v>11</v>
      </c>
      <c r="P422" s="7"/>
      <c r="Q422" s="701"/>
      <c r="R422" s="17" t="s">
        <v>26</v>
      </c>
      <c r="S422" s="18" t="s">
        <v>8</v>
      </c>
      <c r="T422" s="19" t="s">
        <v>9</v>
      </c>
      <c r="U422" s="18" t="s">
        <v>10</v>
      </c>
      <c r="V422" s="19" t="s">
        <v>8</v>
      </c>
      <c r="W422" s="18" t="s">
        <v>11</v>
      </c>
      <c r="X422" s="7"/>
    </row>
    <row r="423" spans="1:24" ht="17.25" thickBot="1">
      <c r="A423" s="629"/>
      <c r="B423" s="140"/>
      <c r="C423" s="141"/>
      <c r="D423" s="141"/>
      <c r="E423" s="141"/>
      <c r="F423" s="141"/>
      <c r="G423" s="142"/>
      <c r="H423" s="291"/>
      <c r="I423" s="701"/>
      <c r="J423" s="33">
        <v>8</v>
      </c>
      <c r="K423" s="34">
        <v>10000</v>
      </c>
      <c r="L423" s="34">
        <f>J423*K423</f>
        <v>80000</v>
      </c>
      <c r="M423" s="34">
        <f>+J423*2</f>
        <v>16</v>
      </c>
      <c r="N423" s="34">
        <v>2000</v>
      </c>
      <c r="O423" s="35">
        <f>+M423*N423</f>
        <v>32000</v>
      </c>
      <c r="P423" s="39">
        <f>+L423+O423</f>
        <v>112000</v>
      </c>
      <c r="Q423" s="701"/>
      <c r="R423" s="33">
        <v>45</v>
      </c>
      <c r="S423" s="34">
        <v>10000</v>
      </c>
      <c r="T423" s="34">
        <f>R423*S423</f>
        <v>450000</v>
      </c>
      <c r="U423" s="34">
        <f>+R423*2</f>
        <v>90</v>
      </c>
      <c r="V423" s="34">
        <v>2000</v>
      </c>
      <c r="W423" s="35">
        <f>+U423*V423</f>
        <v>180000</v>
      </c>
      <c r="X423" s="39">
        <f>+T423+W423</f>
        <v>630000</v>
      </c>
    </row>
    <row r="424" spans="1:24" ht="15" customHeight="1" thickBot="1">
      <c r="A424" s="20" t="s">
        <v>12</v>
      </c>
      <c r="B424" s="611" t="s">
        <v>13</v>
      </c>
      <c r="C424" s="612"/>
      <c r="D424" s="62" t="s">
        <v>14</v>
      </c>
      <c r="E424" s="63"/>
      <c r="F424" s="62" t="s">
        <v>15</v>
      </c>
      <c r="G424" s="62" t="s">
        <v>16</v>
      </c>
      <c r="H424" s="20" t="s">
        <v>17</v>
      </c>
      <c r="I424" s="701"/>
      <c r="J424" s="6"/>
      <c r="O424" s="7"/>
      <c r="P424" s="7"/>
      <c r="Q424" s="701"/>
      <c r="R424" s="6"/>
      <c r="W424" s="7"/>
      <c r="X424" s="7"/>
    </row>
    <row r="425" spans="1:24" ht="15" customHeight="1" thickBot="1">
      <c r="A425" s="22" t="s">
        <v>18</v>
      </c>
      <c r="B425" s="606">
        <f>+H421</f>
        <v>1052650</v>
      </c>
      <c r="C425" s="652"/>
      <c r="D425" s="567">
        <f>0</f>
        <v>0</v>
      </c>
      <c r="E425" s="24"/>
      <c r="F425" s="25">
        <f>0</f>
        <v>0</v>
      </c>
      <c r="G425" s="36">
        <f>+B425</f>
        <v>1052650</v>
      </c>
      <c r="H425" s="38">
        <f>+H421</f>
        <v>1052650</v>
      </c>
      <c r="I425" s="701"/>
      <c r="J425" s="6"/>
      <c r="O425" s="7"/>
      <c r="P425" s="7"/>
      <c r="Q425" s="701"/>
      <c r="R425" s="6"/>
      <c r="W425" s="7"/>
      <c r="X425" s="7"/>
    </row>
    <row r="426" spans="1:24" ht="15.75" customHeight="1" thickBot="1">
      <c r="A426" s="22"/>
      <c r="B426" s="606"/>
      <c r="C426" s="652"/>
      <c r="D426" s="567">
        <f>0</f>
        <v>0</v>
      </c>
      <c r="E426" s="24"/>
      <c r="F426" s="25"/>
      <c r="G426" s="36"/>
      <c r="H426" s="38"/>
      <c r="I426" s="701"/>
      <c r="J426" s="9"/>
      <c r="K426" s="10"/>
      <c r="L426" s="10"/>
      <c r="M426" s="10"/>
      <c r="N426" s="10"/>
      <c r="O426" s="11"/>
      <c r="P426" s="7"/>
      <c r="Q426" s="701"/>
      <c r="R426" s="9"/>
      <c r="S426" s="10"/>
      <c r="T426" s="10"/>
      <c r="U426" s="10"/>
      <c r="V426" s="10"/>
      <c r="W426" s="11"/>
      <c r="X426" s="7"/>
    </row>
    <row r="427" spans="1:24" ht="17.25" thickBot="1">
      <c r="A427" s="12"/>
      <c r="B427" s="12"/>
      <c r="C427" s="12"/>
      <c r="D427" s="12"/>
      <c r="E427" s="12"/>
      <c r="F427" s="12"/>
      <c r="G427" s="12"/>
      <c r="H427" s="12"/>
      <c r="I427" s="20" t="s">
        <v>12</v>
      </c>
      <c r="J427" s="611" t="s">
        <v>13</v>
      </c>
      <c r="K427" s="612"/>
      <c r="L427" s="21" t="s">
        <v>14</v>
      </c>
      <c r="M427" s="20"/>
      <c r="N427" s="21" t="s">
        <v>15</v>
      </c>
      <c r="O427" s="21" t="s">
        <v>16</v>
      </c>
      <c r="P427" s="14" t="s">
        <v>17</v>
      </c>
      <c r="Q427" s="20" t="s">
        <v>12</v>
      </c>
      <c r="R427" s="611" t="s">
        <v>13</v>
      </c>
      <c r="S427" s="612"/>
      <c r="T427" s="21" t="s">
        <v>14</v>
      </c>
      <c r="U427" s="20"/>
      <c r="V427" s="21" t="s">
        <v>15</v>
      </c>
      <c r="W427" s="21" t="s">
        <v>16</v>
      </c>
      <c r="X427" s="14" t="s">
        <v>17</v>
      </c>
    </row>
    <row r="428" spans="1:24" ht="18" thickBot="1">
      <c r="A428" s="395" t="s">
        <v>1268</v>
      </c>
      <c r="B428" s="26"/>
      <c r="C428" s="26"/>
      <c r="D428" s="26"/>
      <c r="E428" s="26"/>
      <c r="F428" s="26"/>
      <c r="G428" s="26"/>
      <c r="H428" s="12"/>
      <c r="I428" s="22" t="s">
        <v>18</v>
      </c>
      <c r="J428" s="606">
        <f>+L423</f>
        <v>80000</v>
      </c>
      <c r="K428" s="607"/>
      <c r="L428" s="23">
        <f>0</f>
        <v>0</v>
      </c>
      <c r="M428" s="24"/>
      <c r="N428" s="25">
        <f>0</f>
        <v>0</v>
      </c>
      <c r="O428" s="36">
        <f>+O423</f>
        <v>32000</v>
      </c>
      <c r="P428" s="38">
        <f>+P423</f>
        <v>112000</v>
      </c>
      <c r="Q428" s="22" t="s">
        <v>18</v>
      </c>
      <c r="R428" s="606">
        <f>+T423</f>
        <v>450000</v>
      </c>
      <c r="S428" s="607"/>
      <c r="T428" s="23">
        <f>0</f>
        <v>0</v>
      </c>
      <c r="U428" s="24"/>
      <c r="V428" s="25">
        <f>0</f>
        <v>0</v>
      </c>
      <c r="W428" s="36">
        <f>+W423</f>
        <v>180000</v>
      </c>
      <c r="X428" s="38">
        <f>+X423</f>
        <v>630000</v>
      </c>
    </row>
    <row r="429" spans="1:24" ht="16.5">
      <c r="A429" s="408" t="s">
        <v>3029</v>
      </c>
      <c r="B429" s="26"/>
      <c r="C429" s="26"/>
      <c r="D429" s="26"/>
      <c r="E429" s="26"/>
      <c r="F429" s="26"/>
      <c r="G429" s="26"/>
      <c r="H429" s="12"/>
    </row>
    <row r="430" spans="1:24" ht="16.5">
      <c r="A430" s="26" t="s">
        <v>19</v>
      </c>
      <c r="B430" s="26"/>
      <c r="C430" s="26"/>
      <c r="D430" s="26"/>
      <c r="E430" s="26"/>
      <c r="F430" s="26"/>
      <c r="G430" s="26"/>
      <c r="H430" s="12"/>
      <c r="I430" s="37" t="s">
        <v>75</v>
      </c>
      <c r="J430" s="26"/>
      <c r="K430" s="26"/>
      <c r="L430" s="26"/>
      <c r="M430" s="26"/>
      <c r="N430" s="26"/>
      <c r="O430" s="26"/>
      <c r="Q430" s="37" t="s">
        <v>81</v>
      </c>
      <c r="R430" s="26"/>
      <c r="S430" s="26"/>
      <c r="T430" s="26"/>
      <c r="U430" s="26"/>
      <c r="V430" s="26"/>
      <c r="W430" s="26"/>
    </row>
    <row r="431" spans="1:24" ht="16.5">
      <c r="A431" s="26" t="s">
        <v>20</v>
      </c>
      <c r="B431" s="26"/>
      <c r="C431" s="26"/>
      <c r="D431" s="26"/>
      <c r="E431" s="26"/>
      <c r="F431" s="26"/>
      <c r="G431" s="26"/>
      <c r="H431" s="12"/>
      <c r="I431" s="26" t="s">
        <v>19</v>
      </c>
      <c r="J431" s="26"/>
      <c r="K431" s="26"/>
      <c r="L431" s="26"/>
      <c r="M431" s="26"/>
      <c r="N431" s="26"/>
      <c r="O431" s="26"/>
      <c r="Q431" s="26" t="s">
        <v>19</v>
      </c>
      <c r="R431" s="26"/>
      <c r="S431" s="26"/>
      <c r="T431" s="26"/>
      <c r="U431" s="26"/>
      <c r="V431" s="26"/>
      <c r="W431" s="26"/>
    </row>
    <row r="432" spans="1:24" ht="16.5">
      <c r="A432" s="26" t="s">
        <v>21</v>
      </c>
      <c r="B432" s="26"/>
      <c r="C432" s="26"/>
      <c r="D432" s="26"/>
      <c r="E432" s="26"/>
      <c r="F432" s="26"/>
      <c r="G432" s="26"/>
      <c r="H432" s="12"/>
      <c r="I432" s="26" t="s">
        <v>20</v>
      </c>
      <c r="J432" s="26"/>
      <c r="K432" s="26"/>
      <c r="L432" s="26"/>
      <c r="M432" s="26"/>
      <c r="N432" s="26"/>
      <c r="O432" s="26"/>
      <c r="Q432" s="26" t="s">
        <v>20</v>
      </c>
      <c r="R432" s="26"/>
      <c r="S432" s="26"/>
      <c r="T432" s="26"/>
      <c r="U432" s="26"/>
      <c r="V432" s="26"/>
      <c r="W432" s="26"/>
    </row>
    <row r="433" spans="1:24" ht="16.5">
      <c r="A433" s="26" t="s">
        <v>1229</v>
      </c>
      <c r="B433" s="26"/>
      <c r="C433" s="26"/>
      <c r="D433" s="26"/>
      <c r="E433" s="26"/>
      <c r="F433" s="26"/>
      <c r="G433" s="26"/>
      <c r="H433" s="12"/>
      <c r="I433" s="26" t="s">
        <v>21</v>
      </c>
      <c r="J433" s="26"/>
      <c r="K433" s="26"/>
      <c r="L433" s="26"/>
      <c r="M433" s="26"/>
      <c r="N433" s="26"/>
      <c r="O433" s="26"/>
      <c r="Q433" s="26" t="s">
        <v>21</v>
      </c>
      <c r="R433" s="26"/>
      <c r="S433" s="26"/>
      <c r="T433" s="26"/>
      <c r="U433" s="26"/>
      <c r="V433" s="26"/>
      <c r="W433" s="26"/>
    </row>
    <row r="434" spans="1:24" ht="16.5">
      <c r="A434" s="26"/>
      <c r="B434" s="26"/>
      <c r="C434" s="26"/>
      <c r="D434" s="26"/>
      <c r="E434" s="26"/>
      <c r="F434" s="26"/>
      <c r="G434" s="26"/>
      <c r="H434" s="12"/>
      <c r="I434" s="26" t="s">
        <v>22</v>
      </c>
      <c r="J434" s="26"/>
      <c r="K434" s="26"/>
      <c r="L434" s="26"/>
      <c r="M434" s="26"/>
      <c r="N434" s="26"/>
      <c r="O434" s="26"/>
      <c r="Q434" s="26" t="s">
        <v>22</v>
      </c>
      <c r="R434" s="26"/>
      <c r="S434" s="26"/>
      <c r="T434" s="26"/>
      <c r="U434" s="26"/>
      <c r="V434" s="26"/>
      <c r="W434" s="26"/>
    </row>
    <row r="435" spans="1:24" ht="16.5">
      <c r="A435" s="12"/>
      <c r="B435" s="12"/>
      <c r="C435" s="12"/>
      <c r="D435" s="12"/>
      <c r="E435" s="12"/>
      <c r="F435" s="12"/>
      <c r="G435" s="12"/>
      <c r="H435" s="12"/>
    </row>
    <row r="436" spans="1:24" ht="16.5">
      <c r="A436" s="12"/>
      <c r="B436" s="12"/>
      <c r="C436" s="12"/>
      <c r="E436" s="579" t="s">
        <v>24</v>
      </c>
      <c r="F436" s="579"/>
      <c r="G436" s="579"/>
    </row>
    <row r="437" spans="1:24" ht="16.5">
      <c r="A437" s="12"/>
      <c r="B437" s="12"/>
      <c r="C437" s="12"/>
      <c r="E437" s="579" t="s">
        <v>149</v>
      </c>
      <c r="F437" s="579"/>
      <c r="G437" s="579"/>
    </row>
    <row r="438" spans="1:24" ht="16.5">
      <c r="A438" s="12"/>
      <c r="B438" s="12"/>
      <c r="C438" s="12"/>
      <c r="E438" s="577" t="s">
        <v>3012</v>
      </c>
      <c r="F438" s="578"/>
      <c r="G438" s="578"/>
    </row>
    <row r="439" spans="1:24" ht="16.5">
      <c r="A439" s="12"/>
      <c r="B439" s="12"/>
      <c r="C439" s="12"/>
      <c r="E439" s="577"/>
      <c r="F439" s="578"/>
      <c r="G439" s="578"/>
      <c r="L439" s="27"/>
      <c r="M439" s="27" t="s">
        <v>24</v>
      </c>
      <c r="T439" s="27"/>
      <c r="U439" s="27" t="s">
        <v>24</v>
      </c>
    </row>
    <row r="440" spans="1:24" ht="16.5">
      <c r="A440" s="12"/>
      <c r="B440" s="12"/>
      <c r="C440" s="12"/>
      <c r="L440" s="27" t="s">
        <v>25</v>
      </c>
      <c r="M440" s="27"/>
      <c r="T440" s="27" t="s">
        <v>25</v>
      </c>
      <c r="U440" s="27"/>
    </row>
    <row r="441" spans="1:24" ht="16.5">
      <c r="A441" s="26"/>
      <c r="B441" s="26"/>
      <c r="C441" s="26"/>
      <c r="D441" s="26"/>
      <c r="E441" s="605" t="s">
        <v>3013</v>
      </c>
      <c r="F441" s="605"/>
      <c r="G441" s="605"/>
      <c r="H441" s="26"/>
    </row>
    <row r="442" spans="1:24" ht="18">
      <c r="A442" s="26"/>
      <c r="B442" s="26"/>
      <c r="C442" s="26"/>
      <c r="D442" s="805"/>
      <c r="E442" s="805"/>
      <c r="F442" s="805"/>
      <c r="G442" s="805"/>
      <c r="H442" s="29"/>
    </row>
    <row r="443" spans="1:24" ht="16.5">
      <c r="B443" s="26"/>
      <c r="C443" s="396" t="s">
        <v>2567</v>
      </c>
      <c r="D443" s="581"/>
      <c r="E443" s="582"/>
      <c r="F443" s="582"/>
      <c r="G443" s="582"/>
      <c r="H443" s="396"/>
      <c r="I443" s="396"/>
      <c r="J443" s="396"/>
      <c r="K443" s="26"/>
      <c r="L443" s="26"/>
      <c r="M443" s="26"/>
      <c r="N443" s="26"/>
      <c r="O443" s="26"/>
      <c r="Q443" s="26"/>
      <c r="R443" s="26"/>
      <c r="S443" s="26"/>
      <c r="T443" s="26"/>
      <c r="U443" s="26"/>
      <c r="V443" s="26"/>
      <c r="W443" s="26"/>
    </row>
    <row r="444" spans="1:24" ht="18">
      <c r="A444" s="617"/>
      <c r="B444" s="617"/>
      <c r="C444" s="617"/>
      <c r="D444" s="617"/>
      <c r="E444" s="617"/>
      <c r="F444" s="617"/>
      <c r="G444" s="617"/>
      <c r="H444" s="617"/>
      <c r="I444" s="26"/>
      <c r="J444" s="26"/>
      <c r="K444" s="26"/>
      <c r="L444" s="26"/>
      <c r="M444" s="26"/>
      <c r="N444" s="735"/>
      <c r="O444" s="735"/>
      <c r="P444" s="735"/>
      <c r="Q444" s="26"/>
      <c r="R444" s="26"/>
      <c r="S444" s="26"/>
      <c r="T444" s="26"/>
      <c r="U444" s="26"/>
      <c r="V444" s="735"/>
      <c r="W444" s="735"/>
      <c r="X444" s="735"/>
    </row>
    <row r="445" spans="1:24" ht="45.75">
      <c r="A445" s="12"/>
      <c r="B445" s="12"/>
      <c r="C445" s="688" t="s">
        <v>1</v>
      </c>
      <c r="D445" s="688"/>
      <c r="E445" s="688"/>
      <c r="F445" s="688"/>
      <c r="G445" s="12"/>
      <c r="H445" s="12"/>
      <c r="K445" s="785" t="s">
        <v>1</v>
      </c>
      <c r="L445" s="785"/>
      <c r="M445" s="785"/>
      <c r="N445" s="785"/>
      <c r="S445" s="785" t="s">
        <v>1</v>
      </c>
      <c r="T445" s="785"/>
      <c r="U445" s="785"/>
      <c r="V445" s="785"/>
    </row>
    <row r="446" spans="1:24" ht="16.5">
      <c r="A446" s="12"/>
      <c r="B446" s="12"/>
      <c r="C446" s="12"/>
      <c r="D446" s="12"/>
      <c r="E446" s="12"/>
      <c r="F446" s="12"/>
      <c r="G446" s="12"/>
      <c r="H446" s="12"/>
    </row>
    <row r="447" spans="1:24" ht="17.25" thickBot="1">
      <c r="A447" s="30"/>
      <c r="B447" s="12"/>
      <c r="C447" s="12"/>
      <c r="D447" s="12"/>
      <c r="E447" s="12"/>
      <c r="F447" s="12"/>
      <c r="G447" s="141"/>
      <c r="H447" s="12"/>
    </row>
    <row r="448" spans="1:24" ht="16.5">
      <c r="A448" s="30" t="s">
        <v>2969</v>
      </c>
      <c r="B448" s="30"/>
      <c r="C448" s="12"/>
      <c r="D448" s="12"/>
      <c r="E448" s="12"/>
      <c r="F448" s="143"/>
      <c r="G448" s="12"/>
      <c r="H448" s="144"/>
      <c r="I448" s="1" t="s">
        <v>84</v>
      </c>
      <c r="Q448" s="1" t="s">
        <v>86</v>
      </c>
    </row>
    <row r="449" spans="1:24" ht="17.25" thickBot="1">
      <c r="A449" s="12"/>
      <c r="B449" s="12"/>
      <c r="C449" s="12"/>
      <c r="D449" s="12"/>
      <c r="E449" s="12"/>
      <c r="F449" s="619" t="s">
        <v>2970</v>
      </c>
      <c r="G449" s="728"/>
      <c r="H449" s="621"/>
      <c r="I449" s="1"/>
      <c r="O449" s="10"/>
      <c r="Q449" s="1"/>
      <c r="W449" s="10"/>
    </row>
    <row r="450" spans="1:24" ht="16.5">
      <c r="A450" s="12"/>
      <c r="B450" s="186" t="s">
        <v>114</v>
      </c>
      <c r="C450" s="12"/>
      <c r="D450" s="30"/>
      <c r="E450" s="30" t="s">
        <v>2</v>
      </c>
      <c r="F450" s="729" t="s">
        <v>2971</v>
      </c>
      <c r="G450" s="729"/>
      <c r="H450" s="730"/>
      <c r="J450" s="2"/>
      <c r="N450" s="3"/>
      <c r="P450" s="5"/>
      <c r="R450" s="2"/>
      <c r="V450" s="3"/>
      <c r="X450" s="5"/>
    </row>
    <row r="451" spans="1:24" ht="16.5">
      <c r="A451" s="12"/>
      <c r="B451" s="12"/>
      <c r="C451" s="12"/>
      <c r="D451" s="12"/>
      <c r="E451" s="12"/>
      <c r="F451" s="766" t="s">
        <v>163</v>
      </c>
      <c r="G451" s="775"/>
      <c r="H451" s="768"/>
      <c r="N451" s="786" t="s">
        <v>28</v>
      </c>
      <c r="O451" s="787"/>
      <c r="P451" s="788"/>
      <c r="V451" s="6"/>
      <c r="W451" s="40" t="s">
        <v>40</v>
      </c>
      <c r="X451" s="7"/>
    </row>
    <row r="452" spans="1:24" ht="17.25" thickBot="1">
      <c r="A452" s="30"/>
      <c r="B452" s="30"/>
      <c r="C452" s="12"/>
      <c r="D452" s="12"/>
      <c r="E452" s="12"/>
      <c r="F452" s="140"/>
      <c r="G452" s="141"/>
      <c r="H452" s="142"/>
      <c r="L452" s="27" t="s">
        <v>2</v>
      </c>
      <c r="P452" s="7"/>
      <c r="T452" s="27" t="s">
        <v>2</v>
      </c>
      <c r="X452" s="7"/>
    </row>
    <row r="453" spans="1:24" ht="16.5">
      <c r="A453" s="12"/>
      <c r="B453" s="12"/>
      <c r="C453" s="12"/>
      <c r="D453" s="12"/>
      <c r="E453" s="12"/>
      <c r="F453" s="12"/>
      <c r="G453" s="12"/>
      <c r="H453" s="12"/>
      <c r="I453" s="8" t="s">
        <v>30</v>
      </c>
      <c r="N453" s="6"/>
      <c r="O453" s="31" t="s">
        <v>36</v>
      </c>
      <c r="P453" s="7"/>
      <c r="Q453" s="8" t="s">
        <v>30</v>
      </c>
      <c r="V453" s="6"/>
      <c r="W453" s="31" t="s">
        <v>36</v>
      </c>
      <c r="X453" s="7"/>
    </row>
    <row r="454" spans="1:24" ht="17.25" thickBot="1">
      <c r="A454" s="30"/>
      <c r="B454" s="30" t="s">
        <v>27</v>
      </c>
      <c r="C454" s="394" t="s">
        <v>2935</v>
      </c>
      <c r="D454" s="12"/>
      <c r="E454" s="12"/>
      <c r="F454" s="12"/>
      <c r="G454" s="12"/>
      <c r="H454" s="12"/>
      <c r="N454" s="9"/>
      <c r="O454" s="10"/>
      <c r="P454" s="11"/>
      <c r="V454" s="9"/>
      <c r="W454" s="10"/>
      <c r="X454" s="11"/>
    </row>
    <row r="455" spans="1:24" ht="16.5">
      <c r="A455" s="30"/>
      <c r="B455" s="30"/>
      <c r="C455" s="30"/>
      <c r="D455" s="12"/>
      <c r="E455" s="12"/>
      <c r="F455" s="12"/>
      <c r="G455" s="12"/>
      <c r="H455" s="12"/>
      <c r="I455" s="12"/>
      <c r="J455" s="12"/>
      <c r="Q455" s="12"/>
      <c r="R455" s="12"/>
    </row>
    <row r="456" spans="1:24" ht="17.25" thickBot="1">
      <c r="A456" s="12"/>
      <c r="B456" s="12"/>
      <c r="C456" s="12"/>
      <c r="D456" s="12"/>
      <c r="E456" s="12"/>
      <c r="F456" s="12"/>
      <c r="G456" s="12"/>
      <c r="H456" s="12"/>
      <c r="I456" s="30" t="s">
        <v>27</v>
      </c>
      <c r="J456" s="12" t="s">
        <v>35</v>
      </c>
      <c r="Q456" s="30" t="s">
        <v>27</v>
      </c>
      <c r="R456" s="12" t="s">
        <v>35</v>
      </c>
    </row>
    <row r="457" spans="1:24" ht="17.25" thickBot="1">
      <c r="A457" s="13" t="s">
        <v>3</v>
      </c>
      <c r="B457" s="696" t="s">
        <v>4</v>
      </c>
      <c r="C457" s="697"/>
      <c r="D457" s="697"/>
      <c r="E457" s="697"/>
      <c r="F457" s="697"/>
      <c r="G457" s="698"/>
      <c r="H457" s="20" t="s">
        <v>5</v>
      </c>
    </row>
    <row r="458" spans="1:24" ht="18" customHeight="1" thickBot="1">
      <c r="A458" s="627" t="s">
        <v>2929</v>
      </c>
      <c r="B458" s="143"/>
      <c r="C458" s="159"/>
      <c r="D458" s="159"/>
      <c r="E458" s="159"/>
      <c r="F458" s="159"/>
      <c r="G458" s="144"/>
      <c r="H458" s="291"/>
      <c r="I458" s="13" t="s">
        <v>3</v>
      </c>
      <c r="J458" s="778" t="s">
        <v>4</v>
      </c>
      <c r="K458" s="779"/>
      <c r="L458" s="779"/>
      <c r="M458" s="779"/>
      <c r="N458" s="779"/>
      <c r="O458" s="780"/>
      <c r="P458" s="14" t="s">
        <v>5</v>
      </c>
      <c r="Q458" s="13" t="s">
        <v>3</v>
      </c>
      <c r="R458" s="778" t="s">
        <v>4</v>
      </c>
      <c r="S458" s="779"/>
      <c r="T458" s="779"/>
      <c r="U458" s="779"/>
      <c r="V458" s="779"/>
      <c r="W458" s="780"/>
      <c r="X458" s="14" t="s">
        <v>5</v>
      </c>
    </row>
    <row r="459" spans="1:24" ht="15.75" customHeight="1" thickBot="1">
      <c r="A459" s="628"/>
      <c r="B459" s="630"/>
      <c r="C459" s="773"/>
      <c r="D459" s="773"/>
      <c r="E459" s="773"/>
      <c r="F459" s="773"/>
      <c r="G459" s="632"/>
      <c r="H459" s="291"/>
      <c r="I459" s="700" t="s">
        <v>83</v>
      </c>
      <c r="J459" s="3"/>
      <c r="K459" s="4"/>
      <c r="L459" s="4"/>
      <c r="M459" s="4"/>
      <c r="N459" s="4"/>
      <c r="O459" s="5"/>
      <c r="P459" s="7"/>
      <c r="Q459" s="700" t="s">
        <v>83</v>
      </c>
      <c r="R459" s="3"/>
      <c r="S459" s="4"/>
      <c r="T459" s="4"/>
      <c r="U459" s="4"/>
      <c r="V459" s="4"/>
      <c r="W459" s="5"/>
      <c r="X459" s="7"/>
    </row>
    <row r="460" spans="1:24" ht="17.25" thickBot="1">
      <c r="A460" s="628"/>
      <c r="B460" s="653" t="s">
        <v>1369</v>
      </c>
      <c r="C460" s="803"/>
      <c r="D460" s="803"/>
      <c r="E460" s="803"/>
      <c r="F460" s="803"/>
      <c r="G460" s="649"/>
      <c r="H460" s="291"/>
      <c r="I460" s="701"/>
      <c r="J460" s="598" t="s">
        <v>6</v>
      </c>
      <c r="K460" s="599"/>
      <c r="L460" s="599"/>
      <c r="M460" s="15" t="s">
        <v>7</v>
      </c>
      <c r="N460" s="16"/>
      <c r="O460" s="32"/>
      <c r="P460" s="7"/>
      <c r="Q460" s="701"/>
      <c r="R460" s="598" t="s">
        <v>6</v>
      </c>
      <c r="S460" s="599"/>
      <c r="T460" s="599"/>
      <c r="U460" s="15" t="s">
        <v>7</v>
      </c>
      <c r="V460" s="16"/>
      <c r="W460" s="32"/>
      <c r="X460" s="7"/>
    </row>
    <row r="461" spans="1:24" ht="17.25" thickBot="1">
      <c r="A461" s="628"/>
      <c r="B461" s="676" t="s">
        <v>2972</v>
      </c>
      <c r="C461" s="804"/>
      <c r="D461" s="804"/>
      <c r="E461" s="804"/>
      <c r="F461" s="804"/>
      <c r="G461" s="678"/>
      <c r="H461" s="148">
        <v>340000</v>
      </c>
      <c r="I461" s="701"/>
      <c r="J461" s="17" t="s">
        <v>26</v>
      </c>
      <c r="K461" s="18" t="s">
        <v>8</v>
      </c>
      <c r="L461" s="19" t="s">
        <v>9</v>
      </c>
      <c r="M461" s="18" t="s">
        <v>10</v>
      </c>
      <c r="N461" s="19" t="s">
        <v>8</v>
      </c>
      <c r="O461" s="18" t="s">
        <v>11</v>
      </c>
      <c r="P461" s="7"/>
      <c r="Q461" s="701"/>
      <c r="R461" s="17" t="s">
        <v>26</v>
      </c>
      <c r="S461" s="18" t="s">
        <v>8</v>
      </c>
      <c r="T461" s="19" t="s">
        <v>9</v>
      </c>
      <c r="U461" s="18" t="s">
        <v>10</v>
      </c>
      <c r="V461" s="19" t="s">
        <v>8</v>
      </c>
      <c r="W461" s="18" t="s">
        <v>11</v>
      </c>
      <c r="X461" s="7"/>
    </row>
    <row r="462" spans="1:24" ht="16.5">
      <c r="A462" s="628"/>
      <c r="B462" s="64"/>
      <c r="C462" s="30"/>
      <c r="D462" s="30"/>
      <c r="E462" s="30"/>
      <c r="F462" s="30"/>
      <c r="G462" s="65"/>
      <c r="H462" s="291"/>
      <c r="I462" s="701"/>
      <c r="J462" s="33">
        <v>20</v>
      </c>
      <c r="K462" s="34">
        <v>10000</v>
      </c>
      <c r="L462" s="34">
        <f>J462*K462</f>
        <v>200000</v>
      </c>
      <c r="M462" s="34">
        <f>+J462*2</f>
        <v>40</v>
      </c>
      <c r="N462" s="34">
        <v>2000</v>
      </c>
      <c r="O462" s="35">
        <f>+M462*N462</f>
        <v>80000</v>
      </c>
      <c r="P462" s="39">
        <f>+L462+O462</f>
        <v>280000</v>
      </c>
      <c r="Q462" s="701"/>
      <c r="R462" s="33">
        <v>21</v>
      </c>
      <c r="S462" s="34">
        <v>10000</v>
      </c>
      <c r="T462" s="34">
        <f>R462*S462</f>
        <v>210000</v>
      </c>
      <c r="U462" s="34">
        <f>+R462*2</f>
        <v>42</v>
      </c>
      <c r="V462" s="34">
        <v>2000</v>
      </c>
      <c r="W462" s="35">
        <f>+U462*V462</f>
        <v>84000</v>
      </c>
      <c r="X462" s="39">
        <f>+T462+W462</f>
        <v>294000</v>
      </c>
    </row>
    <row r="463" spans="1:24" ht="15" customHeight="1" thickBot="1">
      <c r="A463" s="629"/>
      <c r="B463" s="140"/>
      <c r="C463" s="141"/>
      <c r="D463" s="141"/>
      <c r="E463" s="141"/>
      <c r="F463" s="141"/>
      <c r="G463" s="142"/>
      <c r="H463" s="291"/>
      <c r="I463" s="701"/>
      <c r="J463" s="6"/>
      <c r="O463" s="7"/>
      <c r="P463" s="7"/>
      <c r="Q463" s="701"/>
      <c r="R463" s="6"/>
      <c r="W463" s="7"/>
      <c r="X463" s="7"/>
    </row>
    <row r="464" spans="1:24" ht="15" customHeight="1" thickBot="1">
      <c r="A464" s="20" t="s">
        <v>12</v>
      </c>
      <c r="B464" s="611" t="s">
        <v>13</v>
      </c>
      <c r="C464" s="612"/>
      <c r="D464" s="62" t="s">
        <v>14</v>
      </c>
      <c r="E464" s="63"/>
      <c r="F464" s="62" t="s">
        <v>15</v>
      </c>
      <c r="G464" s="62" t="s">
        <v>16</v>
      </c>
      <c r="H464" s="20" t="s">
        <v>17</v>
      </c>
      <c r="I464" s="701"/>
      <c r="J464" s="6"/>
      <c r="O464" s="7"/>
      <c r="P464" s="7"/>
      <c r="Q464" s="701"/>
      <c r="R464" s="6"/>
      <c r="W464" s="7"/>
      <c r="X464" s="7"/>
    </row>
    <row r="465" spans="1:24" ht="15.75" customHeight="1" thickBot="1">
      <c r="A465" s="22" t="s">
        <v>18</v>
      </c>
      <c r="B465" s="606">
        <f>+H461</f>
        <v>340000</v>
      </c>
      <c r="C465" s="652"/>
      <c r="D465" s="567">
        <f>0</f>
        <v>0</v>
      </c>
      <c r="E465" s="24"/>
      <c r="F465" s="25">
        <f>0</f>
        <v>0</v>
      </c>
      <c r="G465" s="36">
        <f>+B465</f>
        <v>340000</v>
      </c>
      <c r="H465" s="38">
        <v>340000</v>
      </c>
      <c r="I465" s="701"/>
      <c r="J465" s="9"/>
      <c r="K465" s="10"/>
      <c r="L465" s="10"/>
      <c r="M465" s="10"/>
      <c r="N465" s="10"/>
      <c r="O465" s="11"/>
      <c r="P465" s="7"/>
      <c r="Q465" s="701"/>
      <c r="R465" s="9"/>
      <c r="S465" s="10"/>
      <c r="T465" s="10"/>
      <c r="U465" s="10"/>
      <c r="V465" s="10"/>
      <c r="W465" s="11"/>
      <c r="X465" s="7"/>
    </row>
    <row r="466" spans="1:24" ht="18" thickBot="1">
      <c r="A466" s="22"/>
      <c r="B466" s="606"/>
      <c r="C466" s="652"/>
      <c r="D466" s="567">
        <f>0</f>
        <v>0</v>
      </c>
      <c r="E466" s="24"/>
      <c r="F466" s="25"/>
      <c r="G466" s="36"/>
      <c r="H466" s="38"/>
      <c r="I466" s="20" t="s">
        <v>12</v>
      </c>
      <c r="J466" s="611" t="s">
        <v>13</v>
      </c>
      <c r="K466" s="612"/>
      <c r="L466" s="21" t="s">
        <v>14</v>
      </c>
      <c r="M466" s="20"/>
      <c r="N466" s="21" t="s">
        <v>15</v>
      </c>
      <c r="O466" s="21" t="s">
        <v>16</v>
      </c>
      <c r="P466" s="14" t="s">
        <v>17</v>
      </c>
      <c r="Q466" s="20" t="s">
        <v>12</v>
      </c>
      <c r="R466" s="611" t="s">
        <v>13</v>
      </c>
      <c r="S466" s="612"/>
      <c r="T466" s="21" t="s">
        <v>14</v>
      </c>
      <c r="U466" s="20"/>
      <c r="V466" s="21" t="s">
        <v>15</v>
      </c>
      <c r="W466" s="21" t="s">
        <v>16</v>
      </c>
      <c r="X466" s="14" t="s">
        <v>17</v>
      </c>
    </row>
    <row r="467" spans="1:24" ht="18" thickBot="1">
      <c r="A467" s="12"/>
      <c r="B467" s="12"/>
      <c r="C467" s="12"/>
      <c r="D467" s="12"/>
      <c r="E467" s="12"/>
      <c r="F467" s="12"/>
      <c r="G467" s="12"/>
      <c r="H467" s="12"/>
      <c r="I467" s="22" t="s">
        <v>18</v>
      </c>
      <c r="J467" s="606">
        <f>+L462</f>
        <v>200000</v>
      </c>
      <c r="K467" s="607"/>
      <c r="L467" s="23">
        <f>0</f>
        <v>0</v>
      </c>
      <c r="M467" s="24"/>
      <c r="N467" s="25">
        <f>0</f>
        <v>0</v>
      </c>
      <c r="O467" s="36">
        <f>+O462</f>
        <v>80000</v>
      </c>
      <c r="P467" s="38">
        <f>+P462</f>
        <v>280000</v>
      </c>
      <c r="Q467" s="22" t="s">
        <v>18</v>
      </c>
      <c r="R467" s="606">
        <f>+T462</f>
        <v>210000</v>
      </c>
      <c r="S467" s="607"/>
      <c r="T467" s="23">
        <f>0</f>
        <v>0</v>
      </c>
      <c r="U467" s="24"/>
      <c r="V467" s="25">
        <f>0</f>
        <v>0</v>
      </c>
      <c r="W467" s="36">
        <f>+W462</f>
        <v>84000</v>
      </c>
      <c r="X467" s="38">
        <f>+X462</f>
        <v>294000</v>
      </c>
    </row>
    <row r="468" spans="1:24" ht="16.5">
      <c r="A468" s="395" t="s">
        <v>1268</v>
      </c>
      <c r="B468" s="26"/>
      <c r="C468" s="26"/>
      <c r="D468" s="26"/>
      <c r="E468" s="26"/>
      <c r="F468" s="26"/>
      <c r="G468" s="26"/>
      <c r="H468" s="12"/>
    </row>
    <row r="469" spans="1:24" ht="16.5">
      <c r="A469" s="408" t="s">
        <v>2975</v>
      </c>
      <c r="B469" s="26"/>
      <c r="C469" s="26"/>
      <c r="D469" s="26"/>
      <c r="E469" s="26"/>
      <c r="F469" s="26"/>
      <c r="G469" s="26"/>
      <c r="H469" s="12"/>
      <c r="I469" s="37" t="s">
        <v>85</v>
      </c>
      <c r="J469" s="26"/>
      <c r="K469" s="26"/>
      <c r="L469" s="26"/>
      <c r="M469" s="26"/>
      <c r="N469" s="26"/>
      <c r="O469" s="26"/>
      <c r="Q469" s="37" t="s">
        <v>87</v>
      </c>
      <c r="R469" s="26"/>
      <c r="S469" s="26"/>
      <c r="T469" s="26"/>
      <c r="U469" s="26"/>
      <c r="V469" s="26"/>
      <c r="W469" s="26"/>
    </row>
    <row r="470" spans="1:24" ht="16.5">
      <c r="A470" s="26" t="s">
        <v>19</v>
      </c>
      <c r="B470" s="26"/>
      <c r="C470" s="26"/>
      <c r="D470" s="26"/>
      <c r="E470" s="26"/>
      <c r="F470" s="26"/>
      <c r="G470" s="26"/>
      <c r="H470" s="12"/>
      <c r="I470" s="37"/>
      <c r="J470" s="26"/>
      <c r="K470" s="26"/>
      <c r="L470" s="26"/>
      <c r="M470" s="26"/>
      <c r="N470" s="26"/>
      <c r="O470" s="26"/>
      <c r="Q470" s="37"/>
      <c r="R470" s="26"/>
      <c r="S470" s="26"/>
      <c r="T470" s="26"/>
      <c r="U470" s="26"/>
      <c r="V470" s="26"/>
      <c r="W470" s="26"/>
    </row>
    <row r="471" spans="1:24" ht="16.5">
      <c r="A471" s="26" t="s">
        <v>20</v>
      </c>
      <c r="B471" s="26"/>
      <c r="C471" s="26"/>
      <c r="D471" s="26"/>
      <c r="E471" s="26"/>
      <c r="F471" s="26"/>
      <c r="G471" s="26"/>
      <c r="H471" s="12"/>
      <c r="I471" s="26" t="s">
        <v>19</v>
      </c>
      <c r="J471" s="26"/>
      <c r="K471" s="26"/>
      <c r="L471" s="26"/>
      <c r="M471" s="26"/>
      <c r="N471" s="26"/>
      <c r="O471" s="26"/>
      <c r="Q471" s="26" t="s">
        <v>19</v>
      </c>
      <c r="R471" s="26"/>
      <c r="S471" s="26"/>
      <c r="T471" s="26"/>
      <c r="U471" s="26"/>
      <c r="V471" s="26"/>
      <c r="W471" s="26"/>
    </row>
    <row r="472" spans="1:24" ht="16.5">
      <c r="A472" s="26" t="s">
        <v>21</v>
      </c>
      <c r="B472" s="26"/>
      <c r="C472" s="26"/>
      <c r="D472" s="26"/>
      <c r="E472" s="26"/>
      <c r="F472" s="26"/>
      <c r="G472" s="26"/>
      <c r="H472" s="12"/>
      <c r="I472" s="26" t="s">
        <v>20</v>
      </c>
      <c r="J472" s="26"/>
      <c r="K472" s="26"/>
      <c r="L472" s="26"/>
      <c r="M472" s="26"/>
      <c r="N472" s="26"/>
      <c r="O472" s="26"/>
      <c r="Q472" s="26" t="s">
        <v>20</v>
      </c>
      <c r="R472" s="26"/>
      <c r="S472" s="26"/>
      <c r="T472" s="26"/>
      <c r="U472" s="26"/>
      <c r="V472" s="26"/>
      <c r="W472" s="26"/>
    </row>
    <row r="473" spans="1:24" ht="16.5">
      <c r="A473" s="26" t="s">
        <v>1229</v>
      </c>
      <c r="B473" s="26"/>
      <c r="C473" s="26"/>
      <c r="D473" s="26"/>
      <c r="E473" s="26"/>
      <c r="F473" s="26"/>
      <c r="G473" s="26"/>
      <c r="H473" s="12"/>
      <c r="I473" s="26" t="s">
        <v>21</v>
      </c>
      <c r="J473" s="26"/>
      <c r="K473" s="26"/>
      <c r="L473" s="26"/>
      <c r="M473" s="26"/>
      <c r="N473" s="26"/>
      <c r="O473" s="26"/>
      <c r="Q473" s="26" t="s">
        <v>21</v>
      </c>
      <c r="R473" s="26"/>
      <c r="S473" s="26"/>
      <c r="T473" s="26"/>
      <c r="U473" s="26"/>
      <c r="V473" s="26"/>
      <c r="W473" s="26"/>
    </row>
    <row r="474" spans="1:24" ht="16.5">
      <c r="A474" s="26"/>
      <c r="B474" s="26"/>
      <c r="C474" s="26"/>
      <c r="D474" s="26"/>
      <c r="E474" s="26"/>
      <c r="F474" s="26"/>
      <c r="G474" s="26"/>
      <c r="H474" s="12"/>
      <c r="I474" s="26" t="s">
        <v>22</v>
      </c>
      <c r="J474" s="26"/>
      <c r="K474" s="26"/>
      <c r="L474" s="26"/>
      <c r="M474" s="26"/>
      <c r="N474" s="26"/>
      <c r="O474" s="26"/>
      <c r="Q474" s="26" t="s">
        <v>22</v>
      </c>
      <c r="R474" s="26"/>
      <c r="S474" s="26"/>
      <c r="T474" s="26"/>
      <c r="U474" s="26"/>
      <c r="V474" s="26"/>
      <c r="W474" s="26"/>
    </row>
    <row r="475" spans="1:24" ht="16.5">
      <c r="A475" s="12"/>
      <c r="B475" s="12"/>
      <c r="C475" s="12"/>
      <c r="D475" s="12"/>
      <c r="E475" s="12"/>
      <c r="F475" s="12"/>
      <c r="G475" s="12"/>
      <c r="H475" s="12"/>
    </row>
    <row r="476" spans="1:24" ht="16.5">
      <c r="A476" s="12"/>
      <c r="B476" s="12"/>
      <c r="C476" s="12"/>
      <c r="D476" s="605" t="s">
        <v>24</v>
      </c>
      <c r="E476" s="605"/>
      <c r="F476" s="605"/>
      <c r="G476" s="605"/>
      <c r="H476" s="12"/>
    </row>
    <row r="477" spans="1:24" ht="16.5">
      <c r="A477" s="12"/>
      <c r="B477" s="12"/>
      <c r="C477" s="12"/>
      <c r="D477" s="605" t="s">
        <v>1269</v>
      </c>
      <c r="E477" s="605"/>
      <c r="F477" s="605"/>
      <c r="G477" s="605"/>
      <c r="H477" s="12"/>
    </row>
    <row r="478" spans="1:24" ht="16.5">
      <c r="A478" s="12"/>
      <c r="B478" s="12"/>
      <c r="C478" s="12"/>
      <c r="D478" s="605" t="s">
        <v>2974</v>
      </c>
      <c r="E478" s="605"/>
      <c r="F478" s="605"/>
      <c r="G478" s="605"/>
      <c r="H478" s="12"/>
      <c r="L478" s="27"/>
      <c r="M478" s="27" t="s">
        <v>24</v>
      </c>
      <c r="T478" s="27"/>
      <c r="U478" s="27" t="s">
        <v>24</v>
      </c>
    </row>
    <row r="479" spans="1:24" ht="16.5">
      <c r="A479" s="12"/>
      <c r="B479" s="12"/>
      <c r="C479" s="12"/>
      <c r="D479" s="12"/>
      <c r="E479" s="12"/>
      <c r="F479" s="12"/>
      <c r="G479" s="12"/>
      <c r="H479" s="12"/>
      <c r="L479" s="27" t="s">
        <v>25</v>
      </c>
      <c r="M479" s="27"/>
      <c r="T479" s="27" t="s">
        <v>25</v>
      </c>
      <c r="U479" s="27"/>
    </row>
    <row r="480" spans="1:24" ht="16.5">
      <c r="A480" s="12"/>
      <c r="B480" s="12"/>
      <c r="C480" s="12"/>
      <c r="D480" s="26"/>
      <c r="E480" s="26"/>
      <c r="F480" s="26"/>
      <c r="G480" s="26"/>
      <c r="H480" s="12"/>
    </row>
    <row r="481" spans="1:24" ht="18">
      <c r="A481" s="26"/>
      <c r="B481" s="26"/>
      <c r="C481" s="26"/>
      <c r="D481" s="26"/>
      <c r="E481" s="26"/>
      <c r="F481" s="29"/>
      <c r="G481" s="29"/>
      <c r="H481" s="12"/>
    </row>
    <row r="482" spans="1:24" ht="18">
      <c r="A482" s="26"/>
      <c r="B482" s="26"/>
      <c r="C482" s="26"/>
      <c r="D482" s="616" t="s">
        <v>2926</v>
      </c>
      <c r="E482" s="616"/>
      <c r="F482" s="616"/>
      <c r="G482" s="616"/>
      <c r="H482" s="29"/>
      <c r="I482" s="26"/>
      <c r="J482" s="26"/>
      <c r="K482" s="26"/>
      <c r="L482" s="26"/>
      <c r="M482" s="26"/>
      <c r="N482" s="26"/>
      <c r="O482" s="26"/>
      <c r="Q482" s="26"/>
      <c r="R482" s="26"/>
      <c r="S482" s="26"/>
      <c r="T482" s="26"/>
      <c r="U482" s="26"/>
      <c r="V482" s="26"/>
      <c r="W482" s="26"/>
    </row>
    <row r="483" spans="1:24" ht="18">
      <c r="A483" s="26"/>
      <c r="B483" s="26"/>
      <c r="C483" s="26"/>
      <c r="D483" s="26"/>
      <c r="E483" s="798"/>
      <c r="F483" s="798"/>
      <c r="G483" s="798"/>
      <c r="H483" s="145"/>
      <c r="I483" s="26"/>
      <c r="J483" s="26"/>
      <c r="K483" s="26"/>
      <c r="L483" s="26"/>
      <c r="M483" s="26"/>
      <c r="N483" s="735"/>
      <c r="O483" s="735"/>
      <c r="P483" s="735"/>
      <c r="Q483" s="26"/>
      <c r="R483" s="26"/>
      <c r="S483" s="26"/>
      <c r="T483" s="26"/>
      <c r="U483" s="26"/>
      <c r="V483" s="735"/>
      <c r="W483" s="735"/>
      <c r="X483" s="735"/>
    </row>
    <row r="484" spans="1:24" ht="18" customHeight="1">
      <c r="A484" s="384"/>
      <c r="B484" s="26"/>
      <c r="C484" s="26"/>
      <c r="D484" s="26"/>
      <c r="E484" s="735"/>
      <c r="F484" s="735"/>
      <c r="G484" s="735"/>
      <c r="H484" s="29"/>
      <c r="I484" s="28"/>
      <c r="J484" s="26"/>
      <c r="K484" s="26"/>
      <c r="L484" s="26"/>
      <c r="M484" s="757" t="s">
        <v>23</v>
      </c>
      <c r="N484" s="735"/>
      <c r="O484" s="735"/>
      <c r="P484" s="29"/>
      <c r="Q484" s="28"/>
      <c r="R484" s="26"/>
      <c r="S484" s="26"/>
      <c r="T484" s="26"/>
      <c r="U484" s="757" t="s">
        <v>23</v>
      </c>
      <c r="V484" s="735"/>
      <c r="W484" s="735"/>
      <c r="X484" s="29"/>
    </row>
    <row r="485" spans="1:24" ht="16.5">
      <c r="A485" s="12"/>
      <c r="B485" s="617"/>
      <c r="C485" s="617"/>
      <c r="D485" s="617"/>
      <c r="E485" s="617"/>
      <c r="F485" s="617"/>
      <c r="G485" s="617"/>
      <c r="H485" s="617"/>
    </row>
    <row r="486" spans="1:24" ht="16.5">
      <c r="A486" s="12"/>
      <c r="B486" s="12"/>
      <c r="C486" s="12" t="s">
        <v>2567</v>
      </c>
      <c r="D486" s="12"/>
      <c r="E486" s="12"/>
      <c r="F486" s="12"/>
      <c r="G486" s="12"/>
      <c r="H486" s="12"/>
    </row>
    <row r="487" spans="1:24" ht="16.5">
      <c r="A487" s="12"/>
      <c r="B487" s="12"/>
      <c r="C487" s="12"/>
      <c r="D487" s="12"/>
      <c r="E487" s="12"/>
      <c r="F487" s="12"/>
      <c r="G487" s="12"/>
      <c r="H487" s="12"/>
    </row>
    <row r="488" spans="1:24" ht="45" customHeight="1">
      <c r="A488" s="12"/>
      <c r="B488" s="12"/>
      <c r="C488" s="688" t="s">
        <v>1</v>
      </c>
      <c r="D488" s="688"/>
      <c r="E488" s="688"/>
      <c r="F488" s="688"/>
      <c r="G488" s="12"/>
      <c r="H488" s="12"/>
    </row>
    <row r="489" spans="1:24" ht="16.5">
      <c r="A489" s="12"/>
      <c r="B489" s="12"/>
      <c r="C489" s="12"/>
      <c r="D489" s="12"/>
      <c r="E489" s="12"/>
      <c r="F489" s="12"/>
      <c r="G489" s="12"/>
      <c r="H489" s="12"/>
    </row>
    <row r="490" spans="1:24" ht="17.25" thickBot="1">
      <c r="A490" s="30"/>
      <c r="B490" s="12"/>
      <c r="C490" s="12"/>
      <c r="D490" s="12"/>
      <c r="E490" s="12"/>
      <c r="F490" s="12"/>
      <c r="G490" s="141"/>
      <c r="H490" s="12"/>
    </row>
    <row r="491" spans="1:24" ht="16.5">
      <c r="A491" s="30" t="s">
        <v>2555</v>
      </c>
      <c r="B491" s="30"/>
      <c r="C491" s="12"/>
      <c r="D491" s="12"/>
      <c r="E491" s="12"/>
      <c r="F491" s="143"/>
      <c r="G491" s="12"/>
      <c r="H491" s="144"/>
    </row>
    <row r="492" spans="1:24" ht="16.5">
      <c r="A492" s="12"/>
      <c r="B492" s="12"/>
      <c r="C492" s="12"/>
      <c r="D492" s="12"/>
      <c r="E492" s="12"/>
      <c r="F492" s="619" t="s">
        <v>2482</v>
      </c>
      <c r="G492" s="728"/>
      <c r="H492" s="621"/>
    </row>
    <row r="493" spans="1:24" ht="16.5">
      <c r="A493" s="12"/>
      <c r="B493" s="186" t="s">
        <v>114</v>
      </c>
      <c r="C493" s="12"/>
      <c r="D493" s="30"/>
      <c r="E493" s="30" t="s">
        <v>2</v>
      </c>
      <c r="F493" s="729" t="s">
        <v>2980</v>
      </c>
      <c r="G493" s="729"/>
      <c r="H493" s="730"/>
    </row>
    <row r="494" spans="1:24" ht="16.5">
      <c r="A494" s="12"/>
      <c r="B494" s="12"/>
      <c r="C494" s="12"/>
      <c r="D494" s="12"/>
      <c r="E494" s="12"/>
      <c r="F494" s="766" t="s">
        <v>163</v>
      </c>
      <c r="G494" s="775"/>
      <c r="H494" s="768"/>
    </row>
    <row r="495" spans="1:24" ht="17.25" thickBot="1">
      <c r="A495" s="30"/>
      <c r="B495" s="30"/>
      <c r="C495" s="12"/>
      <c r="D495" s="12"/>
      <c r="E495" s="12"/>
      <c r="F495" s="140"/>
      <c r="G495" s="141"/>
      <c r="H495" s="142"/>
    </row>
    <row r="496" spans="1:24" ht="16.5">
      <c r="A496" s="12"/>
      <c r="B496" s="12"/>
      <c r="C496" s="12"/>
      <c r="D496" s="12"/>
      <c r="E496" s="12"/>
      <c r="F496" s="12"/>
      <c r="G496" s="12"/>
      <c r="H496" s="12"/>
    </row>
    <row r="497" spans="1:8" ht="16.5">
      <c r="A497" s="30"/>
      <c r="B497" s="30" t="s">
        <v>27</v>
      </c>
      <c r="C497" s="394" t="s">
        <v>148</v>
      </c>
      <c r="D497" s="12"/>
      <c r="E497" s="12"/>
      <c r="F497" s="12"/>
      <c r="G497" s="12"/>
      <c r="H497" s="12"/>
    </row>
    <row r="498" spans="1:8" ht="17.25" customHeight="1">
      <c r="A498" s="30"/>
      <c r="B498" s="30" t="s">
        <v>2976</v>
      </c>
      <c r="C498" s="30" t="s">
        <v>2977</v>
      </c>
      <c r="D498" s="12"/>
      <c r="E498" s="12"/>
      <c r="F498" s="12"/>
      <c r="G498" s="12"/>
      <c r="H498" s="12"/>
    </row>
    <row r="499" spans="1:8" ht="15.75" customHeight="1" thickBot="1">
      <c r="A499" s="12"/>
      <c r="B499" s="12"/>
      <c r="C499" s="12"/>
      <c r="D499" s="12"/>
      <c r="E499" s="12"/>
      <c r="F499" s="12"/>
      <c r="G499" s="12"/>
      <c r="H499" s="12"/>
    </row>
    <row r="500" spans="1:8" ht="17.25" thickBot="1">
      <c r="A500" s="13" t="s">
        <v>3</v>
      </c>
      <c r="B500" s="696" t="s">
        <v>4</v>
      </c>
      <c r="C500" s="697"/>
      <c r="D500" s="697"/>
      <c r="E500" s="697"/>
      <c r="F500" s="697"/>
      <c r="G500" s="698"/>
      <c r="H500" s="20" t="s">
        <v>5</v>
      </c>
    </row>
    <row r="501" spans="1:8" ht="16.5">
      <c r="A501" s="627" t="s">
        <v>2978</v>
      </c>
      <c r="B501" s="143"/>
      <c r="C501" s="159"/>
      <c r="D501" s="159"/>
      <c r="E501" s="159"/>
      <c r="F501" s="159"/>
      <c r="G501" s="144"/>
      <c r="H501" s="291"/>
    </row>
    <row r="502" spans="1:8" ht="16.5">
      <c r="A502" s="628"/>
      <c r="B502" s="630"/>
      <c r="C502" s="773"/>
      <c r="D502" s="773"/>
      <c r="E502" s="773"/>
      <c r="F502" s="773"/>
      <c r="G502" s="632"/>
      <c r="H502" s="291"/>
    </row>
    <row r="503" spans="1:8" ht="15" customHeight="1">
      <c r="A503" s="628"/>
      <c r="B503" s="653" t="s">
        <v>1369</v>
      </c>
      <c r="C503" s="803"/>
      <c r="D503" s="803"/>
      <c r="E503" s="803"/>
      <c r="F503" s="803"/>
      <c r="G503" s="649"/>
      <c r="H503" s="291"/>
    </row>
    <row r="504" spans="1:8" ht="15" customHeight="1">
      <c r="A504" s="628"/>
      <c r="B504" s="676" t="s">
        <v>2823</v>
      </c>
      <c r="C504" s="804"/>
      <c r="D504" s="804"/>
      <c r="E504" s="804"/>
      <c r="F504" s="804"/>
      <c r="G504" s="678"/>
      <c r="H504" s="148">
        <v>-1125000</v>
      </c>
    </row>
    <row r="505" spans="1:8" ht="15.75" customHeight="1">
      <c r="A505" s="628"/>
      <c r="B505" s="64"/>
      <c r="C505" s="30"/>
      <c r="D505" s="30"/>
      <c r="E505" s="30"/>
      <c r="F505" s="30"/>
      <c r="G505" s="65"/>
      <c r="H505" s="291"/>
    </row>
    <row r="506" spans="1:8" ht="17.25" thickBot="1">
      <c r="A506" s="629"/>
      <c r="B506" s="140"/>
      <c r="C506" s="141"/>
      <c r="D506" s="141"/>
      <c r="E506" s="141"/>
      <c r="F506" s="141"/>
      <c r="G506" s="142"/>
      <c r="H506" s="291"/>
    </row>
    <row r="507" spans="1:8" ht="17.25" thickBot="1">
      <c r="A507" s="20" t="s">
        <v>12</v>
      </c>
      <c r="B507" s="611" t="s">
        <v>13</v>
      </c>
      <c r="C507" s="612"/>
      <c r="D507" s="62" t="s">
        <v>14</v>
      </c>
      <c r="E507" s="63"/>
      <c r="F507" s="62" t="s">
        <v>15</v>
      </c>
      <c r="G507" s="62" t="s">
        <v>16</v>
      </c>
      <c r="H507" s="20" t="s">
        <v>17</v>
      </c>
    </row>
    <row r="508" spans="1:8" ht="18" thickBot="1">
      <c r="A508" s="22" t="s">
        <v>18</v>
      </c>
      <c r="B508" s="606">
        <f>+H504</f>
        <v>-1125000</v>
      </c>
      <c r="C508" s="652"/>
      <c r="D508" s="567">
        <f>0</f>
        <v>0</v>
      </c>
      <c r="E508" s="24"/>
      <c r="F508" s="25">
        <f>0</f>
        <v>0</v>
      </c>
      <c r="G508" s="36">
        <f>+B508</f>
        <v>-1125000</v>
      </c>
      <c r="H508" s="38">
        <f>H504</f>
        <v>-1125000</v>
      </c>
    </row>
    <row r="509" spans="1:8" ht="18" thickBot="1">
      <c r="A509" s="22"/>
      <c r="B509" s="606"/>
      <c r="C509" s="652"/>
      <c r="D509" s="567">
        <f>0</f>
        <v>0</v>
      </c>
      <c r="E509" s="24"/>
      <c r="F509" s="25"/>
      <c r="G509" s="36"/>
      <c r="H509" s="38"/>
    </row>
    <row r="510" spans="1:8" ht="16.5">
      <c r="A510" s="12"/>
      <c r="B510" s="12"/>
      <c r="C510" s="12"/>
      <c r="D510" s="12"/>
      <c r="E510" s="12"/>
      <c r="F510" s="12"/>
      <c r="G510" s="12"/>
      <c r="H510" s="12"/>
    </row>
    <row r="511" spans="1:8" ht="16.5">
      <c r="A511" s="395" t="s">
        <v>1268</v>
      </c>
      <c r="B511" s="26"/>
      <c r="C511" s="26"/>
      <c r="D511" s="26"/>
      <c r="E511" s="26"/>
      <c r="F511" s="26"/>
      <c r="G511" s="26"/>
      <c r="H511" s="12"/>
    </row>
    <row r="512" spans="1:8" ht="16.5">
      <c r="A512" s="408" t="s">
        <v>2979</v>
      </c>
      <c r="B512" s="26"/>
      <c r="C512" s="26"/>
      <c r="D512" s="26"/>
      <c r="E512" s="26"/>
      <c r="F512" s="26"/>
      <c r="G512" s="26"/>
      <c r="H512" s="12"/>
    </row>
    <row r="513" spans="1:8" ht="16.5">
      <c r="A513" s="26" t="s">
        <v>19</v>
      </c>
      <c r="B513" s="26"/>
      <c r="C513" s="26"/>
      <c r="D513" s="26"/>
      <c r="E513" s="26"/>
      <c r="F513" s="26"/>
      <c r="G513" s="26"/>
      <c r="H513" s="12"/>
    </row>
    <row r="514" spans="1:8" ht="16.5">
      <c r="A514" s="26" t="s">
        <v>20</v>
      </c>
      <c r="B514" s="26"/>
      <c r="C514" s="26"/>
      <c r="D514" s="26"/>
      <c r="E514" s="26"/>
      <c r="F514" s="26"/>
      <c r="G514" s="26"/>
      <c r="H514" s="12"/>
    </row>
    <row r="515" spans="1:8" ht="16.5">
      <c r="A515" s="26" t="s">
        <v>21</v>
      </c>
      <c r="B515" s="26"/>
      <c r="C515" s="26"/>
      <c r="D515" s="26"/>
      <c r="E515" s="26"/>
      <c r="F515" s="26"/>
      <c r="G515" s="26"/>
      <c r="H515" s="12"/>
    </row>
    <row r="516" spans="1:8" ht="16.5">
      <c r="A516" s="26" t="s">
        <v>1229</v>
      </c>
      <c r="B516" s="26"/>
      <c r="C516" s="26"/>
      <c r="D516" s="26"/>
      <c r="E516" s="26"/>
      <c r="F516" s="26"/>
      <c r="G516" s="26"/>
      <c r="H516" s="12"/>
    </row>
    <row r="517" spans="1:8" ht="16.5">
      <c r="A517" s="26"/>
      <c r="B517" s="26"/>
      <c r="C517" s="26"/>
      <c r="D517" s="26"/>
      <c r="E517" s="26"/>
      <c r="F517" s="26"/>
      <c r="G517" s="26"/>
      <c r="H517" s="12"/>
    </row>
    <row r="518" spans="1:8" ht="16.5">
      <c r="A518" s="12"/>
      <c r="B518" s="12"/>
      <c r="C518" s="12"/>
      <c r="D518" s="12"/>
      <c r="E518" s="12"/>
      <c r="F518" s="12"/>
      <c r="G518" s="12"/>
      <c r="H518" s="12"/>
    </row>
    <row r="519" spans="1:8" ht="16.5">
      <c r="A519" s="12"/>
      <c r="B519" s="12"/>
      <c r="C519" s="12"/>
      <c r="D519" s="605" t="s">
        <v>24</v>
      </c>
      <c r="E519" s="605"/>
      <c r="F519" s="605"/>
      <c r="G519" s="605"/>
      <c r="H519" s="12"/>
    </row>
    <row r="520" spans="1:8" ht="16.5">
      <c r="A520" s="12"/>
      <c r="B520" s="12"/>
      <c r="C520" s="12"/>
      <c r="D520" s="605" t="s">
        <v>1269</v>
      </c>
      <c r="E520" s="605"/>
      <c r="F520" s="605"/>
      <c r="G520" s="605"/>
      <c r="H520" s="12"/>
    </row>
    <row r="521" spans="1:8" ht="16.5">
      <c r="A521" s="12"/>
      <c r="B521" s="12"/>
      <c r="C521" s="12"/>
      <c r="D521" s="605" t="s">
        <v>2974</v>
      </c>
      <c r="E521" s="605"/>
      <c r="F521" s="605"/>
      <c r="G521" s="605"/>
      <c r="H521" s="12"/>
    </row>
    <row r="522" spans="1:8" ht="16.5">
      <c r="A522" s="12"/>
      <c r="B522" s="12"/>
      <c r="C522" s="12"/>
      <c r="D522" s="12"/>
      <c r="E522" s="12"/>
      <c r="F522" s="12"/>
      <c r="G522" s="12"/>
      <c r="H522" s="12"/>
    </row>
    <row r="523" spans="1:8" ht="16.5">
      <c r="A523" s="12"/>
      <c r="B523" s="12"/>
      <c r="C523" s="12"/>
      <c r="D523" s="26"/>
      <c r="E523" s="26"/>
      <c r="F523" s="26"/>
      <c r="G523" s="26"/>
      <c r="H523" s="12"/>
    </row>
    <row r="524" spans="1:8" ht="18" customHeight="1">
      <c r="A524" s="26"/>
      <c r="B524" s="26"/>
      <c r="C524" s="26"/>
      <c r="D524" s="26"/>
      <c r="E524" s="26"/>
      <c r="F524" s="29"/>
      <c r="G524" s="29"/>
      <c r="H524" s="12"/>
    </row>
    <row r="525" spans="1:8" ht="18">
      <c r="A525" s="26"/>
      <c r="B525" s="26"/>
      <c r="C525" s="26"/>
      <c r="D525" s="616" t="s">
        <v>2926</v>
      </c>
      <c r="E525" s="616"/>
      <c r="F525" s="616"/>
      <c r="G525" s="616"/>
      <c r="H525" s="29"/>
    </row>
    <row r="526" spans="1:8" ht="18">
      <c r="A526" s="26"/>
      <c r="B526" s="26"/>
      <c r="C526" s="26"/>
      <c r="D526" s="26"/>
      <c r="E526" s="798"/>
      <c r="F526" s="798"/>
      <c r="G526" s="798"/>
      <c r="H526" s="145"/>
    </row>
    <row r="527" spans="1:8" ht="18">
      <c r="A527" s="384"/>
      <c r="B527" s="26"/>
      <c r="C527" s="26"/>
      <c r="D527" s="26"/>
      <c r="E527" s="735"/>
      <c r="F527" s="735"/>
      <c r="G527" s="735"/>
      <c r="H527" s="29"/>
    </row>
    <row r="528" spans="1:8" ht="16.5">
      <c r="A528" s="12"/>
      <c r="B528" s="617"/>
      <c r="C528" s="617"/>
      <c r="D528" s="617"/>
      <c r="E528" s="617"/>
      <c r="F528" s="617"/>
      <c r="G528" s="617"/>
      <c r="H528" s="617"/>
    </row>
    <row r="529" spans="1:8" ht="16.5">
      <c r="A529" s="12"/>
      <c r="B529" s="12"/>
      <c r="C529" s="12"/>
      <c r="D529" s="12"/>
      <c r="E529" s="12"/>
      <c r="F529" s="12"/>
      <c r="G529" s="12"/>
      <c r="H529" s="12"/>
    </row>
    <row r="530" spans="1:8" ht="45.75">
      <c r="A530" s="12"/>
      <c r="B530" s="12"/>
      <c r="C530" s="688" t="s">
        <v>1</v>
      </c>
      <c r="D530" s="688"/>
      <c r="E530" s="688"/>
      <c r="F530" s="688"/>
      <c r="G530" s="12"/>
      <c r="H530" s="12"/>
    </row>
    <row r="531" spans="1:8" ht="16.5">
      <c r="A531" s="12"/>
      <c r="B531" s="12"/>
      <c r="C531" s="12"/>
      <c r="D531" s="12"/>
      <c r="E531" s="12"/>
      <c r="F531" s="12"/>
      <c r="G531" s="12"/>
      <c r="H531" s="12"/>
    </row>
    <row r="532" spans="1:8" ht="16.5">
      <c r="A532" s="12"/>
      <c r="B532" s="12"/>
      <c r="C532" s="12"/>
      <c r="D532" s="12"/>
      <c r="E532" s="12"/>
      <c r="F532" s="12"/>
      <c r="G532" s="12"/>
      <c r="H532" s="12"/>
    </row>
    <row r="533" spans="1:8" ht="16.5">
      <c r="A533" s="30" t="s">
        <v>1134</v>
      </c>
      <c r="B533" s="12"/>
      <c r="C533" s="12"/>
      <c r="D533" s="12"/>
      <c r="E533" s="12"/>
      <c r="F533" s="12"/>
      <c r="G533" s="12"/>
      <c r="H533" s="12"/>
    </row>
    <row r="534" spans="1:8" ht="17.25" thickBot="1">
      <c r="A534" s="30"/>
      <c r="B534" s="12"/>
      <c r="C534" s="12"/>
      <c r="D534" s="12"/>
      <c r="E534" s="12"/>
      <c r="F534" s="12"/>
      <c r="G534" s="141"/>
      <c r="H534" s="12"/>
    </row>
    <row r="535" spans="1:8" ht="16.5">
      <c r="A535" s="12"/>
      <c r="B535" s="30"/>
      <c r="C535" s="12"/>
      <c r="D535" s="12"/>
      <c r="E535" s="12"/>
      <c r="F535" s="143"/>
      <c r="G535" s="12"/>
      <c r="H535" s="144"/>
    </row>
    <row r="536" spans="1:8" ht="16.5">
      <c r="A536" s="12"/>
      <c r="B536" s="12"/>
      <c r="C536" s="12"/>
      <c r="D536" s="12"/>
      <c r="E536" s="12"/>
      <c r="F536" s="647" t="s">
        <v>28</v>
      </c>
      <c r="G536" s="610"/>
      <c r="H536" s="648"/>
    </row>
    <row r="537" spans="1:8" ht="16.5">
      <c r="A537" s="12" t="s">
        <v>114</v>
      </c>
      <c r="B537" s="12"/>
      <c r="C537" s="12"/>
      <c r="D537" s="30" t="s">
        <v>2</v>
      </c>
      <c r="E537" s="12"/>
      <c r="F537" s="12"/>
      <c r="G537" s="12"/>
      <c r="H537" s="65"/>
    </row>
    <row r="538" spans="1:8" ht="16.5">
      <c r="A538" s="12"/>
      <c r="B538" s="12"/>
      <c r="C538" s="12"/>
      <c r="D538" s="12"/>
      <c r="E538" s="12"/>
      <c r="F538" s="601" t="s">
        <v>36</v>
      </c>
      <c r="G538" s="602"/>
      <c r="H538" s="603"/>
    </row>
    <row r="539" spans="1:8" ht="17.25" thickBot="1">
      <c r="A539" s="12"/>
      <c r="B539" s="12"/>
      <c r="C539" s="12"/>
      <c r="D539" s="12"/>
      <c r="E539" s="12"/>
      <c r="F539" s="140"/>
      <c r="G539" s="141"/>
      <c r="H539" s="142"/>
    </row>
    <row r="540" spans="1:8" ht="16.5">
      <c r="A540" s="30" t="s">
        <v>27</v>
      </c>
      <c r="B540" s="12" t="s">
        <v>35</v>
      </c>
      <c r="C540" s="12"/>
      <c r="D540" s="12"/>
      <c r="E540" s="12"/>
      <c r="F540" s="12"/>
      <c r="G540" s="12"/>
      <c r="H540" s="12"/>
    </row>
    <row r="541" spans="1:8" ht="16.5">
      <c r="A541" s="30" t="s">
        <v>155</v>
      </c>
      <c r="B541" s="30" t="s">
        <v>1137</v>
      </c>
      <c r="C541" s="12"/>
      <c r="D541" s="12"/>
      <c r="E541" s="12"/>
      <c r="F541" s="12"/>
      <c r="G541" s="12"/>
      <c r="H541" s="12"/>
    </row>
    <row r="542" spans="1:8" ht="16.5">
      <c r="A542" s="30"/>
      <c r="B542" s="30" t="s">
        <v>1136</v>
      </c>
      <c r="C542" s="12"/>
      <c r="D542" s="12"/>
      <c r="E542" s="12"/>
      <c r="F542" s="12"/>
      <c r="G542" s="12"/>
      <c r="H542" s="12"/>
    </row>
    <row r="543" spans="1:8" ht="17.25" thickBot="1">
      <c r="A543" s="12"/>
      <c r="B543" s="30"/>
      <c r="C543" s="12"/>
      <c r="D543" s="12"/>
      <c r="E543" s="12"/>
      <c r="F543" s="12"/>
      <c r="G543" s="12"/>
      <c r="H543" s="12"/>
    </row>
    <row r="544" spans="1:8" ht="17.25" thickBot="1">
      <c r="A544" s="13" t="s">
        <v>3</v>
      </c>
      <c r="B544" s="696" t="s">
        <v>4</v>
      </c>
      <c r="C544" s="697"/>
      <c r="D544" s="697"/>
      <c r="E544" s="697"/>
      <c r="F544" s="697"/>
      <c r="G544" s="698"/>
      <c r="H544" s="20" t="s">
        <v>5</v>
      </c>
    </row>
    <row r="545" spans="1:8" ht="17.25" thickBot="1">
      <c r="A545" s="692" t="s">
        <v>1135</v>
      </c>
      <c r="B545" s="143"/>
      <c r="C545" s="159"/>
      <c r="D545" s="159"/>
      <c r="E545" s="159"/>
      <c r="F545" s="159"/>
      <c r="G545" s="144"/>
      <c r="H545" s="65"/>
    </row>
    <row r="546" spans="1:8" ht="17.25" thickBot="1">
      <c r="A546" s="693"/>
      <c r="B546" s="598" t="s">
        <v>6</v>
      </c>
      <c r="C546" s="599"/>
      <c r="D546" s="599"/>
      <c r="E546" s="15" t="s">
        <v>7</v>
      </c>
      <c r="F546" s="16"/>
      <c r="G546" s="32"/>
      <c r="H546" s="65"/>
    </row>
    <row r="547" spans="1:8" ht="17.25" thickBot="1">
      <c r="A547" s="693"/>
      <c r="B547" s="17" t="s">
        <v>26</v>
      </c>
      <c r="C547" s="18" t="s">
        <v>8</v>
      </c>
      <c r="D547" s="19" t="s">
        <v>9</v>
      </c>
      <c r="E547" s="18" t="s">
        <v>10</v>
      </c>
      <c r="F547" s="19" t="s">
        <v>8</v>
      </c>
      <c r="G547" s="18" t="s">
        <v>11</v>
      </c>
      <c r="H547" s="65"/>
    </row>
    <row r="548" spans="1:8" ht="16.5">
      <c r="A548" s="693"/>
      <c r="B548" s="160">
        <v>22</v>
      </c>
      <c r="C548" s="154">
        <v>10000</v>
      </c>
      <c r="D548" s="154">
        <f>B548*C548</f>
        <v>220000</v>
      </c>
      <c r="E548" s="154">
        <f>+B548</f>
        <v>22</v>
      </c>
      <c r="F548" s="154">
        <v>3000</v>
      </c>
      <c r="G548" s="161">
        <f>+E548*F548</f>
        <v>66000</v>
      </c>
      <c r="H548" s="39">
        <f>+D548+G548</f>
        <v>286000</v>
      </c>
    </row>
    <row r="549" spans="1:8" ht="16.5">
      <c r="A549" s="693"/>
      <c r="B549" s="64"/>
      <c r="C549" s="12"/>
      <c r="D549" s="12"/>
      <c r="E549" s="12"/>
      <c r="F549" s="12"/>
      <c r="G549" s="65"/>
      <c r="H549" s="65"/>
    </row>
    <row r="550" spans="1:8" ht="16.5">
      <c r="A550" s="693"/>
      <c r="B550" s="64"/>
      <c r="C550" s="12"/>
      <c r="D550" s="12"/>
      <c r="E550" s="12"/>
      <c r="F550" s="12"/>
      <c r="G550" s="65"/>
      <c r="H550" s="65"/>
    </row>
    <row r="551" spans="1:8" ht="17.25" thickBot="1">
      <c r="A551" s="693"/>
      <c r="B551" s="140"/>
      <c r="C551" s="141"/>
      <c r="D551" s="141"/>
      <c r="E551" s="141"/>
      <c r="F551" s="141"/>
      <c r="G551" s="142"/>
      <c r="H551" s="65"/>
    </row>
    <row r="552" spans="1:8" ht="17.25" thickBot="1">
      <c r="A552" s="20" t="s">
        <v>563</v>
      </c>
      <c r="B552" s="611" t="s">
        <v>13</v>
      </c>
      <c r="C552" s="612"/>
      <c r="D552" s="21" t="s">
        <v>14</v>
      </c>
      <c r="E552" s="20"/>
      <c r="F552" s="21" t="s">
        <v>15</v>
      </c>
      <c r="G552" s="21" t="s">
        <v>16</v>
      </c>
      <c r="H552" s="20" t="s">
        <v>17</v>
      </c>
    </row>
    <row r="553" spans="1:8" ht="18" thickBot="1">
      <c r="A553" s="22">
        <v>395</v>
      </c>
      <c r="B553" s="606">
        <f>+D548</f>
        <v>220000</v>
      </c>
      <c r="C553" s="607"/>
      <c r="D553" s="23">
        <f>0</f>
        <v>0</v>
      </c>
      <c r="E553" s="24"/>
      <c r="F553" s="25">
        <f>0</f>
        <v>0</v>
      </c>
      <c r="G553" s="36">
        <f>+G548</f>
        <v>66000</v>
      </c>
      <c r="H553" s="38">
        <f>+H548</f>
        <v>286000</v>
      </c>
    </row>
    <row r="554" spans="1:8" ht="16.5">
      <c r="A554" s="12"/>
      <c r="B554" s="12"/>
      <c r="C554" s="12"/>
      <c r="D554" s="12"/>
      <c r="E554" s="12"/>
      <c r="F554" s="12"/>
      <c r="G554" s="12"/>
      <c r="H554" s="12"/>
    </row>
    <row r="555" spans="1:8" ht="16.5">
      <c r="A555" s="37" t="s">
        <v>1138</v>
      </c>
      <c r="B555" s="26"/>
      <c r="C555" s="26"/>
      <c r="D555" s="26"/>
      <c r="E555" s="26"/>
      <c r="F555" s="26"/>
      <c r="G555" s="26"/>
      <c r="H555" s="12"/>
    </row>
    <row r="556" spans="1:8" ht="16.5">
      <c r="A556" s="26" t="s">
        <v>19</v>
      </c>
      <c r="B556" s="26"/>
      <c r="C556" s="26"/>
      <c r="D556" s="26"/>
      <c r="E556" s="26"/>
      <c r="F556" s="26"/>
      <c r="G556" s="26"/>
      <c r="H556" s="12"/>
    </row>
    <row r="557" spans="1:8" ht="16.5">
      <c r="A557" s="26" t="s">
        <v>965</v>
      </c>
      <c r="B557" s="26"/>
      <c r="C557" s="26"/>
      <c r="D557" s="26"/>
      <c r="E557" s="26"/>
      <c r="F557" s="26"/>
      <c r="G557" s="26"/>
      <c r="H557" s="12"/>
    </row>
    <row r="558" spans="1:8" ht="16.5">
      <c r="A558" s="26" t="s">
        <v>21</v>
      </c>
      <c r="B558" s="26"/>
      <c r="C558" s="26"/>
      <c r="D558" s="26"/>
      <c r="E558" s="26"/>
      <c r="F558" s="26"/>
      <c r="G558" s="26"/>
      <c r="H558" s="12"/>
    </row>
    <row r="559" spans="1:8" ht="16.5">
      <c r="A559" s="26" t="s">
        <v>1229</v>
      </c>
      <c r="B559" s="26"/>
      <c r="C559" s="26"/>
      <c r="D559" s="26"/>
      <c r="E559" s="26"/>
      <c r="F559" s="26"/>
      <c r="G559" s="26"/>
      <c r="H559" s="12"/>
    </row>
    <row r="560" spans="1:8" ht="16.5">
      <c r="A560" s="12"/>
      <c r="B560" s="12"/>
      <c r="C560" s="12"/>
      <c r="D560" s="12"/>
      <c r="E560" s="12"/>
      <c r="F560" s="12"/>
      <c r="G560" s="12"/>
      <c r="H560" s="12"/>
    </row>
    <row r="561" spans="1:8" ht="16.5">
      <c r="A561" s="12"/>
      <c r="B561" s="12"/>
      <c r="C561" s="12"/>
      <c r="D561" s="12"/>
      <c r="E561" s="12"/>
      <c r="F561" s="12"/>
      <c r="G561" s="12"/>
      <c r="H561" s="12"/>
    </row>
    <row r="562" spans="1:8" ht="16.5">
      <c r="A562" s="12"/>
      <c r="B562" s="12"/>
      <c r="C562" s="12"/>
      <c r="D562" s="12"/>
      <c r="E562" s="12"/>
      <c r="F562" s="12"/>
      <c r="G562" s="12"/>
      <c r="H562" s="12"/>
    </row>
    <row r="563" spans="1:8" ht="16.5">
      <c r="A563" s="12"/>
      <c r="B563" s="12"/>
      <c r="C563" s="12"/>
      <c r="D563" s="30"/>
      <c r="E563" s="30" t="s">
        <v>24</v>
      </c>
      <c r="F563" s="30"/>
      <c r="G563" s="30"/>
      <c r="H563" s="12"/>
    </row>
    <row r="564" spans="1:8" ht="16.5">
      <c r="A564" s="12"/>
      <c r="B564" s="12"/>
      <c r="C564" s="12"/>
      <c r="D564" s="30"/>
      <c r="E564" s="30" t="s">
        <v>149</v>
      </c>
      <c r="F564" s="30"/>
      <c r="G564" s="30"/>
      <c r="H564" s="12"/>
    </row>
    <row r="565" spans="1:8" ht="16.5">
      <c r="A565" s="12"/>
      <c r="B565" s="12"/>
      <c r="C565" s="12"/>
      <c r="D565" s="12"/>
      <c r="E565" s="794" t="s">
        <v>150</v>
      </c>
      <c r="F565" s="794"/>
      <c r="G565" s="794"/>
      <c r="H565" s="12"/>
    </row>
    <row r="566" spans="1:8" ht="16.5">
      <c r="A566" s="12"/>
      <c r="B566" s="12"/>
      <c r="C566" s="12"/>
      <c r="D566" s="12"/>
      <c r="E566" s="12"/>
      <c r="F566" s="12"/>
      <c r="G566" s="12"/>
      <c r="H566" s="12"/>
    </row>
    <row r="567" spans="1:8" ht="16.5">
      <c r="A567" s="26"/>
      <c r="B567" s="26"/>
      <c r="C567" s="26"/>
      <c r="D567" s="26"/>
      <c r="E567" s="26"/>
      <c r="F567" s="26"/>
      <c r="G567" s="26"/>
      <c r="H567" s="12"/>
    </row>
    <row r="568" spans="1:8" ht="18">
      <c r="A568" s="26"/>
      <c r="B568" s="26"/>
      <c r="C568" s="26"/>
      <c r="D568" s="26"/>
      <c r="E568" s="26"/>
      <c r="F568" s="735"/>
      <c r="G568" s="735"/>
      <c r="H568" s="735"/>
    </row>
    <row r="569" spans="1:8" ht="18">
      <c r="A569" s="384"/>
      <c r="B569" s="26"/>
      <c r="C569" s="26"/>
      <c r="D569" s="26"/>
      <c r="E569" s="799" t="s">
        <v>154</v>
      </c>
      <c r="F569" s="799"/>
      <c r="G569" s="799"/>
      <c r="H569" s="29"/>
    </row>
    <row r="570" spans="1:8" ht="16.5">
      <c r="A570" s="26"/>
      <c r="B570" s="26"/>
      <c r="C570" s="26"/>
      <c r="D570" s="26"/>
      <c r="E570" s="26"/>
      <c r="F570" s="26"/>
      <c r="G570" s="26"/>
      <c r="H570" s="12"/>
    </row>
    <row r="571" spans="1:8" ht="16.5">
      <c r="A571" s="12"/>
      <c r="B571" s="12"/>
      <c r="C571" s="12"/>
      <c r="D571" s="12"/>
      <c r="E571" s="12"/>
      <c r="F571" s="12"/>
      <c r="G571" s="12"/>
      <c r="H571" s="12"/>
    </row>
    <row r="572" spans="1:8" ht="16.5">
      <c r="A572" s="12"/>
      <c r="B572" s="617" t="s">
        <v>0</v>
      </c>
      <c r="C572" s="617"/>
      <c r="D572" s="617"/>
      <c r="E572" s="617"/>
      <c r="F572" s="617"/>
      <c r="G572" s="617"/>
      <c r="H572" s="617"/>
    </row>
    <row r="573" spans="1:8" ht="16.5">
      <c r="A573" s="12"/>
      <c r="B573" s="12"/>
      <c r="C573" s="12"/>
      <c r="D573" s="12"/>
      <c r="E573" s="12"/>
      <c r="F573" s="12"/>
      <c r="G573" s="12"/>
      <c r="H573" s="12"/>
    </row>
    <row r="574" spans="1:8" ht="16.5">
      <c r="A574" s="12"/>
      <c r="B574" s="12"/>
      <c r="C574" s="12"/>
      <c r="D574" s="12"/>
      <c r="E574" s="12"/>
      <c r="F574" s="12"/>
      <c r="G574" s="12"/>
      <c r="H574" s="12"/>
    </row>
    <row r="575" spans="1:8" ht="45" customHeight="1">
      <c r="A575" s="12"/>
      <c r="B575" s="12"/>
      <c r="C575" s="688" t="s">
        <v>1</v>
      </c>
      <c r="D575" s="688"/>
      <c r="E575" s="688"/>
      <c r="F575" s="688"/>
      <c r="G575" s="12"/>
      <c r="H575" s="12"/>
    </row>
    <row r="576" spans="1:8" ht="16.5">
      <c r="A576" s="12"/>
      <c r="B576" s="12"/>
      <c r="C576" s="12"/>
      <c r="D576" s="12"/>
      <c r="E576" s="12"/>
      <c r="F576" s="12"/>
      <c r="G576" s="12"/>
      <c r="H576" s="12"/>
    </row>
    <row r="577" spans="1:8" ht="16.5">
      <c r="A577" s="12"/>
      <c r="B577" s="12"/>
      <c r="C577" s="12"/>
      <c r="D577" s="12"/>
      <c r="E577" s="12"/>
      <c r="F577" s="12"/>
      <c r="G577" s="12"/>
      <c r="H577" s="12"/>
    </row>
    <row r="578" spans="1:8" ht="16.5">
      <c r="A578" s="30" t="s">
        <v>3017</v>
      </c>
      <c r="B578" s="12"/>
      <c r="C578" s="12"/>
      <c r="D578" s="12"/>
      <c r="E578" s="12"/>
      <c r="F578" s="12"/>
      <c r="G578" s="12"/>
      <c r="H578" s="12"/>
    </row>
    <row r="579" spans="1:8" ht="17.25" thickBot="1">
      <c r="A579" s="30"/>
      <c r="B579" s="12"/>
      <c r="C579" s="12"/>
      <c r="D579" s="12"/>
      <c r="E579" s="12"/>
      <c r="F579" s="12"/>
      <c r="G579" s="141"/>
      <c r="H579" s="12"/>
    </row>
    <row r="580" spans="1:8" ht="16.5">
      <c r="A580" s="12"/>
      <c r="B580" s="30"/>
      <c r="C580" s="12"/>
      <c r="D580" s="12"/>
      <c r="E580" s="12"/>
      <c r="F580" s="143"/>
      <c r="G580" s="12"/>
      <c r="H580" s="144"/>
    </row>
    <row r="581" spans="1:8" ht="16.5">
      <c r="A581" s="12"/>
      <c r="B581" s="12"/>
      <c r="C581" s="12"/>
      <c r="D581" s="12"/>
      <c r="E581" s="12"/>
      <c r="F581" s="647" t="s">
        <v>1079</v>
      </c>
      <c r="G581" s="610"/>
      <c r="H581" s="648"/>
    </row>
    <row r="582" spans="1:8" ht="16.5">
      <c r="A582" s="12" t="s">
        <v>114</v>
      </c>
      <c r="B582" s="12"/>
      <c r="C582" s="12"/>
      <c r="D582" s="30" t="s">
        <v>2</v>
      </c>
      <c r="E582" s="12"/>
      <c r="F582" s="12"/>
      <c r="G582" s="12"/>
      <c r="H582" s="65"/>
    </row>
    <row r="583" spans="1:8" ht="16.5">
      <c r="A583" s="12"/>
      <c r="B583" s="12"/>
      <c r="C583" s="12"/>
      <c r="D583" s="12"/>
      <c r="E583" s="12"/>
      <c r="F583" s="601" t="s">
        <v>36</v>
      </c>
      <c r="G583" s="602"/>
      <c r="H583" s="603"/>
    </row>
    <row r="584" spans="1:8" ht="17.25" thickBot="1">
      <c r="A584" s="12"/>
      <c r="B584" s="12"/>
      <c r="C584" s="12"/>
      <c r="D584" s="12"/>
      <c r="E584" s="12"/>
      <c r="F584" s="140"/>
      <c r="G584" s="141"/>
      <c r="H584" s="142"/>
    </row>
    <row r="585" spans="1:8" ht="16.5">
      <c r="A585" s="30" t="s">
        <v>27</v>
      </c>
      <c r="B585" s="12" t="s">
        <v>35</v>
      </c>
      <c r="C585" s="12"/>
      <c r="D585" s="12"/>
      <c r="E585" s="12"/>
      <c r="F585" s="12"/>
      <c r="G585" s="12"/>
      <c r="H585" s="12"/>
    </row>
    <row r="586" spans="1:8" ht="16.5">
      <c r="A586" s="30" t="s">
        <v>155</v>
      </c>
      <c r="B586" s="30" t="s">
        <v>3015</v>
      </c>
      <c r="C586" s="12"/>
      <c r="D586" s="12"/>
      <c r="E586" s="12"/>
      <c r="F586" s="12"/>
      <c r="G586" s="12"/>
      <c r="H586" s="12"/>
    </row>
    <row r="587" spans="1:8" ht="17.25" thickBot="1">
      <c r="A587" s="12"/>
      <c r="B587" s="30" t="s">
        <v>3019</v>
      </c>
      <c r="C587" s="12"/>
      <c r="D587" s="12"/>
      <c r="E587" s="12"/>
      <c r="F587" s="12"/>
      <c r="G587" s="12"/>
      <c r="H587" s="12"/>
    </row>
    <row r="588" spans="1:8" ht="17.25" customHeight="1" thickBot="1">
      <c r="A588" s="13" t="s">
        <v>3</v>
      </c>
      <c r="B588" s="696" t="s">
        <v>4</v>
      </c>
      <c r="C588" s="697"/>
      <c r="D588" s="697"/>
      <c r="E588" s="697"/>
      <c r="F588" s="697"/>
      <c r="G588" s="698"/>
      <c r="H588" s="20" t="s">
        <v>5</v>
      </c>
    </row>
    <row r="589" spans="1:8" ht="15.75" customHeight="1" thickBot="1">
      <c r="A589" s="692" t="s">
        <v>3016</v>
      </c>
      <c r="B589" s="143"/>
      <c r="C589" s="159"/>
      <c r="D589" s="159"/>
      <c r="E589" s="159"/>
      <c r="F589" s="159"/>
      <c r="G589" s="144"/>
      <c r="H589" s="65"/>
    </row>
    <row r="590" spans="1:8" ht="17.25" thickBot="1">
      <c r="A590" s="693"/>
      <c r="B590" s="598" t="s">
        <v>6</v>
      </c>
      <c r="C590" s="599"/>
      <c r="D590" s="599"/>
      <c r="E590" s="15" t="s">
        <v>7</v>
      </c>
      <c r="F590" s="16"/>
      <c r="G590" s="32"/>
      <c r="H590" s="65"/>
    </row>
    <row r="591" spans="1:8" ht="17.25" thickBot="1">
      <c r="A591" s="693"/>
      <c r="B591" s="17" t="s">
        <v>26</v>
      </c>
      <c r="C591" s="18" t="s">
        <v>8</v>
      </c>
      <c r="D591" s="19" t="s">
        <v>9</v>
      </c>
      <c r="E591" s="18" t="s">
        <v>10</v>
      </c>
      <c r="F591" s="19" t="s">
        <v>8</v>
      </c>
      <c r="G591" s="18" t="s">
        <v>11</v>
      </c>
      <c r="H591" s="65"/>
    </row>
    <row r="592" spans="1:8" ht="16.5">
      <c r="A592" s="693"/>
      <c r="B592" s="160">
        <v>64</v>
      </c>
      <c r="C592" s="154">
        <v>10000</v>
      </c>
      <c r="D592" s="154">
        <f>B592*C592</f>
        <v>640000</v>
      </c>
      <c r="E592" s="154">
        <v>0</v>
      </c>
      <c r="F592" s="154"/>
      <c r="G592" s="161">
        <f>+E592*F592</f>
        <v>0</v>
      </c>
      <c r="H592" s="39">
        <f>+D592+G592</f>
        <v>640000</v>
      </c>
    </row>
    <row r="593" spans="1:8" ht="16.5">
      <c r="A593" s="693"/>
      <c r="B593" s="64"/>
      <c r="C593" s="12"/>
      <c r="D593" s="12"/>
      <c r="E593" s="12"/>
      <c r="F593" s="12"/>
      <c r="G593" s="65"/>
      <c r="H593" s="65"/>
    </row>
    <row r="594" spans="1:8" ht="16.5">
      <c r="A594" s="693"/>
      <c r="B594" s="64"/>
      <c r="C594" s="12"/>
      <c r="D594" s="12"/>
      <c r="E594" s="12"/>
      <c r="F594" s="12"/>
      <c r="G594" s="65"/>
      <c r="H594" s="65"/>
    </row>
    <row r="595" spans="1:8" ht="17.25" thickBot="1">
      <c r="A595" s="693"/>
      <c r="B595" s="140"/>
      <c r="C595" s="141"/>
      <c r="D595" s="141"/>
      <c r="E595" s="141"/>
      <c r="F595" s="141"/>
      <c r="G595" s="142"/>
      <c r="H595" s="65"/>
    </row>
    <row r="596" spans="1:8" ht="17.25" thickBot="1">
      <c r="A596" s="20" t="s">
        <v>563</v>
      </c>
      <c r="B596" s="611" t="s">
        <v>13</v>
      </c>
      <c r="C596" s="612"/>
      <c r="D596" s="21" t="s">
        <v>14</v>
      </c>
      <c r="E596" s="20"/>
      <c r="F596" s="21" t="s">
        <v>15</v>
      </c>
      <c r="G596" s="21" t="s">
        <v>16</v>
      </c>
      <c r="H596" s="20" t="s">
        <v>17</v>
      </c>
    </row>
    <row r="597" spans="1:8" ht="18" thickBot="1">
      <c r="A597" s="22">
        <v>358</v>
      </c>
      <c r="B597" s="606">
        <f>+D592</f>
        <v>640000</v>
      </c>
      <c r="C597" s="607"/>
      <c r="D597" s="23">
        <f>0</f>
        <v>0</v>
      </c>
      <c r="E597" s="24"/>
      <c r="F597" s="25">
        <f>0</f>
        <v>0</v>
      </c>
      <c r="G597" s="36">
        <f>+G592</f>
        <v>0</v>
      </c>
      <c r="H597" s="38">
        <f>+H592</f>
        <v>640000</v>
      </c>
    </row>
    <row r="598" spans="1:8" ht="16.5">
      <c r="A598" s="12"/>
      <c r="B598" s="12"/>
      <c r="C598" s="12"/>
      <c r="D598" s="12"/>
      <c r="E598" s="12"/>
      <c r="F598" s="12"/>
      <c r="G598" s="12"/>
      <c r="H598" s="12"/>
    </row>
    <row r="599" spans="1:8" ht="16.5">
      <c r="A599" s="37" t="s">
        <v>3018</v>
      </c>
      <c r="B599" s="26"/>
      <c r="C599" s="26"/>
      <c r="D599" s="26"/>
      <c r="E599" s="26"/>
      <c r="F599" s="26"/>
      <c r="G599" s="26"/>
      <c r="H599" s="12"/>
    </row>
    <row r="600" spans="1:8" ht="16.5">
      <c r="A600" s="26" t="s">
        <v>19</v>
      </c>
      <c r="B600" s="26"/>
      <c r="C600" s="26"/>
      <c r="D600" s="26"/>
      <c r="E600" s="26"/>
      <c r="F600" s="26"/>
      <c r="G600" s="26"/>
      <c r="H600" s="12"/>
    </row>
    <row r="601" spans="1:8" ht="16.5">
      <c r="A601" s="26" t="s">
        <v>965</v>
      </c>
      <c r="B601" s="26"/>
      <c r="C601" s="26"/>
      <c r="D601" s="26"/>
      <c r="E601" s="26"/>
      <c r="F601" s="26"/>
      <c r="G601" s="26"/>
      <c r="H601" s="12"/>
    </row>
    <row r="602" spans="1:8" ht="16.5">
      <c r="A602" s="26" t="s">
        <v>21</v>
      </c>
      <c r="B602" s="26"/>
      <c r="C602" s="26"/>
      <c r="D602" s="26"/>
      <c r="E602" s="26"/>
      <c r="F602" s="26"/>
      <c r="G602" s="26"/>
      <c r="H602" s="12"/>
    </row>
    <row r="603" spans="1:8" ht="16.5">
      <c r="A603" s="26" t="s">
        <v>1229</v>
      </c>
      <c r="B603" s="26"/>
      <c r="C603" s="26"/>
      <c r="D603" s="26"/>
      <c r="E603" s="26"/>
      <c r="F603" s="26"/>
      <c r="G603" s="26"/>
      <c r="H603" s="12"/>
    </row>
    <row r="604" spans="1:8" ht="16.5">
      <c r="A604" s="12"/>
      <c r="B604" s="12"/>
      <c r="C604" s="12"/>
      <c r="D604" s="12"/>
      <c r="E604" s="12"/>
      <c r="F604" s="12"/>
      <c r="G604" s="12"/>
      <c r="H604" s="12"/>
    </row>
    <row r="605" spans="1:8" ht="16.5">
      <c r="A605" s="12"/>
      <c r="B605" s="12"/>
      <c r="C605" s="12"/>
      <c r="D605" s="12"/>
      <c r="E605" s="12"/>
      <c r="F605" s="12"/>
      <c r="G605" s="12"/>
      <c r="H605" s="12"/>
    </row>
    <row r="606" spans="1:8" ht="16.5">
      <c r="A606" s="12"/>
      <c r="B606" s="12"/>
      <c r="C606" s="12"/>
      <c r="D606" s="12"/>
      <c r="E606" s="12"/>
      <c r="F606" s="12"/>
      <c r="G606" s="12"/>
      <c r="H606" s="12"/>
    </row>
    <row r="607" spans="1:8" ht="16.5">
      <c r="A607" s="12"/>
      <c r="B607" s="12"/>
      <c r="C607" s="12"/>
      <c r="D607" s="12"/>
      <c r="E607" s="12"/>
      <c r="F607" s="12"/>
      <c r="G607" s="12"/>
      <c r="H607" s="12"/>
    </row>
    <row r="608" spans="1:8" ht="16.5">
      <c r="A608" s="12"/>
      <c r="B608" s="12"/>
      <c r="C608" s="12"/>
      <c r="D608" s="30"/>
      <c r="E608" s="30" t="s">
        <v>24</v>
      </c>
      <c r="F608" s="30"/>
      <c r="G608" s="30"/>
      <c r="H608" s="12"/>
    </row>
    <row r="609" spans="1:8" ht="16.5">
      <c r="A609" s="12"/>
      <c r="B609" s="12"/>
      <c r="C609" s="12"/>
      <c r="D609" s="30"/>
      <c r="E609" s="30" t="s">
        <v>149</v>
      </c>
      <c r="F609" s="30"/>
      <c r="G609" s="30"/>
      <c r="H609" s="12"/>
    </row>
    <row r="610" spans="1:8" ht="16.5">
      <c r="A610" s="12"/>
      <c r="B610" s="12"/>
      <c r="C610" s="12"/>
      <c r="D610" s="12"/>
      <c r="E610" s="794" t="s">
        <v>150</v>
      </c>
      <c r="F610" s="794"/>
      <c r="G610" s="794"/>
      <c r="H610" s="12"/>
    </row>
    <row r="611" spans="1:8" ht="16.5">
      <c r="A611" s="12"/>
      <c r="B611" s="12"/>
      <c r="C611" s="12"/>
      <c r="D611" s="12"/>
      <c r="E611" s="12"/>
      <c r="F611" s="12"/>
      <c r="G611" s="12"/>
      <c r="H611" s="12"/>
    </row>
    <row r="612" spans="1:8" ht="16.5">
      <c r="A612" s="26"/>
      <c r="B612" s="26"/>
      <c r="C612" s="26"/>
      <c r="D612" s="26"/>
      <c r="E612" s="26"/>
      <c r="F612" s="26"/>
      <c r="G612" s="26"/>
      <c r="H612" s="12"/>
    </row>
    <row r="613" spans="1:8" ht="18">
      <c r="A613" s="26"/>
      <c r="B613" s="26"/>
      <c r="C613" s="26"/>
      <c r="D613" s="26"/>
      <c r="E613" s="26"/>
      <c r="F613" s="735"/>
      <c r="G613" s="735"/>
      <c r="H613" s="735"/>
    </row>
    <row r="614" spans="1:8" ht="18" customHeight="1">
      <c r="A614" s="384"/>
      <c r="B614" s="26"/>
      <c r="C614" s="26"/>
      <c r="D614" s="26"/>
      <c r="E614" s="799" t="s">
        <v>154</v>
      </c>
      <c r="F614" s="799"/>
      <c r="G614" s="799"/>
      <c r="H614" s="29"/>
    </row>
    <row r="615" spans="1:8" ht="16.5">
      <c r="A615" s="26"/>
      <c r="B615" s="26"/>
      <c r="C615" s="26"/>
      <c r="D615" s="26"/>
      <c r="E615" s="26"/>
      <c r="F615" s="26"/>
      <c r="G615" s="26"/>
    </row>
    <row r="617" spans="1:8">
      <c r="B617" s="789" t="s">
        <v>0</v>
      </c>
      <c r="C617" s="789"/>
      <c r="D617" s="789"/>
      <c r="E617" s="789"/>
      <c r="F617" s="789"/>
      <c r="G617" s="789"/>
      <c r="H617" s="789"/>
    </row>
    <row r="620" spans="1:8" ht="45">
      <c r="C620" s="785" t="s">
        <v>1</v>
      </c>
      <c r="D620" s="785"/>
      <c r="E620" s="785"/>
      <c r="F620" s="785"/>
    </row>
    <row r="623" spans="1:8">
      <c r="A623" s="1" t="s">
        <v>1143</v>
      </c>
    </row>
    <row r="624" spans="1:8" ht="15.75" thickBot="1">
      <c r="A624" s="1"/>
      <c r="G624" s="10"/>
    </row>
    <row r="625" spans="1:8" ht="16.5">
      <c r="B625" s="2"/>
      <c r="F625" s="143"/>
      <c r="G625" s="12"/>
      <c r="H625" s="144"/>
    </row>
    <row r="626" spans="1:8" ht="15.75">
      <c r="F626" s="647" t="s">
        <v>1139</v>
      </c>
      <c r="G626" s="610"/>
      <c r="H626" s="648"/>
    </row>
    <row r="627" spans="1:8" ht="16.5">
      <c r="A627" s="8" t="s">
        <v>114</v>
      </c>
      <c r="D627" s="27" t="s">
        <v>2</v>
      </c>
      <c r="F627" s="12"/>
      <c r="G627" s="12"/>
      <c r="H627" s="65"/>
    </row>
    <row r="628" spans="1:8" ht="16.5">
      <c r="A628" s="8"/>
      <c r="F628" s="601" t="s">
        <v>36</v>
      </c>
      <c r="G628" s="602"/>
      <c r="H628" s="603"/>
    </row>
    <row r="629" spans="1:8" ht="17.25" thickBot="1">
      <c r="F629" s="140"/>
      <c r="G629" s="141"/>
      <c r="H629" s="142"/>
    </row>
    <row r="630" spans="1:8" ht="16.5">
      <c r="A630" s="30" t="s">
        <v>27</v>
      </c>
      <c r="B630" s="12" t="s">
        <v>35</v>
      </c>
    </row>
    <row r="631" spans="1:8" ht="16.5">
      <c r="A631" s="30" t="s">
        <v>155</v>
      </c>
      <c r="B631" s="30" t="s">
        <v>1140</v>
      </c>
    </row>
    <row r="632" spans="1:8" ht="17.25" thickBot="1">
      <c r="B632" s="30"/>
    </row>
    <row r="633" spans="1:8" ht="17.25" thickBot="1">
      <c r="A633" s="13" t="s">
        <v>3</v>
      </c>
      <c r="B633" s="778" t="s">
        <v>4</v>
      </c>
      <c r="C633" s="779"/>
      <c r="D633" s="779"/>
      <c r="E633" s="779"/>
      <c r="F633" s="779"/>
      <c r="G633" s="780"/>
      <c r="H633" s="14" t="s">
        <v>5</v>
      </c>
    </row>
    <row r="634" spans="1:8" ht="15.75" thickBot="1">
      <c r="A634" s="692" t="s">
        <v>1141</v>
      </c>
      <c r="B634" s="3"/>
      <c r="C634" s="4"/>
      <c r="D634" s="4"/>
      <c r="E634" s="4"/>
      <c r="F634" s="4"/>
      <c r="G634" s="5"/>
      <c r="H634" s="7"/>
    </row>
    <row r="635" spans="1:8" ht="17.25" thickBot="1">
      <c r="A635" s="693"/>
      <c r="B635" s="598" t="s">
        <v>6</v>
      </c>
      <c r="C635" s="599"/>
      <c r="D635" s="599"/>
      <c r="E635" s="15" t="s">
        <v>7</v>
      </c>
      <c r="F635" s="16"/>
      <c r="G635" s="32"/>
      <c r="H635" s="7"/>
    </row>
    <row r="636" spans="1:8" ht="17.25" thickBot="1">
      <c r="A636" s="693"/>
      <c r="B636" s="17" t="s">
        <v>26</v>
      </c>
      <c r="C636" s="18" t="s">
        <v>8</v>
      </c>
      <c r="D636" s="19" t="s">
        <v>9</v>
      </c>
      <c r="E636" s="18" t="s">
        <v>10</v>
      </c>
      <c r="F636" s="19" t="s">
        <v>8</v>
      </c>
      <c r="G636" s="18" t="s">
        <v>11</v>
      </c>
      <c r="H636" s="7"/>
    </row>
    <row r="637" spans="1:8" ht="16.5">
      <c r="A637" s="693"/>
      <c r="B637" s="33">
        <v>4</v>
      </c>
      <c r="C637" s="34">
        <v>10000</v>
      </c>
      <c r="D637" s="34">
        <f>B637*C637</f>
        <v>40000</v>
      </c>
      <c r="E637" s="34">
        <v>2</v>
      </c>
      <c r="F637" s="34">
        <v>3000</v>
      </c>
      <c r="G637" s="35">
        <f>+E637*F637</f>
        <v>6000</v>
      </c>
      <c r="H637" s="39">
        <f>+D637+G637</f>
        <v>46000</v>
      </c>
    </row>
    <row r="638" spans="1:8">
      <c r="A638" s="693"/>
      <c r="B638" s="6"/>
      <c r="G638" s="7"/>
      <c r="H638" s="7"/>
    </row>
    <row r="639" spans="1:8">
      <c r="A639" s="693"/>
      <c r="B639" s="6"/>
      <c r="G639" s="7"/>
      <c r="H639" s="7"/>
    </row>
    <row r="640" spans="1:8" ht="15.75" thickBot="1">
      <c r="A640" s="693"/>
      <c r="B640" s="9"/>
      <c r="C640" s="10"/>
      <c r="D640" s="10"/>
      <c r="E640" s="10"/>
      <c r="F640" s="10"/>
      <c r="G640" s="11"/>
      <c r="H640" s="7"/>
    </row>
    <row r="641" spans="1:8" ht="17.25" thickBot="1">
      <c r="A641" s="20" t="s">
        <v>563</v>
      </c>
      <c r="B641" s="611" t="s">
        <v>13</v>
      </c>
      <c r="C641" s="612"/>
      <c r="D641" s="21" t="s">
        <v>14</v>
      </c>
      <c r="E641" s="20"/>
      <c r="F641" s="21" t="s">
        <v>15</v>
      </c>
      <c r="G641" s="21" t="s">
        <v>16</v>
      </c>
      <c r="H641" s="14" t="s">
        <v>17</v>
      </c>
    </row>
    <row r="642" spans="1:8" ht="18" thickBot="1">
      <c r="A642" s="22">
        <v>7</v>
      </c>
      <c r="B642" s="606">
        <f>+D637</f>
        <v>40000</v>
      </c>
      <c r="C642" s="607"/>
      <c r="D642" s="23">
        <f>0</f>
        <v>0</v>
      </c>
      <c r="E642" s="24"/>
      <c r="F642" s="25">
        <f>0</f>
        <v>0</v>
      </c>
      <c r="G642" s="36">
        <f>+G637</f>
        <v>6000</v>
      </c>
      <c r="H642" s="38">
        <f>+H637</f>
        <v>46000</v>
      </c>
    </row>
    <row r="644" spans="1:8" ht="16.5">
      <c r="A644" s="37" t="s">
        <v>1142</v>
      </c>
      <c r="B644" s="26"/>
      <c r="C644" s="26"/>
      <c r="D644" s="26"/>
      <c r="E644" s="26"/>
      <c r="F644" s="26"/>
      <c r="G644" s="26"/>
    </row>
    <row r="645" spans="1:8" ht="16.5">
      <c r="A645" s="26" t="s">
        <v>19</v>
      </c>
      <c r="B645" s="26"/>
      <c r="C645" s="26"/>
      <c r="D645" s="26"/>
      <c r="E645" s="26"/>
      <c r="F645" s="26"/>
      <c r="G645" s="26"/>
    </row>
    <row r="646" spans="1:8" ht="16.5">
      <c r="A646" s="26" t="s">
        <v>965</v>
      </c>
      <c r="B646" s="26"/>
      <c r="C646" s="26"/>
      <c r="D646" s="26"/>
      <c r="E646" s="26"/>
      <c r="F646" s="26"/>
      <c r="G646" s="26"/>
    </row>
    <row r="647" spans="1:8" ht="16.5">
      <c r="A647" s="26" t="s">
        <v>21</v>
      </c>
      <c r="B647" s="26"/>
      <c r="C647" s="26"/>
      <c r="D647" s="26"/>
      <c r="E647" s="26"/>
      <c r="F647" s="26"/>
      <c r="G647" s="26"/>
    </row>
    <row r="648" spans="1:8" ht="16.5">
      <c r="A648" s="26" t="s">
        <v>22</v>
      </c>
      <c r="B648" s="26"/>
      <c r="C648" s="26"/>
      <c r="D648" s="26"/>
      <c r="E648" s="26"/>
      <c r="F648" s="26"/>
      <c r="G648" s="26"/>
    </row>
    <row r="653" spans="1:8" ht="16.5">
      <c r="D653" s="27"/>
      <c r="E653" s="30" t="s">
        <v>24</v>
      </c>
      <c r="F653" s="30"/>
      <c r="G653" s="30"/>
    </row>
    <row r="654" spans="1:8" ht="16.5">
      <c r="D654" s="27"/>
      <c r="E654" s="30" t="s">
        <v>149</v>
      </c>
      <c r="F654" s="30"/>
      <c r="G654" s="30"/>
    </row>
    <row r="655" spans="1:8" ht="16.5">
      <c r="E655" s="794" t="s">
        <v>150</v>
      </c>
      <c r="F655" s="794"/>
      <c r="G655" s="794"/>
    </row>
    <row r="657" spans="1:8" ht="16.5">
      <c r="A657" s="26"/>
      <c r="B657" s="26"/>
      <c r="C657" s="26"/>
      <c r="D657" s="26"/>
      <c r="E657" s="26"/>
      <c r="F657" s="26"/>
      <c r="G657" s="26"/>
    </row>
    <row r="658" spans="1:8" ht="18">
      <c r="A658" s="26"/>
      <c r="B658" s="26"/>
      <c r="C658" s="26"/>
      <c r="D658" s="26"/>
      <c r="E658" s="26"/>
      <c r="F658" s="735"/>
      <c r="G658" s="735"/>
      <c r="H658" s="735"/>
    </row>
    <row r="659" spans="1:8" ht="18">
      <c r="A659" s="28"/>
      <c r="B659" s="26"/>
      <c r="C659" s="26"/>
      <c r="D659" s="26"/>
      <c r="E659" s="799" t="s">
        <v>154</v>
      </c>
      <c r="F659" s="799"/>
      <c r="G659" s="799"/>
      <c r="H659" s="29"/>
    </row>
    <row r="660" spans="1:8" ht="16.5">
      <c r="A660" s="26"/>
      <c r="B660" s="26"/>
      <c r="C660" s="26"/>
      <c r="D660" s="26"/>
      <c r="E660" s="26"/>
      <c r="F660" s="26"/>
      <c r="G660" s="26"/>
    </row>
    <row r="662" spans="1:8">
      <c r="B662" s="789" t="s">
        <v>0</v>
      </c>
      <c r="C662" s="789"/>
      <c r="D662" s="789"/>
      <c r="E662" s="789"/>
      <c r="F662" s="789"/>
      <c r="G662" s="789"/>
      <c r="H662" s="789"/>
    </row>
    <row r="665" spans="1:8" ht="45">
      <c r="C665" s="785" t="s">
        <v>1</v>
      </c>
      <c r="D665" s="785"/>
      <c r="E665" s="785"/>
      <c r="F665" s="785"/>
    </row>
    <row r="668" spans="1:8">
      <c r="A668" s="1" t="s">
        <v>1144</v>
      </c>
    </row>
    <row r="669" spans="1:8" ht="15.75" thickBot="1">
      <c r="A669" s="1"/>
      <c r="G669" s="10"/>
    </row>
    <row r="670" spans="1:8" ht="16.5">
      <c r="B670" s="2"/>
      <c r="F670" s="143"/>
      <c r="G670" s="12"/>
      <c r="H670" s="144"/>
    </row>
    <row r="671" spans="1:8" ht="15.75">
      <c r="F671" s="647" t="s">
        <v>1139</v>
      </c>
      <c r="G671" s="610"/>
      <c r="H671" s="648"/>
    </row>
    <row r="672" spans="1:8" ht="16.5">
      <c r="A672" s="8" t="s">
        <v>114</v>
      </c>
      <c r="D672" s="27" t="s">
        <v>2</v>
      </c>
      <c r="F672" s="12"/>
      <c r="G672" s="12"/>
      <c r="H672" s="65"/>
    </row>
    <row r="673" spans="1:8" ht="16.5">
      <c r="A673" s="8"/>
      <c r="F673" s="601" t="s">
        <v>36</v>
      </c>
      <c r="G673" s="602"/>
      <c r="H673" s="603"/>
    </row>
    <row r="674" spans="1:8" ht="17.25" thickBot="1">
      <c r="F674" s="140"/>
      <c r="G674" s="141"/>
      <c r="H674" s="142"/>
    </row>
    <row r="675" spans="1:8" ht="16.5">
      <c r="A675" s="30" t="s">
        <v>27</v>
      </c>
      <c r="B675" s="12" t="s">
        <v>35</v>
      </c>
    </row>
    <row r="676" spans="1:8" ht="16.5">
      <c r="A676" s="30"/>
      <c r="B676" s="30" t="s">
        <v>1145</v>
      </c>
    </row>
    <row r="677" spans="1:8" ht="17.25" thickBot="1">
      <c r="B677" s="30"/>
    </row>
    <row r="678" spans="1:8" ht="17.25" thickBot="1">
      <c r="A678" s="13" t="s">
        <v>3</v>
      </c>
      <c r="B678" s="778" t="s">
        <v>4</v>
      </c>
      <c r="C678" s="779"/>
      <c r="D678" s="779"/>
      <c r="E678" s="779"/>
      <c r="F678" s="779"/>
      <c r="G678" s="780"/>
      <c r="H678" s="14" t="s">
        <v>5</v>
      </c>
    </row>
    <row r="679" spans="1:8" ht="15.75" thickBot="1">
      <c r="A679" s="692" t="s">
        <v>1146</v>
      </c>
      <c r="B679" s="3"/>
      <c r="C679" s="4"/>
      <c r="D679" s="4"/>
      <c r="E679" s="4"/>
      <c r="F679" s="4"/>
      <c r="G679" s="5"/>
      <c r="H679" s="7"/>
    </row>
    <row r="680" spans="1:8" ht="17.25" thickBot="1">
      <c r="A680" s="693"/>
      <c r="B680" s="598" t="s">
        <v>6</v>
      </c>
      <c r="C680" s="599"/>
      <c r="D680" s="599"/>
      <c r="E680" s="15" t="s">
        <v>7</v>
      </c>
      <c r="F680" s="16"/>
      <c r="G680" s="32"/>
      <c r="H680" s="7"/>
    </row>
    <row r="681" spans="1:8" ht="17.25" thickBot="1">
      <c r="A681" s="693"/>
      <c r="B681" s="17" t="s">
        <v>26</v>
      </c>
      <c r="C681" s="18" t="s">
        <v>8</v>
      </c>
      <c r="D681" s="19" t="s">
        <v>9</v>
      </c>
      <c r="E681" s="18" t="s">
        <v>10</v>
      </c>
      <c r="F681" s="19" t="s">
        <v>8</v>
      </c>
      <c r="G681" s="18" t="s">
        <v>11</v>
      </c>
      <c r="H681" s="7"/>
    </row>
    <row r="682" spans="1:8" ht="16.5">
      <c r="A682" s="693"/>
      <c r="B682" s="33">
        <v>4</v>
      </c>
      <c r="C682" s="34">
        <v>10000</v>
      </c>
      <c r="D682" s="34">
        <f>B682*C682</f>
        <v>40000</v>
      </c>
      <c r="E682" s="34">
        <f>+B682</f>
        <v>4</v>
      </c>
      <c r="F682" s="34">
        <v>3000</v>
      </c>
      <c r="G682" s="35">
        <f>+E682*F682</f>
        <v>12000</v>
      </c>
      <c r="H682" s="39">
        <f>+D682+G682</f>
        <v>52000</v>
      </c>
    </row>
    <row r="683" spans="1:8">
      <c r="A683" s="693"/>
      <c r="B683" s="6"/>
      <c r="G683" s="7"/>
      <c r="H683" s="7"/>
    </row>
    <row r="684" spans="1:8">
      <c r="A684" s="693"/>
      <c r="B684" s="6"/>
      <c r="G684" s="7"/>
      <c r="H684" s="7"/>
    </row>
    <row r="685" spans="1:8" ht="15.75" thickBot="1">
      <c r="A685" s="693"/>
      <c r="B685" s="9"/>
      <c r="C685" s="10"/>
      <c r="D685" s="10"/>
      <c r="E685" s="10"/>
      <c r="F685" s="10"/>
      <c r="G685" s="11"/>
      <c r="H685" s="7"/>
    </row>
    <row r="686" spans="1:8" ht="17.25" thickBot="1">
      <c r="A686" s="20" t="s">
        <v>563</v>
      </c>
      <c r="B686" s="611" t="s">
        <v>13</v>
      </c>
      <c r="C686" s="612"/>
      <c r="D686" s="21" t="s">
        <v>14</v>
      </c>
      <c r="E686" s="20"/>
      <c r="F686" s="21" t="s">
        <v>15</v>
      </c>
      <c r="G686" s="21" t="s">
        <v>16</v>
      </c>
      <c r="H686" s="14" t="s">
        <v>17</v>
      </c>
    </row>
    <row r="687" spans="1:8" ht="18" thickBot="1">
      <c r="A687" s="22">
        <v>14</v>
      </c>
      <c r="B687" s="606">
        <f>+D682</f>
        <v>40000</v>
      </c>
      <c r="C687" s="607"/>
      <c r="D687" s="23">
        <f>0</f>
        <v>0</v>
      </c>
      <c r="E687" s="24"/>
      <c r="F687" s="20">
        <f>0</f>
        <v>0</v>
      </c>
      <c r="G687" s="36">
        <f>+G682</f>
        <v>12000</v>
      </c>
      <c r="H687" s="38">
        <f>+H682</f>
        <v>52000</v>
      </c>
    </row>
    <row r="689" spans="1:8" ht="16.5">
      <c r="A689" s="37" t="s">
        <v>1147</v>
      </c>
      <c r="B689" s="26"/>
      <c r="C689" s="26"/>
      <c r="D689" s="26"/>
      <c r="E689" s="26"/>
      <c r="F689" s="26"/>
      <c r="G689" s="26"/>
    </row>
    <row r="690" spans="1:8" ht="16.5">
      <c r="A690" s="26" t="s">
        <v>19</v>
      </c>
      <c r="B690" s="26"/>
      <c r="C690" s="26"/>
      <c r="D690" s="26"/>
      <c r="E690" s="26"/>
      <c r="F690" s="26"/>
      <c r="G690" s="26"/>
    </row>
    <row r="691" spans="1:8" ht="16.5">
      <c r="A691" s="26" t="s">
        <v>965</v>
      </c>
      <c r="B691" s="26"/>
      <c r="C691" s="26"/>
      <c r="D691" s="26"/>
      <c r="E691" s="26"/>
      <c r="F691" s="26"/>
      <c r="G691" s="26"/>
    </row>
    <row r="692" spans="1:8" ht="16.5">
      <c r="A692" s="26" t="s">
        <v>21</v>
      </c>
      <c r="B692" s="26"/>
      <c r="C692" s="26"/>
      <c r="D692" s="26"/>
      <c r="E692" s="26"/>
      <c r="F692" s="26"/>
      <c r="G692" s="26"/>
    </row>
    <row r="693" spans="1:8" ht="16.5">
      <c r="A693" s="26" t="s">
        <v>22</v>
      </c>
      <c r="B693" s="26"/>
      <c r="C693" s="26"/>
      <c r="D693" s="26"/>
      <c r="E693" s="26"/>
      <c r="F693" s="26"/>
      <c r="G693" s="26"/>
    </row>
    <row r="698" spans="1:8" ht="16.5">
      <c r="D698" s="27"/>
      <c r="E698" s="30" t="s">
        <v>24</v>
      </c>
      <c r="F698" s="30"/>
      <c r="G698" s="30"/>
    </row>
    <row r="699" spans="1:8" ht="16.5">
      <c r="D699" s="27"/>
      <c r="E699" s="30" t="s">
        <v>149</v>
      </c>
      <c r="F699" s="30"/>
      <c r="G699" s="30"/>
    </row>
    <row r="700" spans="1:8" ht="16.5">
      <c r="E700" s="794" t="s">
        <v>150</v>
      </c>
      <c r="F700" s="794"/>
      <c r="G700" s="794"/>
    </row>
    <row r="702" spans="1:8" ht="16.5">
      <c r="A702" s="26"/>
      <c r="B702" s="26"/>
      <c r="C702" s="26"/>
      <c r="D702" s="26"/>
      <c r="E702" s="26"/>
      <c r="F702" s="26"/>
      <c r="G702" s="26"/>
    </row>
    <row r="703" spans="1:8" ht="18">
      <c r="A703" s="26"/>
      <c r="B703" s="26"/>
      <c r="C703" s="26"/>
      <c r="D703" s="26"/>
      <c r="E703" s="26"/>
      <c r="F703" s="735"/>
      <c r="G703" s="735"/>
      <c r="H703" s="735"/>
    </row>
    <row r="704" spans="1:8" ht="18">
      <c r="A704" s="28"/>
      <c r="B704" s="26"/>
      <c r="C704" s="26"/>
      <c r="D704" s="26"/>
      <c r="E704" s="799" t="s">
        <v>154</v>
      </c>
      <c r="F704" s="799"/>
      <c r="G704" s="799"/>
      <c r="H704" s="29"/>
    </row>
    <row r="705" spans="1:8" ht="16.5">
      <c r="A705" s="26"/>
      <c r="B705" s="26"/>
      <c r="C705" s="26"/>
      <c r="D705" s="26"/>
      <c r="E705" s="26"/>
      <c r="F705" s="26"/>
      <c r="G705" s="26"/>
    </row>
    <row r="707" spans="1:8">
      <c r="B707" s="789" t="s">
        <v>0</v>
      </c>
      <c r="C707" s="789"/>
      <c r="D707" s="789"/>
      <c r="E707" s="789"/>
      <c r="F707" s="789"/>
      <c r="G707" s="789"/>
      <c r="H707" s="789"/>
    </row>
    <row r="710" spans="1:8" ht="45">
      <c r="C710" s="785" t="s">
        <v>1</v>
      </c>
      <c r="D710" s="785"/>
      <c r="E710" s="785"/>
      <c r="F710" s="785"/>
    </row>
    <row r="713" spans="1:8">
      <c r="A713" s="1" t="s">
        <v>1148</v>
      </c>
    </row>
    <row r="714" spans="1:8" ht="15.75" thickBot="1">
      <c r="A714" s="1"/>
      <c r="G714" s="10"/>
    </row>
    <row r="715" spans="1:8" ht="16.5">
      <c r="B715" s="2"/>
      <c r="F715" s="143"/>
      <c r="G715" s="12"/>
      <c r="H715" s="144"/>
    </row>
    <row r="716" spans="1:8" ht="15.75">
      <c r="F716" s="647" t="s">
        <v>1139</v>
      </c>
      <c r="G716" s="610"/>
      <c r="H716" s="648"/>
    </row>
    <row r="717" spans="1:8" ht="16.5">
      <c r="A717" s="8" t="s">
        <v>114</v>
      </c>
      <c r="D717" s="27" t="s">
        <v>2</v>
      </c>
      <c r="F717" s="12"/>
      <c r="G717" s="12"/>
      <c r="H717" s="65"/>
    </row>
    <row r="718" spans="1:8" ht="16.5">
      <c r="A718" s="8"/>
      <c r="F718" s="601" t="s">
        <v>36</v>
      </c>
      <c r="G718" s="602"/>
      <c r="H718" s="603"/>
    </row>
    <row r="719" spans="1:8" ht="17.25" thickBot="1">
      <c r="F719" s="140"/>
      <c r="G719" s="141"/>
      <c r="H719" s="142"/>
    </row>
    <row r="720" spans="1:8" ht="16.5">
      <c r="A720" s="30" t="s">
        <v>27</v>
      </c>
      <c r="B720" s="12" t="s">
        <v>35</v>
      </c>
    </row>
    <row r="721" spans="1:8" ht="16.5">
      <c r="A721" s="30"/>
      <c r="B721" s="30" t="s">
        <v>1149</v>
      </c>
    </row>
    <row r="722" spans="1:8" ht="17.25" thickBot="1">
      <c r="B722" s="30"/>
    </row>
    <row r="723" spans="1:8" ht="17.25" thickBot="1">
      <c r="A723" s="13" t="s">
        <v>3</v>
      </c>
      <c r="B723" s="778" t="s">
        <v>4</v>
      </c>
      <c r="C723" s="779"/>
      <c r="D723" s="779"/>
      <c r="E723" s="779"/>
      <c r="F723" s="779"/>
      <c r="G723" s="780"/>
      <c r="H723" s="14" t="s">
        <v>5</v>
      </c>
    </row>
    <row r="724" spans="1:8" ht="15.75" thickBot="1">
      <c r="A724" s="692" t="s">
        <v>1150</v>
      </c>
      <c r="B724" s="3"/>
      <c r="C724" s="4"/>
      <c r="D724" s="4"/>
      <c r="E724" s="4"/>
      <c r="F724" s="4"/>
      <c r="G724" s="5"/>
      <c r="H724" s="7"/>
    </row>
    <row r="725" spans="1:8" ht="17.25" thickBot="1">
      <c r="A725" s="693"/>
      <c r="B725" s="598" t="s">
        <v>6</v>
      </c>
      <c r="C725" s="599"/>
      <c r="D725" s="599"/>
      <c r="E725" s="15" t="s">
        <v>7</v>
      </c>
      <c r="F725" s="16"/>
      <c r="G725" s="32"/>
      <c r="H725" s="7"/>
    </row>
    <row r="726" spans="1:8" ht="17.25" thickBot="1">
      <c r="A726" s="693"/>
      <c r="B726" s="17" t="s">
        <v>26</v>
      </c>
      <c r="C726" s="18" t="s">
        <v>8</v>
      </c>
      <c r="D726" s="19" t="s">
        <v>9</v>
      </c>
      <c r="E726" s="18" t="s">
        <v>10</v>
      </c>
      <c r="F726" s="19" t="s">
        <v>8</v>
      </c>
      <c r="G726" s="18" t="s">
        <v>11</v>
      </c>
      <c r="H726" s="7"/>
    </row>
    <row r="727" spans="1:8" ht="16.5">
      <c r="A727" s="693"/>
      <c r="B727" s="33">
        <v>6</v>
      </c>
      <c r="C727" s="34">
        <v>10000</v>
      </c>
      <c r="D727" s="34">
        <f>B727*C727</f>
        <v>60000</v>
      </c>
      <c r="E727" s="34">
        <f>+B727</f>
        <v>6</v>
      </c>
      <c r="F727" s="34">
        <v>3000</v>
      </c>
      <c r="G727" s="35">
        <f>+E727*F727</f>
        <v>18000</v>
      </c>
      <c r="H727" s="39">
        <f>+D727+G727</f>
        <v>78000</v>
      </c>
    </row>
    <row r="728" spans="1:8">
      <c r="A728" s="693"/>
      <c r="B728" s="6"/>
      <c r="G728" s="7"/>
      <c r="H728" s="7"/>
    </row>
    <row r="729" spans="1:8">
      <c r="A729" s="693"/>
      <c r="B729" s="6"/>
      <c r="G729" s="7"/>
      <c r="H729" s="7"/>
    </row>
    <row r="730" spans="1:8" ht="15.75" thickBot="1">
      <c r="A730" s="693"/>
      <c r="B730" s="9"/>
      <c r="C730" s="10"/>
      <c r="D730" s="10"/>
      <c r="E730" s="10"/>
      <c r="F730" s="10"/>
      <c r="G730" s="11"/>
      <c r="H730" s="7"/>
    </row>
    <row r="731" spans="1:8" ht="17.25" thickBot="1">
      <c r="A731" s="20" t="s">
        <v>563</v>
      </c>
      <c r="B731" s="611" t="s">
        <v>13</v>
      </c>
      <c r="C731" s="612"/>
      <c r="D731" s="21" t="s">
        <v>14</v>
      </c>
      <c r="E731" s="20"/>
      <c r="F731" s="21" t="s">
        <v>15</v>
      </c>
      <c r="G731" s="21" t="s">
        <v>16</v>
      </c>
      <c r="H731" s="14" t="s">
        <v>17</v>
      </c>
    </row>
    <row r="732" spans="1:8" ht="18" thickBot="1">
      <c r="A732" s="22">
        <v>38</v>
      </c>
      <c r="B732" s="606">
        <f>+D727</f>
        <v>60000</v>
      </c>
      <c r="C732" s="607"/>
      <c r="D732" s="23">
        <f>0</f>
        <v>0</v>
      </c>
      <c r="E732" s="24"/>
      <c r="F732" s="20">
        <f>0</f>
        <v>0</v>
      </c>
      <c r="G732" s="36">
        <f>+G727</f>
        <v>18000</v>
      </c>
      <c r="H732" s="38">
        <f>+H727</f>
        <v>78000</v>
      </c>
    </row>
    <row r="734" spans="1:8" ht="16.5">
      <c r="A734" s="37" t="s">
        <v>1151</v>
      </c>
      <c r="B734" s="26"/>
      <c r="C734" s="26"/>
      <c r="D734" s="26"/>
      <c r="E734" s="26"/>
      <c r="F734" s="26"/>
      <c r="G734" s="26"/>
    </row>
    <row r="735" spans="1:8" ht="16.5">
      <c r="A735" s="26" t="s">
        <v>19</v>
      </c>
      <c r="B735" s="26"/>
      <c r="C735" s="26"/>
      <c r="D735" s="26"/>
      <c r="E735" s="26"/>
      <c r="F735" s="26"/>
      <c r="G735" s="26"/>
    </row>
    <row r="736" spans="1:8" ht="16.5">
      <c r="A736" s="26" t="s">
        <v>965</v>
      </c>
      <c r="B736" s="26"/>
      <c r="C736" s="26"/>
      <c r="D736" s="26"/>
      <c r="E736" s="26"/>
      <c r="F736" s="26"/>
      <c r="G736" s="26"/>
    </row>
    <row r="737" spans="1:8" ht="16.5">
      <c r="A737" s="26" t="s">
        <v>21</v>
      </c>
      <c r="B737" s="26"/>
      <c r="C737" s="26"/>
      <c r="D737" s="26"/>
      <c r="E737" s="26"/>
      <c r="F737" s="26"/>
      <c r="G737" s="26"/>
    </row>
    <row r="738" spans="1:8" ht="16.5">
      <c r="A738" s="26" t="s">
        <v>22</v>
      </c>
      <c r="B738" s="26"/>
      <c r="C738" s="26"/>
      <c r="D738" s="26"/>
      <c r="E738" s="26"/>
      <c r="F738" s="26"/>
      <c r="G738" s="26"/>
    </row>
    <row r="743" spans="1:8" ht="16.5">
      <c r="D743" s="27"/>
      <c r="E743" s="30" t="s">
        <v>24</v>
      </c>
      <c r="F743" s="30"/>
      <c r="G743" s="30"/>
    </row>
    <row r="744" spans="1:8" ht="16.5">
      <c r="D744" s="27"/>
      <c r="E744" s="30" t="s">
        <v>149</v>
      </c>
      <c r="F744" s="30"/>
      <c r="G744" s="30"/>
    </row>
    <row r="745" spans="1:8" ht="16.5">
      <c r="E745" s="794" t="s">
        <v>150</v>
      </c>
      <c r="F745" s="794"/>
      <c r="G745" s="794"/>
    </row>
    <row r="747" spans="1:8" ht="16.5">
      <c r="A747" s="26"/>
      <c r="B747" s="26"/>
      <c r="C747" s="26"/>
      <c r="D747" s="26"/>
      <c r="E747" s="26"/>
      <c r="F747" s="26"/>
      <c r="G747" s="26"/>
    </row>
    <row r="748" spans="1:8" ht="18">
      <c r="A748" s="26"/>
      <c r="B748" s="26"/>
      <c r="C748" s="26"/>
      <c r="D748" s="26"/>
      <c r="E748" s="26"/>
      <c r="F748" s="735"/>
      <c r="G748" s="735"/>
      <c r="H748" s="735"/>
    </row>
    <row r="749" spans="1:8" ht="18">
      <c r="A749" s="28"/>
      <c r="B749" s="26"/>
      <c r="C749" s="26"/>
      <c r="D749" s="26"/>
      <c r="E749" s="799" t="s">
        <v>154</v>
      </c>
      <c r="F749" s="799"/>
      <c r="G749" s="799"/>
      <c r="H749" s="29"/>
    </row>
    <row r="750" spans="1:8" ht="16.5">
      <c r="A750" s="26"/>
      <c r="B750" s="26"/>
      <c r="C750" s="26"/>
      <c r="D750" s="26"/>
      <c r="E750" s="26"/>
      <c r="F750" s="26"/>
      <c r="G750" s="26"/>
    </row>
    <row r="752" spans="1:8">
      <c r="B752" s="789" t="s">
        <v>0</v>
      </c>
      <c r="C752" s="789"/>
      <c r="D752" s="789"/>
      <c r="E752" s="789"/>
      <c r="F752" s="789"/>
      <c r="G752" s="789"/>
      <c r="H752" s="789"/>
    </row>
    <row r="755" spans="1:8" ht="45">
      <c r="C755" s="785" t="s">
        <v>1</v>
      </c>
      <c r="D755" s="785"/>
      <c r="E755" s="785"/>
      <c r="F755" s="785"/>
    </row>
    <row r="758" spans="1:8">
      <c r="A758" s="1" t="s">
        <v>1152</v>
      </c>
    </row>
    <row r="759" spans="1:8" ht="15.75" thickBot="1">
      <c r="A759" s="1"/>
      <c r="G759" s="10"/>
    </row>
    <row r="760" spans="1:8" ht="16.5">
      <c r="B760" s="2"/>
      <c r="F760" s="143"/>
      <c r="G760" s="12"/>
      <c r="H760" s="144"/>
    </row>
    <row r="761" spans="1:8" ht="15.75">
      <c r="F761" s="647" t="s">
        <v>31</v>
      </c>
      <c r="G761" s="610"/>
      <c r="H761" s="648"/>
    </row>
    <row r="762" spans="1:8" ht="16.5">
      <c r="A762" s="8" t="s">
        <v>114</v>
      </c>
      <c r="D762" s="27" t="s">
        <v>2</v>
      </c>
      <c r="F762" s="12"/>
      <c r="G762" s="12"/>
      <c r="H762" s="65"/>
    </row>
    <row r="763" spans="1:8" ht="16.5">
      <c r="A763" s="8"/>
      <c r="F763" s="601" t="s">
        <v>36</v>
      </c>
      <c r="G763" s="602"/>
      <c r="H763" s="603"/>
    </row>
    <row r="764" spans="1:8" ht="17.25" thickBot="1">
      <c r="F764" s="140"/>
      <c r="G764" s="141"/>
      <c r="H764" s="142"/>
    </row>
    <row r="765" spans="1:8" ht="16.5">
      <c r="A765" s="30" t="s">
        <v>27</v>
      </c>
      <c r="B765" s="12" t="s">
        <v>35</v>
      </c>
    </row>
    <row r="766" spans="1:8" ht="16.5">
      <c r="A766" s="30"/>
      <c r="B766" s="30" t="s">
        <v>1153</v>
      </c>
    </row>
    <row r="767" spans="1:8" ht="16.5">
      <c r="A767" s="30"/>
      <c r="B767" s="30" t="s">
        <v>1154</v>
      </c>
    </row>
    <row r="768" spans="1:8" ht="17.25" thickBot="1">
      <c r="B768" s="30"/>
    </row>
    <row r="769" spans="1:8" ht="17.25" thickBot="1">
      <c r="A769" s="13" t="s">
        <v>3</v>
      </c>
      <c r="B769" s="778" t="s">
        <v>4</v>
      </c>
      <c r="C769" s="779"/>
      <c r="D769" s="779"/>
      <c r="E769" s="779"/>
      <c r="F769" s="779"/>
      <c r="G769" s="780"/>
      <c r="H769" s="14" t="s">
        <v>5</v>
      </c>
    </row>
    <row r="770" spans="1:8" ht="15.75" thickBot="1">
      <c r="A770" s="692" t="s">
        <v>1155</v>
      </c>
      <c r="B770" s="3"/>
      <c r="C770" s="4"/>
      <c r="D770" s="4"/>
      <c r="E770" s="4"/>
      <c r="F770" s="4"/>
      <c r="G770" s="5"/>
      <c r="H770" s="7"/>
    </row>
    <row r="771" spans="1:8" ht="17.25" thickBot="1">
      <c r="A771" s="693"/>
      <c r="B771" s="598" t="s">
        <v>6</v>
      </c>
      <c r="C771" s="599"/>
      <c r="D771" s="599"/>
      <c r="E771" s="15" t="s">
        <v>7</v>
      </c>
      <c r="F771" s="16"/>
      <c r="G771" s="32"/>
      <c r="H771" s="7"/>
    </row>
    <row r="772" spans="1:8" ht="17.25" thickBot="1">
      <c r="A772" s="693"/>
      <c r="B772" s="17" t="s">
        <v>26</v>
      </c>
      <c r="C772" s="18" t="s">
        <v>8</v>
      </c>
      <c r="D772" s="19" t="s">
        <v>9</v>
      </c>
      <c r="E772" s="18" t="s">
        <v>10</v>
      </c>
      <c r="F772" s="19" t="s">
        <v>8</v>
      </c>
      <c r="G772" s="18" t="s">
        <v>11</v>
      </c>
      <c r="H772" s="7"/>
    </row>
    <row r="773" spans="1:8" ht="16.5">
      <c r="A773" s="693"/>
      <c r="B773" s="33">
        <v>102</v>
      </c>
      <c r="C773" s="34">
        <v>10000</v>
      </c>
      <c r="D773" s="34">
        <f>B773*C773</f>
        <v>1020000</v>
      </c>
      <c r="E773" s="34">
        <f>+B773</f>
        <v>102</v>
      </c>
      <c r="F773" s="34">
        <v>3000</v>
      </c>
      <c r="G773" s="35">
        <f>+E773*F773</f>
        <v>306000</v>
      </c>
      <c r="H773" s="39">
        <f>+D773+G773</f>
        <v>1326000</v>
      </c>
    </row>
    <row r="774" spans="1:8">
      <c r="A774" s="693"/>
      <c r="B774" s="6"/>
      <c r="G774" s="7"/>
      <c r="H774" s="7"/>
    </row>
    <row r="775" spans="1:8">
      <c r="A775" s="693"/>
      <c r="B775" s="6"/>
      <c r="G775" s="7"/>
      <c r="H775" s="7"/>
    </row>
    <row r="776" spans="1:8" ht="15.75" thickBot="1">
      <c r="A776" s="693"/>
      <c r="B776" s="9"/>
      <c r="C776" s="10"/>
      <c r="D776" s="10"/>
      <c r="E776" s="10"/>
      <c r="F776" s="10"/>
      <c r="G776" s="11"/>
      <c r="H776" s="7"/>
    </row>
    <row r="777" spans="1:8" ht="17.25" thickBot="1">
      <c r="A777" s="20" t="s">
        <v>563</v>
      </c>
      <c r="B777" s="611" t="s">
        <v>13</v>
      </c>
      <c r="C777" s="612"/>
      <c r="D777" s="21" t="s">
        <v>14</v>
      </c>
      <c r="E777" s="20"/>
      <c r="F777" s="21" t="s">
        <v>15</v>
      </c>
      <c r="G777" s="21" t="s">
        <v>16</v>
      </c>
      <c r="H777" s="14" t="s">
        <v>17</v>
      </c>
    </row>
    <row r="778" spans="1:8" ht="18" thickBot="1">
      <c r="A778" s="22">
        <v>110</v>
      </c>
      <c r="B778" s="606">
        <f>+D773</f>
        <v>1020000</v>
      </c>
      <c r="C778" s="607"/>
      <c r="D778" s="23">
        <f>0</f>
        <v>0</v>
      </c>
      <c r="E778" s="24"/>
      <c r="F778" s="20">
        <f>0</f>
        <v>0</v>
      </c>
      <c r="G778" s="36">
        <f>+G773</f>
        <v>306000</v>
      </c>
      <c r="H778" s="38">
        <f>+H773</f>
        <v>1326000</v>
      </c>
    </row>
    <row r="780" spans="1:8" ht="16.5">
      <c r="A780" s="37" t="s">
        <v>1156</v>
      </c>
      <c r="B780" s="26"/>
      <c r="C780" s="26"/>
      <c r="D780" s="26"/>
      <c r="E780" s="26"/>
      <c r="F780" s="26"/>
      <c r="G780" s="26"/>
    </row>
    <row r="781" spans="1:8" ht="16.5">
      <c r="A781" s="26" t="s">
        <v>19</v>
      </c>
      <c r="B781" s="26"/>
      <c r="C781" s="26"/>
      <c r="D781" s="26"/>
      <c r="E781" s="26"/>
      <c r="F781" s="26"/>
      <c r="G781" s="26"/>
    </row>
    <row r="782" spans="1:8" ht="16.5">
      <c r="A782" s="26" t="s">
        <v>965</v>
      </c>
      <c r="B782" s="26"/>
      <c r="C782" s="26"/>
      <c r="D782" s="26"/>
      <c r="E782" s="26"/>
      <c r="F782" s="26"/>
      <c r="G782" s="26"/>
    </row>
    <row r="783" spans="1:8" ht="16.5">
      <c r="A783" s="26" t="s">
        <v>21</v>
      </c>
      <c r="B783" s="26"/>
      <c r="C783" s="26"/>
      <c r="D783" s="26"/>
      <c r="E783" s="26"/>
      <c r="F783" s="26"/>
      <c r="G783" s="26"/>
    </row>
    <row r="784" spans="1:8" ht="16.5">
      <c r="A784" s="26" t="s">
        <v>22</v>
      </c>
      <c r="B784" s="26"/>
      <c r="C784" s="26"/>
      <c r="D784" s="26"/>
      <c r="E784" s="26"/>
      <c r="F784" s="26"/>
      <c r="G784" s="26"/>
    </row>
    <row r="788" spans="1:8" ht="16.5">
      <c r="D788" s="27"/>
      <c r="E788" s="30" t="s">
        <v>24</v>
      </c>
      <c r="F788" s="30"/>
      <c r="G788" s="30"/>
    </row>
    <row r="789" spans="1:8" ht="16.5">
      <c r="D789" s="27"/>
      <c r="E789" s="30" t="s">
        <v>149</v>
      </c>
      <c r="F789" s="30"/>
      <c r="G789" s="30"/>
    </row>
    <row r="790" spans="1:8" ht="16.5">
      <c r="E790" s="794" t="s">
        <v>150</v>
      </c>
      <c r="F790" s="794"/>
      <c r="G790" s="794"/>
    </row>
    <row r="792" spans="1:8" ht="16.5">
      <c r="A792" s="26"/>
      <c r="B792" s="26"/>
      <c r="C792" s="26"/>
      <c r="D792" s="26"/>
      <c r="E792" s="26"/>
      <c r="F792" s="26"/>
      <c r="G792" s="26"/>
    </row>
    <row r="793" spans="1:8" ht="18">
      <c r="A793" s="26"/>
      <c r="B793" s="26"/>
      <c r="C793" s="26"/>
      <c r="D793" s="26"/>
      <c r="E793" s="26"/>
      <c r="F793" s="735"/>
      <c r="G793" s="735"/>
      <c r="H793" s="735"/>
    </row>
    <row r="794" spans="1:8" ht="18" customHeight="1">
      <c r="A794" s="28"/>
      <c r="B794" s="26"/>
      <c r="C794" s="26"/>
      <c r="D794" s="26"/>
      <c r="E794" s="735" t="s">
        <v>625</v>
      </c>
      <c r="F794" s="735"/>
      <c r="G794" s="735"/>
      <c r="H794" s="29"/>
    </row>
    <row r="795" spans="1:8" ht="16.5">
      <c r="A795" s="26"/>
      <c r="B795" s="26"/>
      <c r="C795" s="26"/>
      <c r="D795" s="26"/>
      <c r="E795" s="26"/>
      <c r="F795" s="26"/>
      <c r="G795" s="26"/>
    </row>
    <row r="797" spans="1:8">
      <c r="B797" s="789" t="s">
        <v>0</v>
      </c>
      <c r="C797" s="789"/>
      <c r="D797" s="789"/>
      <c r="E797" s="789"/>
      <c r="F797" s="789"/>
      <c r="G797" s="789"/>
      <c r="H797" s="789"/>
    </row>
    <row r="800" spans="1:8" ht="45">
      <c r="C800" s="785" t="s">
        <v>1</v>
      </c>
      <c r="D800" s="785"/>
      <c r="E800" s="785"/>
      <c r="F800" s="785"/>
    </row>
    <row r="803" spans="1:8">
      <c r="A803" s="1" t="s">
        <v>627</v>
      </c>
    </row>
    <row r="804" spans="1:8" ht="15.75" thickBot="1">
      <c r="A804" s="1"/>
      <c r="G804" s="10"/>
    </row>
    <row r="805" spans="1:8" ht="16.5">
      <c r="B805" s="2"/>
      <c r="F805" s="143"/>
      <c r="G805" s="12"/>
      <c r="H805" s="144"/>
    </row>
    <row r="806" spans="1:8" ht="15.75">
      <c r="F806" s="647" t="s">
        <v>31</v>
      </c>
      <c r="G806" s="610"/>
      <c r="H806" s="648"/>
    </row>
    <row r="807" spans="1:8" ht="16.5">
      <c r="A807" s="8" t="s">
        <v>114</v>
      </c>
      <c r="D807" s="27" t="s">
        <v>2</v>
      </c>
      <c r="F807" s="12"/>
      <c r="G807" s="12"/>
      <c r="H807" s="65"/>
    </row>
    <row r="808" spans="1:8" ht="16.5">
      <c r="A808" s="8"/>
      <c r="F808" s="601" t="s">
        <v>36</v>
      </c>
      <c r="G808" s="602"/>
      <c r="H808" s="603"/>
    </row>
    <row r="809" spans="1:8" ht="17.25" thickBot="1">
      <c r="F809" s="140"/>
      <c r="G809" s="141"/>
      <c r="H809" s="142"/>
    </row>
    <row r="810" spans="1:8" ht="16.5">
      <c r="A810" s="30" t="s">
        <v>27</v>
      </c>
      <c r="B810" s="12" t="s">
        <v>35</v>
      </c>
    </row>
    <row r="811" spans="1:8" ht="16.5">
      <c r="A811" s="30"/>
      <c r="B811" s="30" t="s">
        <v>629</v>
      </c>
    </row>
    <row r="812" spans="1:8" ht="17.25" thickBot="1">
      <c r="B812" s="30" t="s">
        <v>630</v>
      </c>
    </row>
    <row r="813" spans="1:8" ht="17.25" thickBot="1">
      <c r="A813" s="13" t="s">
        <v>3</v>
      </c>
      <c r="B813" s="778" t="s">
        <v>4</v>
      </c>
      <c r="C813" s="779"/>
      <c r="D813" s="779"/>
      <c r="E813" s="779"/>
      <c r="F813" s="779"/>
      <c r="G813" s="780"/>
      <c r="H813" s="14" t="s">
        <v>5</v>
      </c>
    </row>
    <row r="814" spans="1:8" ht="15.75" thickBot="1">
      <c r="A814" s="692" t="s">
        <v>622</v>
      </c>
      <c r="B814" s="3"/>
      <c r="C814" s="4"/>
      <c r="D814" s="4"/>
      <c r="E814" s="4"/>
      <c r="F814" s="4"/>
      <c r="G814" s="5"/>
      <c r="H814" s="7"/>
    </row>
    <row r="815" spans="1:8" ht="17.25" thickBot="1">
      <c r="A815" s="693"/>
      <c r="B815" s="598" t="s">
        <v>6</v>
      </c>
      <c r="C815" s="599"/>
      <c r="D815" s="599"/>
      <c r="E815" s="15" t="s">
        <v>7</v>
      </c>
      <c r="F815" s="16"/>
      <c r="G815" s="32"/>
      <c r="H815" s="7"/>
    </row>
    <row r="816" spans="1:8" ht="17.25" thickBot="1">
      <c r="A816" s="693"/>
      <c r="B816" s="17" t="s">
        <v>26</v>
      </c>
      <c r="C816" s="18" t="s">
        <v>8</v>
      </c>
      <c r="D816" s="19" t="s">
        <v>9</v>
      </c>
      <c r="E816" s="18" t="s">
        <v>10</v>
      </c>
      <c r="F816" s="19" t="s">
        <v>8</v>
      </c>
      <c r="G816" s="18" t="s">
        <v>11</v>
      </c>
      <c r="H816" s="7"/>
    </row>
    <row r="817" spans="1:8" ht="16.5">
      <c r="A817" s="693"/>
      <c r="B817" s="33">
        <v>40</v>
      </c>
      <c r="C817" s="34">
        <v>10000</v>
      </c>
      <c r="D817" s="34">
        <f>B817*C817</f>
        <v>400000</v>
      </c>
      <c r="E817" s="34">
        <f>+B817*2</f>
        <v>80</v>
      </c>
      <c r="F817" s="34">
        <v>2000</v>
      </c>
      <c r="G817" s="35">
        <f>+E817*F817</f>
        <v>160000</v>
      </c>
      <c r="H817" s="39">
        <f>+D817+G817</f>
        <v>560000</v>
      </c>
    </row>
    <row r="818" spans="1:8">
      <c r="A818" s="693"/>
      <c r="B818" s="6"/>
      <c r="G818" s="7"/>
      <c r="H818" s="7"/>
    </row>
    <row r="819" spans="1:8">
      <c r="A819" s="693"/>
      <c r="B819" s="6"/>
      <c r="G819" s="7"/>
      <c r="H819" s="7"/>
    </row>
    <row r="820" spans="1:8" ht="15.75" thickBot="1">
      <c r="A820" s="693"/>
      <c r="B820" s="9"/>
      <c r="C820" s="10"/>
      <c r="D820" s="10"/>
      <c r="E820" s="10"/>
      <c r="F820" s="10"/>
      <c r="G820" s="11"/>
      <c r="H820" s="7"/>
    </row>
    <row r="821" spans="1:8" ht="17.25" thickBot="1">
      <c r="A821" s="20" t="s">
        <v>563</v>
      </c>
      <c r="B821" s="611" t="s">
        <v>13</v>
      </c>
      <c r="C821" s="612"/>
      <c r="D821" s="21" t="s">
        <v>14</v>
      </c>
      <c r="E821" s="20"/>
      <c r="F821" s="21" t="s">
        <v>15</v>
      </c>
      <c r="G821" s="21" t="s">
        <v>16</v>
      </c>
      <c r="H821" s="14" t="s">
        <v>17</v>
      </c>
    </row>
    <row r="822" spans="1:8" ht="18" thickBot="1">
      <c r="A822" s="22">
        <v>714</v>
      </c>
      <c r="B822" s="606">
        <f>+D817</f>
        <v>400000</v>
      </c>
      <c r="C822" s="607"/>
      <c r="D822" s="23">
        <f>0</f>
        <v>0</v>
      </c>
      <c r="E822" s="24"/>
      <c r="F822" s="25">
        <f>0</f>
        <v>0</v>
      </c>
      <c r="G822" s="36">
        <f>+G817</f>
        <v>160000</v>
      </c>
      <c r="H822" s="38">
        <f>+H817</f>
        <v>560000</v>
      </c>
    </row>
    <row r="824" spans="1:8" ht="16.5">
      <c r="A824" s="37" t="s">
        <v>628</v>
      </c>
      <c r="B824" s="26"/>
      <c r="C824" s="26"/>
      <c r="D824" s="26"/>
      <c r="E824" s="26"/>
      <c r="F824" s="26"/>
      <c r="G824" s="26"/>
    </row>
    <row r="825" spans="1:8" ht="16.5">
      <c r="A825" s="26" t="s">
        <v>19</v>
      </c>
      <c r="B825" s="26"/>
      <c r="C825" s="26"/>
      <c r="D825" s="26"/>
      <c r="E825" s="26"/>
      <c r="F825" s="26"/>
      <c r="G825" s="26"/>
    </row>
    <row r="826" spans="1:8" ht="16.5">
      <c r="A826" s="26" t="s">
        <v>965</v>
      </c>
      <c r="B826" s="26"/>
      <c r="C826" s="26"/>
      <c r="D826" s="26"/>
      <c r="E826" s="26"/>
      <c r="F826" s="26"/>
      <c r="G826" s="26"/>
    </row>
    <row r="827" spans="1:8" ht="16.5">
      <c r="A827" s="26" t="s">
        <v>21</v>
      </c>
      <c r="B827" s="26"/>
      <c r="C827" s="26"/>
      <c r="D827" s="26"/>
      <c r="E827" s="26"/>
      <c r="F827" s="26"/>
      <c r="G827" s="26"/>
    </row>
    <row r="828" spans="1:8" ht="16.5">
      <c r="A828" s="26" t="s">
        <v>22</v>
      </c>
      <c r="B828" s="26"/>
      <c r="C828" s="26"/>
      <c r="D828" s="26"/>
      <c r="E828" s="26"/>
      <c r="F828" s="26"/>
      <c r="G828" s="26"/>
    </row>
    <row r="833" spans="1:8" ht="16.5">
      <c r="D833" s="27"/>
      <c r="E833" s="30" t="s">
        <v>24</v>
      </c>
      <c r="F833" s="30"/>
      <c r="G833" s="30"/>
    </row>
    <row r="834" spans="1:8" ht="16.5">
      <c r="D834" s="27"/>
      <c r="E834" s="30" t="s">
        <v>149</v>
      </c>
      <c r="F834" s="30"/>
      <c r="G834" s="30"/>
    </row>
    <row r="835" spans="1:8" ht="16.5">
      <c r="E835" s="794" t="s">
        <v>150</v>
      </c>
      <c r="F835" s="794"/>
      <c r="G835" s="794"/>
    </row>
    <row r="837" spans="1:8" ht="16.5">
      <c r="A837" s="26"/>
      <c r="B837" s="26"/>
      <c r="C837" s="26"/>
      <c r="D837" s="26"/>
      <c r="E837" s="26"/>
      <c r="F837" s="26"/>
      <c r="G837" s="26"/>
    </row>
    <row r="838" spans="1:8" ht="18">
      <c r="A838" s="26"/>
      <c r="B838" s="26"/>
      <c r="C838" s="26"/>
      <c r="D838" s="26"/>
      <c r="E838" s="26"/>
      <c r="F838" s="735"/>
      <c r="G838" s="735"/>
      <c r="H838" s="735"/>
    </row>
    <row r="839" spans="1:8" ht="18">
      <c r="A839" s="28"/>
      <c r="B839" s="26"/>
      <c r="C839" s="26"/>
      <c r="D839" s="26"/>
      <c r="E839" s="799" t="s">
        <v>154</v>
      </c>
      <c r="F839" s="799"/>
      <c r="G839" s="799"/>
      <c r="H839" s="29"/>
    </row>
    <row r="840" spans="1:8" ht="16.5">
      <c r="A840" s="26"/>
      <c r="B840" s="26"/>
      <c r="C840" s="26"/>
      <c r="D840" s="26"/>
      <c r="E840" s="26"/>
      <c r="F840" s="26"/>
      <c r="G840" s="26"/>
    </row>
  </sheetData>
  <mergeCells count="443">
    <mergeCell ref="D525:G525"/>
    <mergeCell ref="E526:G526"/>
    <mergeCell ref="E527:G527"/>
    <mergeCell ref="B528:H528"/>
    <mergeCell ref="B500:G500"/>
    <mergeCell ref="A501:A506"/>
    <mergeCell ref="B502:G502"/>
    <mergeCell ref="B503:G503"/>
    <mergeCell ref="B504:G504"/>
    <mergeCell ref="B508:C508"/>
    <mergeCell ref="B509:C509"/>
    <mergeCell ref="D519:G519"/>
    <mergeCell ref="D520:G520"/>
    <mergeCell ref="D478:G478"/>
    <mergeCell ref="D482:G482"/>
    <mergeCell ref="B401:H401"/>
    <mergeCell ref="B400:H400"/>
    <mergeCell ref="F494:H494"/>
    <mergeCell ref="F449:H449"/>
    <mergeCell ref="F450:H450"/>
    <mergeCell ref="B457:G457"/>
    <mergeCell ref="D521:G521"/>
    <mergeCell ref="A458:A463"/>
    <mergeCell ref="B459:G459"/>
    <mergeCell ref="B460:G460"/>
    <mergeCell ref="B461:G461"/>
    <mergeCell ref="B464:C464"/>
    <mergeCell ref="B465:C465"/>
    <mergeCell ref="D442:G442"/>
    <mergeCell ref="A444:H444"/>
    <mergeCell ref="D399:F399"/>
    <mergeCell ref="B424:C424"/>
    <mergeCell ref="B425:C425"/>
    <mergeCell ref="B426:C426"/>
    <mergeCell ref="E441:G441"/>
    <mergeCell ref="E310:G310"/>
    <mergeCell ref="E84:I84"/>
    <mergeCell ref="E83:I83"/>
    <mergeCell ref="E85:I85"/>
    <mergeCell ref="F409:H409"/>
    <mergeCell ref="F410:H410"/>
    <mergeCell ref="F411:H411"/>
    <mergeCell ref="B417:G417"/>
    <mergeCell ref="A418:A423"/>
    <mergeCell ref="B420:G420"/>
    <mergeCell ref="B421:G421"/>
    <mergeCell ref="I286:I292"/>
    <mergeCell ref="I198:I204"/>
    <mergeCell ref="B269:H269"/>
    <mergeCell ref="I241:I247"/>
    <mergeCell ref="F190:H190"/>
    <mergeCell ref="A183:H183"/>
    <mergeCell ref="A227:H227"/>
    <mergeCell ref="A272:H272"/>
    <mergeCell ref="B136:H136"/>
    <mergeCell ref="A109:A115"/>
    <mergeCell ref="I109:I115"/>
    <mergeCell ref="B110:D110"/>
    <mergeCell ref="B205:C205"/>
    <mergeCell ref="F838:H838"/>
    <mergeCell ref="E839:G839"/>
    <mergeCell ref="C800:F800"/>
    <mergeCell ref="F806:H806"/>
    <mergeCell ref="F808:H808"/>
    <mergeCell ref="B813:G813"/>
    <mergeCell ref="B731:C731"/>
    <mergeCell ref="B732:C732"/>
    <mergeCell ref="E745:G745"/>
    <mergeCell ref="F748:H748"/>
    <mergeCell ref="E749:G749"/>
    <mergeCell ref="B752:H752"/>
    <mergeCell ref="C755:F755"/>
    <mergeCell ref="F761:H761"/>
    <mergeCell ref="F763:H763"/>
    <mergeCell ref="A814:A820"/>
    <mergeCell ref="B815:D815"/>
    <mergeCell ref="B821:C821"/>
    <mergeCell ref="B822:C822"/>
    <mergeCell ref="E835:G835"/>
    <mergeCell ref="B769:G769"/>
    <mergeCell ref="A770:A776"/>
    <mergeCell ref="B771:D771"/>
    <mergeCell ref="B777:C777"/>
    <mergeCell ref="B778:C778"/>
    <mergeCell ref="E790:G790"/>
    <mergeCell ref="F793:H793"/>
    <mergeCell ref="E794:G794"/>
    <mergeCell ref="B797:H797"/>
    <mergeCell ref="F716:H716"/>
    <mergeCell ref="F718:H718"/>
    <mergeCell ref="B723:G723"/>
    <mergeCell ref="A724:A730"/>
    <mergeCell ref="B725:D725"/>
    <mergeCell ref="B662:H662"/>
    <mergeCell ref="C665:F665"/>
    <mergeCell ref="F671:H671"/>
    <mergeCell ref="F673:H673"/>
    <mergeCell ref="B678:G678"/>
    <mergeCell ref="A679:A685"/>
    <mergeCell ref="B680:D680"/>
    <mergeCell ref="B686:C686"/>
    <mergeCell ref="B687:C687"/>
    <mergeCell ref="E700:G700"/>
    <mergeCell ref="F703:H703"/>
    <mergeCell ref="E704:G704"/>
    <mergeCell ref="B707:H707"/>
    <mergeCell ref="C710:F710"/>
    <mergeCell ref="B641:C641"/>
    <mergeCell ref="B642:C642"/>
    <mergeCell ref="E655:G655"/>
    <mergeCell ref="F658:H658"/>
    <mergeCell ref="E659:G659"/>
    <mergeCell ref="B596:C596"/>
    <mergeCell ref="B597:C597"/>
    <mergeCell ref="E610:G610"/>
    <mergeCell ref="F613:H613"/>
    <mergeCell ref="E614:G614"/>
    <mergeCell ref="B617:H617"/>
    <mergeCell ref="C620:F620"/>
    <mergeCell ref="F626:H626"/>
    <mergeCell ref="F628:H628"/>
    <mergeCell ref="C575:F575"/>
    <mergeCell ref="F581:H581"/>
    <mergeCell ref="F583:H583"/>
    <mergeCell ref="B588:G588"/>
    <mergeCell ref="A589:A595"/>
    <mergeCell ref="B590:D590"/>
    <mergeCell ref="B633:G633"/>
    <mergeCell ref="A634:A640"/>
    <mergeCell ref="B635:D635"/>
    <mergeCell ref="B544:G544"/>
    <mergeCell ref="A545:A551"/>
    <mergeCell ref="B546:D546"/>
    <mergeCell ref="B552:C552"/>
    <mergeCell ref="B553:C553"/>
    <mergeCell ref="E565:G565"/>
    <mergeCell ref="F568:H568"/>
    <mergeCell ref="E569:G569"/>
    <mergeCell ref="B572:H572"/>
    <mergeCell ref="J403:P403"/>
    <mergeCell ref="C406:F406"/>
    <mergeCell ref="K406:N406"/>
    <mergeCell ref="B419:G419"/>
    <mergeCell ref="J419:O419"/>
    <mergeCell ref="M421:O421"/>
    <mergeCell ref="J382:K382"/>
    <mergeCell ref="J383:K383"/>
    <mergeCell ref="M401:O401"/>
    <mergeCell ref="N400:P400"/>
    <mergeCell ref="B403:H403"/>
    <mergeCell ref="C530:F530"/>
    <mergeCell ref="F536:H536"/>
    <mergeCell ref="F538:H538"/>
    <mergeCell ref="I420:I426"/>
    <mergeCell ref="J421:L421"/>
    <mergeCell ref="J427:K427"/>
    <mergeCell ref="J466:K466"/>
    <mergeCell ref="J467:K467"/>
    <mergeCell ref="J428:K428"/>
    <mergeCell ref="B507:C507"/>
    <mergeCell ref="I459:I465"/>
    <mergeCell ref="J460:L460"/>
    <mergeCell ref="C445:F445"/>
    <mergeCell ref="K445:N445"/>
    <mergeCell ref="F451:H451"/>
    <mergeCell ref="F493:H493"/>
    <mergeCell ref="F492:H492"/>
    <mergeCell ref="C488:F488"/>
    <mergeCell ref="B466:C466"/>
    <mergeCell ref="E484:G484"/>
    <mergeCell ref="B485:H485"/>
    <mergeCell ref="E483:G483"/>
    <mergeCell ref="D476:G476"/>
    <mergeCell ref="D477:G477"/>
    <mergeCell ref="J287:L287"/>
    <mergeCell ref="B383:C383"/>
    <mergeCell ref="J293:K293"/>
    <mergeCell ref="J294:K294"/>
    <mergeCell ref="N311:P311"/>
    <mergeCell ref="J313:P313"/>
    <mergeCell ref="K316:N316"/>
    <mergeCell ref="B382:C382"/>
    <mergeCell ref="E332:G332"/>
    <mergeCell ref="F322:H322"/>
    <mergeCell ref="F324:H324"/>
    <mergeCell ref="F367:H367"/>
    <mergeCell ref="F369:H369"/>
    <mergeCell ref="F323:H323"/>
    <mergeCell ref="F368:H368"/>
    <mergeCell ref="I375:I381"/>
    <mergeCell ref="J376:L376"/>
    <mergeCell ref="M357:O357"/>
    <mergeCell ref="J330:O330"/>
    <mergeCell ref="I331:I337"/>
    <mergeCell ref="K361:N361"/>
    <mergeCell ref="N356:P356"/>
    <mergeCell ref="J374:O374"/>
    <mergeCell ref="C361:F361"/>
    <mergeCell ref="J206:K206"/>
    <mergeCell ref="M222:O222"/>
    <mergeCell ref="J224:P224"/>
    <mergeCell ref="K227:N227"/>
    <mergeCell ref="M267:O267"/>
    <mergeCell ref="J269:P269"/>
    <mergeCell ref="K272:N272"/>
    <mergeCell ref="J285:O285"/>
    <mergeCell ref="J180:P180"/>
    <mergeCell ref="K183:N183"/>
    <mergeCell ref="J197:O197"/>
    <mergeCell ref="J199:L199"/>
    <mergeCell ref="J240:O240"/>
    <mergeCell ref="J242:L242"/>
    <mergeCell ref="J248:K248"/>
    <mergeCell ref="J249:K249"/>
    <mergeCell ref="N266:P266"/>
    <mergeCell ref="J332:L332"/>
    <mergeCell ref="J338:K338"/>
    <mergeCell ref="J339:K339"/>
    <mergeCell ref="J205:K205"/>
    <mergeCell ref="D357:F357"/>
    <mergeCell ref="B161:C161"/>
    <mergeCell ref="J161:K161"/>
    <mergeCell ref="M178:O178"/>
    <mergeCell ref="A153:A159"/>
    <mergeCell ref="I153:I159"/>
    <mergeCell ref="B154:D154"/>
    <mergeCell ref="J154:L154"/>
    <mergeCell ref="B160:C160"/>
    <mergeCell ref="J160:K160"/>
    <mergeCell ref="M154:O154"/>
    <mergeCell ref="E173:H173"/>
    <mergeCell ref="D178:H178"/>
    <mergeCell ref="D177:H177"/>
    <mergeCell ref="B206:C206"/>
    <mergeCell ref="B224:H224"/>
    <mergeCell ref="B240:G240"/>
    <mergeCell ref="B197:G197"/>
    <mergeCell ref="A198:A204"/>
    <mergeCell ref="B199:D199"/>
    <mergeCell ref="J136:P136"/>
    <mergeCell ref="K139:N139"/>
    <mergeCell ref="B152:G152"/>
    <mergeCell ref="J152:O152"/>
    <mergeCell ref="B117:C117"/>
    <mergeCell ref="J117:K117"/>
    <mergeCell ref="N133:P133"/>
    <mergeCell ref="M134:O134"/>
    <mergeCell ref="F145:H145"/>
    <mergeCell ref="F147:H147"/>
    <mergeCell ref="D129:H129"/>
    <mergeCell ref="F146:H146"/>
    <mergeCell ref="A139:H139"/>
    <mergeCell ref="D134:H134"/>
    <mergeCell ref="D133:H133"/>
    <mergeCell ref="J110:L110"/>
    <mergeCell ref="B116:C116"/>
    <mergeCell ref="J116:K116"/>
    <mergeCell ref="B91:H91"/>
    <mergeCell ref="J91:P91"/>
    <mergeCell ref="K94:N94"/>
    <mergeCell ref="B108:G108"/>
    <mergeCell ref="J108:O108"/>
    <mergeCell ref="E110:G110"/>
    <mergeCell ref="F100:H100"/>
    <mergeCell ref="F102:H102"/>
    <mergeCell ref="A94:H94"/>
    <mergeCell ref="F101:H101"/>
    <mergeCell ref="B72:C72"/>
    <mergeCell ref="J72:K72"/>
    <mergeCell ref="N89:P89"/>
    <mergeCell ref="A64:A70"/>
    <mergeCell ref="I64:I70"/>
    <mergeCell ref="B65:D65"/>
    <mergeCell ref="J65:L65"/>
    <mergeCell ref="B71:C71"/>
    <mergeCell ref="J71:K71"/>
    <mergeCell ref="E65:G65"/>
    <mergeCell ref="B46:H46"/>
    <mergeCell ref="J46:P46"/>
    <mergeCell ref="K49:N49"/>
    <mergeCell ref="B63:G63"/>
    <mergeCell ref="J63:O63"/>
    <mergeCell ref="B27:C27"/>
    <mergeCell ref="J27:K27"/>
    <mergeCell ref="M44:O44"/>
    <mergeCell ref="F55:H55"/>
    <mergeCell ref="F57:H57"/>
    <mergeCell ref="E41:G41"/>
    <mergeCell ref="D40:H40"/>
    <mergeCell ref="F56:H56"/>
    <mergeCell ref="A49:H49"/>
    <mergeCell ref="A19:A25"/>
    <mergeCell ref="I19:I25"/>
    <mergeCell ref="B20:D20"/>
    <mergeCell ref="J20:L20"/>
    <mergeCell ref="B26:C26"/>
    <mergeCell ref="J26:K26"/>
    <mergeCell ref="B1:H1"/>
    <mergeCell ref="J1:P1"/>
    <mergeCell ref="K4:N4"/>
    <mergeCell ref="B18:G18"/>
    <mergeCell ref="J18:O18"/>
    <mergeCell ref="M20:O20"/>
    <mergeCell ref="F10:H10"/>
    <mergeCell ref="F12:H12"/>
    <mergeCell ref="E20:G20"/>
    <mergeCell ref="F11:H11"/>
    <mergeCell ref="A4:H4"/>
    <mergeCell ref="R46:X46"/>
    <mergeCell ref="S49:V49"/>
    <mergeCell ref="R63:W63"/>
    <mergeCell ref="Q64:Q70"/>
    <mergeCell ref="R65:T65"/>
    <mergeCell ref="R71:S71"/>
    <mergeCell ref="R72:S72"/>
    <mergeCell ref="V89:X89"/>
    <mergeCell ref="R1:X1"/>
    <mergeCell ref="S4:V4"/>
    <mergeCell ref="R18:W18"/>
    <mergeCell ref="Q19:Q25"/>
    <mergeCell ref="R20:T20"/>
    <mergeCell ref="R26:S26"/>
    <mergeCell ref="R27:S27"/>
    <mergeCell ref="U44:W44"/>
    <mergeCell ref="U20:W20"/>
    <mergeCell ref="R91:X91"/>
    <mergeCell ref="S94:V94"/>
    <mergeCell ref="R108:W108"/>
    <mergeCell ref="Q109:Q115"/>
    <mergeCell ref="R110:T110"/>
    <mergeCell ref="R116:S116"/>
    <mergeCell ref="R117:S117"/>
    <mergeCell ref="V133:X133"/>
    <mergeCell ref="U134:W134"/>
    <mergeCell ref="R136:X136"/>
    <mergeCell ref="S139:V139"/>
    <mergeCell ref="R152:W152"/>
    <mergeCell ref="Q153:Q159"/>
    <mergeCell ref="R154:T154"/>
    <mergeCell ref="R160:S160"/>
    <mergeCell ref="R161:S161"/>
    <mergeCell ref="V177:X177"/>
    <mergeCell ref="U178:W178"/>
    <mergeCell ref="R180:X180"/>
    <mergeCell ref="S183:V183"/>
    <mergeCell ref="R197:W197"/>
    <mergeCell ref="Q198:Q204"/>
    <mergeCell ref="R199:T199"/>
    <mergeCell ref="R205:S205"/>
    <mergeCell ref="R206:S206"/>
    <mergeCell ref="U222:W222"/>
    <mergeCell ref="R224:X224"/>
    <mergeCell ref="S227:V227"/>
    <mergeCell ref="R240:W240"/>
    <mergeCell ref="Q241:Q247"/>
    <mergeCell ref="R242:T242"/>
    <mergeCell ref="R248:S248"/>
    <mergeCell ref="R249:S249"/>
    <mergeCell ref="V266:X266"/>
    <mergeCell ref="U267:W267"/>
    <mergeCell ref="R269:X269"/>
    <mergeCell ref="S272:V272"/>
    <mergeCell ref="R285:W285"/>
    <mergeCell ref="Q286:Q292"/>
    <mergeCell ref="R287:T287"/>
    <mergeCell ref="R293:S293"/>
    <mergeCell ref="R294:S294"/>
    <mergeCell ref="V311:X311"/>
    <mergeCell ref="U287:W287"/>
    <mergeCell ref="R313:X313"/>
    <mergeCell ref="S316:V316"/>
    <mergeCell ref="R330:W330"/>
    <mergeCell ref="Q331:Q337"/>
    <mergeCell ref="R332:T332"/>
    <mergeCell ref="R338:S338"/>
    <mergeCell ref="R339:S339"/>
    <mergeCell ref="V356:X356"/>
    <mergeCell ref="U357:W357"/>
    <mergeCell ref="S361:V361"/>
    <mergeCell ref="R374:W374"/>
    <mergeCell ref="Q375:Q381"/>
    <mergeCell ref="R376:T376"/>
    <mergeCell ref="R382:S382"/>
    <mergeCell ref="R383:S383"/>
    <mergeCell ref="V400:X400"/>
    <mergeCell ref="U401:W401"/>
    <mergeCell ref="U376:W376"/>
    <mergeCell ref="R403:X403"/>
    <mergeCell ref="S406:V406"/>
    <mergeCell ref="R419:W419"/>
    <mergeCell ref="Q420:Q426"/>
    <mergeCell ref="R421:T421"/>
    <mergeCell ref="R427:S427"/>
    <mergeCell ref="R428:S428"/>
    <mergeCell ref="V444:X444"/>
    <mergeCell ref="U421:W421"/>
    <mergeCell ref="J458:O458"/>
    <mergeCell ref="V483:X483"/>
    <mergeCell ref="U484:W484"/>
    <mergeCell ref="S445:V445"/>
    <mergeCell ref="R458:W458"/>
    <mergeCell ref="Q459:Q465"/>
    <mergeCell ref="R460:T460"/>
    <mergeCell ref="R466:S466"/>
    <mergeCell ref="R467:S467"/>
    <mergeCell ref="N444:P444"/>
    <mergeCell ref="N483:P483"/>
    <mergeCell ref="M484:O484"/>
    <mergeCell ref="N451:P451"/>
    <mergeCell ref="F233:H233"/>
    <mergeCell ref="F235:H235"/>
    <mergeCell ref="B285:G285"/>
    <mergeCell ref="A286:A292"/>
    <mergeCell ref="B287:D287"/>
    <mergeCell ref="B293:C293"/>
    <mergeCell ref="A241:A247"/>
    <mergeCell ref="B242:D242"/>
    <mergeCell ref="B248:C248"/>
    <mergeCell ref="B249:C249"/>
    <mergeCell ref="A313:H313"/>
    <mergeCell ref="F189:H189"/>
    <mergeCell ref="F191:H191"/>
    <mergeCell ref="E242:G242"/>
    <mergeCell ref="F278:H278"/>
    <mergeCell ref="F280:H280"/>
    <mergeCell ref="F279:H279"/>
    <mergeCell ref="B374:G374"/>
    <mergeCell ref="B376:D376"/>
    <mergeCell ref="B332:D332"/>
    <mergeCell ref="B338:C338"/>
    <mergeCell ref="B339:C339"/>
    <mergeCell ref="B294:C294"/>
    <mergeCell ref="B330:G330"/>
    <mergeCell ref="E217:H217"/>
    <mergeCell ref="E218:H218"/>
    <mergeCell ref="E219:H219"/>
    <mergeCell ref="E222:H222"/>
    <mergeCell ref="F234:H234"/>
    <mergeCell ref="E311:G311"/>
    <mergeCell ref="A316:H316"/>
    <mergeCell ref="A375:A381"/>
    <mergeCell ref="A331:A337"/>
    <mergeCell ref="E199:G199"/>
  </mergeCells>
  <phoneticPr fontId="93" type="noConversion"/>
  <pageMargins left="0.47244094488188981" right="0.35433070866141736" top="0.74803149606299213" bottom="0.74803149606299213" header="0.31496062992125984" footer="0.31496062992125984"/>
  <pageSetup paperSize="9" orientation="portrait" r:id="rId1"/>
  <headerFooter>
    <oddHeader xml:space="preserve">&amp;L&amp;G&amp;C&amp;"Times New Roman,Gras"&amp;13           Agence pour la Sécurité de la Navigation Aérienne en Afrique et à Madagascar                                        Délégation aux Activités Aéronautiques Nationales du Gabon </oddHeader>
    <oddFooter>&amp;C&amp;"Perpetua,Normal"&amp;8 Benin-Burkina-Cameroun-Centrafrique-Comore-Congo-Côte d'ivoire-Gabon-Guinée-Guinée Equatorial-Guinée Bissau-France-Madagascar-Mali-Mauritanie-Niger-Rwanda-Sénégal-Tchad-Togo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0"/>
  <sheetViews>
    <sheetView tabSelected="1" topLeftCell="A7" zoomScaleNormal="100" workbookViewId="0">
      <selection activeCell="V31" sqref="V31"/>
    </sheetView>
  </sheetViews>
  <sheetFormatPr baseColWidth="10" defaultRowHeight="16.5"/>
  <cols>
    <col min="1" max="1" width="11.5703125" style="12" customWidth="1"/>
    <col min="2" max="2" width="9.42578125" style="12" customWidth="1"/>
    <col min="3" max="3" width="11.42578125" style="12" customWidth="1"/>
    <col min="4" max="4" width="8.5703125" style="12" customWidth="1"/>
    <col min="5" max="5" width="13.140625" style="12" customWidth="1"/>
    <col min="6" max="6" width="16.42578125" style="12" customWidth="1"/>
    <col min="7" max="7" width="16" style="12" customWidth="1"/>
    <col min="8" max="8" width="8.42578125" style="12" customWidth="1"/>
    <col min="9" max="10" width="9.28515625" style="12" customWidth="1"/>
    <col min="11" max="11" width="11.42578125" style="12"/>
    <col min="12" max="12" width="8.5703125" style="12" customWidth="1"/>
    <col min="13" max="13" width="8.7109375" style="12" customWidth="1"/>
    <col min="14" max="14" width="12.140625" style="12" customWidth="1"/>
    <col min="15" max="15" width="18.5703125" style="12" customWidth="1"/>
    <col min="16" max="16" width="10.85546875" style="12" customWidth="1"/>
    <col min="17" max="17" width="12.42578125" style="12" bestFit="1" customWidth="1"/>
    <col min="18" max="18" width="5.7109375" style="12" customWidth="1"/>
    <col min="19" max="19" width="12.42578125" style="12" bestFit="1" customWidth="1"/>
    <col min="20" max="20" width="6.85546875" style="12" customWidth="1"/>
    <col min="21" max="21" width="11.42578125" style="12"/>
    <col min="22" max="22" width="14.42578125" style="12" customWidth="1"/>
    <col min="23" max="23" width="14.85546875" style="12" customWidth="1"/>
    <col min="24" max="16384" width="11.42578125" style="12"/>
  </cols>
  <sheetData>
    <row r="1" spans="1:22" ht="16.5" customHeight="1">
      <c r="A1" s="617" t="s">
        <v>2585</v>
      </c>
      <c r="B1" s="617"/>
      <c r="C1" s="617"/>
      <c r="D1" s="617"/>
      <c r="E1" s="617"/>
      <c r="F1" s="617"/>
      <c r="G1" s="617"/>
      <c r="I1" s="617" t="s">
        <v>0</v>
      </c>
      <c r="J1" s="617"/>
      <c r="K1" s="617"/>
      <c r="L1" s="617"/>
      <c r="M1" s="617"/>
      <c r="N1" s="617"/>
      <c r="O1" s="617"/>
      <c r="Q1" s="617" t="s">
        <v>0</v>
      </c>
      <c r="R1" s="617"/>
      <c r="S1" s="617"/>
      <c r="T1" s="617"/>
      <c r="U1" s="617"/>
      <c r="V1" s="617"/>
    </row>
    <row r="4" spans="1:22" ht="42.75" customHeight="1">
      <c r="A4" s="646"/>
      <c r="B4" s="646"/>
      <c r="C4" s="646"/>
      <c r="D4" s="646"/>
      <c r="E4" s="646"/>
      <c r="F4" s="646"/>
      <c r="G4" s="646"/>
      <c r="H4" s="646" t="s">
        <v>1</v>
      </c>
      <c r="I4" s="646"/>
      <c r="J4" s="646"/>
      <c r="K4" s="646"/>
      <c r="L4" s="646"/>
      <c r="M4" s="646"/>
      <c r="N4" s="646"/>
      <c r="O4" s="646"/>
      <c r="P4" s="827" t="s">
        <v>2094</v>
      </c>
      <c r="Q4" s="827"/>
      <c r="R4" s="827"/>
      <c r="S4" s="827"/>
      <c r="T4" s="827"/>
      <c r="U4" s="827"/>
      <c r="V4" s="827"/>
    </row>
    <row r="6" spans="1:22" ht="18">
      <c r="A6" s="507" t="s">
        <v>708</v>
      </c>
      <c r="B6" s="375"/>
      <c r="I6" s="503" t="s">
        <v>2465</v>
      </c>
      <c r="P6" s="30"/>
    </row>
    <row r="7" spans="1:22" ht="17.25" thickBot="1">
      <c r="F7" s="141"/>
      <c r="H7" s="30"/>
      <c r="N7" s="141"/>
      <c r="P7" s="30"/>
      <c r="U7" s="141"/>
    </row>
    <row r="8" spans="1:22">
      <c r="A8" s="30"/>
      <c r="E8" s="143"/>
      <c r="G8" s="144"/>
      <c r="I8" s="30"/>
      <c r="M8" s="143"/>
      <c r="O8" s="144"/>
      <c r="Q8" s="30"/>
      <c r="T8" s="143"/>
      <c r="V8" s="144"/>
    </row>
    <row r="9" spans="1:22" ht="15.75" customHeight="1">
      <c r="E9" s="667" t="s">
        <v>2091</v>
      </c>
      <c r="F9" s="668"/>
      <c r="G9" s="669"/>
      <c r="M9" s="647" t="s">
        <v>2183</v>
      </c>
      <c r="N9" s="610"/>
      <c r="O9" s="648"/>
      <c r="Q9" s="30" t="s">
        <v>1991</v>
      </c>
      <c r="T9" s="990" t="s">
        <v>2120</v>
      </c>
      <c r="U9" s="991"/>
      <c r="V9" s="992"/>
    </row>
    <row r="10" spans="1:22">
      <c r="C10" s="30"/>
      <c r="D10" s="30" t="s">
        <v>2</v>
      </c>
      <c r="E10" s="683" t="s">
        <v>1379</v>
      </c>
      <c r="F10" s="683"/>
      <c r="G10" s="684"/>
      <c r="I10" s="186" t="s">
        <v>114</v>
      </c>
      <c r="K10" s="30"/>
      <c r="L10" s="30" t="s">
        <v>2</v>
      </c>
      <c r="M10" s="729" t="s">
        <v>2186</v>
      </c>
      <c r="N10" s="771"/>
      <c r="O10" s="772"/>
      <c r="S10" s="30" t="s">
        <v>2</v>
      </c>
      <c r="T10" s="828" t="s">
        <v>2119</v>
      </c>
      <c r="U10" s="828"/>
      <c r="V10" s="829"/>
    </row>
    <row r="11" spans="1:22" ht="17.25">
      <c r="E11" s="601" t="s">
        <v>163</v>
      </c>
      <c r="F11" s="602"/>
      <c r="G11" s="603"/>
      <c r="M11" s="766" t="s">
        <v>163</v>
      </c>
      <c r="N11" s="767"/>
      <c r="O11" s="768"/>
      <c r="P11" s="12" t="s">
        <v>114</v>
      </c>
      <c r="T11" s="694" t="s">
        <v>2113</v>
      </c>
      <c r="U11" s="694"/>
      <c r="V11" s="712"/>
    </row>
    <row r="12" spans="1:22" ht="17.25" thickBot="1">
      <c r="E12" s="140"/>
      <c r="F12" s="141"/>
      <c r="G12" s="142"/>
      <c r="H12" s="30"/>
      <c r="I12" s="30"/>
      <c r="M12" s="140"/>
      <c r="N12" s="141"/>
      <c r="O12" s="142"/>
      <c r="T12" s="140"/>
      <c r="U12" s="192" t="s">
        <v>163</v>
      </c>
      <c r="V12" s="142"/>
    </row>
    <row r="13" spans="1:22">
      <c r="A13" s="30" t="s">
        <v>1983</v>
      </c>
      <c r="P13" s="12" t="s">
        <v>2114</v>
      </c>
    </row>
    <row r="14" spans="1:22">
      <c r="A14" s="30" t="s">
        <v>2609</v>
      </c>
      <c r="H14" s="30"/>
      <c r="I14" s="30" t="s">
        <v>27</v>
      </c>
      <c r="J14" s="30" t="s">
        <v>145</v>
      </c>
      <c r="P14" s="30"/>
    </row>
    <row r="15" spans="1:22">
      <c r="A15" s="30"/>
      <c r="B15" s="30"/>
      <c r="C15" s="30"/>
      <c r="H15" s="30"/>
      <c r="I15" s="30"/>
      <c r="J15" s="30"/>
      <c r="P15" s="30"/>
    </row>
    <row r="16" spans="1:22" ht="17.25" thickBot="1"/>
    <row r="17" spans="1:22" ht="17.25" customHeight="1" thickBot="1">
      <c r="A17" s="624" t="s">
        <v>4</v>
      </c>
      <c r="B17" s="625"/>
      <c r="C17" s="625"/>
      <c r="D17" s="625"/>
      <c r="E17" s="625"/>
      <c r="F17" s="626"/>
      <c r="G17" s="20" t="s">
        <v>5</v>
      </c>
      <c r="H17" s="13" t="s">
        <v>3</v>
      </c>
      <c r="I17" s="624" t="s">
        <v>4</v>
      </c>
      <c r="J17" s="625"/>
      <c r="K17" s="625"/>
      <c r="L17" s="625"/>
      <c r="M17" s="625"/>
      <c r="N17" s="626"/>
      <c r="O17" s="20" t="s">
        <v>5</v>
      </c>
      <c r="P17" s="119" t="s">
        <v>3</v>
      </c>
      <c r="Q17" s="824" t="s">
        <v>4</v>
      </c>
      <c r="R17" s="825"/>
      <c r="S17" s="825"/>
      <c r="T17" s="825"/>
      <c r="U17" s="826"/>
      <c r="V17" s="376" t="s">
        <v>5</v>
      </c>
    </row>
    <row r="18" spans="1:22" ht="15.75" customHeight="1" thickBot="1">
      <c r="A18" s="151"/>
      <c r="B18" s="151"/>
      <c r="C18" s="151"/>
      <c r="D18" s="151"/>
      <c r="E18" s="151"/>
      <c r="F18" s="152"/>
      <c r="G18" s="65"/>
      <c r="H18" s="627" t="s">
        <v>2445</v>
      </c>
      <c r="I18" s="143"/>
      <c r="J18" s="159"/>
      <c r="K18" s="159"/>
      <c r="L18" s="159"/>
      <c r="M18" s="159"/>
      <c r="N18" s="144"/>
      <c r="O18" s="291"/>
      <c r="P18" s="812" t="s">
        <v>2118</v>
      </c>
      <c r="Q18" s="813"/>
      <c r="R18" s="814"/>
      <c r="S18" s="814"/>
      <c r="T18" s="814"/>
      <c r="U18" s="815"/>
      <c r="V18" s="290"/>
    </row>
    <row r="19" spans="1:22" ht="17.25" thickBot="1">
      <c r="A19" s="599" t="s">
        <v>6</v>
      </c>
      <c r="B19" s="599"/>
      <c r="C19" s="599"/>
      <c r="D19" s="598" t="s">
        <v>7</v>
      </c>
      <c r="E19" s="599"/>
      <c r="F19" s="710"/>
      <c r="G19" s="65"/>
      <c r="H19" s="628"/>
      <c r="I19" s="630"/>
      <c r="J19" s="631"/>
      <c r="K19" s="631"/>
      <c r="L19" s="631"/>
      <c r="M19" s="631"/>
      <c r="N19" s="631"/>
      <c r="O19" s="291"/>
      <c r="P19" s="812"/>
      <c r="Q19" s="816"/>
      <c r="R19" s="817"/>
      <c r="S19" s="817"/>
      <c r="T19" s="817"/>
      <c r="U19" s="818"/>
      <c r="V19" s="291"/>
    </row>
    <row r="20" spans="1:22">
      <c r="A20" s="134" t="s">
        <v>26</v>
      </c>
      <c r="B20" s="133" t="s">
        <v>8</v>
      </c>
      <c r="C20" s="134" t="s">
        <v>9</v>
      </c>
      <c r="D20" s="133" t="s">
        <v>10</v>
      </c>
      <c r="E20" s="134" t="s">
        <v>8</v>
      </c>
      <c r="F20" s="135" t="s">
        <v>11</v>
      </c>
      <c r="G20" s="65"/>
      <c r="H20" s="628"/>
      <c r="I20" s="653" t="s">
        <v>1369</v>
      </c>
      <c r="J20" s="605"/>
      <c r="K20" s="605"/>
      <c r="L20" s="605"/>
      <c r="M20" s="605"/>
      <c r="N20" s="649"/>
      <c r="O20" s="291"/>
      <c r="P20" s="812"/>
      <c r="Q20" s="150" t="s">
        <v>2095</v>
      </c>
      <c r="R20" s="117" t="s">
        <v>2115</v>
      </c>
      <c r="S20" s="117" t="s">
        <v>2116</v>
      </c>
      <c r="T20" s="117"/>
      <c r="U20" s="122" t="s">
        <v>11</v>
      </c>
      <c r="V20" s="291"/>
    </row>
    <row r="21" spans="1:22">
      <c r="A21" s="153">
        <v>63</v>
      </c>
      <c r="B21" s="154">
        <v>10000</v>
      </c>
      <c r="C21" s="154">
        <f>A21*B21</f>
        <v>630000</v>
      </c>
      <c r="D21" s="154">
        <f>+A21</f>
        <v>63</v>
      </c>
      <c r="E21" s="154">
        <v>3500</v>
      </c>
      <c r="F21" s="155">
        <f>+D21*E21</f>
        <v>220500</v>
      </c>
      <c r="G21" s="162">
        <f>+C21+F21</f>
        <v>850500</v>
      </c>
      <c r="H21" s="628"/>
      <c r="I21" s="653" t="s">
        <v>2184</v>
      </c>
      <c r="J21" s="605"/>
      <c r="K21" s="605"/>
      <c r="L21" s="605"/>
      <c r="M21" s="605"/>
      <c r="N21" s="649"/>
      <c r="O21" s="148">
        <v>1800000</v>
      </c>
      <c r="P21" s="812"/>
      <c r="Q21" s="491">
        <v>1152000</v>
      </c>
      <c r="R21" s="490">
        <v>18</v>
      </c>
      <c r="S21" s="490">
        <f>Q21</f>
        <v>1152000</v>
      </c>
      <c r="T21" s="378"/>
      <c r="U21" s="379"/>
      <c r="V21" s="148">
        <f>+S21+U21</f>
        <v>1152000</v>
      </c>
    </row>
    <row r="22" spans="1:22" ht="15" customHeight="1">
      <c r="F22" s="156"/>
      <c r="G22" s="65"/>
      <c r="H22" s="628"/>
      <c r="I22" s="64"/>
      <c r="J22" s="30"/>
      <c r="K22" s="30"/>
      <c r="L22" s="30"/>
      <c r="M22" s="30"/>
      <c r="N22" s="65"/>
      <c r="O22" s="291"/>
      <c r="P22" s="812"/>
      <c r="Q22" s="380"/>
      <c r="R22" s="151"/>
      <c r="S22" s="151"/>
      <c r="T22" s="151"/>
      <c r="U22" s="151"/>
      <c r="V22" s="291"/>
    </row>
    <row r="23" spans="1:22" ht="15.75" customHeight="1" thickBot="1">
      <c r="F23" s="156"/>
      <c r="G23" s="65"/>
      <c r="H23" s="629"/>
      <c r="I23" s="140"/>
      <c r="J23" s="141"/>
      <c r="K23" s="141"/>
      <c r="L23" s="141"/>
      <c r="M23" s="141"/>
      <c r="N23" s="142"/>
      <c r="O23" s="291"/>
      <c r="P23" s="812"/>
      <c r="Q23" s="819" t="s">
        <v>2117</v>
      </c>
      <c r="R23" s="820"/>
      <c r="S23" s="820"/>
      <c r="T23" s="820"/>
      <c r="U23" s="821"/>
      <c r="V23" s="291"/>
    </row>
    <row r="24" spans="1:22" ht="15.75" customHeight="1" thickBot="1">
      <c r="A24" s="157"/>
      <c r="B24" s="157"/>
      <c r="C24" s="157"/>
      <c r="D24" s="157"/>
      <c r="E24" s="157"/>
      <c r="F24" s="158"/>
      <c r="G24" s="65"/>
      <c r="H24" s="20" t="s">
        <v>12</v>
      </c>
      <c r="I24" s="614" t="s">
        <v>13</v>
      </c>
      <c r="J24" s="615"/>
      <c r="K24" s="62" t="s">
        <v>14</v>
      </c>
      <c r="L24" s="63"/>
      <c r="M24" s="62" t="s">
        <v>15</v>
      </c>
      <c r="N24" s="62" t="s">
        <v>16</v>
      </c>
      <c r="O24" s="20" t="s">
        <v>17</v>
      </c>
      <c r="P24" s="812"/>
      <c r="Q24" s="140"/>
      <c r="R24" s="141"/>
      <c r="S24" s="141"/>
      <c r="T24" s="141"/>
      <c r="U24" s="141"/>
      <c r="V24" s="381"/>
    </row>
    <row r="25" spans="1:22" ht="18" thickBot="1">
      <c r="A25" s="614" t="s">
        <v>13</v>
      </c>
      <c r="B25" s="615"/>
      <c r="C25" s="62" t="s">
        <v>14</v>
      </c>
      <c r="D25" s="63"/>
      <c r="E25" s="62" t="s">
        <v>15</v>
      </c>
      <c r="F25" s="62" t="s">
        <v>16</v>
      </c>
      <c r="G25" s="20" t="s">
        <v>17</v>
      </c>
      <c r="H25" s="22" t="s">
        <v>18</v>
      </c>
      <c r="I25" s="606">
        <f>+O21</f>
        <v>1800000</v>
      </c>
      <c r="J25" s="607"/>
      <c r="K25" s="23">
        <f>0</f>
        <v>0</v>
      </c>
      <c r="L25" s="24"/>
      <c r="M25" s="25">
        <f>0</f>
        <v>0</v>
      </c>
      <c r="N25" s="36">
        <f>+I25</f>
        <v>1800000</v>
      </c>
      <c r="O25" s="38">
        <f>+O21</f>
        <v>1800000</v>
      </c>
      <c r="P25" s="121" t="s">
        <v>12</v>
      </c>
      <c r="Q25" s="809" t="s">
        <v>13</v>
      </c>
      <c r="R25" s="810"/>
      <c r="S25" s="354" t="s">
        <v>14</v>
      </c>
      <c r="T25" s="354" t="s">
        <v>15</v>
      </c>
      <c r="U25" s="149" t="s">
        <v>16</v>
      </c>
      <c r="V25" s="382" t="s">
        <v>17</v>
      </c>
    </row>
    <row r="26" spans="1:22" ht="18" thickBot="1">
      <c r="A26" s="469">
        <f>+G21</f>
        <v>850500</v>
      </c>
      <c r="B26" s="136"/>
      <c r="C26" s="23">
        <f>0</f>
        <v>0</v>
      </c>
      <c r="D26" s="25"/>
      <c r="E26" s="25">
        <f>0</f>
        <v>0</v>
      </c>
      <c r="F26" s="36">
        <f>+A26</f>
        <v>850500</v>
      </c>
      <c r="G26" s="38">
        <f>+G21</f>
        <v>850500</v>
      </c>
      <c r="H26" s="22" t="s">
        <v>113</v>
      </c>
      <c r="I26" s="606">
        <f>+I25/650.599</f>
        <v>2766.6811661253705</v>
      </c>
      <c r="J26" s="607"/>
      <c r="K26" s="23">
        <f>0</f>
        <v>0</v>
      </c>
      <c r="L26" s="24"/>
      <c r="M26" s="25">
        <f>0</f>
        <v>0</v>
      </c>
      <c r="N26" s="36">
        <f>+I26</f>
        <v>2766.6811661253705</v>
      </c>
      <c r="O26" s="38"/>
      <c r="P26" s="120" t="s">
        <v>18</v>
      </c>
      <c r="Q26" s="714">
        <f>+S21</f>
        <v>1152000</v>
      </c>
      <c r="R26" s="811"/>
      <c r="S26" s="369">
        <f>0</f>
        <v>0</v>
      </c>
      <c r="T26" s="118">
        <f>0</f>
        <v>0</v>
      </c>
      <c r="U26" s="123">
        <f>+U21</f>
        <v>0</v>
      </c>
      <c r="V26" s="124">
        <f>+V21</f>
        <v>1152000</v>
      </c>
    </row>
    <row r="28" spans="1:22">
      <c r="A28" s="26"/>
      <c r="B28" s="26"/>
      <c r="C28" s="26"/>
      <c r="D28" s="26"/>
      <c r="E28" s="26"/>
      <c r="F28" s="26"/>
      <c r="H28" s="395" t="s">
        <v>1268</v>
      </c>
      <c r="I28" s="26"/>
      <c r="J28" s="26"/>
      <c r="K28" s="26"/>
      <c r="L28" s="26"/>
      <c r="M28" s="26"/>
      <c r="N28" s="26"/>
      <c r="P28" s="395" t="s">
        <v>2096</v>
      </c>
      <c r="Q28" s="26"/>
      <c r="R28" s="26"/>
      <c r="S28" s="26"/>
      <c r="T28" s="26"/>
      <c r="U28" s="26"/>
      <c r="V28" s="26"/>
    </row>
    <row r="29" spans="1:22">
      <c r="A29" s="26"/>
      <c r="B29" s="26"/>
      <c r="C29" s="26"/>
      <c r="D29" s="26"/>
      <c r="E29" s="26"/>
      <c r="F29" s="26"/>
      <c r="H29" s="408" t="s">
        <v>2185</v>
      </c>
      <c r="I29" s="26"/>
      <c r="J29" s="26"/>
      <c r="K29" s="26"/>
      <c r="L29" s="26"/>
      <c r="M29" s="26"/>
      <c r="N29" s="26"/>
      <c r="P29" s="408" t="s">
        <v>2123</v>
      </c>
      <c r="Q29" s="26"/>
      <c r="R29" s="26"/>
      <c r="S29" s="26"/>
      <c r="T29" s="26"/>
      <c r="U29" s="26"/>
      <c r="V29" s="26"/>
    </row>
    <row r="30" spans="1:22">
      <c r="A30" s="26"/>
      <c r="B30" s="26"/>
      <c r="C30" s="26"/>
      <c r="D30" s="26"/>
      <c r="E30" s="26"/>
      <c r="F30" s="26"/>
      <c r="H30" s="26" t="s">
        <v>19</v>
      </c>
      <c r="I30" s="26"/>
      <c r="J30" s="26"/>
      <c r="K30" s="26"/>
      <c r="L30" s="26"/>
      <c r="M30" s="26"/>
      <c r="N30" s="26"/>
      <c r="P30" s="26" t="s">
        <v>19</v>
      </c>
      <c r="Q30" s="26"/>
      <c r="R30" s="26"/>
      <c r="S30" s="26"/>
      <c r="T30" s="26"/>
      <c r="U30" s="26"/>
      <c r="V30" s="26"/>
    </row>
    <row r="31" spans="1:22">
      <c r="A31" s="26"/>
      <c r="B31" s="26"/>
      <c r="C31" s="26"/>
      <c r="D31" s="26"/>
      <c r="E31" s="26"/>
      <c r="F31" s="26"/>
      <c r="H31" s="26" t="s">
        <v>20</v>
      </c>
      <c r="I31" s="26"/>
      <c r="J31" s="26"/>
      <c r="K31" s="26"/>
      <c r="L31" s="26"/>
      <c r="M31" s="26"/>
      <c r="N31" s="26"/>
      <c r="P31" s="26" t="s">
        <v>2097</v>
      </c>
      <c r="Q31" s="26"/>
      <c r="R31" s="26"/>
      <c r="S31" s="26"/>
      <c r="T31" s="26"/>
      <c r="U31" s="26"/>
      <c r="V31" s="26"/>
    </row>
    <row r="32" spans="1:22">
      <c r="A32" s="26"/>
      <c r="B32" s="26"/>
      <c r="C32" s="26"/>
      <c r="D32" s="26"/>
      <c r="E32" s="26"/>
      <c r="F32" s="26"/>
      <c r="H32" s="26" t="s">
        <v>21</v>
      </c>
      <c r="I32" s="26"/>
      <c r="J32" s="26"/>
      <c r="K32" s="26"/>
      <c r="L32" s="26"/>
      <c r="M32" s="26"/>
      <c r="N32" s="26"/>
      <c r="P32" s="26"/>
      <c r="Q32" s="26"/>
      <c r="R32" s="26"/>
      <c r="S32" s="26"/>
      <c r="T32" s="26"/>
      <c r="U32" s="26"/>
    </row>
    <row r="33" spans="1:23">
      <c r="A33" s="26"/>
      <c r="B33" s="26"/>
      <c r="C33" s="26"/>
      <c r="D33" s="26"/>
      <c r="E33" s="26"/>
      <c r="F33" s="26"/>
      <c r="H33" s="26" t="s">
        <v>1229</v>
      </c>
      <c r="I33" s="26"/>
      <c r="J33" s="26"/>
      <c r="K33" s="26"/>
      <c r="L33" s="26"/>
      <c r="M33" s="26"/>
      <c r="N33" s="26"/>
      <c r="P33" s="26"/>
      <c r="Q33" s="26"/>
      <c r="R33" s="26"/>
      <c r="S33" s="26"/>
      <c r="T33" s="26"/>
      <c r="U33" s="26"/>
    </row>
    <row r="34" spans="1:23">
      <c r="H34" s="26"/>
      <c r="I34" s="26"/>
      <c r="J34" s="26"/>
      <c r="K34" s="26"/>
      <c r="L34" s="26"/>
      <c r="M34" s="26"/>
      <c r="N34" s="26"/>
    </row>
    <row r="35" spans="1:23">
      <c r="S35" s="30" t="s">
        <v>24</v>
      </c>
      <c r="T35" s="30"/>
      <c r="U35" s="30"/>
    </row>
    <row r="36" spans="1:23">
      <c r="D36" s="30" t="s">
        <v>24</v>
      </c>
      <c r="E36" s="30"/>
      <c r="F36" s="30"/>
      <c r="K36" s="605" t="s">
        <v>24</v>
      </c>
      <c r="L36" s="605"/>
      <c r="M36" s="605"/>
      <c r="N36" s="605"/>
      <c r="S36" s="30" t="s">
        <v>149</v>
      </c>
      <c r="T36" s="30"/>
      <c r="U36" s="30"/>
    </row>
    <row r="37" spans="1:23">
      <c r="C37" s="30"/>
      <c r="D37" s="30" t="s">
        <v>149</v>
      </c>
      <c r="E37" s="30"/>
      <c r="F37" s="30"/>
      <c r="K37" s="605" t="s">
        <v>1269</v>
      </c>
      <c r="L37" s="605"/>
      <c r="M37" s="605"/>
      <c r="N37" s="605"/>
      <c r="S37" s="699" t="s">
        <v>150</v>
      </c>
      <c r="T37" s="699"/>
      <c r="U37" s="699"/>
    </row>
    <row r="38" spans="1:23" ht="16.5" customHeight="1">
      <c r="C38" s="383"/>
      <c r="D38" s="315" t="s">
        <v>150</v>
      </c>
      <c r="E38" s="315"/>
      <c r="F38" s="315"/>
      <c r="K38" s="605" t="s">
        <v>152</v>
      </c>
      <c r="L38" s="605"/>
      <c r="M38" s="605"/>
      <c r="N38" s="605"/>
      <c r="S38" s="30"/>
    </row>
    <row r="40" spans="1:23" ht="17.25">
      <c r="D40" s="26"/>
      <c r="E40" s="26"/>
      <c r="F40" s="26"/>
      <c r="K40" s="26"/>
      <c r="L40" s="26"/>
      <c r="M40" s="26"/>
      <c r="N40" s="26"/>
      <c r="T40" s="375" t="s">
        <v>1715</v>
      </c>
    </row>
    <row r="41" spans="1:23" ht="18" customHeight="1">
      <c r="A41" s="26"/>
      <c r="B41" s="26"/>
      <c r="C41" s="645" t="s">
        <v>2347</v>
      </c>
      <c r="D41" s="645"/>
      <c r="E41" s="645"/>
      <c r="F41" s="645"/>
      <c r="G41" s="645"/>
      <c r="H41" s="26"/>
      <c r="I41" s="26"/>
      <c r="J41" s="26"/>
      <c r="K41" s="26"/>
      <c r="L41" s="26"/>
      <c r="M41" s="29"/>
      <c r="N41" s="29"/>
      <c r="P41" s="26"/>
      <c r="Q41" s="26"/>
      <c r="R41" s="26"/>
      <c r="S41" s="26"/>
      <c r="T41" s="26"/>
      <c r="U41" s="26"/>
      <c r="V41" s="26"/>
    </row>
    <row r="42" spans="1:23" ht="15.75" customHeight="1">
      <c r="A42" s="26"/>
      <c r="B42" s="26"/>
      <c r="C42" s="26"/>
      <c r="D42" s="645"/>
      <c r="E42" s="741"/>
      <c r="F42" s="741"/>
      <c r="G42" s="29"/>
      <c r="H42" s="26"/>
      <c r="I42" s="26"/>
      <c r="J42" s="26"/>
      <c r="K42" s="616" t="s">
        <v>2347</v>
      </c>
      <c r="L42" s="616"/>
      <c r="M42" s="616"/>
      <c r="N42" s="616"/>
      <c r="O42" s="29"/>
      <c r="P42" s="26"/>
      <c r="Q42" s="26"/>
      <c r="R42" s="26"/>
      <c r="S42" s="26"/>
      <c r="T42" s="26"/>
      <c r="U42" s="735"/>
      <c r="V42" s="735"/>
      <c r="W42" s="735"/>
    </row>
    <row r="43" spans="1:23" ht="18" customHeight="1">
      <c r="A43" s="26"/>
      <c r="B43" s="26"/>
      <c r="C43" s="26"/>
      <c r="G43" s="29"/>
      <c r="H43" s="384"/>
      <c r="I43" s="26"/>
      <c r="J43" s="26"/>
      <c r="O43" s="29"/>
      <c r="P43" s="384"/>
      <c r="Q43" s="26"/>
      <c r="R43" s="26"/>
      <c r="S43" s="26"/>
      <c r="T43" s="822"/>
      <c r="U43" s="823"/>
      <c r="V43" s="823"/>
      <c r="W43" s="29"/>
    </row>
    <row r="44" spans="1:23" ht="18" customHeight="1">
      <c r="A44" s="617"/>
      <c r="B44" s="617"/>
      <c r="C44" s="617"/>
      <c r="D44" s="617"/>
      <c r="E44" s="617"/>
      <c r="F44" s="617"/>
      <c r="G44" s="617"/>
      <c r="H44" s="617" t="s">
        <v>2567</v>
      </c>
      <c r="I44" s="617"/>
      <c r="J44" s="617"/>
      <c r="K44" s="617"/>
      <c r="L44" s="617"/>
      <c r="M44" s="617"/>
      <c r="N44" s="617"/>
      <c r="O44" s="617"/>
      <c r="P44" s="26"/>
      <c r="Q44" s="26"/>
      <c r="R44" s="26"/>
      <c r="S44" s="26"/>
      <c r="T44" s="26"/>
      <c r="U44" s="26"/>
    </row>
    <row r="45" spans="1:23" ht="15.75" customHeight="1"/>
    <row r="46" spans="1:23" ht="14.25" customHeight="1"/>
    <row r="47" spans="1:23" ht="43.5" customHeight="1">
      <c r="A47" s="646"/>
      <c r="B47" s="646"/>
      <c r="C47" s="646"/>
      <c r="D47" s="646"/>
      <c r="E47" s="646"/>
      <c r="F47" s="646"/>
      <c r="G47" s="646"/>
      <c r="H47" s="715" t="s">
        <v>1</v>
      </c>
      <c r="I47" s="715"/>
      <c r="J47" s="715"/>
      <c r="K47" s="715"/>
      <c r="L47" s="715"/>
      <c r="M47" s="715"/>
      <c r="N47" s="715"/>
      <c r="O47" s="715"/>
      <c r="P47" s="715" t="s">
        <v>1</v>
      </c>
      <c r="Q47" s="715"/>
      <c r="R47" s="715"/>
      <c r="S47" s="715"/>
      <c r="T47" s="715"/>
      <c r="U47" s="715"/>
      <c r="V47" s="715"/>
      <c r="W47" s="715"/>
    </row>
    <row r="49" spans="1:23" ht="18">
      <c r="A49" s="507" t="s">
        <v>706</v>
      </c>
      <c r="H49" s="448"/>
      <c r="I49" s="458" t="s">
        <v>2716</v>
      </c>
      <c r="P49" s="448"/>
      <c r="Q49" s="458" t="s">
        <v>2433</v>
      </c>
    </row>
    <row r="50" spans="1:23" ht="17.25" thickBot="1">
      <c r="F50" s="141"/>
      <c r="H50" s="30"/>
      <c r="N50" s="141"/>
      <c r="P50" s="30"/>
      <c r="V50" s="141"/>
    </row>
    <row r="51" spans="1:23">
      <c r="A51" s="30"/>
      <c r="E51" s="143"/>
      <c r="G51" s="144"/>
      <c r="I51" s="30"/>
      <c r="M51" s="143"/>
      <c r="O51" s="144"/>
      <c r="Q51" s="30"/>
      <c r="U51" s="143"/>
      <c r="W51" s="144"/>
    </row>
    <row r="52" spans="1:23" ht="17.25">
      <c r="E52" s="667" t="s">
        <v>2408</v>
      </c>
      <c r="F52" s="668"/>
      <c r="G52" s="669"/>
      <c r="M52" s="667" t="s">
        <v>1538</v>
      </c>
      <c r="N52" s="668"/>
      <c r="O52" s="669"/>
      <c r="U52" s="667" t="s">
        <v>1538</v>
      </c>
      <c r="V52" s="668"/>
      <c r="W52" s="669"/>
    </row>
    <row r="53" spans="1:23">
      <c r="C53" s="30"/>
      <c r="D53" s="30" t="s">
        <v>2</v>
      </c>
      <c r="E53" s="683" t="s">
        <v>2431</v>
      </c>
      <c r="F53" s="683"/>
      <c r="G53" s="684"/>
      <c r="H53" s="12" t="s">
        <v>114</v>
      </c>
      <c r="K53" s="249" t="s">
        <v>2</v>
      </c>
      <c r="M53" s="631"/>
      <c r="N53" s="631"/>
      <c r="O53" s="631"/>
      <c r="P53" s="12" t="s">
        <v>114</v>
      </c>
      <c r="S53" s="249" t="s">
        <v>2</v>
      </c>
      <c r="U53" s="631"/>
      <c r="V53" s="631"/>
      <c r="W53" s="631"/>
    </row>
    <row r="54" spans="1:23">
      <c r="E54" s="601" t="s">
        <v>163</v>
      </c>
      <c r="F54" s="602"/>
      <c r="G54" s="603"/>
      <c r="M54" s="631" t="s">
        <v>148</v>
      </c>
      <c r="N54" s="631"/>
      <c r="O54" s="631"/>
      <c r="U54" s="631" t="s">
        <v>148</v>
      </c>
      <c r="V54" s="631"/>
      <c r="W54" s="631"/>
    </row>
    <row r="55" spans="1:23" ht="17.25" thickBot="1">
      <c r="E55" s="140"/>
      <c r="F55" s="141"/>
      <c r="G55" s="142"/>
      <c r="M55" s="140"/>
      <c r="N55" s="141"/>
      <c r="O55" s="142"/>
      <c r="U55" s="140"/>
      <c r="V55" s="141"/>
      <c r="W55" s="142"/>
    </row>
    <row r="56" spans="1:23">
      <c r="A56" s="30" t="s">
        <v>27</v>
      </c>
      <c r="B56" s="30" t="s">
        <v>115</v>
      </c>
    </row>
    <row r="57" spans="1:23">
      <c r="A57" s="30" t="s">
        <v>2584</v>
      </c>
      <c r="H57" s="249" t="s">
        <v>27</v>
      </c>
      <c r="I57" s="394" t="s">
        <v>148</v>
      </c>
      <c r="J57" s="394"/>
      <c r="P57" s="249" t="s">
        <v>27</v>
      </c>
      <c r="Q57" s="394" t="s">
        <v>148</v>
      </c>
      <c r="R57" s="394"/>
    </row>
    <row r="58" spans="1:23" ht="17.25" customHeight="1" thickBot="1">
      <c r="A58" s="30"/>
    </row>
    <row r="59" spans="1:23" ht="17.25" customHeight="1" thickBot="1">
      <c r="A59" s="696" t="s">
        <v>4</v>
      </c>
      <c r="B59" s="697"/>
      <c r="C59" s="697"/>
      <c r="D59" s="697"/>
      <c r="E59" s="697"/>
      <c r="F59" s="698"/>
      <c r="G59" s="20" t="s">
        <v>5</v>
      </c>
      <c r="H59" s="13" t="s">
        <v>112</v>
      </c>
      <c r="I59" s="696" t="s">
        <v>4</v>
      </c>
      <c r="J59" s="697"/>
      <c r="K59" s="697"/>
      <c r="L59" s="697"/>
      <c r="M59" s="697"/>
      <c r="N59" s="698"/>
      <c r="O59" s="364" t="s">
        <v>5</v>
      </c>
      <c r="P59" s="13" t="s">
        <v>112</v>
      </c>
      <c r="Q59" s="696" t="s">
        <v>4</v>
      </c>
      <c r="R59" s="697"/>
      <c r="S59" s="697"/>
      <c r="T59" s="697"/>
      <c r="U59" s="697"/>
      <c r="V59" s="698"/>
      <c r="W59" s="364" t="s">
        <v>5</v>
      </c>
    </row>
    <row r="60" spans="1:23" ht="15.75" customHeight="1" thickBot="1">
      <c r="A60" s="143"/>
      <c r="B60" s="159"/>
      <c r="C60" s="159"/>
      <c r="D60" s="159"/>
      <c r="E60" s="159"/>
      <c r="F60" s="144"/>
      <c r="G60" s="65"/>
      <c r="H60" s="627" t="s">
        <v>2709</v>
      </c>
      <c r="I60" s="143"/>
      <c r="J60" s="159"/>
      <c r="K60" s="159"/>
      <c r="L60" s="159"/>
      <c r="M60" s="159"/>
      <c r="N60" s="159"/>
      <c r="O60" s="290"/>
      <c r="P60" s="627" t="s">
        <v>2714</v>
      </c>
      <c r="Q60" s="143"/>
      <c r="R60" s="159"/>
      <c r="S60" s="159"/>
      <c r="T60" s="159"/>
      <c r="U60" s="159"/>
      <c r="V60" s="159"/>
      <c r="W60" s="290"/>
    </row>
    <row r="61" spans="1:23" ht="17.25" thickBot="1">
      <c r="A61" s="598" t="s">
        <v>6</v>
      </c>
      <c r="B61" s="599"/>
      <c r="C61" s="599"/>
      <c r="D61" s="598" t="s">
        <v>7</v>
      </c>
      <c r="E61" s="599"/>
      <c r="F61" s="600"/>
      <c r="G61" s="65"/>
      <c r="H61" s="628"/>
      <c r="I61" s="630"/>
      <c r="J61" s="631"/>
      <c r="K61" s="631"/>
      <c r="L61" s="631"/>
      <c r="M61" s="631"/>
      <c r="N61" s="632"/>
      <c r="O61" s="291"/>
      <c r="P61" s="628"/>
      <c r="Q61" s="630"/>
      <c r="R61" s="631"/>
      <c r="S61" s="631"/>
      <c r="T61" s="631"/>
      <c r="U61" s="631"/>
      <c r="V61" s="631"/>
      <c r="W61" s="291"/>
    </row>
    <row r="62" spans="1:23" ht="18" thickBot="1">
      <c r="A62" s="17" t="s">
        <v>26</v>
      </c>
      <c r="B62" s="18" t="s">
        <v>8</v>
      </c>
      <c r="C62" s="19" t="s">
        <v>9</v>
      </c>
      <c r="D62" s="18" t="s">
        <v>10</v>
      </c>
      <c r="E62" s="19" t="s">
        <v>8</v>
      </c>
      <c r="F62" s="18" t="s">
        <v>11</v>
      </c>
      <c r="G62" s="65"/>
      <c r="H62" s="628"/>
      <c r="I62" s="66"/>
      <c r="J62" s="668" t="s">
        <v>2352</v>
      </c>
      <c r="K62" s="668"/>
      <c r="L62" s="668"/>
      <c r="M62" s="668"/>
      <c r="N62" s="367"/>
      <c r="O62" s="291"/>
      <c r="P62" s="628"/>
      <c r="Q62" s="66"/>
      <c r="R62" s="668" t="s">
        <v>2352</v>
      </c>
      <c r="S62" s="668"/>
      <c r="T62" s="668"/>
      <c r="U62" s="668"/>
      <c r="V62" s="367"/>
      <c r="W62" s="291"/>
    </row>
    <row r="63" spans="1:23" ht="15" customHeight="1">
      <c r="A63" s="237">
        <v>50</v>
      </c>
      <c r="B63" s="154">
        <v>10000</v>
      </c>
      <c r="C63" s="154">
        <f>A63*B63</f>
        <v>500000</v>
      </c>
      <c r="D63" s="154">
        <f>+A63</f>
        <v>50</v>
      </c>
      <c r="E63" s="154">
        <v>3500</v>
      </c>
      <c r="F63" s="161">
        <f>+D63*E63</f>
        <v>175000</v>
      </c>
      <c r="G63" s="39">
        <f>+C63+F63</f>
        <v>675000</v>
      </c>
      <c r="H63" s="628"/>
      <c r="I63" s="385"/>
      <c r="J63" s="604" t="s">
        <v>2717</v>
      </c>
      <c r="K63" s="604"/>
      <c r="L63" s="604"/>
      <c r="M63" s="604"/>
      <c r="N63" s="294"/>
      <c r="O63" s="248">
        <v>3642650</v>
      </c>
      <c r="P63" s="628"/>
      <c r="Q63" s="385"/>
      <c r="R63" s="604" t="s">
        <v>2719</v>
      </c>
      <c r="S63" s="604"/>
      <c r="T63" s="604"/>
      <c r="U63" s="604"/>
      <c r="V63" s="294"/>
      <c r="W63" s="248" t="s">
        <v>2720</v>
      </c>
    </row>
    <row r="64" spans="1:23" ht="15" customHeight="1">
      <c r="A64" s="64"/>
      <c r="F64" s="65"/>
      <c r="G64" s="65"/>
      <c r="H64" s="628"/>
      <c r="I64" s="64"/>
      <c r="J64" s="604"/>
      <c r="K64" s="604"/>
      <c r="L64" s="604"/>
      <c r="M64" s="604"/>
      <c r="O64" s="434"/>
      <c r="P64" s="628"/>
      <c r="Q64" s="64"/>
      <c r="R64" s="604"/>
      <c r="S64" s="604"/>
      <c r="T64" s="604"/>
      <c r="U64" s="604"/>
      <c r="W64" s="434"/>
    </row>
    <row r="65" spans="1:23" ht="15" customHeight="1">
      <c r="A65" s="64"/>
      <c r="F65" s="65"/>
      <c r="G65" s="65"/>
      <c r="H65" s="628"/>
      <c r="I65" s="647"/>
      <c r="J65" s="610"/>
      <c r="K65" s="610"/>
      <c r="L65" s="610"/>
      <c r="M65" s="610"/>
      <c r="N65" s="648"/>
      <c r="O65" s="434"/>
      <c r="P65" s="628"/>
      <c r="Q65" s="647"/>
      <c r="R65" s="610"/>
      <c r="S65" s="610"/>
      <c r="T65" s="610"/>
      <c r="U65" s="610"/>
      <c r="V65" s="648"/>
      <c r="W65" s="434"/>
    </row>
    <row r="66" spans="1:23" ht="15" customHeight="1" thickBot="1">
      <c r="A66" s="64"/>
      <c r="F66" s="65"/>
      <c r="G66" s="65"/>
      <c r="H66" s="629"/>
      <c r="I66" s="140"/>
      <c r="J66" s="141"/>
      <c r="K66" s="141"/>
      <c r="L66" s="141"/>
      <c r="M66" s="141"/>
      <c r="N66" s="141"/>
      <c r="O66" s="381"/>
      <c r="P66" s="629"/>
      <c r="Q66" s="140"/>
      <c r="R66" s="141"/>
      <c r="S66" s="141"/>
      <c r="T66" s="141"/>
      <c r="U66" s="141"/>
      <c r="V66" s="141"/>
      <c r="W66" s="381"/>
    </row>
    <row r="67" spans="1:23" ht="15.75" customHeight="1" thickBot="1">
      <c r="A67" s="140"/>
      <c r="B67" s="141"/>
      <c r="C67" s="141"/>
      <c r="D67" s="141"/>
      <c r="E67" s="141"/>
      <c r="F67" s="142"/>
      <c r="G67" s="65"/>
      <c r="H67" s="20" t="s">
        <v>12</v>
      </c>
      <c r="I67" s="611" t="s">
        <v>16</v>
      </c>
      <c r="J67" s="612"/>
      <c r="K67" s="62" t="s">
        <v>14</v>
      </c>
      <c r="L67" s="63"/>
      <c r="M67" s="62" t="s">
        <v>15</v>
      </c>
      <c r="N67" s="62" t="s">
        <v>16</v>
      </c>
      <c r="O67" s="393">
        <f>+O63+O64</f>
        <v>3642650</v>
      </c>
      <c r="P67" s="20" t="s">
        <v>12</v>
      </c>
      <c r="Q67" s="614" t="s">
        <v>16</v>
      </c>
      <c r="R67" s="615"/>
      <c r="S67" s="62" t="s">
        <v>14</v>
      </c>
      <c r="T67" s="63"/>
      <c r="U67" s="62" t="s">
        <v>15</v>
      </c>
      <c r="V67" s="62" t="s">
        <v>16</v>
      </c>
      <c r="W67" s="393">
        <v>1521250</v>
      </c>
    </row>
    <row r="68" spans="1:23" ht="18" thickBot="1">
      <c r="A68" s="611" t="s">
        <v>13</v>
      </c>
      <c r="B68" s="612"/>
      <c r="C68" s="21" t="s">
        <v>14</v>
      </c>
      <c r="D68" s="20"/>
      <c r="E68" s="21" t="s">
        <v>15</v>
      </c>
      <c r="F68" s="21" t="s">
        <v>16</v>
      </c>
      <c r="G68" s="20" t="s">
        <v>17</v>
      </c>
      <c r="H68" s="22" t="s">
        <v>18</v>
      </c>
      <c r="I68" s="606">
        <f>+O63</f>
        <v>3642650</v>
      </c>
      <c r="J68" s="652"/>
      <c r="K68" s="359"/>
      <c r="L68" s="24"/>
      <c r="M68" s="25">
        <f>0</f>
        <v>0</v>
      </c>
      <c r="N68" s="36">
        <f>+I68+K68</f>
        <v>3642650</v>
      </c>
      <c r="O68" s="38"/>
      <c r="P68" s="22" t="s">
        <v>18</v>
      </c>
      <c r="Q68" s="606" t="str">
        <f>+W63</f>
        <v>1 521250</v>
      </c>
      <c r="R68" s="607"/>
      <c r="S68" s="359"/>
      <c r="T68" s="24"/>
      <c r="U68" s="25">
        <f>0</f>
        <v>0</v>
      </c>
      <c r="V68" s="36">
        <v>1521250</v>
      </c>
      <c r="W68" s="38"/>
    </row>
    <row r="70" spans="1:23">
      <c r="A70" s="26"/>
      <c r="B70" s="26"/>
      <c r="C70" s="26"/>
      <c r="D70" s="26"/>
      <c r="E70" s="26"/>
      <c r="F70" s="26"/>
      <c r="H70" s="26" t="s">
        <v>2420</v>
      </c>
      <c r="I70" s="26"/>
      <c r="J70" s="26"/>
      <c r="K70" s="26"/>
      <c r="L70" s="26"/>
      <c r="M70" s="26"/>
      <c r="N70" s="26"/>
      <c r="P70" s="37" t="s">
        <v>2722</v>
      </c>
      <c r="Q70" s="26"/>
      <c r="R70" s="26"/>
      <c r="S70" s="26"/>
      <c r="T70" s="26"/>
      <c r="U70" s="26"/>
    </row>
    <row r="71" spans="1:23">
      <c r="A71" s="26"/>
      <c r="B71" s="26"/>
      <c r="C71" s="26"/>
      <c r="D71" s="26"/>
      <c r="E71" s="26"/>
      <c r="F71" s="26"/>
      <c r="H71" s="407" t="s">
        <v>2718</v>
      </c>
      <c r="I71" s="26"/>
      <c r="J71" s="26"/>
      <c r="K71" s="26"/>
      <c r="L71" s="26"/>
      <c r="M71" s="26"/>
      <c r="N71" s="26"/>
      <c r="P71" s="407" t="s">
        <v>2723</v>
      </c>
      <c r="Q71" s="82"/>
      <c r="R71" s="82"/>
      <c r="S71" s="82"/>
      <c r="T71" s="82"/>
      <c r="U71" s="82"/>
    </row>
    <row r="72" spans="1:23">
      <c r="A72" s="26"/>
      <c r="B72" s="26"/>
      <c r="C72" s="26"/>
      <c r="D72" s="26"/>
      <c r="E72" s="26"/>
      <c r="F72" s="26"/>
      <c r="H72" s="82" t="s">
        <v>19</v>
      </c>
      <c r="I72" s="26"/>
      <c r="J72" s="26"/>
      <c r="K72" s="26"/>
      <c r="L72" s="26"/>
      <c r="M72" s="26"/>
      <c r="N72" s="26"/>
      <c r="P72" s="26" t="s">
        <v>19</v>
      </c>
      <c r="Q72" s="26"/>
      <c r="R72" s="26"/>
      <c r="S72" s="26"/>
      <c r="T72" s="26"/>
      <c r="U72" s="26"/>
    </row>
    <row r="73" spans="1:23">
      <c r="A73" s="26"/>
      <c r="B73" s="26"/>
      <c r="C73" s="26"/>
      <c r="D73" s="26"/>
      <c r="E73" s="26"/>
      <c r="F73" s="26"/>
      <c r="H73" s="26" t="s">
        <v>965</v>
      </c>
      <c r="I73" s="26"/>
      <c r="J73" s="26"/>
      <c r="K73" s="26"/>
      <c r="L73" s="26"/>
      <c r="M73" s="26"/>
      <c r="N73" s="26"/>
      <c r="P73" s="26" t="s">
        <v>20</v>
      </c>
      <c r="Q73" s="26"/>
      <c r="R73" s="26"/>
      <c r="S73" s="26"/>
      <c r="T73" s="26"/>
      <c r="U73" s="26"/>
    </row>
    <row r="74" spans="1:23">
      <c r="A74" s="26"/>
      <c r="B74" s="26"/>
      <c r="C74" s="26"/>
      <c r="D74" s="26"/>
      <c r="E74" s="26"/>
      <c r="F74" s="26"/>
      <c r="H74" s="26" t="s">
        <v>21</v>
      </c>
      <c r="I74" s="26"/>
      <c r="J74" s="26"/>
      <c r="K74" s="26"/>
      <c r="L74" s="26"/>
      <c r="M74" s="26"/>
      <c r="N74" s="26"/>
      <c r="P74" s="26" t="s">
        <v>21</v>
      </c>
      <c r="Q74" s="26"/>
      <c r="R74" s="26"/>
      <c r="S74" s="26"/>
      <c r="T74" s="26"/>
      <c r="U74" s="26"/>
    </row>
    <row r="75" spans="1:23">
      <c r="A75" s="26"/>
      <c r="B75" s="26"/>
      <c r="C75" s="26"/>
      <c r="D75" s="26"/>
      <c r="E75" s="26"/>
      <c r="F75" s="26"/>
      <c r="H75" s="26" t="s">
        <v>1229</v>
      </c>
      <c r="I75" s="26"/>
      <c r="J75" s="26"/>
      <c r="K75" s="26"/>
      <c r="L75" s="26"/>
      <c r="M75" s="26"/>
      <c r="N75" s="26"/>
      <c r="P75" s="26" t="s">
        <v>1229</v>
      </c>
      <c r="Q75" s="26"/>
      <c r="R75" s="26"/>
      <c r="S75" s="26"/>
      <c r="T75" s="26"/>
      <c r="U75" s="26"/>
    </row>
    <row r="77" spans="1:23">
      <c r="D77" s="30"/>
      <c r="E77" s="30"/>
      <c r="F77" s="30"/>
    </row>
    <row r="78" spans="1:23">
      <c r="C78" s="30"/>
      <c r="D78" s="315" t="s">
        <v>150</v>
      </c>
      <c r="E78" s="315"/>
      <c r="F78" s="315"/>
      <c r="K78" s="30" t="s">
        <v>24</v>
      </c>
      <c r="L78" s="30"/>
      <c r="M78" s="30"/>
      <c r="S78" s="30"/>
      <c r="T78" s="30" t="s">
        <v>24</v>
      </c>
    </row>
    <row r="79" spans="1:23">
      <c r="C79" s="30"/>
      <c r="K79" s="30" t="s">
        <v>149</v>
      </c>
      <c r="L79" s="30"/>
      <c r="M79" s="30"/>
      <c r="S79" s="30" t="s">
        <v>25</v>
      </c>
      <c r="T79" s="30"/>
    </row>
    <row r="80" spans="1:23">
      <c r="D80" s="26"/>
      <c r="E80" s="26"/>
      <c r="F80" s="26"/>
      <c r="K80" s="315" t="s">
        <v>150</v>
      </c>
      <c r="L80" s="315"/>
      <c r="M80" s="315"/>
    </row>
    <row r="81" spans="1:22" ht="17.25" customHeight="1">
      <c r="C81" s="645" t="s">
        <v>2347</v>
      </c>
      <c r="D81" s="645"/>
      <c r="E81" s="645"/>
      <c r="F81" s="645"/>
      <c r="G81" s="645"/>
    </row>
    <row r="82" spans="1:22" ht="17.25" customHeight="1">
      <c r="A82" s="26"/>
      <c r="B82" s="26"/>
      <c r="C82" s="645"/>
      <c r="D82" s="645"/>
      <c r="E82" s="645"/>
      <c r="F82" s="645"/>
      <c r="G82" s="645"/>
      <c r="H82" s="26"/>
      <c r="I82" s="26"/>
      <c r="J82" s="26"/>
      <c r="K82" s="26"/>
      <c r="L82" s="26"/>
      <c r="M82" s="26"/>
      <c r="N82" s="26"/>
      <c r="P82" s="26"/>
      <c r="Q82" s="26"/>
      <c r="R82" s="26"/>
      <c r="S82" s="26"/>
      <c r="T82" s="26"/>
      <c r="U82" s="26"/>
    </row>
    <row r="83" spans="1:22" ht="18" customHeight="1">
      <c r="A83" s="26"/>
      <c r="B83" s="26"/>
      <c r="C83" s="26"/>
      <c r="G83" s="145"/>
      <c r="H83" s="26"/>
      <c r="I83" s="26"/>
      <c r="J83" s="26"/>
      <c r="K83" s="645"/>
      <c r="L83" s="645"/>
      <c r="M83" s="645"/>
      <c r="N83" s="645"/>
      <c r="O83" s="145"/>
      <c r="P83" s="26"/>
      <c r="Q83" s="26"/>
      <c r="R83" s="26"/>
      <c r="S83" s="26"/>
      <c r="T83" s="735"/>
      <c r="U83" s="735"/>
      <c r="V83" s="735"/>
    </row>
    <row r="84" spans="1:22" ht="18" customHeight="1">
      <c r="A84" s="26"/>
      <c r="B84" s="26"/>
      <c r="C84" s="26"/>
      <c r="G84" s="145"/>
      <c r="H84" s="26"/>
      <c r="I84" s="26"/>
      <c r="J84" s="26"/>
      <c r="K84" s="417"/>
      <c r="L84" s="417"/>
      <c r="M84" s="417"/>
      <c r="N84" s="417"/>
      <c r="O84" s="145"/>
      <c r="P84" s="26"/>
      <c r="Q84" s="26"/>
      <c r="R84" s="26"/>
      <c r="S84" s="26"/>
      <c r="T84" s="368"/>
      <c r="U84" s="368"/>
      <c r="V84" s="368"/>
    </row>
    <row r="85" spans="1:22" ht="16.5" customHeight="1">
      <c r="A85" s="26"/>
      <c r="B85" s="26"/>
      <c r="C85" s="26"/>
      <c r="G85" s="145"/>
      <c r="H85" s="26"/>
      <c r="I85" s="26"/>
      <c r="J85" s="26"/>
      <c r="K85" s="645"/>
      <c r="L85" s="645"/>
      <c r="M85" s="645"/>
      <c r="N85" s="645"/>
      <c r="O85" s="145"/>
      <c r="P85" s="26"/>
      <c r="Q85" s="26"/>
      <c r="R85" s="26"/>
      <c r="S85" s="26"/>
      <c r="T85" s="368"/>
      <c r="U85" s="368"/>
      <c r="V85" s="368"/>
    </row>
    <row r="86" spans="1:22" ht="20.25" customHeight="1">
      <c r="A86" s="617"/>
      <c r="B86" s="617"/>
      <c r="C86" s="617"/>
      <c r="D86" s="617"/>
      <c r="E86" s="617"/>
      <c r="F86" s="617"/>
      <c r="G86" s="617"/>
      <c r="I86" s="617" t="s">
        <v>0</v>
      </c>
      <c r="J86" s="617"/>
      <c r="K86" s="617"/>
      <c r="L86" s="617"/>
      <c r="M86" s="617"/>
      <c r="N86" s="617"/>
      <c r="O86" s="617"/>
      <c r="Q86" s="617" t="s">
        <v>0</v>
      </c>
      <c r="R86" s="617"/>
      <c r="S86" s="617"/>
      <c r="T86" s="617"/>
      <c r="U86" s="617"/>
      <c r="V86" s="617"/>
    </row>
    <row r="89" spans="1:22" ht="45" customHeight="1">
      <c r="A89" s="646"/>
      <c r="B89" s="646"/>
      <c r="C89" s="646"/>
      <c r="D89" s="646"/>
      <c r="E89" s="646"/>
      <c r="F89" s="646"/>
      <c r="G89" s="646"/>
      <c r="H89" s="646" t="s">
        <v>1</v>
      </c>
      <c r="I89" s="646"/>
      <c r="J89" s="646"/>
      <c r="K89" s="646"/>
      <c r="L89" s="646"/>
      <c r="M89" s="646"/>
      <c r="N89" s="646"/>
      <c r="O89" s="646"/>
      <c r="R89" s="688" t="s">
        <v>1</v>
      </c>
      <c r="S89" s="688"/>
      <c r="T89" s="688"/>
    </row>
    <row r="91" spans="1:22" ht="17.25">
      <c r="A91" s="503" t="s">
        <v>2433</v>
      </c>
      <c r="H91" s="375"/>
      <c r="I91" s="375" t="s">
        <v>726</v>
      </c>
      <c r="P91" s="30" t="s">
        <v>118</v>
      </c>
    </row>
    <row r="92" spans="1:22" ht="17.25" thickBot="1">
      <c r="F92" s="141"/>
      <c r="H92" s="30"/>
      <c r="N92" s="141"/>
      <c r="P92" s="30"/>
      <c r="U92" s="141"/>
    </row>
    <row r="93" spans="1:22">
      <c r="A93" s="30"/>
      <c r="E93" s="143"/>
      <c r="G93" s="144"/>
      <c r="I93" s="30"/>
      <c r="M93" s="143"/>
      <c r="O93" s="144"/>
      <c r="Q93" s="30"/>
      <c r="T93" s="143"/>
      <c r="V93" s="144"/>
    </row>
    <row r="94" spans="1:22" ht="15" customHeight="1">
      <c r="E94" s="667" t="s">
        <v>815</v>
      </c>
      <c r="F94" s="668"/>
      <c r="G94" s="669"/>
      <c r="M94" s="711" t="s">
        <v>2263</v>
      </c>
      <c r="N94" s="694"/>
      <c r="O94" s="712"/>
      <c r="T94" s="64"/>
      <c r="U94" s="191" t="s">
        <v>32</v>
      </c>
      <c r="V94" s="65"/>
    </row>
    <row r="95" spans="1:22">
      <c r="A95" s="12" t="s">
        <v>114</v>
      </c>
      <c r="C95" s="30"/>
      <c r="D95" s="30" t="s">
        <v>2</v>
      </c>
      <c r="E95" s="683" t="s">
        <v>1379</v>
      </c>
      <c r="F95" s="683"/>
      <c r="G95" s="684"/>
      <c r="H95" s="12" t="s">
        <v>114</v>
      </c>
      <c r="K95" s="249" t="s">
        <v>1663</v>
      </c>
      <c r="M95" s="828" t="s">
        <v>2264</v>
      </c>
      <c r="N95" s="828"/>
      <c r="O95" s="829"/>
      <c r="S95" s="30" t="s">
        <v>2</v>
      </c>
      <c r="V95" s="65"/>
    </row>
    <row r="96" spans="1:22">
      <c r="E96" s="601" t="s">
        <v>163</v>
      </c>
      <c r="F96" s="602"/>
      <c r="G96" s="603"/>
      <c r="M96" s="601" t="s">
        <v>163</v>
      </c>
      <c r="N96" s="602"/>
      <c r="O96" s="603"/>
      <c r="P96" s="12" t="s">
        <v>114</v>
      </c>
      <c r="T96" s="64"/>
      <c r="U96" s="192" t="s">
        <v>29</v>
      </c>
      <c r="V96" s="65"/>
    </row>
    <row r="97" spans="1:22" ht="17.25" thickBot="1">
      <c r="E97" s="140"/>
      <c r="F97" s="141"/>
      <c r="G97" s="142"/>
      <c r="M97" s="140"/>
      <c r="N97" s="141"/>
      <c r="O97" s="142"/>
      <c r="T97" s="140"/>
      <c r="U97" s="141"/>
      <c r="V97" s="142"/>
    </row>
    <row r="99" spans="1:22">
      <c r="A99" s="30" t="s">
        <v>27</v>
      </c>
      <c r="B99" s="30" t="s">
        <v>115</v>
      </c>
      <c r="H99" s="249" t="s">
        <v>27</v>
      </c>
      <c r="I99" s="394" t="s">
        <v>148</v>
      </c>
      <c r="P99" s="30" t="s">
        <v>27</v>
      </c>
      <c r="Q99" s="12" t="s">
        <v>29</v>
      </c>
    </row>
    <row r="100" spans="1:22">
      <c r="A100" s="30" t="s">
        <v>142</v>
      </c>
      <c r="B100" s="30" t="s">
        <v>2434</v>
      </c>
      <c r="H100" s="30"/>
      <c r="P100" s="30"/>
    </row>
    <row r="101" spans="1:22" ht="17.25" thickBot="1"/>
    <row r="102" spans="1:22" ht="17.25" customHeight="1" thickBot="1">
      <c r="A102" s="696" t="s">
        <v>4</v>
      </c>
      <c r="B102" s="697"/>
      <c r="C102" s="697"/>
      <c r="D102" s="697"/>
      <c r="E102" s="697"/>
      <c r="F102" s="698"/>
      <c r="G102" s="20" t="s">
        <v>5</v>
      </c>
      <c r="H102" s="13" t="s">
        <v>112</v>
      </c>
      <c r="I102" s="624" t="s">
        <v>4</v>
      </c>
      <c r="J102" s="625"/>
      <c r="K102" s="625"/>
      <c r="L102" s="625"/>
      <c r="M102" s="625"/>
      <c r="N102" s="626"/>
      <c r="O102" s="20" t="s">
        <v>5</v>
      </c>
      <c r="P102" s="119" t="s">
        <v>3</v>
      </c>
      <c r="Q102" s="824" t="s">
        <v>4</v>
      </c>
      <c r="R102" s="825"/>
      <c r="S102" s="825"/>
      <c r="T102" s="825"/>
      <c r="U102" s="826"/>
      <c r="V102" s="376" t="s">
        <v>5</v>
      </c>
    </row>
    <row r="103" spans="1:22" ht="15.75" customHeight="1" thickBot="1">
      <c r="A103" s="143"/>
      <c r="B103" s="159"/>
      <c r="C103" s="159"/>
      <c r="D103" s="159"/>
      <c r="E103" s="159"/>
      <c r="F103" s="144"/>
      <c r="G103" s="65"/>
      <c r="H103" s="627" t="s">
        <v>2261</v>
      </c>
      <c r="I103" s="143"/>
      <c r="J103" s="159"/>
      <c r="K103" s="159"/>
      <c r="L103" s="159"/>
      <c r="M103" s="159"/>
      <c r="N103" s="144"/>
      <c r="O103" s="245"/>
      <c r="P103" s="812">
        <v>2015</v>
      </c>
      <c r="Q103" s="813"/>
      <c r="R103" s="814"/>
      <c r="S103" s="814"/>
      <c r="T103" s="814"/>
      <c r="U103" s="815"/>
      <c r="V103" s="290"/>
    </row>
    <row r="104" spans="1:22" ht="18" thickBot="1">
      <c r="A104" s="598" t="s">
        <v>6</v>
      </c>
      <c r="B104" s="599"/>
      <c r="C104" s="599"/>
      <c r="D104" s="598" t="s">
        <v>7</v>
      </c>
      <c r="E104" s="599"/>
      <c r="F104" s="600"/>
      <c r="G104" s="65"/>
      <c r="H104" s="628"/>
      <c r="I104" s="64"/>
      <c r="J104" s="668"/>
      <c r="K104" s="668"/>
      <c r="L104" s="668"/>
      <c r="M104" s="668"/>
      <c r="N104" s="65"/>
      <c r="O104" s="245"/>
      <c r="P104" s="812"/>
      <c r="Q104" s="816" t="s">
        <v>141</v>
      </c>
      <c r="R104" s="817"/>
      <c r="S104" s="817"/>
      <c r="T104" s="817"/>
      <c r="U104" s="818"/>
      <c r="V104" s="291"/>
    </row>
    <row r="105" spans="1:22" ht="18" thickBot="1">
      <c r="A105" s="17" t="s">
        <v>26</v>
      </c>
      <c r="B105" s="18" t="s">
        <v>8</v>
      </c>
      <c r="C105" s="19" t="s">
        <v>9</v>
      </c>
      <c r="D105" s="18" t="s">
        <v>10</v>
      </c>
      <c r="E105" s="19" t="s">
        <v>8</v>
      </c>
      <c r="F105" s="18" t="s">
        <v>11</v>
      </c>
      <c r="G105" s="65"/>
      <c r="H105" s="628"/>
      <c r="I105" s="66"/>
      <c r="J105" s="668" t="s">
        <v>2245</v>
      </c>
      <c r="K105" s="668"/>
      <c r="L105" s="668"/>
      <c r="M105" s="668"/>
      <c r="N105" s="67"/>
      <c r="O105" s="245">
        <v>2500000</v>
      </c>
      <c r="P105" s="812"/>
      <c r="Q105" s="150" t="s">
        <v>26</v>
      </c>
      <c r="R105" s="117" t="s">
        <v>8</v>
      </c>
      <c r="S105" s="117" t="s">
        <v>9</v>
      </c>
      <c r="T105" s="117" t="s">
        <v>8</v>
      </c>
      <c r="U105" s="122" t="s">
        <v>11</v>
      </c>
      <c r="V105" s="291"/>
    </row>
    <row r="106" spans="1:22" ht="15" customHeight="1">
      <c r="A106" s="237">
        <v>78</v>
      </c>
      <c r="B106" s="438">
        <v>10000</v>
      </c>
      <c r="C106" s="438">
        <f>A106*B106</f>
        <v>780000</v>
      </c>
      <c r="D106" s="154">
        <f>+A106</f>
        <v>78</v>
      </c>
      <c r="E106" s="154">
        <v>3500</v>
      </c>
      <c r="F106" s="161">
        <f>+D106*E106</f>
        <v>273000</v>
      </c>
      <c r="G106" s="162">
        <f>C106+F106</f>
        <v>1053000</v>
      </c>
      <c r="H106" s="628"/>
      <c r="I106" s="385"/>
      <c r="J106" s="201"/>
      <c r="K106" s="604"/>
      <c r="L106" s="604"/>
      <c r="M106" s="187"/>
      <c r="N106" s="132"/>
      <c r="O106" s="224"/>
      <c r="P106" s="812"/>
      <c r="Q106" s="377">
        <v>9</v>
      </c>
      <c r="R106" s="378">
        <v>15000</v>
      </c>
      <c r="S106" s="378">
        <f>Q106*R106</f>
        <v>135000</v>
      </c>
      <c r="T106" s="378"/>
      <c r="U106" s="379"/>
      <c r="V106" s="148">
        <f>+S106+U106</f>
        <v>135000</v>
      </c>
    </row>
    <row r="107" spans="1:22" ht="15" customHeight="1">
      <c r="A107" s="64"/>
      <c r="F107" s="65"/>
      <c r="G107" s="65"/>
      <c r="H107" s="628"/>
      <c r="I107" s="64"/>
      <c r="J107" s="30"/>
      <c r="K107" s="30"/>
      <c r="L107" s="30"/>
      <c r="N107" s="65"/>
      <c r="O107" s="224"/>
      <c r="P107" s="812"/>
      <c r="Q107" s="380"/>
      <c r="R107" s="151"/>
      <c r="S107" s="151"/>
      <c r="T107" s="151"/>
      <c r="U107" s="151"/>
      <c r="V107" s="291"/>
    </row>
    <row r="108" spans="1:22" ht="15" customHeight="1" thickBot="1">
      <c r="A108" s="64"/>
      <c r="F108" s="65"/>
      <c r="G108" s="65"/>
      <c r="H108" s="629"/>
      <c r="I108" s="140"/>
      <c r="J108" s="141"/>
      <c r="K108" s="141"/>
      <c r="L108" s="141"/>
      <c r="M108" s="141"/>
      <c r="N108" s="142"/>
      <c r="O108" s="245"/>
      <c r="P108" s="812"/>
      <c r="Q108" s="64"/>
      <c r="V108" s="291"/>
    </row>
    <row r="109" spans="1:22" ht="15.75" customHeight="1" thickBot="1">
      <c r="A109" s="140"/>
      <c r="B109" s="141"/>
      <c r="C109" s="141"/>
      <c r="D109" s="141"/>
      <c r="E109" s="141"/>
      <c r="F109" s="142"/>
      <c r="G109" s="65"/>
      <c r="H109" s="20" t="s">
        <v>12</v>
      </c>
      <c r="I109" s="614" t="s">
        <v>13</v>
      </c>
      <c r="J109" s="615"/>
      <c r="K109" s="62" t="s">
        <v>14</v>
      </c>
      <c r="L109" s="63"/>
      <c r="M109" s="62" t="s">
        <v>15</v>
      </c>
      <c r="N109" s="62" t="s">
        <v>16</v>
      </c>
      <c r="O109" s="20" t="s">
        <v>17</v>
      </c>
      <c r="P109" s="812"/>
      <c r="Q109" s="140"/>
      <c r="R109" s="141"/>
      <c r="S109" s="141"/>
      <c r="T109" s="141"/>
      <c r="U109" s="141"/>
      <c r="V109" s="381"/>
    </row>
    <row r="110" spans="1:22" ht="18" thickBot="1">
      <c r="A110" s="611" t="s">
        <v>13</v>
      </c>
      <c r="B110" s="612"/>
      <c r="C110" s="21" t="s">
        <v>14</v>
      </c>
      <c r="D110" s="20"/>
      <c r="E110" s="21" t="s">
        <v>15</v>
      </c>
      <c r="F110" s="21" t="s">
        <v>16</v>
      </c>
      <c r="G110" s="20" t="s">
        <v>17</v>
      </c>
      <c r="H110" s="22" t="s">
        <v>18</v>
      </c>
      <c r="I110" s="606">
        <f>+O105</f>
        <v>2500000</v>
      </c>
      <c r="J110" s="607"/>
      <c r="K110" s="23">
        <f>0</f>
        <v>0</v>
      </c>
      <c r="L110" s="24"/>
      <c r="M110" s="25">
        <f>0</f>
        <v>0</v>
      </c>
      <c r="N110" s="36">
        <f>+I110</f>
        <v>2500000</v>
      </c>
      <c r="O110" s="38">
        <f>+O105</f>
        <v>2500000</v>
      </c>
      <c r="P110" s="121" t="s">
        <v>12</v>
      </c>
      <c r="Q110" s="809" t="s">
        <v>13</v>
      </c>
      <c r="R110" s="810"/>
      <c r="S110" s="354" t="s">
        <v>14</v>
      </c>
      <c r="T110" s="354" t="s">
        <v>15</v>
      </c>
      <c r="U110" s="149" t="s">
        <v>16</v>
      </c>
      <c r="V110" s="382" t="s">
        <v>17</v>
      </c>
    </row>
    <row r="111" spans="1:22" ht="18" thickBot="1">
      <c r="A111" s="606">
        <f>+G106</f>
        <v>1053000</v>
      </c>
      <c r="B111" s="607"/>
      <c r="C111" s="23">
        <f>0</f>
        <v>0</v>
      </c>
      <c r="D111" s="24"/>
      <c r="E111" s="25">
        <f>0</f>
        <v>0</v>
      </c>
      <c r="F111" s="36">
        <f>+G111</f>
        <v>1053000</v>
      </c>
      <c r="G111" s="38">
        <f>+G106</f>
        <v>1053000</v>
      </c>
      <c r="H111" s="22" t="s">
        <v>113</v>
      </c>
      <c r="I111" s="606">
        <f>+I110/650.599</f>
        <v>3842.6127307296811</v>
      </c>
      <c r="J111" s="607"/>
      <c r="K111" s="23">
        <f>0</f>
        <v>0</v>
      </c>
      <c r="L111" s="24"/>
      <c r="M111" s="25">
        <f>0</f>
        <v>0</v>
      </c>
      <c r="N111" s="36">
        <f>+N107</f>
        <v>0</v>
      </c>
      <c r="O111" s="77">
        <f>+I111</f>
        <v>3842.6127307296811</v>
      </c>
      <c r="P111" s="120" t="s">
        <v>18</v>
      </c>
      <c r="Q111" s="714">
        <f>+S106</f>
        <v>135000</v>
      </c>
      <c r="R111" s="811"/>
      <c r="S111" s="369">
        <f>0</f>
        <v>0</v>
      </c>
      <c r="T111" s="118">
        <f>0</f>
        <v>0</v>
      </c>
      <c r="U111" s="123">
        <f>+U106</f>
        <v>0</v>
      </c>
      <c r="V111" s="124">
        <f>+V106</f>
        <v>135000</v>
      </c>
    </row>
    <row r="113" spans="1:22">
      <c r="A113" s="26"/>
      <c r="B113" s="26"/>
      <c r="C113" s="26"/>
      <c r="D113" s="26"/>
      <c r="E113" s="26"/>
      <c r="F113" s="26"/>
      <c r="H113" s="26" t="s">
        <v>1530</v>
      </c>
      <c r="I113" s="26"/>
      <c r="J113" s="26"/>
      <c r="K113" s="26"/>
      <c r="L113" s="26"/>
      <c r="M113" s="26"/>
      <c r="N113" s="26"/>
      <c r="P113" s="37" t="s">
        <v>140</v>
      </c>
      <c r="Q113" s="26"/>
      <c r="R113" s="26"/>
      <c r="S113" s="26"/>
      <c r="T113" s="26"/>
      <c r="U113" s="26"/>
    </row>
    <row r="114" spans="1:22">
      <c r="A114" s="26"/>
      <c r="B114" s="26"/>
      <c r="C114" s="26"/>
      <c r="D114" s="26"/>
      <c r="E114" s="26"/>
      <c r="F114" s="26"/>
      <c r="H114" s="82" t="s">
        <v>2265</v>
      </c>
      <c r="I114" s="26"/>
      <c r="J114" s="26"/>
      <c r="K114" s="26"/>
      <c r="L114" s="26"/>
      <c r="M114" s="26"/>
      <c r="N114" s="26"/>
      <c r="P114" s="37"/>
      <c r="Q114" s="26"/>
      <c r="R114" s="26"/>
      <c r="S114" s="26"/>
      <c r="T114" s="26"/>
      <c r="U114" s="26"/>
    </row>
    <row r="115" spans="1:22">
      <c r="A115" s="26"/>
      <c r="B115" s="26"/>
      <c r="C115" s="26"/>
      <c r="D115" s="26"/>
      <c r="E115" s="26"/>
      <c r="F115" s="26"/>
      <c r="H115" s="26" t="s">
        <v>19</v>
      </c>
      <c r="I115" s="26"/>
      <c r="J115" s="26"/>
      <c r="K115" s="26"/>
      <c r="L115" s="26"/>
      <c r="M115" s="26"/>
      <c r="N115" s="26"/>
      <c r="P115" s="26" t="s">
        <v>19</v>
      </c>
      <c r="Q115" s="26"/>
      <c r="R115" s="26"/>
      <c r="S115" s="26"/>
      <c r="T115" s="26"/>
      <c r="U115" s="26"/>
    </row>
    <row r="116" spans="1:22">
      <c r="A116" s="26"/>
      <c r="B116" s="26"/>
      <c r="C116" s="26"/>
      <c r="D116" s="26"/>
      <c r="E116" s="26"/>
      <c r="F116" s="26"/>
      <c r="H116" s="26" t="s">
        <v>965</v>
      </c>
      <c r="I116" s="26"/>
      <c r="J116" s="26"/>
      <c r="K116" s="26"/>
      <c r="L116" s="26"/>
      <c r="M116" s="26"/>
      <c r="N116" s="26"/>
      <c r="P116" s="26" t="s">
        <v>20</v>
      </c>
      <c r="Q116" s="26"/>
      <c r="R116" s="26"/>
      <c r="S116" s="26"/>
      <c r="T116" s="26"/>
      <c r="U116" s="26"/>
    </row>
    <row r="117" spans="1:22">
      <c r="A117" s="26"/>
      <c r="B117" s="26"/>
      <c r="C117" s="26"/>
      <c r="D117" s="26"/>
      <c r="E117" s="26"/>
      <c r="F117" s="26"/>
      <c r="H117" s="26" t="s">
        <v>21</v>
      </c>
      <c r="I117" s="26"/>
      <c r="J117" s="26"/>
      <c r="K117" s="26"/>
      <c r="L117" s="26"/>
      <c r="M117" s="26"/>
      <c r="N117" s="26"/>
      <c r="P117" s="26" t="s">
        <v>21</v>
      </c>
      <c r="Q117" s="26"/>
      <c r="R117" s="26"/>
      <c r="S117" s="26"/>
      <c r="T117" s="26"/>
      <c r="U117" s="26"/>
    </row>
    <row r="118" spans="1:22">
      <c r="A118" s="26"/>
      <c r="B118" s="26"/>
      <c r="C118" s="26"/>
      <c r="D118" s="26"/>
      <c r="E118" s="26"/>
      <c r="F118" s="26"/>
      <c r="H118" s="26" t="s">
        <v>1229</v>
      </c>
      <c r="I118" s="26"/>
      <c r="J118" s="26"/>
      <c r="K118" s="26"/>
      <c r="L118" s="26"/>
      <c r="M118" s="26"/>
      <c r="N118" s="26"/>
      <c r="P118" s="26" t="s">
        <v>1229</v>
      </c>
      <c r="Q118" s="26"/>
      <c r="R118" s="26"/>
      <c r="S118" s="26"/>
      <c r="T118" s="26"/>
      <c r="U118" s="26"/>
    </row>
    <row r="121" spans="1:22">
      <c r="D121" s="30" t="s">
        <v>24</v>
      </c>
      <c r="E121" s="30"/>
      <c r="F121" s="30"/>
      <c r="K121" s="30"/>
      <c r="L121" s="30"/>
      <c r="M121" s="30"/>
      <c r="N121" s="30"/>
    </row>
    <row r="122" spans="1:22">
      <c r="C122" s="30"/>
      <c r="D122" s="30" t="s">
        <v>149</v>
      </c>
      <c r="E122" s="30"/>
      <c r="F122" s="30"/>
      <c r="K122" s="167"/>
      <c r="L122" s="167"/>
      <c r="M122" s="167"/>
      <c r="N122" s="167"/>
      <c r="S122" s="30"/>
      <c r="T122" s="30" t="s">
        <v>24</v>
      </c>
    </row>
    <row r="123" spans="1:22">
      <c r="C123" s="30"/>
      <c r="D123" s="699" t="s">
        <v>150</v>
      </c>
      <c r="E123" s="699"/>
      <c r="F123" s="699"/>
      <c r="K123" s="604"/>
      <c r="L123" s="604"/>
      <c r="M123" s="604"/>
      <c r="N123" s="604"/>
      <c r="S123" s="30" t="s">
        <v>25</v>
      </c>
      <c r="T123" s="30"/>
    </row>
    <row r="124" spans="1:22">
      <c r="G124" s="82"/>
    </row>
    <row r="125" spans="1:22">
      <c r="D125" s="26"/>
      <c r="E125" s="26"/>
      <c r="F125" s="26"/>
      <c r="K125" s="30" t="s">
        <v>24</v>
      </c>
      <c r="L125" s="30"/>
      <c r="M125" s="30"/>
      <c r="N125" s="30"/>
    </row>
    <row r="126" spans="1:22" ht="17.25">
      <c r="A126" s="26"/>
      <c r="B126" s="26"/>
      <c r="C126" s="645" t="s">
        <v>2347</v>
      </c>
      <c r="D126" s="645"/>
      <c r="E126" s="645"/>
      <c r="F126" s="645"/>
      <c r="G126" s="645"/>
      <c r="H126" s="26"/>
      <c r="I126" s="26"/>
      <c r="J126" s="26"/>
      <c r="K126" s="167" t="s">
        <v>149</v>
      </c>
      <c r="L126" s="167"/>
      <c r="M126" s="167"/>
      <c r="N126" s="167"/>
      <c r="P126" s="26"/>
      <c r="Q126" s="26"/>
      <c r="R126" s="26"/>
      <c r="S126" s="26"/>
      <c r="T126" s="26"/>
      <c r="U126" s="26"/>
    </row>
    <row r="127" spans="1:22" ht="18" customHeight="1">
      <c r="A127" s="26"/>
      <c r="B127" s="26"/>
      <c r="C127" s="645"/>
      <c r="D127" s="645"/>
      <c r="E127" s="645"/>
      <c r="F127" s="645"/>
      <c r="G127" s="645"/>
      <c r="H127" s="26"/>
      <c r="I127" s="26"/>
      <c r="J127" s="26"/>
      <c r="K127" s="604" t="s">
        <v>150</v>
      </c>
      <c r="L127" s="604"/>
      <c r="M127" s="604"/>
      <c r="N127" s="604"/>
      <c r="P127" s="26"/>
      <c r="Q127" s="26"/>
      <c r="R127" s="26"/>
      <c r="S127" s="26"/>
      <c r="T127" s="735"/>
      <c r="U127" s="735"/>
      <c r="V127" s="735"/>
    </row>
    <row r="128" spans="1:22" ht="18" customHeight="1">
      <c r="A128" s="26"/>
      <c r="B128" s="26"/>
      <c r="C128" s="26"/>
      <c r="D128" s="757"/>
      <c r="E128" s="735"/>
      <c r="F128" s="735"/>
      <c r="G128" s="296"/>
      <c r="H128" s="384"/>
      <c r="I128" s="26"/>
      <c r="J128" s="26"/>
      <c r="O128" s="362"/>
      <c r="P128" s="384"/>
      <c r="Q128" s="26"/>
      <c r="R128" s="26"/>
      <c r="S128" s="26"/>
      <c r="T128" s="735" t="s">
        <v>23</v>
      </c>
      <c r="U128" s="735"/>
      <c r="V128" s="735"/>
    </row>
    <row r="129" spans="1:22" ht="18" customHeight="1">
      <c r="A129" s="617"/>
      <c r="B129" s="617"/>
      <c r="C129" s="617"/>
      <c r="D129" s="617"/>
      <c r="E129" s="617"/>
      <c r="F129" s="617"/>
      <c r="G129" s="617"/>
      <c r="H129" s="384"/>
      <c r="I129" s="617"/>
      <c r="J129" s="617"/>
      <c r="K129" s="617"/>
      <c r="L129" s="617"/>
      <c r="M129" s="617"/>
      <c r="N129" s="617"/>
      <c r="O129" s="617"/>
      <c r="P129" s="384"/>
      <c r="Q129" s="26"/>
      <c r="R129" s="26"/>
      <c r="S129" s="26"/>
      <c r="T129" s="368"/>
      <c r="U129" s="368"/>
      <c r="V129" s="368"/>
    </row>
    <row r="130" spans="1:22">
      <c r="I130" s="396"/>
      <c r="J130" s="396"/>
      <c r="K130" s="396"/>
      <c r="L130" s="396"/>
      <c r="M130" s="396"/>
      <c r="N130" s="396"/>
      <c r="O130" s="396"/>
      <c r="Q130" s="617" t="s">
        <v>0</v>
      </c>
      <c r="R130" s="617"/>
      <c r="S130" s="617"/>
      <c r="T130" s="617"/>
      <c r="U130" s="617"/>
      <c r="V130" s="617"/>
    </row>
    <row r="133" spans="1:22" ht="40.5" customHeight="1">
      <c r="B133" s="688" t="s">
        <v>1</v>
      </c>
      <c r="C133" s="688"/>
      <c r="D133" s="688"/>
      <c r="E133" s="688"/>
      <c r="H133" s="642" t="s">
        <v>2177</v>
      </c>
      <c r="I133" s="642"/>
      <c r="J133" s="642"/>
      <c r="K133" s="642"/>
      <c r="L133" s="642"/>
      <c r="M133" s="642"/>
      <c r="N133" s="642"/>
      <c r="O133" s="642"/>
      <c r="R133" s="688" t="s">
        <v>1</v>
      </c>
      <c r="S133" s="688"/>
      <c r="T133" s="688"/>
    </row>
    <row r="134" spans="1:22" ht="15.75" customHeight="1"/>
    <row r="135" spans="1:22" ht="17.25">
      <c r="A135" s="375" t="s">
        <v>706</v>
      </c>
      <c r="H135" s="375"/>
      <c r="I135" s="503" t="s">
        <v>2176</v>
      </c>
      <c r="P135" s="30" t="s">
        <v>116</v>
      </c>
    </row>
    <row r="136" spans="1:22" ht="17.25" thickBot="1">
      <c r="F136" s="141"/>
      <c r="H136" s="30"/>
      <c r="N136" s="141"/>
      <c r="P136" s="30"/>
      <c r="U136" s="141"/>
    </row>
    <row r="137" spans="1:22">
      <c r="A137" s="30"/>
      <c r="E137" s="143"/>
      <c r="G137" s="144"/>
      <c r="I137" s="30"/>
      <c r="M137" s="143"/>
      <c r="O137" s="144"/>
      <c r="Q137" s="30"/>
      <c r="T137" s="143"/>
      <c r="V137" s="144"/>
    </row>
    <row r="138" spans="1:22" ht="17.25">
      <c r="E138" s="667" t="s">
        <v>815</v>
      </c>
      <c r="F138" s="717"/>
      <c r="G138" s="669"/>
      <c r="M138" s="647" t="s">
        <v>677</v>
      </c>
      <c r="N138" s="716"/>
      <c r="O138" s="648"/>
      <c r="T138" s="64"/>
      <c r="U138" s="375" t="s">
        <v>119</v>
      </c>
      <c r="V138" s="65"/>
    </row>
    <row r="139" spans="1:22">
      <c r="A139" s="12" t="s">
        <v>114</v>
      </c>
      <c r="C139" s="30"/>
      <c r="D139" s="30" t="s">
        <v>2</v>
      </c>
      <c r="E139" s="683" t="s">
        <v>1379</v>
      </c>
      <c r="F139" s="683"/>
      <c r="G139" s="684"/>
      <c r="H139" s="12" t="s">
        <v>114</v>
      </c>
      <c r="K139" s="30" t="s">
        <v>963</v>
      </c>
      <c r="M139" s="605" t="s">
        <v>1664</v>
      </c>
      <c r="N139" s="605"/>
      <c r="O139" s="649"/>
      <c r="S139" s="30" t="s">
        <v>2</v>
      </c>
      <c r="V139" s="65"/>
    </row>
    <row r="140" spans="1:22">
      <c r="E140" s="601" t="s">
        <v>163</v>
      </c>
      <c r="F140" s="723"/>
      <c r="G140" s="603"/>
      <c r="M140" s="601" t="s">
        <v>163</v>
      </c>
      <c r="N140" s="723"/>
      <c r="O140" s="603"/>
      <c r="P140" s="12" t="s">
        <v>114</v>
      </c>
      <c r="T140" s="64"/>
      <c r="U140" s="192" t="s">
        <v>29</v>
      </c>
      <c r="V140" s="65"/>
    </row>
    <row r="141" spans="1:22" ht="17.25" thickBot="1">
      <c r="E141" s="140"/>
      <c r="F141" s="141"/>
      <c r="G141" s="142"/>
      <c r="M141" s="140"/>
      <c r="N141" s="141"/>
      <c r="O141" s="142"/>
      <c r="T141" s="140"/>
      <c r="U141" s="141"/>
      <c r="V141" s="142"/>
    </row>
    <row r="142" spans="1:22">
      <c r="A142" s="30"/>
    </row>
    <row r="143" spans="1:22">
      <c r="A143" s="30" t="s">
        <v>27</v>
      </c>
      <c r="B143" s="12" t="s">
        <v>115</v>
      </c>
      <c r="H143" s="249" t="s">
        <v>27</v>
      </c>
      <c r="I143" s="30" t="s">
        <v>148</v>
      </c>
      <c r="P143" s="30" t="s">
        <v>27</v>
      </c>
      <c r="Q143" s="12" t="s">
        <v>29</v>
      </c>
    </row>
    <row r="144" spans="1:22">
      <c r="A144" s="30" t="s">
        <v>142</v>
      </c>
      <c r="B144" s="30" t="s">
        <v>1687</v>
      </c>
      <c r="H144" s="30"/>
      <c r="P144" s="30"/>
    </row>
    <row r="145" spans="1:22" ht="17.25" thickBot="1"/>
    <row r="146" spans="1:22" ht="17.25" thickBot="1">
      <c r="A146" s="696" t="s">
        <v>4</v>
      </c>
      <c r="B146" s="697"/>
      <c r="C146" s="697"/>
      <c r="D146" s="697"/>
      <c r="E146" s="697"/>
      <c r="F146" s="698"/>
      <c r="G146" s="20" t="s">
        <v>5</v>
      </c>
      <c r="H146" s="13" t="s">
        <v>112</v>
      </c>
      <c r="I146" s="624" t="s">
        <v>4</v>
      </c>
      <c r="J146" s="625"/>
      <c r="K146" s="625"/>
      <c r="L146" s="625"/>
      <c r="M146" s="625"/>
      <c r="N146" s="626"/>
      <c r="O146" s="20" t="s">
        <v>5</v>
      </c>
      <c r="P146" s="119" t="s">
        <v>3</v>
      </c>
      <c r="Q146" s="824" t="s">
        <v>4</v>
      </c>
      <c r="R146" s="825"/>
      <c r="S146" s="825"/>
      <c r="T146" s="825"/>
      <c r="U146" s="826"/>
      <c r="V146" s="376" t="s">
        <v>5</v>
      </c>
    </row>
    <row r="147" spans="1:22" ht="17.25" customHeight="1" thickBot="1">
      <c r="A147" s="143"/>
      <c r="B147" s="159"/>
      <c r="C147" s="159"/>
      <c r="D147" s="159"/>
      <c r="E147" s="159"/>
      <c r="F147" s="144"/>
      <c r="G147" s="65"/>
      <c r="H147" s="627" t="s">
        <v>2445</v>
      </c>
      <c r="I147" s="143"/>
      <c r="J147" s="159"/>
      <c r="K147" s="159"/>
      <c r="L147" s="159"/>
      <c r="M147" s="159"/>
      <c r="N147" s="144"/>
      <c r="O147" s="291"/>
      <c r="P147" s="812">
        <v>2015</v>
      </c>
      <c r="Q147" s="813"/>
      <c r="R147" s="814"/>
      <c r="S147" s="814"/>
      <c r="T147" s="814"/>
      <c r="U147" s="815"/>
      <c r="V147" s="290"/>
    </row>
    <row r="148" spans="1:22" ht="15.75" customHeight="1" thickBot="1">
      <c r="A148" s="598" t="s">
        <v>6</v>
      </c>
      <c r="B148" s="599"/>
      <c r="C148" s="599"/>
      <c r="D148" s="598" t="s">
        <v>1341</v>
      </c>
      <c r="E148" s="599"/>
      <c r="F148" s="600"/>
      <c r="G148" s="65"/>
      <c r="H148" s="628"/>
      <c r="I148" s="630" t="s">
        <v>1369</v>
      </c>
      <c r="J148" s="631"/>
      <c r="K148" s="631"/>
      <c r="L148" s="631"/>
      <c r="M148" s="631"/>
      <c r="N148" s="632"/>
      <c r="O148" s="291"/>
      <c r="P148" s="812"/>
      <c r="Q148" s="816" t="s">
        <v>141</v>
      </c>
      <c r="R148" s="817"/>
      <c r="S148" s="817"/>
      <c r="T148" s="817"/>
      <c r="U148" s="818"/>
      <c r="V148" s="291"/>
    </row>
    <row r="149" spans="1:22" ht="18" thickBot="1">
      <c r="A149" s="17" t="s">
        <v>26</v>
      </c>
      <c r="B149" s="18" t="s">
        <v>8</v>
      </c>
      <c r="C149" s="19" t="s">
        <v>9</v>
      </c>
      <c r="D149" s="18" t="s">
        <v>10</v>
      </c>
      <c r="E149" s="19" t="s">
        <v>8</v>
      </c>
      <c r="F149" s="18" t="s">
        <v>11</v>
      </c>
      <c r="G149" s="65"/>
      <c r="H149" s="628"/>
      <c r="I149" s="705" t="s">
        <v>1872</v>
      </c>
      <c r="J149" s="706"/>
      <c r="K149" s="706"/>
      <c r="L149" s="706"/>
      <c r="M149" s="706"/>
      <c r="N149" s="707"/>
      <c r="O149" s="291"/>
      <c r="P149" s="812"/>
      <c r="Q149" s="150" t="s">
        <v>26</v>
      </c>
      <c r="R149" s="117" t="s">
        <v>8</v>
      </c>
      <c r="S149" s="117" t="s">
        <v>9</v>
      </c>
      <c r="T149" s="117" t="s">
        <v>8</v>
      </c>
      <c r="U149" s="122" t="s">
        <v>11</v>
      </c>
      <c r="V149" s="291"/>
    </row>
    <row r="150" spans="1:22">
      <c r="A150" s="160">
        <v>57</v>
      </c>
      <c r="B150" s="154">
        <v>10000</v>
      </c>
      <c r="C150" s="154">
        <f>A150*B150</f>
        <v>570000</v>
      </c>
      <c r="D150" s="154">
        <v>0</v>
      </c>
      <c r="E150" s="154">
        <v>0</v>
      </c>
      <c r="F150" s="161">
        <f>+D150*E150</f>
        <v>0</v>
      </c>
      <c r="G150" s="39">
        <f>+C150+F150</f>
        <v>570000</v>
      </c>
      <c r="H150" s="628"/>
      <c r="I150" s="636"/>
      <c r="J150" s="637"/>
      <c r="K150" s="637"/>
      <c r="L150" s="637"/>
      <c r="M150" s="637"/>
      <c r="N150" s="638"/>
      <c r="O150" s="148">
        <v>27916900</v>
      </c>
      <c r="P150" s="812"/>
      <c r="Q150" s="377">
        <v>9</v>
      </c>
      <c r="R150" s="378">
        <v>15000</v>
      </c>
      <c r="S150" s="378">
        <f>Q150*R150</f>
        <v>135000</v>
      </c>
      <c r="T150" s="378"/>
      <c r="U150" s="379"/>
      <c r="V150" s="148">
        <f>+S150+U150</f>
        <v>135000</v>
      </c>
    </row>
    <row r="151" spans="1:22" ht="15" customHeight="1">
      <c r="A151" s="64"/>
      <c r="F151" s="65"/>
      <c r="G151" s="65"/>
      <c r="H151" s="628"/>
      <c r="I151" s="64"/>
      <c r="J151" s="604"/>
      <c r="K151" s="604"/>
      <c r="L151" s="604"/>
      <c r="N151" s="65"/>
      <c r="O151" s="291"/>
      <c r="P151" s="812"/>
      <c r="Q151" s="380"/>
      <c r="R151" s="151"/>
      <c r="S151" s="151"/>
      <c r="T151" s="151"/>
      <c r="U151" s="151"/>
      <c r="V151" s="291"/>
    </row>
    <row r="152" spans="1:22" ht="15" customHeight="1" thickBot="1">
      <c r="A152" s="64"/>
      <c r="F152" s="65"/>
      <c r="G152" s="65"/>
      <c r="H152" s="629"/>
      <c r="I152" s="140"/>
      <c r="J152" s="141"/>
      <c r="K152" s="141"/>
      <c r="L152" s="141"/>
      <c r="M152" s="141"/>
      <c r="N152" s="142"/>
      <c r="O152" s="291"/>
      <c r="P152" s="812"/>
      <c r="Q152" s="64"/>
      <c r="V152" s="291"/>
    </row>
    <row r="153" spans="1:22" ht="15" customHeight="1" thickBot="1">
      <c r="A153" s="140"/>
      <c r="B153" s="141"/>
      <c r="C153" s="141"/>
      <c r="D153" s="141"/>
      <c r="E153" s="141"/>
      <c r="F153" s="142"/>
      <c r="G153" s="65"/>
      <c r="H153" s="20" t="s">
        <v>12</v>
      </c>
      <c r="I153" s="614" t="s">
        <v>13</v>
      </c>
      <c r="J153" s="615"/>
      <c r="K153" s="62" t="s">
        <v>14</v>
      </c>
      <c r="L153" s="63"/>
      <c r="M153" s="62" t="s">
        <v>15</v>
      </c>
      <c r="N153" s="62" t="s">
        <v>16</v>
      </c>
      <c r="O153" s="20" t="s">
        <v>17</v>
      </c>
      <c r="P153" s="812"/>
      <c r="Q153" s="140"/>
      <c r="R153" s="141"/>
      <c r="S153" s="141"/>
      <c r="T153" s="141"/>
      <c r="U153" s="141"/>
      <c r="V153" s="381"/>
    </row>
    <row r="154" spans="1:22" ht="15.75" customHeight="1" thickBot="1">
      <c r="A154" s="611" t="s">
        <v>13</v>
      </c>
      <c r="B154" s="612"/>
      <c r="C154" s="21" t="s">
        <v>14</v>
      </c>
      <c r="D154" s="20"/>
      <c r="E154" s="21" t="s">
        <v>15</v>
      </c>
      <c r="F154" s="21" t="s">
        <v>16</v>
      </c>
      <c r="G154" s="20" t="s">
        <v>17</v>
      </c>
      <c r="H154" s="22" t="s">
        <v>18</v>
      </c>
      <c r="I154" s="606">
        <f>+O150</f>
        <v>27916900</v>
      </c>
      <c r="J154" s="607"/>
      <c r="K154" s="23">
        <f>0</f>
        <v>0</v>
      </c>
      <c r="L154" s="24"/>
      <c r="M154" s="25">
        <f>0</f>
        <v>0</v>
      </c>
      <c r="N154" s="36">
        <f>+I154</f>
        <v>27916900</v>
      </c>
      <c r="O154" s="38">
        <f>+O150</f>
        <v>27916900</v>
      </c>
      <c r="P154" s="121" t="s">
        <v>12</v>
      </c>
      <c r="Q154" s="809" t="s">
        <v>13</v>
      </c>
      <c r="R154" s="810"/>
      <c r="S154" s="354" t="s">
        <v>14</v>
      </c>
      <c r="T154" s="354" t="s">
        <v>15</v>
      </c>
      <c r="U154" s="149" t="s">
        <v>16</v>
      </c>
      <c r="V154" s="382" t="s">
        <v>17</v>
      </c>
    </row>
    <row r="155" spans="1:22" ht="18" thickBot="1">
      <c r="A155" s="606">
        <f>+G150</f>
        <v>570000</v>
      </c>
      <c r="B155" s="607"/>
      <c r="C155" s="23">
        <f>0</f>
        <v>0</v>
      </c>
      <c r="D155" s="24"/>
      <c r="E155" s="25">
        <f>0</f>
        <v>0</v>
      </c>
      <c r="F155" s="36">
        <f>+A155</f>
        <v>570000</v>
      </c>
      <c r="G155" s="38">
        <f>+G150</f>
        <v>570000</v>
      </c>
      <c r="H155" s="22" t="s">
        <v>113</v>
      </c>
      <c r="I155" s="606">
        <f>+I154/650.599</f>
        <v>42909.534137002971</v>
      </c>
      <c r="J155" s="607"/>
      <c r="K155" s="23">
        <f>0</f>
        <v>0</v>
      </c>
      <c r="L155" s="24"/>
      <c r="M155" s="25">
        <f>0</f>
        <v>0</v>
      </c>
      <c r="N155" s="36">
        <f>+I155</f>
        <v>42909.534137002971</v>
      </c>
      <c r="O155" s="38">
        <f>+N155</f>
        <v>42909.534137002971</v>
      </c>
      <c r="P155" s="120" t="s">
        <v>18</v>
      </c>
      <c r="Q155" s="714">
        <f>+S150</f>
        <v>135000</v>
      </c>
      <c r="R155" s="811"/>
      <c r="S155" s="369">
        <f>0</f>
        <v>0</v>
      </c>
      <c r="T155" s="118">
        <f>0</f>
        <v>0</v>
      </c>
      <c r="U155" s="123">
        <f>+U150</f>
        <v>0</v>
      </c>
      <c r="V155" s="124">
        <f>+V150</f>
        <v>135000</v>
      </c>
    </row>
    <row r="157" spans="1:22">
      <c r="A157" s="26"/>
      <c r="B157" s="26"/>
      <c r="C157" s="26"/>
      <c r="D157" s="26"/>
      <c r="E157" s="26"/>
      <c r="F157" s="26"/>
      <c r="H157" s="26" t="s">
        <v>1321</v>
      </c>
      <c r="I157" s="26"/>
      <c r="J157" s="26"/>
      <c r="K157" s="26"/>
      <c r="L157" s="26"/>
      <c r="M157" s="26"/>
      <c r="N157" s="26"/>
      <c r="P157" s="37" t="s">
        <v>121</v>
      </c>
      <c r="Q157" s="26"/>
      <c r="R157" s="26"/>
      <c r="S157" s="26"/>
      <c r="T157" s="26"/>
      <c r="U157" s="26"/>
    </row>
    <row r="158" spans="1:22">
      <c r="A158" s="26"/>
      <c r="B158" s="26"/>
      <c r="C158" s="26"/>
      <c r="D158" s="26"/>
      <c r="E158" s="26"/>
      <c r="F158" s="26"/>
      <c r="H158" s="411" t="s">
        <v>2447</v>
      </c>
      <c r="I158" s="26"/>
      <c r="J158" s="26"/>
      <c r="K158" s="26"/>
      <c r="L158" s="26"/>
      <c r="M158" s="26"/>
      <c r="N158" s="26"/>
      <c r="P158" s="37"/>
      <c r="Q158" s="26"/>
      <c r="R158" s="26"/>
      <c r="S158" s="26"/>
      <c r="T158" s="26"/>
      <c r="U158" s="26"/>
    </row>
    <row r="159" spans="1:22">
      <c r="A159" s="26"/>
      <c r="B159" s="26"/>
      <c r="C159" s="26"/>
      <c r="D159" s="26"/>
      <c r="E159" s="26"/>
      <c r="F159" s="26"/>
      <c r="H159" s="26" t="s">
        <v>19</v>
      </c>
      <c r="I159" s="26"/>
      <c r="J159" s="26"/>
      <c r="K159" s="26"/>
      <c r="L159" s="26"/>
      <c r="M159" s="26"/>
      <c r="N159" s="26"/>
      <c r="P159" s="26" t="s">
        <v>19</v>
      </c>
      <c r="Q159" s="26"/>
      <c r="R159" s="26"/>
      <c r="S159" s="26"/>
      <c r="T159" s="26"/>
      <c r="U159" s="26"/>
    </row>
    <row r="160" spans="1:22">
      <c r="A160" s="26"/>
      <c r="B160" s="26"/>
      <c r="C160" s="26"/>
      <c r="D160" s="26"/>
      <c r="E160" s="26"/>
      <c r="F160" s="26"/>
      <c r="H160" s="26" t="s">
        <v>965</v>
      </c>
      <c r="I160" s="26"/>
      <c r="J160" s="26"/>
      <c r="K160" s="26"/>
      <c r="L160" s="26"/>
      <c r="M160" s="26"/>
      <c r="N160" s="26"/>
      <c r="P160" s="26" t="s">
        <v>20</v>
      </c>
      <c r="Q160" s="26"/>
      <c r="R160" s="26"/>
      <c r="S160" s="26"/>
      <c r="T160" s="26"/>
      <c r="U160" s="26"/>
    </row>
    <row r="161" spans="1:22">
      <c r="A161" s="26"/>
      <c r="B161" s="26"/>
      <c r="C161" s="26"/>
      <c r="D161" s="26"/>
      <c r="E161" s="26"/>
      <c r="F161" s="26"/>
      <c r="H161" s="26" t="s">
        <v>21</v>
      </c>
      <c r="I161" s="26"/>
      <c r="J161" s="26"/>
      <c r="K161" s="26"/>
      <c r="L161" s="26"/>
      <c r="M161" s="26"/>
      <c r="N161" s="26"/>
      <c r="P161" s="26" t="s">
        <v>21</v>
      </c>
      <c r="Q161" s="26"/>
      <c r="R161" s="26"/>
      <c r="S161" s="26"/>
      <c r="T161" s="26"/>
      <c r="U161" s="26"/>
    </row>
    <row r="162" spans="1:22">
      <c r="A162" s="26"/>
      <c r="B162" s="26"/>
      <c r="C162" s="26"/>
      <c r="D162" s="26"/>
      <c r="E162" s="26"/>
      <c r="F162" s="26"/>
      <c r="H162" s="26" t="s">
        <v>1229</v>
      </c>
      <c r="I162" s="26"/>
      <c r="J162" s="26"/>
      <c r="K162" s="26"/>
      <c r="L162" s="26"/>
      <c r="M162" s="26"/>
      <c r="N162" s="26"/>
      <c r="P162" s="26" t="s">
        <v>1229</v>
      </c>
      <c r="Q162" s="26"/>
      <c r="R162" s="26"/>
      <c r="S162" s="26"/>
      <c r="T162" s="26"/>
      <c r="U162" s="26"/>
    </row>
    <row r="165" spans="1:22">
      <c r="D165" s="30" t="s">
        <v>24</v>
      </c>
      <c r="E165" s="30"/>
      <c r="F165" s="30"/>
      <c r="K165" s="30" t="s">
        <v>24</v>
      </c>
      <c r="L165" s="30"/>
      <c r="M165" s="30"/>
    </row>
    <row r="166" spans="1:22">
      <c r="D166" s="30" t="s">
        <v>149</v>
      </c>
      <c r="E166" s="30"/>
      <c r="F166" s="30"/>
      <c r="K166" s="30" t="s">
        <v>149</v>
      </c>
      <c r="L166" s="30"/>
      <c r="M166" s="30"/>
    </row>
    <row r="167" spans="1:22">
      <c r="C167" s="30"/>
      <c r="D167" s="315" t="s">
        <v>150</v>
      </c>
      <c r="E167" s="315"/>
      <c r="F167" s="315"/>
      <c r="K167" s="315" t="s">
        <v>150</v>
      </c>
      <c r="L167" s="315"/>
      <c r="M167" s="315"/>
      <c r="O167" s="30"/>
      <c r="S167" s="30"/>
      <c r="T167" s="30" t="s">
        <v>24</v>
      </c>
    </row>
    <row r="168" spans="1:22">
      <c r="C168" s="30"/>
      <c r="O168" s="167"/>
      <c r="S168" s="30" t="s">
        <v>25</v>
      </c>
      <c r="T168" s="30"/>
    </row>
    <row r="169" spans="1:22">
      <c r="D169" s="26"/>
      <c r="E169" s="26"/>
      <c r="F169" s="26"/>
      <c r="K169" s="26"/>
      <c r="L169" s="26"/>
      <c r="M169" s="26"/>
    </row>
    <row r="170" spans="1:22" ht="18" customHeight="1">
      <c r="D170" s="645" t="s">
        <v>1335</v>
      </c>
      <c r="E170" s="741"/>
      <c r="F170" s="741"/>
      <c r="H170" s="26"/>
      <c r="I170" s="26"/>
      <c r="J170" s="26"/>
      <c r="K170" s="645" t="s">
        <v>2347</v>
      </c>
      <c r="L170" s="645"/>
      <c r="M170" s="645"/>
      <c r="N170" s="645"/>
      <c r="O170" s="26"/>
    </row>
    <row r="171" spans="1:22" ht="18" customHeight="1">
      <c r="A171" s="26"/>
      <c r="B171" s="26"/>
      <c r="C171" s="26"/>
      <c r="G171" s="29"/>
      <c r="H171" s="384"/>
      <c r="I171" s="26"/>
      <c r="J171" s="26"/>
      <c r="K171" s="644"/>
      <c r="L171" s="644"/>
      <c r="M171" s="644"/>
      <c r="N171" s="644"/>
      <c r="O171" s="259"/>
      <c r="P171" s="26"/>
      <c r="Q171" s="26"/>
      <c r="R171" s="26"/>
      <c r="S171" s="26"/>
      <c r="T171" s="735"/>
      <c r="U171" s="735"/>
      <c r="V171" s="735"/>
    </row>
    <row r="172" spans="1:22" ht="18">
      <c r="A172" s="617" t="s">
        <v>2585</v>
      </c>
      <c r="B172" s="617"/>
      <c r="C172" s="617"/>
      <c r="D172" s="617"/>
      <c r="E172" s="617"/>
      <c r="F172" s="617"/>
      <c r="G172" s="617"/>
      <c r="H172" s="202"/>
      <c r="I172" s="202"/>
      <c r="J172" s="396" t="s">
        <v>0</v>
      </c>
      <c r="K172" s="396"/>
      <c r="L172" s="396"/>
      <c r="M172" s="396"/>
      <c r="N172" s="396"/>
      <c r="O172" s="396"/>
      <c r="P172" s="396"/>
      <c r="Q172" s="26"/>
      <c r="R172" s="26"/>
      <c r="S172" s="26"/>
      <c r="T172" s="368"/>
      <c r="U172" s="368"/>
      <c r="V172" s="368"/>
    </row>
    <row r="176" spans="1:22" ht="49.5" customHeight="1">
      <c r="A176" s="695"/>
      <c r="B176" s="695"/>
      <c r="C176" s="695"/>
      <c r="D176" s="695"/>
      <c r="E176" s="695"/>
      <c r="F176" s="695"/>
      <c r="G176" s="695"/>
      <c r="H176" s="642" t="s">
        <v>1</v>
      </c>
      <c r="I176" s="642"/>
      <c r="J176" s="642"/>
      <c r="K176" s="642"/>
      <c r="L176" s="642"/>
      <c r="M176" s="642"/>
      <c r="N176" s="642"/>
      <c r="O176" s="642"/>
    </row>
    <row r="178" spans="1:15" ht="17.25">
      <c r="A178" s="503" t="s">
        <v>709</v>
      </c>
      <c r="H178" s="375"/>
      <c r="I178" s="503" t="s">
        <v>1739</v>
      </c>
    </row>
    <row r="179" spans="1:15" ht="17.25" thickBot="1">
      <c r="F179" s="141"/>
      <c r="H179" s="30"/>
      <c r="N179" s="141"/>
    </row>
    <row r="180" spans="1:15">
      <c r="A180" s="30"/>
      <c r="E180" s="143"/>
      <c r="G180" s="144"/>
      <c r="I180" s="30"/>
      <c r="M180" s="143"/>
      <c r="O180" s="144"/>
    </row>
    <row r="181" spans="1:15" ht="17.25">
      <c r="E181" s="667" t="s">
        <v>2497</v>
      </c>
      <c r="F181" s="668"/>
      <c r="G181" s="669"/>
      <c r="M181" s="647" t="s">
        <v>678</v>
      </c>
      <c r="N181" s="610"/>
      <c r="O181" s="648"/>
    </row>
    <row r="182" spans="1:15">
      <c r="A182" s="12" t="s">
        <v>114</v>
      </c>
      <c r="C182" s="30"/>
      <c r="D182" s="30" t="s">
        <v>2</v>
      </c>
      <c r="E182" s="683" t="s">
        <v>2503</v>
      </c>
      <c r="F182" s="683"/>
      <c r="G182" s="684"/>
      <c r="H182" s="12" t="s">
        <v>114</v>
      </c>
      <c r="K182" s="30" t="s">
        <v>963</v>
      </c>
      <c r="M182" s="605" t="s">
        <v>1665</v>
      </c>
      <c r="N182" s="605"/>
      <c r="O182" s="649"/>
    </row>
    <row r="183" spans="1:15">
      <c r="E183" s="601" t="s">
        <v>163</v>
      </c>
      <c r="F183" s="602"/>
      <c r="G183" s="603"/>
      <c r="M183" s="601" t="s">
        <v>163</v>
      </c>
      <c r="N183" s="602"/>
      <c r="O183" s="603"/>
    </row>
    <row r="184" spans="1:15" ht="17.25" thickBot="1">
      <c r="E184" s="140"/>
      <c r="F184" s="141"/>
      <c r="G184" s="142"/>
      <c r="M184" s="140"/>
      <c r="N184" s="141"/>
      <c r="O184" s="142"/>
    </row>
    <row r="185" spans="1:15">
      <c r="A185" s="30"/>
    </row>
    <row r="186" spans="1:15">
      <c r="A186" s="30" t="s">
        <v>27</v>
      </c>
      <c r="B186" s="12" t="s">
        <v>115</v>
      </c>
      <c r="H186" s="250" t="s">
        <v>27</v>
      </c>
      <c r="I186" s="30" t="s">
        <v>148</v>
      </c>
    </row>
    <row r="187" spans="1:15">
      <c r="A187" s="30" t="s">
        <v>142</v>
      </c>
      <c r="B187" s="30" t="s">
        <v>2598</v>
      </c>
      <c r="H187" s="167"/>
    </row>
    <row r="188" spans="1:15" ht="17.25" customHeight="1" thickBot="1"/>
    <row r="189" spans="1:15" ht="17.25" customHeight="1" thickBot="1">
      <c r="A189" s="696" t="s">
        <v>4</v>
      </c>
      <c r="B189" s="697"/>
      <c r="C189" s="697"/>
      <c r="D189" s="697"/>
      <c r="E189" s="697"/>
      <c r="F189" s="698"/>
      <c r="G189" s="20" t="s">
        <v>5</v>
      </c>
      <c r="H189" s="13" t="s">
        <v>112</v>
      </c>
      <c r="I189" s="624" t="s">
        <v>4</v>
      </c>
      <c r="J189" s="625"/>
      <c r="K189" s="625"/>
      <c r="L189" s="625"/>
      <c r="M189" s="625"/>
      <c r="N189" s="626"/>
      <c r="O189" s="20" t="s">
        <v>5</v>
      </c>
    </row>
    <row r="190" spans="1:15" ht="15.75" customHeight="1" thickBot="1">
      <c r="A190" s="143"/>
      <c r="B190" s="159"/>
      <c r="C190" s="159"/>
      <c r="D190" s="159"/>
      <c r="E190" s="159"/>
      <c r="F190" s="144"/>
      <c r="G190" s="65"/>
      <c r="H190" s="627" t="s">
        <v>2478</v>
      </c>
      <c r="I190" s="143"/>
      <c r="J190" s="159"/>
      <c r="K190" s="159"/>
      <c r="L190" s="159"/>
      <c r="M190" s="159"/>
      <c r="N190" s="144"/>
      <c r="O190" s="291"/>
    </row>
    <row r="191" spans="1:15" ht="17.25" thickBot="1">
      <c r="A191" s="598" t="s">
        <v>6</v>
      </c>
      <c r="B191" s="599"/>
      <c r="C191" s="599"/>
      <c r="D191" s="15" t="s">
        <v>7</v>
      </c>
      <c r="E191" s="16"/>
      <c r="F191" s="32"/>
      <c r="G191" s="65"/>
      <c r="H191" s="628"/>
      <c r="I191" s="630" t="s">
        <v>1369</v>
      </c>
      <c r="J191" s="631"/>
      <c r="K191" s="631"/>
      <c r="L191" s="631"/>
      <c r="M191" s="631"/>
      <c r="N191" s="632"/>
      <c r="O191" s="291"/>
    </row>
    <row r="192" spans="1:15" ht="17.25" thickBot="1">
      <c r="A192" s="17" t="s">
        <v>26</v>
      </c>
      <c r="B192" s="18" t="s">
        <v>8</v>
      </c>
      <c r="C192" s="19" t="s">
        <v>9</v>
      </c>
      <c r="D192" s="18" t="s">
        <v>10</v>
      </c>
      <c r="E192" s="265" t="s">
        <v>8</v>
      </c>
      <c r="F192" s="18" t="s">
        <v>11</v>
      </c>
      <c r="G192" s="65"/>
      <c r="H192" s="628"/>
      <c r="I192" s="679" t="s">
        <v>1741</v>
      </c>
      <c r="J192" s="680"/>
      <c r="K192" s="680"/>
      <c r="L192" s="680"/>
      <c r="M192" s="680"/>
      <c r="N192" s="681"/>
      <c r="O192" s="291"/>
    </row>
    <row r="193" spans="1:15">
      <c r="A193" s="237">
        <v>26</v>
      </c>
      <c r="B193" s="386">
        <v>10000</v>
      </c>
      <c r="C193" s="386">
        <f>A193*B193</f>
        <v>260000</v>
      </c>
      <c r="D193" s="386">
        <f>+A193</f>
        <v>26</v>
      </c>
      <c r="E193" s="386">
        <v>3500</v>
      </c>
      <c r="F193" s="387">
        <f>+D193*E193</f>
        <v>91000</v>
      </c>
      <c r="G193" s="162">
        <f>+F193+C193</f>
        <v>351000</v>
      </c>
      <c r="H193" s="628"/>
      <c r="I193" s="409"/>
      <c r="J193" s="294"/>
      <c r="K193" s="294"/>
      <c r="L193" s="294"/>
      <c r="M193" s="294"/>
      <c r="N193" s="173"/>
      <c r="O193" s="148">
        <v>1260000</v>
      </c>
    </row>
    <row r="194" spans="1:15" ht="15.75" customHeight="1">
      <c r="A194" s="64"/>
      <c r="B194" s="388"/>
      <c r="C194" s="388"/>
      <c r="F194" s="65"/>
      <c r="G194" s="65"/>
      <c r="H194" s="628"/>
      <c r="I194" s="64"/>
      <c r="J194" s="604"/>
      <c r="K194" s="604"/>
      <c r="L194" s="604"/>
      <c r="N194" s="65"/>
      <c r="O194" s="291"/>
    </row>
    <row r="195" spans="1:15" ht="15.75" customHeight="1" thickBot="1">
      <c r="A195" s="64"/>
      <c r="F195" s="65"/>
      <c r="G195" s="65"/>
      <c r="H195" s="629"/>
      <c r="I195" s="140"/>
      <c r="J195" s="141"/>
      <c r="K195" s="141"/>
      <c r="L195" s="141"/>
      <c r="M195" s="141"/>
      <c r="N195" s="142"/>
      <c r="O195" s="291"/>
    </row>
    <row r="196" spans="1:15" ht="17.25" thickBot="1">
      <c r="A196" s="140"/>
      <c r="B196" s="141"/>
      <c r="C196" s="141"/>
      <c r="D196" s="141"/>
      <c r="E196" s="141"/>
      <c r="F196" s="142"/>
      <c r="G196" s="65"/>
      <c r="H196" s="20" t="s">
        <v>12</v>
      </c>
      <c r="I196" s="614" t="s">
        <v>13</v>
      </c>
      <c r="J196" s="615"/>
      <c r="K196" s="62" t="s">
        <v>14</v>
      </c>
      <c r="L196" s="63"/>
      <c r="M196" s="62" t="s">
        <v>15</v>
      </c>
      <c r="N196" s="62" t="s">
        <v>16</v>
      </c>
      <c r="O196" s="20" t="s">
        <v>17</v>
      </c>
    </row>
    <row r="197" spans="1:15" ht="18" thickBot="1">
      <c r="A197" s="611" t="s">
        <v>13</v>
      </c>
      <c r="B197" s="612"/>
      <c r="C197" s="21" t="s">
        <v>14</v>
      </c>
      <c r="D197" s="20"/>
      <c r="E197" s="21" t="s">
        <v>15</v>
      </c>
      <c r="F197" s="21" t="s">
        <v>16</v>
      </c>
      <c r="G197" s="20" t="s">
        <v>17</v>
      </c>
      <c r="H197" s="22" t="s">
        <v>18</v>
      </c>
      <c r="I197" s="606">
        <f>+O193</f>
        <v>1260000</v>
      </c>
      <c r="J197" s="607"/>
      <c r="K197" s="23">
        <f>0</f>
        <v>0</v>
      </c>
      <c r="L197" s="24"/>
      <c r="M197" s="25">
        <f>0</f>
        <v>0</v>
      </c>
      <c r="N197" s="36">
        <f>+I197</f>
        <v>1260000</v>
      </c>
      <c r="O197" s="38">
        <f>+O193</f>
        <v>1260000</v>
      </c>
    </row>
    <row r="198" spans="1:15" ht="18" thickBot="1">
      <c r="A198" s="606">
        <f>+C193</f>
        <v>260000</v>
      </c>
      <c r="B198" s="607"/>
      <c r="C198" s="23">
        <f>0</f>
        <v>0</v>
      </c>
      <c r="D198" s="24"/>
      <c r="E198" s="25">
        <f>0</f>
        <v>0</v>
      </c>
      <c r="F198" s="36">
        <f>+A198</f>
        <v>260000</v>
      </c>
      <c r="G198" s="38">
        <f>+G193</f>
        <v>351000</v>
      </c>
      <c r="H198" s="22" t="s">
        <v>113</v>
      </c>
      <c r="I198" s="606">
        <f>+I197/650.599</f>
        <v>1936.6768162877593</v>
      </c>
      <c r="J198" s="607"/>
      <c r="K198" s="23">
        <f>0</f>
        <v>0</v>
      </c>
      <c r="L198" s="24"/>
      <c r="M198" s="25">
        <f>0</f>
        <v>0</v>
      </c>
      <c r="N198" s="36">
        <f>+I198</f>
        <v>1936.6768162877593</v>
      </c>
      <c r="O198" s="38">
        <f>+N198</f>
        <v>1936.6768162877593</v>
      </c>
    </row>
    <row r="200" spans="1:15">
      <c r="A200" s="26"/>
      <c r="B200" s="26"/>
      <c r="C200" s="26"/>
      <c r="D200" s="26"/>
      <c r="E200" s="26"/>
      <c r="F200" s="26"/>
      <c r="H200" s="26" t="s">
        <v>1370</v>
      </c>
      <c r="I200" s="26"/>
      <c r="J200" s="26"/>
      <c r="K200" s="26"/>
      <c r="L200" s="26"/>
      <c r="M200" s="26"/>
      <c r="N200" s="26"/>
    </row>
    <row r="201" spans="1:15">
      <c r="A201" s="26"/>
      <c r="B201" s="26"/>
      <c r="C201" s="26"/>
      <c r="D201" s="26"/>
      <c r="E201" s="26"/>
      <c r="F201" s="26"/>
      <c r="H201" s="408" t="s">
        <v>1666</v>
      </c>
      <c r="I201" s="26"/>
      <c r="J201" s="26"/>
      <c r="K201" s="26"/>
      <c r="L201" s="26"/>
      <c r="M201" s="26"/>
      <c r="N201" s="26"/>
    </row>
    <row r="202" spans="1:15">
      <c r="A202" s="26"/>
      <c r="B202" s="26"/>
      <c r="C202" s="26"/>
      <c r="D202" s="26"/>
      <c r="E202" s="26"/>
      <c r="F202" s="26"/>
      <c r="H202" s="82" t="s">
        <v>19</v>
      </c>
      <c r="I202" s="26"/>
      <c r="J202" s="26"/>
      <c r="K202" s="26"/>
      <c r="L202" s="26"/>
      <c r="M202" s="26"/>
      <c r="N202" s="26"/>
    </row>
    <row r="203" spans="1:15">
      <c r="A203" s="26"/>
      <c r="B203" s="26"/>
      <c r="C203" s="26"/>
      <c r="D203" s="26"/>
      <c r="E203" s="26"/>
      <c r="F203" s="26"/>
      <c r="H203" s="26" t="s">
        <v>965</v>
      </c>
      <c r="I203" s="26"/>
      <c r="J203" s="26"/>
      <c r="K203" s="26"/>
      <c r="L203" s="26"/>
      <c r="M203" s="26"/>
      <c r="N203" s="26"/>
    </row>
    <row r="204" spans="1:15">
      <c r="A204" s="26"/>
      <c r="B204" s="26"/>
      <c r="C204" s="26"/>
      <c r="D204" s="26"/>
      <c r="E204" s="26"/>
      <c r="F204" s="26"/>
      <c r="H204" s="26" t="s">
        <v>21</v>
      </c>
      <c r="I204" s="26"/>
      <c r="J204" s="26"/>
      <c r="K204" s="26"/>
      <c r="L204" s="26"/>
      <c r="M204" s="26"/>
      <c r="N204" s="26"/>
    </row>
    <row r="205" spans="1:15">
      <c r="A205" s="26"/>
      <c r="B205" s="26"/>
      <c r="C205" s="26"/>
      <c r="D205" s="26"/>
      <c r="E205" s="26"/>
      <c r="F205" s="26"/>
      <c r="H205" s="26" t="s">
        <v>1229</v>
      </c>
      <c r="I205" s="26"/>
      <c r="J205" s="26"/>
      <c r="K205" s="26"/>
      <c r="L205" s="26"/>
      <c r="M205" s="26"/>
      <c r="N205" s="26"/>
    </row>
    <row r="208" spans="1:15">
      <c r="C208" s="30"/>
      <c r="D208" s="30" t="s">
        <v>24</v>
      </c>
      <c r="E208" s="30"/>
      <c r="F208" s="30"/>
      <c r="K208" s="30" t="s">
        <v>24</v>
      </c>
      <c r="L208" s="30"/>
      <c r="M208" s="30"/>
    </row>
    <row r="209" spans="1:15">
      <c r="C209" s="30"/>
      <c r="D209" s="30" t="s">
        <v>149</v>
      </c>
      <c r="E209" s="30"/>
      <c r="F209" s="30"/>
      <c r="K209" s="30" t="s">
        <v>149</v>
      </c>
      <c r="L209" s="30"/>
      <c r="M209" s="30"/>
    </row>
    <row r="210" spans="1:15">
      <c r="D210" s="699" t="s">
        <v>150</v>
      </c>
      <c r="E210" s="699"/>
      <c r="F210" s="699"/>
      <c r="K210" s="315" t="s">
        <v>150</v>
      </c>
      <c r="L210" s="315"/>
      <c r="M210" s="315"/>
    </row>
    <row r="211" spans="1:15">
      <c r="K211" s="26"/>
      <c r="L211" s="26"/>
      <c r="M211" s="26"/>
      <c r="N211" s="26"/>
    </row>
    <row r="212" spans="1:15" ht="17.25">
      <c r="A212" s="26"/>
      <c r="B212" s="26"/>
      <c r="C212" s="26"/>
      <c r="D212" s="26"/>
      <c r="E212" s="26"/>
      <c r="F212" s="26"/>
      <c r="H212" s="26"/>
      <c r="I212" s="26"/>
      <c r="J212" s="26"/>
      <c r="K212" s="645"/>
      <c r="L212" s="645"/>
      <c r="M212" s="645"/>
      <c r="N212" s="645"/>
    </row>
    <row r="213" spans="1:15" ht="18" customHeight="1">
      <c r="A213" s="26"/>
      <c r="B213" s="26"/>
      <c r="C213" s="808" t="s">
        <v>2347</v>
      </c>
      <c r="D213" s="808"/>
      <c r="E213" s="808"/>
      <c r="F213" s="808"/>
      <c r="G213" s="29"/>
      <c r="H213" s="384"/>
      <c r="I213" s="26"/>
      <c r="J213" s="26"/>
      <c r="K213" s="645" t="s">
        <v>2347</v>
      </c>
      <c r="L213" s="645"/>
      <c r="M213" s="645"/>
      <c r="N213" s="645"/>
    </row>
    <row r="214" spans="1:15" ht="18" customHeight="1">
      <c r="A214" s="26"/>
      <c r="B214" s="26"/>
      <c r="C214" s="26"/>
      <c r="D214" s="417"/>
      <c r="E214" s="418"/>
      <c r="F214" s="418"/>
      <c r="G214" s="29"/>
      <c r="H214" s="384"/>
      <c r="I214" s="26"/>
      <c r="J214" s="26"/>
    </row>
    <row r="215" spans="1:15">
      <c r="A215" s="617" t="s">
        <v>0</v>
      </c>
      <c r="B215" s="617"/>
      <c r="C215" s="617"/>
      <c r="D215" s="617"/>
      <c r="E215" s="617"/>
      <c r="F215" s="617"/>
      <c r="G215" s="617"/>
      <c r="I215" s="617" t="s">
        <v>0</v>
      </c>
      <c r="J215" s="617"/>
      <c r="K215" s="617"/>
      <c r="L215" s="617"/>
      <c r="M215" s="617"/>
      <c r="N215" s="617"/>
      <c r="O215" s="617"/>
    </row>
    <row r="218" spans="1:15" ht="40.5" customHeight="1">
      <c r="B218" s="688" t="s">
        <v>1</v>
      </c>
      <c r="C218" s="688"/>
      <c r="D218" s="688"/>
      <c r="E218" s="688"/>
      <c r="H218" s="642" t="s">
        <v>1</v>
      </c>
      <c r="I218" s="642"/>
      <c r="J218" s="642"/>
      <c r="K218" s="642"/>
      <c r="L218" s="642"/>
      <c r="M218" s="642"/>
      <c r="N218" s="642"/>
      <c r="O218" s="642"/>
    </row>
    <row r="221" spans="1:15" ht="17.25">
      <c r="H221" s="375"/>
      <c r="I221" s="503" t="s">
        <v>1883</v>
      </c>
    </row>
    <row r="222" spans="1:15" ht="17.25" thickBot="1">
      <c r="F222" s="141"/>
      <c r="H222" s="30"/>
      <c r="N222" s="141"/>
    </row>
    <row r="223" spans="1:15">
      <c r="A223" s="30"/>
      <c r="E223" s="143"/>
      <c r="G223" s="144"/>
      <c r="I223" s="30"/>
      <c r="M223" s="143"/>
      <c r="O223" s="144"/>
    </row>
    <row r="224" spans="1:15" ht="17.25">
      <c r="A224" s="12" t="s">
        <v>114</v>
      </c>
      <c r="E224" s="667" t="s">
        <v>815</v>
      </c>
      <c r="F224" s="668"/>
      <c r="G224" s="669"/>
      <c r="M224" s="647" t="s">
        <v>679</v>
      </c>
      <c r="N224" s="610"/>
      <c r="O224" s="648"/>
    </row>
    <row r="225" spans="1:15">
      <c r="C225" s="30"/>
      <c r="D225" s="30" t="s">
        <v>2</v>
      </c>
      <c r="E225" s="683" t="s">
        <v>1379</v>
      </c>
      <c r="F225" s="683"/>
      <c r="G225" s="684"/>
      <c r="H225" s="12" t="s">
        <v>114</v>
      </c>
      <c r="K225" s="249" t="s">
        <v>1663</v>
      </c>
      <c r="M225" s="622" t="s">
        <v>727</v>
      </c>
      <c r="N225" s="622"/>
      <c r="O225" s="623"/>
    </row>
    <row r="226" spans="1:15">
      <c r="E226" s="601" t="s">
        <v>163</v>
      </c>
      <c r="F226" s="602"/>
      <c r="G226" s="603"/>
      <c r="M226" s="601" t="s">
        <v>163</v>
      </c>
      <c r="N226" s="602"/>
      <c r="O226" s="603"/>
    </row>
    <row r="227" spans="1:15" ht="17.25" thickBot="1">
      <c r="E227" s="140"/>
      <c r="F227" s="141"/>
      <c r="G227" s="142"/>
      <c r="M227" s="140"/>
      <c r="N227" s="141"/>
      <c r="O227" s="142"/>
    </row>
    <row r="228" spans="1:15">
      <c r="A228" s="30"/>
    </row>
    <row r="229" spans="1:15">
      <c r="A229" s="30" t="s">
        <v>27</v>
      </c>
      <c r="B229" s="12" t="s">
        <v>115</v>
      </c>
      <c r="H229" s="249" t="s">
        <v>27</v>
      </c>
      <c r="I229" s="394" t="s">
        <v>148</v>
      </c>
    </row>
    <row r="230" spans="1:15">
      <c r="A230" s="30" t="s">
        <v>142</v>
      </c>
      <c r="B230" s="30" t="s">
        <v>1597</v>
      </c>
      <c r="H230" s="167"/>
    </row>
    <row r="231" spans="1:15" ht="17.25" thickBot="1"/>
    <row r="232" spans="1:15" ht="17.25" customHeight="1" thickBot="1">
      <c r="A232" s="696" t="s">
        <v>4</v>
      </c>
      <c r="B232" s="697"/>
      <c r="C232" s="697"/>
      <c r="D232" s="697"/>
      <c r="E232" s="697"/>
      <c r="F232" s="698"/>
      <c r="G232" s="20" t="s">
        <v>5</v>
      </c>
      <c r="H232" s="13" t="s">
        <v>112</v>
      </c>
      <c r="I232" s="624" t="s">
        <v>4</v>
      </c>
      <c r="J232" s="625"/>
      <c r="K232" s="625"/>
      <c r="L232" s="625"/>
      <c r="M232" s="625"/>
      <c r="N232" s="626"/>
      <c r="O232" s="20" t="s">
        <v>5</v>
      </c>
    </row>
    <row r="233" spans="1:15" ht="15" customHeight="1" thickBot="1">
      <c r="A233" s="143"/>
      <c r="B233" s="159"/>
      <c r="C233" s="159"/>
      <c r="D233" s="159"/>
      <c r="E233" s="159"/>
      <c r="F233" s="144"/>
      <c r="G233" s="65"/>
      <c r="H233" s="627" t="s">
        <v>2491</v>
      </c>
      <c r="I233" s="143"/>
      <c r="J233" s="159"/>
      <c r="K233" s="159"/>
      <c r="L233" s="159"/>
      <c r="M233" s="159"/>
      <c r="N233" s="144"/>
      <c r="O233" s="291"/>
    </row>
    <row r="234" spans="1:15" ht="16.5" customHeight="1" thickBot="1">
      <c r="A234" s="598" t="s">
        <v>6</v>
      </c>
      <c r="B234" s="599"/>
      <c r="C234" s="599"/>
      <c r="D234" s="15" t="s">
        <v>7</v>
      </c>
      <c r="E234" s="16"/>
      <c r="F234" s="32"/>
      <c r="G234" s="65"/>
      <c r="H234" s="628"/>
      <c r="I234" s="64"/>
      <c r="N234" s="65"/>
      <c r="O234" s="291"/>
    </row>
    <row r="235" spans="1:15" ht="17.25" thickBot="1">
      <c r="A235" s="17" t="s">
        <v>26</v>
      </c>
      <c r="B235" s="18" t="s">
        <v>8</v>
      </c>
      <c r="C235" s="19" t="s">
        <v>9</v>
      </c>
      <c r="D235" s="18" t="s">
        <v>10</v>
      </c>
      <c r="E235" s="19" t="s">
        <v>8</v>
      </c>
      <c r="F235" s="18" t="s">
        <v>11</v>
      </c>
      <c r="G235" s="65"/>
      <c r="H235" s="628"/>
      <c r="I235" s="66"/>
      <c r="J235" s="367"/>
      <c r="K235" s="367" t="s">
        <v>286</v>
      </c>
      <c r="L235" s="367"/>
      <c r="M235" s="367"/>
      <c r="N235" s="67"/>
      <c r="O235" s="291"/>
    </row>
    <row r="236" spans="1:15">
      <c r="A236" s="160">
        <v>37</v>
      </c>
      <c r="B236" s="154">
        <v>10000</v>
      </c>
      <c r="C236" s="154">
        <f>A236*B236</f>
        <v>370000</v>
      </c>
      <c r="D236" s="154"/>
      <c r="E236" s="154"/>
      <c r="F236" s="161">
        <f>+D236*E236</f>
        <v>0</v>
      </c>
      <c r="G236" s="162">
        <f>+A236*B236</f>
        <v>370000</v>
      </c>
      <c r="H236" s="628"/>
      <c r="I236" s="385"/>
      <c r="J236" s="187"/>
      <c r="K236" s="147" t="s">
        <v>1746</v>
      </c>
      <c r="L236" s="187"/>
      <c r="M236" s="187"/>
      <c r="N236" s="132"/>
      <c r="O236" s="148">
        <v>945000</v>
      </c>
    </row>
    <row r="237" spans="1:15" ht="15" customHeight="1">
      <c r="A237" s="64"/>
      <c r="F237" s="65"/>
      <c r="G237" s="65"/>
      <c r="H237" s="628"/>
      <c r="I237" s="64"/>
      <c r="J237" s="604"/>
      <c r="K237" s="604"/>
      <c r="L237" s="604"/>
      <c r="N237" s="65"/>
      <c r="O237" s="291"/>
    </row>
    <row r="238" spans="1:15" ht="15.75" customHeight="1" thickBot="1">
      <c r="A238" s="64"/>
      <c r="F238" s="65"/>
      <c r="G238" s="65"/>
      <c r="H238" s="629"/>
      <c r="I238" s="140"/>
      <c r="J238" s="141"/>
      <c r="K238" s="141"/>
      <c r="L238" s="141"/>
      <c r="M238" s="141"/>
      <c r="N238" s="142"/>
      <c r="O238" s="291"/>
    </row>
    <row r="239" spans="1:15" ht="15.75" customHeight="1" thickBot="1">
      <c r="A239" s="140"/>
      <c r="B239" s="141"/>
      <c r="C239" s="141"/>
      <c r="D239" s="141"/>
      <c r="E239" s="141"/>
      <c r="F239" s="142"/>
      <c r="G239" s="65"/>
      <c r="H239" s="20" t="s">
        <v>12</v>
      </c>
      <c r="I239" s="614" t="s">
        <v>13</v>
      </c>
      <c r="J239" s="615"/>
      <c r="K239" s="62" t="s">
        <v>14</v>
      </c>
      <c r="L239" s="63"/>
      <c r="M239" s="62" t="s">
        <v>15</v>
      </c>
      <c r="N239" s="62" t="s">
        <v>16</v>
      </c>
      <c r="O239" s="20" t="s">
        <v>17</v>
      </c>
    </row>
    <row r="240" spans="1:15" ht="15.75" customHeight="1" thickBot="1">
      <c r="A240" s="611" t="s">
        <v>13</v>
      </c>
      <c r="B240" s="612"/>
      <c r="C240" s="21" t="s">
        <v>14</v>
      </c>
      <c r="D240" s="20"/>
      <c r="E240" s="21" t="s">
        <v>15</v>
      </c>
      <c r="F240" s="21" t="s">
        <v>16</v>
      </c>
      <c r="G240" s="20" t="s">
        <v>17</v>
      </c>
      <c r="H240" s="22" t="s">
        <v>18</v>
      </c>
      <c r="I240" s="643">
        <f>+O236</f>
        <v>945000</v>
      </c>
      <c r="J240" s="612"/>
      <c r="K240" s="363">
        <f>0</f>
        <v>0</v>
      </c>
      <c r="L240" s="62"/>
      <c r="M240" s="20">
        <f>0</f>
        <v>0</v>
      </c>
      <c r="N240" s="247">
        <f>+I240</f>
        <v>945000</v>
      </c>
      <c r="O240" s="77">
        <f>+O236</f>
        <v>945000</v>
      </c>
    </row>
    <row r="241" spans="1:15" ht="18" thickBot="1">
      <c r="A241" s="606">
        <f>+C236</f>
        <v>370000</v>
      </c>
      <c r="B241" s="607"/>
      <c r="C241" s="23">
        <f>0</f>
        <v>0</v>
      </c>
      <c r="D241" s="24"/>
      <c r="E241" s="25">
        <f>0</f>
        <v>0</v>
      </c>
      <c r="F241" s="36">
        <f>+A241</f>
        <v>370000</v>
      </c>
      <c r="G241" s="38">
        <f>+G236</f>
        <v>370000</v>
      </c>
      <c r="H241" s="22" t="s">
        <v>113</v>
      </c>
      <c r="I241" s="643">
        <f>+I240/650.599</f>
        <v>1452.5076122158196</v>
      </c>
      <c r="J241" s="612"/>
      <c r="K241" s="363">
        <f>0</f>
        <v>0</v>
      </c>
      <c r="L241" s="62"/>
      <c r="M241" s="20">
        <f>0</f>
        <v>0</v>
      </c>
      <c r="N241" s="247">
        <f>+I241</f>
        <v>1452.5076122158196</v>
      </c>
      <c r="O241" s="77">
        <f>+N241</f>
        <v>1452.5076122158196</v>
      </c>
    </row>
    <row r="243" spans="1:15">
      <c r="A243" s="26"/>
      <c r="B243" s="26"/>
      <c r="C243" s="26"/>
      <c r="D243" s="26"/>
      <c r="E243" s="26"/>
      <c r="F243" s="26"/>
      <c r="H243" s="26" t="s">
        <v>1371</v>
      </c>
      <c r="I243" s="26"/>
      <c r="J243" s="26"/>
      <c r="K243" s="26"/>
      <c r="L243" s="26"/>
      <c r="M243" s="26"/>
      <c r="N243" s="26"/>
    </row>
    <row r="244" spans="1:15">
      <c r="A244" s="26"/>
      <c r="B244" s="26"/>
      <c r="C244" s="26"/>
      <c r="D244" s="26"/>
      <c r="E244" s="26"/>
      <c r="F244" s="26"/>
      <c r="H244" s="82" t="s">
        <v>1667</v>
      </c>
      <c r="I244" s="26"/>
      <c r="J244" s="26"/>
      <c r="K244" s="26"/>
      <c r="L244" s="26"/>
      <c r="M244" s="26"/>
      <c r="N244" s="26"/>
    </row>
    <row r="245" spans="1:15">
      <c r="A245" s="26"/>
      <c r="B245" s="26"/>
      <c r="C245" s="26"/>
      <c r="D245" s="26"/>
      <c r="E245" s="26"/>
      <c r="F245" s="26"/>
      <c r="H245" s="26" t="s">
        <v>19</v>
      </c>
      <c r="I245" s="26"/>
      <c r="J245" s="26"/>
      <c r="K245" s="26"/>
      <c r="L245" s="26"/>
      <c r="M245" s="26"/>
      <c r="N245" s="26"/>
    </row>
    <row r="246" spans="1:15">
      <c r="A246" s="26"/>
      <c r="B246" s="26"/>
      <c r="C246" s="26"/>
      <c r="D246" s="26"/>
      <c r="E246" s="26"/>
      <c r="F246" s="26"/>
      <c r="H246" s="26" t="s">
        <v>965</v>
      </c>
      <c r="I246" s="26"/>
      <c r="J246" s="26"/>
      <c r="K246" s="26"/>
      <c r="L246" s="26"/>
      <c r="M246" s="26"/>
      <c r="N246" s="26"/>
    </row>
    <row r="247" spans="1:15">
      <c r="A247" s="26"/>
      <c r="B247" s="26"/>
      <c r="C247" s="26"/>
      <c r="D247" s="26"/>
      <c r="E247" s="26"/>
      <c r="F247" s="26"/>
      <c r="H247" s="26" t="s">
        <v>21</v>
      </c>
      <c r="I247" s="26"/>
      <c r="J247" s="26"/>
      <c r="K247" s="26"/>
      <c r="L247" s="26"/>
      <c r="M247" s="26"/>
      <c r="N247" s="26"/>
    </row>
    <row r="248" spans="1:15">
      <c r="A248" s="26"/>
      <c r="B248" s="26"/>
      <c r="C248" s="26"/>
      <c r="D248" s="26"/>
      <c r="E248" s="26"/>
      <c r="F248" s="26"/>
      <c r="H248" s="26" t="s">
        <v>1229</v>
      </c>
      <c r="I248" s="26"/>
      <c r="J248" s="26"/>
      <c r="K248" s="26"/>
      <c r="L248" s="26"/>
      <c r="M248" s="26"/>
      <c r="N248" s="26"/>
    </row>
    <row r="252" spans="1:15">
      <c r="C252" s="30"/>
      <c r="D252" s="30" t="s">
        <v>24</v>
      </c>
      <c r="E252" s="30"/>
      <c r="F252" s="30"/>
      <c r="K252" s="30" t="s">
        <v>24</v>
      </c>
      <c r="L252" s="30"/>
      <c r="M252" s="30"/>
      <c r="N252" s="30"/>
    </row>
    <row r="253" spans="1:15">
      <c r="C253" s="30"/>
      <c r="D253" s="30" t="s">
        <v>149</v>
      </c>
      <c r="E253" s="30"/>
      <c r="F253" s="30"/>
      <c r="K253" s="167" t="s">
        <v>149</v>
      </c>
      <c r="L253" s="167"/>
      <c r="M253" s="167"/>
      <c r="N253" s="167"/>
    </row>
    <row r="254" spans="1:15">
      <c r="D254" s="699" t="s">
        <v>150</v>
      </c>
      <c r="E254" s="699"/>
      <c r="F254" s="699"/>
      <c r="K254" s="604" t="s">
        <v>150</v>
      </c>
      <c r="L254" s="604"/>
      <c r="M254" s="604"/>
      <c r="N254" s="604"/>
    </row>
    <row r="256" spans="1:15">
      <c r="A256" s="26"/>
      <c r="B256" s="26"/>
      <c r="C256" s="26"/>
      <c r="D256" s="26"/>
      <c r="E256" s="26"/>
      <c r="F256" s="26"/>
      <c r="H256" s="26"/>
      <c r="I256" s="26"/>
      <c r="J256" s="26"/>
      <c r="K256" s="26"/>
      <c r="L256" s="26"/>
      <c r="M256" s="26"/>
      <c r="N256" s="26"/>
    </row>
    <row r="257" spans="1:15" ht="18" customHeight="1">
      <c r="A257" s="26"/>
      <c r="B257" s="26"/>
      <c r="C257" s="26"/>
      <c r="D257" s="645" t="s">
        <v>1335</v>
      </c>
      <c r="E257" s="741"/>
      <c r="F257" s="741"/>
      <c r="H257" s="26"/>
      <c r="I257" s="26"/>
      <c r="J257" s="26"/>
      <c r="K257" s="645" t="s">
        <v>2347</v>
      </c>
      <c r="L257" s="645"/>
      <c r="M257" s="645"/>
      <c r="N257" s="645"/>
      <c r="O257" s="145"/>
    </row>
    <row r="258" spans="1:15" ht="18" customHeight="1">
      <c r="A258" s="26"/>
      <c r="B258" s="26"/>
      <c r="C258" s="26"/>
      <c r="D258" s="645"/>
      <c r="E258" s="741"/>
      <c r="F258" s="741"/>
      <c r="H258" s="384"/>
      <c r="I258" s="26"/>
      <c r="J258" s="26"/>
      <c r="K258" s="645"/>
      <c r="L258" s="645"/>
      <c r="M258" s="645"/>
      <c r="N258" s="645"/>
      <c r="O258" s="29"/>
    </row>
    <row r="259" spans="1:15">
      <c r="A259" s="617"/>
      <c r="B259" s="617"/>
      <c r="C259" s="617"/>
      <c r="D259" s="617"/>
      <c r="E259" s="617"/>
      <c r="F259" s="617"/>
      <c r="G259" s="617"/>
      <c r="I259" s="617" t="s">
        <v>0</v>
      </c>
      <c r="J259" s="617"/>
      <c r="K259" s="617"/>
      <c r="L259" s="617"/>
      <c r="M259" s="617"/>
      <c r="N259" s="617"/>
      <c r="O259" s="617"/>
    </row>
    <row r="261" spans="1:15" ht="16.5" customHeight="1"/>
    <row r="262" spans="1:15" ht="45" customHeight="1">
      <c r="B262" s="688" t="s">
        <v>1</v>
      </c>
      <c r="C262" s="688"/>
      <c r="D262" s="688"/>
      <c r="E262" s="688"/>
      <c r="H262" s="642" t="s">
        <v>1</v>
      </c>
      <c r="I262" s="642"/>
      <c r="J262" s="642"/>
      <c r="K262" s="642"/>
      <c r="L262" s="642"/>
      <c r="M262" s="642"/>
      <c r="N262" s="642"/>
      <c r="O262" s="642"/>
    </row>
    <row r="265" spans="1:15" ht="17.25">
      <c r="H265" s="448" t="s">
        <v>1668</v>
      </c>
    </row>
    <row r="266" spans="1:15" ht="17.25" thickBot="1">
      <c r="F266" s="141"/>
      <c r="H266" s="30"/>
      <c r="N266" s="141"/>
    </row>
    <row r="267" spans="1:15">
      <c r="A267" s="30"/>
      <c r="E267" s="143"/>
      <c r="G267" s="144"/>
      <c r="I267" s="30"/>
      <c r="M267" s="143"/>
      <c r="O267" s="144"/>
    </row>
    <row r="268" spans="1:15" ht="17.25">
      <c r="E268" s="667" t="s">
        <v>472</v>
      </c>
      <c r="F268" s="668"/>
      <c r="G268" s="669"/>
      <c r="M268" s="647" t="s">
        <v>1642</v>
      </c>
      <c r="N268" s="610"/>
      <c r="O268" s="648"/>
    </row>
    <row r="269" spans="1:15">
      <c r="C269" s="30"/>
      <c r="D269" s="30" t="s">
        <v>2</v>
      </c>
      <c r="E269" s="683" t="s">
        <v>1515</v>
      </c>
      <c r="F269" s="683"/>
      <c r="G269" s="684"/>
      <c r="H269" s="12" t="s">
        <v>114</v>
      </c>
      <c r="K269" s="249" t="s">
        <v>1663</v>
      </c>
      <c r="M269" s="605" t="s">
        <v>1670</v>
      </c>
      <c r="N269" s="605"/>
      <c r="O269" s="649"/>
    </row>
    <row r="270" spans="1:15">
      <c r="E270" s="601" t="s">
        <v>163</v>
      </c>
      <c r="F270" s="602"/>
      <c r="G270" s="603"/>
      <c r="M270" s="601" t="s">
        <v>163</v>
      </c>
      <c r="N270" s="602"/>
      <c r="O270" s="603"/>
    </row>
    <row r="271" spans="1:15" ht="17.25" thickBot="1">
      <c r="E271" s="140"/>
      <c r="F271" s="141"/>
      <c r="G271" s="142"/>
      <c r="M271" s="140"/>
      <c r="N271" s="141"/>
      <c r="O271" s="142"/>
    </row>
    <row r="272" spans="1:15">
      <c r="A272" s="30" t="s">
        <v>27</v>
      </c>
      <c r="B272" s="12" t="s">
        <v>115</v>
      </c>
    </row>
    <row r="273" spans="1:15">
      <c r="A273" s="30" t="s">
        <v>142</v>
      </c>
      <c r="B273" s="30" t="s">
        <v>1572</v>
      </c>
      <c r="H273" s="447" t="s">
        <v>27</v>
      </c>
      <c r="I273" s="394" t="s">
        <v>148</v>
      </c>
    </row>
    <row r="274" spans="1:15" ht="17.25" customHeight="1" thickBot="1"/>
    <row r="275" spans="1:15" ht="15" customHeight="1" thickBot="1">
      <c r="A275" s="370" t="s">
        <v>4</v>
      </c>
      <c r="B275" s="371"/>
      <c r="C275" s="371"/>
      <c r="D275" s="371"/>
      <c r="E275" s="371"/>
      <c r="F275" s="372"/>
      <c r="G275" s="20" t="s">
        <v>5</v>
      </c>
      <c r="H275" s="13" t="s">
        <v>112</v>
      </c>
      <c r="I275" s="624" t="s">
        <v>4</v>
      </c>
      <c r="J275" s="625"/>
      <c r="K275" s="625"/>
      <c r="L275" s="625"/>
      <c r="M275" s="625"/>
      <c r="N275" s="626"/>
      <c r="O275" s="20" t="s">
        <v>5</v>
      </c>
    </row>
    <row r="276" spans="1:15" ht="15" customHeight="1" thickBot="1">
      <c r="A276" s="143"/>
      <c r="B276" s="159"/>
      <c r="C276" s="159"/>
      <c r="D276" s="159"/>
      <c r="E276" s="159"/>
      <c r="F276" s="144"/>
      <c r="G276" s="65"/>
      <c r="H276" s="627" t="s">
        <v>1621</v>
      </c>
      <c r="I276" s="143"/>
      <c r="J276" s="159"/>
      <c r="K276" s="159"/>
      <c r="L276" s="159"/>
      <c r="M276" s="159"/>
      <c r="N276" s="144"/>
      <c r="O276" s="291"/>
    </row>
    <row r="277" spans="1:15" ht="16.5" customHeight="1" thickBot="1">
      <c r="A277" s="598" t="s">
        <v>6</v>
      </c>
      <c r="B277" s="599"/>
      <c r="C277" s="600"/>
      <c r="D277" s="598" t="s">
        <v>7</v>
      </c>
      <c r="E277" s="599"/>
      <c r="F277" s="600"/>
      <c r="G277" s="65"/>
      <c r="H277" s="628"/>
      <c r="I277" s="66"/>
      <c r="J277" s="367"/>
      <c r="K277" s="367" t="s">
        <v>286</v>
      </c>
      <c r="L277" s="367"/>
      <c r="M277" s="367"/>
      <c r="N277" s="67"/>
      <c r="O277" s="291"/>
    </row>
    <row r="278" spans="1:15">
      <c r="A278" s="420" t="s">
        <v>26</v>
      </c>
      <c r="B278" s="421" t="s">
        <v>8</v>
      </c>
      <c r="C278" s="422" t="s">
        <v>9</v>
      </c>
      <c r="D278" s="421" t="s">
        <v>10</v>
      </c>
      <c r="E278" s="422" t="s">
        <v>8</v>
      </c>
      <c r="F278" s="421" t="s">
        <v>11</v>
      </c>
      <c r="G278" s="65"/>
      <c r="H278" s="628"/>
      <c r="I278" s="449"/>
      <c r="J278" s="450"/>
      <c r="K278" s="446" t="s">
        <v>1669</v>
      </c>
      <c r="L278" s="450"/>
      <c r="M278" s="450"/>
      <c r="N278" s="451"/>
      <c r="O278" s="291"/>
    </row>
    <row r="279" spans="1:15">
      <c r="A279" s="426">
        <v>5</v>
      </c>
      <c r="B279" s="378">
        <v>10000</v>
      </c>
      <c r="C279" s="424">
        <f>A279*B279</f>
        <v>50000</v>
      </c>
      <c r="D279" s="424"/>
      <c r="E279" s="378"/>
      <c r="F279" s="427">
        <f>+D279*E279</f>
        <v>0</v>
      </c>
      <c r="G279" s="162">
        <f>+A279*B279</f>
        <v>50000</v>
      </c>
      <c r="H279" s="628"/>
      <c r="I279" s="385"/>
      <c r="J279" s="389"/>
      <c r="K279" s="246"/>
      <c r="L279" s="389"/>
      <c r="M279" s="187"/>
      <c r="N279" s="132"/>
      <c r="O279" s="248">
        <v>8820000</v>
      </c>
    </row>
    <row r="280" spans="1:15" ht="15" customHeight="1">
      <c r="A280" s="423"/>
      <c r="B280" s="388"/>
      <c r="E280" s="388"/>
      <c r="F280" s="425"/>
      <c r="G280" s="65"/>
      <c r="H280" s="628"/>
      <c r="I280" s="64"/>
      <c r="J280" s="604"/>
      <c r="K280" s="604"/>
      <c r="L280" s="604"/>
      <c r="N280" s="65"/>
      <c r="O280" s="291"/>
    </row>
    <row r="281" spans="1:15" ht="15.75" customHeight="1" thickBot="1">
      <c r="A281" s="64"/>
      <c r="F281" s="65"/>
      <c r="G281" s="65"/>
      <c r="H281" s="629"/>
      <c r="I281" s="140"/>
      <c r="J281" s="141"/>
      <c r="K281" s="141"/>
      <c r="L281" s="141"/>
      <c r="M281" s="141"/>
      <c r="N281" s="142"/>
      <c r="O281" s="291"/>
    </row>
    <row r="282" spans="1:15" ht="17.25" thickBot="1">
      <c r="A282" s="140"/>
      <c r="B282" s="141"/>
      <c r="C282" s="141"/>
      <c r="D282" s="141"/>
      <c r="E282" s="141"/>
      <c r="F282" s="142"/>
      <c r="G282" s="65"/>
      <c r="H282" s="20" t="s">
        <v>12</v>
      </c>
      <c r="I282" s="614" t="s">
        <v>13</v>
      </c>
      <c r="J282" s="615"/>
      <c r="K282" s="62" t="s">
        <v>14</v>
      </c>
      <c r="L282" s="63"/>
      <c r="M282" s="62" t="s">
        <v>15</v>
      </c>
      <c r="N282" s="62" t="s">
        <v>16</v>
      </c>
      <c r="O282" s="20" t="s">
        <v>17</v>
      </c>
    </row>
    <row r="283" spans="1:15" ht="15.75" customHeight="1" thickBot="1">
      <c r="A283" s="363" t="s">
        <v>13</v>
      </c>
      <c r="B283" s="364"/>
      <c r="C283" s="21" t="s">
        <v>14</v>
      </c>
      <c r="D283" s="20"/>
      <c r="E283" s="21" t="s">
        <v>15</v>
      </c>
      <c r="F283" s="21" t="s">
        <v>16</v>
      </c>
      <c r="G283" s="20" t="s">
        <v>17</v>
      </c>
      <c r="H283" s="22" t="s">
        <v>18</v>
      </c>
      <c r="I283" s="643">
        <f>+O279</f>
        <v>8820000</v>
      </c>
      <c r="J283" s="612"/>
      <c r="K283" s="23">
        <f>0</f>
        <v>0</v>
      </c>
      <c r="L283" s="24"/>
      <c r="M283" s="25">
        <f>0</f>
        <v>0</v>
      </c>
      <c r="N283" s="36">
        <f>+I283</f>
        <v>8820000</v>
      </c>
      <c r="O283" s="38">
        <f>+O279</f>
        <v>8820000</v>
      </c>
    </row>
    <row r="284" spans="1:15" ht="15.75" customHeight="1" thickBot="1">
      <c r="A284" s="359">
        <f>+C279</f>
        <v>50000</v>
      </c>
      <c r="B284" s="360"/>
      <c r="C284" s="23">
        <f>0</f>
        <v>0</v>
      </c>
      <c r="D284" s="24"/>
      <c r="E284" s="25">
        <f>0</f>
        <v>0</v>
      </c>
      <c r="F284" s="36">
        <f>+A284</f>
        <v>50000</v>
      </c>
      <c r="G284" s="38">
        <f>+G279</f>
        <v>50000</v>
      </c>
      <c r="H284" s="22" t="s">
        <v>113</v>
      </c>
      <c r="I284" s="643">
        <f>+I283/650.599</f>
        <v>13556.737714014314</v>
      </c>
      <c r="J284" s="612"/>
      <c r="K284" s="23">
        <f>0</f>
        <v>0</v>
      </c>
      <c r="L284" s="24"/>
      <c r="M284" s="25">
        <f>0</f>
        <v>0</v>
      </c>
      <c r="N284" s="36">
        <f>+I284</f>
        <v>13556.737714014314</v>
      </c>
      <c r="O284" s="77">
        <f>+N284</f>
        <v>13556.737714014314</v>
      </c>
    </row>
    <row r="286" spans="1:15">
      <c r="A286" s="26"/>
      <c r="B286" s="26"/>
      <c r="C286" s="26"/>
      <c r="D286" s="26"/>
      <c r="E286" s="26"/>
      <c r="F286" s="26"/>
      <c r="H286" s="395" t="s">
        <v>1372</v>
      </c>
      <c r="I286" s="26"/>
      <c r="J286" s="26"/>
      <c r="K286" s="26"/>
      <c r="L286" s="26"/>
      <c r="M286" s="26"/>
      <c r="N286" s="26"/>
    </row>
    <row r="287" spans="1:15">
      <c r="A287" s="26"/>
      <c r="B287" s="26"/>
      <c r="C287" s="26"/>
      <c r="D287" s="26"/>
      <c r="E287" s="26"/>
      <c r="F287" s="26"/>
      <c r="H287" s="408" t="s">
        <v>1671</v>
      </c>
      <c r="I287" s="26"/>
      <c r="J287" s="26"/>
      <c r="K287" s="26"/>
      <c r="L287" s="26"/>
      <c r="M287" s="26"/>
      <c r="N287" s="26"/>
    </row>
    <row r="288" spans="1:15">
      <c r="A288" s="26"/>
      <c r="B288" s="26"/>
      <c r="C288" s="26"/>
      <c r="D288" s="26"/>
      <c r="E288" s="26"/>
      <c r="F288" s="26"/>
      <c r="H288" s="26" t="s">
        <v>19</v>
      </c>
      <c r="I288" s="26"/>
      <c r="J288" s="26"/>
      <c r="K288" s="26"/>
      <c r="L288" s="26"/>
      <c r="M288" s="26"/>
      <c r="N288" s="26"/>
    </row>
    <row r="289" spans="1:15">
      <c r="A289" s="26"/>
      <c r="B289" s="26"/>
      <c r="C289" s="26"/>
      <c r="D289" s="26"/>
      <c r="E289" s="26"/>
      <c r="F289" s="26"/>
      <c r="H289" s="26" t="s">
        <v>965</v>
      </c>
      <c r="I289" s="26"/>
      <c r="J289" s="26"/>
      <c r="K289" s="26"/>
      <c r="L289" s="26"/>
      <c r="M289" s="26"/>
      <c r="N289" s="26"/>
    </row>
    <row r="290" spans="1:15">
      <c r="A290" s="26"/>
      <c r="B290" s="26"/>
      <c r="C290" s="26"/>
      <c r="D290" s="26"/>
      <c r="E290" s="26"/>
      <c r="F290" s="26"/>
      <c r="H290" s="26" t="s">
        <v>21</v>
      </c>
      <c r="I290" s="26"/>
      <c r="J290" s="26"/>
      <c r="K290" s="26"/>
      <c r="L290" s="26"/>
      <c r="M290" s="26"/>
      <c r="N290" s="26"/>
    </row>
    <row r="291" spans="1:15">
      <c r="A291" s="26"/>
      <c r="B291" s="26"/>
      <c r="C291" s="26"/>
      <c r="D291" s="26"/>
      <c r="E291" s="26"/>
      <c r="F291" s="26"/>
      <c r="H291" s="26" t="s">
        <v>1229</v>
      </c>
      <c r="I291" s="26"/>
      <c r="J291" s="26"/>
      <c r="K291" s="26"/>
      <c r="L291" s="26"/>
      <c r="M291" s="26"/>
      <c r="N291" s="26"/>
    </row>
    <row r="294" spans="1:15">
      <c r="C294" s="30"/>
      <c r="D294" s="30" t="s">
        <v>24</v>
      </c>
      <c r="E294" s="30"/>
      <c r="F294" s="30"/>
    </row>
    <row r="295" spans="1:15">
      <c r="C295" s="30"/>
      <c r="D295" s="30" t="s">
        <v>149</v>
      </c>
      <c r="E295" s="30"/>
      <c r="F295" s="30"/>
      <c r="K295" s="604" t="s">
        <v>24</v>
      </c>
      <c r="L295" s="604"/>
      <c r="M295" s="604"/>
      <c r="N295" s="604"/>
    </row>
    <row r="296" spans="1:15">
      <c r="D296" s="315" t="s">
        <v>150</v>
      </c>
      <c r="E296" s="315"/>
      <c r="F296" s="315"/>
      <c r="K296" s="604" t="s">
        <v>149</v>
      </c>
      <c r="L296" s="604"/>
      <c r="M296" s="604"/>
      <c r="N296" s="604"/>
    </row>
    <row r="297" spans="1:15">
      <c r="K297" s="604" t="s">
        <v>150</v>
      </c>
      <c r="L297" s="604"/>
      <c r="M297" s="604"/>
      <c r="N297" s="604"/>
    </row>
    <row r="298" spans="1:15">
      <c r="A298" s="26"/>
      <c r="B298" s="26"/>
      <c r="C298" s="26"/>
      <c r="D298" s="26"/>
      <c r="E298" s="26"/>
      <c r="F298" s="26"/>
      <c r="H298" s="26"/>
      <c r="I298" s="26"/>
      <c r="J298" s="26"/>
      <c r="K298" s="26"/>
      <c r="L298" s="26"/>
      <c r="M298" s="26"/>
      <c r="N298" s="26"/>
    </row>
    <row r="299" spans="1:15" ht="18" customHeight="1">
      <c r="A299" s="26"/>
      <c r="B299" s="26"/>
      <c r="C299" s="26"/>
      <c r="D299" s="757"/>
      <c r="E299" s="757"/>
      <c r="F299" s="757"/>
      <c r="H299" s="26"/>
      <c r="I299" s="26"/>
      <c r="J299" s="26"/>
      <c r="K299" s="26"/>
      <c r="L299" s="29"/>
      <c r="M299" s="29"/>
      <c r="N299" s="29"/>
      <c r="O299" s="145"/>
    </row>
    <row r="300" spans="1:15" ht="18" customHeight="1">
      <c r="A300" s="26"/>
      <c r="B300" s="26"/>
      <c r="C300" s="26"/>
      <c r="D300" s="645" t="s">
        <v>1335</v>
      </c>
      <c r="E300" s="741"/>
      <c r="F300" s="741"/>
      <c r="H300" s="384"/>
      <c r="I300" s="26"/>
      <c r="J300" s="26"/>
      <c r="K300" s="645" t="s">
        <v>1715</v>
      </c>
      <c r="L300" s="645"/>
      <c r="M300" s="645"/>
      <c r="N300" s="645"/>
      <c r="O300" s="29"/>
    </row>
    <row r="301" spans="1:15" ht="18" customHeight="1">
      <c r="A301" s="26"/>
      <c r="B301" s="26"/>
      <c r="C301" s="26"/>
      <c r="D301" s="368"/>
      <c r="E301" s="368"/>
      <c r="F301" s="368"/>
      <c r="H301" s="384"/>
      <c r="I301" s="26"/>
      <c r="J301" s="26"/>
      <c r="K301" s="26"/>
      <c r="L301" s="373"/>
      <c r="M301" s="373"/>
      <c r="N301" s="373"/>
      <c r="O301" s="29"/>
    </row>
    <row r="302" spans="1:15">
      <c r="A302" s="617" t="s">
        <v>0</v>
      </c>
      <c r="B302" s="617"/>
      <c r="C302" s="617"/>
      <c r="D302" s="617"/>
      <c r="E302" s="617"/>
      <c r="F302" s="617"/>
      <c r="G302" s="617"/>
      <c r="I302" s="617" t="s">
        <v>0</v>
      </c>
      <c r="J302" s="617"/>
      <c r="K302" s="617"/>
      <c r="L302" s="617"/>
      <c r="M302" s="617"/>
      <c r="N302" s="617"/>
      <c r="O302" s="617"/>
    </row>
    <row r="305" spans="1:15" ht="45" customHeight="1">
      <c r="B305" s="688" t="s">
        <v>1</v>
      </c>
      <c r="C305" s="688"/>
      <c r="D305" s="688"/>
      <c r="E305" s="688"/>
      <c r="J305" s="642" t="s">
        <v>1</v>
      </c>
      <c r="K305" s="642"/>
      <c r="L305" s="642"/>
      <c r="M305" s="642"/>
    </row>
    <row r="307" spans="1:15" ht="17.25">
      <c r="H307" s="375"/>
      <c r="I307" s="375" t="s">
        <v>2011</v>
      </c>
    </row>
    <row r="308" spans="1:15" ht="17.25" thickBot="1">
      <c r="F308" s="141"/>
      <c r="H308" s="30"/>
      <c r="N308" s="141"/>
    </row>
    <row r="309" spans="1:15" ht="16.5" customHeight="1">
      <c r="A309" s="30"/>
      <c r="E309" s="143"/>
      <c r="G309" s="144"/>
      <c r="I309" s="30"/>
      <c r="M309" s="143"/>
      <c r="O309" s="144"/>
    </row>
    <row r="310" spans="1:15" ht="17.25">
      <c r="E310" s="667" t="s">
        <v>120</v>
      </c>
      <c r="F310" s="668"/>
      <c r="G310" s="669"/>
      <c r="M310" s="647" t="s">
        <v>2296</v>
      </c>
      <c r="N310" s="610"/>
      <c r="O310" s="648"/>
    </row>
    <row r="311" spans="1:15">
      <c r="C311" s="30"/>
      <c r="D311" s="30" t="s">
        <v>2</v>
      </c>
      <c r="E311" s="186"/>
      <c r="F311" s="186" t="s">
        <v>1379</v>
      </c>
      <c r="G311" s="440"/>
      <c r="H311" s="12" t="s">
        <v>114</v>
      </c>
      <c r="K311" s="249" t="s">
        <v>2</v>
      </c>
      <c r="M311" s="622" t="s">
        <v>2299</v>
      </c>
      <c r="N311" s="622"/>
      <c r="O311" s="623"/>
    </row>
    <row r="312" spans="1:15" ht="12.75" customHeight="1">
      <c r="E312" s="601" t="s">
        <v>163</v>
      </c>
      <c r="F312" s="602"/>
      <c r="G312" s="603"/>
      <c r="M312" s="601" t="s">
        <v>904</v>
      </c>
      <c r="N312" s="602"/>
      <c r="O312" s="603"/>
    </row>
    <row r="313" spans="1:15" ht="17.25" thickBot="1">
      <c r="E313" s="140"/>
      <c r="F313" s="141"/>
      <c r="G313" s="142"/>
      <c r="M313" s="140"/>
      <c r="N313" s="141"/>
      <c r="O313" s="142"/>
    </row>
    <row r="314" spans="1:15" ht="15" customHeight="1">
      <c r="A314" s="236" t="s">
        <v>27</v>
      </c>
      <c r="B314" s="441" t="s">
        <v>775</v>
      </c>
    </row>
    <row r="315" spans="1:15" ht="17.25" customHeight="1">
      <c r="A315" s="30" t="s">
        <v>1573</v>
      </c>
      <c r="B315" s="30"/>
      <c r="H315" s="249" t="s">
        <v>27</v>
      </c>
      <c r="I315" s="394" t="s">
        <v>145</v>
      </c>
    </row>
    <row r="316" spans="1:15" ht="17.25" thickBot="1"/>
    <row r="317" spans="1:15" ht="17.25" thickBot="1">
      <c r="A317" s="696" t="s">
        <v>4</v>
      </c>
      <c r="B317" s="697"/>
      <c r="C317" s="697"/>
      <c r="D317" s="697"/>
      <c r="E317" s="697"/>
      <c r="F317" s="698"/>
      <c r="G317" s="20" t="s">
        <v>5</v>
      </c>
      <c r="H317" s="13" t="s">
        <v>112</v>
      </c>
      <c r="I317" s="624" t="s">
        <v>4</v>
      </c>
      <c r="J317" s="625"/>
      <c r="K317" s="625"/>
      <c r="L317" s="625"/>
      <c r="M317" s="625"/>
      <c r="N317" s="626"/>
      <c r="O317" s="20" t="s">
        <v>5</v>
      </c>
    </row>
    <row r="318" spans="1:15" ht="17.25" customHeight="1" thickBot="1">
      <c r="A318" s="143"/>
      <c r="B318" s="159"/>
      <c r="C318" s="159"/>
      <c r="D318" s="159"/>
      <c r="E318" s="159"/>
      <c r="F318" s="144"/>
      <c r="G318" s="65"/>
      <c r="H318" s="627" t="s">
        <v>2478</v>
      </c>
      <c r="I318" s="143"/>
      <c r="J318" s="159"/>
      <c r="K318" s="159"/>
      <c r="L318" s="159"/>
      <c r="M318" s="159"/>
      <c r="N318" s="144"/>
      <c r="O318" s="291"/>
    </row>
    <row r="319" spans="1:15" ht="17.25" customHeight="1" thickBot="1">
      <c r="A319" s="598" t="s">
        <v>6</v>
      </c>
      <c r="B319" s="599"/>
      <c r="C319" s="599"/>
      <c r="D319" s="15" t="s">
        <v>7</v>
      </c>
      <c r="E319" s="16"/>
      <c r="F319" s="32"/>
      <c r="G319" s="65"/>
      <c r="H319" s="628"/>
      <c r="I319" s="64"/>
      <c r="N319" s="65"/>
      <c r="O319" s="291"/>
    </row>
    <row r="320" spans="1:15" ht="17.25" thickBot="1">
      <c r="A320" s="17" t="s">
        <v>26</v>
      </c>
      <c r="B320" s="18" t="s">
        <v>8</v>
      </c>
      <c r="C320" s="19" t="s">
        <v>9</v>
      </c>
      <c r="D320" s="18" t="s">
        <v>10</v>
      </c>
      <c r="E320" s="19" t="s">
        <v>8</v>
      </c>
      <c r="F320" s="18" t="s">
        <v>11</v>
      </c>
      <c r="G320" s="65"/>
      <c r="H320" s="628"/>
      <c r="I320" s="630" t="s">
        <v>286</v>
      </c>
      <c r="J320" s="631"/>
      <c r="K320" s="631"/>
      <c r="L320" s="631"/>
      <c r="M320" s="631"/>
      <c r="N320" s="632"/>
      <c r="O320" s="291"/>
    </row>
    <row r="321" spans="1:15" ht="18.75" customHeight="1">
      <c r="A321" s="160">
        <v>19</v>
      </c>
      <c r="B321" s="154">
        <v>10000</v>
      </c>
      <c r="C321" s="154">
        <f>A321*B321</f>
        <v>190000</v>
      </c>
      <c r="D321" s="154"/>
      <c r="E321" s="154">
        <v>3000</v>
      </c>
      <c r="F321" s="161"/>
      <c r="G321" s="39">
        <f>+C321+F321</f>
        <v>190000</v>
      </c>
      <c r="H321" s="628"/>
      <c r="I321" s="636" t="s">
        <v>2298</v>
      </c>
      <c r="J321" s="637"/>
      <c r="K321" s="637"/>
      <c r="L321" s="637"/>
      <c r="M321" s="637"/>
      <c r="N321" s="638"/>
      <c r="O321" s="148">
        <v>3600000</v>
      </c>
    </row>
    <row r="322" spans="1:15">
      <c r="A322" s="64"/>
      <c r="F322" s="65"/>
      <c r="G322" s="65"/>
      <c r="H322" s="628"/>
      <c r="I322" s="64"/>
      <c r="J322" s="604"/>
      <c r="K322" s="604"/>
      <c r="L322" s="604"/>
      <c r="N322" s="65"/>
      <c r="O322" s="291"/>
    </row>
    <row r="323" spans="1:15" ht="15" customHeight="1" thickBot="1">
      <c r="A323" s="64"/>
      <c r="F323" s="65"/>
      <c r="G323" s="65"/>
      <c r="H323" s="629"/>
      <c r="I323" s="140"/>
      <c r="J323" s="141"/>
      <c r="K323" s="141"/>
      <c r="L323" s="141"/>
      <c r="M323" s="141"/>
      <c r="N323" s="142"/>
      <c r="O323" s="291"/>
    </row>
    <row r="324" spans="1:15" ht="15.75" customHeight="1" thickBot="1">
      <c r="A324" s="140"/>
      <c r="B324" s="141"/>
      <c r="C324" s="141"/>
      <c r="D324" s="141"/>
      <c r="E324" s="141"/>
      <c r="F324" s="142"/>
      <c r="G324" s="65"/>
      <c r="H324" s="20" t="s">
        <v>12</v>
      </c>
      <c r="I324" s="614" t="s">
        <v>13</v>
      </c>
      <c r="J324" s="615"/>
      <c r="K324" s="62" t="s">
        <v>14</v>
      </c>
      <c r="L324" s="63"/>
      <c r="M324" s="62" t="s">
        <v>15</v>
      </c>
      <c r="N324" s="62" t="s">
        <v>16</v>
      </c>
      <c r="O324" s="20" t="s">
        <v>17</v>
      </c>
    </row>
    <row r="325" spans="1:15" ht="18" thickBot="1">
      <c r="A325" s="611" t="s">
        <v>13</v>
      </c>
      <c r="B325" s="612"/>
      <c r="C325" s="21" t="s">
        <v>14</v>
      </c>
      <c r="D325" s="20"/>
      <c r="E325" s="21" t="s">
        <v>15</v>
      </c>
      <c r="F325" s="21" t="s">
        <v>16</v>
      </c>
      <c r="G325" s="20" t="s">
        <v>17</v>
      </c>
      <c r="H325" s="63" t="s">
        <v>18</v>
      </c>
      <c r="I325" s="643">
        <f>+O321</f>
        <v>3600000</v>
      </c>
      <c r="J325" s="612"/>
      <c r="K325" s="363">
        <f>0</f>
        <v>0</v>
      </c>
      <c r="L325" s="62"/>
      <c r="M325" s="20">
        <f>0</f>
        <v>0</v>
      </c>
      <c r="N325" s="247">
        <f>+I325</f>
        <v>3600000</v>
      </c>
      <c r="O325" s="77">
        <f>+O321</f>
        <v>3600000</v>
      </c>
    </row>
    <row r="326" spans="1:15" ht="18" thickBot="1">
      <c r="A326" s="606">
        <f>+C321</f>
        <v>190000</v>
      </c>
      <c r="B326" s="607"/>
      <c r="C326" s="23">
        <f>0</f>
        <v>0</v>
      </c>
      <c r="D326" s="24"/>
      <c r="E326" s="25">
        <f>0</f>
        <v>0</v>
      </c>
      <c r="F326" s="36">
        <f>+F321</f>
        <v>0</v>
      </c>
      <c r="G326" s="38">
        <f>+G321</f>
        <v>190000</v>
      </c>
      <c r="H326" s="63" t="s">
        <v>113</v>
      </c>
      <c r="I326" s="643">
        <f>+I325/650.599</f>
        <v>5533.362332250741</v>
      </c>
      <c r="J326" s="612"/>
      <c r="K326" s="363">
        <f>0</f>
        <v>0</v>
      </c>
      <c r="L326" s="62"/>
      <c r="M326" s="20">
        <f>0</f>
        <v>0</v>
      </c>
      <c r="N326" s="247">
        <f>+I326</f>
        <v>5533.362332250741</v>
      </c>
      <c r="O326" s="77">
        <f>+N326</f>
        <v>5533.362332250741</v>
      </c>
    </row>
    <row r="328" spans="1:15">
      <c r="A328" s="26"/>
      <c r="B328" s="26"/>
      <c r="C328" s="26"/>
      <c r="D328" s="26"/>
      <c r="E328" s="26"/>
      <c r="F328" s="26"/>
      <c r="H328" s="26" t="s">
        <v>1268</v>
      </c>
      <c r="I328" s="26"/>
      <c r="J328" s="26"/>
      <c r="K328" s="26"/>
      <c r="L328" s="26"/>
      <c r="M328" s="26"/>
      <c r="N328" s="26"/>
    </row>
    <row r="329" spans="1:15">
      <c r="A329" s="26"/>
      <c r="B329" s="26"/>
      <c r="C329" s="26"/>
      <c r="D329" s="26"/>
      <c r="E329" s="26"/>
      <c r="F329" s="26"/>
      <c r="H329" s="408" t="s">
        <v>2517</v>
      </c>
      <c r="I329" s="26"/>
      <c r="J329" s="26"/>
      <c r="K329" s="26"/>
      <c r="L329" s="26"/>
      <c r="M329" s="26"/>
      <c r="N329" s="26"/>
    </row>
    <row r="330" spans="1:15">
      <c r="A330" s="26"/>
      <c r="B330" s="26"/>
      <c r="C330" s="26"/>
      <c r="D330" s="26"/>
      <c r="E330" s="26"/>
      <c r="F330" s="26"/>
      <c r="H330" s="26" t="s">
        <v>19</v>
      </c>
      <c r="I330" s="26"/>
      <c r="J330" s="26"/>
      <c r="K330" s="26"/>
      <c r="L330" s="26"/>
      <c r="M330" s="26"/>
      <c r="N330" s="26"/>
    </row>
    <row r="331" spans="1:15">
      <c r="A331" s="26"/>
      <c r="B331" s="26"/>
      <c r="C331" s="26"/>
      <c r="D331" s="26"/>
      <c r="E331" s="26"/>
      <c r="F331" s="26"/>
      <c r="H331" s="26" t="s">
        <v>965</v>
      </c>
      <c r="I331" s="26"/>
      <c r="J331" s="26"/>
      <c r="K331" s="26"/>
      <c r="L331" s="26"/>
      <c r="M331" s="26"/>
      <c r="N331" s="26"/>
    </row>
    <row r="332" spans="1:15">
      <c r="A332" s="26"/>
      <c r="B332" s="26"/>
      <c r="C332" s="26"/>
      <c r="D332" s="26"/>
      <c r="E332" s="26"/>
      <c r="F332" s="26"/>
      <c r="H332" s="26" t="s">
        <v>21</v>
      </c>
      <c r="I332" s="26"/>
      <c r="J332" s="26"/>
      <c r="K332" s="26"/>
      <c r="L332" s="26"/>
      <c r="M332" s="26"/>
      <c r="N332" s="26"/>
    </row>
    <row r="333" spans="1:15">
      <c r="A333" s="26"/>
      <c r="B333" s="26"/>
      <c r="C333" s="26"/>
      <c r="D333" s="26"/>
      <c r="E333" s="26"/>
      <c r="F333" s="26"/>
      <c r="H333" s="26" t="s">
        <v>1229</v>
      </c>
      <c r="I333" s="26"/>
      <c r="J333" s="26"/>
      <c r="K333" s="26"/>
      <c r="L333" s="26"/>
      <c r="M333" s="26"/>
      <c r="N333" s="26"/>
    </row>
    <row r="336" spans="1:15">
      <c r="K336" s="610" t="s">
        <v>24</v>
      </c>
      <c r="L336" s="610"/>
      <c r="M336" s="610"/>
      <c r="N336" s="610"/>
    </row>
    <row r="337" spans="1:15">
      <c r="C337" s="30"/>
      <c r="D337" s="30" t="s">
        <v>24</v>
      </c>
      <c r="E337" s="30"/>
      <c r="F337" s="30"/>
      <c r="K337" s="610" t="s">
        <v>149</v>
      </c>
      <c r="L337" s="610"/>
      <c r="M337" s="610"/>
      <c r="N337" s="610"/>
    </row>
    <row r="338" spans="1:15">
      <c r="C338" s="30"/>
      <c r="D338" s="30" t="s">
        <v>149</v>
      </c>
      <c r="E338" s="30"/>
      <c r="F338" s="30"/>
      <c r="K338" s="608" t="s">
        <v>150</v>
      </c>
      <c r="L338" s="608"/>
      <c r="M338" s="608"/>
      <c r="N338" s="608"/>
    </row>
    <row r="339" spans="1:15">
      <c r="D339" s="699" t="s">
        <v>150</v>
      </c>
      <c r="E339" s="699"/>
      <c r="F339" s="699"/>
    </row>
    <row r="340" spans="1:15">
      <c r="K340" s="26"/>
      <c r="L340" s="26"/>
      <c r="M340" s="26"/>
    </row>
    <row r="341" spans="1:15" ht="18">
      <c r="A341" s="26"/>
      <c r="B341" s="26"/>
      <c r="C341" s="26"/>
      <c r="D341" s="759"/>
      <c r="E341" s="807"/>
      <c r="F341" s="807"/>
      <c r="H341" s="26"/>
      <c r="I341" s="26"/>
      <c r="J341" s="26"/>
      <c r="K341" s="645" t="s">
        <v>2347</v>
      </c>
      <c r="L341" s="645"/>
      <c r="M341" s="645"/>
      <c r="N341" s="645"/>
      <c r="O341" s="145"/>
    </row>
    <row r="342" spans="1:15" ht="18" customHeight="1">
      <c r="A342" s="26"/>
      <c r="B342" s="26"/>
      <c r="C342" s="26"/>
      <c r="D342" s="645" t="s">
        <v>1335</v>
      </c>
      <c r="E342" s="741"/>
      <c r="F342" s="741"/>
      <c r="H342" s="26"/>
      <c r="I342" s="26"/>
      <c r="J342" s="26"/>
      <c r="K342" s="26"/>
      <c r="L342" s="416"/>
      <c r="M342" s="416"/>
      <c r="N342" s="416"/>
      <c r="O342" s="145"/>
    </row>
    <row r="343" spans="1:15" ht="18" customHeight="1">
      <c r="A343" s="26"/>
      <c r="B343" s="26"/>
      <c r="C343" s="26"/>
      <c r="D343" s="417"/>
      <c r="E343" s="418"/>
      <c r="F343" s="418"/>
      <c r="H343" s="26"/>
      <c r="I343" s="26"/>
      <c r="J343" s="26"/>
      <c r="K343" s="26"/>
      <c r="L343" s="416"/>
      <c r="M343" s="416"/>
      <c r="N343" s="416"/>
      <c r="O343" s="145"/>
    </row>
    <row r="344" spans="1:15" ht="18">
      <c r="A344" s="26"/>
      <c r="B344" s="26"/>
      <c r="C344" s="26"/>
      <c r="D344" s="365"/>
      <c r="E344" s="366"/>
      <c r="F344" s="366"/>
      <c r="H344" s="26"/>
      <c r="I344" s="26"/>
      <c r="J344" s="26"/>
      <c r="K344" s="26"/>
      <c r="L344" s="416"/>
      <c r="M344" s="416"/>
      <c r="N344" s="416"/>
      <c r="O344" s="145"/>
    </row>
    <row r="345" spans="1:15">
      <c r="A345" s="617"/>
      <c r="B345" s="617"/>
      <c r="C345" s="617"/>
      <c r="D345" s="617"/>
      <c r="E345" s="617"/>
      <c r="F345" s="617"/>
      <c r="G345" s="617"/>
      <c r="I345" s="617" t="s">
        <v>0</v>
      </c>
      <c r="J345" s="617"/>
      <c r="K345" s="617"/>
      <c r="L345" s="617"/>
      <c r="M345" s="617"/>
      <c r="N345" s="617"/>
      <c r="O345" s="617"/>
    </row>
    <row r="346" spans="1:15">
      <c r="A346" s="617"/>
      <c r="B346" s="617"/>
      <c r="C346" s="617"/>
      <c r="D346" s="617"/>
      <c r="E346" s="617"/>
      <c r="F346" s="617"/>
    </row>
    <row r="348" spans="1:15" ht="49.5" customHeight="1">
      <c r="B348" s="642" t="s">
        <v>1</v>
      </c>
      <c r="C348" s="642"/>
      <c r="D348" s="642"/>
      <c r="E348" s="642"/>
      <c r="J348" s="642" t="s">
        <v>1</v>
      </c>
      <c r="K348" s="642"/>
      <c r="L348" s="642"/>
      <c r="M348" s="642"/>
    </row>
    <row r="350" spans="1:15" ht="17.25">
      <c r="A350" s="375" t="s">
        <v>804</v>
      </c>
    </row>
    <row r="351" spans="1:15" ht="18" thickBot="1">
      <c r="E351" s="141"/>
      <c r="F351" s="141"/>
      <c r="H351" s="375"/>
      <c r="I351" s="375" t="s">
        <v>2011</v>
      </c>
    </row>
    <row r="352" spans="1:15" ht="17.25" thickBot="1">
      <c r="A352" s="30"/>
      <c r="E352" s="143"/>
      <c r="G352" s="144"/>
      <c r="H352" s="30"/>
      <c r="N352" s="141"/>
    </row>
    <row r="353" spans="1:15">
      <c r="E353" s="647" t="s">
        <v>1691</v>
      </c>
      <c r="F353" s="610"/>
      <c r="G353" s="648"/>
      <c r="I353" s="30"/>
      <c r="M353" s="143"/>
      <c r="O353" s="144"/>
    </row>
    <row r="354" spans="1:15">
      <c r="A354" s="12" t="s">
        <v>114</v>
      </c>
      <c r="C354" s="30"/>
      <c r="D354" s="30" t="s">
        <v>2</v>
      </c>
      <c r="F354" s="403" t="s">
        <v>1574</v>
      </c>
      <c r="M354" s="647" t="s">
        <v>2296</v>
      </c>
      <c r="N354" s="610"/>
      <c r="O354" s="648"/>
    </row>
    <row r="355" spans="1:15">
      <c r="E355" s="670" t="s">
        <v>1575</v>
      </c>
      <c r="F355" s="604"/>
      <c r="G355" s="671"/>
      <c r="H355" s="12" t="s">
        <v>114</v>
      </c>
      <c r="K355" s="249" t="s">
        <v>2</v>
      </c>
      <c r="M355" s="622" t="s">
        <v>2299</v>
      </c>
      <c r="N355" s="622"/>
      <c r="O355" s="623"/>
    </row>
    <row r="356" spans="1:15" ht="17.25" thickBot="1">
      <c r="E356" s="140"/>
      <c r="F356" s="443" t="s">
        <v>163</v>
      </c>
      <c r="G356" s="142"/>
      <c r="M356" s="601" t="s">
        <v>904</v>
      </c>
      <c r="N356" s="602"/>
      <c r="O356" s="603"/>
    </row>
    <row r="357" spans="1:15" ht="17.25" thickBot="1">
      <c r="M357" s="140"/>
      <c r="N357" s="141"/>
      <c r="O357" s="142"/>
    </row>
    <row r="358" spans="1:15">
      <c r="A358" s="12" t="s">
        <v>145</v>
      </c>
    </row>
    <row r="359" spans="1:15" ht="17.25" thickBot="1">
      <c r="H359" s="249" t="s">
        <v>27</v>
      </c>
      <c r="I359" s="394" t="s">
        <v>145</v>
      </c>
    </row>
    <row r="360" spans="1:15" ht="17.25" customHeight="1" thickBot="1">
      <c r="A360" s="696" t="s">
        <v>4</v>
      </c>
      <c r="B360" s="697"/>
      <c r="C360" s="697"/>
      <c r="D360" s="697"/>
      <c r="E360" s="698"/>
      <c r="F360" s="190" t="s">
        <v>5</v>
      </c>
      <c r="G360" s="82"/>
    </row>
    <row r="361" spans="1:15" ht="17.25" customHeight="1" thickBot="1">
      <c r="A361" s="742"/>
      <c r="B361" s="743"/>
      <c r="C361" s="743"/>
      <c r="D361" s="743"/>
      <c r="E361" s="744"/>
      <c r="F361" s="290"/>
      <c r="H361" s="13" t="s">
        <v>112</v>
      </c>
      <c r="I361" s="696" t="s">
        <v>4</v>
      </c>
      <c r="J361" s="697"/>
      <c r="K361" s="697"/>
      <c r="L361" s="697"/>
      <c r="M361" s="697"/>
      <c r="N361" s="698"/>
      <c r="O361" s="20" t="s">
        <v>5</v>
      </c>
    </row>
    <row r="362" spans="1:15" ht="16.5" customHeight="1">
      <c r="A362" s="64"/>
      <c r="E362" s="65"/>
      <c r="F362" s="291"/>
      <c r="H362" s="627" t="s">
        <v>2289</v>
      </c>
      <c r="I362" s="143"/>
      <c r="J362" s="159"/>
      <c r="K362" s="159"/>
      <c r="L362" s="159"/>
      <c r="M362" s="159"/>
      <c r="N362" s="144"/>
      <c r="O362" s="291"/>
    </row>
    <row r="363" spans="1:15">
      <c r="A363" s="185"/>
      <c r="B363" s="30"/>
      <c r="C363" s="30"/>
      <c r="D363" s="394"/>
      <c r="E363" s="128"/>
      <c r="H363" s="628"/>
      <c r="I363" s="630" t="s">
        <v>286</v>
      </c>
      <c r="J363" s="631"/>
      <c r="K363" s="631"/>
      <c r="L363" s="631"/>
      <c r="M363" s="631"/>
      <c r="N363" s="632"/>
      <c r="O363" s="291"/>
    </row>
    <row r="364" spans="1:15">
      <c r="A364" s="670"/>
      <c r="B364" s="604"/>
      <c r="C364" s="604"/>
      <c r="D364" s="604"/>
      <c r="E364" s="671"/>
      <c r="F364" s="292">
        <v>12949788</v>
      </c>
      <c r="H364" s="628"/>
      <c r="I364" s="636" t="s">
        <v>2298</v>
      </c>
      <c r="J364" s="637"/>
      <c r="K364" s="637"/>
      <c r="L364" s="637"/>
      <c r="M364" s="637"/>
      <c r="N364" s="638"/>
      <c r="O364" s="148">
        <v>3600000</v>
      </c>
    </row>
    <row r="365" spans="1:15">
      <c r="A365" s="702" t="s">
        <v>2401</v>
      </c>
      <c r="B365" s="806"/>
      <c r="C365" s="806"/>
      <c r="D365" s="806"/>
      <c r="E365" s="704"/>
      <c r="F365" s="292"/>
      <c r="H365" s="628"/>
      <c r="I365" s="64"/>
      <c r="J365" s="604"/>
      <c r="K365" s="604"/>
      <c r="L365" s="604"/>
      <c r="N365" s="65"/>
      <c r="O365" s="291"/>
    </row>
    <row r="366" spans="1:15" ht="17.25" thickBot="1">
      <c r="A366" s="185"/>
      <c r="C366" s="187"/>
      <c r="D366" s="187"/>
      <c r="E366" s="128"/>
      <c r="F366" s="293"/>
      <c r="H366" s="629"/>
      <c r="I366" s="140"/>
      <c r="J366" s="141"/>
      <c r="K366" s="141"/>
      <c r="L366" s="141"/>
      <c r="M366" s="141"/>
      <c r="N366" s="142"/>
      <c r="O366" s="291"/>
    </row>
    <row r="367" spans="1:15" ht="18" thickBot="1">
      <c r="A367" s="499"/>
      <c r="B367" s="24"/>
      <c r="C367" s="141"/>
      <c r="D367" s="141"/>
      <c r="E367" s="502"/>
      <c r="F367" s="291"/>
      <c r="H367" s="63" t="s">
        <v>18</v>
      </c>
      <c r="I367" s="643">
        <f>+O364</f>
        <v>3600000</v>
      </c>
      <c r="J367" s="745"/>
      <c r="K367" s="363">
        <f>0</f>
        <v>0</v>
      </c>
      <c r="L367" s="62"/>
      <c r="M367" s="20">
        <f>0</f>
        <v>0</v>
      </c>
      <c r="N367" s="247">
        <f>+I367</f>
        <v>3600000</v>
      </c>
      <c r="O367" s="77">
        <f>+O364</f>
        <v>3600000</v>
      </c>
    </row>
    <row r="368" spans="1:15" ht="17.25" thickBot="1">
      <c r="A368" s="611" t="s">
        <v>13</v>
      </c>
      <c r="B368" s="612"/>
      <c r="C368" s="363" t="s">
        <v>14</v>
      </c>
      <c r="D368" s="21" t="s">
        <v>15</v>
      </c>
      <c r="E368" s="364" t="s">
        <v>16</v>
      </c>
      <c r="F368" s="444">
        <f>+F364+F365</f>
        <v>12949788</v>
      </c>
    </row>
    <row r="369" spans="1:15" ht="18" thickBot="1">
      <c r="A369" s="606">
        <f>+F368</f>
        <v>12949788</v>
      </c>
      <c r="B369" s="652"/>
      <c r="C369" s="23">
        <f>0</f>
        <v>0</v>
      </c>
      <c r="D369" s="25">
        <f>0</f>
        <v>0</v>
      </c>
      <c r="E369" s="36">
        <f>+A369</f>
        <v>12949788</v>
      </c>
      <c r="F369" s="130"/>
      <c r="H369" s="395" t="s">
        <v>1268</v>
      </c>
      <c r="I369" s="26"/>
      <c r="J369" s="26"/>
      <c r="K369" s="26"/>
      <c r="L369" s="26"/>
      <c r="M369" s="26"/>
      <c r="N369" s="26"/>
    </row>
    <row r="370" spans="1:15" ht="18" thickBot="1">
      <c r="A370" s="643">
        <f>+A369/660</f>
        <v>19620.890909090907</v>
      </c>
      <c r="B370" s="745"/>
      <c r="C370" s="23">
        <f>0</f>
        <v>0</v>
      </c>
      <c r="D370" s="25">
        <f>0</f>
        <v>0</v>
      </c>
      <c r="E370" s="131">
        <f>+A370</f>
        <v>19620.890909090907</v>
      </c>
      <c r="F370" s="129"/>
      <c r="H370" s="394" t="s">
        <v>2300</v>
      </c>
    </row>
    <row r="371" spans="1:15">
      <c r="H371" s="82" t="s">
        <v>19</v>
      </c>
      <c r="I371" s="26"/>
      <c r="J371" s="26"/>
      <c r="K371" s="26"/>
      <c r="L371" s="26"/>
      <c r="M371" s="26"/>
      <c r="N371" s="26"/>
    </row>
    <row r="372" spans="1:15">
      <c r="A372" s="26"/>
      <c r="B372" s="26"/>
      <c r="C372" s="26"/>
      <c r="D372" s="26"/>
      <c r="E372" s="26"/>
      <c r="H372" s="26" t="s">
        <v>965</v>
      </c>
      <c r="I372" s="26"/>
      <c r="J372" s="26"/>
      <c r="K372" s="26"/>
      <c r="L372" s="26"/>
      <c r="M372" s="26"/>
      <c r="N372" s="26"/>
    </row>
    <row r="373" spans="1:15">
      <c r="A373" s="26"/>
      <c r="B373" s="26"/>
      <c r="C373" s="26"/>
      <c r="D373" s="26"/>
      <c r="E373" s="26"/>
      <c r="H373" s="26"/>
      <c r="I373" s="26"/>
      <c r="J373" s="26"/>
      <c r="K373" s="26"/>
      <c r="L373" s="26"/>
      <c r="M373" s="26"/>
      <c r="N373" s="26"/>
    </row>
    <row r="374" spans="1:15">
      <c r="A374" s="26"/>
      <c r="B374" s="26"/>
      <c r="C374" s="26"/>
      <c r="D374" s="26"/>
      <c r="E374" s="26"/>
      <c r="H374" s="26" t="s">
        <v>21</v>
      </c>
      <c r="I374" s="26"/>
      <c r="J374" s="26"/>
      <c r="K374" s="26"/>
      <c r="L374" s="26"/>
      <c r="M374" s="26"/>
      <c r="N374" s="26"/>
    </row>
    <row r="375" spans="1:15">
      <c r="A375" s="26"/>
      <c r="B375" s="26"/>
      <c r="C375" s="26"/>
      <c r="D375" s="26"/>
      <c r="E375" s="26"/>
      <c r="F375" s="26"/>
      <c r="H375" s="26" t="s">
        <v>1229</v>
      </c>
      <c r="I375" s="26"/>
      <c r="J375" s="26"/>
      <c r="K375" s="26"/>
      <c r="L375" s="26"/>
      <c r="M375" s="26"/>
      <c r="N375" s="26"/>
    </row>
    <row r="376" spans="1:15">
      <c r="A376" s="26"/>
      <c r="B376" s="26"/>
      <c r="C376" s="26"/>
      <c r="D376" s="26"/>
      <c r="E376" s="26"/>
    </row>
    <row r="377" spans="1:15">
      <c r="A377" s="26"/>
      <c r="B377" s="26"/>
      <c r="C377" s="26"/>
      <c r="D377" s="26"/>
      <c r="E377" s="26"/>
    </row>
    <row r="378" spans="1:15">
      <c r="K378" s="604" t="s">
        <v>24</v>
      </c>
      <c r="L378" s="604"/>
      <c r="M378" s="604"/>
      <c r="N378" s="604"/>
    </row>
    <row r="379" spans="1:15">
      <c r="D379" s="30" t="s">
        <v>252</v>
      </c>
      <c r="K379" s="604" t="s">
        <v>149</v>
      </c>
      <c r="L379" s="604"/>
      <c r="M379" s="604"/>
      <c r="N379" s="604"/>
    </row>
    <row r="380" spans="1:15">
      <c r="C380" s="30"/>
      <c r="D380" s="30" t="s">
        <v>151</v>
      </c>
      <c r="K380" s="605" t="s">
        <v>150</v>
      </c>
      <c r="L380" s="605"/>
      <c r="M380" s="605"/>
      <c r="N380" s="605"/>
    </row>
    <row r="381" spans="1:15">
      <c r="C381" s="30"/>
      <c r="E381" s="501" t="s">
        <v>152</v>
      </c>
    </row>
    <row r="382" spans="1:15">
      <c r="C382" s="30"/>
      <c r="E382" s="30"/>
    </row>
    <row r="383" spans="1:15">
      <c r="K383" s="30"/>
    </row>
    <row r="384" spans="1:15" ht="18" customHeight="1">
      <c r="C384" s="645" t="s">
        <v>2347</v>
      </c>
      <c r="D384" s="645"/>
      <c r="E384" s="645"/>
      <c r="F384" s="645"/>
      <c r="G384" s="645"/>
      <c r="H384" s="26"/>
      <c r="I384" s="26"/>
      <c r="J384" s="26"/>
      <c r="K384" s="645" t="s">
        <v>2147</v>
      </c>
      <c r="L384" s="645"/>
      <c r="M384" s="645"/>
      <c r="N384" s="645"/>
      <c r="O384" s="145"/>
    </row>
    <row r="385" spans="1:15" ht="18">
      <c r="D385" s="645"/>
      <c r="E385" s="645"/>
      <c r="F385" s="645"/>
      <c r="G385" s="289"/>
      <c r="H385" s="26"/>
      <c r="I385" s="26"/>
      <c r="J385" s="26"/>
      <c r="K385" s="26"/>
      <c r="L385" s="373"/>
      <c r="M385" s="373"/>
      <c r="N385" s="373"/>
      <c r="O385" s="145"/>
    </row>
    <row r="386" spans="1:15">
      <c r="A386" s="617"/>
      <c r="B386" s="617"/>
      <c r="C386" s="617"/>
      <c r="D386" s="617"/>
      <c r="E386" s="617"/>
      <c r="F386" s="617"/>
      <c r="G386" s="617"/>
      <c r="I386" s="617" t="s">
        <v>0</v>
      </c>
      <c r="J386" s="617"/>
      <c r="K386" s="617"/>
      <c r="L386" s="617"/>
      <c r="M386" s="617"/>
      <c r="N386" s="617"/>
      <c r="O386" s="617"/>
    </row>
    <row r="389" spans="1:15" ht="45" customHeight="1">
      <c r="A389" s="642"/>
      <c r="B389" s="642"/>
      <c r="C389" s="642"/>
      <c r="D389" s="642"/>
      <c r="E389" s="642"/>
      <c r="F389" s="642"/>
      <c r="G389" s="642"/>
      <c r="H389" s="642" t="s">
        <v>1</v>
      </c>
      <c r="I389" s="642"/>
      <c r="J389" s="642"/>
      <c r="K389" s="642"/>
      <c r="L389" s="642"/>
      <c r="M389" s="642"/>
      <c r="N389" s="642"/>
      <c r="O389" s="642"/>
    </row>
    <row r="392" spans="1:15" ht="17.25">
      <c r="H392" s="375"/>
      <c r="I392" s="503" t="s">
        <v>2456</v>
      </c>
    </row>
    <row r="393" spans="1:15" ht="17.25" thickBot="1">
      <c r="H393" s="30"/>
      <c r="N393" s="141"/>
    </row>
    <row r="394" spans="1:15">
      <c r="A394" s="30"/>
      <c r="E394" s="143"/>
      <c r="G394" s="144"/>
      <c r="I394" s="30"/>
      <c r="M394" s="143"/>
      <c r="O394" s="144"/>
    </row>
    <row r="395" spans="1:15" ht="17.25">
      <c r="D395" s="191"/>
      <c r="E395" s="667" t="s">
        <v>472</v>
      </c>
      <c r="F395" s="668"/>
      <c r="G395" s="669"/>
      <c r="M395" s="647" t="s">
        <v>2453</v>
      </c>
      <c r="N395" s="610"/>
      <c r="O395" s="648"/>
    </row>
    <row r="396" spans="1:15">
      <c r="C396" s="249" t="s">
        <v>2</v>
      </c>
      <c r="E396" s="683" t="s">
        <v>1515</v>
      </c>
      <c r="F396" s="683"/>
      <c r="G396" s="684"/>
      <c r="H396" s="12" t="s">
        <v>114</v>
      </c>
      <c r="K396" s="30"/>
      <c r="L396" s="30" t="s">
        <v>2</v>
      </c>
      <c r="M396" s="622" t="s">
        <v>2458</v>
      </c>
      <c r="N396" s="622"/>
      <c r="O396" s="623"/>
    </row>
    <row r="397" spans="1:15">
      <c r="D397" s="192"/>
      <c r="E397" s="601" t="s">
        <v>163</v>
      </c>
      <c r="F397" s="602"/>
      <c r="G397" s="603"/>
      <c r="M397" s="601" t="s">
        <v>163</v>
      </c>
      <c r="N397" s="602"/>
      <c r="O397" s="603"/>
    </row>
    <row r="398" spans="1:15" ht="18" thickBot="1">
      <c r="E398" s="140"/>
      <c r="F398" s="141"/>
      <c r="G398" s="142"/>
      <c r="H398" s="249"/>
      <c r="I398" s="375"/>
      <c r="M398" s="140"/>
      <c r="N398" s="141"/>
      <c r="O398" s="142"/>
    </row>
    <row r="400" spans="1:15">
      <c r="A400" s="414" t="s">
        <v>905</v>
      </c>
      <c r="H400" s="30" t="s">
        <v>27</v>
      </c>
      <c r="I400" s="394" t="s">
        <v>148</v>
      </c>
    </row>
    <row r="401" spans="1:15" ht="17.25" thickBot="1"/>
    <row r="402" spans="1:15" ht="18" customHeight="1" thickBot="1">
      <c r="A402" s="696" t="s">
        <v>4</v>
      </c>
      <c r="B402" s="697"/>
      <c r="C402" s="697"/>
      <c r="D402" s="697"/>
      <c r="E402" s="698"/>
      <c r="F402" s="364" t="s">
        <v>5</v>
      </c>
      <c r="H402" s="13" t="s">
        <v>112</v>
      </c>
      <c r="I402" s="624" t="s">
        <v>4</v>
      </c>
      <c r="J402" s="625"/>
      <c r="K402" s="625"/>
      <c r="L402" s="625"/>
      <c r="M402" s="625"/>
      <c r="N402" s="626"/>
      <c r="O402" s="20" t="s">
        <v>5</v>
      </c>
    </row>
    <row r="403" spans="1:15" ht="16.5" customHeight="1">
      <c r="A403" s="747" t="s">
        <v>1531</v>
      </c>
      <c r="B403" s="748"/>
      <c r="C403" s="748"/>
      <c r="D403" s="748"/>
      <c r="E403" s="748"/>
      <c r="F403" s="433"/>
      <c r="H403" s="627" t="s">
        <v>2445</v>
      </c>
      <c r="I403" s="143"/>
      <c r="J403" s="159"/>
      <c r="K403" s="159"/>
      <c r="L403" s="159"/>
      <c r="M403" s="159"/>
      <c r="N403" s="144"/>
      <c r="O403" s="291"/>
    </row>
    <row r="404" spans="1:15">
      <c r="A404" s="185" t="s">
        <v>1532</v>
      </c>
      <c r="B404" s="186"/>
      <c r="C404" s="30"/>
      <c r="D404" s="30"/>
      <c r="E404" s="30"/>
      <c r="F404" s="434">
        <v>2946700</v>
      </c>
      <c r="H404" s="628"/>
      <c r="I404" s="64"/>
      <c r="N404" s="65"/>
      <c r="O404" s="291"/>
    </row>
    <row r="405" spans="1:15">
      <c r="F405" s="435"/>
      <c r="H405" s="628"/>
      <c r="I405" s="630" t="s">
        <v>286</v>
      </c>
      <c r="J405" s="631"/>
      <c r="K405" s="631"/>
      <c r="L405" s="631"/>
      <c r="M405" s="631"/>
      <c r="N405" s="632"/>
      <c r="O405" s="291"/>
    </row>
    <row r="406" spans="1:15">
      <c r="A406" s="185" t="s">
        <v>1533</v>
      </c>
      <c r="B406" s="30"/>
      <c r="C406" s="30"/>
      <c r="D406" s="30"/>
      <c r="E406" s="30"/>
      <c r="F406" s="434">
        <v>1749500</v>
      </c>
      <c r="H406" s="628"/>
      <c r="I406" s="636" t="s">
        <v>2454</v>
      </c>
      <c r="J406" s="637"/>
      <c r="K406" s="637"/>
      <c r="L406" s="637"/>
      <c r="M406" s="637"/>
      <c r="N406" s="638"/>
      <c r="O406" s="148">
        <v>6000000</v>
      </c>
    </row>
    <row r="407" spans="1:15">
      <c r="F407" s="435"/>
      <c r="H407" s="628"/>
      <c r="I407" s="64"/>
      <c r="J407" s="604"/>
      <c r="K407" s="604"/>
      <c r="L407" s="604"/>
      <c r="N407" s="65"/>
      <c r="O407" s="291"/>
    </row>
    <row r="408" spans="1:15" ht="17.25" thickBot="1">
      <c r="A408" s="185" t="s">
        <v>1534</v>
      </c>
      <c r="B408" s="30"/>
      <c r="C408" s="30"/>
      <c r="D408" s="30"/>
      <c r="E408" s="30"/>
      <c r="F408" s="434">
        <v>2702200</v>
      </c>
      <c r="H408" s="629"/>
      <c r="I408" s="140"/>
      <c r="J408" s="141"/>
      <c r="K408" s="141"/>
      <c r="L408" s="141"/>
      <c r="M408" s="141"/>
      <c r="N408" s="142"/>
      <c r="O408" s="291"/>
    </row>
    <row r="409" spans="1:15" ht="17.25" thickBot="1">
      <c r="F409" s="435"/>
      <c r="H409" s="20" t="s">
        <v>12</v>
      </c>
      <c r="I409" s="614" t="s">
        <v>13</v>
      </c>
      <c r="J409" s="615"/>
      <c r="K409" s="62" t="s">
        <v>14</v>
      </c>
      <c r="L409" s="63"/>
      <c r="M409" s="62" t="s">
        <v>15</v>
      </c>
      <c r="N409" s="62" t="s">
        <v>16</v>
      </c>
      <c r="O409" s="20" t="s">
        <v>17</v>
      </c>
    </row>
    <row r="410" spans="1:15" ht="18" thickBot="1">
      <c r="A410" s="185" t="s">
        <v>1535</v>
      </c>
      <c r="B410" s="186"/>
      <c r="C410" s="30"/>
      <c r="D410" s="30"/>
      <c r="E410" s="30"/>
      <c r="F410" s="434">
        <v>715600</v>
      </c>
      <c r="H410" s="22" t="s">
        <v>18</v>
      </c>
      <c r="I410" s="606">
        <f>+O406</f>
        <v>6000000</v>
      </c>
      <c r="J410" s="607"/>
      <c r="K410" s="23">
        <f>0</f>
        <v>0</v>
      </c>
      <c r="L410" s="24"/>
      <c r="M410" s="25">
        <f>0</f>
        <v>0</v>
      </c>
      <c r="N410" s="36">
        <f>+I410</f>
        <v>6000000</v>
      </c>
      <c r="O410" s="38">
        <f>+O406</f>
        <v>6000000</v>
      </c>
    </row>
    <row r="411" spans="1:15" ht="18" thickBot="1">
      <c r="B411" s="187"/>
      <c r="C411" s="187"/>
      <c r="D411" s="187"/>
      <c r="E411" s="187"/>
      <c r="F411" s="436"/>
      <c r="H411" s="22" t="s">
        <v>113</v>
      </c>
      <c r="I411" s="606">
        <f>+I410/650.599</f>
        <v>9222.2705537512356</v>
      </c>
      <c r="J411" s="607"/>
      <c r="K411" s="23">
        <f>0</f>
        <v>0</v>
      </c>
      <c r="L411" s="24"/>
      <c r="M411" s="25">
        <f>0</f>
        <v>0</v>
      </c>
      <c r="N411" s="36">
        <f>+I411</f>
        <v>9222.2705537512356</v>
      </c>
      <c r="O411" s="38">
        <f>+N411</f>
        <v>9222.2705537512356</v>
      </c>
    </row>
    <row r="412" spans="1:15" ht="17.25" thickBot="1">
      <c r="A412" s="185" t="s">
        <v>1536</v>
      </c>
      <c r="F412" s="437">
        <v>4427900</v>
      </c>
    </row>
    <row r="413" spans="1:15" ht="17.25" thickBot="1">
      <c r="A413" s="611" t="s">
        <v>13</v>
      </c>
      <c r="B413" s="612"/>
      <c r="C413" s="363" t="s">
        <v>14</v>
      </c>
      <c r="D413" s="21" t="s">
        <v>15</v>
      </c>
      <c r="E413" s="364" t="s">
        <v>16</v>
      </c>
      <c r="F413" s="20" t="s">
        <v>17</v>
      </c>
      <c r="H413" s="395" t="s">
        <v>1268</v>
      </c>
      <c r="I413" s="26"/>
      <c r="J413" s="26"/>
      <c r="K413" s="26"/>
      <c r="L413" s="26"/>
      <c r="M413" s="26"/>
      <c r="N413" s="26"/>
    </row>
    <row r="414" spans="1:15" ht="18" thickBot="1">
      <c r="A414" s="606">
        <f>+F406+F408+F411</f>
        <v>4451700</v>
      </c>
      <c r="B414" s="652"/>
      <c r="C414" s="23">
        <f>0</f>
        <v>0</v>
      </c>
      <c r="D414" s="25">
        <f>0</f>
        <v>0</v>
      </c>
      <c r="E414" s="36">
        <f>+A414</f>
        <v>4451700</v>
      </c>
      <c r="F414" s="130">
        <f>+F406+F408+F410+F404+F412</f>
        <v>12541900</v>
      </c>
      <c r="H414" s="394" t="s">
        <v>2455</v>
      </c>
    </row>
    <row r="415" spans="1:15" ht="18" thickBot="1">
      <c r="A415" s="643">
        <v>3243</v>
      </c>
      <c r="B415" s="745"/>
      <c r="C415" s="23">
        <f>0</f>
        <v>0</v>
      </c>
      <c r="D415" s="25">
        <f>0</f>
        <v>0</v>
      </c>
      <c r="E415" s="131">
        <v>3243</v>
      </c>
      <c r="F415" s="129"/>
      <c r="H415" s="82" t="s">
        <v>19</v>
      </c>
      <c r="I415" s="26"/>
      <c r="J415" s="26"/>
      <c r="K415" s="26"/>
      <c r="L415" s="26"/>
      <c r="M415" s="26"/>
      <c r="N415" s="26"/>
    </row>
    <row r="416" spans="1:15">
      <c r="H416" s="26" t="s">
        <v>965</v>
      </c>
      <c r="I416" s="26"/>
      <c r="J416" s="26"/>
      <c r="K416" s="26"/>
      <c r="L416" s="26"/>
      <c r="M416" s="26"/>
      <c r="N416" s="26"/>
    </row>
    <row r="417" spans="1:15">
      <c r="A417" s="26"/>
      <c r="B417" s="26"/>
      <c r="C417" s="26"/>
      <c r="D417" s="26"/>
      <c r="E417" s="26"/>
      <c r="H417" s="26" t="s">
        <v>21</v>
      </c>
      <c r="I417" s="26"/>
      <c r="J417" s="26"/>
      <c r="K417" s="26"/>
      <c r="L417" s="26"/>
      <c r="M417" s="26"/>
      <c r="N417" s="26"/>
    </row>
    <row r="418" spans="1:15">
      <c r="A418" s="26"/>
      <c r="B418" s="26"/>
      <c r="C418" s="26"/>
      <c r="D418" s="26"/>
      <c r="E418" s="26"/>
      <c r="H418" s="26" t="s">
        <v>1229</v>
      </c>
      <c r="I418" s="26"/>
      <c r="J418" s="26"/>
      <c r="K418" s="26"/>
      <c r="L418" s="26"/>
      <c r="M418" s="26"/>
      <c r="N418" s="26"/>
    </row>
    <row r="419" spans="1:15">
      <c r="A419" s="26"/>
      <c r="B419" s="26"/>
      <c r="C419" s="26"/>
      <c r="D419" s="26"/>
      <c r="E419" s="26"/>
      <c r="F419" s="26"/>
    </row>
    <row r="420" spans="1:15">
      <c r="K420" s="604" t="s">
        <v>24</v>
      </c>
      <c r="L420" s="604"/>
      <c r="M420" s="604"/>
      <c r="N420" s="604"/>
    </row>
    <row r="421" spans="1:15">
      <c r="C421" s="30"/>
      <c r="D421" s="30" t="s">
        <v>252</v>
      </c>
      <c r="K421" s="604" t="s">
        <v>149</v>
      </c>
      <c r="L421" s="604"/>
      <c r="M421" s="604"/>
      <c r="N421" s="604"/>
    </row>
    <row r="422" spans="1:15">
      <c r="C422" s="30"/>
      <c r="D422" s="30" t="s">
        <v>151</v>
      </c>
      <c r="K422" s="605" t="s">
        <v>150</v>
      </c>
      <c r="L422" s="605"/>
      <c r="M422" s="605"/>
      <c r="N422" s="605"/>
    </row>
    <row r="423" spans="1:15">
      <c r="E423" s="30" t="s">
        <v>152</v>
      </c>
    </row>
    <row r="424" spans="1:15">
      <c r="H424" s="26"/>
      <c r="I424" s="26"/>
      <c r="J424" s="26"/>
      <c r="K424" s="30"/>
      <c r="O424" s="26"/>
    </row>
    <row r="425" spans="1:15" ht="17.25">
      <c r="A425" s="26"/>
      <c r="B425" s="26"/>
      <c r="C425" s="26"/>
      <c r="D425" s="477"/>
      <c r="E425" s="189"/>
      <c r="F425" s="188"/>
      <c r="H425" s="26"/>
      <c r="I425" s="26"/>
      <c r="J425" s="26"/>
      <c r="K425" s="645" t="s">
        <v>2457</v>
      </c>
      <c r="L425" s="645"/>
      <c r="M425" s="645"/>
      <c r="N425" s="645"/>
      <c r="O425" s="361"/>
    </row>
    <row r="426" spans="1:15" ht="18">
      <c r="E426" s="189" t="s">
        <v>23</v>
      </c>
      <c r="H426" s="26"/>
      <c r="I426" s="26"/>
      <c r="J426" s="26"/>
      <c r="K426" s="645"/>
      <c r="L426" s="645"/>
      <c r="M426" s="645"/>
      <c r="N426" s="645"/>
      <c r="O426" s="145"/>
    </row>
    <row r="427" spans="1:15" ht="18">
      <c r="E427" s="189"/>
      <c r="H427" s="26"/>
      <c r="I427" s="26"/>
      <c r="J427" s="26"/>
      <c r="K427" s="417"/>
      <c r="L427" s="417"/>
      <c r="M427" s="417"/>
      <c r="N427" s="417"/>
      <c r="O427" s="145"/>
    </row>
    <row r="428" spans="1:15" ht="18">
      <c r="E428" s="189"/>
      <c r="H428" s="26"/>
      <c r="I428" s="26"/>
      <c r="J428" s="26"/>
      <c r="K428" s="361"/>
      <c r="L428" s="361"/>
      <c r="M428" s="361"/>
      <c r="N428" s="361"/>
      <c r="O428" s="145"/>
    </row>
    <row r="429" spans="1:15">
      <c r="A429" s="617" t="s">
        <v>0</v>
      </c>
      <c r="B429" s="617"/>
      <c r="C429" s="617"/>
      <c r="D429" s="617"/>
      <c r="E429" s="617"/>
      <c r="F429" s="617"/>
      <c r="G429" s="617"/>
      <c r="H429" s="617" t="s">
        <v>2573</v>
      </c>
      <c r="I429" s="617"/>
      <c r="J429" s="617"/>
      <c r="K429" s="617"/>
      <c r="L429" s="617"/>
      <c r="M429" s="617"/>
      <c r="N429" s="617"/>
      <c r="O429" s="617"/>
    </row>
    <row r="432" spans="1:15" ht="48" customHeight="1">
      <c r="B432" s="688" t="s">
        <v>1</v>
      </c>
      <c r="C432" s="688"/>
      <c r="D432" s="688"/>
      <c r="E432" s="688"/>
      <c r="H432" s="642" t="s">
        <v>1</v>
      </c>
      <c r="I432" s="642"/>
      <c r="J432" s="642"/>
      <c r="K432" s="642"/>
      <c r="L432" s="642"/>
      <c r="M432" s="642"/>
      <c r="N432" s="642"/>
      <c r="O432" s="642"/>
    </row>
    <row r="435" spans="1:15" ht="17.25">
      <c r="A435" s="566"/>
      <c r="H435" s="375"/>
      <c r="I435" s="375" t="s">
        <v>703</v>
      </c>
    </row>
    <row r="436" spans="1:15" ht="17.25" thickBot="1">
      <c r="F436" s="141"/>
      <c r="H436" s="30"/>
      <c r="N436" s="141"/>
    </row>
    <row r="437" spans="1:15">
      <c r="A437" s="30"/>
      <c r="E437" s="143"/>
      <c r="G437" s="144"/>
      <c r="I437" s="30"/>
      <c r="M437" s="143"/>
      <c r="O437" s="144"/>
    </row>
    <row r="438" spans="1:15" ht="17.25">
      <c r="E438" s="667" t="s">
        <v>472</v>
      </c>
      <c r="F438" s="668"/>
      <c r="G438" s="669"/>
      <c r="M438" s="647" t="s">
        <v>1079</v>
      </c>
      <c r="N438" s="610"/>
      <c r="O438" s="648"/>
    </row>
    <row r="439" spans="1:15">
      <c r="C439" s="30"/>
      <c r="D439" s="30" t="s">
        <v>2</v>
      </c>
      <c r="E439" s="683" t="s">
        <v>1515</v>
      </c>
      <c r="F439" s="683"/>
      <c r="G439" s="684"/>
      <c r="H439" s="12" t="s">
        <v>114</v>
      </c>
      <c r="K439" s="30"/>
      <c r="L439" s="30" t="s">
        <v>2</v>
      </c>
      <c r="M439" s="622" t="s">
        <v>1870</v>
      </c>
      <c r="N439" s="622"/>
      <c r="O439" s="623"/>
    </row>
    <row r="440" spans="1:15">
      <c r="E440" s="601" t="s">
        <v>163</v>
      </c>
      <c r="F440" s="602"/>
      <c r="G440" s="603"/>
      <c r="M440" s="601" t="s">
        <v>163</v>
      </c>
      <c r="N440" s="602"/>
      <c r="O440" s="603"/>
    </row>
    <row r="441" spans="1:15" ht="17.25" thickBot="1">
      <c r="E441" s="140"/>
      <c r="F441" s="141"/>
      <c r="G441" s="142"/>
      <c r="M441" s="140"/>
      <c r="N441" s="141"/>
      <c r="O441" s="142"/>
    </row>
    <row r="442" spans="1:15">
      <c r="A442" s="30" t="s">
        <v>27</v>
      </c>
      <c r="B442" s="12" t="s">
        <v>115</v>
      </c>
    </row>
    <row r="443" spans="1:15">
      <c r="A443" s="30" t="s">
        <v>1583</v>
      </c>
      <c r="B443" s="30"/>
      <c r="H443" s="249" t="s">
        <v>27</v>
      </c>
      <c r="I443" s="394" t="s">
        <v>148</v>
      </c>
    </row>
    <row r="444" spans="1:15" ht="17.25" thickBot="1"/>
    <row r="445" spans="1:15" ht="17.25" thickBot="1">
      <c r="A445" s="696" t="s">
        <v>4</v>
      </c>
      <c r="B445" s="697"/>
      <c r="C445" s="697"/>
      <c r="D445" s="697"/>
      <c r="E445" s="697"/>
      <c r="F445" s="698"/>
      <c r="G445" s="20" t="s">
        <v>5</v>
      </c>
      <c r="H445" s="13" t="s">
        <v>112</v>
      </c>
      <c r="I445" s="624" t="s">
        <v>4</v>
      </c>
      <c r="J445" s="625"/>
      <c r="K445" s="625"/>
      <c r="L445" s="625"/>
      <c r="M445" s="625"/>
      <c r="N445" s="626"/>
      <c r="O445" s="20" t="s">
        <v>5</v>
      </c>
    </row>
    <row r="446" spans="1:15" ht="17.25" customHeight="1" thickBot="1">
      <c r="A446" s="143"/>
      <c r="B446" s="159"/>
      <c r="C446" s="159"/>
      <c r="D446" s="159"/>
      <c r="E446" s="159"/>
      <c r="F446" s="144"/>
      <c r="G446" s="65"/>
      <c r="H446" s="627" t="s">
        <v>2445</v>
      </c>
      <c r="I446" s="143"/>
      <c r="J446" s="159"/>
      <c r="K446" s="159"/>
      <c r="L446" s="159"/>
      <c r="M446" s="159"/>
      <c r="N446" s="144"/>
      <c r="O446" s="291"/>
    </row>
    <row r="447" spans="1:15" ht="17.25" thickBot="1">
      <c r="A447" s="598" t="s">
        <v>6</v>
      </c>
      <c r="B447" s="599"/>
      <c r="C447" s="599"/>
      <c r="D447" s="15" t="s">
        <v>7</v>
      </c>
      <c r="E447" s="16"/>
      <c r="F447" s="32"/>
      <c r="G447" s="65"/>
      <c r="H447" s="628"/>
      <c r="I447" s="64"/>
      <c r="N447" s="65"/>
      <c r="O447" s="291"/>
    </row>
    <row r="448" spans="1:15" ht="17.25" thickBot="1">
      <c r="A448" s="17" t="s">
        <v>26</v>
      </c>
      <c r="B448" s="18" t="s">
        <v>8</v>
      </c>
      <c r="C448" s="19" t="s">
        <v>9</v>
      </c>
      <c r="D448" s="18" t="s">
        <v>10</v>
      </c>
      <c r="E448" s="19" t="s">
        <v>8</v>
      </c>
      <c r="F448" s="18" t="s">
        <v>11</v>
      </c>
      <c r="G448" s="65"/>
      <c r="H448" s="628"/>
      <c r="I448" s="630" t="s">
        <v>286</v>
      </c>
      <c r="J448" s="631"/>
      <c r="K448" s="631"/>
      <c r="L448" s="631"/>
      <c r="M448" s="631"/>
      <c r="N448" s="632"/>
      <c r="O448" s="291"/>
    </row>
    <row r="449" spans="1:15">
      <c r="A449" s="160">
        <v>8</v>
      </c>
      <c r="B449" s="154">
        <v>10000</v>
      </c>
      <c r="C449" s="154">
        <f>A449*B449</f>
        <v>80000</v>
      </c>
      <c r="D449" s="154"/>
      <c r="E449" s="154"/>
      <c r="F449" s="161">
        <f>+D449*E449</f>
        <v>0</v>
      </c>
      <c r="G449" s="39">
        <f>+C449+F449</f>
        <v>80000</v>
      </c>
      <c r="H449" s="628"/>
      <c r="I449" s="636" t="s">
        <v>2466</v>
      </c>
      <c r="J449" s="637"/>
      <c r="K449" s="637"/>
      <c r="L449" s="637"/>
      <c r="M449" s="637"/>
      <c r="N449" s="638"/>
      <c r="O449" s="148">
        <v>3900000</v>
      </c>
    </row>
    <row r="450" spans="1:15">
      <c r="A450" s="64"/>
      <c r="F450" s="65"/>
      <c r="G450" s="65"/>
      <c r="H450" s="628"/>
      <c r="I450" s="64"/>
      <c r="J450" s="604"/>
      <c r="K450" s="604"/>
      <c r="L450" s="604"/>
      <c r="N450" s="65"/>
      <c r="O450" s="291"/>
    </row>
    <row r="451" spans="1:15" ht="17.25" thickBot="1">
      <c r="A451" s="64"/>
      <c r="F451" s="65"/>
      <c r="G451" s="65"/>
      <c r="H451" s="629"/>
      <c r="I451" s="140"/>
      <c r="J451" s="141"/>
      <c r="K451" s="141"/>
      <c r="L451" s="141"/>
      <c r="M451" s="141"/>
      <c r="N451" s="142"/>
      <c r="O451" s="291"/>
    </row>
    <row r="452" spans="1:15" ht="17.25" thickBot="1">
      <c r="A452" s="140"/>
      <c r="B452" s="141"/>
      <c r="C452" s="141"/>
      <c r="D452" s="141"/>
      <c r="E452" s="141"/>
      <c r="F452" s="142"/>
      <c r="G452" s="65"/>
      <c r="H452" s="20" t="s">
        <v>12</v>
      </c>
      <c r="I452" s="614" t="s">
        <v>13</v>
      </c>
      <c r="J452" s="615"/>
      <c r="K452" s="62" t="s">
        <v>14</v>
      </c>
      <c r="L452" s="63"/>
      <c r="M452" s="62" t="s">
        <v>15</v>
      </c>
      <c r="N452" s="62" t="s">
        <v>16</v>
      </c>
      <c r="O452" s="20" t="s">
        <v>17</v>
      </c>
    </row>
    <row r="453" spans="1:15" ht="18" thickBot="1">
      <c r="A453" s="611" t="s">
        <v>13</v>
      </c>
      <c r="B453" s="612"/>
      <c r="C453" s="21" t="s">
        <v>14</v>
      </c>
      <c r="D453" s="20"/>
      <c r="E453" s="21" t="s">
        <v>15</v>
      </c>
      <c r="F453" s="21" t="s">
        <v>16</v>
      </c>
      <c r="G453" s="20" t="s">
        <v>17</v>
      </c>
      <c r="H453" s="22" t="s">
        <v>18</v>
      </c>
      <c r="I453" s="606">
        <f>+O449</f>
        <v>3900000</v>
      </c>
      <c r="J453" s="607"/>
      <c r="K453" s="23">
        <f>0</f>
        <v>0</v>
      </c>
      <c r="L453" s="24"/>
      <c r="M453" s="25">
        <f>0</f>
        <v>0</v>
      </c>
      <c r="N453" s="36">
        <f>+I453</f>
        <v>3900000</v>
      </c>
      <c r="O453" s="38">
        <f>+O449</f>
        <v>3900000</v>
      </c>
    </row>
    <row r="454" spans="1:15" ht="18" thickBot="1">
      <c r="A454" s="606">
        <f>+C449</f>
        <v>80000</v>
      </c>
      <c r="B454" s="607"/>
      <c r="C454" s="23">
        <f>0</f>
        <v>0</v>
      </c>
      <c r="D454" s="24"/>
      <c r="E454" s="25">
        <f>0</f>
        <v>0</v>
      </c>
      <c r="F454" s="36">
        <f>+G449</f>
        <v>80000</v>
      </c>
      <c r="G454" s="38">
        <f>+G449</f>
        <v>80000</v>
      </c>
      <c r="H454" s="22" t="s">
        <v>113</v>
      </c>
      <c r="I454" s="643">
        <f>+I453/650.599</f>
        <v>5994.4758599383022</v>
      </c>
      <c r="J454" s="612"/>
      <c r="K454" s="23">
        <f>0</f>
        <v>0</v>
      </c>
      <c r="L454" s="24"/>
      <c r="M454" s="25">
        <f>0</f>
        <v>0</v>
      </c>
      <c r="N454" s="36">
        <f>+I454</f>
        <v>5994.4758599383022</v>
      </c>
      <c r="O454" s="38">
        <f>+N454</f>
        <v>5994.4758599383022</v>
      </c>
    </row>
    <row r="456" spans="1:15">
      <c r="A456" s="26"/>
      <c r="B456" s="26"/>
      <c r="C456" s="26"/>
      <c r="D456" s="26"/>
      <c r="E456" s="26"/>
      <c r="F456" s="26"/>
      <c r="H456" s="395" t="s">
        <v>1584</v>
      </c>
      <c r="I456" s="26"/>
      <c r="J456" s="26"/>
      <c r="K456" s="26"/>
      <c r="L456" s="26"/>
      <c r="M456" s="26"/>
      <c r="N456" s="26"/>
    </row>
    <row r="457" spans="1:15">
      <c r="A457" s="26"/>
      <c r="B457" s="26"/>
      <c r="C457" s="26"/>
      <c r="D457" s="26"/>
      <c r="E457" s="26"/>
      <c r="F457" s="26"/>
      <c r="H457" s="408" t="s">
        <v>2148</v>
      </c>
      <c r="I457" s="26"/>
      <c r="J457" s="26"/>
      <c r="K457" s="26"/>
      <c r="L457" s="26"/>
      <c r="M457" s="26"/>
      <c r="N457" s="26"/>
    </row>
    <row r="458" spans="1:15">
      <c r="A458" s="26"/>
      <c r="B458" s="26"/>
      <c r="C458" s="26"/>
      <c r="D458" s="26"/>
      <c r="E458" s="26"/>
      <c r="F458" s="26"/>
      <c r="H458" s="26" t="s">
        <v>19</v>
      </c>
      <c r="I458" s="26"/>
      <c r="J458" s="26"/>
      <c r="K458" s="26"/>
      <c r="L458" s="26"/>
      <c r="M458" s="26"/>
      <c r="N458" s="26"/>
    </row>
    <row r="459" spans="1:15">
      <c r="A459" s="26"/>
      <c r="B459" s="26"/>
      <c r="C459" s="26"/>
      <c r="D459" s="26"/>
      <c r="E459" s="26"/>
      <c r="F459" s="26"/>
      <c r="H459" s="26" t="s">
        <v>965</v>
      </c>
      <c r="I459" s="26"/>
      <c r="J459" s="26"/>
      <c r="K459" s="26"/>
      <c r="L459" s="26"/>
      <c r="M459" s="26"/>
      <c r="N459" s="26"/>
    </row>
    <row r="460" spans="1:15">
      <c r="A460" s="26"/>
      <c r="B460" s="26"/>
      <c r="C460" s="26"/>
      <c r="D460" s="26"/>
      <c r="E460" s="26"/>
      <c r="F460" s="26"/>
      <c r="H460" s="26" t="s">
        <v>21</v>
      </c>
      <c r="I460" s="26"/>
      <c r="J460" s="26"/>
      <c r="K460" s="26"/>
      <c r="L460" s="26"/>
      <c r="M460" s="26"/>
      <c r="N460" s="26"/>
    </row>
    <row r="461" spans="1:15">
      <c r="A461" s="26"/>
      <c r="B461" s="26"/>
      <c r="C461" s="26"/>
      <c r="D461" s="26"/>
      <c r="E461" s="26"/>
      <c r="F461" s="26"/>
      <c r="H461" s="26" t="s">
        <v>1229</v>
      </c>
      <c r="I461" s="26"/>
      <c r="J461" s="26"/>
      <c r="K461" s="26"/>
      <c r="L461" s="26"/>
      <c r="M461" s="26"/>
      <c r="N461" s="26"/>
    </row>
    <row r="462" spans="1:15">
      <c r="A462" s="26"/>
      <c r="B462" s="26"/>
      <c r="C462" s="26"/>
      <c r="D462" s="26"/>
      <c r="E462" s="26"/>
      <c r="F462" s="26"/>
      <c r="H462" s="26"/>
      <c r="I462" s="26"/>
      <c r="J462" s="26"/>
      <c r="K462" s="26"/>
      <c r="L462" s="26"/>
      <c r="M462" s="26"/>
      <c r="N462" s="26"/>
    </row>
    <row r="463" spans="1:15">
      <c r="H463" s="26"/>
      <c r="I463" s="26"/>
      <c r="J463" s="26"/>
      <c r="K463" s="26"/>
      <c r="L463" s="26"/>
      <c r="M463" s="26"/>
      <c r="N463" s="26"/>
    </row>
    <row r="464" spans="1:15">
      <c r="K464" s="604" t="s">
        <v>24</v>
      </c>
      <c r="L464" s="604"/>
      <c r="M464" s="604"/>
      <c r="N464" s="604"/>
    </row>
    <row r="465" spans="1:15">
      <c r="D465" s="30" t="s">
        <v>24</v>
      </c>
      <c r="E465" s="30"/>
      <c r="F465" s="30"/>
      <c r="K465" s="604" t="s">
        <v>149</v>
      </c>
      <c r="L465" s="604"/>
      <c r="M465" s="604"/>
      <c r="N465" s="604"/>
    </row>
    <row r="466" spans="1:15">
      <c r="C466" s="30"/>
      <c r="D466" s="30" t="s">
        <v>149</v>
      </c>
      <c r="E466" s="30"/>
      <c r="F466" s="30"/>
      <c r="K466" s="605" t="s">
        <v>150</v>
      </c>
      <c r="L466" s="605"/>
      <c r="M466" s="605"/>
      <c r="N466" s="605"/>
    </row>
    <row r="467" spans="1:15">
      <c r="C467" s="30"/>
      <c r="D467" s="315" t="s">
        <v>150</v>
      </c>
      <c r="E467" s="315"/>
      <c r="F467" s="315"/>
      <c r="K467" s="30"/>
    </row>
    <row r="468" spans="1:15">
      <c r="C468" s="30"/>
      <c r="D468" s="315"/>
      <c r="E468" s="315"/>
      <c r="F468" s="315"/>
      <c r="K468" s="30"/>
    </row>
    <row r="469" spans="1:15" ht="13.5" customHeight="1">
      <c r="L469" s="26"/>
      <c r="M469" s="26"/>
      <c r="N469" s="26"/>
    </row>
    <row r="470" spans="1:15" ht="17.25" customHeight="1">
      <c r="D470" s="26"/>
      <c r="E470" s="26"/>
      <c r="F470" s="26"/>
      <c r="K470" s="616" t="s">
        <v>2347</v>
      </c>
      <c r="L470" s="616"/>
      <c r="M470" s="616"/>
      <c r="N470" s="616"/>
    </row>
    <row r="471" spans="1:15" ht="13.5" customHeight="1">
      <c r="D471" s="645" t="s">
        <v>1335</v>
      </c>
      <c r="E471" s="741"/>
      <c r="F471" s="741"/>
      <c r="K471" s="645"/>
      <c r="L471" s="645"/>
      <c r="M471" s="645"/>
      <c r="N471" s="645"/>
    </row>
    <row r="472" spans="1:15">
      <c r="A472" s="617" t="s">
        <v>0</v>
      </c>
      <c r="B472" s="617"/>
      <c r="C472" s="617"/>
      <c r="D472" s="617"/>
      <c r="E472" s="617"/>
      <c r="F472" s="617"/>
      <c r="G472" s="617"/>
      <c r="H472" s="617" t="s">
        <v>2534</v>
      </c>
      <c r="I472" s="617"/>
      <c r="J472" s="617"/>
      <c r="K472" s="617"/>
      <c r="L472" s="617"/>
      <c r="M472" s="617"/>
      <c r="N472" s="617"/>
      <c r="O472" s="617"/>
    </row>
    <row r="475" spans="1:15" ht="45.75" customHeight="1">
      <c r="B475" s="688" t="s">
        <v>1</v>
      </c>
      <c r="C475" s="688"/>
      <c r="D475" s="688"/>
      <c r="E475" s="688"/>
      <c r="H475" s="642" t="s">
        <v>1</v>
      </c>
      <c r="I475" s="642"/>
      <c r="J475" s="642"/>
      <c r="K475" s="642"/>
      <c r="L475" s="642"/>
      <c r="M475" s="642"/>
      <c r="N475" s="642"/>
      <c r="O475" s="642"/>
    </row>
    <row r="476" spans="1:15" ht="17.25" customHeight="1">
      <c r="J476" s="642"/>
      <c r="K476" s="642"/>
      <c r="L476" s="642"/>
      <c r="M476" s="642"/>
    </row>
    <row r="478" spans="1:15" ht="17.25">
      <c r="A478" s="566"/>
    </row>
    <row r="479" spans="1:15" ht="18.75" thickBot="1">
      <c r="F479" s="141"/>
      <c r="H479" s="375"/>
      <c r="I479" s="507" t="s">
        <v>1758</v>
      </c>
    </row>
    <row r="480" spans="1:15" ht="17.25" thickBot="1">
      <c r="A480" s="30"/>
      <c r="E480" s="143"/>
      <c r="G480" s="144"/>
      <c r="H480" s="30"/>
      <c r="N480" s="141"/>
    </row>
    <row r="481" spans="1:15" ht="17.25">
      <c r="E481" s="667" t="s">
        <v>120</v>
      </c>
      <c r="F481" s="668"/>
      <c r="G481" s="669"/>
      <c r="I481" s="30"/>
      <c r="M481" s="143"/>
      <c r="O481" s="144"/>
    </row>
    <row r="482" spans="1:15">
      <c r="C482" s="30"/>
      <c r="D482" s="30" t="s">
        <v>2</v>
      </c>
      <c r="E482" s="186"/>
      <c r="F482" s="186" t="s">
        <v>1379</v>
      </c>
      <c r="G482" s="440"/>
      <c r="M482" s="647" t="s">
        <v>2370</v>
      </c>
      <c r="N482" s="610"/>
      <c r="O482" s="648"/>
    </row>
    <row r="483" spans="1:15">
      <c r="E483" s="601" t="s">
        <v>163</v>
      </c>
      <c r="F483" s="602"/>
      <c r="G483" s="603"/>
      <c r="H483" s="12" t="s">
        <v>114</v>
      </c>
      <c r="K483" s="30" t="s">
        <v>2</v>
      </c>
      <c r="M483" s="622" t="s">
        <v>2371</v>
      </c>
      <c r="N483" s="622"/>
      <c r="O483" s="623"/>
    </row>
    <row r="484" spans="1:15" ht="17.25" thickBot="1">
      <c r="E484" s="140"/>
      <c r="F484" s="141"/>
      <c r="G484" s="142"/>
      <c r="M484" s="601" t="s">
        <v>163</v>
      </c>
      <c r="N484" s="602"/>
      <c r="O484" s="603"/>
    </row>
    <row r="485" spans="1:15" ht="17.25" thickBot="1">
      <c r="A485" s="30" t="s">
        <v>27</v>
      </c>
      <c r="B485" s="12" t="s">
        <v>29</v>
      </c>
      <c r="M485" s="140"/>
      <c r="N485" s="141"/>
      <c r="O485" s="142"/>
    </row>
    <row r="486" spans="1:15">
      <c r="A486" s="30" t="s">
        <v>1587</v>
      </c>
      <c r="B486" s="30"/>
      <c r="H486" s="249" t="s">
        <v>27</v>
      </c>
      <c r="I486" s="394" t="s">
        <v>115</v>
      </c>
    </row>
    <row r="487" spans="1:15" ht="17.25" thickBot="1">
      <c r="H487" s="249"/>
    </row>
    <row r="488" spans="1:15" ht="17.25" customHeight="1" thickBot="1">
      <c r="A488" s="696" t="s">
        <v>4</v>
      </c>
      <c r="B488" s="697"/>
      <c r="C488" s="697"/>
      <c r="D488" s="697"/>
      <c r="E488" s="697"/>
      <c r="F488" s="698"/>
      <c r="G488" s="20" t="s">
        <v>5</v>
      </c>
      <c r="H488" s="13" t="s">
        <v>112</v>
      </c>
      <c r="I488" s="696" t="s">
        <v>4</v>
      </c>
      <c r="J488" s="697"/>
      <c r="K488" s="697"/>
      <c r="L488" s="697"/>
      <c r="M488" s="697"/>
      <c r="N488" s="698"/>
      <c r="O488" s="20" t="s">
        <v>5</v>
      </c>
    </row>
    <row r="489" spans="1:15" ht="17.25" customHeight="1" thickBot="1">
      <c r="A489" s="143"/>
      <c r="B489" s="159"/>
      <c r="C489" s="159"/>
      <c r="D489" s="159"/>
      <c r="E489" s="159"/>
      <c r="F489" s="144"/>
      <c r="G489" s="65"/>
      <c r="H489" s="627" t="s">
        <v>2445</v>
      </c>
      <c r="I489" s="143"/>
      <c r="J489" s="159"/>
      <c r="K489" s="159"/>
      <c r="L489" s="159"/>
      <c r="M489" s="159"/>
      <c r="N489" s="144"/>
      <c r="O489" s="291"/>
    </row>
    <row r="490" spans="1:15" ht="17.25" customHeight="1" thickBot="1">
      <c r="A490" s="598" t="s">
        <v>6</v>
      </c>
      <c r="B490" s="599"/>
      <c r="C490" s="599"/>
      <c r="D490" s="15" t="s">
        <v>7</v>
      </c>
      <c r="E490" s="16"/>
      <c r="F490" s="32"/>
      <c r="G490" s="65"/>
      <c r="H490" s="628"/>
      <c r="I490" s="630" t="s">
        <v>286</v>
      </c>
      <c r="J490" s="631"/>
      <c r="K490" s="631"/>
      <c r="L490" s="631"/>
      <c r="M490" s="631"/>
      <c r="N490" s="632"/>
      <c r="O490" s="457">
        <v>420000</v>
      </c>
    </row>
    <row r="491" spans="1:15" ht="17.25" thickBot="1">
      <c r="A491" s="17" t="s">
        <v>26</v>
      </c>
      <c r="B491" s="18" t="s">
        <v>8</v>
      </c>
      <c r="C491" s="19" t="s">
        <v>9</v>
      </c>
      <c r="D491" s="18" t="s">
        <v>10</v>
      </c>
      <c r="E491" s="19" t="s">
        <v>8</v>
      </c>
      <c r="F491" s="18" t="s">
        <v>11</v>
      </c>
      <c r="G491" s="65"/>
      <c r="H491" s="628"/>
      <c r="I491" s="636" t="s">
        <v>2372</v>
      </c>
      <c r="J491" s="637"/>
      <c r="K491" s="637"/>
      <c r="L491" s="637"/>
      <c r="M491" s="637"/>
      <c r="N491" s="638"/>
      <c r="O491" s="291"/>
    </row>
    <row r="492" spans="1:15" ht="17.25" thickBot="1">
      <c r="A492" s="160">
        <v>30</v>
      </c>
      <c r="B492" s="154">
        <v>10000</v>
      </c>
      <c r="C492" s="154">
        <f>A492*B492</f>
        <v>300000</v>
      </c>
      <c r="D492" s="154"/>
      <c r="E492" s="154"/>
      <c r="F492" s="161">
        <f>+D492*E492</f>
        <v>0</v>
      </c>
      <c r="G492" s="39">
        <f>+C492+F492</f>
        <v>300000</v>
      </c>
      <c r="H492" s="628"/>
      <c r="I492" s="636"/>
      <c r="J492" s="637"/>
      <c r="K492" s="637"/>
      <c r="L492" s="637"/>
      <c r="M492" s="637"/>
      <c r="N492" s="638"/>
      <c r="O492" s="148"/>
    </row>
    <row r="493" spans="1:15" ht="17.25" thickBot="1">
      <c r="A493" s="140"/>
      <c r="B493" s="141"/>
      <c r="C493" s="141"/>
      <c r="D493" s="141"/>
      <c r="E493" s="141"/>
      <c r="F493" s="142"/>
      <c r="G493" s="65"/>
      <c r="H493" s="20" t="s">
        <v>12</v>
      </c>
      <c r="I493" s="363" t="s">
        <v>13</v>
      </c>
      <c r="J493" s="364"/>
      <c r="K493" s="21" t="s">
        <v>14</v>
      </c>
      <c r="L493" s="20"/>
      <c r="M493" s="21" t="s">
        <v>15</v>
      </c>
      <c r="N493" s="364" t="s">
        <v>16</v>
      </c>
      <c r="O493" s="20" t="s">
        <v>17</v>
      </c>
    </row>
    <row r="494" spans="1:15" ht="18" thickBot="1">
      <c r="A494" s="611" t="s">
        <v>13</v>
      </c>
      <c r="B494" s="612"/>
      <c r="C494" s="21" t="s">
        <v>14</v>
      </c>
      <c r="D494" s="20"/>
      <c r="E494" s="21" t="s">
        <v>15</v>
      </c>
      <c r="F494" s="21" t="s">
        <v>16</v>
      </c>
      <c r="G494" s="20" t="s">
        <v>17</v>
      </c>
      <c r="H494" s="22" t="s">
        <v>18</v>
      </c>
      <c r="I494" s="606">
        <f>+O490</f>
        <v>420000</v>
      </c>
      <c r="J494" s="652"/>
      <c r="K494" s="23">
        <f>0</f>
        <v>0</v>
      </c>
      <c r="L494" s="24"/>
      <c r="M494" s="25">
        <f>0</f>
        <v>0</v>
      </c>
      <c r="N494" s="36">
        <f>+I494</f>
        <v>420000</v>
      </c>
      <c r="O494" s="38">
        <f>+O492</f>
        <v>0</v>
      </c>
    </row>
    <row r="495" spans="1:15" ht="18" thickBot="1">
      <c r="A495" s="606">
        <f>+C492</f>
        <v>300000</v>
      </c>
      <c r="B495" s="607"/>
      <c r="C495" s="23">
        <f>0</f>
        <v>0</v>
      </c>
      <c r="D495" s="24"/>
      <c r="E495" s="25">
        <f>0</f>
        <v>0</v>
      </c>
      <c r="F495" s="36">
        <f>+G492</f>
        <v>300000</v>
      </c>
      <c r="G495" s="38">
        <f>+G492</f>
        <v>300000</v>
      </c>
      <c r="H495" s="22" t="s">
        <v>113</v>
      </c>
      <c r="I495" s="606">
        <f>+I494/650.599</f>
        <v>645.55893876258642</v>
      </c>
      <c r="J495" s="607"/>
      <c r="K495" s="23">
        <f>0</f>
        <v>0</v>
      </c>
      <c r="L495" s="24"/>
      <c r="M495" s="25">
        <f>0</f>
        <v>0</v>
      </c>
      <c r="N495" s="36">
        <f>+I495</f>
        <v>645.55893876258642</v>
      </c>
      <c r="O495" s="38">
        <f>+N495</f>
        <v>645.55893876258642</v>
      </c>
    </row>
    <row r="497" spans="1:14">
      <c r="A497" s="26"/>
      <c r="B497" s="26"/>
      <c r="C497" s="26"/>
      <c r="D497" s="26"/>
      <c r="E497" s="26"/>
      <c r="F497" s="26"/>
      <c r="H497" s="37" t="s">
        <v>1373</v>
      </c>
      <c r="I497" s="26"/>
      <c r="J497" s="26"/>
      <c r="K497" s="26"/>
      <c r="L497" s="26"/>
      <c r="M497" s="26"/>
      <c r="N497" s="26"/>
    </row>
    <row r="498" spans="1:14">
      <c r="A498" s="26"/>
      <c r="B498" s="26"/>
      <c r="C498" s="26"/>
      <c r="D498" s="26"/>
      <c r="E498" s="26"/>
      <c r="F498" s="26"/>
      <c r="H498" s="394" t="s">
        <v>2537</v>
      </c>
      <c r="M498" s="26"/>
      <c r="N498" s="26"/>
    </row>
    <row r="499" spans="1:14">
      <c r="A499" s="26"/>
      <c r="B499" s="26"/>
      <c r="C499" s="26"/>
      <c r="D499" s="26"/>
      <c r="E499" s="26"/>
      <c r="F499" s="26"/>
      <c r="H499" s="26" t="s">
        <v>19</v>
      </c>
      <c r="I499" s="26"/>
      <c r="J499" s="26"/>
      <c r="K499" s="26"/>
      <c r="L499" s="26"/>
    </row>
    <row r="500" spans="1:14">
      <c r="A500" s="26"/>
      <c r="B500" s="26"/>
      <c r="C500" s="26"/>
      <c r="D500" s="26"/>
      <c r="E500" s="26"/>
      <c r="F500" s="26"/>
      <c r="H500" s="26" t="s">
        <v>965</v>
      </c>
      <c r="I500" s="26"/>
      <c r="J500" s="26"/>
      <c r="K500" s="26"/>
      <c r="L500" s="26"/>
      <c r="M500" s="26"/>
      <c r="N500" s="26"/>
    </row>
    <row r="501" spans="1:14">
      <c r="A501" s="26"/>
      <c r="B501" s="26"/>
      <c r="C501" s="26"/>
      <c r="D501" s="26"/>
      <c r="E501" s="26"/>
      <c r="F501" s="26"/>
      <c r="H501" s="26" t="s">
        <v>21</v>
      </c>
      <c r="I501" s="26"/>
      <c r="J501" s="26"/>
      <c r="K501" s="26"/>
      <c r="L501" s="26"/>
      <c r="M501" s="26"/>
      <c r="N501" s="26"/>
    </row>
    <row r="502" spans="1:14">
      <c r="A502" s="26"/>
      <c r="B502" s="26"/>
      <c r="C502" s="26"/>
      <c r="D502" s="26"/>
      <c r="E502" s="26"/>
      <c r="F502" s="26"/>
      <c r="H502" s="26" t="s">
        <v>1229</v>
      </c>
      <c r="I502" s="26"/>
      <c r="J502" s="26"/>
      <c r="K502" s="26"/>
      <c r="L502" s="26"/>
      <c r="M502" s="26"/>
      <c r="N502" s="26"/>
    </row>
    <row r="503" spans="1:14">
      <c r="M503" s="26"/>
      <c r="N503" s="26"/>
    </row>
    <row r="505" spans="1:14">
      <c r="D505" s="30" t="s">
        <v>24</v>
      </c>
      <c r="E505" s="30"/>
      <c r="F505" s="30"/>
      <c r="K505" s="30" t="s">
        <v>24</v>
      </c>
      <c r="L505" s="30"/>
      <c r="M505" s="30"/>
    </row>
    <row r="506" spans="1:14">
      <c r="D506" s="30" t="s">
        <v>149</v>
      </c>
      <c r="E506" s="30"/>
      <c r="F506" s="30"/>
      <c r="K506" s="30" t="s">
        <v>149</v>
      </c>
      <c r="L506" s="30"/>
      <c r="M506" s="30"/>
    </row>
    <row r="507" spans="1:14">
      <c r="C507" s="30"/>
      <c r="D507" s="315" t="s">
        <v>150</v>
      </c>
      <c r="E507" s="315"/>
      <c r="F507" s="315"/>
      <c r="K507" s="604" t="s">
        <v>150</v>
      </c>
      <c r="L507" s="604"/>
      <c r="M507" s="604"/>
      <c r="N507" s="604"/>
    </row>
    <row r="508" spans="1:14">
      <c r="C508" s="30"/>
      <c r="D508" s="315"/>
      <c r="E508" s="315"/>
      <c r="F508" s="315"/>
      <c r="K508" s="403"/>
      <c r="L508" s="403"/>
      <c r="M508" s="403"/>
      <c r="N508" s="403"/>
    </row>
    <row r="509" spans="1:14">
      <c r="C509" s="30"/>
      <c r="K509" s="30"/>
    </row>
    <row r="510" spans="1:14" ht="17.25">
      <c r="D510" s="26"/>
      <c r="E510" s="26"/>
      <c r="F510" s="26"/>
      <c r="K510" s="645" t="s">
        <v>2347</v>
      </c>
      <c r="L510" s="645"/>
      <c r="M510" s="645"/>
      <c r="N510" s="645"/>
    </row>
    <row r="511" spans="1:14" ht="18" customHeight="1">
      <c r="D511" s="645" t="s">
        <v>1335</v>
      </c>
      <c r="E511" s="741"/>
      <c r="F511" s="741"/>
      <c r="K511" s="645"/>
      <c r="L511" s="645"/>
      <c r="M511" s="645"/>
      <c r="N511" s="645"/>
    </row>
    <row r="512" spans="1:14" ht="18" customHeight="1">
      <c r="D512" s="417"/>
      <c r="E512" s="418"/>
      <c r="F512" s="418"/>
      <c r="K512" s="417"/>
      <c r="L512" s="417"/>
      <c r="M512" s="417"/>
      <c r="N512" s="417"/>
    </row>
    <row r="513" spans="1:15" ht="18" customHeight="1">
      <c r="A513" s="26"/>
      <c r="B513" s="26"/>
      <c r="C513" s="26"/>
      <c r="D513" s="26"/>
      <c r="E513" s="29"/>
      <c r="F513" s="29"/>
      <c r="G513" s="29"/>
      <c r="H513" s="26"/>
      <c r="I513" s="26"/>
      <c r="J513" s="26"/>
      <c r="O513" s="145"/>
    </row>
    <row r="514" spans="1:15">
      <c r="A514" s="617"/>
      <c r="B514" s="617"/>
      <c r="C514" s="617"/>
      <c r="D514" s="617"/>
      <c r="E514" s="617"/>
      <c r="F514" s="617"/>
      <c r="G514" s="617"/>
      <c r="H514" s="617" t="s">
        <v>0</v>
      </c>
      <c r="I514" s="617"/>
      <c r="J514" s="617"/>
      <c r="K514" s="617"/>
      <c r="L514" s="617"/>
      <c r="M514" s="617"/>
      <c r="N514" s="617"/>
      <c r="O514" s="617"/>
    </row>
    <row r="517" spans="1:15" ht="39.75" customHeight="1">
      <c r="B517" s="688" t="s">
        <v>1</v>
      </c>
      <c r="C517" s="688"/>
      <c r="D517" s="688"/>
      <c r="E517" s="688"/>
      <c r="H517" s="688" t="s">
        <v>1</v>
      </c>
      <c r="I517" s="688"/>
      <c r="J517" s="688"/>
      <c r="K517" s="688"/>
      <c r="L517" s="688"/>
      <c r="M517" s="688"/>
      <c r="N517" s="688"/>
      <c r="O517" s="688"/>
    </row>
    <row r="518" spans="1:15" ht="13.5" customHeight="1">
      <c r="J518" s="454"/>
      <c r="K518" s="454"/>
      <c r="L518" s="454"/>
      <c r="M518" s="454"/>
    </row>
    <row r="519" spans="1:15" ht="14.25" customHeight="1">
      <c r="J519" s="642"/>
      <c r="K519" s="642"/>
      <c r="L519" s="642"/>
      <c r="M519" s="642"/>
    </row>
    <row r="520" spans="1:15" ht="18" customHeight="1">
      <c r="A520" s="82" t="s">
        <v>1925</v>
      </c>
      <c r="H520" s="375" t="s">
        <v>1383</v>
      </c>
    </row>
    <row r="521" spans="1:15" ht="17.25" thickBot="1">
      <c r="F521" s="141"/>
    </row>
    <row r="522" spans="1:15">
      <c r="A522" s="30"/>
      <c r="E522" s="143"/>
      <c r="G522" s="144"/>
      <c r="M522" s="143"/>
      <c r="O522" s="144"/>
    </row>
    <row r="523" spans="1:15">
      <c r="E523" s="647" t="s">
        <v>31</v>
      </c>
      <c r="F523" s="610"/>
      <c r="G523" s="648"/>
      <c r="H523" s="30"/>
      <c r="M523" s="647" t="s">
        <v>472</v>
      </c>
      <c r="N523" s="610"/>
      <c r="O523" s="648"/>
    </row>
    <row r="524" spans="1:15">
      <c r="C524" s="30"/>
      <c r="D524" s="30" t="s">
        <v>2</v>
      </c>
      <c r="G524" s="65"/>
      <c r="I524" s="30"/>
      <c r="K524" s="249" t="s">
        <v>2</v>
      </c>
      <c r="M524" s="622" t="s">
        <v>1638</v>
      </c>
      <c r="N524" s="622"/>
      <c r="O524" s="623"/>
    </row>
    <row r="525" spans="1:15">
      <c r="E525" s="601" t="s">
        <v>29</v>
      </c>
      <c r="F525" s="602"/>
      <c r="G525" s="603"/>
      <c r="H525" s="12" t="s">
        <v>114</v>
      </c>
      <c r="K525" s="30"/>
      <c r="M525" s="601" t="s">
        <v>163</v>
      </c>
      <c r="N525" s="602"/>
      <c r="O525" s="603"/>
    </row>
    <row r="526" spans="1:15" ht="17.25" thickBot="1">
      <c r="E526" s="140"/>
      <c r="F526" s="141"/>
      <c r="G526" s="142"/>
      <c r="K526" s="30"/>
      <c r="M526" s="140"/>
      <c r="N526" s="141"/>
      <c r="O526" s="142"/>
    </row>
    <row r="527" spans="1:15">
      <c r="A527" s="12" t="s">
        <v>115</v>
      </c>
    </row>
    <row r="528" spans="1:15">
      <c r="A528" s="30" t="s">
        <v>831</v>
      </c>
      <c r="H528" s="249" t="s">
        <v>27</v>
      </c>
      <c r="I528" s="394" t="s">
        <v>148</v>
      </c>
    </row>
    <row r="529" spans="1:15" ht="17.25" thickBot="1">
      <c r="H529" s="249"/>
    </row>
    <row r="530" spans="1:15" ht="33.75" thickBot="1">
      <c r="A530" s="370" t="s">
        <v>4</v>
      </c>
      <c r="B530" s="371"/>
      <c r="C530" s="371"/>
      <c r="D530" s="371"/>
      <c r="E530" s="371"/>
      <c r="F530" s="372"/>
      <c r="G530" s="20" t="s">
        <v>5</v>
      </c>
      <c r="H530" s="363" t="s">
        <v>112</v>
      </c>
      <c r="I530" s="750" t="s">
        <v>4</v>
      </c>
      <c r="J530" s="751"/>
      <c r="K530" s="751"/>
      <c r="L530" s="751"/>
      <c r="M530" s="751"/>
      <c r="N530" s="752"/>
      <c r="O530" s="20" t="s">
        <v>5</v>
      </c>
    </row>
    <row r="531" spans="1:15" ht="17.25" customHeight="1" thickBot="1">
      <c r="A531" s="143"/>
      <c r="B531" s="159"/>
      <c r="C531" s="159"/>
      <c r="D531" s="159"/>
      <c r="E531" s="159"/>
      <c r="F531" s="144"/>
      <c r="G531" s="65"/>
      <c r="H531" s="627" t="s">
        <v>1622</v>
      </c>
      <c r="I531" s="143"/>
      <c r="J531" s="159"/>
      <c r="K531" s="159"/>
      <c r="L531" s="159"/>
      <c r="M531" s="159"/>
      <c r="N531" s="144"/>
      <c r="O531" s="291"/>
    </row>
    <row r="532" spans="1:15" ht="17.25" customHeight="1" thickBot="1">
      <c r="A532" s="598" t="s">
        <v>6</v>
      </c>
      <c r="B532" s="599"/>
      <c r="C532" s="600"/>
      <c r="D532" s="598" t="s">
        <v>7</v>
      </c>
      <c r="E532" s="599"/>
      <c r="F532" s="600"/>
      <c r="G532" s="65"/>
      <c r="H532" s="628"/>
      <c r="I532" s="64"/>
      <c r="N532" s="65"/>
      <c r="O532" s="291"/>
    </row>
    <row r="533" spans="1:15" ht="17.25" customHeight="1" thickBot="1">
      <c r="A533" s="17" t="s">
        <v>26</v>
      </c>
      <c r="B533" s="18" t="s">
        <v>8</v>
      </c>
      <c r="C533" s="19" t="s">
        <v>9</v>
      </c>
      <c r="D533" s="18" t="s">
        <v>10</v>
      </c>
      <c r="E533" s="19" t="s">
        <v>8</v>
      </c>
      <c r="F533" s="18" t="s">
        <v>11</v>
      </c>
      <c r="G533" s="65"/>
      <c r="H533" s="628"/>
      <c r="I533" s="630" t="s">
        <v>286</v>
      </c>
      <c r="J533" s="631"/>
      <c r="K533" s="631"/>
      <c r="L533" s="631"/>
      <c r="M533" s="631"/>
      <c r="N533" s="632"/>
      <c r="O533" s="457">
        <v>1444000</v>
      </c>
    </row>
    <row r="534" spans="1:15" ht="16.5" customHeight="1">
      <c r="A534" s="160">
        <v>67</v>
      </c>
      <c r="B534" s="154">
        <v>10000</v>
      </c>
      <c r="C534" s="154">
        <f>A534*B534</f>
        <v>670000</v>
      </c>
      <c r="D534" s="154"/>
      <c r="E534" s="154"/>
      <c r="F534" s="161">
        <f>+D534*E534</f>
        <v>0</v>
      </c>
      <c r="G534" s="162">
        <f>+A534*B534</f>
        <v>670000</v>
      </c>
      <c r="H534" s="628"/>
      <c r="I534" s="636" t="s">
        <v>1672</v>
      </c>
      <c r="J534" s="637"/>
      <c r="K534" s="637"/>
      <c r="L534" s="637"/>
      <c r="M534" s="637"/>
      <c r="N534" s="638"/>
      <c r="O534" s="148"/>
    </row>
    <row r="535" spans="1:15">
      <c r="A535" s="64"/>
      <c r="E535" s="388"/>
      <c r="F535" s="65"/>
      <c r="G535" s="65"/>
      <c r="H535" s="628"/>
      <c r="I535" s="64"/>
      <c r="J535" s="403"/>
      <c r="K535" s="403"/>
      <c r="L535" s="403"/>
      <c r="N535" s="65"/>
      <c r="O535" s="291"/>
    </row>
    <row r="536" spans="1:15" ht="17.25" thickBot="1">
      <c r="A536" s="64"/>
      <c r="F536" s="65"/>
      <c r="G536" s="65"/>
      <c r="H536" s="629"/>
      <c r="I536" s="140"/>
      <c r="J536" s="141"/>
      <c r="K536" s="141"/>
      <c r="L536" s="141"/>
      <c r="M536" s="141"/>
      <c r="N536" s="142"/>
      <c r="O536" s="291"/>
    </row>
    <row r="537" spans="1:15" ht="17.25" thickBot="1">
      <c r="A537" s="140"/>
      <c r="B537" s="141"/>
      <c r="C537" s="141"/>
      <c r="D537" s="141"/>
      <c r="E537" s="141"/>
      <c r="F537" s="142"/>
      <c r="G537" s="65"/>
      <c r="H537" s="20" t="s">
        <v>12</v>
      </c>
      <c r="I537" s="404" t="s">
        <v>13</v>
      </c>
      <c r="J537" s="405"/>
      <c r="K537" s="62" t="s">
        <v>14</v>
      </c>
      <c r="L537" s="63"/>
      <c r="M537" s="62" t="s">
        <v>15</v>
      </c>
      <c r="N537" s="62" t="s">
        <v>16</v>
      </c>
      <c r="O537" s="20" t="s">
        <v>17</v>
      </c>
    </row>
    <row r="538" spans="1:15" ht="18" thickBot="1">
      <c r="A538" s="363" t="s">
        <v>13</v>
      </c>
      <c r="B538" s="364"/>
      <c r="C538" s="21" t="s">
        <v>14</v>
      </c>
      <c r="D538" s="20"/>
      <c r="E538" s="21" t="s">
        <v>15</v>
      </c>
      <c r="F538" s="21" t="s">
        <v>16</v>
      </c>
      <c r="G538" s="20" t="s">
        <v>17</v>
      </c>
      <c r="H538" s="22" t="s">
        <v>18</v>
      </c>
      <c r="I538" s="606">
        <f>+O533</f>
        <v>1444000</v>
      </c>
      <c r="J538" s="652"/>
      <c r="K538" s="23">
        <f>0</f>
        <v>0</v>
      </c>
      <c r="L538" s="24"/>
      <c r="M538" s="25">
        <f>0</f>
        <v>0</v>
      </c>
      <c r="N538" s="36">
        <f>+I538</f>
        <v>1444000</v>
      </c>
      <c r="O538" s="38">
        <f>+O534</f>
        <v>0</v>
      </c>
    </row>
    <row r="539" spans="1:15" ht="18" thickBot="1">
      <c r="A539" s="359">
        <f>+C534</f>
        <v>670000</v>
      </c>
      <c r="B539" s="360"/>
      <c r="C539" s="23">
        <f>0</f>
        <v>0</v>
      </c>
      <c r="D539" s="24"/>
      <c r="E539" s="25">
        <f>0</f>
        <v>0</v>
      </c>
      <c r="F539" s="36">
        <f>+A539</f>
        <v>670000</v>
      </c>
      <c r="G539" s="38">
        <f>+G534</f>
        <v>670000</v>
      </c>
      <c r="H539" s="22" t="s">
        <v>113</v>
      </c>
      <c r="I539" s="359">
        <f>+I538/650.599</f>
        <v>2219.4931132694637</v>
      </c>
      <c r="J539" s="360"/>
      <c r="K539" s="23">
        <f>0</f>
        <v>0</v>
      </c>
      <c r="L539" s="24"/>
      <c r="M539" s="25">
        <f>0</f>
        <v>0</v>
      </c>
      <c r="N539" s="36">
        <f>+I539</f>
        <v>2219.4931132694637</v>
      </c>
      <c r="O539" s="38">
        <f>+N539</f>
        <v>2219.4931132694637</v>
      </c>
    </row>
    <row r="541" spans="1:15">
      <c r="A541" s="26"/>
      <c r="B541" s="26"/>
      <c r="C541" s="26"/>
      <c r="D541" s="26"/>
      <c r="E541" s="26"/>
      <c r="F541" s="26"/>
      <c r="H541" s="37" t="s">
        <v>1373</v>
      </c>
      <c r="I541" s="26"/>
      <c r="J541" s="26"/>
      <c r="K541" s="26"/>
      <c r="L541" s="26"/>
      <c r="M541" s="26"/>
      <c r="N541" s="26"/>
    </row>
    <row r="542" spans="1:15">
      <c r="A542" s="26"/>
      <c r="B542" s="26"/>
      <c r="C542" s="26"/>
      <c r="D542" s="26"/>
      <c r="E542" s="26"/>
      <c r="F542" s="26"/>
      <c r="H542" s="394" t="s">
        <v>1673</v>
      </c>
    </row>
    <row r="543" spans="1:15">
      <c r="A543" s="26"/>
      <c r="B543" s="26"/>
      <c r="C543" s="26"/>
      <c r="D543" s="26"/>
      <c r="E543" s="26"/>
      <c r="F543" s="26"/>
      <c r="H543" s="26" t="s">
        <v>19</v>
      </c>
      <c r="I543" s="26"/>
      <c r="J543" s="26"/>
      <c r="K543" s="26"/>
      <c r="L543" s="26"/>
      <c r="M543" s="26"/>
      <c r="N543" s="26"/>
    </row>
    <row r="544" spans="1:15">
      <c r="A544" s="26"/>
      <c r="B544" s="26"/>
      <c r="C544" s="26"/>
      <c r="D544" s="26"/>
      <c r="E544" s="26"/>
      <c r="F544" s="26"/>
      <c r="H544" s="26" t="s">
        <v>965</v>
      </c>
      <c r="I544" s="26"/>
      <c r="J544" s="26"/>
      <c r="K544" s="26"/>
      <c r="L544" s="26"/>
      <c r="M544" s="26"/>
      <c r="N544" s="26"/>
    </row>
    <row r="545" spans="1:15">
      <c r="A545" s="26"/>
      <c r="B545" s="26"/>
      <c r="C545" s="26"/>
      <c r="D545" s="26"/>
      <c r="E545" s="26"/>
      <c r="F545" s="26"/>
      <c r="H545" s="26" t="s">
        <v>21</v>
      </c>
      <c r="I545" s="26"/>
      <c r="J545" s="26"/>
      <c r="K545" s="26"/>
      <c r="L545" s="26"/>
      <c r="M545" s="26"/>
      <c r="N545" s="26"/>
    </row>
    <row r="546" spans="1:15">
      <c r="H546" s="26" t="s">
        <v>1229</v>
      </c>
      <c r="I546" s="26"/>
      <c r="J546" s="26"/>
      <c r="K546" s="26"/>
      <c r="L546" s="26"/>
      <c r="M546" s="26"/>
      <c r="N546" s="26"/>
    </row>
    <row r="547" spans="1:15">
      <c r="H547" s="26"/>
      <c r="I547" s="26"/>
      <c r="J547" s="26"/>
      <c r="K547" s="26"/>
      <c r="L547" s="26"/>
      <c r="M547" s="26"/>
      <c r="N547" s="26"/>
    </row>
    <row r="549" spans="1:15">
      <c r="C549" s="30"/>
      <c r="D549" s="30" t="s">
        <v>24</v>
      </c>
      <c r="E549" s="30"/>
      <c r="F549" s="30"/>
      <c r="K549" s="30" t="s">
        <v>24</v>
      </c>
      <c r="L549" s="30"/>
      <c r="M549" s="30"/>
    </row>
    <row r="550" spans="1:15">
      <c r="C550" s="30"/>
      <c r="D550" s="30" t="s">
        <v>149</v>
      </c>
      <c r="E550" s="30"/>
      <c r="F550" s="30"/>
      <c r="K550" s="30" t="s">
        <v>149</v>
      </c>
      <c r="L550" s="30"/>
      <c r="M550" s="30"/>
    </row>
    <row r="551" spans="1:15">
      <c r="D551" s="315" t="s">
        <v>150</v>
      </c>
      <c r="E551" s="315"/>
      <c r="F551" s="315"/>
      <c r="K551" s="604" t="s">
        <v>150</v>
      </c>
      <c r="L551" s="604"/>
      <c r="M551" s="604"/>
      <c r="N551" s="604"/>
    </row>
    <row r="552" spans="1:15">
      <c r="K552" s="30"/>
    </row>
    <row r="553" spans="1:15">
      <c r="A553" s="26"/>
      <c r="B553" s="26"/>
      <c r="C553" s="26"/>
      <c r="D553" s="26"/>
      <c r="E553" s="26"/>
      <c r="F553" s="26"/>
      <c r="L553" s="26"/>
      <c r="M553" s="26"/>
      <c r="N553" s="26"/>
    </row>
    <row r="554" spans="1:15" ht="18">
      <c r="A554" s="26"/>
      <c r="B554" s="26"/>
      <c r="C554" s="26"/>
      <c r="D554" s="757" t="s">
        <v>23</v>
      </c>
      <c r="E554" s="757"/>
      <c r="F554" s="757"/>
      <c r="H554" s="26"/>
      <c r="I554" s="26"/>
      <c r="J554" s="26"/>
      <c r="K554" s="645" t="s">
        <v>1715</v>
      </c>
      <c r="L554" s="645"/>
      <c r="M554" s="645"/>
      <c r="N554" s="645"/>
      <c r="O554" s="145"/>
    </row>
    <row r="555" spans="1:15">
      <c r="H555" s="617" t="s">
        <v>0</v>
      </c>
      <c r="I555" s="617"/>
      <c r="J555" s="617"/>
      <c r="K555" s="617"/>
      <c r="L555" s="617"/>
      <c r="M555" s="617"/>
      <c r="N555" s="617"/>
      <c r="O555" s="617"/>
    </row>
    <row r="556" spans="1:15">
      <c r="H556" s="474"/>
      <c r="I556" s="474"/>
      <c r="J556" s="474"/>
      <c r="K556" s="474"/>
      <c r="L556" s="474"/>
      <c r="M556" s="474"/>
      <c r="N556" s="474"/>
      <c r="O556" s="474"/>
    </row>
    <row r="558" spans="1:15" ht="39.75" customHeight="1">
      <c r="B558" s="688" t="s">
        <v>1</v>
      </c>
      <c r="C558" s="688"/>
      <c r="D558" s="688"/>
      <c r="E558" s="688"/>
      <c r="H558" s="688" t="s">
        <v>1</v>
      </c>
      <c r="I558" s="688"/>
      <c r="J558" s="688"/>
      <c r="K558" s="688"/>
      <c r="L558" s="688"/>
      <c r="M558" s="688"/>
      <c r="N558" s="688"/>
      <c r="O558" s="688"/>
    </row>
    <row r="559" spans="1:15" ht="16.5" customHeight="1">
      <c r="J559" s="688"/>
      <c r="K559" s="688"/>
      <c r="L559" s="688"/>
      <c r="M559" s="688"/>
    </row>
    <row r="560" spans="1:15" ht="15.75" customHeight="1">
      <c r="J560" s="642"/>
      <c r="K560" s="642"/>
      <c r="L560" s="642"/>
      <c r="M560" s="642"/>
    </row>
    <row r="561" spans="1:15" ht="18" thickBot="1">
      <c r="F561" s="141"/>
      <c r="H561" s="375"/>
      <c r="I561" s="503" t="s">
        <v>1871</v>
      </c>
    </row>
    <row r="562" spans="1:15" ht="17.25" thickBot="1">
      <c r="A562" s="30"/>
      <c r="E562" s="143"/>
      <c r="G562" s="144"/>
    </row>
    <row r="563" spans="1:15" ht="17.25">
      <c r="E563" s="753" t="s">
        <v>28</v>
      </c>
      <c r="F563" s="754"/>
      <c r="G563" s="755"/>
      <c r="M563" s="143"/>
      <c r="O563" s="144"/>
    </row>
    <row r="564" spans="1:15">
      <c r="C564" s="30"/>
      <c r="D564" s="30" t="s">
        <v>2</v>
      </c>
      <c r="G564" s="65"/>
      <c r="H564" s="30"/>
      <c r="M564" s="647" t="s">
        <v>1921</v>
      </c>
      <c r="N564" s="610"/>
      <c r="O564" s="648"/>
    </row>
    <row r="565" spans="1:15">
      <c r="E565" s="601" t="s">
        <v>29</v>
      </c>
      <c r="F565" s="602"/>
      <c r="G565" s="603"/>
      <c r="I565" s="30"/>
      <c r="K565" s="249" t="s">
        <v>2</v>
      </c>
      <c r="M565" s="605" t="s">
        <v>1922</v>
      </c>
      <c r="N565" s="605"/>
      <c r="O565" s="649"/>
    </row>
    <row r="566" spans="1:15" ht="17.25" thickBot="1">
      <c r="E566" s="140"/>
      <c r="F566" s="141"/>
      <c r="G566" s="142"/>
      <c r="H566" s="12" t="s">
        <v>114</v>
      </c>
      <c r="K566" s="30"/>
      <c r="M566" s="601" t="s">
        <v>163</v>
      </c>
      <c r="N566" s="602"/>
      <c r="O566" s="603"/>
    </row>
    <row r="567" spans="1:15" ht="17.25" thickBot="1">
      <c r="A567" s="12" t="s">
        <v>29</v>
      </c>
      <c r="K567" s="30"/>
      <c r="M567" s="140"/>
      <c r="N567" s="141"/>
      <c r="O567" s="142"/>
    </row>
    <row r="568" spans="1:15">
      <c r="A568" s="30"/>
      <c r="I568" s="167" t="s">
        <v>27</v>
      </c>
      <c r="J568" s="394" t="s">
        <v>148</v>
      </c>
    </row>
    <row r="569" spans="1:15" ht="17.25" thickBot="1">
      <c r="I569" s="30"/>
    </row>
    <row r="570" spans="1:15" ht="17.25" thickBot="1">
      <c r="A570" s="696" t="s">
        <v>4</v>
      </c>
      <c r="B570" s="697"/>
      <c r="C570" s="697"/>
      <c r="D570" s="697"/>
      <c r="E570" s="697"/>
      <c r="F570" s="698"/>
      <c r="G570" s="20" t="s">
        <v>5</v>
      </c>
      <c r="H570" s="249"/>
    </row>
    <row r="571" spans="1:15" ht="17.25" customHeight="1" thickBot="1">
      <c r="A571" s="143"/>
      <c r="B571" s="159"/>
      <c r="C571" s="159"/>
      <c r="D571" s="159"/>
      <c r="E571" s="159"/>
      <c r="F571" s="144"/>
      <c r="G571" s="65"/>
      <c r="H571" s="363" t="s">
        <v>112</v>
      </c>
      <c r="I571" s="750" t="s">
        <v>4</v>
      </c>
      <c r="J571" s="751"/>
      <c r="K571" s="751"/>
      <c r="L571" s="751"/>
      <c r="M571" s="751"/>
      <c r="N571" s="752"/>
      <c r="O571" s="20" t="s">
        <v>5</v>
      </c>
    </row>
    <row r="572" spans="1:15" ht="17.25" customHeight="1" thickBot="1">
      <c r="A572" s="598" t="s">
        <v>6</v>
      </c>
      <c r="B572" s="599"/>
      <c r="C572" s="599"/>
      <c r="D572" s="15" t="s">
        <v>7</v>
      </c>
      <c r="E572" s="16"/>
      <c r="F572" s="32"/>
      <c r="G572" s="65"/>
      <c r="H572" s="627" t="s">
        <v>2445</v>
      </c>
      <c r="I572" s="143"/>
      <c r="J572" s="159"/>
      <c r="K572" s="159"/>
      <c r="L572" s="159"/>
      <c r="M572" s="159"/>
      <c r="N572" s="144"/>
      <c r="O572" s="291"/>
    </row>
    <row r="573" spans="1:15" ht="17.25" customHeight="1" thickBot="1">
      <c r="A573" s="17" t="s">
        <v>26</v>
      </c>
      <c r="B573" s="18" t="s">
        <v>8</v>
      </c>
      <c r="C573" s="19" t="s">
        <v>9</v>
      </c>
      <c r="D573" s="18" t="s">
        <v>10</v>
      </c>
      <c r="E573" s="19" t="s">
        <v>8</v>
      </c>
      <c r="F573" s="18" t="s">
        <v>11</v>
      </c>
      <c r="G573" s="65"/>
      <c r="H573" s="628"/>
      <c r="I573" s="64"/>
      <c r="N573" s="65"/>
      <c r="O573" s="291"/>
    </row>
    <row r="574" spans="1:15">
      <c r="A574" s="160">
        <v>3</v>
      </c>
      <c r="B574" s="154">
        <v>10000</v>
      </c>
      <c r="C574" s="154">
        <f>A574*B574</f>
        <v>30000</v>
      </c>
      <c r="D574" s="154"/>
      <c r="E574" s="154"/>
      <c r="F574" s="161">
        <f>+D574*E574</f>
        <v>0</v>
      </c>
      <c r="G574" s="39">
        <f>+C574+F574</f>
        <v>30000</v>
      </c>
      <c r="H574" s="628"/>
      <c r="I574" s="630" t="s">
        <v>286</v>
      </c>
      <c r="J574" s="631"/>
      <c r="K574" s="631"/>
      <c r="L574" s="631"/>
      <c r="M574" s="631"/>
      <c r="N574" s="632"/>
      <c r="O574" s="291"/>
    </row>
    <row r="575" spans="1:15">
      <c r="A575" s="64"/>
      <c r="F575" s="65"/>
      <c r="G575" s="65"/>
      <c r="H575" s="628"/>
      <c r="I575" s="636" t="s">
        <v>1924</v>
      </c>
      <c r="J575" s="637"/>
      <c r="K575" s="637"/>
      <c r="L575" s="637"/>
      <c r="M575" s="637"/>
      <c r="N575" s="638"/>
      <c r="O575" s="148">
        <v>14875000</v>
      </c>
    </row>
    <row r="576" spans="1:15">
      <c r="A576" s="64"/>
      <c r="F576" s="65"/>
      <c r="G576" s="65"/>
      <c r="H576" s="628"/>
      <c r="I576" s="64"/>
      <c r="J576" s="403"/>
      <c r="K576" s="403"/>
      <c r="L576" s="403"/>
      <c r="N576" s="65"/>
      <c r="O576" s="291"/>
    </row>
    <row r="577" spans="1:15" ht="17.25" thickBot="1">
      <c r="A577" s="140"/>
      <c r="B577" s="141"/>
      <c r="C577" s="141"/>
      <c r="D577" s="141"/>
      <c r="E577" s="141"/>
      <c r="F577" s="142"/>
      <c r="G577" s="65"/>
      <c r="H577" s="629"/>
      <c r="I577" s="140"/>
      <c r="J577" s="141"/>
      <c r="K577" s="141"/>
      <c r="L577" s="141"/>
      <c r="M577" s="141"/>
      <c r="N577" s="142"/>
      <c r="O577" s="291"/>
    </row>
    <row r="578" spans="1:15" ht="17.25" thickBot="1">
      <c r="A578" s="611" t="s">
        <v>13</v>
      </c>
      <c r="B578" s="612"/>
      <c r="C578" s="21" t="s">
        <v>14</v>
      </c>
      <c r="D578" s="20"/>
      <c r="E578" s="21" t="s">
        <v>15</v>
      </c>
      <c r="F578" s="21" t="s">
        <v>16</v>
      </c>
      <c r="G578" s="20" t="s">
        <v>17</v>
      </c>
      <c r="H578" s="20" t="s">
        <v>12</v>
      </c>
      <c r="I578" s="611" t="s">
        <v>13</v>
      </c>
      <c r="J578" s="612"/>
      <c r="K578" s="62" t="s">
        <v>14</v>
      </c>
      <c r="L578" s="63"/>
      <c r="M578" s="62" t="s">
        <v>15</v>
      </c>
      <c r="N578" s="20" t="s">
        <v>16</v>
      </c>
      <c r="O578" s="20" t="s">
        <v>17</v>
      </c>
    </row>
    <row r="579" spans="1:15" ht="18" thickBot="1">
      <c r="A579" s="606">
        <f>+C574</f>
        <v>30000</v>
      </c>
      <c r="B579" s="607"/>
      <c r="C579" s="23">
        <f>0</f>
        <v>0</v>
      </c>
      <c r="D579" s="24"/>
      <c r="E579" s="25">
        <f>0</f>
        <v>0</v>
      </c>
      <c r="F579" s="36">
        <f>+F574</f>
        <v>0</v>
      </c>
      <c r="G579" s="38">
        <f>+G574</f>
        <v>30000</v>
      </c>
      <c r="H579" s="22" t="s">
        <v>18</v>
      </c>
      <c r="I579" s="606">
        <f>+O575</f>
        <v>14875000</v>
      </c>
      <c r="J579" s="652"/>
      <c r="K579" s="23">
        <f>0</f>
        <v>0</v>
      </c>
      <c r="L579" s="24"/>
      <c r="M579" s="25">
        <f>0</f>
        <v>0</v>
      </c>
      <c r="N579" s="36">
        <f>+I579</f>
        <v>14875000</v>
      </c>
      <c r="O579" s="38">
        <f>+O575</f>
        <v>14875000</v>
      </c>
    </row>
    <row r="580" spans="1:15" ht="18" thickBot="1">
      <c r="H580" s="22" t="s">
        <v>113</v>
      </c>
      <c r="I580" s="606">
        <f>+I579/650.599</f>
        <v>22863.545747841603</v>
      </c>
      <c r="J580" s="652"/>
      <c r="K580" s="23">
        <f>0</f>
        <v>0</v>
      </c>
      <c r="L580" s="24"/>
      <c r="M580" s="25">
        <f>0</f>
        <v>0</v>
      </c>
      <c r="N580" s="36">
        <f>+I580</f>
        <v>22863.545747841603</v>
      </c>
      <c r="O580" s="38">
        <f>+N580</f>
        <v>22863.545747841603</v>
      </c>
    </row>
    <row r="581" spans="1:15">
      <c r="A581" s="26"/>
      <c r="B581" s="26"/>
      <c r="C581" s="26"/>
      <c r="D581" s="26"/>
      <c r="E581" s="26"/>
      <c r="F581" s="26"/>
    </row>
    <row r="582" spans="1:15">
      <c r="A582" s="26"/>
      <c r="B582" s="26"/>
      <c r="C582" s="26"/>
      <c r="D582" s="26"/>
      <c r="E582" s="26"/>
      <c r="F582" s="26"/>
      <c r="H582" s="37" t="s">
        <v>1373</v>
      </c>
      <c r="I582" s="26"/>
      <c r="J582" s="26"/>
      <c r="K582" s="26"/>
      <c r="L582" s="26"/>
      <c r="M582" s="26"/>
      <c r="N582" s="26"/>
    </row>
    <row r="583" spans="1:15">
      <c r="A583" s="26"/>
      <c r="B583" s="26"/>
      <c r="C583" s="26"/>
      <c r="D583" s="26"/>
      <c r="E583" s="26"/>
      <c r="F583" s="26"/>
      <c r="H583" s="394" t="s">
        <v>2468</v>
      </c>
    </row>
    <row r="584" spans="1:15">
      <c r="A584" s="26"/>
      <c r="B584" s="26"/>
      <c r="C584" s="26"/>
      <c r="D584" s="26"/>
      <c r="E584" s="26"/>
      <c r="F584" s="26"/>
      <c r="H584" s="26"/>
      <c r="I584" s="26"/>
      <c r="J584" s="26"/>
      <c r="K584" s="26"/>
      <c r="L584" s="26"/>
      <c r="M584" s="26"/>
      <c r="N584" s="26"/>
    </row>
    <row r="585" spans="1:15">
      <c r="A585" s="26"/>
      <c r="B585" s="26"/>
      <c r="C585" s="26"/>
      <c r="D585" s="26"/>
      <c r="E585" s="26"/>
      <c r="F585" s="26"/>
      <c r="H585" s="26" t="s">
        <v>965</v>
      </c>
      <c r="I585" s="26"/>
      <c r="J585" s="26"/>
      <c r="K585" s="26"/>
      <c r="L585" s="26"/>
      <c r="M585" s="26"/>
      <c r="N585" s="26"/>
    </row>
    <row r="586" spans="1:15">
      <c r="H586" s="26" t="s">
        <v>21</v>
      </c>
      <c r="I586" s="26"/>
      <c r="J586" s="26"/>
      <c r="K586" s="26"/>
      <c r="L586" s="26"/>
      <c r="M586" s="26"/>
      <c r="N586" s="26"/>
    </row>
    <row r="587" spans="1:15">
      <c r="H587" s="26" t="s">
        <v>1229</v>
      </c>
      <c r="I587" s="26"/>
      <c r="J587" s="26"/>
      <c r="K587" s="26"/>
      <c r="L587" s="26"/>
      <c r="M587" s="26"/>
      <c r="N587" s="26"/>
    </row>
    <row r="589" spans="1:15">
      <c r="C589" s="30"/>
      <c r="D589" s="30" t="s">
        <v>24</v>
      </c>
      <c r="E589" s="30"/>
      <c r="F589" s="30"/>
    </row>
    <row r="590" spans="1:15">
      <c r="C590" s="30"/>
      <c r="D590" s="30" t="s">
        <v>149</v>
      </c>
      <c r="E590" s="30"/>
      <c r="F590" s="30"/>
      <c r="K590" s="30" t="s">
        <v>24</v>
      </c>
      <c r="L590" s="30"/>
      <c r="M590" s="30"/>
    </row>
    <row r="591" spans="1:15">
      <c r="D591" s="699" t="s">
        <v>150</v>
      </c>
      <c r="E591" s="699"/>
      <c r="F591" s="699"/>
      <c r="K591" s="30" t="s">
        <v>149</v>
      </c>
      <c r="L591" s="30"/>
      <c r="M591" s="30"/>
    </row>
    <row r="592" spans="1:15">
      <c r="K592" s="604" t="s">
        <v>150</v>
      </c>
      <c r="L592" s="604"/>
      <c r="M592" s="604"/>
      <c r="N592" s="604"/>
    </row>
    <row r="593" spans="1:15">
      <c r="D593" s="26"/>
      <c r="E593" s="26"/>
      <c r="F593" s="26"/>
      <c r="K593" s="30"/>
    </row>
    <row r="594" spans="1:15" ht="18">
      <c r="A594" s="26"/>
      <c r="B594" s="26"/>
      <c r="C594" s="26"/>
      <c r="D594" s="759" t="s">
        <v>23</v>
      </c>
      <c r="E594" s="807"/>
      <c r="F594" s="807"/>
      <c r="H594" s="26"/>
      <c r="I594" s="26"/>
      <c r="J594" s="26"/>
      <c r="L594" s="26"/>
      <c r="M594" s="26"/>
      <c r="N594" s="26"/>
      <c r="O594" s="145"/>
    </row>
    <row r="595" spans="1:15" ht="18">
      <c r="A595" s="26"/>
      <c r="B595" s="26"/>
      <c r="C595" s="26"/>
      <c r="D595" s="365"/>
      <c r="E595" s="366"/>
      <c r="F595" s="366"/>
      <c r="H595" s="26"/>
      <c r="I595" s="26"/>
      <c r="J595" s="26"/>
      <c r="K595" s="645" t="s">
        <v>2347</v>
      </c>
      <c r="L595" s="645"/>
      <c r="M595" s="645"/>
      <c r="N595" s="645"/>
      <c r="O595" s="145"/>
    </row>
    <row r="596" spans="1:15" ht="18">
      <c r="H596" s="26"/>
      <c r="I596" s="26"/>
      <c r="J596" s="26"/>
      <c r="K596" s="645"/>
      <c r="L596" s="645"/>
      <c r="M596" s="645"/>
      <c r="N596" s="645"/>
      <c r="O596" s="145"/>
    </row>
    <row r="597" spans="1:15" ht="18">
      <c r="H597" s="26"/>
      <c r="I597" s="26"/>
      <c r="J597" s="26"/>
      <c r="K597" s="361"/>
      <c r="L597" s="361"/>
      <c r="M597" s="361"/>
      <c r="N597" s="361"/>
      <c r="O597" s="145"/>
    </row>
    <row r="598" spans="1:15">
      <c r="I598" s="617" t="s">
        <v>0</v>
      </c>
      <c r="J598" s="617"/>
      <c r="K598" s="617"/>
      <c r="L598" s="617"/>
      <c r="M598" s="617"/>
      <c r="N598" s="617"/>
      <c r="O598" s="617"/>
    </row>
    <row r="601" spans="1:15" ht="49.5">
      <c r="J601" s="642" t="s">
        <v>1</v>
      </c>
      <c r="K601" s="642"/>
      <c r="L601" s="642"/>
      <c r="M601" s="642"/>
    </row>
    <row r="604" spans="1:15" ht="17.25">
      <c r="H604" s="375"/>
      <c r="I604" s="375" t="s">
        <v>1759</v>
      </c>
    </row>
    <row r="605" spans="1:15" ht="17.25" thickBot="1">
      <c r="H605" s="30"/>
      <c r="N605" s="141"/>
    </row>
    <row r="606" spans="1:15">
      <c r="I606" s="30"/>
      <c r="M606" s="143"/>
      <c r="O606" s="144"/>
    </row>
    <row r="607" spans="1:15">
      <c r="M607" s="647" t="s">
        <v>693</v>
      </c>
      <c r="N607" s="610"/>
      <c r="O607" s="648"/>
    </row>
    <row r="608" spans="1:15">
      <c r="H608" s="12" t="s">
        <v>114</v>
      </c>
      <c r="K608" s="249" t="s">
        <v>2</v>
      </c>
      <c r="M608" s="605" t="s">
        <v>1760</v>
      </c>
      <c r="N608" s="605"/>
      <c r="O608" s="649"/>
    </row>
    <row r="609" spans="8:15">
      <c r="M609" s="601" t="s">
        <v>163</v>
      </c>
      <c r="N609" s="602"/>
      <c r="O609" s="603"/>
    </row>
    <row r="610" spans="8:15" ht="17.25" thickBot="1">
      <c r="M610" s="140"/>
      <c r="N610" s="141"/>
      <c r="O610" s="142"/>
    </row>
    <row r="612" spans="8:15">
      <c r="H612" s="249" t="s">
        <v>27</v>
      </c>
      <c r="I612" s="394" t="s">
        <v>148</v>
      </c>
    </row>
    <row r="613" spans="8:15" ht="17.25" thickBot="1"/>
    <row r="614" spans="8:15" ht="17.25" thickBot="1">
      <c r="H614" s="13" t="s">
        <v>112</v>
      </c>
      <c r="I614" s="624" t="s">
        <v>4</v>
      </c>
      <c r="J614" s="625"/>
      <c r="K614" s="625"/>
      <c r="L614" s="625"/>
      <c r="M614" s="625"/>
      <c r="N614" s="626"/>
      <c r="O614" s="20" t="s">
        <v>5</v>
      </c>
    </row>
    <row r="615" spans="8:15">
      <c r="H615" s="627" t="s">
        <v>1716</v>
      </c>
      <c r="I615" s="143"/>
      <c r="J615" s="159"/>
      <c r="K615" s="159"/>
      <c r="L615" s="159"/>
      <c r="M615" s="159"/>
      <c r="N615" s="144"/>
      <c r="O615" s="291"/>
    </row>
    <row r="616" spans="8:15">
      <c r="H616" s="628"/>
      <c r="I616" s="64"/>
      <c r="N616" s="65"/>
      <c r="O616" s="291"/>
    </row>
    <row r="617" spans="8:15">
      <c r="H617" s="628"/>
      <c r="I617" s="630" t="s">
        <v>286</v>
      </c>
      <c r="J617" s="631"/>
      <c r="K617" s="631"/>
      <c r="L617" s="631"/>
      <c r="M617" s="631"/>
      <c r="N617" s="632"/>
      <c r="O617" s="291"/>
    </row>
    <row r="618" spans="8:15">
      <c r="H618" s="628"/>
      <c r="I618" s="636" t="s">
        <v>1761</v>
      </c>
      <c r="J618" s="637"/>
      <c r="K618" s="637"/>
      <c r="L618" s="637"/>
      <c r="M618" s="637"/>
      <c r="N618" s="638"/>
      <c r="O618" s="148">
        <v>5250000</v>
      </c>
    </row>
    <row r="619" spans="8:15">
      <c r="H619" s="628"/>
      <c r="I619" s="64"/>
      <c r="J619" s="604"/>
      <c r="K619" s="604"/>
      <c r="L619" s="604"/>
      <c r="N619" s="65"/>
      <c r="O619" s="291"/>
    </row>
    <row r="620" spans="8:15" ht="17.25" thickBot="1">
      <c r="H620" s="629"/>
      <c r="I620" s="140"/>
      <c r="J620" s="141"/>
      <c r="K620" s="141"/>
      <c r="L620" s="141"/>
      <c r="M620" s="141"/>
      <c r="N620" s="142"/>
      <c r="O620" s="291"/>
    </row>
    <row r="621" spans="8:15" ht="17.25" thickBot="1">
      <c r="H621" s="20" t="s">
        <v>12</v>
      </c>
      <c r="I621" s="614" t="s">
        <v>13</v>
      </c>
      <c r="J621" s="615"/>
      <c r="K621" s="62" t="s">
        <v>14</v>
      </c>
      <c r="L621" s="63"/>
      <c r="M621" s="62" t="s">
        <v>15</v>
      </c>
      <c r="N621" s="62" t="s">
        <v>16</v>
      </c>
      <c r="O621" s="20" t="s">
        <v>17</v>
      </c>
    </row>
    <row r="622" spans="8:15" ht="18" thickBot="1">
      <c r="H622" s="22" t="s">
        <v>18</v>
      </c>
      <c r="I622" s="606">
        <f>+O618</f>
        <v>5250000</v>
      </c>
      <c r="J622" s="607"/>
      <c r="K622" s="23">
        <f>0</f>
        <v>0</v>
      </c>
      <c r="L622" s="24"/>
      <c r="M622" s="25">
        <f>0</f>
        <v>0</v>
      </c>
      <c r="N622" s="36">
        <f>+I622</f>
        <v>5250000</v>
      </c>
      <c r="O622" s="38">
        <f>+O618</f>
        <v>5250000</v>
      </c>
    </row>
    <row r="623" spans="8:15" ht="18" thickBot="1">
      <c r="H623" s="22" t="s">
        <v>113</v>
      </c>
      <c r="I623" s="606">
        <f>+I622/650.599</f>
        <v>8069.48673453233</v>
      </c>
      <c r="J623" s="607"/>
      <c r="K623" s="23">
        <f>0</f>
        <v>0</v>
      </c>
      <c r="L623" s="24"/>
      <c r="M623" s="25">
        <f>0</f>
        <v>0</v>
      </c>
      <c r="N623" s="36">
        <f>+I623</f>
        <v>8069.48673453233</v>
      </c>
      <c r="O623" s="38">
        <f>+N623</f>
        <v>8069.48673453233</v>
      </c>
    </row>
    <row r="625" spans="8:15">
      <c r="H625" s="395" t="s">
        <v>1268</v>
      </c>
      <c r="I625" s="26"/>
      <c r="J625" s="26"/>
      <c r="K625" s="26"/>
      <c r="L625" s="26"/>
      <c r="M625" s="26"/>
      <c r="N625" s="26"/>
    </row>
    <row r="626" spans="8:15">
      <c r="H626" s="408" t="s">
        <v>1674</v>
      </c>
      <c r="I626" s="26"/>
      <c r="J626" s="26"/>
      <c r="K626" s="26"/>
      <c r="L626" s="26"/>
      <c r="M626" s="26"/>
      <c r="N626" s="26"/>
    </row>
    <row r="627" spans="8:15">
      <c r="H627" s="82" t="s">
        <v>19</v>
      </c>
      <c r="I627" s="26"/>
      <c r="J627" s="26"/>
      <c r="K627" s="26"/>
      <c r="L627" s="26"/>
      <c r="M627" s="26"/>
      <c r="N627" s="26"/>
    </row>
    <row r="628" spans="8:15">
      <c r="H628" s="26" t="s">
        <v>965</v>
      </c>
      <c r="I628" s="26"/>
      <c r="J628" s="26"/>
      <c r="K628" s="26"/>
      <c r="L628" s="26"/>
      <c r="M628" s="26"/>
      <c r="N628" s="26"/>
    </row>
    <row r="629" spans="8:15">
      <c r="H629" s="26" t="s">
        <v>21</v>
      </c>
      <c r="I629" s="26"/>
      <c r="J629" s="26"/>
      <c r="K629" s="26"/>
      <c r="L629" s="26"/>
      <c r="M629" s="26"/>
      <c r="N629" s="26"/>
    </row>
    <row r="630" spans="8:15">
      <c r="H630" s="26" t="s">
        <v>1229</v>
      </c>
      <c r="I630" s="26"/>
      <c r="J630" s="26"/>
      <c r="K630" s="26"/>
      <c r="L630" s="26"/>
      <c r="M630" s="26"/>
      <c r="N630" s="26"/>
    </row>
    <row r="633" spans="8:15">
      <c r="K633" s="30" t="s">
        <v>24</v>
      </c>
      <c r="M633" s="30"/>
      <c r="N633" s="30"/>
    </row>
    <row r="634" spans="8:15">
      <c r="K634" s="30" t="s">
        <v>149</v>
      </c>
      <c r="M634" s="30"/>
      <c r="N634" s="30"/>
    </row>
    <row r="635" spans="8:15">
      <c r="K635" s="605" t="s">
        <v>150</v>
      </c>
      <c r="L635" s="605"/>
      <c r="M635" s="605"/>
      <c r="N635" s="605"/>
    </row>
    <row r="636" spans="8:15">
      <c r="K636" s="30"/>
    </row>
    <row r="637" spans="8:15">
      <c r="L637" s="26"/>
      <c r="M637" s="26"/>
      <c r="N637" s="26"/>
    </row>
    <row r="638" spans="8:15" ht="18">
      <c r="K638" s="145"/>
      <c r="L638" s="145"/>
      <c r="M638" s="145"/>
      <c r="N638" s="145"/>
    </row>
    <row r="639" spans="8:15" ht="18">
      <c r="H639" s="26"/>
      <c r="I639" s="26"/>
      <c r="J639" s="26"/>
      <c r="K639" s="645" t="s">
        <v>1715</v>
      </c>
      <c r="L639" s="645"/>
      <c r="M639" s="645"/>
      <c r="N639" s="645"/>
      <c r="O639" s="145"/>
    </row>
    <row r="640" spans="8:15" ht="18">
      <c r="H640" s="26"/>
      <c r="I640" s="26"/>
      <c r="J640" s="26"/>
      <c r="K640" s="417"/>
      <c r="L640" s="417"/>
      <c r="M640" s="417"/>
      <c r="N640" s="417"/>
      <c r="O640" s="145"/>
    </row>
    <row r="641" spans="8:15" ht="15" customHeight="1">
      <c r="H641" s="26"/>
      <c r="I641" s="26"/>
      <c r="J641" s="26"/>
      <c r="K641" s="26"/>
      <c r="L641" s="373"/>
      <c r="M641" s="373"/>
      <c r="N641" s="373"/>
      <c r="O641" s="145"/>
    </row>
    <row r="642" spans="8:15">
      <c r="I642" s="617" t="s">
        <v>2534</v>
      </c>
      <c r="J642" s="617"/>
      <c r="K642" s="617"/>
      <c r="L642" s="617"/>
      <c r="M642" s="617"/>
      <c r="N642" s="617"/>
      <c r="O642" s="617"/>
    </row>
    <row r="645" spans="8:15" ht="49.5" customHeight="1">
      <c r="H645" s="661" t="s">
        <v>1</v>
      </c>
      <c r="I645" s="661"/>
      <c r="J645" s="661"/>
      <c r="K645" s="661"/>
      <c r="L645" s="661"/>
      <c r="M645" s="661"/>
      <c r="N645" s="661"/>
      <c r="O645" s="661"/>
    </row>
    <row r="648" spans="8:15" ht="17.25">
      <c r="H648" s="375"/>
      <c r="I648" s="503" t="s">
        <v>1913</v>
      </c>
    </row>
    <row r="649" spans="8:15" ht="17.25" thickBot="1">
      <c r="H649" s="30"/>
      <c r="N649" s="141"/>
    </row>
    <row r="650" spans="8:15">
      <c r="I650" s="30"/>
      <c r="M650" s="143"/>
      <c r="O650" s="144"/>
    </row>
    <row r="651" spans="8:15">
      <c r="M651" s="647" t="s">
        <v>2506</v>
      </c>
      <c r="N651" s="610"/>
      <c r="O651" s="648"/>
    </row>
    <row r="652" spans="8:15">
      <c r="H652" s="12" t="s">
        <v>114</v>
      </c>
      <c r="K652" s="249" t="s">
        <v>2</v>
      </c>
      <c r="M652" s="605" t="s">
        <v>2538</v>
      </c>
      <c r="N652" s="605"/>
      <c r="O652" s="649"/>
    </row>
    <row r="653" spans="8:15">
      <c r="M653" s="601" t="s">
        <v>163</v>
      </c>
      <c r="N653" s="602"/>
      <c r="O653" s="603"/>
    </row>
    <row r="654" spans="8:15" ht="17.25" thickBot="1">
      <c r="M654" s="140"/>
      <c r="N654" s="141"/>
      <c r="O654" s="142"/>
    </row>
    <row r="656" spans="8:15">
      <c r="H656" s="249" t="s">
        <v>27</v>
      </c>
      <c r="I656" s="30" t="s">
        <v>1908</v>
      </c>
    </row>
    <row r="657" spans="8:15" ht="17.25" thickBot="1"/>
    <row r="658" spans="8:15" ht="17.25" thickBot="1">
      <c r="H658" s="13" t="s">
        <v>112</v>
      </c>
      <c r="I658" s="624" t="s">
        <v>4</v>
      </c>
      <c r="J658" s="625"/>
      <c r="K658" s="625"/>
      <c r="L658" s="625"/>
      <c r="M658" s="625"/>
      <c r="N658" s="626"/>
      <c r="O658" s="20" t="s">
        <v>5</v>
      </c>
    </row>
    <row r="659" spans="8:15">
      <c r="H659" s="633" t="s">
        <v>2445</v>
      </c>
      <c r="I659" s="143"/>
      <c r="J659" s="159"/>
      <c r="K659" s="159"/>
      <c r="L659" s="159"/>
      <c r="M659" s="159"/>
      <c r="N659" s="144"/>
      <c r="O659" s="291"/>
    </row>
    <row r="660" spans="8:15">
      <c r="H660" s="634"/>
      <c r="I660" s="64"/>
      <c r="N660" s="65"/>
      <c r="O660" s="291"/>
    </row>
    <row r="661" spans="8:15">
      <c r="H661" s="634"/>
      <c r="I661" s="630" t="s">
        <v>286</v>
      </c>
      <c r="J661" s="631"/>
      <c r="K661" s="631"/>
      <c r="L661" s="631"/>
      <c r="M661" s="631"/>
      <c r="N661" s="632"/>
      <c r="O661" s="291"/>
    </row>
    <row r="662" spans="8:15">
      <c r="H662" s="634"/>
      <c r="I662" s="636" t="s">
        <v>2549</v>
      </c>
      <c r="J662" s="637"/>
      <c r="K662" s="637"/>
      <c r="L662" s="637"/>
      <c r="M662" s="637"/>
      <c r="N662" s="638"/>
      <c r="O662" s="148">
        <v>1500000</v>
      </c>
    </row>
    <row r="663" spans="8:15">
      <c r="H663" s="634"/>
      <c r="I663" s="64"/>
      <c r="J663" s="604"/>
      <c r="K663" s="604"/>
      <c r="L663" s="604"/>
      <c r="N663" s="65"/>
      <c r="O663" s="291"/>
    </row>
    <row r="664" spans="8:15" ht="17.25" thickBot="1">
      <c r="H664" s="635"/>
      <c r="I664" s="140"/>
      <c r="J664" s="141"/>
      <c r="K664" s="141"/>
      <c r="L664" s="141"/>
      <c r="M664" s="141"/>
      <c r="N664" s="142"/>
      <c r="O664" s="291"/>
    </row>
    <row r="665" spans="8:15" ht="17.25" thickBot="1">
      <c r="H665" s="20" t="s">
        <v>12</v>
      </c>
      <c r="I665" s="614" t="s">
        <v>13</v>
      </c>
      <c r="J665" s="615"/>
      <c r="K665" s="62" t="s">
        <v>14</v>
      </c>
      <c r="L665" s="63"/>
      <c r="M665" s="62" t="s">
        <v>15</v>
      </c>
      <c r="N665" s="62" t="s">
        <v>16</v>
      </c>
      <c r="O665" s="20" t="s">
        <v>17</v>
      </c>
    </row>
    <row r="666" spans="8:15" ht="18" thickBot="1">
      <c r="H666" s="22" t="s">
        <v>18</v>
      </c>
      <c r="I666" s="606">
        <f>+O662</f>
        <v>1500000</v>
      </c>
      <c r="J666" s="607"/>
      <c r="K666" s="23">
        <f>0</f>
        <v>0</v>
      </c>
      <c r="L666" s="24"/>
      <c r="M666" s="25">
        <f>0</f>
        <v>0</v>
      </c>
      <c r="N666" s="36">
        <f>+I666</f>
        <v>1500000</v>
      </c>
      <c r="O666" s="38">
        <f>+O662</f>
        <v>1500000</v>
      </c>
    </row>
    <row r="667" spans="8:15" ht="18" thickBot="1">
      <c r="H667" s="22" t="s">
        <v>113</v>
      </c>
      <c r="I667" s="606">
        <f>+I666/650.599</f>
        <v>2305.5676384378089</v>
      </c>
      <c r="J667" s="607"/>
      <c r="K667" s="23">
        <f>0</f>
        <v>0</v>
      </c>
      <c r="L667" s="24"/>
      <c r="M667" s="25">
        <f>0</f>
        <v>0</v>
      </c>
      <c r="N667" s="36">
        <f>+I667</f>
        <v>2305.5676384378089</v>
      </c>
      <c r="O667" s="38">
        <f>+N667</f>
        <v>2305.5676384378089</v>
      </c>
    </row>
    <row r="669" spans="8:15">
      <c r="H669" s="395" t="s">
        <v>1268</v>
      </c>
      <c r="I669" s="26"/>
      <c r="J669" s="26"/>
      <c r="K669" s="26"/>
      <c r="L669" s="26"/>
      <c r="M669" s="26"/>
      <c r="N669" s="26"/>
    </row>
    <row r="670" spans="8:15">
      <c r="H670" s="408" t="s">
        <v>2539</v>
      </c>
      <c r="I670" s="26"/>
      <c r="J670" s="26"/>
      <c r="K670" s="26"/>
      <c r="L670" s="26"/>
      <c r="M670" s="26"/>
      <c r="N670" s="26"/>
    </row>
    <row r="671" spans="8:15">
      <c r="H671" s="82" t="s">
        <v>19</v>
      </c>
      <c r="I671" s="26"/>
      <c r="J671" s="26"/>
      <c r="K671" s="26"/>
      <c r="L671" s="26"/>
      <c r="M671" s="26"/>
      <c r="N671" s="26"/>
    </row>
    <row r="672" spans="8:15">
      <c r="H672" s="26" t="s">
        <v>965</v>
      </c>
      <c r="I672" s="26"/>
      <c r="J672" s="26"/>
      <c r="K672" s="26"/>
      <c r="L672" s="26"/>
      <c r="M672" s="26"/>
      <c r="N672" s="26"/>
    </row>
    <row r="673" spans="8:15">
      <c r="H673" s="26" t="s">
        <v>21</v>
      </c>
      <c r="I673" s="26"/>
      <c r="J673" s="26"/>
      <c r="K673" s="26"/>
      <c r="L673" s="26"/>
      <c r="M673" s="26"/>
      <c r="N673" s="26"/>
    </row>
    <row r="674" spans="8:15">
      <c r="H674" s="26" t="s">
        <v>1229</v>
      </c>
      <c r="I674" s="26"/>
      <c r="J674" s="26"/>
      <c r="K674" s="26"/>
      <c r="L674" s="26"/>
      <c r="M674" s="26"/>
      <c r="N674" s="26"/>
    </row>
    <row r="677" spans="8:15">
      <c r="K677" s="30" t="s">
        <v>24</v>
      </c>
      <c r="M677" s="30"/>
      <c r="N677" s="30"/>
    </row>
    <row r="678" spans="8:15">
      <c r="K678" s="30" t="s">
        <v>149</v>
      </c>
      <c r="M678" s="30"/>
      <c r="N678" s="30"/>
    </row>
    <row r="679" spans="8:15">
      <c r="K679" s="605" t="s">
        <v>624</v>
      </c>
      <c r="L679" s="605"/>
      <c r="M679" s="605"/>
      <c r="N679" s="605"/>
    </row>
    <row r="680" spans="8:15">
      <c r="K680" s="30"/>
    </row>
    <row r="681" spans="8:15">
      <c r="K681" s="30"/>
    </row>
    <row r="682" spans="8:15">
      <c r="L682" s="26"/>
      <c r="M682" s="26"/>
      <c r="N682" s="26"/>
    </row>
    <row r="683" spans="8:15" ht="18">
      <c r="H683" s="26"/>
      <c r="I683" s="26"/>
      <c r="J683" s="26"/>
      <c r="K683" s="645" t="s">
        <v>2347</v>
      </c>
      <c r="L683" s="645"/>
      <c r="M683" s="645"/>
      <c r="N683" s="645"/>
      <c r="O683" s="145"/>
    </row>
    <row r="684" spans="8:15" ht="18">
      <c r="H684" s="26"/>
      <c r="I684" s="26"/>
      <c r="J684" s="26"/>
      <c r="K684" s="26"/>
      <c r="L684" s="373"/>
      <c r="M684" s="373"/>
      <c r="N684" s="373"/>
      <c r="O684" s="145"/>
    </row>
    <row r="685" spans="8:15">
      <c r="H685" s="617" t="s">
        <v>2607</v>
      </c>
      <c r="I685" s="617"/>
      <c r="J685" s="617"/>
      <c r="K685" s="617"/>
      <c r="L685" s="617"/>
      <c r="M685" s="617"/>
      <c r="N685" s="617"/>
      <c r="O685" s="617"/>
    </row>
    <row r="688" spans="8:15" ht="49.5" customHeight="1">
      <c r="H688" s="763" t="s">
        <v>1</v>
      </c>
      <c r="I688" s="763"/>
      <c r="J688" s="763"/>
      <c r="K688" s="763"/>
      <c r="L688" s="763"/>
      <c r="M688" s="763"/>
      <c r="N688" s="763"/>
      <c r="O688" s="763"/>
    </row>
    <row r="691" spans="8:15" ht="17.25">
      <c r="H691" s="375"/>
      <c r="I691" s="503" t="s">
        <v>707</v>
      </c>
    </row>
    <row r="692" spans="8:15" ht="17.25" thickBot="1">
      <c r="H692" s="30"/>
      <c r="N692" s="141"/>
    </row>
    <row r="693" spans="8:15">
      <c r="I693" s="30"/>
      <c r="M693" s="143"/>
      <c r="O693" s="144"/>
    </row>
    <row r="694" spans="8:15">
      <c r="M694" s="647" t="s">
        <v>2590</v>
      </c>
      <c r="N694" s="610"/>
      <c r="O694" s="648"/>
    </row>
    <row r="695" spans="8:15">
      <c r="H695" s="455" t="s">
        <v>114</v>
      </c>
      <c r="K695" s="249" t="s">
        <v>2</v>
      </c>
      <c r="M695" s="605" t="s">
        <v>1639</v>
      </c>
      <c r="N695" s="605"/>
      <c r="O695" s="649"/>
    </row>
    <row r="696" spans="8:15">
      <c r="M696" s="601" t="s">
        <v>163</v>
      </c>
      <c r="N696" s="602"/>
      <c r="O696" s="603"/>
    </row>
    <row r="697" spans="8:15" ht="17.25" thickBot="1">
      <c r="M697" s="140"/>
      <c r="N697" s="141"/>
      <c r="O697" s="142"/>
    </row>
    <row r="699" spans="8:15">
      <c r="H699" s="249" t="s">
        <v>27</v>
      </c>
      <c r="I699" s="394" t="s">
        <v>148</v>
      </c>
    </row>
    <row r="700" spans="8:15" ht="17.25" thickBot="1"/>
    <row r="701" spans="8:15" ht="17.25" thickBot="1">
      <c r="H701" s="13" t="s">
        <v>112</v>
      </c>
      <c r="I701" s="624" t="s">
        <v>4</v>
      </c>
      <c r="J701" s="625"/>
      <c r="K701" s="625"/>
      <c r="L701" s="625"/>
      <c r="M701" s="625"/>
      <c r="N701" s="626"/>
      <c r="O701" s="20" t="s">
        <v>5</v>
      </c>
    </row>
    <row r="702" spans="8:15">
      <c r="H702" s="627" t="s">
        <v>2445</v>
      </c>
      <c r="I702" s="143"/>
      <c r="J702" s="159"/>
      <c r="K702" s="159"/>
      <c r="L702" s="159"/>
      <c r="M702" s="159"/>
      <c r="N702" s="144"/>
      <c r="O702" s="291"/>
    </row>
    <row r="703" spans="8:15">
      <c r="H703" s="628"/>
      <c r="I703" s="64"/>
      <c r="N703" s="65"/>
      <c r="O703" s="291"/>
    </row>
    <row r="704" spans="8:15">
      <c r="H704" s="628"/>
      <c r="I704" s="66"/>
      <c r="J704" s="367"/>
      <c r="K704" s="367" t="s">
        <v>286</v>
      </c>
      <c r="L704" s="367"/>
      <c r="M704" s="367"/>
      <c r="N704" s="67"/>
      <c r="O704" s="291"/>
    </row>
    <row r="705" spans="8:15">
      <c r="H705" s="628"/>
      <c r="I705" s="385"/>
      <c r="J705" s="187"/>
      <c r="K705" s="147" t="s">
        <v>2448</v>
      </c>
      <c r="L705" s="187"/>
      <c r="M705" s="187"/>
      <c r="N705" s="132"/>
      <c r="O705" s="148">
        <v>25661698</v>
      </c>
    </row>
    <row r="706" spans="8:15">
      <c r="H706" s="628"/>
      <c r="I706" s="64"/>
      <c r="J706" s="604"/>
      <c r="K706" s="604"/>
      <c r="L706" s="604"/>
      <c r="N706" s="65"/>
      <c r="O706" s="291"/>
    </row>
    <row r="707" spans="8:15" ht="17.25" thickBot="1">
      <c r="H707" s="629"/>
      <c r="I707" s="140"/>
      <c r="J707" s="141"/>
      <c r="K707" s="141"/>
      <c r="L707" s="141"/>
      <c r="M707" s="141"/>
      <c r="N707" s="142"/>
      <c r="O707" s="291"/>
    </row>
    <row r="708" spans="8:15" ht="17.25" thickBot="1">
      <c r="H708" s="20" t="s">
        <v>12</v>
      </c>
      <c r="I708" s="614" t="s">
        <v>13</v>
      </c>
      <c r="J708" s="615"/>
      <c r="K708" s="62" t="s">
        <v>14</v>
      </c>
      <c r="L708" s="63"/>
      <c r="M708" s="62" t="s">
        <v>15</v>
      </c>
      <c r="N708" s="62" t="s">
        <v>16</v>
      </c>
      <c r="O708" s="20" t="s">
        <v>17</v>
      </c>
    </row>
    <row r="709" spans="8:15" ht="18" thickBot="1">
      <c r="H709" s="22" t="s">
        <v>18</v>
      </c>
      <c r="I709" s="606">
        <f>+O705</f>
        <v>25661698</v>
      </c>
      <c r="J709" s="607"/>
      <c r="K709" s="23">
        <f>0</f>
        <v>0</v>
      </c>
      <c r="L709" s="24"/>
      <c r="M709" s="25">
        <f>0</f>
        <v>0</v>
      </c>
      <c r="N709" s="36">
        <f>+I709</f>
        <v>25661698</v>
      </c>
      <c r="O709" s="38">
        <f>+O705</f>
        <v>25661698</v>
      </c>
    </row>
    <row r="710" spans="8:15" ht="18" thickBot="1">
      <c r="H710" s="22" t="s">
        <v>113</v>
      </c>
      <c r="I710" s="606">
        <f>+I709/650.599</f>
        <v>39443.186970776158</v>
      </c>
      <c r="J710" s="607"/>
      <c r="K710" s="23">
        <f>0</f>
        <v>0</v>
      </c>
      <c r="L710" s="24"/>
      <c r="M710" s="25">
        <f>0</f>
        <v>0</v>
      </c>
      <c r="N710" s="36">
        <f>+I710</f>
        <v>39443.186970776158</v>
      </c>
      <c r="O710" s="38">
        <f>+N710</f>
        <v>39443.186970776158</v>
      </c>
    </row>
    <row r="712" spans="8:15">
      <c r="H712" s="26" t="s">
        <v>1268</v>
      </c>
      <c r="I712" s="26"/>
      <c r="J712" s="26"/>
      <c r="K712" s="26"/>
      <c r="L712" s="26"/>
      <c r="M712" s="26"/>
      <c r="N712" s="26"/>
    </row>
    <row r="713" spans="8:15">
      <c r="H713" s="411" t="s">
        <v>2467</v>
      </c>
      <c r="I713" s="26"/>
      <c r="J713" s="26"/>
      <c r="K713" s="26"/>
      <c r="L713" s="26"/>
      <c r="M713" s="26"/>
      <c r="N713" s="26"/>
    </row>
    <row r="714" spans="8:15">
      <c r="H714" s="82" t="s">
        <v>19</v>
      </c>
      <c r="I714" s="26"/>
      <c r="J714" s="26"/>
      <c r="K714" s="26"/>
      <c r="L714" s="26"/>
      <c r="M714" s="26"/>
      <c r="N714" s="26"/>
    </row>
    <row r="715" spans="8:15">
      <c r="H715" s="26" t="s">
        <v>965</v>
      </c>
      <c r="I715" s="26"/>
      <c r="J715" s="26"/>
      <c r="K715" s="26"/>
      <c r="L715" s="26"/>
      <c r="M715" s="26"/>
      <c r="N715" s="26"/>
    </row>
    <row r="716" spans="8:15">
      <c r="H716" s="26" t="s">
        <v>21</v>
      </c>
      <c r="I716" s="26"/>
      <c r="J716" s="26"/>
      <c r="K716" s="26"/>
      <c r="L716" s="26"/>
      <c r="M716" s="26"/>
      <c r="N716" s="26"/>
    </row>
    <row r="717" spans="8:15">
      <c r="H717" s="26" t="s">
        <v>1229</v>
      </c>
      <c r="I717" s="26"/>
      <c r="J717" s="26"/>
      <c r="K717" s="26"/>
      <c r="L717" s="26"/>
      <c r="M717" s="26"/>
      <c r="N717" s="26"/>
    </row>
    <row r="720" spans="8:15">
      <c r="K720" s="30" t="s">
        <v>24</v>
      </c>
      <c r="M720" s="30"/>
      <c r="N720" s="30"/>
    </row>
    <row r="721" spans="8:15">
      <c r="K721" s="30" t="s">
        <v>149</v>
      </c>
      <c r="M721" s="30"/>
      <c r="N721" s="30"/>
    </row>
    <row r="722" spans="8:15">
      <c r="K722" s="605" t="s">
        <v>150</v>
      </c>
      <c r="L722" s="605"/>
      <c r="M722" s="605"/>
      <c r="N722" s="605"/>
    </row>
    <row r="724" spans="8:15">
      <c r="L724" s="26"/>
      <c r="M724" s="26"/>
      <c r="N724" s="26"/>
    </row>
    <row r="725" spans="8:15" ht="17.25">
      <c r="K725" s="644" t="s">
        <v>2347</v>
      </c>
      <c r="L725" s="644"/>
      <c r="M725" s="644"/>
      <c r="N725" s="644"/>
    </row>
    <row r="726" spans="8:15" ht="18">
      <c r="H726" s="26"/>
      <c r="I726" s="26"/>
      <c r="J726" s="26"/>
      <c r="K726" s="644"/>
      <c r="L726" s="644"/>
      <c r="M726" s="644"/>
      <c r="N726" s="644"/>
      <c r="O726" s="145"/>
    </row>
    <row r="727" spans="8:15" ht="18">
      <c r="H727" s="26"/>
      <c r="I727" s="26"/>
      <c r="J727" s="26"/>
      <c r="K727" s="644"/>
      <c r="L727" s="644"/>
      <c r="M727" s="644"/>
      <c r="N727" s="644"/>
      <c r="O727" s="145"/>
    </row>
    <row r="728" spans="8:15">
      <c r="I728" s="617" t="s">
        <v>2534</v>
      </c>
      <c r="J728" s="617"/>
      <c r="K728" s="617"/>
      <c r="L728" s="617"/>
      <c r="M728" s="617"/>
      <c r="N728" s="617"/>
      <c r="O728" s="617"/>
    </row>
    <row r="731" spans="8:15" ht="49.5" customHeight="1">
      <c r="H731" s="642" t="s">
        <v>1</v>
      </c>
      <c r="I731" s="642"/>
      <c r="J731" s="642"/>
      <c r="K731" s="642"/>
      <c r="L731" s="642"/>
      <c r="M731" s="642"/>
      <c r="N731" s="642"/>
      <c r="O731" s="642"/>
    </row>
    <row r="734" spans="8:15" ht="17.25">
      <c r="H734" s="375"/>
      <c r="I734" s="503" t="s">
        <v>2542</v>
      </c>
    </row>
    <row r="735" spans="8:15" ht="17.25" thickBot="1">
      <c r="H735" s="30"/>
      <c r="N735" s="141"/>
    </row>
    <row r="736" spans="8:15">
      <c r="I736" s="30"/>
      <c r="M736" s="143"/>
      <c r="O736" s="144"/>
    </row>
    <row r="737" spans="8:15">
      <c r="M737" s="647" t="s">
        <v>2540</v>
      </c>
      <c r="N737" s="610"/>
      <c r="O737" s="648"/>
    </row>
    <row r="738" spans="8:15">
      <c r="H738" s="12" t="s">
        <v>114</v>
      </c>
      <c r="K738" s="30" t="s">
        <v>2</v>
      </c>
      <c r="M738" s="605" t="s">
        <v>2541</v>
      </c>
      <c r="N738" s="605"/>
      <c r="O738" s="649"/>
    </row>
    <row r="739" spans="8:15">
      <c r="M739" s="601" t="s">
        <v>163</v>
      </c>
      <c r="N739" s="602"/>
      <c r="O739" s="603"/>
    </row>
    <row r="740" spans="8:15" ht="17.25" thickBot="1">
      <c r="M740" s="140"/>
      <c r="N740" s="141"/>
      <c r="O740" s="142"/>
    </row>
    <row r="742" spans="8:15">
      <c r="H742" s="249" t="s">
        <v>27</v>
      </c>
      <c r="I742" s="394" t="s">
        <v>115</v>
      </c>
    </row>
    <row r="743" spans="8:15" ht="17.25" thickBot="1"/>
    <row r="744" spans="8:15" ht="17.25" thickBot="1">
      <c r="H744" s="13" t="s">
        <v>112</v>
      </c>
      <c r="I744" s="672" t="s">
        <v>4</v>
      </c>
      <c r="J744" s="673"/>
      <c r="K744" s="673"/>
      <c r="L744" s="673"/>
      <c r="M744" s="673"/>
      <c r="N744" s="674"/>
      <c r="O744" s="20" t="s">
        <v>5</v>
      </c>
    </row>
    <row r="745" spans="8:15">
      <c r="H745" s="627" t="s">
        <v>2445</v>
      </c>
      <c r="I745" s="143"/>
      <c r="J745" s="159"/>
      <c r="K745" s="159"/>
      <c r="L745" s="159"/>
      <c r="M745" s="159"/>
      <c r="N745" s="144"/>
      <c r="O745" s="291"/>
    </row>
    <row r="746" spans="8:15">
      <c r="H746" s="628"/>
      <c r="I746" s="64"/>
      <c r="N746" s="65"/>
      <c r="O746" s="291"/>
    </row>
    <row r="747" spans="8:15">
      <c r="H747" s="628"/>
      <c r="I747" s="66"/>
      <c r="J747" s="367"/>
      <c r="K747" s="367" t="s">
        <v>286</v>
      </c>
      <c r="L747" s="367"/>
      <c r="M747" s="367"/>
      <c r="N747" s="67"/>
      <c r="O747" s="291"/>
    </row>
    <row r="748" spans="8:15">
      <c r="H748" s="628"/>
      <c r="I748" s="385"/>
      <c r="J748" s="187"/>
      <c r="K748" s="147" t="s">
        <v>2543</v>
      </c>
      <c r="L748" s="187"/>
      <c r="M748" s="187"/>
      <c r="N748" s="132"/>
      <c r="O748" s="148">
        <v>480000</v>
      </c>
    </row>
    <row r="749" spans="8:15">
      <c r="H749" s="628"/>
      <c r="I749" s="64"/>
      <c r="J749" s="604"/>
      <c r="K749" s="604"/>
      <c r="L749" s="604"/>
      <c r="N749" s="65"/>
      <c r="O749" s="291"/>
    </row>
    <row r="750" spans="8:15" ht="17.25" thickBot="1">
      <c r="H750" s="629"/>
      <c r="I750" s="140"/>
      <c r="J750" s="141"/>
      <c r="K750" s="141"/>
      <c r="L750" s="141"/>
      <c r="M750" s="141"/>
      <c r="N750" s="142"/>
      <c r="O750" s="291"/>
    </row>
    <row r="751" spans="8:15" ht="17.25" thickBot="1">
      <c r="H751" s="20" t="s">
        <v>12</v>
      </c>
      <c r="I751" s="614" t="s">
        <v>13</v>
      </c>
      <c r="J751" s="615"/>
      <c r="K751" s="62" t="s">
        <v>14</v>
      </c>
      <c r="L751" s="63"/>
      <c r="M751" s="62" t="s">
        <v>15</v>
      </c>
      <c r="N751" s="62" t="s">
        <v>16</v>
      </c>
      <c r="O751" s="20" t="s">
        <v>17</v>
      </c>
    </row>
    <row r="752" spans="8:15" ht="18" thickBot="1">
      <c r="H752" s="22" t="s">
        <v>18</v>
      </c>
      <c r="I752" s="606">
        <f>+O748</f>
        <v>480000</v>
      </c>
      <c r="J752" s="607"/>
      <c r="K752" s="363">
        <f>0</f>
        <v>0</v>
      </c>
      <c r="L752" s="62"/>
      <c r="M752" s="20">
        <f>0</f>
        <v>0</v>
      </c>
      <c r="N752" s="36">
        <f>+I752</f>
        <v>480000</v>
      </c>
      <c r="O752" s="38">
        <f>+O748</f>
        <v>480000</v>
      </c>
    </row>
    <row r="753" spans="8:15" ht="18" thickBot="1">
      <c r="H753" s="22" t="s">
        <v>113</v>
      </c>
      <c r="I753" s="606">
        <f>+I752/650.599</f>
        <v>737.78164430009883</v>
      </c>
      <c r="J753" s="607"/>
      <c r="K753" s="363">
        <f>0</f>
        <v>0</v>
      </c>
      <c r="L753" s="62"/>
      <c r="M753" s="20">
        <f>0</f>
        <v>0</v>
      </c>
      <c r="N753" s="36">
        <f>+I753</f>
        <v>737.78164430009883</v>
      </c>
      <c r="O753" s="38">
        <f>+N753</f>
        <v>737.78164430009883</v>
      </c>
    </row>
    <row r="755" spans="8:15">
      <c r="H755" s="395" t="s">
        <v>1268</v>
      </c>
      <c r="I755" s="26"/>
      <c r="J755" s="26"/>
      <c r="K755" s="26"/>
      <c r="L755" s="26"/>
      <c r="M755" s="26"/>
      <c r="N755" s="26"/>
    </row>
    <row r="756" spans="8:15">
      <c r="H756" s="407" t="s">
        <v>2544</v>
      </c>
      <c r="I756" s="26"/>
      <c r="J756" s="26"/>
      <c r="K756" s="26"/>
      <c r="L756" s="26"/>
      <c r="M756" s="26"/>
      <c r="N756" s="26"/>
    </row>
    <row r="757" spans="8:15">
      <c r="H757" s="26" t="s">
        <v>19</v>
      </c>
      <c r="I757" s="26"/>
      <c r="J757" s="26"/>
      <c r="K757" s="26"/>
      <c r="L757" s="26"/>
      <c r="M757" s="26"/>
      <c r="N757" s="26"/>
    </row>
    <row r="758" spans="8:15">
      <c r="H758" s="26" t="s">
        <v>965</v>
      </c>
      <c r="I758" s="26"/>
      <c r="J758" s="26"/>
      <c r="K758" s="26"/>
      <c r="L758" s="26"/>
      <c r="M758" s="26"/>
      <c r="N758" s="26"/>
    </row>
    <row r="759" spans="8:15">
      <c r="H759" s="26" t="s">
        <v>21</v>
      </c>
      <c r="I759" s="26"/>
      <c r="J759" s="26"/>
      <c r="K759" s="26"/>
      <c r="L759" s="26"/>
      <c r="M759" s="26"/>
      <c r="N759" s="26"/>
    </row>
    <row r="760" spans="8:15">
      <c r="H760" s="26" t="s">
        <v>1229</v>
      </c>
      <c r="I760" s="26"/>
      <c r="J760" s="26"/>
      <c r="K760" s="26"/>
      <c r="L760" s="26"/>
      <c r="M760" s="26"/>
      <c r="N760" s="26"/>
    </row>
    <row r="763" spans="8:15">
      <c r="K763" s="30" t="s">
        <v>24</v>
      </c>
      <c r="M763" s="30"/>
      <c r="N763" s="30"/>
    </row>
    <row r="764" spans="8:15">
      <c r="K764" s="30" t="s">
        <v>149</v>
      </c>
      <c r="M764" s="30"/>
      <c r="N764" s="30"/>
    </row>
    <row r="765" spans="8:15">
      <c r="K765" s="605" t="s">
        <v>150</v>
      </c>
      <c r="L765" s="605"/>
      <c r="M765" s="605"/>
      <c r="N765" s="605"/>
    </row>
    <row r="766" spans="8:15">
      <c r="L766" s="26"/>
      <c r="M766" s="26"/>
      <c r="N766" s="26"/>
    </row>
    <row r="767" spans="8:15" ht="18">
      <c r="K767" s="145"/>
      <c r="L767" s="145"/>
      <c r="M767" s="145"/>
      <c r="N767" s="145"/>
    </row>
    <row r="768" spans="8:15" ht="18">
      <c r="H768" s="26"/>
      <c r="I768" s="26"/>
      <c r="J768" s="26"/>
      <c r="K768" s="644" t="s">
        <v>2347</v>
      </c>
      <c r="L768" s="644"/>
      <c r="M768" s="644"/>
      <c r="N768" s="644"/>
      <c r="O768" s="145"/>
    </row>
    <row r="769" spans="8:15" ht="18">
      <c r="H769" s="26"/>
      <c r="I769" s="26"/>
      <c r="J769" s="26"/>
      <c r="K769" s="361"/>
      <c r="L769" s="361"/>
      <c r="M769" s="361"/>
      <c r="N769" s="361"/>
      <c r="O769" s="145"/>
    </row>
    <row r="770" spans="8:15" ht="19.5" customHeight="1">
      <c r="I770" s="617" t="s">
        <v>0</v>
      </c>
      <c r="J770" s="617"/>
      <c r="K770" s="617"/>
      <c r="L770" s="617"/>
      <c r="M770" s="617"/>
      <c r="N770" s="617"/>
      <c r="O770" s="617"/>
    </row>
    <row r="773" spans="8:15" ht="44.25" customHeight="1">
      <c r="H773" s="642" t="s">
        <v>1</v>
      </c>
      <c r="I773" s="642"/>
      <c r="J773" s="642"/>
      <c r="K773" s="642"/>
      <c r="L773" s="642"/>
      <c r="M773" s="642"/>
      <c r="N773" s="642"/>
      <c r="O773" s="642"/>
    </row>
    <row r="776" spans="8:15" ht="17.25">
      <c r="H776" s="375"/>
      <c r="I776" s="503" t="s">
        <v>1880</v>
      </c>
    </row>
    <row r="777" spans="8:15" ht="17.25" thickBot="1">
      <c r="H777" s="30"/>
      <c r="N777" s="141"/>
    </row>
    <row r="778" spans="8:15">
      <c r="I778" s="30"/>
      <c r="M778" s="143"/>
      <c r="O778" s="144"/>
    </row>
    <row r="779" spans="8:15">
      <c r="M779" s="647" t="s">
        <v>695</v>
      </c>
      <c r="N779" s="610"/>
      <c r="O779" s="648"/>
    </row>
    <row r="780" spans="8:15">
      <c r="H780" s="12" t="s">
        <v>114</v>
      </c>
      <c r="K780" s="30" t="s">
        <v>2</v>
      </c>
      <c r="M780" s="605" t="s">
        <v>715</v>
      </c>
      <c r="N780" s="605"/>
      <c r="O780" s="649"/>
    </row>
    <row r="781" spans="8:15">
      <c r="M781" s="601" t="s">
        <v>163</v>
      </c>
      <c r="N781" s="602"/>
      <c r="O781" s="603"/>
    </row>
    <row r="782" spans="8:15" ht="17.25" thickBot="1">
      <c r="M782" s="140"/>
      <c r="N782" s="141"/>
      <c r="O782" s="142"/>
    </row>
    <row r="784" spans="8:15">
      <c r="H784" s="30" t="s">
        <v>27</v>
      </c>
      <c r="I784" s="12" t="s">
        <v>36</v>
      </c>
    </row>
    <row r="785" spans="8:15" ht="17.25" thickBot="1"/>
    <row r="786" spans="8:15" ht="17.25" customHeight="1" thickBot="1">
      <c r="H786" s="13" t="s">
        <v>112</v>
      </c>
      <c r="I786" s="624" t="s">
        <v>4</v>
      </c>
      <c r="J786" s="625"/>
      <c r="K786" s="625"/>
      <c r="L786" s="625"/>
      <c r="M786" s="625"/>
      <c r="N786" s="626"/>
      <c r="O786" s="20" t="s">
        <v>5</v>
      </c>
    </row>
    <row r="787" spans="8:15" ht="16.5" customHeight="1">
      <c r="H787" s="633" t="s">
        <v>2445</v>
      </c>
      <c r="I787" s="143"/>
      <c r="J787" s="159"/>
      <c r="K787" s="159"/>
      <c r="L787" s="159"/>
      <c r="M787" s="159"/>
      <c r="N787" s="144"/>
      <c r="O787" s="291"/>
    </row>
    <row r="788" spans="8:15">
      <c r="H788" s="634"/>
      <c r="I788" s="64"/>
      <c r="N788" s="65"/>
      <c r="O788" s="291"/>
    </row>
    <row r="789" spans="8:15">
      <c r="H789" s="634"/>
      <c r="I789" s="630" t="s">
        <v>286</v>
      </c>
      <c r="J789" s="631"/>
      <c r="K789" s="631"/>
      <c r="L789" s="631"/>
      <c r="M789" s="631"/>
      <c r="N789" s="632"/>
      <c r="O789" s="291"/>
    </row>
    <row r="790" spans="8:15">
      <c r="H790" s="634"/>
      <c r="I790" s="636" t="s">
        <v>1742</v>
      </c>
      <c r="J790" s="637"/>
      <c r="K790" s="637"/>
      <c r="L790" s="637"/>
      <c r="M790" s="637"/>
      <c r="N790" s="638"/>
      <c r="O790" s="148">
        <v>7139940</v>
      </c>
    </row>
    <row r="791" spans="8:15">
      <c r="H791" s="634"/>
      <c r="I791" s="64"/>
      <c r="J791" s="604"/>
      <c r="K791" s="604"/>
      <c r="L791" s="604"/>
      <c r="N791" s="65"/>
      <c r="O791" s="291"/>
    </row>
    <row r="792" spans="8:15" ht="17.25" thickBot="1">
      <c r="H792" s="635"/>
      <c r="I792" s="140"/>
      <c r="J792" s="141"/>
      <c r="K792" s="141"/>
      <c r="L792" s="141"/>
      <c r="M792" s="141"/>
      <c r="N792" s="142"/>
      <c r="O792" s="291"/>
    </row>
    <row r="793" spans="8:15" ht="17.25" thickBot="1">
      <c r="H793" s="20" t="s">
        <v>12</v>
      </c>
      <c r="I793" s="614" t="s">
        <v>13</v>
      </c>
      <c r="J793" s="615"/>
      <c r="K793" s="62" t="s">
        <v>14</v>
      </c>
      <c r="L793" s="20"/>
      <c r="M793" s="62" t="s">
        <v>15</v>
      </c>
      <c r="N793" s="62" t="s">
        <v>16</v>
      </c>
      <c r="O793" s="20" t="s">
        <v>17</v>
      </c>
    </row>
    <row r="794" spans="8:15" ht="18" thickBot="1">
      <c r="H794" s="22" t="s">
        <v>18</v>
      </c>
      <c r="I794" s="606">
        <f>+O790</f>
        <v>7139940</v>
      </c>
      <c r="J794" s="607"/>
      <c r="K794" s="23">
        <f>0</f>
        <v>0</v>
      </c>
      <c r="L794" s="25"/>
      <c r="M794" s="25">
        <f>0</f>
        <v>0</v>
      </c>
      <c r="N794" s="36">
        <f>+I794</f>
        <v>7139940</v>
      </c>
      <c r="O794" s="38">
        <f>+O790</f>
        <v>7139940</v>
      </c>
    </row>
    <row r="795" spans="8:15" ht="18" thickBot="1">
      <c r="H795" s="22" t="s">
        <v>113</v>
      </c>
      <c r="I795" s="606">
        <f>+I794/650.599</f>
        <v>10974.409736258433</v>
      </c>
      <c r="J795" s="607"/>
      <c r="K795" s="23">
        <f>0</f>
        <v>0</v>
      </c>
      <c r="L795" s="460"/>
      <c r="M795" s="25">
        <f>0</f>
        <v>0</v>
      </c>
      <c r="N795" s="36">
        <f>+I795</f>
        <v>10974.409736258433</v>
      </c>
      <c r="O795" s="38">
        <f>+N795</f>
        <v>10974.409736258433</v>
      </c>
    </row>
    <row r="797" spans="8:15">
      <c r="H797" s="26" t="s">
        <v>1398</v>
      </c>
      <c r="I797" s="26"/>
      <c r="J797" s="26"/>
      <c r="K797" s="26"/>
      <c r="L797" s="26"/>
      <c r="M797" s="26"/>
      <c r="N797" s="26"/>
    </row>
    <row r="798" spans="8:15">
      <c r="H798" s="82" t="s">
        <v>2464</v>
      </c>
      <c r="I798" s="26"/>
      <c r="J798" s="26"/>
      <c r="K798" s="26"/>
      <c r="L798" s="26"/>
      <c r="M798" s="26"/>
      <c r="N798" s="26"/>
    </row>
    <row r="799" spans="8:15">
      <c r="H799" s="82" t="s">
        <v>19</v>
      </c>
      <c r="I799" s="26"/>
      <c r="J799" s="26"/>
      <c r="K799" s="26"/>
      <c r="L799" s="26"/>
      <c r="M799" s="26"/>
      <c r="N799" s="26"/>
    </row>
    <row r="800" spans="8:15">
      <c r="H800" s="26" t="s">
        <v>965</v>
      </c>
      <c r="I800" s="26"/>
      <c r="J800" s="26"/>
      <c r="K800" s="26"/>
      <c r="L800" s="26"/>
      <c r="M800" s="26"/>
      <c r="N800" s="26"/>
    </row>
    <row r="801" spans="8:15">
      <c r="H801" s="26" t="s">
        <v>21</v>
      </c>
      <c r="I801" s="26"/>
      <c r="J801" s="26"/>
      <c r="K801" s="26"/>
      <c r="L801" s="26"/>
      <c r="M801" s="26"/>
      <c r="N801" s="26"/>
    </row>
    <row r="802" spans="8:15">
      <c r="H802" s="26" t="s">
        <v>1229</v>
      </c>
      <c r="I802" s="26"/>
      <c r="J802" s="26"/>
      <c r="K802" s="26"/>
      <c r="L802" s="26"/>
      <c r="M802" s="26"/>
      <c r="N802" s="26"/>
    </row>
    <row r="805" spans="8:15">
      <c r="K805" s="604" t="s">
        <v>24</v>
      </c>
      <c r="L805" s="604"/>
      <c r="M805" s="604"/>
      <c r="N805" s="604"/>
    </row>
    <row r="806" spans="8:15">
      <c r="K806" s="604" t="s">
        <v>149</v>
      </c>
      <c r="L806" s="604"/>
      <c r="M806" s="604"/>
      <c r="N806" s="604"/>
    </row>
    <row r="807" spans="8:15">
      <c r="K807" s="605" t="s">
        <v>150</v>
      </c>
      <c r="L807" s="605"/>
      <c r="M807" s="605"/>
      <c r="N807" s="605"/>
    </row>
    <row r="808" spans="8:15">
      <c r="L808" s="26"/>
      <c r="M808" s="26"/>
      <c r="N808" s="26"/>
    </row>
    <row r="809" spans="8:15" ht="18">
      <c r="K809" s="145"/>
      <c r="L809" s="145"/>
      <c r="M809" s="145"/>
      <c r="N809" s="145"/>
    </row>
    <row r="810" spans="8:15" ht="17.25">
      <c r="K810" s="644" t="s">
        <v>2463</v>
      </c>
      <c r="L810" s="644"/>
      <c r="M810" s="644"/>
      <c r="N810" s="644"/>
    </row>
    <row r="811" spans="8:15" ht="18">
      <c r="H811" s="26"/>
      <c r="I811" s="26"/>
      <c r="J811" s="26"/>
      <c r="K811" s="644"/>
      <c r="L811" s="644"/>
      <c r="M811" s="644"/>
      <c r="N811" s="644"/>
      <c r="O811" s="145"/>
    </row>
    <row r="812" spans="8:15" ht="18">
      <c r="H812" s="26"/>
      <c r="I812" s="26"/>
      <c r="J812" s="26"/>
      <c r="O812" s="145"/>
    </row>
    <row r="813" spans="8:15">
      <c r="I813" s="617" t="s">
        <v>0</v>
      </c>
      <c r="J813" s="617"/>
      <c r="K813" s="617"/>
      <c r="L813" s="617"/>
      <c r="M813" s="617"/>
      <c r="N813" s="617"/>
      <c r="O813" s="617"/>
    </row>
    <row r="816" spans="8:15" ht="49.5" customHeight="1">
      <c r="H816" s="642" t="s">
        <v>1</v>
      </c>
      <c r="I816" s="642"/>
      <c r="J816" s="642"/>
      <c r="K816" s="642"/>
      <c r="L816" s="642"/>
      <c r="M816" s="642"/>
      <c r="N816" s="642"/>
      <c r="O816" s="642"/>
    </row>
    <row r="818" spans="8:15" ht="17.25">
      <c r="H818" s="375"/>
      <c r="I818" s="375" t="s">
        <v>2011</v>
      </c>
    </row>
    <row r="819" spans="8:15" ht="17.25" thickBot="1">
      <c r="H819" s="30"/>
      <c r="N819" s="141"/>
    </row>
    <row r="820" spans="8:15">
      <c r="I820" s="30"/>
      <c r="M820" s="143"/>
      <c r="O820" s="144"/>
    </row>
    <row r="821" spans="8:15">
      <c r="M821" s="647" t="s">
        <v>2010</v>
      </c>
      <c r="N821" s="610"/>
      <c r="O821" s="648"/>
    </row>
    <row r="822" spans="8:15">
      <c r="H822" s="12" t="s">
        <v>114</v>
      </c>
      <c r="K822" s="30" t="s">
        <v>2</v>
      </c>
      <c r="M822" s="605" t="s">
        <v>716</v>
      </c>
      <c r="N822" s="605"/>
      <c r="O822" s="649"/>
    </row>
    <row r="823" spans="8:15">
      <c r="M823" s="601" t="s">
        <v>163</v>
      </c>
      <c r="N823" s="602"/>
      <c r="O823" s="603"/>
    </row>
    <row r="824" spans="8:15" ht="17.25" thickBot="1">
      <c r="M824" s="140"/>
      <c r="N824" s="141"/>
      <c r="O824" s="142"/>
    </row>
    <row r="826" spans="8:15">
      <c r="H826" s="30" t="s">
        <v>27</v>
      </c>
      <c r="I826" s="30" t="s">
        <v>115</v>
      </c>
    </row>
    <row r="827" spans="8:15" ht="17.25" thickBot="1"/>
    <row r="828" spans="8:15" ht="17.25" customHeight="1" thickBot="1">
      <c r="H828" s="13" t="s">
        <v>112</v>
      </c>
      <c r="I828" s="624" t="s">
        <v>4</v>
      </c>
      <c r="J828" s="625"/>
      <c r="K828" s="625"/>
      <c r="L828" s="625"/>
      <c r="M828" s="625"/>
      <c r="N828" s="626"/>
      <c r="O828" s="20" t="s">
        <v>5</v>
      </c>
    </row>
    <row r="829" spans="8:15" ht="16.5" customHeight="1">
      <c r="H829" s="633" t="s">
        <v>1867</v>
      </c>
      <c r="I829" s="143"/>
      <c r="J829" s="159"/>
      <c r="K829" s="159"/>
      <c r="L829" s="159"/>
      <c r="M829" s="159"/>
      <c r="N829" s="144"/>
      <c r="O829" s="291"/>
    </row>
    <row r="830" spans="8:15">
      <c r="H830" s="634"/>
      <c r="I830" s="64"/>
      <c r="N830" s="65"/>
      <c r="O830" s="291"/>
    </row>
    <row r="831" spans="8:15">
      <c r="H831" s="634"/>
      <c r="I831" s="630" t="s">
        <v>286</v>
      </c>
      <c r="J831" s="631"/>
      <c r="K831" s="631"/>
      <c r="L831" s="631"/>
      <c r="M831" s="631"/>
      <c r="N831" s="632"/>
      <c r="O831" s="291"/>
    </row>
    <row r="832" spans="8:15">
      <c r="H832" s="634"/>
      <c r="I832" s="636" t="s">
        <v>2005</v>
      </c>
      <c r="J832" s="637"/>
      <c r="K832" s="637"/>
      <c r="L832" s="637"/>
      <c r="M832" s="637"/>
      <c r="N832" s="638"/>
      <c r="O832" s="148">
        <v>1512000</v>
      </c>
    </row>
    <row r="833" spans="8:15">
      <c r="H833" s="634"/>
      <c r="I833" s="64"/>
      <c r="J833" s="604"/>
      <c r="K833" s="604"/>
      <c r="L833" s="604"/>
      <c r="N833" s="65"/>
      <c r="O833" s="291"/>
    </row>
    <row r="834" spans="8:15" ht="17.25" thickBot="1">
      <c r="H834" s="635"/>
      <c r="I834" s="140"/>
      <c r="J834" s="141"/>
      <c r="K834" s="141"/>
      <c r="L834" s="141"/>
      <c r="M834" s="141"/>
      <c r="N834" s="142"/>
      <c r="O834" s="291"/>
    </row>
    <row r="835" spans="8:15" ht="17.25" thickBot="1">
      <c r="H835" s="20" t="s">
        <v>12</v>
      </c>
      <c r="I835" s="614" t="s">
        <v>13</v>
      </c>
      <c r="J835" s="615"/>
      <c r="K835" s="62" t="s">
        <v>14</v>
      </c>
      <c r="L835" s="63"/>
      <c r="M835" s="62" t="s">
        <v>15</v>
      </c>
      <c r="N835" s="62" t="s">
        <v>16</v>
      </c>
      <c r="O835" s="20" t="s">
        <v>17</v>
      </c>
    </row>
    <row r="836" spans="8:15" ht="18" thickBot="1">
      <c r="H836" s="22" t="s">
        <v>18</v>
      </c>
      <c r="I836" s="606">
        <f>+O832</f>
        <v>1512000</v>
      </c>
      <c r="J836" s="607"/>
      <c r="K836" s="23">
        <f>0</f>
        <v>0</v>
      </c>
      <c r="L836" s="24"/>
      <c r="M836" s="25">
        <f>0</f>
        <v>0</v>
      </c>
      <c r="N836" s="36">
        <f>+I836</f>
        <v>1512000</v>
      </c>
      <c r="O836" s="38">
        <f>+O832</f>
        <v>1512000</v>
      </c>
    </row>
    <row r="837" spans="8:15" ht="18" thickBot="1">
      <c r="H837" s="22" t="s">
        <v>113</v>
      </c>
      <c r="I837" s="606">
        <f>+I836/650.599</f>
        <v>2324.012179545311</v>
      </c>
      <c r="J837" s="607"/>
      <c r="K837" s="23">
        <f>0</f>
        <v>0</v>
      </c>
      <c r="L837" s="24"/>
      <c r="M837" s="25">
        <f>0</f>
        <v>0</v>
      </c>
      <c r="N837" s="36">
        <f>+I837</f>
        <v>2324.012179545311</v>
      </c>
      <c r="O837" s="38">
        <f>+N837</f>
        <v>2324.012179545311</v>
      </c>
    </row>
    <row r="839" spans="8:15">
      <c r="H839" s="412" t="s">
        <v>1268</v>
      </c>
      <c r="I839" s="26"/>
      <c r="J839" s="26"/>
      <c r="K839" s="26"/>
      <c r="L839" s="26"/>
      <c r="M839" s="26"/>
      <c r="N839" s="26"/>
    </row>
    <row r="840" spans="8:15" ht="17.25">
      <c r="H840" s="458" t="s">
        <v>2006</v>
      </c>
      <c r="I840" s="26"/>
      <c r="J840" s="26"/>
      <c r="K840" s="26"/>
      <c r="L840" s="26"/>
      <c r="M840" s="26"/>
      <c r="N840" s="26"/>
    </row>
    <row r="841" spans="8:15">
      <c r="H841" s="26" t="s">
        <v>19</v>
      </c>
      <c r="I841" s="26"/>
      <c r="J841" s="26"/>
      <c r="K841" s="26"/>
      <c r="L841" s="26"/>
      <c r="M841" s="26"/>
      <c r="N841" s="26"/>
    </row>
    <row r="842" spans="8:15">
      <c r="H842" s="26" t="s">
        <v>965</v>
      </c>
      <c r="I842" s="26"/>
      <c r="J842" s="26"/>
      <c r="K842" s="26"/>
      <c r="L842" s="26"/>
      <c r="M842" s="26"/>
      <c r="N842" s="26"/>
    </row>
    <row r="843" spans="8:15">
      <c r="H843" s="26" t="s">
        <v>21</v>
      </c>
      <c r="I843" s="26"/>
      <c r="J843" s="26"/>
      <c r="K843" s="26"/>
      <c r="L843" s="26"/>
      <c r="M843" s="26"/>
      <c r="N843" s="26"/>
    </row>
    <row r="844" spans="8:15">
      <c r="H844" s="26" t="s">
        <v>1229</v>
      </c>
      <c r="I844" s="26"/>
      <c r="J844" s="26"/>
      <c r="K844" s="26"/>
      <c r="L844" s="26"/>
      <c r="M844" s="26"/>
      <c r="N844" s="26"/>
    </row>
    <row r="848" spans="8:15">
      <c r="K848" s="30" t="s">
        <v>24</v>
      </c>
      <c r="M848" s="30"/>
      <c r="N848" s="30"/>
    </row>
    <row r="849" spans="8:15">
      <c r="K849" s="30" t="s">
        <v>149</v>
      </c>
      <c r="M849" s="30"/>
      <c r="N849" s="30"/>
    </row>
    <row r="850" spans="8:15">
      <c r="K850" s="605" t="s">
        <v>150</v>
      </c>
      <c r="L850" s="605"/>
      <c r="M850" s="605"/>
      <c r="N850" s="605"/>
    </row>
    <row r="851" spans="8:15">
      <c r="L851" s="26"/>
      <c r="M851" s="26"/>
      <c r="N851" s="26"/>
    </row>
    <row r="852" spans="8:15" ht="18">
      <c r="K852" s="145"/>
      <c r="L852" s="145"/>
      <c r="M852" s="145"/>
      <c r="N852" s="145"/>
    </row>
    <row r="853" spans="8:15" ht="18">
      <c r="H853" s="26"/>
      <c r="I853" s="26"/>
      <c r="J853" s="26"/>
      <c r="K853" s="644" t="s">
        <v>1696</v>
      </c>
      <c r="L853" s="644"/>
      <c r="M853" s="644"/>
      <c r="N853" s="644"/>
      <c r="O853" s="145"/>
    </row>
    <row r="854" spans="8:15" ht="18">
      <c r="H854" s="26"/>
      <c r="I854" s="26"/>
      <c r="J854" s="26"/>
      <c r="K854" s="644"/>
      <c r="L854" s="644"/>
      <c r="M854" s="644"/>
      <c r="N854" s="644"/>
      <c r="O854" s="145"/>
    </row>
    <row r="855" spans="8:15">
      <c r="I855" s="617" t="s">
        <v>0</v>
      </c>
      <c r="J855" s="617"/>
      <c r="K855" s="617"/>
      <c r="L855" s="617"/>
      <c r="M855" s="617"/>
      <c r="N855" s="617"/>
      <c r="O855" s="617"/>
    </row>
    <row r="858" spans="8:15" ht="49.5" customHeight="1">
      <c r="H858" s="642" t="s">
        <v>1940</v>
      </c>
      <c r="I858" s="642"/>
      <c r="J858" s="642"/>
      <c r="K858" s="642"/>
      <c r="L858" s="642"/>
      <c r="M858" s="642"/>
      <c r="N858" s="642"/>
      <c r="O858" s="642"/>
    </row>
    <row r="861" spans="8:15" ht="17.25">
      <c r="H861" s="375"/>
      <c r="I861" s="375" t="s">
        <v>1942</v>
      </c>
    </row>
    <row r="862" spans="8:15" ht="17.25" thickBot="1">
      <c r="H862" s="30"/>
      <c r="N862" s="141"/>
    </row>
    <row r="863" spans="8:15">
      <c r="I863" s="30"/>
      <c r="M863" s="143"/>
      <c r="O863" s="144"/>
    </row>
    <row r="864" spans="8:15">
      <c r="M864" s="647" t="s">
        <v>723</v>
      </c>
      <c r="N864" s="610"/>
      <c r="O864" s="648"/>
    </row>
    <row r="865" spans="8:15">
      <c r="H865" s="12" t="s">
        <v>114</v>
      </c>
      <c r="K865" s="249" t="s">
        <v>2</v>
      </c>
      <c r="M865" s="605" t="s">
        <v>728</v>
      </c>
      <c r="N865" s="605"/>
      <c r="O865" s="649"/>
    </row>
    <row r="866" spans="8:15">
      <c r="M866" s="685" t="s">
        <v>163</v>
      </c>
      <c r="N866" s="686"/>
      <c r="O866" s="687"/>
    </row>
    <row r="867" spans="8:15" ht="17.25" thickBot="1">
      <c r="H867" s="30"/>
      <c r="I867" s="30" t="s">
        <v>1941</v>
      </c>
      <c r="M867" s="140"/>
      <c r="N867" s="141"/>
      <c r="O867" s="142"/>
    </row>
    <row r="869" spans="8:15">
      <c r="H869" s="249" t="s">
        <v>27</v>
      </c>
      <c r="I869" s="394" t="s">
        <v>148</v>
      </c>
    </row>
    <row r="870" spans="8:15" ht="17.25" thickBot="1"/>
    <row r="871" spans="8:15" ht="17.25" customHeight="1" thickBot="1">
      <c r="H871" s="13" t="s">
        <v>112</v>
      </c>
      <c r="I871" s="624" t="s">
        <v>4</v>
      </c>
      <c r="J871" s="625"/>
      <c r="K871" s="625"/>
      <c r="L871" s="625"/>
      <c r="M871" s="625"/>
      <c r="N871" s="626"/>
      <c r="O871" s="20" t="s">
        <v>5</v>
      </c>
    </row>
    <row r="872" spans="8:15" ht="16.5" customHeight="1">
      <c r="H872" s="627" t="s">
        <v>1867</v>
      </c>
      <c r="I872" s="143"/>
      <c r="J872" s="159"/>
      <c r="K872" s="159"/>
      <c r="L872" s="159"/>
      <c r="M872" s="159"/>
      <c r="N872" s="144"/>
      <c r="O872" s="291"/>
    </row>
    <row r="873" spans="8:15">
      <c r="H873" s="628"/>
      <c r="I873" s="64"/>
      <c r="N873" s="65"/>
      <c r="O873" s="291"/>
    </row>
    <row r="874" spans="8:15">
      <c r="H874" s="628"/>
      <c r="I874" s="630" t="s">
        <v>286</v>
      </c>
      <c r="J874" s="631"/>
      <c r="K874" s="631"/>
      <c r="L874" s="631"/>
      <c r="M874" s="631"/>
      <c r="N874" s="632"/>
      <c r="O874" s="291"/>
    </row>
    <row r="875" spans="8:15">
      <c r="H875" s="628"/>
      <c r="I875" s="636" t="s">
        <v>1750</v>
      </c>
      <c r="J875" s="637"/>
      <c r="K875" s="637"/>
      <c r="L875" s="637"/>
      <c r="M875" s="637"/>
      <c r="N875" s="638"/>
      <c r="O875" s="148">
        <v>630000</v>
      </c>
    </row>
    <row r="876" spans="8:15">
      <c r="H876" s="628"/>
      <c r="I876" s="64"/>
      <c r="J876" s="604"/>
      <c r="K876" s="604"/>
      <c r="L876" s="604"/>
      <c r="N876" s="65"/>
      <c r="O876" s="291"/>
    </row>
    <row r="877" spans="8:15" ht="17.25" thickBot="1">
      <c r="H877" s="629"/>
      <c r="I877" s="140"/>
      <c r="J877" s="141"/>
      <c r="K877" s="141"/>
      <c r="L877" s="141"/>
      <c r="M877" s="141"/>
      <c r="N877" s="142"/>
      <c r="O877" s="291"/>
    </row>
    <row r="878" spans="8:15" ht="17.25" thickBot="1">
      <c r="H878" s="20" t="s">
        <v>12</v>
      </c>
      <c r="I878" s="614" t="s">
        <v>13</v>
      </c>
      <c r="J878" s="615"/>
      <c r="K878" s="62" t="s">
        <v>14</v>
      </c>
      <c r="L878" s="63"/>
      <c r="M878" s="62" t="s">
        <v>15</v>
      </c>
      <c r="N878" s="62" t="s">
        <v>16</v>
      </c>
      <c r="O878" s="20" t="s">
        <v>17</v>
      </c>
    </row>
    <row r="879" spans="8:15" ht="18" thickBot="1">
      <c r="H879" s="22" t="s">
        <v>18</v>
      </c>
      <c r="I879" s="606">
        <f>+O875</f>
        <v>630000</v>
      </c>
      <c r="J879" s="607"/>
      <c r="K879" s="23">
        <f>0</f>
        <v>0</v>
      </c>
      <c r="L879" s="24"/>
      <c r="M879" s="25">
        <f>0</f>
        <v>0</v>
      </c>
      <c r="N879" s="36">
        <f>+I879</f>
        <v>630000</v>
      </c>
      <c r="O879" s="38">
        <f>+O875</f>
        <v>630000</v>
      </c>
    </row>
    <row r="880" spans="8:15" ht="18" thickBot="1">
      <c r="H880" s="22" t="s">
        <v>113</v>
      </c>
      <c r="I880" s="606">
        <f>+I879/650.599</f>
        <v>968.33840814387963</v>
      </c>
      <c r="J880" s="607"/>
      <c r="K880" s="23">
        <f>0</f>
        <v>0</v>
      </c>
      <c r="L880" s="24"/>
      <c r="M880" s="25">
        <f>0</f>
        <v>0</v>
      </c>
      <c r="N880" s="36">
        <f>+I880</f>
        <v>968.33840814387963</v>
      </c>
      <c r="O880" s="38">
        <f>+N880</f>
        <v>968.33840814387963</v>
      </c>
    </row>
    <row r="882" spans="8:14">
      <c r="H882" s="412" t="s">
        <v>1268</v>
      </c>
      <c r="I882" s="26"/>
      <c r="J882" s="26"/>
      <c r="K882" s="26"/>
      <c r="L882" s="26"/>
      <c r="M882" s="26"/>
      <c r="N882" s="26"/>
    </row>
    <row r="883" spans="8:14" ht="17.25">
      <c r="H883" s="458" t="s">
        <v>1419</v>
      </c>
      <c r="I883" s="26"/>
      <c r="J883" s="26"/>
      <c r="K883" s="26"/>
      <c r="L883" s="26"/>
      <c r="M883" s="26"/>
      <c r="N883" s="26"/>
    </row>
    <row r="884" spans="8:14">
      <c r="H884" s="26" t="s">
        <v>19</v>
      </c>
      <c r="I884" s="26"/>
      <c r="J884" s="26"/>
      <c r="K884" s="26"/>
      <c r="L884" s="26"/>
      <c r="M884" s="26"/>
      <c r="N884" s="26"/>
    </row>
    <row r="885" spans="8:14">
      <c r="H885" s="26" t="s">
        <v>965</v>
      </c>
      <c r="I885" s="26"/>
      <c r="J885" s="26"/>
      <c r="K885" s="26"/>
      <c r="L885" s="26"/>
      <c r="M885" s="26"/>
      <c r="N885" s="26"/>
    </row>
    <row r="886" spans="8:14">
      <c r="H886" s="26" t="s">
        <v>21</v>
      </c>
      <c r="I886" s="26"/>
      <c r="J886" s="26"/>
      <c r="K886" s="26"/>
      <c r="L886" s="26"/>
      <c r="M886" s="26"/>
      <c r="N886" s="26"/>
    </row>
    <row r="887" spans="8:14">
      <c r="H887" s="26" t="s">
        <v>1229</v>
      </c>
      <c r="I887" s="26"/>
      <c r="J887" s="26"/>
      <c r="K887" s="26"/>
      <c r="L887" s="26"/>
      <c r="M887" s="26"/>
      <c r="N887" s="26"/>
    </row>
    <row r="890" spans="8:14">
      <c r="K890" s="30" t="s">
        <v>24</v>
      </c>
      <c r="M890" s="30"/>
      <c r="N890" s="30"/>
    </row>
    <row r="891" spans="8:14">
      <c r="K891" s="30" t="s">
        <v>149</v>
      </c>
      <c r="M891" s="30"/>
      <c r="N891" s="30"/>
    </row>
    <row r="892" spans="8:14">
      <c r="K892" s="605" t="s">
        <v>150</v>
      </c>
      <c r="L892" s="605"/>
      <c r="M892" s="605"/>
      <c r="N892" s="605"/>
    </row>
    <row r="893" spans="8:14">
      <c r="K893" s="30"/>
    </row>
    <row r="894" spans="8:14">
      <c r="L894" s="26"/>
      <c r="M894" s="26"/>
      <c r="N894" s="26"/>
    </row>
    <row r="895" spans="8:14" ht="17.25">
      <c r="K895" s="644" t="s">
        <v>1696</v>
      </c>
      <c r="L895" s="644"/>
      <c r="M895" s="644"/>
      <c r="N895" s="644"/>
    </row>
    <row r="896" spans="8:14" ht="17.25">
      <c r="K896" s="361"/>
      <c r="L896" s="361"/>
      <c r="M896" s="361"/>
      <c r="N896" s="361"/>
    </row>
    <row r="897" spans="8:15" ht="18">
      <c r="H897" s="26"/>
      <c r="I897" s="26"/>
      <c r="J897" s="26"/>
      <c r="K897" s="644"/>
      <c r="L897" s="644"/>
      <c r="M897" s="644"/>
      <c r="N897" s="644"/>
      <c r="O897" s="145"/>
    </row>
    <row r="898" spans="8:15">
      <c r="I898" s="617" t="s">
        <v>0</v>
      </c>
      <c r="J898" s="617"/>
      <c r="K898" s="617"/>
      <c r="L898" s="617"/>
      <c r="M898" s="617"/>
      <c r="N898" s="617"/>
      <c r="O898" s="617"/>
    </row>
    <row r="901" spans="8:15" ht="39.75" customHeight="1">
      <c r="H901" s="642" t="s">
        <v>1</v>
      </c>
      <c r="I901" s="642"/>
      <c r="J901" s="642"/>
      <c r="K901" s="642"/>
      <c r="L901" s="642"/>
      <c r="M901" s="642"/>
      <c r="N901" s="642"/>
      <c r="O901" s="642"/>
    </row>
    <row r="904" spans="8:15" ht="17.25">
      <c r="I904" s="375" t="s">
        <v>1785</v>
      </c>
    </row>
    <row r="905" spans="8:15" ht="17.25" thickBot="1">
      <c r="H905" s="30"/>
      <c r="N905" s="141"/>
    </row>
    <row r="906" spans="8:15">
      <c r="I906" s="30"/>
      <c r="M906" s="143"/>
      <c r="O906" s="144"/>
    </row>
    <row r="907" spans="8:15">
      <c r="M907" s="647" t="s">
        <v>385</v>
      </c>
      <c r="N907" s="610"/>
      <c r="O907" s="648"/>
    </row>
    <row r="908" spans="8:15">
      <c r="H908" s="12" t="s">
        <v>114</v>
      </c>
      <c r="K908" s="249" t="s">
        <v>2</v>
      </c>
      <c r="M908" s="605" t="s">
        <v>753</v>
      </c>
      <c r="N908" s="605"/>
      <c r="O908" s="649"/>
    </row>
    <row r="909" spans="8:15">
      <c r="M909" s="601" t="s">
        <v>163</v>
      </c>
      <c r="N909" s="602"/>
      <c r="O909" s="603"/>
    </row>
    <row r="910" spans="8:15" ht="17.25" thickBot="1">
      <c r="M910" s="140"/>
      <c r="N910" s="141"/>
      <c r="O910" s="142"/>
    </row>
    <row r="912" spans="8:15">
      <c r="H912" s="249" t="s">
        <v>27</v>
      </c>
      <c r="I912" s="394" t="s">
        <v>148</v>
      </c>
    </row>
    <row r="913" spans="8:15" ht="17.25" thickBot="1"/>
    <row r="914" spans="8:15" ht="17.25" customHeight="1" thickBot="1">
      <c r="H914" s="13" t="s">
        <v>112</v>
      </c>
      <c r="I914" s="624" t="s">
        <v>4</v>
      </c>
      <c r="J914" s="625"/>
      <c r="K914" s="625"/>
      <c r="L914" s="625"/>
      <c r="M914" s="625"/>
      <c r="N914" s="626"/>
      <c r="O914" s="20" t="s">
        <v>5</v>
      </c>
    </row>
    <row r="915" spans="8:15" ht="16.5" customHeight="1">
      <c r="H915" s="633" t="s">
        <v>2140</v>
      </c>
      <c r="I915" s="143"/>
      <c r="J915" s="159"/>
      <c r="K915" s="159"/>
      <c r="L915" s="159"/>
      <c r="M915" s="159"/>
      <c r="N915" s="144"/>
      <c r="O915" s="291"/>
    </row>
    <row r="916" spans="8:15">
      <c r="H916" s="634"/>
      <c r="I916" s="64"/>
      <c r="N916" s="65"/>
      <c r="O916" s="291"/>
    </row>
    <row r="917" spans="8:15">
      <c r="H917" s="634"/>
      <c r="I917" s="630" t="s">
        <v>286</v>
      </c>
      <c r="J917" s="631"/>
      <c r="K917" s="631"/>
      <c r="L917" s="631"/>
      <c r="M917" s="631"/>
      <c r="N917" s="632"/>
      <c r="O917" s="291"/>
    </row>
    <row r="918" spans="8:15">
      <c r="H918" s="634"/>
      <c r="I918" s="636" t="s">
        <v>1751</v>
      </c>
      <c r="J918" s="637"/>
      <c r="K918" s="637"/>
      <c r="L918" s="637"/>
      <c r="M918" s="637"/>
      <c r="N918" s="638"/>
      <c r="O918" s="148">
        <v>3937500</v>
      </c>
    </row>
    <row r="919" spans="8:15">
      <c r="H919" s="634"/>
      <c r="I919" s="64"/>
      <c r="J919" s="604"/>
      <c r="K919" s="604"/>
      <c r="L919" s="604"/>
      <c r="N919" s="65"/>
      <c r="O919" s="291"/>
    </row>
    <row r="920" spans="8:15" ht="17.25" thickBot="1">
      <c r="H920" s="635"/>
      <c r="I920" s="140"/>
      <c r="J920" s="141"/>
      <c r="K920" s="141"/>
      <c r="L920" s="141"/>
      <c r="M920" s="141"/>
      <c r="N920" s="142"/>
      <c r="O920" s="291"/>
    </row>
    <row r="921" spans="8:15" ht="17.25" thickBot="1">
      <c r="H921" s="20" t="s">
        <v>12</v>
      </c>
      <c r="I921" s="614" t="s">
        <v>13</v>
      </c>
      <c r="J921" s="615"/>
      <c r="K921" s="62" t="s">
        <v>14</v>
      </c>
      <c r="L921" s="63"/>
      <c r="M921" s="62" t="s">
        <v>15</v>
      </c>
      <c r="N921" s="62" t="s">
        <v>16</v>
      </c>
      <c r="O921" s="20" t="s">
        <v>17</v>
      </c>
    </row>
    <row r="922" spans="8:15" ht="18" thickBot="1">
      <c r="H922" s="22" t="s">
        <v>18</v>
      </c>
      <c r="I922" s="606">
        <f>+O918</f>
        <v>3937500</v>
      </c>
      <c r="J922" s="607"/>
      <c r="K922" s="23">
        <f>0</f>
        <v>0</v>
      </c>
      <c r="L922" s="24"/>
      <c r="M922" s="25">
        <f>0</f>
        <v>0</v>
      </c>
      <c r="N922" s="36">
        <f>+I922</f>
        <v>3937500</v>
      </c>
      <c r="O922" s="38">
        <f>+O918</f>
        <v>3937500</v>
      </c>
    </row>
    <row r="923" spans="8:15" ht="18" thickBot="1">
      <c r="H923" s="22" t="s">
        <v>113</v>
      </c>
      <c r="I923" s="606">
        <f>+I922/650.599</f>
        <v>6052.1150508992478</v>
      </c>
      <c r="J923" s="607"/>
      <c r="K923" s="23">
        <f>0</f>
        <v>0</v>
      </c>
      <c r="L923" s="24"/>
      <c r="M923" s="25">
        <f>0</f>
        <v>0</v>
      </c>
      <c r="N923" s="36">
        <f>+I923</f>
        <v>6052.1150508992478</v>
      </c>
      <c r="O923" s="38">
        <f>+N923</f>
        <v>6052.1150508992478</v>
      </c>
    </row>
    <row r="925" spans="8:15">
      <c r="H925" s="412" t="s">
        <v>1268</v>
      </c>
      <c r="I925" s="26"/>
      <c r="J925" s="26"/>
      <c r="K925" s="26"/>
      <c r="L925" s="26"/>
      <c r="M925" s="26"/>
      <c r="N925" s="26"/>
    </row>
    <row r="926" spans="8:15" ht="17.25">
      <c r="H926" s="458" t="s">
        <v>1752</v>
      </c>
      <c r="I926" s="26"/>
      <c r="J926" s="26"/>
      <c r="K926" s="26"/>
      <c r="L926" s="26"/>
      <c r="M926" s="26"/>
      <c r="N926" s="26"/>
    </row>
    <row r="927" spans="8:15">
      <c r="H927" s="82" t="s">
        <v>19</v>
      </c>
      <c r="I927" s="26"/>
      <c r="J927" s="26"/>
      <c r="K927" s="26"/>
      <c r="L927" s="26"/>
      <c r="M927" s="26"/>
      <c r="N927" s="26"/>
    </row>
    <row r="928" spans="8:15">
      <c r="H928" s="26" t="s">
        <v>965</v>
      </c>
      <c r="I928" s="26"/>
      <c r="J928" s="26"/>
      <c r="K928" s="26"/>
      <c r="L928" s="26"/>
      <c r="M928" s="26"/>
      <c r="N928" s="26"/>
    </row>
    <row r="929" spans="8:15">
      <c r="H929" s="26" t="s">
        <v>21</v>
      </c>
      <c r="I929" s="26"/>
      <c r="J929" s="26"/>
      <c r="K929" s="26"/>
      <c r="L929" s="26"/>
      <c r="M929" s="26"/>
      <c r="N929" s="26"/>
    </row>
    <row r="930" spans="8:15">
      <c r="H930" s="26" t="s">
        <v>1229</v>
      </c>
      <c r="I930" s="26"/>
      <c r="J930" s="26"/>
      <c r="K930" s="26"/>
      <c r="L930" s="26"/>
      <c r="M930" s="26"/>
      <c r="N930" s="26"/>
    </row>
    <row r="933" spans="8:15">
      <c r="K933" s="604" t="s">
        <v>24</v>
      </c>
      <c r="L933" s="604"/>
      <c r="M933" s="604"/>
      <c r="N933" s="604"/>
    </row>
    <row r="934" spans="8:15">
      <c r="K934" s="604" t="s">
        <v>149</v>
      </c>
      <c r="L934" s="604"/>
      <c r="M934" s="604"/>
      <c r="N934" s="604"/>
    </row>
    <row r="935" spans="8:15">
      <c r="K935" s="605" t="s">
        <v>150</v>
      </c>
      <c r="L935" s="605"/>
      <c r="M935" s="605"/>
      <c r="N935" s="605"/>
    </row>
    <row r="937" spans="8:15">
      <c r="K937" s="30"/>
    </row>
    <row r="938" spans="8:15">
      <c r="L938" s="26"/>
      <c r="M938" s="26"/>
      <c r="N938" s="26"/>
    </row>
    <row r="939" spans="8:15" ht="18">
      <c r="H939" s="26"/>
      <c r="I939" s="26"/>
      <c r="J939" s="26"/>
      <c r="K939" s="644" t="s">
        <v>2147</v>
      </c>
      <c r="L939" s="644"/>
      <c r="M939" s="644"/>
      <c r="N939" s="644"/>
      <c r="O939" s="145"/>
    </row>
    <row r="940" spans="8:15" ht="18">
      <c r="H940" s="26"/>
      <c r="I940" s="26"/>
      <c r="J940" s="26"/>
      <c r="K940" s="361"/>
      <c r="L940" s="361"/>
      <c r="M940" s="361"/>
      <c r="N940" s="361"/>
      <c r="O940" s="145"/>
    </row>
    <row r="941" spans="8:15" ht="18">
      <c r="H941" s="26"/>
      <c r="I941" s="26"/>
      <c r="J941" s="26"/>
      <c r="K941" s="361"/>
      <c r="L941" s="361"/>
      <c r="M941" s="361"/>
      <c r="N941" s="361"/>
      <c r="O941" s="145"/>
    </row>
    <row r="942" spans="8:15" ht="18" customHeight="1">
      <c r="H942" s="202"/>
      <c r="I942" s="202"/>
      <c r="J942" s="202"/>
      <c r="K942" s="259"/>
      <c r="L942" s="259"/>
      <c r="M942" s="259"/>
      <c r="N942" s="259"/>
      <c r="O942" s="406"/>
    </row>
    <row r="943" spans="8:15" ht="16.5" customHeight="1">
      <c r="H943" s="617" t="s">
        <v>0</v>
      </c>
      <c r="I943" s="617"/>
      <c r="J943" s="617"/>
      <c r="K943" s="617"/>
      <c r="L943" s="617"/>
      <c r="M943" s="617"/>
      <c r="N943" s="617"/>
      <c r="O943" s="617"/>
    </row>
    <row r="946" spans="8:16" ht="49.5" customHeight="1">
      <c r="H946" s="642" t="s">
        <v>1</v>
      </c>
      <c r="I946" s="642"/>
      <c r="J946" s="642"/>
      <c r="K946" s="642"/>
      <c r="L946" s="642"/>
      <c r="M946" s="642"/>
      <c r="N946" s="642"/>
      <c r="O946" s="642"/>
    </row>
    <row r="947" spans="8:16">
      <c r="M947" s="82"/>
      <c r="N947" s="82"/>
      <c r="O947" s="82"/>
      <c r="P947" s="82"/>
    </row>
    <row r="949" spans="8:16" ht="17.25">
      <c r="H949" s="375"/>
      <c r="I949" s="375" t="s">
        <v>2451</v>
      </c>
    </row>
    <row r="950" spans="8:16" ht="17.25" thickBot="1">
      <c r="H950" s="30"/>
      <c r="N950" s="141"/>
    </row>
    <row r="951" spans="8:16">
      <c r="I951" s="30"/>
      <c r="M951" s="143"/>
      <c r="O951" s="144"/>
    </row>
    <row r="952" spans="8:16">
      <c r="M952" s="647" t="s">
        <v>267</v>
      </c>
      <c r="N952" s="610"/>
      <c r="O952" s="648"/>
    </row>
    <row r="953" spans="8:16">
      <c r="H953" s="12" t="s">
        <v>114</v>
      </c>
      <c r="K953" s="249" t="s">
        <v>2</v>
      </c>
      <c r="M953" s="605" t="s">
        <v>755</v>
      </c>
      <c r="N953" s="605"/>
      <c r="O953" s="649"/>
    </row>
    <row r="954" spans="8:16">
      <c r="M954" s="601" t="s">
        <v>36</v>
      </c>
      <c r="N954" s="602"/>
      <c r="O954" s="603"/>
    </row>
    <row r="955" spans="8:16" ht="17.25" thickBot="1">
      <c r="M955" s="140"/>
      <c r="N955" s="141"/>
      <c r="O955" s="142"/>
    </row>
    <row r="957" spans="8:16">
      <c r="H957" s="250" t="s">
        <v>27</v>
      </c>
      <c r="I957" s="394" t="s">
        <v>148</v>
      </c>
    </row>
    <row r="958" spans="8:16" ht="17.25" thickBot="1"/>
    <row r="959" spans="8:16" ht="17.25" customHeight="1" thickBot="1">
      <c r="H959" s="13" t="s">
        <v>112</v>
      </c>
      <c r="I959" s="624" t="s">
        <v>4</v>
      </c>
      <c r="J959" s="625"/>
      <c r="K959" s="625"/>
      <c r="L959" s="625"/>
      <c r="M959" s="625"/>
      <c r="N959" s="626"/>
      <c r="O959" s="20" t="s">
        <v>5</v>
      </c>
    </row>
    <row r="960" spans="8:16" ht="16.5" customHeight="1">
      <c r="H960" s="627" t="s">
        <v>2445</v>
      </c>
      <c r="I960" s="143"/>
      <c r="J960" s="159"/>
      <c r="K960" s="159"/>
      <c r="L960" s="159"/>
      <c r="M960" s="159"/>
      <c r="N960" s="144"/>
      <c r="O960" s="291"/>
    </row>
    <row r="961" spans="8:15">
      <c r="H961" s="628"/>
      <c r="I961" s="64"/>
      <c r="N961" s="65"/>
      <c r="O961" s="291"/>
    </row>
    <row r="962" spans="8:15">
      <c r="H962" s="628"/>
      <c r="I962" s="630" t="s">
        <v>286</v>
      </c>
      <c r="J962" s="631"/>
      <c r="K962" s="631"/>
      <c r="L962" s="631"/>
      <c r="M962" s="631"/>
      <c r="N962" s="632"/>
      <c r="O962" s="291"/>
    </row>
    <row r="963" spans="8:15">
      <c r="H963" s="628"/>
      <c r="I963" s="636" t="s">
        <v>1723</v>
      </c>
      <c r="J963" s="637"/>
      <c r="K963" s="637"/>
      <c r="L963" s="637"/>
      <c r="M963" s="637"/>
      <c r="N963" s="638"/>
      <c r="O963" s="148">
        <v>33195000</v>
      </c>
    </row>
    <row r="964" spans="8:15">
      <c r="H964" s="628"/>
      <c r="I964" s="64"/>
      <c r="J964" s="604"/>
      <c r="K964" s="604"/>
      <c r="L964" s="604"/>
      <c r="N964" s="65"/>
      <c r="O964" s="291"/>
    </row>
    <row r="965" spans="8:15" ht="17.25" thickBot="1">
      <c r="H965" s="629"/>
      <c r="I965" s="140"/>
      <c r="J965" s="141"/>
      <c r="K965" s="141"/>
      <c r="L965" s="141"/>
      <c r="M965" s="141"/>
      <c r="N965" s="142"/>
      <c r="O965" s="291"/>
    </row>
    <row r="966" spans="8:15" ht="17.25" thickBot="1">
      <c r="H966" s="20" t="s">
        <v>12</v>
      </c>
      <c r="I966" s="614" t="s">
        <v>13</v>
      </c>
      <c r="J966" s="615"/>
      <c r="K966" s="62" t="s">
        <v>14</v>
      </c>
      <c r="L966" s="63"/>
      <c r="M966" s="62" t="s">
        <v>15</v>
      </c>
      <c r="N966" s="62" t="s">
        <v>16</v>
      </c>
      <c r="O966" s="20" t="s">
        <v>17</v>
      </c>
    </row>
    <row r="967" spans="8:15" ht="18" thickBot="1">
      <c r="H967" s="22" t="s">
        <v>18</v>
      </c>
      <c r="I967" s="606">
        <f>+O963</f>
        <v>33195000</v>
      </c>
      <c r="J967" s="607"/>
      <c r="K967" s="23">
        <f>0</f>
        <v>0</v>
      </c>
      <c r="L967" s="24"/>
      <c r="M967" s="25">
        <f>0</f>
        <v>0</v>
      </c>
      <c r="N967" s="36">
        <f>+I967</f>
        <v>33195000</v>
      </c>
      <c r="O967" s="38">
        <f>+O963</f>
        <v>33195000</v>
      </c>
    </row>
    <row r="968" spans="8:15" ht="18" thickBot="1">
      <c r="H968" s="22" t="s">
        <v>113</v>
      </c>
      <c r="I968" s="606">
        <f>+I967/650.599</f>
        <v>51022.211838628704</v>
      </c>
      <c r="J968" s="607"/>
      <c r="K968" s="23">
        <f>0</f>
        <v>0</v>
      </c>
      <c r="L968" s="24"/>
      <c r="M968" s="25">
        <f>0</f>
        <v>0</v>
      </c>
      <c r="N968" s="36">
        <f>+I968</f>
        <v>51022.211838628704</v>
      </c>
      <c r="O968" s="38">
        <f>+N968</f>
        <v>51022.211838628704</v>
      </c>
    </row>
    <row r="970" spans="8:15">
      <c r="H970" s="412" t="s">
        <v>1268</v>
      </c>
      <c r="I970" s="26"/>
      <c r="J970" s="26"/>
      <c r="K970" s="26"/>
      <c r="L970" s="26"/>
      <c r="M970" s="26"/>
      <c r="N970" s="26"/>
    </row>
    <row r="971" spans="8:15">
      <c r="H971" s="413" t="s">
        <v>1724</v>
      </c>
      <c r="I971" s="26"/>
      <c r="J971" s="26"/>
      <c r="K971" s="26"/>
      <c r="L971" s="26"/>
      <c r="M971" s="26"/>
      <c r="N971" s="26"/>
    </row>
    <row r="972" spans="8:15">
      <c r="H972" s="82" t="s">
        <v>19</v>
      </c>
      <c r="I972" s="26"/>
      <c r="J972" s="26"/>
      <c r="K972" s="26"/>
      <c r="L972" s="26"/>
      <c r="M972" s="26"/>
      <c r="N972" s="26"/>
    </row>
    <row r="973" spans="8:15">
      <c r="H973" s="26" t="s">
        <v>965</v>
      </c>
      <c r="I973" s="26"/>
      <c r="J973" s="26"/>
      <c r="K973" s="26"/>
      <c r="L973" s="26"/>
      <c r="M973" s="26"/>
      <c r="N973" s="26"/>
    </row>
    <row r="974" spans="8:15">
      <c r="H974" s="26" t="s">
        <v>21</v>
      </c>
      <c r="I974" s="26"/>
      <c r="J974" s="26"/>
      <c r="K974" s="26"/>
      <c r="L974" s="26"/>
      <c r="M974" s="26"/>
      <c r="N974" s="26"/>
    </row>
    <row r="975" spans="8:15">
      <c r="H975" s="26" t="s">
        <v>1229</v>
      </c>
      <c r="I975" s="26"/>
      <c r="J975" s="26"/>
      <c r="K975" s="26"/>
      <c r="L975" s="26"/>
      <c r="M975" s="26"/>
      <c r="N975" s="26"/>
    </row>
    <row r="978" spans="8:15">
      <c r="K978" s="604" t="s">
        <v>24</v>
      </c>
      <c r="L978" s="604"/>
      <c r="M978" s="604"/>
      <c r="N978" s="604"/>
    </row>
    <row r="979" spans="8:15">
      <c r="K979" s="604" t="s">
        <v>149</v>
      </c>
      <c r="L979" s="604"/>
      <c r="M979" s="604"/>
      <c r="N979" s="604"/>
    </row>
    <row r="980" spans="8:15">
      <c r="K980" s="605" t="s">
        <v>150</v>
      </c>
      <c r="L980" s="605"/>
      <c r="M980" s="605"/>
      <c r="N980" s="605"/>
    </row>
    <row r="981" spans="8:15">
      <c r="K981" s="188"/>
      <c r="L981" s="26"/>
      <c r="M981" s="26"/>
      <c r="N981" s="26"/>
    </row>
    <row r="982" spans="8:15" ht="18">
      <c r="K982" s="145"/>
      <c r="L982" s="145"/>
      <c r="M982" s="145"/>
      <c r="N982" s="145"/>
    </row>
    <row r="983" spans="8:15" ht="17.25">
      <c r="K983" s="644" t="s">
        <v>2347</v>
      </c>
      <c r="L983" s="644"/>
      <c r="M983" s="644"/>
      <c r="N983" s="644"/>
    </row>
    <row r="984" spans="8:15" ht="13.5" customHeight="1">
      <c r="H984" s="26"/>
      <c r="I984" s="26"/>
      <c r="J984" s="26"/>
      <c r="K984" s="644"/>
      <c r="L984" s="644"/>
      <c r="M984" s="644"/>
      <c r="N984" s="644"/>
      <c r="O984" s="145"/>
    </row>
    <row r="985" spans="8:15" ht="13.5" customHeight="1">
      <c r="H985" s="26"/>
      <c r="I985" s="26"/>
      <c r="J985" s="26"/>
      <c r="K985" s="361"/>
      <c r="L985" s="361"/>
      <c r="M985" s="361"/>
      <c r="N985" s="361"/>
      <c r="O985" s="145"/>
    </row>
    <row r="986" spans="8:15">
      <c r="H986" s="617" t="s">
        <v>0</v>
      </c>
      <c r="I986" s="617"/>
      <c r="J986" s="617"/>
      <c r="K986" s="617"/>
      <c r="L986" s="617"/>
      <c r="M986" s="617"/>
      <c r="N986" s="617"/>
      <c r="O986" s="617"/>
    </row>
    <row r="989" spans="8:15" ht="49.5" customHeight="1">
      <c r="H989" s="642" t="s">
        <v>1</v>
      </c>
      <c r="I989" s="642"/>
      <c r="J989" s="642"/>
      <c r="K989" s="642"/>
      <c r="L989" s="642"/>
      <c r="M989" s="642"/>
      <c r="N989" s="642"/>
      <c r="O989" s="642"/>
    </row>
    <row r="992" spans="8:15" ht="17.25">
      <c r="H992" s="375" t="s">
        <v>1406</v>
      </c>
    </row>
    <row r="993" spans="8:15" ht="17.25" thickBot="1">
      <c r="H993" s="30"/>
      <c r="N993" s="141"/>
    </row>
    <row r="994" spans="8:15">
      <c r="I994" s="30"/>
      <c r="M994" s="143"/>
      <c r="O994" s="144"/>
    </row>
    <row r="995" spans="8:15">
      <c r="M995" s="647" t="s">
        <v>739</v>
      </c>
      <c r="N995" s="610"/>
      <c r="O995" s="648"/>
    </row>
    <row r="996" spans="8:15">
      <c r="H996" s="12" t="s">
        <v>114</v>
      </c>
      <c r="K996" s="249" t="s">
        <v>2</v>
      </c>
      <c r="M996" s="605" t="s">
        <v>756</v>
      </c>
      <c r="N996" s="605"/>
      <c r="O996" s="649"/>
    </row>
    <row r="997" spans="8:15">
      <c r="M997" s="601" t="s">
        <v>36</v>
      </c>
      <c r="N997" s="602"/>
      <c r="O997" s="603"/>
    </row>
    <row r="998" spans="8:15" ht="17.25" thickBot="1">
      <c r="M998" s="140"/>
      <c r="N998" s="141"/>
      <c r="O998" s="142"/>
    </row>
    <row r="1000" spans="8:15">
      <c r="H1000" s="249" t="s">
        <v>27</v>
      </c>
      <c r="I1000" s="394" t="s">
        <v>148</v>
      </c>
    </row>
    <row r="1001" spans="8:15" ht="17.25" thickBot="1"/>
    <row r="1002" spans="8:15" ht="17.25" customHeight="1" thickBot="1">
      <c r="H1002" s="13" t="s">
        <v>112</v>
      </c>
      <c r="I1002" s="624" t="s">
        <v>4</v>
      </c>
      <c r="J1002" s="625"/>
      <c r="K1002" s="625"/>
      <c r="L1002" s="625"/>
      <c r="M1002" s="625"/>
      <c r="N1002" s="626"/>
      <c r="O1002" s="20" t="s">
        <v>5</v>
      </c>
    </row>
    <row r="1003" spans="8:15" ht="16.5" customHeight="1">
      <c r="H1003" s="633" t="s">
        <v>1716</v>
      </c>
      <c r="I1003" s="143"/>
      <c r="J1003" s="159"/>
      <c r="K1003" s="159"/>
      <c r="L1003" s="159"/>
      <c r="M1003" s="159"/>
      <c r="N1003" s="144"/>
      <c r="O1003" s="291"/>
    </row>
    <row r="1004" spans="8:15">
      <c r="H1004" s="634"/>
      <c r="I1004" s="64"/>
      <c r="N1004" s="65"/>
      <c r="O1004" s="291"/>
    </row>
    <row r="1005" spans="8:15">
      <c r="H1005" s="634"/>
      <c r="I1005" s="676" t="s">
        <v>286</v>
      </c>
      <c r="J1005" s="677"/>
      <c r="K1005" s="677"/>
      <c r="L1005" s="677"/>
      <c r="M1005" s="677"/>
      <c r="N1005" s="678"/>
      <c r="O1005" s="291"/>
    </row>
    <row r="1006" spans="8:15">
      <c r="H1006" s="634"/>
      <c r="I1006" s="636" t="s">
        <v>1749</v>
      </c>
      <c r="J1006" s="637"/>
      <c r="K1006" s="637"/>
      <c r="L1006" s="637"/>
      <c r="M1006" s="637"/>
      <c r="N1006" s="638"/>
      <c r="O1006" s="148">
        <v>1440000</v>
      </c>
    </row>
    <row r="1007" spans="8:15">
      <c r="H1007" s="634"/>
      <c r="I1007" s="64"/>
      <c r="J1007" s="604"/>
      <c r="K1007" s="604"/>
      <c r="L1007" s="604"/>
      <c r="N1007" s="65"/>
      <c r="O1007" s="291"/>
    </row>
    <row r="1008" spans="8:15" ht="17.25" thickBot="1">
      <c r="H1008" s="635"/>
      <c r="I1008" s="140"/>
      <c r="J1008" s="141"/>
      <c r="K1008" s="141"/>
      <c r="L1008" s="141"/>
      <c r="M1008" s="141"/>
      <c r="N1008" s="142"/>
      <c r="O1008" s="291"/>
    </row>
    <row r="1009" spans="8:15" ht="17.25" thickBot="1">
      <c r="H1009" s="20" t="s">
        <v>12</v>
      </c>
      <c r="I1009" s="614" t="s">
        <v>13</v>
      </c>
      <c r="J1009" s="615"/>
      <c r="K1009" s="62" t="s">
        <v>14</v>
      </c>
      <c r="L1009" s="63"/>
      <c r="M1009" s="62" t="s">
        <v>15</v>
      </c>
      <c r="N1009" s="62" t="s">
        <v>16</v>
      </c>
      <c r="O1009" s="20" t="s">
        <v>17</v>
      </c>
    </row>
    <row r="1010" spans="8:15" ht="18" thickBot="1">
      <c r="H1010" s="22" t="s">
        <v>18</v>
      </c>
      <c r="I1010" s="606">
        <f>+O1006</f>
        <v>1440000</v>
      </c>
      <c r="J1010" s="607"/>
      <c r="K1010" s="23">
        <f>0</f>
        <v>0</v>
      </c>
      <c r="L1010" s="24"/>
      <c r="M1010" s="25">
        <f>0</f>
        <v>0</v>
      </c>
      <c r="N1010" s="36">
        <f>+I1010</f>
        <v>1440000</v>
      </c>
      <c r="O1010" s="38">
        <f>+O1006</f>
        <v>1440000</v>
      </c>
    </row>
    <row r="1011" spans="8:15" ht="18" thickBot="1">
      <c r="H1011" s="22" t="s">
        <v>113</v>
      </c>
      <c r="I1011" s="606">
        <f>+I1010/650.599</f>
        <v>2213.3449329002965</v>
      </c>
      <c r="J1011" s="607"/>
      <c r="K1011" s="23">
        <f>0</f>
        <v>0</v>
      </c>
      <c r="L1011" s="24"/>
      <c r="M1011" s="25">
        <f>0</f>
        <v>0</v>
      </c>
      <c r="N1011" s="36">
        <f>+I1011</f>
        <v>2213.3449329002965</v>
      </c>
      <c r="O1011" s="38">
        <f>+N1011</f>
        <v>2213.3449329002965</v>
      </c>
    </row>
    <row r="1013" spans="8:15">
      <c r="H1013" s="412" t="s">
        <v>1268</v>
      </c>
      <c r="I1013" s="26"/>
      <c r="J1013" s="26"/>
      <c r="K1013" s="26"/>
      <c r="L1013" s="26"/>
      <c r="M1013" s="26"/>
      <c r="N1013" s="26"/>
    </row>
    <row r="1014" spans="8:15" ht="17.25">
      <c r="H1014" s="458" t="s">
        <v>1426</v>
      </c>
      <c r="I1014" s="26"/>
      <c r="J1014" s="26"/>
      <c r="K1014" s="26"/>
      <c r="L1014" s="26"/>
      <c r="M1014" s="26"/>
      <c r="N1014" s="26"/>
    </row>
    <row r="1015" spans="8:15">
      <c r="H1015" s="82" t="s">
        <v>19</v>
      </c>
      <c r="I1015" s="26"/>
      <c r="J1015" s="26"/>
      <c r="K1015" s="26"/>
      <c r="L1015" s="26"/>
      <c r="M1015" s="26"/>
      <c r="N1015" s="26"/>
    </row>
    <row r="1016" spans="8:15">
      <c r="H1016" s="26" t="s">
        <v>965</v>
      </c>
      <c r="I1016" s="26"/>
      <c r="J1016" s="26"/>
      <c r="K1016" s="26"/>
      <c r="L1016" s="26"/>
      <c r="M1016" s="26"/>
      <c r="N1016" s="26"/>
    </row>
    <row r="1017" spans="8:15">
      <c r="H1017" s="26" t="s">
        <v>21</v>
      </c>
      <c r="I1017" s="26"/>
      <c r="J1017" s="26"/>
      <c r="K1017" s="26"/>
      <c r="L1017" s="26"/>
      <c r="M1017" s="26"/>
      <c r="N1017" s="26"/>
    </row>
    <row r="1018" spans="8:15">
      <c r="H1018" s="26" t="s">
        <v>1229</v>
      </c>
      <c r="I1018" s="26"/>
      <c r="J1018" s="26"/>
      <c r="K1018" s="26"/>
      <c r="L1018" s="26"/>
      <c r="M1018" s="26"/>
      <c r="N1018" s="26"/>
    </row>
    <row r="1021" spans="8:15">
      <c r="K1021" s="604" t="s">
        <v>24</v>
      </c>
      <c r="L1021" s="604"/>
      <c r="M1021" s="604"/>
      <c r="N1021" s="604"/>
    </row>
    <row r="1022" spans="8:15">
      <c r="K1022" s="604" t="s">
        <v>149</v>
      </c>
      <c r="L1022" s="604"/>
      <c r="M1022" s="604"/>
      <c r="N1022" s="604"/>
    </row>
    <row r="1023" spans="8:15">
      <c r="K1023" s="605" t="s">
        <v>150</v>
      </c>
      <c r="L1023" s="605"/>
      <c r="M1023" s="605"/>
      <c r="N1023" s="605"/>
    </row>
    <row r="1024" spans="8:15" ht="18">
      <c r="K1024" s="145"/>
      <c r="L1024" s="145"/>
      <c r="M1024" s="145"/>
      <c r="N1024" s="145"/>
    </row>
    <row r="1025" spans="8:15" ht="17.25">
      <c r="K1025" s="259"/>
      <c r="L1025" s="259"/>
      <c r="M1025" s="259"/>
      <c r="N1025" s="259"/>
    </row>
    <row r="1026" spans="8:15" ht="18">
      <c r="H1026" s="26"/>
      <c r="I1026" s="26"/>
      <c r="J1026" s="26"/>
      <c r="K1026" s="644" t="s">
        <v>1696</v>
      </c>
      <c r="L1026" s="644"/>
      <c r="M1026" s="644"/>
      <c r="N1026" s="644"/>
      <c r="O1026" s="145"/>
    </row>
    <row r="1027" spans="8:15" ht="18">
      <c r="H1027" s="26"/>
      <c r="I1027" s="26"/>
      <c r="J1027" s="26"/>
      <c r="K1027" s="361"/>
      <c r="L1027" s="361"/>
      <c r="M1027" s="361"/>
      <c r="N1027" s="361"/>
      <c r="O1027" s="145"/>
    </row>
    <row r="1028" spans="8:15" ht="18">
      <c r="H1028" s="26"/>
      <c r="I1028" s="26"/>
      <c r="J1028" s="26"/>
      <c r="O1028" s="145"/>
    </row>
    <row r="1029" spans="8:15">
      <c r="H1029" s="617" t="s">
        <v>0</v>
      </c>
      <c r="I1029" s="617"/>
      <c r="J1029" s="617"/>
      <c r="K1029" s="617"/>
      <c r="L1029" s="617"/>
      <c r="M1029" s="617"/>
      <c r="N1029" s="617"/>
      <c r="O1029" s="617"/>
    </row>
    <row r="1032" spans="8:15" ht="49.5" customHeight="1">
      <c r="H1032" s="642" t="s">
        <v>1</v>
      </c>
      <c r="I1032" s="642"/>
      <c r="J1032" s="642"/>
      <c r="K1032" s="642"/>
      <c r="L1032" s="642"/>
      <c r="M1032" s="642"/>
      <c r="N1032" s="642"/>
      <c r="O1032" s="642"/>
    </row>
    <row r="1035" spans="8:15" ht="17.25">
      <c r="H1035" s="375"/>
      <c r="I1035" s="375" t="s">
        <v>1720</v>
      </c>
    </row>
    <row r="1036" spans="8:15" ht="17.25" thickBot="1">
      <c r="H1036" s="30"/>
      <c r="N1036" s="141"/>
    </row>
    <row r="1037" spans="8:15">
      <c r="I1037" s="30"/>
      <c r="M1037" s="143"/>
      <c r="O1037" s="144"/>
    </row>
    <row r="1038" spans="8:15">
      <c r="M1038" s="761" t="s">
        <v>2444</v>
      </c>
      <c r="N1038" s="608"/>
      <c r="O1038" s="762"/>
    </row>
    <row r="1039" spans="8:15">
      <c r="H1039" s="12" t="s">
        <v>114</v>
      </c>
      <c r="K1039" s="249" t="s">
        <v>2</v>
      </c>
      <c r="M1039" s="605" t="s">
        <v>2469</v>
      </c>
      <c r="N1039" s="605"/>
      <c r="O1039" s="649"/>
    </row>
    <row r="1040" spans="8:15">
      <c r="M1040" s="766" t="s">
        <v>163</v>
      </c>
      <c r="N1040" s="767"/>
      <c r="O1040" s="768"/>
    </row>
    <row r="1041" spans="8:15" ht="17.25" thickBot="1">
      <c r="M1041" s="140"/>
      <c r="N1041" s="141"/>
      <c r="O1041" s="142"/>
    </row>
    <row r="1043" spans="8:15">
      <c r="H1043" s="249" t="s">
        <v>27</v>
      </c>
      <c r="I1043" s="394" t="s">
        <v>148</v>
      </c>
    </row>
    <row r="1044" spans="8:15" ht="17.25" thickBot="1"/>
    <row r="1045" spans="8:15" ht="17.25" thickBot="1">
      <c r="H1045" s="13" t="s">
        <v>112</v>
      </c>
      <c r="I1045" s="624" t="s">
        <v>4</v>
      </c>
      <c r="J1045" s="625"/>
      <c r="K1045" s="625"/>
      <c r="L1045" s="625"/>
      <c r="M1045" s="625"/>
      <c r="N1045" s="626"/>
      <c r="O1045" s="20" t="s">
        <v>5</v>
      </c>
    </row>
    <row r="1046" spans="8:15">
      <c r="H1046" s="633" t="s">
        <v>2445</v>
      </c>
      <c r="I1046" s="143"/>
      <c r="J1046" s="159"/>
      <c r="K1046" s="159"/>
      <c r="L1046" s="159"/>
      <c r="M1046" s="159"/>
      <c r="N1046" s="144"/>
      <c r="O1046" s="291"/>
    </row>
    <row r="1047" spans="8:15">
      <c r="H1047" s="634"/>
      <c r="I1047" s="64"/>
      <c r="N1047" s="65"/>
      <c r="O1047" s="291"/>
    </row>
    <row r="1048" spans="8:15">
      <c r="H1048" s="634"/>
      <c r="I1048" s="630" t="s">
        <v>286</v>
      </c>
      <c r="J1048" s="631"/>
      <c r="K1048" s="631"/>
      <c r="L1048" s="631"/>
      <c r="M1048" s="631"/>
      <c r="N1048" s="632"/>
      <c r="O1048" s="291"/>
    </row>
    <row r="1049" spans="8:15">
      <c r="H1049" s="634"/>
      <c r="I1049" s="636" t="s">
        <v>2470</v>
      </c>
      <c r="J1049" s="637"/>
      <c r="K1049" s="637"/>
      <c r="L1049" s="637"/>
      <c r="M1049" s="637"/>
      <c r="N1049" s="638"/>
      <c r="O1049" s="148">
        <v>2583132</v>
      </c>
    </row>
    <row r="1050" spans="8:15">
      <c r="H1050" s="634"/>
      <c r="I1050" s="64"/>
      <c r="J1050" s="604"/>
      <c r="K1050" s="604"/>
      <c r="L1050" s="604"/>
      <c r="N1050" s="65"/>
      <c r="O1050" s="291"/>
    </row>
    <row r="1051" spans="8:15" ht="17.25" thickBot="1">
      <c r="H1051" s="635"/>
      <c r="I1051" s="140"/>
      <c r="J1051" s="141"/>
      <c r="K1051" s="141"/>
      <c r="L1051" s="141"/>
      <c r="M1051" s="141"/>
      <c r="N1051" s="142"/>
      <c r="O1051" s="291"/>
    </row>
    <row r="1052" spans="8:15" ht="17.25" thickBot="1">
      <c r="H1052" s="20" t="s">
        <v>12</v>
      </c>
      <c r="I1052" s="614" t="s">
        <v>13</v>
      </c>
      <c r="J1052" s="615"/>
      <c r="K1052" s="62" t="s">
        <v>14</v>
      </c>
      <c r="L1052" s="63"/>
      <c r="M1052" s="62" t="s">
        <v>15</v>
      </c>
      <c r="N1052" s="62" t="s">
        <v>16</v>
      </c>
      <c r="O1052" s="20" t="s">
        <v>17</v>
      </c>
    </row>
    <row r="1053" spans="8:15" ht="18" thickBot="1">
      <c r="H1053" s="22" t="s">
        <v>18</v>
      </c>
      <c r="I1053" s="606">
        <f>+O1049</f>
        <v>2583132</v>
      </c>
      <c r="J1053" s="607"/>
      <c r="K1053" s="23">
        <f>0</f>
        <v>0</v>
      </c>
      <c r="L1053" s="24"/>
      <c r="M1053" s="25">
        <f>0</f>
        <v>0</v>
      </c>
      <c r="N1053" s="36">
        <f>+I1053</f>
        <v>2583132</v>
      </c>
      <c r="O1053" s="38">
        <f>+O1049</f>
        <v>2583132</v>
      </c>
    </row>
    <row r="1054" spans="8:15" ht="18" thickBot="1">
      <c r="H1054" s="22" t="s">
        <v>113</v>
      </c>
      <c r="I1054" s="606">
        <f>+I1053/650.599</f>
        <v>3970.3903633420891</v>
      </c>
      <c r="J1054" s="607"/>
      <c r="K1054" s="23">
        <f>0</f>
        <v>0</v>
      </c>
      <c r="L1054" s="24"/>
      <c r="M1054" s="25">
        <f>0</f>
        <v>0</v>
      </c>
      <c r="N1054" s="36">
        <f>+I1054</f>
        <v>3970.3903633420891</v>
      </c>
      <c r="O1054" s="38">
        <f>+N1054</f>
        <v>3970.3903633420891</v>
      </c>
    </row>
    <row r="1056" spans="8:15">
      <c r="H1056" s="395" t="s">
        <v>1268</v>
      </c>
      <c r="I1056" s="26"/>
      <c r="J1056" s="26"/>
      <c r="K1056" s="26"/>
      <c r="L1056" s="26"/>
      <c r="M1056" s="26"/>
      <c r="N1056" s="26"/>
    </row>
    <row r="1057" spans="8:15">
      <c r="H1057" s="413" t="s">
        <v>2471</v>
      </c>
      <c r="I1057" s="26"/>
      <c r="J1057" s="26"/>
      <c r="K1057" s="26"/>
      <c r="L1057" s="26"/>
      <c r="M1057" s="26"/>
      <c r="N1057" s="26"/>
    </row>
    <row r="1058" spans="8:15">
      <c r="H1058" s="82" t="s">
        <v>19</v>
      </c>
      <c r="I1058" s="26"/>
      <c r="J1058" s="26"/>
      <c r="K1058" s="26"/>
      <c r="L1058" s="26"/>
      <c r="M1058" s="26"/>
      <c r="N1058" s="26"/>
    </row>
    <row r="1059" spans="8:15">
      <c r="H1059" s="26" t="s">
        <v>965</v>
      </c>
      <c r="I1059" s="26"/>
      <c r="J1059" s="26"/>
      <c r="K1059" s="26"/>
      <c r="L1059" s="26"/>
      <c r="M1059" s="26"/>
      <c r="N1059" s="26"/>
    </row>
    <row r="1060" spans="8:15">
      <c r="H1060" s="26" t="s">
        <v>21</v>
      </c>
      <c r="I1060" s="26"/>
      <c r="J1060" s="26"/>
      <c r="K1060" s="26"/>
      <c r="L1060" s="26"/>
      <c r="M1060" s="26"/>
      <c r="N1060" s="26"/>
    </row>
    <row r="1061" spans="8:15">
      <c r="H1061" s="26" t="s">
        <v>1229</v>
      </c>
      <c r="I1061" s="26"/>
      <c r="J1061" s="26"/>
      <c r="K1061" s="26"/>
      <c r="L1061" s="26"/>
      <c r="M1061" s="26"/>
      <c r="N1061" s="26"/>
    </row>
    <row r="1065" spans="8:15">
      <c r="K1065" s="30" t="s">
        <v>24</v>
      </c>
      <c r="M1065" s="30"/>
      <c r="N1065" s="30"/>
    </row>
    <row r="1066" spans="8:15">
      <c r="K1066" s="30" t="s">
        <v>149</v>
      </c>
      <c r="M1066" s="30"/>
      <c r="N1066" s="30"/>
    </row>
    <row r="1067" spans="8:15">
      <c r="K1067" s="605" t="s">
        <v>150</v>
      </c>
      <c r="L1067" s="605"/>
      <c r="M1067" s="605"/>
      <c r="N1067" s="605"/>
    </row>
    <row r="1070" spans="8:15" ht="18">
      <c r="H1070" s="26"/>
      <c r="I1070" s="26"/>
      <c r="J1070" s="26"/>
      <c r="K1070" s="644" t="s">
        <v>2347</v>
      </c>
      <c r="L1070" s="644"/>
      <c r="M1070" s="644"/>
      <c r="N1070" s="644"/>
      <c r="O1070" s="145"/>
    </row>
    <row r="1071" spans="8:15" ht="18">
      <c r="H1071" s="26"/>
      <c r="I1071" s="26"/>
      <c r="J1071" s="26"/>
      <c r="K1071" s="644"/>
      <c r="L1071" s="644"/>
      <c r="M1071" s="644"/>
      <c r="N1071" s="644"/>
      <c r="O1071" s="145"/>
    </row>
    <row r="1072" spans="8:15" ht="18.75" customHeight="1">
      <c r="H1072" s="617" t="s">
        <v>0</v>
      </c>
      <c r="I1072" s="617"/>
      <c r="J1072" s="617"/>
      <c r="K1072" s="617"/>
      <c r="L1072" s="617"/>
      <c r="M1072" s="617"/>
      <c r="N1072" s="617"/>
      <c r="O1072" s="617"/>
    </row>
    <row r="1075" spans="8:15" ht="49.5" customHeight="1">
      <c r="H1075" s="642" t="s">
        <v>1</v>
      </c>
      <c r="I1075" s="642"/>
      <c r="J1075" s="642"/>
      <c r="K1075" s="642"/>
      <c r="L1075" s="642"/>
      <c r="M1075" s="642"/>
      <c r="N1075" s="642"/>
      <c r="O1075" s="642"/>
    </row>
    <row r="1077" spans="8:15" ht="17.25">
      <c r="H1077" s="375"/>
      <c r="I1077" s="375" t="s">
        <v>1895</v>
      </c>
    </row>
    <row r="1078" spans="8:15" ht="17.25" thickBot="1">
      <c r="H1078" s="30"/>
      <c r="N1078" s="141"/>
    </row>
    <row r="1079" spans="8:15">
      <c r="I1079" s="30"/>
      <c r="M1079" s="143"/>
      <c r="O1079" s="144"/>
    </row>
    <row r="1080" spans="8:15">
      <c r="M1080" s="647" t="s">
        <v>1764</v>
      </c>
      <c r="N1080" s="610"/>
      <c r="O1080" s="648"/>
    </row>
    <row r="1081" spans="8:15">
      <c r="H1081" s="12" t="s">
        <v>114</v>
      </c>
      <c r="K1081" s="30" t="s">
        <v>2</v>
      </c>
      <c r="M1081" s="605" t="s">
        <v>760</v>
      </c>
      <c r="N1081" s="605"/>
      <c r="O1081" s="649"/>
    </row>
    <row r="1082" spans="8:15">
      <c r="M1082" s="601" t="s">
        <v>163</v>
      </c>
      <c r="N1082" s="602"/>
      <c r="O1082" s="603"/>
    </row>
    <row r="1083" spans="8:15" ht="17.25" thickBot="1">
      <c r="M1083" s="140"/>
      <c r="N1083" s="141"/>
      <c r="O1083" s="142"/>
    </row>
    <row r="1085" spans="8:15">
      <c r="H1085" s="30" t="s">
        <v>27</v>
      </c>
      <c r="I1085" s="394" t="s">
        <v>115</v>
      </c>
    </row>
    <row r="1086" spans="8:15" ht="17.25" thickBot="1"/>
    <row r="1087" spans="8:15" ht="17.25" thickBot="1">
      <c r="H1087" s="13" t="s">
        <v>112</v>
      </c>
      <c r="I1087" s="624" t="s">
        <v>4</v>
      </c>
      <c r="J1087" s="625"/>
      <c r="K1087" s="625"/>
      <c r="L1087" s="625"/>
      <c r="M1087" s="625"/>
      <c r="N1087" s="626"/>
      <c r="O1087" s="20" t="s">
        <v>5</v>
      </c>
    </row>
    <row r="1088" spans="8:15">
      <c r="H1088" s="633" t="s">
        <v>2272</v>
      </c>
      <c r="I1088" s="143"/>
      <c r="J1088" s="159"/>
      <c r="K1088" s="159"/>
      <c r="L1088" s="159"/>
      <c r="M1088" s="159"/>
      <c r="N1088" s="144"/>
      <c r="O1088" s="291"/>
    </row>
    <row r="1089" spans="8:15">
      <c r="H1089" s="634"/>
      <c r="I1089" s="64"/>
      <c r="N1089" s="65"/>
      <c r="O1089" s="291"/>
    </row>
    <row r="1090" spans="8:15">
      <c r="H1090" s="634"/>
      <c r="I1090" s="630" t="s">
        <v>286</v>
      </c>
      <c r="J1090" s="631"/>
      <c r="K1090" s="631"/>
      <c r="L1090" s="631"/>
      <c r="M1090" s="631"/>
      <c r="N1090" s="632"/>
      <c r="O1090" s="291"/>
    </row>
    <row r="1091" spans="8:15">
      <c r="H1091" s="634"/>
      <c r="I1091" s="636" t="s">
        <v>1774</v>
      </c>
      <c r="J1091" s="637"/>
      <c r="K1091" s="637"/>
      <c r="L1091" s="637"/>
      <c r="M1091" s="637"/>
      <c r="N1091" s="638"/>
      <c r="O1091" s="148">
        <v>7519800</v>
      </c>
    </row>
    <row r="1092" spans="8:15">
      <c r="H1092" s="634"/>
      <c r="I1092" s="64"/>
      <c r="J1092" s="604"/>
      <c r="K1092" s="604"/>
      <c r="L1092" s="604"/>
      <c r="N1092" s="65"/>
      <c r="O1092" s="291"/>
    </row>
    <row r="1093" spans="8:15" ht="17.25" thickBot="1">
      <c r="H1093" s="635"/>
      <c r="I1093" s="140"/>
      <c r="J1093" s="141"/>
      <c r="K1093" s="141"/>
      <c r="L1093" s="141"/>
      <c r="M1093" s="141"/>
      <c r="N1093" s="142"/>
      <c r="O1093" s="291"/>
    </row>
    <row r="1094" spans="8:15" ht="17.25" thickBot="1">
      <c r="H1094" s="20" t="s">
        <v>12</v>
      </c>
      <c r="I1094" s="614" t="s">
        <v>13</v>
      </c>
      <c r="J1094" s="615"/>
      <c r="K1094" s="62" t="s">
        <v>14</v>
      </c>
      <c r="L1094" s="63"/>
      <c r="M1094" s="62" t="s">
        <v>15</v>
      </c>
      <c r="N1094" s="62" t="s">
        <v>16</v>
      </c>
      <c r="O1094" s="20" t="s">
        <v>17</v>
      </c>
    </row>
    <row r="1095" spans="8:15" ht="18" thickBot="1">
      <c r="H1095" s="22" t="s">
        <v>18</v>
      </c>
      <c r="I1095" s="606">
        <f>+O1091</f>
        <v>7519800</v>
      </c>
      <c r="J1095" s="607"/>
      <c r="K1095" s="23">
        <f>0</f>
        <v>0</v>
      </c>
      <c r="L1095" s="24"/>
      <c r="M1095" s="25">
        <f>0</f>
        <v>0</v>
      </c>
      <c r="N1095" s="36">
        <f>+I1095</f>
        <v>7519800</v>
      </c>
      <c r="O1095" s="38">
        <f>+O1091</f>
        <v>7519800</v>
      </c>
    </row>
    <row r="1096" spans="8:15" ht="18" thickBot="1">
      <c r="H1096" s="22" t="s">
        <v>113</v>
      </c>
      <c r="I1096" s="606">
        <f>+I1095/650.599</f>
        <v>11558.271685016423</v>
      </c>
      <c r="J1096" s="607"/>
      <c r="K1096" s="23">
        <f>0</f>
        <v>0</v>
      </c>
      <c r="L1096" s="24"/>
      <c r="M1096" s="25">
        <f>0</f>
        <v>0</v>
      </c>
      <c r="N1096" s="36">
        <f>+I1096</f>
        <v>11558.271685016423</v>
      </c>
      <c r="O1096" s="38">
        <f>+N1096</f>
        <v>11558.271685016423</v>
      </c>
    </row>
    <row r="1098" spans="8:15">
      <c r="H1098" s="26" t="s">
        <v>1398</v>
      </c>
      <c r="I1098" s="26"/>
      <c r="J1098" s="26"/>
      <c r="K1098" s="26"/>
      <c r="L1098" s="26"/>
      <c r="M1098" s="26"/>
      <c r="N1098" s="26"/>
    </row>
    <row r="1099" spans="8:15">
      <c r="H1099" s="765" t="s">
        <v>1906</v>
      </c>
      <c r="I1099" s="765"/>
      <c r="J1099" s="765"/>
      <c r="K1099" s="765"/>
      <c r="L1099" s="765"/>
      <c r="M1099" s="765"/>
      <c r="N1099" s="765"/>
    </row>
    <row r="1100" spans="8:15">
      <c r="H1100" s="82" t="s">
        <v>19</v>
      </c>
      <c r="I1100" s="26"/>
      <c r="J1100" s="26"/>
      <c r="K1100" s="26"/>
      <c r="L1100" s="26"/>
      <c r="M1100" s="26"/>
      <c r="N1100" s="26"/>
    </row>
    <row r="1101" spans="8:15">
      <c r="H1101" s="26" t="s">
        <v>965</v>
      </c>
      <c r="I1101" s="26"/>
      <c r="J1101" s="26"/>
      <c r="K1101" s="26"/>
      <c r="L1101" s="26"/>
      <c r="M1101" s="26"/>
      <c r="N1101" s="26"/>
    </row>
    <row r="1102" spans="8:15">
      <c r="H1102" s="26" t="s">
        <v>21</v>
      </c>
      <c r="I1102" s="26"/>
      <c r="J1102" s="26"/>
      <c r="K1102" s="26"/>
      <c r="L1102" s="26"/>
      <c r="M1102" s="26"/>
      <c r="N1102" s="26"/>
    </row>
    <row r="1103" spans="8:15">
      <c r="H1103" s="26" t="s">
        <v>1229</v>
      </c>
      <c r="I1103" s="26"/>
      <c r="J1103" s="26"/>
      <c r="K1103" s="26"/>
      <c r="L1103" s="26"/>
      <c r="M1103" s="26"/>
      <c r="N1103" s="26"/>
    </row>
    <row r="1106" spans="8:15">
      <c r="K1106" s="30" t="s">
        <v>24</v>
      </c>
      <c r="M1106" s="30"/>
      <c r="N1106" s="30"/>
    </row>
    <row r="1107" spans="8:15">
      <c r="K1107" s="30" t="s">
        <v>149</v>
      </c>
      <c r="M1107" s="30"/>
      <c r="N1107" s="30"/>
    </row>
    <row r="1108" spans="8:15">
      <c r="K1108" s="605" t="s">
        <v>150</v>
      </c>
      <c r="L1108" s="605"/>
      <c r="M1108" s="605"/>
      <c r="N1108" s="605"/>
    </row>
    <row r="1109" spans="8:15">
      <c r="L1109" s="26"/>
      <c r="M1109" s="26"/>
      <c r="N1109" s="26"/>
    </row>
    <row r="1110" spans="8:15" ht="18">
      <c r="K1110" s="145"/>
      <c r="L1110" s="145"/>
      <c r="M1110" s="145"/>
      <c r="N1110" s="145"/>
    </row>
    <row r="1111" spans="8:15" ht="17.25">
      <c r="K1111" s="644" t="s">
        <v>2147</v>
      </c>
      <c r="L1111" s="644"/>
      <c r="M1111" s="644"/>
      <c r="N1111" s="644"/>
    </row>
    <row r="1112" spans="8:15" ht="18">
      <c r="K1112" s="145"/>
      <c r="L1112" s="145"/>
      <c r="M1112" s="145"/>
      <c r="N1112" s="145"/>
    </row>
    <row r="1113" spans="8:15" ht="18.75" customHeight="1">
      <c r="H1113" s="617" t="s">
        <v>2534</v>
      </c>
      <c r="I1113" s="617"/>
      <c r="J1113" s="617"/>
      <c r="K1113" s="617"/>
      <c r="L1113" s="617"/>
      <c r="M1113" s="617"/>
      <c r="N1113" s="617"/>
      <c r="O1113" s="617"/>
    </row>
    <row r="1116" spans="8:15" ht="49.5" customHeight="1">
      <c r="H1116" s="642" t="s">
        <v>1</v>
      </c>
      <c r="I1116" s="642"/>
      <c r="J1116" s="642"/>
      <c r="K1116" s="642"/>
      <c r="L1116" s="642"/>
      <c r="M1116" s="642"/>
      <c r="N1116" s="642"/>
      <c r="O1116" s="642"/>
    </row>
    <row r="1119" spans="8:15" ht="17.25">
      <c r="H1119" s="375"/>
      <c r="I1119" s="503" t="s">
        <v>2056</v>
      </c>
    </row>
    <row r="1120" spans="8:15" ht="17.25" thickBot="1">
      <c r="H1120" s="30"/>
      <c r="N1120" s="141"/>
    </row>
    <row r="1121" spans="8:15">
      <c r="I1121" s="30"/>
      <c r="M1121" s="143"/>
      <c r="O1121" s="144"/>
    </row>
    <row r="1122" spans="8:15">
      <c r="M1122" s="647" t="s">
        <v>1897</v>
      </c>
      <c r="N1122" s="610"/>
      <c r="O1122" s="648"/>
    </row>
    <row r="1123" spans="8:15">
      <c r="H1123" s="12" t="s">
        <v>114</v>
      </c>
      <c r="K1123" s="249" t="s">
        <v>2</v>
      </c>
      <c r="M1123" s="605" t="s">
        <v>760</v>
      </c>
      <c r="N1123" s="605"/>
      <c r="O1123" s="649"/>
    </row>
    <row r="1124" spans="8:15">
      <c r="M1124" s="601" t="s">
        <v>163</v>
      </c>
      <c r="N1124" s="602"/>
      <c r="O1124" s="603"/>
    </row>
    <row r="1125" spans="8:15" ht="17.25" thickBot="1">
      <c r="M1125" s="140"/>
      <c r="N1125" s="141"/>
      <c r="O1125" s="142"/>
    </row>
    <row r="1127" spans="8:15">
      <c r="H1127" s="250" t="s">
        <v>27</v>
      </c>
      <c r="I1127" s="394" t="s">
        <v>115</v>
      </c>
    </row>
    <row r="1128" spans="8:15" ht="17.25" thickBot="1"/>
    <row r="1129" spans="8:15" ht="17.25" customHeight="1" thickBot="1">
      <c r="H1129" s="13" t="s">
        <v>112</v>
      </c>
      <c r="I1129" s="624" t="s">
        <v>4</v>
      </c>
      <c r="J1129" s="625"/>
      <c r="K1129" s="625"/>
      <c r="L1129" s="625"/>
      <c r="M1129" s="625"/>
      <c r="N1129" s="626"/>
      <c r="O1129" s="20" t="s">
        <v>5</v>
      </c>
    </row>
    <row r="1130" spans="8:15" ht="16.5" customHeight="1">
      <c r="H1130" s="633" t="s">
        <v>2445</v>
      </c>
      <c r="I1130" s="143"/>
      <c r="J1130" s="159"/>
      <c r="K1130" s="159"/>
      <c r="L1130" s="159"/>
      <c r="M1130" s="159"/>
      <c r="N1130" s="144"/>
      <c r="O1130" s="291"/>
    </row>
    <row r="1131" spans="8:15">
      <c r="H1131" s="634"/>
      <c r="I1131" s="64"/>
      <c r="N1131" s="65"/>
      <c r="O1131" s="291"/>
    </row>
    <row r="1132" spans="8:15">
      <c r="H1132" s="634"/>
      <c r="I1132" s="66"/>
      <c r="J1132" s="367"/>
      <c r="K1132" s="367" t="s">
        <v>286</v>
      </c>
      <c r="L1132" s="367"/>
      <c r="M1132" s="367"/>
      <c r="N1132" s="67"/>
      <c r="O1132" s="291"/>
    </row>
    <row r="1133" spans="8:15">
      <c r="H1133" s="634"/>
      <c r="I1133" s="385"/>
      <c r="J1133" s="187"/>
      <c r="K1133" s="147" t="s">
        <v>2319</v>
      </c>
      <c r="L1133" s="187"/>
      <c r="M1133" s="187"/>
      <c r="N1133" s="132"/>
      <c r="O1133" s="148">
        <v>3600000</v>
      </c>
    </row>
    <row r="1134" spans="8:15">
      <c r="H1134" s="634"/>
      <c r="I1134" s="64"/>
      <c r="J1134" s="604"/>
      <c r="K1134" s="604"/>
      <c r="L1134" s="604"/>
      <c r="N1134" s="65"/>
      <c r="O1134" s="291"/>
    </row>
    <row r="1135" spans="8:15" ht="17.25" thickBot="1">
      <c r="H1135" s="635"/>
      <c r="I1135" s="140"/>
      <c r="J1135" s="141"/>
      <c r="K1135" s="141"/>
      <c r="L1135" s="141"/>
      <c r="M1135" s="141"/>
      <c r="N1135" s="142"/>
      <c r="O1135" s="291"/>
    </row>
    <row r="1136" spans="8:15" ht="17.25" thickBot="1">
      <c r="H1136" s="20" t="s">
        <v>12</v>
      </c>
      <c r="I1136" s="614" t="s">
        <v>13</v>
      </c>
      <c r="J1136" s="615"/>
      <c r="K1136" s="62" t="s">
        <v>14</v>
      </c>
      <c r="L1136" s="63"/>
      <c r="M1136" s="62" t="s">
        <v>15</v>
      </c>
      <c r="N1136" s="62" t="s">
        <v>16</v>
      </c>
      <c r="O1136" s="20" t="s">
        <v>17</v>
      </c>
    </row>
    <row r="1137" spans="8:15" ht="18" thickBot="1">
      <c r="H1137" s="22" t="s">
        <v>18</v>
      </c>
      <c r="I1137" s="606">
        <f>+O1133</f>
        <v>3600000</v>
      </c>
      <c r="J1137" s="607"/>
      <c r="K1137" s="23">
        <f>0</f>
        <v>0</v>
      </c>
      <c r="L1137" s="24"/>
      <c r="M1137" s="25">
        <f>0</f>
        <v>0</v>
      </c>
      <c r="N1137" s="36">
        <f>+I1137</f>
        <v>3600000</v>
      </c>
      <c r="O1137" s="38">
        <f>+O1133</f>
        <v>3600000</v>
      </c>
    </row>
    <row r="1138" spans="8:15" ht="18" thickBot="1">
      <c r="H1138" s="22" t="s">
        <v>113</v>
      </c>
      <c r="I1138" s="606">
        <f>+I1137/650.599</f>
        <v>5533.362332250741</v>
      </c>
      <c r="J1138" s="607"/>
      <c r="K1138" s="23">
        <f>0</f>
        <v>0</v>
      </c>
      <c r="L1138" s="24"/>
      <c r="M1138" s="25">
        <f>0</f>
        <v>0</v>
      </c>
      <c r="N1138" s="36">
        <f>+I1138</f>
        <v>5533.362332250741</v>
      </c>
      <c r="O1138" s="38">
        <f>+N1138</f>
        <v>5533.362332250741</v>
      </c>
    </row>
    <row r="1140" spans="8:15">
      <c r="H1140" s="410" t="s">
        <v>1268</v>
      </c>
      <c r="I1140" s="26"/>
      <c r="J1140" s="26"/>
      <c r="K1140" s="26"/>
      <c r="L1140" s="26"/>
      <c r="M1140" s="26"/>
      <c r="N1140" s="26"/>
    </row>
    <row r="1141" spans="8:15">
      <c r="H1141" s="411" t="s">
        <v>2320</v>
      </c>
      <c r="I1141" s="26"/>
      <c r="J1141" s="26"/>
      <c r="K1141" s="26"/>
      <c r="L1141" s="26"/>
      <c r="M1141" s="26"/>
      <c r="N1141" s="26"/>
    </row>
    <row r="1142" spans="8:15">
      <c r="H1142" s="82" t="s">
        <v>19</v>
      </c>
      <c r="I1142" s="26"/>
      <c r="J1142" s="26"/>
      <c r="K1142" s="26"/>
      <c r="L1142" s="26"/>
      <c r="M1142" s="26"/>
      <c r="N1142" s="26"/>
    </row>
    <row r="1143" spans="8:15">
      <c r="H1143" s="26" t="s">
        <v>965</v>
      </c>
      <c r="I1143" s="26"/>
      <c r="J1143" s="26"/>
      <c r="K1143" s="26"/>
      <c r="L1143" s="26"/>
      <c r="M1143" s="26"/>
      <c r="N1143" s="26"/>
    </row>
    <row r="1144" spans="8:15">
      <c r="H1144" s="26" t="s">
        <v>21</v>
      </c>
      <c r="I1144" s="26"/>
      <c r="J1144" s="26"/>
      <c r="K1144" s="26"/>
      <c r="L1144" s="26"/>
      <c r="M1144" s="26"/>
      <c r="N1144" s="26"/>
    </row>
    <row r="1145" spans="8:15">
      <c r="H1145" s="26" t="s">
        <v>1229</v>
      </c>
      <c r="I1145" s="26"/>
      <c r="J1145" s="26"/>
      <c r="K1145" s="26"/>
      <c r="L1145" s="26"/>
      <c r="M1145" s="26"/>
      <c r="N1145" s="26"/>
    </row>
    <row r="1148" spans="8:15">
      <c r="K1148" s="30" t="s">
        <v>24</v>
      </c>
      <c r="M1148" s="30"/>
      <c r="N1148" s="30"/>
    </row>
    <row r="1149" spans="8:15">
      <c r="K1149" s="30" t="s">
        <v>149</v>
      </c>
      <c r="M1149" s="30"/>
      <c r="N1149" s="30"/>
    </row>
    <row r="1150" spans="8:15">
      <c r="K1150" s="605" t="s">
        <v>150</v>
      </c>
      <c r="L1150" s="605"/>
      <c r="M1150" s="605"/>
      <c r="N1150" s="605"/>
    </row>
    <row r="1151" spans="8:15">
      <c r="K1151" s="30"/>
    </row>
    <row r="1152" spans="8:15">
      <c r="L1152" s="26"/>
      <c r="M1152" s="26"/>
      <c r="N1152" s="26"/>
    </row>
    <row r="1153" spans="8:15" ht="17.25">
      <c r="K1153" s="644" t="s">
        <v>2347</v>
      </c>
      <c r="L1153" s="644"/>
      <c r="M1153" s="644"/>
      <c r="N1153" s="644"/>
    </row>
    <row r="1154" spans="8:15" ht="18">
      <c r="H1154" s="26"/>
      <c r="I1154" s="26"/>
      <c r="J1154" s="26"/>
      <c r="K1154" s="644"/>
      <c r="L1154" s="644"/>
      <c r="M1154" s="644"/>
      <c r="N1154" s="644"/>
      <c r="O1154" s="145"/>
    </row>
    <row r="1155" spans="8:15" ht="19.5" customHeight="1">
      <c r="H1155" s="617" t="s">
        <v>0</v>
      </c>
      <c r="I1155" s="617"/>
      <c r="J1155" s="617"/>
      <c r="K1155" s="617"/>
      <c r="L1155" s="617"/>
      <c r="M1155" s="617"/>
      <c r="N1155" s="617"/>
      <c r="O1155" s="617"/>
    </row>
    <row r="1158" spans="8:15" ht="49.5" customHeight="1">
      <c r="H1158" s="661" t="s">
        <v>1</v>
      </c>
      <c r="I1158" s="661"/>
      <c r="J1158" s="661"/>
      <c r="K1158" s="661"/>
      <c r="L1158" s="661"/>
      <c r="M1158" s="661"/>
      <c r="N1158" s="661"/>
      <c r="O1158" s="661"/>
    </row>
    <row r="1161" spans="8:15" ht="17.25">
      <c r="H1161" s="375"/>
      <c r="I1161" s="503" t="s">
        <v>2476</v>
      </c>
    </row>
    <row r="1162" spans="8:15" ht="17.25" thickBot="1">
      <c r="H1162" s="30"/>
      <c r="N1162" s="141"/>
    </row>
    <row r="1163" spans="8:15">
      <c r="I1163" s="30"/>
      <c r="M1163" s="143"/>
      <c r="O1163" s="144"/>
    </row>
    <row r="1164" spans="8:15">
      <c r="M1164" s="647" t="s">
        <v>555</v>
      </c>
      <c r="N1164" s="610"/>
      <c r="O1164" s="648"/>
    </row>
    <row r="1165" spans="8:15">
      <c r="H1165" s="186" t="s">
        <v>114</v>
      </c>
      <c r="K1165" s="249" t="s">
        <v>2</v>
      </c>
      <c r="M1165" s="605" t="s">
        <v>1676</v>
      </c>
      <c r="N1165" s="605"/>
      <c r="O1165" s="649"/>
    </row>
    <row r="1166" spans="8:15">
      <c r="M1166" s="601" t="s">
        <v>163</v>
      </c>
      <c r="N1166" s="602"/>
      <c r="O1166" s="603"/>
    </row>
    <row r="1167" spans="8:15" ht="18" thickBot="1">
      <c r="H1167" s="249"/>
      <c r="I1167" s="375"/>
      <c r="M1167" s="140"/>
      <c r="N1167" s="141"/>
      <c r="O1167" s="142"/>
    </row>
    <row r="1169" spans="8:15">
      <c r="H1169" s="30" t="s">
        <v>27</v>
      </c>
      <c r="I1169" s="394" t="s">
        <v>115</v>
      </c>
    </row>
    <row r="1170" spans="8:15" ht="17.25" thickBot="1"/>
    <row r="1171" spans="8:15" ht="17.25" customHeight="1" thickBot="1">
      <c r="H1171" s="13" t="s">
        <v>112</v>
      </c>
      <c r="I1171" s="624" t="s">
        <v>4</v>
      </c>
      <c r="J1171" s="625"/>
      <c r="K1171" s="625"/>
      <c r="L1171" s="625"/>
      <c r="M1171" s="625"/>
      <c r="N1171" s="626"/>
      <c r="O1171" s="20" t="s">
        <v>5</v>
      </c>
    </row>
    <row r="1172" spans="8:15" ht="16.5" customHeight="1">
      <c r="H1172" s="633" t="s">
        <v>2445</v>
      </c>
      <c r="I1172" s="143"/>
      <c r="J1172" s="159"/>
      <c r="K1172" s="159"/>
      <c r="L1172" s="159"/>
      <c r="M1172" s="159"/>
      <c r="N1172" s="144"/>
      <c r="O1172" s="291"/>
    </row>
    <row r="1173" spans="8:15">
      <c r="H1173" s="634"/>
      <c r="I1173" s="64"/>
      <c r="N1173" s="65"/>
      <c r="O1173" s="291"/>
    </row>
    <row r="1174" spans="8:15">
      <c r="H1174" s="634"/>
      <c r="I1174" s="630" t="s">
        <v>286</v>
      </c>
      <c r="J1174" s="631"/>
      <c r="K1174" s="631"/>
      <c r="L1174" s="631"/>
      <c r="M1174" s="631"/>
      <c r="N1174" s="632"/>
      <c r="O1174" s="291"/>
    </row>
    <row r="1175" spans="8:15">
      <c r="H1175" s="634"/>
      <c r="I1175" s="636" t="s">
        <v>2322</v>
      </c>
      <c r="J1175" s="637"/>
      <c r="K1175" s="637"/>
      <c r="L1175" s="637"/>
      <c r="M1175" s="637"/>
      <c r="N1175" s="638"/>
      <c r="O1175" s="148">
        <v>3300000</v>
      </c>
    </row>
    <row r="1176" spans="8:15" ht="17.25" thickBot="1">
      <c r="H1176" s="634"/>
      <c r="I1176" s="64"/>
      <c r="J1176" s="604"/>
      <c r="K1176" s="604"/>
      <c r="L1176" s="604"/>
      <c r="N1176" s="65"/>
      <c r="O1176" s="291"/>
    </row>
    <row r="1177" spans="8:15" ht="17.25" thickBot="1">
      <c r="H1177" s="20" t="s">
        <v>12</v>
      </c>
      <c r="I1177" s="611" t="s">
        <v>13</v>
      </c>
      <c r="J1177" s="612"/>
      <c r="K1177" s="21" t="s">
        <v>14</v>
      </c>
      <c r="L1177" s="20"/>
      <c r="M1177" s="21" t="s">
        <v>15</v>
      </c>
      <c r="N1177" s="364" t="s">
        <v>16</v>
      </c>
      <c r="O1177" s="20" t="s">
        <v>17</v>
      </c>
    </row>
    <row r="1178" spans="8:15" ht="18" thickBot="1">
      <c r="H1178" s="22" t="s">
        <v>18</v>
      </c>
      <c r="I1178" s="769">
        <f>+O1175</f>
        <v>3300000</v>
      </c>
      <c r="J1178" s="770"/>
      <c r="K1178" s="459">
        <f>0</f>
        <v>0</v>
      </c>
      <c r="L1178" s="24"/>
      <c r="M1178" s="460">
        <f>0</f>
        <v>0</v>
      </c>
      <c r="N1178" s="36">
        <f>+I1178</f>
        <v>3300000</v>
      </c>
      <c r="O1178" s="38">
        <f>+O1175</f>
        <v>3300000</v>
      </c>
    </row>
    <row r="1179" spans="8:15" ht="18" thickBot="1">
      <c r="H1179" s="22" t="s">
        <v>113</v>
      </c>
      <c r="I1179" s="606">
        <f>+I1178/650.599</f>
        <v>5072.248804563179</v>
      </c>
      <c r="J1179" s="607"/>
      <c r="K1179" s="23">
        <f>0</f>
        <v>0</v>
      </c>
      <c r="L1179" s="24"/>
      <c r="M1179" s="25">
        <f>0</f>
        <v>0</v>
      </c>
      <c r="N1179" s="36">
        <f>+I1179</f>
        <v>5072.248804563179</v>
      </c>
      <c r="O1179" s="38">
        <f>+N1179</f>
        <v>5072.248804563179</v>
      </c>
    </row>
    <row r="1181" spans="8:15">
      <c r="H1181" s="412" t="s">
        <v>1430</v>
      </c>
      <c r="I1181" s="26"/>
      <c r="J1181" s="26"/>
      <c r="K1181" s="26"/>
      <c r="L1181" s="26"/>
      <c r="M1181" s="26"/>
      <c r="N1181" s="26"/>
    </row>
    <row r="1182" spans="8:15">
      <c r="H1182" s="413" t="s">
        <v>2477</v>
      </c>
      <c r="I1182" s="26"/>
      <c r="J1182" s="26"/>
      <c r="K1182" s="26"/>
      <c r="L1182" s="26"/>
      <c r="M1182" s="26"/>
      <c r="N1182" s="26"/>
    </row>
    <row r="1183" spans="8:15">
      <c r="H1183" s="82" t="s">
        <v>19</v>
      </c>
      <c r="I1183" s="26"/>
      <c r="J1183" s="26"/>
      <c r="K1183" s="26"/>
      <c r="L1183" s="26"/>
      <c r="M1183" s="26"/>
      <c r="N1183" s="26"/>
    </row>
    <row r="1184" spans="8:15">
      <c r="H1184" s="26" t="s">
        <v>965</v>
      </c>
      <c r="I1184" s="26"/>
      <c r="J1184" s="26"/>
      <c r="K1184" s="26"/>
      <c r="L1184" s="26"/>
      <c r="M1184" s="26"/>
      <c r="N1184" s="26"/>
    </row>
    <row r="1185" spans="8:15">
      <c r="H1185" s="26" t="s">
        <v>21</v>
      </c>
      <c r="I1185" s="26"/>
      <c r="J1185" s="26"/>
      <c r="K1185" s="26"/>
      <c r="L1185" s="26"/>
      <c r="M1185" s="26"/>
      <c r="N1185" s="26"/>
    </row>
    <row r="1186" spans="8:15">
      <c r="H1186" s="26" t="s">
        <v>1229</v>
      </c>
      <c r="I1186" s="26"/>
      <c r="J1186" s="26"/>
      <c r="K1186" s="26"/>
      <c r="L1186" s="26"/>
      <c r="M1186" s="26"/>
      <c r="N1186" s="26"/>
    </row>
    <row r="1189" spans="8:15">
      <c r="K1189" s="30" t="s">
        <v>24</v>
      </c>
      <c r="M1189" s="30"/>
      <c r="N1189" s="30"/>
    </row>
    <row r="1190" spans="8:15">
      <c r="K1190" s="30" t="s">
        <v>149</v>
      </c>
      <c r="M1190" s="30"/>
      <c r="N1190" s="30"/>
    </row>
    <row r="1191" spans="8:15">
      <c r="K1191" s="605" t="s">
        <v>150</v>
      </c>
      <c r="L1191" s="605"/>
      <c r="M1191" s="605"/>
      <c r="N1191" s="605"/>
    </row>
    <row r="1192" spans="8:15">
      <c r="L1192" s="26"/>
      <c r="M1192" s="26"/>
      <c r="N1192" s="26"/>
    </row>
    <row r="1193" spans="8:15" ht="18">
      <c r="K1193" s="145"/>
      <c r="L1193" s="145"/>
      <c r="M1193" s="145"/>
      <c r="N1193" s="145"/>
    </row>
    <row r="1194" spans="8:15" ht="18">
      <c r="H1194" s="26"/>
      <c r="I1194" s="26"/>
      <c r="J1194" s="26"/>
      <c r="K1194" s="644" t="s">
        <v>2347</v>
      </c>
      <c r="L1194" s="644"/>
      <c r="M1194" s="644"/>
      <c r="N1194" s="644"/>
      <c r="O1194" s="145"/>
    </row>
    <row r="1195" spans="8:15" ht="18">
      <c r="H1195" s="26"/>
      <c r="I1195" s="26"/>
      <c r="J1195" s="26"/>
      <c r="K1195" s="26"/>
      <c r="L1195" s="373"/>
      <c r="M1195" s="373"/>
      <c r="N1195" s="373"/>
      <c r="O1195" s="145"/>
    </row>
    <row r="1196" spans="8:15" ht="18.75" customHeight="1">
      <c r="H1196" s="617" t="s">
        <v>2529</v>
      </c>
      <c r="I1196" s="617"/>
      <c r="J1196" s="617"/>
      <c r="K1196" s="617"/>
      <c r="L1196" s="617"/>
      <c r="M1196" s="617"/>
      <c r="N1196" s="617"/>
      <c r="O1196" s="617"/>
    </row>
    <row r="1199" spans="8:15" ht="49.5" customHeight="1">
      <c r="H1199" s="661" t="s">
        <v>1</v>
      </c>
      <c r="I1199" s="661"/>
      <c r="J1199" s="661"/>
      <c r="K1199" s="661"/>
      <c r="L1199" s="661"/>
      <c r="M1199" s="661"/>
      <c r="N1199" s="661"/>
      <c r="O1199" s="661"/>
    </row>
    <row r="1202" spans="8:15" ht="17.25">
      <c r="I1202" s="375" t="s">
        <v>1392</v>
      </c>
    </row>
    <row r="1203" spans="8:15" ht="17.25" thickBot="1">
      <c r="H1203" s="30"/>
      <c r="N1203" s="141"/>
    </row>
    <row r="1204" spans="8:15">
      <c r="I1204" s="30"/>
      <c r="M1204" s="143"/>
      <c r="O1204" s="144"/>
    </row>
    <row r="1205" spans="8:15">
      <c r="M1205" s="647" t="s">
        <v>555</v>
      </c>
      <c r="N1205" s="610"/>
      <c r="O1205" s="648"/>
    </row>
    <row r="1206" spans="8:15">
      <c r="H1206" s="12" t="s">
        <v>114</v>
      </c>
      <c r="K1206" s="249" t="s">
        <v>2</v>
      </c>
      <c r="M1206" s="605" t="s">
        <v>1676</v>
      </c>
      <c r="N1206" s="605"/>
      <c r="O1206" s="649"/>
    </row>
    <row r="1207" spans="8:15">
      <c r="M1207" s="601" t="s">
        <v>163</v>
      </c>
      <c r="N1207" s="602"/>
      <c r="O1207" s="603"/>
    </row>
    <row r="1208" spans="8:15" ht="17.25" thickBot="1">
      <c r="M1208" s="140"/>
      <c r="N1208" s="141"/>
      <c r="O1208" s="142"/>
    </row>
    <row r="1210" spans="8:15">
      <c r="H1210" s="249" t="s">
        <v>27</v>
      </c>
      <c r="I1210" s="394" t="s">
        <v>115</v>
      </c>
    </row>
    <row r="1211" spans="8:15" ht="17.25" thickBot="1"/>
    <row r="1212" spans="8:15" ht="17.25" customHeight="1" thickBot="1">
      <c r="H1212" s="13" t="s">
        <v>112</v>
      </c>
      <c r="I1212" s="624" t="s">
        <v>4</v>
      </c>
      <c r="J1212" s="625"/>
      <c r="K1212" s="625"/>
      <c r="L1212" s="625"/>
      <c r="M1212" s="625"/>
      <c r="N1212" s="626"/>
      <c r="O1212" s="20" t="s">
        <v>5</v>
      </c>
    </row>
    <row r="1213" spans="8:15" ht="16.5" customHeight="1">
      <c r="H1213" s="633" t="s">
        <v>2445</v>
      </c>
      <c r="I1213" s="143"/>
      <c r="J1213" s="159"/>
      <c r="K1213" s="159"/>
      <c r="L1213" s="159"/>
      <c r="M1213" s="159"/>
      <c r="N1213" s="144"/>
      <c r="O1213" s="291"/>
    </row>
    <row r="1214" spans="8:15">
      <c r="H1214" s="634"/>
      <c r="I1214" s="64"/>
      <c r="N1214" s="65"/>
      <c r="O1214" s="291"/>
    </row>
    <row r="1215" spans="8:15">
      <c r="H1215" s="634"/>
      <c r="I1215" s="630" t="s">
        <v>286</v>
      </c>
      <c r="J1215" s="631"/>
      <c r="K1215" s="631"/>
      <c r="L1215" s="631"/>
      <c r="M1215" s="631"/>
      <c r="N1215" s="632"/>
      <c r="O1215" s="291"/>
    </row>
    <row r="1216" spans="8:15">
      <c r="H1216" s="634"/>
      <c r="I1216" s="636" t="s">
        <v>2438</v>
      </c>
      <c r="J1216" s="637"/>
      <c r="K1216" s="637"/>
      <c r="L1216" s="637"/>
      <c r="M1216" s="637"/>
      <c r="N1216" s="638"/>
      <c r="O1216" s="148">
        <v>1392800</v>
      </c>
    </row>
    <row r="1217" spans="8:15" ht="17.25" thickBot="1">
      <c r="H1217" s="635"/>
      <c r="I1217" s="140"/>
      <c r="J1217" s="141"/>
      <c r="K1217" s="141"/>
      <c r="L1217" s="141"/>
      <c r="M1217" s="141"/>
      <c r="N1217" s="142"/>
      <c r="O1217" s="291"/>
    </row>
    <row r="1218" spans="8:15" ht="17.25" thickBot="1">
      <c r="H1218" s="20" t="s">
        <v>12</v>
      </c>
      <c r="I1218" s="614" t="s">
        <v>13</v>
      </c>
      <c r="J1218" s="615"/>
      <c r="K1218" s="62" t="s">
        <v>14</v>
      </c>
      <c r="L1218" s="63"/>
      <c r="M1218" s="62" t="s">
        <v>15</v>
      </c>
      <c r="N1218" s="62" t="s">
        <v>16</v>
      </c>
      <c r="O1218" s="20" t="s">
        <v>17</v>
      </c>
    </row>
    <row r="1219" spans="8:15" ht="18" thickBot="1">
      <c r="H1219" s="22" t="s">
        <v>18</v>
      </c>
      <c r="I1219" s="606">
        <f>+O1216</f>
        <v>1392800</v>
      </c>
      <c r="J1219" s="607"/>
      <c r="K1219" s="23">
        <f>0</f>
        <v>0</v>
      </c>
      <c r="L1219" s="24"/>
      <c r="M1219" s="25">
        <f>0</f>
        <v>0</v>
      </c>
      <c r="N1219" s="36">
        <f>+I1219</f>
        <v>1392800</v>
      </c>
      <c r="O1219" s="38">
        <f>+O1216</f>
        <v>1392800</v>
      </c>
    </row>
    <row r="1220" spans="8:15" ht="18" thickBot="1">
      <c r="H1220" s="22" t="s">
        <v>113</v>
      </c>
      <c r="I1220" s="606">
        <f>+I1219/650.599</f>
        <v>2140.7964045441199</v>
      </c>
      <c r="J1220" s="607"/>
      <c r="K1220" s="23">
        <f>0</f>
        <v>0</v>
      </c>
      <c r="L1220" s="24"/>
      <c r="M1220" s="25">
        <f>0</f>
        <v>0</v>
      </c>
      <c r="N1220" s="36">
        <f>+I1220</f>
        <v>2140.7964045441199</v>
      </c>
      <c r="O1220" s="38">
        <f>+N1220</f>
        <v>2140.7964045441199</v>
      </c>
    </row>
    <row r="1222" spans="8:15">
      <c r="H1222" s="395" t="s">
        <v>1268</v>
      </c>
      <c r="I1222" s="26"/>
      <c r="J1222" s="26"/>
      <c r="K1222" s="26"/>
      <c r="L1222" s="26"/>
      <c r="M1222" s="26"/>
      <c r="N1222" s="26"/>
    </row>
    <row r="1223" spans="8:15">
      <c r="H1223" s="413" t="s">
        <v>2528</v>
      </c>
      <c r="I1223" s="26"/>
      <c r="J1223" s="26"/>
      <c r="K1223" s="26"/>
      <c r="L1223" s="26"/>
      <c r="M1223" s="26"/>
      <c r="N1223" s="26"/>
    </row>
    <row r="1224" spans="8:15">
      <c r="H1224" s="82" t="s">
        <v>19</v>
      </c>
      <c r="I1224" s="26"/>
      <c r="J1224" s="26"/>
      <c r="K1224" s="26"/>
      <c r="L1224" s="26"/>
      <c r="M1224" s="26"/>
      <c r="N1224" s="26"/>
    </row>
    <row r="1225" spans="8:15">
      <c r="H1225" s="26" t="s">
        <v>965</v>
      </c>
      <c r="I1225" s="26"/>
      <c r="J1225" s="26"/>
      <c r="K1225" s="26"/>
      <c r="L1225" s="26"/>
      <c r="M1225" s="26"/>
      <c r="N1225" s="26"/>
    </row>
    <row r="1226" spans="8:15">
      <c r="H1226" s="26" t="s">
        <v>21</v>
      </c>
      <c r="I1226" s="26"/>
      <c r="J1226" s="26"/>
      <c r="K1226" s="26"/>
      <c r="L1226" s="26"/>
      <c r="M1226" s="26"/>
      <c r="N1226" s="26"/>
    </row>
    <row r="1227" spans="8:15">
      <c r="H1227" s="26" t="s">
        <v>1229</v>
      </c>
      <c r="I1227" s="26"/>
      <c r="J1227" s="26"/>
      <c r="K1227" s="26"/>
      <c r="L1227" s="26"/>
      <c r="M1227" s="26"/>
      <c r="N1227" s="26"/>
    </row>
    <row r="1230" spans="8:15">
      <c r="K1230" s="30" t="s">
        <v>24</v>
      </c>
      <c r="M1230" s="30"/>
      <c r="N1230" s="30"/>
    </row>
    <row r="1231" spans="8:15">
      <c r="K1231" s="30" t="s">
        <v>149</v>
      </c>
      <c r="M1231" s="30"/>
      <c r="N1231" s="30"/>
    </row>
    <row r="1232" spans="8:15">
      <c r="K1232" s="605" t="s">
        <v>150</v>
      </c>
      <c r="L1232" s="605"/>
      <c r="M1232" s="605"/>
      <c r="N1232" s="605"/>
    </row>
    <row r="1233" spans="8:15">
      <c r="K1233" s="30"/>
    </row>
    <row r="1234" spans="8:15">
      <c r="L1234" s="26"/>
      <c r="M1234" s="26"/>
      <c r="N1234" s="26"/>
    </row>
    <row r="1235" spans="8:15" ht="18">
      <c r="K1235" s="145"/>
      <c r="L1235" s="145"/>
      <c r="M1235" s="145"/>
      <c r="N1235" s="145"/>
    </row>
    <row r="1236" spans="8:15" ht="18">
      <c r="H1236" s="26"/>
      <c r="I1236" s="26"/>
      <c r="J1236" s="26"/>
      <c r="K1236" s="644" t="s">
        <v>2347</v>
      </c>
      <c r="L1236" s="644"/>
      <c r="M1236" s="644"/>
      <c r="N1236" s="644"/>
      <c r="O1236" s="145"/>
    </row>
    <row r="1237" spans="8:15" ht="18">
      <c r="H1237" s="26"/>
      <c r="I1237" s="26"/>
      <c r="J1237" s="26"/>
      <c r="K1237" s="26"/>
      <c r="L1237" s="373"/>
      <c r="M1237" s="373"/>
      <c r="N1237" s="373"/>
      <c r="O1237" s="145"/>
    </row>
    <row r="1238" spans="8:15">
      <c r="H1238" s="617" t="s">
        <v>0</v>
      </c>
      <c r="I1238" s="617"/>
      <c r="J1238" s="617"/>
      <c r="K1238" s="617"/>
      <c r="L1238" s="617"/>
      <c r="M1238" s="617"/>
      <c r="N1238" s="617"/>
      <c r="O1238" s="617"/>
    </row>
    <row r="1241" spans="8:15" ht="49.5" customHeight="1">
      <c r="H1241" s="661" t="s">
        <v>1</v>
      </c>
      <c r="I1241" s="661"/>
      <c r="J1241" s="661"/>
      <c r="K1241" s="661"/>
      <c r="L1241" s="661"/>
      <c r="M1241" s="661"/>
      <c r="N1241" s="661"/>
      <c r="O1241" s="661"/>
    </row>
    <row r="1244" spans="8:15" ht="17.25">
      <c r="H1244" s="375" t="s">
        <v>1758</v>
      </c>
    </row>
    <row r="1245" spans="8:15" ht="17.25" thickBot="1">
      <c r="H1245" s="30"/>
      <c r="N1245" s="141"/>
    </row>
    <row r="1246" spans="8:15">
      <c r="I1246" s="30"/>
      <c r="M1246" s="143"/>
      <c r="O1246" s="144"/>
    </row>
    <row r="1247" spans="8:15">
      <c r="M1247" s="647" t="s">
        <v>1755</v>
      </c>
      <c r="N1247" s="610"/>
      <c r="O1247" s="648"/>
    </row>
    <row r="1248" spans="8:15">
      <c r="H1248" s="12" t="s">
        <v>114</v>
      </c>
      <c r="K1248" s="249" t="s">
        <v>2</v>
      </c>
      <c r="M1248" s="622" t="s">
        <v>1756</v>
      </c>
      <c r="N1248" s="622"/>
      <c r="O1248" s="623"/>
    </row>
    <row r="1249" spans="8:15">
      <c r="M1249" s="601" t="s">
        <v>163</v>
      </c>
      <c r="N1249" s="602"/>
      <c r="O1249" s="603"/>
    </row>
    <row r="1250" spans="8:15" ht="17.25" thickBot="1">
      <c r="M1250" s="140"/>
      <c r="N1250" s="141"/>
      <c r="O1250" s="142"/>
    </row>
    <row r="1252" spans="8:15">
      <c r="H1252" s="30" t="s">
        <v>27</v>
      </c>
      <c r="I1252" s="30" t="s">
        <v>148</v>
      </c>
    </row>
    <row r="1253" spans="8:15" ht="17.25" thickBot="1"/>
    <row r="1254" spans="8:15" ht="17.25" thickBot="1">
      <c r="H1254" s="13" t="s">
        <v>112</v>
      </c>
      <c r="I1254" s="624" t="s">
        <v>4</v>
      </c>
      <c r="J1254" s="625"/>
      <c r="K1254" s="625"/>
      <c r="L1254" s="625"/>
      <c r="M1254" s="625"/>
      <c r="N1254" s="626"/>
      <c r="O1254" s="20" t="s">
        <v>5</v>
      </c>
    </row>
    <row r="1255" spans="8:15">
      <c r="H1255" s="633" t="s">
        <v>1716</v>
      </c>
      <c r="I1255" s="143"/>
      <c r="J1255" s="159"/>
      <c r="K1255" s="159"/>
      <c r="L1255" s="159"/>
      <c r="M1255" s="159"/>
      <c r="N1255" s="144"/>
      <c r="O1255" s="291"/>
    </row>
    <row r="1256" spans="8:15">
      <c r="H1256" s="634"/>
      <c r="I1256" s="64"/>
      <c r="N1256" s="65"/>
      <c r="O1256" s="291"/>
    </row>
    <row r="1257" spans="8:15">
      <c r="H1257" s="634"/>
      <c r="I1257" s="630" t="s">
        <v>286</v>
      </c>
      <c r="J1257" s="631"/>
      <c r="K1257" s="631"/>
      <c r="L1257" s="631"/>
      <c r="M1257" s="631"/>
      <c r="N1257" s="632"/>
      <c r="O1257" s="291"/>
    </row>
    <row r="1258" spans="8:15">
      <c r="H1258" s="634"/>
      <c r="I1258" s="636" t="s">
        <v>1754</v>
      </c>
      <c r="J1258" s="637"/>
      <c r="K1258" s="637"/>
      <c r="L1258" s="637"/>
      <c r="M1258" s="637"/>
      <c r="N1258" s="638"/>
      <c r="O1258" s="148">
        <v>3780000</v>
      </c>
    </row>
    <row r="1259" spans="8:15">
      <c r="H1259" s="634"/>
      <c r="I1259" s="64"/>
      <c r="J1259" s="604"/>
      <c r="K1259" s="604"/>
      <c r="L1259" s="604"/>
      <c r="N1259" s="65"/>
      <c r="O1259" s="291"/>
    </row>
    <row r="1260" spans="8:15" ht="17.25" thickBot="1">
      <c r="H1260" s="635"/>
      <c r="I1260" s="140"/>
      <c r="J1260" s="141"/>
      <c r="K1260" s="141"/>
      <c r="L1260" s="141"/>
      <c r="M1260" s="141"/>
      <c r="N1260" s="142"/>
      <c r="O1260" s="291"/>
    </row>
    <row r="1261" spans="8:15" ht="17.25" thickBot="1">
      <c r="H1261" s="20" t="s">
        <v>12</v>
      </c>
      <c r="I1261" s="614" t="s">
        <v>13</v>
      </c>
      <c r="J1261" s="615"/>
      <c r="K1261" s="62" t="s">
        <v>14</v>
      </c>
      <c r="L1261" s="63"/>
      <c r="M1261" s="62" t="s">
        <v>15</v>
      </c>
      <c r="N1261" s="62" t="s">
        <v>16</v>
      </c>
      <c r="O1261" s="20" t="s">
        <v>17</v>
      </c>
    </row>
    <row r="1262" spans="8:15" ht="18" thickBot="1">
      <c r="H1262" s="22" t="s">
        <v>18</v>
      </c>
      <c r="I1262" s="606">
        <f>+O1258</f>
        <v>3780000</v>
      </c>
      <c r="J1262" s="607"/>
      <c r="K1262" s="23">
        <f>0</f>
        <v>0</v>
      </c>
      <c r="L1262" s="24"/>
      <c r="M1262" s="25">
        <f>0</f>
        <v>0</v>
      </c>
      <c r="N1262" s="36">
        <f>+I1262</f>
        <v>3780000</v>
      </c>
      <c r="O1262" s="38">
        <f>+O1258</f>
        <v>3780000</v>
      </c>
    </row>
    <row r="1263" spans="8:15" ht="18" thickBot="1">
      <c r="H1263" s="22" t="s">
        <v>113</v>
      </c>
      <c r="I1263" s="606">
        <f>+I1262/650.599</f>
        <v>5810.0304488632783</v>
      </c>
      <c r="J1263" s="607"/>
      <c r="K1263" s="23">
        <f>0</f>
        <v>0</v>
      </c>
      <c r="L1263" s="24"/>
      <c r="M1263" s="25">
        <f>0</f>
        <v>0</v>
      </c>
      <c r="N1263" s="36">
        <f>+I1263</f>
        <v>5810.0304488632783</v>
      </c>
      <c r="O1263" s="38">
        <f>+N1263</f>
        <v>5810.0304488632783</v>
      </c>
    </row>
    <row r="1265" spans="8:15">
      <c r="H1265" s="395" t="s">
        <v>1268</v>
      </c>
      <c r="I1265" s="26"/>
      <c r="J1265" s="26"/>
      <c r="K1265" s="26"/>
      <c r="L1265" s="26"/>
      <c r="M1265" s="26"/>
      <c r="N1265" s="26"/>
    </row>
    <row r="1266" spans="8:15">
      <c r="H1266" s="408" t="s">
        <v>1757</v>
      </c>
      <c r="I1266" s="26"/>
      <c r="J1266" s="26"/>
      <c r="K1266" s="26"/>
      <c r="L1266" s="26"/>
      <c r="M1266" s="26"/>
      <c r="N1266" s="26"/>
    </row>
    <row r="1267" spans="8:15">
      <c r="H1267" s="82" t="s">
        <v>19</v>
      </c>
      <c r="I1267" s="26"/>
      <c r="J1267" s="26"/>
      <c r="K1267" s="26"/>
      <c r="L1267" s="26"/>
      <c r="M1267" s="26"/>
      <c r="N1267" s="26"/>
    </row>
    <row r="1268" spans="8:15">
      <c r="H1268" s="26" t="s">
        <v>965</v>
      </c>
      <c r="I1268" s="26"/>
      <c r="J1268" s="26"/>
      <c r="K1268" s="26"/>
      <c r="L1268" s="26"/>
      <c r="M1268" s="26"/>
      <c r="N1268" s="26"/>
    </row>
    <row r="1269" spans="8:15">
      <c r="H1269" s="26" t="s">
        <v>21</v>
      </c>
      <c r="I1269" s="26"/>
      <c r="J1269" s="26"/>
      <c r="K1269" s="26"/>
      <c r="L1269" s="26"/>
      <c r="M1269" s="26"/>
      <c r="N1269" s="26"/>
    </row>
    <row r="1270" spans="8:15">
      <c r="H1270" s="26" t="s">
        <v>1229</v>
      </c>
      <c r="I1270" s="26"/>
      <c r="J1270" s="26"/>
      <c r="K1270" s="26"/>
      <c r="L1270" s="26"/>
      <c r="M1270" s="26"/>
      <c r="N1270" s="26"/>
    </row>
    <row r="1273" spans="8:15">
      <c r="K1273" s="604" t="s">
        <v>24</v>
      </c>
      <c r="L1273" s="604"/>
      <c r="M1273" s="604"/>
      <c r="N1273" s="604"/>
    </row>
    <row r="1274" spans="8:15">
      <c r="K1274" s="604" t="s">
        <v>149</v>
      </c>
      <c r="L1274" s="604"/>
      <c r="M1274" s="604"/>
      <c r="N1274" s="604"/>
    </row>
    <row r="1275" spans="8:15">
      <c r="K1275" s="605" t="s">
        <v>150</v>
      </c>
      <c r="L1275" s="605"/>
      <c r="M1275" s="605"/>
      <c r="N1275" s="605"/>
    </row>
    <row r="1276" spans="8:15">
      <c r="K1276" s="30"/>
    </row>
    <row r="1277" spans="8:15">
      <c r="L1277" s="26"/>
      <c r="M1277" s="26"/>
      <c r="N1277" s="26"/>
    </row>
    <row r="1278" spans="8:15" ht="18">
      <c r="H1278" s="26"/>
      <c r="I1278" s="26"/>
      <c r="J1278" s="26"/>
      <c r="K1278" s="644" t="s">
        <v>1696</v>
      </c>
      <c r="L1278" s="644"/>
      <c r="M1278" s="644"/>
      <c r="N1278" s="644"/>
      <c r="O1278" s="145"/>
    </row>
    <row r="1279" spans="8:15" ht="18">
      <c r="H1279" s="26"/>
      <c r="I1279" s="26"/>
      <c r="J1279" s="26"/>
      <c r="K1279" s="361"/>
      <c r="L1279" s="361"/>
      <c r="M1279" s="361"/>
      <c r="N1279" s="361"/>
      <c r="O1279" s="145"/>
    </row>
    <row r="1280" spans="8:15" ht="18.75" customHeight="1">
      <c r="I1280" s="617" t="s">
        <v>0</v>
      </c>
      <c r="J1280" s="617"/>
      <c r="K1280" s="617"/>
      <c r="L1280" s="617"/>
      <c r="M1280" s="617"/>
      <c r="N1280" s="617"/>
      <c r="O1280" s="617"/>
    </row>
    <row r="1283" spans="8:15" ht="49.5" customHeight="1">
      <c r="H1283" s="642" t="s">
        <v>1</v>
      </c>
      <c r="I1283" s="642"/>
      <c r="J1283" s="642"/>
      <c r="K1283" s="642"/>
      <c r="L1283" s="642"/>
      <c r="M1283" s="642"/>
      <c r="N1283" s="642"/>
      <c r="O1283" s="642"/>
    </row>
    <row r="1286" spans="8:15" ht="17.25">
      <c r="H1286" s="375"/>
      <c r="I1286" s="503" t="s">
        <v>1873</v>
      </c>
    </row>
    <row r="1287" spans="8:15" ht="17.25" thickBot="1">
      <c r="H1287" s="30"/>
      <c r="N1287" s="141"/>
    </row>
    <row r="1288" spans="8:15">
      <c r="I1288" s="30"/>
      <c r="M1288" s="143"/>
      <c r="O1288" s="144"/>
    </row>
    <row r="1289" spans="8:15">
      <c r="M1289" s="647" t="s">
        <v>2060</v>
      </c>
      <c r="N1289" s="610"/>
      <c r="O1289" s="648"/>
    </row>
    <row r="1290" spans="8:15">
      <c r="H1290" s="12" t="s">
        <v>114</v>
      </c>
      <c r="K1290" s="249" t="s">
        <v>2</v>
      </c>
      <c r="M1290" s="605" t="s">
        <v>2061</v>
      </c>
      <c r="N1290" s="605"/>
      <c r="O1290" s="649"/>
    </row>
    <row r="1291" spans="8:15">
      <c r="M1291" s="601" t="s">
        <v>904</v>
      </c>
      <c r="N1291" s="602"/>
      <c r="O1291" s="603"/>
    </row>
    <row r="1292" spans="8:15" ht="17.25" thickBot="1">
      <c r="M1292" s="140"/>
      <c r="N1292" s="141"/>
      <c r="O1292" s="142"/>
    </row>
    <row r="1294" spans="8:15">
      <c r="H1294" s="249" t="s">
        <v>27</v>
      </c>
      <c r="I1294" s="30" t="s">
        <v>148</v>
      </c>
    </row>
    <row r="1295" spans="8:15" ht="17.25" thickBot="1"/>
    <row r="1296" spans="8:15" ht="17.25" thickBot="1">
      <c r="H1296" s="13" t="s">
        <v>112</v>
      </c>
      <c r="I1296" s="624" t="s">
        <v>4</v>
      </c>
      <c r="J1296" s="625"/>
      <c r="K1296" s="625"/>
      <c r="L1296" s="625"/>
      <c r="M1296" s="625"/>
      <c r="N1296" s="626"/>
      <c r="O1296" s="20" t="s">
        <v>5</v>
      </c>
    </row>
    <row r="1297" spans="8:15">
      <c r="H1297" s="633" t="s">
        <v>2445</v>
      </c>
      <c r="I1297" s="143"/>
      <c r="J1297" s="159"/>
      <c r="K1297" s="159"/>
      <c r="L1297" s="159"/>
      <c r="M1297" s="159"/>
      <c r="N1297" s="144"/>
      <c r="O1297" s="291"/>
    </row>
    <row r="1298" spans="8:15">
      <c r="H1298" s="634"/>
      <c r="I1298" s="64"/>
      <c r="N1298" s="65"/>
      <c r="O1298" s="291"/>
    </row>
    <row r="1299" spans="8:15">
      <c r="H1299" s="634"/>
      <c r="I1299" s="630" t="s">
        <v>286</v>
      </c>
      <c r="J1299" s="631"/>
      <c r="K1299" s="631"/>
      <c r="L1299" s="631"/>
      <c r="M1299" s="631"/>
      <c r="N1299" s="632"/>
      <c r="O1299" s="291"/>
    </row>
    <row r="1300" spans="8:15">
      <c r="H1300" s="634"/>
      <c r="I1300" s="636" t="s">
        <v>2062</v>
      </c>
      <c r="J1300" s="637"/>
      <c r="K1300" s="637"/>
      <c r="L1300" s="637"/>
      <c r="M1300" s="637"/>
      <c r="N1300" s="638"/>
      <c r="O1300" s="148">
        <v>1800000</v>
      </c>
    </row>
    <row r="1301" spans="8:15">
      <c r="H1301" s="634"/>
      <c r="I1301" s="64"/>
      <c r="J1301" s="604"/>
      <c r="K1301" s="604"/>
      <c r="L1301" s="604"/>
      <c r="N1301" s="65"/>
      <c r="O1301" s="291"/>
    </row>
    <row r="1302" spans="8:15" ht="17.25" thickBot="1">
      <c r="H1302" s="635"/>
      <c r="I1302" s="140"/>
      <c r="J1302" s="141"/>
      <c r="K1302" s="141"/>
      <c r="L1302" s="141"/>
      <c r="M1302" s="141"/>
      <c r="N1302" s="142"/>
      <c r="O1302" s="291"/>
    </row>
    <row r="1303" spans="8:15" ht="17.25" thickBot="1">
      <c r="H1303" s="20" t="s">
        <v>12</v>
      </c>
      <c r="I1303" s="614" t="s">
        <v>13</v>
      </c>
      <c r="J1303" s="615"/>
      <c r="K1303" s="62" t="s">
        <v>14</v>
      </c>
      <c r="L1303" s="63"/>
      <c r="M1303" s="62" t="s">
        <v>15</v>
      </c>
      <c r="N1303" s="62" t="s">
        <v>16</v>
      </c>
      <c r="O1303" s="20" t="s">
        <v>17</v>
      </c>
    </row>
    <row r="1304" spans="8:15" ht="18" thickBot="1">
      <c r="H1304" s="22" t="s">
        <v>18</v>
      </c>
      <c r="I1304" s="606">
        <f>+O1300</f>
        <v>1800000</v>
      </c>
      <c r="J1304" s="607"/>
      <c r="K1304" s="23">
        <f>0</f>
        <v>0</v>
      </c>
      <c r="L1304" s="24"/>
      <c r="M1304" s="25">
        <f>0</f>
        <v>0</v>
      </c>
      <c r="N1304" s="36">
        <f>+I1304</f>
        <v>1800000</v>
      </c>
      <c r="O1304" s="38">
        <f>+O1300</f>
        <v>1800000</v>
      </c>
    </row>
    <row r="1305" spans="8:15" ht="18" thickBot="1">
      <c r="H1305" s="22" t="s">
        <v>113</v>
      </c>
      <c r="I1305" s="606">
        <f>+I1304/650.599</f>
        <v>2766.6811661253705</v>
      </c>
      <c r="J1305" s="607"/>
      <c r="K1305" s="23">
        <f>0</f>
        <v>0</v>
      </c>
      <c r="L1305" s="24"/>
      <c r="M1305" s="25">
        <f>0</f>
        <v>0</v>
      </c>
      <c r="N1305" s="36">
        <f>+I1305</f>
        <v>2766.6811661253705</v>
      </c>
      <c r="O1305" s="38">
        <f>+N1305</f>
        <v>2766.6811661253705</v>
      </c>
    </row>
    <row r="1307" spans="8:15">
      <c r="H1307" s="395" t="s">
        <v>1268</v>
      </c>
      <c r="I1307" s="26"/>
      <c r="J1307" s="26"/>
      <c r="K1307" s="26"/>
      <c r="L1307" s="26"/>
      <c r="M1307" s="26"/>
      <c r="N1307" s="26"/>
    </row>
    <row r="1308" spans="8:15" ht="17.25">
      <c r="H1308" s="458" t="s">
        <v>2168</v>
      </c>
      <c r="I1308" s="26"/>
      <c r="J1308" s="26"/>
      <c r="K1308" s="26"/>
      <c r="L1308" s="26"/>
      <c r="M1308" s="26"/>
      <c r="N1308" s="26"/>
    </row>
    <row r="1309" spans="8:15">
      <c r="H1309" s="82" t="s">
        <v>19</v>
      </c>
      <c r="I1309" s="26"/>
      <c r="J1309" s="26"/>
      <c r="K1309" s="26"/>
      <c r="L1309" s="26"/>
      <c r="M1309" s="26"/>
      <c r="N1309" s="26"/>
    </row>
    <row r="1310" spans="8:15">
      <c r="H1310" s="26" t="s">
        <v>965</v>
      </c>
      <c r="I1310" s="26"/>
      <c r="J1310" s="26"/>
      <c r="K1310" s="26"/>
      <c r="L1310" s="26"/>
      <c r="M1310" s="26"/>
      <c r="N1310" s="26"/>
    </row>
    <row r="1311" spans="8:15">
      <c r="H1311" s="26" t="s">
        <v>21</v>
      </c>
      <c r="I1311" s="26"/>
      <c r="J1311" s="26"/>
      <c r="K1311" s="26"/>
      <c r="L1311" s="26"/>
      <c r="M1311" s="26"/>
      <c r="N1311" s="26"/>
    </row>
    <row r="1312" spans="8:15">
      <c r="H1312" s="26" t="s">
        <v>1229</v>
      </c>
      <c r="I1312" s="26"/>
      <c r="J1312" s="26"/>
      <c r="K1312" s="26"/>
      <c r="L1312" s="26"/>
      <c r="M1312" s="26"/>
      <c r="N1312" s="26"/>
    </row>
    <row r="1315" spans="8:15">
      <c r="K1315" s="604" t="s">
        <v>24</v>
      </c>
      <c r="L1315" s="604"/>
      <c r="M1315" s="604"/>
      <c r="N1315" s="604"/>
    </row>
    <row r="1316" spans="8:15">
      <c r="K1316" s="604" t="s">
        <v>149</v>
      </c>
      <c r="L1316" s="604"/>
      <c r="M1316" s="604"/>
      <c r="N1316" s="604"/>
    </row>
    <row r="1317" spans="8:15">
      <c r="K1317" s="605" t="s">
        <v>150</v>
      </c>
      <c r="L1317" s="605"/>
      <c r="M1317" s="605"/>
      <c r="N1317" s="605"/>
    </row>
    <row r="1318" spans="8:15">
      <c r="K1318" s="30"/>
    </row>
    <row r="1319" spans="8:15">
      <c r="L1319" s="26"/>
      <c r="M1319" s="26"/>
      <c r="N1319" s="26"/>
    </row>
    <row r="1320" spans="8:15" ht="17.25">
      <c r="K1320" s="644"/>
      <c r="L1320" s="644"/>
      <c r="M1320" s="644"/>
      <c r="N1320" s="644"/>
    </row>
    <row r="1321" spans="8:15" ht="14.25" customHeight="1">
      <c r="K1321" s="644" t="s">
        <v>2347</v>
      </c>
      <c r="L1321" s="644"/>
      <c r="M1321" s="644"/>
      <c r="N1321" s="644"/>
    </row>
    <row r="1322" spans="8:15" ht="17.25" customHeight="1">
      <c r="K1322" s="361"/>
      <c r="L1322" s="361"/>
      <c r="M1322" s="361"/>
      <c r="N1322" s="361"/>
    </row>
    <row r="1323" spans="8:15" ht="18.75" customHeight="1">
      <c r="H1323" s="617" t="s">
        <v>2534</v>
      </c>
      <c r="I1323" s="617"/>
      <c r="J1323" s="617"/>
      <c r="K1323" s="617"/>
      <c r="L1323" s="617"/>
      <c r="M1323" s="617"/>
      <c r="N1323" s="617"/>
      <c r="O1323" s="617"/>
    </row>
    <row r="1326" spans="8:15" ht="49.5" customHeight="1">
      <c r="H1326" s="642" t="s">
        <v>1</v>
      </c>
      <c r="I1326" s="642"/>
      <c r="J1326" s="642"/>
      <c r="K1326" s="642"/>
      <c r="L1326" s="642"/>
      <c r="M1326" s="642"/>
      <c r="N1326" s="642"/>
      <c r="O1326" s="642"/>
    </row>
    <row r="1329" spans="8:15" ht="17.25">
      <c r="H1329" s="375"/>
      <c r="I1329" s="503" t="s">
        <v>2472</v>
      </c>
    </row>
    <row r="1330" spans="8:15" ht="17.25" thickBot="1">
      <c r="H1330" s="30"/>
      <c r="N1330" s="141"/>
    </row>
    <row r="1331" spans="8:15">
      <c r="I1331" s="30"/>
      <c r="M1331" s="143"/>
      <c r="O1331" s="144"/>
    </row>
    <row r="1332" spans="8:15">
      <c r="M1332" s="647" t="s">
        <v>2178</v>
      </c>
      <c r="N1332" s="610"/>
      <c r="O1332" s="648"/>
    </row>
    <row r="1333" spans="8:15">
      <c r="H1333" s="12" t="s">
        <v>114</v>
      </c>
      <c r="K1333" s="249" t="s">
        <v>2</v>
      </c>
      <c r="M1333" s="605" t="s">
        <v>2187</v>
      </c>
      <c r="N1333" s="605"/>
      <c r="O1333" s="649"/>
    </row>
    <row r="1334" spans="8:15">
      <c r="H1334" s="30"/>
      <c r="M1334" s="601" t="s">
        <v>163</v>
      </c>
      <c r="N1334" s="602"/>
      <c r="O1334" s="603"/>
    </row>
    <row r="1335" spans="8:15" ht="18" thickBot="1">
      <c r="H1335" s="249"/>
      <c r="I1335" s="375"/>
      <c r="M1335" s="140"/>
      <c r="N1335" s="141"/>
      <c r="O1335" s="142"/>
    </row>
    <row r="1337" spans="8:15">
      <c r="H1337" s="30" t="s">
        <v>27</v>
      </c>
      <c r="I1337" s="30" t="s">
        <v>148</v>
      </c>
    </row>
    <row r="1338" spans="8:15" ht="17.25" thickBot="1"/>
    <row r="1339" spans="8:15" ht="17.25" thickBot="1">
      <c r="H1339" s="13" t="s">
        <v>112</v>
      </c>
      <c r="I1339" s="624" t="s">
        <v>4</v>
      </c>
      <c r="J1339" s="625"/>
      <c r="K1339" s="625"/>
      <c r="L1339" s="625"/>
      <c r="M1339" s="625"/>
      <c r="N1339" s="626"/>
      <c r="O1339" s="20" t="s">
        <v>5</v>
      </c>
    </row>
    <row r="1340" spans="8:15">
      <c r="H1340" s="633" t="s">
        <v>2459</v>
      </c>
      <c r="I1340" s="143"/>
      <c r="J1340" s="159"/>
      <c r="K1340" s="159"/>
      <c r="L1340" s="159"/>
      <c r="M1340" s="159"/>
      <c r="N1340" s="144"/>
      <c r="O1340" s="291"/>
    </row>
    <row r="1341" spans="8:15">
      <c r="H1341" s="634"/>
      <c r="I1341" s="64"/>
      <c r="N1341" s="65"/>
      <c r="O1341" s="291"/>
    </row>
    <row r="1342" spans="8:15">
      <c r="H1342" s="634"/>
      <c r="I1342" s="630" t="s">
        <v>286</v>
      </c>
      <c r="J1342" s="631"/>
      <c r="K1342" s="631"/>
      <c r="L1342" s="631"/>
      <c r="M1342" s="631"/>
      <c r="N1342" s="632"/>
      <c r="O1342" s="291"/>
    </row>
    <row r="1343" spans="8:15">
      <c r="H1343" s="634"/>
      <c r="I1343" s="636" t="s">
        <v>2565</v>
      </c>
      <c r="J1343" s="637"/>
      <c r="K1343" s="637"/>
      <c r="L1343" s="637"/>
      <c r="M1343" s="637"/>
      <c r="N1343" s="638"/>
      <c r="O1343" s="148">
        <v>2400000</v>
      </c>
    </row>
    <row r="1344" spans="8:15">
      <c r="H1344" s="634"/>
      <c r="I1344" s="64"/>
      <c r="J1344" s="30"/>
      <c r="K1344" s="30"/>
      <c r="L1344" s="30"/>
      <c r="N1344" s="65"/>
      <c r="O1344" s="291"/>
    </row>
    <row r="1345" spans="8:15" ht="17.25" thickBot="1">
      <c r="H1345" s="635"/>
      <c r="I1345" s="140"/>
      <c r="J1345" s="141"/>
      <c r="K1345" s="141"/>
      <c r="L1345" s="141"/>
      <c r="M1345" s="141"/>
      <c r="N1345" s="142"/>
      <c r="O1345" s="291"/>
    </row>
    <row r="1346" spans="8:15" ht="17.25" thickBot="1">
      <c r="H1346" s="20" t="s">
        <v>12</v>
      </c>
      <c r="I1346" s="614" t="s">
        <v>13</v>
      </c>
      <c r="J1346" s="615"/>
      <c r="K1346" s="62" t="s">
        <v>14</v>
      </c>
      <c r="L1346" s="63"/>
      <c r="M1346" s="62" t="s">
        <v>15</v>
      </c>
      <c r="N1346" s="62" t="s">
        <v>16</v>
      </c>
      <c r="O1346" s="20" t="s">
        <v>17</v>
      </c>
    </row>
    <row r="1347" spans="8:15" ht="18" thickBot="1">
      <c r="H1347" s="22" t="s">
        <v>18</v>
      </c>
      <c r="I1347" s="606">
        <f>+O1343</f>
        <v>2400000</v>
      </c>
      <c r="J1347" s="607"/>
      <c r="K1347" s="23">
        <f>0</f>
        <v>0</v>
      </c>
      <c r="L1347" s="24"/>
      <c r="M1347" s="25">
        <f>0</f>
        <v>0</v>
      </c>
      <c r="N1347" s="36">
        <f>+I1347</f>
        <v>2400000</v>
      </c>
      <c r="O1347" s="38">
        <f>+O1343</f>
        <v>2400000</v>
      </c>
    </row>
    <row r="1348" spans="8:15" ht="18" thickBot="1">
      <c r="H1348" s="22" t="s">
        <v>113</v>
      </c>
      <c r="I1348" s="606">
        <f>+I1347/650.599</f>
        <v>3688.9082215004937</v>
      </c>
      <c r="J1348" s="607"/>
      <c r="K1348" s="23">
        <f>0</f>
        <v>0</v>
      </c>
      <c r="L1348" s="24"/>
      <c r="M1348" s="25">
        <f>0</f>
        <v>0</v>
      </c>
      <c r="N1348" s="36">
        <f>+I1348</f>
        <v>3688.9082215004937</v>
      </c>
      <c r="O1348" s="38">
        <f>+N1348</f>
        <v>3688.9082215004937</v>
      </c>
    </row>
    <row r="1350" spans="8:15">
      <c r="H1350" s="412" t="s">
        <v>1268</v>
      </c>
      <c r="I1350" s="26"/>
      <c r="J1350" s="26"/>
      <c r="K1350" s="26"/>
      <c r="L1350" s="26"/>
      <c r="M1350" s="26"/>
      <c r="N1350" s="26"/>
    </row>
    <row r="1351" spans="8:15">
      <c r="H1351" s="413" t="s">
        <v>2473</v>
      </c>
      <c r="I1351" s="26"/>
      <c r="J1351" s="26"/>
      <c r="K1351" s="26"/>
      <c r="L1351" s="26"/>
      <c r="M1351" s="26"/>
      <c r="N1351" s="26"/>
    </row>
    <row r="1352" spans="8:15">
      <c r="H1352" s="82" t="s">
        <v>19</v>
      </c>
      <c r="I1352" s="26"/>
      <c r="J1352" s="26"/>
      <c r="K1352" s="26"/>
      <c r="L1352" s="26"/>
      <c r="M1352" s="26"/>
      <c r="N1352" s="26"/>
    </row>
    <row r="1353" spans="8:15">
      <c r="H1353" s="26" t="s">
        <v>965</v>
      </c>
      <c r="I1353" s="26"/>
      <c r="J1353" s="26"/>
      <c r="K1353" s="26"/>
      <c r="L1353" s="26"/>
      <c r="M1353" s="26"/>
      <c r="N1353" s="26"/>
    </row>
    <row r="1354" spans="8:15">
      <c r="H1354" s="26" t="s">
        <v>21</v>
      </c>
      <c r="I1354" s="26"/>
      <c r="J1354" s="26"/>
      <c r="K1354" s="26"/>
      <c r="L1354" s="26"/>
      <c r="M1354" s="26"/>
      <c r="N1354" s="26"/>
    </row>
    <row r="1355" spans="8:15">
      <c r="H1355" s="26" t="s">
        <v>1229</v>
      </c>
      <c r="I1355" s="26"/>
      <c r="J1355" s="26"/>
      <c r="K1355" s="26"/>
      <c r="L1355" s="26"/>
      <c r="M1355" s="26"/>
      <c r="N1355" s="26"/>
    </row>
    <row r="1358" spans="8:15">
      <c r="K1358" s="604" t="s">
        <v>24</v>
      </c>
      <c r="L1358" s="604"/>
      <c r="M1358" s="604"/>
      <c r="N1358" s="604"/>
    </row>
    <row r="1359" spans="8:15">
      <c r="K1359" s="604" t="s">
        <v>149</v>
      </c>
      <c r="L1359" s="604"/>
      <c r="M1359" s="604"/>
      <c r="N1359" s="604"/>
    </row>
    <row r="1360" spans="8:15">
      <c r="K1360" s="605" t="s">
        <v>150</v>
      </c>
      <c r="L1360" s="605"/>
      <c r="M1360" s="605"/>
      <c r="N1360" s="605"/>
    </row>
    <row r="1361" spans="8:15">
      <c r="K1361" s="30"/>
    </row>
    <row r="1362" spans="8:15">
      <c r="L1362" s="26"/>
      <c r="M1362" s="26"/>
      <c r="N1362" s="26"/>
    </row>
    <row r="1363" spans="8:15" ht="17.25">
      <c r="K1363" s="644" t="s">
        <v>2391</v>
      </c>
      <c r="L1363" s="644"/>
      <c r="M1363" s="644"/>
      <c r="N1363" s="644"/>
    </row>
    <row r="1364" spans="8:15" ht="18">
      <c r="H1364" s="26"/>
      <c r="I1364" s="26"/>
      <c r="J1364" s="26"/>
      <c r="K1364" s="644"/>
      <c r="L1364" s="644"/>
      <c r="M1364" s="644"/>
      <c r="N1364" s="644"/>
      <c r="O1364" s="145"/>
    </row>
    <row r="1365" spans="8:15" ht="18">
      <c r="H1365" s="26"/>
      <c r="I1365" s="26"/>
      <c r="J1365" s="26"/>
      <c r="K1365" s="26"/>
      <c r="L1365" s="373"/>
      <c r="M1365" s="373"/>
      <c r="N1365" s="373"/>
      <c r="O1365" s="145"/>
    </row>
    <row r="1366" spans="8:15">
      <c r="H1366" s="617" t="s">
        <v>0</v>
      </c>
      <c r="I1366" s="617"/>
      <c r="J1366" s="617"/>
      <c r="K1366" s="617"/>
      <c r="L1366" s="617"/>
      <c r="M1366" s="617"/>
      <c r="N1366" s="617"/>
      <c r="O1366" s="617"/>
    </row>
    <row r="1369" spans="8:15" ht="49.5" customHeight="1">
      <c r="H1369" s="642" t="s">
        <v>1</v>
      </c>
      <c r="I1369" s="642"/>
      <c r="J1369" s="642"/>
      <c r="K1369" s="642"/>
      <c r="L1369" s="642"/>
      <c r="M1369" s="642"/>
      <c r="N1369" s="642"/>
      <c r="O1369" s="642"/>
    </row>
    <row r="1372" spans="8:15" ht="17.25">
      <c r="H1372" s="375" t="s">
        <v>703</v>
      </c>
    </row>
    <row r="1373" spans="8:15" ht="17.25" thickBot="1">
      <c r="H1373" s="30"/>
      <c r="N1373" s="141"/>
    </row>
    <row r="1374" spans="8:15">
      <c r="I1374" s="30"/>
      <c r="M1374" s="143"/>
      <c r="O1374" s="144"/>
    </row>
    <row r="1375" spans="8:15">
      <c r="M1375" s="647" t="s">
        <v>1415</v>
      </c>
      <c r="N1375" s="610"/>
      <c r="O1375" s="648"/>
    </row>
    <row r="1376" spans="8:15">
      <c r="H1376" s="12" t="s">
        <v>114</v>
      </c>
      <c r="K1376" s="30" t="s">
        <v>2</v>
      </c>
      <c r="M1376" s="605" t="s">
        <v>1416</v>
      </c>
      <c r="N1376" s="605"/>
      <c r="O1376" s="649"/>
    </row>
    <row r="1377" spans="8:15">
      <c r="M1377" s="601" t="s">
        <v>163</v>
      </c>
      <c r="N1377" s="602"/>
      <c r="O1377" s="603"/>
    </row>
    <row r="1378" spans="8:15" ht="17.25" thickBot="1">
      <c r="M1378" s="140"/>
      <c r="N1378" s="141"/>
      <c r="O1378" s="142"/>
    </row>
    <row r="1380" spans="8:15">
      <c r="H1380" s="30" t="s">
        <v>27</v>
      </c>
      <c r="I1380" s="394" t="s">
        <v>148</v>
      </c>
    </row>
    <row r="1381" spans="8:15" ht="17.25" thickBot="1"/>
    <row r="1382" spans="8:15" ht="17.25" thickBot="1">
      <c r="H1382" s="13" t="s">
        <v>112</v>
      </c>
      <c r="I1382" s="624" t="s">
        <v>4</v>
      </c>
      <c r="J1382" s="625"/>
      <c r="K1382" s="625"/>
      <c r="L1382" s="625"/>
      <c r="M1382" s="625"/>
      <c r="N1382" s="626"/>
      <c r="O1382" s="20" t="s">
        <v>5</v>
      </c>
    </row>
    <row r="1383" spans="8:15">
      <c r="H1383" s="633" t="s">
        <v>1622</v>
      </c>
      <c r="I1383" s="143"/>
      <c r="J1383" s="159"/>
      <c r="K1383" s="159"/>
      <c r="L1383" s="159"/>
      <c r="M1383" s="159"/>
      <c r="N1383" s="144"/>
      <c r="O1383" s="291"/>
    </row>
    <row r="1384" spans="8:15">
      <c r="H1384" s="634"/>
      <c r="I1384" s="64"/>
      <c r="N1384" s="65"/>
      <c r="O1384" s="291"/>
    </row>
    <row r="1385" spans="8:15">
      <c r="H1385" s="634"/>
      <c r="I1385" s="630" t="s">
        <v>286</v>
      </c>
      <c r="J1385" s="631"/>
      <c r="K1385" s="631"/>
      <c r="L1385" s="631"/>
      <c r="M1385" s="631"/>
      <c r="N1385" s="632"/>
      <c r="O1385" s="291"/>
    </row>
    <row r="1386" spans="8:15">
      <c r="H1386" s="634"/>
      <c r="I1386" s="636" t="s">
        <v>1417</v>
      </c>
      <c r="J1386" s="637"/>
      <c r="K1386" s="637"/>
      <c r="L1386" s="637"/>
      <c r="M1386" s="637"/>
      <c r="N1386" s="638"/>
      <c r="O1386" s="148">
        <v>2500000</v>
      </c>
    </row>
    <row r="1387" spans="8:15">
      <c r="H1387" s="634"/>
      <c r="I1387" s="64"/>
      <c r="J1387" s="604"/>
      <c r="K1387" s="604"/>
      <c r="L1387" s="604"/>
      <c r="N1387" s="65"/>
      <c r="O1387" s="291"/>
    </row>
    <row r="1388" spans="8:15" ht="17.25" thickBot="1">
      <c r="H1388" s="635"/>
      <c r="I1388" s="140"/>
      <c r="J1388" s="141"/>
      <c r="K1388" s="141"/>
      <c r="L1388" s="141"/>
      <c r="M1388" s="141"/>
      <c r="N1388" s="142"/>
      <c r="O1388" s="291"/>
    </row>
    <row r="1389" spans="8:15" ht="17.25" thickBot="1">
      <c r="H1389" s="20" t="s">
        <v>12</v>
      </c>
      <c r="I1389" s="614" t="s">
        <v>13</v>
      </c>
      <c r="J1389" s="615"/>
      <c r="K1389" s="62" t="s">
        <v>14</v>
      </c>
      <c r="L1389" s="63"/>
      <c r="M1389" s="62" t="s">
        <v>15</v>
      </c>
      <c r="N1389" s="62" t="s">
        <v>16</v>
      </c>
      <c r="O1389" s="20" t="s">
        <v>17</v>
      </c>
    </row>
    <row r="1390" spans="8:15" ht="18" thickBot="1">
      <c r="H1390" s="22" t="s">
        <v>18</v>
      </c>
      <c r="I1390" s="606">
        <f>+O1386</f>
        <v>2500000</v>
      </c>
      <c r="J1390" s="607"/>
      <c r="K1390" s="23">
        <f>0</f>
        <v>0</v>
      </c>
      <c r="L1390" s="24"/>
      <c r="M1390" s="25">
        <f>0</f>
        <v>0</v>
      </c>
      <c r="N1390" s="36">
        <f>+I1390</f>
        <v>2500000</v>
      </c>
      <c r="O1390" s="38">
        <f>+O1386</f>
        <v>2500000</v>
      </c>
    </row>
    <row r="1391" spans="8:15" ht="18" thickBot="1">
      <c r="H1391" s="22" t="s">
        <v>113</v>
      </c>
      <c r="I1391" s="606">
        <f>+I1390/650.599</f>
        <v>3842.6127307296811</v>
      </c>
      <c r="J1391" s="607"/>
      <c r="K1391" s="23">
        <f>0</f>
        <v>0</v>
      </c>
      <c r="L1391" s="24"/>
      <c r="M1391" s="25">
        <f>0</f>
        <v>0</v>
      </c>
      <c r="N1391" s="36">
        <f>+I1391</f>
        <v>3842.6127307296811</v>
      </c>
      <c r="O1391" s="38">
        <f>+N1391</f>
        <v>3842.6127307296811</v>
      </c>
    </row>
    <row r="1393" spans="8:15">
      <c r="H1393" s="412" t="s">
        <v>1268</v>
      </c>
      <c r="I1393" s="26"/>
      <c r="J1393" s="26"/>
      <c r="K1393" s="26"/>
      <c r="L1393" s="26"/>
      <c r="M1393" s="26"/>
      <c r="N1393" s="26"/>
    </row>
    <row r="1394" spans="8:15" ht="17.25">
      <c r="H1394" s="458" t="s">
        <v>1678</v>
      </c>
      <c r="I1394" s="26"/>
      <c r="J1394" s="26"/>
      <c r="K1394" s="26"/>
      <c r="L1394" s="26"/>
      <c r="M1394" s="26"/>
      <c r="N1394" s="26"/>
    </row>
    <row r="1395" spans="8:15">
      <c r="H1395" s="82" t="s">
        <v>19</v>
      </c>
      <c r="I1395" s="26"/>
      <c r="J1395" s="26"/>
      <c r="K1395" s="26"/>
      <c r="L1395" s="26"/>
      <c r="M1395" s="26"/>
      <c r="N1395" s="26"/>
    </row>
    <row r="1396" spans="8:15">
      <c r="H1396" s="26" t="s">
        <v>965</v>
      </c>
      <c r="I1396" s="26"/>
      <c r="J1396" s="26"/>
      <c r="K1396" s="26"/>
      <c r="L1396" s="26"/>
      <c r="M1396" s="26"/>
      <c r="N1396" s="26"/>
    </row>
    <row r="1397" spans="8:15">
      <c r="H1397" s="26" t="s">
        <v>21</v>
      </c>
      <c r="I1397" s="26"/>
      <c r="J1397" s="26"/>
      <c r="K1397" s="26"/>
      <c r="L1397" s="26"/>
      <c r="M1397" s="26"/>
      <c r="N1397" s="26"/>
    </row>
    <row r="1398" spans="8:15">
      <c r="H1398" s="26" t="s">
        <v>1229</v>
      </c>
      <c r="I1398" s="26"/>
      <c r="J1398" s="26"/>
      <c r="K1398" s="26"/>
      <c r="L1398" s="26"/>
      <c r="M1398" s="26"/>
      <c r="N1398" s="26"/>
    </row>
    <row r="1401" spans="8:15">
      <c r="K1401" s="30" t="s">
        <v>24</v>
      </c>
      <c r="M1401" s="30"/>
      <c r="N1401" s="30"/>
    </row>
    <row r="1402" spans="8:15">
      <c r="K1402" s="30" t="s">
        <v>149</v>
      </c>
      <c r="M1402" s="30"/>
      <c r="N1402" s="30"/>
    </row>
    <row r="1403" spans="8:15">
      <c r="K1403" s="605" t="s">
        <v>150</v>
      </c>
      <c r="L1403" s="605"/>
      <c r="M1403" s="605"/>
      <c r="N1403" s="605"/>
    </row>
    <row r="1404" spans="8:15">
      <c r="K1404" s="30"/>
    </row>
    <row r="1405" spans="8:15">
      <c r="L1405" s="26"/>
      <c r="M1405" s="26"/>
      <c r="N1405" s="26"/>
    </row>
    <row r="1406" spans="8:15" ht="17.25">
      <c r="K1406" s="644" t="s">
        <v>1335</v>
      </c>
      <c r="L1406" s="644"/>
      <c r="M1406" s="644"/>
      <c r="N1406" s="644"/>
    </row>
    <row r="1407" spans="8:15" ht="18">
      <c r="H1407" s="26"/>
      <c r="I1407" s="26"/>
      <c r="J1407" s="26"/>
      <c r="K1407" s="675"/>
      <c r="L1407" s="675"/>
      <c r="M1407" s="675"/>
      <c r="N1407" s="675"/>
      <c r="O1407" s="145"/>
    </row>
    <row r="1408" spans="8:15" ht="19.5" customHeight="1">
      <c r="H1408" s="617" t="s">
        <v>2573</v>
      </c>
      <c r="I1408" s="617"/>
      <c r="J1408" s="617"/>
      <c r="K1408" s="617"/>
      <c r="L1408" s="617"/>
      <c r="M1408" s="617"/>
      <c r="N1408" s="617"/>
      <c r="O1408" s="617"/>
    </row>
    <row r="1411" spans="8:15" ht="49.5" customHeight="1">
      <c r="H1411" s="660" t="s">
        <v>1</v>
      </c>
      <c r="I1411" s="660"/>
      <c r="J1411" s="660"/>
      <c r="K1411" s="660"/>
      <c r="L1411" s="660"/>
      <c r="M1411" s="660"/>
      <c r="N1411" s="660"/>
      <c r="O1411" s="660"/>
    </row>
    <row r="1414" spans="8:15" ht="17.25">
      <c r="H1414" s="375"/>
      <c r="I1414" s="503" t="s">
        <v>704</v>
      </c>
    </row>
    <row r="1415" spans="8:15" ht="17.25" thickBot="1">
      <c r="H1415" s="30"/>
      <c r="N1415" s="141"/>
    </row>
    <row r="1416" spans="8:15">
      <c r="I1416" s="30"/>
      <c r="M1416" s="143"/>
      <c r="O1416" s="144"/>
    </row>
    <row r="1417" spans="8:15">
      <c r="M1417" s="647" t="s">
        <v>672</v>
      </c>
      <c r="N1417" s="610"/>
      <c r="O1417" s="648"/>
    </row>
    <row r="1418" spans="8:15">
      <c r="H1418" s="186" t="s">
        <v>114</v>
      </c>
      <c r="K1418" s="249" t="s">
        <v>2</v>
      </c>
      <c r="L1418" s="30"/>
      <c r="M1418" s="605" t="s">
        <v>1740</v>
      </c>
      <c r="N1418" s="605"/>
      <c r="O1418" s="649"/>
    </row>
    <row r="1419" spans="8:15">
      <c r="M1419" s="601" t="s">
        <v>163</v>
      </c>
      <c r="N1419" s="602"/>
      <c r="O1419" s="603"/>
    </row>
    <row r="1420" spans="8:15" ht="17.25" thickBot="1">
      <c r="M1420" s="140"/>
      <c r="N1420" s="141"/>
      <c r="O1420" s="142"/>
    </row>
    <row r="1422" spans="8:15">
      <c r="H1422" s="249" t="s">
        <v>27</v>
      </c>
      <c r="I1422" s="394" t="s">
        <v>148</v>
      </c>
    </row>
    <row r="1423" spans="8:15" ht="17.25" thickBot="1"/>
    <row r="1424" spans="8:15" ht="17.25" customHeight="1" thickBot="1">
      <c r="H1424" s="13" t="s">
        <v>112</v>
      </c>
      <c r="I1424" s="624" t="s">
        <v>4</v>
      </c>
      <c r="J1424" s="625"/>
      <c r="K1424" s="625"/>
      <c r="L1424" s="625"/>
      <c r="M1424" s="625"/>
      <c r="N1424" s="626"/>
      <c r="O1424" s="20" t="s">
        <v>5</v>
      </c>
    </row>
    <row r="1425" spans="8:15" ht="16.5" customHeight="1">
      <c r="H1425" s="627" t="s">
        <v>2445</v>
      </c>
      <c r="I1425" s="143"/>
      <c r="J1425" s="159"/>
      <c r="K1425" s="159"/>
      <c r="L1425" s="159"/>
      <c r="M1425" s="159"/>
      <c r="N1425" s="144"/>
      <c r="O1425" s="291"/>
    </row>
    <row r="1426" spans="8:15">
      <c r="H1426" s="628"/>
      <c r="I1426" s="630" t="s">
        <v>286</v>
      </c>
      <c r="J1426" s="631"/>
      <c r="K1426" s="631"/>
      <c r="L1426" s="631"/>
      <c r="M1426" s="631"/>
      <c r="N1426" s="632"/>
      <c r="O1426" s="291"/>
    </row>
    <row r="1427" spans="8:15">
      <c r="H1427" s="628"/>
      <c r="I1427" s="636" t="s">
        <v>2574</v>
      </c>
      <c r="J1427" s="637"/>
      <c r="K1427" s="637"/>
      <c r="L1427" s="637"/>
      <c r="M1427" s="637"/>
      <c r="N1427" s="638"/>
      <c r="O1427" s="148">
        <v>21521960</v>
      </c>
    </row>
    <row r="1428" spans="8:15">
      <c r="H1428" s="628"/>
      <c r="I1428" s="64"/>
      <c r="J1428" s="604"/>
      <c r="K1428" s="604"/>
      <c r="L1428" s="604"/>
      <c r="N1428" s="65"/>
      <c r="O1428" s="291"/>
    </row>
    <row r="1429" spans="8:15" ht="17.25" thickBot="1">
      <c r="H1429" s="629"/>
      <c r="I1429" s="140"/>
      <c r="J1429" s="141"/>
      <c r="K1429" s="141"/>
      <c r="L1429" s="141"/>
      <c r="M1429" s="141"/>
      <c r="N1429" s="142"/>
      <c r="O1429" s="291"/>
    </row>
    <row r="1430" spans="8:15" ht="17.25" thickBot="1">
      <c r="H1430" s="20" t="s">
        <v>12</v>
      </c>
      <c r="I1430" s="614" t="s">
        <v>13</v>
      </c>
      <c r="J1430" s="615"/>
      <c r="K1430" s="62" t="s">
        <v>14</v>
      </c>
      <c r="L1430" s="63"/>
      <c r="M1430" s="62" t="s">
        <v>15</v>
      </c>
      <c r="N1430" s="62" t="s">
        <v>16</v>
      </c>
      <c r="O1430" s="20" t="s">
        <v>17</v>
      </c>
    </row>
    <row r="1431" spans="8:15" ht="18" thickBot="1">
      <c r="H1431" s="22" t="s">
        <v>18</v>
      </c>
      <c r="I1431" s="606">
        <f>+O1427</f>
        <v>21521960</v>
      </c>
      <c r="J1431" s="607"/>
      <c r="K1431" s="23">
        <f>0</f>
        <v>0</v>
      </c>
      <c r="L1431" s="24"/>
      <c r="M1431" s="25">
        <f>0</f>
        <v>0</v>
      </c>
      <c r="N1431" s="36">
        <f>+I1431</f>
        <v>21521960</v>
      </c>
      <c r="O1431" s="38">
        <f>+O1427</f>
        <v>21521960</v>
      </c>
    </row>
    <row r="1432" spans="8:15" ht="18" thickBot="1">
      <c r="H1432" s="22" t="s">
        <v>113</v>
      </c>
      <c r="I1432" s="606">
        <f>+I1431/650.599</f>
        <v>33080.222994501986</v>
      </c>
      <c r="J1432" s="607"/>
      <c r="K1432" s="23">
        <f>0</f>
        <v>0</v>
      </c>
      <c r="L1432" s="24"/>
      <c r="M1432" s="25">
        <f>0</f>
        <v>0</v>
      </c>
      <c r="N1432" s="36">
        <f>+I1432</f>
        <v>33080.222994501986</v>
      </c>
      <c r="O1432" s="38">
        <f>+N1432</f>
        <v>33080.222994501986</v>
      </c>
    </row>
    <row r="1434" spans="8:15">
      <c r="H1434" s="410" t="s">
        <v>1457</v>
      </c>
      <c r="I1434" s="26"/>
      <c r="J1434" s="26"/>
      <c r="K1434" s="26"/>
      <c r="L1434" s="26"/>
      <c r="M1434" s="26"/>
      <c r="N1434" s="26"/>
    </row>
    <row r="1435" spans="8:15">
      <c r="H1435" s="411" t="s">
        <v>1874</v>
      </c>
      <c r="I1435" s="26"/>
      <c r="J1435" s="26"/>
      <c r="K1435" s="26"/>
      <c r="L1435" s="26"/>
      <c r="M1435" s="26"/>
      <c r="N1435" s="26"/>
    </row>
    <row r="1436" spans="8:15">
      <c r="H1436" s="82" t="s">
        <v>19</v>
      </c>
      <c r="I1436" s="26"/>
      <c r="J1436" s="26"/>
      <c r="K1436" s="26"/>
      <c r="L1436" s="26"/>
      <c r="M1436" s="26"/>
      <c r="N1436" s="26"/>
    </row>
    <row r="1437" spans="8:15">
      <c r="H1437" s="26" t="s">
        <v>965</v>
      </c>
      <c r="I1437" s="26"/>
      <c r="J1437" s="26"/>
      <c r="K1437" s="26"/>
      <c r="L1437" s="26"/>
      <c r="M1437" s="26"/>
      <c r="N1437" s="26"/>
    </row>
    <row r="1438" spans="8:15">
      <c r="H1438" s="26" t="s">
        <v>21</v>
      </c>
      <c r="I1438" s="26"/>
      <c r="J1438" s="26"/>
      <c r="K1438" s="26"/>
      <c r="L1438" s="26"/>
      <c r="M1438" s="26"/>
      <c r="N1438" s="26"/>
    </row>
    <row r="1439" spans="8:15">
      <c r="H1439" s="26" t="s">
        <v>1229</v>
      </c>
      <c r="I1439" s="26"/>
      <c r="J1439" s="26"/>
      <c r="K1439" s="26"/>
      <c r="L1439" s="26"/>
      <c r="M1439" s="26"/>
      <c r="N1439" s="26"/>
    </row>
    <row r="1442" spans="8:15">
      <c r="K1442" s="604" t="s">
        <v>24</v>
      </c>
      <c r="L1442" s="604"/>
      <c r="M1442" s="604"/>
      <c r="N1442" s="604"/>
    </row>
    <row r="1443" spans="8:15">
      <c r="K1443" s="604" t="s">
        <v>149</v>
      </c>
      <c r="L1443" s="604"/>
      <c r="M1443" s="604"/>
      <c r="N1443" s="604"/>
    </row>
    <row r="1444" spans="8:15">
      <c r="K1444" s="605" t="s">
        <v>150</v>
      </c>
      <c r="L1444" s="605"/>
      <c r="M1444" s="605"/>
      <c r="N1444" s="605"/>
    </row>
    <row r="1445" spans="8:15">
      <c r="K1445" s="30"/>
    </row>
    <row r="1446" spans="8:15">
      <c r="L1446" s="26"/>
      <c r="M1446" s="26"/>
      <c r="N1446" s="26"/>
    </row>
    <row r="1447" spans="8:15" ht="17.25">
      <c r="K1447" s="644" t="s">
        <v>2452</v>
      </c>
      <c r="L1447" s="644"/>
      <c r="M1447" s="644"/>
      <c r="N1447" s="644"/>
    </row>
    <row r="1448" spans="8:15" ht="18">
      <c r="H1448" s="26"/>
      <c r="I1448" s="26"/>
      <c r="J1448" s="26"/>
      <c r="K1448" s="644"/>
      <c r="L1448" s="644"/>
      <c r="M1448" s="644"/>
      <c r="N1448" s="644"/>
      <c r="O1448" s="145"/>
    </row>
    <row r="1449" spans="8:15" ht="18">
      <c r="H1449" s="26"/>
      <c r="I1449" s="26"/>
      <c r="J1449" s="26"/>
      <c r="K1449" s="361"/>
      <c r="L1449" s="361"/>
      <c r="M1449" s="361"/>
      <c r="N1449" s="361"/>
      <c r="O1449" s="145"/>
    </row>
    <row r="1450" spans="8:15" ht="22.5" customHeight="1">
      <c r="I1450" s="617" t="s">
        <v>0</v>
      </c>
      <c r="J1450" s="617"/>
      <c r="K1450" s="617"/>
      <c r="L1450" s="617"/>
      <c r="M1450" s="617"/>
      <c r="N1450" s="617"/>
      <c r="O1450" s="617"/>
    </row>
    <row r="1451" spans="8:15" ht="15" customHeight="1"/>
    <row r="1453" spans="8:15" ht="49.5" customHeight="1">
      <c r="H1453" s="642" t="s">
        <v>1</v>
      </c>
      <c r="I1453" s="642"/>
      <c r="J1453" s="642"/>
      <c r="K1453" s="642"/>
      <c r="L1453" s="642"/>
      <c r="M1453" s="642"/>
      <c r="N1453" s="642"/>
      <c r="O1453" s="642"/>
    </row>
    <row r="1456" spans="8:15" ht="17.25">
      <c r="H1456" s="375"/>
      <c r="I1456" s="375" t="s">
        <v>1881</v>
      </c>
    </row>
    <row r="1457" spans="8:15" ht="17.25" thickBot="1">
      <c r="H1457" s="30"/>
      <c r="N1457" s="141"/>
    </row>
    <row r="1458" spans="8:15">
      <c r="I1458" s="30"/>
      <c r="M1458" s="143"/>
      <c r="O1458" s="144"/>
    </row>
    <row r="1459" spans="8:15">
      <c r="M1459" s="647" t="s">
        <v>1656</v>
      </c>
      <c r="N1459" s="610"/>
      <c r="O1459" s="648"/>
    </row>
    <row r="1460" spans="8:15">
      <c r="H1460" s="12" t="s">
        <v>114</v>
      </c>
      <c r="K1460" s="249" t="s">
        <v>2</v>
      </c>
      <c r="M1460" s="605" t="s">
        <v>1680</v>
      </c>
      <c r="N1460" s="605"/>
      <c r="O1460" s="649"/>
    </row>
    <row r="1461" spans="8:15">
      <c r="M1461" s="601" t="s">
        <v>163</v>
      </c>
      <c r="N1461" s="602"/>
      <c r="O1461" s="603"/>
    </row>
    <row r="1462" spans="8:15" ht="17.25" thickBot="1">
      <c r="M1462" s="140"/>
      <c r="N1462" s="141"/>
      <c r="O1462" s="142"/>
    </row>
    <row r="1464" spans="8:15">
      <c r="H1464" s="249" t="s">
        <v>27</v>
      </c>
      <c r="I1464" s="394" t="s">
        <v>148</v>
      </c>
    </row>
    <row r="1465" spans="8:15" ht="17.25" thickBot="1"/>
    <row r="1466" spans="8:15" ht="17.25" thickBot="1">
      <c r="H1466" s="13" t="s">
        <v>112</v>
      </c>
      <c r="I1466" s="624" t="s">
        <v>4</v>
      </c>
      <c r="J1466" s="625"/>
      <c r="K1466" s="625"/>
      <c r="L1466" s="625"/>
      <c r="M1466" s="625"/>
      <c r="N1466" s="626"/>
      <c r="O1466" s="20" t="s">
        <v>5</v>
      </c>
    </row>
    <row r="1467" spans="8:15">
      <c r="H1467" s="633" t="s">
        <v>2445</v>
      </c>
      <c r="I1467" s="143"/>
      <c r="J1467" s="159"/>
      <c r="K1467" s="159"/>
      <c r="L1467" s="159"/>
      <c r="M1467" s="159"/>
      <c r="N1467" s="144"/>
      <c r="O1467" s="291"/>
    </row>
    <row r="1468" spans="8:15">
      <c r="H1468" s="634"/>
      <c r="I1468" s="64"/>
      <c r="N1468" s="65"/>
      <c r="O1468" s="291"/>
    </row>
    <row r="1469" spans="8:15">
      <c r="H1469" s="634"/>
      <c r="I1469" s="630" t="s">
        <v>286</v>
      </c>
      <c r="J1469" s="631"/>
      <c r="K1469" s="631"/>
      <c r="L1469" s="631"/>
      <c r="M1469" s="631"/>
      <c r="N1469" s="632"/>
      <c r="O1469" s="291"/>
    </row>
    <row r="1470" spans="8:15">
      <c r="H1470" s="634"/>
      <c r="I1470" s="636" t="s">
        <v>1933</v>
      </c>
      <c r="J1470" s="637"/>
      <c r="K1470" s="637"/>
      <c r="L1470" s="637"/>
      <c r="M1470" s="637"/>
      <c r="N1470" s="638"/>
      <c r="O1470" s="148">
        <v>1463000</v>
      </c>
    </row>
    <row r="1471" spans="8:15">
      <c r="H1471" s="634"/>
      <c r="I1471" s="64"/>
      <c r="J1471" s="604"/>
      <c r="K1471" s="604"/>
      <c r="L1471" s="604"/>
      <c r="N1471" s="65"/>
      <c r="O1471" s="291"/>
    </row>
    <row r="1472" spans="8:15" ht="17.25" thickBot="1">
      <c r="H1472" s="635"/>
      <c r="I1472" s="140"/>
      <c r="J1472" s="141"/>
      <c r="K1472" s="141"/>
      <c r="L1472" s="141"/>
      <c r="M1472" s="141"/>
      <c r="N1472" s="142"/>
      <c r="O1472" s="291"/>
    </row>
    <row r="1473" spans="8:15" ht="17.25" thickBot="1">
      <c r="H1473" s="20" t="s">
        <v>12</v>
      </c>
      <c r="I1473" s="614" t="s">
        <v>13</v>
      </c>
      <c r="J1473" s="615"/>
      <c r="K1473" s="62" t="s">
        <v>14</v>
      </c>
      <c r="L1473" s="63"/>
      <c r="M1473" s="62" t="s">
        <v>15</v>
      </c>
      <c r="N1473" s="62" t="s">
        <v>16</v>
      </c>
      <c r="O1473" s="20" t="s">
        <v>17</v>
      </c>
    </row>
    <row r="1474" spans="8:15" ht="18" thickBot="1">
      <c r="H1474" s="22" t="s">
        <v>18</v>
      </c>
      <c r="I1474" s="606">
        <f>+O1470</f>
        <v>1463000</v>
      </c>
      <c r="J1474" s="607"/>
      <c r="K1474" s="23">
        <f>0</f>
        <v>0</v>
      </c>
      <c r="L1474" s="24"/>
      <c r="M1474" s="25">
        <f>0</f>
        <v>0</v>
      </c>
      <c r="N1474" s="36">
        <f>+I1474</f>
        <v>1463000</v>
      </c>
      <c r="O1474" s="38">
        <f>+O1470</f>
        <v>1463000</v>
      </c>
    </row>
    <row r="1475" spans="8:15" ht="18" thickBot="1">
      <c r="H1475" s="22" t="s">
        <v>113</v>
      </c>
      <c r="I1475" s="606">
        <f>+I1474/650.599</f>
        <v>2248.6969700230093</v>
      </c>
      <c r="J1475" s="607"/>
      <c r="K1475" s="23">
        <f>0</f>
        <v>0</v>
      </c>
      <c r="L1475" s="24"/>
      <c r="M1475" s="25">
        <f>0</f>
        <v>0</v>
      </c>
      <c r="N1475" s="36">
        <f>+I1475</f>
        <v>2248.6969700230093</v>
      </c>
      <c r="O1475" s="38">
        <f>+N1475</f>
        <v>2248.6969700230093</v>
      </c>
    </row>
    <row r="1477" spans="8:15">
      <c r="H1477" s="412" t="s">
        <v>1268</v>
      </c>
      <c r="I1477" s="26"/>
      <c r="J1477" s="26"/>
      <c r="K1477" s="26"/>
      <c r="L1477" s="26"/>
      <c r="M1477" s="26"/>
      <c r="N1477" s="26"/>
    </row>
    <row r="1478" spans="8:15">
      <c r="H1478" s="413" t="s">
        <v>2049</v>
      </c>
      <c r="I1478" s="26"/>
      <c r="J1478" s="26"/>
      <c r="K1478" s="26"/>
      <c r="L1478" s="26"/>
      <c r="M1478" s="26"/>
      <c r="N1478" s="26"/>
    </row>
    <row r="1479" spans="8:15">
      <c r="H1479" s="82" t="s">
        <v>19</v>
      </c>
      <c r="I1479" s="26"/>
      <c r="J1479" s="26"/>
      <c r="K1479" s="26"/>
      <c r="L1479" s="26"/>
      <c r="M1479" s="26"/>
      <c r="N1479" s="26"/>
    </row>
    <row r="1480" spans="8:15">
      <c r="H1480" s="26" t="s">
        <v>965</v>
      </c>
      <c r="I1480" s="26"/>
      <c r="J1480" s="26"/>
      <c r="K1480" s="26"/>
      <c r="L1480" s="26"/>
      <c r="M1480" s="26"/>
      <c r="N1480" s="26"/>
    </row>
    <row r="1481" spans="8:15">
      <c r="H1481" s="26" t="s">
        <v>21</v>
      </c>
      <c r="I1481" s="26"/>
      <c r="J1481" s="26"/>
      <c r="K1481" s="26"/>
      <c r="L1481" s="26"/>
      <c r="M1481" s="26"/>
      <c r="N1481" s="26"/>
    </row>
    <row r="1482" spans="8:15">
      <c r="H1482" s="26" t="s">
        <v>1229</v>
      </c>
      <c r="I1482" s="26"/>
      <c r="J1482" s="26"/>
      <c r="K1482" s="26"/>
      <c r="L1482" s="26"/>
      <c r="M1482" s="26"/>
      <c r="N1482" s="26"/>
    </row>
    <row r="1485" spans="8:15">
      <c r="K1485" s="604" t="s">
        <v>24</v>
      </c>
      <c r="L1485" s="604"/>
      <c r="M1485" s="604"/>
      <c r="N1485" s="604"/>
    </row>
    <row r="1486" spans="8:15">
      <c r="K1486" s="604" t="s">
        <v>149</v>
      </c>
      <c r="L1486" s="604"/>
      <c r="M1486" s="604"/>
      <c r="N1486" s="604"/>
    </row>
    <row r="1487" spans="8:15">
      <c r="K1487" s="605" t="s">
        <v>150</v>
      </c>
      <c r="L1487" s="605"/>
      <c r="M1487" s="605"/>
      <c r="N1487" s="605"/>
    </row>
    <row r="1488" spans="8:15">
      <c r="K1488" s="30"/>
    </row>
    <row r="1489" spans="8:15">
      <c r="L1489" s="26"/>
      <c r="M1489" s="26"/>
      <c r="N1489" s="26"/>
    </row>
    <row r="1490" spans="8:15" ht="17.25">
      <c r="K1490" s="644" t="s">
        <v>2347</v>
      </c>
      <c r="L1490" s="644"/>
      <c r="M1490" s="644"/>
      <c r="N1490" s="644"/>
    </row>
    <row r="1491" spans="8:15" ht="17.25">
      <c r="K1491" s="361"/>
      <c r="L1491" s="361"/>
      <c r="M1491" s="361"/>
      <c r="N1491" s="361"/>
    </row>
    <row r="1492" spans="8:15" ht="17.25" customHeight="1">
      <c r="H1492" s="617" t="s">
        <v>0</v>
      </c>
      <c r="I1492" s="617"/>
      <c r="J1492" s="617"/>
      <c r="K1492" s="617"/>
      <c r="L1492" s="617"/>
      <c r="M1492" s="617"/>
      <c r="N1492" s="617"/>
      <c r="O1492" s="617"/>
    </row>
    <row r="1495" spans="8:15" ht="49.5" customHeight="1">
      <c r="H1495" s="642" t="s">
        <v>1</v>
      </c>
      <c r="I1495" s="642"/>
      <c r="J1495" s="642"/>
      <c r="K1495" s="642"/>
      <c r="L1495" s="642"/>
      <c r="M1495" s="642"/>
      <c r="N1495" s="642"/>
      <c r="O1495" s="642"/>
    </row>
    <row r="1498" spans="8:15" ht="17.25">
      <c r="H1498" s="375"/>
      <c r="I1498" s="503" t="s">
        <v>2160</v>
      </c>
    </row>
    <row r="1499" spans="8:15" ht="17.25" thickBot="1">
      <c r="H1499" s="30"/>
      <c r="N1499" s="141"/>
    </row>
    <row r="1500" spans="8:15">
      <c r="I1500" s="30"/>
      <c r="M1500" s="143"/>
      <c r="O1500" s="144"/>
    </row>
    <row r="1501" spans="8:15">
      <c r="M1501" s="647" t="s">
        <v>555</v>
      </c>
      <c r="N1501" s="610"/>
      <c r="O1501" s="648"/>
    </row>
    <row r="1502" spans="8:15">
      <c r="H1502" s="12" t="s">
        <v>114</v>
      </c>
      <c r="K1502" s="249" t="s">
        <v>2</v>
      </c>
      <c r="M1502" s="605" t="s">
        <v>1882</v>
      </c>
      <c r="N1502" s="605"/>
      <c r="O1502" s="649"/>
    </row>
    <row r="1503" spans="8:15">
      <c r="M1503" s="601" t="s">
        <v>163</v>
      </c>
      <c r="N1503" s="602"/>
      <c r="O1503" s="603"/>
    </row>
    <row r="1504" spans="8:15" ht="17.25" thickBot="1">
      <c r="M1504" s="140"/>
      <c r="N1504" s="141"/>
      <c r="O1504" s="142"/>
    </row>
    <row r="1506" spans="8:15">
      <c r="H1506" s="249" t="s">
        <v>27</v>
      </c>
      <c r="I1506" s="394" t="s">
        <v>148</v>
      </c>
    </row>
    <row r="1507" spans="8:15" ht="17.25" thickBot="1"/>
    <row r="1508" spans="8:15" ht="17.25" thickBot="1">
      <c r="H1508" s="13" t="s">
        <v>112</v>
      </c>
      <c r="I1508" s="624" t="s">
        <v>4</v>
      </c>
      <c r="J1508" s="625"/>
      <c r="K1508" s="625"/>
      <c r="L1508" s="625"/>
      <c r="M1508" s="625"/>
      <c r="N1508" s="626"/>
      <c r="O1508" s="20" t="s">
        <v>5</v>
      </c>
    </row>
    <row r="1509" spans="8:15">
      <c r="H1509" s="633" t="s">
        <v>2445</v>
      </c>
      <c r="I1509" s="143"/>
      <c r="J1509" s="159"/>
      <c r="K1509" s="159"/>
      <c r="L1509" s="159"/>
      <c r="M1509" s="159"/>
      <c r="N1509" s="144"/>
      <c r="O1509" s="291"/>
    </row>
    <row r="1510" spans="8:15">
      <c r="H1510" s="634"/>
      <c r="I1510" s="64"/>
      <c r="N1510" s="65"/>
      <c r="O1510" s="291"/>
    </row>
    <row r="1511" spans="8:15">
      <c r="H1511" s="634"/>
      <c r="I1511" s="630" t="s">
        <v>286</v>
      </c>
      <c r="J1511" s="631"/>
      <c r="K1511" s="631"/>
      <c r="L1511" s="631"/>
      <c r="M1511" s="631"/>
      <c r="N1511" s="632"/>
      <c r="O1511" s="291"/>
    </row>
    <row r="1512" spans="8:15">
      <c r="H1512" s="634"/>
      <c r="I1512" s="636" t="s">
        <v>1743</v>
      </c>
      <c r="J1512" s="637"/>
      <c r="K1512" s="637"/>
      <c r="L1512" s="637"/>
      <c r="M1512" s="637"/>
      <c r="N1512" s="638"/>
      <c r="O1512" s="148">
        <v>7623000</v>
      </c>
    </row>
    <row r="1513" spans="8:15">
      <c r="H1513" s="634"/>
      <c r="I1513" s="64"/>
      <c r="J1513" s="604"/>
      <c r="K1513" s="604"/>
      <c r="L1513" s="604"/>
      <c r="N1513" s="65"/>
      <c r="O1513" s="291"/>
    </row>
    <row r="1514" spans="8:15" ht="17.25" thickBot="1">
      <c r="H1514" s="635"/>
      <c r="I1514" s="140"/>
      <c r="J1514" s="141"/>
      <c r="K1514" s="141"/>
      <c r="L1514" s="141"/>
      <c r="M1514" s="141"/>
      <c r="N1514" s="142"/>
      <c r="O1514" s="291"/>
    </row>
    <row r="1515" spans="8:15" ht="17.25" thickBot="1">
      <c r="H1515" s="20" t="s">
        <v>12</v>
      </c>
      <c r="I1515" s="614" t="s">
        <v>13</v>
      </c>
      <c r="J1515" s="615"/>
      <c r="K1515" s="62" t="s">
        <v>14</v>
      </c>
      <c r="L1515" s="63"/>
      <c r="M1515" s="62" t="s">
        <v>15</v>
      </c>
      <c r="N1515" s="62" t="s">
        <v>16</v>
      </c>
      <c r="O1515" s="20" t="s">
        <v>17</v>
      </c>
    </row>
    <row r="1516" spans="8:15" ht="18" thickBot="1">
      <c r="H1516" s="22" t="s">
        <v>18</v>
      </c>
      <c r="I1516" s="606">
        <f>+O1512</f>
        <v>7623000</v>
      </c>
      <c r="J1516" s="607"/>
      <c r="K1516" s="23">
        <f>0</f>
        <v>0</v>
      </c>
      <c r="L1516" s="24"/>
      <c r="M1516" s="25">
        <f>0</f>
        <v>0</v>
      </c>
      <c r="N1516" s="36">
        <f>+I1516</f>
        <v>7623000</v>
      </c>
      <c r="O1516" s="38">
        <f>+O1512</f>
        <v>7623000</v>
      </c>
    </row>
    <row r="1517" spans="8:15" ht="18" thickBot="1">
      <c r="H1517" s="22" t="s">
        <v>113</v>
      </c>
      <c r="I1517" s="606">
        <f>+I1516/650.599</f>
        <v>11716.894738540943</v>
      </c>
      <c r="J1517" s="607"/>
      <c r="K1517" s="23">
        <f>0</f>
        <v>0</v>
      </c>
      <c r="L1517" s="24"/>
      <c r="M1517" s="25">
        <f>0</f>
        <v>0</v>
      </c>
      <c r="N1517" s="36">
        <f>+I1517</f>
        <v>11716.894738540943</v>
      </c>
      <c r="O1517" s="38">
        <f>+N1517</f>
        <v>11716.894738540943</v>
      </c>
    </row>
    <row r="1519" spans="8:15">
      <c r="H1519" s="412" t="s">
        <v>1268</v>
      </c>
      <c r="I1519" s="26"/>
      <c r="J1519" s="26"/>
      <c r="K1519" s="26"/>
      <c r="L1519" s="26"/>
      <c r="M1519" s="26"/>
      <c r="N1519" s="26"/>
    </row>
    <row r="1520" spans="8:15">
      <c r="H1520" s="413" t="s">
        <v>2487</v>
      </c>
      <c r="I1520" s="26"/>
      <c r="J1520" s="26"/>
      <c r="K1520" s="26"/>
      <c r="L1520" s="26"/>
      <c r="M1520" s="26"/>
      <c r="N1520" s="26"/>
    </row>
    <row r="1521" spans="8:15">
      <c r="H1521" s="82" t="s">
        <v>19</v>
      </c>
      <c r="I1521" s="26"/>
      <c r="J1521" s="26"/>
      <c r="K1521" s="26"/>
      <c r="L1521" s="26"/>
      <c r="M1521" s="26"/>
      <c r="N1521" s="26"/>
    </row>
    <row r="1522" spans="8:15">
      <c r="H1522" s="26" t="s">
        <v>965</v>
      </c>
      <c r="I1522" s="26"/>
      <c r="J1522" s="26"/>
      <c r="K1522" s="26"/>
      <c r="L1522" s="26"/>
      <c r="M1522" s="26"/>
      <c r="N1522" s="26"/>
    </row>
    <row r="1523" spans="8:15">
      <c r="H1523" s="26" t="s">
        <v>21</v>
      </c>
      <c r="I1523" s="26"/>
      <c r="J1523" s="26"/>
      <c r="K1523" s="26"/>
      <c r="L1523" s="26"/>
      <c r="M1523" s="26"/>
      <c r="N1523" s="26"/>
    </row>
    <row r="1524" spans="8:15">
      <c r="H1524" s="26" t="s">
        <v>1229</v>
      </c>
      <c r="I1524" s="26"/>
      <c r="J1524" s="26"/>
      <c r="K1524" s="26"/>
      <c r="L1524" s="26"/>
      <c r="M1524" s="26"/>
      <c r="N1524" s="26"/>
    </row>
    <row r="1527" spans="8:15">
      <c r="K1527" s="604" t="s">
        <v>24</v>
      </c>
      <c r="L1527" s="604"/>
      <c r="M1527" s="604"/>
      <c r="N1527" s="604"/>
    </row>
    <row r="1528" spans="8:15">
      <c r="K1528" s="604" t="s">
        <v>149</v>
      </c>
      <c r="L1528" s="604"/>
      <c r="M1528" s="604"/>
      <c r="N1528" s="604"/>
    </row>
    <row r="1529" spans="8:15">
      <c r="K1529" s="605" t="s">
        <v>150</v>
      </c>
      <c r="L1529" s="605"/>
      <c r="M1529" s="605"/>
      <c r="N1529" s="605"/>
    </row>
    <row r="1530" spans="8:15">
      <c r="K1530" s="30"/>
    </row>
    <row r="1531" spans="8:15">
      <c r="L1531" s="26"/>
      <c r="M1531" s="26"/>
      <c r="N1531" s="26"/>
    </row>
    <row r="1532" spans="8:15" ht="18">
      <c r="H1532" s="26"/>
      <c r="I1532" s="26"/>
      <c r="J1532" s="26"/>
      <c r="K1532" s="644" t="s">
        <v>2347</v>
      </c>
      <c r="L1532" s="644"/>
      <c r="M1532" s="644"/>
      <c r="N1532" s="644"/>
      <c r="O1532" s="145"/>
    </row>
    <row r="1533" spans="8:15" ht="18">
      <c r="H1533" s="26"/>
      <c r="I1533" s="26"/>
      <c r="J1533" s="26"/>
      <c r="K1533" s="361"/>
      <c r="L1533" s="361"/>
      <c r="M1533" s="361"/>
      <c r="N1533" s="361"/>
      <c r="O1533" s="145"/>
    </row>
    <row r="1534" spans="8:15" ht="18.75" customHeight="1">
      <c r="I1534" s="617" t="s">
        <v>2573</v>
      </c>
      <c r="J1534" s="617"/>
      <c r="K1534" s="617"/>
      <c r="L1534" s="617"/>
      <c r="M1534" s="617"/>
      <c r="N1534" s="617"/>
      <c r="O1534" s="617"/>
    </row>
    <row r="1537" spans="8:15" ht="49.5" customHeight="1">
      <c r="H1537" s="660" t="s">
        <v>1</v>
      </c>
      <c r="I1537" s="660"/>
      <c r="J1537" s="660"/>
      <c r="K1537" s="660"/>
      <c r="L1537" s="660"/>
      <c r="M1537" s="660"/>
      <c r="N1537" s="660"/>
      <c r="O1537" s="660"/>
    </row>
    <row r="1540" spans="8:15" ht="17.25">
      <c r="H1540" s="375"/>
      <c r="I1540" s="503" t="s">
        <v>705</v>
      </c>
    </row>
    <row r="1541" spans="8:15" ht="17.25" thickBot="1">
      <c r="H1541" s="30"/>
      <c r="N1541" s="141"/>
    </row>
    <row r="1542" spans="8:15">
      <c r="I1542" s="30"/>
      <c r="M1542" s="143"/>
      <c r="O1542" s="144"/>
    </row>
    <row r="1543" spans="8:15">
      <c r="M1543" s="647" t="s">
        <v>1427</v>
      </c>
      <c r="N1543" s="610"/>
      <c r="O1543" s="648"/>
    </row>
    <row r="1544" spans="8:15">
      <c r="H1544" s="12" t="s">
        <v>114</v>
      </c>
      <c r="K1544" s="249" t="s">
        <v>2</v>
      </c>
      <c r="M1544" s="605" t="s">
        <v>1681</v>
      </c>
      <c r="N1544" s="605"/>
      <c r="O1544" s="649"/>
    </row>
    <row r="1545" spans="8:15">
      <c r="M1545" s="601" t="s">
        <v>904</v>
      </c>
      <c r="N1545" s="602"/>
      <c r="O1545" s="603"/>
    </row>
    <row r="1546" spans="8:15" ht="17.25" thickBot="1">
      <c r="M1546" s="140"/>
      <c r="N1546" s="141"/>
      <c r="O1546" s="142"/>
    </row>
    <row r="1548" spans="8:15">
      <c r="H1548" s="249" t="s">
        <v>27</v>
      </c>
      <c r="I1548" s="30" t="s">
        <v>148</v>
      </c>
    </row>
    <row r="1549" spans="8:15" ht="17.25" thickBot="1"/>
    <row r="1550" spans="8:15" ht="17.25" customHeight="1" thickBot="1">
      <c r="H1550" s="13" t="s">
        <v>112</v>
      </c>
      <c r="I1550" s="624" t="s">
        <v>4</v>
      </c>
      <c r="J1550" s="625"/>
      <c r="K1550" s="625"/>
      <c r="L1550" s="625"/>
      <c r="M1550" s="625"/>
      <c r="N1550" s="626"/>
      <c r="O1550" s="20" t="s">
        <v>5</v>
      </c>
    </row>
    <row r="1551" spans="8:15" ht="16.5" customHeight="1">
      <c r="H1551" s="633" t="s">
        <v>2445</v>
      </c>
      <c r="I1551" s="143"/>
      <c r="J1551" s="159"/>
      <c r="K1551" s="159"/>
      <c r="L1551" s="159"/>
      <c r="M1551" s="159"/>
      <c r="N1551" s="144"/>
      <c r="O1551" s="291"/>
    </row>
    <row r="1552" spans="8:15">
      <c r="H1552" s="634"/>
      <c r="I1552" s="64"/>
      <c r="N1552" s="65"/>
      <c r="O1552" s="291"/>
    </row>
    <row r="1553" spans="8:15">
      <c r="H1553" s="634"/>
      <c r="I1553" s="630" t="s">
        <v>286</v>
      </c>
      <c r="J1553" s="631"/>
      <c r="K1553" s="631"/>
      <c r="L1553" s="631"/>
      <c r="M1553" s="631"/>
      <c r="N1553" s="632"/>
      <c r="O1553" s="291"/>
    </row>
    <row r="1554" spans="8:15">
      <c r="H1554" s="634"/>
      <c r="I1554" s="636" t="s">
        <v>1428</v>
      </c>
      <c r="J1554" s="637"/>
      <c r="K1554" s="637"/>
      <c r="L1554" s="637"/>
      <c r="M1554" s="637"/>
      <c r="N1554" s="638"/>
      <c r="O1554" s="148">
        <v>7875000</v>
      </c>
    </row>
    <row r="1555" spans="8:15">
      <c r="H1555" s="634"/>
      <c r="I1555" s="64"/>
      <c r="J1555" s="604"/>
      <c r="K1555" s="604"/>
      <c r="L1555" s="604"/>
      <c r="N1555" s="65"/>
      <c r="O1555" s="291"/>
    </row>
    <row r="1556" spans="8:15" ht="17.25" thickBot="1">
      <c r="H1556" s="635"/>
      <c r="I1556" s="140"/>
      <c r="J1556" s="141"/>
      <c r="K1556" s="141"/>
      <c r="L1556" s="141"/>
      <c r="M1556" s="141"/>
      <c r="N1556" s="142"/>
      <c r="O1556" s="291"/>
    </row>
    <row r="1557" spans="8:15" ht="17.25" thickBot="1">
      <c r="H1557" s="20" t="s">
        <v>12</v>
      </c>
      <c r="I1557" s="614" t="s">
        <v>13</v>
      </c>
      <c r="J1557" s="615"/>
      <c r="K1557" s="62" t="s">
        <v>14</v>
      </c>
      <c r="L1557" s="63"/>
      <c r="M1557" s="62" t="s">
        <v>15</v>
      </c>
      <c r="N1557" s="62" t="s">
        <v>16</v>
      </c>
      <c r="O1557" s="20" t="s">
        <v>17</v>
      </c>
    </row>
    <row r="1558" spans="8:15" ht="18" thickBot="1">
      <c r="H1558" s="22" t="s">
        <v>18</v>
      </c>
      <c r="I1558" s="606">
        <f>+O1554</f>
        <v>7875000</v>
      </c>
      <c r="J1558" s="607"/>
      <c r="K1558" s="23">
        <f>0</f>
        <v>0</v>
      </c>
      <c r="L1558" s="24"/>
      <c r="M1558" s="25">
        <f>0</f>
        <v>0</v>
      </c>
      <c r="N1558" s="36">
        <f>+I1558</f>
        <v>7875000</v>
      </c>
      <c r="O1558" s="38">
        <f>+O1554</f>
        <v>7875000</v>
      </c>
    </row>
    <row r="1559" spans="8:15" ht="18" thickBot="1">
      <c r="H1559" s="22" t="s">
        <v>113</v>
      </c>
      <c r="I1559" s="606">
        <f>+I1558/650.599</f>
        <v>12104.230101798496</v>
      </c>
      <c r="J1559" s="607"/>
      <c r="K1559" s="23">
        <f>0</f>
        <v>0</v>
      </c>
      <c r="L1559" s="24"/>
      <c r="M1559" s="25">
        <f>0</f>
        <v>0</v>
      </c>
      <c r="N1559" s="36">
        <f>+I1559</f>
        <v>12104.230101798496</v>
      </c>
      <c r="O1559" s="38">
        <f>+N1559</f>
        <v>12104.230101798496</v>
      </c>
    </row>
    <row r="1561" spans="8:15">
      <c r="H1561" s="412" t="s">
        <v>1268</v>
      </c>
      <c r="I1561" s="26"/>
      <c r="J1561" s="26"/>
      <c r="K1561" s="26"/>
      <c r="L1561" s="26"/>
      <c r="M1561" s="26"/>
      <c r="N1561" s="26"/>
    </row>
    <row r="1562" spans="8:15" ht="17.25">
      <c r="H1562" s="458" t="s">
        <v>2016</v>
      </c>
      <c r="I1562" s="26"/>
      <c r="J1562" s="26"/>
      <c r="K1562" s="26"/>
      <c r="L1562" s="26"/>
      <c r="M1562" s="26"/>
      <c r="N1562" s="26"/>
    </row>
    <row r="1563" spans="8:15">
      <c r="H1563" s="82" t="s">
        <v>19</v>
      </c>
      <c r="I1563" s="26"/>
      <c r="J1563" s="26"/>
      <c r="K1563" s="26"/>
      <c r="L1563" s="26"/>
      <c r="M1563" s="26"/>
      <c r="N1563" s="26"/>
    </row>
    <row r="1564" spans="8:15">
      <c r="H1564" s="26" t="s">
        <v>965</v>
      </c>
      <c r="I1564" s="26"/>
      <c r="J1564" s="26"/>
      <c r="K1564" s="26"/>
      <c r="L1564" s="26"/>
      <c r="M1564" s="26"/>
      <c r="N1564" s="26"/>
    </row>
    <row r="1565" spans="8:15">
      <c r="H1565" s="26" t="s">
        <v>21</v>
      </c>
      <c r="I1565" s="26"/>
      <c r="J1565" s="26"/>
      <c r="K1565" s="26"/>
      <c r="L1565" s="26"/>
      <c r="M1565" s="26"/>
      <c r="N1565" s="26"/>
    </row>
    <row r="1566" spans="8:15">
      <c r="H1566" s="26" t="s">
        <v>1229</v>
      </c>
      <c r="I1566" s="26"/>
      <c r="J1566" s="26"/>
      <c r="K1566" s="26"/>
      <c r="L1566" s="26"/>
      <c r="M1566" s="26"/>
      <c r="N1566" s="26"/>
    </row>
    <row r="1569" spans="8:15">
      <c r="K1569" s="604" t="s">
        <v>24</v>
      </c>
      <c r="L1569" s="604"/>
      <c r="M1569" s="604"/>
      <c r="N1569" s="604"/>
    </row>
    <row r="1570" spans="8:15">
      <c r="K1570" s="604" t="s">
        <v>149</v>
      </c>
      <c r="L1570" s="604"/>
      <c r="M1570" s="604"/>
      <c r="N1570" s="604"/>
    </row>
    <row r="1571" spans="8:15">
      <c r="K1571" s="605" t="s">
        <v>150</v>
      </c>
      <c r="L1571" s="605"/>
      <c r="M1571" s="605"/>
      <c r="N1571" s="605"/>
    </row>
    <row r="1572" spans="8:15">
      <c r="K1572" s="477"/>
      <c r="L1572" s="477"/>
      <c r="M1572" s="477"/>
      <c r="N1572" s="477"/>
    </row>
    <row r="1573" spans="8:15">
      <c r="K1573" s="30"/>
    </row>
    <row r="1574" spans="8:15" ht="18">
      <c r="H1574" s="26"/>
      <c r="I1574" s="26"/>
      <c r="J1574" s="26"/>
      <c r="K1574" s="644" t="s">
        <v>2347</v>
      </c>
      <c r="L1574" s="644"/>
      <c r="M1574" s="644"/>
      <c r="N1574" s="644"/>
      <c r="O1574" s="145"/>
    </row>
    <row r="1575" spans="8:15" ht="18">
      <c r="H1575" s="26"/>
      <c r="I1575" s="26"/>
      <c r="J1575" s="26"/>
      <c r="K1575" s="361"/>
      <c r="L1575" s="361"/>
      <c r="M1575" s="361"/>
      <c r="N1575" s="361"/>
      <c r="O1575" s="145"/>
    </row>
    <row r="1576" spans="8:15" ht="15.75" customHeight="1">
      <c r="I1576" s="617" t="s">
        <v>0</v>
      </c>
      <c r="J1576" s="617"/>
      <c r="K1576" s="617"/>
      <c r="L1576" s="617"/>
      <c r="M1576" s="617"/>
      <c r="N1576" s="617"/>
      <c r="O1576" s="617"/>
    </row>
    <row r="1579" spans="8:15" ht="49.5" customHeight="1">
      <c r="H1579" s="642" t="s">
        <v>1</v>
      </c>
      <c r="I1579" s="642"/>
      <c r="J1579" s="642"/>
      <c r="K1579" s="642"/>
      <c r="L1579" s="642"/>
      <c r="M1579" s="642"/>
      <c r="N1579" s="642"/>
      <c r="O1579" s="642"/>
    </row>
    <row r="1582" spans="8:15" ht="17.25">
      <c r="H1582" s="375"/>
      <c r="I1582" s="375" t="s">
        <v>1384</v>
      </c>
    </row>
    <row r="1583" spans="8:15" ht="17.25" thickBot="1">
      <c r="H1583" s="30"/>
      <c r="N1583" s="141"/>
    </row>
    <row r="1584" spans="8:15">
      <c r="I1584" s="30"/>
      <c r="M1584" s="143"/>
      <c r="O1584" s="144"/>
    </row>
    <row r="1585" spans="8:15">
      <c r="M1585" s="647" t="s">
        <v>2031</v>
      </c>
      <c r="N1585" s="610"/>
      <c r="O1585" s="648"/>
    </row>
    <row r="1586" spans="8:15">
      <c r="H1586" s="12" t="s">
        <v>114</v>
      </c>
      <c r="K1586" s="249" t="s">
        <v>2</v>
      </c>
      <c r="M1586" s="605" t="s">
        <v>2032</v>
      </c>
      <c r="N1586" s="605"/>
      <c r="O1586" s="649"/>
    </row>
    <row r="1587" spans="8:15">
      <c r="M1587" s="601" t="s">
        <v>163</v>
      </c>
      <c r="N1587" s="602"/>
      <c r="O1587" s="603"/>
    </row>
    <row r="1588" spans="8:15" ht="17.25" thickBot="1">
      <c r="M1588" s="140"/>
      <c r="N1588" s="141"/>
      <c r="O1588" s="142"/>
    </row>
    <row r="1590" spans="8:15">
      <c r="H1590" s="249" t="s">
        <v>27</v>
      </c>
      <c r="I1590" s="30" t="s">
        <v>1946</v>
      </c>
    </row>
    <row r="1591" spans="8:15" ht="17.25" thickBot="1"/>
    <row r="1592" spans="8:15" ht="17.25" thickBot="1">
      <c r="H1592" s="13" t="s">
        <v>112</v>
      </c>
      <c r="I1592" s="624" t="s">
        <v>4</v>
      </c>
      <c r="J1592" s="625"/>
      <c r="K1592" s="625"/>
      <c r="L1592" s="625"/>
      <c r="M1592" s="625"/>
      <c r="N1592" s="626"/>
      <c r="O1592" s="20" t="s">
        <v>5</v>
      </c>
    </row>
    <row r="1593" spans="8:15">
      <c r="H1593" s="633" t="s">
        <v>2140</v>
      </c>
      <c r="I1593" s="143"/>
      <c r="J1593" s="159"/>
      <c r="K1593" s="159"/>
      <c r="L1593" s="159"/>
      <c r="M1593" s="159"/>
      <c r="N1593" s="144"/>
      <c r="O1593" s="291"/>
    </row>
    <row r="1594" spans="8:15">
      <c r="H1594" s="634"/>
      <c r="I1594" s="64"/>
      <c r="N1594" s="65"/>
      <c r="O1594" s="291"/>
    </row>
    <row r="1595" spans="8:15">
      <c r="H1595" s="634"/>
      <c r="I1595" s="676" t="s">
        <v>286</v>
      </c>
      <c r="J1595" s="677"/>
      <c r="K1595" s="677"/>
      <c r="L1595" s="677"/>
      <c r="M1595" s="677"/>
      <c r="N1595" s="678"/>
      <c r="O1595" s="291"/>
    </row>
    <row r="1596" spans="8:15">
      <c r="H1596" s="634"/>
      <c r="I1596" s="636" t="s">
        <v>2033</v>
      </c>
      <c r="J1596" s="637"/>
      <c r="K1596" s="637"/>
      <c r="L1596" s="637"/>
      <c r="M1596" s="637"/>
      <c r="N1596" s="638"/>
      <c r="O1596" s="148">
        <v>600000</v>
      </c>
    </row>
    <row r="1597" spans="8:15">
      <c r="H1597" s="634"/>
      <c r="I1597" s="64"/>
      <c r="J1597" s="604"/>
      <c r="K1597" s="604"/>
      <c r="L1597" s="604"/>
      <c r="N1597" s="65"/>
      <c r="O1597" s="291"/>
    </row>
    <row r="1598" spans="8:15" ht="17.25" thickBot="1">
      <c r="H1598" s="635"/>
      <c r="I1598" s="140"/>
      <c r="J1598" s="141"/>
      <c r="K1598" s="141"/>
      <c r="L1598" s="141"/>
      <c r="M1598" s="141"/>
      <c r="N1598" s="142"/>
      <c r="O1598" s="291"/>
    </row>
    <row r="1599" spans="8:15" ht="17.25" thickBot="1">
      <c r="H1599" s="20" t="s">
        <v>12</v>
      </c>
      <c r="I1599" s="614" t="s">
        <v>13</v>
      </c>
      <c r="J1599" s="615"/>
      <c r="K1599" s="62" t="s">
        <v>14</v>
      </c>
      <c r="L1599" s="63"/>
      <c r="M1599" s="62" t="s">
        <v>15</v>
      </c>
      <c r="N1599" s="62" t="s">
        <v>16</v>
      </c>
      <c r="O1599" s="20" t="s">
        <v>17</v>
      </c>
    </row>
    <row r="1600" spans="8:15" ht="18" thickBot="1">
      <c r="H1600" s="22" t="s">
        <v>18</v>
      </c>
      <c r="I1600" s="606">
        <f>+O1596</f>
        <v>600000</v>
      </c>
      <c r="J1600" s="607"/>
      <c r="K1600" s="23">
        <f>0</f>
        <v>0</v>
      </c>
      <c r="L1600" s="24"/>
      <c r="M1600" s="25">
        <f>0</f>
        <v>0</v>
      </c>
      <c r="N1600" s="36">
        <f>+I1600</f>
        <v>600000</v>
      </c>
      <c r="O1600" s="38">
        <f>+O1596</f>
        <v>600000</v>
      </c>
    </row>
    <row r="1601" spans="8:15" ht="18" thickBot="1">
      <c r="H1601" s="22" t="s">
        <v>113</v>
      </c>
      <c r="I1601" s="606">
        <f>+I1600/650.599</f>
        <v>922.22705537512343</v>
      </c>
      <c r="J1601" s="607"/>
      <c r="K1601" s="23">
        <f>0</f>
        <v>0</v>
      </c>
      <c r="L1601" s="24"/>
      <c r="M1601" s="25">
        <f>0</f>
        <v>0</v>
      </c>
      <c r="N1601" s="36">
        <f>+I1601</f>
        <v>922.22705537512343</v>
      </c>
      <c r="O1601" s="38">
        <f>+N1601</f>
        <v>922.22705537512343</v>
      </c>
    </row>
    <row r="1603" spans="8:15">
      <c r="H1603" s="412" t="s">
        <v>1268</v>
      </c>
      <c r="I1603" s="26"/>
      <c r="J1603" s="26"/>
      <c r="K1603" s="26"/>
      <c r="L1603" s="26"/>
      <c r="M1603" s="26"/>
      <c r="N1603" s="26"/>
    </row>
    <row r="1604" spans="8:15" ht="17.25">
      <c r="H1604" s="458" t="s">
        <v>2034</v>
      </c>
      <c r="I1604" s="26"/>
      <c r="J1604" s="26"/>
      <c r="K1604" s="26"/>
      <c r="L1604" s="26"/>
      <c r="M1604" s="26"/>
      <c r="N1604" s="26"/>
    </row>
    <row r="1605" spans="8:15">
      <c r="H1605" s="82" t="s">
        <v>19</v>
      </c>
      <c r="I1605" s="26"/>
      <c r="J1605" s="26"/>
      <c r="K1605" s="26"/>
      <c r="L1605" s="26"/>
      <c r="M1605" s="26"/>
      <c r="N1605" s="26"/>
    </row>
    <row r="1606" spans="8:15">
      <c r="H1606" s="26" t="s">
        <v>965</v>
      </c>
      <c r="I1606" s="26"/>
      <c r="J1606" s="26"/>
      <c r="K1606" s="26"/>
      <c r="L1606" s="26"/>
      <c r="M1606" s="26"/>
      <c r="N1606" s="26"/>
    </row>
    <row r="1607" spans="8:15">
      <c r="H1607" s="26" t="s">
        <v>21</v>
      </c>
      <c r="I1607" s="26"/>
      <c r="J1607" s="26"/>
      <c r="K1607" s="26"/>
      <c r="L1607" s="26"/>
      <c r="M1607" s="26"/>
      <c r="N1607" s="26"/>
    </row>
    <row r="1608" spans="8:15">
      <c r="H1608" s="26" t="s">
        <v>1229</v>
      </c>
      <c r="I1608" s="26"/>
      <c r="J1608" s="26"/>
      <c r="K1608" s="26"/>
      <c r="L1608" s="26"/>
      <c r="M1608" s="26"/>
      <c r="N1608" s="26"/>
    </row>
    <row r="1611" spans="8:15">
      <c r="K1611" s="30" t="s">
        <v>24</v>
      </c>
      <c r="M1611" s="30"/>
      <c r="N1611" s="30"/>
    </row>
    <row r="1612" spans="8:15">
      <c r="K1612" s="30" t="s">
        <v>149</v>
      </c>
      <c r="M1612" s="30"/>
      <c r="N1612" s="30"/>
    </row>
    <row r="1613" spans="8:15">
      <c r="K1613" s="605" t="s">
        <v>150</v>
      </c>
      <c r="L1613" s="605"/>
      <c r="M1613" s="605"/>
      <c r="N1613" s="605"/>
    </row>
    <row r="1614" spans="8:15" ht="18">
      <c r="H1614" s="26"/>
      <c r="I1614" s="26"/>
      <c r="J1614" s="26"/>
      <c r="K1614" s="644" t="s">
        <v>2147</v>
      </c>
      <c r="L1614" s="644"/>
      <c r="M1614" s="644"/>
      <c r="N1614" s="644"/>
      <c r="O1614" s="145"/>
    </row>
    <row r="1615" spans="8:15">
      <c r="H1615" s="617" t="s">
        <v>0</v>
      </c>
      <c r="I1615" s="617"/>
      <c r="J1615" s="617"/>
      <c r="K1615" s="617"/>
      <c r="L1615" s="617"/>
      <c r="M1615" s="617"/>
      <c r="N1615" s="617"/>
      <c r="O1615" s="617"/>
    </row>
    <row r="1618" spans="8:15" ht="49.5" customHeight="1">
      <c r="H1618" s="642" t="s">
        <v>1</v>
      </c>
      <c r="I1618" s="642"/>
      <c r="J1618" s="642"/>
      <c r="K1618" s="642"/>
      <c r="L1618" s="642"/>
      <c r="M1618" s="642"/>
      <c r="N1618" s="642"/>
      <c r="O1618" s="642"/>
    </row>
    <row r="1621" spans="8:15" ht="17.25">
      <c r="H1621" s="375"/>
      <c r="I1621" s="375" t="s">
        <v>1881</v>
      </c>
    </row>
    <row r="1622" spans="8:15" ht="17.25" thickBot="1">
      <c r="H1622" s="30"/>
      <c r="N1622" s="141"/>
    </row>
    <row r="1623" spans="8:15">
      <c r="I1623" s="30"/>
      <c r="M1623" s="143"/>
      <c r="O1623" s="144"/>
    </row>
    <row r="1624" spans="8:15">
      <c r="M1624" s="647" t="s">
        <v>1659</v>
      </c>
      <c r="N1624" s="610"/>
      <c r="O1624" s="648"/>
    </row>
    <row r="1625" spans="8:15">
      <c r="H1625" s="12" t="s">
        <v>114</v>
      </c>
      <c r="K1625" s="249" t="s">
        <v>2</v>
      </c>
      <c r="M1625" s="605" t="s">
        <v>1682</v>
      </c>
      <c r="N1625" s="605"/>
      <c r="O1625" s="649"/>
    </row>
    <row r="1626" spans="8:15">
      <c r="M1626" s="601" t="s">
        <v>904</v>
      </c>
      <c r="N1626" s="602"/>
      <c r="O1626" s="603"/>
    </row>
    <row r="1627" spans="8:15" ht="17.25" thickBot="1">
      <c r="M1627" s="140"/>
      <c r="N1627" s="141"/>
      <c r="O1627" s="142"/>
    </row>
    <row r="1629" spans="8:15">
      <c r="H1629" s="250" t="s">
        <v>27</v>
      </c>
      <c r="I1629" s="394" t="s">
        <v>148</v>
      </c>
    </row>
    <row r="1630" spans="8:15" ht="17.25" thickBot="1"/>
    <row r="1631" spans="8:15" ht="17.25" thickBot="1">
      <c r="H1631" s="13" t="s">
        <v>112</v>
      </c>
      <c r="I1631" s="624" t="s">
        <v>4</v>
      </c>
      <c r="J1631" s="625"/>
      <c r="K1631" s="625"/>
      <c r="L1631" s="625"/>
      <c r="M1631" s="625"/>
      <c r="N1631" s="626"/>
      <c r="O1631" s="20" t="s">
        <v>5</v>
      </c>
    </row>
    <row r="1632" spans="8:15">
      <c r="H1632" s="633" t="s">
        <v>2015</v>
      </c>
      <c r="I1632" s="143"/>
      <c r="J1632" s="159"/>
      <c r="K1632" s="159"/>
      <c r="L1632" s="159"/>
      <c r="M1632" s="159"/>
      <c r="N1632" s="144"/>
      <c r="O1632" s="291"/>
    </row>
    <row r="1633" spans="8:15">
      <c r="H1633" s="634"/>
      <c r="I1633" s="64"/>
      <c r="N1633" s="65"/>
      <c r="O1633" s="291"/>
    </row>
    <row r="1634" spans="8:15">
      <c r="H1634" s="634"/>
      <c r="I1634" s="630" t="s">
        <v>286</v>
      </c>
      <c r="J1634" s="631"/>
      <c r="K1634" s="631"/>
      <c r="L1634" s="631"/>
      <c r="M1634" s="631"/>
      <c r="N1634" s="632"/>
      <c r="O1634" s="291"/>
    </row>
    <row r="1635" spans="8:15">
      <c r="H1635" s="634"/>
      <c r="I1635" s="636" t="s">
        <v>2035</v>
      </c>
      <c r="J1635" s="637"/>
      <c r="K1635" s="637"/>
      <c r="L1635" s="637"/>
      <c r="M1635" s="637"/>
      <c r="N1635" s="638"/>
      <c r="O1635" s="148">
        <v>3600000</v>
      </c>
    </row>
    <row r="1636" spans="8:15">
      <c r="H1636" s="634"/>
      <c r="I1636" s="64"/>
      <c r="J1636" s="604"/>
      <c r="K1636" s="604"/>
      <c r="L1636" s="604"/>
      <c r="N1636" s="65"/>
      <c r="O1636" s="291"/>
    </row>
    <row r="1637" spans="8:15" ht="17.25" thickBot="1">
      <c r="H1637" s="635"/>
      <c r="I1637" s="140"/>
      <c r="J1637" s="141"/>
      <c r="K1637" s="141"/>
      <c r="L1637" s="141"/>
      <c r="M1637" s="141"/>
      <c r="N1637" s="142"/>
      <c r="O1637" s="291"/>
    </row>
    <row r="1638" spans="8:15" ht="17.25" thickBot="1">
      <c r="H1638" s="20" t="s">
        <v>12</v>
      </c>
      <c r="I1638" s="614" t="s">
        <v>13</v>
      </c>
      <c r="J1638" s="615"/>
      <c r="K1638" s="62" t="s">
        <v>14</v>
      </c>
      <c r="L1638" s="63"/>
      <c r="M1638" s="62" t="s">
        <v>15</v>
      </c>
      <c r="N1638" s="62" t="s">
        <v>16</v>
      </c>
      <c r="O1638" s="20" t="s">
        <v>17</v>
      </c>
    </row>
    <row r="1639" spans="8:15" ht="18" thickBot="1">
      <c r="H1639" s="22" t="s">
        <v>18</v>
      </c>
      <c r="I1639" s="606">
        <f>+O1635</f>
        <v>3600000</v>
      </c>
      <c r="J1639" s="607"/>
      <c r="K1639" s="23">
        <f>0</f>
        <v>0</v>
      </c>
      <c r="L1639" s="24"/>
      <c r="M1639" s="25">
        <f>0</f>
        <v>0</v>
      </c>
      <c r="N1639" s="36">
        <f>+I1639</f>
        <v>3600000</v>
      </c>
      <c r="O1639" s="38">
        <f>+O1635</f>
        <v>3600000</v>
      </c>
    </row>
    <row r="1640" spans="8:15" ht="18" thickBot="1">
      <c r="H1640" s="22" t="s">
        <v>113</v>
      </c>
      <c r="I1640" s="606">
        <f>+I1639/650.599</f>
        <v>5533.362332250741</v>
      </c>
      <c r="J1640" s="607"/>
      <c r="K1640" s="23">
        <f>0</f>
        <v>0</v>
      </c>
      <c r="L1640" s="24"/>
      <c r="M1640" s="25">
        <f>0</f>
        <v>0</v>
      </c>
      <c r="N1640" s="36">
        <f>+I1640</f>
        <v>5533.362332250741</v>
      </c>
      <c r="O1640" s="38">
        <f>+N1640</f>
        <v>5533.362332250741</v>
      </c>
    </row>
    <row r="1642" spans="8:15">
      <c r="H1642" s="412" t="s">
        <v>1268</v>
      </c>
      <c r="I1642" s="26"/>
      <c r="J1642" s="26"/>
      <c r="K1642" s="26"/>
      <c r="L1642" s="26"/>
      <c r="M1642" s="26"/>
      <c r="N1642" s="26"/>
    </row>
    <row r="1643" spans="8:15" s="414" customFormat="1" ht="15.75">
      <c r="H1643" s="413" t="s">
        <v>2020</v>
      </c>
      <c r="I1643" s="410"/>
      <c r="J1643" s="410"/>
      <c r="K1643" s="410"/>
      <c r="L1643" s="410"/>
      <c r="M1643" s="410"/>
      <c r="N1643" s="410"/>
    </row>
    <row r="1644" spans="8:15">
      <c r="H1644" s="82" t="s">
        <v>19</v>
      </c>
      <c r="I1644" s="26"/>
      <c r="J1644" s="26"/>
      <c r="K1644" s="26"/>
      <c r="L1644" s="26"/>
      <c r="M1644" s="26"/>
      <c r="N1644" s="26"/>
    </row>
    <row r="1645" spans="8:15">
      <c r="H1645" s="26" t="s">
        <v>965</v>
      </c>
      <c r="I1645" s="26"/>
      <c r="J1645" s="26"/>
      <c r="K1645" s="26"/>
      <c r="L1645" s="26"/>
      <c r="M1645" s="26"/>
      <c r="N1645" s="26"/>
    </row>
    <row r="1646" spans="8:15">
      <c r="H1646" s="26" t="s">
        <v>21</v>
      </c>
      <c r="I1646" s="26"/>
      <c r="J1646" s="26"/>
      <c r="K1646" s="26"/>
      <c r="L1646" s="26"/>
      <c r="M1646" s="26"/>
      <c r="N1646" s="26"/>
    </row>
    <row r="1647" spans="8:15">
      <c r="H1647" s="26" t="s">
        <v>1229</v>
      </c>
      <c r="I1647" s="26"/>
      <c r="J1647" s="26"/>
      <c r="K1647" s="26"/>
      <c r="L1647" s="26"/>
      <c r="M1647" s="26"/>
      <c r="N1647" s="26"/>
    </row>
    <row r="1650" spans="8:15">
      <c r="K1650" s="30" t="s">
        <v>24</v>
      </c>
      <c r="M1650" s="30"/>
      <c r="N1650" s="30"/>
    </row>
    <row r="1651" spans="8:15">
      <c r="K1651" s="30" t="s">
        <v>149</v>
      </c>
      <c r="M1651" s="30"/>
      <c r="N1651" s="30"/>
    </row>
    <row r="1652" spans="8:15">
      <c r="K1652" s="605" t="s">
        <v>150</v>
      </c>
      <c r="L1652" s="605"/>
      <c r="M1652" s="605"/>
      <c r="N1652" s="605"/>
    </row>
    <row r="1653" spans="8:15">
      <c r="K1653" s="30"/>
    </row>
    <row r="1654" spans="8:15">
      <c r="L1654" s="26"/>
      <c r="M1654" s="26"/>
      <c r="N1654" s="26"/>
    </row>
    <row r="1655" spans="8:15" ht="18">
      <c r="K1655" s="145"/>
      <c r="L1655" s="145" t="s">
        <v>1696</v>
      </c>
      <c r="M1655" s="145"/>
      <c r="N1655" s="145"/>
    </row>
    <row r="1656" spans="8:15" ht="14.25" customHeight="1">
      <c r="K1656" s="145"/>
      <c r="L1656" s="145"/>
      <c r="M1656" s="145"/>
      <c r="N1656" s="145"/>
    </row>
    <row r="1657" spans="8:15" ht="18">
      <c r="H1657" s="26"/>
      <c r="I1657" s="26"/>
      <c r="J1657" s="26"/>
      <c r="K1657" s="644"/>
      <c r="L1657" s="644"/>
      <c r="M1657" s="644"/>
      <c r="N1657" s="644"/>
      <c r="O1657" s="145"/>
    </row>
    <row r="1658" spans="8:15">
      <c r="H1658" s="617" t="s">
        <v>0</v>
      </c>
      <c r="I1658" s="617"/>
      <c r="J1658" s="617"/>
      <c r="K1658" s="617"/>
      <c r="L1658" s="617"/>
      <c r="M1658" s="617"/>
      <c r="N1658" s="617"/>
      <c r="O1658" s="617"/>
    </row>
    <row r="1659" spans="8:15">
      <c r="H1659" s="474"/>
      <c r="I1659" s="474"/>
      <c r="J1659" s="474"/>
      <c r="K1659" s="474"/>
      <c r="L1659" s="474"/>
      <c r="M1659" s="474"/>
      <c r="N1659" s="474"/>
      <c r="O1659" s="474"/>
    </row>
    <row r="1660" spans="8:15">
      <c r="H1660" s="474"/>
      <c r="I1660" s="474"/>
      <c r="J1660" s="474"/>
      <c r="K1660" s="474"/>
      <c r="L1660" s="474"/>
      <c r="M1660" s="474"/>
      <c r="N1660" s="474"/>
      <c r="O1660" s="474"/>
    </row>
    <row r="1661" spans="8:15" ht="52.5" customHeight="1">
      <c r="H1661" s="642" t="s">
        <v>1</v>
      </c>
      <c r="I1661" s="642"/>
      <c r="J1661" s="642"/>
      <c r="K1661" s="642"/>
      <c r="L1661" s="642"/>
      <c r="M1661" s="642"/>
      <c r="N1661" s="642"/>
      <c r="O1661" s="642"/>
    </row>
    <row r="1664" spans="8:15" ht="17.25">
      <c r="H1664" s="375"/>
      <c r="I1664" s="503" t="s">
        <v>1879</v>
      </c>
    </row>
    <row r="1665" spans="8:15" ht="17.25" thickBot="1">
      <c r="H1665" s="30"/>
      <c r="N1665" s="141"/>
    </row>
    <row r="1666" spans="8:15">
      <c r="I1666" s="30"/>
      <c r="M1666" s="143"/>
      <c r="O1666" s="144"/>
    </row>
    <row r="1667" spans="8:15">
      <c r="M1667" s="647" t="s">
        <v>2233</v>
      </c>
      <c r="N1667" s="610"/>
      <c r="O1667" s="648"/>
    </row>
    <row r="1668" spans="8:15">
      <c r="H1668" s="12" t="s">
        <v>114</v>
      </c>
      <c r="K1668" s="249" t="s">
        <v>2</v>
      </c>
      <c r="M1668" s="605" t="s">
        <v>2234</v>
      </c>
      <c r="N1668" s="605"/>
      <c r="O1668" s="649"/>
    </row>
    <row r="1669" spans="8:15">
      <c r="M1669" s="601" t="s">
        <v>904</v>
      </c>
      <c r="N1669" s="602"/>
      <c r="O1669" s="603"/>
    </row>
    <row r="1670" spans="8:15" ht="17.25" thickBot="1">
      <c r="M1670" s="140"/>
      <c r="N1670" s="141"/>
      <c r="O1670" s="142"/>
    </row>
    <row r="1672" spans="8:15">
      <c r="H1672" s="249" t="s">
        <v>27</v>
      </c>
      <c r="I1672" s="30" t="s">
        <v>148</v>
      </c>
    </row>
    <row r="1673" spans="8:15" ht="17.25" thickBot="1"/>
    <row r="1674" spans="8:15" ht="17.25" thickBot="1">
      <c r="H1674" s="13" t="s">
        <v>112</v>
      </c>
      <c r="I1674" s="624" t="s">
        <v>4</v>
      </c>
      <c r="J1674" s="625"/>
      <c r="K1674" s="625"/>
      <c r="L1674" s="625"/>
      <c r="M1674" s="625"/>
      <c r="N1674" s="626"/>
      <c r="O1674" s="20" t="s">
        <v>5</v>
      </c>
    </row>
    <row r="1675" spans="8:15">
      <c r="H1675" s="633" t="s">
        <v>2459</v>
      </c>
      <c r="I1675" s="143"/>
      <c r="J1675" s="159"/>
      <c r="K1675" s="159"/>
      <c r="L1675" s="159"/>
      <c r="M1675" s="159"/>
      <c r="N1675" s="144"/>
      <c r="O1675" s="291"/>
    </row>
    <row r="1676" spans="8:15">
      <c r="H1676" s="634"/>
      <c r="I1676" s="64"/>
      <c r="N1676" s="65"/>
      <c r="O1676" s="291"/>
    </row>
    <row r="1677" spans="8:15">
      <c r="H1677" s="634"/>
      <c r="I1677" s="630" t="s">
        <v>286</v>
      </c>
      <c r="J1677" s="631"/>
      <c r="K1677" s="631"/>
      <c r="L1677" s="631"/>
      <c r="M1677" s="631"/>
      <c r="N1677" s="632"/>
      <c r="O1677" s="291"/>
    </row>
    <row r="1678" spans="8:15">
      <c r="H1678" s="634"/>
      <c r="I1678" s="636" t="s">
        <v>2460</v>
      </c>
      <c r="J1678" s="637"/>
      <c r="K1678" s="637"/>
      <c r="L1678" s="637"/>
      <c r="M1678" s="637"/>
      <c r="N1678" s="638"/>
      <c r="O1678" s="148">
        <v>7345650</v>
      </c>
    </row>
    <row r="1679" spans="8:15">
      <c r="H1679" s="634"/>
      <c r="I1679" s="64"/>
      <c r="J1679" s="604"/>
      <c r="K1679" s="604"/>
      <c r="L1679" s="604"/>
      <c r="N1679" s="65"/>
      <c r="O1679" s="291"/>
    </row>
    <row r="1680" spans="8:15" ht="17.25" thickBot="1">
      <c r="H1680" s="635"/>
      <c r="I1680" s="140"/>
      <c r="J1680" s="141"/>
      <c r="K1680" s="141"/>
      <c r="L1680" s="141"/>
      <c r="M1680" s="141"/>
      <c r="N1680" s="142"/>
      <c r="O1680" s="291"/>
    </row>
    <row r="1681" spans="8:15" ht="17.25" thickBot="1">
      <c r="H1681" s="20" t="s">
        <v>12</v>
      </c>
      <c r="I1681" s="614" t="s">
        <v>13</v>
      </c>
      <c r="J1681" s="615"/>
      <c r="K1681" s="62" t="s">
        <v>14</v>
      </c>
      <c r="L1681" s="63"/>
      <c r="M1681" s="62" t="s">
        <v>15</v>
      </c>
      <c r="N1681" s="62" t="s">
        <v>16</v>
      </c>
      <c r="O1681" s="20" t="s">
        <v>17</v>
      </c>
    </row>
    <row r="1682" spans="8:15" ht="18" thickBot="1">
      <c r="H1682" s="22" t="s">
        <v>18</v>
      </c>
      <c r="I1682" s="606">
        <f>+O1678</f>
        <v>7345650</v>
      </c>
      <c r="J1682" s="607"/>
      <c r="K1682" s="23">
        <f>0</f>
        <v>0</v>
      </c>
      <c r="L1682" s="24"/>
      <c r="M1682" s="25">
        <f>0</f>
        <v>0</v>
      </c>
      <c r="N1682" s="36">
        <f>+I1682</f>
        <v>7345650</v>
      </c>
      <c r="O1682" s="38">
        <f>+O1678</f>
        <v>7345650</v>
      </c>
    </row>
    <row r="1683" spans="8:15" ht="18" thickBot="1">
      <c r="H1683" s="22" t="s">
        <v>113</v>
      </c>
      <c r="I1683" s="606">
        <f>+I1682/650.599</f>
        <v>11290.595282193794</v>
      </c>
      <c r="J1683" s="607"/>
      <c r="K1683" s="23">
        <f>0</f>
        <v>0</v>
      </c>
      <c r="L1683" s="24"/>
      <c r="M1683" s="25">
        <f>0</f>
        <v>0</v>
      </c>
      <c r="N1683" s="36">
        <f>+I1683</f>
        <v>11290.595282193794</v>
      </c>
      <c r="O1683" s="38">
        <f>+N1683</f>
        <v>11290.595282193794</v>
      </c>
    </row>
    <row r="1685" spans="8:15">
      <c r="H1685" s="412" t="s">
        <v>1268</v>
      </c>
      <c r="I1685" s="26"/>
      <c r="J1685" s="26"/>
      <c r="K1685" s="26"/>
      <c r="L1685" s="26"/>
      <c r="M1685" s="26"/>
      <c r="N1685" s="26"/>
    </row>
    <row r="1686" spans="8:15">
      <c r="H1686" s="408" t="s">
        <v>2461</v>
      </c>
      <c r="I1686" s="26"/>
      <c r="J1686" s="26"/>
      <c r="K1686" s="26"/>
      <c r="L1686" s="26"/>
      <c r="M1686" s="26"/>
      <c r="N1686" s="26"/>
    </row>
    <row r="1687" spans="8:15">
      <c r="H1687" s="82" t="s">
        <v>19</v>
      </c>
      <c r="I1687" s="26"/>
      <c r="J1687" s="26"/>
      <c r="K1687" s="26"/>
      <c r="L1687" s="26"/>
      <c r="M1687" s="26"/>
      <c r="N1687" s="26"/>
    </row>
    <row r="1688" spans="8:15">
      <c r="H1688" s="26" t="s">
        <v>965</v>
      </c>
      <c r="I1688" s="26"/>
      <c r="J1688" s="26"/>
      <c r="K1688" s="26"/>
      <c r="L1688" s="26"/>
      <c r="M1688" s="26"/>
      <c r="N1688" s="26"/>
    </row>
    <row r="1689" spans="8:15">
      <c r="H1689" s="26" t="s">
        <v>21</v>
      </c>
      <c r="I1689" s="26"/>
      <c r="J1689" s="26"/>
      <c r="K1689" s="26"/>
      <c r="L1689" s="26"/>
      <c r="M1689" s="26"/>
      <c r="N1689" s="26"/>
    </row>
    <row r="1690" spans="8:15">
      <c r="H1690" s="26" t="s">
        <v>1229</v>
      </c>
      <c r="I1690" s="26"/>
      <c r="J1690" s="26"/>
      <c r="K1690" s="26"/>
      <c r="L1690" s="26"/>
      <c r="M1690" s="26"/>
      <c r="N1690" s="26"/>
    </row>
    <row r="1692" spans="8:15">
      <c r="K1692" s="30" t="s">
        <v>24</v>
      </c>
      <c r="M1692" s="30"/>
      <c r="N1692" s="30"/>
    </row>
    <row r="1693" spans="8:15">
      <c r="K1693" s="30" t="s">
        <v>149</v>
      </c>
      <c r="M1693" s="30"/>
      <c r="N1693" s="30"/>
    </row>
    <row r="1694" spans="8:15">
      <c r="K1694" s="605" t="s">
        <v>150</v>
      </c>
      <c r="L1694" s="605"/>
      <c r="M1694" s="605"/>
      <c r="N1694" s="605"/>
    </row>
    <row r="1695" spans="8:15">
      <c r="K1695" s="477"/>
      <c r="L1695" s="477"/>
      <c r="M1695" s="477"/>
      <c r="N1695" s="477"/>
    </row>
    <row r="1696" spans="8:15">
      <c r="K1696" s="477"/>
      <c r="L1696" s="477"/>
      <c r="M1696" s="477"/>
      <c r="N1696" s="477"/>
    </row>
    <row r="1697" spans="8:15">
      <c r="K1697" s="666" t="s">
        <v>2347</v>
      </c>
      <c r="L1697" s="666"/>
      <c r="M1697" s="666"/>
      <c r="N1697" s="666"/>
    </row>
    <row r="1698" spans="8:15">
      <c r="I1698" s="617" t="s">
        <v>0</v>
      </c>
      <c r="J1698" s="617"/>
      <c r="K1698" s="617"/>
      <c r="L1698" s="617"/>
      <c r="M1698" s="617"/>
      <c r="N1698" s="617"/>
      <c r="O1698" s="617"/>
    </row>
    <row r="1701" spans="8:15" ht="49.5" customHeight="1">
      <c r="H1701" s="642" t="s">
        <v>1</v>
      </c>
      <c r="I1701" s="642"/>
      <c r="J1701" s="642"/>
      <c r="K1701" s="642"/>
      <c r="L1701" s="642"/>
      <c r="M1701" s="642"/>
      <c r="N1701" s="642"/>
      <c r="O1701" s="642"/>
    </row>
    <row r="1704" spans="8:15" ht="17.25">
      <c r="I1704" s="503" t="s">
        <v>1881</v>
      </c>
    </row>
    <row r="1705" spans="8:15" ht="17.25" thickBot="1">
      <c r="H1705" s="30"/>
      <c r="N1705" s="141"/>
    </row>
    <row r="1706" spans="8:15">
      <c r="I1706" s="30"/>
      <c r="M1706" s="143"/>
      <c r="O1706" s="144"/>
    </row>
    <row r="1707" spans="8:15">
      <c r="M1707" s="647" t="s">
        <v>1885</v>
      </c>
      <c r="N1707" s="610"/>
      <c r="O1707" s="648"/>
    </row>
    <row r="1708" spans="8:15">
      <c r="H1708" s="186" t="s">
        <v>114</v>
      </c>
      <c r="K1708" s="30" t="s">
        <v>2</v>
      </c>
      <c r="M1708" s="605" t="s">
        <v>760</v>
      </c>
      <c r="N1708" s="605"/>
      <c r="O1708" s="649"/>
    </row>
    <row r="1709" spans="8:15">
      <c r="M1709" s="601" t="s">
        <v>163</v>
      </c>
      <c r="N1709" s="602"/>
      <c r="O1709" s="603"/>
    </row>
    <row r="1710" spans="8:15" ht="17.25" thickBot="1">
      <c r="M1710" s="140"/>
      <c r="N1710" s="141"/>
      <c r="O1710" s="142"/>
    </row>
    <row r="1712" spans="8:15">
      <c r="H1712" s="30" t="s">
        <v>27</v>
      </c>
      <c r="I1712" s="12" t="s">
        <v>36</v>
      </c>
    </row>
    <row r="1713" spans="8:15" ht="17.25" thickBot="1"/>
    <row r="1714" spans="8:15" ht="17.25" thickBot="1">
      <c r="H1714" s="13" t="s">
        <v>112</v>
      </c>
      <c r="I1714" s="624" t="s">
        <v>4</v>
      </c>
      <c r="J1714" s="625"/>
      <c r="K1714" s="625"/>
      <c r="L1714" s="625"/>
      <c r="M1714" s="625"/>
      <c r="N1714" s="626"/>
      <c r="O1714" s="20" t="s">
        <v>5</v>
      </c>
    </row>
    <row r="1715" spans="8:15">
      <c r="H1715" s="627" t="s">
        <v>2445</v>
      </c>
      <c r="I1715" s="143"/>
      <c r="J1715" s="159"/>
      <c r="K1715" s="159"/>
      <c r="L1715" s="159"/>
      <c r="M1715" s="159"/>
      <c r="N1715" s="144"/>
      <c r="O1715" s="291"/>
    </row>
    <row r="1716" spans="8:15">
      <c r="H1716" s="628"/>
      <c r="I1716" s="64"/>
      <c r="N1716" s="65"/>
      <c r="O1716" s="291"/>
    </row>
    <row r="1717" spans="8:15">
      <c r="H1717" s="628"/>
      <c r="I1717" s="630" t="s">
        <v>286</v>
      </c>
      <c r="J1717" s="631"/>
      <c r="K1717" s="631"/>
      <c r="L1717" s="631"/>
      <c r="M1717" s="631"/>
      <c r="N1717" s="632"/>
      <c r="O1717" s="291"/>
    </row>
    <row r="1718" spans="8:15">
      <c r="H1718" s="628"/>
      <c r="I1718" s="636" t="s">
        <v>1886</v>
      </c>
      <c r="J1718" s="637"/>
      <c r="K1718" s="637"/>
      <c r="L1718" s="637"/>
      <c r="M1718" s="637"/>
      <c r="N1718" s="638"/>
      <c r="O1718" s="148">
        <v>5000000</v>
      </c>
    </row>
    <row r="1719" spans="8:15">
      <c r="H1719" s="628"/>
      <c r="I1719" s="64"/>
      <c r="J1719" s="604"/>
      <c r="K1719" s="604"/>
      <c r="L1719" s="604"/>
      <c r="N1719" s="65"/>
      <c r="O1719" s="291"/>
    </row>
    <row r="1720" spans="8:15" ht="17.25" thickBot="1">
      <c r="H1720" s="629"/>
      <c r="I1720" s="140"/>
      <c r="J1720" s="141"/>
      <c r="K1720" s="141"/>
      <c r="L1720" s="141"/>
      <c r="M1720" s="141"/>
      <c r="N1720" s="142"/>
      <c r="O1720" s="291"/>
    </row>
    <row r="1721" spans="8:15" ht="17.25" thickBot="1">
      <c r="H1721" s="20" t="s">
        <v>12</v>
      </c>
      <c r="I1721" s="614" t="s">
        <v>13</v>
      </c>
      <c r="J1721" s="615"/>
      <c r="K1721" s="62" t="s">
        <v>14</v>
      </c>
      <c r="L1721" s="63"/>
      <c r="M1721" s="62" t="s">
        <v>15</v>
      </c>
      <c r="N1721" s="62" t="s">
        <v>16</v>
      </c>
      <c r="O1721" s="20" t="s">
        <v>17</v>
      </c>
    </row>
    <row r="1722" spans="8:15" ht="18" thickBot="1">
      <c r="H1722" s="22" t="s">
        <v>18</v>
      </c>
      <c r="I1722" s="606">
        <f>+O1718</f>
        <v>5000000</v>
      </c>
      <c r="J1722" s="607"/>
      <c r="K1722" s="23">
        <f>0</f>
        <v>0</v>
      </c>
      <c r="L1722" s="24"/>
      <c r="M1722" s="25">
        <f>0</f>
        <v>0</v>
      </c>
      <c r="N1722" s="36">
        <f>+I1722</f>
        <v>5000000</v>
      </c>
      <c r="O1722" s="38">
        <f>+O1718</f>
        <v>5000000</v>
      </c>
    </row>
    <row r="1723" spans="8:15" ht="18" thickBot="1">
      <c r="H1723" s="22" t="s">
        <v>113</v>
      </c>
      <c r="I1723" s="606">
        <f>+I1722/650.599</f>
        <v>7685.2254614593621</v>
      </c>
      <c r="J1723" s="607"/>
      <c r="K1723" s="23">
        <f>0</f>
        <v>0</v>
      </c>
      <c r="L1723" s="24"/>
      <c r="M1723" s="25">
        <f>0</f>
        <v>0</v>
      </c>
      <c r="N1723" s="36">
        <f>+I1723</f>
        <v>7685.2254614593621</v>
      </c>
      <c r="O1723" s="38">
        <f>+N1723</f>
        <v>7685.2254614593621</v>
      </c>
    </row>
    <row r="1725" spans="8:15">
      <c r="H1725" s="412" t="s">
        <v>1268</v>
      </c>
      <c r="I1725" s="26"/>
      <c r="J1725" s="26"/>
      <c r="K1725" s="26"/>
      <c r="L1725" s="26"/>
      <c r="M1725" s="26"/>
      <c r="N1725" s="26"/>
    </row>
    <row r="1726" spans="8:15">
      <c r="H1726" s="413" t="s">
        <v>2022</v>
      </c>
      <c r="I1726" s="26"/>
      <c r="J1726" s="26"/>
      <c r="K1726" s="26"/>
      <c r="L1726" s="26"/>
      <c r="M1726" s="26"/>
      <c r="N1726" s="26"/>
    </row>
    <row r="1727" spans="8:15">
      <c r="H1727" s="82" t="s">
        <v>19</v>
      </c>
      <c r="I1727" s="26"/>
      <c r="J1727" s="26"/>
      <c r="K1727" s="26"/>
      <c r="L1727" s="26"/>
      <c r="M1727" s="26"/>
      <c r="N1727" s="26"/>
    </row>
    <row r="1728" spans="8:15">
      <c r="H1728" s="26" t="s">
        <v>965</v>
      </c>
      <c r="I1728" s="26"/>
      <c r="J1728" s="26"/>
      <c r="K1728" s="26"/>
      <c r="L1728" s="26"/>
      <c r="M1728" s="26"/>
      <c r="N1728" s="26"/>
    </row>
    <row r="1729" spans="8:15">
      <c r="H1729" s="26" t="s">
        <v>21</v>
      </c>
      <c r="I1729" s="26"/>
      <c r="J1729" s="26"/>
      <c r="K1729" s="26"/>
      <c r="L1729" s="26"/>
      <c r="M1729" s="26"/>
      <c r="N1729" s="26"/>
    </row>
    <row r="1730" spans="8:15">
      <c r="H1730" s="26" t="s">
        <v>1229</v>
      </c>
      <c r="I1730" s="26"/>
      <c r="J1730" s="26"/>
      <c r="K1730" s="26"/>
      <c r="L1730" s="26"/>
      <c r="M1730" s="26"/>
      <c r="N1730" s="26"/>
    </row>
    <row r="1733" spans="8:15">
      <c r="K1733" s="30" t="s">
        <v>24</v>
      </c>
      <c r="M1733" s="30"/>
      <c r="N1733" s="30"/>
    </row>
    <row r="1734" spans="8:15">
      <c r="K1734" s="30" t="s">
        <v>149</v>
      </c>
      <c r="M1734" s="30"/>
      <c r="N1734" s="30"/>
    </row>
    <row r="1735" spans="8:15">
      <c r="K1735" s="605" t="s">
        <v>150</v>
      </c>
      <c r="L1735" s="605"/>
      <c r="M1735" s="605"/>
      <c r="N1735" s="605"/>
    </row>
    <row r="1736" spans="8:15">
      <c r="K1736" s="30"/>
    </row>
    <row r="1737" spans="8:15">
      <c r="L1737" s="26"/>
      <c r="M1737" s="26"/>
      <c r="N1737" s="26"/>
    </row>
    <row r="1738" spans="8:15" ht="18">
      <c r="K1738" s="145"/>
      <c r="L1738" s="145"/>
      <c r="M1738" s="145"/>
      <c r="N1738" s="145"/>
    </row>
    <row r="1739" spans="8:15" ht="18">
      <c r="H1739" s="26"/>
      <c r="I1739" s="26"/>
      <c r="J1739" s="26"/>
      <c r="K1739" s="666" t="s">
        <v>2347</v>
      </c>
      <c r="L1739" s="666"/>
      <c r="M1739" s="666"/>
      <c r="N1739" s="666"/>
      <c r="O1739" s="145"/>
    </row>
    <row r="1740" spans="8:15" ht="18">
      <c r="H1740" s="26"/>
      <c r="I1740" s="26"/>
      <c r="J1740" s="26"/>
      <c r="K1740" s="26"/>
      <c r="L1740" s="373"/>
      <c r="M1740" s="373"/>
      <c r="N1740" s="373"/>
      <c r="O1740" s="145"/>
    </row>
    <row r="1741" spans="8:15" ht="20.25" customHeight="1">
      <c r="H1741" s="617" t="s">
        <v>0</v>
      </c>
      <c r="I1741" s="617"/>
      <c r="J1741" s="617"/>
      <c r="K1741" s="617"/>
      <c r="L1741" s="617"/>
      <c r="M1741" s="617"/>
      <c r="N1741" s="617"/>
      <c r="O1741" s="617"/>
    </row>
    <row r="1744" spans="8:15" ht="49.5">
      <c r="J1744" s="642" t="s">
        <v>1</v>
      </c>
      <c r="K1744" s="642"/>
      <c r="L1744" s="642"/>
      <c r="M1744" s="642"/>
    </row>
    <row r="1747" spans="8:15" ht="17.25">
      <c r="H1747" s="30"/>
      <c r="I1747" s="375" t="s">
        <v>2042</v>
      </c>
    </row>
    <row r="1748" spans="8:15" ht="17.25" thickBot="1">
      <c r="H1748" s="30"/>
      <c r="N1748" s="141"/>
    </row>
    <row r="1749" spans="8:15">
      <c r="I1749" s="30"/>
      <c r="M1749" s="143"/>
      <c r="O1749" s="144"/>
    </row>
    <row r="1750" spans="8:15">
      <c r="M1750" s="647" t="s">
        <v>889</v>
      </c>
      <c r="N1750" s="610"/>
      <c r="O1750" s="648"/>
    </row>
    <row r="1751" spans="8:15">
      <c r="H1751" s="12" t="s">
        <v>114</v>
      </c>
      <c r="K1751" s="249" t="s">
        <v>2</v>
      </c>
      <c r="M1751" s="605" t="s">
        <v>1429</v>
      </c>
      <c r="N1751" s="605"/>
      <c r="O1751" s="649"/>
    </row>
    <row r="1752" spans="8:15">
      <c r="M1752" s="601" t="s">
        <v>163</v>
      </c>
      <c r="N1752" s="602"/>
      <c r="O1752" s="603"/>
    </row>
    <row r="1753" spans="8:15" ht="17.25" thickBot="1">
      <c r="M1753" s="140"/>
      <c r="N1753" s="141"/>
      <c r="O1753" s="142"/>
    </row>
    <row r="1755" spans="8:15">
      <c r="H1755" s="250" t="s">
        <v>27</v>
      </c>
      <c r="I1755" s="394" t="s">
        <v>145</v>
      </c>
    </row>
    <row r="1756" spans="8:15" ht="17.25" thickBot="1"/>
    <row r="1757" spans="8:15" ht="17.25" thickBot="1">
      <c r="H1757" s="13" t="s">
        <v>112</v>
      </c>
      <c r="I1757" s="624" t="s">
        <v>4</v>
      </c>
      <c r="J1757" s="625"/>
      <c r="K1757" s="625"/>
      <c r="L1757" s="625"/>
      <c r="M1757" s="625"/>
      <c r="N1757" s="626"/>
      <c r="O1757" s="20" t="s">
        <v>5</v>
      </c>
    </row>
    <row r="1758" spans="8:15" ht="15" customHeight="1">
      <c r="H1758" s="633" t="s">
        <v>2272</v>
      </c>
      <c r="I1758" s="143"/>
      <c r="J1758" s="159"/>
      <c r="K1758" s="159"/>
      <c r="L1758" s="159"/>
      <c r="M1758" s="159"/>
      <c r="N1758" s="144"/>
      <c r="O1758" s="291"/>
    </row>
    <row r="1759" spans="8:15">
      <c r="H1759" s="634"/>
      <c r="I1759" s="64"/>
      <c r="N1759" s="65"/>
      <c r="O1759" s="291"/>
    </row>
    <row r="1760" spans="8:15">
      <c r="H1760" s="634"/>
      <c r="I1760" s="66"/>
      <c r="J1760" s="367"/>
      <c r="K1760" s="367" t="s">
        <v>286</v>
      </c>
      <c r="L1760" s="367"/>
      <c r="M1760" s="367"/>
      <c r="N1760" s="67"/>
      <c r="O1760" s="291"/>
    </row>
    <row r="1761" spans="8:15">
      <c r="H1761" s="634"/>
      <c r="I1761" s="385"/>
      <c r="J1761" s="187"/>
      <c r="K1761" s="147" t="s">
        <v>1762</v>
      </c>
      <c r="L1761" s="187"/>
      <c r="M1761" s="187"/>
      <c r="N1761" s="132"/>
      <c r="O1761" s="148">
        <v>1950000</v>
      </c>
    </row>
    <row r="1762" spans="8:15" ht="15" customHeight="1">
      <c r="H1762" s="634"/>
      <c r="I1762" s="64"/>
      <c r="J1762" s="604"/>
      <c r="K1762" s="604"/>
      <c r="L1762" s="604"/>
      <c r="N1762" s="65"/>
      <c r="O1762" s="291"/>
    </row>
    <row r="1763" spans="8:15" ht="15.75" customHeight="1" thickBot="1">
      <c r="H1763" s="635"/>
      <c r="I1763" s="140"/>
      <c r="J1763" s="141"/>
      <c r="K1763" s="141"/>
      <c r="L1763" s="141"/>
      <c r="M1763" s="141"/>
      <c r="N1763" s="142"/>
      <c r="O1763" s="291"/>
    </row>
    <row r="1764" spans="8:15" ht="17.25" thickBot="1">
      <c r="H1764" s="20" t="s">
        <v>12</v>
      </c>
      <c r="I1764" s="614" t="s">
        <v>13</v>
      </c>
      <c r="J1764" s="615"/>
      <c r="K1764" s="62" t="s">
        <v>14</v>
      </c>
      <c r="L1764" s="63"/>
      <c r="M1764" s="62" t="s">
        <v>15</v>
      </c>
      <c r="N1764" s="62" t="s">
        <v>16</v>
      </c>
      <c r="O1764" s="20" t="s">
        <v>17</v>
      </c>
    </row>
    <row r="1765" spans="8:15" ht="18" thickBot="1">
      <c r="H1765" s="22" t="s">
        <v>18</v>
      </c>
      <c r="I1765" s="606">
        <f>+O1761</f>
        <v>1950000</v>
      </c>
      <c r="J1765" s="607"/>
      <c r="K1765" s="23">
        <f>0</f>
        <v>0</v>
      </c>
      <c r="L1765" s="24"/>
      <c r="M1765" s="25">
        <f>0</f>
        <v>0</v>
      </c>
      <c r="N1765" s="36">
        <f>+I1765</f>
        <v>1950000</v>
      </c>
      <c r="O1765" s="38">
        <f>+O1761</f>
        <v>1950000</v>
      </c>
    </row>
    <row r="1766" spans="8:15" ht="18" thickBot="1">
      <c r="H1766" s="22" t="s">
        <v>113</v>
      </c>
      <c r="I1766" s="606">
        <f>+I1765/650.599</f>
        <v>2997.2379299691511</v>
      </c>
      <c r="J1766" s="607"/>
      <c r="K1766" s="23">
        <f>0</f>
        <v>0</v>
      </c>
      <c r="L1766" s="24"/>
      <c r="M1766" s="25">
        <f>0</f>
        <v>0</v>
      </c>
      <c r="N1766" s="36">
        <f>+I1766</f>
        <v>2997.2379299691511</v>
      </c>
      <c r="O1766" s="38">
        <f>+N1766</f>
        <v>2997.2379299691511</v>
      </c>
    </row>
    <row r="1768" spans="8:15">
      <c r="H1768" s="410" t="s">
        <v>1268</v>
      </c>
      <c r="I1768" s="26"/>
      <c r="J1768" s="26"/>
      <c r="K1768" s="26"/>
      <c r="L1768" s="26"/>
      <c r="M1768" s="26"/>
      <c r="N1768" s="26"/>
    </row>
    <row r="1769" spans="8:15">
      <c r="H1769" s="413" t="s">
        <v>2041</v>
      </c>
      <c r="I1769" s="26"/>
      <c r="J1769" s="26"/>
      <c r="K1769" s="26"/>
      <c r="L1769" s="26"/>
      <c r="M1769" s="26"/>
      <c r="N1769" s="26"/>
    </row>
    <row r="1770" spans="8:15">
      <c r="H1770" s="82" t="s">
        <v>19</v>
      </c>
      <c r="I1770" s="26"/>
      <c r="J1770" s="26"/>
      <c r="K1770" s="26"/>
      <c r="L1770" s="26"/>
      <c r="M1770" s="26"/>
      <c r="N1770" s="26"/>
    </row>
    <row r="1771" spans="8:15">
      <c r="H1771" s="26" t="s">
        <v>965</v>
      </c>
      <c r="I1771" s="26"/>
      <c r="J1771" s="26"/>
      <c r="K1771" s="26"/>
      <c r="L1771" s="26"/>
      <c r="M1771" s="26"/>
      <c r="N1771" s="26"/>
    </row>
    <row r="1772" spans="8:15">
      <c r="H1772" s="26" t="s">
        <v>21</v>
      </c>
      <c r="I1772" s="26"/>
      <c r="J1772" s="26"/>
      <c r="K1772" s="26"/>
      <c r="L1772" s="26"/>
      <c r="M1772" s="26"/>
      <c r="N1772" s="26"/>
    </row>
    <row r="1773" spans="8:15">
      <c r="H1773" s="26" t="s">
        <v>1229</v>
      </c>
      <c r="I1773" s="26"/>
      <c r="J1773" s="26"/>
      <c r="K1773" s="26"/>
      <c r="L1773" s="26"/>
      <c r="M1773" s="26"/>
      <c r="N1773" s="26"/>
    </row>
    <row r="1776" spans="8:15">
      <c r="K1776" s="30" t="s">
        <v>24</v>
      </c>
      <c r="M1776" s="30"/>
      <c r="N1776" s="30"/>
    </row>
    <row r="1777" spans="8:15">
      <c r="K1777" s="30" t="s">
        <v>149</v>
      </c>
      <c r="M1777" s="30"/>
      <c r="N1777" s="30"/>
    </row>
    <row r="1778" spans="8:15">
      <c r="K1778" s="605" t="s">
        <v>150</v>
      </c>
      <c r="L1778" s="605"/>
      <c r="M1778" s="605"/>
      <c r="N1778" s="605"/>
    </row>
    <row r="1779" spans="8:15" ht="18.75" customHeight="1">
      <c r="K1779" s="30"/>
    </row>
    <row r="1780" spans="8:15">
      <c r="K1780" s="30"/>
    </row>
    <row r="1781" spans="8:15" ht="17.25">
      <c r="K1781" s="644" t="s">
        <v>2147</v>
      </c>
      <c r="L1781" s="644"/>
      <c r="M1781" s="644"/>
      <c r="N1781" s="644"/>
    </row>
    <row r="1782" spans="8:15" ht="17.25">
      <c r="K1782" s="361"/>
      <c r="L1782" s="361"/>
      <c r="M1782" s="361"/>
      <c r="N1782" s="361"/>
    </row>
    <row r="1783" spans="8:15" ht="17.25">
      <c r="K1783" s="361"/>
      <c r="L1783" s="361"/>
      <c r="M1783" s="361"/>
      <c r="N1783" s="361"/>
    </row>
    <row r="1784" spans="8:15" ht="17.25">
      <c r="K1784" s="361"/>
      <c r="L1784" s="361"/>
      <c r="M1784" s="361"/>
      <c r="N1784" s="361"/>
    </row>
    <row r="1785" spans="8:15" ht="18.75" customHeight="1">
      <c r="H1785" s="26"/>
      <c r="I1785" s="26"/>
      <c r="J1785" s="26"/>
      <c r="K1785" s="644"/>
      <c r="L1785" s="644"/>
      <c r="M1785" s="644"/>
      <c r="N1785" s="644"/>
      <c r="O1785" s="145"/>
    </row>
    <row r="1786" spans="8:15" ht="18.75" customHeight="1">
      <c r="H1786" s="617" t="s">
        <v>2523</v>
      </c>
      <c r="I1786" s="617"/>
      <c r="J1786" s="617"/>
      <c r="K1786" s="617"/>
      <c r="L1786" s="617"/>
      <c r="M1786" s="617"/>
      <c r="N1786" s="617"/>
      <c r="O1786" s="617"/>
    </row>
    <row r="1787" spans="8:15">
      <c r="H1787" s="474"/>
      <c r="I1787" s="474"/>
      <c r="J1787" s="474"/>
      <c r="K1787" s="474"/>
      <c r="L1787" s="474"/>
      <c r="M1787" s="474"/>
      <c r="N1787" s="474"/>
      <c r="O1787" s="474"/>
    </row>
    <row r="1789" spans="8:15" ht="49.5" customHeight="1">
      <c r="H1789" s="642" t="s">
        <v>1</v>
      </c>
      <c r="I1789" s="642"/>
      <c r="J1789" s="642"/>
      <c r="K1789" s="642"/>
      <c r="L1789" s="642"/>
      <c r="M1789" s="642"/>
      <c r="N1789" s="642"/>
      <c r="O1789" s="642"/>
    </row>
    <row r="1792" spans="8:15" ht="17.25">
      <c r="H1792" s="30"/>
      <c r="I1792" s="375" t="s">
        <v>1895</v>
      </c>
    </row>
    <row r="1793" spans="8:15" ht="17.25" thickBot="1">
      <c r="H1793" s="30"/>
      <c r="N1793" s="141"/>
    </row>
    <row r="1794" spans="8:15">
      <c r="I1794" s="30"/>
      <c r="M1794" s="143"/>
      <c r="O1794" s="144"/>
    </row>
    <row r="1795" spans="8:15">
      <c r="M1795" s="647" t="s">
        <v>1781</v>
      </c>
      <c r="N1795" s="610"/>
      <c r="O1795" s="648"/>
    </row>
    <row r="1796" spans="8:15">
      <c r="H1796" s="12" t="s">
        <v>114</v>
      </c>
      <c r="K1796" s="30" t="s">
        <v>2</v>
      </c>
      <c r="M1796" s="605" t="s">
        <v>760</v>
      </c>
      <c r="N1796" s="605"/>
      <c r="O1796" s="649"/>
    </row>
    <row r="1797" spans="8:15">
      <c r="M1797" s="601" t="s">
        <v>163</v>
      </c>
      <c r="N1797" s="602"/>
      <c r="O1797" s="603"/>
    </row>
    <row r="1798" spans="8:15" ht="17.25" thickBot="1">
      <c r="M1798" s="140"/>
      <c r="N1798" s="141"/>
      <c r="O1798" s="142"/>
    </row>
    <row r="1800" spans="8:15">
      <c r="H1800" s="30" t="s">
        <v>27</v>
      </c>
      <c r="I1800" s="30" t="s">
        <v>115</v>
      </c>
    </row>
    <row r="1801" spans="8:15" ht="17.25" thickBot="1"/>
    <row r="1802" spans="8:15" ht="17.25" thickBot="1">
      <c r="H1802" s="13" t="s">
        <v>112</v>
      </c>
      <c r="I1802" s="624" t="s">
        <v>4</v>
      </c>
      <c r="J1802" s="625"/>
      <c r="K1802" s="625"/>
      <c r="L1802" s="625"/>
      <c r="M1802" s="625"/>
      <c r="N1802" s="626"/>
      <c r="O1802" s="20" t="s">
        <v>5</v>
      </c>
    </row>
    <row r="1803" spans="8:15" ht="15" customHeight="1">
      <c r="H1803" s="627" t="s">
        <v>2445</v>
      </c>
      <c r="I1803" s="143"/>
      <c r="J1803" s="159"/>
      <c r="K1803" s="159"/>
      <c r="L1803" s="159"/>
      <c r="M1803" s="159"/>
      <c r="N1803" s="144"/>
      <c r="O1803" s="291"/>
    </row>
    <row r="1804" spans="8:15">
      <c r="H1804" s="628"/>
      <c r="I1804" s="64"/>
      <c r="N1804" s="65"/>
      <c r="O1804" s="291"/>
    </row>
    <row r="1805" spans="8:15">
      <c r="H1805" s="628"/>
      <c r="I1805" s="66"/>
      <c r="J1805" s="367"/>
      <c r="K1805" s="367" t="s">
        <v>286</v>
      </c>
      <c r="L1805" s="367"/>
      <c r="M1805" s="367"/>
      <c r="N1805" s="67"/>
      <c r="O1805" s="291"/>
    </row>
    <row r="1806" spans="8:15">
      <c r="H1806" s="628"/>
      <c r="I1806" s="385"/>
      <c r="J1806" s="187"/>
      <c r="K1806" s="147" t="s">
        <v>1774</v>
      </c>
      <c r="L1806" s="187"/>
      <c r="M1806" s="187"/>
      <c r="N1806" s="132"/>
      <c r="O1806" s="148">
        <v>2519800</v>
      </c>
    </row>
    <row r="1807" spans="8:15" ht="15" customHeight="1">
      <c r="H1807" s="628"/>
      <c r="I1807" s="64"/>
      <c r="J1807" s="604"/>
      <c r="K1807" s="604"/>
      <c r="L1807" s="604"/>
      <c r="N1807" s="65"/>
      <c r="O1807" s="291"/>
    </row>
    <row r="1808" spans="8:15" ht="15.75" customHeight="1" thickBot="1">
      <c r="H1808" s="629"/>
      <c r="I1808" s="140"/>
      <c r="J1808" s="141"/>
      <c r="K1808" s="141"/>
      <c r="L1808" s="141"/>
      <c r="M1808" s="141"/>
      <c r="N1808" s="142"/>
      <c r="O1808" s="291"/>
    </row>
    <row r="1809" spans="8:15" ht="17.25" thickBot="1">
      <c r="H1809" s="20" t="s">
        <v>12</v>
      </c>
      <c r="I1809" s="614" t="s">
        <v>13</v>
      </c>
      <c r="J1809" s="615"/>
      <c r="K1809" s="62" t="s">
        <v>14</v>
      </c>
      <c r="L1809" s="63"/>
      <c r="M1809" s="62" t="s">
        <v>15</v>
      </c>
      <c r="N1809" s="62" t="s">
        <v>16</v>
      </c>
      <c r="O1809" s="20" t="s">
        <v>17</v>
      </c>
    </row>
    <row r="1810" spans="8:15" ht="18" thickBot="1">
      <c r="H1810" s="22" t="s">
        <v>18</v>
      </c>
      <c r="I1810" s="606">
        <f>+O1806</f>
        <v>2519800</v>
      </c>
      <c r="J1810" s="607"/>
      <c r="K1810" s="23">
        <f>0</f>
        <v>0</v>
      </c>
      <c r="L1810" s="24"/>
      <c r="M1810" s="25">
        <f>0</f>
        <v>0</v>
      </c>
      <c r="N1810" s="36">
        <f>+I1810</f>
        <v>2519800</v>
      </c>
      <c r="O1810" s="38">
        <f>+O1806</f>
        <v>2519800</v>
      </c>
    </row>
    <row r="1811" spans="8:15" ht="18" thickBot="1">
      <c r="H1811" s="22" t="s">
        <v>113</v>
      </c>
      <c r="I1811" s="606">
        <f>+I1810/650.599</f>
        <v>3873.0462235570603</v>
      </c>
      <c r="J1811" s="607"/>
      <c r="K1811" s="23">
        <f>0</f>
        <v>0</v>
      </c>
      <c r="L1811" s="24"/>
      <c r="M1811" s="25">
        <f>0</f>
        <v>0</v>
      </c>
      <c r="N1811" s="36">
        <f>+I1811</f>
        <v>3873.0462235570603</v>
      </c>
      <c r="O1811" s="38">
        <f>+N1811</f>
        <v>3873.0462235570603</v>
      </c>
    </row>
    <row r="1813" spans="8:15">
      <c r="H1813" s="412" t="s">
        <v>1268</v>
      </c>
      <c r="I1813" s="26"/>
      <c r="J1813" s="26"/>
      <c r="K1813" s="26"/>
      <c r="L1813" s="26"/>
      <c r="M1813" s="26"/>
      <c r="N1813" s="26"/>
    </row>
    <row r="1814" spans="8:15">
      <c r="H1814" s="413" t="s">
        <v>2521</v>
      </c>
      <c r="I1814" s="26"/>
      <c r="J1814" s="26"/>
      <c r="K1814" s="26"/>
      <c r="L1814" s="26"/>
      <c r="M1814" s="26"/>
      <c r="N1814" s="26"/>
    </row>
    <row r="1815" spans="8:15">
      <c r="H1815" s="82" t="s">
        <v>19</v>
      </c>
      <c r="I1815" s="26"/>
      <c r="J1815" s="26"/>
      <c r="K1815" s="26"/>
      <c r="L1815" s="26"/>
      <c r="M1815" s="26"/>
      <c r="N1815" s="26"/>
    </row>
    <row r="1816" spans="8:15">
      <c r="H1816" s="26" t="s">
        <v>965</v>
      </c>
      <c r="I1816" s="26"/>
      <c r="J1816" s="26"/>
      <c r="K1816" s="26"/>
      <c r="L1816" s="26"/>
      <c r="M1816" s="26"/>
      <c r="N1816" s="26"/>
    </row>
    <row r="1817" spans="8:15">
      <c r="H1817" s="26" t="s">
        <v>21</v>
      </c>
      <c r="I1817" s="26"/>
      <c r="J1817" s="26"/>
      <c r="K1817" s="26"/>
      <c r="L1817" s="26"/>
      <c r="M1817" s="26"/>
      <c r="N1817" s="26"/>
    </row>
    <row r="1818" spans="8:15">
      <c r="H1818" s="26" t="s">
        <v>1229</v>
      </c>
      <c r="I1818" s="26"/>
      <c r="J1818" s="26"/>
      <c r="K1818" s="26"/>
      <c r="L1818" s="26"/>
      <c r="M1818" s="26"/>
      <c r="N1818" s="26"/>
    </row>
    <row r="1821" spans="8:15">
      <c r="K1821" s="30" t="s">
        <v>24</v>
      </c>
      <c r="M1821" s="30"/>
      <c r="N1821" s="30"/>
    </row>
    <row r="1822" spans="8:15">
      <c r="K1822" s="30" t="s">
        <v>149</v>
      </c>
      <c r="M1822" s="30"/>
      <c r="N1822" s="30"/>
    </row>
    <row r="1823" spans="8:15">
      <c r="K1823" s="605" t="s">
        <v>150</v>
      </c>
      <c r="L1823" s="605"/>
      <c r="M1823" s="605"/>
      <c r="N1823" s="605"/>
    </row>
    <row r="1824" spans="8:15">
      <c r="K1824" s="30"/>
    </row>
    <row r="1825" spans="8:15">
      <c r="L1825" s="26"/>
      <c r="M1825" s="26"/>
      <c r="N1825" s="26"/>
    </row>
    <row r="1826" spans="8:15" ht="16.5" customHeight="1">
      <c r="H1826" s="26"/>
      <c r="I1826" s="26"/>
      <c r="J1826" s="26"/>
      <c r="K1826" s="644"/>
      <c r="L1826" s="644"/>
      <c r="M1826" s="644"/>
      <c r="N1826" s="644"/>
      <c r="O1826" s="145"/>
    </row>
    <row r="1827" spans="8:15" ht="18.75" customHeight="1">
      <c r="H1827" s="26"/>
      <c r="I1827" s="26"/>
      <c r="J1827" s="26"/>
      <c r="K1827" s="644" t="s">
        <v>2347</v>
      </c>
      <c r="L1827" s="644"/>
      <c r="M1827" s="644"/>
      <c r="N1827" s="644"/>
      <c r="O1827" s="145"/>
    </row>
    <row r="1828" spans="8:15" ht="18.75" customHeight="1">
      <c r="H1828" s="26"/>
      <c r="I1828" s="26"/>
      <c r="J1828" s="26"/>
      <c r="K1828" s="361"/>
      <c r="L1828" s="361"/>
      <c r="M1828" s="361"/>
      <c r="N1828" s="361"/>
      <c r="O1828" s="145"/>
    </row>
    <row r="1829" spans="8:15" ht="18.75" customHeight="1">
      <c r="H1829" s="26"/>
      <c r="I1829" s="26"/>
      <c r="J1829" s="26"/>
      <c r="K1829" s="361"/>
      <c r="L1829" s="361"/>
      <c r="M1829" s="361"/>
      <c r="N1829" s="361"/>
      <c r="O1829" s="145"/>
    </row>
    <row r="1830" spans="8:15" ht="18.75" customHeight="1">
      <c r="H1830" s="26"/>
      <c r="I1830" s="26"/>
      <c r="J1830" s="26"/>
      <c r="K1830" s="361"/>
      <c r="L1830" s="361"/>
      <c r="M1830" s="361"/>
      <c r="N1830" s="361"/>
      <c r="O1830" s="145"/>
    </row>
    <row r="1831" spans="8:15">
      <c r="H1831" s="617" t="s">
        <v>0</v>
      </c>
      <c r="I1831" s="617"/>
      <c r="J1831" s="617"/>
      <c r="K1831" s="617"/>
      <c r="L1831" s="617"/>
      <c r="M1831" s="617"/>
      <c r="N1831" s="617"/>
      <c r="O1831" s="617"/>
    </row>
    <row r="1834" spans="8:15" ht="49.5" customHeight="1">
      <c r="H1834" s="642" t="s">
        <v>1</v>
      </c>
      <c r="I1834" s="642"/>
      <c r="J1834" s="642"/>
      <c r="K1834" s="642"/>
      <c r="L1834" s="642"/>
      <c r="M1834" s="642"/>
      <c r="N1834" s="642"/>
      <c r="O1834" s="642"/>
    </row>
    <row r="1837" spans="8:15" ht="17.25">
      <c r="H1837" s="30"/>
      <c r="I1837" s="503" t="s">
        <v>2021</v>
      </c>
    </row>
    <row r="1838" spans="8:15" ht="17.25" thickBot="1">
      <c r="H1838" s="30"/>
      <c r="N1838" s="141"/>
    </row>
    <row r="1839" spans="8:15">
      <c r="I1839" s="30"/>
      <c r="M1839" s="143"/>
      <c r="O1839" s="144"/>
    </row>
    <row r="1840" spans="8:15">
      <c r="M1840" s="647" t="s">
        <v>555</v>
      </c>
      <c r="N1840" s="610"/>
      <c r="O1840" s="648"/>
    </row>
    <row r="1841" spans="8:15">
      <c r="H1841" s="186" t="s">
        <v>114</v>
      </c>
      <c r="K1841" s="249" t="s">
        <v>2</v>
      </c>
      <c r="M1841" s="605" t="s">
        <v>1676</v>
      </c>
      <c r="N1841" s="605"/>
      <c r="O1841" s="649"/>
    </row>
    <row r="1842" spans="8:15">
      <c r="M1842" s="601" t="s">
        <v>163</v>
      </c>
      <c r="N1842" s="602"/>
      <c r="O1842" s="603"/>
    </row>
    <row r="1843" spans="8:15" ht="17.25" thickBot="1">
      <c r="M1843" s="140"/>
      <c r="N1843" s="141"/>
      <c r="O1843" s="142"/>
    </row>
    <row r="1845" spans="8:15">
      <c r="H1845" s="30" t="s">
        <v>27</v>
      </c>
      <c r="I1845" s="394" t="s">
        <v>148</v>
      </c>
    </row>
    <row r="1846" spans="8:15" ht="17.25" thickBot="1"/>
    <row r="1847" spans="8:15" ht="17.25" thickBot="1">
      <c r="H1847" s="13" t="s">
        <v>112</v>
      </c>
      <c r="I1847" s="624" t="s">
        <v>4</v>
      </c>
      <c r="J1847" s="625"/>
      <c r="K1847" s="625"/>
      <c r="L1847" s="625"/>
      <c r="M1847" s="625"/>
      <c r="N1847" s="626"/>
      <c r="O1847" s="20" t="s">
        <v>5</v>
      </c>
    </row>
    <row r="1848" spans="8:15" ht="15" customHeight="1">
      <c r="H1848" s="633" t="s">
        <v>2445</v>
      </c>
      <c r="I1848" s="143"/>
      <c r="J1848" s="159"/>
      <c r="K1848" s="159"/>
      <c r="L1848" s="159"/>
      <c r="M1848" s="159"/>
      <c r="N1848" s="144"/>
      <c r="O1848" s="291"/>
    </row>
    <row r="1849" spans="8:15">
      <c r="H1849" s="634"/>
      <c r="I1849" s="64"/>
      <c r="N1849" s="65"/>
      <c r="O1849" s="291"/>
    </row>
    <row r="1850" spans="8:15">
      <c r="H1850" s="634"/>
      <c r="I1850" s="630" t="s">
        <v>286</v>
      </c>
      <c r="J1850" s="631"/>
      <c r="K1850" s="631"/>
      <c r="L1850" s="631"/>
      <c r="M1850" s="631"/>
      <c r="N1850" s="632"/>
      <c r="O1850" s="291"/>
    </row>
    <row r="1851" spans="8:15">
      <c r="H1851" s="634"/>
      <c r="I1851" s="636" t="s">
        <v>2279</v>
      </c>
      <c r="J1851" s="637"/>
      <c r="K1851" s="637"/>
      <c r="L1851" s="637"/>
      <c r="M1851" s="637"/>
      <c r="N1851" s="638"/>
      <c r="O1851" s="148">
        <v>5400000</v>
      </c>
    </row>
    <row r="1852" spans="8:15" ht="15" customHeight="1">
      <c r="H1852" s="634"/>
      <c r="I1852" s="64"/>
      <c r="J1852" s="604"/>
      <c r="K1852" s="604"/>
      <c r="L1852" s="604"/>
      <c r="N1852" s="65"/>
      <c r="O1852" s="291"/>
    </row>
    <row r="1853" spans="8:15" ht="15.75" customHeight="1" thickBot="1">
      <c r="H1853" s="635"/>
      <c r="I1853" s="140"/>
      <c r="J1853" s="141"/>
      <c r="K1853" s="141"/>
      <c r="L1853" s="141"/>
      <c r="M1853" s="141"/>
      <c r="N1853" s="142"/>
      <c r="O1853" s="291"/>
    </row>
    <row r="1854" spans="8:15" ht="17.25" thickBot="1">
      <c r="H1854" s="20" t="s">
        <v>12</v>
      </c>
      <c r="I1854" s="614" t="s">
        <v>13</v>
      </c>
      <c r="J1854" s="615"/>
      <c r="K1854" s="62" t="s">
        <v>14</v>
      </c>
      <c r="L1854" s="63"/>
      <c r="M1854" s="62" t="s">
        <v>15</v>
      </c>
      <c r="N1854" s="62" t="s">
        <v>16</v>
      </c>
      <c r="O1854" s="20" t="s">
        <v>17</v>
      </c>
    </row>
    <row r="1855" spans="8:15" ht="18" thickBot="1">
      <c r="H1855" s="22" t="s">
        <v>18</v>
      </c>
      <c r="I1855" s="606">
        <f>+O1851</f>
        <v>5400000</v>
      </c>
      <c r="J1855" s="607"/>
      <c r="K1855" s="23">
        <f>0</f>
        <v>0</v>
      </c>
      <c r="L1855" s="24"/>
      <c r="M1855" s="25">
        <f>0</f>
        <v>0</v>
      </c>
      <c r="N1855" s="36">
        <f>+I1855</f>
        <v>5400000</v>
      </c>
      <c r="O1855" s="38">
        <f>+O1851</f>
        <v>5400000</v>
      </c>
    </row>
    <row r="1856" spans="8:15" ht="18" thickBot="1">
      <c r="H1856" s="22" t="s">
        <v>113</v>
      </c>
      <c r="I1856" s="606">
        <f>+I1855/650.599</f>
        <v>8300.0434983761115</v>
      </c>
      <c r="J1856" s="607"/>
      <c r="K1856" s="23">
        <f>0</f>
        <v>0</v>
      </c>
      <c r="L1856" s="24"/>
      <c r="M1856" s="25">
        <f>0</f>
        <v>0</v>
      </c>
      <c r="N1856" s="36">
        <f>+I1856</f>
        <v>8300.0434983761115</v>
      </c>
      <c r="O1856" s="38">
        <f>+N1856</f>
        <v>8300.0434983761115</v>
      </c>
    </row>
    <row r="1858" spans="8:15">
      <c r="H1858" s="412" t="s">
        <v>1430</v>
      </c>
      <c r="I1858" s="26"/>
      <c r="J1858" s="26"/>
      <c r="K1858" s="26"/>
      <c r="L1858" s="26"/>
      <c r="M1858" s="26"/>
      <c r="N1858" s="26"/>
    </row>
    <row r="1859" spans="8:15">
      <c r="H1859" s="413" t="s">
        <v>2475</v>
      </c>
      <c r="I1859" s="26"/>
      <c r="J1859" s="26"/>
      <c r="K1859" s="26"/>
      <c r="L1859" s="26"/>
      <c r="M1859" s="26"/>
      <c r="N1859" s="26"/>
    </row>
    <row r="1860" spans="8:15">
      <c r="H1860" s="82" t="s">
        <v>19</v>
      </c>
      <c r="I1860" s="26"/>
      <c r="J1860" s="26"/>
      <c r="K1860" s="26"/>
      <c r="L1860" s="26"/>
      <c r="M1860" s="26"/>
      <c r="N1860" s="26"/>
    </row>
    <row r="1861" spans="8:15">
      <c r="H1861" s="26" t="s">
        <v>965</v>
      </c>
      <c r="I1861" s="26"/>
      <c r="J1861" s="26"/>
      <c r="K1861" s="26"/>
      <c r="L1861" s="26"/>
      <c r="M1861" s="26"/>
      <c r="N1861" s="26"/>
    </row>
    <row r="1862" spans="8:15">
      <c r="H1862" s="26" t="s">
        <v>21</v>
      </c>
      <c r="I1862" s="26"/>
      <c r="J1862" s="26"/>
      <c r="K1862" s="26"/>
      <c r="L1862" s="26"/>
      <c r="M1862" s="26"/>
      <c r="N1862" s="26"/>
    </row>
    <row r="1863" spans="8:15">
      <c r="H1863" s="26" t="s">
        <v>1229</v>
      </c>
      <c r="I1863" s="26"/>
      <c r="J1863" s="26"/>
      <c r="K1863" s="26"/>
      <c r="L1863" s="26"/>
      <c r="M1863" s="26"/>
      <c r="N1863" s="26"/>
    </row>
    <row r="1866" spans="8:15">
      <c r="K1866" s="30" t="s">
        <v>24</v>
      </c>
      <c r="M1866" s="30"/>
      <c r="N1866" s="30"/>
    </row>
    <row r="1867" spans="8:15">
      <c r="K1867" s="30" t="s">
        <v>149</v>
      </c>
      <c r="M1867" s="30"/>
      <c r="N1867" s="30"/>
    </row>
    <row r="1868" spans="8:15">
      <c r="K1868" s="605" t="s">
        <v>150</v>
      </c>
      <c r="L1868" s="605"/>
      <c r="M1868" s="605"/>
      <c r="N1868" s="605"/>
    </row>
    <row r="1869" spans="8:15">
      <c r="K1869" s="30"/>
    </row>
    <row r="1870" spans="8:15">
      <c r="L1870" s="26"/>
      <c r="M1870" s="26"/>
      <c r="N1870" s="26"/>
    </row>
    <row r="1871" spans="8:15" ht="17.25">
      <c r="K1871" s="644" t="s">
        <v>2347</v>
      </c>
      <c r="L1871" s="682"/>
      <c r="M1871" s="682"/>
      <c r="N1871" s="682"/>
    </row>
    <row r="1872" spans="8:15" ht="18" customHeight="1">
      <c r="H1872" s="617" t="s">
        <v>2556</v>
      </c>
      <c r="I1872" s="617"/>
      <c r="J1872" s="617"/>
      <c r="K1872" s="617"/>
      <c r="L1872" s="617"/>
      <c r="M1872" s="617"/>
      <c r="N1872" s="617"/>
      <c r="O1872" s="617"/>
    </row>
    <row r="1873" spans="8:15">
      <c r="H1873" s="474"/>
      <c r="I1873" s="474"/>
      <c r="J1873" s="474"/>
      <c r="K1873" s="474"/>
      <c r="L1873" s="474"/>
      <c r="M1873" s="474"/>
      <c r="N1873" s="474"/>
      <c r="O1873" s="474"/>
    </row>
    <row r="1875" spans="8:15" ht="49.5" customHeight="1">
      <c r="H1875" s="642" t="s">
        <v>1940</v>
      </c>
      <c r="I1875" s="642"/>
      <c r="J1875" s="642"/>
      <c r="K1875" s="642"/>
      <c r="L1875" s="642"/>
      <c r="M1875" s="642"/>
      <c r="N1875" s="642"/>
      <c r="O1875" s="642"/>
    </row>
    <row r="1878" spans="8:15" ht="17.25">
      <c r="H1878" s="30"/>
      <c r="I1878" s="503" t="s">
        <v>2555</v>
      </c>
    </row>
    <row r="1879" spans="8:15" ht="17.25" thickBot="1">
      <c r="H1879" s="30"/>
      <c r="N1879" s="141"/>
    </row>
    <row r="1880" spans="8:15">
      <c r="I1880" s="30"/>
      <c r="M1880" s="143"/>
      <c r="O1880" s="144"/>
    </row>
    <row r="1881" spans="8:15">
      <c r="M1881" s="647" t="s">
        <v>2231</v>
      </c>
      <c r="N1881" s="610"/>
      <c r="O1881" s="648"/>
    </row>
    <row r="1882" spans="8:15">
      <c r="H1882" s="186" t="s">
        <v>114</v>
      </c>
      <c r="K1882" s="30" t="s">
        <v>2</v>
      </c>
      <c r="M1882" s="605" t="s">
        <v>2234</v>
      </c>
      <c r="N1882" s="605"/>
      <c r="O1882" s="649"/>
    </row>
    <row r="1883" spans="8:15">
      <c r="M1883" s="601" t="s">
        <v>163</v>
      </c>
      <c r="N1883" s="602"/>
      <c r="O1883" s="603"/>
    </row>
    <row r="1884" spans="8:15" ht="18" thickBot="1">
      <c r="H1884" s="249" t="s">
        <v>2557</v>
      </c>
      <c r="I1884" s="375" t="s">
        <v>2558</v>
      </c>
      <c r="M1884" s="140"/>
      <c r="N1884" s="141"/>
      <c r="O1884" s="142"/>
    </row>
    <row r="1886" spans="8:15">
      <c r="H1886" s="30" t="s">
        <v>27</v>
      </c>
      <c r="I1886" s="30" t="s">
        <v>148</v>
      </c>
    </row>
    <row r="1887" spans="8:15" ht="17.25" thickBot="1"/>
    <row r="1888" spans="8:15" ht="17.25" thickBot="1">
      <c r="H1888" s="13" t="s">
        <v>112</v>
      </c>
      <c r="I1888" s="624" t="s">
        <v>4</v>
      </c>
      <c r="J1888" s="625"/>
      <c r="K1888" s="625"/>
      <c r="L1888" s="625"/>
      <c r="M1888" s="625"/>
      <c r="N1888" s="626"/>
      <c r="O1888" s="20" t="s">
        <v>5</v>
      </c>
    </row>
    <row r="1889" spans="8:15">
      <c r="H1889" s="633" t="s">
        <v>2445</v>
      </c>
      <c r="I1889" s="143"/>
      <c r="J1889" s="159"/>
      <c r="K1889" s="159"/>
      <c r="L1889" s="159"/>
      <c r="M1889" s="159"/>
      <c r="N1889" s="144"/>
      <c r="O1889" s="291"/>
    </row>
    <row r="1890" spans="8:15">
      <c r="H1890" s="634"/>
      <c r="I1890" s="64"/>
      <c r="N1890" s="65"/>
      <c r="O1890" s="291"/>
    </row>
    <row r="1891" spans="8:15">
      <c r="H1891" s="634"/>
      <c r="I1891" s="66"/>
      <c r="J1891" s="367"/>
      <c r="K1891" s="367" t="s">
        <v>286</v>
      </c>
      <c r="L1891" s="367"/>
      <c r="M1891" s="367"/>
      <c r="N1891" s="67"/>
      <c r="O1891" s="291"/>
    </row>
    <row r="1892" spans="8:15">
      <c r="H1892" s="634"/>
      <c r="I1892" s="385"/>
      <c r="J1892" s="187"/>
      <c r="K1892" s="147" t="s">
        <v>2495</v>
      </c>
      <c r="L1892" s="187"/>
      <c r="M1892" s="187"/>
      <c r="N1892" s="132"/>
      <c r="O1892" s="148">
        <v>5100000</v>
      </c>
    </row>
    <row r="1893" spans="8:15">
      <c r="H1893" s="634"/>
      <c r="I1893" s="64"/>
      <c r="J1893" s="604"/>
      <c r="K1893" s="604"/>
      <c r="L1893" s="604"/>
      <c r="N1893" s="65"/>
      <c r="O1893" s="291"/>
    </row>
    <row r="1894" spans="8:15" ht="17.25" thickBot="1">
      <c r="H1894" s="635"/>
      <c r="I1894" s="140"/>
      <c r="J1894" s="141"/>
      <c r="K1894" s="141"/>
      <c r="L1894" s="141"/>
      <c r="M1894" s="141"/>
      <c r="N1894" s="142"/>
      <c r="O1894" s="291"/>
    </row>
    <row r="1895" spans="8:15" ht="17.25" thickBot="1">
      <c r="H1895" s="20" t="s">
        <v>12</v>
      </c>
      <c r="I1895" s="614" t="s">
        <v>13</v>
      </c>
      <c r="J1895" s="615"/>
      <c r="K1895" s="62" t="s">
        <v>14</v>
      </c>
      <c r="L1895" s="63"/>
      <c r="M1895" s="62" t="s">
        <v>15</v>
      </c>
      <c r="N1895" s="62" t="s">
        <v>16</v>
      </c>
      <c r="O1895" s="20" t="s">
        <v>17</v>
      </c>
    </row>
    <row r="1896" spans="8:15" ht="18" thickBot="1">
      <c r="H1896" s="22" t="s">
        <v>18</v>
      </c>
      <c r="I1896" s="606">
        <f>+O1892</f>
        <v>5100000</v>
      </c>
      <c r="J1896" s="607"/>
      <c r="K1896" s="23">
        <f>0</f>
        <v>0</v>
      </c>
      <c r="L1896" s="24"/>
      <c r="M1896" s="25">
        <f>0</f>
        <v>0</v>
      </c>
      <c r="N1896" s="36">
        <f>+I1896</f>
        <v>5100000</v>
      </c>
      <c r="O1896" s="38">
        <f>+O1892</f>
        <v>5100000</v>
      </c>
    </row>
    <row r="1897" spans="8:15" ht="18" thickBot="1">
      <c r="H1897" s="22" t="s">
        <v>113</v>
      </c>
      <c r="I1897" s="606">
        <f>+I1896/650.599</f>
        <v>7838.9299706885495</v>
      </c>
      <c r="J1897" s="607"/>
      <c r="K1897" s="23">
        <f>0</f>
        <v>0</v>
      </c>
      <c r="L1897" s="24"/>
      <c r="M1897" s="25">
        <f>0</f>
        <v>0</v>
      </c>
      <c r="N1897" s="36">
        <f>+I1897</f>
        <v>7838.9299706885495</v>
      </c>
      <c r="O1897" s="38">
        <f>+N1897</f>
        <v>7838.9299706885495</v>
      </c>
    </row>
    <row r="1899" spans="8:15">
      <c r="H1899" s="412" t="s">
        <v>2560</v>
      </c>
      <c r="I1899" s="26"/>
      <c r="J1899" s="26"/>
      <c r="K1899" s="26"/>
      <c r="L1899" s="26"/>
      <c r="M1899" s="26"/>
      <c r="N1899" s="26"/>
    </row>
    <row r="1900" spans="8:15">
      <c r="H1900" s="413" t="s">
        <v>2462</v>
      </c>
      <c r="I1900" s="26"/>
      <c r="J1900" s="26"/>
      <c r="K1900" s="26"/>
      <c r="L1900" s="26"/>
      <c r="M1900" s="26"/>
      <c r="N1900" s="26"/>
    </row>
    <row r="1901" spans="8:15">
      <c r="H1901" s="82" t="s">
        <v>19</v>
      </c>
      <c r="I1901" s="26"/>
      <c r="J1901" s="26"/>
      <c r="K1901" s="26"/>
      <c r="L1901" s="26"/>
      <c r="M1901" s="26"/>
      <c r="N1901" s="26"/>
    </row>
    <row r="1902" spans="8:15">
      <c r="H1902" s="26" t="s">
        <v>965</v>
      </c>
      <c r="I1902" s="26"/>
      <c r="J1902" s="26"/>
      <c r="K1902" s="26"/>
      <c r="L1902" s="26"/>
      <c r="M1902" s="26"/>
      <c r="N1902" s="26"/>
    </row>
    <row r="1903" spans="8:15">
      <c r="H1903" s="26" t="s">
        <v>21</v>
      </c>
      <c r="I1903" s="26"/>
      <c r="J1903" s="26"/>
      <c r="K1903" s="26"/>
      <c r="L1903" s="26"/>
      <c r="M1903" s="26"/>
      <c r="N1903" s="26"/>
    </row>
    <row r="1904" spans="8:15">
      <c r="H1904" s="26" t="s">
        <v>1229</v>
      </c>
      <c r="I1904" s="26"/>
      <c r="J1904" s="26"/>
      <c r="K1904" s="26"/>
      <c r="L1904" s="26"/>
      <c r="M1904" s="26"/>
      <c r="N1904" s="26"/>
    </row>
    <row r="1907" spans="8:15">
      <c r="K1907" s="30" t="s">
        <v>24</v>
      </c>
      <c r="M1907" s="30"/>
      <c r="N1907" s="30"/>
    </row>
    <row r="1908" spans="8:15">
      <c r="K1908" s="30" t="s">
        <v>149</v>
      </c>
      <c r="M1908" s="30"/>
      <c r="N1908" s="30"/>
    </row>
    <row r="1909" spans="8:15">
      <c r="K1909" s="605" t="s">
        <v>150</v>
      </c>
      <c r="L1909" s="605"/>
      <c r="M1909" s="605"/>
      <c r="N1909" s="605"/>
    </row>
    <row r="1910" spans="8:15">
      <c r="K1910" s="30"/>
    </row>
    <row r="1911" spans="8:15">
      <c r="K1911" s="30"/>
    </row>
    <row r="1912" spans="8:15">
      <c r="K1912" s="608" t="s">
        <v>2347</v>
      </c>
      <c r="L1912" s="608"/>
      <c r="M1912" s="608"/>
      <c r="N1912" s="608"/>
    </row>
    <row r="1913" spans="8:15" ht="18">
      <c r="H1913" s="26"/>
      <c r="I1913" s="26"/>
      <c r="J1913" s="26"/>
      <c r="K1913" s="608"/>
      <c r="L1913" s="608"/>
      <c r="M1913" s="608"/>
      <c r="N1913" s="608"/>
      <c r="O1913" s="145"/>
    </row>
    <row r="1914" spans="8:15" ht="20.25" customHeight="1">
      <c r="H1914" s="617" t="s">
        <v>2530</v>
      </c>
      <c r="I1914" s="617"/>
      <c r="J1914" s="617"/>
      <c r="K1914" s="617"/>
      <c r="L1914" s="617"/>
      <c r="M1914" s="617"/>
      <c r="N1914" s="617"/>
      <c r="O1914" s="617"/>
    </row>
    <row r="1917" spans="8:15" ht="49.5" customHeight="1">
      <c r="H1917" s="642" t="s">
        <v>1</v>
      </c>
      <c r="I1917" s="642"/>
      <c r="J1917" s="642"/>
      <c r="K1917" s="642"/>
      <c r="L1917" s="642"/>
      <c r="M1917" s="642"/>
      <c r="N1917" s="642"/>
      <c r="O1917" s="642"/>
    </row>
    <row r="1920" spans="8:15" ht="17.25">
      <c r="H1920" s="30"/>
      <c r="I1920" s="375" t="s">
        <v>1393</v>
      </c>
    </row>
    <row r="1921" spans="8:15" ht="17.25" thickBot="1">
      <c r="H1921" s="30"/>
      <c r="N1921" s="141"/>
    </row>
    <row r="1922" spans="8:15">
      <c r="I1922" s="30"/>
      <c r="M1922" s="143"/>
      <c r="O1922" s="144"/>
    </row>
    <row r="1923" spans="8:15">
      <c r="M1923" s="647" t="s">
        <v>1768</v>
      </c>
      <c r="N1923" s="610"/>
      <c r="O1923" s="648"/>
    </row>
    <row r="1924" spans="8:15">
      <c r="H1924" s="12" t="s">
        <v>114</v>
      </c>
      <c r="K1924" s="30" t="s">
        <v>2</v>
      </c>
      <c r="M1924" s="605" t="s">
        <v>1776</v>
      </c>
      <c r="N1924" s="605"/>
      <c r="O1924" s="649"/>
    </row>
    <row r="1925" spans="8:15">
      <c r="M1925" s="601" t="s">
        <v>1777</v>
      </c>
      <c r="N1925" s="602"/>
      <c r="O1925" s="603"/>
    </row>
    <row r="1926" spans="8:15" ht="17.25" thickBot="1">
      <c r="M1926" s="140"/>
      <c r="N1926" s="141"/>
      <c r="O1926" s="142"/>
    </row>
    <row r="1928" spans="8:15">
      <c r="H1928" s="30" t="s">
        <v>27</v>
      </c>
      <c r="I1928" s="30" t="s">
        <v>775</v>
      </c>
    </row>
    <row r="1929" spans="8:15" ht="17.25" thickBot="1"/>
    <row r="1930" spans="8:15" ht="17.25" thickBot="1">
      <c r="H1930" s="13" t="s">
        <v>112</v>
      </c>
      <c r="I1930" s="624" t="s">
        <v>4</v>
      </c>
      <c r="J1930" s="625"/>
      <c r="K1930" s="625"/>
      <c r="L1930" s="625"/>
      <c r="M1930" s="625"/>
      <c r="N1930" s="626"/>
      <c r="O1930" s="20" t="s">
        <v>5</v>
      </c>
    </row>
    <row r="1931" spans="8:15">
      <c r="H1931" s="627" t="s">
        <v>2445</v>
      </c>
      <c r="I1931" s="143"/>
      <c r="J1931" s="159"/>
      <c r="K1931" s="159"/>
      <c r="L1931" s="159"/>
      <c r="M1931" s="159"/>
      <c r="N1931" s="144"/>
      <c r="O1931" s="291"/>
    </row>
    <row r="1932" spans="8:15">
      <c r="H1932" s="628"/>
      <c r="I1932" s="64"/>
      <c r="N1932" s="65"/>
      <c r="O1932" s="291"/>
    </row>
    <row r="1933" spans="8:15">
      <c r="H1933" s="628"/>
      <c r="I1933" s="66"/>
      <c r="J1933" s="367"/>
      <c r="K1933" s="367" t="s">
        <v>286</v>
      </c>
      <c r="L1933" s="367"/>
      <c r="M1933" s="367"/>
      <c r="N1933" s="67"/>
      <c r="O1933" s="291"/>
    </row>
    <row r="1934" spans="8:15">
      <c r="H1934" s="628"/>
      <c r="I1934" s="385"/>
      <c r="J1934" s="187"/>
      <c r="K1934" s="147" t="s">
        <v>2518</v>
      </c>
      <c r="L1934" s="187"/>
      <c r="M1934" s="187"/>
      <c r="N1934" s="132"/>
      <c r="O1934" s="148">
        <v>1008000</v>
      </c>
    </row>
    <row r="1935" spans="8:15">
      <c r="H1935" s="628"/>
      <c r="I1935" s="64"/>
      <c r="J1935" s="604"/>
      <c r="K1935" s="604"/>
      <c r="L1935" s="604"/>
      <c r="N1935" s="65"/>
      <c r="O1935" s="291"/>
    </row>
    <row r="1936" spans="8:15" ht="17.25" thickBot="1">
      <c r="H1936" s="629"/>
      <c r="I1936" s="140"/>
      <c r="J1936" s="141"/>
      <c r="K1936" s="141"/>
      <c r="L1936" s="141"/>
      <c r="M1936" s="141"/>
      <c r="N1936" s="142"/>
      <c r="O1936" s="291"/>
    </row>
    <row r="1937" spans="8:15" ht="17.25" thickBot="1">
      <c r="H1937" s="20" t="s">
        <v>12</v>
      </c>
      <c r="I1937" s="614" t="s">
        <v>13</v>
      </c>
      <c r="J1937" s="615"/>
      <c r="K1937" s="62" t="s">
        <v>14</v>
      </c>
      <c r="L1937" s="63"/>
      <c r="M1937" s="62" t="s">
        <v>15</v>
      </c>
      <c r="N1937" s="62" t="s">
        <v>16</v>
      </c>
      <c r="O1937" s="20" t="s">
        <v>17</v>
      </c>
    </row>
    <row r="1938" spans="8:15" ht="18" thickBot="1">
      <c r="H1938" s="22" t="s">
        <v>18</v>
      </c>
      <c r="I1938" s="606">
        <f>+O1934</f>
        <v>1008000</v>
      </c>
      <c r="J1938" s="607"/>
      <c r="K1938" s="23">
        <f>0</f>
        <v>0</v>
      </c>
      <c r="L1938" s="24"/>
      <c r="M1938" s="25">
        <f>0</f>
        <v>0</v>
      </c>
      <c r="N1938" s="36">
        <f>+I1938</f>
        <v>1008000</v>
      </c>
      <c r="O1938" s="38">
        <f>+O1934</f>
        <v>1008000</v>
      </c>
    </row>
    <row r="1939" spans="8:15" ht="18" thickBot="1">
      <c r="H1939" s="22" t="s">
        <v>113</v>
      </c>
      <c r="I1939" s="606">
        <f>+I1938/650.599</f>
        <v>1549.3414530302075</v>
      </c>
      <c r="J1939" s="607"/>
      <c r="K1939" s="23">
        <f>0</f>
        <v>0</v>
      </c>
      <c r="L1939" s="24"/>
      <c r="M1939" s="25">
        <f>0</f>
        <v>0</v>
      </c>
      <c r="N1939" s="36">
        <f>+I1939</f>
        <v>1549.3414530302075</v>
      </c>
      <c r="O1939" s="38">
        <f>+N1939</f>
        <v>1549.3414530302075</v>
      </c>
    </row>
    <row r="1941" spans="8:15">
      <c r="H1941" s="37" t="s">
        <v>1268</v>
      </c>
      <c r="I1941" s="26"/>
      <c r="J1941" s="26"/>
      <c r="K1941" s="26"/>
      <c r="L1941" s="26"/>
      <c r="M1941" s="26"/>
      <c r="N1941" s="26"/>
    </row>
    <row r="1942" spans="8:15">
      <c r="H1942" s="408" t="s">
        <v>1778</v>
      </c>
      <c r="I1942" s="26"/>
      <c r="J1942" s="26"/>
      <c r="K1942" s="26"/>
      <c r="L1942" s="26"/>
      <c r="M1942" s="26"/>
      <c r="N1942" s="26"/>
    </row>
    <row r="1943" spans="8:15">
      <c r="H1943" s="82" t="s">
        <v>19</v>
      </c>
      <c r="I1943" s="26"/>
      <c r="J1943" s="26"/>
      <c r="K1943" s="26"/>
      <c r="L1943" s="26"/>
      <c r="M1943" s="26"/>
      <c r="N1943" s="26"/>
    </row>
    <row r="1944" spans="8:15">
      <c r="H1944" s="26" t="s">
        <v>965</v>
      </c>
      <c r="I1944" s="26"/>
      <c r="J1944" s="26"/>
      <c r="K1944" s="26"/>
      <c r="L1944" s="26"/>
      <c r="M1944" s="26"/>
      <c r="N1944" s="26"/>
    </row>
    <row r="1945" spans="8:15">
      <c r="H1945" s="26" t="s">
        <v>21</v>
      </c>
      <c r="I1945" s="26"/>
      <c r="J1945" s="26"/>
      <c r="K1945" s="26"/>
      <c r="L1945" s="26"/>
      <c r="M1945" s="26"/>
      <c r="N1945" s="26"/>
    </row>
    <row r="1946" spans="8:15">
      <c r="H1946" s="26" t="s">
        <v>1229</v>
      </c>
      <c r="I1946" s="26"/>
      <c r="J1946" s="26"/>
      <c r="K1946" s="26"/>
      <c r="L1946" s="26"/>
      <c r="M1946" s="26"/>
      <c r="N1946" s="26"/>
    </row>
    <row r="1947" spans="8:15">
      <c r="H1947" s="26"/>
      <c r="I1947" s="26"/>
      <c r="J1947" s="26"/>
      <c r="K1947" s="26"/>
      <c r="L1947" s="26"/>
      <c r="M1947" s="26"/>
      <c r="N1947" s="26"/>
    </row>
    <row r="1949" spans="8:15">
      <c r="J1949" s="604" t="s">
        <v>24</v>
      </c>
      <c r="K1949" s="604"/>
      <c r="L1949" s="604"/>
      <c r="M1949" s="604"/>
      <c r="N1949" s="604"/>
      <c r="O1949" s="30"/>
    </row>
    <row r="1950" spans="8:15">
      <c r="J1950" s="604" t="s">
        <v>149</v>
      </c>
      <c r="K1950" s="604"/>
      <c r="L1950" s="604"/>
      <c r="M1950" s="604"/>
      <c r="N1950" s="604"/>
      <c r="O1950" s="30"/>
    </row>
    <row r="1951" spans="8:15">
      <c r="J1951" s="605" t="s">
        <v>150</v>
      </c>
      <c r="K1951" s="605"/>
      <c r="L1951" s="605"/>
      <c r="M1951" s="605"/>
      <c r="N1951" s="605"/>
      <c r="O1951" s="477"/>
    </row>
    <row r="1952" spans="8:15">
      <c r="J1952" s="477"/>
      <c r="K1952" s="477"/>
      <c r="L1952" s="477"/>
      <c r="M1952" s="477"/>
      <c r="N1952" s="477"/>
      <c r="O1952" s="477"/>
    </row>
    <row r="1953" spans="8:15">
      <c r="L1953" s="26"/>
      <c r="M1953" s="26"/>
      <c r="N1953" s="26"/>
    </row>
    <row r="1954" spans="8:15" ht="17.25">
      <c r="K1954" s="644" t="s">
        <v>2347</v>
      </c>
      <c r="L1954" s="644"/>
      <c r="M1954" s="644"/>
      <c r="N1954" s="644"/>
    </row>
    <row r="1955" spans="8:15" ht="18">
      <c r="H1955" s="26"/>
      <c r="I1955" s="26"/>
      <c r="J1955" s="26"/>
      <c r="K1955" s="644"/>
      <c r="L1955" s="644"/>
      <c r="M1955" s="644"/>
      <c r="N1955" s="644"/>
      <c r="O1955" s="145"/>
    </row>
    <row r="1956" spans="8:15">
      <c r="I1956" s="617" t="s">
        <v>0</v>
      </c>
      <c r="J1956" s="617"/>
      <c r="K1956" s="617"/>
      <c r="L1956" s="617"/>
      <c r="M1956" s="617"/>
      <c r="N1956" s="617"/>
      <c r="O1956" s="617"/>
    </row>
    <row r="1959" spans="8:15" ht="49.5">
      <c r="J1959" s="642" t="s">
        <v>1940</v>
      </c>
      <c r="K1959" s="642"/>
      <c r="L1959" s="642"/>
      <c r="M1959" s="642"/>
    </row>
    <row r="1962" spans="8:15" ht="17.25">
      <c r="H1962" s="30"/>
      <c r="I1962" s="375" t="s">
        <v>2213</v>
      </c>
    </row>
    <row r="1963" spans="8:15" ht="17.25" thickBot="1">
      <c r="H1963" s="30"/>
      <c r="N1963" s="141"/>
    </row>
    <row r="1964" spans="8:15">
      <c r="I1964" s="30"/>
      <c r="M1964" s="143"/>
      <c r="O1964" s="144"/>
    </row>
    <row r="1965" spans="8:15" ht="17.25">
      <c r="M1965" s="667" t="s">
        <v>2091</v>
      </c>
      <c r="N1965" s="668"/>
      <c r="O1965" s="669"/>
    </row>
    <row r="1966" spans="8:15">
      <c r="H1966" s="12" t="s">
        <v>114</v>
      </c>
      <c r="K1966" s="30" t="s">
        <v>2</v>
      </c>
      <c r="M1966" s="683" t="s">
        <v>1379</v>
      </c>
      <c r="N1966" s="683"/>
      <c r="O1966" s="684"/>
    </row>
    <row r="1967" spans="8:15">
      <c r="M1967" s="601" t="s">
        <v>2209</v>
      </c>
      <c r="N1967" s="602"/>
      <c r="O1967" s="603"/>
    </row>
    <row r="1968" spans="8:15" ht="17.25" thickBot="1">
      <c r="M1968" s="140"/>
      <c r="N1968" s="141"/>
      <c r="O1968" s="142"/>
    </row>
    <row r="1970" spans="8:15">
      <c r="H1970" s="30" t="s">
        <v>27</v>
      </c>
      <c r="I1970" s="30" t="s">
        <v>2214</v>
      </c>
    </row>
    <row r="1971" spans="8:15" ht="17.25" thickBot="1"/>
    <row r="1972" spans="8:15" ht="17.25" thickBot="1">
      <c r="H1972" s="13" t="s">
        <v>112</v>
      </c>
      <c r="I1972" s="624" t="s">
        <v>4</v>
      </c>
      <c r="J1972" s="625"/>
      <c r="K1972" s="625"/>
      <c r="L1972" s="625"/>
      <c r="M1972" s="625"/>
      <c r="N1972" s="626"/>
      <c r="O1972" s="20" t="s">
        <v>5</v>
      </c>
    </row>
    <row r="1973" spans="8:15" ht="15" customHeight="1">
      <c r="H1973" s="627" t="s">
        <v>2206</v>
      </c>
      <c r="I1973" s="143"/>
      <c r="J1973" s="159"/>
      <c r="K1973" s="159"/>
      <c r="L1973" s="159"/>
      <c r="M1973" s="159"/>
      <c r="N1973" s="144"/>
      <c r="O1973" s="291"/>
    </row>
    <row r="1974" spans="8:15">
      <c r="H1974" s="628"/>
      <c r="I1974" s="654" t="s">
        <v>2210</v>
      </c>
      <c r="J1974" s="655"/>
      <c r="K1974" s="655"/>
      <c r="L1974" s="655"/>
      <c r="M1974" s="655"/>
      <c r="N1974" s="656"/>
      <c r="O1974" s="291"/>
    </row>
    <row r="1975" spans="8:15">
      <c r="H1975" s="628"/>
      <c r="I1975" s="654" t="s">
        <v>2212</v>
      </c>
      <c r="J1975" s="655"/>
      <c r="K1975" s="655"/>
      <c r="L1975" s="655"/>
      <c r="M1975" s="655"/>
      <c r="N1975" s="656"/>
      <c r="O1975" s="291"/>
    </row>
    <row r="1976" spans="8:15">
      <c r="H1976" s="628"/>
      <c r="I1976" s="654" t="s">
        <v>2211</v>
      </c>
      <c r="J1976" s="655"/>
      <c r="K1976" s="655"/>
      <c r="L1976" s="655"/>
      <c r="M1976" s="655"/>
      <c r="N1976" s="656"/>
      <c r="O1976" s="148">
        <v>5251500</v>
      </c>
    </row>
    <row r="1977" spans="8:15" ht="15" customHeight="1">
      <c r="H1977" s="628"/>
      <c r="I1977" s="654" t="s">
        <v>2217</v>
      </c>
      <c r="J1977" s="655"/>
      <c r="K1977" s="655"/>
      <c r="L1977" s="655"/>
      <c r="M1977" s="655"/>
      <c r="N1977" s="656"/>
      <c r="O1977" s="291"/>
    </row>
    <row r="1978" spans="8:15" ht="15.75" customHeight="1" thickBot="1">
      <c r="H1978" s="629"/>
      <c r="I1978" s="499"/>
      <c r="J1978" s="141"/>
      <c r="K1978" s="141"/>
      <c r="L1978" s="141"/>
      <c r="M1978" s="141"/>
      <c r="N1978" s="142"/>
      <c r="O1978" s="291"/>
    </row>
    <row r="1979" spans="8:15" ht="17.25" thickBot="1">
      <c r="H1979" s="20" t="s">
        <v>12</v>
      </c>
      <c r="I1979" s="614" t="s">
        <v>13</v>
      </c>
      <c r="J1979" s="615"/>
      <c r="K1979" s="62" t="s">
        <v>14</v>
      </c>
      <c r="L1979" s="63"/>
      <c r="M1979" s="62" t="s">
        <v>15</v>
      </c>
      <c r="N1979" s="62" t="s">
        <v>16</v>
      </c>
      <c r="O1979" s="20" t="s">
        <v>17</v>
      </c>
    </row>
    <row r="1980" spans="8:15" ht="18" thickBot="1">
      <c r="H1980" s="22" t="s">
        <v>18</v>
      </c>
      <c r="I1980" s="606">
        <f>+O1976</f>
        <v>5251500</v>
      </c>
      <c r="J1980" s="607"/>
      <c r="K1980" s="23">
        <f>0</f>
        <v>0</v>
      </c>
      <c r="L1980" s="24"/>
      <c r="M1980" s="25">
        <f>0</f>
        <v>0</v>
      </c>
      <c r="N1980" s="36">
        <f>+I1980</f>
        <v>5251500</v>
      </c>
      <c r="O1980" s="38">
        <f>+O1976</f>
        <v>5251500</v>
      </c>
    </row>
    <row r="1981" spans="8:15" ht="18" thickBot="1">
      <c r="H1981" s="22" t="s">
        <v>113</v>
      </c>
      <c r="I1981" s="606">
        <f>+I1980/650.599</f>
        <v>8071.7923021707684</v>
      </c>
      <c r="J1981" s="607"/>
      <c r="K1981" s="23">
        <f>0</f>
        <v>0</v>
      </c>
      <c r="L1981" s="24"/>
      <c r="M1981" s="25">
        <f>0</f>
        <v>0</v>
      </c>
      <c r="N1981" s="36">
        <f>+I1981</f>
        <v>8071.7923021707684</v>
      </c>
      <c r="O1981" s="38">
        <f>+N1981</f>
        <v>8071.7923021707684</v>
      </c>
    </row>
    <row r="1983" spans="8:15">
      <c r="H1983" s="412" t="s">
        <v>1891</v>
      </c>
      <c r="I1983" s="26"/>
      <c r="J1983" s="26"/>
      <c r="K1983" s="26"/>
      <c r="L1983" s="26"/>
      <c r="M1983" s="26"/>
      <c r="N1983" s="26"/>
    </row>
    <row r="1984" spans="8:15">
      <c r="H1984" s="411" t="s">
        <v>2215</v>
      </c>
      <c r="I1984" s="26"/>
      <c r="J1984" s="26"/>
      <c r="K1984" s="26"/>
      <c r="L1984" s="26"/>
      <c r="M1984" s="26"/>
      <c r="N1984" s="26"/>
    </row>
    <row r="1985" spans="8:15">
      <c r="H1985" s="82" t="s">
        <v>19</v>
      </c>
      <c r="I1985" s="26"/>
      <c r="J1985" s="26"/>
      <c r="K1985" s="26"/>
      <c r="L1985" s="26"/>
      <c r="M1985" s="26"/>
      <c r="N1985" s="26"/>
    </row>
    <row r="1986" spans="8:15">
      <c r="H1986" s="26" t="s">
        <v>965</v>
      </c>
      <c r="I1986" s="26"/>
      <c r="J1986" s="26"/>
      <c r="K1986" s="26"/>
      <c r="L1986" s="26"/>
      <c r="M1986" s="26"/>
      <c r="N1986" s="26"/>
    </row>
    <row r="1987" spans="8:15">
      <c r="H1987" s="26" t="s">
        <v>21</v>
      </c>
      <c r="I1987" s="26"/>
      <c r="J1987" s="26"/>
      <c r="K1987" s="26"/>
      <c r="L1987" s="26"/>
      <c r="M1987" s="26"/>
      <c r="N1987" s="26"/>
    </row>
    <row r="1988" spans="8:15">
      <c r="H1988" s="26" t="s">
        <v>1229</v>
      </c>
      <c r="I1988" s="26"/>
      <c r="J1988" s="26"/>
      <c r="K1988" s="26"/>
      <c r="L1988" s="26"/>
      <c r="M1988" s="26"/>
      <c r="N1988" s="26"/>
    </row>
    <row r="1990" spans="8:15">
      <c r="K1990" s="30" t="s">
        <v>811</v>
      </c>
      <c r="M1990" s="30"/>
      <c r="N1990" s="30"/>
    </row>
    <row r="1991" spans="8:15">
      <c r="K1991" s="30" t="s">
        <v>149</v>
      </c>
      <c r="M1991" s="30"/>
      <c r="N1991" s="30"/>
    </row>
    <row r="1992" spans="8:15">
      <c r="K1992" s="605" t="s">
        <v>150</v>
      </c>
      <c r="L1992" s="605"/>
      <c r="M1992" s="605"/>
      <c r="N1992" s="605"/>
    </row>
    <row r="1993" spans="8:15">
      <c r="K1993" s="30"/>
    </row>
    <row r="1994" spans="8:15">
      <c r="L1994" s="26"/>
      <c r="M1994" s="26"/>
      <c r="N1994" s="26"/>
    </row>
    <row r="1995" spans="8:15" ht="18">
      <c r="K1995" s="145"/>
      <c r="L1995" s="145"/>
      <c r="M1995" s="145"/>
      <c r="N1995" s="145"/>
    </row>
    <row r="1996" spans="8:15" ht="18">
      <c r="H1996" s="26"/>
      <c r="I1996" s="26"/>
      <c r="J1996" s="26"/>
      <c r="K1996" s="644" t="s">
        <v>2147</v>
      </c>
      <c r="L1996" s="644"/>
      <c r="M1996" s="644"/>
      <c r="N1996" s="644"/>
      <c r="O1996" s="145"/>
    </row>
    <row r="1997" spans="8:15" ht="18">
      <c r="H1997" s="26"/>
      <c r="I1997" s="26"/>
      <c r="J1997" s="26"/>
      <c r="K1997" s="361"/>
      <c r="L1997" s="361"/>
      <c r="M1997" s="361"/>
      <c r="N1997" s="361"/>
      <c r="O1997" s="145"/>
    </row>
    <row r="1998" spans="8:15" ht="18">
      <c r="H1998" s="26"/>
      <c r="I1998" s="26"/>
      <c r="J1998" s="26"/>
      <c r="K1998" s="26"/>
      <c r="L1998" s="373"/>
      <c r="M1998" s="373"/>
      <c r="N1998" s="373"/>
      <c r="O1998" s="145"/>
    </row>
    <row r="1999" spans="8:15">
      <c r="I1999" s="617" t="s">
        <v>2527</v>
      </c>
      <c r="J1999" s="617"/>
      <c r="K1999" s="617"/>
      <c r="L1999" s="617"/>
      <c r="M1999" s="617"/>
      <c r="N1999" s="617"/>
      <c r="O1999" s="617"/>
    </row>
    <row r="2002" spans="8:15" ht="49.5" customHeight="1">
      <c r="H2002" s="642" t="s">
        <v>1</v>
      </c>
      <c r="I2002" s="642"/>
      <c r="J2002" s="642"/>
      <c r="K2002" s="642"/>
      <c r="L2002" s="642"/>
      <c r="M2002" s="642"/>
      <c r="N2002" s="642"/>
      <c r="O2002" s="642"/>
    </row>
    <row r="2005" spans="8:15" ht="17.25">
      <c r="H2005" s="30"/>
      <c r="I2005" s="375" t="s">
        <v>1384</v>
      </c>
    </row>
    <row r="2006" spans="8:15" ht="17.25" thickBot="1">
      <c r="H2006" s="30"/>
      <c r="N2006" s="141"/>
    </row>
    <row r="2007" spans="8:15">
      <c r="I2007" s="30"/>
      <c r="M2007" s="143"/>
      <c r="O2007" s="144"/>
    </row>
    <row r="2008" spans="8:15">
      <c r="M2008" s="647" t="s">
        <v>1904</v>
      </c>
      <c r="N2008" s="610"/>
      <c r="O2008" s="648"/>
    </row>
    <row r="2009" spans="8:15">
      <c r="H2009" s="12" t="s">
        <v>114</v>
      </c>
      <c r="K2009" s="30" t="s">
        <v>2</v>
      </c>
      <c r="M2009" s="605" t="s">
        <v>1905</v>
      </c>
      <c r="N2009" s="605"/>
      <c r="O2009" s="649"/>
    </row>
    <row r="2010" spans="8:15">
      <c r="M2010" s="601" t="s">
        <v>163</v>
      </c>
      <c r="N2010" s="602"/>
      <c r="O2010" s="603"/>
    </row>
    <row r="2011" spans="8:15" ht="17.25" thickBot="1">
      <c r="M2011" s="140"/>
      <c r="N2011" s="141"/>
      <c r="O2011" s="142"/>
    </row>
    <row r="2013" spans="8:15">
      <c r="I2013" s="30" t="s">
        <v>27</v>
      </c>
      <c r="J2013" s="30" t="s">
        <v>775</v>
      </c>
    </row>
    <row r="2014" spans="8:15" ht="17.25" thickBot="1"/>
    <row r="2015" spans="8:15" ht="17.25" thickBot="1">
      <c r="H2015" s="13" t="s">
        <v>112</v>
      </c>
      <c r="I2015" s="624" t="s">
        <v>4</v>
      </c>
      <c r="J2015" s="625"/>
      <c r="K2015" s="625"/>
      <c r="L2015" s="625"/>
      <c r="M2015" s="625"/>
      <c r="N2015" s="626"/>
      <c r="O2015" s="20" t="s">
        <v>5</v>
      </c>
    </row>
    <row r="2016" spans="8:15" ht="15" customHeight="1">
      <c r="H2016" s="627" t="s">
        <v>2445</v>
      </c>
      <c r="I2016" s="143"/>
      <c r="J2016" s="159"/>
      <c r="K2016" s="159"/>
      <c r="L2016" s="159"/>
      <c r="M2016" s="159"/>
      <c r="N2016" s="144"/>
      <c r="O2016" s="291"/>
    </row>
    <row r="2017" spans="8:15">
      <c r="H2017" s="628"/>
      <c r="I2017" s="64"/>
      <c r="N2017" s="65"/>
      <c r="O2017" s="291"/>
    </row>
    <row r="2018" spans="8:15">
      <c r="H2018" s="628"/>
      <c r="I2018" s="66"/>
      <c r="J2018" s="367"/>
      <c r="K2018" s="367" t="s">
        <v>286</v>
      </c>
      <c r="L2018" s="367"/>
      <c r="M2018" s="367"/>
      <c r="N2018" s="67"/>
      <c r="O2018" s="291"/>
    </row>
    <row r="2019" spans="8:15">
      <c r="H2019" s="628"/>
      <c r="I2019" s="385"/>
      <c r="J2019" s="187"/>
      <c r="K2019" s="147" t="s">
        <v>2052</v>
      </c>
      <c r="L2019" s="187"/>
      <c r="M2019" s="187"/>
      <c r="N2019" s="132"/>
      <c r="O2019" s="148">
        <v>4000000</v>
      </c>
    </row>
    <row r="2020" spans="8:15" ht="15" customHeight="1">
      <c r="H2020" s="628"/>
      <c r="I2020" s="64"/>
      <c r="J2020" s="604"/>
      <c r="K2020" s="604"/>
      <c r="L2020" s="604"/>
      <c r="N2020" s="65"/>
      <c r="O2020" s="291"/>
    </row>
    <row r="2021" spans="8:15" ht="15.75" customHeight="1" thickBot="1">
      <c r="H2021" s="629"/>
      <c r="I2021" s="140"/>
      <c r="J2021" s="141"/>
      <c r="K2021" s="141"/>
      <c r="L2021" s="141"/>
      <c r="M2021" s="141"/>
      <c r="N2021" s="142"/>
      <c r="O2021" s="291"/>
    </row>
    <row r="2022" spans="8:15" ht="17.25" thickBot="1">
      <c r="H2022" s="20" t="s">
        <v>12</v>
      </c>
      <c r="I2022" s="614" t="s">
        <v>13</v>
      </c>
      <c r="J2022" s="615"/>
      <c r="K2022" s="62" t="s">
        <v>14</v>
      </c>
      <c r="L2022" s="63"/>
      <c r="M2022" s="62" t="s">
        <v>15</v>
      </c>
      <c r="N2022" s="62" t="s">
        <v>16</v>
      </c>
      <c r="O2022" s="20" t="s">
        <v>17</v>
      </c>
    </row>
    <row r="2023" spans="8:15" ht="18" thickBot="1">
      <c r="H2023" s="22" t="s">
        <v>18</v>
      </c>
      <c r="I2023" s="606">
        <f>+O2019</f>
        <v>4000000</v>
      </c>
      <c r="J2023" s="607"/>
      <c r="K2023" s="23">
        <f>0</f>
        <v>0</v>
      </c>
      <c r="L2023" s="24"/>
      <c r="M2023" s="25">
        <f>0</f>
        <v>0</v>
      </c>
      <c r="N2023" s="36">
        <f>+I2023</f>
        <v>4000000</v>
      </c>
      <c r="O2023" s="38">
        <f>+O2019</f>
        <v>4000000</v>
      </c>
    </row>
    <row r="2024" spans="8:15" ht="18" thickBot="1">
      <c r="H2024" s="22" t="s">
        <v>113</v>
      </c>
      <c r="I2024" s="606">
        <f>+I2023/650.599</f>
        <v>6148.1803691674895</v>
      </c>
      <c r="J2024" s="607"/>
      <c r="K2024" s="23">
        <f>0</f>
        <v>0</v>
      </c>
      <c r="L2024" s="24"/>
      <c r="M2024" s="25">
        <f>0</f>
        <v>0</v>
      </c>
      <c r="N2024" s="36">
        <f>+I2024</f>
        <v>6148.1803691674895</v>
      </c>
      <c r="O2024" s="38">
        <f>+N2024</f>
        <v>6148.1803691674895</v>
      </c>
    </row>
    <row r="2026" spans="8:15">
      <c r="H2026" s="412" t="s">
        <v>1775</v>
      </c>
      <c r="I2026" s="26"/>
      <c r="J2026" s="26"/>
      <c r="K2026" s="26"/>
      <c r="L2026" s="26"/>
      <c r="M2026" s="26"/>
      <c r="N2026" s="26"/>
    </row>
    <row r="2027" spans="8:15">
      <c r="H2027" s="413" t="s">
        <v>2053</v>
      </c>
      <c r="I2027" s="26"/>
      <c r="J2027" s="26"/>
      <c r="K2027" s="26"/>
      <c r="L2027" s="26"/>
      <c r="M2027" s="26"/>
      <c r="N2027" s="26"/>
    </row>
    <row r="2028" spans="8:15">
      <c r="H2028" s="82" t="s">
        <v>19</v>
      </c>
      <c r="I2028" s="26"/>
      <c r="J2028" s="26"/>
      <c r="K2028" s="26"/>
      <c r="L2028" s="26"/>
      <c r="M2028" s="26"/>
      <c r="N2028" s="26"/>
    </row>
    <row r="2029" spans="8:15">
      <c r="H2029" s="26" t="s">
        <v>965</v>
      </c>
      <c r="I2029" s="26"/>
      <c r="J2029" s="26"/>
      <c r="K2029" s="26"/>
      <c r="L2029" s="26"/>
      <c r="M2029" s="26"/>
      <c r="N2029" s="26"/>
    </row>
    <row r="2030" spans="8:15">
      <c r="H2030" s="26" t="s">
        <v>21</v>
      </c>
      <c r="I2030" s="26"/>
      <c r="J2030" s="26"/>
      <c r="K2030" s="26"/>
      <c r="L2030" s="26"/>
      <c r="M2030" s="26"/>
      <c r="N2030" s="26"/>
    </row>
    <row r="2031" spans="8:15">
      <c r="H2031" s="26" t="s">
        <v>1229</v>
      </c>
      <c r="I2031" s="26"/>
      <c r="J2031" s="26"/>
      <c r="K2031" s="26"/>
      <c r="L2031" s="26"/>
      <c r="M2031" s="26"/>
      <c r="N2031" s="26"/>
    </row>
    <row r="2034" spans="8:15">
      <c r="K2034" s="30" t="s">
        <v>811</v>
      </c>
      <c r="M2034" s="30"/>
      <c r="N2034" s="30"/>
    </row>
    <row r="2035" spans="8:15">
      <c r="K2035" s="30" t="s">
        <v>149</v>
      </c>
      <c r="M2035" s="30"/>
      <c r="N2035" s="30"/>
    </row>
    <row r="2036" spans="8:15">
      <c r="K2036" s="605" t="s">
        <v>150</v>
      </c>
      <c r="L2036" s="605"/>
      <c r="M2036" s="605"/>
      <c r="N2036" s="605"/>
    </row>
    <row r="2037" spans="8:15">
      <c r="K2037" s="30"/>
    </row>
    <row r="2038" spans="8:15">
      <c r="L2038" s="26"/>
      <c r="M2038" s="26"/>
      <c r="N2038" s="26"/>
    </row>
    <row r="2039" spans="8:15" ht="18">
      <c r="H2039" s="26"/>
      <c r="I2039" s="26"/>
      <c r="J2039" s="26"/>
      <c r="K2039" s="259"/>
      <c r="L2039" s="259"/>
      <c r="M2039" s="259"/>
      <c r="N2039" s="259"/>
      <c r="O2039" s="145"/>
    </row>
    <row r="2040" spans="8:15" ht="18">
      <c r="H2040" s="26"/>
      <c r="I2040" s="26"/>
      <c r="J2040" s="26"/>
      <c r="K2040" s="644" t="s">
        <v>2347</v>
      </c>
      <c r="L2040" s="644"/>
      <c r="M2040" s="644"/>
      <c r="N2040" s="644"/>
      <c r="O2040" s="145"/>
    </row>
    <row r="2041" spans="8:15" ht="18">
      <c r="H2041" s="26"/>
      <c r="I2041" s="26"/>
      <c r="J2041" s="26"/>
      <c r="K2041" s="361"/>
      <c r="L2041" s="361"/>
      <c r="M2041" s="361"/>
      <c r="N2041" s="361"/>
      <c r="O2041" s="145"/>
    </row>
    <row r="2042" spans="8:15">
      <c r="I2042" s="617" t="s">
        <v>0</v>
      </c>
      <c r="J2042" s="617"/>
      <c r="K2042" s="617"/>
      <c r="L2042" s="617"/>
      <c r="M2042" s="617"/>
      <c r="N2042" s="617"/>
      <c r="O2042" s="617"/>
    </row>
    <row r="2045" spans="8:15" ht="49.5">
      <c r="J2045" s="642" t="s">
        <v>1</v>
      </c>
      <c r="K2045" s="642"/>
      <c r="L2045" s="642"/>
      <c r="M2045" s="642"/>
    </row>
    <row r="2048" spans="8:15" ht="17.25">
      <c r="H2048" s="30"/>
      <c r="I2048" s="375" t="s">
        <v>1406</v>
      </c>
    </row>
    <row r="2049" spans="8:15" ht="17.25" thickBot="1">
      <c r="H2049" s="30"/>
      <c r="N2049" s="141"/>
    </row>
    <row r="2050" spans="8:15">
      <c r="I2050" s="30"/>
      <c r="M2050" s="143"/>
      <c r="O2050" s="144"/>
    </row>
    <row r="2051" spans="8:15">
      <c r="M2051" s="647" t="s">
        <v>2161</v>
      </c>
      <c r="N2051" s="610"/>
      <c r="O2051" s="648"/>
    </row>
    <row r="2052" spans="8:15">
      <c r="H2052" s="12" t="s">
        <v>114</v>
      </c>
      <c r="K2052" s="30" t="s">
        <v>2</v>
      </c>
      <c r="M2052" s="605" t="s">
        <v>2043</v>
      </c>
      <c r="N2052" s="605"/>
      <c r="O2052" s="649"/>
    </row>
    <row r="2053" spans="8:15">
      <c r="M2053" s="601" t="s">
        <v>163</v>
      </c>
      <c r="N2053" s="602"/>
      <c r="O2053" s="603"/>
    </row>
    <row r="2054" spans="8:15" ht="17.25" thickBot="1">
      <c r="M2054" s="140"/>
      <c r="N2054" s="141"/>
      <c r="O2054" s="142"/>
    </row>
    <row r="2056" spans="8:15">
      <c r="H2056" s="30" t="s">
        <v>27</v>
      </c>
      <c r="I2056" s="30" t="s">
        <v>1908</v>
      </c>
    </row>
    <row r="2057" spans="8:15" ht="17.25" thickBot="1"/>
    <row r="2058" spans="8:15" ht="17.25" thickBot="1">
      <c r="H2058" s="13" t="s">
        <v>112</v>
      </c>
      <c r="I2058" s="624" t="s">
        <v>4</v>
      </c>
      <c r="J2058" s="625"/>
      <c r="K2058" s="625"/>
      <c r="L2058" s="625"/>
      <c r="M2058" s="625"/>
      <c r="N2058" s="626"/>
      <c r="O2058" s="20" t="s">
        <v>5</v>
      </c>
    </row>
    <row r="2059" spans="8:15">
      <c r="H2059" s="627" t="s">
        <v>2272</v>
      </c>
      <c r="I2059" s="143"/>
      <c r="J2059" s="159"/>
      <c r="K2059" s="159"/>
      <c r="L2059" s="159"/>
      <c r="M2059" s="159"/>
      <c r="N2059" s="144"/>
      <c r="O2059" s="291"/>
    </row>
    <row r="2060" spans="8:15">
      <c r="H2060" s="628"/>
      <c r="I2060" s="64"/>
      <c r="N2060" s="65"/>
      <c r="O2060" s="291"/>
    </row>
    <row r="2061" spans="8:15">
      <c r="H2061" s="628"/>
      <c r="I2061" s="66"/>
      <c r="J2061" s="367"/>
      <c r="K2061" s="367" t="s">
        <v>286</v>
      </c>
      <c r="L2061" s="367"/>
      <c r="M2061" s="367"/>
      <c r="N2061" s="67"/>
      <c r="O2061" s="291"/>
    </row>
    <row r="2062" spans="8:15">
      <c r="H2062" s="628"/>
      <c r="I2062" s="385"/>
      <c r="J2062" s="187"/>
      <c r="K2062" s="147" t="s">
        <v>2044</v>
      </c>
      <c r="L2062" s="187"/>
      <c r="M2062" s="187"/>
      <c r="N2062" s="132"/>
      <c r="O2062" s="148">
        <v>2400000</v>
      </c>
    </row>
    <row r="2063" spans="8:15">
      <c r="H2063" s="628"/>
      <c r="I2063" s="64"/>
      <c r="J2063" s="604"/>
      <c r="K2063" s="604"/>
      <c r="L2063" s="604"/>
      <c r="N2063" s="65"/>
      <c r="O2063" s="291"/>
    </row>
    <row r="2064" spans="8:15" ht="17.25" thickBot="1">
      <c r="H2064" s="629"/>
      <c r="I2064" s="140"/>
      <c r="J2064" s="141"/>
      <c r="K2064" s="141"/>
      <c r="L2064" s="141"/>
      <c r="M2064" s="141"/>
      <c r="N2064" s="142"/>
      <c r="O2064" s="291"/>
    </row>
    <row r="2065" spans="8:15" ht="17.25" thickBot="1">
      <c r="H2065" s="20" t="s">
        <v>12</v>
      </c>
      <c r="I2065" s="614" t="s">
        <v>13</v>
      </c>
      <c r="J2065" s="615"/>
      <c r="K2065" s="62" t="s">
        <v>14</v>
      </c>
      <c r="L2065" s="63"/>
      <c r="M2065" s="62" t="s">
        <v>15</v>
      </c>
      <c r="N2065" s="62" t="s">
        <v>16</v>
      </c>
      <c r="O2065" s="20" t="s">
        <v>17</v>
      </c>
    </row>
    <row r="2066" spans="8:15" ht="18" thickBot="1">
      <c r="H2066" s="22" t="s">
        <v>18</v>
      </c>
      <c r="I2066" s="606">
        <f>+O2062</f>
        <v>2400000</v>
      </c>
      <c r="J2066" s="607"/>
      <c r="K2066" s="23">
        <f>0</f>
        <v>0</v>
      </c>
      <c r="L2066" s="24"/>
      <c r="M2066" s="25">
        <f>0</f>
        <v>0</v>
      </c>
      <c r="N2066" s="36">
        <f>+I2066</f>
        <v>2400000</v>
      </c>
      <c r="O2066" s="38">
        <f>+O2062</f>
        <v>2400000</v>
      </c>
    </row>
    <row r="2067" spans="8:15" ht="18" thickBot="1">
      <c r="H2067" s="22" t="s">
        <v>113</v>
      </c>
      <c r="I2067" s="606">
        <f>+I2066/650.599</f>
        <v>3688.9082215004937</v>
      </c>
      <c r="J2067" s="607"/>
      <c r="K2067" s="23">
        <f>0</f>
        <v>0</v>
      </c>
      <c r="L2067" s="24"/>
      <c r="M2067" s="25">
        <f>0</f>
        <v>0</v>
      </c>
      <c r="N2067" s="36">
        <f>+I2067</f>
        <v>3688.9082215004937</v>
      </c>
      <c r="O2067" s="38">
        <f>+N2067</f>
        <v>3688.9082215004937</v>
      </c>
    </row>
    <row r="2069" spans="8:15">
      <c r="H2069" s="412" t="s">
        <v>1382</v>
      </c>
      <c r="I2069" s="26"/>
      <c r="J2069" s="26"/>
      <c r="K2069" s="26"/>
      <c r="L2069" s="26"/>
      <c r="M2069" s="26"/>
      <c r="N2069" s="26"/>
    </row>
    <row r="2070" spans="8:15">
      <c r="H2070" s="408" t="s">
        <v>2162</v>
      </c>
      <c r="I2070" s="26"/>
      <c r="J2070" s="26"/>
      <c r="K2070" s="26"/>
      <c r="L2070" s="26"/>
      <c r="M2070" s="26"/>
      <c r="N2070" s="26"/>
    </row>
    <row r="2071" spans="8:15">
      <c r="H2071" s="82" t="s">
        <v>19</v>
      </c>
      <c r="I2071" s="26"/>
      <c r="J2071" s="26"/>
      <c r="K2071" s="26"/>
      <c r="L2071" s="26"/>
      <c r="M2071" s="26"/>
      <c r="N2071" s="26"/>
    </row>
    <row r="2072" spans="8:15">
      <c r="H2072" s="26" t="s">
        <v>965</v>
      </c>
      <c r="I2072" s="26"/>
      <c r="J2072" s="26"/>
      <c r="K2072" s="26"/>
      <c r="L2072" s="26"/>
      <c r="M2072" s="26"/>
      <c r="N2072" s="26"/>
    </row>
    <row r="2073" spans="8:15">
      <c r="H2073" s="26" t="s">
        <v>21</v>
      </c>
      <c r="I2073" s="26"/>
      <c r="J2073" s="26"/>
      <c r="K2073" s="26"/>
      <c r="L2073" s="26"/>
      <c r="M2073" s="26"/>
      <c r="N2073" s="26"/>
    </row>
    <row r="2074" spans="8:15">
      <c r="H2074" s="26" t="s">
        <v>1229</v>
      </c>
      <c r="I2074" s="26"/>
      <c r="J2074" s="26"/>
      <c r="K2074" s="26"/>
      <c r="L2074" s="26"/>
      <c r="M2074" s="26"/>
      <c r="N2074" s="26"/>
    </row>
    <row r="2077" spans="8:15">
      <c r="K2077" s="30" t="s">
        <v>811</v>
      </c>
      <c r="M2077" s="30"/>
      <c r="N2077" s="30"/>
    </row>
    <row r="2078" spans="8:15">
      <c r="K2078" s="30" t="s">
        <v>149</v>
      </c>
      <c r="M2078" s="30"/>
      <c r="N2078" s="30"/>
    </row>
    <row r="2079" spans="8:15">
      <c r="K2079" s="605" t="s">
        <v>150</v>
      </c>
      <c r="L2079" s="605"/>
      <c r="M2079" s="605"/>
      <c r="N2079" s="605"/>
    </row>
    <row r="2080" spans="8:15">
      <c r="K2080" s="30"/>
    </row>
    <row r="2081" spans="8:15">
      <c r="L2081" s="26"/>
      <c r="M2081" s="26"/>
      <c r="N2081" s="26"/>
    </row>
    <row r="2082" spans="8:15" ht="18">
      <c r="H2082" s="26"/>
      <c r="I2082" s="26"/>
      <c r="J2082" s="26"/>
      <c r="K2082" s="145"/>
      <c r="L2082" s="259" t="s">
        <v>2147</v>
      </c>
      <c r="M2082" s="145"/>
      <c r="N2082" s="145"/>
      <c r="O2082" s="145"/>
    </row>
    <row r="2083" spans="8:15" ht="18">
      <c r="H2083" s="26"/>
      <c r="I2083" s="26"/>
      <c r="J2083" s="26"/>
      <c r="K2083" s="145"/>
      <c r="L2083" s="259"/>
      <c r="M2083" s="145"/>
      <c r="N2083" s="145"/>
      <c r="O2083" s="145"/>
    </row>
    <row r="2084" spans="8:15" ht="18">
      <c r="H2084" s="26"/>
      <c r="I2084" s="26"/>
      <c r="J2084" s="26"/>
      <c r="K2084" s="145"/>
      <c r="L2084" s="145"/>
      <c r="M2084" s="145"/>
      <c r="N2084" s="145"/>
      <c r="O2084" s="145"/>
    </row>
    <row r="2085" spans="8:15">
      <c r="H2085" s="617" t="s">
        <v>2530</v>
      </c>
      <c r="I2085" s="617"/>
      <c r="J2085" s="617"/>
      <c r="K2085" s="617"/>
      <c r="L2085" s="617"/>
      <c r="M2085" s="617"/>
      <c r="N2085" s="617"/>
      <c r="O2085" s="617"/>
    </row>
    <row r="2088" spans="8:15" ht="49.5">
      <c r="J2088" s="642" t="s">
        <v>1</v>
      </c>
      <c r="K2088" s="642"/>
      <c r="L2088" s="642"/>
      <c r="M2088" s="642"/>
    </row>
    <row r="2091" spans="8:15" ht="17.25">
      <c r="H2091" s="30"/>
      <c r="I2091" s="375" t="s">
        <v>1902</v>
      </c>
    </row>
    <row r="2092" spans="8:15" ht="17.25" thickBot="1">
      <c r="H2092" s="30"/>
      <c r="N2092" s="141"/>
    </row>
    <row r="2093" spans="8:15">
      <c r="I2093" s="30"/>
      <c r="M2093" s="143"/>
      <c r="O2093" s="144"/>
    </row>
    <row r="2094" spans="8:15">
      <c r="M2094" s="647" t="s">
        <v>778</v>
      </c>
      <c r="N2094" s="610"/>
      <c r="O2094" s="648"/>
    </row>
    <row r="2095" spans="8:15">
      <c r="H2095" s="12" t="s">
        <v>114</v>
      </c>
      <c r="K2095" s="30" t="s">
        <v>2</v>
      </c>
      <c r="M2095" s="605" t="s">
        <v>1776</v>
      </c>
      <c r="N2095" s="605"/>
      <c r="O2095" s="649"/>
    </row>
    <row r="2096" spans="8:15">
      <c r="M2096" s="601" t="s">
        <v>163</v>
      </c>
      <c r="N2096" s="602"/>
      <c r="O2096" s="603"/>
    </row>
    <row r="2097" spans="8:15" ht="17.25" thickBot="1">
      <c r="M2097" s="140"/>
      <c r="N2097" s="141"/>
      <c r="O2097" s="142"/>
    </row>
    <row r="2099" spans="8:15">
      <c r="H2099" s="30" t="s">
        <v>27</v>
      </c>
      <c r="I2099" s="30" t="s">
        <v>775</v>
      </c>
    </row>
    <row r="2100" spans="8:15" ht="17.25" thickBot="1"/>
    <row r="2101" spans="8:15" ht="17.25" thickBot="1">
      <c r="H2101" s="13" t="s">
        <v>112</v>
      </c>
      <c r="I2101" s="624" t="s">
        <v>4</v>
      </c>
      <c r="J2101" s="625"/>
      <c r="K2101" s="625"/>
      <c r="L2101" s="625"/>
      <c r="M2101" s="625"/>
      <c r="N2101" s="626"/>
      <c r="O2101" s="20" t="s">
        <v>5</v>
      </c>
    </row>
    <row r="2102" spans="8:15">
      <c r="H2102" s="627" t="s">
        <v>2445</v>
      </c>
      <c r="I2102" s="143"/>
      <c r="J2102" s="159"/>
      <c r="K2102" s="159"/>
      <c r="L2102" s="159"/>
      <c r="M2102" s="159"/>
      <c r="N2102" s="144"/>
      <c r="O2102" s="291"/>
    </row>
    <row r="2103" spans="8:15">
      <c r="H2103" s="628"/>
      <c r="I2103" s="64"/>
      <c r="N2103" s="65"/>
      <c r="O2103" s="291"/>
    </row>
    <row r="2104" spans="8:15">
      <c r="H2104" s="628"/>
      <c r="I2104" s="66"/>
      <c r="J2104" s="367"/>
      <c r="K2104" s="367" t="s">
        <v>286</v>
      </c>
      <c r="L2104" s="367"/>
      <c r="M2104" s="367"/>
      <c r="N2104" s="67"/>
      <c r="O2104" s="291"/>
    </row>
    <row r="2105" spans="8:15">
      <c r="H2105" s="628"/>
      <c r="I2105" s="385"/>
      <c r="J2105" s="187"/>
      <c r="K2105" s="147" t="s">
        <v>2257</v>
      </c>
      <c r="L2105" s="187"/>
      <c r="M2105" s="187"/>
      <c r="N2105" s="132"/>
      <c r="O2105" s="148">
        <v>750000</v>
      </c>
    </row>
    <row r="2106" spans="8:15">
      <c r="H2106" s="628"/>
      <c r="I2106" s="64"/>
      <c r="J2106" s="604"/>
      <c r="K2106" s="604"/>
      <c r="L2106" s="604"/>
      <c r="N2106" s="65"/>
      <c r="O2106" s="291"/>
    </row>
    <row r="2107" spans="8:15" ht="17.25" thickBot="1">
      <c r="H2107" s="629"/>
      <c r="I2107" s="140"/>
      <c r="J2107" s="141"/>
      <c r="K2107" s="141"/>
      <c r="L2107" s="141"/>
      <c r="M2107" s="141"/>
      <c r="N2107" s="142"/>
      <c r="O2107" s="291"/>
    </row>
    <row r="2108" spans="8:15" ht="17.25" thickBot="1">
      <c r="H2108" s="20" t="s">
        <v>12</v>
      </c>
      <c r="I2108" s="614" t="s">
        <v>13</v>
      </c>
      <c r="J2108" s="615"/>
      <c r="K2108" s="62" t="s">
        <v>14</v>
      </c>
      <c r="L2108" s="63"/>
      <c r="M2108" s="62" t="s">
        <v>15</v>
      </c>
      <c r="N2108" s="62" t="s">
        <v>16</v>
      </c>
      <c r="O2108" s="20" t="s">
        <v>17</v>
      </c>
    </row>
    <row r="2109" spans="8:15" ht="18" thickBot="1">
      <c r="H2109" s="22" t="s">
        <v>18</v>
      </c>
      <c r="I2109" s="606">
        <f>+O2105</f>
        <v>750000</v>
      </c>
      <c r="J2109" s="607"/>
      <c r="K2109" s="23">
        <f>0</f>
        <v>0</v>
      </c>
      <c r="L2109" s="24"/>
      <c r="M2109" s="25">
        <f>0</f>
        <v>0</v>
      </c>
      <c r="N2109" s="36">
        <f>+I2109</f>
        <v>750000</v>
      </c>
      <c r="O2109" s="38">
        <f>+O2105</f>
        <v>750000</v>
      </c>
    </row>
    <row r="2110" spans="8:15" ht="18" thickBot="1">
      <c r="H2110" s="22" t="s">
        <v>113</v>
      </c>
      <c r="I2110" s="606">
        <f>+I2109/650.599</f>
        <v>1152.7838192189045</v>
      </c>
      <c r="J2110" s="607"/>
      <c r="K2110" s="23">
        <f>0</f>
        <v>0</v>
      </c>
      <c r="L2110" s="24"/>
      <c r="M2110" s="25">
        <f>0</f>
        <v>0</v>
      </c>
      <c r="N2110" s="36">
        <f>+I2110</f>
        <v>1152.7838192189045</v>
      </c>
      <c r="O2110" s="38">
        <f>+N2110</f>
        <v>1152.7838192189045</v>
      </c>
    </row>
    <row r="2112" spans="8:15">
      <c r="H2112" s="412" t="s">
        <v>1268</v>
      </c>
      <c r="I2112" s="26"/>
      <c r="J2112" s="26"/>
      <c r="K2112" s="26"/>
      <c r="L2112" s="26"/>
      <c r="M2112" s="26"/>
      <c r="N2112" s="26"/>
    </row>
    <row r="2113" spans="8:15" ht="17.25">
      <c r="H2113" s="458" t="s">
        <v>2309</v>
      </c>
      <c r="I2113" s="26"/>
      <c r="J2113" s="26"/>
      <c r="K2113" s="26"/>
      <c r="L2113" s="26"/>
      <c r="M2113" s="26"/>
      <c r="N2113" s="26"/>
    </row>
    <row r="2114" spans="8:15">
      <c r="H2114" s="82" t="s">
        <v>19</v>
      </c>
      <c r="I2114" s="26"/>
      <c r="J2114" s="26"/>
      <c r="K2114" s="26"/>
      <c r="L2114" s="26"/>
      <c r="M2114" s="26"/>
      <c r="N2114" s="26"/>
    </row>
    <row r="2115" spans="8:15">
      <c r="H2115" s="26" t="s">
        <v>965</v>
      </c>
      <c r="I2115" s="26"/>
      <c r="J2115" s="26"/>
      <c r="K2115" s="26"/>
      <c r="L2115" s="26"/>
      <c r="M2115" s="26"/>
      <c r="N2115" s="26"/>
    </row>
    <row r="2116" spans="8:15">
      <c r="H2116" s="26" t="s">
        <v>21</v>
      </c>
      <c r="I2116" s="26"/>
      <c r="J2116" s="26"/>
      <c r="K2116" s="26"/>
      <c r="L2116" s="26"/>
      <c r="M2116" s="26"/>
      <c r="N2116" s="26"/>
    </row>
    <row r="2117" spans="8:15">
      <c r="H2117" s="26" t="s">
        <v>1229</v>
      </c>
      <c r="I2117" s="26"/>
      <c r="J2117" s="26"/>
      <c r="K2117" s="26"/>
      <c r="L2117" s="26"/>
      <c r="M2117" s="26"/>
      <c r="N2117" s="26"/>
    </row>
    <row r="2120" spans="8:15">
      <c r="K2120" s="30" t="s">
        <v>811</v>
      </c>
      <c r="M2120" s="30"/>
      <c r="N2120" s="30"/>
    </row>
    <row r="2121" spans="8:15">
      <c r="K2121" s="30" t="s">
        <v>149</v>
      </c>
      <c r="M2121" s="30"/>
      <c r="N2121" s="30"/>
    </row>
    <row r="2122" spans="8:15">
      <c r="K2122" s="605" t="s">
        <v>150</v>
      </c>
      <c r="L2122" s="605"/>
      <c r="M2122" s="605"/>
      <c r="N2122" s="605"/>
    </row>
    <row r="2123" spans="8:15">
      <c r="K2123" s="30"/>
    </row>
    <row r="2124" spans="8:15">
      <c r="L2124" s="26"/>
      <c r="M2124" s="26"/>
      <c r="N2124" s="26"/>
    </row>
    <row r="2125" spans="8:15" ht="17.25">
      <c r="K2125" s="644" t="s">
        <v>2347</v>
      </c>
      <c r="L2125" s="644"/>
      <c r="M2125" s="644"/>
      <c r="N2125" s="644"/>
    </row>
    <row r="2126" spans="8:15" ht="18">
      <c r="H2126" s="26"/>
      <c r="I2126" s="26"/>
      <c r="J2126" s="26"/>
      <c r="K2126" s="644"/>
      <c r="L2126" s="644"/>
      <c r="M2126" s="644"/>
      <c r="N2126" s="644"/>
      <c r="O2126" s="145"/>
    </row>
    <row r="2127" spans="8:15" ht="21.75" customHeight="1">
      <c r="I2127" s="617" t="s">
        <v>2534</v>
      </c>
      <c r="J2127" s="617"/>
      <c r="K2127" s="617"/>
      <c r="L2127" s="617"/>
      <c r="M2127" s="617"/>
      <c r="N2127" s="617"/>
      <c r="O2127" s="617"/>
    </row>
    <row r="2130" spans="8:15" ht="60" customHeight="1">
      <c r="H2130" s="661" t="s">
        <v>1</v>
      </c>
      <c r="I2130" s="661"/>
      <c r="J2130" s="661"/>
      <c r="K2130" s="661"/>
      <c r="L2130" s="661"/>
      <c r="M2130" s="661"/>
      <c r="N2130" s="661"/>
      <c r="O2130" s="661"/>
    </row>
    <row r="2133" spans="8:15" ht="17.25">
      <c r="H2133" s="30"/>
      <c r="I2133" s="503" t="s">
        <v>1394</v>
      </c>
    </row>
    <row r="2134" spans="8:15" ht="17.25" thickBot="1">
      <c r="H2134" s="30"/>
      <c r="N2134" s="141"/>
    </row>
    <row r="2135" spans="8:15">
      <c r="I2135" s="30"/>
      <c r="M2135" s="143"/>
      <c r="O2135" s="144"/>
    </row>
    <row r="2136" spans="8:15">
      <c r="M2136" s="647" t="s">
        <v>2167</v>
      </c>
      <c r="N2136" s="610"/>
      <c r="O2136" s="648"/>
    </row>
    <row r="2137" spans="8:15">
      <c r="H2137" s="12" t="s">
        <v>114</v>
      </c>
      <c r="K2137" s="30" t="s">
        <v>2</v>
      </c>
      <c r="M2137" s="605" t="s">
        <v>1779</v>
      </c>
      <c r="N2137" s="605"/>
      <c r="O2137" s="649"/>
    </row>
    <row r="2138" spans="8:15">
      <c r="M2138" s="601" t="s">
        <v>163</v>
      </c>
      <c r="N2138" s="602"/>
      <c r="O2138" s="603"/>
    </row>
    <row r="2139" spans="8:15" ht="17.25" thickBot="1">
      <c r="M2139" s="140"/>
      <c r="N2139" s="141"/>
      <c r="O2139" s="142"/>
    </row>
    <row r="2141" spans="8:15">
      <c r="H2141" s="30" t="s">
        <v>27</v>
      </c>
      <c r="I2141" s="30" t="s">
        <v>775</v>
      </c>
    </row>
    <row r="2142" spans="8:15" ht="17.25" thickBot="1"/>
    <row r="2143" spans="8:15" ht="17.25" thickBot="1">
      <c r="H2143" s="13" t="s">
        <v>112</v>
      </c>
      <c r="I2143" s="624" t="s">
        <v>4</v>
      </c>
      <c r="J2143" s="625"/>
      <c r="K2143" s="625"/>
      <c r="L2143" s="625"/>
      <c r="M2143" s="625"/>
      <c r="N2143" s="626"/>
      <c r="O2143" s="20" t="s">
        <v>5</v>
      </c>
    </row>
    <row r="2144" spans="8:15">
      <c r="H2144" s="633" t="s">
        <v>2445</v>
      </c>
      <c r="I2144" s="143"/>
      <c r="J2144" s="159"/>
      <c r="K2144" s="159"/>
      <c r="L2144" s="159"/>
      <c r="M2144" s="159"/>
      <c r="N2144" s="144"/>
      <c r="O2144" s="291"/>
    </row>
    <row r="2145" spans="8:15">
      <c r="H2145" s="634"/>
      <c r="I2145" s="64"/>
      <c r="N2145" s="65"/>
      <c r="O2145" s="291"/>
    </row>
    <row r="2146" spans="8:15">
      <c r="H2146" s="634"/>
      <c r="I2146" s="66"/>
      <c r="J2146" s="367"/>
      <c r="K2146" s="367" t="s">
        <v>286</v>
      </c>
      <c r="L2146" s="367"/>
      <c r="M2146" s="367"/>
      <c r="N2146" s="67"/>
      <c r="O2146" s="291"/>
    </row>
    <row r="2147" spans="8:15">
      <c r="H2147" s="634"/>
      <c r="I2147" s="385"/>
      <c r="J2147" s="187"/>
      <c r="K2147" s="147" t="s">
        <v>2137</v>
      </c>
      <c r="L2147" s="187"/>
      <c r="M2147" s="187"/>
      <c r="N2147" s="132"/>
      <c r="O2147" s="148">
        <v>3000000</v>
      </c>
    </row>
    <row r="2148" spans="8:15">
      <c r="H2148" s="634"/>
      <c r="I2148" s="64"/>
      <c r="J2148" s="30"/>
      <c r="K2148" s="30"/>
      <c r="L2148" s="30"/>
      <c r="N2148" s="65"/>
      <c r="O2148" s="291"/>
    </row>
    <row r="2149" spans="8:15" ht="17.25" thickBot="1">
      <c r="H2149" s="635"/>
      <c r="I2149" s="140"/>
      <c r="J2149" s="141"/>
      <c r="K2149" s="141"/>
      <c r="L2149" s="141"/>
      <c r="M2149" s="141"/>
      <c r="N2149" s="142"/>
      <c r="O2149" s="291"/>
    </row>
    <row r="2150" spans="8:15" ht="17.25" thickBot="1">
      <c r="H2150" s="20" t="s">
        <v>12</v>
      </c>
      <c r="I2150" s="614" t="s">
        <v>13</v>
      </c>
      <c r="J2150" s="615"/>
      <c r="K2150" s="62" t="s">
        <v>14</v>
      </c>
      <c r="L2150" s="63"/>
      <c r="M2150" s="62" t="s">
        <v>15</v>
      </c>
      <c r="N2150" s="62" t="s">
        <v>16</v>
      </c>
      <c r="O2150" s="20" t="s">
        <v>17</v>
      </c>
    </row>
    <row r="2151" spans="8:15" ht="18" thickBot="1">
      <c r="H2151" s="22" t="s">
        <v>18</v>
      </c>
      <c r="I2151" s="606">
        <f>+O2147</f>
        <v>3000000</v>
      </c>
      <c r="J2151" s="607"/>
      <c r="K2151" s="23">
        <f>0</f>
        <v>0</v>
      </c>
      <c r="L2151" s="24"/>
      <c r="M2151" s="25">
        <f>0</f>
        <v>0</v>
      </c>
      <c r="N2151" s="36">
        <f>+I2151</f>
        <v>3000000</v>
      </c>
      <c r="O2151" s="38">
        <f>+O2147</f>
        <v>3000000</v>
      </c>
    </row>
    <row r="2152" spans="8:15" ht="18" thickBot="1">
      <c r="H2152" s="22" t="s">
        <v>113</v>
      </c>
      <c r="I2152" s="606">
        <f>+I2151/650.599</f>
        <v>4611.1352768756178</v>
      </c>
      <c r="J2152" s="607"/>
      <c r="K2152" s="23">
        <f>0</f>
        <v>0</v>
      </c>
      <c r="L2152" s="24"/>
      <c r="M2152" s="25">
        <f>0</f>
        <v>0</v>
      </c>
      <c r="N2152" s="36">
        <f>+I2152</f>
        <v>4611.1352768756178</v>
      </c>
      <c r="O2152" s="38">
        <f>+N2152</f>
        <v>4611.1352768756178</v>
      </c>
    </row>
    <row r="2153" spans="8:15" ht="7.5" customHeight="1"/>
    <row r="2154" spans="8:15">
      <c r="H2154" s="412" t="s">
        <v>1268</v>
      </c>
      <c r="I2154" s="26"/>
      <c r="J2154" s="26"/>
      <c r="K2154" s="26"/>
      <c r="L2154" s="26"/>
      <c r="M2154" s="26"/>
      <c r="N2154" s="26"/>
    </row>
    <row r="2155" spans="8:15">
      <c r="H2155" s="413" t="s">
        <v>2321</v>
      </c>
      <c r="I2155" s="26"/>
      <c r="J2155" s="26"/>
      <c r="K2155" s="26"/>
      <c r="L2155" s="26"/>
      <c r="M2155" s="26"/>
      <c r="N2155" s="26"/>
    </row>
    <row r="2156" spans="8:15">
      <c r="H2156" s="82" t="s">
        <v>19</v>
      </c>
      <c r="I2156" s="26"/>
      <c r="J2156" s="26"/>
      <c r="K2156" s="26"/>
      <c r="L2156" s="26"/>
      <c r="M2156" s="26"/>
      <c r="N2156" s="26"/>
    </row>
    <row r="2157" spans="8:15">
      <c r="H2157" s="26" t="s">
        <v>965</v>
      </c>
      <c r="I2157" s="26"/>
      <c r="J2157" s="26"/>
      <c r="K2157" s="26"/>
      <c r="L2157" s="26"/>
      <c r="M2157" s="26"/>
      <c r="N2157" s="26"/>
    </row>
    <row r="2158" spans="8:15">
      <c r="H2158" s="26" t="s">
        <v>21</v>
      </c>
      <c r="I2158" s="26"/>
      <c r="J2158" s="26"/>
      <c r="K2158" s="26"/>
      <c r="L2158" s="26"/>
      <c r="M2158" s="26"/>
      <c r="N2158" s="26"/>
    </row>
    <row r="2159" spans="8:15">
      <c r="H2159" s="26" t="s">
        <v>1229</v>
      </c>
      <c r="I2159" s="26"/>
      <c r="J2159" s="26"/>
      <c r="K2159" s="26"/>
      <c r="L2159" s="26"/>
      <c r="M2159" s="26"/>
      <c r="N2159" s="26"/>
    </row>
    <row r="2162" spans="8:15">
      <c r="K2162" s="30" t="s">
        <v>811</v>
      </c>
      <c r="M2162" s="30"/>
      <c r="N2162" s="30"/>
    </row>
    <row r="2163" spans="8:15">
      <c r="K2163" s="30" t="s">
        <v>149</v>
      </c>
      <c r="M2163" s="30"/>
      <c r="N2163" s="30"/>
    </row>
    <row r="2164" spans="8:15">
      <c r="K2164" s="605" t="s">
        <v>150</v>
      </c>
      <c r="L2164" s="605"/>
      <c r="M2164" s="605"/>
      <c r="N2164" s="605"/>
    </row>
    <row r="2165" spans="8:15">
      <c r="K2165" s="30"/>
    </row>
    <row r="2166" spans="8:15">
      <c r="L2166" s="26"/>
      <c r="M2166" s="26"/>
      <c r="N2166" s="26"/>
    </row>
    <row r="2167" spans="8:15" ht="18">
      <c r="H2167" s="26"/>
      <c r="I2167" s="26"/>
      <c r="J2167" s="26"/>
      <c r="K2167" s="644" t="s">
        <v>2347</v>
      </c>
      <c r="L2167" s="644"/>
      <c r="M2167" s="644"/>
      <c r="N2167" s="644"/>
      <c r="O2167" s="145"/>
    </row>
    <row r="2168" spans="8:15" ht="18">
      <c r="H2168" s="26"/>
      <c r="I2168" s="26"/>
      <c r="J2168" s="26"/>
      <c r="K2168" s="361"/>
      <c r="L2168" s="361"/>
      <c r="M2168" s="361"/>
      <c r="N2168" s="361"/>
      <c r="O2168" s="145"/>
    </row>
    <row r="2169" spans="8:15" ht="15.75" customHeight="1">
      <c r="I2169" s="617" t="s">
        <v>2526</v>
      </c>
      <c r="J2169" s="617"/>
      <c r="K2169" s="617"/>
      <c r="L2169" s="617"/>
      <c r="M2169" s="617"/>
      <c r="N2169" s="617"/>
      <c r="O2169" s="617"/>
    </row>
    <row r="2172" spans="8:15" ht="49.5">
      <c r="J2172" s="660" t="s">
        <v>907</v>
      </c>
      <c r="K2172" s="660"/>
      <c r="L2172" s="660"/>
      <c r="M2172" s="660"/>
    </row>
    <row r="2175" spans="8:15" ht="17.25">
      <c r="H2175" s="30"/>
      <c r="I2175" s="375" t="s">
        <v>2604</v>
      </c>
    </row>
    <row r="2176" spans="8:15" ht="17.25" thickBot="1">
      <c r="H2176" s="30"/>
      <c r="N2176" s="141"/>
    </row>
    <row r="2177" spans="8:15">
      <c r="I2177" s="30"/>
      <c r="M2177" s="143"/>
      <c r="O2177" s="144"/>
    </row>
    <row r="2178" spans="8:15">
      <c r="M2178" s="647" t="s">
        <v>780</v>
      </c>
      <c r="N2178" s="610"/>
      <c r="O2178" s="648"/>
    </row>
    <row r="2179" spans="8:15">
      <c r="H2179" s="12" t="s">
        <v>114</v>
      </c>
      <c r="K2179" s="30" t="s">
        <v>2</v>
      </c>
      <c r="M2179" s="605" t="s">
        <v>1680</v>
      </c>
      <c r="N2179" s="605"/>
      <c r="O2179" s="649"/>
    </row>
    <row r="2180" spans="8:15" ht="17.25">
      <c r="I2180" s="375"/>
      <c r="M2180" s="601" t="s">
        <v>29</v>
      </c>
      <c r="N2180" s="602"/>
      <c r="O2180" s="603"/>
    </row>
    <row r="2181" spans="8:15" ht="17.25" thickBot="1">
      <c r="H2181" s="12" t="s">
        <v>2603</v>
      </c>
      <c r="M2181" s="140"/>
      <c r="N2181" s="141"/>
      <c r="O2181" s="142"/>
    </row>
    <row r="2183" spans="8:15">
      <c r="I2183" s="30" t="s">
        <v>27</v>
      </c>
      <c r="J2183" s="30" t="s">
        <v>115</v>
      </c>
    </row>
    <row r="2184" spans="8:15" ht="17.25" thickBot="1"/>
    <row r="2185" spans="8:15" ht="17.25" thickBot="1">
      <c r="H2185" s="13" t="s">
        <v>112</v>
      </c>
      <c r="I2185" s="624" t="s">
        <v>4</v>
      </c>
      <c r="J2185" s="625"/>
      <c r="K2185" s="625"/>
      <c r="L2185" s="625"/>
      <c r="M2185" s="625"/>
      <c r="N2185" s="626"/>
      <c r="O2185" s="20" t="s">
        <v>5</v>
      </c>
    </row>
    <row r="2186" spans="8:15">
      <c r="H2186" s="633" t="s">
        <v>2605</v>
      </c>
      <c r="I2186" s="143"/>
      <c r="J2186" s="159"/>
      <c r="K2186" s="159"/>
      <c r="L2186" s="159"/>
      <c r="M2186" s="159"/>
      <c r="N2186" s="144"/>
      <c r="O2186" s="291"/>
    </row>
    <row r="2187" spans="8:15">
      <c r="H2187" s="634"/>
      <c r="I2187" s="64"/>
      <c r="N2187" s="65"/>
      <c r="O2187" s="291"/>
    </row>
    <row r="2188" spans="8:15">
      <c r="H2188" s="634"/>
      <c r="I2188" s="66"/>
      <c r="J2188" s="367"/>
      <c r="K2188" s="367" t="s">
        <v>286</v>
      </c>
      <c r="L2188" s="367"/>
      <c r="M2188" s="367"/>
      <c r="N2188" s="67"/>
      <c r="O2188" s="291"/>
    </row>
    <row r="2189" spans="8:15">
      <c r="H2189" s="634"/>
      <c r="I2189" s="385"/>
      <c r="J2189" s="187"/>
      <c r="K2189" s="147" t="s">
        <v>2546</v>
      </c>
      <c r="L2189" s="187"/>
      <c r="M2189" s="187"/>
      <c r="N2189" s="132"/>
      <c r="O2189" s="148">
        <v>-2818542</v>
      </c>
    </row>
    <row r="2190" spans="8:15">
      <c r="H2190" s="634"/>
      <c r="I2190" s="64"/>
      <c r="J2190" s="604"/>
      <c r="K2190" s="604"/>
      <c r="L2190" s="604"/>
      <c r="N2190" s="65"/>
      <c r="O2190" s="291"/>
    </row>
    <row r="2191" spans="8:15" ht="17.25" thickBot="1">
      <c r="H2191" s="635"/>
      <c r="I2191" s="140"/>
      <c r="J2191" s="141"/>
      <c r="K2191" s="141"/>
      <c r="L2191" s="141"/>
      <c r="M2191" s="141"/>
      <c r="N2191" s="142"/>
      <c r="O2191" s="291"/>
    </row>
    <row r="2192" spans="8:15" ht="17.25" thickBot="1">
      <c r="H2192" s="20" t="s">
        <v>12</v>
      </c>
      <c r="I2192" s="614" t="s">
        <v>13</v>
      </c>
      <c r="J2192" s="615"/>
      <c r="K2192" s="62" t="s">
        <v>14</v>
      </c>
      <c r="L2192" s="63"/>
      <c r="M2192" s="62" t="s">
        <v>15</v>
      </c>
      <c r="N2192" s="62" t="s">
        <v>16</v>
      </c>
      <c r="O2192" s="20" t="s">
        <v>17</v>
      </c>
    </row>
    <row r="2193" spans="8:15" ht="18" thickBot="1">
      <c r="H2193" s="22" t="s">
        <v>18</v>
      </c>
      <c r="I2193" s="606">
        <f>+O2189</f>
        <v>-2818542</v>
      </c>
      <c r="J2193" s="607"/>
      <c r="K2193" s="23">
        <f>0</f>
        <v>0</v>
      </c>
      <c r="L2193" s="24"/>
      <c r="M2193" s="25">
        <f>0</f>
        <v>0</v>
      </c>
      <c r="N2193" s="36">
        <f>+I2193</f>
        <v>-2818542</v>
      </c>
      <c r="O2193" s="38">
        <f>+O2189</f>
        <v>-2818542</v>
      </c>
    </row>
    <row r="2194" spans="8:15" ht="18" thickBot="1">
      <c r="H2194" s="22" t="s">
        <v>113</v>
      </c>
      <c r="I2194" s="606">
        <f>+I2193/650.599</f>
        <v>-4332.226148518519</v>
      </c>
      <c r="J2194" s="607"/>
      <c r="K2194" s="23">
        <f>0</f>
        <v>0</v>
      </c>
      <c r="L2194" s="24"/>
      <c r="M2194" s="25">
        <f>0</f>
        <v>0</v>
      </c>
      <c r="N2194" s="36">
        <f>+I2194</f>
        <v>-4332.226148518519</v>
      </c>
      <c r="O2194" s="38">
        <f>+N2194</f>
        <v>-4332.226148518519</v>
      </c>
    </row>
    <row r="2196" spans="8:15">
      <c r="H2196" s="412" t="s">
        <v>2601</v>
      </c>
      <c r="I2196" s="26"/>
      <c r="J2196" s="26"/>
      <c r="K2196" s="26"/>
      <c r="L2196" s="26"/>
      <c r="M2196" s="26"/>
      <c r="N2196" s="26"/>
    </row>
    <row r="2197" spans="8:15">
      <c r="H2197" s="413" t="s">
        <v>2606</v>
      </c>
      <c r="I2197" s="26"/>
      <c r="J2197" s="26"/>
      <c r="K2197" s="26"/>
      <c r="L2197" s="26"/>
      <c r="M2197" s="26"/>
      <c r="N2197" s="26"/>
    </row>
    <row r="2198" spans="8:15">
      <c r="H2198" s="82" t="s">
        <v>19</v>
      </c>
      <c r="I2198" s="26"/>
      <c r="J2198" s="26"/>
      <c r="K2198" s="26"/>
      <c r="L2198" s="26"/>
      <c r="M2198" s="26"/>
      <c r="N2198" s="26"/>
    </row>
    <row r="2199" spans="8:15">
      <c r="H2199" s="26" t="s">
        <v>965</v>
      </c>
      <c r="I2199" s="26"/>
      <c r="J2199" s="26"/>
      <c r="K2199" s="26"/>
      <c r="L2199" s="26"/>
      <c r="M2199" s="26"/>
      <c r="N2199" s="26"/>
    </row>
    <row r="2200" spans="8:15">
      <c r="H2200" s="26" t="s">
        <v>21</v>
      </c>
      <c r="I2200" s="26"/>
      <c r="J2200" s="26"/>
      <c r="K2200" s="26"/>
      <c r="L2200" s="26"/>
      <c r="M2200" s="26"/>
      <c r="N2200" s="26"/>
    </row>
    <row r="2201" spans="8:15">
      <c r="H2201" s="26" t="s">
        <v>1229</v>
      </c>
      <c r="I2201" s="26"/>
      <c r="J2201" s="26"/>
      <c r="K2201" s="26"/>
      <c r="L2201" s="26"/>
      <c r="M2201" s="26"/>
      <c r="N2201" s="26"/>
    </row>
    <row r="2204" spans="8:15">
      <c r="K2204" s="30" t="s">
        <v>811</v>
      </c>
      <c r="M2204" s="30"/>
      <c r="N2204" s="30"/>
    </row>
    <row r="2205" spans="8:15">
      <c r="K2205" s="30" t="s">
        <v>149</v>
      </c>
      <c r="M2205" s="30"/>
      <c r="N2205" s="30"/>
    </row>
    <row r="2206" spans="8:15">
      <c r="K2206" s="605" t="s">
        <v>150</v>
      </c>
      <c r="L2206" s="605"/>
      <c r="M2206" s="605"/>
      <c r="N2206" s="605"/>
    </row>
    <row r="2207" spans="8:15">
      <c r="K2207" s="30"/>
    </row>
    <row r="2208" spans="8:15">
      <c r="L2208" s="26"/>
      <c r="M2208" s="26"/>
      <c r="N2208" s="26"/>
    </row>
    <row r="2209" spans="8:15" ht="14.25" customHeight="1">
      <c r="K2209" s="644" t="s">
        <v>2347</v>
      </c>
      <c r="L2209" s="644"/>
      <c r="M2209" s="644"/>
      <c r="N2209" s="644"/>
    </row>
    <row r="2210" spans="8:15" ht="14.25" customHeight="1">
      <c r="K2210" s="361"/>
      <c r="L2210" s="361"/>
      <c r="M2210" s="361"/>
      <c r="N2210" s="361"/>
    </row>
    <row r="2211" spans="8:15" ht="8.25" customHeight="1">
      <c r="K2211" s="361"/>
      <c r="L2211" s="361"/>
      <c r="M2211" s="361"/>
      <c r="N2211" s="361"/>
    </row>
    <row r="2212" spans="8:15" ht="18">
      <c r="H2212" s="26"/>
      <c r="I2212" s="26"/>
      <c r="J2212" s="26"/>
      <c r="K2212" s="644"/>
      <c r="L2212" s="644"/>
      <c r="M2212" s="644"/>
      <c r="N2212" s="644"/>
      <c r="O2212" s="145"/>
    </row>
    <row r="2213" spans="8:15" ht="20.25" customHeight="1">
      <c r="H2213" s="617" t="s">
        <v>2530</v>
      </c>
      <c r="I2213" s="617"/>
      <c r="J2213" s="617"/>
      <c r="K2213" s="617"/>
      <c r="L2213" s="617"/>
      <c r="M2213" s="617"/>
      <c r="N2213" s="617"/>
      <c r="O2213" s="617"/>
    </row>
    <row r="2214" spans="8:15" ht="17.25" customHeight="1"/>
    <row r="2216" spans="8:15" ht="49.5" customHeight="1">
      <c r="H2216" s="642" t="s">
        <v>1</v>
      </c>
      <c r="I2216" s="642"/>
      <c r="J2216" s="642"/>
      <c r="K2216" s="642"/>
      <c r="L2216" s="642"/>
      <c r="M2216" s="642"/>
      <c r="N2216" s="642"/>
      <c r="O2216" s="642"/>
    </row>
    <row r="2219" spans="8:15" ht="17.25">
      <c r="H2219" s="30"/>
      <c r="I2219" s="375" t="s">
        <v>1668</v>
      </c>
    </row>
    <row r="2220" spans="8:15" ht="17.25" thickBot="1">
      <c r="H2220" s="30"/>
      <c r="N2220" s="141"/>
    </row>
    <row r="2221" spans="8:15">
      <c r="I2221" s="30"/>
      <c r="M2221" s="143"/>
      <c r="O2221" s="144"/>
    </row>
    <row r="2222" spans="8:15">
      <c r="M2222" s="647" t="s">
        <v>1820</v>
      </c>
      <c r="N2222" s="610"/>
      <c r="O2222" s="648"/>
    </row>
    <row r="2223" spans="8:15">
      <c r="H2223" s="12" t="s">
        <v>114</v>
      </c>
      <c r="K2223" s="30" t="s">
        <v>2</v>
      </c>
      <c r="M2223" s="605" t="s">
        <v>2045</v>
      </c>
      <c r="N2223" s="605"/>
      <c r="O2223" s="649"/>
    </row>
    <row r="2224" spans="8:15">
      <c r="M2224" s="601" t="s">
        <v>904</v>
      </c>
      <c r="N2224" s="602"/>
      <c r="O2224" s="603"/>
    </row>
    <row r="2225" spans="8:15" ht="17.25" thickBot="1">
      <c r="M2225" s="140"/>
      <c r="N2225" s="141"/>
      <c r="O2225" s="142"/>
    </row>
    <row r="2227" spans="8:15">
      <c r="H2227" s="30" t="s">
        <v>27</v>
      </c>
      <c r="I2227" s="30" t="s">
        <v>163</v>
      </c>
    </row>
    <row r="2228" spans="8:15" ht="17.25" thickBot="1"/>
    <row r="2229" spans="8:15" ht="17.25" thickBot="1">
      <c r="H2229" s="13" t="s">
        <v>112</v>
      </c>
      <c r="I2229" s="624" t="s">
        <v>4</v>
      </c>
      <c r="J2229" s="625"/>
      <c r="K2229" s="625"/>
      <c r="L2229" s="625"/>
      <c r="M2229" s="625"/>
      <c r="N2229" s="626"/>
      <c r="O2229" s="20" t="s">
        <v>5</v>
      </c>
    </row>
    <row r="2230" spans="8:15">
      <c r="H2230" s="633" t="s">
        <v>2445</v>
      </c>
      <c r="I2230" s="143"/>
      <c r="J2230" s="159"/>
      <c r="K2230" s="159"/>
      <c r="L2230" s="159"/>
      <c r="M2230" s="159"/>
      <c r="N2230" s="144"/>
      <c r="O2230" s="291"/>
    </row>
    <row r="2231" spans="8:15">
      <c r="H2231" s="634"/>
      <c r="I2231" s="64"/>
      <c r="N2231" s="65"/>
      <c r="O2231" s="291"/>
    </row>
    <row r="2232" spans="8:15">
      <c r="H2232" s="634"/>
      <c r="I2232" s="630" t="s">
        <v>286</v>
      </c>
      <c r="J2232" s="631"/>
      <c r="K2232" s="631"/>
      <c r="L2232" s="631"/>
      <c r="M2232" s="631"/>
      <c r="N2232" s="632"/>
      <c r="O2232" s="291"/>
    </row>
    <row r="2233" spans="8:15">
      <c r="H2233" s="634"/>
      <c r="I2233" s="636" t="s">
        <v>2531</v>
      </c>
      <c r="J2233" s="637"/>
      <c r="K2233" s="637"/>
      <c r="L2233" s="637"/>
      <c r="M2233" s="637"/>
      <c r="N2233" s="638"/>
      <c r="O2233" s="148">
        <v>2200000</v>
      </c>
    </row>
    <row r="2234" spans="8:15" ht="17.25" thickBot="1">
      <c r="H2234" s="635"/>
      <c r="I2234" s="140"/>
      <c r="J2234" s="141"/>
      <c r="K2234" s="141"/>
      <c r="L2234" s="141"/>
      <c r="M2234" s="141"/>
      <c r="N2234" s="142"/>
      <c r="O2234" s="291"/>
    </row>
    <row r="2235" spans="8:15" ht="17.25" thickBot="1">
      <c r="H2235" s="20" t="s">
        <v>12</v>
      </c>
      <c r="I2235" s="614" t="s">
        <v>13</v>
      </c>
      <c r="J2235" s="615"/>
      <c r="K2235" s="62" t="s">
        <v>14</v>
      </c>
      <c r="L2235" s="63"/>
      <c r="M2235" s="62" t="s">
        <v>15</v>
      </c>
      <c r="N2235" s="62" t="s">
        <v>16</v>
      </c>
      <c r="O2235" s="20" t="s">
        <v>17</v>
      </c>
    </row>
    <row r="2236" spans="8:15" ht="18" thickBot="1">
      <c r="H2236" s="22" t="s">
        <v>18</v>
      </c>
      <c r="I2236" s="606">
        <f>+O2233</f>
        <v>2200000</v>
      </c>
      <c r="J2236" s="607"/>
      <c r="K2236" s="23">
        <f>0</f>
        <v>0</v>
      </c>
      <c r="L2236" s="24"/>
      <c r="M2236" s="25">
        <f>0</f>
        <v>0</v>
      </c>
      <c r="N2236" s="36">
        <f>+I2236</f>
        <v>2200000</v>
      </c>
      <c r="O2236" s="38">
        <f>+O2233</f>
        <v>2200000</v>
      </c>
    </row>
    <row r="2237" spans="8:15" ht="18" thickBot="1">
      <c r="H2237" s="22" t="s">
        <v>113</v>
      </c>
      <c r="I2237" s="606">
        <f>+I2236/650.599</f>
        <v>3381.4992030421195</v>
      </c>
      <c r="J2237" s="607"/>
      <c r="K2237" s="23">
        <f>0</f>
        <v>0</v>
      </c>
      <c r="L2237" s="24"/>
      <c r="M2237" s="25">
        <f>0</f>
        <v>0</v>
      </c>
      <c r="N2237" s="36">
        <f>+I2237</f>
        <v>3381.4992030421195</v>
      </c>
      <c r="O2237" s="38">
        <f>+N2237</f>
        <v>3381.4992030421195</v>
      </c>
    </row>
    <row r="2239" spans="8:15">
      <c r="H2239" s="412" t="s">
        <v>1268</v>
      </c>
      <c r="I2239" s="26"/>
      <c r="J2239" s="26"/>
      <c r="K2239" s="26"/>
      <c r="L2239" s="26"/>
      <c r="M2239" s="26"/>
      <c r="N2239" s="26"/>
    </row>
    <row r="2240" spans="8:15">
      <c r="H2240" s="413" t="s">
        <v>2048</v>
      </c>
      <c r="I2240" s="26"/>
      <c r="J2240" s="26"/>
      <c r="K2240" s="26"/>
      <c r="L2240" s="26"/>
      <c r="M2240" s="26"/>
      <c r="N2240" s="26"/>
    </row>
    <row r="2241" spans="8:15">
      <c r="H2241" s="82" t="s">
        <v>19</v>
      </c>
      <c r="I2241" s="26"/>
      <c r="J2241" s="26"/>
      <c r="K2241" s="26"/>
      <c r="L2241" s="26"/>
      <c r="M2241" s="26"/>
      <c r="N2241" s="26"/>
    </row>
    <row r="2242" spans="8:15">
      <c r="H2242" s="26" t="s">
        <v>965</v>
      </c>
      <c r="I2242" s="26"/>
      <c r="J2242" s="26"/>
      <c r="K2242" s="26"/>
      <c r="L2242" s="26"/>
      <c r="M2242" s="26"/>
      <c r="N2242" s="26"/>
    </row>
    <row r="2243" spans="8:15">
      <c r="H2243" s="26" t="s">
        <v>21</v>
      </c>
      <c r="I2243" s="26"/>
      <c r="J2243" s="26"/>
      <c r="K2243" s="26"/>
      <c r="L2243" s="26"/>
      <c r="M2243" s="26"/>
      <c r="N2243" s="26"/>
    </row>
    <row r="2244" spans="8:15">
      <c r="H2244" s="26" t="s">
        <v>1229</v>
      </c>
      <c r="I2244" s="26"/>
      <c r="J2244" s="26"/>
      <c r="K2244" s="26"/>
      <c r="L2244" s="26"/>
      <c r="M2244" s="26"/>
      <c r="N2244" s="26"/>
    </row>
    <row r="2247" spans="8:15">
      <c r="K2247" s="604" t="s">
        <v>811</v>
      </c>
      <c r="L2247" s="604"/>
      <c r="M2247" s="604"/>
      <c r="N2247" s="604"/>
    </row>
    <row r="2248" spans="8:15">
      <c r="K2248" s="604" t="s">
        <v>149</v>
      </c>
      <c r="L2248" s="604"/>
      <c r="M2248" s="604"/>
      <c r="N2248" s="604"/>
    </row>
    <row r="2249" spans="8:15">
      <c r="K2249" s="605" t="s">
        <v>150</v>
      </c>
      <c r="L2249" s="605"/>
      <c r="M2249" s="605"/>
      <c r="N2249" s="605"/>
    </row>
    <row r="2250" spans="8:15">
      <c r="K2250" s="30"/>
    </row>
    <row r="2251" spans="8:15">
      <c r="L2251" s="26"/>
      <c r="M2251" s="26"/>
      <c r="N2251" s="26"/>
    </row>
    <row r="2252" spans="8:15" ht="17.25">
      <c r="K2252" s="644" t="s">
        <v>2347</v>
      </c>
      <c r="L2252" s="644"/>
      <c r="M2252" s="644"/>
      <c r="N2252" s="644"/>
    </row>
    <row r="2253" spans="8:15" ht="17.25">
      <c r="K2253" s="361"/>
      <c r="L2253" s="361"/>
      <c r="M2253" s="361"/>
      <c r="N2253" s="361"/>
    </row>
    <row r="2254" spans="8:15" ht="18">
      <c r="H2254" s="26"/>
      <c r="I2254" s="26"/>
      <c r="J2254" s="26"/>
      <c r="K2254" s="644"/>
      <c r="L2254" s="644"/>
      <c r="M2254" s="644"/>
      <c r="N2254" s="644"/>
      <c r="O2254" s="145"/>
    </row>
    <row r="2255" spans="8:15" ht="17.25" customHeight="1">
      <c r="H2255" s="617" t="s">
        <v>2532</v>
      </c>
      <c r="I2255" s="617"/>
      <c r="J2255" s="617"/>
      <c r="K2255" s="617"/>
      <c r="L2255" s="617"/>
      <c r="M2255" s="617"/>
      <c r="N2255" s="617"/>
      <c r="O2255" s="617"/>
    </row>
    <row r="2258" spans="8:15" ht="49.5" customHeight="1">
      <c r="H2258" s="642" t="s">
        <v>1</v>
      </c>
      <c r="I2258" s="642"/>
      <c r="J2258" s="642"/>
      <c r="K2258" s="642"/>
      <c r="L2258" s="642"/>
      <c r="M2258" s="642"/>
      <c r="N2258" s="642"/>
      <c r="O2258" s="642"/>
    </row>
    <row r="2261" spans="8:15" ht="17.25">
      <c r="H2261" s="30"/>
      <c r="I2261" s="375" t="s">
        <v>2341</v>
      </c>
    </row>
    <row r="2262" spans="8:15" ht="17.25" thickBot="1">
      <c r="H2262" s="30"/>
      <c r="N2262" s="141"/>
    </row>
    <row r="2263" spans="8:15">
      <c r="I2263" s="30"/>
      <c r="M2263" s="143"/>
      <c r="O2263" s="144"/>
    </row>
    <row r="2264" spans="8:15">
      <c r="M2264" s="647" t="s">
        <v>806</v>
      </c>
      <c r="N2264" s="610"/>
      <c r="O2264" s="648"/>
    </row>
    <row r="2265" spans="8:15">
      <c r="H2265" s="12" t="s">
        <v>114</v>
      </c>
      <c r="K2265" s="30" t="s">
        <v>2</v>
      </c>
      <c r="M2265" s="605" t="s">
        <v>807</v>
      </c>
      <c r="N2265" s="605"/>
      <c r="O2265" s="649"/>
    </row>
    <row r="2266" spans="8:15">
      <c r="M2266" s="601" t="s">
        <v>163</v>
      </c>
      <c r="N2266" s="602"/>
      <c r="O2266" s="603"/>
    </row>
    <row r="2267" spans="8:15" ht="17.25" thickBot="1">
      <c r="M2267" s="140"/>
      <c r="N2267" s="141"/>
      <c r="O2267" s="142"/>
    </row>
    <row r="2269" spans="8:15">
      <c r="H2269" s="30" t="s">
        <v>27</v>
      </c>
      <c r="I2269" s="30" t="s">
        <v>165</v>
      </c>
    </row>
    <row r="2270" spans="8:15" ht="17.25" thickBot="1"/>
    <row r="2271" spans="8:15" ht="17.25" thickBot="1">
      <c r="H2271" s="13" t="s">
        <v>112</v>
      </c>
      <c r="I2271" s="624" t="s">
        <v>4</v>
      </c>
      <c r="J2271" s="625"/>
      <c r="K2271" s="625"/>
      <c r="L2271" s="625"/>
      <c r="M2271" s="625"/>
      <c r="N2271" s="626"/>
      <c r="O2271" s="20" t="s">
        <v>5</v>
      </c>
    </row>
    <row r="2272" spans="8:15">
      <c r="H2272" s="633" t="s">
        <v>2445</v>
      </c>
      <c r="I2272" s="143"/>
      <c r="J2272" s="159"/>
      <c r="K2272" s="159"/>
      <c r="L2272" s="159"/>
      <c r="M2272" s="159"/>
      <c r="N2272" s="144"/>
      <c r="O2272" s="291"/>
    </row>
    <row r="2273" spans="8:15">
      <c r="H2273" s="634"/>
      <c r="I2273" s="64"/>
      <c r="N2273" s="65"/>
      <c r="O2273" s="291"/>
    </row>
    <row r="2274" spans="8:15">
      <c r="H2274" s="634"/>
      <c r="I2274" s="630" t="s">
        <v>286</v>
      </c>
      <c r="J2274" s="631"/>
      <c r="K2274" s="631"/>
      <c r="L2274" s="631"/>
      <c r="M2274" s="631"/>
      <c r="N2274" s="632"/>
      <c r="O2274" s="291"/>
    </row>
    <row r="2275" spans="8:15">
      <c r="H2275" s="634"/>
      <c r="I2275" s="636" t="s">
        <v>1745</v>
      </c>
      <c r="J2275" s="637"/>
      <c r="K2275" s="637"/>
      <c r="L2275" s="637"/>
      <c r="M2275" s="637"/>
      <c r="N2275" s="638"/>
      <c r="O2275" s="148">
        <v>1600000</v>
      </c>
    </row>
    <row r="2276" spans="8:15">
      <c r="H2276" s="634"/>
      <c r="I2276" s="64"/>
      <c r="J2276" s="604"/>
      <c r="K2276" s="604"/>
      <c r="L2276" s="604"/>
      <c r="N2276" s="65"/>
      <c r="O2276" s="291"/>
    </row>
    <row r="2277" spans="8:15" ht="17.25" thickBot="1">
      <c r="H2277" s="635"/>
      <c r="I2277" s="140"/>
      <c r="J2277" s="141"/>
      <c r="K2277" s="141"/>
      <c r="L2277" s="141"/>
      <c r="M2277" s="141"/>
      <c r="N2277" s="142"/>
      <c r="O2277" s="291"/>
    </row>
    <row r="2278" spans="8:15" ht="17.25" thickBot="1">
      <c r="H2278" s="20" t="s">
        <v>12</v>
      </c>
      <c r="I2278" s="614" t="s">
        <v>13</v>
      </c>
      <c r="J2278" s="615"/>
      <c r="K2278" s="62" t="s">
        <v>14</v>
      </c>
      <c r="L2278" s="63"/>
      <c r="M2278" s="62" t="s">
        <v>15</v>
      </c>
      <c r="N2278" s="62" t="s">
        <v>16</v>
      </c>
      <c r="O2278" s="20" t="s">
        <v>17</v>
      </c>
    </row>
    <row r="2279" spans="8:15" ht="18" thickBot="1">
      <c r="H2279" s="22" t="s">
        <v>18</v>
      </c>
      <c r="I2279" s="606">
        <f>+O2275</f>
        <v>1600000</v>
      </c>
      <c r="J2279" s="607"/>
      <c r="K2279" s="23">
        <f>0</f>
        <v>0</v>
      </c>
      <c r="L2279" s="24"/>
      <c r="M2279" s="25">
        <f>0</f>
        <v>0</v>
      </c>
      <c r="N2279" s="36">
        <f>+I2279</f>
        <v>1600000</v>
      </c>
      <c r="O2279" s="38">
        <f>+O2275</f>
        <v>1600000</v>
      </c>
    </row>
    <row r="2280" spans="8:15" ht="18" thickBot="1">
      <c r="H2280" s="22" t="s">
        <v>113</v>
      </c>
      <c r="I2280" s="606">
        <f>+I2279/650.599</f>
        <v>2459.2721476669958</v>
      </c>
      <c r="J2280" s="607"/>
      <c r="K2280" s="23">
        <f>0</f>
        <v>0</v>
      </c>
      <c r="L2280" s="24"/>
      <c r="M2280" s="25">
        <f>0</f>
        <v>0</v>
      </c>
      <c r="N2280" s="36">
        <f>+I2280</f>
        <v>2459.2721476669958</v>
      </c>
      <c r="O2280" s="38">
        <f>+N2280</f>
        <v>2459.2721476669958</v>
      </c>
    </row>
    <row r="2282" spans="8:15">
      <c r="H2282" s="412" t="s">
        <v>1268</v>
      </c>
      <c r="I2282" s="26"/>
      <c r="J2282" s="26"/>
      <c r="K2282" s="26"/>
      <c r="L2282" s="26"/>
      <c r="M2282" s="26"/>
      <c r="N2282" s="26"/>
    </row>
    <row r="2283" spans="8:15">
      <c r="H2283" s="413" t="s">
        <v>2027</v>
      </c>
      <c r="I2283" s="26"/>
      <c r="J2283" s="26"/>
      <c r="K2283" s="26"/>
      <c r="L2283" s="26"/>
      <c r="M2283" s="26"/>
      <c r="N2283" s="26"/>
    </row>
    <row r="2284" spans="8:15">
      <c r="H2284" s="82" t="s">
        <v>19</v>
      </c>
      <c r="I2284" s="26"/>
      <c r="J2284" s="26"/>
      <c r="K2284" s="26"/>
      <c r="L2284" s="26"/>
      <c r="M2284" s="26"/>
      <c r="N2284" s="26"/>
    </row>
    <row r="2285" spans="8:15">
      <c r="H2285" s="26" t="s">
        <v>965</v>
      </c>
      <c r="I2285" s="26"/>
      <c r="J2285" s="26"/>
      <c r="K2285" s="26"/>
      <c r="L2285" s="26"/>
      <c r="M2285" s="26"/>
      <c r="N2285" s="26"/>
    </row>
    <row r="2286" spans="8:15">
      <c r="H2286" s="26" t="s">
        <v>21</v>
      </c>
      <c r="I2286" s="26"/>
      <c r="J2286" s="26"/>
      <c r="K2286" s="26"/>
      <c r="L2286" s="26"/>
      <c r="M2286" s="26"/>
      <c r="N2286" s="26"/>
    </row>
    <row r="2287" spans="8:15">
      <c r="H2287" s="26" t="s">
        <v>1229</v>
      </c>
      <c r="I2287" s="26"/>
      <c r="J2287" s="26"/>
      <c r="K2287" s="26"/>
      <c r="L2287" s="26"/>
      <c r="M2287" s="26"/>
      <c r="N2287" s="26"/>
    </row>
    <row r="2290" spans="8:15">
      <c r="K2290" s="30" t="s">
        <v>811</v>
      </c>
      <c r="M2290" s="30"/>
      <c r="N2290" s="30"/>
    </row>
    <row r="2291" spans="8:15">
      <c r="K2291" s="30" t="s">
        <v>149</v>
      </c>
      <c r="M2291" s="30"/>
      <c r="N2291" s="30"/>
    </row>
    <row r="2292" spans="8:15">
      <c r="K2292" s="605" t="s">
        <v>150</v>
      </c>
      <c r="L2292" s="605"/>
      <c r="M2292" s="605"/>
      <c r="N2292" s="605"/>
    </row>
    <row r="2293" spans="8:15">
      <c r="K2293" s="30"/>
    </row>
    <row r="2294" spans="8:15">
      <c r="L2294" s="26"/>
      <c r="M2294" s="26"/>
      <c r="N2294" s="26"/>
    </row>
    <row r="2295" spans="8:15" ht="17.25">
      <c r="K2295" s="644" t="s">
        <v>2347</v>
      </c>
      <c r="L2295" s="644"/>
      <c r="M2295" s="644"/>
      <c r="N2295" s="644"/>
    </row>
    <row r="2296" spans="8:15" ht="17.25">
      <c r="K2296" s="644"/>
      <c r="L2296" s="644"/>
      <c r="M2296" s="644"/>
      <c r="N2296" s="644"/>
    </row>
    <row r="2297" spans="8:15" ht="18">
      <c r="H2297" s="26"/>
      <c r="I2297" s="26"/>
      <c r="J2297" s="26"/>
      <c r="O2297" s="145"/>
    </row>
    <row r="2298" spans="8:15" ht="18" customHeight="1">
      <c r="I2298" s="617" t="s">
        <v>0</v>
      </c>
      <c r="J2298" s="617"/>
      <c r="K2298" s="617"/>
      <c r="L2298" s="617"/>
      <c r="M2298" s="617"/>
      <c r="N2298" s="617"/>
      <c r="O2298" s="617"/>
    </row>
    <row r="2301" spans="8:15" ht="49.5" customHeight="1">
      <c r="H2301" s="642" t="s">
        <v>1</v>
      </c>
      <c r="I2301" s="642"/>
      <c r="J2301" s="642"/>
      <c r="K2301" s="642"/>
      <c r="L2301" s="642"/>
      <c r="M2301" s="642"/>
      <c r="N2301" s="642"/>
      <c r="O2301" s="642"/>
    </row>
    <row r="2304" spans="8:15">
      <c r="H2304" s="30" t="s">
        <v>805</v>
      </c>
    </row>
    <row r="2305" spans="8:15" ht="17.25" thickBot="1">
      <c r="H2305" s="30"/>
      <c r="N2305" s="141"/>
    </row>
    <row r="2306" spans="8:15">
      <c r="I2306" s="30"/>
      <c r="M2306" s="143"/>
      <c r="O2306" s="144"/>
    </row>
    <row r="2307" spans="8:15">
      <c r="M2307" s="647" t="s">
        <v>677</v>
      </c>
      <c r="N2307" s="610"/>
      <c r="O2307" s="648"/>
    </row>
    <row r="2308" spans="8:15">
      <c r="H2308" s="12" t="s">
        <v>114</v>
      </c>
      <c r="K2308" s="30" t="s">
        <v>2</v>
      </c>
      <c r="M2308" s="605" t="s">
        <v>1839</v>
      </c>
      <c r="N2308" s="605"/>
      <c r="O2308" s="649"/>
    </row>
    <row r="2309" spans="8:15">
      <c r="M2309" s="601" t="s">
        <v>163</v>
      </c>
      <c r="N2309" s="602"/>
      <c r="O2309" s="603"/>
    </row>
    <row r="2310" spans="8:15" ht="17.25" thickBot="1">
      <c r="M2310" s="140"/>
      <c r="N2310" s="141"/>
      <c r="O2310" s="142"/>
    </row>
    <row r="2312" spans="8:15">
      <c r="H2312" s="30" t="s">
        <v>27</v>
      </c>
      <c r="I2312" s="30" t="s">
        <v>1892</v>
      </c>
    </row>
    <row r="2313" spans="8:15" ht="17.25" thickBot="1"/>
    <row r="2314" spans="8:15" ht="17.25" thickBot="1">
      <c r="H2314" s="13" t="s">
        <v>112</v>
      </c>
      <c r="I2314" s="624" t="s">
        <v>4</v>
      </c>
      <c r="J2314" s="625"/>
      <c r="K2314" s="625"/>
      <c r="L2314" s="625"/>
      <c r="M2314" s="625"/>
      <c r="N2314" s="626"/>
      <c r="O2314" s="20" t="s">
        <v>5</v>
      </c>
    </row>
    <row r="2315" spans="8:15">
      <c r="H2315" s="633" t="s">
        <v>1716</v>
      </c>
      <c r="I2315" s="143"/>
      <c r="J2315" s="159"/>
      <c r="K2315" s="159"/>
      <c r="L2315" s="159"/>
      <c r="M2315" s="159"/>
      <c r="N2315" s="144"/>
      <c r="O2315" s="291"/>
    </row>
    <row r="2316" spans="8:15">
      <c r="H2316" s="634"/>
      <c r="I2316" s="64"/>
      <c r="N2316" s="65"/>
      <c r="O2316" s="291"/>
    </row>
    <row r="2317" spans="8:15">
      <c r="H2317" s="634"/>
      <c r="I2317" s="630" t="s">
        <v>286</v>
      </c>
      <c r="J2317" s="631"/>
      <c r="K2317" s="631"/>
      <c r="L2317" s="631"/>
      <c r="M2317" s="631"/>
      <c r="N2317" s="632"/>
      <c r="O2317" s="291"/>
    </row>
    <row r="2318" spans="8:15">
      <c r="H2318" s="634"/>
      <c r="I2318" s="636" t="s">
        <v>1840</v>
      </c>
      <c r="J2318" s="637"/>
      <c r="K2318" s="637"/>
      <c r="L2318" s="637"/>
      <c r="M2318" s="637"/>
      <c r="N2318" s="638"/>
      <c r="O2318" s="148">
        <v>369410</v>
      </c>
    </row>
    <row r="2319" spans="8:15">
      <c r="H2319" s="634"/>
      <c r="I2319" s="64"/>
      <c r="J2319" s="604"/>
      <c r="K2319" s="604"/>
      <c r="L2319" s="604"/>
      <c r="N2319" s="65"/>
      <c r="O2319" s="291"/>
    </row>
    <row r="2320" spans="8:15" ht="17.25" thickBot="1">
      <c r="H2320" s="635"/>
      <c r="I2320" s="140"/>
      <c r="J2320" s="141"/>
      <c r="K2320" s="141"/>
      <c r="L2320" s="141"/>
      <c r="M2320" s="141"/>
      <c r="N2320" s="142"/>
      <c r="O2320" s="291"/>
    </row>
    <row r="2321" spans="8:15" ht="17.25" thickBot="1">
      <c r="H2321" s="20" t="s">
        <v>12</v>
      </c>
      <c r="I2321" s="614" t="s">
        <v>13</v>
      </c>
      <c r="J2321" s="615"/>
      <c r="K2321" s="62" t="s">
        <v>14</v>
      </c>
      <c r="L2321" s="63"/>
      <c r="M2321" s="62" t="s">
        <v>15</v>
      </c>
      <c r="N2321" s="62" t="s">
        <v>16</v>
      </c>
      <c r="O2321" s="20" t="s">
        <v>17</v>
      </c>
    </row>
    <row r="2322" spans="8:15" ht="18" thickBot="1">
      <c r="H2322" s="22" t="s">
        <v>18</v>
      </c>
      <c r="I2322" s="606">
        <f>+O2318</f>
        <v>369410</v>
      </c>
      <c r="J2322" s="607"/>
      <c r="K2322" s="23">
        <f>0</f>
        <v>0</v>
      </c>
      <c r="L2322" s="24"/>
      <c r="M2322" s="25">
        <f>0</f>
        <v>0</v>
      </c>
      <c r="N2322" s="36">
        <f>+I2322</f>
        <v>369410</v>
      </c>
      <c r="O2322" s="38">
        <f>+O2318</f>
        <v>369410</v>
      </c>
    </row>
    <row r="2323" spans="8:15" ht="18" thickBot="1">
      <c r="H2323" s="22" t="s">
        <v>113</v>
      </c>
      <c r="I2323" s="606">
        <f>+I2322/650.599</f>
        <v>567.79982754354057</v>
      </c>
      <c r="J2323" s="607"/>
      <c r="K2323" s="23">
        <f>0</f>
        <v>0</v>
      </c>
      <c r="L2323" s="24"/>
      <c r="M2323" s="25">
        <f>0</f>
        <v>0</v>
      </c>
      <c r="N2323" s="36">
        <f>+I2323</f>
        <v>567.79982754354057</v>
      </c>
      <c r="O2323" s="38">
        <f>+N2323</f>
        <v>567.79982754354057</v>
      </c>
    </row>
    <row r="2325" spans="8:15">
      <c r="H2325" s="412" t="s">
        <v>1268</v>
      </c>
      <c r="I2325" s="26"/>
      <c r="J2325" s="26"/>
      <c r="K2325" s="26"/>
      <c r="L2325" s="26"/>
      <c r="M2325" s="26"/>
      <c r="N2325" s="26"/>
    </row>
    <row r="2326" spans="8:15">
      <c r="H2326" s="413" t="s">
        <v>1841</v>
      </c>
      <c r="I2326" s="26"/>
      <c r="J2326" s="26"/>
      <c r="K2326" s="26"/>
      <c r="L2326" s="26"/>
      <c r="M2326" s="26"/>
      <c r="N2326" s="26"/>
    </row>
    <row r="2327" spans="8:15">
      <c r="H2327" s="82" t="s">
        <v>19</v>
      </c>
      <c r="I2327" s="26"/>
      <c r="J2327" s="26"/>
      <c r="K2327" s="26"/>
      <c r="L2327" s="26"/>
      <c r="M2327" s="26"/>
      <c r="N2327" s="26"/>
    </row>
    <row r="2328" spans="8:15">
      <c r="H2328" s="26" t="s">
        <v>965</v>
      </c>
      <c r="I2328" s="26"/>
      <c r="J2328" s="26"/>
      <c r="K2328" s="26"/>
      <c r="L2328" s="26"/>
      <c r="M2328" s="26"/>
      <c r="N2328" s="26"/>
    </row>
    <row r="2329" spans="8:15">
      <c r="H2329" s="26" t="s">
        <v>21</v>
      </c>
      <c r="I2329" s="26"/>
      <c r="J2329" s="26"/>
      <c r="K2329" s="26"/>
      <c r="L2329" s="26"/>
      <c r="M2329" s="26"/>
      <c r="N2329" s="26"/>
    </row>
    <row r="2330" spans="8:15">
      <c r="H2330" s="26" t="s">
        <v>1229</v>
      </c>
      <c r="I2330" s="26"/>
      <c r="J2330" s="26"/>
      <c r="K2330" s="26"/>
      <c r="L2330" s="26"/>
      <c r="M2330" s="26"/>
      <c r="N2330" s="26"/>
    </row>
    <row r="2333" spans="8:15">
      <c r="K2333" s="30" t="s">
        <v>811</v>
      </c>
      <c r="M2333" s="30"/>
      <c r="N2333" s="30"/>
    </row>
    <row r="2334" spans="8:15">
      <c r="K2334" s="30" t="s">
        <v>149</v>
      </c>
      <c r="M2334" s="30"/>
      <c r="N2334" s="30"/>
    </row>
    <row r="2335" spans="8:15">
      <c r="K2335" s="605" t="s">
        <v>150</v>
      </c>
      <c r="L2335" s="605"/>
      <c r="M2335" s="605"/>
      <c r="N2335" s="605"/>
    </row>
    <row r="2336" spans="8:15">
      <c r="K2336" s="30"/>
    </row>
    <row r="2337" spans="8:15">
      <c r="L2337" s="26"/>
      <c r="M2337" s="26"/>
      <c r="N2337" s="26"/>
    </row>
    <row r="2338" spans="8:15" ht="17.25">
      <c r="K2338" s="644" t="s">
        <v>1696</v>
      </c>
      <c r="L2338" s="644"/>
      <c r="M2338" s="644"/>
      <c r="N2338" s="644"/>
    </row>
    <row r="2339" spans="8:15" ht="17.25">
      <c r="K2339" s="361"/>
      <c r="L2339" s="361"/>
      <c r="M2339" s="361"/>
      <c r="N2339" s="361"/>
    </row>
    <row r="2340" spans="8:15" ht="18">
      <c r="H2340" s="26"/>
      <c r="I2340" s="26"/>
      <c r="J2340" s="26"/>
      <c r="K2340" s="644"/>
      <c r="L2340" s="644"/>
      <c r="M2340" s="644"/>
      <c r="N2340" s="644"/>
      <c r="O2340" s="145"/>
    </row>
    <row r="2341" spans="8:15">
      <c r="I2341" s="617" t="s">
        <v>0</v>
      </c>
      <c r="J2341" s="617"/>
      <c r="K2341" s="617"/>
      <c r="L2341" s="617"/>
      <c r="M2341" s="617"/>
      <c r="N2341" s="617"/>
      <c r="O2341" s="617"/>
    </row>
    <row r="2344" spans="8:15" ht="49.5">
      <c r="J2344" s="642" t="s">
        <v>1</v>
      </c>
      <c r="K2344" s="642"/>
      <c r="L2344" s="642"/>
      <c r="M2344" s="642"/>
    </row>
    <row r="2347" spans="8:15" ht="17.25">
      <c r="H2347" s="30"/>
      <c r="I2347" s="375" t="s">
        <v>2056</v>
      </c>
    </row>
    <row r="2348" spans="8:15" ht="17.25" thickBot="1">
      <c r="H2348" s="30"/>
      <c r="N2348" s="141"/>
    </row>
    <row r="2349" spans="8:15">
      <c r="I2349" s="30"/>
      <c r="M2349" s="143"/>
      <c r="O2349" s="144"/>
    </row>
    <row r="2350" spans="8:15">
      <c r="M2350" s="647" t="s">
        <v>1900</v>
      </c>
      <c r="N2350" s="610"/>
      <c r="O2350" s="648"/>
    </row>
    <row r="2351" spans="8:15">
      <c r="H2351" s="12" t="s">
        <v>114</v>
      </c>
      <c r="K2351" s="30" t="s">
        <v>2</v>
      </c>
      <c r="M2351" s="605" t="s">
        <v>2055</v>
      </c>
      <c r="N2351" s="605"/>
      <c r="O2351" s="649"/>
    </row>
    <row r="2352" spans="8:15">
      <c r="M2352" s="601" t="s">
        <v>163</v>
      </c>
      <c r="N2352" s="602"/>
      <c r="O2352" s="603"/>
    </row>
    <row r="2353" spans="8:15" ht="17.25" thickBot="1">
      <c r="M2353" s="140"/>
      <c r="N2353" s="141"/>
      <c r="O2353" s="142"/>
    </row>
    <row r="2355" spans="8:15">
      <c r="H2355" s="30" t="s">
        <v>27</v>
      </c>
      <c r="I2355" s="30" t="s">
        <v>115</v>
      </c>
    </row>
    <row r="2356" spans="8:15" ht="17.25" thickBot="1"/>
    <row r="2357" spans="8:15" ht="17.25" thickBot="1">
      <c r="H2357" s="13" t="s">
        <v>112</v>
      </c>
      <c r="I2357" s="624" t="s">
        <v>4</v>
      </c>
      <c r="J2357" s="625"/>
      <c r="K2357" s="625"/>
      <c r="L2357" s="625"/>
      <c r="M2357" s="625"/>
      <c r="N2357" s="626"/>
      <c r="O2357" s="20" t="s">
        <v>5</v>
      </c>
    </row>
    <row r="2358" spans="8:15">
      <c r="H2358" s="627" t="s">
        <v>2140</v>
      </c>
      <c r="I2358" s="143"/>
      <c r="J2358" s="159"/>
      <c r="K2358" s="159"/>
      <c r="L2358" s="159"/>
      <c r="M2358" s="159"/>
      <c r="N2358" s="144"/>
      <c r="O2358" s="291"/>
    </row>
    <row r="2359" spans="8:15">
      <c r="H2359" s="628"/>
      <c r="I2359" s="64"/>
      <c r="N2359" s="65"/>
      <c r="O2359" s="291"/>
    </row>
    <row r="2360" spans="8:15">
      <c r="H2360" s="628"/>
      <c r="I2360" s="630" t="s">
        <v>286</v>
      </c>
      <c r="J2360" s="631"/>
      <c r="K2360" s="631"/>
      <c r="L2360" s="631"/>
      <c r="M2360" s="631"/>
      <c r="N2360" s="632"/>
      <c r="O2360" s="291"/>
    </row>
    <row r="2361" spans="8:15">
      <c r="H2361" s="628"/>
      <c r="I2361" s="636" t="s">
        <v>2057</v>
      </c>
      <c r="J2361" s="637"/>
      <c r="K2361" s="637"/>
      <c r="L2361" s="637"/>
      <c r="M2361" s="637"/>
      <c r="N2361" s="638"/>
      <c r="O2361" s="148">
        <v>1350000</v>
      </c>
    </row>
    <row r="2362" spans="8:15">
      <c r="H2362" s="628"/>
      <c r="I2362" s="64"/>
      <c r="J2362" s="604"/>
      <c r="K2362" s="604"/>
      <c r="L2362" s="604"/>
      <c r="N2362" s="65"/>
      <c r="O2362" s="291"/>
    </row>
    <row r="2363" spans="8:15" ht="17.25" thickBot="1">
      <c r="H2363" s="629"/>
      <c r="I2363" s="140"/>
      <c r="J2363" s="141"/>
      <c r="K2363" s="141"/>
      <c r="L2363" s="141"/>
      <c r="M2363" s="141"/>
      <c r="N2363" s="142"/>
      <c r="O2363" s="291"/>
    </row>
    <row r="2364" spans="8:15" ht="17.25" thickBot="1">
      <c r="H2364" s="20" t="s">
        <v>12</v>
      </c>
      <c r="I2364" s="614" t="s">
        <v>13</v>
      </c>
      <c r="J2364" s="615"/>
      <c r="K2364" s="62" t="s">
        <v>14</v>
      </c>
      <c r="L2364" s="63"/>
      <c r="M2364" s="62" t="s">
        <v>15</v>
      </c>
      <c r="N2364" s="62" t="s">
        <v>16</v>
      </c>
      <c r="O2364" s="20" t="s">
        <v>17</v>
      </c>
    </row>
    <row r="2365" spans="8:15" ht="18" thickBot="1">
      <c r="H2365" s="22" t="s">
        <v>18</v>
      </c>
      <c r="I2365" s="606">
        <f>+O2361</f>
        <v>1350000</v>
      </c>
      <c r="J2365" s="607"/>
      <c r="K2365" s="23">
        <f>0</f>
        <v>0</v>
      </c>
      <c r="L2365" s="24"/>
      <c r="M2365" s="25">
        <f>0</f>
        <v>0</v>
      </c>
      <c r="N2365" s="36">
        <f>+I2365</f>
        <v>1350000</v>
      </c>
      <c r="O2365" s="38">
        <f>+O2361</f>
        <v>1350000</v>
      </c>
    </row>
    <row r="2366" spans="8:15" ht="18" thickBot="1">
      <c r="H2366" s="22" t="s">
        <v>113</v>
      </c>
      <c r="I2366" s="606">
        <f>+I2365/650.599</f>
        <v>2075.0108745940279</v>
      </c>
      <c r="J2366" s="607"/>
      <c r="K2366" s="23">
        <f>0</f>
        <v>0</v>
      </c>
      <c r="L2366" s="24"/>
      <c r="M2366" s="25">
        <f>0</f>
        <v>0</v>
      </c>
      <c r="N2366" s="36">
        <f>+I2366</f>
        <v>2075.0108745940279</v>
      </c>
      <c r="O2366" s="38">
        <f>+N2366</f>
        <v>2075.0108745940279</v>
      </c>
    </row>
    <row r="2368" spans="8:15">
      <c r="H2368" s="410" t="s">
        <v>1268</v>
      </c>
      <c r="I2368" s="26"/>
      <c r="J2368" s="26"/>
      <c r="K2368" s="26"/>
      <c r="L2368" s="26"/>
      <c r="M2368" s="26"/>
      <c r="N2368" s="26"/>
    </row>
    <row r="2369" spans="8:15">
      <c r="H2369" s="411" t="s">
        <v>2169</v>
      </c>
      <c r="I2369" s="26"/>
      <c r="J2369" s="26"/>
      <c r="K2369" s="26"/>
      <c r="L2369" s="26"/>
      <c r="M2369" s="26"/>
      <c r="N2369" s="26"/>
    </row>
    <row r="2370" spans="8:15">
      <c r="H2370" s="82" t="s">
        <v>19</v>
      </c>
      <c r="I2370" s="26"/>
      <c r="J2370" s="26"/>
      <c r="K2370" s="26"/>
      <c r="L2370" s="26"/>
      <c r="M2370" s="26"/>
      <c r="N2370" s="26"/>
    </row>
    <row r="2371" spans="8:15">
      <c r="H2371" s="26" t="s">
        <v>965</v>
      </c>
      <c r="I2371" s="26"/>
      <c r="J2371" s="26"/>
      <c r="K2371" s="26"/>
      <c r="L2371" s="26"/>
      <c r="M2371" s="26"/>
      <c r="N2371" s="26"/>
    </row>
    <row r="2372" spans="8:15">
      <c r="H2372" s="26" t="s">
        <v>21</v>
      </c>
      <c r="I2372" s="26"/>
      <c r="J2372" s="26"/>
      <c r="K2372" s="26"/>
      <c r="L2372" s="26"/>
      <c r="M2372" s="26"/>
      <c r="N2372" s="26"/>
    </row>
    <row r="2373" spans="8:15">
      <c r="H2373" s="26" t="s">
        <v>1229</v>
      </c>
      <c r="I2373" s="26"/>
      <c r="J2373" s="26"/>
      <c r="K2373" s="26"/>
      <c r="L2373" s="26"/>
      <c r="M2373" s="26"/>
      <c r="N2373" s="26"/>
    </row>
    <row r="2376" spans="8:15">
      <c r="K2376" s="30" t="s">
        <v>811</v>
      </c>
      <c r="M2376" s="30"/>
      <c r="N2376" s="30"/>
    </row>
    <row r="2377" spans="8:15">
      <c r="K2377" s="30" t="s">
        <v>149</v>
      </c>
      <c r="M2377" s="30"/>
      <c r="N2377" s="30"/>
    </row>
    <row r="2378" spans="8:15">
      <c r="K2378" s="605" t="s">
        <v>150</v>
      </c>
      <c r="L2378" s="605"/>
      <c r="M2378" s="605"/>
      <c r="N2378" s="605"/>
    </row>
    <row r="2379" spans="8:15">
      <c r="K2379" s="30"/>
    </row>
    <row r="2380" spans="8:15">
      <c r="L2380" s="26"/>
      <c r="M2380" s="26"/>
      <c r="N2380" s="26"/>
    </row>
    <row r="2381" spans="8:15" ht="18">
      <c r="K2381" s="145"/>
      <c r="L2381" s="145"/>
      <c r="M2381" s="145"/>
      <c r="N2381" s="145"/>
    </row>
    <row r="2382" spans="8:15" ht="18">
      <c r="H2382" s="26"/>
      <c r="I2382" s="26"/>
      <c r="J2382" s="26"/>
      <c r="K2382" s="644" t="s">
        <v>2147</v>
      </c>
      <c r="L2382" s="644"/>
      <c r="M2382" s="644"/>
      <c r="N2382" s="644"/>
      <c r="O2382" s="145"/>
    </row>
    <row r="2383" spans="8:15">
      <c r="I2383" s="617" t="s">
        <v>0</v>
      </c>
      <c r="J2383" s="617"/>
      <c r="K2383" s="617"/>
      <c r="L2383" s="617"/>
      <c r="M2383" s="617"/>
      <c r="N2383" s="617"/>
      <c r="O2383" s="617"/>
    </row>
    <row r="2386" spans="8:15" ht="49.5" customHeight="1">
      <c r="H2386" s="642" t="s">
        <v>1</v>
      </c>
      <c r="I2386" s="642"/>
      <c r="J2386" s="642"/>
      <c r="K2386" s="642"/>
      <c r="L2386" s="642"/>
      <c r="M2386" s="642"/>
      <c r="N2386" s="642"/>
      <c r="O2386" s="642"/>
    </row>
    <row r="2389" spans="8:15" ht="17.25">
      <c r="H2389" s="30"/>
      <c r="I2389" s="375" t="s">
        <v>1668</v>
      </c>
    </row>
    <row r="2390" spans="8:15" ht="17.25" thickBot="1">
      <c r="H2390" s="30"/>
      <c r="N2390" s="141"/>
    </row>
    <row r="2391" spans="8:15">
      <c r="I2391" s="30"/>
      <c r="M2391" s="143"/>
      <c r="O2391" s="144"/>
    </row>
    <row r="2392" spans="8:15">
      <c r="M2392" s="647" t="s">
        <v>1820</v>
      </c>
      <c r="N2392" s="610"/>
      <c r="O2392" s="648"/>
    </row>
    <row r="2393" spans="8:15">
      <c r="H2393" s="12" t="s">
        <v>114</v>
      </c>
      <c r="K2393" s="30" t="s">
        <v>2</v>
      </c>
      <c r="M2393" s="605" t="s">
        <v>2045</v>
      </c>
      <c r="N2393" s="605"/>
      <c r="O2393" s="649"/>
    </row>
    <row r="2394" spans="8:15">
      <c r="M2394" s="601" t="s">
        <v>163</v>
      </c>
      <c r="N2394" s="602"/>
      <c r="O2394" s="603"/>
    </row>
    <row r="2395" spans="8:15" ht="17.25" thickBot="1">
      <c r="M2395" s="140"/>
      <c r="N2395" s="141"/>
      <c r="O2395" s="142"/>
    </row>
    <row r="2396" spans="8:15">
      <c r="I2396" s="30" t="s">
        <v>27</v>
      </c>
      <c r="J2396" s="30" t="s">
        <v>148</v>
      </c>
    </row>
    <row r="2397" spans="8:15">
      <c r="H2397" s="30"/>
      <c r="I2397" s="30"/>
    </row>
    <row r="2398" spans="8:15" ht="17.25" thickBot="1"/>
    <row r="2399" spans="8:15" ht="17.25" thickBot="1">
      <c r="H2399" s="13" t="s">
        <v>112</v>
      </c>
      <c r="I2399" s="624" t="s">
        <v>4</v>
      </c>
      <c r="J2399" s="625"/>
      <c r="K2399" s="625"/>
      <c r="L2399" s="625"/>
      <c r="M2399" s="625"/>
      <c r="N2399" s="626"/>
      <c r="O2399" s="20" t="s">
        <v>5</v>
      </c>
    </row>
    <row r="2400" spans="8:15">
      <c r="H2400" s="627" t="s">
        <v>2445</v>
      </c>
      <c r="I2400" s="143"/>
      <c r="J2400" s="159"/>
      <c r="K2400" s="159"/>
      <c r="L2400" s="159"/>
      <c r="M2400" s="159"/>
      <c r="N2400" s="144"/>
      <c r="O2400" s="291"/>
    </row>
    <row r="2401" spans="8:15">
      <c r="H2401" s="628"/>
      <c r="I2401" s="64"/>
      <c r="N2401" s="65"/>
      <c r="O2401" s="291"/>
    </row>
    <row r="2402" spans="8:15">
      <c r="H2402" s="628"/>
      <c r="I2402" s="630" t="s">
        <v>286</v>
      </c>
      <c r="J2402" s="631"/>
      <c r="K2402" s="631"/>
      <c r="L2402" s="631"/>
      <c r="M2402" s="631"/>
      <c r="N2402" s="632"/>
      <c r="O2402" s="291"/>
    </row>
    <row r="2403" spans="8:15">
      <c r="H2403" s="628"/>
      <c r="I2403" s="636" t="s">
        <v>2510</v>
      </c>
      <c r="J2403" s="637"/>
      <c r="K2403" s="637"/>
      <c r="L2403" s="637"/>
      <c r="M2403" s="637"/>
      <c r="N2403" s="638"/>
      <c r="O2403" s="148">
        <v>600000</v>
      </c>
    </row>
    <row r="2404" spans="8:15">
      <c r="H2404" s="628"/>
      <c r="I2404" s="64"/>
      <c r="J2404" s="604"/>
      <c r="K2404" s="604"/>
      <c r="L2404" s="604"/>
      <c r="N2404" s="65"/>
      <c r="O2404" s="291"/>
    </row>
    <row r="2405" spans="8:15" ht="17.25" thickBot="1">
      <c r="H2405" s="629"/>
      <c r="I2405" s="140"/>
      <c r="J2405" s="141"/>
      <c r="K2405" s="141"/>
      <c r="L2405" s="141"/>
      <c r="M2405" s="141"/>
      <c r="N2405" s="142"/>
      <c r="O2405" s="291"/>
    </row>
    <row r="2406" spans="8:15" ht="17.25" thickBot="1">
      <c r="H2406" s="20" t="s">
        <v>12</v>
      </c>
      <c r="I2406" s="614" t="s">
        <v>13</v>
      </c>
      <c r="J2406" s="615"/>
      <c r="K2406" s="62" t="s">
        <v>14</v>
      </c>
      <c r="L2406" s="63"/>
      <c r="M2406" s="62" t="s">
        <v>15</v>
      </c>
      <c r="N2406" s="62" t="s">
        <v>16</v>
      </c>
      <c r="O2406" s="20" t="s">
        <v>17</v>
      </c>
    </row>
    <row r="2407" spans="8:15" ht="18" thickBot="1">
      <c r="H2407" s="22" t="s">
        <v>18</v>
      </c>
      <c r="I2407" s="606">
        <f>+O2403</f>
        <v>600000</v>
      </c>
      <c r="J2407" s="607"/>
      <c r="K2407" s="23">
        <f>0</f>
        <v>0</v>
      </c>
      <c r="L2407" s="24"/>
      <c r="M2407" s="25">
        <f>0</f>
        <v>0</v>
      </c>
      <c r="N2407" s="36">
        <f>+I2407</f>
        <v>600000</v>
      </c>
      <c r="O2407" s="38">
        <f>+O2403</f>
        <v>600000</v>
      </c>
    </row>
    <row r="2408" spans="8:15" ht="18" thickBot="1">
      <c r="H2408" s="22" t="s">
        <v>113</v>
      </c>
      <c r="I2408" s="606">
        <f>+I2407/650.599</f>
        <v>922.22705537512343</v>
      </c>
      <c r="J2408" s="607"/>
      <c r="K2408" s="23">
        <f>0</f>
        <v>0</v>
      </c>
      <c r="L2408" s="24"/>
      <c r="M2408" s="25">
        <f>0</f>
        <v>0</v>
      </c>
      <c r="N2408" s="36">
        <f>+I2408</f>
        <v>922.22705537512343</v>
      </c>
      <c r="O2408" s="38">
        <f>+N2408</f>
        <v>922.22705537512343</v>
      </c>
    </row>
    <row r="2410" spans="8:15">
      <c r="H2410" s="412" t="s">
        <v>1382</v>
      </c>
      <c r="I2410" s="26"/>
      <c r="J2410" s="26"/>
      <c r="K2410" s="26"/>
      <c r="L2410" s="26"/>
      <c r="M2410" s="26"/>
      <c r="N2410" s="26"/>
    </row>
    <row r="2411" spans="8:15">
      <c r="H2411" s="415" t="s">
        <v>2511</v>
      </c>
      <c r="I2411" s="26"/>
      <c r="J2411" s="26"/>
      <c r="K2411" s="26"/>
      <c r="L2411" s="26"/>
      <c r="M2411" s="26"/>
      <c r="N2411" s="26"/>
    </row>
    <row r="2412" spans="8:15">
      <c r="H2412" s="82" t="s">
        <v>19</v>
      </c>
      <c r="I2412" s="26"/>
      <c r="J2412" s="26"/>
      <c r="K2412" s="26"/>
      <c r="L2412" s="26"/>
      <c r="M2412" s="26"/>
      <c r="N2412" s="26"/>
    </row>
    <row r="2413" spans="8:15">
      <c r="H2413" s="26" t="s">
        <v>965</v>
      </c>
      <c r="I2413" s="26"/>
      <c r="J2413" s="26"/>
      <c r="K2413" s="26"/>
      <c r="L2413" s="26"/>
      <c r="M2413" s="26"/>
      <c r="N2413" s="26"/>
    </row>
    <row r="2414" spans="8:15">
      <c r="H2414" s="26" t="s">
        <v>21</v>
      </c>
      <c r="I2414" s="26"/>
      <c r="J2414" s="26"/>
      <c r="K2414" s="26"/>
      <c r="L2414" s="26"/>
      <c r="M2414" s="26"/>
      <c r="N2414" s="26"/>
    </row>
    <row r="2415" spans="8:15">
      <c r="H2415" s="26" t="s">
        <v>1229</v>
      </c>
      <c r="I2415" s="26"/>
      <c r="J2415" s="26"/>
      <c r="K2415" s="26"/>
      <c r="L2415" s="26"/>
      <c r="M2415" s="26"/>
      <c r="N2415" s="26"/>
    </row>
    <row r="2417" spans="8:15" ht="19.5" customHeight="1"/>
    <row r="2418" spans="8:15">
      <c r="K2418" s="30" t="s">
        <v>811</v>
      </c>
      <c r="M2418" s="30"/>
      <c r="N2418" s="30"/>
    </row>
    <row r="2419" spans="8:15">
      <c r="K2419" s="30" t="s">
        <v>149</v>
      </c>
      <c r="M2419" s="30"/>
      <c r="N2419" s="30"/>
    </row>
    <row r="2420" spans="8:15">
      <c r="K2420" s="605" t="s">
        <v>150</v>
      </c>
      <c r="L2420" s="605"/>
      <c r="M2420" s="605"/>
      <c r="N2420" s="605"/>
    </row>
    <row r="2421" spans="8:15">
      <c r="K2421" s="30"/>
    </row>
    <row r="2422" spans="8:15">
      <c r="K2422" s="30"/>
    </row>
    <row r="2423" spans="8:15" ht="17.25">
      <c r="K2423" s="644" t="s">
        <v>2347</v>
      </c>
      <c r="L2423" s="644"/>
      <c r="M2423" s="644"/>
      <c r="N2423" s="644"/>
    </row>
    <row r="2424" spans="8:15" ht="18">
      <c r="H2424" s="26"/>
      <c r="I2424" s="26"/>
      <c r="J2424" s="26"/>
      <c r="K2424" s="644"/>
      <c r="L2424" s="644"/>
      <c r="M2424" s="644"/>
      <c r="N2424" s="644"/>
      <c r="O2424" s="145"/>
    </row>
    <row r="2425" spans="8:15" ht="18.75" customHeight="1">
      <c r="H2425" s="617" t="s">
        <v>2534</v>
      </c>
      <c r="I2425" s="617"/>
      <c r="J2425" s="617"/>
      <c r="K2425" s="617"/>
      <c r="L2425" s="617"/>
      <c r="M2425" s="617"/>
      <c r="N2425" s="617"/>
      <c r="O2425" s="617"/>
    </row>
    <row r="2428" spans="8:15" ht="54.75" customHeight="1">
      <c r="H2428" s="661" t="s">
        <v>1</v>
      </c>
      <c r="I2428" s="661"/>
      <c r="J2428" s="661"/>
      <c r="K2428" s="661"/>
      <c r="L2428" s="661"/>
      <c r="M2428" s="661"/>
      <c r="N2428" s="661"/>
      <c r="O2428" s="661"/>
    </row>
    <row r="2431" spans="8:15" ht="17.25">
      <c r="H2431" s="30"/>
      <c r="I2431" s="503" t="s">
        <v>1903</v>
      </c>
    </row>
    <row r="2432" spans="8:15" ht="17.25" thickBot="1">
      <c r="H2432" s="30"/>
      <c r="N2432" s="141"/>
    </row>
    <row r="2433" spans="8:15">
      <c r="I2433" s="30"/>
      <c r="M2433" s="143"/>
      <c r="O2433" s="144"/>
    </row>
    <row r="2434" spans="8:15">
      <c r="M2434" s="647" t="s">
        <v>2224</v>
      </c>
      <c r="N2434" s="610"/>
      <c r="O2434" s="648"/>
    </row>
    <row r="2435" spans="8:15">
      <c r="H2435" s="12" t="s">
        <v>114</v>
      </c>
      <c r="K2435" s="30" t="s">
        <v>2</v>
      </c>
      <c r="M2435" s="605" t="s">
        <v>2225</v>
      </c>
      <c r="N2435" s="605"/>
      <c r="O2435" s="649"/>
    </row>
    <row r="2436" spans="8:15">
      <c r="M2436" s="601" t="s">
        <v>163</v>
      </c>
      <c r="N2436" s="602"/>
      <c r="O2436" s="603"/>
    </row>
    <row r="2437" spans="8:15" ht="17.25" thickBot="1">
      <c r="M2437" s="140"/>
      <c r="N2437" s="141"/>
      <c r="O2437" s="142"/>
    </row>
    <row r="2439" spans="8:15">
      <c r="H2439" s="30" t="s">
        <v>27</v>
      </c>
      <c r="I2439" s="30" t="s">
        <v>115</v>
      </c>
    </row>
    <row r="2440" spans="8:15" ht="17.25" thickBot="1"/>
    <row r="2441" spans="8:15" ht="17.25" thickBot="1">
      <c r="H2441" s="13" t="s">
        <v>112</v>
      </c>
      <c r="I2441" s="624" t="s">
        <v>4</v>
      </c>
      <c r="J2441" s="625"/>
      <c r="K2441" s="625"/>
      <c r="L2441" s="625"/>
      <c r="M2441" s="625"/>
      <c r="N2441" s="626"/>
      <c r="O2441" s="20" t="s">
        <v>5</v>
      </c>
    </row>
    <row r="2442" spans="8:15" ht="15" customHeight="1">
      <c r="H2442" s="633" t="s">
        <v>2535</v>
      </c>
      <c r="I2442" s="143"/>
      <c r="J2442" s="159"/>
      <c r="K2442" s="159"/>
      <c r="L2442" s="159"/>
      <c r="M2442" s="159"/>
      <c r="N2442" s="144"/>
      <c r="O2442" s="291"/>
    </row>
    <row r="2443" spans="8:15">
      <c r="H2443" s="634"/>
      <c r="I2443" s="64"/>
      <c r="N2443" s="65"/>
      <c r="O2443" s="291"/>
    </row>
    <row r="2444" spans="8:15">
      <c r="H2444" s="634"/>
      <c r="I2444" s="630" t="s">
        <v>286</v>
      </c>
      <c r="J2444" s="631"/>
      <c r="K2444" s="631"/>
      <c r="L2444" s="631"/>
      <c r="M2444" s="631"/>
      <c r="N2444" s="632"/>
      <c r="O2444" s="291"/>
    </row>
    <row r="2445" spans="8:15">
      <c r="H2445" s="634"/>
      <c r="I2445" s="636" t="s">
        <v>2226</v>
      </c>
      <c r="J2445" s="637"/>
      <c r="K2445" s="637"/>
      <c r="L2445" s="637"/>
      <c r="M2445" s="637"/>
      <c r="N2445" s="638"/>
      <c r="O2445" s="148">
        <v>1200000</v>
      </c>
    </row>
    <row r="2446" spans="8:15" ht="15" customHeight="1">
      <c r="H2446" s="634"/>
      <c r="I2446" s="64"/>
      <c r="J2446" s="604"/>
      <c r="K2446" s="604"/>
      <c r="L2446" s="604"/>
      <c r="N2446" s="65"/>
      <c r="O2446" s="291"/>
    </row>
    <row r="2447" spans="8:15" ht="15.75" customHeight="1" thickBot="1">
      <c r="H2447" s="635"/>
      <c r="I2447" s="140"/>
      <c r="J2447" s="141"/>
      <c r="K2447" s="141"/>
      <c r="L2447" s="141"/>
      <c r="M2447" s="141"/>
      <c r="N2447" s="142"/>
      <c r="O2447" s="291"/>
    </row>
    <row r="2448" spans="8:15" ht="17.25" thickBot="1">
      <c r="H2448" s="20" t="s">
        <v>12</v>
      </c>
      <c r="I2448" s="614" t="s">
        <v>13</v>
      </c>
      <c r="J2448" s="615"/>
      <c r="K2448" s="62" t="s">
        <v>14</v>
      </c>
      <c r="L2448" s="63"/>
      <c r="M2448" s="62" t="s">
        <v>15</v>
      </c>
      <c r="N2448" s="62" t="s">
        <v>16</v>
      </c>
      <c r="O2448" s="20" t="s">
        <v>17</v>
      </c>
    </row>
    <row r="2449" spans="8:15" ht="18" thickBot="1">
      <c r="H2449" s="22" t="s">
        <v>18</v>
      </c>
      <c r="I2449" s="606">
        <f>+O2445</f>
        <v>1200000</v>
      </c>
      <c r="J2449" s="607"/>
      <c r="K2449" s="23">
        <f>0</f>
        <v>0</v>
      </c>
      <c r="L2449" s="24"/>
      <c r="M2449" s="25">
        <f>0</f>
        <v>0</v>
      </c>
      <c r="N2449" s="36">
        <f>+I2449</f>
        <v>1200000</v>
      </c>
      <c r="O2449" s="38">
        <f>+O2445</f>
        <v>1200000</v>
      </c>
    </row>
    <row r="2450" spans="8:15" ht="18" thickBot="1">
      <c r="H2450" s="22" t="s">
        <v>113</v>
      </c>
      <c r="I2450" s="606">
        <f>+I2449/650.599</f>
        <v>1844.4541107502469</v>
      </c>
      <c r="J2450" s="607"/>
      <c r="K2450" s="23">
        <f>0</f>
        <v>0</v>
      </c>
      <c r="L2450" s="24"/>
      <c r="M2450" s="25">
        <f>0</f>
        <v>0</v>
      </c>
      <c r="N2450" s="36">
        <f>+I2450</f>
        <v>1844.4541107502469</v>
      </c>
      <c r="O2450" s="38">
        <f>+N2450</f>
        <v>1844.4541107502469</v>
      </c>
    </row>
    <row r="2452" spans="8:15">
      <c r="H2452" s="412" t="s">
        <v>1382</v>
      </c>
      <c r="I2452" s="26"/>
      <c r="J2452" s="26"/>
      <c r="K2452" s="26"/>
      <c r="L2452" s="26"/>
      <c r="M2452" s="26"/>
      <c r="N2452" s="26"/>
    </row>
    <row r="2453" spans="8:15">
      <c r="H2453" s="413" t="s">
        <v>2227</v>
      </c>
      <c r="I2453" s="26"/>
      <c r="J2453" s="26"/>
      <c r="K2453" s="26"/>
      <c r="L2453" s="26"/>
      <c r="M2453" s="26"/>
      <c r="N2453" s="26"/>
    </row>
    <row r="2454" spans="8:15">
      <c r="H2454" s="82" t="s">
        <v>19</v>
      </c>
      <c r="I2454" s="26"/>
      <c r="J2454" s="26"/>
      <c r="K2454" s="26"/>
      <c r="L2454" s="26"/>
      <c r="M2454" s="26"/>
      <c r="N2454" s="26"/>
    </row>
    <row r="2455" spans="8:15">
      <c r="H2455" s="26" t="s">
        <v>965</v>
      </c>
      <c r="I2455" s="26"/>
      <c r="J2455" s="26"/>
      <c r="K2455" s="26"/>
      <c r="L2455" s="26"/>
      <c r="M2455" s="26"/>
      <c r="N2455" s="26"/>
    </row>
    <row r="2456" spans="8:15">
      <c r="H2456" s="26" t="s">
        <v>21</v>
      </c>
      <c r="I2456" s="26"/>
      <c r="J2456" s="26"/>
      <c r="K2456" s="26"/>
      <c r="L2456" s="26"/>
      <c r="M2456" s="26"/>
      <c r="N2456" s="26"/>
    </row>
    <row r="2457" spans="8:15">
      <c r="H2457" s="26" t="s">
        <v>1229</v>
      </c>
      <c r="I2457" s="26"/>
      <c r="J2457" s="26"/>
      <c r="K2457" s="26"/>
      <c r="L2457" s="26"/>
      <c r="M2457" s="26"/>
      <c r="N2457" s="26"/>
    </row>
    <row r="2460" spans="8:15">
      <c r="K2460" s="30" t="s">
        <v>811</v>
      </c>
      <c r="M2460" s="30"/>
      <c r="N2460" s="30"/>
    </row>
    <row r="2461" spans="8:15">
      <c r="K2461" s="30" t="s">
        <v>149</v>
      </c>
      <c r="M2461" s="30"/>
      <c r="N2461" s="30"/>
    </row>
    <row r="2462" spans="8:15">
      <c r="K2462" s="605" t="s">
        <v>150</v>
      </c>
      <c r="L2462" s="605"/>
      <c r="M2462" s="605"/>
      <c r="N2462" s="605"/>
    </row>
    <row r="2463" spans="8:15">
      <c r="K2463" s="30"/>
    </row>
    <row r="2464" spans="8:15">
      <c r="L2464" s="26"/>
      <c r="M2464" s="26"/>
      <c r="N2464" s="26"/>
    </row>
    <row r="2465" spans="8:15" ht="17.25">
      <c r="K2465" s="259" t="s">
        <v>2347</v>
      </c>
      <c r="L2465" s="259"/>
      <c r="M2465" s="259"/>
      <c r="N2465" s="259"/>
    </row>
    <row r="2466" spans="8:15" ht="18">
      <c r="H2466" s="26"/>
      <c r="I2466" s="26"/>
      <c r="J2466" s="26"/>
      <c r="K2466" s="644"/>
      <c r="L2466" s="644"/>
      <c r="M2466" s="644"/>
      <c r="N2466" s="644"/>
      <c r="O2466" s="145"/>
    </row>
    <row r="2467" spans="8:15" ht="18">
      <c r="H2467" s="26"/>
      <c r="I2467" s="26"/>
      <c r="J2467" s="26"/>
      <c r="K2467" s="26"/>
      <c r="L2467" s="373"/>
      <c r="M2467" s="373"/>
      <c r="N2467" s="373"/>
      <c r="O2467" s="145"/>
    </row>
    <row r="2468" spans="8:15">
      <c r="H2468" s="617" t="s">
        <v>0</v>
      </c>
      <c r="I2468" s="617"/>
      <c r="J2468" s="617"/>
      <c r="K2468" s="617"/>
      <c r="L2468" s="617"/>
      <c r="M2468" s="617"/>
      <c r="N2468" s="617"/>
      <c r="O2468" s="617"/>
    </row>
    <row r="2471" spans="8:15" ht="49.5" customHeight="1">
      <c r="H2471" s="642" t="s">
        <v>1</v>
      </c>
      <c r="I2471" s="642"/>
      <c r="J2471" s="642"/>
      <c r="K2471" s="642"/>
      <c r="L2471" s="642"/>
      <c r="M2471" s="642"/>
      <c r="N2471" s="642"/>
      <c r="O2471" s="642"/>
    </row>
    <row r="2474" spans="8:15" ht="17.25">
      <c r="H2474" s="30"/>
      <c r="I2474" s="375" t="s">
        <v>803</v>
      </c>
    </row>
    <row r="2475" spans="8:15" ht="17.25" thickBot="1">
      <c r="H2475" s="30"/>
      <c r="N2475" s="141"/>
    </row>
    <row r="2476" spans="8:15">
      <c r="I2476" s="30"/>
      <c r="M2476" s="143"/>
      <c r="O2476" s="144"/>
    </row>
    <row r="2477" spans="8:15">
      <c r="M2477" s="647" t="s">
        <v>2353</v>
      </c>
      <c r="N2477" s="610"/>
      <c r="O2477" s="648"/>
    </row>
    <row r="2478" spans="8:15">
      <c r="H2478" s="12" t="s">
        <v>114</v>
      </c>
      <c r="K2478" s="30" t="s">
        <v>2</v>
      </c>
      <c r="M2478" s="605" t="s">
        <v>2356</v>
      </c>
      <c r="N2478" s="605"/>
      <c r="O2478" s="649"/>
    </row>
    <row r="2479" spans="8:15">
      <c r="M2479" s="601" t="s">
        <v>163</v>
      </c>
      <c r="N2479" s="602"/>
      <c r="O2479" s="603"/>
    </row>
    <row r="2480" spans="8:15" ht="17.25" thickBot="1">
      <c r="M2480" s="140"/>
      <c r="N2480" s="141"/>
      <c r="O2480" s="142"/>
    </row>
    <row r="2482" spans="8:15">
      <c r="H2482" s="30" t="s">
        <v>27</v>
      </c>
      <c r="I2482" s="30" t="s">
        <v>785</v>
      </c>
    </row>
    <row r="2483" spans="8:15" ht="17.25" thickBot="1"/>
    <row r="2484" spans="8:15" ht="17.25" thickBot="1">
      <c r="H2484" s="13" t="s">
        <v>112</v>
      </c>
      <c r="I2484" s="624" t="s">
        <v>4</v>
      </c>
      <c r="J2484" s="625"/>
      <c r="K2484" s="625"/>
      <c r="L2484" s="625"/>
      <c r="M2484" s="625"/>
      <c r="N2484" s="626"/>
      <c r="O2484" s="20" t="s">
        <v>5</v>
      </c>
    </row>
    <row r="2485" spans="8:15" ht="15" customHeight="1">
      <c r="H2485" s="627" t="s">
        <v>2376</v>
      </c>
      <c r="I2485" s="143"/>
      <c r="J2485" s="159"/>
      <c r="K2485" s="159"/>
      <c r="L2485" s="159"/>
      <c r="M2485" s="159"/>
      <c r="N2485" s="144"/>
      <c r="O2485" s="291"/>
    </row>
    <row r="2486" spans="8:15">
      <c r="H2486" s="628"/>
      <c r="I2486" s="64"/>
      <c r="N2486" s="65"/>
      <c r="O2486" s="291"/>
    </row>
    <row r="2487" spans="8:15">
      <c r="H2487" s="628"/>
      <c r="I2487" s="630" t="s">
        <v>286</v>
      </c>
      <c r="J2487" s="631"/>
      <c r="K2487" s="631"/>
      <c r="L2487" s="631"/>
      <c r="M2487" s="631"/>
      <c r="N2487" s="632"/>
      <c r="O2487" s="291"/>
    </row>
    <row r="2488" spans="8:15">
      <c r="H2488" s="628"/>
      <c r="I2488" s="636" t="s">
        <v>2392</v>
      </c>
      <c r="J2488" s="637"/>
      <c r="K2488" s="637"/>
      <c r="L2488" s="637"/>
      <c r="M2488" s="637"/>
      <c r="N2488" s="638"/>
      <c r="O2488" s="148">
        <v>500000</v>
      </c>
    </row>
    <row r="2489" spans="8:15" ht="15" customHeight="1">
      <c r="H2489" s="628"/>
      <c r="I2489" s="64"/>
      <c r="J2489" s="604"/>
      <c r="K2489" s="604"/>
      <c r="L2489" s="604"/>
      <c r="N2489" s="65"/>
      <c r="O2489" s="291"/>
    </row>
    <row r="2490" spans="8:15" ht="15.75" customHeight="1" thickBot="1">
      <c r="H2490" s="629"/>
      <c r="I2490" s="140"/>
      <c r="J2490" s="141"/>
      <c r="K2490" s="141"/>
      <c r="L2490" s="141"/>
      <c r="M2490" s="141"/>
      <c r="N2490" s="142"/>
      <c r="O2490" s="291"/>
    </row>
    <row r="2491" spans="8:15" ht="17.25" thickBot="1">
      <c r="H2491" s="20" t="s">
        <v>12</v>
      </c>
      <c r="I2491" s="614" t="s">
        <v>13</v>
      </c>
      <c r="J2491" s="615"/>
      <c r="K2491" s="62" t="s">
        <v>14</v>
      </c>
      <c r="L2491" s="63"/>
      <c r="M2491" s="62" t="s">
        <v>15</v>
      </c>
      <c r="N2491" s="62" t="s">
        <v>16</v>
      </c>
      <c r="O2491" s="20" t="s">
        <v>17</v>
      </c>
    </row>
    <row r="2492" spans="8:15" ht="18" thickBot="1">
      <c r="H2492" s="22" t="s">
        <v>18</v>
      </c>
      <c r="I2492" s="606">
        <v>2025956</v>
      </c>
      <c r="J2492" s="607"/>
      <c r="K2492" s="23">
        <f>0</f>
        <v>0</v>
      </c>
      <c r="L2492" s="24"/>
      <c r="M2492" s="25">
        <f>0</f>
        <v>0</v>
      </c>
      <c r="N2492" s="36">
        <f>+I2492</f>
        <v>2025956</v>
      </c>
      <c r="O2492" s="38">
        <f>+O2488</f>
        <v>500000</v>
      </c>
    </row>
    <row r="2493" spans="8:15" ht="18" thickBot="1">
      <c r="H2493" s="22" t="s">
        <v>113</v>
      </c>
      <c r="I2493" s="606">
        <f>+I2492/650.599</f>
        <v>3113.9857269992726</v>
      </c>
      <c r="J2493" s="607"/>
      <c r="K2493" s="23">
        <f>0</f>
        <v>0</v>
      </c>
      <c r="L2493" s="24"/>
      <c r="M2493" s="25">
        <f>0</f>
        <v>0</v>
      </c>
      <c r="N2493" s="36">
        <f>+I2493</f>
        <v>3113.9857269992726</v>
      </c>
      <c r="O2493" s="38">
        <f>+N2493</f>
        <v>3113.9857269992726</v>
      </c>
    </row>
    <row r="2495" spans="8:15">
      <c r="H2495" s="395" t="s">
        <v>1268</v>
      </c>
      <c r="I2495" s="26"/>
      <c r="J2495" s="26"/>
      <c r="K2495" s="26"/>
      <c r="L2495" s="26"/>
      <c r="M2495" s="26"/>
      <c r="N2495" s="26"/>
    </row>
    <row r="2496" spans="8:15">
      <c r="H2496" s="408" t="s">
        <v>2393</v>
      </c>
      <c r="I2496" s="26"/>
      <c r="J2496" s="26"/>
      <c r="K2496" s="26"/>
      <c r="L2496" s="26"/>
      <c r="M2496" s="26"/>
      <c r="N2496" s="26"/>
    </row>
    <row r="2497" spans="8:15">
      <c r="H2497" s="82" t="s">
        <v>19</v>
      </c>
      <c r="I2497" s="26"/>
      <c r="J2497" s="26"/>
      <c r="K2497" s="26"/>
      <c r="L2497" s="26"/>
      <c r="M2497" s="26"/>
      <c r="N2497" s="26"/>
    </row>
    <row r="2498" spans="8:15">
      <c r="H2498" s="26" t="s">
        <v>965</v>
      </c>
      <c r="I2498" s="26"/>
      <c r="J2498" s="26"/>
      <c r="K2498" s="26"/>
      <c r="L2498" s="26"/>
      <c r="M2498" s="26"/>
      <c r="N2498" s="26"/>
    </row>
    <row r="2499" spans="8:15">
      <c r="H2499" s="26" t="s">
        <v>21</v>
      </c>
      <c r="I2499" s="26"/>
      <c r="J2499" s="26"/>
      <c r="K2499" s="26"/>
      <c r="L2499" s="26"/>
      <c r="M2499" s="26"/>
      <c r="N2499" s="26"/>
    </row>
    <row r="2500" spans="8:15">
      <c r="H2500" s="26" t="s">
        <v>1229</v>
      </c>
      <c r="I2500" s="26"/>
      <c r="J2500" s="26"/>
      <c r="K2500" s="26"/>
      <c r="L2500" s="26"/>
      <c r="M2500" s="26"/>
      <c r="N2500" s="26"/>
    </row>
    <row r="2503" spans="8:15">
      <c r="K2503" s="30" t="s">
        <v>811</v>
      </c>
      <c r="M2503" s="30"/>
      <c r="N2503" s="30"/>
    </row>
    <row r="2504" spans="8:15">
      <c r="K2504" s="30" t="s">
        <v>149</v>
      </c>
      <c r="M2504" s="30"/>
      <c r="N2504" s="30"/>
    </row>
    <row r="2505" spans="8:15">
      <c r="K2505" s="605" t="s">
        <v>150</v>
      </c>
      <c r="L2505" s="605"/>
      <c r="M2505" s="605"/>
      <c r="N2505" s="605"/>
    </row>
    <row r="2506" spans="8:15">
      <c r="K2506" s="30"/>
    </row>
    <row r="2507" spans="8:15">
      <c r="L2507" s="26"/>
      <c r="M2507" s="26"/>
      <c r="N2507" s="26"/>
    </row>
    <row r="2508" spans="8:15" ht="18">
      <c r="K2508" s="145"/>
      <c r="L2508" s="145"/>
      <c r="M2508" s="145"/>
      <c r="N2508" s="145"/>
    </row>
    <row r="2509" spans="8:15" ht="18">
      <c r="H2509" s="26"/>
      <c r="I2509" s="26"/>
      <c r="J2509" s="26"/>
      <c r="K2509" s="644" t="s">
        <v>2347</v>
      </c>
      <c r="L2509" s="644"/>
      <c r="M2509" s="644"/>
      <c r="N2509" s="644"/>
      <c r="O2509" s="145"/>
    </row>
    <row r="2510" spans="8:15" ht="18">
      <c r="H2510" s="26"/>
      <c r="I2510" s="26"/>
      <c r="J2510" s="26"/>
      <c r="K2510" s="26"/>
      <c r="L2510" s="373"/>
      <c r="M2510" s="373"/>
      <c r="N2510" s="373"/>
      <c r="O2510" s="145"/>
    </row>
    <row r="2511" spans="8:15">
      <c r="H2511" s="617" t="s">
        <v>0</v>
      </c>
      <c r="I2511" s="617"/>
      <c r="J2511" s="617"/>
      <c r="K2511" s="617"/>
      <c r="L2511" s="617"/>
      <c r="M2511" s="617"/>
      <c r="N2511" s="617"/>
      <c r="O2511" s="617"/>
    </row>
    <row r="2514" spans="8:15" ht="49.5" customHeight="1">
      <c r="H2514" s="642" t="s">
        <v>1</v>
      </c>
      <c r="I2514" s="642"/>
      <c r="J2514" s="642"/>
      <c r="K2514" s="642"/>
      <c r="L2514" s="642"/>
      <c r="M2514" s="642"/>
      <c r="N2514" s="642"/>
      <c r="O2514" s="642"/>
    </row>
    <row r="2517" spans="8:15" ht="17.25">
      <c r="H2517" s="30"/>
      <c r="I2517" s="375" t="s">
        <v>2515</v>
      </c>
    </row>
    <row r="2518" spans="8:15" ht="17.25" thickBot="1">
      <c r="H2518" s="30"/>
      <c r="N2518" s="141"/>
    </row>
    <row r="2519" spans="8:15">
      <c r="I2519" s="30"/>
      <c r="M2519" s="143"/>
      <c r="O2519" s="144"/>
    </row>
    <row r="2520" spans="8:15">
      <c r="M2520" s="647" t="s">
        <v>2512</v>
      </c>
      <c r="N2520" s="610"/>
      <c r="O2520" s="648"/>
    </row>
    <row r="2521" spans="8:15">
      <c r="H2521" s="12" t="s">
        <v>114</v>
      </c>
      <c r="K2521" s="30" t="s">
        <v>2</v>
      </c>
      <c r="M2521" s="605" t="s">
        <v>2516</v>
      </c>
      <c r="N2521" s="605"/>
      <c r="O2521" s="649"/>
    </row>
    <row r="2522" spans="8:15">
      <c r="M2522" s="601" t="s">
        <v>163</v>
      </c>
      <c r="N2522" s="602"/>
      <c r="O2522" s="603"/>
    </row>
    <row r="2523" spans="8:15" ht="17.25" thickBot="1">
      <c r="M2523" s="140"/>
      <c r="N2523" s="141"/>
      <c r="O2523" s="142"/>
    </row>
    <row r="2525" spans="8:15">
      <c r="H2525" s="30" t="s">
        <v>27</v>
      </c>
      <c r="I2525" s="30" t="s">
        <v>145</v>
      </c>
    </row>
    <row r="2526" spans="8:15" ht="17.25" thickBot="1"/>
    <row r="2527" spans="8:15" ht="17.25" thickBot="1">
      <c r="H2527" s="13" t="s">
        <v>112</v>
      </c>
      <c r="I2527" s="624" t="s">
        <v>4</v>
      </c>
      <c r="J2527" s="625"/>
      <c r="K2527" s="625"/>
      <c r="L2527" s="625"/>
      <c r="M2527" s="625"/>
      <c r="N2527" s="626"/>
      <c r="O2527" s="20" t="s">
        <v>5</v>
      </c>
    </row>
    <row r="2528" spans="8:15" ht="15" customHeight="1">
      <c r="H2528" s="627" t="s">
        <v>2445</v>
      </c>
      <c r="I2528" s="143"/>
      <c r="J2528" s="159"/>
      <c r="K2528" s="159"/>
      <c r="L2528" s="159"/>
      <c r="M2528" s="159"/>
      <c r="N2528" s="144"/>
      <c r="O2528" s="291"/>
    </row>
    <row r="2529" spans="8:15">
      <c r="H2529" s="628"/>
      <c r="I2529" s="64"/>
      <c r="N2529" s="65"/>
      <c r="O2529" s="291"/>
    </row>
    <row r="2530" spans="8:15">
      <c r="H2530" s="628"/>
      <c r="I2530" s="630" t="s">
        <v>286</v>
      </c>
      <c r="J2530" s="631"/>
      <c r="K2530" s="631"/>
      <c r="L2530" s="631"/>
      <c r="M2530" s="631"/>
      <c r="N2530" s="632"/>
      <c r="O2530" s="291"/>
    </row>
    <row r="2531" spans="8:15">
      <c r="H2531" s="628"/>
      <c r="I2531" s="636" t="s">
        <v>2513</v>
      </c>
      <c r="J2531" s="637"/>
      <c r="K2531" s="637"/>
      <c r="L2531" s="637"/>
      <c r="M2531" s="637"/>
      <c r="N2531" s="638"/>
      <c r="O2531" s="148">
        <v>1200000</v>
      </c>
    </row>
    <row r="2532" spans="8:15" ht="15" customHeight="1">
      <c r="H2532" s="628"/>
      <c r="I2532" s="64"/>
      <c r="J2532" s="30"/>
      <c r="K2532" s="30"/>
      <c r="L2532" s="30"/>
      <c r="N2532" s="65"/>
      <c r="O2532" s="291"/>
    </row>
    <row r="2533" spans="8:15" ht="15.75" customHeight="1" thickBot="1">
      <c r="H2533" s="629"/>
      <c r="I2533" s="140"/>
      <c r="J2533" s="141"/>
      <c r="K2533" s="141"/>
      <c r="L2533" s="141"/>
      <c r="M2533" s="141"/>
      <c r="N2533" s="142"/>
      <c r="O2533" s="291"/>
    </row>
    <row r="2534" spans="8:15" ht="17.25" thickBot="1">
      <c r="H2534" s="20" t="s">
        <v>12</v>
      </c>
      <c r="I2534" s="614" t="s">
        <v>13</v>
      </c>
      <c r="J2534" s="615"/>
      <c r="K2534" s="62" t="s">
        <v>14</v>
      </c>
      <c r="L2534" s="63"/>
      <c r="M2534" s="62" t="s">
        <v>15</v>
      </c>
      <c r="N2534" s="62" t="s">
        <v>16</v>
      </c>
      <c r="O2534" s="20" t="s">
        <v>17</v>
      </c>
    </row>
    <row r="2535" spans="8:15" ht="18" thickBot="1">
      <c r="H2535" s="22" t="s">
        <v>18</v>
      </c>
      <c r="I2535" s="606">
        <f>+O2531</f>
        <v>1200000</v>
      </c>
      <c r="J2535" s="607"/>
      <c r="K2535" s="23">
        <f>0</f>
        <v>0</v>
      </c>
      <c r="L2535" s="24"/>
      <c r="M2535" s="25">
        <f>0</f>
        <v>0</v>
      </c>
      <c r="N2535" s="36">
        <f>+I2535</f>
        <v>1200000</v>
      </c>
      <c r="O2535" s="38">
        <f>+O2531</f>
        <v>1200000</v>
      </c>
    </row>
    <row r="2536" spans="8:15" ht="18" thickBot="1">
      <c r="H2536" s="22" t="s">
        <v>113</v>
      </c>
      <c r="I2536" s="606">
        <f>+I2535/650.599</f>
        <v>1844.4541107502469</v>
      </c>
      <c r="J2536" s="607"/>
      <c r="K2536" s="23">
        <f>0</f>
        <v>0</v>
      </c>
      <c r="L2536" s="24"/>
      <c r="M2536" s="25">
        <f>0</f>
        <v>0</v>
      </c>
      <c r="N2536" s="36">
        <f>+I2536</f>
        <v>1844.4541107502469</v>
      </c>
      <c r="O2536" s="38">
        <f>+N2536</f>
        <v>1844.4541107502469</v>
      </c>
    </row>
    <row r="2538" spans="8:15">
      <c r="H2538" s="412" t="s">
        <v>1268</v>
      </c>
      <c r="I2538" s="26"/>
      <c r="J2538" s="26"/>
      <c r="K2538" s="26"/>
      <c r="L2538" s="26"/>
      <c r="M2538" s="26"/>
      <c r="N2538" s="26"/>
    </row>
    <row r="2539" spans="8:15">
      <c r="H2539" s="413" t="s">
        <v>2514</v>
      </c>
      <c r="I2539" s="410"/>
      <c r="J2539" s="410"/>
      <c r="K2539" s="410"/>
      <c r="L2539" s="410"/>
      <c r="M2539" s="410"/>
      <c r="N2539" s="410"/>
    </row>
    <row r="2540" spans="8:15">
      <c r="H2540" s="411" t="s">
        <v>19</v>
      </c>
      <c r="I2540" s="410"/>
      <c r="J2540" s="410"/>
      <c r="K2540" s="410"/>
      <c r="L2540" s="410"/>
      <c r="M2540" s="410"/>
      <c r="N2540" s="410"/>
    </row>
    <row r="2541" spans="8:15">
      <c r="H2541" s="410" t="s">
        <v>1914</v>
      </c>
      <c r="I2541" s="410"/>
      <c r="J2541" s="410"/>
      <c r="K2541" s="410"/>
      <c r="L2541" s="410"/>
      <c r="M2541" s="410"/>
      <c r="N2541" s="410"/>
    </row>
    <row r="2542" spans="8:15">
      <c r="H2542" s="410" t="s">
        <v>21</v>
      </c>
      <c r="I2542" s="410"/>
      <c r="J2542" s="410"/>
      <c r="K2542" s="410"/>
      <c r="L2542" s="410"/>
      <c r="M2542" s="410"/>
      <c r="N2542" s="410"/>
    </row>
    <row r="2543" spans="8:15">
      <c r="H2543" s="410" t="s">
        <v>1229</v>
      </c>
      <c r="I2543" s="410"/>
      <c r="J2543" s="410"/>
      <c r="K2543" s="410"/>
      <c r="L2543" s="410"/>
      <c r="M2543" s="410"/>
      <c r="N2543" s="410"/>
    </row>
    <row r="2546" spans="8:15">
      <c r="K2546" s="30" t="s">
        <v>24</v>
      </c>
      <c r="M2546" s="30"/>
      <c r="N2546" s="30"/>
    </row>
    <row r="2547" spans="8:15">
      <c r="K2547" s="30" t="s">
        <v>149</v>
      </c>
      <c r="M2547" s="30"/>
      <c r="N2547" s="30"/>
    </row>
    <row r="2548" spans="8:15">
      <c r="K2548" s="605" t="s">
        <v>150</v>
      </c>
      <c r="L2548" s="605"/>
      <c r="M2548" s="605"/>
      <c r="N2548" s="605"/>
    </row>
    <row r="2549" spans="8:15">
      <c r="K2549" s="477"/>
      <c r="L2549" s="477"/>
      <c r="M2549" s="477"/>
      <c r="N2549" s="477"/>
    </row>
    <row r="2550" spans="8:15">
      <c r="K2550" s="30"/>
    </row>
    <row r="2551" spans="8:15">
      <c r="L2551" s="26"/>
      <c r="M2551" s="26"/>
      <c r="N2551" s="26"/>
    </row>
    <row r="2552" spans="8:15" ht="18" customHeight="1">
      <c r="K2552" s="644" t="s">
        <v>2347</v>
      </c>
      <c r="L2552" s="644"/>
      <c r="M2552" s="644"/>
      <c r="N2552" s="644"/>
    </row>
    <row r="2553" spans="8:15" ht="18">
      <c r="H2553" s="26"/>
      <c r="I2553" s="26"/>
      <c r="J2553" s="26"/>
      <c r="K2553" s="644"/>
      <c r="L2553" s="644"/>
      <c r="M2553" s="644"/>
      <c r="N2553" s="644"/>
      <c r="O2553" s="145"/>
    </row>
    <row r="2554" spans="8:15" ht="18">
      <c r="H2554" s="26"/>
      <c r="I2554" s="26"/>
      <c r="J2554" s="26"/>
      <c r="K2554" s="361"/>
      <c r="L2554" s="361"/>
      <c r="M2554" s="361"/>
      <c r="N2554" s="361"/>
      <c r="O2554" s="145"/>
    </row>
    <row r="2555" spans="8:15" ht="18">
      <c r="H2555" s="26"/>
      <c r="I2555" s="26"/>
      <c r="J2555" s="26"/>
      <c r="K2555" s="361"/>
      <c r="L2555" s="361"/>
      <c r="M2555" s="361"/>
      <c r="N2555" s="361"/>
      <c r="O2555" s="145"/>
    </row>
    <row r="2556" spans="8:15" ht="18">
      <c r="H2556" s="26"/>
      <c r="I2556" s="26"/>
      <c r="J2556" s="26"/>
      <c r="K2556" s="26"/>
      <c r="L2556" s="373"/>
      <c r="M2556" s="373"/>
      <c r="N2556" s="373"/>
      <c r="O2556" s="145"/>
    </row>
    <row r="2557" spans="8:15" ht="18" customHeight="1">
      <c r="H2557" s="617" t="s">
        <v>0</v>
      </c>
      <c r="I2557" s="617"/>
      <c r="J2557" s="617"/>
      <c r="K2557" s="617"/>
      <c r="L2557" s="617"/>
      <c r="M2557" s="617"/>
      <c r="N2557" s="617"/>
      <c r="O2557" s="617"/>
    </row>
    <row r="2560" spans="8:15" ht="49.5" customHeight="1">
      <c r="H2560" s="642" t="s">
        <v>1</v>
      </c>
      <c r="I2560" s="642"/>
      <c r="J2560" s="642"/>
      <c r="K2560" s="642"/>
      <c r="L2560" s="642"/>
      <c r="M2560" s="642"/>
      <c r="N2560" s="642"/>
      <c r="O2560" s="642"/>
    </row>
    <row r="2563" spans="8:15" ht="17.25">
      <c r="H2563" s="30"/>
      <c r="I2563" s="375" t="s">
        <v>706</v>
      </c>
    </row>
    <row r="2564" spans="8:15" ht="17.25" thickBot="1">
      <c r="H2564" s="30"/>
      <c r="N2564" s="141"/>
    </row>
    <row r="2565" spans="8:15">
      <c r="I2565" s="30"/>
      <c r="M2565" s="143"/>
      <c r="O2565" s="144"/>
    </row>
    <row r="2566" spans="8:15">
      <c r="M2566" s="647" t="s">
        <v>1951</v>
      </c>
      <c r="N2566" s="610"/>
      <c r="O2566" s="648"/>
    </row>
    <row r="2567" spans="8:15">
      <c r="H2567" s="12" t="s">
        <v>114</v>
      </c>
      <c r="K2567" s="30" t="s">
        <v>2</v>
      </c>
      <c r="M2567" s="605" t="s">
        <v>1952</v>
      </c>
      <c r="N2567" s="605"/>
      <c r="O2567" s="649"/>
    </row>
    <row r="2568" spans="8:15">
      <c r="M2568" s="601" t="s">
        <v>163</v>
      </c>
      <c r="N2568" s="602"/>
      <c r="O2568" s="603"/>
    </row>
    <row r="2569" spans="8:15" ht="17.25" thickBot="1">
      <c r="M2569" s="140"/>
      <c r="N2569" s="141"/>
      <c r="O2569" s="142"/>
    </row>
    <row r="2571" spans="8:15">
      <c r="H2571" s="30" t="s">
        <v>27</v>
      </c>
      <c r="I2571" s="30" t="s">
        <v>1675</v>
      </c>
    </row>
    <row r="2572" spans="8:15" ht="17.25" thickBot="1"/>
    <row r="2573" spans="8:15" ht="17.25" thickBot="1">
      <c r="H2573" s="13" t="s">
        <v>112</v>
      </c>
      <c r="I2573" s="624" t="s">
        <v>4</v>
      </c>
      <c r="J2573" s="625"/>
      <c r="K2573" s="625"/>
      <c r="L2573" s="625"/>
      <c r="M2573" s="625"/>
      <c r="N2573" s="626"/>
      <c r="O2573" s="20" t="s">
        <v>5</v>
      </c>
    </row>
    <row r="2574" spans="8:15" ht="15" customHeight="1">
      <c r="H2574" s="627" t="s">
        <v>1953</v>
      </c>
      <c r="I2574" s="143"/>
      <c r="J2574" s="159"/>
      <c r="K2574" s="159"/>
      <c r="L2574" s="159"/>
      <c r="M2574" s="159"/>
      <c r="N2574" s="144"/>
      <c r="O2574" s="291"/>
    </row>
    <row r="2575" spans="8:15">
      <c r="H2575" s="634"/>
      <c r="I2575" s="64"/>
      <c r="N2575" s="65"/>
      <c r="O2575" s="291"/>
    </row>
    <row r="2576" spans="8:15">
      <c r="H2576" s="634"/>
      <c r="I2576" s="630" t="s">
        <v>286</v>
      </c>
      <c r="J2576" s="631"/>
      <c r="K2576" s="631"/>
      <c r="L2576" s="631"/>
      <c r="M2576" s="631"/>
      <c r="N2576" s="632"/>
      <c r="O2576" s="291"/>
    </row>
    <row r="2577" spans="8:15">
      <c r="H2577" s="634"/>
      <c r="I2577" s="636" t="s">
        <v>1954</v>
      </c>
      <c r="J2577" s="637"/>
      <c r="K2577" s="637"/>
      <c r="L2577" s="637"/>
      <c r="M2577" s="637"/>
      <c r="N2577" s="638"/>
      <c r="O2577" s="148">
        <v>2700000</v>
      </c>
    </row>
    <row r="2578" spans="8:15" ht="15" customHeight="1">
      <c r="H2578" s="634"/>
      <c r="I2578" s="64"/>
      <c r="J2578" s="604"/>
      <c r="K2578" s="604"/>
      <c r="L2578" s="604"/>
      <c r="N2578" s="65"/>
      <c r="O2578" s="291"/>
    </row>
    <row r="2579" spans="8:15" ht="15.75" customHeight="1" thickBot="1">
      <c r="H2579" s="635"/>
      <c r="I2579" s="140"/>
      <c r="J2579" s="141"/>
      <c r="K2579" s="141"/>
      <c r="L2579" s="141"/>
      <c r="M2579" s="141"/>
      <c r="N2579" s="142"/>
      <c r="O2579" s="291"/>
    </row>
    <row r="2580" spans="8:15" ht="17.25" thickBot="1">
      <c r="H2580" s="20" t="s">
        <v>12</v>
      </c>
      <c r="I2580" s="614" t="s">
        <v>13</v>
      </c>
      <c r="J2580" s="615"/>
      <c r="K2580" s="62" t="s">
        <v>14</v>
      </c>
      <c r="L2580" s="63"/>
      <c r="M2580" s="62" t="s">
        <v>15</v>
      </c>
      <c r="N2580" s="62" t="s">
        <v>16</v>
      </c>
      <c r="O2580" s="20" t="s">
        <v>17</v>
      </c>
    </row>
    <row r="2581" spans="8:15" ht="18" thickBot="1">
      <c r="H2581" s="22" t="s">
        <v>18</v>
      </c>
      <c r="I2581" s="606">
        <f>+O2577</f>
        <v>2700000</v>
      </c>
      <c r="J2581" s="607"/>
      <c r="K2581" s="23">
        <f>0</f>
        <v>0</v>
      </c>
      <c r="L2581" s="24"/>
      <c r="M2581" s="25">
        <f>0</f>
        <v>0</v>
      </c>
      <c r="N2581" s="36">
        <f>+I2581</f>
        <v>2700000</v>
      </c>
      <c r="O2581" s="38">
        <f>+O2577</f>
        <v>2700000</v>
      </c>
    </row>
    <row r="2582" spans="8:15" ht="18" thickBot="1">
      <c r="H2582" s="22" t="s">
        <v>113</v>
      </c>
      <c r="I2582" s="606">
        <f>+I2581/650.599</f>
        <v>4150.0217491880558</v>
      </c>
      <c r="J2582" s="607"/>
      <c r="K2582" s="23">
        <f>0</f>
        <v>0</v>
      </c>
      <c r="L2582" s="24"/>
      <c r="M2582" s="25">
        <f>0</f>
        <v>0</v>
      </c>
      <c r="N2582" s="36">
        <f>+I2582</f>
        <v>4150.0217491880558</v>
      </c>
      <c r="O2582" s="38">
        <f>+N2582</f>
        <v>4150.0217491880558</v>
      </c>
    </row>
    <row r="2584" spans="8:15">
      <c r="H2584" s="410" t="s">
        <v>1268</v>
      </c>
      <c r="I2584" s="26"/>
      <c r="J2584" s="26"/>
      <c r="K2584" s="26"/>
      <c r="L2584" s="26"/>
      <c r="M2584" s="26"/>
      <c r="N2584" s="26"/>
    </row>
    <row r="2585" spans="8:15">
      <c r="H2585" s="411" t="s">
        <v>1955</v>
      </c>
      <c r="I2585" s="26"/>
      <c r="J2585" s="26"/>
      <c r="K2585" s="26"/>
      <c r="L2585" s="26"/>
      <c r="M2585" s="26"/>
      <c r="N2585" s="26"/>
    </row>
    <row r="2586" spans="8:15">
      <c r="H2586" s="82" t="s">
        <v>19</v>
      </c>
      <c r="I2586" s="26"/>
      <c r="J2586" s="26"/>
      <c r="K2586" s="26"/>
      <c r="L2586" s="26"/>
      <c r="M2586" s="26"/>
      <c r="N2586" s="26"/>
    </row>
    <row r="2587" spans="8:15">
      <c r="H2587" s="26" t="s">
        <v>965</v>
      </c>
      <c r="I2587" s="26"/>
      <c r="J2587" s="26"/>
      <c r="K2587" s="26"/>
      <c r="L2587" s="26"/>
      <c r="M2587" s="26"/>
      <c r="N2587" s="26"/>
    </row>
    <row r="2588" spans="8:15">
      <c r="H2588" s="26" t="s">
        <v>21</v>
      </c>
      <c r="I2588" s="26"/>
      <c r="J2588" s="26"/>
      <c r="K2588" s="26"/>
      <c r="L2588" s="26"/>
      <c r="M2588" s="26"/>
      <c r="N2588" s="26"/>
    </row>
    <row r="2589" spans="8:15">
      <c r="H2589" s="26" t="s">
        <v>1229</v>
      </c>
      <c r="I2589" s="26"/>
      <c r="J2589" s="26"/>
      <c r="K2589" s="26"/>
      <c r="L2589" s="26"/>
      <c r="M2589" s="26"/>
      <c r="N2589" s="26"/>
    </row>
    <row r="2592" spans="8:15">
      <c r="K2592" s="30" t="s">
        <v>24</v>
      </c>
      <c r="M2592" s="30"/>
      <c r="N2592" s="30"/>
    </row>
    <row r="2593" spans="8:15">
      <c r="K2593" s="30" t="s">
        <v>149</v>
      </c>
      <c r="M2593" s="30"/>
      <c r="N2593" s="30"/>
    </row>
    <row r="2594" spans="8:15">
      <c r="K2594" s="605" t="s">
        <v>150</v>
      </c>
      <c r="L2594" s="605"/>
      <c r="M2594" s="605"/>
      <c r="N2594" s="605"/>
    </row>
    <row r="2595" spans="8:15">
      <c r="K2595" s="30"/>
    </row>
    <row r="2596" spans="8:15">
      <c r="L2596" s="26"/>
      <c r="M2596" s="26"/>
      <c r="N2596" s="26"/>
    </row>
    <row r="2597" spans="8:15" ht="18">
      <c r="K2597" s="145"/>
      <c r="L2597" s="145"/>
      <c r="M2597" s="145"/>
      <c r="N2597" s="145"/>
    </row>
    <row r="2598" spans="8:15" ht="18">
      <c r="H2598" s="26"/>
      <c r="I2598" s="26"/>
      <c r="J2598" s="26"/>
      <c r="K2598" s="145"/>
      <c r="L2598" s="145" t="s">
        <v>1696</v>
      </c>
      <c r="M2598" s="145"/>
      <c r="N2598" s="145"/>
      <c r="O2598" s="145"/>
    </row>
    <row r="2599" spans="8:15" ht="18">
      <c r="H2599" s="26"/>
      <c r="I2599" s="26"/>
      <c r="J2599" s="26"/>
      <c r="K2599" s="26"/>
      <c r="L2599" s="373"/>
      <c r="M2599" s="373"/>
      <c r="N2599" s="373"/>
      <c r="O2599" s="145"/>
    </row>
    <row r="2600" spans="8:15">
      <c r="H2600" s="617" t="s">
        <v>0</v>
      </c>
      <c r="I2600" s="617"/>
      <c r="J2600" s="617"/>
      <c r="K2600" s="617"/>
      <c r="L2600" s="617"/>
      <c r="M2600" s="617"/>
      <c r="N2600" s="617"/>
      <c r="O2600" s="617"/>
    </row>
    <row r="2603" spans="8:15" ht="49.5" customHeight="1">
      <c r="H2603" s="642" t="s">
        <v>1</v>
      </c>
      <c r="I2603" s="642"/>
      <c r="J2603" s="642"/>
      <c r="K2603" s="642"/>
      <c r="L2603" s="642"/>
      <c r="M2603" s="642"/>
      <c r="N2603" s="642"/>
      <c r="O2603" s="642"/>
    </row>
    <row r="2606" spans="8:15">
      <c r="H2606" s="30"/>
      <c r="I2606" s="30" t="s">
        <v>1418</v>
      </c>
    </row>
    <row r="2607" spans="8:15" ht="17.25" thickBot="1">
      <c r="H2607" s="30"/>
      <c r="N2607" s="141"/>
    </row>
    <row r="2608" spans="8:15">
      <c r="I2608" s="30"/>
      <c r="M2608" s="143"/>
      <c r="O2608" s="144"/>
    </row>
    <row r="2609" spans="8:15">
      <c r="M2609" s="647" t="s">
        <v>1773</v>
      </c>
      <c r="N2609" s="610"/>
      <c r="O2609" s="648"/>
    </row>
    <row r="2610" spans="8:15">
      <c r="H2610" s="12" t="s">
        <v>114</v>
      </c>
      <c r="K2610" s="30" t="s">
        <v>2</v>
      </c>
      <c r="M2610" s="605" t="s">
        <v>808</v>
      </c>
      <c r="N2610" s="605"/>
      <c r="O2610" s="649"/>
    </row>
    <row r="2611" spans="8:15">
      <c r="M2611" s="601" t="s">
        <v>163</v>
      </c>
      <c r="N2611" s="602"/>
      <c r="O2611" s="603"/>
    </row>
    <row r="2612" spans="8:15" ht="17.25" thickBot="1">
      <c r="M2612" s="140"/>
      <c r="N2612" s="141"/>
      <c r="O2612" s="142"/>
    </row>
    <row r="2614" spans="8:15">
      <c r="H2614" s="30" t="s">
        <v>27</v>
      </c>
      <c r="I2614" s="30" t="s">
        <v>784</v>
      </c>
    </row>
    <row r="2615" spans="8:15" ht="17.25" thickBot="1"/>
    <row r="2616" spans="8:15" ht="17.25" thickBot="1">
      <c r="H2616" s="13" t="s">
        <v>112</v>
      </c>
      <c r="I2616" s="624" t="s">
        <v>4</v>
      </c>
      <c r="J2616" s="625"/>
      <c r="K2616" s="625"/>
      <c r="L2616" s="625"/>
      <c r="M2616" s="625"/>
      <c r="N2616" s="626"/>
      <c r="O2616" s="20" t="s">
        <v>5</v>
      </c>
    </row>
    <row r="2617" spans="8:15">
      <c r="H2617" s="633" t="s">
        <v>1716</v>
      </c>
      <c r="I2617" s="143"/>
      <c r="J2617" s="159"/>
      <c r="K2617" s="159"/>
      <c r="L2617" s="159"/>
      <c r="M2617" s="159"/>
      <c r="N2617" s="144"/>
      <c r="O2617" s="291"/>
    </row>
    <row r="2618" spans="8:15">
      <c r="H2618" s="634"/>
      <c r="I2618" s="64"/>
      <c r="N2618" s="65"/>
      <c r="O2618" s="291"/>
    </row>
    <row r="2619" spans="8:15">
      <c r="H2619" s="634"/>
      <c r="I2619" s="630" t="s">
        <v>286</v>
      </c>
      <c r="J2619" s="631"/>
      <c r="K2619" s="631"/>
      <c r="L2619" s="631"/>
      <c r="M2619" s="631"/>
      <c r="N2619" s="632"/>
      <c r="O2619" s="291"/>
    </row>
    <row r="2620" spans="8:15">
      <c r="H2620" s="634"/>
      <c r="I2620" s="636" t="s">
        <v>1772</v>
      </c>
      <c r="J2620" s="637"/>
      <c r="K2620" s="637"/>
      <c r="L2620" s="637"/>
      <c r="M2620" s="637"/>
      <c r="N2620" s="638"/>
      <c r="O2620" s="148">
        <v>630000</v>
      </c>
    </row>
    <row r="2621" spans="8:15">
      <c r="H2621" s="634"/>
      <c r="I2621" s="64"/>
      <c r="J2621" s="604"/>
      <c r="K2621" s="604"/>
      <c r="L2621" s="604"/>
      <c r="N2621" s="65"/>
      <c r="O2621" s="291"/>
    </row>
    <row r="2622" spans="8:15" ht="17.25" thickBot="1">
      <c r="H2622" s="635"/>
      <c r="I2622" s="140"/>
      <c r="J2622" s="141"/>
      <c r="K2622" s="141"/>
      <c r="L2622" s="141"/>
      <c r="M2622" s="141"/>
      <c r="N2622" s="142"/>
      <c r="O2622" s="291"/>
    </row>
    <row r="2623" spans="8:15" ht="17.25" thickBot="1">
      <c r="H2623" s="20" t="s">
        <v>12</v>
      </c>
      <c r="I2623" s="614" t="s">
        <v>13</v>
      </c>
      <c r="J2623" s="615"/>
      <c r="K2623" s="62" t="s">
        <v>14</v>
      </c>
      <c r="L2623" s="63"/>
      <c r="M2623" s="62" t="s">
        <v>15</v>
      </c>
      <c r="N2623" s="62" t="s">
        <v>16</v>
      </c>
      <c r="O2623" s="20" t="s">
        <v>17</v>
      </c>
    </row>
    <row r="2624" spans="8:15" ht="18" thickBot="1">
      <c r="H2624" s="22" t="s">
        <v>18</v>
      </c>
      <c r="I2624" s="606">
        <f>+O2620</f>
        <v>630000</v>
      </c>
      <c r="J2624" s="607"/>
      <c r="K2624" s="23">
        <f>0</f>
        <v>0</v>
      </c>
      <c r="L2624" s="24"/>
      <c r="M2624" s="25">
        <f>0</f>
        <v>0</v>
      </c>
      <c r="N2624" s="36">
        <f>+I2624</f>
        <v>630000</v>
      </c>
      <c r="O2624" s="38">
        <f>+O2620</f>
        <v>630000</v>
      </c>
    </row>
    <row r="2625" spans="8:15" ht="18" thickBot="1">
      <c r="H2625" s="22" t="s">
        <v>113</v>
      </c>
      <c r="I2625" s="606">
        <f>+I2624/650.599</f>
        <v>968.33840814387963</v>
      </c>
      <c r="J2625" s="607"/>
      <c r="K2625" s="23">
        <f>0</f>
        <v>0</v>
      </c>
      <c r="L2625" s="24"/>
      <c r="M2625" s="25">
        <f>0</f>
        <v>0</v>
      </c>
      <c r="N2625" s="36">
        <f>+I2625</f>
        <v>968.33840814387963</v>
      </c>
      <c r="O2625" s="38">
        <f>+N2625</f>
        <v>968.33840814387963</v>
      </c>
    </row>
    <row r="2627" spans="8:15">
      <c r="H2627" s="412" t="s">
        <v>1268</v>
      </c>
      <c r="I2627" s="26"/>
      <c r="J2627" s="26"/>
      <c r="K2627" s="26"/>
      <c r="L2627" s="26"/>
      <c r="M2627" s="26"/>
      <c r="N2627" s="26"/>
    </row>
    <row r="2628" spans="8:15">
      <c r="H2628" s="413" t="s">
        <v>1780</v>
      </c>
      <c r="I2628" s="26"/>
      <c r="J2628" s="26"/>
      <c r="K2628" s="26"/>
      <c r="L2628" s="26"/>
      <c r="M2628" s="26"/>
      <c r="N2628" s="26"/>
    </row>
    <row r="2629" spans="8:15">
      <c r="H2629" s="82" t="s">
        <v>19</v>
      </c>
      <c r="I2629" s="26"/>
      <c r="J2629" s="26"/>
      <c r="K2629" s="26"/>
      <c r="L2629" s="26"/>
      <c r="M2629" s="26"/>
      <c r="N2629" s="26"/>
    </row>
    <row r="2630" spans="8:15">
      <c r="H2630" s="26" t="s">
        <v>965</v>
      </c>
      <c r="I2630" s="26"/>
      <c r="J2630" s="26"/>
      <c r="K2630" s="26"/>
      <c r="L2630" s="26"/>
      <c r="M2630" s="26"/>
      <c r="N2630" s="26"/>
    </row>
    <row r="2631" spans="8:15">
      <c r="H2631" s="26" t="s">
        <v>21</v>
      </c>
      <c r="I2631" s="26"/>
      <c r="J2631" s="26"/>
      <c r="K2631" s="26"/>
      <c r="L2631" s="26"/>
      <c r="M2631" s="26"/>
      <c r="N2631" s="26"/>
    </row>
    <row r="2632" spans="8:15">
      <c r="H2632" s="26" t="s">
        <v>1229</v>
      </c>
      <c r="I2632" s="26"/>
      <c r="J2632" s="26"/>
      <c r="K2632" s="26"/>
      <c r="L2632" s="26"/>
      <c r="M2632" s="26"/>
      <c r="N2632" s="26"/>
    </row>
    <row r="2635" spans="8:15">
      <c r="K2635" s="30" t="s">
        <v>24</v>
      </c>
      <c r="M2635" s="30"/>
      <c r="N2635" s="30"/>
    </row>
    <row r="2636" spans="8:15">
      <c r="K2636" s="30" t="s">
        <v>149</v>
      </c>
      <c r="M2636" s="30"/>
      <c r="N2636" s="30"/>
    </row>
    <row r="2637" spans="8:15">
      <c r="K2637" s="605" t="s">
        <v>150</v>
      </c>
      <c r="L2637" s="605"/>
      <c r="M2637" s="605"/>
      <c r="N2637" s="605"/>
    </row>
    <row r="2638" spans="8:15">
      <c r="K2638" s="30"/>
    </row>
    <row r="2639" spans="8:15">
      <c r="I2639" s="617" t="s">
        <v>0</v>
      </c>
      <c r="J2639" s="617"/>
      <c r="K2639" s="617"/>
      <c r="L2639" s="617"/>
      <c r="M2639" s="617"/>
      <c r="N2639" s="617"/>
      <c r="O2639" s="617"/>
    </row>
    <row r="2642" spans="8:15" ht="49.5">
      <c r="H2642" s="642" t="s">
        <v>1940</v>
      </c>
      <c r="I2642" s="642"/>
      <c r="J2642" s="642"/>
      <c r="K2642" s="642"/>
      <c r="L2642" s="642"/>
      <c r="M2642" s="642"/>
      <c r="N2642" s="642"/>
      <c r="O2642" s="642"/>
    </row>
    <row r="2644" spans="8:15" ht="18.75" customHeight="1"/>
    <row r="2645" spans="8:15" ht="17.25">
      <c r="H2645" s="375"/>
      <c r="I2645" s="503" t="s">
        <v>2207</v>
      </c>
    </row>
    <row r="2646" spans="8:15" ht="17.25" thickBot="1">
      <c r="H2646" s="30"/>
      <c r="N2646" s="141"/>
    </row>
    <row r="2647" spans="8:15">
      <c r="I2647" s="30"/>
      <c r="M2647" s="143"/>
      <c r="O2647" s="144"/>
    </row>
    <row r="2648" spans="8:15">
      <c r="M2648" s="647" t="s">
        <v>2178</v>
      </c>
      <c r="N2648" s="610"/>
      <c r="O2648" s="648"/>
    </row>
    <row r="2649" spans="8:15">
      <c r="H2649" s="12" t="s">
        <v>114</v>
      </c>
      <c r="K2649" s="249" t="s">
        <v>2</v>
      </c>
      <c r="M2649" s="605" t="s">
        <v>2187</v>
      </c>
      <c r="N2649" s="605"/>
      <c r="O2649" s="649"/>
    </row>
    <row r="2650" spans="8:15">
      <c r="H2650" s="30"/>
      <c r="M2650" s="601" t="s">
        <v>163</v>
      </c>
      <c r="N2650" s="602"/>
      <c r="O2650" s="603"/>
    </row>
    <row r="2651" spans="8:15" ht="18" thickBot="1">
      <c r="H2651" s="249" t="s">
        <v>2380</v>
      </c>
      <c r="I2651" s="375" t="s">
        <v>2559</v>
      </c>
      <c r="M2651" s="140"/>
      <c r="N2651" s="141"/>
      <c r="O2651" s="142"/>
    </row>
    <row r="2653" spans="8:15">
      <c r="H2653" s="30" t="s">
        <v>27</v>
      </c>
      <c r="I2653" s="30" t="s">
        <v>148</v>
      </c>
    </row>
    <row r="2654" spans="8:15" ht="17.25" thickBot="1"/>
    <row r="2655" spans="8:15" ht="17.25" thickBot="1">
      <c r="H2655" s="13" t="s">
        <v>112</v>
      </c>
      <c r="I2655" s="624" t="s">
        <v>4</v>
      </c>
      <c r="J2655" s="625"/>
      <c r="K2655" s="625"/>
      <c r="L2655" s="625"/>
      <c r="M2655" s="625"/>
      <c r="N2655" s="626"/>
      <c r="O2655" s="20" t="s">
        <v>5</v>
      </c>
    </row>
    <row r="2656" spans="8:15">
      <c r="H2656" s="633" t="s">
        <v>2459</v>
      </c>
      <c r="I2656" s="143"/>
      <c r="J2656" s="159"/>
      <c r="K2656" s="159"/>
      <c r="L2656" s="159"/>
      <c r="M2656" s="159"/>
      <c r="N2656" s="144"/>
      <c r="O2656" s="291"/>
    </row>
    <row r="2657" spans="8:15" ht="17.25" customHeight="1">
      <c r="H2657" s="634"/>
      <c r="I2657" s="64"/>
      <c r="N2657" s="65"/>
      <c r="O2657" s="291"/>
    </row>
    <row r="2658" spans="8:15" ht="16.5" customHeight="1">
      <c r="H2658" s="634"/>
      <c r="I2658" s="630" t="s">
        <v>286</v>
      </c>
      <c r="J2658" s="631"/>
      <c r="K2658" s="631"/>
      <c r="L2658" s="631"/>
      <c r="M2658" s="631"/>
      <c r="N2658" s="632"/>
      <c r="O2658" s="291"/>
    </row>
    <row r="2659" spans="8:15">
      <c r="H2659" s="634"/>
      <c r="I2659" s="636" t="s">
        <v>2493</v>
      </c>
      <c r="J2659" s="637"/>
      <c r="K2659" s="637"/>
      <c r="L2659" s="637"/>
      <c r="M2659" s="637"/>
      <c r="N2659" s="638"/>
      <c r="O2659" s="148">
        <v>960000</v>
      </c>
    </row>
    <row r="2660" spans="8:15">
      <c r="H2660" s="634"/>
      <c r="I2660" s="64"/>
      <c r="J2660" s="30"/>
      <c r="K2660" s="30"/>
      <c r="L2660" s="30"/>
      <c r="N2660" s="65"/>
      <c r="O2660" s="291"/>
    </row>
    <row r="2661" spans="8:15" ht="17.25" thickBot="1">
      <c r="H2661" s="635"/>
      <c r="I2661" s="140"/>
      <c r="J2661" s="141"/>
      <c r="K2661" s="141"/>
      <c r="L2661" s="141"/>
      <c r="M2661" s="141"/>
      <c r="N2661" s="142"/>
      <c r="O2661" s="291"/>
    </row>
    <row r="2662" spans="8:15" ht="17.25" thickBot="1">
      <c r="H2662" s="20" t="s">
        <v>12</v>
      </c>
      <c r="I2662" s="614" t="s">
        <v>13</v>
      </c>
      <c r="J2662" s="615"/>
      <c r="K2662" s="62" t="s">
        <v>14</v>
      </c>
      <c r="L2662" s="63"/>
      <c r="M2662" s="62" t="s">
        <v>15</v>
      </c>
      <c r="N2662" s="62" t="s">
        <v>16</v>
      </c>
      <c r="O2662" s="20" t="s">
        <v>17</v>
      </c>
    </row>
    <row r="2663" spans="8:15" ht="18" thickBot="1">
      <c r="H2663" s="22" t="s">
        <v>18</v>
      </c>
      <c r="I2663" s="606">
        <f>+O2659</f>
        <v>960000</v>
      </c>
      <c r="J2663" s="607"/>
      <c r="K2663" s="23">
        <f>0</f>
        <v>0</v>
      </c>
      <c r="L2663" s="24"/>
      <c r="M2663" s="25">
        <f>0</f>
        <v>0</v>
      </c>
      <c r="N2663" s="36">
        <f>+I2663</f>
        <v>960000</v>
      </c>
      <c r="O2663" s="38">
        <f>+O2659</f>
        <v>960000</v>
      </c>
    </row>
    <row r="2664" spans="8:15" ht="18" thickBot="1">
      <c r="H2664" s="22" t="s">
        <v>113</v>
      </c>
      <c r="I2664" s="606">
        <f>+I2663/650.599</f>
        <v>1475.5632886001977</v>
      </c>
      <c r="J2664" s="607"/>
      <c r="K2664" s="23">
        <f>0</f>
        <v>0</v>
      </c>
      <c r="L2664" s="24"/>
      <c r="M2664" s="25">
        <f>0</f>
        <v>0</v>
      </c>
      <c r="N2664" s="36">
        <f>+I2664</f>
        <v>1475.5632886001977</v>
      </c>
      <c r="O2664" s="38">
        <f>+N2664</f>
        <v>1475.5632886001977</v>
      </c>
    </row>
    <row r="2666" spans="8:15">
      <c r="H2666" s="412" t="s">
        <v>2560</v>
      </c>
      <c r="I2666" s="26"/>
      <c r="J2666" s="26"/>
      <c r="K2666" s="26"/>
      <c r="L2666" s="26"/>
      <c r="M2666" s="26"/>
      <c r="N2666" s="26"/>
    </row>
    <row r="2667" spans="8:15">
      <c r="H2667" s="413" t="s">
        <v>2492</v>
      </c>
      <c r="I2667" s="26"/>
      <c r="J2667" s="26"/>
      <c r="K2667" s="26"/>
      <c r="L2667" s="26"/>
      <c r="M2667" s="26"/>
      <c r="N2667" s="26"/>
    </row>
    <row r="2668" spans="8:15">
      <c r="H2668" s="82" t="s">
        <v>19</v>
      </c>
      <c r="I2668" s="26"/>
      <c r="J2668" s="26"/>
      <c r="K2668" s="26"/>
      <c r="L2668" s="26"/>
      <c r="M2668" s="26"/>
      <c r="N2668" s="26"/>
    </row>
    <row r="2669" spans="8:15">
      <c r="H2669" s="26" t="s">
        <v>965</v>
      </c>
      <c r="I2669" s="26"/>
      <c r="J2669" s="26"/>
      <c r="K2669" s="26"/>
      <c r="L2669" s="26"/>
      <c r="M2669" s="26"/>
      <c r="N2669" s="26"/>
    </row>
    <row r="2670" spans="8:15">
      <c r="H2670" s="26" t="s">
        <v>21</v>
      </c>
      <c r="I2670" s="26"/>
      <c r="J2670" s="26"/>
      <c r="K2670" s="26"/>
      <c r="L2670" s="26"/>
      <c r="M2670" s="26"/>
      <c r="N2670" s="26"/>
    </row>
    <row r="2671" spans="8:15">
      <c r="H2671" s="26" t="s">
        <v>1229</v>
      </c>
      <c r="I2671" s="26"/>
      <c r="J2671" s="26"/>
      <c r="K2671" s="26"/>
      <c r="L2671" s="26"/>
      <c r="M2671" s="26"/>
      <c r="N2671" s="26"/>
    </row>
    <row r="2674" spans="8:15">
      <c r="K2674" s="604" t="s">
        <v>24</v>
      </c>
      <c r="L2674" s="604"/>
      <c r="M2674" s="604"/>
      <c r="N2674" s="604"/>
    </row>
    <row r="2675" spans="8:15" ht="15" customHeight="1">
      <c r="K2675" s="604" t="s">
        <v>149</v>
      </c>
      <c r="L2675" s="604"/>
      <c r="M2675" s="604"/>
      <c r="N2675" s="604"/>
    </row>
    <row r="2676" spans="8:15">
      <c r="K2676" s="605" t="s">
        <v>150</v>
      </c>
      <c r="L2676" s="605"/>
      <c r="M2676" s="605"/>
      <c r="N2676" s="605"/>
    </row>
    <row r="2677" spans="8:15">
      <c r="K2677" s="30"/>
    </row>
    <row r="2678" spans="8:15" ht="15.75" customHeight="1">
      <c r="L2678" s="26"/>
      <c r="M2678" s="26"/>
      <c r="N2678" s="26"/>
    </row>
    <row r="2679" spans="8:15" ht="17.25">
      <c r="K2679" s="644" t="s">
        <v>2391</v>
      </c>
      <c r="L2679" s="644"/>
      <c r="M2679" s="644"/>
      <c r="N2679" s="644"/>
    </row>
    <row r="2680" spans="8:15" ht="10.5" customHeight="1">
      <c r="L2680" s="26"/>
      <c r="M2680" s="26"/>
      <c r="N2680" s="26"/>
    </row>
    <row r="2681" spans="8:15" ht="10.5" customHeight="1">
      <c r="L2681" s="26"/>
      <c r="M2681" s="26"/>
      <c r="N2681" s="26"/>
    </row>
    <row r="2682" spans="8:15" ht="21" customHeight="1">
      <c r="H2682" s="617" t="s">
        <v>2548</v>
      </c>
      <c r="I2682" s="617"/>
      <c r="J2682" s="617"/>
      <c r="K2682" s="617"/>
      <c r="L2682" s="617"/>
      <c r="M2682" s="617"/>
      <c r="N2682" s="617"/>
      <c r="O2682" s="617"/>
    </row>
    <row r="2685" spans="8:15" ht="49.5" customHeight="1">
      <c r="H2685" s="642" t="s">
        <v>1</v>
      </c>
      <c r="I2685" s="642"/>
      <c r="J2685" s="642"/>
      <c r="K2685" s="642"/>
      <c r="L2685" s="642"/>
      <c r="M2685" s="642"/>
      <c r="N2685" s="642"/>
      <c r="O2685" s="642"/>
    </row>
    <row r="2688" spans="8:15" ht="17.25">
      <c r="H2688" s="30"/>
      <c r="I2688" s="375" t="s">
        <v>1393</v>
      </c>
    </row>
    <row r="2689" spans="8:15" ht="17.25" thickBot="1">
      <c r="H2689" s="30"/>
      <c r="N2689" s="141"/>
    </row>
    <row r="2690" spans="8:15">
      <c r="I2690" s="30"/>
      <c r="M2690" s="143"/>
      <c r="O2690" s="144"/>
    </row>
    <row r="2691" spans="8:15">
      <c r="M2691" s="647" t="s">
        <v>2266</v>
      </c>
      <c r="N2691" s="610"/>
      <c r="O2691" s="648"/>
    </row>
    <row r="2692" spans="8:15">
      <c r="H2692" s="12" t="s">
        <v>114</v>
      </c>
      <c r="K2692" s="30" t="s">
        <v>2</v>
      </c>
      <c r="M2692" s="605" t="s">
        <v>809</v>
      </c>
      <c r="N2692" s="605"/>
      <c r="O2692" s="649"/>
    </row>
    <row r="2693" spans="8:15">
      <c r="M2693" s="601" t="s">
        <v>163</v>
      </c>
      <c r="N2693" s="602"/>
      <c r="O2693" s="603"/>
    </row>
    <row r="2694" spans="8:15" ht="17.25" thickBot="1">
      <c r="M2694" s="140"/>
      <c r="N2694" s="141"/>
      <c r="O2694" s="142"/>
    </row>
    <row r="2696" spans="8:15">
      <c r="H2696" s="30" t="s">
        <v>27</v>
      </c>
      <c r="I2696" s="30" t="s">
        <v>165</v>
      </c>
    </row>
    <row r="2697" spans="8:15" ht="17.25" thickBot="1"/>
    <row r="2698" spans="8:15" ht="17.25" thickBot="1">
      <c r="H2698" s="13" t="s">
        <v>112</v>
      </c>
      <c r="I2698" s="624" t="s">
        <v>4</v>
      </c>
      <c r="J2698" s="625"/>
      <c r="K2698" s="625"/>
      <c r="L2698" s="625"/>
      <c r="M2698" s="625"/>
      <c r="N2698" s="626"/>
      <c r="O2698" s="20" t="s">
        <v>5</v>
      </c>
    </row>
    <row r="2699" spans="8:15">
      <c r="H2699" s="627" t="s">
        <v>2445</v>
      </c>
      <c r="I2699" s="143"/>
      <c r="J2699" s="159"/>
      <c r="K2699" s="159"/>
      <c r="L2699" s="159"/>
      <c r="M2699" s="159"/>
      <c r="N2699" s="144"/>
      <c r="O2699" s="291"/>
    </row>
    <row r="2700" spans="8:15">
      <c r="H2700" s="628"/>
      <c r="I2700" s="64"/>
      <c r="N2700" s="65"/>
      <c r="O2700" s="291"/>
    </row>
    <row r="2701" spans="8:15">
      <c r="H2701" s="628"/>
      <c r="I2701" s="630" t="s">
        <v>286</v>
      </c>
      <c r="J2701" s="631"/>
      <c r="K2701" s="631"/>
      <c r="L2701" s="631"/>
      <c r="M2701" s="631"/>
      <c r="N2701" s="632"/>
      <c r="O2701" s="291"/>
    </row>
    <row r="2702" spans="8:15">
      <c r="H2702" s="628"/>
      <c r="I2702" s="636" t="s">
        <v>1456</v>
      </c>
      <c r="J2702" s="637"/>
      <c r="K2702" s="637"/>
      <c r="L2702" s="637"/>
      <c r="M2702" s="637"/>
      <c r="N2702" s="638"/>
      <c r="O2702" s="148">
        <v>1500000</v>
      </c>
    </row>
    <row r="2703" spans="8:15">
      <c r="H2703" s="628"/>
      <c r="I2703" s="64"/>
      <c r="J2703" s="604"/>
      <c r="K2703" s="604"/>
      <c r="L2703" s="604"/>
      <c r="N2703" s="65"/>
      <c r="O2703" s="291"/>
    </row>
    <row r="2704" spans="8:15" ht="17.25" thickBot="1">
      <c r="H2704" s="629"/>
      <c r="I2704" s="140"/>
      <c r="J2704" s="141"/>
      <c r="K2704" s="141"/>
      <c r="L2704" s="141"/>
      <c r="M2704" s="141"/>
      <c r="N2704" s="142"/>
      <c r="O2704" s="291"/>
    </row>
    <row r="2705" spans="8:15" ht="17.25" thickBot="1">
      <c r="H2705" s="20" t="s">
        <v>12</v>
      </c>
      <c r="I2705" s="614" t="s">
        <v>13</v>
      </c>
      <c r="J2705" s="615"/>
      <c r="K2705" s="62" t="s">
        <v>14</v>
      </c>
      <c r="L2705" s="63"/>
      <c r="M2705" s="62" t="s">
        <v>15</v>
      </c>
      <c r="N2705" s="62" t="s">
        <v>16</v>
      </c>
      <c r="O2705" s="20" t="s">
        <v>17</v>
      </c>
    </row>
    <row r="2706" spans="8:15" ht="18" thickBot="1">
      <c r="H2706" s="22" t="s">
        <v>18</v>
      </c>
      <c r="I2706" s="606">
        <f>+O2702</f>
        <v>1500000</v>
      </c>
      <c r="J2706" s="607"/>
      <c r="K2706" s="23">
        <f>0</f>
        <v>0</v>
      </c>
      <c r="L2706" s="24"/>
      <c r="M2706" s="25">
        <f>0</f>
        <v>0</v>
      </c>
      <c r="N2706" s="36">
        <f>+I2706</f>
        <v>1500000</v>
      </c>
      <c r="O2706" s="38">
        <f>+O2702</f>
        <v>1500000</v>
      </c>
    </row>
    <row r="2707" spans="8:15" ht="18" thickBot="1">
      <c r="H2707" s="22" t="s">
        <v>113</v>
      </c>
      <c r="I2707" s="606">
        <f>+I2706/650.599</f>
        <v>2305.5676384378089</v>
      </c>
      <c r="J2707" s="607"/>
      <c r="K2707" s="23">
        <f>0</f>
        <v>0</v>
      </c>
      <c r="L2707" s="24"/>
      <c r="M2707" s="25">
        <f>0</f>
        <v>0</v>
      </c>
      <c r="N2707" s="36">
        <f>+I2707</f>
        <v>2305.5676384378089</v>
      </c>
      <c r="O2707" s="38">
        <f>+N2707</f>
        <v>2305.5676384378089</v>
      </c>
    </row>
    <row r="2709" spans="8:15">
      <c r="H2709" s="412" t="s">
        <v>1268</v>
      </c>
      <c r="I2709" s="26"/>
      <c r="J2709" s="26"/>
      <c r="K2709" s="26"/>
      <c r="L2709" s="26"/>
      <c r="M2709" s="26"/>
      <c r="N2709" s="26"/>
    </row>
    <row r="2710" spans="8:15">
      <c r="H2710" s="413" t="s">
        <v>2029</v>
      </c>
      <c r="I2710" s="26"/>
      <c r="J2710" s="26"/>
      <c r="K2710" s="26"/>
      <c r="L2710" s="26"/>
      <c r="M2710" s="26"/>
      <c r="N2710" s="26"/>
    </row>
    <row r="2711" spans="8:15">
      <c r="H2711" s="82" t="s">
        <v>19</v>
      </c>
      <c r="I2711" s="26"/>
      <c r="J2711" s="26"/>
      <c r="K2711" s="26"/>
      <c r="L2711" s="26"/>
      <c r="M2711" s="26"/>
      <c r="N2711" s="26"/>
    </row>
    <row r="2712" spans="8:15">
      <c r="H2712" s="26" t="s">
        <v>965</v>
      </c>
      <c r="I2712" s="26"/>
      <c r="J2712" s="26"/>
      <c r="K2712" s="26"/>
      <c r="L2712" s="26"/>
      <c r="M2712" s="26"/>
      <c r="N2712" s="26"/>
    </row>
    <row r="2713" spans="8:15">
      <c r="H2713" s="26" t="s">
        <v>21</v>
      </c>
      <c r="I2713" s="26"/>
      <c r="J2713" s="26"/>
      <c r="K2713" s="26"/>
      <c r="L2713" s="26"/>
      <c r="M2713" s="26"/>
      <c r="N2713" s="26"/>
    </row>
    <row r="2714" spans="8:15">
      <c r="H2714" s="26" t="s">
        <v>1229</v>
      </c>
      <c r="I2714" s="26"/>
      <c r="J2714" s="26"/>
      <c r="K2714" s="26"/>
      <c r="L2714" s="26"/>
      <c r="M2714" s="26"/>
      <c r="N2714" s="26"/>
    </row>
    <row r="2717" spans="8:15">
      <c r="K2717" s="30" t="s">
        <v>24</v>
      </c>
      <c r="M2717" s="30"/>
      <c r="N2717" s="30"/>
    </row>
    <row r="2718" spans="8:15">
      <c r="K2718" s="30" t="s">
        <v>149</v>
      </c>
      <c r="M2718" s="30"/>
      <c r="N2718" s="30"/>
    </row>
    <row r="2719" spans="8:15">
      <c r="K2719" s="605" t="s">
        <v>150</v>
      </c>
      <c r="L2719" s="605"/>
      <c r="M2719" s="605"/>
      <c r="N2719" s="605"/>
    </row>
    <row r="2720" spans="8:15">
      <c r="K2720" s="30"/>
    </row>
    <row r="2721" spans="8:15">
      <c r="L2721" s="26"/>
      <c r="M2721" s="26"/>
      <c r="N2721" s="26"/>
    </row>
    <row r="2722" spans="8:15" ht="18">
      <c r="H2722" s="26"/>
      <c r="I2722" s="26"/>
      <c r="J2722" s="26"/>
      <c r="K2722" s="644" t="s">
        <v>2391</v>
      </c>
      <c r="L2722" s="644"/>
      <c r="M2722" s="644"/>
      <c r="N2722" s="644"/>
      <c r="O2722" s="145"/>
    </row>
    <row r="2723" spans="8:15" ht="18">
      <c r="H2723" s="26"/>
      <c r="I2723" s="26"/>
      <c r="J2723" s="26"/>
      <c r="K2723" s="26"/>
      <c r="L2723" s="373"/>
      <c r="M2723" s="373"/>
      <c r="N2723" s="373"/>
      <c r="O2723" s="145"/>
    </row>
    <row r="2724" spans="8:15" ht="19.5" customHeight="1">
      <c r="H2724" s="617" t="s">
        <v>2534</v>
      </c>
      <c r="I2724" s="617"/>
      <c r="J2724" s="617"/>
      <c r="K2724" s="617"/>
      <c r="L2724" s="617"/>
      <c r="M2724" s="617"/>
      <c r="N2724" s="617"/>
      <c r="O2724" s="617"/>
    </row>
    <row r="2727" spans="8:15" ht="49.5" customHeight="1">
      <c r="H2727" s="661" t="s">
        <v>1</v>
      </c>
      <c r="I2727" s="661"/>
      <c r="J2727" s="661"/>
      <c r="K2727" s="661"/>
      <c r="L2727" s="661"/>
      <c r="M2727" s="661"/>
      <c r="N2727" s="661"/>
      <c r="O2727" s="661"/>
    </row>
    <row r="2730" spans="8:15" ht="17.25">
      <c r="H2730" s="30"/>
      <c r="I2730" s="375" t="s">
        <v>1915</v>
      </c>
    </row>
    <row r="2731" spans="8:15" ht="17.25" thickBot="1">
      <c r="H2731" s="30"/>
      <c r="N2731" s="141"/>
    </row>
    <row r="2732" spans="8:15">
      <c r="I2732" s="30"/>
      <c r="M2732" s="143"/>
      <c r="O2732" s="144"/>
    </row>
    <row r="2733" spans="8:15">
      <c r="M2733" s="647" t="s">
        <v>1770</v>
      </c>
      <c r="N2733" s="610"/>
      <c r="O2733" s="648"/>
    </row>
    <row r="2734" spans="8:15">
      <c r="H2734" s="12" t="s">
        <v>114</v>
      </c>
      <c r="K2734" s="30" t="s">
        <v>2</v>
      </c>
      <c r="M2734" s="605" t="s">
        <v>810</v>
      </c>
      <c r="N2734" s="605"/>
      <c r="O2734" s="649"/>
    </row>
    <row r="2735" spans="8:15">
      <c r="M2735" s="601" t="s">
        <v>163</v>
      </c>
      <c r="N2735" s="602"/>
      <c r="O2735" s="603"/>
    </row>
    <row r="2736" spans="8:15" ht="17.25" thickBot="1">
      <c r="M2736" s="140"/>
      <c r="N2736" s="141"/>
      <c r="O2736" s="142"/>
    </row>
    <row r="2738" spans="8:15">
      <c r="H2738" s="30" t="s">
        <v>27</v>
      </c>
      <c r="I2738" s="30" t="s">
        <v>165</v>
      </c>
    </row>
    <row r="2739" spans="8:15" ht="17.25" thickBot="1"/>
    <row r="2740" spans="8:15" ht="17.25" thickBot="1">
      <c r="H2740" s="13" t="s">
        <v>112</v>
      </c>
      <c r="I2740" s="624" t="s">
        <v>4</v>
      </c>
      <c r="J2740" s="625"/>
      <c r="K2740" s="625"/>
      <c r="L2740" s="625"/>
      <c r="M2740" s="625"/>
      <c r="N2740" s="626"/>
      <c r="O2740" s="20" t="s">
        <v>5</v>
      </c>
    </row>
    <row r="2741" spans="8:15">
      <c r="H2741" s="633" t="s">
        <v>2445</v>
      </c>
      <c r="I2741" s="143"/>
      <c r="J2741" s="159"/>
      <c r="K2741" s="159"/>
      <c r="L2741" s="159"/>
      <c r="M2741" s="159"/>
      <c r="N2741" s="144"/>
      <c r="O2741" s="291"/>
    </row>
    <row r="2742" spans="8:15">
      <c r="H2742" s="634"/>
      <c r="I2742" s="64"/>
      <c r="N2742" s="65"/>
      <c r="O2742" s="291"/>
    </row>
    <row r="2743" spans="8:15">
      <c r="H2743" s="634"/>
      <c r="I2743" s="630" t="s">
        <v>286</v>
      </c>
      <c r="J2743" s="631"/>
      <c r="K2743" s="631"/>
      <c r="L2743" s="631"/>
      <c r="M2743" s="631"/>
      <c r="N2743" s="632"/>
      <c r="O2743" s="291"/>
    </row>
    <row r="2744" spans="8:15">
      <c r="H2744" s="634"/>
      <c r="I2744" s="636" t="s">
        <v>2030</v>
      </c>
      <c r="J2744" s="637"/>
      <c r="K2744" s="637"/>
      <c r="L2744" s="637"/>
      <c r="M2744" s="637"/>
      <c r="N2744" s="638"/>
      <c r="O2744" s="148">
        <v>1200000</v>
      </c>
    </row>
    <row r="2745" spans="8:15">
      <c r="H2745" s="634"/>
      <c r="I2745" s="64"/>
      <c r="J2745" s="604"/>
      <c r="K2745" s="604"/>
      <c r="L2745" s="604"/>
      <c r="N2745" s="65"/>
      <c r="O2745" s="291"/>
    </row>
    <row r="2746" spans="8:15" ht="17.25" thickBot="1">
      <c r="H2746" s="635"/>
      <c r="I2746" s="140"/>
      <c r="J2746" s="141"/>
      <c r="K2746" s="141"/>
      <c r="L2746" s="141"/>
      <c r="M2746" s="141"/>
      <c r="N2746" s="142"/>
      <c r="O2746" s="291"/>
    </row>
    <row r="2747" spans="8:15" ht="17.25" thickBot="1">
      <c r="H2747" s="20" t="s">
        <v>12</v>
      </c>
      <c r="I2747" s="614" t="s">
        <v>13</v>
      </c>
      <c r="J2747" s="615"/>
      <c r="K2747" s="62" t="s">
        <v>14</v>
      </c>
      <c r="L2747" s="63"/>
      <c r="M2747" s="62" t="s">
        <v>15</v>
      </c>
      <c r="N2747" s="62" t="s">
        <v>16</v>
      </c>
      <c r="O2747" s="20" t="s">
        <v>17</v>
      </c>
    </row>
    <row r="2748" spans="8:15" ht="18" thickBot="1">
      <c r="H2748" s="22" t="s">
        <v>18</v>
      </c>
      <c r="I2748" s="606">
        <f>+O2744</f>
        <v>1200000</v>
      </c>
      <c r="J2748" s="607"/>
      <c r="K2748" s="23">
        <f>0</f>
        <v>0</v>
      </c>
      <c r="L2748" s="24"/>
      <c r="M2748" s="25">
        <f>0</f>
        <v>0</v>
      </c>
      <c r="N2748" s="36">
        <f>+I2748</f>
        <v>1200000</v>
      </c>
      <c r="O2748" s="38">
        <f>+O2744</f>
        <v>1200000</v>
      </c>
    </row>
    <row r="2749" spans="8:15" ht="18" thickBot="1">
      <c r="H2749" s="22" t="s">
        <v>113</v>
      </c>
      <c r="I2749" s="606">
        <f>+I2748/650.599</f>
        <v>1844.4541107502469</v>
      </c>
      <c r="J2749" s="607"/>
      <c r="K2749" s="23">
        <f>0</f>
        <v>0</v>
      </c>
      <c r="L2749" s="24"/>
      <c r="M2749" s="25">
        <f>0</f>
        <v>0</v>
      </c>
      <c r="N2749" s="36">
        <f>+I2749</f>
        <v>1844.4541107502469</v>
      </c>
      <c r="O2749" s="38">
        <f>+N2749</f>
        <v>1844.4541107502469</v>
      </c>
    </row>
    <row r="2751" spans="8:15">
      <c r="H2751" s="412" t="s">
        <v>1268</v>
      </c>
      <c r="I2751" s="26"/>
      <c r="J2751" s="26"/>
      <c r="K2751" s="26"/>
      <c r="L2751" s="26"/>
      <c r="M2751" s="26"/>
      <c r="N2751" s="26"/>
    </row>
    <row r="2752" spans="8:15">
      <c r="H2752" s="413" t="s">
        <v>2028</v>
      </c>
      <c r="I2752" s="26"/>
      <c r="J2752" s="26"/>
      <c r="K2752" s="26"/>
      <c r="L2752" s="26"/>
      <c r="M2752" s="26"/>
      <c r="N2752" s="26"/>
    </row>
    <row r="2753" spans="8:15">
      <c r="H2753" s="82" t="s">
        <v>19</v>
      </c>
      <c r="I2753" s="26"/>
      <c r="J2753" s="26"/>
      <c r="K2753" s="26"/>
      <c r="L2753" s="26"/>
      <c r="M2753" s="26"/>
      <c r="N2753" s="26"/>
    </row>
    <row r="2754" spans="8:15">
      <c r="H2754" s="26" t="s">
        <v>965</v>
      </c>
      <c r="I2754" s="26"/>
      <c r="J2754" s="26"/>
      <c r="K2754" s="26"/>
      <c r="L2754" s="26"/>
      <c r="M2754" s="26"/>
      <c r="N2754" s="26"/>
    </row>
    <row r="2755" spans="8:15">
      <c r="H2755" s="26" t="s">
        <v>21</v>
      </c>
      <c r="I2755" s="26"/>
      <c r="J2755" s="26"/>
      <c r="K2755" s="26"/>
      <c r="L2755" s="26"/>
      <c r="M2755" s="26"/>
      <c r="N2755" s="26"/>
    </row>
    <row r="2756" spans="8:15">
      <c r="H2756" s="26" t="s">
        <v>1229</v>
      </c>
      <c r="I2756" s="26"/>
      <c r="J2756" s="26"/>
      <c r="K2756" s="26"/>
      <c r="L2756" s="26"/>
      <c r="M2756" s="26"/>
      <c r="N2756" s="26"/>
    </row>
    <row r="2759" spans="8:15">
      <c r="K2759" s="30" t="s">
        <v>24</v>
      </c>
      <c r="M2759" s="30"/>
      <c r="N2759" s="30"/>
    </row>
    <row r="2760" spans="8:15">
      <c r="K2760" s="30" t="s">
        <v>149</v>
      </c>
      <c r="M2760" s="30"/>
      <c r="N2760" s="30"/>
    </row>
    <row r="2761" spans="8:15">
      <c r="K2761" s="605" t="s">
        <v>150</v>
      </c>
      <c r="L2761" s="605"/>
      <c r="M2761" s="605"/>
      <c r="N2761" s="605"/>
    </row>
    <row r="2762" spans="8:15">
      <c r="K2762" s="30"/>
    </row>
    <row r="2763" spans="8:15">
      <c r="K2763" s="30"/>
    </row>
    <row r="2764" spans="8:15">
      <c r="L2764" s="26"/>
      <c r="M2764" s="26"/>
      <c r="N2764" s="26"/>
    </row>
    <row r="2765" spans="8:15" ht="16.5" customHeight="1">
      <c r="K2765" s="644" t="s">
        <v>2347</v>
      </c>
      <c r="L2765" s="644"/>
      <c r="M2765" s="644"/>
      <c r="N2765" s="644"/>
    </row>
    <row r="2766" spans="8:15" ht="18">
      <c r="H2766" s="26"/>
      <c r="I2766" s="26"/>
      <c r="J2766" s="26"/>
      <c r="K2766" s="644"/>
      <c r="L2766" s="644"/>
      <c r="M2766" s="644"/>
      <c r="N2766" s="644"/>
      <c r="O2766" s="145"/>
    </row>
    <row r="2767" spans="8:15">
      <c r="H2767" s="617" t="s">
        <v>0</v>
      </c>
      <c r="I2767" s="617"/>
      <c r="J2767" s="617"/>
      <c r="K2767" s="617"/>
      <c r="L2767" s="617"/>
      <c r="M2767" s="617"/>
      <c r="N2767" s="617"/>
      <c r="O2767" s="617"/>
    </row>
    <row r="2770" spans="8:15" ht="49.5" customHeight="1">
      <c r="H2770" s="642" t="s">
        <v>907</v>
      </c>
      <c r="I2770" s="642"/>
      <c r="J2770" s="642"/>
      <c r="K2770" s="642"/>
      <c r="L2770" s="642"/>
      <c r="M2770" s="642"/>
      <c r="N2770" s="642"/>
      <c r="O2770" s="642"/>
    </row>
    <row r="2773" spans="8:15" ht="17.25">
      <c r="H2773" s="30"/>
      <c r="I2773" s="375" t="s">
        <v>2207</v>
      </c>
    </row>
    <row r="2774" spans="8:15" ht="17.25" thickBot="1">
      <c r="H2774" s="30"/>
      <c r="N2774" s="141"/>
    </row>
    <row r="2775" spans="8:15">
      <c r="I2775" s="30"/>
      <c r="M2775" s="143"/>
      <c r="O2775" s="144"/>
    </row>
    <row r="2776" spans="8:15">
      <c r="M2776" s="647" t="s">
        <v>815</v>
      </c>
      <c r="N2776" s="610"/>
      <c r="O2776" s="648"/>
    </row>
    <row r="2777" spans="8:15">
      <c r="H2777" s="12" t="s">
        <v>114</v>
      </c>
      <c r="K2777" s="30" t="s">
        <v>2</v>
      </c>
      <c r="M2777" s="605" t="s">
        <v>2155</v>
      </c>
      <c r="N2777" s="605"/>
      <c r="O2777" s="649"/>
    </row>
    <row r="2778" spans="8:15">
      <c r="M2778" s="601" t="s">
        <v>163</v>
      </c>
      <c r="N2778" s="602"/>
      <c r="O2778" s="603"/>
    </row>
    <row r="2779" spans="8:15" ht="17.25" thickBot="1">
      <c r="M2779" s="140"/>
      <c r="N2779" s="141"/>
      <c r="O2779" s="142"/>
    </row>
    <row r="2781" spans="8:15">
      <c r="H2781" s="191" t="s">
        <v>27</v>
      </c>
      <c r="I2781" s="191" t="s">
        <v>2208</v>
      </c>
    </row>
    <row r="2782" spans="8:15" ht="17.25" thickBot="1"/>
    <row r="2783" spans="8:15" ht="17.25" thickBot="1">
      <c r="H2783" s="13" t="s">
        <v>112</v>
      </c>
      <c r="I2783" s="624" t="s">
        <v>4</v>
      </c>
      <c r="J2783" s="625"/>
      <c r="K2783" s="625"/>
      <c r="L2783" s="625"/>
      <c r="M2783" s="625"/>
      <c r="N2783" s="626"/>
      <c r="O2783" s="20" t="s">
        <v>5</v>
      </c>
    </row>
    <row r="2784" spans="8:15">
      <c r="H2784" s="633" t="s">
        <v>2140</v>
      </c>
      <c r="I2784" s="143"/>
      <c r="J2784" s="159"/>
      <c r="K2784" s="159"/>
      <c r="L2784" s="159"/>
      <c r="M2784" s="159"/>
      <c r="N2784" s="144"/>
      <c r="O2784" s="291"/>
    </row>
    <row r="2785" spans="8:15">
      <c r="H2785" s="634"/>
      <c r="I2785" s="64"/>
      <c r="N2785" s="65"/>
      <c r="O2785" s="291"/>
    </row>
    <row r="2786" spans="8:15">
      <c r="H2786" s="634"/>
      <c r="I2786" s="630" t="s">
        <v>286</v>
      </c>
      <c r="J2786" s="631"/>
      <c r="K2786" s="631"/>
      <c r="L2786" s="631"/>
      <c r="M2786" s="631"/>
      <c r="N2786" s="632"/>
      <c r="O2786" s="291"/>
    </row>
    <row r="2787" spans="8:15">
      <c r="H2787" s="634"/>
      <c r="I2787" s="636" t="s">
        <v>2153</v>
      </c>
      <c r="J2787" s="637"/>
      <c r="K2787" s="637"/>
      <c r="L2787" s="637"/>
      <c r="M2787" s="637"/>
      <c r="N2787" s="638"/>
      <c r="O2787" s="148">
        <v>600000</v>
      </c>
    </row>
    <row r="2788" spans="8:15">
      <c r="H2788" s="634"/>
      <c r="I2788" s="64"/>
      <c r="J2788" s="604"/>
      <c r="K2788" s="604"/>
      <c r="L2788" s="604"/>
      <c r="N2788" s="65"/>
      <c r="O2788" s="291"/>
    </row>
    <row r="2789" spans="8:15" ht="17.25" thickBot="1">
      <c r="H2789" s="635"/>
      <c r="I2789" s="140"/>
      <c r="J2789" s="141"/>
      <c r="K2789" s="141"/>
      <c r="L2789" s="141"/>
      <c r="M2789" s="141"/>
      <c r="N2789" s="142"/>
      <c r="O2789" s="291"/>
    </row>
    <row r="2790" spans="8:15" ht="17.25" thickBot="1">
      <c r="H2790" s="20" t="s">
        <v>12</v>
      </c>
      <c r="I2790" s="614" t="s">
        <v>13</v>
      </c>
      <c r="J2790" s="615"/>
      <c r="K2790" s="62" t="s">
        <v>14</v>
      </c>
      <c r="L2790" s="63"/>
      <c r="M2790" s="62" t="s">
        <v>15</v>
      </c>
      <c r="N2790" s="62" t="s">
        <v>16</v>
      </c>
      <c r="O2790" s="20" t="s">
        <v>17</v>
      </c>
    </row>
    <row r="2791" spans="8:15" ht="18" thickBot="1">
      <c r="H2791" s="22" t="s">
        <v>18</v>
      </c>
      <c r="I2791" s="606">
        <f>+O2787</f>
        <v>600000</v>
      </c>
      <c r="J2791" s="607"/>
      <c r="K2791" s="23">
        <f>0</f>
        <v>0</v>
      </c>
      <c r="L2791" s="24"/>
      <c r="M2791" s="25">
        <f>0</f>
        <v>0</v>
      </c>
      <c r="N2791" s="36">
        <f>+I2791</f>
        <v>600000</v>
      </c>
      <c r="O2791" s="38">
        <f>+O2787</f>
        <v>600000</v>
      </c>
    </row>
    <row r="2792" spans="8:15" ht="18" thickBot="1">
      <c r="H2792" s="22" t="s">
        <v>113</v>
      </c>
      <c r="I2792" s="606">
        <f>+I2791/650.599</f>
        <v>922.22705537512343</v>
      </c>
      <c r="J2792" s="607"/>
      <c r="K2792" s="23">
        <f>0</f>
        <v>0</v>
      </c>
      <c r="L2792" s="24"/>
      <c r="M2792" s="25">
        <f>0</f>
        <v>0</v>
      </c>
      <c r="N2792" s="36">
        <f>+I2792</f>
        <v>922.22705537512343</v>
      </c>
      <c r="O2792" s="38">
        <f>+N2792</f>
        <v>922.22705537512343</v>
      </c>
    </row>
    <row r="2794" spans="8:15">
      <c r="H2794" s="412" t="s">
        <v>1382</v>
      </c>
      <c r="I2794" s="26"/>
      <c r="J2794" s="26"/>
      <c r="K2794" s="26"/>
      <c r="L2794" s="26"/>
      <c r="M2794" s="26"/>
      <c r="N2794" s="26"/>
    </row>
    <row r="2795" spans="8:15">
      <c r="H2795" s="413" t="s">
        <v>2154</v>
      </c>
      <c r="I2795" s="26"/>
      <c r="J2795" s="26"/>
      <c r="K2795" s="26"/>
      <c r="L2795" s="26"/>
      <c r="M2795" s="26"/>
      <c r="N2795" s="26"/>
    </row>
    <row r="2796" spans="8:15">
      <c r="H2796" s="82" t="s">
        <v>19</v>
      </c>
      <c r="I2796" s="26"/>
      <c r="J2796" s="26"/>
      <c r="K2796" s="26"/>
      <c r="L2796" s="26"/>
      <c r="M2796" s="26"/>
      <c r="N2796" s="26"/>
    </row>
    <row r="2797" spans="8:15">
      <c r="H2797" s="26" t="s">
        <v>965</v>
      </c>
      <c r="I2797" s="26"/>
      <c r="J2797" s="26"/>
      <c r="K2797" s="26"/>
      <c r="L2797" s="26"/>
      <c r="M2797" s="26"/>
      <c r="N2797" s="26"/>
    </row>
    <row r="2798" spans="8:15">
      <c r="H2798" s="26" t="s">
        <v>21</v>
      </c>
      <c r="I2798" s="26"/>
      <c r="J2798" s="26"/>
      <c r="K2798" s="26"/>
      <c r="L2798" s="26"/>
      <c r="M2798" s="26"/>
      <c r="N2798" s="26"/>
    </row>
    <row r="2799" spans="8:15">
      <c r="H2799" s="26" t="s">
        <v>1229</v>
      </c>
      <c r="I2799" s="26"/>
      <c r="J2799" s="26"/>
      <c r="K2799" s="26"/>
      <c r="L2799" s="26"/>
      <c r="M2799" s="26"/>
      <c r="N2799" s="26"/>
    </row>
    <row r="2800" spans="8:15">
      <c r="H2800" s="26"/>
      <c r="I2800" s="26"/>
      <c r="J2800" s="26"/>
      <c r="K2800" s="26"/>
      <c r="L2800" s="26"/>
      <c r="M2800" s="26"/>
      <c r="N2800" s="26"/>
    </row>
    <row r="2802" spans="8:15">
      <c r="K2802" s="604" t="s">
        <v>24</v>
      </c>
      <c r="L2802" s="604"/>
      <c r="M2802" s="604"/>
      <c r="N2802" s="604"/>
    </row>
    <row r="2803" spans="8:15">
      <c r="K2803" s="604" t="s">
        <v>149</v>
      </c>
      <c r="L2803" s="604"/>
      <c r="M2803" s="604"/>
      <c r="N2803" s="604"/>
    </row>
    <row r="2804" spans="8:15">
      <c r="K2804" s="605" t="s">
        <v>150</v>
      </c>
      <c r="L2804" s="605"/>
      <c r="M2804" s="605"/>
      <c r="N2804" s="605"/>
    </row>
    <row r="2805" spans="8:15">
      <c r="K2805" s="30"/>
    </row>
    <row r="2806" spans="8:15">
      <c r="K2806" s="30"/>
    </row>
    <row r="2807" spans="8:15">
      <c r="L2807" s="26"/>
      <c r="M2807" s="26"/>
      <c r="N2807" s="26"/>
    </row>
    <row r="2808" spans="8:15" ht="18">
      <c r="H2808" s="26"/>
      <c r="I2808" s="26"/>
      <c r="J2808" s="26"/>
      <c r="K2808" s="644" t="s">
        <v>2147</v>
      </c>
      <c r="L2808" s="644"/>
      <c r="M2808" s="644"/>
      <c r="N2808" s="644"/>
      <c r="O2808" s="145"/>
    </row>
    <row r="2809" spans="8:15" ht="18">
      <c r="H2809" s="26"/>
      <c r="I2809" s="26"/>
      <c r="J2809" s="26"/>
      <c r="K2809" s="361"/>
      <c r="L2809" s="361"/>
      <c r="M2809" s="361"/>
      <c r="N2809" s="361"/>
      <c r="O2809" s="145"/>
    </row>
    <row r="2810" spans="8:15">
      <c r="H2810" s="617" t="s">
        <v>0</v>
      </c>
      <c r="I2810" s="617"/>
      <c r="J2810" s="617"/>
      <c r="K2810" s="617"/>
      <c r="L2810" s="617"/>
      <c r="M2810" s="617"/>
      <c r="N2810" s="617"/>
      <c r="O2810" s="617"/>
    </row>
    <row r="2813" spans="8:15" ht="49.5" customHeight="1">
      <c r="H2813" s="642" t="s">
        <v>1</v>
      </c>
      <c r="I2813" s="642"/>
      <c r="J2813" s="642"/>
      <c r="K2813" s="642"/>
      <c r="L2813" s="642"/>
      <c r="M2813" s="642"/>
      <c r="N2813" s="642"/>
      <c r="O2813" s="642"/>
    </row>
    <row r="2816" spans="8:15" ht="17.25">
      <c r="H2816" s="30"/>
      <c r="I2816" s="503" t="s">
        <v>2450</v>
      </c>
    </row>
    <row r="2817" spans="8:15" ht="17.25" thickBot="1">
      <c r="H2817" s="30"/>
      <c r="N2817" s="141"/>
    </row>
    <row r="2818" spans="8:15">
      <c r="I2818" s="30"/>
      <c r="M2818" s="143"/>
      <c r="O2818" s="144"/>
    </row>
    <row r="2819" spans="8:15">
      <c r="M2819" s="647" t="s">
        <v>1959</v>
      </c>
      <c r="N2819" s="610"/>
      <c r="O2819" s="648"/>
    </row>
    <row r="2820" spans="8:15">
      <c r="H2820" s="12" t="s">
        <v>114</v>
      </c>
      <c r="K2820" s="30"/>
      <c r="L2820" s="30" t="s">
        <v>2</v>
      </c>
      <c r="M2820" s="605" t="s">
        <v>1960</v>
      </c>
      <c r="N2820" s="605"/>
      <c r="O2820" s="649"/>
    </row>
    <row r="2821" spans="8:15">
      <c r="M2821" s="601" t="s">
        <v>163</v>
      </c>
      <c r="N2821" s="602"/>
      <c r="O2821" s="603"/>
    </row>
    <row r="2822" spans="8:15" ht="17.25" thickBot="1">
      <c r="M2822" s="140"/>
      <c r="N2822" s="141"/>
      <c r="O2822" s="142"/>
    </row>
    <row r="2824" spans="8:15">
      <c r="H2824" s="191" t="s">
        <v>27</v>
      </c>
      <c r="I2824" s="191" t="s">
        <v>1675</v>
      </c>
    </row>
    <row r="2825" spans="8:15" ht="17.25" thickBot="1"/>
    <row r="2826" spans="8:15" ht="17.25" thickBot="1">
      <c r="H2826" s="13" t="s">
        <v>112</v>
      </c>
      <c r="I2826" s="624" t="s">
        <v>4</v>
      </c>
      <c r="J2826" s="625"/>
      <c r="K2826" s="625"/>
      <c r="L2826" s="625"/>
      <c r="M2826" s="625"/>
      <c r="N2826" s="626"/>
      <c r="O2826" s="20" t="s">
        <v>5</v>
      </c>
    </row>
    <row r="2827" spans="8:15">
      <c r="H2827" s="633" t="s">
        <v>2445</v>
      </c>
      <c r="I2827" s="143"/>
      <c r="J2827" s="159"/>
      <c r="K2827" s="159"/>
      <c r="L2827" s="159"/>
      <c r="M2827" s="159"/>
      <c r="N2827" s="144"/>
      <c r="O2827" s="291"/>
    </row>
    <row r="2828" spans="8:15">
      <c r="H2828" s="634"/>
      <c r="I2828" s="64"/>
      <c r="N2828" s="65"/>
      <c r="O2828" s="291"/>
    </row>
    <row r="2829" spans="8:15">
      <c r="H2829" s="634"/>
      <c r="I2829" s="630" t="s">
        <v>286</v>
      </c>
      <c r="J2829" s="631"/>
      <c r="K2829" s="631"/>
      <c r="L2829" s="631"/>
      <c r="M2829" s="631"/>
      <c r="N2829" s="632"/>
      <c r="O2829" s="291"/>
    </row>
    <row r="2830" spans="8:15">
      <c r="H2830" s="634"/>
      <c r="I2830" s="636" t="s">
        <v>1961</v>
      </c>
      <c r="J2830" s="637"/>
      <c r="K2830" s="637"/>
      <c r="L2830" s="637"/>
      <c r="M2830" s="637"/>
      <c r="N2830" s="638"/>
      <c r="O2830" s="148">
        <v>2520000</v>
      </c>
    </row>
    <row r="2831" spans="8:15">
      <c r="H2831" s="634"/>
      <c r="I2831" s="64"/>
      <c r="J2831" s="604"/>
      <c r="K2831" s="604"/>
      <c r="L2831" s="604"/>
      <c r="N2831" s="65"/>
      <c r="O2831" s="291"/>
    </row>
    <row r="2832" spans="8:15" ht="17.25" thickBot="1">
      <c r="H2832" s="635"/>
      <c r="I2832" s="140"/>
      <c r="J2832" s="141"/>
      <c r="K2832" s="141"/>
      <c r="L2832" s="141"/>
      <c r="M2832" s="141"/>
      <c r="N2832" s="142"/>
      <c r="O2832" s="291"/>
    </row>
    <row r="2833" spans="8:15" ht="17.25" thickBot="1">
      <c r="H2833" s="20" t="s">
        <v>12</v>
      </c>
      <c r="I2833" s="614" t="s">
        <v>13</v>
      </c>
      <c r="J2833" s="615"/>
      <c r="K2833" s="62" t="s">
        <v>14</v>
      </c>
      <c r="L2833" s="63"/>
      <c r="M2833" s="62" t="s">
        <v>15</v>
      </c>
      <c r="N2833" s="62" t="s">
        <v>16</v>
      </c>
      <c r="O2833" s="20" t="s">
        <v>17</v>
      </c>
    </row>
    <row r="2834" spans="8:15" ht="18" thickBot="1">
      <c r="H2834" s="22" t="s">
        <v>18</v>
      </c>
      <c r="I2834" s="606">
        <f>+O2830</f>
        <v>2520000</v>
      </c>
      <c r="J2834" s="607"/>
      <c r="K2834" s="23">
        <f>0</f>
        <v>0</v>
      </c>
      <c r="L2834" s="24"/>
      <c r="M2834" s="25">
        <f>0</f>
        <v>0</v>
      </c>
      <c r="N2834" s="36">
        <f>+I2834</f>
        <v>2520000</v>
      </c>
      <c r="O2834" s="38">
        <f>+O2830</f>
        <v>2520000</v>
      </c>
    </row>
    <row r="2835" spans="8:15" ht="18" thickBot="1">
      <c r="H2835" s="22" t="s">
        <v>113</v>
      </c>
      <c r="I2835" s="606">
        <f>+I2834/650.599</f>
        <v>3873.3536325755185</v>
      </c>
      <c r="J2835" s="607"/>
      <c r="K2835" s="23">
        <f>0</f>
        <v>0</v>
      </c>
      <c r="L2835" s="24"/>
      <c r="M2835" s="25">
        <f>0</f>
        <v>0</v>
      </c>
      <c r="N2835" s="36">
        <f>+I2835</f>
        <v>3873.3536325755185</v>
      </c>
      <c r="O2835" s="38">
        <f>+N2835</f>
        <v>3873.3536325755185</v>
      </c>
    </row>
    <row r="2837" spans="8:15">
      <c r="H2837" s="412" t="s">
        <v>1268</v>
      </c>
      <c r="I2837" s="26"/>
      <c r="J2837" s="26"/>
      <c r="K2837" s="26"/>
      <c r="L2837" s="26"/>
      <c r="M2837" s="26"/>
      <c r="N2837" s="26"/>
    </row>
    <row r="2838" spans="8:15">
      <c r="H2838" s="413" t="s">
        <v>2064</v>
      </c>
      <c r="I2838" s="26"/>
      <c r="J2838" s="26"/>
      <c r="K2838" s="26"/>
      <c r="L2838" s="26"/>
      <c r="M2838" s="26"/>
      <c r="N2838" s="26"/>
    </row>
    <row r="2839" spans="8:15">
      <c r="H2839" s="82" t="s">
        <v>19</v>
      </c>
      <c r="I2839" s="26"/>
      <c r="J2839" s="26"/>
      <c r="K2839" s="26"/>
      <c r="L2839" s="26"/>
      <c r="M2839" s="26"/>
      <c r="N2839" s="26"/>
    </row>
    <row r="2840" spans="8:15">
      <c r="H2840" s="26" t="s">
        <v>965</v>
      </c>
      <c r="I2840" s="26"/>
      <c r="J2840" s="26"/>
      <c r="K2840" s="26"/>
      <c r="L2840" s="26"/>
      <c r="M2840" s="26"/>
      <c r="N2840" s="26"/>
    </row>
    <row r="2841" spans="8:15">
      <c r="H2841" s="26" t="s">
        <v>21</v>
      </c>
      <c r="I2841" s="26"/>
      <c r="J2841" s="26"/>
      <c r="K2841" s="26"/>
      <c r="L2841" s="26"/>
      <c r="M2841" s="26"/>
      <c r="N2841" s="26"/>
    </row>
    <row r="2842" spans="8:15">
      <c r="H2842" s="26" t="s">
        <v>1229</v>
      </c>
      <c r="I2842" s="26"/>
      <c r="J2842" s="26"/>
      <c r="K2842" s="26"/>
      <c r="L2842" s="26"/>
      <c r="M2842" s="26"/>
      <c r="N2842" s="26"/>
    </row>
    <row r="2845" spans="8:15">
      <c r="K2845" s="604" t="s">
        <v>24</v>
      </c>
      <c r="L2845" s="604"/>
      <c r="M2845" s="604"/>
      <c r="N2845" s="604"/>
    </row>
    <row r="2846" spans="8:15">
      <c r="K2846" s="604" t="s">
        <v>149</v>
      </c>
      <c r="L2846" s="604"/>
      <c r="M2846" s="604"/>
      <c r="N2846" s="604"/>
    </row>
    <row r="2847" spans="8:15">
      <c r="K2847" s="605" t="s">
        <v>150</v>
      </c>
      <c r="L2847" s="605"/>
      <c r="M2847" s="605"/>
      <c r="N2847" s="605"/>
    </row>
    <row r="2848" spans="8:15">
      <c r="L2848" s="30"/>
    </row>
    <row r="2849" spans="8:15">
      <c r="H2849" s="26"/>
      <c r="I2849" s="26"/>
      <c r="J2849" s="26"/>
      <c r="K2849" s="26"/>
      <c r="M2849" s="26"/>
      <c r="N2849" s="26"/>
      <c r="O2849" s="26"/>
    </row>
    <row r="2850" spans="8:15" ht="17.25">
      <c r="H2850" s="26"/>
      <c r="I2850" s="26"/>
      <c r="J2850" s="26"/>
      <c r="K2850" s="508" t="s">
        <v>2347</v>
      </c>
      <c r="L2850" s="259"/>
      <c r="M2850" s="259"/>
      <c r="N2850" s="259"/>
      <c r="O2850" s="259"/>
    </row>
    <row r="2851" spans="8:15" ht="21" customHeight="1">
      <c r="H2851" s="26"/>
      <c r="I2851" s="26"/>
      <c r="J2851" s="26"/>
      <c r="K2851" s="644"/>
      <c r="L2851" s="644"/>
      <c r="M2851" s="644"/>
      <c r="N2851" s="644"/>
      <c r="O2851" s="145"/>
    </row>
    <row r="2852" spans="8:15">
      <c r="H2852" s="617" t="s">
        <v>0</v>
      </c>
      <c r="I2852" s="617"/>
      <c r="J2852" s="617"/>
      <c r="K2852" s="617"/>
      <c r="L2852" s="617"/>
      <c r="M2852" s="617"/>
      <c r="N2852" s="617"/>
      <c r="O2852" s="617"/>
    </row>
    <row r="2855" spans="8:15" ht="49.5" customHeight="1">
      <c r="H2855" s="642" t="s">
        <v>1</v>
      </c>
      <c r="I2855" s="642"/>
      <c r="J2855" s="642"/>
      <c r="K2855" s="642"/>
      <c r="L2855" s="642"/>
      <c r="M2855" s="642"/>
      <c r="N2855" s="642"/>
      <c r="O2855" s="642"/>
    </row>
    <row r="2858" spans="8:15">
      <c r="H2858" s="30"/>
      <c r="I2858" s="30" t="s">
        <v>1758</v>
      </c>
    </row>
    <row r="2859" spans="8:15" ht="17.25" thickBot="1">
      <c r="H2859" s="30"/>
      <c r="N2859" s="141"/>
    </row>
    <row r="2860" spans="8:15">
      <c r="I2860" s="30"/>
      <c r="M2860" s="143"/>
      <c r="O2860" s="144"/>
    </row>
    <row r="2861" spans="8:15">
      <c r="M2861" s="647" t="s">
        <v>2156</v>
      </c>
      <c r="N2861" s="610"/>
      <c r="O2861" s="648"/>
    </row>
    <row r="2862" spans="8:15">
      <c r="H2862" s="12" t="s">
        <v>114</v>
      </c>
      <c r="K2862" s="30"/>
      <c r="L2862" s="30" t="s">
        <v>2</v>
      </c>
      <c r="M2862" s="605" t="s">
        <v>2157</v>
      </c>
      <c r="N2862" s="605"/>
      <c r="O2862" s="649"/>
    </row>
    <row r="2863" spans="8:15">
      <c r="M2863" s="601" t="s">
        <v>163</v>
      </c>
      <c r="N2863" s="602"/>
      <c r="O2863" s="603"/>
    </row>
    <row r="2864" spans="8:15" ht="17.25" thickBot="1">
      <c r="M2864" s="140"/>
      <c r="N2864" s="141"/>
      <c r="O2864" s="142"/>
    </row>
    <row r="2866" spans="8:15">
      <c r="H2866" s="30" t="s">
        <v>27</v>
      </c>
      <c r="I2866" s="30" t="s">
        <v>1908</v>
      </c>
    </row>
    <row r="2867" spans="8:15" ht="17.25" thickBot="1"/>
    <row r="2868" spans="8:15" ht="17.25" thickBot="1">
      <c r="H2868" s="13" t="s">
        <v>112</v>
      </c>
      <c r="I2868" s="624" t="s">
        <v>4</v>
      </c>
      <c r="J2868" s="625"/>
      <c r="K2868" s="625"/>
      <c r="L2868" s="625"/>
      <c r="M2868" s="625"/>
      <c r="N2868" s="626"/>
      <c r="O2868" s="20" t="s">
        <v>5</v>
      </c>
    </row>
    <row r="2869" spans="8:15">
      <c r="H2869" s="633" t="s">
        <v>2272</v>
      </c>
      <c r="I2869" s="143"/>
      <c r="J2869" s="159"/>
      <c r="K2869" s="159"/>
      <c r="L2869" s="159"/>
      <c r="M2869" s="159"/>
      <c r="N2869" s="144"/>
      <c r="O2869" s="291"/>
    </row>
    <row r="2870" spans="8:15">
      <c r="H2870" s="634"/>
      <c r="I2870" s="64"/>
      <c r="N2870" s="65"/>
      <c r="O2870" s="291"/>
    </row>
    <row r="2871" spans="8:15">
      <c r="H2871" s="634"/>
      <c r="I2871" s="630" t="s">
        <v>286</v>
      </c>
      <c r="J2871" s="631"/>
      <c r="K2871" s="631"/>
      <c r="L2871" s="631"/>
      <c r="M2871" s="631"/>
      <c r="N2871" s="632"/>
      <c r="O2871" s="291"/>
    </row>
    <row r="2872" spans="8:15">
      <c r="H2872" s="634"/>
      <c r="I2872" s="636" t="s">
        <v>2158</v>
      </c>
      <c r="J2872" s="637"/>
      <c r="K2872" s="637"/>
      <c r="L2872" s="637"/>
      <c r="M2872" s="637"/>
      <c r="N2872" s="638"/>
      <c r="O2872" s="148">
        <v>1020000</v>
      </c>
    </row>
    <row r="2873" spans="8:15">
      <c r="H2873" s="634"/>
      <c r="I2873" s="64"/>
      <c r="J2873" s="604"/>
      <c r="K2873" s="604"/>
      <c r="L2873" s="604"/>
      <c r="N2873" s="65"/>
      <c r="O2873" s="291"/>
    </row>
    <row r="2874" spans="8:15" ht="17.25" thickBot="1">
      <c r="H2874" s="635"/>
      <c r="I2874" s="140"/>
      <c r="J2874" s="141"/>
      <c r="K2874" s="141"/>
      <c r="L2874" s="141"/>
      <c r="M2874" s="141"/>
      <c r="N2874" s="142"/>
      <c r="O2874" s="291"/>
    </row>
    <row r="2875" spans="8:15" ht="17.25" thickBot="1">
      <c r="H2875" s="20" t="s">
        <v>12</v>
      </c>
      <c r="I2875" s="614" t="s">
        <v>13</v>
      </c>
      <c r="J2875" s="615"/>
      <c r="K2875" s="62" t="s">
        <v>14</v>
      </c>
      <c r="L2875" s="63"/>
      <c r="M2875" s="62" t="s">
        <v>15</v>
      </c>
      <c r="N2875" s="62" t="s">
        <v>16</v>
      </c>
      <c r="O2875" s="20" t="s">
        <v>17</v>
      </c>
    </row>
    <row r="2876" spans="8:15" ht="18" thickBot="1">
      <c r="H2876" s="22" t="s">
        <v>18</v>
      </c>
      <c r="I2876" s="606">
        <f>+O2872</f>
        <v>1020000</v>
      </c>
      <c r="J2876" s="607"/>
      <c r="K2876" s="23">
        <f>0</f>
        <v>0</v>
      </c>
      <c r="L2876" s="24"/>
      <c r="M2876" s="25">
        <f>0</f>
        <v>0</v>
      </c>
      <c r="N2876" s="36">
        <f>+I2876</f>
        <v>1020000</v>
      </c>
      <c r="O2876" s="38">
        <f>+O2872</f>
        <v>1020000</v>
      </c>
    </row>
    <row r="2877" spans="8:15" ht="18" thickBot="1">
      <c r="H2877" s="22" t="s">
        <v>113</v>
      </c>
      <c r="I2877" s="606">
        <f>+I2876/650.599</f>
        <v>1567.7859941377098</v>
      </c>
      <c r="J2877" s="607"/>
      <c r="K2877" s="23">
        <f>0</f>
        <v>0</v>
      </c>
      <c r="L2877" s="24"/>
      <c r="M2877" s="25">
        <f>0</f>
        <v>0</v>
      </c>
      <c r="N2877" s="36">
        <f>+I2877</f>
        <v>1567.7859941377098</v>
      </c>
      <c r="O2877" s="38">
        <f>+N2877</f>
        <v>1567.7859941377098</v>
      </c>
    </row>
    <row r="2879" spans="8:15">
      <c r="H2879" s="412" t="s">
        <v>1268</v>
      </c>
      <c r="I2879" s="26"/>
      <c r="J2879" s="26"/>
      <c r="K2879" s="26"/>
      <c r="L2879" s="26"/>
      <c r="M2879" s="26"/>
      <c r="N2879" s="26"/>
    </row>
    <row r="2880" spans="8:15">
      <c r="H2880" s="413" t="s">
        <v>2159</v>
      </c>
      <c r="I2880" s="26"/>
      <c r="J2880" s="26"/>
      <c r="K2880" s="26"/>
      <c r="L2880" s="26"/>
      <c r="M2880" s="26"/>
      <c r="N2880" s="26"/>
    </row>
    <row r="2881" spans="8:15">
      <c r="H2881" s="82" t="s">
        <v>19</v>
      </c>
      <c r="I2881" s="26"/>
      <c r="J2881" s="26"/>
      <c r="K2881" s="26"/>
      <c r="L2881" s="26"/>
      <c r="M2881" s="26"/>
      <c r="N2881" s="26"/>
    </row>
    <row r="2882" spans="8:15">
      <c r="H2882" s="26" t="s">
        <v>965</v>
      </c>
      <c r="I2882" s="26"/>
      <c r="J2882" s="26"/>
      <c r="K2882" s="26"/>
      <c r="L2882" s="26"/>
      <c r="M2882" s="26"/>
      <c r="N2882" s="26"/>
    </row>
    <row r="2883" spans="8:15">
      <c r="H2883" s="26" t="s">
        <v>21</v>
      </c>
      <c r="I2883" s="26"/>
      <c r="J2883" s="26"/>
      <c r="K2883" s="26"/>
      <c r="L2883" s="26"/>
      <c r="M2883" s="26"/>
      <c r="N2883" s="26"/>
    </row>
    <row r="2884" spans="8:15">
      <c r="H2884" s="26" t="s">
        <v>1229</v>
      </c>
      <c r="I2884" s="26"/>
      <c r="J2884" s="26"/>
      <c r="K2884" s="26"/>
      <c r="L2884" s="26"/>
      <c r="M2884" s="26"/>
      <c r="N2884" s="26"/>
    </row>
    <row r="2887" spans="8:15">
      <c r="K2887" s="604" t="s">
        <v>24</v>
      </c>
      <c r="L2887" s="604"/>
      <c r="M2887" s="604"/>
      <c r="N2887" s="604"/>
    </row>
    <row r="2888" spans="8:15">
      <c r="K2888" s="604" t="s">
        <v>149</v>
      </c>
      <c r="L2888" s="604"/>
      <c r="M2888" s="604"/>
      <c r="N2888" s="604"/>
    </row>
    <row r="2889" spans="8:15">
      <c r="K2889" s="605" t="s">
        <v>150</v>
      </c>
      <c r="L2889" s="605"/>
      <c r="M2889" s="605"/>
      <c r="N2889" s="605"/>
    </row>
    <row r="2890" spans="8:15">
      <c r="L2890" s="30"/>
    </row>
    <row r="2891" spans="8:15">
      <c r="H2891" s="26"/>
      <c r="I2891" s="26"/>
      <c r="J2891" s="26"/>
      <c r="K2891" s="26"/>
      <c r="M2891" s="26"/>
      <c r="N2891" s="26"/>
      <c r="O2891" s="26"/>
    </row>
    <row r="2892" spans="8:15" ht="17.25">
      <c r="H2892" s="26"/>
      <c r="I2892" s="26"/>
      <c r="J2892" s="26"/>
      <c r="K2892" s="259"/>
      <c r="L2892" s="259"/>
      <c r="M2892" s="259"/>
      <c r="N2892" s="259"/>
      <c r="O2892" s="361"/>
    </row>
    <row r="2893" spans="8:15" ht="18">
      <c r="H2893" s="26"/>
      <c r="I2893" s="26"/>
      <c r="J2893" s="26"/>
      <c r="K2893" s="644" t="s">
        <v>2147</v>
      </c>
      <c r="L2893" s="644"/>
      <c r="M2893" s="644"/>
      <c r="N2893" s="644"/>
      <c r="O2893" s="145"/>
    </row>
    <row r="2895" spans="8:15">
      <c r="H2895" s="617" t="s">
        <v>2554</v>
      </c>
      <c r="I2895" s="617"/>
      <c r="J2895" s="617"/>
      <c r="K2895" s="617"/>
      <c r="L2895" s="617"/>
      <c r="M2895" s="617"/>
      <c r="N2895" s="617"/>
      <c r="O2895" s="617"/>
    </row>
    <row r="2898" spans="8:15" ht="49.5" customHeight="1">
      <c r="H2898" s="642" t="s">
        <v>1</v>
      </c>
      <c r="I2898" s="642"/>
      <c r="J2898" s="642"/>
      <c r="K2898" s="642"/>
      <c r="L2898" s="642"/>
      <c r="M2898" s="642"/>
      <c r="N2898" s="642"/>
      <c r="O2898" s="642"/>
    </row>
    <row r="2901" spans="8:15" ht="17.25">
      <c r="I2901" s="375" t="s">
        <v>1915</v>
      </c>
    </row>
    <row r="2902" spans="8:15" ht="17.25" thickBot="1">
      <c r="H2902" s="30"/>
      <c r="N2902" s="141"/>
    </row>
    <row r="2903" spans="8:15">
      <c r="I2903" s="30"/>
      <c r="M2903" s="143"/>
      <c r="O2903" s="144"/>
    </row>
    <row r="2904" spans="8:15">
      <c r="M2904" s="647" t="s">
        <v>2342</v>
      </c>
      <c r="N2904" s="610"/>
      <c r="O2904" s="648"/>
    </row>
    <row r="2905" spans="8:15">
      <c r="H2905" s="12" t="s">
        <v>114</v>
      </c>
      <c r="K2905" s="30"/>
      <c r="L2905" s="30" t="s">
        <v>2</v>
      </c>
      <c r="M2905" s="605" t="s">
        <v>906</v>
      </c>
      <c r="N2905" s="605"/>
      <c r="O2905" s="649"/>
    </row>
    <row r="2906" spans="8:15">
      <c r="M2906" s="601" t="s">
        <v>163</v>
      </c>
      <c r="N2906" s="602"/>
      <c r="O2906" s="603"/>
    </row>
    <row r="2907" spans="8:15" ht="17.25" thickBot="1">
      <c r="M2907" s="140"/>
      <c r="N2907" s="141"/>
      <c r="O2907" s="142"/>
    </row>
    <row r="2909" spans="8:15">
      <c r="H2909" s="509" t="s">
        <v>27</v>
      </c>
      <c r="I2909" s="30" t="s">
        <v>2335</v>
      </c>
    </row>
    <row r="2910" spans="8:15" ht="17.25" thickBot="1"/>
    <row r="2911" spans="8:15" ht="17.25" customHeight="1" thickBot="1">
      <c r="H2911" s="13" t="s">
        <v>112</v>
      </c>
      <c r="I2911" s="624" t="s">
        <v>4</v>
      </c>
      <c r="J2911" s="625"/>
      <c r="K2911" s="625"/>
      <c r="L2911" s="625"/>
      <c r="M2911" s="625"/>
      <c r="N2911" s="626"/>
      <c r="O2911" s="20" t="s">
        <v>5</v>
      </c>
    </row>
    <row r="2912" spans="8:15" ht="16.5" customHeight="1">
      <c r="H2912" s="633" t="s">
        <v>2445</v>
      </c>
      <c r="I2912" s="143"/>
      <c r="J2912" s="159"/>
      <c r="K2912" s="159"/>
      <c r="L2912" s="159"/>
      <c r="M2912" s="159"/>
      <c r="N2912" s="144"/>
      <c r="O2912" s="291"/>
    </row>
    <row r="2913" spans="8:15">
      <c r="H2913" s="634"/>
      <c r="I2913" s="64"/>
      <c r="N2913" s="65"/>
      <c r="O2913" s="291"/>
    </row>
    <row r="2914" spans="8:15">
      <c r="H2914" s="634"/>
      <c r="I2914" s="630" t="s">
        <v>286</v>
      </c>
      <c r="J2914" s="631"/>
      <c r="K2914" s="631"/>
      <c r="L2914" s="631"/>
      <c r="M2914" s="631"/>
      <c r="N2914" s="632"/>
      <c r="O2914" s="291"/>
    </row>
    <row r="2915" spans="8:15">
      <c r="H2915" s="634"/>
      <c r="I2915" s="636" t="s">
        <v>2343</v>
      </c>
      <c r="J2915" s="637"/>
      <c r="K2915" s="637"/>
      <c r="L2915" s="637"/>
      <c r="M2915" s="637"/>
      <c r="N2915" s="638"/>
      <c r="O2915" s="148">
        <v>600000</v>
      </c>
    </row>
    <row r="2916" spans="8:15">
      <c r="H2916" s="634"/>
      <c r="I2916" s="64"/>
      <c r="J2916" s="604"/>
      <c r="K2916" s="604"/>
      <c r="L2916" s="604"/>
      <c r="N2916" s="65"/>
      <c r="O2916" s="291"/>
    </row>
    <row r="2917" spans="8:15" ht="17.25" thickBot="1">
      <c r="H2917" s="635"/>
      <c r="I2917" s="140"/>
      <c r="J2917" s="141"/>
      <c r="K2917" s="141"/>
      <c r="L2917" s="141"/>
      <c r="M2917" s="141"/>
      <c r="N2917" s="142"/>
      <c r="O2917" s="291"/>
    </row>
    <row r="2918" spans="8:15" ht="17.25" thickBot="1">
      <c r="H2918" s="20" t="s">
        <v>12</v>
      </c>
      <c r="I2918" s="614" t="s">
        <v>13</v>
      </c>
      <c r="J2918" s="615"/>
      <c r="K2918" s="62" t="s">
        <v>14</v>
      </c>
      <c r="L2918" s="63"/>
      <c r="M2918" s="62" t="s">
        <v>15</v>
      </c>
      <c r="N2918" s="62" t="s">
        <v>16</v>
      </c>
      <c r="O2918" s="20" t="s">
        <v>17</v>
      </c>
    </row>
    <row r="2919" spans="8:15" ht="18" thickBot="1">
      <c r="H2919" s="22" t="s">
        <v>18</v>
      </c>
      <c r="I2919" s="606">
        <f>+O2915</f>
        <v>600000</v>
      </c>
      <c r="J2919" s="607"/>
      <c r="K2919" s="23">
        <f>0</f>
        <v>0</v>
      </c>
      <c r="L2919" s="24"/>
      <c r="M2919" s="25">
        <f>0</f>
        <v>0</v>
      </c>
      <c r="N2919" s="36">
        <f>+I2919</f>
        <v>600000</v>
      </c>
      <c r="O2919" s="38">
        <f>+O2915</f>
        <v>600000</v>
      </c>
    </row>
    <row r="2920" spans="8:15" ht="18" thickBot="1">
      <c r="H2920" s="22" t="s">
        <v>113</v>
      </c>
      <c r="I2920" s="606">
        <f>+I2919/650.599</f>
        <v>922.22705537512343</v>
      </c>
      <c r="J2920" s="607"/>
      <c r="K2920" s="23">
        <f>0</f>
        <v>0</v>
      </c>
      <c r="L2920" s="24"/>
      <c r="M2920" s="25">
        <f>0</f>
        <v>0</v>
      </c>
      <c r="N2920" s="36">
        <f>+I2920</f>
        <v>922.22705537512343</v>
      </c>
      <c r="O2920" s="38">
        <f>+N2920</f>
        <v>922.22705537512343</v>
      </c>
    </row>
    <row r="2922" spans="8:15">
      <c r="H2922" s="412" t="s">
        <v>1268</v>
      </c>
      <c r="I2922" s="26"/>
      <c r="J2922" s="26"/>
      <c r="K2922" s="26"/>
      <c r="L2922" s="26"/>
      <c r="M2922" s="26"/>
      <c r="N2922" s="26"/>
    </row>
    <row r="2923" spans="8:15">
      <c r="H2923" s="413" t="s">
        <v>2344</v>
      </c>
      <c r="I2923" s="26"/>
      <c r="J2923" s="26"/>
      <c r="K2923" s="26"/>
      <c r="L2923" s="26"/>
      <c r="M2923" s="26"/>
      <c r="N2923" s="26"/>
    </row>
    <row r="2924" spans="8:15">
      <c r="H2924" s="82" t="s">
        <v>19</v>
      </c>
      <c r="I2924" s="26"/>
      <c r="J2924" s="26"/>
      <c r="K2924" s="26"/>
      <c r="L2924" s="26"/>
      <c r="M2924" s="26"/>
      <c r="N2924" s="26"/>
    </row>
    <row r="2925" spans="8:15">
      <c r="H2925" s="26" t="s">
        <v>965</v>
      </c>
      <c r="I2925" s="26"/>
      <c r="J2925" s="26"/>
      <c r="K2925" s="26"/>
      <c r="L2925" s="26"/>
      <c r="M2925" s="26"/>
      <c r="N2925" s="26"/>
    </row>
    <row r="2926" spans="8:15">
      <c r="H2926" s="26" t="s">
        <v>21</v>
      </c>
      <c r="I2926" s="26"/>
      <c r="J2926" s="26"/>
      <c r="K2926" s="26"/>
      <c r="L2926" s="26"/>
      <c r="M2926" s="26"/>
      <c r="N2926" s="26"/>
    </row>
    <row r="2927" spans="8:15">
      <c r="H2927" s="26" t="s">
        <v>1229</v>
      </c>
      <c r="I2927" s="26"/>
      <c r="J2927" s="26"/>
      <c r="K2927" s="26"/>
      <c r="L2927" s="26"/>
      <c r="M2927" s="26"/>
      <c r="N2927" s="26"/>
    </row>
    <row r="2930" spans="8:15">
      <c r="K2930" s="604" t="s">
        <v>24</v>
      </c>
      <c r="L2930" s="604"/>
      <c r="M2930" s="604"/>
      <c r="N2930" s="604"/>
    </row>
    <row r="2931" spans="8:15">
      <c r="K2931" s="604" t="s">
        <v>149</v>
      </c>
      <c r="L2931" s="604"/>
      <c r="M2931" s="604"/>
      <c r="N2931" s="604"/>
    </row>
    <row r="2932" spans="8:15">
      <c r="K2932" s="605" t="s">
        <v>150</v>
      </c>
      <c r="L2932" s="605"/>
      <c r="M2932" s="605"/>
      <c r="N2932" s="605"/>
    </row>
    <row r="2933" spans="8:15">
      <c r="L2933" s="30"/>
    </row>
    <row r="2934" spans="8:15">
      <c r="H2934" s="26"/>
      <c r="I2934" s="26"/>
      <c r="J2934" s="26"/>
      <c r="K2934" s="26"/>
      <c r="M2934" s="26"/>
      <c r="N2934" s="26"/>
      <c r="O2934" s="26"/>
    </row>
    <row r="2935" spans="8:15" ht="18">
      <c r="H2935" s="26"/>
      <c r="I2935" s="26"/>
      <c r="J2935" s="26"/>
      <c r="K2935" s="644" t="s">
        <v>2347</v>
      </c>
      <c r="L2935" s="644"/>
      <c r="M2935" s="644"/>
      <c r="N2935" s="644"/>
      <c r="O2935" s="145"/>
    </row>
    <row r="2936" spans="8:15" ht="18">
      <c r="H2936" s="26"/>
      <c r="I2936" s="26"/>
      <c r="J2936" s="26"/>
      <c r="K2936" s="361"/>
      <c r="L2936" s="361"/>
      <c r="M2936" s="361"/>
      <c r="N2936" s="361"/>
      <c r="O2936" s="145"/>
    </row>
    <row r="2937" spans="8:15" ht="18">
      <c r="H2937" s="26"/>
      <c r="I2937" s="26"/>
      <c r="J2937" s="26"/>
      <c r="K2937" s="361"/>
      <c r="L2937" s="361"/>
      <c r="M2937" s="361"/>
      <c r="N2937" s="361"/>
      <c r="O2937" s="145"/>
    </row>
    <row r="2938" spans="8:15">
      <c r="H2938" s="617" t="s">
        <v>0</v>
      </c>
      <c r="I2938" s="617"/>
      <c r="J2938" s="617"/>
      <c r="K2938" s="617"/>
      <c r="L2938" s="617"/>
      <c r="M2938" s="617"/>
      <c r="N2938" s="617"/>
      <c r="O2938" s="617"/>
    </row>
    <row r="2941" spans="8:15" ht="49.5" customHeight="1">
      <c r="H2941" s="642" t="s">
        <v>1</v>
      </c>
      <c r="I2941" s="642"/>
      <c r="J2941" s="642"/>
      <c r="K2941" s="642"/>
      <c r="L2941" s="642"/>
      <c r="M2941" s="642"/>
      <c r="N2941" s="642"/>
      <c r="O2941" s="642"/>
    </row>
    <row r="2944" spans="8:15">
      <c r="H2944" s="30"/>
      <c r="I2944" s="30" t="s">
        <v>1879</v>
      </c>
    </row>
    <row r="2945" spans="8:15" ht="17.25" thickBot="1">
      <c r="H2945" s="30"/>
      <c r="N2945" s="141"/>
    </row>
    <row r="2946" spans="8:15">
      <c r="I2946" s="30"/>
      <c r="M2946" s="143"/>
      <c r="O2946" s="144"/>
    </row>
    <row r="2947" spans="8:15">
      <c r="M2947" s="647" t="s">
        <v>1679</v>
      </c>
      <c r="N2947" s="610"/>
      <c r="O2947" s="648"/>
    </row>
    <row r="2948" spans="8:15">
      <c r="H2948" s="12" t="s">
        <v>114</v>
      </c>
      <c r="K2948" s="249" t="s">
        <v>2</v>
      </c>
      <c r="L2948" s="30"/>
      <c r="M2948" s="605" t="s">
        <v>1464</v>
      </c>
      <c r="N2948" s="605"/>
      <c r="O2948" s="649"/>
    </row>
    <row r="2949" spans="8:15">
      <c r="M2949" s="601" t="s">
        <v>163</v>
      </c>
      <c r="N2949" s="602"/>
      <c r="O2949" s="603"/>
    </row>
    <row r="2950" spans="8:15" ht="17.25" thickBot="1">
      <c r="M2950" s="140"/>
      <c r="N2950" s="141"/>
      <c r="O2950" s="142"/>
    </row>
    <row r="2952" spans="8:15">
      <c r="H2952" s="249" t="s">
        <v>27</v>
      </c>
      <c r="I2952" s="394" t="s">
        <v>148</v>
      </c>
    </row>
    <row r="2953" spans="8:15" ht="17.25" thickBot="1"/>
    <row r="2954" spans="8:15" ht="17.25" thickBot="1">
      <c r="H2954" s="13" t="s">
        <v>112</v>
      </c>
      <c r="I2954" s="624" t="s">
        <v>4</v>
      </c>
      <c r="J2954" s="625"/>
      <c r="K2954" s="625"/>
      <c r="L2954" s="625"/>
      <c r="M2954" s="625"/>
      <c r="N2954" s="626"/>
      <c r="O2954" s="20" t="s">
        <v>5</v>
      </c>
    </row>
    <row r="2955" spans="8:15">
      <c r="H2955" s="627" t="s">
        <v>2014</v>
      </c>
      <c r="I2955" s="143"/>
      <c r="J2955" s="159"/>
      <c r="K2955" s="159"/>
      <c r="L2955" s="159"/>
      <c r="M2955" s="159"/>
      <c r="N2955" s="144"/>
      <c r="O2955" s="291"/>
    </row>
    <row r="2956" spans="8:15">
      <c r="H2956" s="628"/>
      <c r="I2956" s="630" t="s">
        <v>286</v>
      </c>
      <c r="J2956" s="631"/>
      <c r="K2956" s="631"/>
      <c r="L2956" s="631"/>
      <c r="M2956" s="631"/>
      <c r="N2956" s="632"/>
      <c r="O2956" s="291"/>
    </row>
    <row r="2957" spans="8:15">
      <c r="H2957" s="628"/>
      <c r="I2957" s="636" t="s">
        <v>1465</v>
      </c>
      <c r="J2957" s="637"/>
      <c r="K2957" s="637"/>
      <c r="L2957" s="637"/>
      <c r="M2957" s="637"/>
      <c r="N2957" s="638"/>
      <c r="O2957" s="148">
        <v>7821240</v>
      </c>
    </row>
    <row r="2958" spans="8:15">
      <c r="H2958" s="628"/>
      <c r="I2958" s="64"/>
      <c r="J2958" s="604"/>
      <c r="K2958" s="604"/>
      <c r="L2958" s="604"/>
      <c r="N2958" s="65"/>
      <c r="O2958" s="291"/>
    </row>
    <row r="2959" spans="8:15" ht="17.25" thickBot="1">
      <c r="H2959" s="629"/>
      <c r="I2959" s="140"/>
      <c r="J2959" s="141"/>
      <c r="K2959" s="141"/>
      <c r="L2959" s="141"/>
      <c r="M2959" s="141"/>
      <c r="N2959" s="142"/>
      <c r="O2959" s="291"/>
    </row>
    <row r="2960" spans="8:15" ht="17.25" thickBot="1">
      <c r="H2960" s="20" t="s">
        <v>12</v>
      </c>
      <c r="I2960" s="614" t="s">
        <v>13</v>
      </c>
      <c r="J2960" s="615"/>
      <c r="K2960" s="62" t="s">
        <v>14</v>
      </c>
      <c r="L2960" s="63"/>
      <c r="M2960" s="62" t="s">
        <v>15</v>
      </c>
      <c r="N2960" s="62" t="s">
        <v>16</v>
      </c>
      <c r="O2960" s="20" t="s">
        <v>17</v>
      </c>
    </row>
    <row r="2961" spans="8:15" ht="18" thickBot="1">
      <c r="H2961" s="22" t="s">
        <v>18</v>
      </c>
      <c r="I2961" s="606">
        <f>+O2957</f>
        <v>7821240</v>
      </c>
      <c r="J2961" s="607"/>
      <c r="K2961" s="23">
        <f>0</f>
        <v>0</v>
      </c>
      <c r="L2961" s="24"/>
      <c r="M2961" s="25">
        <f>0</f>
        <v>0</v>
      </c>
      <c r="N2961" s="36">
        <f>+I2961</f>
        <v>7821240</v>
      </c>
      <c r="O2961" s="38">
        <f>+O2957</f>
        <v>7821240</v>
      </c>
    </row>
    <row r="2962" spans="8:15" ht="18" thickBot="1">
      <c r="H2962" s="22" t="s">
        <v>113</v>
      </c>
      <c r="I2962" s="606">
        <f>+I2961/650.599</f>
        <v>12021.598557636884</v>
      </c>
      <c r="J2962" s="607"/>
      <c r="K2962" s="23">
        <f>0</f>
        <v>0</v>
      </c>
      <c r="L2962" s="24"/>
      <c r="M2962" s="25">
        <f>0</f>
        <v>0</v>
      </c>
      <c r="N2962" s="36">
        <f>+I2962</f>
        <v>12021.598557636884</v>
      </c>
      <c r="O2962" s="38">
        <f>+N2962</f>
        <v>12021.598557636884</v>
      </c>
    </row>
    <row r="2964" spans="8:15">
      <c r="H2964" s="410" t="s">
        <v>1457</v>
      </c>
      <c r="I2964" s="26"/>
      <c r="J2964" s="26"/>
      <c r="K2964" s="26"/>
      <c r="L2964" s="26"/>
      <c r="M2964" s="26"/>
      <c r="N2964" s="26"/>
    </row>
    <row r="2965" spans="8:15" ht="17.25">
      <c r="H2965" s="448" t="s">
        <v>1466</v>
      </c>
      <c r="I2965" s="26"/>
      <c r="J2965" s="26"/>
      <c r="K2965" s="26"/>
      <c r="L2965" s="26"/>
      <c r="M2965" s="26"/>
      <c r="N2965" s="26"/>
    </row>
    <row r="2966" spans="8:15">
      <c r="H2966" s="82" t="s">
        <v>19</v>
      </c>
      <c r="I2966" s="26"/>
      <c r="J2966" s="26"/>
      <c r="K2966" s="26"/>
      <c r="L2966" s="26"/>
      <c r="M2966" s="26"/>
      <c r="N2966" s="26"/>
    </row>
    <row r="2967" spans="8:15">
      <c r="H2967" s="26" t="s">
        <v>965</v>
      </c>
      <c r="I2967" s="26"/>
      <c r="J2967" s="26"/>
      <c r="K2967" s="26"/>
      <c r="L2967" s="26"/>
      <c r="M2967" s="26"/>
      <c r="N2967" s="26"/>
    </row>
    <row r="2968" spans="8:15">
      <c r="H2968" s="26" t="s">
        <v>21</v>
      </c>
      <c r="I2968" s="26"/>
      <c r="J2968" s="26"/>
      <c r="K2968" s="26"/>
      <c r="L2968" s="26"/>
      <c r="M2968" s="26"/>
      <c r="N2968" s="26"/>
    </row>
    <row r="2969" spans="8:15">
      <c r="H2969" s="26" t="s">
        <v>1229</v>
      </c>
      <c r="I2969" s="26"/>
      <c r="J2969" s="26"/>
      <c r="K2969" s="26"/>
      <c r="L2969" s="26"/>
      <c r="M2969" s="26"/>
      <c r="N2969" s="26"/>
    </row>
    <row r="2973" spans="8:15">
      <c r="K2973" s="604" t="s">
        <v>24</v>
      </c>
      <c r="L2973" s="604"/>
      <c r="M2973" s="604"/>
      <c r="N2973" s="604"/>
    </row>
    <row r="2974" spans="8:15">
      <c r="K2974" s="604" t="s">
        <v>149</v>
      </c>
      <c r="L2974" s="604"/>
      <c r="M2974" s="604"/>
      <c r="N2974" s="604"/>
    </row>
    <row r="2975" spans="8:15">
      <c r="K2975" s="605" t="s">
        <v>150</v>
      </c>
      <c r="L2975" s="605"/>
      <c r="M2975" s="605"/>
      <c r="N2975" s="605"/>
    </row>
    <row r="2976" spans="8:15">
      <c r="L2976" s="30"/>
    </row>
    <row r="2977" spans="8:15">
      <c r="H2977" s="26"/>
      <c r="I2977" s="26"/>
      <c r="J2977" s="26"/>
      <c r="K2977" s="26"/>
      <c r="M2977" s="26"/>
      <c r="N2977" s="26"/>
      <c r="O2977" s="26"/>
    </row>
    <row r="2978" spans="8:15" ht="17.25">
      <c r="H2978" s="26"/>
      <c r="I2978" s="26"/>
      <c r="J2978" s="26"/>
      <c r="K2978" s="259"/>
      <c r="L2978" s="259"/>
      <c r="M2978" s="259"/>
      <c r="N2978" s="259"/>
      <c r="O2978" s="361"/>
    </row>
    <row r="2979" spans="8:15" ht="18">
      <c r="H2979" s="26"/>
      <c r="I2979" s="26"/>
      <c r="J2979" s="26"/>
      <c r="K2979" s="644" t="s">
        <v>1696</v>
      </c>
      <c r="L2979" s="644"/>
      <c r="M2979" s="644"/>
      <c r="N2979" s="644"/>
      <c r="O2979" s="145"/>
    </row>
    <row r="2980" spans="8:15" ht="13.5" customHeight="1">
      <c r="H2980" s="26"/>
      <c r="I2980" s="26"/>
      <c r="J2980" s="26"/>
      <c r="K2980" s="361"/>
      <c r="L2980" s="361"/>
      <c r="M2980" s="361"/>
      <c r="N2980" s="361"/>
      <c r="O2980" s="145"/>
    </row>
    <row r="2981" spans="8:15">
      <c r="H2981" s="617" t="s">
        <v>0</v>
      </c>
      <c r="I2981" s="617"/>
      <c r="J2981" s="617"/>
      <c r="K2981" s="617"/>
      <c r="L2981" s="617"/>
      <c r="M2981" s="617"/>
      <c r="N2981" s="617"/>
      <c r="O2981" s="617"/>
    </row>
    <row r="2984" spans="8:15" ht="49.5">
      <c r="J2984" s="642" t="s">
        <v>1</v>
      </c>
      <c r="K2984" s="642"/>
      <c r="L2984" s="642"/>
      <c r="M2984" s="642"/>
    </row>
    <row r="2987" spans="8:15" ht="17.25">
      <c r="H2987" s="30"/>
      <c r="I2987" s="375" t="s">
        <v>2341</v>
      </c>
    </row>
    <row r="2988" spans="8:15" ht="17.25" thickBot="1">
      <c r="H2988" s="30"/>
      <c r="N2988" s="141"/>
    </row>
    <row r="2989" spans="8:15">
      <c r="I2989" s="30"/>
      <c r="M2989" s="143"/>
      <c r="O2989" s="144"/>
    </row>
    <row r="2990" spans="8:15">
      <c r="M2990" s="647" t="s">
        <v>799</v>
      </c>
      <c r="N2990" s="610"/>
      <c r="O2990" s="648"/>
    </row>
    <row r="2991" spans="8:15">
      <c r="H2991" s="12" t="s">
        <v>114</v>
      </c>
      <c r="K2991" s="30"/>
      <c r="L2991" s="30" t="s">
        <v>2</v>
      </c>
      <c r="M2991" s="622" t="s">
        <v>2338</v>
      </c>
      <c r="N2991" s="622"/>
      <c r="O2991" s="623"/>
    </row>
    <row r="2992" spans="8:15">
      <c r="M2992" s="601" t="s">
        <v>163</v>
      </c>
      <c r="N2992" s="602"/>
      <c r="O2992" s="603"/>
    </row>
    <row r="2993" spans="8:15" ht="17.25" thickBot="1">
      <c r="M2993" s="140"/>
      <c r="N2993" s="141"/>
      <c r="O2993" s="142"/>
    </row>
    <row r="2995" spans="8:15">
      <c r="H2995" s="30" t="s">
        <v>27</v>
      </c>
      <c r="I2995" s="30" t="s">
        <v>165</v>
      </c>
    </row>
    <row r="2996" spans="8:15" ht="17.25" thickBot="1"/>
    <row r="2997" spans="8:15" ht="17.25" thickBot="1">
      <c r="H2997" s="13" t="s">
        <v>112</v>
      </c>
      <c r="I2997" s="624" t="s">
        <v>4</v>
      </c>
      <c r="J2997" s="625"/>
      <c r="K2997" s="625"/>
      <c r="L2997" s="625"/>
      <c r="M2997" s="625"/>
      <c r="N2997" s="626"/>
      <c r="O2997" s="20" t="s">
        <v>5</v>
      </c>
    </row>
    <row r="2998" spans="8:15">
      <c r="H2998" s="633" t="s">
        <v>2339</v>
      </c>
      <c r="I2998" s="143"/>
      <c r="J2998" s="159"/>
      <c r="K2998" s="159"/>
      <c r="L2998" s="159"/>
      <c r="M2998" s="159"/>
      <c r="N2998" s="144"/>
      <c r="O2998" s="291"/>
    </row>
    <row r="2999" spans="8:15">
      <c r="H2999" s="634"/>
      <c r="I2999" s="64"/>
      <c r="N2999" s="65"/>
      <c r="O2999" s="291"/>
    </row>
    <row r="3000" spans="8:15">
      <c r="H3000" s="634"/>
      <c r="I3000" s="66"/>
      <c r="J3000" s="367"/>
      <c r="K3000" s="367" t="s">
        <v>286</v>
      </c>
      <c r="L3000" s="367"/>
      <c r="M3000" s="367"/>
      <c r="N3000" s="67"/>
      <c r="O3000" s="291"/>
    </row>
    <row r="3001" spans="8:15">
      <c r="H3001" s="634"/>
      <c r="I3001" s="385"/>
      <c r="J3001" s="187"/>
      <c r="K3001" s="147" t="s">
        <v>1912</v>
      </c>
      <c r="L3001" s="187"/>
      <c r="M3001" s="187"/>
      <c r="N3001" s="132"/>
      <c r="O3001" s="148">
        <v>1200000</v>
      </c>
    </row>
    <row r="3002" spans="8:15">
      <c r="H3002" s="634"/>
      <c r="I3002" s="64"/>
      <c r="J3002" s="604"/>
      <c r="K3002" s="604"/>
      <c r="L3002" s="604"/>
      <c r="N3002" s="65"/>
      <c r="O3002" s="291"/>
    </row>
    <row r="3003" spans="8:15" ht="17.25" thickBot="1">
      <c r="H3003" s="635"/>
      <c r="I3003" s="140"/>
      <c r="J3003" s="141"/>
      <c r="K3003" s="141"/>
      <c r="L3003" s="141"/>
      <c r="M3003" s="141"/>
      <c r="N3003" s="142"/>
      <c r="O3003" s="291"/>
    </row>
    <row r="3004" spans="8:15" ht="17.25" thickBot="1">
      <c r="H3004" s="20" t="s">
        <v>12</v>
      </c>
      <c r="I3004" s="614" t="s">
        <v>13</v>
      </c>
      <c r="J3004" s="615"/>
      <c r="K3004" s="62" t="s">
        <v>14</v>
      </c>
      <c r="L3004" s="63"/>
      <c r="M3004" s="62" t="s">
        <v>15</v>
      </c>
      <c r="N3004" s="62" t="s">
        <v>16</v>
      </c>
      <c r="O3004" s="20" t="s">
        <v>17</v>
      </c>
    </row>
    <row r="3005" spans="8:15" ht="18" thickBot="1">
      <c r="H3005" s="22" t="s">
        <v>18</v>
      </c>
      <c r="I3005" s="606">
        <f>+O3001</f>
        <v>1200000</v>
      </c>
      <c r="J3005" s="607"/>
      <c r="K3005" s="23">
        <f>0</f>
        <v>0</v>
      </c>
      <c r="L3005" s="24"/>
      <c r="M3005" s="25">
        <f>0</f>
        <v>0</v>
      </c>
      <c r="N3005" s="36">
        <f>+I3005</f>
        <v>1200000</v>
      </c>
      <c r="O3005" s="38">
        <f>+O3001</f>
        <v>1200000</v>
      </c>
    </row>
    <row r="3006" spans="8:15" ht="18" thickBot="1">
      <c r="H3006" s="22" t="s">
        <v>113</v>
      </c>
      <c r="I3006" s="606">
        <f>+I3005/650.599</f>
        <v>1844.4541107502469</v>
      </c>
      <c r="J3006" s="607"/>
      <c r="K3006" s="23">
        <f>0</f>
        <v>0</v>
      </c>
      <c r="L3006" s="24"/>
      <c r="M3006" s="25">
        <f>0</f>
        <v>0</v>
      </c>
      <c r="N3006" s="36">
        <f>+I3006</f>
        <v>1844.4541107502469</v>
      </c>
      <c r="O3006" s="38">
        <f>+N3006</f>
        <v>1844.4541107502469</v>
      </c>
    </row>
    <row r="3008" spans="8:15">
      <c r="H3008" s="395" t="s">
        <v>1268</v>
      </c>
      <c r="I3008" s="26"/>
      <c r="J3008" s="26"/>
      <c r="K3008" s="26"/>
      <c r="L3008" s="26"/>
      <c r="M3008" s="26"/>
      <c r="N3008" s="26"/>
    </row>
    <row r="3009" spans="8:15">
      <c r="H3009" s="408" t="s">
        <v>2340</v>
      </c>
      <c r="I3009" s="26"/>
      <c r="J3009" s="26"/>
      <c r="K3009" s="26"/>
      <c r="L3009" s="26"/>
      <c r="M3009" s="26"/>
      <c r="N3009" s="26"/>
    </row>
    <row r="3010" spans="8:15">
      <c r="H3010" s="82" t="s">
        <v>19</v>
      </c>
      <c r="I3010" s="26"/>
      <c r="J3010" s="26"/>
      <c r="K3010" s="26"/>
      <c r="L3010" s="26"/>
      <c r="M3010" s="26"/>
      <c r="N3010" s="26"/>
    </row>
    <row r="3011" spans="8:15">
      <c r="H3011" s="26" t="s">
        <v>965</v>
      </c>
      <c r="I3011" s="26"/>
      <c r="J3011" s="26"/>
      <c r="K3011" s="26"/>
      <c r="L3011" s="26"/>
      <c r="M3011" s="26"/>
      <c r="N3011" s="26"/>
    </row>
    <row r="3012" spans="8:15">
      <c r="H3012" s="26" t="s">
        <v>21</v>
      </c>
      <c r="I3012" s="26"/>
      <c r="J3012" s="26"/>
      <c r="K3012" s="26"/>
      <c r="L3012" s="26"/>
      <c r="M3012" s="26"/>
      <c r="N3012" s="26"/>
    </row>
    <row r="3013" spans="8:15">
      <c r="H3013" s="26" t="s">
        <v>1229</v>
      </c>
      <c r="I3013" s="26"/>
      <c r="J3013" s="26"/>
      <c r="K3013" s="26"/>
      <c r="L3013" s="26"/>
      <c r="M3013" s="26"/>
      <c r="N3013" s="26"/>
    </row>
    <row r="3016" spans="8:15">
      <c r="K3016" s="30" t="s">
        <v>24</v>
      </c>
      <c r="L3016" s="30"/>
      <c r="M3016" s="30"/>
    </row>
    <row r="3017" spans="8:15">
      <c r="K3017" s="30" t="s">
        <v>149</v>
      </c>
      <c r="L3017" s="30"/>
      <c r="M3017" s="30"/>
    </row>
    <row r="3018" spans="8:15">
      <c r="K3018" s="374" t="s">
        <v>150</v>
      </c>
      <c r="L3018" s="374"/>
      <c r="M3018" s="374"/>
    </row>
    <row r="3019" spans="8:15" ht="17.25">
      <c r="H3019" s="26"/>
      <c r="I3019" s="26"/>
      <c r="J3019" s="26"/>
      <c r="K3019" s="259"/>
      <c r="L3019" s="259"/>
      <c r="M3019" s="259"/>
      <c r="N3019" s="259"/>
      <c r="O3019" s="361"/>
    </row>
    <row r="3020" spans="8:15" ht="18">
      <c r="H3020" s="26"/>
      <c r="I3020" s="26"/>
      <c r="J3020" s="26"/>
      <c r="K3020" s="644"/>
      <c r="L3020" s="644"/>
      <c r="M3020" s="644"/>
      <c r="N3020" s="644"/>
      <c r="O3020" s="145"/>
    </row>
    <row r="3021" spans="8:15" ht="18">
      <c r="H3021" s="26"/>
      <c r="I3021" s="26"/>
      <c r="J3021" s="26"/>
      <c r="K3021" s="644" t="s">
        <v>2147</v>
      </c>
      <c r="L3021" s="644"/>
      <c r="M3021" s="644"/>
      <c r="N3021" s="644"/>
      <c r="O3021" s="145"/>
    </row>
    <row r="3023" spans="8:15" ht="18.75" customHeight="1">
      <c r="I3023" s="617" t="s">
        <v>2534</v>
      </c>
      <c r="J3023" s="617"/>
      <c r="K3023" s="617"/>
      <c r="L3023" s="617"/>
      <c r="M3023" s="617"/>
      <c r="N3023" s="617"/>
      <c r="O3023" s="617"/>
    </row>
    <row r="3026" spans="8:15" ht="49.5" customHeight="1">
      <c r="H3026" s="642" t="s">
        <v>1</v>
      </c>
      <c r="I3026" s="642"/>
      <c r="J3026" s="642"/>
      <c r="K3026" s="642"/>
      <c r="L3026" s="642"/>
      <c r="M3026" s="642"/>
      <c r="N3026" s="642"/>
      <c r="O3026" s="642"/>
    </row>
    <row r="3029" spans="8:15" ht="17.25">
      <c r="H3029" s="30"/>
      <c r="I3029" s="503" t="s">
        <v>1759</v>
      </c>
    </row>
    <row r="3030" spans="8:15" ht="17.25" thickBot="1">
      <c r="H3030" s="30"/>
      <c r="N3030" s="141"/>
    </row>
    <row r="3031" spans="8:15">
      <c r="I3031" s="30"/>
      <c r="M3031" s="143"/>
      <c r="O3031" s="144"/>
    </row>
    <row r="3032" spans="8:15">
      <c r="M3032" s="647" t="s">
        <v>2332</v>
      </c>
      <c r="N3032" s="610"/>
      <c r="O3032" s="648"/>
    </row>
    <row r="3033" spans="8:15">
      <c r="H3033" s="12" t="s">
        <v>114</v>
      </c>
      <c r="K3033" s="30"/>
      <c r="L3033" s="30" t="s">
        <v>2</v>
      </c>
      <c r="M3033" s="622" t="s">
        <v>2155</v>
      </c>
      <c r="N3033" s="622"/>
      <c r="O3033" s="623"/>
    </row>
    <row r="3034" spans="8:15">
      <c r="M3034" s="601" t="s">
        <v>163</v>
      </c>
      <c r="N3034" s="602"/>
      <c r="O3034" s="603"/>
    </row>
    <row r="3035" spans="8:15" ht="17.25" thickBot="1">
      <c r="M3035" s="140"/>
      <c r="N3035" s="141"/>
      <c r="O3035" s="142"/>
    </row>
    <row r="3037" spans="8:15">
      <c r="H3037" s="30" t="s">
        <v>27</v>
      </c>
      <c r="I3037" s="30" t="s">
        <v>165</v>
      </c>
    </row>
    <row r="3038" spans="8:15" ht="17.25" thickBot="1"/>
    <row r="3039" spans="8:15" ht="17.25" thickBot="1">
      <c r="H3039" s="13" t="s">
        <v>112</v>
      </c>
      <c r="I3039" s="624" t="s">
        <v>4</v>
      </c>
      <c r="J3039" s="625"/>
      <c r="K3039" s="625"/>
      <c r="L3039" s="625"/>
      <c r="M3039" s="625"/>
      <c r="N3039" s="626"/>
      <c r="O3039" s="20" t="s">
        <v>5</v>
      </c>
    </row>
    <row r="3040" spans="8:15">
      <c r="H3040" s="633" t="s">
        <v>2445</v>
      </c>
      <c r="I3040" s="143"/>
      <c r="J3040" s="159"/>
      <c r="K3040" s="159"/>
      <c r="L3040" s="159"/>
      <c r="M3040" s="159"/>
      <c r="N3040" s="144"/>
      <c r="O3040" s="291"/>
    </row>
    <row r="3041" spans="8:15">
      <c r="H3041" s="634"/>
      <c r="I3041" s="64"/>
      <c r="N3041" s="65"/>
      <c r="O3041" s="291"/>
    </row>
    <row r="3042" spans="8:15">
      <c r="H3042" s="634"/>
      <c r="I3042" s="66"/>
      <c r="J3042" s="367"/>
      <c r="K3042" s="367" t="s">
        <v>286</v>
      </c>
      <c r="L3042" s="367"/>
      <c r="M3042" s="367"/>
      <c r="N3042" s="67"/>
      <c r="O3042" s="291"/>
    </row>
    <row r="3043" spans="8:15">
      <c r="H3043" s="634"/>
      <c r="I3043" s="385"/>
      <c r="J3043" s="187"/>
      <c r="K3043" s="147" t="s">
        <v>2153</v>
      </c>
      <c r="L3043" s="187"/>
      <c r="M3043" s="187"/>
      <c r="N3043" s="132"/>
      <c r="O3043" s="148">
        <v>600000</v>
      </c>
    </row>
    <row r="3044" spans="8:15" ht="17.25" thickBot="1">
      <c r="H3044" s="635"/>
      <c r="I3044" s="140"/>
      <c r="J3044" s="141"/>
      <c r="K3044" s="141"/>
      <c r="L3044" s="141"/>
      <c r="M3044" s="141"/>
      <c r="N3044" s="142"/>
      <c r="O3044" s="291"/>
    </row>
    <row r="3045" spans="8:15" ht="17.25" thickBot="1">
      <c r="H3045" s="20" t="s">
        <v>12</v>
      </c>
      <c r="I3045" s="614" t="s">
        <v>13</v>
      </c>
      <c r="J3045" s="615"/>
      <c r="K3045" s="62" t="s">
        <v>14</v>
      </c>
      <c r="L3045" s="63"/>
      <c r="M3045" s="62" t="s">
        <v>15</v>
      </c>
      <c r="N3045" s="62" t="s">
        <v>16</v>
      </c>
      <c r="O3045" s="20" t="s">
        <v>17</v>
      </c>
    </row>
    <row r="3046" spans="8:15" ht="18" thickBot="1">
      <c r="H3046" s="22" t="s">
        <v>18</v>
      </c>
      <c r="I3046" s="606">
        <f>+O3043</f>
        <v>600000</v>
      </c>
      <c r="J3046" s="607"/>
      <c r="K3046" s="23">
        <f>0</f>
        <v>0</v>
      </c>
      <c r="L3046" s="24"/>
      <c r="M3046" s="25">
        <f>0</f>
        <v>0</v>
      </c>
      <c r="N3046" s="36">
        <f>+I3046</f>
        <v>600000</v>
      </c>
      <c r="O3046" s="38">
        <f>+O3043</f>
        <v>600000</v>
      </c>
    </row>
    <row r="3047" spans="8:15" ht="18" thickBot="1">
      <c r="H3047" s="22" t="s">
        <v>113</v>
      </c>
      <c r="I3047" s="606">
        <f>+I3046/650.599</f>
        <v>922.22705537512343</v>
      </c>
      <c r="J3047" s="607"/>
      <c r="K3047" s="23">
        <f>0</f>
        <v>0</v>
      </c>
      <c r="L3047" s="24"/>
      <c r="M3047" s="25">
        <f>0</f>
        <v>0</v>
      </c>
      <c r="N3047" s="36">
        <f>+I3047</f>
        <v>922.22705537512343</v>
      </c>
      <c r="O3047" s="38">
        <f>+N3047</f>
        <v>922.22705537512343</v>
      </c>
    </row>
    <row r="3049" spans="8:15">
      <c r="H3049" s="412" t="s">
        <v>1268</v>
      </c>
      <c r="I3049" s="26"/>
      <c r="J3049" s="26"/>
      <c r="K3049" s="26"/>
      <c r="L3049" s="26"/>
      <c r="M3049" s="26"/>
      <c r="N3049" s="26"/>
    </row>
    <row r="3050" spans="8:15">
      <c r="H3050" s="413" t="s">
        <v>2337</v>
      </c>
      <c r="I3050" s="26"/>
      <c r="J3050" s="26"/>
      <c r="K3050" s="26"/>
      <c r="L3050" s="26"/>
      <c r="M3050" s="26"/>
      <c r="N3050" s="26"/>
    </row>
    <row r="3051" spans="8:15">
      <c r="H3051" s="82" t="s">
        <v>19</v>
      </c>
      <c r="I3051" s="26"/>
      <c r="J3051" s="26"/>
      <c r="K3051" s="26"/>
      <c r="L3051" s="26"/>
      <c r="M3051" s="26"/>
      <c r="N3051" s="26"/>
    </row>
    <row r="3052" spans="8:15">
      <c r="H3052" s="410" t="s">
        <v>1914</v>
      </c>
      <c r="I3052" s="410"/>
      <c r="J3052" s="410"/>
      <c r="K3052" s="410"/>
      <c r="L3052" s="410"/>
      <c r="M3052" s="410"/>
      <c r="N3052" s="410"/>
    </row>
    <row r="3053" spans="8:15">
      <c r="H3053" s="410" t="s">
        <v>21</v>
      </c>
      <c r="I3053" s="410"/>
      <c r="J3053" s="410"/>
      <c r="K3053" s="410"/>
      <c r="L3053" s="410"/>
      <c r="M3053" s="410"/>
      <c r="N3053" s="410"/>
    </row>
    <row r="3054" spans="8:15">
      <c r="H3054" s="410" t="s">
        <v>1229</v>
      </c>
      <c r="I3054" s="410"/>
      <c r="J3054" s="410"/>
      <c r="K3054" s="410"/>
      <c r="L3054" s="410"/>
      <c r="M3054" s="410"/>
      <c r="N3054" s="410"/>
    </row>
    <row r="3058" spans="8:15">
      <c r="K3058" s="30" t="s">
        <v>24</v>
      </c>
      <c r="L3058" s="30"/>
      <c r="M3058" s="30"/>
    </row>
    <row r="3059" spans="8:15">
      <c r="K3059" s="30" t="s">
        <v>149</v>
      </c>
      <c r="L3059" s="30"/>
      <c r="M3059" s="30"/>
    </row>
    <row r="3060" spans="8:15">
      <c r="K3060" s="374" t="s">
        <v>150</v>
      </c>
      <c r="L3060" s="374"/>
      <c r="M3060" s="374"/>
    </row>
    <row r="3062" spans="8:15" ht="17.25">
      <c r="H3062" s="26"/>
      <c r="I3062" s="26"/>
      <c r="J3062" s="26"/>
      <c r="K3062" s="644"/>
      <c r="L3062" s="644"/>
      <c r="M3062" s="644"/>
      <c r="N3062" s="644"/>
      <c r="O3062" s="361"/>
    </row>
    <row r="3063" spans="8:15" ht="18">
      <c r="H3063" s="26"/>
      <c r="I3063" s="26"/>
      <c r="J3063" s="26"/>
      <c r="K3063" s="644" t="s">
        <v>2347</v>
      </c>
      <c r="L3063" s="644"/>
      <c r="M3063" s="644"/>
      <c r="N3063" s="644"/>
      <c r="O3063" s="145"/>
    </row>
    <row r="3067" spans="8:15" ht="19.5" customHeight="1">
      <c r="I3067" s="617" t="s">
        <v>0</v>
      </c>
      <c r="J3067" s="617"/>
      <c r="K3067" s="617"/>
      <c r="L3067" s="617"/>
      <c r="M3067" s="617"/>
      <c r="N3067" s="617"/>
      <c r="O3067" s="617"/>
    </row>
    <row r="3070" spans="8:15" ht="49.5" customHeight="1">
      <c r="H3070" s="642" t="s">
        <v>1</v>
      </c>
      <c r="I3070" s="642"/>
      <c r="J3070" s="642"/>
      <c r="K3070" s="642"/>
      <c r="L3070" s="642"/>
      <c r="M3070" s="642"/>
      <c r="N3070" s="642"/>
      <c r="O3070" s="642"/>
    </row>
    <row r="3073" spans="8:15" ht="17.25">
      <c r="H3073" s="30"/>
      <c r="I3073" s="375" t="s">
        <v>1739</v>
      </c>
    </row>
    <row r="3074" spans="8:15" ht="17.25" thickBot="1">
      <c r="H3074" s="30"/>
      <c r="N3074" s="141"/>
    </row>
    <row r="3075" spans="8:15">
      <c r="I3075" s="30"/>
      <c r="M3075" s="143"/>
      <c r="O3075" s="144"/>
    </row>
    <row r="3076" spans="8:15">
      <c r="M3076" s="647" t="s">
        <v>1975</v>
      </c>
      <c r="N3076" s="610"/>
      <c r="O3076" s="648"/>
    </row>
    <row r="3077" spans="8:15">
      <c r="H3077" s="12" t="s">
        <v>114</v>
      </c>
      <c r="K3077" s="30"/>
      <c r="L3077" s="30" t="s">
        <v>2</v>
      </c>
      <c r="M3077" s="622" t="s">
        <v>1976</v>
      </c>
      <c r="N3077" s="622"/>
      <c r="O3077" s="623"/>
    </row>
    <row r="3078" spans="8:15">
      <c r="M3078" s="601" t="s">
        <v>904</v>
      </c>
      <c r="N3078" s="602"/>
      <c r="O3078" s="603"/>
    </row>
    <row r="3079" spans="8:15" ht="17.25" thickBot="1">
      <c r="M3079" s="140"/>
      <c r="N3079" s="141"/>
      <c r="O3079" s="142"/>
    </row>
    <row r="3081" spans="8:15">
      <c r="H3081" s="30" t="s">
        <v>27</v>
      </c>
      <c r="I3081" s="30" t="s">
        <v>1675</v>
      </c>
    </row>
    <row r="3082" spans="8:15" ht="17.25" thickBot="1"/>
    <row r="3083" spans="8:15" ht="17.25" thickBot="1">
      <c r="H3083" s="13" t="s">
        <v>112</v>
      </c>
      <c r="I3083" s="624" t="s">
        <v>4</v>
      </c>
      <c r="J3083" s="625"/>
      <c r="K3083" s="625"/>
      <c r="L3083" s="625"/>
      <c r="M3083" s="625"/>
      <c r="N3083" s="626"/>
      <c r="O3083" s="20" t="s">
        <v>5</v>
      </c>
    </row>
    <row r="3084" spans="8:15">
      <c r="H3084" s="633" t="s">
        <v>2140</v>
      </c>
      <c r="I3084" s="143"/>
      <c r="J3084" s="159"/>
      <c r="K3084" s="159"/>
      <c r="L3084" s="159"/>
      <c r="M3084" s="159"/>
      <c r="N3084" s="144"/>
      <c r="O3084" s="291"/>
    </row>
    <row r="3085" spans="8:15">
      <c r="H3085" s="634"/>
      <c r="I3085" s="64"/>
      <c r="N3085" s="65"/>
      <c r="O3085" s="291"/>
    </row>
    <row r="3086" spans="8:15">
      <c r="H3086" s="634"/>
      <c r="I3086" s="66"/>
      <c r="J3086" s="367"/>
      <c r="K3086" s="367" t="s">
        <v>286</v>
      </c>
      <c r="L3086" s="367"/>
      <c r="M3086" s="367"/>
      <c r="N3086" s="67"/>
      <c r="O3086" s="291"/>
    </row>
    <row r="3087" spans="8:15">
      <c r="H3087" s="634"/>
      <c r="I3087" s="385"/>
      <c r="J3087" s="187"/>
      <c r="K3087" s="147" t="s">
        <v>2036</v>
      </c>
      <c r="L3087" s="187"/>
      <c r="M3087" s="187"/>
      <c r="N3087" s="132"/>
      <c r="O3087" s="148">
        <v>2500000</v>
      </c>
    </row>
    <row r="3088" spans="8:15">
      <c r="H3088" s="634"/>
      <c r="I3088" s="64"/>
      <c r="J3088" s="604"/>
      <c r="K3088" s="604"/>
      <c r="L3088" s="604"/>
      <c r="N3088" s="65"/>
      <c r="O3088" s="291"/>
    </row>
    <row r="3089" spans="8:15" ht="17.25" thickBot="1">
      <c r="H3089" s="635"/>
      <c r="I3089" s="140"/>
      <c r="J3089" s="141"/>
      <c r="K3089" s="141"/>
      <c r="L3089" s="141"/>
      <c r="M3089" s="141"/>
      <c r="N3089" s="142"/>
      <c r="O3089" s="291"/>
    </row>
    <row r="3090" spans="8:15" ht="17.25" thickBot="1">
      <c r="H3090" s="20" t="s">
        <v>12</v>
      </c>
      <c r="I3090" s="614" t="s">
        <v>13</v>
      </c>
      <c r="J3090" s="615"/>
      <c r="K3090" s="62" t="s">
        <v>14</v>
      </c>
      <c r="L3090" s="63"/>
      <c r="M3090" s="62" t="s">
        <v>15</v>
      </c>
      <c r="N3090" s="62" t="s">
        <v>16</v>
      </c>
      <c r="O3090" s="20" t="s">
        <v>17</v>
      </c>
    </row>
    <row r="3091" spans="8:15" ht="18" thickBot="1">
      <c r="H3091" s="22" t="s">
        <v>18</v>
      </c>
      <c r="I3091" s="606">
        <f>+O3087</f>
        <v>2500000</v>
      </c>
      <c r="J3091" s="607"/>
      <c r="K3091" s="23">
        <f>0</f>
        <v>0</v>
      </c>
      <c r="L3091" s="24"/>
      <c r="M3091" s="25">
        <f>0</f>
        <v>0</v>
      </c>
      <c r="N3091" s="36">
        <f>+I3091</f>
        <v>2500000</v>
      </c>
      <c r="O3091" s="38">
        <f>+O3087</f>
        <v>2500000</v>
      </c>
    </row>
    <row r="3092" spans="8:15" ht="18" thickBot="1">
      <c r="H3092" s="22" t="s">
        <v>113</v>
      </c>
      <c r="I3092" s="606">
        <f>+I3091/650.599</f>
        <v>3842.6127307296811</v>
      </c>
      <c r="J3092" s="607"/>
      <c r="K3092" s="23">
        <f>0</f>
        <v>0</v>
      </c>
      <c r="L3092" s="24"/>
      <c r="M3092" s="25">
        <f>0</f>
        <v>0</v>
      </c>
      <c r="N3092" s="36">
        <f>+I3092</f>
        <v>3842.6127307296811</v>
      </c>
      <c r="O3092" s="38">
        <f>+N3092</f>
        <v>3842.6127307296811</v>
      </c>
    </row>
    <row r="3094" spans="8:15">
      <c r="H3094" s="395" t="s">
        <v>1382</v>
      </c>
      <c r="I3094" s="26"/>
      <c r="J3094" s="26"/>
      <c r="K3094" s="26"/>
      <c r="L3094" s="26"/>
      <c r="M3094" s="26"/>
      <c r="N3094" s="26"/>
    </row>
    <row r="3095" spans="8:15">
      <c r="H3095" s="408" t="s">
        <v>2037</v>
      </c>
      <c r="I3095" s="26"/>
      <c r="J3095" s="26"/>
      <c r="K3095" s="26"/>
      <c r="L3095" s="26"/>
      <c r="M3095" s="26"/>
      <c r="N3095" s="26"/>
    </row>
    <row r="3096" spans="8:15">
      <c r="H3096" s="82" t="s">
        <v>19</v>
      </c>
      <c r="I3096" s="26"/>
      <c r="J3096" s="26"/>
      <c r="K3096" s="26"/>
      <c r="L3096" s="26"/>
      <c r="M3096" s="26"/>
      <c r="N3096" s="26"/>
    </row>
    <row r="3097" spans="8:15">
      <c r="H3097" s="26" t="s">
        <v>965</v>
      </c>
      <c r="I3097" s="26"/>
      <c r="J3097" s="26"/>
      <c r="K3097" s="26"/>
      <c r="L3097" s="26"/>
      <c r="M3097" s="26"/>
      <c r="N3097" s="26"/>
    </row>
    <row r="3098" spans="8:15">
      <c r="H3098" s="26" t="s">
        <v>21</v>
      </c>
      <c r="I3098" s="26"/>
      <c r="J3098" s="26"/>
      <c r="K3098" s="26"/>
      <c r="L3098" s="26"/>
      <c r="M3098" s="26"/>
      <c r="N3098" s="26"/>
    </row>
    <row r="3099" spans="8:15">
      <c r="H3099" s="26" t="s">
        <v>1229</v>
      </c>
      <c r="I3099" s="26"/>
      <c r="J3099" s="26"/>
      <c r="K3099" s="26"/>
      <c r="L3099" s="26"/>
      <c r="M3099" s="26"/>
      <c r="N3099" s="26"/>
    </row>
    <row r="3101" spans="8:15" ht="6" customHeight="1"/>
    <row r="3102" spans="8:15">
      <c r="K3102" s="30" t="s">
        <v>24</v>
      </c>
      <c r="L3102" s="30"/>
      <c r="M3102" s="30"/>
    </row>
    <row r="3103" spans="8:15">
      <c r="K3103" s="30" t="s">
        <v>149</v>
      </c>
      <c r="L3103" s="30"/>
      <c r="M3103" s="30"/>
    </row>
    <row r="3104" spans="8:15">
      <c r="K3104" s="374" t="s">
        <v>150</v>
      </c>
      <c r="L3104" s="374"/>
      <c r="M3104" s="374"/>
    </row>
    <row r="3105" spans="8:15">
      <c r="K3105" s="374"/>
      <c r="L3105" s="374"/>
      <c r="M3105" s="374"/>
    </row>
    <row r="3106" spans="8:15">
      <c r="K3106" s="374"/>
      <c r="L3106" s="374"/>
      <c r="M3106" s="374"/>
    </row>
    <row r="3107" spans="8:15" ht="21" customHeight="1">
      <c r="H3107" s="26"/>
      <c r="I3107" s="26"/>
      <c r="J3107" s="26"/>
      <c r="K3107" s="644" t="s">
        <v>2147</v>
      </c>
      <c r="L3107" s="644"/>
      <c r="M3107" s="644"/>
      <c r="N3107" s="644"/>
      <c r="O3107" s="145"/>
    </row>
    <row r="3108" spans="8:15">
      <c r="I3108" s="617" t="s">
        <v>0</v>
      </c>
      <c r="J3108" s="617"/>
      <c r="K3108" s="617"/>
      <c r="L3108" s="617"/>
      <c r="M3108" s="617"/>
      <c r="N3108" s="617"/>
      <c r="O3108" s="617"/>
    </row>
    <row r="3111" spans="8:15" ht="49.5" customHeight="1">
      <c r="H3111" s="661" t="s">
        <v>1</v>
      </c>
      <c r="I3111" s="661"/>
      <c r="J3111" s="661"/>
      <c r="K3111" s="661"/>
      <c r="L3111" s="661"/>
      <c r="M3111" s="661"/>
      <c r="N3111" s="661"/>
      <c r="O3111" s="661"/>
    </row>
    <row r="3114" spans="8:15" ht="17.25">
      <c r="H3114" s="30"/>
      <c r="I3114" s="503" t="s">
        <v>2437</v>
      </c>
    </row>
    <row r="3115" spans="8:15" ht="17.25" thickBot="1">
      <c r="H3115" s="30"/>
      <c r="N3115" s="141"/>
    </row>
    <row r="3116" spans="8:15">
      <c r="I3116" s="30"/>
      <c r="M3116" s="143"/>
      <c r="O3116" s="144"/>
    </row>
    <row r="3117" spans="8:15">
      <c r="M3117" s="619" t="s">
        <v>2435</v>
      </c>
      <c r="N3117" s="620"/>
      <c r="O3117" s="621"/>
    </row>
    <row r="3118" spans="8:15">
      <c r="H3118" s="12" t="s">
        <v>114</v>
      </c>
      <c r="K3118" s="30"/>
      <c r="L3118" s="30" t="s">
        <v>2</v>
      </c>
      <c r="M3118" s="622" t="s">
        <v>2436</v>
      </c>
      <c r="N3118" s="622"/>
      <c r="O3118" s="623"/>
    </row>
    <row r="3119" spans="8:15">
      <c r="M3119" s="601" t="s">
        <v>163</v>
      </c>
      <c r="N3119" s="602"/>
      <c r="O3119" s="603"/>
    </row>
    <row r="3120" spans="8:15" ht="17.25" thickBot="1">
      <c r="M3120" s="140"/>
      <c r="N3120" s="141"/>
      <c r="O3120" s="142"/>
    </row>
    <row r="3122" spans="8:15">
      <c r="H3122" s="30" t="s">
        <v>27</v>
      </c>
      <c r="I3122" s="30" t="s">
        <v>775</v>
      </c>
    </row>
    <row r="3123" spans="8:15" ht="17.25" thickBot="1"/>
    <row r="3124" spans="8:15" ht="17.25" thickBot="1">
      <c r="H3124" s="13" t="s">
        <v>112</v>
      </c>
      <c r="I3124" s="624" t="s">
        <v>4</v>
      </c>
      <c r="J3124" s="625"/>
      <c r="K3124" s="625"/>
      <c r="L3124" s="625"/>
      <c r="M3124" s="625"/>
      <c r="N3124" s="626"/>
      <c r="O3124" s="20" t="s">
        <v>5</v>
      </c>
    </row>
    <row r="3125" spans="8:15">
      <c r="H3125" s="633" t="s">
        <v>2390</v>
      </c>
      <c r="I3125" s="143"/>
      <c r="J3125" s="159"/>
      <c r="K3125" s="159"/>
      <c r="L3125" s="159"/>
      <c r="M3125" s="159"/>
      <c r="N3125" s="144"/>
      <c r="O3125" s="291"/>
    </row>
    <row r="3126" spans="8:15">
      <c r="H3126" s="634"/>
      <c r="I3126" s="64"/>
      <c r="N3126" s="65"/>
      <c r="O3126" s="291"/>
    </row>
    <row r="3127" spans="8:15">
      <c r="H3127" s="634"/>
      <c r="I3127" s="630" t="s">
        <v>286</v>
      </c>
      <c r="J3127" s="631"/>
      <c r="K3127" s="631"/>
      <c r="L3127" s="631"/>
      <c r="M3127" s="631"/>
      <c r="N3127" s="632"/>
      <c r="O3127" s="291"/>
    </row>
    <row r="3128" spans="8:15">
      <c r="H3128" s="634"/>
      <c r="I3128" s="636" t="s">
        <v>2438</v>
      </c>
      <c r="J3128" s="637"/>
      <c r="K3128" s="637"/>
      <c r="L3128" s="637"/>
      <c r="M3128" s="637"/>
      <c r="N3128" s="638"/>
      <c r="O3128" s="148">
        <v>348000</v>
      </c>
    </row>
    <row r="3129" spans="8:15">
      <c r="H3129" s="634"/>
      <c r="I3129" s="64"/>
      <c r="J3129" s="604"/>
      <c r="K3129" s="604"/>
      <c r="L3129" s="604"/>
      <c r="N3129" s="65"/>
      <c r="O3129" s="291"/>
    </row>
    <row r="3130" spans="8:15" ht="17.25" thickBot="1">
      <c r="H3130" s="635"/>
      <c r="I3130" s="140"/>
      <c r="J3130" s="141"/>
      <c r="K3130" s="141"/>
      <c r="L3130" s="141"/>
      <c r="M3130" s="141"/>
      <c r="N3130" s="142"/>
      <c r="O3130" s="291"/>
    </row>
    <row r="3131" spans="8:15" ht="17.25" thickBot="1">
      <c r="H3131" s="20" t="s">
        <v>12</v>
      </c>
      <c r="I3131" s="614" t="s">
        <v>13</v>
      </c>
      <c r="J3131" s="615"/>
      <c r="K3131" s="62" t="s">
        <v>14</v>
      </c>
      <c r="L3131" s="63"/>
      <c r="M3131" s="62" t="s">
        <v>15</v>
      </c>
      <c r="N3131" s="62" t="s">
        <v>16</v>
      </c>
      <c r="O3131" s="20" t="s">
        <v>17</v>
      </c>
    </row>
    <row r="3132" spans="8:15" ht="18" thickBot="1">
      <c r="H3132" s="22" t="s">
        <v>18</v>
      </c>
      <c r="I3132" s="606">
        <f>+O3128</f>
        <v>348000</v>
      </c>
      <c r="J3132" s="607"/>
      <c r="K3132" s="23">
        <f>0</f>
        <v>0</v>
      </c>
      <c r="L3132" s="24"/>
      <c r="M3132" s="25">
        <f>0</f>
        <v>0</v>
      </c>
      <c r="N3132" s="36">
        <f>+I3132</f>
        <v>348000</v>
      </c>
      <c r="O3132" s="38">
        <f>+O3128</f>
        <v>348000</v>
      </c>
    </row>
    <row r="3133" spans="8:15" ht="18" thickBot="1">
      <c r="H3133" s="22" t="s">
        <v>113</v>
      </c>
      <c r="I3133" s="606">
        <f>+I3132/650.599</f>
        <v>534.89169211757167</v>
      </c>
      <c r="J3133" s="607"/>
      <c r="K3133" s="23">
        <f>0</f>
        <v>0</v>
      </c>
      <c r="L3133" s="24"/>
      <c r="M3133" s="25">
        <f>0</f>
        <v>0</v>
      </c>
      <c r="N3133" s="36">
        <f>+I3133</f>
        <v>534.89169211757167</v>
      </c>
      <c r="O3133" s="38">
        <f>+N3133</f>
        <v>534.89169211757167</v>
      </c>
    </row>
    <row r="3135" spans="8:15">
      <c r="H3135" s="395" t="s">
        <v>1268</v>
      </c>
      <c r="I3135" s="26"/>
      <c r="J3135" s="26"/>
      <c r="K3135" s="26"/>
      <c r="L3135" s="26"/>
      <c r="M3135" s="26"/>
      <c r="N3135" s="26"/>
    </row>
    <row r="3136" spans="8:15">
      <c r="H3136" s="408" t="s">
        <v>2439</v>
      </c>
      <c r="I3136" s="26"/>
      <c r="J3136" s="26"/>
      <c r="K3136" s="26"/>
      <c r="L3136" s="26"/>
      <c r="M3136" s="26"/>
      <c r="N3136" s="26"/>
    </row>
    <row r="3137" spans="8:15">
      <c r="H3137" s="82" t="s">
        <v>19</v>
      </c>
      <c r="I3137" s="26"/>
      <c r="J3137" s="26"/>
      <c r="K3137" s="26"/>
      <c r="L3137" s="26"/>
      <c r="M3137" s="26"/>
      <c r="N3137" s="26"/>
    </row>
    <row r="3138" spans="8:15">
      <c r="H3138" s="26" t="s">
        <v>965</v>
      </c>
      <c r="I3138" s="26"/>
      <c r="J3138" s="26"/>
      <c r="K3138" s="26"/>
      <c r="L3138" s="26"/>
      <c r="M3138" s="26"/>
      <c r="N3138" s="26"/>
    </row>
    <row r="3139" spans="8:15">
      <c r="H3139" s="26" t="s">
        <v>21</v>
      </c>
      <c r="I3139" s="26"/>
      <c r="J3139" s="26"/>
      <c r="K3139" s="26"/>
      <c r="L3139" s="26"/>
      <c r="M3139" s="26"/>
      <c r="N3139" s="26"/>
    </row>
    <row r="3140" spans="8:15">
      <c r="H3140" s="26" t="s">
        <v>1229</v>
      </c>
      <c r="I3140" s="26"/>
      <c r="J3140" s="26"/>
      <c r="K3140" s="26"/>
      <c r="L3140" s="26"/>
      <c r="M3140" s="26"/>
      <c r="N3140" s="26"/>
    </row>
    <row r="3142" spans="8:15">
      <c r="K3142" s="30" t="s">
        <v>24</v>
      </c>
      <c r="L3142" s="30"/>
      <c r="M3142" s="30"/>
    </row>
    <row r="3143" spans="8:15">
      <c r="K3143" s="30" t="s">
        <v>149</v>
      </c>
      <c r="L3143" s="30"/>
      <c r="M3143" s="30"/>
    </row>
    <row r="3144" spans="8:15">
      <c r="K3144" s="30"/>
      <c r="L3144" s="30" t="s">
        <v>152</v>
      </c>
      <c r="M3144" s="30"/>
    </row>
    <row r="3147" spans="8:15" ht="17.25">
      <c r="K3147" s="644" t="s">
        <v>2347</v>
      </c>
      <c r="L3147" s="644"/>
      <c r="M3147" s="644"/>
      <c r="N3147" s="644"/>
    </row>
    <row r="3148" spans="8:15" ht="17.25">
      <c r="K3148" s="361"/>
      <c r="L3148" s="361"/>
      <c r="M3148" s="361"/>
      <c r="N3148" s="361"/>
    </row>
    <row r="3149" spans="8:15" ht="17.25">
      <c r="K3149" s="361"/>
      <c r="L3149" s="361"/>
      <c r="M3149" s="361"/>
      <c r="N3149" s="361"/>
    </row>
    <row r="3150" spans="8:15" ht="17.25">
      <c r="K3150" s="361"/>
      <c r="L3150" s="361"/>
      <c r="M3150" s="361"/>
      <c r="N3150" s="361"/>
    </row>
    <row r="3151" spans="8:15" ht="18">
      <c r="H3151" s="26"/>
      <c r="I3151" s="26"/>
      <c r="J3151" s="26"/>
      <c r="K3151" s="644"/>
      <c r="L3151" s="644"/>
      <c r="M3151" s="644"/>
      <c r="N3151" s="644"/>
      <c r="O3151" s="145"/>
    </row>
    <row r="3152" spans="8:15">
      <c r="I3152" s="617" t="s">
        <v>2533</v>
      </c>
      <c r="J3152" s="617"/>
      <c r="K3152" s="617"/>
      <c r="L3152" s="617"/>
      <c r="M3152" s="617"/>
      <c r="N3152" s="617"/>
      <c r="O3152" s="617"/>
    </row>
    <row r="3155" spans="8:15" ht="55.5" customHeight="1">
      <c r="H3155" s="660" t="s">
        <v>907</v>
      </c>
      <c r="I3155" s="660"/>
      <c r="J3155" s="660"/>
      <c r="K3155" s="660"/>
      <c r="L3155" s="660"/>
      <c r="M3155" s="660"/>
      <c r="N3155" s="660"/>
      <c r="O3155" s="660"/>
    </row>
    <row r="3158" spans="8:15" ht="17.25">
      <c r="H3158" s="30"/>
      <c r="I3158" s="503" t="s">
        <v>2600</v>
      </c>
    </row>
    <row r="3159" spans="8:15" ht="17.25" thickBot="1">
      <c r="H3159" s="30"/>
      <c r="N3159" s="141"/>
    </row>
    <row r="3160" spans="8:15">
      <c r="I3160" s="30"/>
      <c r="M3160" s="143"/>
      <c r="O3160" s="144"/>
    </row>
    <row r="3161" spans="8:15">
      <c r="M3161" s="647" t="s">
        <v>2440</v>
      </c>
      <c r="N3161" s="610"/>
      <c r="O3161" s="648"/>
    </row>
    <row r="3162" spans="8:15">
      <c r="H3162" s="12" t="s">
        <v>114</v>
      </c>
      <c r="K3162" s="30"/>
      <c r="L3162" s="30" t="s">
        <v>2</v>
      </c>
      <c r="M3162" s="622" t="s">
        <v>2441</v>
      </c>
      <c r="N3162" s="622"/>
      <c r="O3162" s="623"/>
    </row>
    <row r="3163" spans="8:15">
      <c r="M3163" s="601" t="s">
        <v>163</v>
      </c>
      <c r="N3163" s="602"/>
      <c r="O3163" s="603"/>
    </row>
    <row r="3164" spans="8:15" ht="17.25" thickBot="1">
      <c r="I3164" s="30" t="s">
        <v>2599</v>
      </c>
      <c r="M3164" s="140"/>
      <c r="N3164" s="141"/>
      <c r="O3164" s="142"/>
    </row>
    <row r="3166" spans="8:15">
      <c r="H3166" s="30" t="s">
        <v>27</v>
      </c>
      <c r="I3166" s="30" t="s">
        <v>1908</v>
      </c>
    </row>
    <row r="3167" spans="8:15" ht="17.25" thickBot="1"/>
    <row r="3168" spans="8:15" ht="17.25" thickBot="1">
      <c r="H3168" s="13" t="s">
        <v>112</v>
      </c>
      <c r="I3168" s="624" t="s">
        <v>4</v>
      </c>
      <c r="J3168" s="625"/>
      <c r="K3168" s="625"/>
      <c r="L3168" s="625"/>
      <c r="M3168" s="625"/>
      <c r="N3168" s="626"/>
      <c r="O3168" s="20" t="s">
        <v>5</v>
      </c>
    </row>
    <row r="3169" spans="8:15">
      <c r="H3169" s="633" t="s">
        <v>2588</v>
      </c>
      <c r="I3169" s="143"/>
      <c r="J3169" s="159"/>
      <c r="K3169" s="159"/>
      <c r="L3169" s="159"/>
      <c r="M3169" s="159"/>
      <c r="N3169" s="144"/>
      <c r="O3169" s="291"/>
    </row>
    <row r="3170" spans="8:15">
      <c r="H3170" s="634"/>
      <c r="I3170" s="64"/>
      <c r="N3170" s="65"/>
      <c r="O3170" s="291"/>
    </row>
    <row r="3171" spans="8:15">
      <c r="H3171" s="634"/>
      <c r="I3171" s="66"/>
      <c r="J3171" s="367"/>
      <c r="K3171" s="367" t="s">
        <v>286</v>
      </c>
      <c r="L3171" s="367"/>
      <c r="M3171" s="367"/>
      <c r="N3171" s="67"/>
      <c r="O3171" s="291"/>
    </row>
    <row r="3172" spans="8:15">
      <c r="H3172" s="634"/>
      <c r="I3172" s="636" t="s">
        <v>2442</v>
      </c>
      <c r="J3172" s="637"/>
      <c r="K3172" s="637"/>
      <c r="L3172" s="637"/>
      <c r="M3172" s="637"/>
      <c r="N3172" s="638"/>
      <c r="O3172" s="148">
        <v>-479200</v>
      </c>
    </row>
    <row r="3173" spans="8:15" ht="17.25" thickBot="1">
      <c r="H3173" s="634"/>
      <c r="I3173" s="64"/>
      <c r="J3173" s="604"/>
      <c r="K3173" s="604"/>
      <c r="L3173" s="604"/>
      <c r="N3173" s="65"/>
      <c r="O3173" s="291"/>
    </row>
    <row r="3174" spans="8:15" ht="17.25" thickBot="1">
      <c r="H3174" s="20" t="s">
        <v>12</v>
      </c>
      <c r="I3174" s="663" t="s">
        <v>13</v>
      </c>
      <c r="J3174" s="664"/>
      <c r="K3174" s="466" t="s">
        <v>14</v>
      </c>
      <c r="L3174" s="467"/>
      <c r="M3174" s="466" t="s">
        <v>15</v>
      </c>
      <c r="N3174" s="468" t="s">
        <v>16</v>
      </c>
      <c r="O3174" s="20" t="s">
        <v>17</v>
      </c>
    </row>
    <row r="3175" spans="8:15" ht="18" thickBot="1">
      <c r="H3175" s="22" t="s">
        <v>18</v>
      </c>
      <c r="I3175" s="606">
        <f>+O3172</f>
        <v>-479200</v>
      </c>
      <c r="J3175" s="607"/>
      <c r="K3175" s="23">
        <f>0</f>
        <v>0</v>
      </c>
      <c r="L3175" s="24"/>
      <c r="M3175" s="25">
        <f>0</f>
        <v>0</v>
      </c>
      <c r="N3175" s="36">
        <f>+I3175</f>
        <v>-479200</v>
      </c>
      <c r="O3175" s="38">
        <f>+O3172</f>
        <v>-479200</v>
      </c>
    </row>
    <row r="3176" spans="8:15" ht="18" thickBot="1">
      <c r="H3176" s="22" t="s">
        <v>113</v>
      </c>
      <c r="I3176" s="606">
        <f>+I3175/650.599</f>
        <v>-736.55200822626523</v>
      </c>
      <c r="J3176" s="607"/>
      <c r="K3176" s="23">
        <f>0</f>
        <v>0</v>
      </c>
      <c r="L3176" s="24"/>
      <c r="M3176" s="25">
        <f>0</f>
        <v>0</v>
      </c>
      <c r="N3176" s="36">
        <f>+I3176</f>
        <v>-736.55200822626523</v>
      </c>
      <c r="O3176" s="38">
        <f>+N3176</f>
        <v>-736.55200822626523</v>
      </c>
    </row>
    <row r="3178" spans="8:15">
      <c r="H3178" s="395" t="s">
        <v>2601</v>
      </c>
      <c r="I3178" s="26"/>
      <c r="J3178" s="26"/>
      <c r="K3178" s="26"/>
      <c r="L3178" s="26"/>
      <c r="M3178" s="26"/>
      <c r="N3178" s="26"/>
    </row>
    <row r="3179" spans="8:15">
      <c r="H3179" s="82" t="s">
        <v>2602</v>
      </c>
      <c r="I3179" s="26"/>
      <c r="J3179" s="26"/>
      <c r="K3179" s="26"/>
      <c r="L3179" s="26"/>
      <c r="M3179" s="26"/>
      <c r="N3179" s="26"/>
    </row>
    <row r="3180" spans="8:15">
      <c r="H3180" s="82" t="s">
        <v>1054</v>
      </c>
      <c r="I3180" s="26"/>
      <c r="J3180" s="26"/>
      <c r="K3180" s="26"/>
      <c r="L3180" s="26"/>
      <c r="M3180" s="26"/>
      <c r="N3180" s="26"/>
    </row>
    <row r="3181" spans="8:15">
      <c r="H3181" s="26" t="s">
        <v>965</v>
      </c>
      <c r="I3181" s="26"/>
      <c r="J3181" s="26"/>
      <c r="K3181" s="26"/>
      <c r="L3181" s="26"/>
      <c r="M3181" s="26"/>
      <c r="N3181" s="26"/>
    </row>
    <row r="3182" spans="8:15">
      <c r="H3182" s="26" t="s">
        <v>21</v>
      </c>
      <c r="I3182" s="26"/>
      <c r="J3182" s="26"/>
      <c r="K3182" s="26"/>
      <c r="L3182" s="26"/>
      <c r="M3182" s="26"/>
      <c r="N3182" s="26"/>
    </row>
    <row r="3183" spans="8:15">
      <c r="H3183" s="26" t="s">
        <v>1229</v>
      </c>
      <c r="I3183" s="26"/>
      <c r="J3183" s="26"/>
      <c r="K3183" s="26"/>
      <c r="L3183" s="26"/>
      <c r="M3183" s="26"/>
      <c r="N3183" s="26"/>
    </row>
    <row r="3184" spans="8:15">
      <c r="H3184" s="26"/>
      <c r="I3184" s="26"/>
      <c r="J3184" s="26"/>
      <c r="K3184" s="26"/>
      <c r="L3184" s="26"/>
      <c r="M3184" s="26"/>
      <c r="N3184" s="26"/>
    </row>
    <row r="3185" spans="8:15">
      <c r="H3185" s="26"/>
      <c r="I3185" s="26"/>
      <c r="J3185" s="26"/>
      <c r="K3185" s="30" t="s">
        <v>24</v>
      </c>
      <c r="L3185" s="30"/>
      <c r="M3185" s="30"/>
    </row>
    <row r="3186" spans="8:15">
      <c r="K3186" s="30" t="s">
        <v>149</v>
      </c>
      <c r="L3186" s="30"/>
      <c r="M3186" s="30"/>
    </row>
    <row r="3187" spans="8:15">
      <c r="K3187" s="605" t="s">
        <v>150</v>
      </c>
      <c r="L3187" s="605"/>
      <c r="M3187" s="605"/>
      <c r="N3187" s="605"/>
    </row>
    <row r="3188" spans="8:15">
      <c r="L3188" s="30"/>
    </row>
    <row r="3189" spans="8:15">
      <c r="L3189" s="30"/>
    </row>
    <row r="3190" spans="8:15" ht="17.25">
      <c r="K3190" s="644" t="s">
        <v>2347</v>
      </c>
      <c r="L3190" s="644"/>
      <c r="M3190" s="644"/>
      <c r="N3190" s="644"/>
    </row>
    <row r="3192" spans="8:15" ht="17.25">
      <c r="H3192" s="26"/>
      <c r="I3192" s="26"/>
      <c r="J3192" s="26"/>
      <c r="O3192" s="361"/>
    </row>
    <row r="3193" spans="8:15" ht="18">
      <c r="H3193" s="26"/>
      <c r="I3193" s="26"/>
      <c r="J3193" s="26"/>
      <c r="K3193" s="644"/>
      <c r="L3193" s="644"/>
      <c r="M3193" s="644"/>
      <c r="N3193" s="644"/>
      <c r="O3193" s="145"/>
    </row>
    <row r="3194" spans="8:15">
      <c r="I3194" s="617" t="s">
        <v>2525</v>
      </c>
      <c r="J3194" s="617"/>
      <c r="K3194" s="617"/>
      <c r="L3194" s="617"/>
      <c r="M3194" s="617"/>
      <c r="N3194" s="617"/>
      <c r="O3194" s="617"/>
    </row>
    <row r="3197" spans="8:15" ht="49.5">
      <c r="J3197" s="642" t="s">
        <v>1</v>
      </c>
      <c r="K3197" s="642"/>
      <c r="L3197" s="642"/>
      <c r="M3197" s="642"/>
    </row>
    <row r="3200" spans="8:15" ht="17.25">
      <c r="H3200" s="30"/>
      <c r="I3200" s="375" t="s">
        <v>2051</v>
      </c>
    </row>
    <row r="3201" spans="8:15" ht="17.25" thickBot="1">
      <c r="H3201" s="30"/>
      <c r="N3201" s="141"/>
    </row>
    <row r="3202" spans="8:15">
      <c r="I3202" s="30"/>
      <c r="M3202" s="143"/>
      <c r="O3202" s="144"/>
    </row>
    <row r="3203" spans="8:15">
      <c r="M3203" s="647" t="s">
        <v>1781</v>
      </c>
      <c r="N3203" s="610"/>
      <c r="O3203" s="648"/>
    </row>
    <row r="3204" spans="8:15">
      <c r="H3204" s="12" t="s">
        <v>114</v>
      </c>
      <c r="K3204" s="30"/>
      <c r="L3204" s="30" t="s">
        <v>2</v>
      </c>
      <c r="M3204" s="605" t="s">
        <v>760</v>
      </c>
      <c r="N3204" s="605"/>
      <c r="O3204" s="649"/>
    </row>
    <row r="3205" spans="8:15">
      <c r="M3205" s="601" t="s">
        <v>163</v>
      </c>
      <c r="N3205" s="602"/>
      <c r="O3205" s="603"/>
    </row>
    <row r="3206" spans="8:15" ht="17.25" thickBot="1">
      <c r="M3206" s="140"/>
      <c r="N3206" s="141"/>
      <c r="O3206" s="142"/>
    </row>
    <row r="3208" spans="8:15">
      <c r="H3208" s="249" t="s">
        <v>27</v>
      </c>
      <c r="I3208" s="30" t="s">
        <v>115</v>
      </c>
    </row>
    <row r="3209" spans="8:15" ht="17.25" thickBot="1"/>
    <row r="3210" spans="8:15" ht="17.25" thickBot="1">
      <c r="H3210" s="13" t="s">
        <v>112</v>
      </c>
      <c r="I3210" s="624" t="s">
        <v>4</v>
      </c>
      <c r="J3210" s="625"/>
      <c r="K3210" s="625"/>
      <c r="L3210" s="625"/>
      <c r="M3210" s="625"/>
      <c r="N3210" s="626"/>
      <c r="O3210" s="20" t="s">
        <v>5</v>
      </c>
    </row>
    <row r="3211" spans="8:15">
      <c r="H3211" s="627" t="s">
        <v>2445</v>
      </c>
      <c r="I3211" s="143"/>
      <c r="J3211" s="159"/>
      <c r="K3211" s="159"/>
      <c r="L3211" s="159"/>
      <c r="M3211" s="159"/>
      <c r="N3211" s="144"/>
      <c r="O3211" s="291"/>
    </row>
    <row r="3212" spans="8:15">
      <c r="H3212" s="628"/>
      <c r="I3212" s="64"/>
      <c r="N3212" s="65"/>
      <c r="O3212" s="291"/>
    </row>
    <row r="3213" spans="8:15">
      <c r="H3213" s="628"/>
      <c r="I3213" s="66"/>
      <c r="J3213" s="367"/>
      <c r="K3213" s="367" t="s">
        <v>286</v>
      </c>
      <c r="L3213" s="367"/>
      <c r="M3213" s="367"/>
      <c r="N3213" s="67"/>
      <c r="O3213" s="291"/>
    </row>
    <row r="3214" spans="8:15">
      <c r="H3214" s="628"/>
      <c r="I3214" s="385"/>
      <c r="J3214" s="187"/>
      <c r="K3214" s="147" t="s">
        <v>2519</v>
      </c>
      <c r="L3214" s="187"/>
      <c r="M3214" s="187"/>
      <c r="N3214" s="132"/>
      <c r="O3214" s="148">
        <v>5000000</v>
      </c>
    </row>
    <row r="3215" spans="8:15">
      <c r="H3215" s="628"/>
      <c r="I3215" s="64"/>
      <c r="J3215" s="604"/>
      <c r="K3215" s="604"/>
      <c r="L3215" s="604"/>
      <c r="N3215" s="65"/>
      <c r="O3215" s="291"/>
    </row>
    <row r="3216" spans="8:15" ht="17.25" thickBot="1">
      <c r="H3216" s="629"/>
      <c r="I3216" s="140"/>
      <c r="J3216" s="141"/>
      <c r="K3216" s="141"/>
      <c r="L3216" s="141"/>
      <c r="M3216" s="141"/>
      <c r="N3216" s="142"/>
      <c r="O3216" s="291"/>
    </row>
    <row r="3217" spans="8:15" ht="17.25" thickBot="1">
      <c r="H3217" s="20" t="s">
        <v>12</v>
      </c>
      <c r="I3217" s="614" t="s">
        <v>13</v>
      </c>
      <c r="J3217" s="615"/>
      <c r="K3217" s="62" t="s">
        <v>14</v>
      </c>
      <c r="L3217" s="63"/>
      <c r="M3217" s="62" t="s">
        <v>15</v>
      </c>
      <c r="N3217" s="62" t="s">
        <v>16</v>
      </c>
      <c r="O3217" s="20" t="s">
        <v>17</v>
      </c>
    </row>
    <row r="3218" spans="8:15" ht="18" thickBot="1">
      <c r="H3218" s="22" t="s">
        <v>18</v>
      </c>
      <c r="I3218" s="606">
        <f>+O3214</f>
        <v>5000000</v>
      </c>
      <c r="J3218" s="607"/>
      <c r="K3218" s="23">
        <f>0</f>
        <v>0</v>
      </c>
      <c r="L3218" s="24"/>
      <c r="M3218" s="25">
        <f>0</f>
        <v>0</v>
      </c>
      <c r="N3218" s="36">
        <f>+I3218</f>
        <v>5000000</v>
      </c>
      <c r="O3218" s="38">
        <f>+O3214</f>
        <v>5000000</v>
      </c>
    </row>
    <row r="3219" spans="8:15" ht="18" thickBot="1">
      <c r="H3219" s="22" t="s">
        <v>113</v>
      </c>
      <c r="I3219" s="606">
        <f>+I3218/650.599</f>
        <v>7685.2254614593621</v>
      </c>
      <c r="J3219" s="607"/>
      <c r="K3219" s="23">
        <f>0</f>
        <v>0</v>
      </c>
      <c r="L3219" s="24"/>
      <c r="M3219" s="25">
        <f>0</f>
        <v>0</v>
      </c>
      <c r="N3219" s="36">
        <f>+I3219</f>
        <v>7685.2254614593621</v>
      </c>
      <c r="O3219" s="38">
        <f>+N3219</f>
        <v>7685.2254614593621</v>
      </c>
    </row>
    <row r="3221" spans="8:15">
      <c r="H3221" s="395" t="s">
        <v>1268</v>
      </c>
      <c r="I3221" s="26"/>
      <c r="J3221" s="26"/>
      <c r="K3221" s="26"/>
      <c r="L3221" s="26"/>
      <c r="M3221" s="26"/>
      <c r="N3221" s="26"/>
    </row>
    <row r="3222" spans="8:15">
      <c r="H3222" s="82" t="s">
        <v>2520</v>
      </c>
      <c r="I3222" s="26"/>
      <c r="J3222" s="26"/>
      <c r="K3222" s="26"/>
      <c r="L3222" s="26"/>
      <c r="M3222" s="26"/>
      <c r="N3222" s="26"/>
    </row>
    <row r="3223" spans="8:15">
      <c r="H3223" s="82" t="s">
        <v>1054</v>
      </c>
      <c r="I3223" s="26"/>
      <c r="J3223" s="26"/>
      <c r="K3223" s="26"/>
      <c r="L3223" s="26"/>
      <c r="M3223" s="26"/>
      <c r="N3223" s="26"/>
    </row>
    <row r="3224" spans="8:15">
      <c r="H3224" s="26" t="s">
        <v>965</v>
      </c>
      <c r="I3224" s="26"/>
      <c r="J3224" s="26"/>
      <c r="K3224" s="26"/>
      <c r="L3224" s="26"/>
      <c r="M3224" s="26"/>
      <c r="N3224" s="26"/>
    </row>
    <row r="3225" spans="8:15">
      <c r="H3225" s="26" t="s">
        <v>21</v>
      </c>
      <c r="I3225" s="26"/>
      <c r="J3225" s="26"/>
      <c r="K3225" s="26"/>
      <c r="L3225" s="26"/>
      <c r="M3225" s="26"/>
      <c r="N3225" s="26"/>
    </row>
    <row r="3226" spans="8:15">
      <c r="H3226" s="26" t="s">
        <v>1229</v>
      </c>
      <c r="I3226" s="26"/>
      <c r="J3226" s="26"/>
      <c r="K3226" s="26"/>
      <c r="L3226" s="26"/>
      <c r="M3226" s="26"/>
      <c r="N3226" s="26"/>
    </row>
    <row r="3229" spans="8:15">
      <c r="K3229" s="30" t="s">
        <v>24</v>
      </c>
      <c r="L3229" s="30"/>
      <c r="M3229" s="30"/>
    </row>
    <row r="3230" spans="8:15">
      <c r="K3230" s="30" t="s">
        <v>149</v>
      </c>
      <c r="L3230" s="30"/>
      <c r="M3230" s="30"/>
    </row>
    <row r="3231" spans="8:15">
      <c r="K3231" s="374" t="s">
        <v>150</v>
      </c>
      <c r="L3231" s="374"/>
      <c r="M3231" s="374"/>
    </row>
    <row r="3232" spans="8:15">
      <c r="L3232" s="30"/>
    </row>
    <row r="3233" spans="8:15">
      <c r="H3233" s="26"/>
      <c r="I3233" s="26"/>
      <c r="J3233" s="26"/>
      <c r="K3233" s="26"/>
      <c r="M3233" s="26"/>
      <c r="N3233" s="26"/>
      <c r="O3233" s="26"/>
    </row>
    <row r="3234" spans="8:15">
      <c r="H3234" s="26"/>
      <c r="I3234" s="26"/>
      <c r="J3234" s="26"/>
      <c r="K3234" s="26"/>
      <c r="M3234" s="26"/>
      <c r="N3234" s="26"/>
      <c r="O3234" s="26"/>
    </row>
    <row r="3235" spans="8:15" ht="17.25">
      <c r="H3235" s="26"/>
      <c r="I3235" s="26"/>
      <c r="J3235" s="26"/>
      <c r="K3235" s="644" t="s">
        <v>2347</v>
      </c>
      <c r="L3235" s="644"/>
      <c r="M3235" s="644"/>
      <c r="N3235" s="644"/>
      <c r="O3235" s="26"/>
    </row>
    <row r="3236" spans="8:15" ht="17.25">
      <c r="H3236" s="26"/>
      <c r="I3236" s="26"/>
      <c r="J3236" s="26"/>
      <c r="K3236" s="644"/>
      <c r="L3236" s="644"/>
      <c r="M3236" s="644"/>
      <c r="N3236" s="644"/>
      <c r="O3236" s="361"/>
    </row>
    <row r="3237" spans="8:15">
      <c r="I3237" s="617" t="s">
        <v>0</v>
      </c>
      <c r="J3237" s="617"/>
      <c r="K3237" s="617"/>
      <c r="L3237" s="617"/>
      <c r="M3237" s="617"/>
      <c r="N3237" s="617"/>
      <c r="O3237" s="617"/>
    </row>
    <row r="3240" spans="8:15" ht="49.5">
      <c r="J3240" s="642" t="s">
        <v>1</v>
      </c>
      <c r="K3240" s="642"/>
      <c r="L3240" s="642"/>
      <c r="M3240" s="642"/>
    </row>
    <row r="3243" spans="8:15" ht="17.25">
      <c r="H3243" s="30"/>
      <c r="I3243" s="375" t="s">
        <v>2011</v>
      </c>
    </row>
    <row r="3244" spans="8:15" ht="17.25" thickBot="1">
      <c r="H3244" s="30"/>
      <c r="K3244" s="12" t="s">
        <v>631</v>
      </c>
    </row>
    <row r="3245" spans="8:15">
      <c r="I3245" s="30"/>
      <c r="M3245" s="143"/>
      <c r="N3245" s="159"/>
      <c r="O3245" s="144"/>
    </row>
    <row r="3246" spans="8:15">
      <c r="M3246" s="647" t="s">
        <v>1969</v>
      </c>
      <c r="N3246" s="610"/>
      <c r="O3246" s="648"/>
    </row>
    <row r="3247" spans="8:15">
      <c r="H3247" s="12" t="s">
        <v>114</v>
      </c>
      <c r="K3247" s="30"/>
      <c r="L3247" s="30" t="s">
        <v>2</v>
      </c>
      <c r="M3247" s="761" t="s">
        <v>1970</v>
      </c>
      <c r="N3247" s="608"/>
      <c r="O3247" s="762"/>
    </row>
    <row r="3248" spans="8:15">
      <c r="M3248" s="662" t="s">
        <v>1971</v>
      </c>
      <c r="N3248" s="622"/>
      <c r="O3248" s="623"/>
    </row>
    <row r="3249" spans="8:15" ht="17.25" thickBot="1">
      <c r="M3249" s="639" t="s">
        <v>163</v>
      </c>
      <c r="N3249" s="640"/>
      <c r="O3249" s="641"/>
    </row>
    <row r="3251" spans="8:15">
      <c r="H3251" s="30"/>
      <c r="I3251" s="30" t="s">
        <v>27</v>
      </c>
      <c r="J3251" s="30" t="s">
        <v>145</v>
      </c>
    </row>
    <row r="3252" spans="8:15" ht="17.25" thickBot="1"/>
    <row r="3253" spans="8:15" ht="17.25" thickBot="1">
      <c r="H3253" s="13" t="s">
        <v>112</v>
      </c>
      <c r="I3253" s="624" t="s">
        <v>4</v>
      </c>
      <c r="J3253" s="625"/>
      <c r="K3253" s="625"/>
      <c r="L3253" s="625"/>
      <c r="M3253" s="625"/>
      <c r="N3253" s="626"/>
      <c r="O3253" s="20" t="s">
        <v>5</v>
      </c>
    </row>
    <row r="3254" spans="8:15">
      <c r="H3254" s="633" t="s">
        <v>2140</v>
      </c>
      <c r="I3254" s="143"/>
      <c r="J3254" s="159"/>
      <c r="K3254" s="159"/>
      <c r="L3254" s="159"/>
      <c r="M3254" s="159"/>
      <c r="N3254" s="144"/>
      <c r="O3254" s="291"/>
    </row>
    <row r="3255" spans="8:15">
      <c r="H3255" s="634"/>
      <c r="I3255" s="64"/>
      <c r="N3255" s="65"/>
      <c r="O3255" s="291"/>
    </row>
    <row r="3256" spans="8:15">
      <c r="H3256" s="634"/>
      <c r="I3256" s="66"/>
      <c r="J3256" s="367"/>
      <c r="K3256" s="367" t="s">
        <v>286</v>
      </c>
      <c r="L3256" s="367"/>
      <c r="M3256" s="367"/>
      <c r="N3256" s="67"/>
      <c r="O3256" s="291"/>
    </row>
    <row r="3257" spans="8:15">
      <c r="H3257" s="634"/>
      <c r="I3257" s="385"/>
      <c r="J3257" s="187"/>
      <c r="K3257" s="147" t="s">
        <v>1972</v>
      </c>
      <c r="L3257" s="187"/>
      <c r="M3257" s="187"/>
      <c r="N3257" s="132"/>
      <c r="O3257" s="148">
        <v>3600000</v>
      </c>
    </row>
    <row r="3258" spans="8:15">
      <c r="H3258" s="634"/>
      <c r="I3258" s="64"/>
      <c r="J3258" s="604"/>
      <c r="K3258" s="604"/>
      <c r="L3258" s="604"/>
      <c r="N3258" s="65"/>
      <c r="O3258" s="291"/>
    </row>
    <row r="3259" spans="8:15" ht="17.25" thickBot="1">
      <c r="H3259" s="635"/>
      <c r="I3259" s="140"/>
      <c r="J3259" s="141"/>
      <c r="K3259" s="141"/>
      <c r="L3259" s="141"/>
      <c r="M3259" s="141"/>
      <c r="N3259" s="142"/>
      <c r="O3259" s="291"/>
    </row>
    <row r="3260" spans="8:15" ht="17.25" thickBot="1">
      <c r="H3260" s="20" t="s">
        <v>12</v>
      </c>
      <c r="I3260" s="614" t="s">
        <v>13</v>
      </c>
      <c r="J3260" s="615"/>
      <c r="K3260" s="62" t="s">
        <v>14</v>
      </c>
      <c r="L3260" s="63"/>
      <c r="M3260" s="62" t="s">
        <v>15</v>
      </c>
      <c r="N3260" s="62" t="s">
        <v>16</v>
      </c>
      <c r="O3260" s="20" t="s">
        <v>17</v>
      </c>
    </row>
    <row r="3261" spans="8:15" ht="18" thickBot="1">
      <c r="H3261" s="22" t="s">
        <v>18</v>
      </c>
      <c r="I3261" s="606">
        <f>+O3257</f>
        <v>3600000</v>
      </c>
      <c r="J3261" s="607"/>
      <c r="K3261" s="23">
        <f>0</f>
        <v>0</v>
      </c>
      <c r="L3261" s="24"/>
      <c r="M3261" s="25">
        <f>0</f>
        <v>0</v>
      </c>
      <c r="N3261" s="36">
        <f>+I3261</f>
        <v>3600000</v>
      </c>
      <c r="O3261" s="38">
        <f>+O3257</f>
        <v>3600000</v>
      </c>
    </row>
    <row r="3262" spans="8:15" ht="18" thickBot="1">
      <c r="H3262" s="22" t="s">
        <v>113</v>
      </c>
      <c r="I3262" s="606">
        <f>+I3261/650.599</f>
        <v>5533.362332250741</v>
      </c>
      <c r="J3262" s="607"/>
      <c r="K3262" s="23">
        <f>0</f>
        <v>0</v>
      </c>
      <c r="L3262" s="24"/>
      <c r="M3262" s="25">
        <f>0</f>
        <v>0</v>
      </c>
      <c r="N3262" s="36">
        <f>+I3262</f>
        <v>5533.362332250741</v>
      </c>
      <c r="O3262" s="38">
        <f>+N3262</f>
        <v>5533.362332250741</v>
      </c>
    </row>
    <row r="3264" spans="8:15">
      <c r="H3264" s="395" t="s">
        <v>1268</v>
      </c>
      <c r="I3264" s="26"/>
      <c r="J3264" s="26"/>
      <c r="K3264" s="26"/>
      <c r="L3264" s="26"/>
      <c r="M3264" s="26"/>
      <c r="N3264" s="26"/>
    </row>
    <row r="3265" spans="8:15">
      <c r="H3265" s="408" t="s">
        <v>2046</v>
      </c>
      <c r="I3265" s="26"/>
      <c r="J3265" s="26"/>
      <c r="K3265" s="26"/>
      <c r="L3265" s="26"/>
      <c r="M3265" s="26"/>
      <c r="N3265" s="26"/>
    </row>
    <row r="3266" spans="8:15">
      <c r="H3266" s="82" t="s">
        <v>19</v>
      </c>
      <c r="I3266" s="26"/>
      <c r="J3266" s="26"/>
      <c r="K3266" s="26"/>
      <c r="L3266" s="26"/>
      <c r="M3266" s="26"/>
      <c r="N3266" s="26"/>
    </row>
    <row r="3267" spans="8:15">
      <c r="H3267" s="26" t="s">
        <v>965</v>
      </c>
      <c r="I3267" s="26"/>
      <c r="J3267" s="26"/>
      <c r="K3267" s="26"/>
      <c r="L3267" s="26"/>
      <c r="M3267" s="26"/>
      <c r="N3267" s="26"/>
    </row>
    <row r="3268" spans="8:15">
      <c r="H3268" s="26" t="s">
        <v>21</v>
      </c>
      <c r="I3268" s="26"/>
      <c r="J3268" s="26"/>
      <c r="K3268" s="26"/>
      <c r="L3268" s="26"/>
      <c r="M3268" s="26"/>
      <c r="N3268" s="26"/>
    </row>
    <row r="3269" spans="8:15">
      <c r="H3269" s="26" t="s">
        <v>1229</v>
      </c>
      <c r="I3269" s="26"/>
      <c r="J3269" s="26"/>
      <c r="K3269" s="26"/>
      <c r="L3269" s="26"/>
      <c r="M3269" s="26"/>
      <c r="N3269" s="26"/>
    </row>
    <row r="3272" spans="8:15">
      <c r="K3272" s="30" t="s">
        <v>24</v>
      </c>
      <c r="L3272" s="30"/>
      <c r="M3272" s="30"/>
    </row>
    <row r="3273" spans="8:15">
      <c r="K3273" s="30" t="s">
        <v>149</v>
      </c>
      <c r="L3273" s="30"/>
      <c r="M3273" s="30"/>
    </row>
    <row r="3274" spans="8:15">
      <c r="K3274" s="374" t="s">
        <v>150</v>
      </c>
      <c r="L3274" s="374"/>
      <c r="M3274" s="374"/>
    </row>
    <row r="3275" spans="8:15">
      <c r="L3275" s="30"/>
    </row>
    <row r="3276" spans="8:15">
      <c r="K3276" s="26"/>
      <c r="M3276" s="26"/>
      <c r="N3276" s="26"/>
    </row>
    <row r="3277" spans="8:15" ht="17.25">
      <c r="H3277" s="26"/>
      <c r="I3277" s="26"/>
      <c r="J3277" s="26"/>
      <c r="K3277" s="259"/>
      <c r="L3277" s="259"/>
      <c r="M3277" s="259"/>
      <c r="N3277" s="259"/>
      <c r="O3277" s="26"/>
    </row>
    <row r="3278" spans="8:15" ht="17.25">
      <c r="H3278" s="26"/>
      <c r="I3278" s="26"/>
      <c r="J3278" s="26"/>
      <c r="K3278" s="644" t="s">
        <v>2147</v>
      </c>
      <c r="L3278" s="644"/>
      <c r="M3278" s="644"/>
      <c r="N3278" s="644"/>
      <c r="O3278" s="361"/>
    </row>
    <row r="3279" spans="8:15" ht="17.25">
      <c r="H3279" s="26"/>
      <c r="I3279" s="26"/>
      <c r="J3279" s="26"/>
      <c r="K3279" s="361"/>
      <c r="L3279" s="361"/>
      <c r="M3279" s="361"/>
      <c r="N3279" s="361"/>
      <c r="O3279" s="361"/>
    </row>
    <row r="3280" spans="8:15" ht="18.75" customHeight="1">
      <c r="I3280" s="617" t="s">
        <v>0</v>
      </c>
      <c r="J3280" s="617"/>
      <c r="K3280" s="617"/>
      <c r="L3280" s="617"/>
      <c r="M3280" s="617"/>
      <c r="N3280" s="617"/>
      <c r="O3280" s="617"/>
    </row>
    <row r="3283" spans="8:15" ht="49.5">
      <c r="J3283" s="642" t="s">
        <v>1</v>
      </c>
      <c r="K3283" s="642"/>
      <c r="L3283" s="642"/>
      <c r="M3283" s="642"/>
    </row>
    <row r="3286" spans="8:15" ht="17.25">
      <c r="H3286" s="30"/>
      <c r="I3286" s="375" t="s">
        <v>1739</v>
      </c>
    </row>
    <row r="3287" spans="8:15" ht="17.25" thickBot="1">
      <c r="H3287" s="30"/>
      <c r="K3287" s="12" t="s">
        <v>631</v>
      </c>
      <c r="N3287" s="141"/>
    </row>
    <row r="3288" spans="8:15">
      <c r="I3288" s="30"/>
      <c r="M3288" s="143"/>
      <c r="O3288" s="144"/>
    </row>
    <row r="3289" spans="8:15">
      <c r="M3289" s="647" t="s">
        <v>555</v>
      </c>
      <c r="N3289" s="610"/>
      <c r="O3289" s="648"/>
    </row>
    <row r="3290" spans="8:15">
      <c r="H3290" s="12" t="s">
        <v>114</v>
      </c>
      <c r="K3290" s="30"/>
      <c r="L3290" s="30" t="s">
        <v>2</v>
      </c>
      <c r="M3290" s="605" t="s">
        <v>1882</v>
      </c>
      <c r="N3290" s="605"/>
      <c r="O3290" s="649"/>
    </row>
    <row r="3291" spans="8:15">
      <c r="M3291" s="601" t="s">
        <v>36</v>
      </c>
      <c r="N3291" s="602"/>
      <c r="O3291" s="603"/>
    </row>
    <row r="3292" spans="8:15" ht="17.25" thickBot="1">
      <c r="M3292" s="140"/>
      <c r="N3292" s="141"/>
      <c r="O3292" s="142"/>
    </row>
    <row r="3294" spans="8:15">
      <c r="H3294" s="30" t="s">
        <v>27</v>
      </c>
      <c r="I3294" s="30" t="s">
        <v>148</v>
      </c>
    </row>
    <row r="3295" spans="8:15" ht="17.25" thickBot="1"/>
    <row r="3296" spans="8:15" ht="17.25" thickBot="1">
      <c r="H3296" s="13" t="s">
        <v>112</v>
      </c>
      <c r="I3296" s="624" t="s">
        <v>4</v>
      </c>
      <c r="J3296" s="625"/>
      <c r="K3296" s="625"/>
      <c r="L3296" s="625"/>
      <c r="M3296" s="625"/>
      <c r="N3296" s="626"/>
      <c r="O3296" s="20" t="s">
        <v>5</v>
      </c>
    </row>
    <row r="3297" spans="8:15">
      <c r="H3297" s="633" t="s">
        <v>2272</v>
      </c>
      <c r="I3297" s="143"/>
      <c r="J3297" s="159"/>
      <c r="K3297" s="159"/>
      <c r="L3297" s="159"/>
      <c r="M3297" s="159"/>
      <c r="N3297" s="144"/>
      <c r="O3297" s="291"/>
    </row>
    <row r="3298" spans="8:15">
      <c r="H3298" s="634"/>
      <c r="I3298" s="64"/>
      <c r="N3298" s="65"/>
      <c r="O3298" s="291"/>
    </row>
    <row r="3299" spans="8:15">
      <c r="H3299" s="634"/>
      <c r="I3299" s="66"/>
      <c r="J3299" s="367"/>
      <c r="K3299" s="367" t="s">
        <v>286</v>
      </c>
      <c r="L3299" s="367"/>
      <c r="M3299" s="367"/>
      <c r="N3299" s="67"/>
      <c r="O3299" s="291"/>
    </row>
    <row r="3300" spans="8:15">
      <c r="H3300" s="634"/>
      <c r="I3300" s="385"/>
      <c r="J3300" s="187"/>
      <c r="K3300" s="147" t="s">
        <v>2280</v>
      </c>
      <c r="L3300" s="187"/>
      <c r="M3300" s="187"/>
      <c r="N3300" s="132"/>
      <c r="O3300" s="148">
        <v>3300000</v>
      </c>
    </row>
    <row r="3301" spans="8:15" ht="17.25" thickBot="1">
      <c r="H3301" s="634"/>
      <c r="I3301" s="64"/>
      <c r="J3301" s="604"/>
      <c r="K3301" s="604"/>
      <c r="L3301" s="604"/>
      <c r="N3301" s="65"/>
      <c r="O3301" s="291"/>
    </row>
    <row r="3302" spans="8:15" ht="17.25" thickBot="1">
      <c r="H3302" s="20" t="s">
        <v>12</v>
      </c>
      <c r="I3302" s="663" t="s">
        <v>13</v>
      </c>
      <c r="J3302" s="664"/>
      <c r="K3302" s="466" t="s">
        <v>14</v>
      </c>
      <c r="L3302" s="467"/>
      <c r="M3302" s="466" t="s">
        <v>15</v>
      </c>
      <c r="N3302" s="468" t="s">
        <v>16</v>
      </c>
      <c r="O3302" s="20" t="s">
        <v>17</v>
      </c>
    </row>
    <row r="3303" spans="8:15" ht="18" thickBot="1">
      <c r="H3303" s="22" t="s">
        <v>18</v>
      </c>
      <c r="I3303" s="606">
        <f>+O3300</f>
        <v>3300000</v>
      </c>
      <c r="J3303" s="607"/>
      <c r="K3303" s="23">
        <f>0</f>
        <v>0</v>
      </c>
      <c r="L3303" s="24"/>
      <c r="M3303" s="25">
        <f>0</f>
        <v>0</v>
      </c>
      <c r="N3303" s="36">
        <f>+I3303</f>
        <v>3300000</v>
      </c>
      <c r="O3303" s="38">
        <f>+O3300</f>
        <v>3300000</v>
      </c>
    </row>
    <row r="3304" spans="8:15" ht="18" thickBot="1">
      <c r="H3304" s="22" t="s">
        <v>113</v>
      </c>
      <c r="I3304" s="606">
        <f>+I3303/650.599</f>
        <v>5072.248804563179</v>
      </c>
      <c r="J3304" s="607"/>
      <c r="K3304" s="23">
        <f>0</f>
        <v>0</v>
      </c>
      <c r="L3304" s="24"/>
      <c r="M3304" s="25">
        <f>0</f>
        <v>0</v>
      </c>
      <c r="N3304" s="36">
        <f>+I3304</f>
        <v>5072.248804563179</v>
      </c>
      <c r="O3304" s="38">
        <f>+N3304</f>
        <v>5072.248804563179</v>
      </c>
    </row>
    <row r="3306" spans="8:15">
      <c r="H3306" s="412" t="s">
        <v>1268</v>
      </c>
      <c r="I3306" s="26"/>
      <c r="J3306" s="26"/>
      <c r="K3306" s="26"/>
      <c r="L3306" s="26"/>
      <c r="M3306" s="26"/>
      <c r="N3306" s="26"/>
    </row>
    <row r="3307" spans="8:15">
      <c r="H3307" s="413" t="s">
        <v>2281</v>
      </c>
      <c r="I3307" s="26"/>
      <c r="J3307" s="26"/>
      <c r="K3307" s="26"/>
      <c r="L3307" s="26"/>
      <c r="M3307" s="26"/>
      <c r="N3307" s="26"/>
    </row>
    <row r="3308" spans="8:15">
      <c r="H3308" s="82" t="s">
        <v>19</v>
      </c>
      <c r="I3308" s="26"/>
      <c r="J3308" s="26"/>
      <c r="K3308" s="26"/>
      <c r="L3308" s="26"/>
      <c r="M3308" s="26"/>
      <c r="N3308" s="26"/>
    </row>
    <row r="3309" spans="8:15">
      <c r="H3309" s="26" t="s">
        <v>965</v>
      </c>
      <c r="I3309" s="26"/>
      <c r="J3309" s="26"/>
      <c r="K3309" s="26"/>
      <c r="L3309" s="26"/>
      <c r="M3309" s="26"/>
      <c r="N3309" s="26"/>
    </row>
    <row r="3310" spans="8:15">
      <c r="H3310" s="26" t="s">
        <v>21</v>
      </c>
      <c r="I3310" s="26"/>
      <c r="J3310" s="26"/>
      <c r="K3310" s="26"/>
      <c r="L3310" s="26"/>
      <c r="M3310" s="26"/>
      <c r="N3310" s="26"/>
    </row>
    <row r="3311" spans="8:15">
      <c r="H3311" s="26" t="s">
        <v>1229</v>
      </c>
      <c r="I3311" s="26"/>
      <c r="J3311" s="26"/>
      <c r="K3311" s="26"/>
      <c r="L3311" s="26"/>
      <c r="M3311" s="26"/>
      <c r="N3311" s="26"/>
    </row>
    <row r="3315" spans="8:15">
      <c r="K3315" s="30" t="s">
        <v>24</v>
      </c>
      <c r="L3315" s="30"/>
      <c r="M3315" s="30"/>
    </row>
    <row r="3316" spans="8:15">
      <c r="K3316" s="30" t="s">
        <v>149</v>
      </c>
      <c r="L3316" s="30"/>
      <c r="M3316" s="30"/>
    </row>
    <row r="3317" spans="8:15">
      <c r="K3317" s="605" t="s">
        <v>150</v>
      </c>
      <c r="L3317" s="605"/>
      <c r="M3317" s="605"/>
      <c r="N3317" s="605"/>
    </row>
    <row r="3318" spans="8:15">
      <c r="L3318" s="30"/>
    </row>
    <row r="3319" spans="8:15">
      <c r="L3319" s="30"/>
    </row>
    <row r="3320" spans="8:15">
      <c r="K3320" s="602" t="s">
        <v>2147</v>
      </c>
      <c r="L3320" s="604"/>
      <c r="M3320" s="604"/>
      <c r="N3320" s="604"/>
    </row>
    <row r="3321" spans="8:15">
      <c r="H3321" s="26"/>
      <c r="I3321" s="26"/>
      <c r="J3321" s="26"/>
      <c r="K3321" s="26"/>
      <c r="M3321" s="26"/>
      <c r="N3321" s="26"/>
      <c r="O3321" s="26"/>
    </row>
    <row r="3322" spans="8:15">
      <c r="H3322" s="26"/>
      <c r="I3322" s="26"/>
      <c r="J3322" s="26"/>
      <c r="K3322" s="26"/>
      <c r="M3322" s="26"/>
      <c r="N3322" s="26"/>
      <c r="O3322" s="26"/>
    </row>
    <row r="3323" spans="8:15" ht="25.5" customHeight="1">
      <c r="H3323" s="26"/>
      <c r="I3323" s="26"/>
      <c r="J3323" s="26"/>
      <c r="K3323" s="644"/>
      <c r="L3323" s="644"/>
      <c r="M3323" s="644"/>
      <c r="N3323" s="644"/>
      <c r="O3323" s="361"/>
    </row>
    <row r="3324" spans="8:15">
      <c r="I3324" s="617" t="s">
        <v>2534</v>
      </c>
      <c r="J3324" s="617"/>
      <c r="K3324" s="617"/>
      <c r="L3324" s="617"/>
      <c r="M3324" s="617"/>
      <c r="N3324" s="617"/>
      <c r="O3324" s="617"/>
    </row>
    <row r="3327" spans="8:15" ht="49.5" customHeight="1">
      <c r="H3327" s="661" t="s">
        <v>1</v>
      </c>
      <c r="I3327" s="661"/>
      <c r="J3327" s="661"/>
      <c r="K3327" s="661"/>
      <c r="L3327" s="661"/>
      <c r="M3327" s="661"/>
      <c r="N3327" s="661"/>
      <c r="O3327" s="661"/>
    </row>
    <row r="3330" spans="8:15" ht="17.25">
      <c r="H3330" s="375"/>
      <c r="I3330" s="503" t="s">
        <v>2063</v>
      </c>
    </row>
    <row r="3331" spans="8:15" ht="17.25" thickBot="1">
      <c r="H3331" s="30"/>
      <c r="N3331" s="141"/>
    </row>
    <row r="3332" spans="8:15">
      <c r="I3332" s="30"/>
      <c r="M3332" s="143"/>
      <c r="O3332" s="144"/>
    </row>
    <row r="3333" spans="8:15">
      <c r="M3333" s="647" t="s">
        <v>555</v>
      </c>
      <c r="N3333" s="610"/>
      <c r="O3333" s="648"/>
    </row>
    <row r="3334" spans="8:15">
      <c r="H3334" s="12" t="s">
        <v>114</v>
      </c>
      <c r="K3334" s="30"/>
      <c r="L3334" s="30" t="s">
        <v>2</v>
      </c>
      <c r="M3334" s="605" t="s">
        <v>1882</v>
      </c>
      <c r="N3334" s="605"/>
      <c r="O3334" s="649"/>
    </row>
    <row r="3335" spans="8:15">
      <c r="M3335" s="601" t="s">
        <v>163</v>
      </c>
      <c r="N3335" s="602"/>
      <c r="O3335" s="603"/>
    </row>
    <row r="3336" spans="8:15" ht="17.25" thickBot="1">
      <c r="M3336" s="140"/>
      <c r="N3336" s="141"/>
      <c r="O3336" s="142"/>
    </row>
    <row r="3338" spans="8:15">
      <c r="H3338" s="249" t="s">
        <v>27</v>
      </c>
      <c r="I3338" s="394" t="s">
        <v>115</v>
      </c>
    </row>
    <row r="3339" spans="8:15" ht="17.25" thickBot="1"/>
    <row r="3340" spans="8:15" ht="17.25" thickBot="1">
      <c r="H3340" s="13" t="s">
        <v>112</v>
      </c>
      <c r="I3340" s="624" t="s">
        <v>4</v>
      </c>
      <c r="J3340" s="625"/>
      <c r="K3340" s="625"/>
      <c r="L3340" s="625"/>
      <c r="M3340" s="625"/>
      <c r="N3340" s="626"/>
      <c r="O3340" s="20" t="s">
        <v>5</v>
      </c>
    </row>
    <row r="3341" spans="8:15">
      <c r="H3341" s="627" t="s">
        <v>2445</v>
      </c>
      <c r="I3341" s="143"/>
      <c r="J3341" s="159"/>
      <c r="K3341" s="159"/>
      <c r="L3341" s="159"/>
      <c r="M3341" s="159"/>
      <c r="N3341" s="144"/>
      <c r="O3341" s="291"/>
    </row>
    <row r="3342" spans="8:15">
      <c r="H3342" s="628"/>
      <c r="I3342" s="64"/>
      <c r="N3342" s="65"/>
      <c r="O3342" s="291"/>
    </row>
    <row r="3343" spans="8:15">
      <c r="H3343" s="628"/>
      <c r="I3343" s="630" t="s">
        <v>286</v>
      </c>
      <c r="J3343" s="631"/>
      <c r="K3343" s="631"/>
      <c r="L3343" s="631"/>
      <c r="M3343" s="631"/>
      <c r="N3343" s="632"/>
      <c r="O3343" s="291"/>
    </row>
    <row r="3344" spans="8:15">
      <c r="H3344" s="628"/>
      <c r="I3344" s="636" t="s">
        <v>2322</v>
      </c>
      <c r="J3344" s="637"/>
      <c r="K3344" s="637"/>
      <c r="L3344" s="637"/>
      <c r="M3344" s="637"/>
      <c r="N3344" s="638"/>
      <c r="O3344" s="148">
        <v>3600000</v>
      </c>
    </row>
    <row r="3345" spans="8:15">
      <c r="H3345" s="628"/>
      <c r="I3345" s="64"/>
      <c r="J3345" s="604"/>
      <c r="K3345" s="604"/>
      <c r="L3345" s="604"/>
      <c r="N3345" s="65"/>
      <c r="O3345" s="291"/>
    </row>
    <row r="3346" spans="8:15" ht="17.25" thickBot="1">
      <c r="H3346" s="629"/>
      <c r="I3346" s="140"/>
      <c r="J3346" s="141"/>
      <c r="K3346" s="141"/>
      <c r="L3346" s="141"/>
      <c r="M3346" s="141"/>
      <c r="N3346" s="142"/>
      <c r="O3346" s="291"/>
    </row>
    <row r="3347" spans="8:15" ht="17.25" thickBot="1">
      <c r="H3347" s="20" t="s">
        <v>12</v>
      </c>
      <c r="I3347" s="614" t="s">
        <v>13</v>
      </c>
      <c r="J3347" s="615"/>
      <c r="K3347" s="62" t="s">
        <v>14</v>
      </c>
      <c r="L3347" s="63"/>
      <c r="M3347" s="62" t="s">
        <v>15</v>
      </c>
      <c r="N3347" s="62" t="s">
        <v>16</v>
      </c>
      <c r="O3347" s="20" t="s">
        <v>17</v>
      </c>
    </row>
    <row r="3348" spans="8:15" ht="18" thickBot="1">
      <c r="H3348" s="22" t="s">
        <v>18</v>
      </c>
      <c r="I3348" s="606">
        <f>+O3344</f>
        <v>3600000</v>
      </c>
      <c r="J3348" s="607"/>
      <c r="K3348" s="23">
        <f>0</f>
        <v>0</v>
      </c>
      <c r="L3348" s="24"/>
      <c r="M3348" s="25">
        <f>0</f>
        <v>0</v>
      </c>
      <c r="N3348" s="36">
        <f>+I3348</f>
        <v>3600000</v>
      </c>
      <c r="O3348" s="38">
        <f>+O3344</f>
        <v>3600000</v>
      </c>
    </row>
    <row r="3349" spans="8:15" ht="18" thickBot="1">
      <c r="H3349" s="22" t="s">
        <v>113</v>
      </c>
      <c r="I3349" s="643">
        <f>+I3348/650.599</f>
        <v>5533.362332250741</v>
      </c>
      <c r="J3349" s="612"/>
      <c r="K3349" s="23">
        <f>0</f>
        <v>0</v>
      </c>
      <c r="L3349" s="24"/>
      <c r="M3349" s="25">
        <f>0</f>
        <v>0</v>
      </c>
      <c r="N3349" s="36">
        <f>+I3349</f>
        <v>5533.362332250741</v>
      </c>
      <c r="O3349" s="38">
        <f>+N3349</f>
        <v>5533.362332250741</v>
      </c>
    </row>
    <row r="3351" spans="8:15">
      <c r="H3351" s="395" t="s">
        <v>1584</v>
      </c>
      <c r="I3351" s="26"/>
      <c r="J3351" s="26"/>
      <c r="K3351" s="26"/>
      <c r="L3351" s="26"/>
      <c r="M3351" s="26"/>
      <c r="N3351" s="26"/>
    </row>
    <row r="3352" spans="8:15">
      <c r="H3352" s="408" t="s">
        <v>2323</v>
      </c>
      <c r="I3352" s="26"/>
      <c r="J3352" s="26"/>
      <c r="K3352" s="26"/>
      <c r="L3352" s="26"/>
      <c r="M3352" s="26"/>
      <c r="N3352" s="26"/>
    </row>
    <row r="3353" spans="8:15">
      <c r="H3353" s="26" t="s">
        <v>19</v>
      </c>
      <c r="I3353" s="26"/>
      <c r="J3353" s="26"/>
      <c r="K3353" s="26"/>
      <c r="L3353" s="26"/>
      <c r="M3353" s="26"/>
      <c r="N3353" s="26"/>
    </row>
    <row r="3354" spans="8:15">
      <c r="H3354" s="26" t="s">
        <v>965</v>
      </c>
      <c r="I3354" s="26"/>
      <c r="J3354" s="26"/>
      <c r="K3354" s="26"/>
      <c r="L3354" s="26"/>
      <c r="M3354" s="26"/>
      <c r="N3354" s="26"/>
    </row>
    <row r="3355" spans="8:15">
      <c r="H3355" s="26" t="s">
        <v>21</v>
      </c>
      <c r="I3355" s="26"/>
      <c r="J3355" s="26"/>
      <c r="K3355" s="26"/>
      <c r="L3355" s="26"/>
      <c r="M3355" s="26"/>
      <c r="N3355" s="26"/>
    </row>
    <row r="3356" spans="8:15">
      <c r="H3356" s="26" t="s">
        <v>1229</v>
      </c>
      <c r="I3356" s="26"/>
      <c r="J3356" s="26"/>
      <c r="K3356" s="26"/>
      <c r="L3356" s="26"/>
      <c r="M3356" s="26"/>
      <c r="N3356" s="26"/>
    </row>
    <row r="3357" spans="8:15">
      <c r="H3357" s="26"/>
      <c r="I3357" s="26"/>
      <c r="J3357" s="26"/>
      <c r="K3357" s="26"/>
      <c r="L3357" s="26"/>
      <c r="M3357" s="26"/>
      <c r="N3357" s="26"/>
    </row>
    <row r="3359" spans="8:15">
      <c r="K3359" s="604" t="s">
        <v>24</v>
      </c>
      <c r="L3359" s="604"/>
      <c r="M3359" s="604"/>
      <c r="N3359" s="604"/>
    </row>
    <row r="3360" spans="8:15">
      <c r="K3360" s="604" t="s">
        <v>149</v>
      </c>
      <c r="L3360" s="604"/>
      <c r="M3360" s="604"/>
      <c r="N3360" s="604"/>
    </row>
    <row r="3361" spans="8:15">
      <c r="K3361" s="605" t="s">
        <v>150</v>
      </c>
      <c r="L3361" s="605"/>
      <c r="M3361" s="605"/>
      <c r="N3361" s="605"/>
    </row>
    <row r="3362" spans="8:15">
      <c r="K3362" s="477"/>
      <c r="L3362" s="477"/>
      <c r="M3362" s="477"/>
      <c r="N3362" s="477"/>
    </row>
    <row r="3363" spans="8:15">
      <c r="K3363" s="477"/>
      <c r="L3363" s="477"/>
      <c r="M3363" s="477"/>
      <c r="N3363" s="477"/>
    </row>
    <row r="3364" spans="8:15">
      <c r="K3364" s="30"/>
    </row>
    <row r="3365" spans="8:15" ht="17.25">
      <c r="K3365" s="645" t="s">
        <v>2347</v>
      </c>
      <c r="L3365" s="645"/>
      <c r="M3365" s="645"/>
      <c r="N3365" s="645"/>
    </row>
    <row r="3368" spans="8:15">
      <c r="I3368" s="617" t="s">
        <v>0</v>
      </c>
      <c r="J3368" s="617"/>
      <c r="K3368" s="617"/>
      <c r="L3368" s="617"/>
      <c r="M3368" s="617"/>
      <c r="N3368" s="617"/>
      <c r="O3368" s="617"/>
    </row>
    <row r="3371" spans="8:15" ht="47.25">
      <c r="H3371" s="646" t="s">
        <v>1</v>
      </c>
      <c r="I3371" s="646"/>
      <c r="J3371" s="646"/>
      <c r="K3371" s="646"/>
      <c r="L3371" s="646"/>
      <c r="M3371" s="646"/>
      <c r="N3371" s="646"/>
      <c r="O3371" s="646"/>
    </row>
    <row r="3373" spans="8:15" ht="17.25">
      <c r="I3373" s="375" t="s">
        <v>2256</v>
      </c>
    </row>
    <row r="3374" spans="8:15" ht="17.25" thickBot="1">
      <c r="H3374" s="30"/>
      <c r="N3374" s="141"/>
    </row>
    <row r="3375" spans="8:15">
      <c r="I3375" s="30"/>
      <c r="M3375" s="143"/>
      <c r="O3375" s="144"/>
    </row>
    <row r="3376" spans="8:15">
      <c r="M3376" s="647" t="s">
        <v>2254</v>
      </c>
      <c r="N3376" s="610"/>
      <c r="O3376" s="648"/>
    </row>
    <row r="3377" spans="8:15">
      <c r="I3377" s="12" t="s">
        <v>114</v>
      </c>
      <c r="K3377" s="30"/>
      <c r="L3377" s="30" t="s">
        <v>2</v>
      </c>
      <c r="M3377" s="729" t="s">
        <v>2255</v>
      </c>
      <c r="N3377" s="771"/>
      <c r="O3377" s="772"/>
    </row>
    <row r="3378" spans="8:15">
      <c r="M3378" s="766" t="s">
        <v>163</v>
      </c>
      <c r="N3378" s="767"/>
      <c r="O3378" s="768"/>
    </row>
    <row r="3379" spans="8:15" ht="17.25" thickBot="1">
      <c r="H3379" s="30"/>
      <c r="I3379" s="30"/>
      <c r="M3379" s="140"/>
      <c r="N3379" s="141"/>
      <c r="O3379" s="142"/>
    </row>
    <row r="3381" spans="8:15">
      <c r="H3381" s="30"/>
      <c r="I3381" s="30" t="s">
        <v>27</v>
      </c>
      <c r="J3381" s="394" t="s">
        <v>115</v>
      </c>
    </row>
    <row r="3382" spans="8:15">
      <c r="H3382" s="30"/>
      <c r="I3382" s="30"/>
      <c r="J3382" s="30"/>
    </row>
    <row r="3383" spans="8:15" ht="17.25" thickBot="1"/>
    <row r="3384" spans="8:15" ht="17.25" thickBot="1">
      <c r="H3384" s="13" t="s">
        <v>3</v>
      </c>
      <c r="I3384" s="624" t="s">
        <v>4</v>
      </c>
      <c r="J3384" s="625"/>
      <c r="K3384" s="625"/>
      <c r="L3384" s="625"/>
      <c r="M3384" s="625"/>
      <c r="N3384" s="626"/>
      <c r="O3384" s="20" t="s">
        <v>5</v>
      </c>
    </row>
    <row r="3385" spans="8:15">
      <c r="H3385" s="627" t="s">
        <v>2258</v>
      </c>
      <c r="I3385" s="143"/>
      <c r="J3385" s="159"/>
      <c r="K3385" s="159"/>
      <c r="L3385" s="159"/>
      <c r="M3385" s="159"/>
      <c r="N3385" s="144"/>
      <c r="O3385" s="291"/>
    </row>
    <row r="3386" spans="8:15">
      <c r="H3386" s="628"/>
      <c r="I3386" s="630" t="s">
        <v>286</v>
      </c>
      <c r="J3386" s="631"/>
      <c r="K3386" s="631"/>
      <c r="L3386" s="631"/>
      <c r="M3386" s="631"/>
      <c r="N3386" s="632"/>
      <c r="O3386" s="291"/>
    </row>
    <row r="3387" spans="8:15">
      <c r="H3387" s="628"/>
      <c r="I3387" s="636" t="s">
        <v>2257</v>
      </c>
      <c r="J3387" s="637"/>
      <c r="K3387" s="637"/>
      <c r="L3387" s="637"/>
      <c r="M3387" s="637"/>
      <c r="N3387" s="638"/>
      <c r="O3387" s="291"/>
    </row>
    <row r="3388" spans="8:15">
      <c r="H3388" s="628"/>
      <c r="I3388" s="653"/>
      <c r="J3388" s="605"/>
      <c r="K3388" s="605"/>
      <c r="L3388" s="605"/>
      <c r="M3388" s="605"/>
      <c r="N3388" s="649"/>
      <c r="O3388" s="148">
        <v>750000</v>
      </c>
    </row>
    <row r="3389" spans="8:15">
      <c r="H3389" s="628"/>
      <c r="I3389" s="64"/>
      <c r="J3389" s="30"/>
      <c r="K3389" s="30"/>
      <c r="L3389" s="30"/>
      <c r="M3389" s="30"/>
      <c r="N3389" s="65"/>
      <c r="O3389" s="291"/>
    </row>
    <row r="3390" spans="8:15" ht="17.25" thickBot="1">
      <c r="H3390" s="629"/>
      <c r="I3390" s="140"/>
      <c r="J3390" s="141"/>
      <c r="K3390" s="141"/>
      <c r="L3390" s="141"/>
      <c r="M3390" s="141"/>
      <c r="N3390" s="142"/>
      <c r="O3390" s="291"/>
    </row>
    <row r="3391" spans="8:15" ht="17.25" thickBot="1">
      <c r="H3391" s="20" t="s">
        <v>12</v>
      </c>
      <c r="I3391" s="614" t="s">
        <v>13</v>
      </c>
      <c r="J3391" s="615"/>
      <c r="K3391" s="62" t="s">
        <v>14</v>
      </c>
      <c r="L3391" s="63"/>
      <c r="M3391" s="62" t="s">
        <v>15</v>
      </c>
      <c r="N3391" s="62" t="s">
        <v>16</v>
      </c>
      <c r="O3391" s="20" t="s">
        <v>17</v>
      </c>
    </row>
    <row r="3392" spans="8:15" ht="18" thickBot="1">
      <c r="H3392" s="22" t="s">
        <v>18</v>
      </c>
      <c r="I3392" s="606">
        <f>+O3388</f>
        <v>750000</v>
      </c>
      <c r="J3392" s="607"/>
      <c r="K3392" s="23">
        <f>0</f>
        <v>0</v>
      </c>
      <c r="L3392" s="24"/>
      <c r="M3392" s="25">
        <f>0</f>
        <v>0</v>
      </c>
      <c r="N3392" s="36">
        <f>+I3392</f>
        <v>750000</v>
      </c>
      <c r="O3392" s="38">
        <f>+O3388</f>
        <v>750000</v>
      </c>
    </row>
    <row r="3393" spans="8:15" ht="18" thickBot="1">
      <c r="H3393" s="22" t="s">
        <v>113</v>
      </c>
      <c r="I3393" s="606">
        <f>+I3392/650.599</f>
        <v>1152.7838192189045</v>
      </c>
      <c r="J3393" s="607"/>
      <c r="K3393" s="23">
        <f>0</f>
        <v>0</v>
      </c>
      <c r="L3393" s="24"/>
      <c r="M3393" s="25">
        <f>0</f>
        <v>0</v>
      </c>
      <c r="N3393" s="36">
        <f>+I3393</f>
        <v>1152.7838192189045</v>
      </c>
      <c r="O3393" s="38"/>
    </row>
    <row r="3395" spans="8:15">
      <c r="H3395" s="395" t="s">
        <v>1268</v>
      </c>
      <c r="I3395" s="26"/>
      <c r="J3395" s="26"/>
      <c r="K3395" s="26"/>
      <c r="L3395" s="26"/>
      <c r="M3395" s="26"/>
      <c r="N3395" s="26"/>
    </row>
    <row r="3396" spans="8:15">
      <c r="H3396" s="408" t="s">
        <v>2259</v>
      </c>
      <c r="I3396" s="26"/>
      <c r="J3396" s="26"/>
      <c r="K3396" s="26"/>
      <c r="L3396" s="26"/>
      <c r="M3396" s="26"/>
      <c r="N3396" s="26"/>
    </row>
    <row r="3397" spans="8:15">
      <c r="H3397" s="26" t="s">
        <v>19</v>
      </c>
      <c r="I3397" s="26"/>
      <c r="J3397" s="26"/>
      <c r="K3397" s="26"/>
      <c r="L3397" s="26"/>
      <c r="M3397" s="26"/>
      <c r="N3397" s="26"/>
    </row>
    <row r="3398" spans="8:15">
      <c r="H3398" s="26" t="s">
        <v>20</v>
      </c>
      <c r="I3398" s="26"/>
      <c r="J3398" s="26"/>
      <c r="K3398" s="26"/>
      <c r="L3398" s="26"/>
      <c r="M3398" s="26"/>
      <c r="N3398" s="26"/>
    </row>
    <row r="3399" spans="8:15">
      <c r="H3399" s="26" t="s">
        <v>21</v>
      </c>
      <c r="I3399" s="26"/>
      <c r="J3399" s="26"/>
      <c r="K3399" s="26"/>
      <c r="L3399" s="26"/>
      <c r="M3399" s="26"/>
      <c r="N3399" s="26"/>
    </row>
    <row r="3400" spans="8:15">
      <c r="H3400" s="26" t="s">
        <v>1229</v>
      </c>
      <c r="I3400" s="26"/>
      <c r="J3400" s="26"/>
      <c r="K3400" s="26"/>
      <c r="L3400" s="26"/>
      <c r="M3400" s="26"/>
      <c r="N3400" s="26"/>
    </row>
    <row r="3402" spans="8:15">
      <c r="K3402" s="605" t="s">
        <v>24</v>
      </c>
      <c r="L3402" s="605"/>
      <c r="M3402" s="605"/>
      <c r="N3402" s="605"/>
    </row>
    <row r="3403" spans="8:15">
      <c r="K3403" s="605" t="s">
        <v>1269</v>
      </c>
      <c r="L3403" s="605"/>
      <c r="M3403" s="605"/>
      <c r="N3403" s="605"/>
    </row>
    <row r="3404" spans="8:15">
      <c r="K3404" s="605" t="s">
        <v>152</v>
      </c>
      <c r="L3404" s="605"/>
      <c r="M3404" s="605"/>
      <c r="N3404" s="605"/>
    </row>
    <row r="3406" spans="8:15">
      <c r="K3406" s="26"/>
      <c r="L3406" s="26"/>
      <c r="M3406" s="26"/>
      <c r="N3406" s="26"/>
    </row>
    <row r="3407" spans="8:15" ht="18">
      <c r="H3407" s="26"/>
      <c r="I3407" s="26"/>
      <c r="J3407" s="26"/>
      <c r="K3407" s="645" t="s">
        <v>2147</v>
      </c>
      <c r="L3407" s="645"/>
      <c r="M3407" s="645"/>
      <c r="N3407" s="645"/>
      <c r="O3407" s="29"/>
    </row>
    <row r="3409" spans="8:15">
      <c r="I3409" s="617" t="s">
        <v>2480</v>
      </c>
      <c r="J3409" s="617"/>
      <c r="K3409" s="617"/>
      <c r="L3409" s="617"/>
      <c r="M3409" s="617"/>
      <c r="N3409" s="617"/>
      <c r="O3409" s="617"/>
    </row>
    <row r="3412" spans="8:15" ht="49.5" customHeight="1">
      <c r="H3412" s="642" t="s">
        <v>1</v>
      </c>
      <c r="I3412" s="642"/>
      <c r="J3412" s="642"/>
      <c r="K3412" s="642"/>
      <c r="L3412" s="642"/>
      <c r="M3412" s="642"/>
      <c r="N3412" s="642"/>
      <c r="O3412" s="642"/>
    </row>
    <row r="3415" spans="8:15" ht="17.25">
      <c r="H3415" s="30"/>
      <c r="I3415" s="503" t="s">
        <v>1785</v>
      </c>
    </row>
    <row r="3416" spans="8:15" ht="17.25" thickBot="1">
      <c r="H3416" s="30"/>
      <c r="K3416" s="12" t="s">
        <v>631</v>
      </c>
      <c r="N3416" s="141"/>
    </row>
    <row r="3417" spans="8:15">
      <c r="I3417" s="30"/>
      <c r="M3417" s="143"/>
      <c r="O3417" s="144"/>
    </row>
    <row r="3418" spans="8:15">
      <c r="M3418" s="647" t="s">
        <v>2290</v>
      </c>
      <c r="N3418" s="610"/>
      <c r="O3418" s="648"/>
    </row>
    <row r="3419" spans="8:15">
      <c r="H3419" s="12" t="s">
        <v>114</v>
      </c>
      <c r="K3419" s="30"/>
      <c r="L3419" s="30" t="s">
        <v>2</v>
      </c>
      <c r="M3419" s="605" t="s">
        <v>2192</v>
      </c>
      <c r="N3419" s="605"/>
      <c r="O3419" s="649"/>
    </row>
    <row r="3420" spans="8:15">
      <c r="M3420" s="601" t="s">
        <v>36</v>
      </c>
      <c r="N3420" s="602"/>
      <c r="O3420" s="603"/>
    </row>
    <row r="3421" spans="8:15" ht="17.25" thickBot="1">
      <c r="M3421" s="140"/>
      <c r="N3421" s="141"/>
      <c r="O3421" s="142"/>
    </row>
    <row r="3423" spans="8:15">
      <c r="H3423" s="30" t="s">
        <v>27</v>
      </c>
      <c r="I3423" s="30" t="s">
        <v>148</v>
      </c>
    </row>
    <row r="3424" spans="8:15" ht="17.25" thickBot="1"/>
    <row r="3425" spans="8:15" ht="17.25" thickBot="1">
      <c r="H3425" s="13" t="s">
        <v>112</v>
      </c>
      <c r="I3425" s="624" t="s">
        <v>4</v>
      </c>
      <c r="J3425" s="625"/>
      <c r="K3425" s="625"/>
      <c r="L3425" s="625"/>
      <c r="M3425" s="625"/>
      <c r="N3425" s="626"/>
      <c r="O3425" s="20" t="s">
        <v>5</v>
      </c>
    </row>
    <row r="3426" spans="8:15">
      <c r="H3426" s="633" t="s">
        <v>2445</v>
      </c>
      <c r="I3426" s="143"/>
      <c r="J3426" s="159"/>
      <c r="K3426" s="159"/>
      <c r="L3426" s="159"/>
      <c r="M3426" s="159"/>
      <c r="N3426" s="144"/>
      <c r="O3426" s="291"/>
    </row>
    <row r="3427" spans="8:15">
      <c r="H3427" s="634"/>
      <c r="I3427" s="64"/>
      <c r="N3427" s="65"/>
      <c r="O3427" s="291"/>
    </row>
    <row r="3428" spans="8:15">
      <c r="H3428" s="634"/>
      <c r="I3428" s="630" t="s">
        <v>286</v>
      </c>
      <c r="J3428" s="631"/>
      <c r="K3428" s="631"/>
      <c r="L3428" s="631"/>
      <c r="M3428" s="631"/>
      <c r="N3428" s="632"/>
      <c r="O3428" s="291"/>
    </row>
    <row r="3429" spans="8:15">
      <c r="H3429" s="634"/>
      <c r="I3429" s="636" t="s">
        <v>2226</v>
      </c>
      <c r="J3429" s="637"/>
      <c r="K3429" s="637"/>
      <c r="L3429" s="637"/>
      <c r="M3429" s="637"/>
      <c r="N3429" s="638"/>
      <c r="O3429" s="148">
        <v>1500000</v>
      </c>
    </row>
    <row r="3430" spans="8:15" ht="17.25" thickBot="1">
      <c r="H3430" s="634"/>
      <c r="I3430" s="64"/>
      <c r="J3430" s="604"/>
      <c r="K3430" s="604"/>
      <c r="L3430" s="604"/>
      <c r="N3430" s="65"/>
      <c r="O3430" s="291"/>
    </row>
    <row r="3431" spans="8:15" ht="17.25" thickBot="1">
      <c r="H3431" s="20" t="s">
        <v>12</v>
      </c>
      <c r="I3431" s="611" t="s">
        <v>13</v>
      </c>
      <c r="J3431" s="612"/>
      <c r="K3431" s="21" t="s">
        <v>14</v>
      </c>
      <c r="L3431" s="20"/>
      <c r="M3431" s="21" t="s">
        <v>15</v>
      </c>
      <c r="N3431" s="364" t="s">
        <v>16</v>
      </c>
      <c r="O3431" s="20" t="s">
        <v>17</v>
      </c>
    </row>
    <row r="3432" spans="8:15" ht="18" thickBot="1">
      <c r="H3432" s="22" t="s">
        <v>18</v>
      </c>
      <c r="I3432" s="606">
        <f>+O3429</f>
        <v>1500000</v>
      </c>
      <c r="J3432" s="607"/>
      <c r="K3432" s="23">
        <f>0</f>
        <v>0</v>
      </c>
      <c r="L3432" s="24"/>
      <c r="M3432" s="25">
        <f>0</f>
        <v>0</v>
      </c>
      <c r="N3432" s="36">
        <f>+I3432</f>
        <v>1500000</v>
      </c>
      <c r="O3432" s="38">
        <f>+O3429</f>
        <v>1500000</v>
      </c>
    </row>
    <row r="3433" spans="8:15" ht="18" thickBot="1">
      <c r="H3433" s="22" t="s">
        <v>113</v>
      </c>
      <c r="I3433" s="606">
        <f>+I3432/650.599</f>
        <v>2305.5676384378089</v>
      </c>
      <c r="J3433" s="607"/>
      <c r="K3433" s="23">
        <f>0</f>
        <v>0</v>
      </c>
      <c r="L3433" s="24"/>
      <c r="M3433" s="25">
        <f>0</f>
        <v>0</v>
      </c>
      <c r="N3433" s="36">
        <f>+I3433</f>
        <v>2305.5676384378089</v>
      </c>
      <c r="O3433" s="38">
        <f>+N3433</f>
        <v>2305.5676384378089</v>
      </c>
    </row>
    <row r="3435" spans="8:15">
      <c r="H3435" s="412" t="s">
        <v>1268</v>
      </c>
      <c r="I3435" s="26"/>
      <c r="J3435" s="26"/>
      <c r="K3435" s="26"/>
      <c r="L3435" s="26"/>
      <c r="M3435" s="26"/>
      <c r="N3435" s="26"/>
    </row>
    <row r="3436" spans="8:15">
      <c r="H3436" s="413" t="s">
        <v>2479</v>
      </c>
      <c r="I3436" s="26"/>
      <c r="J3436" s="26"/>
      <c r="K3436" s="26"/>
      <c r="L3436" s="26"/>
      <c r="M3436" s="26"/>
      <c r="N3436" s="26"/>
    </row>
    <row r="3437" spans="8:15">
      <c r="H3437" s="82" t="s">
        <v>19</v>
      </c>
      <c r="I3437" s="26"/>
      <c r="J3437" s="26"/>
      <c r="K3437" s="26"/>
      <c r="L3437" s="26"/>
      <c r="M3437" s="26"/>
      <c r="N3437" s="26"/>
    </row>
    <row r="3438" spans="8:15">
      <c r="H3438" s="26" t="s">
        <v>965</v>
      </c>
      <c r="I3438" s="26"/>
      <c r="J3438" s="26"/>
      <c r="K3438" s="26"/>
      <c r="L3438" s="26"/>
      <c r="M3438" s="26"/>
      <c r="N3438" s="26"/>
    </row>
    <row r="3439" spans="8:15">
      <c r="H3439" s="26" t="s">
        <v>21</v>
      </c>
      <c r="I3439" s="26"/>
      <c r="J3439" s="26"/>
      <c r="K3439" s="26"/>
      <c r="L3439" s="26"/>
      <c r="M3439" s="26"/>
      <c r="N3439" s="26"/>
    </row>
    <row r="3440" spans="8:15">
      <c r="H3440" s="26" t="s">
        <v>1229</v>
      </c>
      <c r="I3440" s="26"/>
      <c r="J3440" s="26"/>
      <c r="K3440" s="26"/>
      <c r="L3440" s="26"/>
      <c r="M3440" s="26"/>
      <c r="N3440" s="26"/>
    </row>
    <row r="3444" spans="8:15">
      <c r="K3444" s="30" t="s">
        <v>24</v>
      </c>
      <c r="L3444" s="30"/>
      <c r="M3444" s="30"/>
    </row>
    <row r="3445" spans="8:15">
      <c r="K3445" s="30" t="s">
        <v>149</v>
      </c>
      <c r="L3445" s="30"/>
      <c r="M3445" s="30"/>
    </row>
    <row r="3446" spans="8:15">
      <c r="K3446" s="605" t="s">
        <v>150</v>
      </c>
      <c r="L3446" s="605"/>
      <c r="M3446" s="605"/>
      <c r="N3446" s="605"/>
    </row>
    <row r="3447" spans="8:15">
      <c r="L3447" s="30"/>
    </row>
    <row r="3448" spans="8:15">
      <c r="L3448" s="30"/>
    </row>
    <row r="3449" spans="8:15">
      <c r="H3449" s="26"/>
      <c r="I3449" s="26"/>
      <c r="J3449" s="26"/>
      <c r="K3449" s="602" t="s">
        <v>2347</v>
      </c>
      <c r="L3449" s="602"/>
      <c r="M3449" s="602"/>
      <c r="N3449" s="602"/>
      <c r="O3449" s="26"/>
    </row>
    <row r="3450" spans="8:15" ht="17.25">
      <c r="H3450" s="26"/>
      <c r="I3450" s="26"/>
      <c r="J3450" s="26"/>
      <c r="K3450" s="644"/>
      <c r="L3450" s="644"/>
      <c r="M3450" s="644"/>
      <c r="N3450" s="644"/>
      <c r="O3450" s="361"/>
    </row>
    <row r="3451" spans="8:15" ht="17.25">
      <c r="H3451" s="26"/>
      <c r="I3451" s="26"/>
      <c r="J3451" s="26"/>
      <c r="K3451" s="361"/>
      <c r="L3451" s="361"/>
      <c r="M3451" s="361"/>
      <c r="N3451" s="361"/>
      <c r="O3451" s="361"/>
    </row>
    <row r="3453" spans="8:15" ht="20.25" customHeight="1">
      <c r="H3453" s="617" t="s">
        <v>0</v>
      </c>
      <c r="I3453" s="617"/>
      <c r="J3453" s="617"/>
      <c r="K3453" s="617"/>
      <c r="L3453" s="617"/>
      <c r="M3453" s="617"/>
      <c r="N3453" s="617"/>
      <c r="O3453" s="617"/>
    </row>
    <row r="3454" spans="8:15">
      <c r="H3454" s="474"/>
      <c r="I3454" s="474"/>
      <c r="J3454" s="474"/>
      <c r="K3454" s="474"/>
      <c r="L3454" s="474"/>
      <c r="M3454" s="474"/>
      <c r="N3454" s="474"/>
      <c r="O3454" s="474"/>
    </row>
    <row r="3456" spans="8:15" ht="49.5">
      <c r="H3456" s="642" t="s">
        <v>1</v>
      </c>
      <c r="I3456" s="642"/>
      <c r="J3456" s="642"/>
      <c r="K3456" s="642"/>
      <c r="L3456" s="642"/>
      <c r="M3456" s="642"/>
      <c r="N3456" s="642"/>
      <c r="O3456" s="642"/>
    </row>
    <row r="3458" spans="8:15" ht="17.25">
      <c r="H3458" s="375"/>
      <c r="I3458" s="375" t="s">
        <v>1384</v>
      </c>
    </row>
    <row r="3459" spans="8:15" ht="17.25" thickBot="1">
      <c r="H3459" s="30"/>
      <c r="N3459" s="141"/>
    </row>
    <row r="3460" spans="8:15">
      <c r="I3460" s="30"/>
      <c r="M3460" s="143"/>
      <c r="O3460" s="144"/>
    </row>
    <row r="3461" spans="8:15">
      <c r="M3461" s="647" t="s">
        <v>2308</v>
      </c>
      <c r="N3461" s="610"/>
      <c r="O3461" s="648"/>
    </row>
    <row r="3462" spans="8:15">
      <c r="H3462" s="12" t="s">
        <v>114</v>
      </c>
      <c r="K3462" s="30" t="s">
        <v>2</v>
      </c>
      <c r="M3462" s="605" t="s">
        <v>716</v>
      </c>
      <c r="N3462" s="605"/>
      <c r="O3462" s="649"/>
    </row>
    <row r="3463" spans="8:15">
      <c r="M3463" s="601" t="s">
        <v>163</v>
      </c>
      <c r="N3463" s="602"/>
      <c r="O3463" s="603"/>
    </row>
    <row r="3464" spans="8:15" ht="17.25" thickBot="1">
      <c r="M3464" s="140"/>
      <c r="N3464" s="141"/>
      <c r="O3464" s="142"/>
    </row>
    <row r="3466" spans="8:15">
      <c r="H3466" s="30" t="s">
        <v>27</v>
      </c>
      <c r="I3466" s="30" t="s">
        <v>115</v>
      </c>
    </row>
    <row r="3467" spans="8:15" ht="17.25" thickBot="1"/>
    <row r="3468" spans="8:15" ht="17.25" thickBot="1">
      <c r="H3468" s="13" t="s">
        <v>112</v>
      </c>
      <c r="I3468" s="624" t="s">
        <v>4</v>
      </c>
      <c r="J3468" s="625"/>
      <c r="K3468" s="625"/>
      <c r="L3468" s="625"/>
      <c r="M3468" s="625"/>
      <c r="N3468" s="626"/>
      <c r="O3468" s="20" t="s">
        <v>5</v>
      </c>
    </row>
    <row r="3469" spans="8:15">
      <c r="H3469" s="633" t="s">
        <v>2272</v>
      </c>
      <c r="I3469" s="143"/>
      <c r="J3469" s="159"/>
      <c r="K3469" s="159"/>
      <c r="L3469" s="159"/>
      <c r="M3469" s="159"/>
      <c r="N3469" s="144"/>
      <c r="O3469" s="291"/>
    </row>
    <row r="3470" spans="8:15">
      <c r="H3470" s="634"/>
      <c r="I3470" s="64"/>
      <c r="N3470" s="65"/>
      <c r="O3470" s="291"/>
    </row>
    <row r="3471" spans="8:15">
      <c r="H3471" s="634"/>
      <c r="I3471" s="630" t="s">
        <v>286</v>
      </c>
      <c r="J3471" s="631"/>
      <c r="K3471" s="631"/>
      <c r="L3471" s="631"/>
      <c r="M3471" s="631"/>
      <c r="N3471" s="632"/>
      <c r="O3471" s="291"/>
    </row>
    <row r="3472" spans="8:15">
      <c r="H3472" s="634"/>
      <c r="I3472" s="636" t="s">
        <v>2197</v>
      </c>
      <c r="J3472" s="637"/>
      <c r="K3472" s="637"/>
      <c r="L3472" s="637"/>
      <c r="M3472" s="637"/>
      <c r="N3472" s="638"/>
      <c r="O3472" s="148">
        <v>870000</v>
      </c>
    </row>
    <row r="3473" spans="8:15">
      <c r="H3473" s="634"/>
      <c r="I3473" s="64"/>
      <c r="J3473" s="604"/>
      <c r="K3473" s="604"/>
      <c r="L3473" s="604"/>
      <c r="N3473" s="65"/>
      <c r="O3473" s="291"/>
    </row>
    <row r="3474" spans="8:15" ht="17.25" thickBot="1">
      <c r="H3474" s="635"/>
      <c r="I3474" s="140"/>
      <c r="J3474" s="141"/>
      <c r="K3474" s="141"/>
      <c r="L3474" s="141"/>
      <c r="M3474" s="141"/>
      <c r="N3474" s="142"/>
      <c r="O3474" s="291"/>
    </row>
    <row r="3475" spans="8:15" ht="17.25" thickBot="1">
      <c r="H3475" s="20" t="s">
        <v>12</v>
      </c>
      <c r="I3475" s="614" t="s">
        <v>13</v>
      </c>
      <c r="J3475" s="615"/>
      <c r="K3475" s="62" t="s">
        <v>14</v>
      </c>
      <c r="L3475" s="63"/>
      <c r="M3475" s="62" t="s">
        <v>15</v>
      </c>
      <c r="N3475" s="62" t="s">
        <v>16</v>
      </c>
      <c r="O3475" s="20" t="s">
        <v>17</v>
      </c>
    </row>
    <row r="3476" spans="8:15" ht="18" thickBot="1">
      <c r="H3476" s="22" t="s">
        <v>18</v>
      </c>
      <c r="I3476" s="606">
        <f>+O3472</f>
        <v>870000</v>
      </c>
      <c r="J3476" s="607"/>
      <c r="K3476" s="23">
        <f>0</f>
        <v>0</v>
      </c>
      <c r="L3476" s="24"/>
      <c r="M3476" s="25">
        <f>0</f>
        <v>0</v>
      </c>
      <c r="N3476" s="36">
        <f>+I3476</f>
        <v>870000</v>
      </c>
      <c r="O3476" s="38">
        <f>+O3472</f>
        <v>870000</v>
      </c>
    </row>
    <row r="3477" spans="8:15" ht="18" thickBot="1">
      <c r="H3477" s="22" t="s">
        <v>113</v>
      </c>
      <c r="I3477" s="606">
        <f>+I3476/650.599</f>
        <v>1337.229230293929</v>
      </c>
      <c r="J3477" s="607"/>
      <c r="K3477" s="23">
        <f>0</f>
        <v>0</v>
      </c>
      <c r="L3477" s="24"/>
      <c r="M3477" s="25">
        <f>0</f>
        <v>0</v>
      </c>
      <c r="N3477" s="36">
        <f>+I3477</f>
        <v>1337.229230293929</v>
      </c>
      <c r="O3477" s="38">
        <f>+N3477</f>
        <v>1337.229230293929</v>
      </c>
    </row>
    <row r="3479" spans="8:15">
      <c r="H3479" s="412" t="s">
        <v>1268</v>
      </c>
      <c r="I3479" s="26"/>
      <c r="J3479" s="26"/>
      <c r="K3479" s="26"/>
      <c r="L3479" s="26"/>
      <c r="M3479" s="26"/>
      <c r="N3479" s="26"/>
    </row>
    <row r="3480" spans="8:15" ht="17.25">
      <c r="H3480" s="458" t="s">
        <v>2198</v>
      </c>
      <c r="I3480" s="26"/>
      <c r="J3480" s="26"/>
      <c r="K3480" s="26"/>
      <c r="L3480" s="26"/>
      <c r="M3480" s="26"/>
      <c r="N3480" s="26"/>
    </row>
    <row r="3481" spans="8:15">
      <c r="H3481" s="26" t="s">
        <v>19</v>
      </c>
      <c r="I3481" s="26"/>
      <c r="J3481" s="26"/>
      <c r="K3481" s="26"/>
      <c r="L3481" s="26"/>
      <c r="M3481" s="26"/>
      <c r="N3481" s="26"/>
    </row>
    <row r="3482" spans="8:15">
      <c r="H3482" s="26" t="s">
        <v>965</v>
      </c>
      <c r="I3482" s="26"/>
      <c r="J3482" s="26"/>
      <c r="K3482" s="26"/>
      <c r="L3482" s="26"/>
      <c r="M3482" s="26"/>
      <c r="N3482" s="26"/>
    </row>
    <row r="3483" spans="8:15">
      <c r="H3483" s="26" t="s">
        <v>21</v>
      </c>
      <c r="I3483" s="26"/>
      <c r="J3483" s="26"/>
      <c r="K3483" s="26"/>
      <c r="L3483" s="26"/>
      <c r="M3483" s="26"/>
      <c r="N3483" s="26"/>
    </row>
    <row r="3484" spans="8:15">
      <c r="H3484" s="26" t="s">
        <v>1229</v>
      </c>
      <c r="I3484" s="26"/>
      <c r="J3484" s="26"/>
      <c r="K3484" s="26"/>
      <c r="L3484" s="26"/>
      <c r="M3484" s="26"/>
      <c r="N3484" s="26"/>
    </row>
    <row r="3488" spans="8:15">
      <c r="K3488" s="30" t="s">
        <v>24</v>
      </c>
      <c r="M3488" s="30"/>
      <c r="N3488" s="30"/>
    </row>
    <row r="3489" spans="8:15">
      <c r="K3489" s="30" t="s">
        <v>149</v>
      </c>
      <c r="M3489" s="30"/>
      <c r="N3489" s="30"/>
    </row>
    <row r="3490" spans="8:15">
      <c r="K3490" s="605" t="s">
        <v>150</v>
      </c>
      <c r="L3490" s="605"/>
      <c r="M3490" s="605"/>
      <c r="N3490" s="605"/>
    </row>
    <row r="3491" spans="8:15">
      <c r="H3491" s="617" t="s">
        <v>0</v>
      </c>
      <c r="I3491" s="617"/>
      <c r="J3491" s="617"/>
      <c r="K3491" s="617"/>
      <c r="L3491" s="617"/>
      <c r="M3491" s="617"/>
      <c r="N3491" s="617"/>
      <c r="O3491" s="617"/>
    </row>
    <row r="3492" spans="8:15">
      <c r="H3492" s="474"/>
      <c r="I3492" s="474"/>
      <c r="J3492" s="474"/>
      <c r="K3492" s="474"/>
      <c r="L3492" s="474"/>
      <c r="M3492" s="474"/>
      <c r="N3492" s="474"/>
      <c r="O3492" s="474"/>
    </row>
    <row r="3494" spans="8:15" ht="49.5">
      <c r="H3494" s="642" t="s">
        <v>1</v>
      </c>
      <c r="I3494" s="642"/>
      <c r="J3494" s="642"/>
      <c r="K3494" s="642"/>
      <c r="L3494" s="642"/>
      <c r="M3494" s="642"/>
      <c r="N3494" s="642"/>
      <c r="O3494" s="642"/>
    </row>
    <row r="3496" spans="8:15" ht="18">
      <c r="H3496" s="375"/>
      <c r="I3496" s="489" t="s">
        <v>802</v>
      </c>
    </row>
    <row r="3497" spans="8:15" ht="17.25" thickBot="1">
      <c r="H3497" s="30"/>
      <c r="N3497" s="141"/>
    </row>
    <row r="3498" spans="8:15">
      <c r="I3498" s="30"/>
      <c r="M3498" s="143"/>
      <c r="O3498" s="144"/>
    </row>
    <row r="3499" spans="8:15">
      <c r="M3499" s="647" t="s">
        <v>2384</v>
      </c>
      <c r="N3499" s="610"/>
      <c r="O3499" s="648"/>
    </row>
    <row r="3500" spans="8:15">
      <c r="H3500" s="12" t="s">
        <v>114</v>
      </c>
      <c r="K3500" s="30" t="s">
        <v>2</v>
      </c>
      <c r="M3500" s="605" t="s">
        <v>2377</v>
      </c>
      <c r="N3500" s="605"/>
      <c r="O3500" s="649"/>
    </row>
    <row r="3501" spans="8:15">
      <c r="M3501" s="601" t="s">
        <v>2385</v>
      </c>
      <c r="N3501" s="602"/>
      <c r="O3501" s="603"/>
    </row>
    <row r="3502" spans="8:15" ht="17.25" thickBot="1">
      <c r="M3502" s="639" t="s">
        <v>163</v>
      </c>
      <c r="N3502" s="640"/>
      <c r="O3502" s="641"/>
    </row>
    <row r="3503" spans="8:15">
      <c r="H3503" s="30" t="s">
        <v>27</v>
      </c>
      <c r="I3503" s="30" t="s">
        <v>148</v>
      </c>
    </row>
    <row r="3504" spans="8:15">
      <c r="H3504" s="30" t="s">
        <v>2380</v>
      </c>
      <c r="I3504" s="12" t="s">
        <v>2381</v>
      </c>
    </row>
    <row r="3505" spans="8:15" ht="17.25" thickBot="1"/>
    <row r="3506" spans="8:15" ht="17.25" thickBot="1">
      <c r="H3506" s="13" t="s">
        <v>112</v>
      </c>
      <c r="I3506" s="624" t="s">
        <v>4</v>
      </c>
      <c r="J3506" s="625"/>
      <c r="K3506" s="625"/>
      <c r="L3506" s="625"/>
      <c r="M3506" s="625"/>
      <c r="N3506" s="626"/>
      <c r="O3506" s="20" t="s">
        <v>5</v>
      </c>
    </row>
    <row r="3507" spans="8:15">
      <c r="H3507" s="633" t="s">
        <v>2383</v>
      </c>
      <c r="I3507" s="143"/>
      <c r="J3507" s="159"/>
      <c r="K3507" s="159"/>
      <c r="L3507" s="159"/>
      <c r="M3507" s="159"/>
      <c r="N3507" s="144"/>
      <c r="O3507" s="291"/>
    </row>
    <row r="3508" spans="8:15">
      <c r="H3508" s="634"/>
      <c r="I3508" s="64"/>
      <c r="N3508" s="65"/>
      <c r="O3508" s="291"/>
    </row>
    <row r="3509" spans="8:15">
      <c r="H3509" s="634"/>
      <c r="I3509" s="630" t="s">
        <v>2378</v>
      </c>
      <c r="J3509" s="631"/>
      <c r="K3509" s="631"/>
      <c r="L3509" s="631"/>
      <c r="M3509" s="631"/>
      <c r="N3509" s="632"/>
      <c r="O3509" s="291"/>
    </row>
    <row r="3510" spans="8:15">
      <c r="H3510" s="634"/>
      <c r="I3510" s="636" t="s">
        <v>2379</v>
      </c>
      <c r="J3510" s="637"/>
      <c r="K3510" s="637"/>
      <c r="L3510" s="637"/>
      <c r="M3510" s="637"/>
      <c r="N3510" s="638"/>
      <c r="O3510" s="148">
        <v>1500000</v>
      </c>
    </row>
    <row r="3511" spans="8:15">
      <c r="H3511" s="634"/>
      <c r="I3511" s="64"/>
      <c r="J3511" s="604"/>
      <c r="K3511" s="604"/>
      <c r="L3511" s="604"/>
      <c r="N3511" s="65"/>
      <c r="O3511" s="291"/>
    </row>
    <row r="3512" spans="8:15" ht="17.25" thickBot="1">
      <c r="H3512" s="635"/>
      <c r="I3512" s="140"/>
      <c r="J3512" s="141"/>
      <c r="K3512" s="141"/>
      <c r="L3512" s="141"/>
      <c r="M3512" s="141"/>
      <c r="N3512" s="142"/>
      <c r="O3512" s="291"/>
    </row>
    <row r="3513" spans="8:15" ht="17.25" thickBot="1">
      <c r="H3513" s="20" t="s">
        <v>12</v>
      </c>
      <c r="I3513" s="614" t="s">
        <v>13</v>
      </c>
      <c r="J3513" s="615"/>
      <c r="K3513" s="62" t="s">
        <v>14</v>
      </c>
      <c r="L3513" s="63"/>
      <c r="M3513" s="62" t="s">
        <v>15</v>
      </c>
      <c r="N3513" s="62" t="s">
        <v>16</v>
      </c>
      <c r="O3513" s="20" t="s">
        <v>17</v>
      </c>
    </row>
    <row r="3514" spans="8:15" ht="18" thickBot="1">
      <c r="H3514" s="22" t="s">
        <v>18</v>
      </c>
      <c r="I3514" s="606">
        <f>+O3510</f>
        <v>1500000</v>
      </c>
      <c r="J3514" s="607"/>
      <c r="K3514" s="23">
        <f>0</f>
        <v>0</v>
      </c>
      <c r="L3514" s="24"/>
      <c r="M3514" s="25">
        <f>0</f>
        <v>0</v>
      </c>
      <c r="N3514" s="36">
        <f>+I3514</f>
        <v>1500000</v>
      </c>
      <c r="O3514" s="38">
        <f>+O3510</f>
        <v>1500000</v>
      </c>
    </row>
    <row r="3515" spans="8:15" ht="18" thickBot="1">
      <c r="H3515" s="22" t="s">
        <v>113</v>
      </c>
      <c r="I3515" s="606">
        <f>+I3514/650.599</f>
        <v>2305.5676384378089</v>
      </c>
      <c r="J3515" s="607"/>
      <c r="K3515" s="23">
        <f>0</f>
        <v>0</v>
      </c>
      <c r="L3515" s="24"/>
      <c r="M3515" s="25">
        <f>0</f>
        <v>0</v>
      </c>
      <c r="N3515" s="36">
        <f>+I3515</f>
        <v>2305.5676384378089</v>
      </c>
      <c r="O3515" s="38">
        <f>+N3515</f>
        <v>2305.5676384378089</v>
      </c>
    </row>
    <row r="3517" spans="8:15">
      <c r="H3517" s="412" t="s">
        <v>1268</v>
      </c>
      <c r="I3517" s="26"/>
      <c r="J3517" s="26"/>
      <c r="K3517" s="26"/>
      <c r="L3517" s="26"/>
      <c r="M3517" s="26"/>
      <c r="N3517" s="26"/>
    </row>
    <row r="3518" spans="8:15">
      <c r="H3518" s="413" t="s">
        <v>2382</v>
      </c>
      <c r="I3518" s="26"/>
      <c r="J3518" s="26"/>
      <c r="K3518" s="26"/>
      <c r="L3518" s="26"/>
      <c r="M3518" s="26"/>
      <c r="N3518" s="26"/>
    </row>
    <row r="3519" spans="8:15">
      <c r="H3519" s="26" t="s">
        <v>19</v>
      </c>
      <c r="I3519" s="26"/>
      <c r="J3519" s="26"/>
      <c r="K3519" s="26"/>
      <c r="L3519" s="26"/>
      <c r="M3519" s="26"/>
      <c r="N3519" s="26"/>
    </row>
    <row r="3520" spans="8:15">
      <c r="H3520" s="26" t="s">
        <v>965</v>
      </c>
      <c r="I3520" s="26"/>
      <c r="J3520" s="26"/>
      <c r="K3520" s="26"/>
      <c r="L3520" s="26"/>
      <c r="M3520" s="26"/>
      <c r="N3520" s="26"/>
    </row>
    <row r="3521" spans="8:15">
      <c r="H3521" s="26" t="s">
        <v>21</v>
      </c>
      <c r="I3521" s="26"/>
      <c r="J3521" s="26"/>
      <c r="K3521" s="26"/>
      <c r="L3521" s="26"/>
      <c r="M3521" s="26"/>
      <c r="N3521" s="26"/>
    </row>
    <row r="3522" spans="8:15">
      <c r="H3522" s="26" t="s">
        <v>1229</v>
      </c>
      <c r="I3522" s="26"/>
      <c r="J3522" s="26"/>
      <c r="K3522" s="26"/>
      <c r="L3522" s="26"/>
      <c r="M3522" s="26"/>
      <c r="N3522" s="26"/>
    </row>
    <row r="3526" spans="8:15">
      <c r="K3526" s="191" t="s">
        <v>24</v>
      </c>
      <c r="L3526" s="414"/>
      <c r="M3526" s="191"/>
      <c r="N3526" s="191"/>
    </row>
    <row r="3527" spans="8:15">
      <c r="K3527" s="191" t="s">
        <v>149</v>
      </c>
      <c r="L3527" s="414"/>
      <c r="M3527" s="191"/>
      <c r="N3527" s="191"/>
    </row>
    <row r="3528" spans="8:15">
      <c r="K3528" s="608" t="s">
        <v>150</v>
      </c>
      <c r="L3528" s="608"/>
      <c r="M3528" s="608"/>
      <c r="N3528" s="608"/>
    </row>
    <row r="3531" spans="8:15">
      <c r="K3531" s="609" t="s">
        <v>2347</v>
      </c>
      <c r="L3531" s="610"/>
      <c r="M3531" s="610"/>
      <c r="N3531" s="610"/>
    </row>
    <row r="3535" spans="8:15">
      <c r="H3535" s="617" t="s">
        <v>0</v>
      </c>
      <c r="I3535" s="617"/>
      <c r="J3535" s="617"/>
      <c r="K3535" s="617"/>
      <c r="L3535" s="617"/>
      <c r="M3535" s="617"/>
      <c r="N3535" s="617"/>
      <c r="O3535" s="617"/>
    </row>
    <row r="3536" spans="8:15">
      <c r="H3536" s="474"/>
      <c r="I3536" s="474"/>
      <c r="J3536" s="474"/>
      <c r="K3536" s="474"/>
      <c r="L3536" s="474"/>
      <c r="M3536" s="474"/>
      <c r="N3536" s="474"/>
      <c r="O3536" s="474"/>
    </row>
    <row r="3538" spans="8:15" ht="49.5">
      <c r="H3538" s="642" t="s">
        <v>1</v>
      </c>
      <c r="I3538" s="642"/>
      <c r="J3538" s="642"/>
      <c r="K3538" s="642"/>
      <c r="L3538" s="642"/>
      <c r="M3538" s="642"/>
      <c r="N3538" s="642"/>
      <c r="O3538" s="642"/>
    </row>
    <row r="3540" spans="8:15" ht="17.25">
      <c r="H3540" s="375"/>
      <c r="I3540" s="375" t="s">
        <v>2042</v>
      </c>
    </row>
    <row r="3541" spans="8:15" ht="17.25" thickBot="1">
      <c r="H3541" s="30"/>
      <c r="N3541" s="141"/>
    </row>
    <row r="3542" spans="8:15">
      <c r="I3542" s="30"/>
      <c r="M3542" s="143"/>
      <c r="O3542" s="144"/>
    </row>
    <row r="3543" spans="8:15">
      <c r="M3543" s="647" t="s">
        <v>2416</v>
      </c>
      <c r="N3543" s="610"/>
      <c r="O3543" s="648"/>
    </row>
    <row r="3544" spans="8:15">
      <c r="H3544" s="12" t="s">
        <v>114</v>
      </c>
      <c r="K3544" s="30" t="s">
        <v>2</v>
      </c>
      <c r="M3544" s="605" t="s">
        <v>2417</v>
      </c>
      <c r="N3544" s="605"/>
      <c r="O3544" s="649"/>
    </row>
    <row r="3545" spans="8:15">
      <c r="M3545" s="601" t="s">
        <v>163</v>
      </c>
      <c r="N3545" s="602"/>
      <c r="O3545" s="603"/>
    </row>
    <row r="3546" spans="8:15" ht="17.25" thickBot="1">
      <c r="M3546" s="140"/>
      <c r="N3546" s="141"/>
      <c r="O3546" s="142"/>
    </row>
    <row r="3548" spans="8:15">
      <c r="H3548" s="30" t="s">
        <v>27</v>
      </c>
      <c r="I3548" s="30" t="s">
        <v>1908</v>
      </c>
    </row>
    <row r="3549" spans="8:15" ht="17.25" thickBot="1"/>
    <row r="3550" spans="8:15" ht="17.25" thickBot="1">
      <c r="H3550" s="13" t="s">
        <v>112</v>
      </c>
      <c r="I3550" s="624" t="s">
        <v>4</v>
      </c>
      <c r="J3550" s="625"/>
      <c r="K3550" s="625"/>
      <c r="L3550" s="625"/>
      <c r="M3550" s="625"/>
      <c r="N3550" s="626"/>
      <c r="O3550" s="20" t="s">
        <v>5</v>
      </c>
    </row>
    <row r="3551" spans="8:15">
      <c r="H3551" s="633" t="s">
        <v>2445</v>
      </c>
      <c r="I3551" s="143"/>
      <c r="J3551" s="159"/>
      <c r="K3551" s="159"/>
      <c r="L3551" s="159"/>
      <c r="M3551" s="159"/>
      <c r="N3551" s="144"/>
      <c r="O3551" s="291"/>
    </row>
    <row r="3552" spans="8:15">
      <c r="H3552" s="634"/>
      <c r="I3552" s="64"/>
      <c r="N3552" s="65"/>
      <c r="O3552" s="291"/>
    </row>
    <row r="3553" spans="8:15">
      <c r="H3553" s="634"/>
      <c r="I3553" s="630" t="s">
        <v>286</v>
      </c>
      <c r="J3553" s="631"/>
      <c r="K3553" s="631"/>
      <c r="L3553" s="631"/>
      <c r="M3553" s="631"/>
      <c r="N3553" s="632"/>
      <c r="O3553" s="291"/>
    </row>
    <row r="3554" spans="8:15">
      <c r="H3554" s="634"/>
      <c r="I3554" s="636" t="s">
        <v>2418</v>
      </c>
      <c r="J3554" s="637"/>
      <c r="K3554" s="637"/>
      <c r="L3554" s="637"/>
      <c r="M3554" s="637"/>
      <c r="N3554" s="638"/>
      <c r="O3554" s="148">
        <v>1121040</v>
      </c>
    </row>
    <row r="3555" spans="8:15">
      <c r="H3555" s="634"/>
      <c r="I3555" s="64"/>
      <c r="J3555" s="604"/>
      <c r="K3555" s="604"/>
      <c r="L3555" s="604"/>
      <c r="M3555" s="604"/>
      <c r="N3555" s="65"/>
      <c r="O3555" s="291"/>
    </row>
    <row r="3556" spans="8:15" ht="17.25" thickBot="1">
      <c r="H3556" s="635"/>
      <c r="I3556" s="140"/>
      <c r="J3556" s="141"/>
      <c r="K3556" s="141"/>
      <c r="L3556" s="141"/>
      <c r="M3556" s="141"/>
      <c r="N3556" s="142"/>
      <c r="O3556" s="291"/>
    </row>
    <row r="3557" spans="8:15" ht="17.25" thickBot="1">
      <c r="H3557" s="20" t="s">
        <v>12</v>
      </c>
      <c r="I3557" s="614" t="s">
        <v>13</v>
      </c>
      <c r="J3557" s="615"/>
      <c r="K3557" s="62" t="s">
        <v>14</v>
      </c>
      <c r="L3557" s="63"/>
      <c r="M3557" s="62" t="s">
        <v>15</v>
      </c>
      <c r="N3557" s="62" t="s">
        <v>16</v>
      </c>
      <c r="O3557" s="20" t="s">
        <v>17</v>
      </c>
    </row>
    <row r="3558" spans="8:15" ht="18" thickBot="1">
      <c r="H3558" s="22" t="s">
        <v>18</v>
      </c>
      <c r="I3558" s="606">
        <f>+O3554</f>
        <v>1121040</v>
      </c>
      <c r="J3558" s="607"/>
      <c r="K3558" s="23">
        <f>0</f>
        <v>0</v>
      </c>
      <c r="L3558" s="24"/>
      <c r="M3558" s="25">
        <f>0</f>
        <v>0</v>
      </c>
      <c r="N3558" s="36">
        <f>+I3558</f>
        <v>1121040</v>
      </c>
      <c r="O3558" s="38">
        <f>+O3554</f>
        <v>1121040</v>
      </c>
    </row>
    <row r="3559" spans="8:15" ht="18" thickBot="1">
      <c r="H3559" s="22" t="s">
        <v>113</v>
      </c>
      <c r="I3559" s="606">
        <f>+I3558/650.599</f>
        <v>1723.0890302628807</v>
      </c>
      <c r="J3559" s="607"/>
      <c r="K3559" s="23">
        <f>0</f>
        <v>0</v>
      </c>
      <c r="L3559" s="24"/>
      <c r="M3559" s="25">
        <f>0</f>
        <v>0</v>
      </c>
      <c r="N3559" s="36">
        <f>+I3559</f>
        <v>1723.0890302628807</v>
      </c>
      <c r="O3559" s="38">
        <f>+N3559</f>
        <v>1723.0890302628807</v>
      </c>
    </row>
    <row r="3561" spans="8:15">
      <c r="H3561" s="412" t="s">
        <v>1268</v>
      </c>
      <c r="I3561" s="26"/>
      <c r="J3561" s="26"/>
      <c r="K3561" s="26"/>
      <c r="L3561" s="26"/>
      <c r="M3561" s="26"/>
      <c r="N3561" s="26"/>
    </row>
    <row r="3562" spans="8:15">
      <c r="H3562" s="413" t="s">
        <v>2509</v>
      </c>
      <c r="I3562" s="26"/>
      <c r="J3562" s="26"/>
      <c r="K3562" s="26"/>
      <c r="L3562" s="26"/>
      <c r="M3562" s="26"/>
      <c r="N3562" s="26"/>
    </row>
    <row r="3563" spans="8:15">
      <c r="H3563" s="26" t="s">
        <v>19</v>
      </c>
      <c r="I3563" s="26"/>
      <c r="J3563" s="26"/>
      <c r="K3563" s="26"/>
      <c r="L3563" s="26"/>
      <c r="M3563" s="26"/>
      <c r="N3563" s="26"/>
    </row>
    <row r="3564" spans="8:15">
      <c r="H3564" s="26" t="s">
        <v>965</v>
      </c>
      <c r="I3564" s="26"/>
      <c r="J3564" s="26"/>
      <c r="K3564" s="26"/>
      <c r="L3564" s="26"/>
      <c r="M3564" s="26"/>
      <c r="N3564" s="26"/>
    </row>
    <row r="3565" spans="8:15">
      <c r="H3565" s="26" t="s">
        <v>21</v>
      </c>
      <c r="I3565" s="26"/>
      <c r="J3565" s="26"/>
      <c r="K3565" s="26"/>
      <c r="L3565" s="26"/>
      <c r="M3565" s="26"/>
      <c r="N3565" s="26"/>
    </row>
    <row r="3566" spans="8:15">
      <c r="H3566" s="26" t="s">
        <v>1229</v>
      </c>
      <c r="I3566" s="26"/>
      <c r="J3566" s="26"/>
      <c r="K3566" s="26"/>
      <c r="L3566" s="26"/>
      <c r="M3566" s="26"/>
      <c r="N3566" s="26"/>
    </row>
    <row r="3567" spans="8:15">
      <c r="H3567" s="26"/>
      <c r="I3567" s="26"/>
      <c r="J3567" s="26"/>
      <c r="K3567" s="26"/>
      <c r="L3567" s="26"/>
      <c r="M3567" s="26"/>
      <c r="N3567" s="26"/>
    </row>
    <row r="3568" spans="8:15">
      <c r="H3568" s="26"/>
      <c r="I3568" s="26"/>
      <c r="J3568" s="26"/>
      <c r="K3568" s="26"/>
      <c r="L3568" s="26"/>
      <c r="M3568" s="26"/>
      <c r="N3568" s="26"/>
    </row>
    <row r="3570" spans="8:15">
      <c r="K3570" s="30" t="s">
        <v>24</v>
      </c>
      <c r="M3570" s="30"/>
      <c r="N3570" s="30"/>
    </row>
    <row r="3571" spans="8:15">
      <c r="K3571" s="30" t="s">
        <v>149</v>
      </c>
      <c r="M3571" s="30"/>
      <c r="N3571" s="30"/>
    </row>
    <row r="3572" spans="8:15">
      <c r="K3572" s="605" t="s">
        <v>150</v>
      </c>
      <c r="L3572" s="605"/>
      <c r="M3572" s="605"/>
      <c r="N3572" s="605"/>
    </row>
    <row r="3575" spans="8:15">
      <c r="K3575" s="609" t="s">
        <v>2347</v>
      </c>
      <c r="L3575" s="610"/>
      <c r="M3575" s="610"/>
      <c r="N3575" s="610"/>
    </row>
    <row r="3580" spans="8:15">
      <c r="H3580" s="617" t="s">
        <v>2567</v>
      </c>
      <c r="I3580" s="617"/>
      <c r="J3580" s="617"/>
      <c r="K3580" s="617"/>
      <c r="L3580" s="617"/>
      <c r="M3580" s="617"/>
      <c r="N3580" s="617"/>
      <c r="O3580" s="617"/>
    </row>
    <row r="3581" spans="8:15">
      <c r="H3581" s="474"/>
      <c r="I3581" s="474"/>
      <c r="J3581" s="474"/>
      <c r="K3581" s="474"/>
      <c r="L3581" s="474"/>
      <c r="M3581" s="474"/>
      <c r="N3581" s="474"/>
      <c r="O3581" s="474"/>
    </row>
    <row r="3583" spans="8:15" ht="49.5">
      <c r="H3583" s="642" t="s">
        <v>1</v>
      </c>
      <c r="I3583" s="642"/>
      <c r="J3583" s="642"/>
      <c r="K3583" s="642"/>
      <c r="L3583" s="642"/>
      <c r="M3583" s="642"/>
      <c r="N3583" s="642"/>
      <c r="O3583" s="642"/>
    </row>
    <row r="3586" spans="8:15" ht="17.25">
      <c r="H3586" s="375"/>
      <c r="I3586" s="503" t="s">
        <v>1915</v>
      </c>
    </row>
    <row r="3587" spans="8:15" ht="17.25" thickBot="1">
      <c r="H3587" s="30"/>
      <c r="N3587" s="141"/>
    </row>
    <row r="3588" spans="8:15">
      <c r="I3588" s="30"/>
      <c r="M3588" s="143"/>
      <c r="O3588" s="144"/>
    </row>
    <row r="3589" spans="8:15">
      <c r="M3589" s="647" t="s">
        <v>1091</v>
      </c>
      <c r="N3589" s="610"/>
      <c r="O3589" s="648"/>
    </row>
    <row r="3590" spans="8:15">
      <c r="H3590" s="12" t="s">
        <v>114</v>
      </c>
      <c r="K3590" s="30"/>
      <c r="L3590" s="30" t="s">
        <v>2</v>
      </c>
      <c r="M3590" s="622" t="s">
        <v>1870</v>
      </c>
      <c r="N3590" s="622"/>
      <c r="O3590" s="623"/>
    </row>
    <row r="3591" spans="8:15">
      <c r="M3591" s="601" t="s">
        <v>163</v>
      </c>
      <c r="N3591" s="602"/>
      <c r="O3591" s="603"/>
    </row>
    <row r="3592" spans="8:15" ht="17.25" thickBot="1">
      <c r="M3592" s="140"/>
      <c r="N3592" s="141"/>
      <c r="O3592" s="142"/>
    </row>
    <row r="3594" spans="8:15">
      <c r="H3594" s="249" t="s">
        <v>27</v>
      </c>
      <c r="I3594" s="394" t="s">
        <v>148</v>
      </c>
    </row>
    <row r="3595" spans="8:15" ht="17.25" thickBot="1"/>
    <row r="3596" spans="8:15" ht="17.25" thickBot="1">
      <c r="H3596" s="13" t="s">
        <v>112</v>
      </c>
      <c r="I3596" s="624" t="s">
        <v>4</v>
      </c>
      <c r="J3596" s="625"/>
      <c r="K3596" s="625"/>
      <c r="L3596" s="625"/>
      <c r="M3596" s="625"/>
      <c r="N3596" s="626"/>
      <c r="O3596" s="20" t="s">
        <v>5</v>
      </c>
    </row>
    <row r="3597" spans="8:15">
      <c r="H3597" s="627" t="s">
        <v>2445</v>
      </c>
      <c r="I3597" s="143"/>
      <c r="J3597" s="159"/>
      <c r="K3597" s="159"/>
      <c r="L3597" s="159"/>
      <c r="M3597" s="159"/>
      <c r="N3597" s="144"/>
      <c r="O3597" s="291"/>
    </row>
    <row r="3598" spans="8:15">
      <c r="H3598" s="628"/>
      <c r="I3598" s="64"/>
      <c r="N3598" s="65"/>
      <c r="O3598" s="291"/>
    </row>
    <row r="3599" spans="8:15">
      <c r="H3599" s="628"/>
      <c r="I3599" s="630" t="s">
        <v>286</v>
      </c>
      <c r="J3599" s="631"/>
      <c r="K3599" s="631"/>
      <c r="L3599" s="631"/>
      <c r="M3599" s="631"/>
      <c r="N3599" s="632"/>
      <c r="O3599" s="291"/>
    </row>
    <row r="3600" spans="8:15">
      <c r="H3600" s="628"/>
      <c r="I3600" s="636" t="s">
        <v>2566</v>
      </c>
      <c r="J3600" s="637"/>
      <c r="K3600" s="637"/>
      <c r="L3600" s="637"/>
      <c r="M3600" s="637"/>
      <c r="N3600" s="638"/>
      <c r="O3600" s="148">
        <v>46252500</v>
      </c>
    </row>
    <row r="3601" spans="8:15">
      <c r="H3601" s="628"/>
      <c r="I3601" s="64"/>
      <c r="J3601" s="604"/>
      <c r="K3601" s="604"/>
      <c r="L3601" s="604"/>
      <c r="N3601" s="65"/>
      <c r="O3601" s="291"/>
    </row>
    <row r="3602" spans="8:15" ht="17.25" thickBot="1">
      <c r="H3602" s="629"/>
      <c r="I3602" s="140"/>
      <c r="J3602" s="141"/>
      <c r="K3602" s="141"/>
      <c r="L3602" s="141"/>
      <c r="M3602" s="141"/>
      <c r="N3602" s="142"/>
      <c r="O3602" s="291"/>
    </row>
    <row r="3603" spans="8:15" ht="17.25" thickBot="1">
      <c r="H3603" s="20" t="s">
        <v>12</v>
      </c>
      <c r="I3603" s="614" t="s">
        <v>13</v>
      </c>
      <c r="J3603" s="615"/>
      <c r="K3603" s="62" t="s">
        <v>14</v>
      </c>
      <c r="L3603" s="63"/>
      <c r="M3603" s="62" t="s">
        <v>15</v>
      </c>
      <c r="N3603" s="62" t="s">
        <v>16</v>
      </c>
      <c r="O3603" s="20" t="s">
        <v>17</v>
      </c>
    </row>
    <row r="3604" spans="8:15" ht="18" thickBot="1">
      <c r="H3604" s="22" t="s">
        <v>18</v>
      </c>
      <c r="I3604" s="606">
        <f>+O3600</f>
        <v>46252500</v>
      </c>
      <c r="J3604" s="607"/>
      <c r="K3604" s="23">
        <f>0</f>
        <v>0</v>
      </c>
      <c r="L3604" s="24"/>
      <c r="M3604" s="25">
        <f>0</f>
        <v>0</v>
      </c>
      <c r="N3604" s="36">
        <f>+I3604</f>
        <v>46252500</v>
      </c>
      <c r="O3604" s="38">
        <f>+O3600</f>
        <v>46252500</v>
      </c>
    </row>
    <row r="3605" spans="8:15" ht="18" thickBot="1">
      <c r="H3605" s="22" t="s">
        <v>113</v>
      </c>
      <c r="I3605" s="643">
        <f>+I3604/650.599</f>
        <v>71092.178131229826</v>
      </c>
      <c r="J3605" s="612"/>
      <c r="K3605" s="23">
        <f>0</f>
        <v>0</v>
      </c>
      <c r="L3605" s="24"/>
      <c r="M3605" s="25">
        <f>0</f>
        <v>0</v>
      </c>
      <c r="N3605" s="36">
        <f>+I3605</f>
        <v>71092.178131229826</v>
      </c>
      <c r="O3605" s="38">
        <f>+N3605</f>
        <v>71092.178131229826</v>
      </c>
    </row>
    <row r="3607" spans="8:15">
      <c r="H3607" s="395" t="s">
        <v>1584</v>
      </c>
      <c r="I3607" s="26"/>
      <c r="J3607" s="26"/>
      <c r="K3607" s="26"/>
      <c r="L3607" s="26"/>
      <c r="M3607" s="26"/>
      <c r="N3607" s="26"/>
    </row>
    <row r="3608" spans="8:15">
      <c r="H3608" s="408" t="s">
        <v>2449</v>
      </c>
      <c r="I3608" s="26"/>
      <c r="J3608" s="26"/>
      <c r="K3608" s="26"/>
      <c r="L3608" s="26"/>
      <c r="M3608" s="26"/>
      <c r="N3608" s="26"/>
    </row>
    <row r="3609" spans="8:15">
      <c r="H3609" s="26" t="s">
        <v>19</v>
      </c>
      <c r="I3609" s="26"/>
      <c r="J3609" s="26"/>
      <c r="K3609" s="26"/>
      <c r="L3609" s="26"/>
      <c r="M3609" s="26"/>
      <c r="N3609" s="26"/>
    </row>
    <row r="3610" spans="8:15">
      <c r="H3610" s="26" t="s">
        <v>965</v>
      </c>
      <c r="I3610" s="26"/>
      <c r="J3610" s="26"/>
      <c r="K3610" s="26"/>
      <c r="L3610" s="26"/>
      <c r="M3610" s="26"/>
      <c r="N3610" s="26"/>
    </row>
    <row r="3611" spans="8:15">
      <c r="H3611" s="26" t="s">
        <v>21</v>
      </c>
      <c r="I3611" s="26"/>
      <c r="J3611" s="26"/>
      <c r="K3611" s="26"/>
      <c r="L3611" s="26"/>
      <c r="M3611" s="26"/>
      <c r="N3611" s="26"/>
    </row>
    <row r="3612" spans="8:15">
      <c r="H3612" s="26" t="s">
        <v>1229</v>
      </c>
      <c r="I3612" s="26"/>
      <c r="J3612" s="26"/>
      <c r="K3612" s="26"/>
      <c r="L3612" s="26"/>
      <c r="M3612" s="26"/>
      <c r="N3612" s="26"/>
    </row>
    <row r="3613" spans="8:15">
      <c r="H3613" s="26"/>
      <c r="I3613" s="26"/>
      <c r="J3613" s="26"/>
      <c r="K3613" s="26"/>
      <c r="L3613" s="26"/>
      <c r="M3613" s="26"/>
      <c r="N3613" s="26"/>
    </row>
    <row r="3614" spans="8:15">
      <c r="H3614" s="26"/>
      <c r="I3614" s="26"/>
      <c r="J3614" s="26"/>
      <c r="K3614" s="26"/>
      <c r="L3614" s="26"/>
      <c r="M3614" s="26"/>
      <c r="N3614" s="26"/>
    </row>
    <row r="3616" spans="8:15">
      <c r="K3616" s="604" t="s">
        <v>24</v>
      </c>
      <c r="L3616" s="604"/>
      <c r="M3616" s="604"/>
      <c r="N3616" s="604"/>
    </row>
    <row r="3617" spans="8:15">
      <c r="K3617" s="604" t="s">
        <v>149</v>
      </c>
      <c r="L3617" s="604"/>
      <c r="M3617" s="604"/>
      <c r="N3617" s="604"/>
    </row>
    <row r="3618" spans="8:15">
      <c r="K3618" s="605" t="s">
        <v>150</v>
      </c>
      <c r="L3618" s="605"/>
      <c r="M3618" s="605"/>
      <c r="N3618" s="605"/>
    </row>
    <row r="3619" spans="8:15">
      <c r="K3619" s="30"/>
    </row>
    <row r="3620" spans="8:15">
      <c r="L3620" s="26"/>
      <c r="M3620" s="26"/>
      <c r="N3620" s="26"/>
    </row>
    <row r="3621" spans="8:15">
      <c r="K3621" s="616" t="s">
        <v>2347</v>
      </c>
      <c r="L3621" s="616"/>
      <c r="M3621" s="616"/>
      <c r="N3621" s="616"/>
    </row>
    <row r="3623" spans="8:15">
      <c r="H3623" s="617" t="s">
        <v>0</v>
      </c>
      <c r="I3623" s="617"/>
      <c r="J3623" s="617"/>
      <c r="K3623" s="617"/>
      <c r="L3623" s="617"/>
      <c r="M3623" s="617"/>
      <c r="N3623" s="617"/>
      <c r="O3623" s="617"/>
    </row>
    <row r="3626" spans="8:15" ht="49.5">
      <c r="H3626" s="642" t="s">
        <v>1</v>
      </c>
      <c r="I3626" s="642"/>
      <c r="J3626" s="642"/>
      <c r="K3626" s="642"/>
      <c r="L3626" s="642"/>
      <c r="M3626" s="642"/>
      <c r="N3626" s="642"/>
      <c r="O3626" s="642"/>
    </row>
    <row r="3629" spans="8:15" ht="17.25">
      <c r="H3629" s="375"/>
      <c r="I3629" s="503" t="s">
        <v>1879</v>
      </c>
    </row>
    <row r="3630" spans="8:15" ht="17.25" thickBot="1">
      <c r="H3630" s="30"/>
      <c r="N3630" s="141"/>
    </row>
    <row r="3631" spans="8:15">
      <c r="I3631" s="30"/>
      <c r="M3631" s="143"/>
      <c r="O3631" s="144"/>
    </row>
    <row r="3632" spans="8:15">
      <c r="M3632" s="647" t="s">
        <v>2482</v>
      </c>
      <c r="N3632" s="610"/>
      <c r="O3632" s="648"/>
    </row>
    <row r="3633" spans="8:15">
      <c r="H3633" s="12" t="s">
        <v>114</v>
      </c>
      <c r="K3633" s="30"/>
      <c r="L3633" s="30" t="s">
        <v>2</v>
      </c>
      <c r="M3633" s="622" t="s">
        <v>2483</v>
      </c>
      <c r="N3633" s="622"/>
      <c r="O3633" s="623"/>
    </row>
    <row r="3634" spans="8:15">
      <c r="M3634" s="601" t="s">
        <v>163</v>
      </c>
      <c r="N3634" s="602"/>
      <c r="O3634" s="603"/>
    </row>
    <row r="3635" spans="8:15" ht="17.25" thickBot="1">
      <c r="M3635" s="140"/>
      <c r="N3635" s="141"/>
      <c r="O3635" s="142"/>
    </row>
    <row r="3637" spans="8:15">
      <c r="H3637" s="249" t="s">
        <v>27</v>
      </c>
      <c r="I3637" s="394" t="s">
        <v>148</v>
      </c>
    </row>
    <row r="3638" spans="8:15" ht="17.25" thickBot="1"/>
    <row r="3639" spans="8:15" ht="17.25" thickBot="1">
      <c r="H3639" s="13" t="s">
        <v>112</v>
      </c>
      <c r="I3639" s="624" t="s">
        <v>4</v>
      </c>
      <c r="J3639" s="625"/>
      <c r="K3639" s="625"/>
      <c r="L3639" s="625"/>
      <c r="M3639" s="625"/>
      <c r="N3639" s="626"/>
      <c r="O3639" s="20" t="s">
        <v>5</v>
      </c>
    </row>
    <row r="3640" spans="8:15">
      <c r="H3640" s="627" t="s">
        <v>2445</v>
      </c>
      <c r="I3640" s="143"/>
      <c r="J3640" s="159"/>
      <c r="K3640" s="159"/>
      <c r="L3640" s="159"/>
      <c r="M3640" s="159"/>
      <c r="N3640" s="144"/>
      <c r="O3640" s="291"/>
    </row>
    <row r="3641" spans="8:15">
      <c r="H3641" s="628"/>
      <c r="I3641" s="64"/>
      <c r="N3641" s="65"/>
      <c r="O3641" s="291"/>
    </row>
    <row r="3642" spans="8:15">
      <c r="H3642" s="628"/>
      <c r="I3642" s="630" t="s">
        <v>286</v>
      </c>
      <c r="J3642" s="631"/>
      <c r="K3642" s="631"/>
      <c r="L3642" s="631"/>
      <c r="M3642" s="631"/>
      <c r="N3642" s="632"/>
      <c r="O3642" s="291"/>
    </row>
    <row r="3643" spans="8:15">
      <c r="H3643" s="628"/>
      <c r="I3643" s="636" t="s">
        <v>2484</v>
      </c>
      <c r="J3643" s="637"/>
      <c r="K3643" s="637"/>
      <c r="L3643" s="637"/>
      <c r="M3643" s="637"/>
      <c r="N3643" s="638"/>
      <c r="O3643" s="148">
        <v>1500000</v>
      </c>
    </row>
    <row r="3644" spans="8:15">
      <c r="H3644" s="628"/>
      <c r="I3644" s="64"/>
      <c r="J3644" s="604"/>
      <c r="K3644" s="604"/>
      <c r="L3644" s="604"/>
      <c r="N3644" s="65"/>
      <c r="O3644" s="291"/>
    </row>
    <row r="3645" spans="8:15" ht="17.25" thickBot="1">
      <c r="H3645" s="629"/>
      <c r="I3645" s="140"/>
      <c r="J3645" s="141"/>
      <c r="K3645" s="141"/>
      <c r="L3645" s="141"/>
      <c r="M3645" s="141"/>
      <c r="N3645" s="142"/>
      <c r="O3645" s="291"/>
    </row>
    <row r="3646" spans="8:15" ht="17.25" thickBot="1">
      <c r="H3646" s="20" t="s">
        <v>12</v>
      </c>
      <c r="I3646" s="614" t="s">
        <v>13</v>
      </c>
      <c r="J3646" s="615"/>
      <c r="K3646" s="62" t="s">
        <v>14</v>
      </c>
      <c r="L3646" s="63"/>
      <c r="M3646" s="62" t="s">
        <v>15</v>
      </c>
      <c r="N3646" s="62" t="s">
        <v>16</v>
      </c>
      <c r="O3646" s="20" t="s">
        <v>17</v>
      </c>
    </row>
    <row r="3647" spans="8:15" ht="18" thickBot="1">
      <c r="H3647" s="22" t="s">
        <v>18</v>
      </c>
      <c r="I3647" s="606">
        <f>+O3643</f>
        <v>1500000</v>
      </c>
      <c r="J3647" s="607"/>
      <c r="K3647" s="23">
        <f>0</f>
        <v>0</v>
      </c>
      <c r="L3647" s="24"/>
      <c r="M3647" s="25">
        <f>0</f>
        <v>0</v>
      </c>
      <c r="N3647" s="36">
        <f>+I3647</f>
        <v>1500000</v>
      </c>
      <c r="O3647" s="38">
        <f>+O3643</f>
        <v>1500000</v>
      </c>
    </row>
    <row r="3648" spans="8:15" ht="18" thickBot="1">
      <c r="H3648" s="22" t="s">
        <v>113</v>
      </c>
      <c r="I3648" s="643">
        <f>+I3647/650.599</f>
        <v>2305.5676384378089</v>
      </c>
      <c r="J3648" s="612"/>
      <c r="K3648" s="23">
        <f>0</f>
        <v>0</v>
      </c>
      <c r="L3648" s="24"/>
      <c r="M3648" s="25">
        <f>0</f>
        <v>0</v>
      </c>
      <c r="N3648" s="36">
        <f>+I3648</f>
        <v>2305.5676384378089</v>
      </c>
      <c r="O3648" s="38">
        <f>+N3648</f>
        <v>2305.5676384378089</v>
      </c>
    </row>
    <row r="3650" spans="8:14">
      <c r="H3650" s="395" t="s">
        <v>1584</v>
      </c>
      <c r="I3650" s="26"/>
      <c r="J3650" s="26"/>
      <c r="K3650" s="26"/>
      <c r="L3650" s="26"/>
      <c r="M3650" s="26"/>
      <c r="N3650" s="26"/>
    </row>
    <row r="3651" spans="8:14">
      <c r="H3651" s="408" t="s">
        <v>2485</v>
      </c>
      <c r="I3651" s="26"/>
      <c r="J3651" s="26"/>
      <c r="K3651" s="26"/>
      <c r="L3651" s="26"/>
      <c r="M3651" s="26"/>
      <c r="N3651" s="26"/>
    </row>
    <row r="3652" spans="8:14">
      <c r="H3652" s="26" t="s">
        <v>19</v>
      </c>
      <c r="I3652" s="26"/>
      <c r="J3652" s="26"/>
      <c r="K3652" s="26"/>
      <c r="L3652" s="26"/>
      <c r="M3652" s="26"/>
      <c r="N3652" s="26"/>
    </row>
    <row r="3653" spans="8:14">
      <c r="H3653" s="26" t="s">
        <v>965</v>
      </c>
      <c r="I3653" s="26"/>
      <c r="J3653" s="26"/>
      <c r="K3653" s="26"/>
      <c r="L3653" s="26"/>
      <c r="M3653" s="26"/>
      <c r="N3653" s="26"/>
    </row>
    <row r="3654" spans="8:14">
      <c r="H3654" s="26" t="s">
        <v>21</v>
      </c>
      <c r="I3654" s="26"/>
      <c r="J3654" s="26"/>
      <c r="K3654" s="26"/>
      <c r="L3654" s="26"/>
      <c r="M3654" s="26"/>
      <c r="N3654" s="26"/>
    </row>
    <row r="3655" spans="8:14">
      <c r="H3655" s="26" t="s">
        <v>1229</v>
      </c>
      <c r="I3655" s="26"/>
      <c r="J3655" s="26"/>
      <c r="K3655" s="26"/>
      <c r="L3655" s="26"/>
      <c r="M3655" s="26"/>
      <c r="N3655" s="26"/>
    </row>
    <row r="3656" spans="8:14">
      <c r="H3656" s="26"/>
      <c r="I3656" s="26"/>
      <c r="J3656" s="26"/>
      <c r="K3656" s="26"/>
      <c r="L3656" s="26"/>
      <c r="M3656" s="26"/>
      <c r="N3656" s="26"/>
    </row>
    <row r="3657" spans="8:14">
      <c r="H3657" s="26"/>
      <c r="I3657" s="26"/>
      <c r="J3657" s="26"/>
      <c r="K3657" s="26"/>
      <c r="L3657" s="26"/>
      <c r="M3657" s="26"/>
      <c r="N3657" s="26"/>
    </row>
    <row r="3659" spans="8:14">
      <c r="K3659" s="604" t="s">
        <v>24</v>
      </c>
      <c r="L3659" s="604"/>
      <c r="M3659" s="604"/>
      <c r="N3659" s="604"/>
    </row>
    <row r="3660" spans="8:14">
      <c r="K3660" s="604" t="s">
        <v>149</v>
      </c>
      <c r="L3660" s="604"/>
      <c r="M3660" s="604"/>
      <c r="N3660" s="604"/>
    </row>
    <row r="3661" spans="8:14">
      <c r="K3661" s="605" t="s">
        <v>150</v>
      </c>
      <c r="L3661" s="605"/>
      <c r="M3661" s="605"/>
      <c r="N3661" s="605"/>
    </row>
    <row r="3662" spans="8:14">
      <c r="K3662" s="30"/>
    </row>
    <row r="3663" spans="8:14">
      <c r="L3663" s="26"/>
      <c r="M3663" s="26"/>
      <c r="N3663" s="26"/>
    </row>
    <row r="3664" spans="8:14">
      <c r="K3664" s="616" t="s">
        <v>2347</v>
      </c>
      <c r="L3664" s="616"/>
      <c r="M3664" s="616"/>
      <c r="N3664" s="616"/>
    </row>
    <row r="3669" spans="8:15">
      <c r="H3669" s="617" t="s">
        <v>2534</v>
      </c>
      <c r="I3669" s="617"/>
      <c r="J3669" s="617"/>
      <c r="K3669" s="617"/>
      <c r="L3669" s="617"/>
      <c r="M3669" s="617"/>
      <c r="N3669" s="617"/>
      <c r="O3669" s="617"/>
    </row>
    <row r="3672" spans="8:15" ht="49.5">
      <c r="H3672" s="642" t="s">
        <v>1</v>
      </c>
      <c r="I3672" s="642"/>
      <c r="J3672" s="642"/>
      <c r="K3672" s="642"/>
      <c r="L3672" s="642"/>
      <c r="M3672" s="642"/>
      <c r="N3672" s="642"/>
      <c r="O3672" s="642"/>
    </row>
    <row r="3675" spans="8:15" ht="17.25">
      <c r="H3675" s="375"/>
      <c r="I3675" s="503" t="s">
        <v>1397</v>
      </c>
    </row>
    <row r="3676" spans="8:15" ht="17.25" thickBot="1">
      <c r="H3676" s="30"/>
      <c r="N3676" s="141"/>
    </row>
    <row r="3677" spans="8:15">
      <c r="I3677" s="30"/>
      <c r="M3677" s="143"/>
      <c r="O3677" s="144"/>
    </row>
    <row r="3678" spans="8:15">
      <c r="M3678" s="647" t="s">
        <v>555</v>
      </c>
      <c r="N3678" s="610"/>
      <c r="O3678" s="648"/>
    </row>
    <row r="3679" spans="8:15">
      <c r="H3679" s="12" t="s">
        <v>114</v>
      </c>
      <c r="K3679" s="30"/>
      <c r="L3679" s="30" t="s">
        <v>2</v>
      </c>
      <c r="M3679" s="605" t="s">
        <v>1882</v>
      </c>
      <c r="N3679" s="605"/>
      <c r="O3679" s="649"/>
    </row>
    <row r="3680" spans="8:15">
      <c r="M3680" s="601" t="s">
        <v>163</v>
      </c>
      <c r="N3680" s="602"/>
      <c r="O3680" s="603"/>
    </row>
    <row r="3681" spans="8:15" ht="17.25" thickBot="1">
      <c r="M3681" s="140"/>
      <c r="N3681" s="141"/>
      <c r="O3681" s="142"/>
    </row>
    <row r="3683" spans="8:15">
      <c r="H3683" s="249" t="s">
        <v>27</v>
      </c>
      <c r="I3683" s="394" t="s">
        <v>115</v>
      </c>
    </row>
    <row r="3684" spans="8:15" ht="17.25" thickBot="1"/>
    <row r="3685" spans="8:15" ht="17.25" thickBot="1">
      <c r="H3685" s="13" t="s">
        <v>112</v>
      </c>
      <c r="I3685" s="624" t="s">
        <v>4</v>
      </c>
      <c r="J3685" s="625"/>
      <c r="K3685" s="625"/>
      <c r="L3685" s="625"/>
      <c r="M3685" s="625"/>
      <c r="N3685" s="626"/>
      <c r="O3685" s="20" t="s">
        <v>5</v>
      </c>
    </row>
    <row r="3686" spans="8:15">
      <c r="H3686" s="633" t="s">
        <v>2445</v>
      </c>
      <c r="I3686" s="143"/>
      <c r="J3686" s="159"/>
      <c r="K3686" s="159"/>
      <c r="L3686" s="159"/>
      <c r="M3686" s="159"/>
      <c r="N3686" s="144"/>
      <c r="O3686" s="291"/>
    </row>
    <row r="3687" spans="8:15">
      <c r="H3687" s="634"/>
      <c r="I3687" s="64"/>
      <c r="N3687" s="65"/>
      <c r="O3687" s="291"/>
    </row>
    <row r="3688" spans="8:15">
      <c r="H3688" s="634"/>
      <c r="I3688" s="630" t="s">
        <v>286</v>
      </c>
      <c r="J3688" s="631"/>
      <c r="K3688" s="631"/>
      <c r="L3688" s="631"/>
      <c r="M3688" s="631"/>
      <c r="N3688" s="632"/>
      <c r="O3688" s="291"/>
    </row>
    <row r="3689" spans="8:15">
      <c r="H3689" s="634"/>
      <c r="I3689" s="636" t="s">
        <v>2536</v>
      </c>
      <c r="J3689" s="637"/>
      <c r="K3689" s="637"/>
      <c r="L3689" s="637"/>
      <c r="M3689" s="637"/>
      <c r="N3689" s="638"/>
      <c r="O3689" s="148">
        <v>2400000</v>
      </c>
    </row>
    <row r="3690" spans="8:15">
      <c r="H3690" s="634"/>
      <c r="I3690" s="64"/>
      <c r="J3690" s="604"/>
      <c r="K3690" s="604"/>
      <c r="L3690" s="604"/>
      <c r="N3690" s="65"/>
      <c r="O3690" s="291"/>
    </row>
    <row r="3691" spans="8:15" ht="17.25" thickBot="1">
      <c r="H3691" s="635"/>
      <c r="I3691" s="140"/>
      <c r="J3691" s="141"/>
      <c r="K3691" s="141"/>
      <c r="L3691" s="141"/>
      <c r="M3691" s="141"/>
      <c r="N3691" s="142"/>
      <c r="O3691" s="291"/>
    </row>
    <row r="3692" spans="8:15" ht="17.25" thickBot="1">
      <c r="H3692" s="20" t="s">
        <v>12</v>
      </c>
      <c r="I3692" s="614" t="s">
        <v>13</v>
      </c>
      <c r="J3692" s="615"/>
      <c r="K3692" s="62" t="s">
        <v>14</v>
      </c>
      <c r="L3692" s="63"/>
      <c r="M3692" s="62" t="s">
        <v>15</v>
      </c>
      <c r="N3692" s="62" t="s">
        <v>16</v>
      </c>
      <c r="O3692" s="20" t="s">
        <v>17</v>
      </c>
    </row>
    <row r="3693" spans="8:15" ht="18" thickBot="1">
      <c r="H3693" s="22" t="s">
        <v>18</v>
      </c>
      <c r="I3693" s="606">
        <f>+O3689</f>
        <v>2400000</v>
      </c>
      <c r="J3693" s="607"/>
      <c r="K3693" s="23">
        <f>0</f>
        <v>0</v>
      </c>
      <c r="L3693" s="24"/>
      <c r="M3693" s="25">
        <f>0</f>
        <v>0</v>
      </c>
      <c r="N3693" s="36">
        <f>+I3693</f>
        <v>2400000</v>
      </c>
      <c r="O3693" s="38">
        <f>+O3689</f>
        <v>2400000</v>
      </c>
    </row>
    <row r="3694" spans="8:15" ht="18" thickBot="1">
      <c r="H3694" s="22" t="s">
        <v>113</v>
      </c>
      <c r="I3694" s="643">
        <f>+I3693/650.599</f>
        <v>3688.9082215004937</v>
      </c>
      <c r="J3694" s="612"/>
      <c r="K3694" s="23">
        <f>0</f>
        <v>0</v>
      </c>
      <c r="L3694" s="24"/>
      <c r="M3694" s="25">
        <f>0</f>
        <v>0</v>
      </c>
      <c r="N3694" s="36">
        <f>+I3694</f>
        <v>3688.9082215004937</v>
      </c>
      <c r="O3694" s="38">
        <f>+N3694</f>
        <v>3688.9082215004937</v>
      </c>
    </row>
    <row r="3696" spans="8:15">
      <c r="H3696" s="395" t="s">
        <v>1584</v>
      </c>
      <c r="I3696" s="26"/>
      <c r="J3696" s="26"/>
      <c r="K3696" s="26"/>
      <c r="L3696" s="26"/>
      <c r="M3696" s="26"/>
      <c r="N3696" s="26"/>
    </row>
    <row r="3697" spans="8:14">
      <c r="H3697" s="408" t="s">
        <v>2473</v>
      </c>
      <c r="I3697" s="26"/>
      <c r="J3697" s="26"/>
      <c r="K3697" s="26"/>
      <c r="L3697" s="26"/>
      <c r="M3697" s="26"/>
      <c r="N3697" s="26"/>
    </row>
    <row r="3698" spans="8:14">
      <c r="H3698" s="26" t="s">
        <v>19</v>
      </c>
      <c r="I3698" s="26"/>
      <c r="J3698" s="26"/>
      <c r="K3698" s="26"/>
      <c r="L3698" s="26"/>
      <c r="M3698" s="26"/>
      <c r="N3698" s="26"/>
    </row>
    <row r="3699" spans="8:14">
      <c r="H3699" s="26" t="s">
        <v>965</v>
      </c>
      <c r="I3699" s="26"/>
      <c r="J3699" s="26"/>
      <c r="K3699" s="26"/>
      <c r="L3699" s="26"/>
      <c r="M3699" s="26"/>
      <c r="N3699" s="26"/>
    </row>
    <row r="3700" spans="8:14">
      <c r="H3700" s="26" t="s">
        <v>21</v>
      </c>
      <c r="I3700" s="26"/>
      <c r="J3700" s="26"/>
      <c r="K3700" s="26"/>
      <c r="L3700" s="26"/>
      <c r="M3700" s="26"/>
      <c r="N3700" s="26"/>
    </row>
    <row r="3701" spans="8:14">
      <c r="H3701" s="26" t="s">
        <v>1229</v>
      </c>
      <c r="I3701" s="26"/>
      <c r="J3701" s="26"/>
      <c r="K3701" s="26"/>
      <c r="L3701" s="26"/>
      <c r="M3701" s="26"/>
      <c r="N3701" s="26"/>
    </row>
    <row r="3702" spans="8:14">
      <c r="H3702" s="26"/>
      <c r="I3702" s="26"/>
      <c r="J3702" s="26"/>
      <c r="K3702" s="26"/>
      <c r="L3702" s="26"/>
      <c r="M3702" s="26"/>
      <c r="N3702" s="26"/>
    </row>
    <row r="3704" spans="8:14">
      <c r="K3704" s="604" t="s">
        <v>24</v>
      </c>
      <c r="L3704" s="604"/>
      <c r="M3704" s="604"/>
      <c r="N3704" s="604"/>
    </row>
    <row r="3705" spans="8:14">
      <c r="K3705" s="604" t="s">
        <v>149</v>
      </c>
      <c r="L3705" s="604"/>
      <c r="M3705" s="604"/>
      <c r="N3705" s="604"/>
    </row>
    <row r="3706" spans="8:14">
      <c r="K3706" s="605" t="s">
        <v>150</v>
      </c>
      <c r="L3706" s="605"/>
      <c r="M3706" s="605"/>
      <c r="N3706" s="605"/>
    </row>
    <row r="3707" spans="8:14">
      <c r="K3707" s="30"/>
    </row>
    <row r="3708" spans="8:14" ht="17.25">
      <c r="K3708" s="645"/>
      <c r="L3708" s="645"/>
      <c r="M3708" s="645"/>
      <c r="N3708" s="645"/>
    </row>
    <row r="3709" spans="8:14" ht="17.25">
      <c r="K3709" s="645"/>
      <c r="L3709" s="645"/>
      <c r="M3709" s="645"/>
      <c r="N3709" s="645"/>
    </row>
    <row r="3710" spans="8:14" ht="17.25">
      <c r="K3710" s="645" t="s">
        <v>2347</v>
      </c>
      <c r="L3710" s="645"/>
      <c r="M3710" s="645"/>
      <c r="N3710" s="645"/>
    </row>
  </sheetData>
  <mergeCells count="1544">
    <mergeCell ref="M3333:O3333"/>
    <mergeCell ref="M3334:O3334"/>
    <mergeCell ref="M3335:O3335"/>
    <mergeCell ref="I3340:N3340"/>
    <mergeCell ref="H3341:H3346"/>
    <mergeCell ref="I3343:N3343"/>
    <mergeCell ref="I3344:N3344"/>
    <mergeCell ref="J3345:L3345"/>
    <mergeCell ref="I3347:J3347"/>
    <mergeCell ref="I3348:J3348"/>
    <mergeCell ref="I3349:J3349"/>
    <mergeCell ref="K3359:N3359"/>
    <mergeCell ref="M3543:O3543"/>
    <mergeCell ref="M3544:O3544"/>
    <mergeCell ref="M3545:O3545"/>
    <mergeCell ref="I3550:N3550"/>
    <mergeCell ref="H3551:H3556"/>
    <mergeCell ref="K3449:N3449"/>
    <mergeCell ref="K3450:N3450"/>
    <mergeCell ref="H3453:O3453"/>
    <mergeCell ref="H3456:O3456"/>
    <mergeCell ref="M3461:O3461"/>
    <mergeCell ref="M3462:O3462"/>
    <mergeCell ref="M3463:O3463"/>
    <mergeCell ref="I3468:N3468"/>
    <mergeCell ref="H3469:H3474"/>
    <mergeCell ref="I3471:N3471"/>
    <mergeCell ref="I3472:N3472"/>
    <mergeCell ref="J3473:L3473"/>
    <mergeCell ref="I3475:J3475"/>
    <mergeCell ref="I3476:J3476"/>
    <mergeCell ref="K3531:N3531"/>
    <mergeCell ref="K3278:N3278"/>
    <mergeCell ref="I3280:O3280"/>
    <mergeCell ref="J3283:M3283"/>
    <mergeCell ref="M3289:O3289"/>
    <mergeCell ref="M3290:O3290"/>
    <mergeCell ref="M3291:O3291"/>
    <mergeCell ref="I3296:N3296"/>
    <mergeCell ref="H3297:H3301"/>
    <mergeCell ref="J3301:L3301"/>
    <mergeCell ref="I3302:J3302"/>
    <mergeCell ref="I3303:J3303"/>
    <mergeCell ref="I3304:J3304"/>
    <mergeCell ref="H3538:O3538"/>
    <mergeCell ref="K3317:N3317"/>
    <mergeCell ref="K3320:N3320"/>
    <mergeCell ref="K3323:N3323"/>
    <mergeCell ref="I3368:O3368"/>
    <mergeCell ref="H3371:O3371"/>
    <mergeCell ref="M3376:O3376"/>
    <mergeCell ref="M3377:O3377"/>
    <mergeCell ref="M3378:O3378"/>
    <mergeCell ref="I3384:N3384"/>
    <mergeCell ref="H3385:H3390"/>
    <mergeCell ref="I3386:N3386"/>
    <mergeCell ref="I3387:N3387"/>
    <mergeCell ref="I3388:N3388"/>
    <mergeCell ref="I3391:J3391"/>
    <mergeCell ref="I3392:J3392"/>
    <mergeCell ref="I3393:J3393"/>
    <mergeCell ref="K3402:N3402"/>
    <mergeCell ref="I3324:O3324"/>
    <mergeCell ref="H3327:O3327"/>
    <mergeCell ref="J3240:M3240"/>
    <mergeCell ref="M3246:O3246"/>
    <mergeCell ref="M3247:O3247"/>
    <mergeCell ref="M3248:O3248"/>
    <mergeCell ref="M3249:O3249"/>
    <mergeCell ref="I3253:N3253"/>
    <mergeCell ref="I3217:J3217"/>
    <mergeCell ref="I3218:J3218"/>
    <mergeCell ref="I3219:J3219"/>
    <mergeCell ref="K3235:N3235"/>
    <mergeCell ref="K3236:N3236"/>
    <mergeCell ref="I3237:O3237"/>
    <mergeCell ref="H3254:H3259"/>
    <mergeCell ref="J3258:L3258"/>
    <mergeCell ref="I3260:J3260"/>
    <mergeCell ref="I3261:J3261"/>
    <mergeCell ref="I3262:J3262"/>
    <mergeCell ref="I3047:J3047"/>
    <mergeCell ref="K3062:N3062"/>
    <mergeCell ref="K3063:N3063"/>
    <mergeCell ref="I3067:O3067"/>
    <mergeCell ref="H3070:O3070"/>
    <mergeCell ref="M3076:O3076"/>
    <mergeCell ref="M3077:O3077"/>
    <mergeCell ref="I3131:J3131"/>
    <mergeCell ref="I3132:J3132"/>
    <mergeCell ref="I3133:J3133"/>
    <mergeCell ref="K3147:N3147"/>
    <mergeCell ref="K3151:N3151"/>
    <mergeCell ref="I3152:O3152"/>
    <mergeCell ref="H3040:H3044"/>
    <mergeCell ref="I3045:J3045"/>
    <mergeCell ref="I3046:J3046"/>
    <mergeCell ref="M3078:O3078"/>
    <mergeCell ref="I3083:N3083"/>
    <mergeCell ref="H3084:H3089"/>
    <mergeCell ref="J3088:L3088"/>
    <mergeCell ref="I3090:J3090"/>
    <mergeCell ref="I3091:J3091"/>
    <mergeCell ref="I3092:J3092"/>
    <mergeCell ref="K3107:N3107"/>
    <mergeCell ref="I3108:O3108"/>
    <mergeCell ref="H3111:O3111"/>
    <mergeCell ref="M3117:O3117"/>
    <mergeCell ref="M3118:O3118"/>
    <mergeCell ref="M3119:O3119"/>
    <mergeCell ref="I3124:N3124"/>
    <mergeCell ref="H3125:H3130"/>
    <mergeCell ref="I3127:N3127"/>
    <mergeCell ref="H2895:O2895"/>
    <mergeCell ref="H2898:O2898"/>
    <mergeCell ref="M2904:O2904"/>
    <mergeCell ref="M2905:O2905"/>
    <mergeCell ref="M2906:O2906"/>
    <mergeCell ref="I2911:N2911"/>
    <mergeCell ref="H2912:H2917"/>
    <mergeCell ref="I2914:N2914"/>
    <mergeCell ref="I2915:N2915"/>
    <mergeCell ref="I2960:J2960"/>
    <mergeCell ref="I2961:J2961"/>
    <mergeCell ref="I2962:J2962"/>
    <mergeCell ref="K2973:N2973"/>
    <mergeCell ref="K2974:N2974"/>
    <mergeCell ref="K2975:N2975"/>
    <mergeCell ref="K2979:N2979"/>
    <mergeCell ref="H2981:O2981"/>
    <mergeCell ref="J2916:L2916"/>
    <mergeCell ref="I2918:J2918"/>
    <mergeCell ref="I2919:J2919"/>
    <mergeCell ref="I2920:J2920"/>
    <mergeCell ref="K2930:N2930"/>
    <mergeCell ref="K2931:N2931"/>
    <mergeCell ref="K2932:N2932"/>
    <mergeCell ref="K2935:N2935"/>
    <mergeCell ref="H2938:O2938"/>
    <mergeCell ref="H2941:O2941"/>
    <mergeCell ref="M2947:O2947"/>
    <mergeCell ref="M2948:O2948"/>
    <mergeCell ref="M2949:O2949"/>
    <mergeCell ref="I2954:N2954"/>
    <mergeCell ref="H2955:H2959"/>
    <mergeCell ref="M2861:O2861"/>
    <mergeCell ref="M2862:O2862"/>
    <mergeCell ref="M2863:O2863"/>
    <mergeCell ref="I2868:N2868"/>
    <mergeCell ref="H2869:H2874"/>
    <mergeCell ref="I2871:N2871"/>
    <mergeCell ref="I2872:N2872"/>
    <mergeCell ref="J2873:L2873"/>
    <mergeCell ref="I2875:J2875"/>
    <mergeCell ref="I2876:J2876"/>
    <mergeCell ref="I2877:J2877"/>
    <mergeCell ref="K2887:N2887"/>
    <mergeCell ref="K2888:N2888"/>
    <mergeCell ref="K2889:N2889"/>
    <mergeCell ref="K2893:N2893"/>
    <mergeCell ref="H2852:O2852"/>
    <mergeCell ref="H2855:O2855"/>
    <mergeCell ref="K2722:N2722"/>
    <mergeCell ref="H2724:O2724"/>
    <mergeCell ref="H2727:O2727"/>
    <mergeCell ref="M2733:O2733"/>
    <mergeCell ref="M2734:O2734"/>
    <mergeCell ref="M2735:O2735"/>
    <mergeCell ref="I2740:N2740"/>
    <mergeCell ref="H2741:H2746"/>
    <mergeCell ref="I2743:N2743"/>
    <mergeCell ref="I2744:N2744"/>
    <mergeCell ref="J2745:L2745"/>
    <mergeCell ref="I2747:J2747"/>
    <mergeCell ref="K2765:N2765"/>
    <mergeCell ref="K2802:N2802"/>
    <mergeCell ref="K2803:N2803"/>
    <mergeCell ref="K2804:N2804"/>
    <mergeCell ref="K2808:N2808"/>
    <mergeCell ref="I2748:J2748"/>
    <mergeCell ref="I2749:J2749"/>
    <mergeCell ref="K2761:N2761"/>
    <mergeCell ref="K2766:N2766"/>
    <mergeCell ref="H2767:O2767"/>
    <mergeCell ref="H2770:O2770"/>
    <mergeCell ref="M2776:O2776"/>
    <mergeCell ref="M2777:O2777"/>
    <mergeCell ref="M2778:O2778"/>
    <mergeCell ref="I2783:N2783"/>
    <mergeCell ref="H2784:H2789"/>
    <mergeCell ref="I2786:N2786"/>
    <mergeCell ref="I2787:N2787"/>
    <mergeCell ref="J2788:L2788"/>
    <mergeCell ref="I2790:J2790"/>
    <mergeCell ref="M2610:O2610"/>
    <mergeCell ref="M2611:O2611"/>
    <mergeCell ref="I2616:N2616"/>
    <mergeCell ref="H2617:H2622"/>
    <mergeCell ref="I2619:N2619"/>
    <mergeCell ref="I2620:N2620"/>
    <mergeCell ref="J2621:L2621"/>
    <mergeCell ref="I2664:J2664"/>
    <mergeCell ref="M2650:O2650"/>
    <mergeCell ref="K2637:N2637"/>
    <mergeCell ref="I2623:J2623"/>
    <mergeCell ref="I2624:J2624"/>
    <mergeCell ref="I2625:J2625"/>
    <mergeCell ref="I2639:O2639"/>
    <mergeCell ref="H2642:O2642"/>
    <mergeCell ref="M2648:O2648"/>
    <mergeCell ref="M2649:O2649"/>
    <mergeCell ref="I2655:N2655"/>
    <mergeCell ref="H2656:H2661"/>
    <mergeCell ref="I2658:N2658"/>
    <mergeCell ref="I2659:N2659"/>
    <mergeCell ref="I2662:J2662"/>
    <mergeCell ref="I2663:J2663"/>
    <mergeCell ref="K2509:N2509"/>
    <mergeCell ref="H2511:O2511"/>
    <mergeCell ref="H2514:O2514"/>
    <mergeCell ref="M2521:O2521"/>
    <mergeCell ref="M2522:O2522"/>
    <mergeCell ref="I2527:N2527"/>
    <mergeCell ref="H2528:H2533"/>
    <mergeCell ref="I2530:N2530"/>
    <mergeCell ref="I2531:N2531"/>
    <mergeCell ref="I2535:J2535"/>
    <mergeCell ref="K2594:N2594"/>
    <mergeCell ref="I2580:J2580"/>
    <mergeCell ref="I2581:J2581"/>
    <mergeCell ref="I2582:J2582"/>
    <mergeCell ref="H2600:O2600"/>
    <mergeCell ref="H2603:O2603"/>
    <mergeCell ref="M2609:O2609"/>
    <mergeCell ref="K2382:N2382"/>
    <mergeCell ref="I2383:O2383"/>
    <mergeCell ref="H2386:O2386"/>
    <mergeCell ref="M2392:O2392"/>
    <mergeCell ref="M2393:O2393"/>
    <mergeCell ref="M2394:O2394"/>
    <mergeCell ref="I2399:N2399"/>
    <mergeCell ref="I2366:J2366"/>
    <mergeCell ref="K2378:N2378"/>
    <mergeCell ref="H2400:H2405"/>
    <mergeCell ref="I2402:N2402"/>
    <mergeCell ref="I2403:N2403"/>
    <mergeCell ref="J2404:L2404"/>
    <mergeCell ref="I2406:J2406"/>
    <mergeCell ref="I2407:J2407"/>
    <mergeCell ref="K2462:N2462"/>
    <mergeCell ref="K2466:N2466"/>
    <mergeCell ref="I2408:J2408"/>
    <mergeCell ref="K2420:N2420"/>
    <mergeCell ref="K2423:N2423"/>
    <mergeCell ref="K2424:N2424"/>
    <mergeCell ref="H2425:O2425"/>
    <mergeCell ref="H2428:O2428"/>
    <mergeCell ref="M2434:O2434"/>
    <mergeCell ref="M2435:O2435"/>
    <mergeCell ref="M2436:O2436"/>
    <mergeCell ref="I2441:N2441"/>
    <mergeCell ref="H2442:H2447"/>
    <mergeCell ref="I2444:N2444"/>
    <mergeCell ref="I2445:N2445"/>
    <mergeCell ref="J2446:L2446"/>
    <mergeCell ref="I2448:J2448"/>
    <mergeCell ref="H2230:H2234"/>
    <mergeCell ref="I2232:N2232"/>
    <mergeCell ref="I2233:N2233"/>
    <mergeCell ref="I2235:J2235"/>
    <mergeCell ref="I2236:J2236"/>
    <mergeCell ref="I2237:J2237"/>
    <mergeCell ref="K2247:N2247"/>
    <mergeCell ref="K2248:N2248"/>
    <mergeCell ref="K2249:N2249"/>
    <mergeCell ref="K2252:N2252"/>
    <mergeCell ref="K2254:N2254"/>
    <mergeCell ref="H2301:O2301"/>
    <mergeCell ref="M2307:O2307"/>
    <mergeCell ref="H2255:O2255"/>
    <mergeCell ref="H2258:O2258"/>
    <mergeCell ref="M2264:O2264"/>
    <mergeCell ref="M2265:O2265"/>
    <mergeCell ref="M2266:O2266"/>
    <mergeCell ref="I2271:N2271"/>
    <mergeCell ref="H2272:H2277"/>
    <mergeCell ref="I2274:N2274"/>
    <mergeCell ref="I2275:N2275"/>
    <mergeCell ref="J2276:L2276"/>
    <mergeCell ref="I2278:J2278"/>
    <mergeCell ref="I2279:J2279"/>
    <mergeCell ref="I2280:J2280"/>
    <mergeCell ref="K2292:N2292"/>
    <mergeCell ref="K2295:N2295"/>
    <mergeCell ref="K2296:N2296"/>
    <mergeCell ref="I2298:O2298"/>
    <mergeCell ref="H2186:H2191"/>
    <mergeCell ref="J2190:L2190"/>
    <mergeCell ref="I2192:J2192"/>
    <mergeCell ref="I2193:J2193"/>
    <mergeCell ref="I2194:J2194"/>
    <mergeCell ref="K2206:N2206"/>
    <mergeCell ref="K2209:N2209"/>
    <mergeCell ref="K2212:N2212"/>
    <mergeCell ref="H2213:O2213"/>
    <mergeCell ref="H2216:O2216"/>
    <mergeCell ref="M2179:O2179"/>
    <mergeCell ref="M2180:O2180"/>
    <mergeCell ref="I2185:N2185"/>
    <mergeCell ref="M2222:O2222"/>
    <mergeCell ref="M2223:O2223"/>
    <mergeCell ref="M2224:O2224"/>
    <mergeCell ref="I2229:N2229"/>
    <mergeCell ref="I1977:N1977"/>
    <mergeCell ref="I1979:J1979"/>
    <mergeCell ref="I1980:J1980"/>
    <mergeCell ref="I1981:J1981"/>
    <mergeCell ref="K1992:N1992"/>
    <mergeCell ref="M2052:O2052"/>
    <mergeCell ref="M2053:O2053"/>
    <mergeCell ref="I2058:N2058"/>
    <mergeCell ref="H2059:H2064"/>
    <mergeCell ref="J2063:L2063"/>
    <mergeCell ref="I2065:J2065"/>
    <mergeCell ref="I2066:J2066"/>
    <mergeCell ref="I2067:J2067"/>
    <mergeCell ref="K2079:N2079"/>
    <mergeCell ref="H2085:O2085"/>
    <mergeCell ref="J2088:M2088"/>
    <mergeCell ref="M2094:O2094"/>
    <mergeCell ref="I2042:O2042"/>
    <mergeCell ref="J2045:M2045"/>
    <mergeCell ref="M2051:O2051"/>
    <mergeCell ref="K1785:N1785"/>
    <mergeCell ref="H1786:O1786"/>
    <mergeCell ref="H1789:O1789"/>
    <mergeCell ref="M1795:O1795"/>
    <mergeCell ref="M1796:O1796"/>
    <mergeCell ref="M1797:O1797"/>
    <mergeCell ref="I1802:N1802"/>
    <mergeCell ref="I1854:J1854"/>
    <mergeCell ref="I1855:J1855"/>
    <mergeCell ref="I1856:J1856"/>
    <mergeCell ref="K1868:N1868"/>
    <mergeCell ref="K1871:N1871"/>
    <mergeCell ref="H1872:O1872"/>
    <mergeCell ref="H1875:O1875"/>
    <mergeCell ref="M1881:O1881"/>
    <mergeCell ref="M1882:O1882"/>
    <mergeCell ref="H1803:H1808"/>
    <mergeCell ref="J1807:L1807"/>
    <mergeCell ref="I1809:J1809"/>
    <mergeCell ref="I1810:J1810"/>
    <mergeCell ref="I1811:J1811"/>
    <mergeCell ref="K1823:N1823"/>
    <mergeCell ref="K1826:N1826"/>
    <mergeCell ref="K1827:N1827"/>
    <mergeCell ref="H1831:O1831"/>
    <mergeCell ref="H1834:O1834"/>
    <mergeCell ref="M1840:O1840"/>
    <mergeCell ref="M1841:O1841"/>
    <mergeCell ref="M1842:O1842"/>
    <mergeCell ref="I1847:N1847"/>
    <mergeCell ref="H1848:H1853"/>
    <mergeCell ref="I1850:N1850"/>
    <mergeCell ref="I1723:J1723"/>
    <mergeCell ref="K1735:N1735"/>
    <mergeCell ref="K1739:N1739"/>
    <mergeCell ref="H1741:O1741"/>
    <mergeCell ref="J1744:M1744"/>
    <mergeCell ref="I1721:J1721"/>
    <mergeCell ref="M1750:O1750"/>
    <mergeCell ref="M1751:O1751"/>
    <mergeCell ref="M1752:O1752"/>
    <mergeCell ref="I1757:N1757"/>
    <mergeCell ref="H1758:H1763"/>
    <mergeCell ref="J1762:L1762"/>
    <mergeCell ref="I1764:J1764"/>
    <mergeCell ref="I1765:J1765"/>
    <mergeCell ref="I1766:J1766"/>
    <mergeCell ref="K1778:N1778"/>
    <mergeCell ref="K1781:N1781"/>
    <mergeCell ref="J1597:L1597"/>
    <mergeCell ref="K1528:N1528"/>
    <mergeCell ref="K1529:N1529"/>
    <mergeCell ref="K1532:N1532"/>
    <mergeCell ref="I1534:O1534"/>
    <mergeCell ref="H1537:O1537"/>
    <mergeCell ref="M1543:O1543"/>
    <mergeCell ref="M1544:O1544"/>
    <mergeCell ref="M1545:O1545"/>
    <mergeCell ref="I1550:N1550"/>
    <mergeCell ref="H1551:H1556"/>
    <mergeCell ref="I1553:N1553"/>
    <mergeCell ref="I1554:N1554"/>
    <mergeCell ref="J1555:L1555"/>
    <mergeCell ref="I1557:J1557"/>
    <mergeCell ref="I1558:J1558"/>
    <mergeCell ref="I1722:J1722"/>
    <mergeCell ref="H1632:H1637"/>
    <mergeCell ref="I1634:N1634"/>
    <mergeCell ref="I1635:N1635"/>
    <mergeCell ref="J1636:L1636"/>
    <mergeCell ref="I1638:J1638"/>
    <mergeCell ref="I1639:J1639"/>
    <mergeCell ref="J1679:L1679"/>
    <mergeCell ref="I1681:J1681"/>
    <mergeCell ref="I1682:J1682"/>
    <mergeCell ref="I1683:J1683"/>
    <mergeCell ref="K1694:N1694"/>
    <mergeCell ref="K1697:N1697"/>
    <mergeCell ref="I1698:O1698"/>
    <mergeCell ref="H1701:O1701"/>
    <mergeCell ref="M1707:O1707"/>
    <mergeCell ref="I1427:N1427"/>
    <mergeCell ref="J1428:L1428"/>
    <mergeCell ref="I1474:J1474"/>
    <mergeCell ref="I1475:J1475"/>
    <mergeCell ref="K1485:N1485"/>
    <mergeCell ref="K1486:N1486"/>
    <mergeCell ref="K1487:N1487"/>
    <mergeCell ref="K1490:N1490"/>
    <mergeCell ref="H1492:O1492"/>
    <mergeCell ref="H1495:O1495"/>
    <mergeCell ref="M1501:O1501"/>
    <mergeCell ref="M1502:O1502"/>
    <mergeCell ref="M1503:O1503"/>
    <mergeCell ref="I1508:N1508"/>
    <mergeCell ref="H1509:H1514"/>
    <mergeCell ref="I1511:N1511"/>
    <mergeCell ref="I1512:N1512"/>
    <mergeCell ref="J1513:L1513"/>
    <mergeCell ref="K1442:N1442"/>
    <mergeCell ref="K1443:N1443"/>
    <mergeCell ref="K1444:N1444"/>
    <mergeCell ref="K1447:N1447"/>
    <mergeCell ref="K1448:N1448"/>
    <mergeCell ref="I1450:O1450"/>
    <mergeCell ref="H1453:O1453"/>
    <mergeCell ref="M1459:O1459"/>
    <mergeCell ref="M1460:O1460"/>
    <mergeCell ref="M1461:O1461"/>
    <mergeCell ref="I1466:N1466"/>
    <mergeCell ref="H1467:H1472"/>
    <mergeCell ref="I1470:N1470"/>
    <mergeCell ref="J1471:L1471"/>
    <mergeCell ref="I1346:J1346"/>
    <mergeCell ref="M1332:O1332"/>
    <mergeCell ref="K1317:N1317"/>
    <mergeCell ref="I1303:J1303"/>
    <mergeCell ref="I1304:J1304"/>
    <mergeCell ref="I1305:J1305"/>
    <mergeCell ref="K1315:N1315"/>
    <mergeCell ref="K1316:N1316"/>
    <mergeCell ref="K1320:N1320"/>
    <mergeCell ref="K1321:N1321"/>
    <mergeCell ref="H1323:O1323"/>
    <mergeCell ref="H1326:O1326"/>
    <mergeCell ref="M1333:O1333"/>
    <mergeCell ref="M1334:O1334"/>
    <mergeCell ref="I1339:N1339"/>
    <mergeCell ref="H1340:H1345"/>
    <mergeCell ref="I1220:J1220"/>
    <mergeCell ref="K1232:N1232"/>
    <mergeCell ref="K1274:N1274"/>
    <mergeCell ref="I1342:N1342"/>
    <mergeCell ref="I1343:N1343"/>
    <mergeCell ref="I1219:J1219"/>
    <mergeCell ref="K1273:N1273"/>
    <mergeCell ref="K1275:N1275"/>
    <mergeCell ref="K1278:N1278"/>
    <mergeCell ref="I1280:O1280"/>
    <mergeCell ref="H1283:O1283"/>
    <mergeCell ref="M1289:O1289"/>
    <mergeCell ref="M1290:O1290"/>
    <mergeCell ref="M1291:O1291"/>
    <mergeCell ref="I1296:N1296"/>
    <mergeCell ref="H1297:H1302"/>
    <mergeCell ref="I1299:N1299"/>
    <mergeCell ref="I1300:N1300"/>
    <mergeCell ref="J1301:L1301"/>
    <mergeCell ref="K1236:N1236"/>
    <mergeCell ref="H1238:O1238"/>
    <mergeCell ref="H1241:O1241"/>
    <mergeCell ref="M1247:O1247"/>
    <mergeCell ref="M1248:O1248"/>
    <mergeCell ref="M1249:O1249"/>
    <mergeCell ref="I1254:N1254"/>
    <mergeCell ref="H1255:H1260"/>
    <mergeCell ref="I1257:N1257"/>
    <mergeCell ref="I1258:N1258"/>
    <mergeCell ref="J1259:L1259"/>
    <mergeCell ref="I1261:J1261"/>
    <mergeCell ref="I1262:J1262"/>
    <mergeCell ref="I1263:J1263"/>
    <mergeCell ref="I1215:N1215"/>
    <mergeCell ref="I1216:N1216"/>
    <mergeCell ref="I1138:J1138"/>
    <mergeCell ref="K1150:N1150"/>
    <mergeCell ref="K1153:N1153"/>
    <mergeCell ref="K1154:N1154"/>
    <mergeCell ref="H1155:O1155"/>
    <mergeCell ref="H1158:O1158"/>
    <mergeCell ref="M1164:O1164"/>
    <mergeCell ref="M1165:O1165"/>
    <mergeCell ref="M1166:O1166"/>
    <mergeCell ref="I1171:N1171"/>
    <mergeCell ref="H1172:H1176"/>
    <mergeCell ref="I1174:N1174"/>
    <mergeCell ref="I1175:N1175"/>
    <mergeCell ref="J1176:L1176"/>
    <mergeCell ref="I1218:J1218"/>
    <mergeCell ref="I1177:J1177"/>
    <mergeCell ref="I1178:J1178"/>
    <mergeCell ref="I1179:J1179"/>
    <mergeCell ref="I1009:J1009"/>
    <mergeCell ref="I1010:J1010"/>
    <mergeCell ref="I1011:J1011"/>
    <mergeCell ref="K1021:N1021"/>
    <mergeCell ref="K1022:N1022"/>
    <mergeCell ref="K1023:N1023"/>
    <mergeCell ref="K1026:N1026"/>
    <mergeCell ref="H1075:O1075"/>
    <mergeCell ref="M1080:O1080"/>
    <mergeCell ref="M1081:O1081"/>
    <mergeCell ref="M996:O996"/>
    <mergeCell ref="M997:O997"/>
    <mergeCell ref="H1029:O1029"/>
    <mergeCell ref="H1032:O1032"/>
    <mergeCell ref="M1038:O1038"/>
    <mergeCell ref="M1039:O1039"/>
    <mergeCell ref="M1040:O1040"/>
    <mergeCell ref="I1045:N1045"/>
    <mergeCell ref="H1046:H1051"/>
    <mergeCell ref="I1048:N1048"/>
    <mergeCell ref="I1049:N1049"/>
    <mergeCell ref="J1050:L1050"/>
    <mergeCell ref="I1052:J1052"/>
    <mergeCell ref="I1053:J1053"/>
    <mergeCell ref="I1054:J1054"/>
    <mergeCell ref="K1067:N1067"/>
    <mergeCell ref="K1070:N1070"/>
    <mergeCell ref="K1071:N1071"/>
    <mergeCell ref="H1072:O1072"/>
    <mergeCell ref="H901:O901"/>
    <mergeCell ref="M907:O907"/>
    <mergeCell ref="M908:O908"/>
    <mergeCell ref="M909:O909"/>
    <mergeCell ref="I914:N914"/>
    <mergeCell ref="H915:H920"/>
    <mergeCell ref="I917:N917"/>
    <mergeCell ref="I1002:N1002"/>
    <mergeCell ref="H1003:H1008"/>
    <mergeCell ref="I1005:N1005"/>
    <mergeCell ref="I1006:N1006"/>
    <mergeCell ref="J1007:L1007"/>
    <mergeCell ref="I918:N918"/>
    <mergeCell ref="J919:L919"/>
    <mergeCell ref="H960:H965"/>
    <mergeCell ref="I962:N962"/>
    <mergeCell ref="I963:N963"/>
    <mergeCell ref="J964:L964"/>
    <mergeCell ref="I923:J923"/>
    <mergeCell ref="K979:N979"/>
    <mergeCell ref="K980:N980"/>
    <mergeCell ref="K983:N983"/>
    <mergeCell ref="K984:N984"/>
    <mergeCell ref="H986:O986"/>
    <mergeCell ref="H989:O989"/>
    <mergeCell ref="M995:O995"/>
    <mergeCell ref="I710:J710"/>
    <mergeCell ref="K722:N722"/>
    <mergeCell ref="K725:N725"/>
    <mergeCell ref="K726:N726"/>
    <mergeCell ref="K727:N727"/>
    <mergeCell ref="I728:O728"/>
    <mergeCell ref="H731:O731"/>
    <mergeCell ref="M737:O737"/>
    <mergeCell ref="M738:O738"/>
    <mergeCell ref="K683:N683"/>
    <mergeCell ref="H685:O685"/>
    <mergeCell ref="I709:J709"/>
    <mergeCell ref="M739:O739"/>
    <mergeCell ref="K850:N850"/>
    <mergeCell ref="K853:N853"/>
    <mergeCell ref="K854:N854"/>
    <mergeCell ref="I855:O855"/>
    <mergeCell ref="I836:J836"/>
    <mergeCell ref="I837:J837"/>
    <mergeCell ref="I744:N744"/>
    <mergeCell ref="H745:H750"/>
    <mergeCell ref="J749:L749"/>
    <mergeCell ref="I751:J751"/>
    <mergeCell ref="I752:J752"/>
    <mergeCell ref="I753:J753"/>
    <mergeCell ref="K806:N806"/>
    <mergeCell ref="K807:N807"/>
    <mergeCell ref="K810:N810"/>
    <mergeCell ref="K811:N811"/>
    <mergeCell ref="I813:O813"/>
    <mergeCell ref="H816:O816"/>
    <mergeCell ref="M821:O821"/>
    <mergeCell ref="I598:O598"/>
    <mergeCell ref="J601:M601"/>
    <mergeCell ref="M607:O607"/>
    <mergeCell ref="M608:O608"/>
    <mergeCell ref="M609:O609"/>
    <mergeCell ref="I580:J580"/>
    <mergeCell ref="D591:F591"/>
    <mergeCell ref="K592:N592"/>
    <mergeCell ref="D594:F594"/>
    <mergeCell ref="K595:N595"/>
    <mergeCell ref="K596:N596"/>
    <mergeCell ref="A579:B579"/>
    <mergeCell ref="I579:J579"/>
    <mergeCell ref="I538:J538"/>
    <mergeCell ref="K551:N551"/>
    <mergeCell ref="D554:F554"/>
    <mergeCell ref="K554:N554"/>
    <mergeCell ref="H555:O555"/>
    <mergeCell ref="B558:E558"/>
    <mergeCell ref="H558:O558"/>
    <mergeCell ref="A570:F570"/>
    <mergeCell ref="I571:N571"/>
    <mergeCell ref="A572:C572"/>
    <mergeCell ref="H572:H577"/>
    <mergeCell ref="I574:N574"/>
    <mergeCell ref="I575:N575"/>
    <mergeCell ref="A578:B578"/>
    <mergeCell ref="I578:J578"/>
    <mergeCell ref="M566:O566"/>
    <mergeCell ref="A413:B413"/>
    <mergeCell ref="A414:B414"/>
    <mergeCell ref="A415:B415"/>
    <mergeCell ref="K420:N420"/>
    <mergeCell ref="K421:N421"/>
    <mergeCell ref="K422:N422"/>
    <mergeCell ref="K425:N425"/>
    <mergeCell ref="K426:N426"/>
    <mergeCell ref="A429:G429"/>
    <mergeCell ref="H429:O429"/>
    <mergeCell ref="M484:O484"/>
    <mergeCell ref="A488:F488"/>
    <mergeCell ref="I488:N488"/>
    <mergeCell ref="E481:G481"/>
    <mergeCell ref="M482:O482"/>
    <mergeCell ref="E483:G483"/>
    <mergeCell ref="M483:O483"/>
    <mergeCell ref="B432:E432"/>
    <mergeCell ref="H432:O432"/>
    <mergeCell ref="E438:G438"/>
    <mergeCell ref="M438:O438"/>
    <mergeCell ref="E439:G439"/>
    <mergeCell ref="M439:O439"/>
    <mergeCell ref="I454:J454"/>
    <mergeCell ref="K464:N464"/>
    <mergeCell ref="K465:N465"/>
    <mergeCell ref="K466:N466"/>
    <mergeCell ref="K470:N470"/>
    <mergeCell ref="D471:F471"/>
    <mergeCell ref="K471:N471"/>
    <mergeCell ref="A472:G472"/>
    <mergeCell ref="H472:O472"/>
    <mergeCell ref="A402:E402"/>
    <mergeCell ref="I402:N402"/>
    <mergeCell ref="A403:E403"/>
    <mergeCell ref="H403:H408"/>
    <mergeCell ref="I405:N405"/>
    <mergeCell ref="I406:N406"/>
    <mergeCell ref="J407:L407"/>
    <mergeCell ref="I409:J409"/>
    <mergeCell ref="I410:J410"/>
    <mergeCell ref="I411:J411"/>
    <mergeCell ref="A368:B368"/>
    <mergeCell ref="A369:B369"/>
    <mergeCell ref="A370:B370"/>
    <mergeCell ref="K378:N378"/>
    <mergeCell ref="K379:N379"/>
    <mergeCell ref="K380:N380"/>
    <mergeCell ref="C384:G384"/>
    <mergeCell ref="K384:N384"/>
    <mergeCell ref="D385:F385"/>
    <mergeCell ref="A386:G386"/>
    <mergeCell ref="I386:O386"/>
    <mergeCell ref="A389:G389"/>
    <mergeCell ref="H389:O389"/>
    <mergeCell ref="E395:G395"/>
    <mergeCell ref="M395:O395"/>
    <mergeCell ref="E396:G396"/>
    <mergeCell ref="M396:O396"/>
    <mergeCell ref="E397:G397"/>
    <mergeCell ref="M397:O397"/>
    <mergeCell ref="A241:B241"/>
    <mergeCell ref="I241:J241"/>
    <mergeCell ref="I283:J283"/>
    <mergeCell ref="I284:J284"/>
    <mergeCell ref="K295:N295"/>
    <mergeCell ref="K296:N296"/>
    <mergeCell ref="K297:N297"/>
    <mergeCell ref="D299:F299"/>
    <mergeCell ref="D300:F300"/>
    <mergeCell ref="K300:N300"/>
    <mergeCell ref="A302:G302"/>
    <mergeCell ref="I302:O302"/>
    <mergeCell ref="B305:E305"/>
    <mergeCell ref="J305:M305"/>
    <mergeCell ref="E268:G268"/>
    <mergeCell ref="M268:O268"/>
    <mergeCell ref="E269:G269"/>
    <mergeCell ref="M269:O269"/>
    <mergeCell ref="E270:G270"/>
    <mergeCell ref="M270:O270"/>
    <mergeCell ref="I275:N275"/>
    <mergeCell ref="H276:H281"/>
    <mergeCell ref="A277:C277"/>
    <mergeCell ref="D277:F277"/>
    <mergeCell ref="J280:L280"/>
    <mergeCell ref="I282:J282"/>
    <mergeCell ref="Q146:U146"/>
    <mergeCell ref="D170:F170"/>
    <mergeCell ref="K170:N170"/>
    <mergeCell ref="K171:N171"/>
    <mergeCell ref="T171:V171"/>
    <mergeCell ref="A172:G172"/>
    <mergeCell ref="A176:G176"/>
    <mergeCell ref="H176:O176"/>
    <mergeCell ref="E181:G181"/>
    <mergeCell ref="M181:O181"/>
    <mergeCell ref="E182:G182"/>
    <mergeCell ref="M182:O182"/>
    <mergeCell ref="E183:G183"/>
    <mergeCell ref="M183:O183"/>
    <mergeCell ref="A215:G215"/>
    <mergeCell ref="I215:O215"/>
    <mergeCell ref="A154:B154"/>
    <mergeCell ref="I154:J154"/>
    <mergeCell ref="Q154:R154"/>
    <mergeCell ref="A155:B155"/>
    <mergeCell ref="I155:J155"/>
    <mergeCell ref="Q155:R155"/>
    <mergeCell ref="A189:F189"/>
    <mergeCell ref="I189:N189"/>
    <mergeCell ref="H190:H195"/>
    <mergeCell ref="A191:C191"/>
    <mergeCell ref="I191:N191"/>
    <mergeCell ref="I192:N192"/>
    <mergeCell ref="J194:L194"/>
    <mergeCell ref="I196:J196"/>
    <mergeCell ref="A197:B197"/>
    <mergeCell ref="I197:J197"/>
    <mergeCell ref="A86:G86"/>
    <mergeCell ref="I86:O86"/>
    <mergeCell ref="Q86:V86"/>
    <mergeCell ref="A89:G89"/>
    <mergeCell ref="H89:O89"/>
    <mergeCell ref="R89:T89"/>
    <mergeCell ref="E94:G94"/>
    <mergeCell ref="M94:O94"/>
    <mergeCell ref="E95:G95"/>
    <mergeCell ref="M95:O95"/>
    <mergeCell ref="E96:G96"/>
    <mergeCell ref="M96:O96"/>
    <mergeCell ref="A102:F102"/>
    <mergeCell ref="D123:F123"/>
    <mergeCell ref="K123:N123"/>
    <mergeCell ref="C126:G126"/>
    <mergeCell ref="C127:G127"/>
    <mergeCell ref="K127:N127"/>
    <mergeCell ref="T127:V127"/>
    <mergeCell ref="I102:N102"/>
    <mergeCell ref="Q102:U102"/>
    <mergeCell ref="H103:H108"/>
    <mergeCell ref="P103:P109"/>
    <mergeCell ref="Q103:U103"/>
    <mergeCell ref="A104:C104"/>
    <mergeCell ref="D104:F104"/>
    <mergeCell ref="J104:M104"/>
    <mergeCell ref="Q104:U104"/>
    <mergeCell ref="J105:M105"/>
    <mergeCell ref="K106:L106"/>
    <mergeCell ref="I109:J109"/>
    <mergeCell ref="A110:B110"/>
    <mergeCell ref="A68:B68"/>
    <mergeCell ref="I68:J68"/>
    <mergeCell ref="Q68:R68"/>
    <mergeCell ref="C81:G81"/>
    <mergeCell ref="C82:G82"/>
    <mergeCell ref="K83:N83"/>
    <mergeCell ref="T83:V83"/>
    <mergeCell ref="K85:N85"/>
    <mergeCell ref="H60:H66"/>
    <mergeCell ref="A61:C61"/>
    <mergeCell ref="D61:F61"/>
    <mergeCell ref="I61:N61"/>
    <mergeCell ref="J62:M62"/>
    <mergeCell ref="J63:M63"/>
    <mergeCell ref="J64:M64"/>
    <mergeCell ref="I65:N65"/>
    <mergeCell ref="I67:J67"/>
    <mergeCell ref="P60:P66"/>
    <mergeCell ref="Q61:V61"/>
    <mergeCell ref="R62:U62"/>
    <mergeCell ref="R63:U63"/>
    <mergeCell ref="R64:U64"/>
    <mergeCell ref="Q65:V65"/>
    <mergeCell ref="Q67:R67"/>
    <mergeCell ref="A1:G1"/>
    <mergeCell ref="I1:O1"/>
    <mergeCell ref="Q1:V1"/>
    <mergeCell ref="I26:J26"/>
    <mergeCell ref="Q26:R26"/>
    <mergeCell ref="D19:F19"/>
    <mergeCell ref="Q19:U19"/>
    <mergeCell ref="A25:B25"/>
    <mergeCell ref="I25:J25"/>
    <mergeCell ref="Q25:R25"/>
    <mergeCell ref="E10:G10"/>
    <mergeCell ref="A17:F17"/>
    <mergeCell ref="I17:N17"/>
    <mergeCell ref="Q17:U17"/>
    <mergeCell ref="H4:O4"/>
    <mergeCell ref="H18:H23"/>
    <mergeCell ref="M10:O10"/>
    <mergeCell ref="A4:G4"/>
    <mergeCell ref="P4:V4"/>
    <mergeCell ref="E9:G9"/>
    <mergeCell ref="M9:O9"/>
    <mergeCell ref="T9:V9"/>
    <mergeCell ref="T10:V10"/>
    <mergeCell ref="E11:G11"/>
    <mergeCell ref="P18:P24"/>
    <mergeCell ref="Q18:U18"/>
    <mergeCell ref="A19:C19"/>
    <mergeCell ref="I24:J24"/>
    <mergeCell ref="M11:O11"/>
    <mergeCell ref="T11:V11"/>
    <mergeCell ref="I19:N19"/>
    <mergeCell ref="I20:N20"/>
    <mergeCell ref="I21:N21"/>
    <mergeCell ref="Q23:U23"/>
    <mergeCell ref="K36:N36"/>
    <mergeCell ref="K37:N37"/>
    <mergeCell ref="S37:U37"/>
    <mergeCell ref="K38:N38"/>
    <mergeCell ref="C41:G41"/>
    <mergeCell ref="D42:F42"/>
    <mergeCell ref="K42:N42"/>
    <mergeCell ref="U42:W42"/>
    <mergeCell ref="T43:V43"/>
    <mergeCell ref="A44:G44"/>
    <mergeCell ref="H44:O44"/>
    <mergeCell ref="E54:G54"/>
    <mergeCell ref="M54:O54"/>
    <mergeCell ref="A59:F59"/>
    <mergeCell ref="I59:N59"/>
    <mergeCell ref="A47:G47"/>
    <mergeCell ref="H47:O47"/>
    <mergeCell ref="E52:G52"/>
    <mergeCell ref="M52:O52"/>
    <mergeCell ref="E53:G53"/>
    <mergeCell ref="M53:O53"/>
    <mergeCell ref="P47:W47"/>
    <mergeCell ref="U52:W52"/>
    <mergeCell ref="U53:W53"/>
    <mergeCell ref="U54:W54"/>
    <mergeCell ref="Q59:V59"/>
    <mergeCell ref="I110:J110"/>
    <mergeCell ref="Q110:R110"/>
    <mergeCell ref="A111:B111"/>
    <mergeCell ref="I111:J111"/>
    <mergeCell ref="Q111:R111"/>
    <mergeCell ref="H147:H152"/>
    <mergeCell ref="P147:P153"/>
    <mergeCell ref="Q147:U147"/>
    <mergeCell ref="A148:C148"/>
    <mergeCell ref="D148:F148"/>
    <mergeCell ref="I148:N148"/>
    <mergeCell ref="Q148:U148"/>
    <mergeCell ref="I149:N149"/>
    <mergeCell ref="I150:N150"/>
    <mergeCell ref="J151:L151"/>
    <mergeCell ref="I153:J153"/>
    <mergeCell ref="D128:F128"/>
    <mergeCell ref="T128:V128"/>
    <mergeCell ref="A129:G129"/>
    <mergeCell ref="I129:O129"/>
    <mergeCell ref="Q130:V130"/>
    <mergeCell ref="B133:E133"/>
    <mergeCell ref="H133:O133"/>
    <mergeCell ref="R133:T133"/>
    <mergeCell ref="E138:G138"/>
    <mergeCell ref="M138:O138"/>
    <mergeCell ref="E139:G139"/>
    <mergeCell ref="M139:O139"/>
    <mergeCell ref="E140:G140"/>
    <mergeCell ref="M140:O140"/>
    <mergeCell ref="A146:F146"/>
    <mergeCell ref="I146:N146"/>
    <mergeCell ref="A198:B198"/>
    <mergeCell ref="I198:J198"/>
    <mergeCell ref="D210:F210"/>
    <mergeCell ref="K212:N212"/>
    <mergeCell ref="C213:F213"/>
    <mergeCell ref="K213:N213"/>
    <mergeCell ref="K254:N254"/>
    <mergeCell ref="D257:F257"/>
    <mergeCell ref="K257:N257"/>
    <mergeCell ref="D258:F258"/>
    <mergeCell ref="K258:N258"/>
    <mergeCell ref="A259:G259"/>
    <mergeCell ref="I259:O259"/>
    <mergeCell ref="B262:E262"/>
    <mergeCell ref="H262:O262"/>
    <mergeCell ref="B218:E218"/>
    <mergeCell ref="H218:O218"/>
    <mergeCell ref="E224:G224"/>
    <mergeCell ref="M224:O224"/>
    <mergeCell ref="E225:G225"/>
    <mergeCell ref="M225:O225"/>
    <mergeCell ref="E226:G226"/>
    <mergeCell ref="M226:O226"/>
    <mergeCell ref="A232:F232"/>
    <mergeCell ref="I232:N232"/>
    <mergeCell ref="H233:H238"/>
    <mergeCell ref="A234:C234"/>
    <mergeCell ref="J237:L237"/>
    <mergeCell ref="D254:F254"/>
    <mergeCell ref="I239:J239"/>
    <mergeCell ref="A240:B240"/>
    <mergeCell ref="I240:J240"/>
    <mergeCell ref="E310:G310"/>
    <mergeCell ref="M310:O310"/>
    <mergeCell ref="M311:O311"/>
    <mergeCell ref="H318:H323"/>
    <mergeCell ref="A319:C319"/>
    <mergeCell ref="I320:N320"/>
    <mergeCell ref="I321:N321"/>
    <mergeCell ref="J322:L322"/>
    <mergeCell ref="I324:J324"/>
    <mergeCell ref="E312:G312"/>
    <mergeCell ref="M312:O312"/>
    <mergeCell ref="A317:F317"/>
    <mergeCell ref="I317:N317"/>
    <mergeCell ref="A325:B325"/>
    <mergeCell ref="I325:J325"/>
    <mergeCell ref="A326:B326"/>
    <mergeCell ref="I326:J326"/>
    <mergeCell ref="M354:O354"/>
    <mergeCell ref="E355:G355"/>
    <mergeCell ref="M355:O355"/>
    <mergeCell ref="M356:O356"/>
    <mergeCell ref="A360:E360"/>
    <mergeCell ref="A361:E361"/>
    <mergeCell ref="I361:N361"/>
    <mergeCell ref="H362:H366"/>
    <mergeCell ref="I363:N363"/>
    <mergeCell ref="A364:E364"/>
    <mergeCell ref="I364:N364"/>
    <mergeCell ref="A365:E365"/>
    <mergeCell ref="J365:L365"/>
    <mergeCell ref="I367:J367"/>
    <mergeCell ref="K336:N336"/>
    <mergeCell ref="K337:N337"/>
    <mergeCell ref="K338:N338"/>
    <mergeCell ref="D339:F339"/>
    <mergeCell ref="D341:F341"/>
    <mergeCell ref="K341:N341"/>
    <mergeCell ref="D342:F342"/>
    <mergeCell ref="A345:G345"/>
    <mergeCell ref="I345:O345"/>
    <mergeCell ref="A346:F346"/>
    <mergeCell ref="B348:E348"/>
    <mergeCell ref="J348:M348"/>
    <mergeCell ref="E353:G353"/>
    <mergeCell ref="B475:E475"/>
    <mergeCell ref="H475:O475"/>
    <mergeCell ref="E440:G440"/>
    <mergeCell ref="M440:O440"/>
    <mergeCell ref="A445:F445"/>
    <mergeCell ref="I445:N445"/>
    <mergeCell ref="H446:H451"/>
    <mergeCell ref="A447:C447"/>
    <mergeCell ref="I448:N448"/>
    <mergeCell ref="I449:N449"/>
    <mergeCell ref="J450:L450"/>
    <mergeCell ref="I452:J452"/>
    <mergeCell ref="A453:B453"/>
    <mergeCell ref="I453:J453"/>
    <mergeCell ref="J476:M476"/>
    <mergeCell ref="A454:B454"/>
    <mergeCell ref="H531:H536"/>
    <mergeCell ref="A532:C532"/>
    <mergeCell ref="D532:F532"/>
    <mergeCell ref="I533:N533"/>
    <mergeCell ref="I534:N534"/>
    <mergeCell ref="H514:O514"/>
    <mergeCell ref="B517:E517"/>
    <mergeCell ref="H517:O517"/>
    <mergeCell ref="J519:M519"/>
    <mergeCell ref="E523:G523"/>
    <mergeCell ref="M523:O523"/>
    <mergeCell ref="M524:O524"/>
    <mergeCell ref="E525:G525"/>
    <mergeCell ref="M525:O525"/>
    <mergeCell ref="I530:N530"/>
    <mergeCell ref="H489:H492"/>
    <mergeCell ref="A490:C490"/>
    <mergeCell ref="I490:N490"/>
    <mergeCell ref="I491:N491"/>
    <mergeCell ref="I492:N492"/>
    <mergeCell ref="A494:B494"/>
    <mergeCell ref="I494:J494"/>
    <mergeCell ref="A495:B495"/>
    <mergeCell ref="I495:J495"/>
    <mergeCell ref="K507:N507"/>
    <mergeCell ref="K510:N510"/>
    <mergeCell ref="D511:F511"/>
    <mergeCell ref="K511:N511"/>
    <mergeCell ref="A514:G514"/>
    <mergeCell ref="E563:G563"/>
    <mergeCell ref="M564:O564"/>
    <mergeCell ref="E565:G565"/>
    <mergeCell ref="M565:O565"/>
    <mergeCell ref="J559:M559"/>
    <mergeCell ref="J560:M560"/>
    <mergeCell ref="I614:N614"/>
    <mergeCell ref="H615:H620"/>
    <mergeCell ref="I617:N617"/>
    <mergeCell ref="I618:N618"/>
    <mergeCell ref="J619:L619"/>
    <mergeCell ref="I621:J621"/>
    <mergeCell ref="I622:J622"/>
    <mergeCell ref="I623:J623"/>
    <mergeCell ref="K635:N635"/>
    <mergeCell ref="H688:O688"/>
    <mergeCell ref="M694:O694"/>
    <mergeCell ref="M695:O695"/>
    <mergeCell ref="M696:O696"/>
    <mergeCell ref="I701:N701"/>
    <mergeCell ref="H702:H707"/>
    <mergeCell ref="J706:L706"/>
    <mergeCell ref="I708:J708"/>
    <mergeCell ref="K639:N639"/>
    <mergeCell ref="I642:O642"/>
    <mergeCell ref="H645:O645"/>
    <mergeCell ref="M651:O651"/>
    <mergeCell ref="M652:O652"/>
    <mergeCell ref="M653:O653"/>
    <mergeCell ref="I658:N658"/>
    <mergeCell ref="H659:H664"/>
    <mergeCell ref="I661:N661"/>
    <mergeCell ref="I662:N662"/>
    <mergeCell ref="J663:L663"/>
    <mergeCell ref="I665:J665"/>
    <mergeCell ref="I666:J666"/>
    <mergeCell ref="I667:J667"/>
    <mergeCell ref="K679:N679"/>
    <mergeCell ref="M822:O822"/>
    <mergeCell ref="M823:O823"/>
    <mergeCell ref="I828:N828"/>
    <mergeCell ref="H829:H834"/>
    <mergeCell ref="I831:N831"/>
    <mergeCell ref="I832:N832"/>
    <mergeCell ref="J833:L833"/>
    <mergeCell ref="K765:N765"/>
    <mergeCell ref="K768:N768"/>
    <mergeCell ref="I770:O770"/>
    <mergeCell ref="H773:O773"/>
    <mergeCell ref="M779:O779"/>
    <mergeCell ref="I835:J835"/>
    <mergeCell ref="M780:O780"/>
    <mergeCell ref="M781:O781"/>
    <mergeCell ref="I786:N786"/>
    <mergeCell ref="H787:H792"/>
    <mergeCell ref="I789:N789"/>
    <mergeCell ref="I790:N790"/>
    <mergeCell ref="J791:L791"/>
    <mergeCell ref="I793:J793"/>
    <mergeCell ref="I794:J794"/>
    <mergeCell ref="I795:J795"/>
    <mergeCell ref="K805:N805"/>
    <mergeCell ref="H858:O858"/>
    <mergeCell ref="M864:O864"/>
    <mergeCell ref="M865:O865"/>
    <mergeCell ref="M866:O866"/>
    <mergeCell ref="I871:N871"/>
    <mergeCell ref="H872:H877"/>
    <mergeCell ref="I874:N874"/>
    <mergeCell ref="I875:N875"/>
    <mergeCell ref="I921:J921"/>
    <mergeCell ref="I922:J922"/>
    <mergeCell ref="J876:L876"/>
    <mergeCell ref="I878:J878"/>
    <mergeCell ref="I879:J879"/>
    <mergeCell ref="I966:J966"/>
    <mergeCell ref="I967:J967"/>
    <mergeCell ref="I968:J968"/>
    <mergeCell ref="K978:N978"/>
    <mergeCell ref="K933:N933"/>
    <mergeCell ref="K934:N934"/>
    <mergeCell ref="K935:N935"/>
    <mergeCell ref="K939:N939"/>
    <mergeCell ref="H943:O943"/>
    <mergeCell ref="H946:O946"/>
    <mergeCell ref="M952:O952"/>
    <mergeCell ref="M953:O953"/>
    <mergeCell ref="M954:O954"/>
    <mergeCell ref="I959:N959"/>
    <mergeCell ref="I880:J880"/>
    <mergeCell ref="K892:N892"/>
    <mergeCell ref="K895:N895"/>
    <mergeCell ref="K897:N897"/>
    <mergeCell ref="I898:O898"/>
    <mergeCell ref="M1082:O1082"/>
    <mergeCell ref="I1087:N1087"/>
    <mergeCell ref="H1088:H1093"/>
    <mergeCell ref="I1090:N1090"/>
    <mergeCell ref="I1091:N1091"/>
    <mergeCell ref="J1092:L1092"/>
    <mergeCell ref="I1094:J1094"/>
    <mergeCell ref="I1095:J1095"/>
    <mergeCell ref="I1096:J1096"/>
    <mergeCell ref="H1099:N1099"/>
    <mergeCell ref="K1108:N1108"/>
    <mergeCell ref="K1111:N1111"/>
    <mergeCell ref="H1113:O1113"/>
    <mergeCell ref="H1116:O1116"/>
    <mergeCell ref="M1122:O1122"/>
    <mergeCell ref="M1123:O1123"/>
    <mergeCell ref="I1347:J1347"/>
    <mergeCell ref="M1124:O1124"/>
    <mergeCell ref="I1129:N1129"/>
    <mergeCell ref="H1130:H1135"/>
    <mergeCell ref="J1134:L1134"/>
    <mergeCell ref="I1136:J1136"/>
    <mergeCell ref="I1137:J1137"/>
    <mergeCell ref="K1191:N1191"/>
    <mergeCell ref="K1194:N1194"/>
    <mergeCell ref="H1196:O1196"/>
    <mergeCell ref="H1199:O1199"/>
    <mergeCell ref="M1205:O1205"/>
    <mergeCell ref="M1206:O1206"/>
    <mergeCell ref="M1207:O1207"/>
    <mergeCell ref="I1212:N1212"/>
    <mergeCell ref="H1213:H1217"/>
    <mergeCell ref="I1348:J1348"/>
    <mergeCell ref="K1358:N1358"/>
    <mergeCell ref="K1359:N1359"/>
    <mergeCell ref="K1360:N1360"/>
    <mergeCell ref="K1363:N1363"/>
    <mergeCell ref="K1364:N1364"/>
    <mergeCell ref="H1366:O1366"/>
    <mergeCell ref="H1369:O1369"/>
    <mergeCell ref="M1377:O1377"/>
    <mergeCell ref="I1382:N1382"/>
    <mergeCell ref="H1383:H1388"/>
    <mergeCell ref="I1385:N1385"/>
    <mergeCell ref="I1386:N1386"/>
    <mergeCell ref="J1387:L1387"/>
    <mergeCell ref="I1430:J1430"/>
    <mergeCell ref="I1431:J1431"/>
    <mergeCell ref="M1418:O1418"/>
    <mergeCell ref="M1419:O1419"/>
    <mergeCell ref="I1389:J1389"/>
    <mergeCell ref="I1390:J1390"/>
    <mergeCell ref="M1375:O1375"/>
    <mergeCell ref="M1376:O1376"/>
    <mergeCell ref="I1391:J1391"/>
    <mergeCell ref="K1403:N1403"/>
    <mergeCell ref="K1406:N1406"/>
    <mergeCell ref="K1407:N1407"/>
    <mergeCell ref="H1408:O1408"/>
    <mergeCell ref="H1411:O1411"/>
    <mergeCell ref="M1417:O1417"/>
    <mergeCell ref="I1424:N1424"/>
    <mergeCell ref="H1425:H1429"/>
    <mergeCell ref="I1426:N1426"/>
    <mergeCell ref="I1473:J1473"/>
    <mergeCell ref="I1469:N1469"/>
    <mergeCell ref="I1432:J1432"/>
    <mergeCell ref="I1559:J1559"/>
    <mergeCell ref="K1569:N1569"/>
    <mergeCell ref="I1599:J1599"/>
    <mergeCell ref="I1600:J1600"/>
    <mergeCell ref="I1601:J1601"/>
    <mergeCell ref="K1613:N1613"/>
    <mergeCell ref="K1614:N1614"/>
    <mergeCell ref="H1615:O1615"/>
    <mergeCell ref="H1618:O1618"/>
    <mergeCell ref="M1624:O1624"/>
    <mergeCell ref="M1625:O1625"/>
    <mergeCell ref="M1626:O1626"/>
    <mergeCell ref="I1631:N1631"/>
    <mergeCell ref="I1515:J1515"/>
    <mergeCell ref="I1516:J1516"/>
    <mergeCell ref="I1517:J1517"/>
    <mergeCell ref="K1527:N1527"/>
    <mergeCell ref="K1570:N1570"/>
    <mergeCell ref="K1571:N1571"/>
    <mergeCell ref="K1574:N1574"/>
    <mergeCell ref="I1576:O1576"/>
    <mergeCell ref="H1579:O1579"/>
    <mergeCell ref="M1585:O1585"/>
    <mergeCell ref="M1586:O1586"/>
    <mergeCell ref="M1587:O1587"/>
    <mergeCell ref="I1592:N1592"/>
    <mergeCell ref="H1593:H1598"/>
    <mergeCell ref="I1595:N1595"/>
    <mergeCell ref="I1596:N1596"/>
    <mergeCell ref="M1708:O1708"/>
    <mergeCell ref="M1709:O1709"/>
    <mergeCell ref="I1714:N1714"/>
    <mergeCell ref="H1715:H1720"/>
    <mergeCell ref="I1717:N1717"/>
    <mergeCell ref="I1718:N1718"/>
    <mergeCell ref="J1719:L1719"/>
    <mergeCell ref="I1640:J1640"/>
    <mergeCell ref="K1652:N1652"/>
    <mergeCell ref="K1657:N1657"/>
    <mergeCell ref="H1658:O1658"/>
    <mergeCell ref="H1661:O1661"/>
    <mergeCell ref="M1667:O1667"/>
    <mergeCell ref="M1668:O1668"/>
    <mergeCell ref="M1669:O1669"/>
    <mergeCell ref="I1674:N1674"/>
    <mergeCell ref="H1675:H1680"/>
    <mergeCell ref="I1677:N1677"/>
    <mergeCell ref="I1678:N1678"/>
    <mergeCell ref="I1851:N1851"/>
    <mergeCell ref="J1852:L1852"/>
    <mergeCell ref="I1895:J1895"/>
    <mergeCell ref="I1896:J1896"/>
    <mergeCell ref="I1897:J1897"/>
    <mergeCell ref="K1909:N1909"/>
    <mergeCell ref="K1912:N1912"/>
    <mergeCell ref="K1913:N1913"/>
    <mergeCell ref="H1914:O1914"/>
    <mergeCell ref="H1917:O1917"/>
    <mergeCell ref="M1923:O1923"/>
    <mergeCell ref="M1924:O1924"/>
    <mergeCell ref="M1925:O1925"/>
    <mergeCell ref="I1930:N1930"/>
    <mergeCell ref="H1931:H1936"/>
    <mergeCell ref="J1935:L1935"/>
    <mergeCell ref="M1883:O1883"/>
    <mergeCell ref="I1888:N1888"/>
    <mergeCell ref="H1889:H1894"/>
    <mergeCell ref="J1893:L1893"/>
    <mergeCell ref="I1937:J1937"/>
    <mergeCell ref="I1938:J1938"/>
    <mergeCell ref="I1939:J1939"/>
    <mergeCell ref="K1996:N1996"/>
    <mergeCell ref="I1999:O1999"/>
    <mergeCell ref="H2002:O2002"/>
    <mergeCell ref="M2008:O2008"/>
    <mergeCell ref="M2009:O2009"/>
    <mergeCell ref="M2010:O2010"/>
    <mergeCell ref="I2015:N2015"/>
    <mergeCell ref="H2016:H2021"/>
    <mergeCell ref="J2020:L2020"/>
    <mergeCell ref="I2022:J2022"/>
    <mergeCell ref="I2023:J2023"/>
    <mergeCell ref="I2024:J2024"/>
    <mergeCell ref="K2036:N2036"/>
    <mergeCell ref="K2040:N2040"/>
    <mergeCell ref="J1949:N1949"/>
    <mergeCell ref="J1950:N1950"/>
    <mergeCell ref="J1951:N1951"/>
    <mergeCell ref="K1954:N1954"/>
    <mergeCell ref="K1955:N1955"/>
    <mergeCell ref="I1956:O1956"/>
    <mergeCell ref="J1959:M1959"/>
    <mergeCell ref="M1965:O1965"/>
    <mergeCell ref="M1966:O1966"/>
    <mergeCell ref="M1967:O1967"/>
    <mergeCell ref="I1972:N1972"/>
    <mergeCell ref="H1973:H1978"/>
    <mergeCell ref="I1974:N1974"/>
    <mergeCell ref="I1975:N1975"/>
    <mergeCell ref="I1976:N1976"/>
    <mergeCell ref="H2130:O2130"/>
    <mergeCell ref="M2136:O2136"/>
    <mergeCell ref="M2137:O2137"/>
    <mergeCell ref="M2138:O2138"/>
    <mergeCell ref="I2143:N2143"/>
    <mergeCell ref="H2144:H2149"/>
    <mergeCell ref="I2150:J2150"/>
    <mergeCell ref="I2151:J2151"/>
    <mergeCell ref="I2152:J2152"/>
    <mergeCell ref="K2164:N2164"/>
    <mergeCell ref="K2167:N2167"/>
    <mergeCell ref="I2169:O2169"/>
    <mergeCell ref="J2172:M2172"/>
    <mergeCell ref="M2178:O2178"/>
    <mergeCell ref="M2095:O2095"/>
    <mergeCell ref="M2096:O2096"/>
    <mergeCell ref="I2101:N2101"/>
    <mergeCell ref="H2102:H2107"/>
    <mergeCell ref="J2106:L2106"/>
    <mergeCell ref="I2108:J2108"/>
    <mergeCell ref="I2109:J2109"/>
    <mergeCell ref="I2110:J2110"/>
    <mergeCell ref="K2122:N2122"/>
    <mergeCell ref="K2125:N2125"/>
    <mergeCell ref="K2126:N2126"/>
    <mergeCell ref="I2127:O2127"/>
    <mergeCell ref="K2335:N2335"/>
    <mergeCell ref="K2338:N2338"/>
    <mergeCell ref="K2340:N2340"/>
    <mergeCell ref="I2341:O2341"/>
    <mergeCell ref="J2344:M2344"/>
    <mergeCell ref="M2350:O2350"/>
    <mergeCell ref="M2351:O2351"/>
    <mergeCell ref="M2352:O2352"/>
    <mergeCell ref="I2357:N2357"/>
    <mergeCell ref="H2358:H2363"/>
    <mergeCell ref="I2360:N2360"/>
    <mergeCell ref="I2361:N2361"/>
    <mergeCell ref="J2362:L2362"/>
    <mergeCell ref="I2364:J2364"/>
    <mergeCell ref="I2365:J2365"/>
    <mergeCell ref="M2308:O2308"/>
    <mergeCell ref="M2309:O2309"/>
    <mergeCell ref="I2314:N2314"/>
    <mergeCell ref="H2315:H2320"/>
    <mergeCell ref="I2317:N2317"/>
    <mergeCell ref="I2318:N2318"/>
    <mergeCell ref="J2319:L2319"/>
    <mergeCell ref="I2321:J2321"/>
    <mergeCell ref="I2322:J2322"/>
    <mergeCell ref="I2323:J2323"/>
    <mergeCell ref="I2449:J2449"/>
    <mergeCell ref="I2450:J2450"/>
    <mergeCell ref="I2536:J2536"/>
    <mergeCell ref="K2548:N2548"/>
    <mergeCell ref="K2552:N2552"/>
    <mergeCell ref="K2553:N2553"/>
    <mergeCell ref="H2557:O2557"/>
    <mergeCell ref="H2560:O2560"/>
    <mergeCell ref="M2566:O2566"/>
    <mergeCell ref="M2567:O2567"/>
    <mergeCell ref="M2568:O2568"/>
    <mergeCell ref="I2573:N2573"/>
    <mergeCell ref="H2574:H2579"/>
    <mergeCell ref="I2576:N2576"/>
    <mergeCell ref="I2577:N2577"/>
    <mergeCell ref="J2578:L2578"/>
    <mergeCell ref="H2468:O2468"/>
    <mergeCell ref="H2471:O2471"/>
    <mergeCell ref="M2477:O2477"/>
    <mergeCell ref="M2478:O2478"/>
    <mergeCell ref="M2479:O2479"/>
    <mergeCell ref="I2484:N2484"/>
    <mergeCell ref="H2485:H2490"/>
    <mergeCell ref="I2487:N2487"/>
    <mergeCell ref="I2488:N2488"/>
    <mergeCell ref="J2489:L2489"/>
    <mergeCell ref="I2534:J2534"/>
    <mergeCell ref="M2520:O2520"/>
    <mergeCell ref="K2505:N2505"/>
    <mergeCell ref="I2491:J2491"/>
    <mergeCell ref="I2492:J2492"/>
    <mergeCell ref="I2493:J2493"/>
    <mergeCell ref="K2674:N2674"/>
    <mergeCell ref="K2675:N2675"/>
    <mergeCell ref="K2676:N2676"/>
    <mergeCell ref="K2679:N2679"/>
    <mergeCell ref="H2682:O2682"/>
    <mergeCell ref="H2685:O2685"/>
    <mergeCell ref="M2691:O2691"/>
    <mergeCell ref="M2692:O2692"/>
    <mergeCell ref="M2693:O2693"/>
    <mergeCell ref="I2698:N2698"/>
    <mergeCell ref="H2699:H2704"/>
    <mergeCell ref="I2702:N2702"/>
    <mergeCell ref="J2703:L2703"/>
    <mergeCell ref="I2705:J2705"/>
    <mergeCell ref="I2706:J2706"/>
    <mergeCell ref="I2707:J2707"/>
    <mergeCell ref="K2719:N2719"/>
    <mergeCell ref="I2701:N2701"/>
    <mergeCell ref="I2791:J2791"/>
    <mergeCell ref="I2792:J2792"/>
    <mergeCell ref="M2819:O2819"/>
    <mergeCell ref="M2820:O2820"/>
    <mergeCell ref="M2821:O2821"/>
    <mergeCell ref="I2826:N2826"/>
    <mergeCell ref="H2827:H2832"/>
    <mergeCell ref="I2829:N2829"/>
    <mergeCell ref="I2830:N2830"/>
    <mergeCell ref="J2831:L2831"/>
    <mergeCell ref="I2833:J2833"/>
    <mergeCell ref="I2834:J2834"/>
    <mergeCell ref="I2835:J2835"/>
    <mergeCell ref="K2845:N2845"/>
    <mergeCell ref="K2846:N2846"/>
    <mergeCell ref="K2847:N2847"/>
    <mergeCell ref="K2851:N2851"/>
    <mergeCell ref="H2810:O2810"/>
    <mergeCell ref="H2813:O2813"/>
    <mergeCell ref="I2956:N2956"/>
    <mergeCell ref="I2957:N2957"/>
    <mergeCell ref="J2958:L2958"/>
    <mergeCell ref="I2997:N2997"/>
    <mergeCell ref="H2998:H3003"/>
    <mergeCell ref="J3002:L3002"/>
    <mergeCell ref="I3004:J3004"/>
    <mergeCell ref="I3005:J3005"/>
    <mergeCell ref="I3006:J3006"/>
    <mergeCell ref="K3020:N3020"/>
    <mergeCell ref="K3021:N3021"/>
    <mergeCell ref="I3023:O3023"/>
    <mergeCell ref="H3026:O3026"/>
    <mergeCell ref="M3032:O3032"/>
    <mergeCell ref="M3033:O3033"/>
    <mergeCell ref="M3034:O3034"/>
    <mergeCell ref="I3039:N3039"/>
    <mergeCell ref="J2984:M2984"/>
    <mergeCell ref="M2990:O2990"/>
    <mergeCell ref="M2991:O2991"/>
    <mergeCell ref="M2992:O2992"/>
    <mergeCell ref="I3128:N3128"/>
    <mergeCell ref="J3129:L3129"/>
    <mergeCell ref="K3187:N3187"/>
    <mergeCell ref="K3190:N3190"/>
    <mergeCell ref="K3193:N3193"/>
    <mergeCell ref="I3194:O3194"/>
    <mergeCell ref="J3197:M3197"/>
    <mergeCell ref="M3203:O3203"/>
    <mergeCell ref="M3204:O3204"/>
    <mergeCell ref="M3205:O3205"/>
    <mergeCell ref="I3210:N3210"/>
    <mergeCell ref="H3211:H3216"/>
    <mergeCell ref="J3215:L3215"/>
    <mergeCell ref="H3155:O3155"/>
    <mergeCell ref="M3161:O3161"/>
    <mergeCell ref="M3162:O3162"/>
    <mergeCell ref="M3163:O3163"/>
    <mergeCell ref="I3168:N3168"/>
    <mergeCell ref="H3169:H3173"/>
    <mergeCell ref="I3172:N3172"/>
    <mergeCell ref="J3173:L3173"/>
    <mergeCell ref="I3174:J3174"/>
    <mergeCell ref="I3175:J3175"/>
    <mergeCell ref="I3176:J3176"/>
    <mergeCell ref="K3360:N3360"/>
    <mergeCell ref="K3361:N3361"/>
    <mergeCell ref="K3365:N3365"/>
    <mergeCell ref="K3403:N3403"/>
    <mergeCell ref="K3404:N3404"/>
    <mergeCell ref="K3407:N3407"/>
    <mergeCell ref="I3409:O3409"/>
    <mergeCell ref="H3412:O3412"/>
    <mergeCell ref="M3418:O3418"/>
    <mergeCell ref="M3419:O3419"/>
    <mergeCell ref="M3420:O3420"/>
    <mergeCell ref="I3425:N3425"/>
    <mergeCell ref="H3426:H3430"/>
    <mergeCell ref="I3428:N3428"/>
    <mergeCell ref="I3429:N3429"/>
    <mergeCell ref="J3430:L3430"/>
    <mergeCell ref="I3431:J3431"/>
    <mergeCell ref="I3432:J3432"/>
    <mergeCell ref="I3433:J3433"/>
    <mergeCell ref="K3446:N3446"/>
    <mergeCell ref="I3477:J3477"/>
    <mergeCell ref="K3490:N3490"/>
    <mergeCell ref="H3491:O3491"/>
    <mergeCell ref="H3494:O3494"/>
    <mergeCell ref="M3499:O3499"/>
    <mergeCell ref="M3500:O3500"/>
    <mergeCell ref="M3501:O3501"/>
    <mergeCell ref="M3502:O3502"/>
    <mergeCell ref="I3506:N3506"/>
    <mergeCell ref="H3507:H3512"/>
    <mergeCell ref="I3509:N3509"/>
    <mergeCell ref="I3510:N3510"/>
    <mergeCell ref="J3511:L3511"/>
    <mergeCell ref="I3513:J3513"/>
    <mergeCell ref="I3514:J3514"/>
    <mergeCell ref="I3515:J3515"/>
    <mergeCell ref="K3528:N3528"/>
    <mergeCell ref="I3553:N3553"/>
    <mergeCell ref="I3554:N3554"/>
    <mergeCell ref="J3555:M3555"/>
    <mergeCell ref="I3557:J3557"/>
    <mergeCell ref="I3558:J3558"/>
    <mergeCell ref="I3559:J3559"/>
    <mergeCell ref="K3572:N3572"/>
    <mergeCell ref="K3575:N3575"/>
    <mergeCell ref="H3580:O3580"/>
    <mergeCell ref="H3583:O3583"/>
    <mergeCell ref="M3589:O3589"/>
    <mergeCell ref="M3590:O3590"/>
    <mergeCell ref="M3591:O3591"/>
    <mergeCell ref="I3596:N3596"/>
    <mergeCell ref="H3535:O3535"/>
    <mergeCell ref="H3597:H3602"/>
    <mergeCell ref="I3599:N3599"/>
    <mergeCell ref="I3600:N3600"/>
    <mergeCell ref="J3601:L3601"/>
    <mergeCell ref="M3680:O3680"/>
    <mergeCell ref="I3685:N3685"/>
    <mergeCell ref="H3686:H3691"/>
    <mergeCell ref="I3688:N3688"/>
    <mergeCell ref="I3689:N3689"/>
    <mergeCell ref="J3690:L3690"/>
    <mergeCell ref="I3692:J3692"/>
    <mergeCell ref="I3693:J3693"/>
    <mergeCell ref="I3694:J3694"/>
    <mergeCell ref="K3704:N3704"/>
    <mergeCell ref="K3705:N3705"/>
    <mergeCell ref="K3706:N3706"/>
    <mergeCell ref="K3708:N3708"/>
    <mergeCell ref="K3659:N3659"/>
    <mergeCell ref="I3603:J3603"/>
    <mergeCell ref="I3604:J3604"/>
    <mergeCell ref="I3605:J3605"/>
    <mergeCell ref="K3616:N3616"/>
    <mergeCell ref="K3617:N3617"/>
    <mergeCell ref="K3618:N3618"/>
    <mergeCell ref="K3621:N3621"/>
    <mergeCell ref="H3623:O3623"/>
    <mergeCell ref="H3626:O3626"/>
    <mergeCell ref="M3632:O3632"/>
    <mergeCell ref="K3709:N3709"/>
    <mergeCell ref="K3710:N3710"/>
    <mergeCell ref="M3633:O3633"/>
    <mergeCell ref="M3634:O3634"/>
    <mergeCell ref="I3639:N3639"/>
    <mergeCell ref="H3640:H3645"/>
    <mergeCell ref="I3642:N3642"/>
    <mergeCell ref="I3643:N3643"/>
    <mergeCell ref="J3644:L3644"/>
    <mergeCell ref="I3646:J3646"/>
    <mergeCell ref="I3647:J3647"/>
    <mergeCell ref="I3648:J3648"/>
    <mergeCell ref="K3660:N3660"/>
    <mergeCell ref="K3661:N3661"/>
    <mergeCell ref="K3664:N3664"/>
    <mergeCell ref="H3669:O3669"/>
    <mergeCell ref="H3672:O3672"/>
    <mergeCell ref="M3678:O3678"/>
    <mergeCell ref="M3679:O3679"/>
  </mergeCells>
  <pageMargins left="0.7" right="0.7" top="0.75" bottom="0.75" header="0.3" footer="0.3"/>
  <pageSetup paperSize="9" scale="70" orientation="portrait" r:id="rId1"/>
  <colBreaks count="2" manualBreakCount="2">
    <brk id="7" max="3709" man="1"/>
    <brk id="15" max="370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9"/>
  <sheetViews>
    <sheetView topLeftCell="A40" workbookViewId="0">
      <selection activeCell="O56" sqref="O56"/>
    </sheetView>
  </sheetViews>
  <sheetFormatPr baseColWidth="10" defaultRowHeight="12.75"/>
  <cols>
    <col min="1" max="1" width="13.42578125" style="298" customWidth="1"/>
    <col min="2" max="2" width="16.28515625" style="298" bestFit="1" customWidth="1"/>
    <col min="3" max="3" width="11.85546875" style="298" customWidth="1"/>
    <col min="4" max="4" width="14.85546875" style="298" customWidth="1"/>
    <col min="5" max="5" width="15.140625" style="298" customWidth="1"/>
    <col min="6" max="6" width="19.42578125" style="298" customWidth="1"/>
    <col min="7" max="7" width="13.42578125" style="298" customWidth="1"/>
    <col min="8" max="8" width="16.28515625" style="298" bestFit="1" customWidth="1"/>
    <col min="9" max="9" width="11.85546875" style="298" customWidth="1"/>
    <col min="10" max="10" width="14.85546875" style="298" customWidth="1"/>
    <col min="11" max="11" width="16.140625" style="298" customWidth="1"/>
    <col min="12" max="12" width="17.7109375" style="298" customWidth="1"/>
    <col min="13" max="248" width="11.42578125" style="298"/>
    <col min="249" max="249" width="15.42578125" style="298" customWidth="1"/>
    <col min="250" max="250" width="16.28515625" style="298" customWidth="1"/>
    <col min="251" max="251" width="15" style="298" customWidth="1"/>
    <col min="252" max="253" width="16.140625" style="298" customWidth="1"/>
    <col min="254" max="254" width="18.42578125" style="298" customWidth="1"/>
    <col min="255" max="504" width="11.42578125" style="298"/>
    <col min="505" max="505" width="15.42578125" style="298" customWidth="1"/>
    <col min="506" max="506" width="16.28515625" style="298" customWidth="1"/>
    <col min="507" max="507" width="15" style="298" customWidth="1"/>
    <col min="508" max="509" width="16.140625" style="298" customWidth="1"/>
    <col min="510" max="510" width="18.42578125" style="298" customWidth="1"/>
    <col min="511" max="760" width="11.42578125" style="298"/>
    <col min="761" max="761" width="15.42578125" style="298" customWidth="1"/>
    <col min="762" max="762" width="16.28515625" style="298" customWidth="1"/>
    <col min="763" max="763" width="15" style="298" customWidth="1"/>
    <col min="764" max="765" width="16.140625" style="298" customWidth="1"/>
    <col min="766" max="766" width="18.42578125" style="298" customWidth="1"/>
    <col min="767" max="1016" width="11.42578125" style="298"/>
    <col min="1017" max="1017" width="15.42578125" style="298" customWidth="1"/>
    <col min="1018" max="1018" width="16.28515625" style="298" customWidth="1"/>
    <col min="1019" max="1019" width="15" style="298" customWidth="1"/>
    <col min="1020" max="1021" width="16.140625" style="298" customWidth="1"/>
    <col min="1022" max="1022" width="18.42578125" style="298" customWidth="1"/>
    <col min="1023" max="1272" width="11.42578125" style="298"/>
    <col min="1273" max="1273" width="15.42578125" style="298" customWidth="1"/>
    <col min="1274" max="1274" width="16.28515625" style="298" customWidth="1"/>
    <col min="1275" max="1275" width="15" style="298" customWidth="1"/>
    <col min="1276" max="1277" width="16.140625" style="298" customWidth="1"/>
    <col min="1278" max="1278" width="18.42578125" style="298" customWidth="1"/>
    <col min="1279" max="1528" width="11.42578125" style="298"/>
    <col min="1529" max="1529" width="15.42578125" style="298" customWidth="1"/>
    <col min="1530" max="1530" width="16.28515625" style="298" customWidth="1"/>
    <col min="1531" max="1531" width="15" style="298" customWidth="1"/>
    <col min="1532" max="1533" width="16.140625" style="298" customWidth="1"/>
    <col min="1534" max="1534" width="18.42578125" style="298" customWidth="1"/>
    <col min="1535" max="1784" width="11.42578125" style="298"/>
    <col min="1785" max="1785" width="15.42578125" style="298" customWidth="1"/>
    <col min="1786" max="1786" width="16.28515625" style="298" customWidth="1"/>
    <col min="1787" max="1787" width="15" style="298" customWidth="1"/>
    <col min="1788" max="1789" width="16.140625" style="298" customWidth="1"/>
    <col min="1790" max="1790" width="18.42578125" style="298" customWidth="1"/>
    <col min="1791" max="2040" width="11.42578125" style="298"/>
    <col min="2041" max="2041" width="15.42578125" style="298" customWidth="1"/>
    <col min="2042" max="2042" width="16.28515625" style="298" customWidth="1"/>
    <col min="2043" max="2043" width="15" style="298" customWidth="1"/>
    <col min="2044" max="2045" width="16.140625" style="298" customWidth="1"/>
    <col min="2046" max="2046" width="18.42578125" style="298" customWidth="1"/>
    <col min="2047" max="2296" width="11.42578125" style="298"/>
    <col min="2297" max="2297" width="15.42578125" style="298" customWidth="1"/>
    <col min="2298" max="2298" width="16.28515625" style="298" customWidth="1"/>
    <col min="2299" max="2299" width="15" style="298" customWidth="1"/>
    <col min="2300" max="2301" width="16.140625" style="298" customWidth="1"/>
    <col min="2302" max="2302" width="18.42578125" style="298" customWidth="1"/>
    <col min="2303" max="2552" width="11.42578125" style="298"/>
    <col min="2553" max="2553" width="15.42578125" style="298" customWidth="1"/>
    <col min="2554" max="2554" width="16.28515625" style="298" customWidth="1"/>
    <col min="2555" max="2555" width="15" style="298" customWidth="1"/>
    <col min="2556" max="2557" width="16.140625" style="298" customWidth="1"/>
    <col min="2558" max="2558" width="18.42578125" style="298" customWidth="1"/>
    <col min="2559" max="2808" width="11.42578125" style="298"/>
    <col min="2809" max="2809" width="15.42578125" style="298" customWidth="1"/>
    <col min="2810" max="2810" width="16.28515625" style="298" customWidth="1"/>
    <col min="2811" max="2811" width="15" style="298" customWidth="1"/>
    <col min="2812" max="2813" width="16.140625" style="298" customWidth="1"/>
    <col min="2814" max="2814" width="18.42578125" style="298" customWidth="1"/>
    <col min="2815" max="3064" width="11.42578125" style="298"/>
    <col min="3065" max="3065" width="15.42578125" style="298" customWidth="1"/>
    <col min="3066" max="3066" width="16.28515625" style="298" customWidth="1"/>
    <col min="3067" max="3067" width="15" style="298" customWidth="1"/>
    <col min="3068" max="3069" width="16.140625" style="298" customWidth="1"/>
    <col min="3070" max="3070" width="18.42578125" style="298" customWidth="1"/>
    <col min="3071" max="3320" width="11.42578125" style="298"/>
    <col min="3321" max="3321" width="15.42578125" style="298" customWidth="1"/>
    <col min="3322" max="3322" width="16.28515625" style="298" customWidth="1"/>
    <col min="3323" max="3323" width="15" style="298" customWidth="1"/>
    <col min="3324" max="3325" width="16.140625" style="298" customWidth="1"/>
    <col min="3326" max="3326" width="18.42578125" style="298" customWidth="1"/>
    <col min="3327" max="3576" width="11.42578125" style="298"/>
    <col min="3577" max="3577" width="15.42578125" style="298" customWidth="1"/>
    <col min="3578" max="3578" width="16.28515625" style="298" customWidth="1"/>
    <col min="3579" max="3579" width="15" style="298" customWidth="1"/>
    <col min="3580" max="3581" width="16.140625" style="298" customWidth="1"/>
    <col min="3582" max="3582" width="18.42578125" style="298" customWidth="1"/>
    <col min="3583" max="3832" width="11.42578125" style="298"/>
    <col min="3833" max="3833" width="15.42578125" style="298" customWidth="1"/>
    <col min="3834" max="3834" width="16.28515625" style="298" customWidth="1"/>
    <col min="3835" max="3835" width="15" style="298" customWidth="1"/>
    <col min="3836" max="3837" width="16.140625" style="298" customWidth="1"/>
    <col min="3838" max="3838" width="18.42578125" style="298" customWidth="1"/>
    <col min="3839" max="4088" width="11.42578125" style="298"/>
    <col min="4089" max="4089" width="15.42578125" style="298" customWidth="1"/>
    <col min="4090" max="4090" width="16.28515625" style="298" customWidth="1"/>
    <col min="4091" max="4091" width="15" style="298" customWidth="1"/>
    <col min="4092" max="4093" width="16.140625" style="298" customWidth="1"/>
    <col min="4094" max="4094" width="18.42578125" style="298" customWidth="1"/>
    <col min="4095" max="4344" width="11.42578125" style="298"/>
    <col min="4345" max="4345" width="15.42578125" style="298" customWidth="1"/>
    <col min="4346" max="4346" width="16.28515625" style="298" customWidth="1"/>
    <col min="4347" max="4347" width="15" style="298" customWidth="1"/>
    <col min="4348" max="4349" width="16.140625" style="298" customWidth="1"/>
    <col min="4350" max="4350" width="18.42578125" style="298" customWidth="1"/>
    <col min="4351" max="4600" width="11.42578125" style="298"/>
    <col min="4601" max="4601" width="15.42578125" style="298" customWidth="1"/>
    <col min="4602" max="4602" width="16.28515625" style="298" customWidth="1"/>
    <col min="4603" max="4603" width="15" style="298" customWidth="1"/>
    <col min="4604" max="4605" width="16.140625" style="298" customWidth="1"/>
    <col min="4606" max="4606" width="18.42578125" style="298" customWidth="1"/>
    <col min="4607" max="4856" width="11.42578125" style="298"/>
    <col min="4857" max="4857" width="15.42578125" style="298" customWidth="1"/>
    <col min="4858" max="4858" width="16.28515625" style="298" customWidth="1"/>
    <col min="4859" max="4859" width="15" style="298" customWidth="1"/>
    <col min="4860" max="4861" width="16.140625" style="298" customWidth="1"/>
    <col min="4862" max="4862" width="18.42578125" style="298" customWidth="1"/>
    <col min="4863" max="5112" width="11.42578125" style="298"/>
    <col min="5113" max="5113" width="15.42578125" style="298" customWidth="1"/>
    <col min="5114" max="5114" width="16.28515625" style="298" customWidth="1"/>
    <col min="5115" max="5115" width="15" style="298" customWidth="1"/>
    <col min="5116" max="5117" width="16.140625" style="298" customWidth="1"/>
    <col min="5118" max="5118" width="18.42578125" style="298" customWidth="1"/>
    <col min="5119" max="5368" width="11.42578125" style="298"/>
    <col min="5369" max="5369" width="15.42578125" style="298" customWidth="1"/>
    <col min="5370" max="5370" width="16.28515625" style="298" customWidth="1"/>
    <col min="5371" max="5371" width="15" style="298" customWidth="1"/>
    <col min="5372" max="5373" width="16.140625" style="298" customWidth="1"/>
    <col min="5374" max="5374" width="18.42578125" style="298" customWidth="1"/>
    <col min="5375" max="5624" width="11.42578125" style="298"/>
    <col min="5625" max="5625" width="15.42578125" style="298" customWidth="1"/>
    <col min="5626" max="5626" width="16.28515625" style="298" customWidth="1"/>
    <col min="5627" max="5627" width="15" style="298" customWidth="1"/>
    <col min="5628" max="5629" width="16.140625" style="298" customWidth="1"/>
    <col min="5630" max="5630" width="18.42578125" style="298" customWidth="1"/>
    <col min="5631" max="5880" width="11.42578125" style="298"/>
    <col min="5881" max="5881" width="15.42578125" style="298" customWidth="1"/>
    <col min="5882" max="5882" width="16.28515625" style="298" customWidth="1"/>
    <col min="5883" max="5883" width="15" style="298" customWidth="1"/>
    <col min="5884" max="5885" width="16.140625" style="298" customWidth="1"/>
    <col min="5886" max="5886" width="18.42578125" style="298" customWidth="1"/>
    <col min="5887" max="6136" width="11.42578125" style="298"/>
    <col min="6137" max="6137" width="15.42578125" style="298" customWidth="1"/>
    <col min="6138" max="6138" width="16.28515625" style="298" customWidth="1"/>
    <col min="6139" max="6139" width="15" style="298" customWidth="1"/>
    <col min="6140" max="6141" width="16.140625" style="298" customWidth="1"/>
    <col min="6142" max="6142" width="18.42578125" style="298" customWidth="1"/>
    <col min="6143" max="6392" width="11.42578125" style="298"/>
    <col min="6393" max="6393" width="15.42578125" style="298" customWidth="1"/>
    <col min="6394" max="6394" width="16.28515625" style="298" customWidth="1"/>
    <col min="6395" max="6395" width="15" style="298" customWidth="1"/>
    <col min="6396" max="6397" width="16.140625" style="298" customWidth="1"/>
    <col min="6398" max="6398" width="18.42578125" style="298" customWidth="1"/>
    <col min="6399" max="6648" width="11.42578125" style="298"/>
    <col min="6649" max="6649" width="15.42578125" style="298" customWidth="1"/>
    <col min="6650" max="6650" width="16.28515625" style="298" customWidth="1"/>
    <col min="6651" max="6651" width="15" style="298" customWidth="1"/>
    <col min="6652" max="6653" width="16.140625" style="298" customWidth="1"/>
    <col min="6654" max="6654" width="18.42578125" style="298" customWidth="1"/>
    <col min="6655" max="6904" width="11.42578125" style="298"/>
    <col min="6905" max="6905" width="15.42578125" style="298" customWidth="1"/>
    <col min="6906" max="6906" width="16.28515625" style="298" customWidth="1"/>
    <col min="6907" max="6907" width="15" style="298" customWidth="1"/>
    <col min="6908" max="6909" width="16.140625" style="298" customWidth="1"/>
    <col min="6910" max="6910" width="18.42578125" style="298" customWidth="1"/>
    <col min="6911" max="7160" width="11.42578125" style="298"/>
    <col min="7161" max="7161" width="15.42578125" style="298" customWidth="1"/>
    <col min="7162" max="7162" width="16.28515625" style="298" customWidth="1"/>
    <col min="7163" max="7163" width="15" style="298" customWidth="1"/>
    <col min="7164" max="7165" width="16.140625" style="298" customWidth="1"/>
    <col min="7166" max="7166" width="18.42578125" style="298" customWidth="1"/>
    <col min="7167" max="7416" width="11.42578125" style="298"/>
    <col min="7417" max="7417" width="15.42578125" style="298" customWidth="1"/>
    <col min="7418" max="7418" width="16.28515625" style="298" customWidth="1"/>
    <col min="7419" max="7419" width="15" style="298" customWidth="1"/>
    <col min="7420" max="7421" width="16.140625" style="298" customWidth="1"/>
    <col min="7422" max="7422" width="18.42578125" style="298" customWidth="1"/>
    <col min="7423" max="7672" width="11.42578125" style="298"/>
    <col min="7673" max="7673" width="15.42578125" style="298" customWidth="1"/>
    <col min="7674" max="7674" width="16.28515625" style="298" customWidth="1"/>
    <col min="7675" max="7675" width="15" style="298" customWidth="1"/>
    <col min="7676" max="7677" width="16.140625" style="298" customWidth="1"/>
    <col min="7678" max="7678" width="18.42578125" style="298" customWidth="1"/>
    <col min="7679" max="7928" width="11.42578125" style="298"/>
    <col min="7929" max="7929" width="15.42578125" style="298" customWidth="1"/>
    <col min="7930" max="7930" width="16.28515625" style="298" customWidth="1"/>
    <col min="7931" max="7931" width="15" style="298" customWidth="1"/>
    <col min="7932" max="7933" width="16.140625" style="298" customWidth="1"/>
    <col min="7934" max="7934" width="18.42578125" style="298" customWidth="1"/>
    <col min="7935" max="8184" width="11.42578125" style="298"/>
    <col min="8185" max="8185" width="15.42578125" style="298" customWidth="1"/>
    <col min="8186" max="8186" width="16.28515625" style="298" customWidth="1"/>
    <col min="8187" max="8187" width="15" style="298" customWidth="1"/>
    <col min="8188" max="8189" width="16.140625" style="298" customWidth="1"/>
    <col min="8190" max="8190" width="18.42578125" style="298" customWidth="1"/>
    <col min="8191" max="8440" width="11.42578125" style="298"/>
    <col min="8441" max="8441" width="15.42578125" style="298" customWidth="1"/>
    <col min="8442" max="8442" width="16.28515625" style="298" customWidth="1"/>
    <col min="8443" max="8443" width="15" style="298" customWidth="1"/>
    <col min="8444" max="8445" width="16.140625" style="298" customWidth="1"/>
    <col min="8446" max="8446" width="18.42578125" style="298" customWidth="1"/>
    <col min="8447" max="8696" width="11.42578125" style="298"/>
    <col min="8697" max="8697" width="15.42578125" style="298" customWidth="1"/>
    <col min="8698" max="8698" width="16.28515625" style="298" customWidth="1"/>
    <col min="8699" max="8699" width="15" style="298" customWidth="1"/>
    <col min="8700" max="8701" width="16.140625" style="298" customWidth="1"/>
    <col min="8702" max="8702" width="18.42578125" style="298" customWidth="1"/>
    <col min="8703" max="8952" width="11.42578125" style="298"/>
    <col min="8953" max="8953" width="15.42578125" style="298" customWidth="1"/>
    <col min="8954" max="8954" width="16.28515625" style="298" customWidth="1"/>
    <col min="8955" max="8955" width="15" style="298" customWidth="1"/>
    <col min="8956" max="8957" width="16.140625" style="298" customWidth="1"/>
    <col min="8958" max="8958" width="18.42578125" style="298" customWidth="1"/>
    <col min="8959" max="9208" width="11.42578125" style="298"/>
    <col min="9209" max="9209" width="15.42578125" style="298" customWidth="1"/>
    <col min="9210" max="9210" width="16.28515625" style="298" customWidth="1"/>
    <col min="9211" max="9211" width="15" style="298" customWidth="1"/>
    <col min="9212" max="9213" width="16.140625" style="298" customWidth="1"/>
    <col min="9214" max="9214" width="18.42578125" style="298" customWidth="1"/>
    <col min="9215" max="9464" width="11.42578125" style="298"/>
    <col min="9465" max="9465" width="15.42578125" style="298" customWidth="1"/>
    <col min="9466" max="9466" width="16.28515625" style="298" customWidth="1"/>
    <col min="9467" max="9467" width="15" style="298" customWidth="1"/>
    <col min="9468" max="9469" width="16.140625" style="298" customWidth="1"/>
    <col min="9470" max="9470" width="18.42578125" style="298" customWidth="1"/>
    <col min="9471" max="9720" width="11.42578125" style="298"/>
    <col min="9721" max="9721" width="15.42578125" style="298" customWidth="1"/>
    <col min="9722" max="9722" width="16.28515625" style="298" customWidth="1"/>
    <col min="9723" max="9723" width="15" style="298" customWidth="1"/>
    <col min="9724" max="9725" width="16.140625" style="298" customWidth="1"/>
    <col min="9726" max="9726" width="18.42578125" style="298" customWidth="1"/>
    <col min="9727" max="9976" width="11.42578125" style="298"/>
    <col min="9977" max="9977" width="15.42578125" style="298" customWidth="1"/>
    <col min="9978" max="9978" width="16.28515625" style="298" customWidth="1"/>
    <col min="9979" max="9979" width="15" style="298" customWidth="1"/>
    <col min="9980" max="9981" width="16.140625" style="298" customWidth="1"/>
    <col min="9982" max="9982" width="18.42578125" style="298" customWidth="1"/>
    <col min="9983" max="10232" width="11.42578125" style="298"/>
    <col min="10233" max="10233" width="15.42578125" style="298" customWidth="1"/>
    <col min="10234" max="10234" width="16.28515625" style="298" customWidth="1"/>
    <col min="10235" max="10235" width="15" style="298" customWidth="1"/>
    <col min="10236" max="10237" width="16.140625" style="298" customWidth="1"/>
    <col min="10238" max="10238" width="18.42578125" style="298" customWidth="1"/>
    <col min="10239" max="10488" width="11.42578125" style="298"/>
    <col min="10489" max="10489" width="15.42578125" style="298" customWidth="1"/>
    <col min="10490" max="10490" width="16.28515625" style="298" customWidth="1"/>
    <col min="10491" max="10491" width="15" style="298" customWidth="1"/>
    <col min="10492" max="10493" width="16.140625" style="298" customWidth="1"/>
    <col min="10494" max="10494" width="18.42578125" style="298" customWidth="1"/>
    <col min="10495" max="10744" width="11.42578125" style="298"/>
    <col min="10745" max="10745" width="15.42578125" style="298" customWidth="1"/>
    <col min="10746" max="10746" width="16.28515625" style="298" customWidth="1"/>
    <col min="10747" max="10747" width="15" style="298" customWidth="1"/>
    <col min="10748" max="10749" width="16.140625" style="298" customWidth="1"/>
    <col min="10750" max="10750" width="18.42578125" style="298" customWidth="1"/>
    <col min="10751" max="11000" width="11.42578125" style="298"/>
    <col min="11001" max="11001" width="15.42578125" style="298" customWidth="1"/>
    <col min="11002" max="11002" width="16.28515625" style="298" customWidth="1"/>
    <col min="11003" max="11003" width="15" style="298" customWidth="1"/>
    <col min="11004" max="11005" width="16.140625" style="298" customWidth="1"/>
    <col min="11006" max="11006" width="18.42578125" style="298" customWidth="1"/>
    <col min="11007" max="11256" width="11.42578125" style="298"/>
    <col min="11257" max="11257" width="15.42578125" style="298" customWidth="1"/>
    <col min="11258" max="11258" width="16.28515625" style="298" customWidth="1"/>
    <col min="11259" max="11259" width="15" style="298" customWidth="1"/>
    <col min="11260" max="11261" width="16.140625" style="298" customWidth="1"/>
    <col min="11262" max="11262" width="18.42578125" style="298" customWidth="1"/>
    <col min="11263" max="11512" width="11.42578125" style="298"/>
    <col min="11513" max="11513" width="15.42578125" style="298" customWidth="1"/>
    <col min="11514" max="11514" width="16.28515625" style="298" customWidth="1"/>
    <col min="11515" max="11515" width="15" style="298" customWidth="1"/>
    <col min="11516" max="11517" width="16.140625" style="298" customWidth="1"/>
    <col min="11518" max="11518" width="18.42578125" style="298" customWidth="1"/>
    <col min="11519" max="11768" width="11.42578125" style="298"/>
    <col min="11769" max="11769" width="15.42578125" style="298" customWidth="1"/>
    <col min="11770" max="11770" width="16.28515625" style="298" customWidth="1"/>
    <col min="11771" max="11771" width="15" style="298" customWidth="1"/>
    <col min="11772" max="11773" width="16.140625" style="298" customWidth="1"/>
    <col min="11774" max="11774" width="18.42578125" style="298" customWidth="1"/>
    <col min="11775" max="12024" width="11.42578125" style="298"/>
    <col min="12025" max="12025" width="15.42578125" style="298" customWidth="1"/>
    <col min="12026" max="12026" width="16.28515625" style="298" customWidth="1"/>
    <col min="12027" max="12027" width="15" style="298" customWidth="1"/>
    <col min="12028" max="12029" width="16.140625" style="298" customWidth="1"/>
    <col min="12030" max="12030" width="18.42578125" style="298" customWidth="1"/>
    <col min="12031" max="12280" width="11.42578125" style="298"/>
    <col min="12281" max="12281" width="15.42578125" style="298" customWidth="1"/>
    <col min="12282" max="12282" width="16.28515625" style="298" customWidth="1"/>
    <col min="12283" max="12283" width="15" style="298" customWidth="1"/>
    <col min="12284" max="12285" width="16.140625" style="298" customWidth="1"/>
    <col min="12286" max="12286" width="18.42578125" style="298" customWidth="1"/>
    <col min="12287" max="12536" width="11.42578125" style="298"/>
    <col min="12537" max="12537" width="15.42578125" style="298" customWidth="1"/>
    <col min="12538" max="12538" width="16.28515625" style="298" customWidth="1"/>
    <col min="12539" max="12539" width="15" style="298" customWidth="1"/>
    <col min="12540" max="12541" width="16.140625" style="298" customWidth="1"/>
    <col min="12542" max="12542" width="18.42578125" style="298" customWidth="1"/>
    <col min="12543" max="12792" width="11.42578125" style="298"/>
    <col min="12793" max="12793" width="15.42578125" style="298" customWidth="1"/>
    <col min="12794" max="12794" width="16.28515625" style="298" customWidth="1"/>
    <col min="12795" max="12795" width="15" style="298" customWidth="1"/>
    <col min="12796" max="12797" width="16.140625" style="298" customWidth="1"/>
    <col min="12798" max="12798" width="18.42578125" style="298" customWidth="1"/>
    <col min="12799" max="13048" width="11.42578125" style="298"/>
    <col min="13049" max="13049" width="15.42578125" style="298" customWidth="1"/>
    <col min="13050" max="13050" width="16.28515625" style="298" customWidth="1"/>
    <col min="13051" max="13051" width="15" style="298" customWidth="1"/>
    <col min="13052" max="13053" width="16.140625" style="298" customWidth="1"/>
    <col min="13054" max="13054" width="18.42578125" style="298" customWidth="1"/>
    <col min="13055" max="13304" width="11.42578125" style="298"/>
    <col min="13305" max="13305" width="15.42578125" style="298" customWidth="1"/>
    <col min="13306" max="13306" width="16.28515625" style="298" customWidth="1"/>
    <col min="13307" max="13307" width="15" style="298" customWidth="1"/>
    <col min="13308" max="13309" width="16.140625" style="298" customWidth="1"/>
    <col min="13310" max="13310" width="18.42578125" style="298" customWidth="1"/>
    <col min="13311" max="13560" width="11.42578125" style="298"/>
    <col min="13561" max="13561" width="15.42578125" style="298" customWidth="1"/>
    <col min="13562" max="13562" width="16.28515625" style="298" customWidth="1"/>
    <col min="13563" max="13563" width="15" style="298" customWidth="1"/>
    <col min="13564" max="13565" width="16.140625" style="298" customWidth="1"/>
    <col min="13566" max="13566" width="18.42578125" style="298" customWidth="1"/>
    <col min="13567" max="13816" width="11.42578125" style="298"/>
    <col min="13817" max="13817" width="15.42578125" style="298" customWidth="1"/>
    <col min="13818" max="13818" width="16.28515625" style="298" customWidth="1"/>
    <col min="13819" max="13819" width="15" style="298" customWidth="1"/>
    <col min="13820" max="13821" width="16.140625" style="298" customWidth="1"/>
    <col min="13822" max="13822" width="18.42578125" style="298" customWidth="1"/>
    <col min="13823" max="14072" width="11.42578125" style="298"/>
    <col min="14073" max="14073" width="15.42578125" style="298" customWidth="1"/>
    <col min="14074" max="14074" width="16.28515625" style="298" customWidth="1"/>
    <col min="14075" max="14075" width="15" style="298" customWidth="1"/>
    <col min="14076" max="14077" width="16.140625" style="298" customWidth="1"/>
    <col min="14078" max="14078" width="18.42578125" style="298" customWidth="1"/>
    <col min="14079" max="14328" width="11.42578125" style="298"/>
    <col min="14329" max="14329" width="15.42578125" style="298" customWidth="1"/>
    <col min="14330" max="14330" width="16.28515625" style="298" customWidth="1"/>
    <col min="14331" max="14331" width="15" style="298" customWidth="1"/>
    <col min="14332" max="14333" width="16.140625" style="298" customWidth="1"/>
    <col min="14334" max="14334" width="18.42578125" style="298" customWidth="1"/>
    <col min="14335" max="14584" width="11.42578125" style="298"/>
    <col min="14585" max="14585" width="15.42578125" style="298" customWidth="1"/>
    <col min="14586" max="14586" width="16.28515625" style="298" customWidth="1"/>
    <col min="14587" max="14587" width="15" style="298" customWidth="1"/>
    <col min="14588" max="14589" width="16.140625" style="298" customWidth="1"/>
    <col min="14590" max="14590" width="18.42578125" style="298" customWidth="1"/>
    <col min="14591" max="14840" width="11.42578125" style="298"/>
    <col min="14841" max="14841" width="15.42578125" style="298" customWidth="1"/>
    <col min="14842" max="14842" width="16.28515625" style="298" customWidth="1"/>
    <col min="14843" max="14843" width="15" style="298" customWidth="1"/>
    <col min="14844" max="14845" width="16.140625" style="298" customWidth="1"/>
    <col min="14846" max="14846" width="18.42578125" style="298" customWidth="1"/>
    <col min="14847" max="15096" width="11.42578125" style="298"/>
    <col min="15097" max="15097" width="15.42578125" style="298" customWidth="1"/>
    <col min="15098" max="15098" width="16.28515625" style="298" customWidth="1"/>
    <col min="15099" max="15099" width="15" style="298" customWidth="1"/>
    <col min="15100" max="15101" width="16.140625" style="298" customWidth="1"/>
    <col min="15102" max="15102" width="18.42578125" style="298" customWidth="1"/>
    <col min="15103" max="15352" width="11.42578125" style="298"/>
    <col min="15353" max="15353" width="15.42578125" style="298" customWidth="1"/>
    <col min="15354" max="15354" width="16.28515625" style="298" customWidth="1"/>
    <col min="15355" max="15355" width="15" style="298" customWidth="1"/>
    <col min="15356" max="15357" width="16.140625" style="298" customWidth="1"/>
    <col min="15358" max="15358" width="18.42578125" style="298" customWidth="1"/>
    <col min="15359" max="15608" width="11.42578125" style="298"/>
    <col min="15609" max="15609" width="15.42578125" style="298" customWidth="1"/>
    <col min="15610" max="15610" width="16.28515625" style="298" customWidth="1"/>
    <col min="15611" max="15611" width="15" style="298" customWidth="1"/>
    <col min="15612" max="15613" width="16.140625" style="298" customWidth="1"/>
    <col min="15614" max="15614" width="18.42578125" style="298" customWidth="1"/>
    <col min="15615" max="15864" width="11.42578125" style="298"/>
    <col min="15865" max="15865" width="15.42578125" style="298" customWidth="1"/>
    <col min="15866" max="15866" width="16.28515625" style="298" customWidth="1"/>
    <col min="15867" max="15867" width="15" style="298" customWidth="1"/>
    <col min="15868" max="15869" width="16.140625" style="298" customWidth="1"/>
    <col min="15870" max="15870" width="18.42578125" style="298" customWidth="1"/>
    <col min="15871" max="16120" width="11.42578125" style="298"/>
    <col min="16121" max="16121" width="15.42578125" style="298" customWidth="1"/>
    <col min="16122" max="16122" width="16.28515625" style="298" customWidth="1"/>
    <col min="16123" max="16123" width="15" style="298" customWidth="1"/>
    <col min="16124" max="16125" width="16.140625" style="298" customWidth="1"/>
    <col min="16126" max="16126" width="18.42578125" style="298" customWidth="1"/>
    <col min="16127" max="16384" width="11.42578125" style="298"/>
  </cols>
  <sheetData>
    <row r="1" spans="1:12" s="322" customFormat="1" ht="26.25" customHeight="1">
      <c r="B1" s="861" t="s">
        <v>1046</v>
      </c>
      <c r="C1" s="861"/>
      <c r="D1" s="861"/>
      <c r="E1" s="861"/>
      <c r="F1" s="861"/>
      <c r="H1" s="861" t="s">
        <v>1046</v>
      </c>
      <c r="I1" s="861"/>
      <c r="J1" s="861"/>
      <c r="K1" s="861"/>
      <c r="L1" s="861"/>
    </row>
    <row r="2" spans="1:12" s="322" customFormat="1" ht="21.75" customHeight="1">
      <c r="B2" s="845" t="s">
        <v>1047</v>
      </c>
      <c r="C2" s="845"/>
      <c r="D2" s="845"/>
      <c r="E2" s="845"/>
      <c r="F2" s="845"/>
      <c r="H2" s="845" t="s">
        <v>1047</v>
      </c>
      <c r="I2" s="845"/>
      <c r="J2" s="845"/>
      <c r="K2" s="845"/>
      <c r="L2" s="845"/>
    </row>
    <row r="3" spans="1:12" s="322" customFormat="1" ht="18" customHeight="1">
      <c r="B3" s="846" t="s">
        <v>1058</v>
      </c>
      <c r="C3" s="847"/>
      <c r="D3" s="847"/>
      <c r="E3" s="847"/>
      <c r="F3" s="848"/>
      <c r="H3" s="846" t="s">
        <v>1058</v>
      </c>
      <c r="I3" s="847"/>
      <c r="J3" s="847"/>
      <c r="K3" s="847"/>
      <c r="L3" s="848"/>
    </row>
    <row r="4" spans="1:12" s="322" customFormat="1" ht="18" customHeight="1">
      <c r="B4" s="849" t="s">
        <v>1048</v>
      </c>
      <c r="C4" s="850"/>
      <c r="D4" s="850"/>
      <c r="E4" s="850"/>
      <c r="F4" s="851"/>
      <c r="H4" s="849" t="s">
        <v>1048</v>
      </c>
      <c r="I4" s="850"/>
      <c r="J4" s="850"/>
      <c r="K4" s="850"/>
      <c r="L4" s="851"/>
    </row>
    <row r="5" spans="1:12" s="322" customFormat="1" ht="18" customHeight="1">
      <c r="B5" s="345"/>
      <c r="C5" s="345"/>
      <c r="D5" s="345"/>
      <c r="E5" s="345"/>
      <c r="F5" s="345"/>
      <c r="H5" s="345"/>
      <c r="I5" s="345"/>
      <c r="J5" s="345"/>
      <c r="K5" s="345"/>
      <c r="L5" s="345"/>
    </row>
    <row r="6" spans="1:12" s="319" customFormat="1" ht="12" customHeight="1">
      <c r="A6" s="323"/>
      <c r="B6" s="324"/>
      <c r="C6" s="324"/>
      <c r="D6" s="324"/>
      <c r="E6" s="324"/>
      <c r="G6" s="323"/>
      <c r="H6" s="324"/>
      <c r="I6" s="324"/>
      <c r="J6" s="324"/>
      <c r="K6" s="324"/>
    </row>
    <row r="7" spans="1:12" s="319" customFormat="1" ht="15.75" customHeight="1">
      <c r="A7" s="325"/>
      <c r="B7" s="325"/>
      <c r="D7" s="326"/>
      <c r="E7" s="327"/>
      <c r="F7" s="328"/>
      <c r="G7" s="325"/>
      <c r="H7" s="325"/>
      <c r="J7" s="326"/>
      <c r="K7" s="327"/>
      <c r="L7" s="328"/>
    </row>
    <row r="8" spans="1:12" s="319" customFormat="1" ht="15.75" customHeight="1">
      <c r="A8" s="329"/>
      <c r="B8" s="325"/>
      <c r="D8" s="835" t="s">
        <v>385</v>
      </c>
      <c r="E8" s="835"/>
      <c r="F8" s="835"/>
      <c r="G8" s="329"/>
      <c r="H8" s="325"/>
      <c r="J8" s="835" t="s">
        <v>1091</v>
      </c>
      <c r="K8" s="835"/>
      <c r="L8" s="835"/>
    </row>
    <row r="9" spans="1:12" s="319" customFormat="1" ht="16.5">
      <c r="A9" s="325" t="s">
        <v>1049</v>
      </c>
      <c r="B9" s="330">
        <v>344</v>
      </c>
      <c r="D9" s="835" t="s">
        <v>1105</v>
      </c>
      <c r="E9" s="835"/>
      <c r="F9" s="835"/>
      <c r="G9" s="325" t="s">
        <v>1049</v>
      </c>
      <c r="H9" s="325">
        <v>262</v>
      </c>
      <c r="J9" s="835" t="s">
        <v>1102</v>
      </c>
      <c r="K9" s="835"/>
      <c r="L9" s="835"/>
    </row>
    <row r="10" spans="1:12" s="319" customFormat="1" ht="16.5">
      <c r="A10" s="325"/>
      <c r="B10" s="331"/>
      <c r="C10" s="324"/>
      <c r="D10" s="835" t="s">
        <v>1106</v>
      </c>
      <c r="E10" s="835"/>
      <c r="F10" s="835"/>
      <c r="G10" s="325"/>
      <c r="H10" s="331"/>
      <c r="I10" s="324"/>
      <c r="J10" s="835" t="s">
        <v>1103</v>
      </c>
      <c r="K10" s="835"/>
      <c r="L10" s="835"/>
    </row>
    <row r="11" spans="1:12" s="319" customFormat="1" ht="16.5">
      <c r="A11" s="325" t="s">
        <v>1050</v>
      </c>
      <c r="B11" s="332"/>
      <c r="D11" s="333"/>
      <c r="E11" s="317" t="s">
        <v>36</v>
      </c>
      <c r="F11" s="334"/>
      <c r="G11" s="325" t="s">
        <v>1050</v>
      </c>
      <c r="H11" s="332"/>
      <c r="J11" s="333"/>
      <c r="K11" s="317" t="s">
        <v>36</v>
      </c>
      <c r="L11" s="334"/>
    </row>
    <row r="12" spans="1:12" s="319" customFormat="1" ht="16.5">
      <c r="A12" s="325"/>
      <c r="B12" s="335"/>
      <c r="D12" s="329"/>
      <c r="E12" s="329"/>
      <c r="F12" s="336"/>
      <c r="G12" s="325"/>
      <c r="H12" s="335"/>
      <c r="J12" s="329"/>
      <c r="K12" s="329"/>
      <c r="L12" s="336"/>
    </row>
    <row r="13" spans="1:12" s="319" customFormat="1" ht="16.5">
      <c r="A13" s="325"/>
      <c r="B13" s="331"/>
      <c r="D13" s="329"/>
      <c r="E13" s="329"/>
      <c r="G13" s="325"/>
      <c r="H13" s="331"/>
      <c r="J13" s="329"/>
      <c r="K13" s="329"/>
    </row>
    <row r="14" spans="1:12" s="319" customFormat="1" ht="15.75">
      <c r="A14" s="317"/>
      <c r="B14" s="337"/>
      <c r="C14" s="337"/>
      <c r="D14" s="337"/>
      <c r="E14" s="327"/>
      <c r="G14" s="317"/>
      <c r="H14" s="337"/>
      <c r="I14" s="337"/>
      <c r="J14" s="337"/>
      <c r="K14" s="327"/>
    </row>
    <row r="15" spans="1:12" s="319" customFormat="1" ht="17.25" customHeight="1">
      <c r="A15" s="302" t="s">
        <v>3</v>
      </c>
      <c r="B15" s="855" t="s">
        <v>4</v>
      </c>
      <c r="C15" s="856"/>
      <c r="D15" s="856"/>
      <c r="E15" s="857"/>
      <c r="F15" s="302" t="s">
        <v>363</v>
      </c>
      <c r="G15" s="302" t="s">
        <v>3</v>
      </c>
      <c r="H15" s="855" t="s">
        <v>4</v>
      </c>
      <c r="I15" s="856"/>
      <c r="J15" s="856"/>
      <c r="K15" s="857"/>
      <c r="L15" s="302" t="s">
        <v>363</v>
      </c>
    </row>
    <row r="16" spans="1:12" s="324" customFormat="1" ht="20.100000000000001" customHeight="1">
      <c r="A16" s="858" t="s">
        <v>1245</v>
      </c>
      <c r="B16" s="840"/>
      <c r="C16" s="841"/>
      <c r="D16" s="841"/>
      <c r="E16" s="338"/>
      <c r="F16" s="339"/>
      <c r="G16" s="858" t="s">
        <v>1081</v>
      </c>
      <c r="H16" s="840"/>
      <c r="I16" s="841"/>
      <c r="J16" s="841"/>
      <c r="K16" s="338"/>
      <c r="L16" s="339"/>
    </row>
    <row r="17" spans="1:12" s="319" customFormat="1" ht="20.100000000000001" customHeight="1">
      <c r="A17" s="859"/>
      <c r="B17" s="852" t="s">
        <v>1247</v>
      </c>
      <c r="C17" s="853"/>
      <c r="D17" s="853"/>
      <c r="E17" s="854"/>
      <c r="F17" s="340"/>
      <c r="G17" s="859"/>
      <c r="L17" s="340"/>
    </row>
    <row r="18" spans="1:12" s="319" customFormat="1" ht="20.100000000000001" customHeight="1">
      <c r="A18" s="859"/>
      <c r="B18" s="852" t="s">
        <v>1248</v>
      </c>
      <c r="C18" s="853"/>
      <c r="D18" s="853"/>
      <c r="E18" s="854"/>
      <c r="F18" s="340"/>
      <c r="G18" s="859"/>
      <c r="H18" s="852" t="s">
        <v>1088</v>
      </c>
      <c r="I18" s="853"/>
      <c r="J18" s="853"/>
      <c r="K18" s="854"/>
      <c r="L18" s="340"/>
    </row>
    <row r="19" spans="1:12" s="319" customFormat="1" ht="20.100000000000001" customHeight="1">
      <c r="A19" s="859"/>
      <c r="B19" s="852" t="s">
        <v>1249</v>
      </c>
      <c r="C19" s="853"/>
      <c r="D19" s="853"/>
      <c r="E19" s="854"/>
      <c r="F19" s="340"/>
      <c r="G19" s="859"/>
      <c r="H19" s="390"/>
      <c r="I19" s="391"/>
      <c r="J19" s="391"/>
      <c r="K19" s="392"/>
      <c r="L19" s="340"/>
    </row>
    <row r="20" spans="1:12" s="319" customFormat="1" ht="20.100000000000001" customHeight="1">
      <c r="A20" s="859"/>
      <c r="B20" s="842"/>
      <c r="C20" s="843"/>
      <c r="D20" s="843"/>
      <c r="E20" s="844"/>
      <c r="F20" s="340"/>
      <c r="G20" s="859"/>
      <c r="H20" s="842" t="s">
        <v>1092</v>
      </c>
      <c r="I20" s="843"/>
      <c r="J20" s="843"/>
      <c r="K20" s="844"/>
      <c r="L20" s="340"/>
    </row>
    <row r="21" spans="1:12" s="319" customFormat="1" ht="20.100000000000001" customHeight="1">
      <c r="A21" s="859"/>
      <c r="B21" s="833" t="s">
        <v>1108</v>
      </c>
      <c r="C21" s="833"/>
      <c r="D21" s="833" t="s">
        <v>1109</v>
      </c>
      <c r="E21" s="833"/>
      <c r="F21" s="309">
        <f>+B22*D22</f>
        <v>64517844</v>
      </c>
      <c r="G21" s="859"/>
      <c r="H21" s="833" t="s">
        <v>1093</v>
      </c>
      <c r="I21" s="833"/>
      <c r="J21" s="833" t="s">
        <v>8</v>
      </c>
      <c r="K21" s="833"/>
      <c r="L21" s="309">
        <f>+H22*J22</f>
        <v>72500</v>
      </c>
    </row>
    <row r="22" spans="1:12" s="319" customFormat="1" ht="14.25" customHeight="1">
      <c r="A22" s="859"/>
      <c r="B22" s="833">
        <v>1</v>
      </c>
      <c r="C22" s="833"/>
      <c r="D22" s="834">
        <f>34071018+30446826</f>
        <v>64517844</v>
      </c>
      <c r="E22" s="833"/>
      <c r="F22" s="341"/>
      <c r="G22" s="859"/>
      <c r="H22" s="833">
        <v>1</v>
      </c>
      <c r="I22" s="833"/>
      <c r="J22" s="834">
        <v>72500</v>
      </c>
      <c r="K22" s="833"/>
      <c r="L22" s="341"/>
    </row>
    <row r="23" spans="1:12" s="319" customFormat="1" ht="15.75" customHeight="1">
      <c r="A23" s="860"/>
      <c r="B23" s="342"/>
      <c r="C23" s="327"/>
      <c r="D23" s="327"/>
      <c r="E23" s="343"/>
      <c r="F23" s="344"/>
      <c r="G23" s="860"/>
      <c r="H23" s="342"/>
      <c r="I23" s="327"/>
      <c r="J23" s="327"/>
      <c r="K23" s="343"/>
      <c r="L23" s="344"/>
    </row>
    <row r="24" spans="1:12" s="319" customFormat="1" ht="20.100000000000001" customHeight="1">
      <c r="A24" s="303" t="s">
        <v>12</v>
      </c>
      <c r="B24" s="304" t="s">
        <v>1051</v>
      </c>
      <c r="C24" s="304" t="s">
        <v>14</v>
      </c>
      <c r="D24" s="304" t="s">
        <v>15</v>
      </c>
      <c r="E24" s="304" t="s">
        <v>1052</v>
      </c>
      <c r="F24" s="305" t="s">
        <v>17</v>
      </c>
      <c r="G24" s="303" t="s">
        <v>12</v>
      </c>
      <c r="H24" s="304" t="s">
        <v>1051</v>
      </c>
      <c r="I24" s="304" t="s">
        <v>14</v>
      </c>
      <c r="J24" s="304" t="s">
        <v>15</v>
      </c>
      <c r="K24" s="304" t="s">
        <v>1052</v>
      </c>
      <c r="L24" s="305" t="s">
        <v>17</v>
      </c>
    </row>
    <row r="25" spans="1:12" s="319" customFormat="1" ht="18.75" customHeight="1">
      <c r="A25" s="311" t="s">
        <v>18</v>
      </c>
      <c r="B25" s="312">
        <f>+F21</f>
        <v>64517844</v>
      </c>
      <c r="C25" s="313">
        <v>0</v>
      </c>
      <c r="D25" s="306">
        <v>0</v>
      </c>
      <c r="E25" s="311">
        <f>B25+C25</f>
        <v>64517844</v>
      </c>
      <c r="F25" s="310">
        <f>E25-D25</f>
        <v>64517844</v>
      </c>
      <c r="G25" s="311" t="s">
        <v>18</v>
      </c>
      <c r="H25" s="312">
        <f>+L21</f>
        <v>72500</v>
      </c>
      <c r="I25" s="313">
        <v>0</v>
      </c>
      <c r="J25" s="306">
        <v>0</v>
      </c>
      <c r="K25" s="311">
        <f>H25+I25</f>
        <v>72500</v>
      </c>
      <c r="L25" s="310">
        <f>K25-J25</f>
        <v>72500</v>
      </c>
    </row>
    <row r="26" spans="1:12" s="319" customFormat="1" ht="16.5" customHeight="1">
      <c r="A26" s="311" t="s">
        <v>113</v>
      </c>
      <c r="B26" s="312">
        <f>SUM(B25/655.957)</f>
        <v>98356.819120765533</v>
      </c>
      <c r="C26" s="312">
        <f>SUM(C25/655.957)</f>
        <v>0</v>
      </c>
      <c r="D26" s="314">
        <v>0</v>
      </c>
      <c r="E26" s="314">
        <f>SUM(E25/655.957)</f>
        <v>98356.819120765533</v>
      </c>
      <c r="F26" s="312">
        <f>SUM(F25/655.957)</f>
        <v>98356.819120765533</v>
      </c>
      <c r="G26" s="311" t="s">
        <v>113</v>
      </c>
      <c r="H26" s="312">
        <f>SUM(H25/655.957)</f>
        <v>110.52553749712253</v>
      </c>
      <c r="I26" s="312">
        <f>SUM(I25/655.957)</f>
        <v>0</v>
      </c>
      <c r="J26" s="314">
        <v>0</v>
      </c>
      <c r="K26" s="314">
        <f>SUM(K25/655.957)</f>
        <v>110.52553749712253</v>
      </c>
      <c r="L26" s="312">
        <f>SUM(L25/655.957)</f>
        <v>110.52553749712253</v>
      </c>
    </row>
    <row r="27" spans="1:12" ht="19.5" customHeight="1">
      <c r="A27" s="864" t="s">
        <v>1053</v>
      </c>
      <c r="B27" s="864"/>
      <c r="C27" s="864"/>
      <c r="D27" s="864"/>
      <c r="E27" s="864"/>
      <c r="F27" s="864"/>
      <c r="G27" s="862" t="s">
        <v>1053</v>
      </c>
      <c r="H27" s="862"/>
      <c r="I27" s="862"/>
      <c r="J27" s="862"/>
      <c r="K27" s="862"/>
      <c r="L27" s="862"/>
    </row>
    <row r="28" spans="1:12" ht="19.5" customHeight="1">
      <c r="A28" s="865" t="s">
        <v>1250</v>
      </c>
      <c r="B28" s="865"/>
      <c r="C28" s="865"/>
      <c r="D28" s="865"/>
      <c r="E28" s="865"/>
      <c r="F28" s="865"/>
      <c r="G28" s="863" t="s">
        <v>1104</v>
      </c>
      <c r="H28" s="863"/>
      <c r="I28" s="863"/>
      <c r="J28" s="863"/>
      <c r="K28" s="863"/>
      <c r="L28" s="863"/>
    </row>
    <row r="29" spans="1:12" ht="11.25" customHeight="1">
      <c r="A29" s="836"/>
      <c r="B29" s="836"/>
      <c r="C29" s="836"/>
      <c r="D29" s="836"/>
      <c r="E29" s="836"/>
      <c r="F29" s="836"/>
      <c r="G29" s="837"/>
      <c r="H29" s="837"/>
      <c r="I29" s="837"/>
      <c r="J29" s="837"/>
      <c r="K29" s="837"/>
      <c r="L29" s="837"/>
    </row>
    <row r="30" spans="1:12" ht="18.75" customHeight="1">
      <c r="A30" s="831" t="s">
        <v>1054</v>
      </c>
      <c r="B30" s="831"/>
      <c r="C30" s="319"/>
      <c r="D30" s="319"/>
      <c r="E30" s="319"/>
      <c r="F30" s="319"/>
      <c r="G30" s="832" t="s">
        <v>1054</v>
      </c>
      <c r="H30" s="832"/>
      <c r="I30" s="301"/>
      <c r="J30" s="301"/>
      <c r="K30" s="301"/>
      <c r="L30" s="301"/>
    </row>
    <row r="31" spans="1:12" ht="15" customHeight="1">
      <c r="A31" s="329" t="s">
        <v>1089</v>
      </c>
      <c r="B31" s="329"/>
      <c r="C31" s="319"/>
      <c r="D31" s="319"/>
      <c r="E31" s="319"/>
      <c r="F31" s="320"/>
      <c r="G31" s="301" t="s">
        <v>1089</v>
      </c>
      <c r="H31" s="301"/>
      <c r="I31" s="301"/>
      <c r="J31" s="301"/>
      <c r="K31" s="301"/>
      <c r="L31" s="301"/>
    </row>
    <row r="32" spans="1:12" ht="16.5">
      <c r="A32" s="329" t="s">
        <v>1090</v>
      </c>
      <c r="B32" s="329"/>
      <c r="C32" s="321"/>
      <c r="D32" s="320"/>
      <c r="E32" s="320"/>
      <c r="F32" s="319"/>
      <c r="G32" s="301" t="s">
        <v>1090</v>
      </c>
      <c r="H32" s="301"/>
      <c r="I32" s="301"/>
      <c r="J32" s="301"/>
      <c r="K32" s="301"/>
      <c r="L32" s="301"/>
    </row>
    <row r="33" spans="1:12" s="307" customFormat="1" ht="16.5">
      <c r="A33" s="329" t="s">
        <v>1055</v>
      </c>
      <c r="B33" s="329"/>
      <c r="C33" s="319"/>
      <c r="D33" s="319"/>
      <c r="E33" s="319"/>
      <c r="F33" s="319"/>
      <c r="G33" s="301" t="s">
        <v>1055</v>
      </c>
      <c r="H33" s="301"/>
      <c r="I33" s="301"/>
      <c r="J33" s="301"/>
      <c r="K33" s="301"/>
      <c r="L33" s="301"/>
    </row>
    <row r="34" spans="1:12" s="307" customFormat="1" ht="13.5">
      <c r="A34" s="298"/>
      <c r="B34" s="298"/>
      <c r="C34" s="298"/>
      <c r="D34" s="298"/>
      <c r="E34" s="298"/>
      <c r="F34" s="298"/>
      <c r="G34" s="298"/>
      <c r="H34" s="298"/>
      <c r="I34" s="298"/>
      <c r="J34" s="298"/>
      <c r="K34" s="298"/>
      <c r="L34" s="298"/>
    </row>
    <row r="35" spans="1:12" s="307" customFormat="1" ht="13.5">
      <c r="A35" s="298"/>
      <c r="B35" s="298"/>
      <c r="C35" s="298"/>
      <c r="D35" s="298"/>
      <c r="E35" s="298"/>
      <c r="F35" s="298"/>
      <c r="G35" s="298"/>
      <c r="H35" s="298"/>
      <c r="I35" s="298"/>
      <c r="J35" s="298"/>
      <c r="K35" s="298"/>
      <c r="L35" s="298"/>
    </row>
    <row r="36" spans="1:12" ht="16.5">
      <c r="A36" s="299"/>
      <c r="B36" s="299"/>
      <c r="C36" s="30" t="s">
        <v>24</v>
      </c>
      <c r="D36" s="30"/>
      <c r="E36" s="30"/>
      <c r="F36" s="299"/>
      <c r="G36" s="299"/>
      <c r="H36" s="299"/>
      <c r="I36" s="30" t="s">
        <v>24</v>
      </c>
      <c r="J36" s="30"/>
      <c r="K36" s="30"/>
      <c r="L36" s="299"/>
    </row>
    <row r="37" spans="1:12" ht="16.5">
      <c r="A37" s="299"/>
      <c r="B37" s="299"/>
      <c r="C37" s="30" t="s">
        <v>149</v>
      </c>
      <c r="D37" s="30"/>
      <c r="E37" s="30"/>
      <c r="F37" s="299"/>
      <c r="G37" s="299"/>
      <c r="H37" s="299"/>
      <c r="I37" s="30" t="s">
        <v>149</v>
      </c>
      <c r="J37" s="30"/>
      <c r="K37" s="30"/>
      <c r="L37" s="299"/>
    </row>
    <row r="38" spans="1:12" ht="16.5">
      <c r="C38" s="699" t="s">
        <v>150</v>
      </c>
      <c r="D38" s="699"/>
      <c r="E38" s="699"/>
      <c r="I38" s="699" t="s">
        <v>150</v>
      </c>
      <c r="J38" s="699"/>
      <c r="K38" s="699"/>
    </row>
    <row r="39" spans="1:12" ht="15" customHeight="1">
      <c r="C39" s="315"/>
      <c r="D39" s="315"/>
      <c r="E39" s="315"/>
      <c r="I39" s="315"/>
      <c r="J39" s="315"/>
      <c r="K39" s="315"/>
    </row>
    <row r="40" spans="1:12" ht="15.75" customHeight="1"/>
    <row r="41" spans="1:12" ht="14.25" customHeight="1"/>
    <row r="42" spans="1:12" ht="15.75">
      <c r="A42" s="299"/>
      <c r="B42" s="299"/>
      <c r="C42" s="666" t="s">
        <v>23</v>
      </c>
      <c r="D42" s="835"/>
      <c r="E42" s="835"/>
      <c r="F42" s="299"/>
      <c r="G42" s="299"/>
      <c r="H42" s="299"/>
      <c r="I42" s="666" t="s">
        <v>23</v>
      </c>
      <c r="J42" s="835"/>
      <c r="K42" s="835"/>
      <c r="L42" s="299"/>
    </row>
    <row r="43" spans="1:12" ht="15.75">
      <c r="A43" s="300"/>
      <c r="B43" s="300"/>
      <c r="C43" s="300"/>
      <c r="D43" s="300"/>
      <c r="E43" s="300"/>
      <c r="F43" s="300"/>
      <c r="G43" s="300"/>
      <c r="H43" s="300"/>
      <c r="I43" s="300"/>
      <c r="J43" s="300"/>
      <c r="K43" s="300"/>
      <c r="L43" s="300"/>
    </row>
    <row r="44" spans="1:12" ht="11.25" customHeight="1">
      <c r="A44" s="300"/>
      <c r="B44" s="300"/>
      <c r="C44" s="300"/>
      <c r="D44" s="300"/>
      <c r="E44" s="300"/>
      <c r="F44" s="300"/>
      <c r="G44" s="300"/>
      <c r="H44" s="300"/>
      <c r="I44" s="300"/>
      <c r="J44" s="300"/>
      <c r="K44" s="300"/>
      <c r="L44" s="300"/>
    </row>
    <row r="45" spans="1:12">
      <c r="A45" s="297"/>
      <c r="B45" s="308"/>
      <c r="G45" s="297"/>
      <c r="H45" s="308"/>
    </row>
    <row r="46" spans="1:12" ht="12.75" customHeight="1">
      <c r="A46" s="830" t="s">
        <v>1056</v>
      </c>
      <c r="B46" s="830"/>
      <c r="C46" s="830"/>
      <c r="D46" s="830"/>
      <c r="E46" s="830"/>
      <c r="F46" s="830"/>
      <c r="G46" s="830" t="s">
        <v>1056</v>
      </c>
      <c r="H46" s="830"/>
      <c r="I46" s="830"/>
      <c r="J46" s="830"/>
      <c r="K46" s="830"/>
      <c r="L46" s="830"/>
    </row>
    <row r="47" spans="1:12" ht="14.25" customHeight="1">
      <c r="A47" s="830" t="s">
        <v>1057</v>
      </c>
      <c r="B47" s="830"/>
      <c r="C47" s="830"/>
      <c r="D47" s="830"/>
      <c r="E47" s="830"/>
      <c r="F47" s="830"/>
      <c r="G47" s="830" t="s">
        <v>1057</v>
      </c>
      <c r="H47" s="830"/>
      <c r="I47" s="830"/>
      <c r="J47" s="830"/>
      <c r="K47" s="830"/>
      <c r="L47" s="830"/>
    </row>
    <row r="48" spans="1:12" ht="24" customHeight="1">
      <c r="A48" s="322"/>
      <c r="B48" s="861" t="s">
        <v>1046</v>
      </c>
      <c r="C48" s="861"/>
      <c r="D48" s="861"/>
      <c r="E48" s="861"/>
      <c r="F48" s="861"/>
      <c r="G48" s="322"/>
      <c r="H48" s="861" t="s">
        <v>1046</v>
      </c>
      <c r="I48" s="861"/>
      <c r="J48" s="861"/>
      <c r="K48" s="861"/>
      <c r="L48" s="861"/>
    </row>
    <row r="49" spans="1:13" ht="19.5" customHeight="1">
      <c r="A49" s="322"/>
      <c r="B49" s="845" t="s">
        <v>1047</v>
      </c>
      <c r="C49" s="845"/>
      <c r="D49" s="845"/>
      <c r="E49" s="845"/>
      <c r="F49" s="845"/>
      <c r="G49" s="322"/>
      <c r="H49" s="845" t="s">
        <v>1047</v>
      </c>
      <c r="I49" s="845"/>
      <c r="J49" s="845"/>
      <c r="K49" s="845"/>
      <c r="L49" s="845"/>
    </row>
    <row r="50" spans="1:13" ht="18.75">
      <c r="A50" s="322"/>
      <c r="B50" s="846" t="s">
        <v>1058</v>
      </c>
      <c r="C50" s="847"/>
      <c r="D50" s="847"/>
      <c r="E50" s="847"/>
      <c r="F50" s="848"/>
      <c r="G50" s="322"/>
      <c r="H50" s="846" t="s">
        <v>1058</v>
      </c>
      <c r="I50" s="847"/>
      <c r="J50" s="847"/>
      <c r="K50" s="847"/>
      <c r="L50" s="848"/>
    </row>
    <row r="51" spans="1:13">
      <c r="A51" s="322"/>
      <c r="B51" s="849" t="s">
        <v>1048</v>
      </c>
      <c r="C51" s="850"/>
      <c r="D51" s="850"/>
      <c r="E51" s="850"/>
      <c r="F51" s="851"/>
      <c r="G51" s="322"/>
      <c r="H51" s="849" t="s">
        <v>1048</v>
      </c>
      <c r="I51" s="850"/>
      <c r="J51" s="850"/>
      <c r="K51" s="850"/>
      <c r="L51" s="851"/>
    </row>
    <row r="52" spans="1:13">
      <c r="A52" s="322"/>
      <c r="B52" s="345"/>
      <c r="C52" s="345"/>
      <c r="D52" s="345"/>
      <c r="E52" s="345"/>
      <c r="F52" s="345"/>
      <c r="G52" s="322"/>
      <c r="H52" s="345"/>
      <c r="I52" s="345"/>
      <c r="J52" s="345"/>
      <c r="K52" s="345"/>
      <c r="L52" s="345"/>
    </row>
    <row r="53" spans="1:13">
      <c r="A53" s="322"/>
      <c r="B53" s="345"/>
      <c r="C53" s="345"/>
      <c r="D53" s="345"/>
      <c r="E53" s="345"/>
      <c r="F53" s="345"/>
      <c r="G53" s="322"/>
      <c r="H53" s="345"/>
      <c r="I53" s="345"/>
      <c r="J53" s="345"/>
      <c r="K53" s="345"/>
      <c r="L53" s="345"/>
    </row>
    <row r="54" spans="1:13" ht="16.5">
      <c r="A54" s="323"/>
      <c r="B54" s="324"/>
      <c r="C54" s="324"/>
      <c r="D54" s="324"/>
      <c r="E54" s="324"/>
      <c r="F54" s="319"/>
      <c r="G54" s="323"/>
      <c r="H54" s="324"/>
      <c r="I54" s="324"/>
      <c r="J54" s="324"/>
      <c r="K54" s="324"/>
      <c r="L54" s="319"/>
    </row>
    <row r="55" spans="1:13" ht="16.5">
      <c r="A55" s="325"/>
      <c r="B55" s="325"/>
      <c r="C55" s="319"/>
      <c r="D55" s="326"/>
      <c r="E55" s="327"/>
      <c r="F55" s="328"/>
      <c r="G55" s="325"/>
      <c r="H55" s="325"/>
      <c r="I55" s="319"/>
      <c r="J55" s="326"/>
      <c r="K55" s="327"/>
      <c r="L55" s="328"/>
    </row>
    <row r="56" spans="1:13" ht="16.5">
      <c r="A56" s="325"/>
      <c r="B56" s="325"/>
      <c r="C56" s="319"/>
      <c r="D56" s="835" t="s">
        <v>385</v>
      </c>
      <c r="E56" s="835"/>
      <c r="F56" s="835"/>
      <c r="G56" s="325"/>
      <c r="H56" s="325"/>
      <c r="I56" s="319"/>
      <c r="J56" s="835" t="s">
        <v>1091</v>
      </c>
      <c r="K56" s="835"/>
      <c r="L56" s="835"/>
      <c r="M56" s="327"/>
    </row>
    <row r="57" spans="1:13" ht="16.5">
      <c r="A57" s="325" t="s">
        <v>1049</v>
      </c>
      <c r="B57" s="330">
        <v>343</v>
      </c>
      <c r="C57" s="319"/>
      <c r="D57" s="835" t="s">
        <v>1105</v>
      </c>
      <c r="E57" s="835"/>
      <c r="F57" s="835"/>
      <c r="G57" s="325" t="s">
        <v>1049</v>
      </c>
      <c r="H57" s="325">
        <v>264</v>
      </c>
      <c r="I57" s="319"/>
      <c r="J57" s="835" t="s">
        <v>1102</v>
      </c>
      <c r="K57" s="835"/>
      <c r="L57" s="835"/>
    </row>
    <row r="58" spans="1:13" ht="16.5">
      <c r="A58" s="325"/>
      <c r="B58" s="331"/>
      <c r="C58" s="324"/>
      <c r="D58" s="835" t="s">
        <v>1106</v>
      </c>
      <c r="E58" s="835"/>
      <c r="F58" s="835"/>
      <c r="G58" s="325"/>
      <c r="H58" s="331"/>
      <c r="I58" s="324"/>
      <c r="J58" s="835" t="s">
        <v>1103</v>
      </c>
      <c r="K58" s="835"/>
      <c r="L58" s="835"/>
    </row>
    <row r="59" spans="1:13" ht="16.5">
      <c r="A59" s="325" t="s">
        <v>1050</v>
      </c>
      <c r="B59" s="332"/>
      <c r="C59" s="319"/>
      <c r="D59" s="333"/>
      <c r="E59" s="317" t="s">
        <v>36</v>
      </c>
      <c r="F59" s="334"/>
      <c r="G59" s="325" t="s">
        <v>1050</v>
      </c>
      <c r="H59" s="332"/>
      <c r="I59" s="319"/>
      <c r="J59" s="333"/>
      <c r="K59" s="317" t="s">
        <v>36</v>
      </c>
      <c r="L59" s="334"/>
    </row>
    <row r="60" spans="1:13" ht="16.5">
      <c r="A60" s="325"/>
      <c r="B60" s="335"/>
      <c r="C60" s="319"/>
      <c r="D60" s="329"/>
      <c r="E60" s="329"/>
      <c r="F60" s="336"/>
      <c r="G60" s="325"/>
      <c r="H60" s="335"/>
      <c r="I60" s="319"/>
      <c r="J60" s="329"/>
      <c r="K60" s="329"/>
      <c r="L60" s="336"/>
    </row>
    <row r="61" spans="1:13" ht="15.75">
      <c r="A61" s="317"/>
      <c r="B61" s="337"/>
      <c r="C61" s="337"/>
      <c r="D61" s="337"/>
      <c r="E61" s="327"/>
      <c r="F61" s="319"/>
      <c r="G61" s="317"/>
      <c r="H61" s="337"/>
      <c r="I61" s="337"/>
      <c r="J61" s="337"/>
      <c r="K61" s="327"/>
      <c r="L61" s="319"/>
    </row>
    <row r="62" spans="1:13" ht="15.75" customHeight="1">
      <c r="A62" s="302" t="s">
        <v>3</v>
      </c>
      <c r="B62" s="855" t="s">
        <v>4</v>
      </c>
      <c r="C62" s="856"/>
      <c r="D62" s="856"/>
      <c r="E62" s="857"/>
      <c r="F62" s="302" t="s">
        <v>363</v>
      </c>
      <c r="G62" s="302" t="s">
        <v>3</v>
      </c>
      <c r="H62" s="855" t="s">
        <v>4</v>
      </c>
      <c r="I62" s="856"/>
      <c r="J62" s="856"/>
      <c r="K62" s="857"/>
      <c r="L62" s="302" t="s">
        <v>363</v>
      </c>
    </row>
    <row r="63" spans="1:13" ht="16.5" customHeight="1">
      <c r="A63" s="858" t="s">
        <v>1244</v>
      </c>
      <c r="B63" s="840"/>
      <c r="C63" s="841"/>
      <c r="D63" s="841"/>
      <c r="E63" s="338"/>
      <c r="F63" s="339"/>
      <c r="G63" s="858" t="s">
        <v>1084</v>
      </c>
      <c r="H63" s="840"/>
      <c r="I63" s="841"/>
      <c r="J63" s="841"/>
      <c r="K63" s="338"/>
      <c r="L63" s="339"/>
    </row>
    <row r="64" spans="1:13" ht="15.75">
      <c r="A64" s="859"/>
      <c r="B64" s="852" t="s">
        <v>1251</v>
      </c>
      <c r="C64" s="853"/>
      <c r="D64" s="853"/>
      <c r="E64" s="854"/>
      <c r="F64" s="340"/>
      <c r="G64" s="859"/>
      <c r="H64" s="319"/>
      <c r="I64" s="319"/>
      <c r="J64" s="319"/>
      <c r="K64" s="319"/>
      <c r="L64" s="340"/>
    </row>
    <row r="65" spans="1:12" ht="15.75">
      <c r="A65" s="859"/>
      <c r="B65" s="852" t="s">
        <v>1252</v>
      </c>
      <c r="C65" s="853"/>
      <c r="D65" s="853"/>
      <c r="E65" s="854"/>
      <c r="F65" s="340"/>
      <c r="G65" s="859"/>
      <c r="H65" s="852" t="s">
        <v>1088</v>
      </c>
      <c r="I65" s="853"/>
      <c r="J65" s="853"/>
      <c r="K65" s="854"/>
      <c r="L65" s="340"/>
    </row>
    <row r="66" spans="1:12" ht="15.75">
      <c r="A66" s="859"/>
      <c r="B66" s="852" t="s">
        <v>1253</v>
      </c>
      <c r="C66" s="853"/>
      <c r="D66" s="853"/>
      <c r="E66" s="854"/>
      <c r="F66" s="340"/>
      <c r="G66" s="859"/>
      <c r="H66" s="842" t="s">
        <v>1092</v>
      </c>
      <c r="I66" s="843"/>
      <c r="J66" s="843"/>
      <c r="K66" s="844"/>
      <c r="L66" s="340"/>
    </row>
    <row r="67" spans="1:12" ht="15.75">
      <c r="A67" s="859"/>
      <c r="B67" s="842"/>
      <c r="C67" s="843"/>
      <c r="D67" s="843"/>
      <c r="E67" s="844"/>
      <c r="F67" s="309">
        <f>+B69*D69</f>
        <v>5345430</v>
      </c>
      <c r="G67" s="859"/>
      <c r="H67" s="833" t="s">
        <v>1093</v>
      </c>
      <c r="I67" s="833"/>
      <c r="J67" s="833" t="s">
        <v>8</v>
      </c>
      <c r="K67" s="833"/>
      <c r="L67" s="309">
        <f>+H68*J68</f>
        <v>217500</v>
      </c>
    </row>
    <row r="68" spans="1:12" ht="15.75">
      <c r="A68" s="859"/>
      <c r="B68" s="833" t="s">
        <v>1108</v>
      </c>
      <c r="C68" s="833"/>
      <c r="D68" s="833" t="s">
        <v>1109</v>
      </c>
      <c r="E68" s="833"/>
      <c r="F68" s="341"/>
      <c r="G68" s="859"/>
      <c r="H68" s="833">
        <v>3</v>
      </c>
      <c r="I68" s="833"/>
      <c r="J68" s="834">
        <v>72500</v>
      </c>
      <c r="K68" s="833"/>
      <c r="L68" s="341"/>
    </row>
    <row r="69" spans="1:12" ht="15.75">
      <c r="A69" s="859"/>
      <c r="B69" s="833">
        <v>1</v>
      </c>
      <c r="C69" s="833"/>
      <c r="D69" s="834">
        <v>5345430</v>
      </c>
      <c r="E69" s="833"/>
      <c r="F69" s="344"/>
      <c r="G69" s="860"/>
      <c r="H69" s="342"/>
      <c r="I69" s="327"/>
      <c r="J69" s="327"/>
      <c r="K69" s="343"/>
      <c r="L69" s="344"/>
    </row>
    <row r="70" spans="1:12" ht="16.5" customHeight="1">
      <c r="A70" s="860"/>
      <c r="B70" s="342"/>
      <c r="C70" s="327"/>
      <c r="D70" s="327"/>
      <c r="E70" s="343"/>
      <c r="F70" s="305" t="s">
        <v>17</v>
      </c>
      <c r="G70" s="303" t="s">
        <v>12</v>
      </c>
      <c r="H70" s="304" t="s">
        <v>1051</v>
      </c>
      <c r="I70" s="304" t="s">
        <v>14</v>
      </c>
      <c r="J70" s="304" t="s">
        <v>15</v>
      </c>
      <c r="K70" s="304" t="s">
        <v>1052</v>
      </c>
      <c r="L70" s="305" t="s">
        <v>17</v>
      </c>
    </row>
    <row r="71" spans="1:12" ht="16.5">
      <c r="A71" s="311" t="s">
        <v>18</v>
      </c>
      <c r="B71" s="312">
        <f>+F67</f>
        <v>5345430</v>
      </c>
      <c r="C71" s="313">
        <v>0</v>
      </c>
      <c r="D71" s="306">
        <v>0</v>
      </c>
      <c r="E71" s="311">
        <f>B71+C71</f>
        <v>5345430</v>
      </c>
      <c r="F71" s="310">
        <f>E71-D71</f>
        <v>5345430</v>
      </c>
      <c r="G71" s="311" t="s">
        <v>18</v>
      </c>
      <c r="H71" s="312">
        <f>+L67</f>
        <v>217500</v>
      </c>
      <c r="I71" s="313">
        <v>0</v>
      </c>
      <c r="J71" s="306">
        <v>0</v>
      </c>
      <c r="K71" s="311">
        <f>H71+I71</f>
        <v>217500</v>
      </c>
      <c r="L71" s="310">
        <f>K71-J71</f>
        <v>217500</v>
      </c>
    </row>
    <row r="72" spans="1:12" ht="16.5">
      <c r="A72" s="311" t="s">
        <v>113</v>
      </c>
      <c r="B72" s="312">
        <f>SUM(B71/655.957)</f>
        <v>8149.0555021137061</v>
      </c>
      <c r="C72" s="312">
        <f>SUM(C71/655.957)</f>
        <v>0</v>
      </c>
      <c r="D72" s="314">
        <v>0</v>
      </c>
      <c r="E72" s="314">
        <f>SUM(E71/655.957)</f>
        <v>8149.0555021137061</v>
      </c>
      <c r="F72" s="312">
        <f>SUM(F71/655.957)</f>
        <v>8149.0555021137061</v>
      </c>
      <c r="G72" s="311" t="s">
        <v>113</v>
      </c>
      <c r="H72" s="312">
        <f>SUM(H71/655.957)</f>
        <v>331.5766124913676</v>
      </c>
      <c r="I72" s="312">
        <f>SUM(I71/655.957)</f>
        <v>0</v>
      </c>
      <c r="J72" s="314">
        <v>0</v>
      </c>
      <c r="K72" s="314">
        <f>SUM(K71/655.957)</f>
        <v>331.5766124913676</v>
      </c>
      <c r="L72" s="312">
        <f>SUM(L71/655.957)</f>
        <v>331.5766124913676</v>
      </c>
    </row>
    <row r="73" spans="1:12" ht="16.5">
      <c r="A73" s="864"/>
      <c r="B73" s="864"/>
      <c r="C73" s="864"/>
      <c r="D73" s="864"/>
      <c r="E73" s="864"/>
      <c r="F73" s="864"/>
      <c r="G73" s="862"/>
      <c r="H73" s="862"/>
      <c r="I73" s="862"/>
      <c r="J73" s="862"/>
      <c r="K73" s="862"/>
      <c r="L73" s="862"/>
    </row>
    <row r="74" spans="1:12" ht="16.5">
      <c r="A74" s="838" t="s">
        <v>1053</v>
      </c>
      <c r="B74" s="838"/>
      <c r="C74" s="838"/>
      <c r="D74" s="838"/>
      <c r="E74" s="838"/>
      <c r="F74" s="838"/>
      <c r="G74" s="318" t="s">
        <v>1053</v>
      </c>
      <c r="H74" s="318"/>
      <c r="I74" s="318"/>
      <c r="J74" s="318"/>
      <c r="K74" s="318"/>
      <c r="L74" s="318"/>
    </row>
    <row r="75" spans="1:12" ht="16.5">
      <c r="A75" s="866" t="s">
        <v>1254</v>
      </c>
      <c r="B75" s="866"/>
      <c r="C75" s="866"/>
      <c r="D75" s="866"/>
      <c r="E75" s="866"/>
      <c r="F75" s="866"/>
      <c r="G75" s="863" t="s">
        <v>1096</v>
      </c>
      <c r="H75" s="863"/>
      <c r="I75" s="863"/>
      <c r="J75" s="863"/>
      <c r="K75" s="863"/>
      <c r="L75" s="863"/>
    </row>
    <row r="76" spans="1:12" ht="16.5" customHeight="1">
      <c r="A76" s="836"/>
      <c r="B76" s="836"/>
      <c r="C76" s="836"/>
      <c r="D76" s="836"/>
      <c r="E76" s="836"/>
      <c r="F76" s="836"/>
      <c r="G76" s="837"/>
      <c r="H76" s="837"/>
      <c r="I76" s="837"/>
      <c r="J76" s="837"/>
      <c r="K76" s="837"/>
      <c r="L76" s="837"/>
    </row>
    <row r="77" spans="1:12" ht="16.5">
      <c r="A77" s="831" t="s">
        <v>1054</v>
      </c>
      <c r="B77" s="831"/>
      <c r="C77" s="319"/>
      <c r="D77" s="319"/>
      <c r="E77" s="319"/>
      <c r="F77" s="319"/>
      <c r="G77" s="832" t="s">
        <v>1054</v>
      </c>
      <c r="H77" s="832"/>
      <c r="I77" s="301"/>
      <c r="J77" s="301"/>
      <c r="K77" s="301"/>
      <c r="L77" s="301"/>
    </row>
    <row r="78" spans="1:12" ht="16.5">
      <c r="A78" s="329" t="s">
        <v>1089</v>
      </c>
      <c r="B78" s="329"/>
      <c r="C78" s="319"/>
      <c r="D78" s="319"/>
      <c r="E78" s="319"/>
      <c r="F78" s="320"/>
      <c r="G78" s="301" t="s">
        <v>1089</v>
      </c>
      <c r="H78" s="301"/>
      <c r="I78" s="301"/>
      <c r="J78" s="301"/>
      <c r="K78" s="301"/>
      <c r="L78" s="301"/>
    </row>
    <row r="79" spans="1:12" ht="16.5">
      <c r="A79" s="329" t="s">
        <v>1090</v>
      </c>
      <c r="B79" s="329"/>
      <c r="C79" s="321"/>
      <c r="D79" s="320"/>
      <c r="E79" s="320"/>
      <c r="F79" s="319"/>
      <c r="G79" s="301" t="s">
        <v>1090</v>
      </c>
      <c r="H79" s="301"/>
      <c r="I79" s="301"/>
      <c r="J79" s="301"/>
      <c r="K79" s="301"/>
      <c r="L79" s="301"/>
    </row>
    <row r="80" spans="1:12" ht="18.75" customHeight="1">
      <c r="A80" s="329" t="s">
        <v>1055</v>
      </c>
      <c r="B80" s="329"/>
      <c r="C80" s="319"/>
      <c r="D80" s="319"/>
      <c r="E80" s="319"/>
      <c r="F80" s="319"/>
      <c r="G80" s="301" t="s">
        <v>1055</v>
      </c>
      <c r="H80" s="301"/>
      <c r="I80" s="301"/>
      <c r="J80" s="301"/>
      <c r="K80" s="301"/>
      <c r="L80" s="301"/>
    </row>
    <row r="81" spans="1:12" ht="15" customHeight="1"/>
    <row r="82" spans="1:12" ht="15" customHeight="1"/>
    <row r="83" spans="1:12" ht="15.75" customHeight="1"/>
    <row r="84" spans="1:12" ht="16.5">
      <c r="A84" s="299"/>
      <c r="B84" s="299"/>
      <c r="C84" s="30" t="s">
        <v>24</v>
      </c>
      <c r="D84" s="30"/>
      <c r="E84" s="30"/>
      <c r="F84" s="299"/>
      <c r="G84" s="299"/>
      <c r="H84" s="299"/>
      <c r="I84" s="30" t="s">
        <v>24</v>
      </c>
      <c r="J84" s="30"/>
      <c r="K84" s="30"/>
      <c r="L84" s="299"/>
    </row>
    <row r="85" spans="1:12" ht="16.5">
      <c r="A85" s="299"/>
      <c r="B85" s="299"/>
      <c r="C85" s="30" t="s">
        <v>149</v>
      </c>
      <c r="D85" s="30"/>
      <c r="E85" s="30"/>
      <c r="F85" s="299"/>
      <c r="G85" s="299"/>
      <c r="H85" s="299"/>
      <c r="I85" s="30" t="s">
        <v>149</v>
      </c>
      <c r="J85" s="30"/>
      <c r="K85" s="30"/>
      <c r="L85" s="299"/>
    </row>
    <row r="86" spans="1:12" ht="16.5">
      <c r="C86" s="699" t="s">
        <v>150</v>
      </c>
      <c r="D86" s="699"/>
      <c r="E86" s="699"/>
      <c r="I86" s="699" t="s">
        <v>150</v>
      </c>
      <c r="J86" s="699"/>
      <c r="K86" s="699"/>
    </row>
    <row r="87" spans="1:12" ht="16.5">
      <c r="C87" s="315"/>
      <c r="D87" s="315"/>
      <c r="E87" s="315"/>
      <c r="I87" s="315"/>
      <c r="J87" s="315"/>
      <c r="K87" s="315"/>
    </row>
    <row r="88" spans="1:12" ht="15.75" customHeight="1"/>
    <row r="89" spans="1:12" ht="16.5" customHeight="1"/>
    <row r="90" spans="1:12" ht="19.5" customHeight="1">
      <c r="A90" s="299"/>
      <c r="B90" s="299"/>
      <c r="C90" s="317"/>
      <c r="D90" s="349" t="s">
        <v>23</v>
      </c>
      <c r="E90" s="317"/>
      <c r="F90" s="299"/>
      <c r="G90" s="299"/>
      <c r="H90" s="299"/>
      <c r="I90" s="317"/>
      <c r="J90" s="349" t="s">
        <v>23</v>
      </c>
      <c r="K90" s="317"/>
      <c r="L90" s="299"/>
    </row>
    <row r="91" spans="1:12" ht="15.75" customHeight="1">
      <c r="A91" s="300"/>
      <c r="B91" s="300"/>
      <c r="C91" s="300"/>
      <c r="D91" s="300"/>
      <c r="E91" s="300"/>
      <c r="F91" s="300"/>
      <c r="G91" s="300"/>
      <c r="H91" s="300"/>
      <c r="I91" s="300"/>
      <c r="J91" s="300"/>
      <c r="K91" s="300"/>
      <c r="L91" s="300"/>
    </row>
    <row r="92" spans="1:12" ht="12" customHeight="1">
      <c r="A92" s="300"/>
      <c r="B92" s="300"/>
      <c r="C92" s="300"/>
      <c r="D92" s="300"/>
      <c r="E92" s="300"/>
      <c r="F92" s="300"/>
      <c r="G92" s="300"/>
      <c r="H92" s="300"/>
      <c r="I92" s="300"/>
      <c r="J92" s="300"/>
      <c r="K92" s="300"/>
      <c r="L92" s="300"/>
    </row>
    <row r="93" spans="1:12">
      <c r="A93" s="297"/>
      <c r="B93" s="308"/>
      <c r="G93" s="297"/>
      <c r="H93" s="308"/>
    </row>
    <row r="94" spans="1:12" ht="15.75" customHeight="1">
      <c r="A94" s="830" t="s">
        <v>1056</v>
      </c>
      <c r="B94" s="830"/>
      <c r="C94" s="830"/>
      <c r="D94" s="830"/>
      <c r="E94" s="830"/>
      <c r="F94" s="830"/>
      <c r="G94" s="830" t="s">
        <v>1056</v>
      </c>
      <c r="H94" s="830"/>
      <c r="I94" s="830"/>
      <c r="J94" s="830"/>
      <c r="K94" s="830"/>
      <c r="L94" s="830"/>
    </row>
    <row r="95" spans="1:12" ht="15" customHeight="1">
      <c r="A95" s="830" t="s">
        <v>1057</v>
      </c>
      <c r="B95" s="830"/>
      <c r="C95" s="830"/>
      <c r="D95" s="830"/>
      <c r="E95" s="830"/>
      <c r="F95" s="830"/>
      <c r="G95" s="830" t="s">
        <v>1057</v>
      </c>
      <c r="H95" s="830"/>
      <c r="I95" s="830"/>
      <c r="J95" s="830"/>
      <c r="K95" s="830"/>
      <c r="L95" s="830"/>
    </row>
    <row r="96" spans="1:12" ht="18" customHeight="1">
      <c r="A96" s="322"/>
      <c r="B96" s="861" t="s">
        <v>1046</v>
      </c>
      <c r="C96" s="861"/>
      <c r="D96" s="861"/>
      <c r="E96" s="861"/>
      <c r="F96" s="861"/>
      <c r="G96" s="322"/>
      <c r="H96" s="861" t="s">
        <v>1046</v>
      </c>
      <c r="I96" s="861"/>
      <c r="J96" s="861"/>
      <c r="K96" s="861"/>
      <c r="L96" s="861"/>
    </row>
    <row r="97" spans="1:12" ht="22.5" customHeight="1">
      <c r="A97" s="322"/>
      <c r="B97" s="845" t="s">
        <v>1047</v>
      </c>
      <c r="C97" s="845"/>
      <c r="D97" s="845"/>
      <c r="E97" s="845"/>
      <c r="F97" s="845"/>
      <c r="G97" s="322"/>
      <c r="H97" s="845" t="s">
        <v>1047</v>
      </c>
      <c r="I97" s="845"/>
      <c r="J97" s="845"/>
      <c r="K97" s="845"/>
      <c r="L97" s="845"/>
    </row>
    <row r="98" spans="1:12" ht="18.75">
      <c r="A98" s="322"/>
      <c r="B98" s="846" t="s">
        <v>1058</v>
      </c>
      <c r="C98" s="847"/>
      <c r="D98" s="847"/>
      <c r="E98" s="847"/>
      <c r="F98" s="848"/>
      <c r="G98" s="322"/>
      <c r="H98" s="846" t="s">
        <v>1058</v>
      </c>
      <c r="I98" s="847"/>
      <c r="J98" s="847"/>
      <c r="K98" s="847"/>
      <c r="L98" s="848"/>
    </row>
    <row r="99" spans="1:12" ht="15.75" customHeight="1">
      <c r="A99" s="322"/>
      <c r="B99" s="849" t="s">
        <v>1048</v>
      </c>
      <c r="C99" s="850"/>
      <c r="D99" s="850"/>
      <c r="E99" s="850"/>
      <c r="F99" s="851"/>
      <c r="G99" s="322"/>
      <c r="H99" s="849" t="s">
        <v>1048</v>
      </c>
      <c r="I99" s="850"/>
      <c r="J99" s="850"/>
      <c r="K99" s="850"/>
      <c r="L99" s="851"/>
    </row>
    <row r="100" spans="1:12" ht="16.5" customHeight="1">
      <c r="A100" s="322"/>
      <c r="B100" s="345"/>
      <c r="C100" s="345"/>
      <c r="D100" s="345"/>
      <c r="E100" s="345"/>
      <c r="F100" s="345"/>
      <c r="G100" s="322"/>
      <c r="H100" s="345"/>
      <c r="I100" s="345"/>
      <c r="J100" s="345"/>
      <c r="K100" s="345"/>
      <c r="L100" s="345"/>
    </row>
    <row r="101" spans="1:12" ht="16.5">
      <c r="A101" s="323"/>
      <c r="B101" s="324"/>
      <c r="C101" s="324"/>
      <c r="D101" s="324"/>
      <c r="E101" s="324"/>
      <c r="F101" s="319"/>
      <c r="G101" s="323"/>
      <c r="H101" s="324"/>
      <c r="I101" s="324"/>
      <c r="J101" s="324"/>
      <c r="K101" s="324"/>
      <c r="L101" s="319"/>
    </row>
    <row r="102" spans="1:12" ht="16.5">
      <c r="A102" s="325"/>
      <c r="B102" s="325"/>
      <c r="C102" s="319"/>
      <c r="D102" s="326"/>
      <c r="E102" s="327"/>
      <c r="F102" s="328"/>
      <c r="G102" s="325"/>
      <c r="H102" s="325"/>
      <c r="I102" s="319"/>
      <c r="J102" s="326"/>
      <c r="K102" s="327"/>
      <c r="L102" s="328"/>
    </row>
    <row r="103" spans="1:12" ht="16.5">
      <c r="A103" s="329"/>
      <c r="B103" s="325"/>
      <c r="C103" s="319"/>
      <c r="D103" s="835" t="s">
        <v>1237</v>
      </c>
      <c r="E103" s="835"/>
      <c r="F103" s="835"/>
      <c r="G103" s="329"/>
      <c r="H103" s="325"/>
      <c r="I103" s="319"/>
      <c r="J103" s="835" t="s">
        <v>1091</v>
      </c>
      <c r="K103" s="835"/>
      <c r="L103" s="835"/>
    </row>
    <row r="104" spans="1:12" ht="16.5">
      <c r="A104" s="325" t="s">
        <v>1049</v>
      </c>
      <c r="B104" s="330">
        <v>342</v>
      </c>
      <c r="C104" s="319"/>
      <c r="D104" s="835" t="s">
        <v>1256</v>
      </c>
      <c r="E104" s="835"/>
      <c r="F104" s="835"/>
      <c r="G104" s="325" t="s">
        <v>1049</v>
      </c>
      <c r="H104" s="325">
        <v>266</v>
      </c>
      <c r="I104" s="319"/>
      <c r="J104" s="835" t="s">
        <v>1102</v>
      </c>
      <c r="K104" s="835"/>
      <c r="L104" s="835"/>
    </row>
    <row r="105" spans="1:12" ht="16.5">
      <c r="A105" s="325"/>
      <c r="B105" s="331"/>
      <c r="C105" s="324"/>
      <c r="D105" s="835"/>
      <c r="E105" s="835"/>
      <c r="F105" s="835"/>
      <c r="G105" s="325"/>
      <c r="H105" s="331"/>
      <c r="I105" s="324"/>
      <c r="J105" s="835" t="s">
        <v>1103</v>
      </c>
      <c r="K105" s="835"/>
      <c r="L105" s="835"/>
    </row>
    <row r="106" spans="1:12" ht="16.5">
      <c r="A106" s="325" t="s">
        <v>1050</v>
      </c>
      <c r="B106" s="332"/>
      <c r="C106" s="319"/>
      <c r="D106" s="333"/>
      <c r="E106" s="317" t="s">
        <v>904</v>
      </c>
      <c r="F106" s="334"/>
      <c r="G106" s="325" t="s">
        <v>1050</v>
      </c>
      <c r="H106" s="332"/>
      <c r="I106" s="319"/>
      <c r="J106" s="333"/>
      <c r="K106" s="317" t="s">
        <v>36</v>
      </c>
      <c r="L106" s="334"/>
    </row>
    <row r="107" spans="1:12" ht="16.5">
      <c r="A107" s="325" t="s">
        <v>1255</v>
      </c>
      <c r="B107" s="335" t="s">
        <v>36</v>
      </c>
      <c r="C107" s="319"/>
      <c r="D107" s="329"/>
      <c r="E107" s="329"/>
      <c r="F107" s="336"/>
      <c r="G107" s="325"/>
      <c r="H107" s="335"/>
      <c r="I107" s="319"/>
      <c r="J107" s="329"/>
      <c r="K107" s="329"/>
      <c r="L107" s="336"/>
    </row>
    <row r="108" spans="1:12" ht="15.75">
      <c r="A108" s="317"/>
      <c r="B108" s="337"/>
      <c r="C108" s="337"/>
      <c r="D108" s="337"/>
      <c r="E108" s="327"/>
      <c r="F108" s="319"/>
      <c r="G108" s="317"/>
      <c r="H108" s="337"/>
      <c r="I108" s="337"/>
      <c r="J108" s="337"/>
      <c r="K108" s="327"/>
      <c r="L108" s="319"/>
    </row>
    <row r="109" spans="1:12" ht="17.25" customHeight="1">
      <c r="A109" s="302" t="s">
        <v>3</v>
      </c>
      <c r="B109" s="855" t="s">
        <v>4</v>
      </c>
      <c r="C109" s="856"/>
      <c r="D109" s="856"/>
      <c r="E109" s="857"/>
      <c r="F109" s="302" t="s">
        <v>363</v>
      </c>
      <c r="G109" s="302" t="s">
        <v>3</v>
      </c>
      <c r="H109" s="855" t="s">
        <v>4</v>
      </c>
      <c r="I109" s="856"/>
      <c r="J109" s="856"/>
      <c r="K109" s="857"/>
      <c r="L109" s="302" t="s">
        <v>363</v>
      </c>
    </row>
    <row r="110" spans="1:12" ht="16.5" customHeight="1">
      <c r="A110" s="858" t="s">
        <v>1240</v>
      </c>
      <c r="B110" s="840"/>
      <c r="C110" s="841"/>
      <c r="D110" s="841"/>
      <c r="E110" s="338"/>
      <c r="F110" s="339"/>
      <c r="G110" s="858" t="s">
        <v>1086</v>
      </c>
      <c r="H110" s="840"/>
      <c r="I110" s="841"/>
      <c r="J110" s="841"/>
      <c r="K110" s="338"/>
      <c r="L110" s="339"/>
    </row>
    <row r="111" spans="1:12" ht="15.75">
      <c r="A111" s="859"/>
      <c r="B111" s="852" t="s">
        <v>1257</v>
      </c>
      <c r="C111" s="853"/>
      <c r="D111" s="853"/>
      <c r="E111" s="854"/>
      <c r="F111" s="340"/>
      <c r="G111" s="859"/>
      <c r="H111" s="319"/>
      <c r="I111" s="319"/>
      <c r="J111" s="319"/>
      <c r="K111" s="319"/>
      <c r="L111" s="340"/>
    </row>
    <row r="112" spans="1:12" ht="15.75">
      <c r="A112" s="859"/>
      <c r="B112" s="852" t="s">
        <v>1258</v>
      </c>
      <c r="C112" s="853"/>
      <c r="D112" s="853"/>
      <c r="E112" s="854"/>
      <c r="F112" s="340"/>
      <c r="G112" s="859"/>
      <c r="H112" s="852" t="s">
        <v>1088</v>
      </c>
      <c r="I112" s="853"/>
      <c r="J112" s="853"/>
      <c r="K112" s="854"/>
      <c r="L112" s="340"/>
    </row>
    <row r="113" spans="1:12" ht="15.75">
      <c r="A113" s="859"/>
      <c r="B113" s="852" t="s">
        <v>1241</v>
      </c>
      <c r="C113" s="853"/>
      <c r="D113" s="853"/>
      <c r="E113" s="854"/>
      <c r="F113" s="340"/>
      <c r="G113" s="859"/>
      <c r="H113" s="390"/>
      <c r="I113" s="391"/>
      <c r="J113" s="391"/>
      <c r="K113" s="392"/>
      <c r="L113" s="340"/>
    </row>
    <row r="114" spans="1:12" ht="15.75">
      <c r="A114" s="859"/>
      <c r="B114" s="842"/>
      <c r="C114" s="843"/>
      <c r="D114" s="843"/>
      <c r="E114" s="844"/>
      <c r="F114" s="340"/>
      <c r="G114" s="859"/>
      <c r="H114" s="390"/>
      <c r="I114" s="391"/>
      <c r="J114" s="391"/>
      <c r="K114" s="392"/>
      <c r="L114" s="340"/>
    </row>
    <row r="115" spans="1:12" ht="15.75">
      <c r="A115" s="859"/>
      <c r="B115" s="842"/>
      <c r="C115" s="843"/>
      <c r="D115" s="843"/>
      <c r="E115" s="844"/>
      <c r="F115" s="340"/>
      <c r="G115" s="859"/>
      <c r="H115" s="842" t="s">
        <v>1092</v>
      </c>
      <c r="I115" s="843"/>
      <c r="J115" s="843"/>
      <c r="K115" s="844"/>
      <c r="L115" s="340"/>
    </row>
    <row r="116" spans="1:12" ht="15.75">
      <c r="A116" s="859"/>
      <c r="B116" s="833" t="s">
        <v>1108</v>
      </c>
      <c r="C116" s="833"/>
      <c r="D116" s="833" t="s">
        <v>1109</v>
      </c>
      <c r="E116" s="833"/>
      <c r="F116" s="309">
        <f>+B117*D117</f>
        <v>6287553</v>
      </c>
      <c r="G116" s="859"/>
      <c r="H116" s="833" t="s">
        <v>1093</v>
      </c>
      <c r="I116" s="833"/>
      <c r="J116" s="833" t="s">
        <v>8</v>
      </c>
      <c r="K116" s="833"/>
      <c r="L116" s="309">
        <f>+H117*J117</f>
        <v>145000</v>
      </c>
    </row>
    <row r="117" spans="1:12" ht="15.75">
      <c r="A117" s="859"/>
      <c r="B117" s="833">
        <v>1</v>
      </c>
      <c r="C117" s="833"/>
      <c r="D117" s="834">
        <v>6287553</v>
      </c>
      <c r="E117" s="833"/>
      <c r="F117" s="341"/>
      <c r="G117" s="859"/>
      <c r="H117" s="833">
        <v>2</v>
      </c>
      <c r="I117" s="833"/>
      <c r="J117" s="834">
        <v>72500</v>
      </c>
      <c r="K117" s="833"/>
      <c r="L117" s="341"/>
    </row>
    <row r="118" spans="1:12" ht="15.75">
      <c r="A118" s="860"/>
      <c r="B118" s="342"/>
      <c r="C118" s="327"/>
      <c r="D118" s="327"/>
      <c r="E118" s="343"/>
      <c r="F118" s="344"/>
      <c r="G118" s="860"/>
      <c r="H118" s="342"/>
      <c r="I118" s="327"/>
      <c r="J118" s="327"/>
      <c r="K118" s="343"/>
      <c r="L118" s="344"/>
    </row>
    <row r="119" spans="1:12" ht="18" customHeight="1">
      <c r="A119" s="303" t="s">
        <v>12</v>
      </c>
      <c r="B119" s="304" t="s">
        <v>1051</v>
      </c>
      <c r="C119" s="304" t="s">
        <v>14</v>
      </c>
      <c r="D119" s="304" t="s">
        <v>15</v>
      </c>
      <c r="E119" s="304" t="s">
        <v>1052</v>
      </c>
      <c r="F119" s="305" t="s">
        <v>17</v>
      </c>
      <c r="G119" s="303" t="s">
        <v>12</v>
      </c>
      <c r="H119" s="304" t="s">
        <v>1051</v>
      </c>
      <c r="I119" s="304" t="s">
        <v>14</v>
      </c>
      <c r="J119" s="304" t="s">
        <v>15</v>
      </c>
      <c r="K119" s="304" t="s">
        <v>1052</v>
      </c>
      <c r="L119" s="305" t="s">
        <v>17</v>
      </c>
    </row>
    <row r="120" spans="1:12" ht="16.5">
      <c r="A120" s="311" t="s">
        <v>18</v>
      </c>
      <c r="B120" s="312">
        <f>+F116</f>
        <v>6287553</v>
      </c>
      <c r="C120" s="313">
        <v>0</v>
      </c>
      <c r="D120" s="306">
        <v>0</v>
      </c>
      <c r="E120" s="311">
        <f>B120+C120</f>
        <v>6287553</v>
      </c>
      <c r="F120" s="310">
        <f>E120-D120</f>
        <v>6287553</v>
      </c>
      <c r="G120" s="311" t="s">
        <v>18</v>
      </c>
      <c r="H120" s="312">
        <f>+L116</f>
        <v>145000</v>
      </c>
      <c r="I120" s="313">
        <v>0</v>
      </c>
      <c r="J120" s="306">
        <v>0</v>
      </c>
      <c r="K120" s="311">
        <f>H120+I120</f>
        <v>145000</v>
      </c>
      <c r="L120" s="310">
        <f>K120-J120</f>
        <v>145000</v>
      </c>
    </row>
    <row r="121" spans="1:12" ht="16.5">
      <c r="A121" s="311" t="s">
        <v>113</v>
      </c>
      <c r="B121" s="312">
        <f>SUM(B120/655.957)</f>
        <v>9585.3127567813135</v>
      </c>
      <c r="C121" s="312">
        <f>SUM(C120/655.957)</f>
        <v>0</v>
      </c>
      <c r="D121" s="314">
        <v>0</v>
      </c>
      <c r="E121" s="314">
        <f>SUM(E120/655.957)</f>
        <v>9585.3127567813135</v>
      </c>
      <c r="F121" s="312">
        <f>SUM(F120/655.957)</f>
        <v>9585.3127567813135</v>
      </c>
      <c r="G121" s="311" t="s">
        <v>113</v>
      </c>
      <c r="H121" s="312">
        <f>SUM(H120/655.957)</f>
        <v>221.05107499424506</v>
      </c>
      <c r="I121" s="312">
        <f>SUM(I120/655.957)</f>
        <v>0</v>
      </c>
      <c r="J121" s="314">
        <v>0</v>
      </c>
      <c r="K121" s="314">
        <f>SUM(K120/655.957)</f>
        <v>221.05107499424506</v>
      </c>
      <c r="L121" s="312">
        <f>SUM(L120/655.957)</f>
        <v>221.05107499424506</v>
      </c>
    </row>
    <row r="122" spans="1:12" ht="16.5">
      <c r="A122" s="346"/>
      <c r="B122" s="347"/>
      <c r="C122" s="347"/>
      <c r="D122" s="348"/>
      <c r="E122" s="348"/>
      <c r="F122" s="347"/>
      <c r="G122" s="346"/>
      <c r="H122" s="347"/>
      <c r="I122" s="347"/>
      <c r="J122" s="348"/>
      <c r="K122" s="348"/>
      <c r="L122" s="347"/>
    </row>
    <row r="123" spans="1:12" ht="16.5">
      <c r="A123" s="838" t="s">
        <v>1053</v>
      </c>
      <c r="B123" s="838"/>
      <c r="C123" s="838"/>
      <c r="D123" s="838"/>
      <c r="E123" s="838"/>
      <c r="F123" s="838"/>
      <c r="G123" s="839" t="s">
        <v>1053</v>
      </c>
      <c r="H123" s="839"/>
      <c r="I123" s="839"/>
      <c r="J123" s="839"/>
      <c r="K123" s="839"/>
      <c r="L123" s="839"/>
    </row>
    <row r="124" spans="1:12" ht="16.5">
      <c r="A124" s="865" t="s">
        <v>1259</v>
      </c>
      <c r="B124" s="863"/>
      <c r="C124" s="863"/>
      <c r="D124" s="863"/>
      <c r="E124" s="863"/>
      <c r="F124" s="863"/>
      <c r="G124" s="863" t="s">
        <v>1094</v>
      </c>
      <c r="H124" s="863"/>
      <c r="I124" s="863"/>
      <c r="J124" s="863"/>
      <c r="K124" s="863"/>
      <c r="L124" s="863"/>
    </row>
    <row r="125" spans="1:12" ht="16.5">
      <c r="A125" s="836"/>
      <c r="B125" s="836"/>
      <c r="C125" s="836"/>
      <c r="D125" s="836"/>
      <c r="E125" s="836"/>
      <c r="F125" s="836"/>
      <c r="G125" s="837"/>
      <c r="H125" s="837"/>
      <c r="I125" s="837"/>
      <c r="J125" s="837"/>
      <c r="K125" s="837"/>
      <c r="L125" s="837"/>
    </row>
    <row r="126" spans="1:12" ht="16.5">
      <c r="A126" s="831" t="s">
        <v>1054</v>
      </c>
      <c r="B126" s="831"/>
      <c r="C126" s="319"/>
      <c r="D126" s="319"/>
      <c r="E126" s="319"/>
      <c r="F126" s="319"/>
      <c r="G126" s="832" t="s">
        <v>1054</v>
      </c>
      <c r="H126" s="832"/>
      <c r="I126" s="301"/>
      <c r="J126" s="301"/>
      <c r="K126" s="301"/>
      <c r="L126" s="301"/>
    </row>
    <row r="127" spans="1:12" ht="16.5">
      <c r="A127" s="329" t="s">
        <v>1089</v>
      </c>
      <c r="B127" s="329"/>
      <c r="C127" s="319"/>
      <c r="D127" s="319"/>
      <c r="E127" s="319"/>
      <c r="F127" s="320"/>
      <c r="G127" s="301" t="s">
        <v>1089</v>
      </c>
      <c r="H127" s="301"/>
      <c r="I127" s="301"/>
      <c r="J127" s="301"/>
      <c r="K127" s="301"/>
      <c r="L127" s="301"/>
    </row>
    <row r="128" spans="1:12" ht="16.5">
      <c r="A128" s="329" t="s">
        <v>1090</v>
      </c>
      <c r="B128" s="329"/>
      <c r="C128" s="321"/>
      <c r="D128" s="320"/>
      <c r="E128" s="320"/>
      <c r="F128" s="319"/>
      <c r="G128" s="301" t="s">
        <v>1090</v>
      </c>
      <c r="H128" s="301"/>
      <c r="I128" s="301"/>
      <c r="J128" s="301"/>
      <c r="K128" s="301"/>
      <c r="L128" s="301"/>
    </row>
    <row r="129" spans="1:12" ht="16.5">
      <c r="A129" s="329" t="s">
        <v>1055</v>
      </c>
      <c r="B129" s="329"/>
      <c r="C129" s="319"/>
      <c r="D129" s="319"/>
      <c r="E129" s="319"/>
      <c r="F129" s="319"/>
      <c r="G129" s="301" t="s">
        <v>1055</v>
      </c>
      <c r="H129" s="301"/>
      <c r="I129" s="301"/>
      <c r="J129" s="301"/>
      <c r="K129" s="301"/>
      <c r="L129" s="301"/>
    </row>
    <row r="130" spans="1:12" ht="16.5" customHeight="1"/>
    <row r="131" spans="1:12" ht="16.5" customHeight="1"/>
    <row r="132" spans="1:12" ht="17.25" customHeight="1"/>
    <row r="133" spans="1:12" ht="16.5">
      <c r="A133" s="299"/>
      <c r="B133" s="299"/>
      <c r="C133" s="30" t="s">
        <v>24</v>
      </c>
      <c r="D133" s="30"/>
      <c r="E133" s="30"/>
      <c r="F133" s="299"/>
      <c r="G133" s="299"/>
      <c r="H133" s="299"/>
      <c r="I133" s="30" t="s">
        <v>24</v>
      </c>
      <c r="J133" s="30"/>
      <c r="K133" s="30"/>
      <c r="L133" s="299"/>
    </row>
    <row r="134" spans="1:12" ht="16.5">
      <c r="A134" s="299"/>
      <c r="B134" s="299"/>
      <c r="C134" s="30" t="s">
        <v>149</v>
      </c>
      <c r="D134" s="30"/>
      <c r="E134" s="30"/>
      <c r="F134" s="299"/>
      <c r="G134" s="299"/>
      <c r="H134" s="299"/>
      <c r="I134" s="30" t="s">
        <v>149</v>
      </c>
      <c r="J134" s="30"/>
      <c r="K134" s="30"/>
      <c r="L134" s="299"/>
    </row>
    <row r="135" spans="1:12" ht="16.5">
      <c r="C135" s="699" t="s">
        <v>150</v>
      </c>
      <c r="D135" s="699"/>
      <c r="E135" s="699"/>
      <c r="I135" s="699" t="s">
        <v>150</v>
      </c>
      <c r="J135" s="699"/>
      <c r="K135" s="699"/>
    </row>
    <row r="136" spans="1:12" ht="16.5">
      <c r="C136" s="315"/>
      <c r="D136" s="315"/>
      <c r="E136" s="315"/>
      <c r="I136" s="315"/>
      <c r="J136" s="315"/>
      <c r="K136" s="315"/>
    </row>
    <row r="137" spans="1:12" ht="15" customHeight="1"/>
    <row r="138" spans="1:12" ht="15.75" customHeight="1"/>
    <row r="139" spans="1:12" ht="18" customHeight="1">
      <c r="B139" s="350"/>
      <c r="C139" s="644" t="s">
        <v>23</v>
      </c>
      <c r="D139" s="644"/>
      <c r="E139" s="644"/>
      <c r="F139" s="350"/>
      <c r="G139" s="350"/>
      <c r="H139" s="350"/>
      <c r="I139" s="644" t="s">
        <v>23</v>
      </c>
      <c r="J139" s="644"/>
      <c r="K139" s="644"/>
      <c r="L139" s="259"/>
    </row>
    <row r="140" spans="1:12" ht="18.75" customHeight="1">
      <c r="A140" s="300"/>
      <c r="B140" s="300"/>
      <c r="C140" s="300"/>
      <c r="D140" s="300"/>
      <c r="E140" s="300"/>
      <c r="F140" s="300"/>
      <c r="G140" s="300"/>
      <c r="H140" s="300"/>
      <c r="I140" s="300"/>
      <c r="J140" s="300"/>
      <c r="K140" s="300"/>
      <c r="L140" s="300"/>
    </row>
    <row r="141" spans="1:12" ht="14.25" customHeight="1">
      <c r="A141" s="300"/>
      <c r="B141" s="300"/>
      <c r="C141" s="300"/>
      <c r="D141" s="300"/>
      <c r="E141" s="300"/>
      <c r="F141" s="300"/>
      <c r="G141" s="300"/>
      <c r="H141" s="300"/>
      <c r="I141" s="300"/>
      <c r="J141" s="300"/>
      <c r="K141" s="300"/>
      <c r="L141" s="300"/>
    </row>
    <row r="142" spans="1:12">
      <c r="A142" s="830" t="s">
        <v>1056</v>
      </c>
      <c r="B142" s="830"/>
      <c r="C142" s="830"/>
      <c r="D142" s="830"/>
      <c r="E142" s="830"/>
      <c r="F142" s="830"/>
      <c r="G142" s="830" t="s">
        <v>1056</v>
      </c>
      <c r="H142" s="830"/>
      <c r="I142" s="830"/>
      <c r="J142" s="830"/>
      <c r="K142" s="830"/>
      <c r="L142" s="830"/>
    </row>
    <row r="143" spans="1:12">
      <c r="A143" s="830" t="s">
        <v>1057</v>
      </c>
      <c r="B143" s="830"/>
      <c r="C143" s="830"/>
      <c r="D143" s="830"/>
      <c r="E143" s="830"/>
      <c r="F143" s="830"/>
      <c r="G143" s="830" t="s">
        <v>1057</v>
      </c>
      <c r="H143" s="830"/>
      <c r="I143" s="830"/>
      <c r="J143" s="830"/>
      <c r="K143" s="830"/>
      <c r="L143" s="830"/>
    </row>
    <row r="144" spans="1:12" ht="15.75" customHeight="1">
      <c r="A144" s="322"/>
      <c r="B144" s="861" t="s">
        <v>1046</v>
      </c>
      <c r="C144" s="861"/>
      <c r="D144" s="861"/>
      <c r="E144" s="861"/>
      <c r="F144" s="861"/>
      <c r="G144" s="322"/>
      <c r="H144" s="861" t="s">
        <v>1046</v>
      </c>
      <c r="I144" s="861"/>
      <c r="J144" s="861"/>
      <c r="K144" s="861"/>
      <c r="L144" s="861"/>
    </row>
    <row r="145" spans="1:12" ht="19.5" customHeight="1">
      <c r="A145" s="322"/>
      <c r="B145" s="845" t="s">
        <v>1047</v>
      </c>
      <c r="C145" s="845"/>
      <c r="D145" s="845"/>
      <c r="E145" s="845"/>
      <c r="F145" s="845"/>
      <c r="G145" s="322"/>
      <c r="H145" s="845" t="s">
        <v>1047</v>
      </c>
      <c r="I145" s="845"/>
      <c r="J145" s="845"/>
      <c r="K145" s="845"/>
      <c r="L145" s="845"/>
    </row>
    <row r="146" spans="1:12" ht="18.75" customHeight="1">
      <c r="A146" s="322"/>
      <c r="B146" s="846" t="s">
        <v>1058</v>
      </c>
      <c r="C146" s="847"/>
      <c r="D146" s="847"/>
      <c r="E146" s="847"/>
      <c r="F146" s="848"/>
      <c r="G146" s="322"/>
      <c r="H146" s="846" t="s">
        <v>1058</v>
      </c>
      <c r="I146" s="847"/>
      <c r="J146" s="847"/>
      <c r="K146" s="847"/>
      <c r="L146" s="848"/>
    </row>
    <row r="147" spans="1:12" ht="12.75" customHeight="1">
      <c r="A147" s="322"/>
      <c r="B147" s="849" t="s">
        <v>1048</v>
      </c>
      <c r="C147" s="850"/>
      <c r="D147" s="850"/>
      <c r="E147" s="850"/>
      <c r="F147" s="851"/>
      <c r="G147" s="322"/>
      <c r="H147" s="849" t="s">
        <v>1048</v>
      </c>
      <c r="I147" s="850"/>
      <c r="J147" s="850"/>
      <c r="K147" s="850"/>
      <c r="L147" s="851"/>
    </row>
    <row r="148" spans="1:12" ht="17.25" customHeight="1">
      <c r="A148" s="322"/>
      <c r="B148" s="345"/>
      <c r="C148" s="345"/>
      <c r="D148" s="345"/>
      <c r="E148" s="345"/>
      <c r="F148" s="345"/>
      <c r="G148" s="322"/>
      <c r="H148" s="345"/>
      <c r="I148" s="345"/>
      <c r="J148" s="345"/>
      <c r="K148" s="345"/>
      <c r="L148" s="345"/>
    </row>
    <row r="149" spans="1:12" ht="16.5">
      <c r="A149" s="323"/>
      <c r="B149" s="324"/>
      <c r="C149" s="324"/>
      <c r="D149" s="324"/>
      <c r="E149" s="324"/>
      <c r="F149" s="319"/>
      <c r="G149" s="323"/>
      <c r="H149" s="324"/>
      <c r="I149" s="324"/>
      <c r="J149" s="324"/>
      <c r="K149" s="324"/>
      <c r="L149" s="319"/>
    </row>
    <row r="150" spans="1:12" ht="16.5">
      <c r="A150" s="325"/>
      <c r="B150" s="325"/>
      <c r="C150" s="319"/>
      <c r="D150" s="326"/>
      <c r="E150" s="327"/>
      <c r="F150" s="328"/>
      <c r="G150" s="325"/>
      <c r="H150" s="325"/>
      <c r="I150" s="319"/>
      <c r="J150" s="326"/>
      <c r="K150" s="327"/>
      <c r="L150" s="328"/>
    </row>
    <row r="151" spans="1:12" ht="16.5">
      <c r="A151" s="329"/>
      <c r="B151" s="325"/>
      <c r="C151" s="319"/>
      <c r="D151" s="835" t="s">
        <v>385</v>
      </c>
      <c r="E151" s="835"/>
      <c r="F151" s="835"/>
      <c r="G151" s="329"/>
      <c r="H151" s="325"/>
      <c r="I151" s="319"/>
      <c r="J151" s="835" t="s">
        <v>385</v>
      </c>
      <c r="K151" s="835"/>
      <c r="L151" s="835"/>
    </row>
    <row r="152" spans="1:12" ht="16.5">
      <c r="A152" s="325" t="s">
        <v>1049</v>
      </c>
      <c r="B152" s="330">
        <v>268</v>
      </c>
      <c r="C152" s="319"/>
      <c r="D152" s="835" t="s">
        <v>1105</v>
      </c>
      <c r="E152" s="835"/>
      <c r="F152" s="835"/>
      <c r="G152" s="325" t="s">
        <v>1049</v>
      </c>
      <c r="H152" s="325">
        <v>267</v>
      </c>
      <c r="I152" s="319"/>
      <c r="J152" s="835" t="s">
        <v>1105</v>
      </c>
      <c r="K152" s="835"/>
      <c r="L152" s="835"/>
    </row>
    <row r="153" spans="1:12" ht="16.5">
      <c r="A153" s="325"/>
      <c r="B153" s="331"/>
      <c r="C153" s="324"/>
      <c r="D153" s="835" t="s">
        <v>1106</v>
      </c>
      <c r="E153" s="835"/>
      <c r="F153" s="835"/>
      <c r="G153" s="325"/>
      <c r="H153" s="331"/>
      <c r="I153" s="324"/>
      <c r="J153" s="835" t="s">
        <v>1106</v>
      </c>
      <c r="K153" s="835"/>
      <c r="L153" s="835"/>
    </row>
    <row r="154" spans="1:12" ht="16.5">
      <c r="A154" s="325" t="s">
        <v>1050</v>
      </c>
      <c r="B154" s="332"/>
      <c r="C154" s="319"/>
      <c r="D154" s="333"/>
      <c r="E154" s="317" t="s">
        <v>36</v>
      </c>
      <c r="F154" s="334"/>
      <c r="G154" s="325" t="s">
        <v>1050</v>
      </c>
      <c r="H154" s="332"/>
      <c r="I154" s="319"/>
      <c r="J154" s="333"/>
      <c r="K154" s="317" t="s">
        <v>36</v>
      </c>
      <c r="L154" s="334"/>
    </row>
    <row r="155" spans="1:12" ht="16.5">
      <c r="A155" s="325"/>
      <c r="B155" s="335"/>
      <c r="C155" s="319"/>
      <c r="D155" s="329"/>
      <c r="E155" s="329"/>
      <c r="F155" s="336"/>
      <c r="G155" s="325"/>
      <c r="H155" s="335"/>
      <c r="I155" s="319"/>
      <c r="J155" s="329"/>
      <c r="K155" s="329"/>
      <c r="L155" s="336"/>
    </row>
    <row r="156" spans="1:12" ht="18" customHeight="1">
      <c r="A156" s="325"/>
      <c r="B156" s="331"/>
      <c r="C156" s="319"/>
      <c r="D156" s="329"/>
      <c r="E156" s="329"/>
      <c r="F156" s="319"/>
      <c r="G156" s="325"/>
      <c r="H156" s="331"/>
      <c r="I156" s="319"/>
      <c r="J156" s="329"/>
      <c r="K156" s="329"/>
      <c r="L156" s="319"/>
    </row>
    <row r="157" spans="1:12" ht="15.75">
      <c r="A157" s="317"/>
      <c r="B157" s="337"/>
      <c r="C157" s="337"/>
      <c r="D157" s="337"/>
      <c r="E157" s="327"/>
      <c r="F157" s="319"/>
      <c r="G157" s="317"/>
      <c r="H157" s="337"/>
      <c r="I157" s="337"/>
      <c r="J157" s="337"/>
      <c r="K157" s="327"/>
      <c r="L157" s="319"/>
    </row>
    <row r="158" spans="1:12" ht="15.75" customHeight="1">
      <c r="A158" s="302" t="s">
        <v>3</v>
      </c>
      <c r="B158" s="855" t="s">
        <v>4</v>
      </c>
      <c r="C158" s="856"/>
      <c r="D158" s="856"/>
      <c r="E158" s="857"/>
      <c r="F158" s="302" t="s">
        <v>363</v>
      </c>
      <c r="G158" s="302" t="s">
        <v>3</v>
      </c>
      <c r="H158" s="855" t="s">
        <v>4</v>
      </c>
      <c r="I158" s="856"/>
      <c r="J158" s="856"/>
      <c r="K158" s="857"/>
      <c r="L158" s="302" t="s">
        <v>363</v>
      </c>
    </row>
    <row r="159" spans="1:12" ht="16.5" customHeight="1">
      <c r="A159" s="858" t="s">
        <v>1099</v>
      </c>
      <c r="B159" s="840"/>
      <c r="C159" s="841"/>
      <c r="D159" s="841"/>
      <c r="E159" s="338"/>
      <c r="F159" s="339"/>
      <c r="G159" s="858" t="s">
        <v>1097</v>
      </c>
      <c r="H159" s="840"/>
      <c r="I159" s="841"/>
      <c r="J159" s="841"/>
      <c r="K159" s="338"/>
      <c r="L159" s="339"/>
    </row>
    <row r="160" spans="1:12" ht="15.75">
      <c r="A160" s="859"/>
      <c r="B160" s="852" t="s">
        <v>1107</v>
      </c>
      <c r="C160" s="853"/>
      <c r="D160" s="853"/>
      <c r="E160" s="854"/>
      <c r="F160" s="340"/>
      <c r="G160" s="859"/>
      <c r="H160" s="852" t="s">
        <v>1107</v>
      </c>
      <c r="I160" s="853"/>
      <c r="J160" s="853"/>
      <c r="K160" s="854"/>
      <c r="L160" s="340"/>
    </row>
    <row r="161" spans="1:12" ht="15.75">
      <c r="A161" s="859"/>
      <c r="B161" s="852" t="s">
        <v>1115</v>
      </c>
      <c r="C161" s="853"/>
      <c r="D161" s="853"/>
      <c r="E161" s="854"/>
      <c r="F161" s="340"/>
      <c r="G161" s="859"/>
      <c r="H161" s="852" t="s">
        <v>1113</v>
      </c>
      <c r="I161" s="853"/>
      <c r="J161" s="853"/>
      <c r="K161" s="854"/>
      <c r="L161" s="340"/>
    </row>
    <row r="162" spans="1:12" ht="15.75">
      <c r="A162" s="859"/>
      <c r="B162" s="842" t="s">
        <v>1114</v>
      </c>
      <c r="C162" s="843"/>
      <c r="D162" s="843"/>
      <c r="E162" s="844"/>
      <c r="F162" s="340"/>
      <c r="G162" s="859"/>
      <c r="H162" s="842" t="s">
        <v>1114</v>
      </c>
      <c r="I162" s="843"/>
      <c r="J162" s="843"/>
      <c r="K162" s="844"/>
      <c r="L162" s="340"/>
    </row>
    <row r="163" spans="1:12" ht="15.75">
      <c r="A163" s="859"/>
      <c r="B163" s="833" t="s">
        <v>1108</v>
      </c>
      <c r="C163" s="833"/>
      <c r="D163" s="833" t="s">
        <v>1109</v>
      </c>
      <c r="E163" s="833"/>
      <c r="F163" s="309">
        <f>+B164*D164</f>
        <v>773675</v>
      </c>
      <c r="G163" s="859"/>
      <c r="H163" s="833" t="s">
        <v>1108</v>
      </c>
      <c r="I163" s="833"/>
      <c r="J163" s="833" t="s">
        <v>1109</v>
      </c>
      <c r="K163" s="833"/>
      <c r="L163" s="309">
        <f>+H164*J164</f>
        <v>2672700</v>
      </c>
    </row>
    <row r="164" spans="1:12" ht="15.75">
      <c r="A164" s="859"/>
      <c r="B164" s="833">
        <v>1</v>
      </c>
      <c r="C164" s="833"/>
      <c r="D164" s="834">
        <v>773675</v>
      </c>
      <c r="E164" s="833"/>
      <c r="F164" s="341"/>
      <c r="G164" s="859"/>
      <c r="H164" s="833">
        <v>1</v>
      </c>
      <c r="I164" s="833"/>
      <c r="J164" s="834">
        <v>2672700</v>
      </c>
      <c r="K164" s="833"/>
      <c r="L164" s="341"/>
    </row>
    <row r="165" spans="1:12" ht="15.75">
      <c r="A165" s="860"/>
      <c r="B165" s="342"/>
      <c r="C165" s="327"/>
      <c r="D165" s="327"/>
      <c r="E165" s="343"/>
      <c r="F165" s="344"/>
      <c r="G165" s="860"/>
      <c r="H165" s="342"/>
      <c r="I165" s="327"/>
      <c r="J165" s="327"/>
      <c r="K165" s="343"/>
      <c r="L165" s="344"/>
    </row>
    <row r="166" spans="1:12" ht="17.25" customHeight="1">
      <c r="A166" s="303" t="s">
        <v>12</v>
      </c>
      <c r="B166" s="304" t="s">
        <v>1051</v>
      </c>
      <c r="C166" s="304" t="s">
        <v>14</v>
      </c>
      <c r="D166" s="304" t="s">
        <v>15</v>
      </c>
      <c r="E166" s="304" t="s">
        <v>1052</v>
      </c>
      <c r="F166" s="305" t="s">
        <v>17</v>
      </c>
      <c r="G166" s="303" t="s">
        <v>12</v>
      </c>
      <c r="H166" s="304" t="s">
        <v>1051</v>
      </c>
      <c r="I166" s="304" t="s">
        <v>14</v>
      </c>
      <c r="J166" s="304" t="s">
        <v>15</v>
      </c>
      <c r="K166" s="304" t="s">
        <v>1052</v>
      </c>
      <c r="L166" s="305" t="s">
        <v>17</v>
      </c>
    </row>
    <row r="167" spans="1:12" ht="16.5">
      <c r="A167" s="311" t="s">
        <v>18</v>
      </c>
      <c r="B167" s="312">
        <f>+F163/1.18</f>
        <v>655656.779661017</v>
      </c>
      <c r="C167" s="313">
        <f>+B167*0.18</f>
        <v>118018.22033898305</v>
      </c>
      <c r="D167" s="306">
        <v>0</v>
      </c>
      <c r="E167" s="311">
        <f>B167+C167</f>
        <v>773675</v>
      </c>
      <c r="F167" s="310">
        <f>E167-D167</f>
        <v>773675</v>
      </c>
      <c r="G167" s="311" t="s">
        <v>18</v>
      </c>
      <c r="H167" s="312">
        <f>+L163/1.18</f>
        <v>2265000</v>
      </c>
      <c r="I167" s="313">
        <f>+H167*0.18</f>
        <v>407700</v>
      </c>
      <c r="J167" s="306">
        <v>0</v>
      </c>
      <c r="K167" s="311">
        <f>H167+I167</f>
        <v>2672700</v>
      </c>
      <c r="L167" s="310">
        <f>K167-J167</f>
        <v>2672700</v>
      </c>
    </row>
    <row r="168" spans="1:12" ht="16.5">
      <c r="A168" s="311" t="s">
        <v>113</v>
      </c>
      <c r="B168" s="312">
        <f>SUM(B167/655.957)</f>
        <v>999.54231704367362</v>
      </c>
      <c r="C168" s="312">
        <f>SUM(C167/655.957)</f>
        <v>179.91761706786124</v>
      </c>
      <c r="D168" s="314">
        <v>0</v>
      </c>
      <c r="E168" s="314">
        <f>SUM(E167/655.957)</f>
        <v>1179.4599341115347</v>
      </c>
      <c r="F168" s="312">
        <f>SUM(F167/655.957)</f>
        <v>1179.4599341115347</v>
      </c>
      <c r="G168" s="311" t="s">
        <v>113</v>
      </c>
      <c r="H168" s="312">
        <f>SUM(H167/655.957)</f>
        <v>3452.9702404273453</v>
      </c>
      <c r="I168" s="312">
        <f>SUM(I167/655.957)</f>
        <v>621.53464327692211</v>
      </c>
      <c r="J168" s="314">
        <v>0</v>
      </c>
      <c r="K168" s="314">
        <f>SUM(K167/655.957)</f>
        <v>4074.5048837042673</v>
      </c>
      <c r="L168" s="312">
        <f>SUM(L167/655.957)</f>
        <v>4074.5048837042673</v>
      </c>
    </row>
    <row r="169" spans="1:12" ht="16.5">
      <c r="A169" s="346"/>
      <c r="B169" s="347"/>
      <c r="C169" s="347"/>
      <c r="D169" s="348"/>
      <c r="E169" s="348"/>
      <c r="F169" s="347"/>
      <c r="G169" s="346"/>
      <c r="H169" s="347"/>
      <c r="I169" s="347"/>
      <c r="J169" s="348"/>
      <c r="K169" s="348"/>
      <c r="L169" s="347"/>
    </row>
    <row r="170" spans="1:12" ht="16.5">
      <c r="A170" s="838" t="s">
        <v>1053</v>
      </c>
      <c r="B170" s="838"/>
      <c r="C170" s="838"/>
      <c r="D170" s="838"/>
      <c r="E170" s="838"/>
      <c r="F170" s="838"/>
      <c r="G170" s="839" t="s">
        <v>1053</v>
      </c>
      <c r="H170" s="839"/>
      <c r="I170" s="839"/>
      <c r="J170" s="839"/>
      <c r="K170" s="839"/>
      <c r="L170" s="839"/>
    </row>
    <row r="171" spans="1:12" ht="16.5">
      <c r="A171" s="863" t="s">
        <v>1112</v>
      </c>
      <c r="B171" s="863"/>
      <c r="C171" s="863"/>
      <c r="D171" s="863"/>
      <c r="E171" s="863"/>
      <c r="F171" s="863"/>
      <c r="G171" s="863" t="s">
        <v>1111</v>
      </c>
      <c r="H171" s="863"/>
      <c r="I171" s="863"/>
      <c r="J171" s="863"/>
      <c r="K171" s="863"/>
      <c r="L171" s="863"/>
    </row>
    <row r="172" spans="1:12" ht="16.5">
      <c r="A172" s="836"/>
      <c r="B172" s="836"/>
      <c r="C172" s="836"/>
      <c r="D172" s="836"/>
      <c r="E172" s="836"/>
      <c r="F172" s="836"/>
      <c r="G172" s="837"/>
      <c r="H172" s="837"/>
      <c r="I172" s="837"/>
      <c r="J172" s="837"/>
      <c r="K172" s="837"/>
      <c r="L172" s="837"/>
    </row>
    <row r="173" spans="1:12" ht="16.5">
      <c r="A173" s="831" t="s">
        <v>1054</v>
      </c>
      <c r="B173" s="831"/>
      <c r="C173" s="319"/>
      <c r="D173" s="319"/>
      <c r="E173" s="319"/>
      <c r="F173" s="319"/>
      <c r="G173" s="832" t="s">
        <v>1054</v>
      </c>
      <c r="H173" s="832"/>
      <c r="I173" s="301"/>
      <c r="J173" s="301"/>
      <c r="K173" s="301"/>
      <c r="L173" s="301"/>
    </row>
    <row r="174" spans="1:12" ht="16.5">
      <c r="A174" s="329" t="s">
        <v>1089</v>
      </c>
      <c r="B174" s="329"/>
      <c r="C174" s="319"/>
      <c r="D174" s="319"/>
      <c r="E174" s="319"/>
      <c r="F174" s="320"/>
      <c r="G174" s="301" t="s">
        <v>1089</v>
      </c>
      <c r="H174" s="301"/>
      <c r="I174" s="301"/>
      <c r="J174" s="301"/>
      <c r="K174" s="301"/>
      <c r="L174" s="301"/>
    </row>
    <row r="175" spans="1:12" ht="16.5">
      <c r="A175" s="329" t="s">
        <v>1090</v>
      </c>
      <c r="B175" s="329"/>
      <c r="C175" s="321"/>
      <c r="D175" s="320"/>
      <c r="E175" s="320"/>
      <c r="F175" s="319"/>
      <c r="G175" s="301" t="s">
        <v>1090</v>
      </c>
      <c r="H175" s="301"/>
      <c r="I175" s="301"/>
      <c r="J175" s="301"/>
      <c r="K175" s="301"/>
      <c r="L175" s="301"/>
    </row>
    <row r="176" spans="1:12" ht="16.5">
      <c r="A176" s="329" t="s">
        <v>1055</v>
      </c>
      <c r="B176" s="329"/>
      <c r="C176" s="319"/>
      <c r="D176" s="319"/>
      <c r="E176" s="319"/>
      <c r="F176" s="319"/>
      <c r="G176" s="301" t="s">
        <v>1055</v>
      </c>
      <c r="H176" s="301"/>
      <c r="I176" s="301"/>
      <c r="J176" s="301"/>
      <c r="K176" s="301"/>
      <c r="L176" s="301"/>
    </row>
    <row r="177" spans="1:12" ht="16.5" customHeight="1"/>
    <row r="178" spans="1:12" ht="18" customHeight="1"/>
    <row r="179" spans="1:12" ht="16.5" customHeight="1"/>
    <row r="180" spans="1:12" ht="15.75" customHeight="1"/>
    <row r="181" spans="1:12" ht="16.5">
      <c r="A181" s="299"/>
      <c r="B181" s="299"/>
      <c r="C181" s="30" t="s">
        <v>24</v>
      </c>
      <c r="D181" s="30"/>
      <c r="E181" s="30"/>
      <c r="F181" s="299"/>
      <c r="G181" s="299"/>
      <c r="H181" s="299"/>
      <c r="I181" s="30" t="s">
        <v>24</v>
      </c>
      <c r="J181" s="30"/>
      <c r="K181" s="30"/>
      <c r="L181" s="299"/>
    </row>
    <row r="182" spans="1:12" ht="16.5">
      <c r="A182" s="299"/>
      <c r="B182" s="299"/>
      <c r="C182" s="30" t="s">
        <v>149</v>
      </c>
      <c r="D182" s="30"/>
      <c r="E182" s="30"/>
      <c r="F182" s="299"/>
      <c r="G182" s="299"/>
      <c r="H182" s="299"/>
      <c r="I182" s="30" t="s">
        <v>149</v>
      </c>
      <c r="J182" s="30"/>
      <c r="K182" s="30"/>
      <c r="L182" s="299"/>
    </row>
    <row r="183" spans="1:12" ht="16.5">
      <c r="C183" s="699" t="s">
        <v>150</v>
      </c>
      <c r="D183" s="699"/>
      <c r="E183" s="699"/>
      <c r="I183" s="699" t="s">
        <v>150</v>
      </c>
      <c r="J183" s="699"/>
      <c r="K183" s="699"/>
    </row>
    <row r="184" spans="1:12" ht="16.5">
      <c r="C184" s="315"/>
      <c r="D184" s="315"/>
      <c r="E184" s="315"/>
      <c r="I184" s="315"/>
      <c r="J184" s="315"/>
      <c r="K184" s="315"/>
    </row>
    <row r="185" spans="1:12" ht="15.75" customHeight="1"/>
    <row r="186" spans="1:12" ht="16.5" customHeight="1"/>
    <row r="187" spans="1:12" ht="17.25">
      <c r="B187" s="350"/>
      <c r="C187" s="644" t="s">
        <v>23</v>
      </c>
      <c r="D187" s="644"/>
      <c r="E187" s="644"/>
      <c r="F187" s="350"/>
      <c r="G187" s="350"/>
      <c r="H187" s="350"/>
      <c r="I187" s="644" t="s">
        <v>23</v>
      </c>
      <c r="J187" s="644"/>
      <c r="K187" s="644"/>
      <c r="L187" s="259"/>
    </row>
    <row r="188" spans="1:12" ht="15.75">
      <c r="A188" s="300"/>
      <c r="B188" s="300"/>
      <c r="C188" s="300"/>
      <c r="D188" s="300"/>
      <c r="E188" s="300"/>
      <c r="F188" s="300"/>
      <c r="G188" s="300"/>
      <c r="H188" s="300"/>
      <c r="I188" s="300"/>
      <c r="J188" s="300"/>
      <c r="K188" s="300"/>
      <c r="L188" s="300"/>
    </row>
    <row r="189" spans="1:12" ht="15.75">
      <c r="A189" s="300"/>
      <c r="B189" s="300"/>
      <c r="C189" s="300"/>
      <c r="D189" s="300"/>
      <c r="E189" s="300"/>
      <c r="F189" s="300"/>
      <c r="G189" s="300"/>
      <c r="H189" s="300"/>
      <c r="I189" s="300"/>
      <c r="J189" s="300"/>
      <c r="K189" s="300"/>
      <c r="L189" s="300"/>
    </row>
    <row r="190" spans="1:12">
      <c r="A190" s="830" t="s">
        <v>1056</v>
      </c>
      <c r="B190" s="830"/>
      <c r="C190" s="830"/>
      <c r="D190" s="830"/>
      <c r="E190" s="830"/>
      <c r="F190" s="830"/>
      <c r="G190" s="830" t="s">
        <v>1056</v>
      </c>
      <c r="H190" s="830"/>
      <c r="I190" s="830"/>
      <c r="J190" s="830"/>
      <c r="K190" s="830"/>
      <c r="L190" s="830"/>
    </row>
    <row r="191" spans="1:12">
      <c r="A191" s="830" t="s">
        <v>1057</v>
      </c>
      <c r="B191" s="830"/>
      <c r="C191" s="830"/>
      <c r="D191" s="830"/>
      <c r="E191" s="830"/>
      <c r="F191" s="830"/>
      <c r="G191" s="830" t="s">
        <v>1057</v>
      </c>
      <c r="H191" s="830"/>
      <c r="I191" s="830"/>
      <c r="J191" s="830"/>
      <c r="K191" s="830"/>
      <c r="L191" s="830"/>
    </row>
    <row r="192" spans="1:12" ht="15.75">
      <c r="A192" s="322"/>
      <c r="B192" s="861" t="s">
        <v>1046</v>
      </c>
      <c r="C192" s="861"/>
      <c r="D192" s="861"/>
      <c r="E192" s="861"/>
      <c r="F192" s="861"/>
    </row>
    <row r="193" spans="1:6" ht="19.5" customHeight="1">
      <c r="A193" s="322"/>
      <c r="B193" s="845" t="s">
        <v>1047</v>
      </c>
      <c r="C193" s="845"/>
      <c r="D193" s="845"/>
      <c r="E193" s="845"/>
      <c r="F193" s="845"/>
    </row>
    <row r="194" spans="1:6" ht="18.75">
      <c r="A194" s="322"/>
      <c r="B194" s="846" t="s">
        <v>1058</v>
      </c>
      <c r="C194" s="847"/>
      <c r="D194" s="847"/>
      <c r="E194" s="847"/>
      <c r="F194" s="848"/>
    </row>
    <row r="195" spans="1:6" ht="14.25" customHeight="1">
      <c r="A195" s="322"/>
      <c r="B195" s="849" t="s">
        <v>1048</v>
      </c>
      <c r="C195" s="850"/>
      <c r="D195" s="850"/>
      <c r="E195" s="850"/>
      <c r="F195" s="851"/>
    </row>
    <row r="196" spans="1:6" ht="15.75" customHeight="1">
      <c r="A196" s="322"/>
      <c r="B196" s="345"/>
      <c r="C196" s="345"/>
      <c r="D196" s="345"/>
      <c r="E196" s="345"/>
      <c r="F196" s="345"/>
    </row>
    <row r="197" spans="1:6" ht="16.5">
      <c r="A197" s="323"/>
      <c r="B197" s="324"/>
      <c r="C197" s="324"/>
      <c r="D197" s="324"/>
      <c r="E197" s="324"/>
      <c r="F197" s="319"/>
    </row>
    <row r="198" spans="1:6" ht="16.5">
      <c r="A198" s="325"/>
      <c r="B198" s="325"/>
      <c r="C198" s="319"/>
      <c r="D198" s="326"/>
      <c r="E198" s="327"/>
      <c r="F198" s="328"/>
    </row>
    <row r="199" spans="1:6" ht="16.5">
      <c r="A199" s="329"/>
      <c r="B199" s="325"/>
      <c r="C199" s="319"/>
      <c r="D199" s="835" t="s">
        <v>350</v>
      </c>
      <c r="E199" s="835"/>
      <c r="F199" s="835"/>
    </row>
    <row r="200" spans="1:6" ht="16.5">
      <c r="A200" s="325" t="s">
        <v>1049</v>
      </c>
      <c r="B200" s="330">
        <v>297</v>
      </c>
      <c r="C200" s="319"/>
      <c r="D200" s="835"/>
      <c r="E200" s="835"/>
      <c r="F200" s="835"/>
    </row>
    <row r="201" spans="1:6" ht="16.5">
      <c r="A201" s="325"/>
      <c r="B201" s="331"/>
      <c r="C201" s="324"/>
      <c r="D201" s="835" t="s">
        <v>1181</v>
      </c>
      <c r="E201" s="835"/>
      <c r="F201" s="835"/>
    </row>
    <row r="202" spans="1:6" ht="16.5">
      <c r="A202" s="325" t="s">
        <v>1050</v>
      </c>
      <c r="B202" s="332"/>
      <c r="C202" s="319"/>
      <c r="D202" s="333"/>
      <c r="E202" s="317" t="s">
        <v>36</v>
      </c>
      <c r="F202" s="334"/>
    </row>
    <row r="203" spans="1:6" ht="16.5">
      <c r="A203" s="325"/>
      <c r="B203" s="335"/>
      <c r="C203" s="319"/>
      <c r="D203" s="329"/>
      <c r="E203" s="329"/>
      <c r="F203" s="336"/>
    </row>
    <row r="204" spans="1:6" ht="16.5">
      <c r="A204" s="325"/>
      <c r="B204" s="331"/>
      <c r="C204" s="319"/>
      <c r="D204" s="329"/>
      <c r="E204" s="329"/>
      <c r="F204" s="319"/>
    </row>
    <row r="205" spans="1:6" ht="15.75">
      <c r="A205" s="317"/>
      <c r="B205" s="337"/>
      <c r="C205" s="337"/>
      <c r="D205" s="337"/>
      <c r="E205" s="327"/>
      <c r="F205" s="319"/>
    </row>
    <row r="206" spans="1:6" ht="18" customHeight="1">
      <c r="A206" s="302" t="s">
        <v>3</v>
      </c>
      <c r="B206" s="855" t="s">
        <v>4</v>
      </c>
      <c r="C206" s="856"/>
      <c r="D206" s="856"/>
      <c r="E206" s="857"/>
      <c r="F206" s="302" t="s">
        <v>363</v>
      </c>
    </row>
    <row r="207" spans="1:6" ht="16.5">
      <c r="A207" s="858" t="s">
        <v>921</v>
      </c>
      <c r="B207" s="840"/>
      <c r="C207" s="841"/>
      <c r="D207" s="841"/>
      <c r="E207" s="338"/>
      <c r="F207" s="339"/>
    </row>
    <row r="208" spans="1:6" ht="15.75">
      <c r="A208" s="859"/>
      <c r="B208" s="852" t="s">
        <v>1182</v>
      </c>
      <c r="C208" s="853"/>
      <c r="D208" s="853"/>
      <c r="E208" s="854"/>
      <c r="F208" s="340"/>
    </row>
    <row r="209" spans="1:6" ht="15.75">
      <c r="A209" s="859"/>
      <c r="B209" s="852"/>
      <c r="C209" s="853"/>
      <c r="D209" s="853"/>
      <c r="E209" s="854"/>
      <c r="F209" s="340"/>
    </row>
    <row r="210" spans="1:6" ht="15.75">
      <c r="A210" s="859"/>
      <c r="B210" s="842" t="s">
        <v>1114</v>
      </c>
      <c r="C210" s="843"/>
      <c r="D210" s="843"/>
      <c r="E210" s="844"/>
      <c r="F210" s="340"/>
    </row>
    <row r="211" spans="1:6" ht="15.75">
      <c r="A211" s="859"/>
      <c r="B211" s="833" t="s">
        <v>1108</v>
      </c>
      <c r="C211" s="833"/>
      <c r="D211" s="833" t="s">
        <v>1109</v>
      </c>
      <c r="E211" s="833"/>
      <c r="F211" s="309">
        <f>+B212*D212</f>
        <v>600000</v>
      </c>
    </row>
    <row r="212" spans="1:6" ht="15.75">
      <c r="A212" s="859"/>
      <c r="B212" s="833">
        <v>30</v>
      </c>
      <c r="C212" s="833"/>
      <c r="D212" s="834">
        <v>20000</v>
      </c>
      <c r="E212" s="833"/>
      <c r="F212" s="341"/>
    </row>
    <row r="213" spans="1:6" ht="15.75">
      <c r="A213" s="860"/>
      <c r="B213" s="342"/>
      <c r="C213" s="327"/>
      <c r="D213" s="327"/>
      <c r="E213" s="343"/>
      <c r="F213" s="344"/>
    </row>
    <row r="214" spans="1:6" ht="17.25" customHeight="1">
      <c r="A214" s="303" t="s">
        <v>12</v>
      </c>
      <c r="B214" s="304" t="s">
        <v>1051</v>
      </c>
      <c r="C214" s="304" t="s">
        <v>14</v>
      </c>
      <c r="D214" s="304" t="s">
        <v>15</v>
      </c>
      <c r="E214" s="304" t="s">
        <v>1052</v>
      </c>
      <c r="F214" s="305" t="s">
        <v>17</v>
      </c>
    </row>
    <row r="215" spans="1:6" ht="16.5">
      <c r="A215" s="311" t="s">
        <v>18</v>
      </c>
      <c r="B215" s="312">
        <f>+F211/1.18</f>
        <v>508474.57627118647</v>
      </c>
      <c r="C215" s="313">
        <f>+B215*0.18</f>
        <v>91525.423728813563</v>
      </c>
      <c r="D215" s="306">
        <v>0</v>
      </c>
      <c r="E215" s="311">
        <f>B215+C215</f>
        <v>600000</v>
      </c>
      <c r="F215" s="310">
        <f>E215-D215</f>
        <v>600000</v>
      </c>
    </row>
    <row r="216" spans="1:6" ht="16.5">
      <c r="A216" s="311" t="s">
        <v>113</v>
      </c>
      <c r="B216" s="312">
        <f>SUM(B215/655.957)</f>
        <v>775.16449442751048</v>
      </c>
      <c r="C216" s="312">
        <f>SUM(C215/655.957)</f>
        <v>139.52960899695188</v>
      </c>
      <c r="D216" s="314">
        <v>0</v>
      </c>
      <c r="E216" s="314">
        <f>SUM(E215/655.957)</f>
        <v>914.69410342446224</v>
      </c>
      <c r="F216" s="312">
        <f>SUM(F215/655.957)</f>
        <v>914.69410342446224</v>
      </c>
    </row>
    <row r="217" spans="1:6" ht="16.5">
      <c r="A217" s="346"/>
      <c r="B217" s="347"/>
      <c r="C217" s="347"/>
      <c r="D217" s="348"/>
      <c r="E217" s="348"/>
      <c r="F217" s="347"/>
    </row>
    <row r="218" spans="1:6" ht="16.5">
      <c r="A218" s="838" t="s">
        <v>1053</v>
      </c>
      <c r="B218" s="838"/>
      <c r="C218" s="838"/>
      <c r="D218" s="838"/>
      <c r="E218" s="838"/>
      <c r="F218" s="838"/>
    </row>
    <row r="219" spans="1:6" ht="16.5">
      <c r="A219" s="863" t="s">
        <v>1183</v>
      </c>
      <c r="B219" s="863"/>
      <c r="C219" s="863"/>
      <c r="D219" s="863"/>
      <c r="E219" s="863"/>
      <c r="F219" s="863"/>
    </row>
    <row r="220" spans="1:6" ht="16.5">
      <c r="A220" s="836"/>
      <c r="B220" s="836"/>
      <c r="C220" s="836"/>
      <c r="D220" s="836"/>
      <c r="E220" s="836"/>
      <c r="F220" s="836"/>
    </row>
    <row r="221" spans="1:6" ht="16.5">
      <c r="A221" s="831" t="s">
        <v>1054</v>
      </c>
      <c r="B221" s="831"/>
      <c r="C221" s="319"/>
      <c r="D221" s="319"/>
      <c r="E221" s="319"/>
      <c r="F221" s="319"/>
    </row>
    <row r="222" spans="1:6" ht="16.5">
      <c r="A222" s="329" t="s">
        <v>1089</v>
      </c>
      <c r="B222" s="329"/>
      <c r="C222" s="319"/>
      <c r="D222" s="319"/>
      <c r="E222" s="319"/>
      <c r="F222" s="320"/>
    </row>
    <row r="223" spans="1:6" ht="16.5">
      <c r="A223" s="329" t="s">
        <v>1090</v>
      </c>
      <c r="B223" s="329"/>
      <c r="C223" s="321"/>
      <c r="D223" s="320"/>
      <c r="E223" s="320"/>
      <c r="F223" s="319"/>
    </row>
    <row r="224" spans="1:6" ht="16.5">
      <c r="A224" s="329" t="s">
        <v>1055</v>
      </c>
      <c r="B224" s="329"/>
      <c r="C224" s="319"/>
      <c r="D224" s="319"/>
      <c r="E224" s="319"/>
      <c r="F224" s="319"/>
    </row>
    <row r="225" spans="1:6" ht="16.5" customHeight="1"/>
    <row r="226" spans="1:6" ht="16.5" customHeight="1"/>
    <row r="227" spans="1:6" ht="15.75" customHeight="1"/>
    <row r="228" spans="1:6" ht="15.75" customHeight="1"/>
    <row r="229" spans="1:6" ht="16.5">
      <c r="A229" s="299"/>
      <c r="B229" s="299"/>
      <c r="C229" s="30" t="s">
        <v>24</v>
      </c>
      <c r="D229" s="30"/>
      <c r="E229" s="30"/>
      <c r="F229" s="299"/>
    </row>
    <row r="230" spans="1:6" ht="16.5">
      <c r="A230" s="299"/>
      <c r="B230" s="299"/>
      <c r="C230" s="30" t="s">
        <v>149</v>
      </c>
      <c r="D230" s="30"/>
      <c r="E230" s="30"/>
      <c r="F230" s="299"/>
    </row>
    <row r="231" spans="1:6" ht="16.5">
      <c r="C231" s="699" t="s">
        <v>150</v>
      </c>
      <c r="D231" s="699"/>
      <c r="E231" s="699"/>
    </row>
    <row r="232" spans="1:6" ht="16.5">
      <c r="C232" s="315"/>
      <c r="D232" s="315"/>
      <c r="E232" s="315"/>
    </row>
    <row r="233" spans="1:6" ht="18.75" customHeight="1"/>
    <row r="234" spans="1:6" ht="15" customHeight="1"/>
    <row r="235" spans="1:6" ht="17.25">
      <c r="B235" s="350"/>
      <c r="C235" s="644" t="s">
        <v>23</v>
      </c>
      <c r="D235" s="644"/>
      <c r="E235" s="644"/>
      <c r="F235" s="350"/>
    </row>
    <row r="236" spans="1:6" ht="15.75">
      <c r="A236" s="300"/>
      <c r="B236" s="300"/>
      <c r="C236" s="300"/>
      <c r="D236" s="300"/>
      <c r="E236" s="300"/>
      <c r="F236" s="300"/>
    </row>
    <row r="237" spans="1:6" ht="15.75">
      <c r="A237" s="300"/>
      <c r="B237" s="300"/>
      <c r="C237" s="300"/>
      <c r="D237" s="300"/>
      <c r="E237" s="300"/>
      <c r="F237" s="300"/>
    </row>
    <row r="238" spans="1:6">
      <c r="A238" s="830" t="s">
        <v>1056</v>
      </c>
      <c r="B238" s="830"/>
      <c r="C238" s="830"/>
      <c r="D238" s="830"/>
      <c r="E238" s="830"/>
      <c r="F238" s="830"/>
    </row>
    <row r="239" spans="1:6">
      <c r="A239" s="830" t="s">
        <v>1057</v>
      </c>
      <c r="B239" s="830"/>
      <c r="C239" s="830"/>
      <c r="D239" s="830"/>
      <c r="E239" s="830"/>
      <c r="F239" s="830"/>
    </row>
  </sheetData>
  <mergeCells count="225">
    <mergeCell ref="B19:E19"/>
    <mergeCell ref="A63:A70"/>
    <mergeCell ref="B67:E67"/>
    <mergeCell ref="B69:C69"/>
    <mergeCell ref="D69:E69"/>
    <mergeCell ref="B114:E114"/>
    <mergeCell ref="A218:F218"/>
    <mergeCell ref="A219:F219"/>
    <mergeCell ref="D212:E212"/>
    <mergeCell ref="A170:F170"/>
    <mergeCell ref="A191:F191"/>
    <mergeCell ref="D164:E164"/>
    <mergeCell ref="D152:F152"/>
    <mergeCell ref="B146:F146"/>
    <mergeCell ref="A16:A23"/>
    <mergeCell ref="B21:C21"/>
    <mergeCell ref="B22:C22"/>
    <mergeCell ref="D21:E21"/>
    <mergeCell ref="D22:E22"/>
    <mergeCell ref="B49:F49"/>
    <mergeCell ref="D56:F56"/>
    <mergeCell ref="B63:D63"/>
    <mergeCell ref="B62:E62"/>
    <mergeCell ref="B65:E65"/>
    <mergeCell ref="A220:F220"/>
    <mergeCell ref="A221:B221"/>
    <mergeCell ref="C231:E231"/>
    <mergeCell ref="C235:E235"/>
    <mergeCell ref="A238:F238"/>
    <mergeCell ref="A239:F239"/>
    <mergeCell ref="H160:K160"/>
    <mergeCell ref="B160:E160"/>
    <mergeCell ref="B208:E208"/>
    <mergeCell ref="B192:F192"/>
    <mergeCell ref="B193:F193"/>
    <mergeCell ref="B194:F194"/>
    <mergeCell ref="B195:F195"/>
    <mergeCell ref="D199:F199"/>
    <mergeCell ref="D200:F200"/>
    <mergeCell ref="D201:F201"/>
    <mergeCell ref="B206:E206"/>
    <mergeCell ref="A207:A213"/>
    <mergeCell ref="B207:D207"/>
    <mergeCell ref="B209:E209"/>
    <mergeCell ref="B210:E210"/>
    <mergeCell ref="B211:C211"/>
    <mergeCell ref="D211:E211"/>
    <mergeCell ref="B212:C212"/>
    <mergeCell ref="G170:L170"/>
    <mergeCell ref="A173:B173"/>
    <mergeCell ref="G173:H173"/>
    <mergeCell ref="C183:E183"/>
    <mergeCell ref="I183:K183"/>
    <mergeCell ref="C187:E187"/>
    <mergeCell ref="I187:K187"/>
    <mergeCell ref="A190:F190"/>
    <mergeCell ref="G190:L190"/>
    <mergeCell ref="G191:L191"/>
    <mergeCell ref="A171:F171"/>
    <mergeCell ref="G171:L171"/>
    <mergeCell ref="A172:F172"/>
    <mergeCell ref="G172:L172"/>
    <mergeCell ref="D153:F153"/>
    <mergeCell ref="J153:L153"/>
    <mergeCell ref="B158:E158"/>
    <mergeCell ref="H158:K158"/>
    <mergeCell ref="A159:A165"/>
    <mergeCell ref="B159:D159"/>
    <mergeCell ref="G159:G165"/>
    <mergeCell ref="H159:J159"/>
    <mergeCell ref="B161:E161"/>
    <mergeCell ref="H161:K161"/>
    <mergeCell ref="B163:C163"/>
    <mergeCell ref="D163:E163"/>
    <mergeCell ref="H163:I163"/>
    <mergeCell ref="J163:K163"/>
    <mergeCell ref="H164:I164"/>
    <mergeCell ref="J164:K164"/>
    <mergeCell ref="B162:E162"/>
    <mergeCell ref="H162:K162"/>
    <mergeCell ref="B164:C164"/>
    <mergeCell ref="J152:L152"/>
    <mergeCell ref="A94:F94"/>
    <mergeCell ref="D105:F105"/>
    <mergeCell ref="J105:L105"/>
    <mergeCell ref="B109:E109"/>
    <mergeCell ref="H109:K109"/>
    <mergeCell ref="A95:F95"/>
    <mergeCell ref="G95:L95"/>
    <mergeCell ref="G94:L94"/>
    <mergeCell ref="A143:F143"/>
    <mergeCell ref="G143:L143"/>
    <mergeCell ref="B145:F145"/>
    <mergeCell ref="H145:L145"/>
    <mergeCell ref="B117:C117"/>
    <mergeCell ref="D117:E117"/>
    <mergeCell ref="H117:I117"/>
    <mergeCell ref="J117:K117"/>
    <mergeCell ref="B98:F98"/>
    <mergeCell ref="H98:L98"/>
    <mergeCell ref="B99:F99"/>
    <mergeCell ref="H99:L99"/>
    <mergeCell ref="B112:E112"/>
    <mergeCell ref="H112:K112"/>
    <mergeCell ref="H144:L144"/>
    <mergeCell ref="H146:L146"/>
    <mergeCell ref="D151:F151"/>
    <mergeCell ref="J151:L151"/>
    <mergeCell ref="A73:F73"/>
    <mergeCell ref="G76:L76"/>
    <mergeCell ref="A77:B77"/>
    <mergeCell ref="G77:H77"/>
    <mergeCell ref="C86:E86"/>
    <mergeCell ref="I86:K86"/>
    <mergeCell ref="A74:F74"/>
    <mergeCell ref="G73:L73"/>
    <mergeCell ref="G75:L75"/>
    <mergeCell ref="A76:F76"/>
    <mergeCell ref="G124:L124"/>
    <mergeCell ref="H116:I116"/>
    <mergeCell ref="J116:K116"/>
    <mergeCell ref="H97:L97"/>
    <mergeCell ref="H96:L96"/>
    <mergeCell ref="B147:F147"/>
    <mergeCell ref="H147:L147"/>
    <mergeCell ref="A110:A118"/>
    <mergeCell ref="B110:D110"/>
    <mergeCell ref="B144:F144"/>
    <mergeCell ref="G110:G118"/>
    <mergeCell ref="B66:E66"/>
    <mergeCell ref="D103:F103"/>
    <mergeCell ref="B20:E20"/>
    <mergeCell ref="A124:F124"/>
    <mergeCell ref="B116:C116"/>
    <mergeCell ref="D116:E116"/>
    <mergeCell ref="B50:F50"/>
    <mergeCell ref="B97:F97"/>
    <mergeCell ref="A75:F75"/>
    <mergeCell ref="B96:F96"/>
    <mergeCell ref="D57:F57"/>
    <mergeCell ref="B111:E111"/>
    <mergeCell ref="B113:E113"/>
    <mergeCell ref="G27:L27"/>
    <mergeCell ref="G28:L28"/>
    <mergeCell ref="G29:L29"/>
    <mergeCell ref="G30:H30"/>
    <mergeCell ref="I38:K38"/>
    <mergeCell ref="B48:F48"/>
    <mergeCell ref="A27:F27"/>
    <mergeCell ref="A28:F28"/>
    <mergeCell ref="A46:F46"/>
    <mergeCell ref="A47:F47"/>
    <mergeCell ref="A29:F29"/>
    <mergeCell ref="A30:B30"/>
    <mergeCell ref="C38:E38"/>
    <mergeCell ref="I42:K42"/>
    <mergeCell ref="C42:E42"/>
    <mergeCell ref="G46:L46"/>
    <mergeCell ref="G47:L47"/>
    <mergeCell ref="H48:L48"/>
    <mergeCell ref="J10:L10"/>
    <mergeCell ref="H15:K15"/>
    <mergeCell ref="G16:G23"/>
    <mergeCell ref="H16:J16"/>
    <mergeCell ref="H18:K18"/>
    <mergeCell ref="H20:K20"/>
    <mergeCell ref="H21:I21"/>
    <mergeCell ref="J21:K21"/>
    <mergeCell ref="H22:I22"/>
    <mergeCell ref="J22:K22"/>
    <mergeCell ref="H65:K65"/>
    <mergeCell ref="H66:K66"/>
    <mergeCell ref="H67:I67"/>
    <mergeCell ref="J67:K67"/>
    <mergeCell ref="H62:K62"/>
    <mergeCell ref="G63:G69"/>
    <mergeCell ref="B64:E64"/>
    <mergeCell ref="B1:F1"/>
    <mergeCell ref="B2:F2"/>
    <mergeCell ref="B3:F3"/>
    <mergeCell ref="B4:F4"/>
    <mergeCell ref="B18:E18"/>
    <mergeCell ref="D8:F8"/>
    <mergeCell ref="D9:F9"/>
    <mergeCell ref="D10:F10"/>
    <mergeCell ref="B15:E15"/>
    <mergeCell ref="B16:D16"/>
    <mergeCell ref="B17:E17"/>
    <mergeCell ref="H1:L1"/>
    <mergeCell ref="H2:L2"/>
    <mergeCell ref="H3:L3"/>
    <mergeCell ref="H4:L4"/>
    <mergeCell ref="J8:L8"/>
    <mergeCell ref="J9:L9"/>
    <mergeCell ref="H49:L49"/>
    <mergeCell ref="H50:L50"/>
    <mergeCell ref="B51:F51"/>
    <mergeCell ref="H51:L51"/>
    <mergeCell ref="J57:L57"/>
    <mergeCell ref="D58:F58"/>
    <mergeCell ref="J58:L58"/>
    <mergeCell ref="J56:L56"/>
    <mergeCell ref="H63:J63"/>
    <mergeCell ref="A142:F142"/>
    <mergeCell ref="G142:L142"/>
    <mergeCell ref="A126:B126"/>
    <mergeCell ref="G126:H126"/>
    <mergeCell ref="C135:E135"/>
    <mergeCell ref="I135:K135"/>
    <mergeCell ref="C139:E139"/>
    <mergeCell ref="I139:K139"/>
    <mergeCell ref="H68:I68"/>
    <mergeCell ref="J68:K68"/>
    <mergeCell ref="J103:L103"/>
    <mergeCell ref="D104:F104"/>
    <mergeCell ref="J104:L104"/>
    <mergeCell ref="A125:F125"/>
    <mergeCell ref="G125:L125"/>
    <mergeCell ref="A123:F123"/>
    <mergeCell ref="G123:L123"/>
    <mergeCell ref="B68:C68"/>
    <mergeCell ref="D68:E68"/>
    <mergeCell ref="H110:J110"/>
    <mergeCell ref="B115:E115"/>
    <mergeCell ref="H115:K115"/>
  </mergeCells>
  <pageMargins left="0.54" right="0.5" top="0.55000000000000004" bottom="0.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57"/>
  <sheetViews>
    <sheetView workbookViewId="0">
      <selection activeCell="J18" sqref="J18"/>
    </sheetView>
  </sheetViews>
  <sheetFormatPr baseColWidth="10" defaultRowHeight="15"/>
  <cols>
    <col min="2" max="2" width="7.140625" bestFit="1" customWidth="1"/>
    <col min="3" max="3" width="20.28515625" customWidth="1"/>
    <col min="4" max="4" width="21.85546875" bestFit="1" customWidth="1"/>
    <col min="5" max="6" width="20.28515625" customWidth="1"/>
    <col min="8" max="8" width="13.85546875" bestFit="1" customWidth="1"/>
    <col min="9" max="9" width="36.42578125" bestFit="1" customWidth="1"/>
    <col min="10" max="10" width="32" bestFit="1" customWidth="1"/>
  </cols>
  <sheetData>
    <row r="2" spans="2:11" ht="16.5"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2:11" ht="16.5"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2:11" ht="16.5"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2:11" ht="16.5">
      <c r="B5" s="12"/>
      <c r="C5" s="12"/>
      <c r="D5" s="12"/>
      <c r="E5" s="12"/>
      <c r="F5" s="30" t="s">
        <v>426</v>
      </c>
      <c r="G5" s="30"/>
      <c r="H5" s="12"/>
      <c r="I5" s="12"/>
      <c r="J5" s="12"/>
      <c r="K5" s="12"/>
    </row>
    <row r="6" spans="2:11" ht="16.5">
      <c r="B6" s="12"/>
      <c r="C6" s="12"/>
      <c r="D6" s="12"/>
      <c r="E6" s="12"/>
      <c r="F6" s="604" t="s">
        <v>425</v>
      </c>
      <c r="G6" s="604"/>
      <c r="H6" s="12"/>
      <c r="I6" s="12"/>
      <c r="J6" s="12"/>
      <c r="K6" s="12"/>
    </row>
    <row r="7" spans="2:11" ht="16.5"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2:11" ht="16.5">
      <c r="B8" s="223" t="s">
        <v>360</v>
      </c>
      <c r="C8" s="223" t="s">
        <v>361</v>
      </c>
      <c r="D8" s="223" t="s">
        <v>362</v>
      </c>
      <c r="E8" s="223" t="s">
        <v>365</v>
      </c>
      <c r="F8" s="223" t="s">
        <v>366</v>
      </c>
      <c r="G8" s="223" t="s">
        <v>369</v>
      </c>
      <c r="H8" s="223" t="s">
        <v>363</v>
      </c>
      <c r="I8" s="223" t="s">
        <v>364</v>
      </c>
      <c r="J8" s="223" t="s">
        <v>372</v>
      </c>
      <c r="K8" s="223" t="s">
        <v>387</v>
      </c>
    </row>
    <row r="9" spans="2:11" ht="16.5">
      <c r="B9" s="232">
        <v>610</v>
      </c>
      <c r="C9" s="229">
        <v>8</v>
      </c>
      <c r="D9" s="233">
        <v>42139</v>
      </c>
      <c r="E9" s="229" t="s">
        <v>367</v>
      </c>
      <c r="F9" s="229" t="s">
        <v>368</v>
      </c>
      <c r="G9" s="229" t="s">
        <v>370</v>
      </c>
      <c r="H9" s="230">
        <v>1253075</v>
      </c>
      <c r="I9" s="223" t="s">
        <v>371</v>
      </c>
      <c r="J9" s="229" t="s">
        <v>373</v>
      </c>
      <c r="K9" s="228">
        <v>4</v>
      </c>
    </row>
    <row r="10" spans="2:11" ht="16.5">
      <c r="B10" s="232">
        <f>+B9+1</f>
        <v>611</v>
      </c>
      <c r="C10" s="229">
        <v>3</v>
      </c>
      <c r="D10" s="233">
        <v>42065</v>
      </c>
      <c r="E10" s="229" t="s">
        <v>374</v>
      </c>
      <c r="F10" s="229" t="s">
        <v>375</v>
      </c>
      <c r="G10" s="229">
        <v>8</v>
      </c>
      <c r="H10" s="230">
        <v>1054647</v>
      </c>
      <c r="I10" s="223" t="s">
        <v>376</v>
      </c>
      <c r="J10" s="229"/>
      <c r="K10" s="228">
        <v>2</v>
      </c>
    </row>
    <row r="11" spans="2:11" ht="16.5">
      <c r="B11" s="232">
        <f t="shared" ref="B11:B50" si="0">+B10+1</f>
        <v>612</v>
      </c>
      <c r="C11" s="229">
        <v>1</v>
      </c>
      <c r="D11" s="233">
        <v>42151</v>
      </c>
      <c r="E11" s="229" t="s">
        <v>377</v>
      </c>
      <c r="F11" s="229" t="s">
        <v>375</v>
      </c>
      <c r="G11" s="229">
        <v>5</v>
      </c>
      <c r="H11" s="230">
        <v>280000</v>
      </c>
      <c r="I11" s="223" t="s">
        <v>378</v>
      </c>
      <c r="J11" s="229" t="s">
        <v>379</v>
      </c>
      <c r="K11" s="228">
        <v>1</v>
      </c>
    </row>
    <row r="12" spans="2:11" ht="16.5">
      <c r="B12" s="867">
        <f t="shared" si="0"/>
        <v>613</v>
      </c>
      <c r="C12" s="234" t="s">
        <v>380</v>
      </c>
      <c r="D12" s="233">
        <v>42213</v>
      </c>
      <c r="E12" s="229" t="s">
        <v>381</v>
      </c>
      <c r="F12" s="229" t="s">
        <v>375</v>
      </c>
      <c r="G12" s="229">
        <v>3</v>
      </c>
      <c r="H12" s="230">
        <v>1809593</v>
      </c>
      <c r="I12" s="223"/>
      <c r="J12" s="223" t="s">
        <v>382</v>
      </c>
      <c r="K12" s="228">
        <v>2</v>
      </c>
    </row>
    <row r="13" spans="2:11" ht="16.5">
      <c r="B13" s="867"/>
      <c r="C13" s="234"/>
      <c r="D13" s="233">
        <v>42264</v>
      </c>
      <c r="E13" s="229"/>
      <c r="F13" s="229"/>
      <c r="G13" s="229"/>
      <c r="H13" s="230"/>
      <c r="I13" s="229"/>
      <c r="J13" s="229"/>
      <c r="K13" s="228"/>
    </row>
    <row r="14" spans="2:11" ht="16.5">
      <c r="B14" s="232">
        <f>+B12+1</f>
        <v>614</v>
      </c>
      <c r="C14" s="229" t="s">
        <v>402</v>
      </c>
      <c r="D14" s="229"/>
      <c r="E14" s="229"/>
      <c r="F14" s="229"/>
      <c r="G14" s="229"/>
      <c r="H14" s="230"/>
      <c r="I14" s="229"/>
      <c r="J14" s="229"/>
      <c r="K14" s="228"/>
    </row>
    <row r="15" spans="2:11" ht="16.5">
      <c r="B15" s="232">
        <f t="shared" si="0"/>
        <v>615</v>
      </c>
      <c r="C15" s="229" t="s">
        <v>383</v>
      </c>
      <c r="D15" s="229" t="s">
        <v>384</v>
      </c>
      <c r="E15" s="229" t="s">
        <v>385</v>
      </c>
      <c r="F15" s="229" t="s">
        <v>375</v>
      </c>
      <c r="G15" s="229">
        <v>8</v>
      </c>
      <c r="H15" s="230">
        <f>493500+191650</f>
        <v>685150</v>
      </c>
      <c r="I15" s="223" t="s">
        <v>378</v>
      </c>
      <c r="J15" s="229" t="s">
        <v>386</v>
      </c>
      <c r="K15" s="228">
        <v>5</v>
      </c>
    </row>
    <row r="16" spans="2:11" ht="16.5">
      <c r="B16" s="232">
        <f t="shared" si="0"/>
        <v>616</v>
      </c>
      <c r="C16" s="229"/>
      <c r="D16" s="868">
        <v>42297</v>
      </c>
      <c r="E16" s="229"/>
      <c r="F16" s="229"/>
      <c r="G16" s="229"/>
      <c r="H16" s="230"/>
      <c r="I16" s="869" t="s">
        <v>388</v>
      </c>
      <c r="J16" s="229"/>
      <c r="K16" s="228"/>
    </row>
    <row r="17" spans="2:11" ht="16.5">
      <c r="B17" s="232">
        <f t="shared" si="0"/>
        <v>617</v>
      </c>
      <c r="C17" s="229"/>
      <c r="D17" s="868"/>
      <c r="E17" s="229"/>
      <c r="F17" s="229"/>
      <c r="G17" s="229"/>
      <c r="H17" s="230"/>
      <c r="I17" s="869"/>
      <c r="J17" s="229"/>
      <c r="K17" s="228"/>
    </row>
    <row r="18" spans="2:11" ht="16.5">
      <c r="B18" s="232">
        <f t="shared" si="0"/>
        <v>618</v>
      </c>
      <c r="C18" s="229">
        <v>22</v>
      </c>
      <c r="D18" s="233">
        <v>42292</v>
      </c>
      <c r="E18" s="229" t="s">
        <v>389</v>
      </c>
      <c r="F18" s="229" t="s">
        <v>375</v>
      </c>
      <c r="G18" s="229" t="s">
        <v>390</v>
      </c>
      <c r="H18" s="230">
        <v>22000</v>
      </c>
      <c r="I18" s="223" t="s">
        <v>391</v>
      </c>
      <c r="J18" s="229"/>
      <c r="K18" s="228">
        <v>1</v>
      </c>
    </row>
    <row r="19" spans="2:11" ht="16.5" hidden="1">
      <c r="B19" s="232">
        <f t="shared" si="0"/>
        <v>619</v>
      </c>
      <c r="C19" s="229"/>
      <c r="D19" s="229"/>
      <c r="E19" s="229"/>
      <c r="F19" s="229"/>
      <c r="G19" s="229"/>
      <c r="H19" s="230"/>
      <c r="I19" s="229"/>
      <c r="J19" s="229"/>
      <c r="K19" s="228"/>
    </row>
    <row r="20" spans="2:11" ht="16.5">
      <c r="B20" s="232">
        <f t="shared" si="0"/>
        <v>620</v>
      </c>
      <c r="C20" s="229" t="s">
        <v>392</v>
      </c>
      <c r="D20" s="229" t="s">
        <v>393</v>
      </c>
      <c r="E20" s="229" t="s">
        <v>394</v>
      </c>
      <c r="F20" s="229" t="s">
        <v>375</v>
      </c>
      <c r="G20" s="229">
        <v>9</v>
      </c>
      <c r="H20" s="230">
        <f>196000+18450</f>
        <v>214450</v>
      </c>
      <c r="I20" s="223" t="s">
        <v>395</v>
      </c>
      <c r="J20" s="229"/>
      <c r="K20" s="228">
        <v>2</v>
      </c>
    </row>
    <row r="21" spans="2:11" ht="16.5">
      <c r="B21" s="232">
        <f t="shared" si="0"/>
        <v>621</v>
      </c>
      <c r="C21" s="229">
        <v>83</v>
      </c>
      <c r="D21" s="233">
        <v>42122</v>
      </c>
      <c r="E21" s="229" t="s">
        <v>396</v>
      </c>
      <c r="F21" s="229" t="s">
        <v>397</v>
      </c>
      <c r="G21" s="229">
        <v>6</v>
      </c>
      <c r="H21" s="230">
        <v>64000</v>
      </c>
      <c r="I21" s="223" t="s">
        <v>398</v>
      </c>
      <c r="J21" s="229"/>
      <c r="K21" s="228">
        <v>1</v>
      </c>
    </row>
    <row r="22" spans="2:11" ht="16.5" hidden="1">
      <c r="B22" s="232">
        <f t="shared" si="0"/>
        <v>622</v>
      </c>
      <c r="C22" s="229"/>
      <c r="D22" s="229"/>
      <c r="E22" s="229"/>
      <c r="F22" s="229"/>
      <c r="G22" s="229"/>
      <c r="H22" s="230"/>
      <c r="I22" s="223"/>
      <c r="J22" s="229"/>
      <c r="K22" s="228"/>
    </row>
    <row r="23" spans="2:11" ht="16.5">
      <c r="B23" s="232">
        <f t="shared" si="0"/>
        <v>623</v>
      </c>
      <c r="C23" s="229" t="s">
        <v>399</v>
      </c>
      <c r="D23" s="233">
        <v>42174</v>
      </c>
      <c r="E23" s="229" t="s">
        <v>400</v>
      </c>
      <c r="F23" s="229"/>
      <c r="G23" s="229">
        <v>4</v>
      </c>
      <c r="H23" s="230">
        <f>180000+149800</f>
        <v>329800</v>
      </c>
      <c r="I23" s="223" t="s">
        <v>401</v>
      </c>
      <c r="J23" s="229"/>
      <c r="K23" s="228">
        <v>2</v>
      </c>
    </row>
    <row r="24" spans="2:11" ht="16.5">
      <c r="B24" s="232">
        <f t="shared" si="0"/>
        <v>624</v>
      </c>
      <c r="C24" s="229" t="s">
        <v>402</v>
      </c>
      <c r="D24" s="229"/>
      <c r="E24" s="229"/>
      <c r="F24" s="229"/>
      <c r="G24" s="229"/>
      <c r="H24" s="230"/>
      <c r="I24" s="223"/>
      <c r="J24" s="229"/>
      <c r="K24" s="228"/>
    </row>
    <row r="25" spans="2:11" ht="16.5" hidden="1">
      <c r="B25" s="232">
        <f t="shared" si="0"/>
        <v>625</v>
      </c>
      <c r="C25" s="229"/>
      <c r="D25" s="229"/>
      <c r="E25" s="229"/>
      <c r="F25" s="229"/>
      <c r="G25" s="229"/>
      <c r="H25" s="230"/>
      <c r="I25" s="223"/>
      <c r="J25" s="229"/>
      <c r="K25" s="228"/>
    </row>
    <row r="26" spans="2:11" ht="16.5" hidden="1">
      <c r="B26" s="232">
        <f t="shared" si="0"/>
        <v>626</v>
      </c>
      <c r="C26" s="229"/>
      <c r="D26" s="229"/>
      <c r="E26" s="229"/>
      <c r="F26" s="229"/>
      <c r="G26" s="229"/>
      <c r="H26" s="230"/>
      <c r="I26" s="223"/>
      <c r="J26" s="229"/>
      <c r="K26" s="228"/>
    </row>
    <row r="27" spans="2:11" ht="16.5" hidden="1">
      <c r="B27" s="232">
        <f t="shared" si="0"/>
        <v>627</v>
      </c>
      <c r="C27" s="229"/>
      <c r="D27" s="229"/>
      <c r="E27" s="229"/>
      <c r="F27" s="229"/>
      <c r="G27" s="229"/>
      <c r="H27" s="230"/>
      <c r="I27" s="223"/>
      <c r="J27" s="229"/>
      <c r="K27" s="228"/>
    </row>
    <row r="28" spans="2:11" ht="16.5" hidden="1">
      <c r="B28" s="232">
        <f t="shared" si="0"/>
        <v>628</v>
      </c>
      <c r="C28" s="229"/>
      <c r="D28" s="229"/>
      <c r="E28" s="229"/>
      <c r="F28" s="229"/>
      <c r="G28" s="229"/>
      <c r="H28" s="230"/>
      <c r="I28" s="223"/>
      <c r="J28" s="229"/>
      <c r="K28" s="228"/>
    </row>
    <row r="29" spans="2:11" ht="16.5" hidden="1">
      <c r="B29" s="232">
        <f t="shared" si="0"/>
        <v>629</v>
      </c>
      <c r="C29" s="229"/>
      <c r="D29" s="229"/>
      <c r="E29" s="229"/>
      <c r="F29" s="229"/>
      <c r="G29" s="229"/>
      <c r="H29" s="230"/>
      <c r="I29" s="223"/>
      <c r="J29" s="229"/>
      <c r="K29" s="228"/>
    </row>
    <row r="30" spans="2:11" ht="16.5" hidden="1">
      <c r="B30" s="232">
        <f t="shared" si="0"/>
        <v>630</v>
      </c>
      <c r="C30" s="229"/>
      <c r="D30" s="229"/>
      <c r="E30" s="229"/>
      <c r="F30" s="229"/>
      <c r="G30" s="229"/>
      <c r="H30" s="230"/>
      <c r="I30" s="223"/>
      <c r="J30" s="229"/>
      <c r="K30" s="228"/>
    </row>
    <row r="31" spans="2:11" ht="16.5">
      <c r="B31" s="232">
        <f t="shared" si="0"/>
        <v>631</v>
      </c>
      <c r="C31" s="229" t="s">
        <v>402</v>
      </c>
      <c r="D31" s="229"/>
      <c r="E31" s="229"/>
      <c r="F31" s="229"/>
      <c r="G31" s="229"/>
      <c r="H31" s="230"/>
      <c r="I31" s="223"/>
      <c r="J31" s="229"/>
      <c r="K31" s="228"/>
    </row>
    <row r="32" spans="2:11" ht="16.5">
      <c r="B32" s="232">
        <f t="shared" si="0"/>
        <v>632</v>
      </c>
      <c r="C32" s="229"/>
      <c r="D32" s="229"/>
      <c r="E32" s="229"/>
      <c r="F32" s="229"/>
      <c r="G32" s="229"/>
      <c r="H32" s="230"/>
      <c r="I32" s="223" t="s">
        <v>403</v>
      </c>
      <c r="J32" s="229"/>
      <c r="K32" s="228">
        <v>5</v>
      </c>
    </row>
    <row r="33" spans="2:11" ht="16.5">
      <c r="B33" s="232">
        <f t="shared" si="0"/>
        <v>633</v>
      </c>
      <c r="C33" s="229">
        <v>4</v>
      </c>
      <c r="D33" s="233">
        <v>42186</v>
      </c>
      <c r="E33" s="235" t="s">
        <v>404</v>
      </c>
      <c r="F33" s="229"/>
      <c r="G33" s="229">
        <v>3</v>
      </c>
      <c r="H33" s="230">
        <v>989180</v>
      </c>
      <c r="I33" s="223" t="s">
        <v>405</v>
      </c>
      <c r="J33" s="229"/>
      <c r="K33" s="228">
        <v>1</v>
      </c>
    </row>
    <row r="34" spans="2:11" ht="16.5">
      <c r="B34" s="232">
        <f>+B33+1</f>
        <v>634</v>
      </c>
      <c r="C34" s="229">
        <v>1</v>
      </c>
      <c r="D34" s="233">
        <v>42227</v>
      </c>
      <c r="E34" s="229" t="s">
        <v>406</v>
      </c>
      <c r="F34" s="229"/>
      <c r="G34" s="229">
        <v>2</v>
      </c>
      <c r="H34" s="230">
        <v>718232</v>
      </c>
      <c r="I34" s="223" t="s">
        <v>407</v>
      </c>
      <c r="J34" s="229"/>
      <c r="K34" s="228">
        <v>1</v>
      </c>
    </row>
    <row r="35" spans="2:11" ht="16.5">
      <c r="B35" s="232">
        <f t="shared" si="0"/>
        <v>635</v>
      </c>
      <c r="C35" s="229"/>
      <c r="D35" s="229"/>
      <c r="E35" s="229"/>
      <c r="F35" s="229"/>
      <c r="G35" s="229"/>
      <c r="H35" s="230"/>
      <c r="I35" s="223"/>
      <c r="J35" s="229"/>
      <c r="K35" s="228"/>
    </row>
    <row r="36" spans="2:11" ht="16.5">
      <c r="B36" s="232">
        <f t="shared" si="0"/>
        <v>636</v>
      </c>
      <c r="C36" s="229"/>
      <c r="D36" s="229"/>
      <c r="E36" s="229"/>
      <c r="F36" s="229"/>
      <c r="G36" s="229"/>
      <c r="H36" s="230"/>
      <c r="I36" s="223"/>
      <c r="J36" s="229"/>
      <c r="K36" s="228"/>
    </row>
    <row r="37" spans="2:11" ht="16.5">
      <c r="B37" s="869">
        <f t="shared" si="0"/>
        <v>637</v>
      </c>
      <c r="C37" s="229">
        <v>2</v>
      </c>
      <c r="D37" s="233">
        <v>42187</v>
      </c>
      <c r="E37" s="229" t="s">
        <v>408</v>
      </c>
      <c r="F37" s="229" t="s">
        <v>409</v>
      </c>
      <c r="G37" s="229">
        <v>3</v>
      </c>
      <c r="H37" s="230">
        <v>31634000</v>
      </c>
      <c r="I37" s="223"/>
      <c r="J37" s="229"/>
      <c r="K37" s="870">
        <v>2</v>
      </c>
    </row>
    <row r="38" spans="2:11" ht="16.5">
      <c r="B38" s="869"/>
      <c r="C38" s="229">
        <v>6</v>
      </c>
      <c r="D38" s="233">
        <v>42286</v>
      </c>
      <c r="E38" s="229" t="s">
        <v>410</v>
      </c>
      <c r="F38" s="229"/>
      <c r="G38" s="229"/>
      <c r="H38" s="230">
        <v>3068000</v>
      </c>
      <c r="I38" s="223" t="s">
        <v>411</v>
      </c>
      <c r="J38" s="229"/>
      <c r="K38" s="870"/>
    </row>
    <row r="39" spans="2:11" ht="16.5">
      <c r="B39" s="232">
        <f>+B37+1</f>
        <v>638</v>
      </c>
      <c r="C39" s="223" t="s">
        <v>412</v>
      </c>
      <c r="D39" s="223" t="s">
        <v>413</v>
      </c>
      <c r="E39" s="223" t="s">
        <v>414</v>
      </c>
      <c r="F39" s="223"/>
      <c r="G39" s="223"/>
      <c r="H39" s="231">
        <v>74443610</v>
      </c>
      <c r="I39" s="223" t="s">
        <v>415</v>
      </c>
      <c r="J39" s="223" t="s">
        <v>422</v>
      </c>
      <c r="K39" s="228"/>
    </row>
    <row r="40" spans="2:11" ht="16.5">
      <c r="B40" s="232">
        <f t="shared" si="0"/>
        <v>639</v>
      </c>
      <c r="C40" s="229"/>
      <c r="D40" s="229"/>
      <c r="E40" s="229"/>
      <c r="F40" s="229"/>
      <c r="G40" s="229"/>
      <c r="H40" s="230"/>
      <c r="I40" s="229"/>
      <c r="J40" s="229"/>
      <c r="K40" s="228"/>
    </row>
    <row r="41" spans="2:11" ht="16.5">
      <c r="B41" s="232">
        <f t="shared" si="0"/>
        <v>640</v>
      </c>
      <c r="C41" s="229"/>
      <c r="D41" s="229"/>
      <c r="E41" s="229"/>
      <c r="F41" s="229"/>
      <c r="G41" s="229"/>
      <c r="H41" s="230"/>
      <c r="I41" s="229"/>
      <c r="J41" s="229"/>
      <c r="K41" s="228"/>
    </row>
    <row r="42" spans="2:11" ht="16.5" hidden="1">
      <c r="B42" s="232">
        <f t="shared" si="0"/>
        <v>641</v>
      </c>
      <c r="C42" s="229"/>
      <c r="D42" s="229"/>
      <c r="E42" s="229"/>
      <c r="F42" s="229"/>
      <c r="G42" s="229"/>
      <c r="H42" s="230"/>
      <c r="I42" s="229"/>
      <c r="J42" s="229"/>
      <c r="K42" s="228"/>
    </row>
    <row r="43" spans="2:11" ht="16.5" hidden="1">
      <c r="B43" s="232">
        <f t="shared" si="0"/>
        <v>642</v>
      </c>
      <c r="C43" s="229"/>
      <c r="D43" s="229"/>
      <c r="E43" s="229"/>
      <c r="F43" s="229"/>
      <c r="G43" s="229"/>
      <c r="H43" s="230"/>
      <c r="I43" s="229"/>
      <c r="J43" s="229"/>
      <c r="K43" s="228"/>
    </row>
    <row r="44" spans="2:11" ht="16.5" hidden="1">
      <c r="B44" s="232">
        <f t="shared" si="0"/>
        <v>643</v>
      </c>
      <c r="C44" s="229"/>
      <c r="D44" s="229"/>
      <c r="E44" s="229"/>
      <c r="F44" s="229"/>
      <c r="G44" s="229"/>
      <c r="H44" s="230"/>
      <c r="I44" s="229"/>
      <c r="J44" s="229"/>
      <c r="K44" s="228"/>
    </row>
    <row r="45" spans="2:11" ht="16.5" hidden="1">
      <c r="B45" s="232">
        <f t="shared" si="0"/>
        <v>644</v>
      </c>
      <c r="C45" s="229"/>
      <c r="D45" s="229"/>
      <c r="E45" s="229"/>
      <c r="F45" s="229"/>
      <c r="G45" s="229"/>
      <c r="H45" s="230"/>
      <c r="I45" s="229"/>
      <c r="J45" s="229"/>
      <c r="K45" s="228"/>
    </row>
    <row r="46" spans="2:11" ht="16.5" hidden="1">
      <c r="B46" s="232">
        <f t="shared" si="0"/>
        <v>645</v>
      </c>
      <c r="C46" s="229"/>
      <c r="D46" s="229"/>
      <c r="E46" s="229"/>
      <c r="F46" s="229"/>
      <c r="G46" s="229"/>
      <c r="H46" s="230"/>
      <c r="I46" s="229"/>
      <c r="J46" s="229"/>
      <c r="K46" s="228"/>
    </row>
    <row r="47" spans="2:11" ht="16.5" hidden="1">
      <c r="B47" s="232">
        <f t="shared" si="0"/>
        <v>646</v>
      </c>
      <c r="C47" s="229"/>
      <c r="D47" s="229"/>
      <c r="E47" s="229"/>
      <c r="F47" s="229"/>
      <c r="G47" s="229"/>
      <c r="H47" s="230"/>
      <c r="I47" s="229"/>
      <c r="J47" s="229"/>
      <c r="K47" s="228"/>
    </row>
    <row r="48" spans="2:11" ht="16.5" hidden="1">
      <c r="B48" s="232">
        <f t="shared" si="0"/>
        <v>647</v>
      </c>
      <c r="C48" s="229"/>
      <c r="D48" s="229"/>
      <c r="E48" s="229"/>
      <c r="F48" s="229"/>
      <c r="G48" s="229"/>
      <c r="H48" s="230"/>
      <c r="I48" s="229"/>
      <c r="J48" s="229"/>
      <c r="K48" s="228"/>
    </row>
    <row r="49" spans="2:11" ht="16.5" hidden="1">
      <c r="B49" s="232">
        <f t="shared" si="0"/>
        <v>648</v>
      </c>
      <c r="C49" s="229"/>
      <c r="D49" s="229"/>
      <c r="E49" s="229"/>
      <c r="F49" s="229"/>
      <c r="G49" s="229"/>
      <c r="H49" s="230"/>
      <c r="I49" s="229"/>
      <c r="J49" s="229"/>
      <c r="K49" s="228"/>
    </row>
    <row r="50" spans="2:11" ht="16.5">
      <c r="B50" s="232">
        <f t="shared" si="0"/>
        <v>649</v>
      </c>
      <c r="C50" s="229"/>
      <c r="D50" s="229"/>
      <c r="E50" s="229"/>
      <c r="F50" s="229"/>
      <c r="G50" s="229"/>
      <c r="H50" s="230"/>
      <c r="I50" s="229"/>
      <c r="J50" s="229"/>
      <c r="K50" s="228"/>
    </row>
    <row r="51" spans="2:11" ht="16.5">
      <c r="B51" s="232">
        <f>+B50+5</f>
        <v>654</v>
      </c>
      <c r="C51" s="229" t="s">
        <v>416</v>
      </c>
      <c r="D51" s="229" t="s">
        <v>417</v>
      </c>
      <c r="E51" s="229" t="s">
        <v>418</v>
      </c>
      <c r="F51" s="229" t="s">
        <v>375</v>
      </c>
      <c r="G51" s="229">
        <v>6</v>
      </c>
      <c r="H51" s="230">
        <v>987300</v>
      </c>
      <c r="I51" s="229"/>
      <c r="J51" s="229"/>
      <c r="K51" s="228">
        <v>6</v>
      </c>
    </row>
    <row r="52" spans="2:11" ht="16.5">
      <c r="B52" s="232">
        <f>+B51+4</f>
        <v>658</v>
      </c>
      <c r="C52" s="229" t="s">
        <v>419</v>
      </c>
      <c r="D52" s="227" t="s">
        <v>420</v>
      </c>
      <c r="E52" s="227" t="s">
        <v>421</v>
      </c>
      <c r="F52" s="227" t="s">
        <v>375</v>
      </c>
      <c r="G52" s="227">
        <v>7</v>
      </c>
      <c r="H52" s="228">
        <f>578340+51867</f>
        <v>630207</v>
      </c>
      <c r="I52" s="227"/>
      <c r="J52" s="227"/>
      <c r="K52" s="228">
        <v>4</v>
      </c>
    </row>
    <row r="53" spans="2:11" ht="16.5">
      <c r="B53" s="223" t="s">
        <v>147</v>
      </c>
      <c r="C53" s="223">
        <f>SUM(C9:C52)</f>
        <v>130</v>
      </c>
      <c r="D53" s="223"/>
      <c r="E53" s="223"/>
      <c r="F53" s="223"/>
      <c r="G53" s="223"/>
      <c r="H53" s="231">
        <f>SUM(H9:H52)</f>
        <v>118183244</v>
      </c>
      <c r="I53" s="223"/>
      <c r="J53" s="223"/>
      <c r="K53" s="223">
        <f>SUM(K9:K52)</f>
        <v>39</v>
      </c>
    </row>
    <row r="54" spans="2:11" ht="16.5">
      <c r="B54" s="12"/>
      <c r="C54" s="12"/>
      <c r="D54" s="12"/>
      <c r="E54" s="12"/>
      <c r="F54" s="12"/>
      <c r="G54" s="12"/>
      <c r="H54" s="226"/>
      <c r="I54" s="12"/>
      <c r="J54" s="12"/>
      <c r="K54" s="12"/>
    </row>
    <row r="55" spans="2:11" ht="16.5">
      <c r="B55" s="12"/>
      <c r="C55" s="12"/>
      <c r="D55" s="12"/>
      <c r="E55" s="12"/>
      <c r="F55" s="12"/>
      <c r="G55" s="12"/>
      <c r="H55" s="226"/>
      <c r="I55" s="12"/>
      <c r="J55" s="12"/>
      <c r="K55" s="12"/>
    </row>
    <row r="56" spans="2:11" ht="16.5">
      <c r="B56" s="12"/>
      <c r="C56" s="12" t="s">
        <v>423</v>
      </c>
      <c r="D56" s="12" t="s">
        <v>424</v>
      </c>
      <c r="E56" s="12"/>
      <c r="F56" s="12"/>
      <c r="G56" s="12"/>
      <c r="H56" s="226"/>
      <c r="I56" s="12"/>
      <c r="J56" s="12"/>
      <c r="K56" s="12"/>
    </row>
    <row r="57" spans="2:11" ht="16.5">
      <c r="B57" s="12"/>
      <c r="C57" s="12"/>
      <c r="D57" s="12"/>
      <c r="E57" s="12"/>
      <c r="F57" s="12"/>
      <c r="G57" s="12"/>
      <c r="H57" s="12"/>
      <c r="I57" s="12"/>
      <c r="J57" s="12"/>
      <c r="K57" s="12"/>
    </row>
  </sheetData>
  <mergeCells count="6">
    <mergeCell ref="F6:G6"/>
    <mergeCell ref="B12:B13"/>
    <mergeCell ref="D16:D17"/>
    <mergeCell ref="I16:I17"/>
    <mergeCell ref="K37:K38"/>
    <mergeCell ref="B37:B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7"/>
  <sheetViews>
    <sheetView showGridLines="0" topLeftCell="A200" workbookViewId="0">
      <selection activeCell="K219" sqref="K219"/>
    </sheetView>
  </sheetViews>
  <sheetFormatPr baseColWidth="10" defaultRowHeight="15"/>
  <cols>
    <col min="1" max="1" width="7.42578125" customWidth="1"/>
    <col min="2" max="2" width="16.85546875" style="83" customWidth="1"/>
    <col min="3" max="4" width="10.140625" customWidth="1"/>
    <col min="5" max="5" width="13.85546875" customWidth="1"/>
    <col min="6" max="7" width="12.7109375" customWidth="1"/>
    <col min="8" max="8" width="11" customWidth="1"/>
    <col min="9" max="9" width="8.5703125" hidden="1" customWidth="1"/>
  </cols>
  <sheetData>
    <row r="1" spans="1:9">
      <c r="B1" s="789" t="s">
        <v>0</v>
      </c>
      <c r="C1" s="789"/>
      <c r="D1" s="789"/>
      <c r="E1" s="789"/>
      <c r="F1" s="789"/>
      <c r="G1" s="789"/>
      <c r="H1" s="789"/>
      <c r="I1" s="789"/>
    </row>
    <row r="3" spans="1:9" ht="17.25">
      <c r="A3" s="871" t="s">
        <v>123</v>
      </c>
      <c r="B3" s="871"/>
      <c r="C3" s="871"/>
      <c r="D3" s="871"/>
      <c r="E3" s="871"/>
      <c r="F3" s="871"/>
      <c r="G3" s="871"/>
      <c r="H3" s="871"/>
      <c r="I3" s="95"/>
    </row>
    <row r="4" spans="1:9" ht="18.75">
      <c r="A4" s="95"/>
      <c r="B4" s="94" t="s">
        <v>133</v>
      </c>
      <c r="C4" s="95"/>
      <c r="D4" s="95"/>
      <c r="E4" s="95"/>
      <c r="F4" s="95"/>
      <c r="G4" s="95"/>
      <c r="H4" s="95"/>
      <c r="I4" s="95"/>
    </row>
    <row r="5" spans="1:9" ht="17.25">
      <c r="A5" s="225" t="s">
        <v>144</v>
      </c>
      <c r="B5" s="225"/>
      <c r="C5" s="225"/>
      <c r="D5" s="225"/>
      <c r="E5" s="95"/>
      <c r="F5" s="95"/>
      <c r="G5" s="95"/>
      <c r="H5" s="95"/>
      <c r="I5" s="95"/>
    </row>
    <row r="6" spans="1:9" ht="17.25">
      <c r="A6" s="95"/>
      <c r="B6" s="95"/>
      <c r="C6" s="95"/>
      <c r="D6" s="95"/>
      <c r="E6" s="95"/>
      <c r="F6" s="95"/>
      <c r="G6" s="95"/>
      <c r="H6" s="95"/>
      <c r="I6" s="95"/>
    </row>
    <row r="7" spans="1:9" ht="49.5">
      <c r="A7" s="84" t="s">
        <v>124</v>
      </c>
      <c r="B7" s="92" t="s">
        <v>125</v>
      </c>
      <c r="C7" s="84" t="s">
        <v>126</v>
      </c>
      <c r="D7" s="84" t="s">
        <v>127</v>
      </c>
      <c r="E7" s="86" t="s">
        <v>128</v>
      </c>
      <c r="F7" s="86" t="s">
        <v>129</v>
      </c>
      <c r="G7" s="86" t="s">
        <v>130</v>
      </c>
      <c r="H7" s="86" t="s">
        <v>131</v>
      </c>
      <c r="I7" s="86" t="s">
        <v>134</v>
      </c>
    </row>
    <row r="8" spans="1:9">
      <c r="A8" s="92">
        <v>1</v>
      </c>
      <c r="B8" s="85"/>
      <c r="C8" s="92">
        <v>2014</v>
      </c>
      <c r="D8" s="92">
        <v>100</v>
      </c>
      <c r="E8" s="93">
        <v>5728000</v>
      </c>
      <c r="F8" s="93">
        <f>+E8*0.6</f>
        <v>3436800</v>
      </c>
      <c r="G8" s="93">
        <f>+E8*0.4</f>
        <v>2291200</v>
      </c>
      <c r="H8" s="93">
        <f>+E8/2000</f>
        <v>2864</v>
      </c>
      <c r="I8" s="89" t="s">
        <v>137</v>
      </c>
    </row>
    <row r="9" spans="1:9" ht="15.75" thickBot="1"/>
    <row r="10" spans="1:9" ht="44.25" customHeight="1">
      <c r="A10" s="84" t="s">
        <v>124</v>
      </c>
      <c r="B10" s="92" t="s">
        <v>125</v>
      </c>
      <c r="C10" s="84" t="s">
        <v>126</v>
      </c>
      <c r="D10" s="84" t="s">
        <v>127</v>
      </c>
      <c r="E10" s="86" t="s">
        <v>128</v>
      </c>
      <c r="F10" s="86" t="s">
        <v>129</v>
      </c>
      <c r="G10" s="86" t="s">
        <v>130</v>
      </c>
      <c r="H10" s="115" t="s">
        <v>131</v>
      </c>
      <c r="I10" s="125" t="s">
        <v>134</v>
      </c>
    </row>
    <row r="11" spans="1:9" ht="15.75" customHeight="1">
      <c r="A11" s="87">
        <v>143</v>
      </c>
      <c r="B11" s="88" t="s">
        <v>350</v>
      </c>
      <c r="C11" s="87">
        <v>2015</v>
      </c>
      <c r="D11" s="87">
        <v>154</v>
      </c>
      <c r="E11" s="89">
        <v>496000</v>
      </c>
      <c r="F11" s="89">
        <f t="shared" ref="F11:F74" si="0">+E11*0.6</f>
        <v>297600</v>
      </c>
      <c r="G11" s="89">
        <f t="shared" ref="G11:G74" si="1">+E11*0.4</f>
        <v>198400</v>
      </c>
      <c r="H11" s="89">
        <f>+E11/2000</f>
        <v>248</v>
      </c>
      <c r="I11" s="86"/>
    </row>
    <row r="12" spans="1:9" ht="15.75" customHeight="1">
      <c r="A12" s="87">
        <f t="shared" ref="A12:A70" si="2">+A11+1</f>
        <v>144</v>
      </c>
      <c r="B12" s="88" t="s">
        <v>28</v>
      </c>
      <c r="C12" s="87">
        <v>2015</v>
      </c>
      <c r="D12" s="87">
        <v>155</v>
      </c>
      <c r="E12" s="89">
        <v>204000</v>
      </c>
      <c r="F12" s="89">
        <f t="shared" si="0"/>
        <v>122400</v>
      </c>
      <c r="G12" s="89">
        <f t="shared" si="1"/>
        <v>81600</v>
      </c>
      <c r="H12" s="89">
        <f t="shared" ref="H12:H75" si="3">+E12/2000</f>
        <v>102</v>
      </c>
      <c r="I12" s="86"/>
    </row>
    <row r="13" spans="1:9" ht="15.75" customHeight="1">
      <c r="A13" s="87">
        <f t="shared" si="2"/>
        <v>145</v>
      </c>
      <c r="B13" s="88" t="s">
        <v>111</v>
      </c>
      <c r="C13" s="87">
        <v>2015</v>
      </c>
      <c r="D13" s="87">
        <v>156</v>
      </c>
      <c r="E13" s="89">
        <v>64000</v>
      </c>
      <c r="F13" s="89">
        <f t="shared" si="0"/>
        <v>38400</v>
      </c>
      <c r="G13" s="89">
        <f t="shared" si="1"/>
        <v>25600</v>
      </c>
      <c r="H13" s="89">
        <f t="shared" si="3"/>
        <v>32</v>
      </c>
      <c r="I13" s="86"/>
    </row>
    <row r="14" spans="1:9" ht="15.75" customHeight="1">
      <c r="A14" s="87">
        <f t="shared" si="2"/>
        <v>146</v>
      </c>
      <c r="B14" s="88" t="s">
        <v>40</v>
      </c>
      <c r="C14" s="87">
        <v>2015</v>
      </c>
      <c r="D14" s="87">
        <v>157</v>
      </c>
      <c r="E14" s="89">
        <v>120000</v>
      </c>
      <c r="F14" s="89">
        <f t="shared" si="0"/>
        <v>72000</v>
      </c>
      <c r="G14" s="89">
        <f t="shared" si="1"/>
        <v>48000</v>
      </c>
      <c r="H14" s="89">
        <f t="shared" si="3"/>
        <v>60</v>
      </c>
      <c r="I14" s="86"/>
    </row>
    <row r="15" spans="1:9" ht="15.75" customHeight="1">
      <c r="A15" s="87">
        <f t="shared" si="2"/>
        <v>147</v>
      </c>
      <c r="B15" s="88" t="s">
        <v>32</v>
      </c>
      <c r="C15" s="87">
        <v>2015</v>
      </c>
      <c r="D15" s="87">
        <v>158</v>
      </c>
      <c r="E15" s="89">
        <v>104000</v>
      </c>
      <c r="F15" s="89">
        <f t="shared" si="0"/>
        <v>62400</v>
      </c>
      <c r="G15" s="89">
        <f t="shared" si="1"/>
        <v>41600</v>
      </c>
      <c r="H15" s="89">
        <f t="shared" si="3"/>
        <v>52</v>
      </c>
      <c r="I15" s="86"/>
    </row>
    <row r="16" spans="1:9">
      <c r="A16" s="87">
        <f t="shared" si="2"/>
        <v>148</v>
      </c>
      <c r="B16" s="88" t="s">
        <v>111</v>
      </c>
      <c r="C16" s="87">
        <v>2015</v>
      </c>
      <c r="D16" s="87">
        <v>167</v>
      </c>
      <c r="E16" s="89">
        <v>8000</v>
      </c>
      <c r="F16" s="89">
        <f t="shared" si="0"/>
        <v>4800</v>
      </c>
      <c r="G16" s="89">
        <f t="shared" si="1"/>
        <v>3200</v>
      </c>
      <c r="H16" s="89">
        <f t="shared" si="3"/>
        <v>4</v>
      </c>
      <c r="I16" s="89"/>
    </row>
    <row r="17" spans="1:9">
      <c r="A17" s="87">
        <f t="shared" si="2"/>
        <v>149</v>
      </c>
      <c r="B17" s="88" t="s">
        <v>40</v>
      </c>
      <c r="C17" s="87">
        <v>2015</v>
      </c>
      <c r="D17" s="87">
        <v>168</v>
      </c>
      <c r="E17" s="89">
        <v>52000</v>
      </c>
      <c r="F17" s="89">
        <f t="shared" si="0"/>
        <v>31200</v>
      </c>
      <c r="G17" s="89">
        <f t="shared" si="1"/>
        <v>20800</v>
      </c>
      <c r="H17" s="89">
        <f t="shared" si="3"/>
        <v>26</v>
      </c>
      <c r="I17" s="89"/>
    </row>
    <row r="18" spans="1:9">
      <c r="A18" s="87">
        <f t="shared" si="2"/>
        <v>150</v>
      </c>
      <c r="B18" s="88" t="s">
        <v>32</v>
      </c>
      <c r="C18" s="87">
        <v>2015</v>
      </c>
      <c r="D18" s="87">
        <v>169</v>
      </c>
      <c r="E18" s="89">
        <v>20000</v>
      </c>
      <c r="F18" s="89">
        <f t="shared" si="0"/>
        <v>12000</v>
      </c>
      <c r="G18" s="89">
        <f t="shared" si="1"/>
        <v>8000</v>
      </c>
      <c r="H18" s="89">
        <f t="shared" si="3"/>
        <v>10</v>
      </c>
      <c r="I18" s="89"/>
    </row>
    <row r="19" spans="1:9">
      <c r="A19" s="87">
        <f t="shared" si="2"/>
        <v>151</v>
      </c>
      <c r="B19" s="88" t="s">
        <v>350</v>
      </c>
      <c r="C19" s="87">
        <v>2015</v>
      </c>
      <c r="D19" s="87">
        <v>170</v>
      </c>
      <c r="E19" s="89">
        <v>96000</v>
      </c>
      <c r="F19" s="89">
        <f t="shared" si="0"/>
        <v>57600</v>
      </c>
      <c r="G19" s="89">
        <f t="shared" si="1"/>
        <v>38400</v>
      </c>
      <c r="H19" s="89">
        <f t="shared" si="3"/>
        <v>48</v>
      </c>
      <c r="I19" s="89"/>
    </row>
    <row r="20" spans="1:9">
      <c r="A20" s="87">
        <f t="shared" si="2"/>
        <v>152</v>
      </c>
      <c r="B20" s="88" t="s">
        <v>28</v>
      </c>
      <c r="C20" s="87">
        <v>2015</v>
      </c>
      <c r="D20" s="87">
        <v>171</v>
      </c>
      <c r="E20" s="89">
        <v>76000</v>
      </c>
      <c r="F20" s="89">
        <f t="shared" si="0"/>
        <v>45600</v>
      </c>
      <c r="G20" s="89">
        <f t="shared" si="1"/>
        <v>30400</v>
      </c>
      <c r="H20" s="89">
        <f t="shared" si="3"/>
        <v>38</v>
      </c>
      <c r="I20" s="89"/>
    </row>
    <row r="21" spans="1:9">
      <c r="A21" s="87">
        <f t="shared" si="2"/>
        <v>153</v>
      </c>
      <c r="B21" s="88" t="s">
        <v>32</v>
      </c>
      <c r="C21" s="87">
        <v>2015</v>
      </c>
      <c r="D21" s="87">
        <v>180</v>
      </c>
      <c r="E21" s="89">
        <v>24000</v>
      </c>
      <c r="F21" s="89">
        <f t="shared" si="0"/>
        <v>14400</v>
      </c>
      <c r="G21" s="89">
        <f t="shared" si="1"/>
        <v>9600</v>
      </c>
      <c r="H21" s="89">
        <f t="shared" si="3"/>
        <v>12</v>
      </c>
      <c r="I21" s="89"/>
    </row>
    <row r="22" spans="1:9">
      <c r="A22" s="87">
        <f t="shared" si="2"/>
        <v>154</v>
      </c>
      <c r="B22" s="88" t="s">
        <v>28</v>
      </c>
      <c r="C22" s="87">
        <v>2015</v>
      </c>
      <c r="D22" s="87">
        <v>181</v>
      </c>
      <c r="E22" s="89">
        <v>108000</v>
      </c>
      <c r="F22" s="89">
        <f t="shared" si="0"/>
        <v>64800</v>
      </c>
      <c r="G22" s="89">
        <f t="shared" si="1"/>
        <v>43200</v>
      </c>
      <c r="H22" s="89">
        <f t="shared" si="3"/>
        <v>54</v>
      </c>
      <c r="I22" s="89"/>
    </row>
    <row r="23" spans="1:9">
      <c r="A23" s="87">
        <f t="shared" si="2"/>
        <v>155</v>
      </c>
      <c r="B23" s="88" t="s">
        <v>32</v>
      </c>
      <c r="C23" s="87">
        <v>2015</v>
      </c>
      <c r="D23" s="87">
        <v>182</v>
      </c>
      <c r="E23" s="89">
        <v>44000</v>
      </c>
      <c r="F23" s="89">
        <f t="shared" si="0"/>
        <v>26400</v>
      </c>
      <c r="G23" s="89">
        <f t="shared" si="1"/>
        <v>17600</v>
      </c>
      <c r="H23" s="89">
        <f t="shared" si="3"/>
        <v>22</v>
      </c>
      <c r="I23" s="89"/>
    </row>
    <row r="24" spans="1:9">
      <c r="A24" s="87">
        <f t="shared" si="2"/>
        <v>156</v>
      </c>
      <c r="B24" s="88" t="s">
        <v>40</v>
      </c>
      <c r="C24" s="87">
        <v>2015</v>
      </c>
      <c r="D24" s="87">
        <v>183</v>
      </c>
      <c r="E24" s="89">
        <v>112000</v>
      </c>
      <c r="F24" s="89">
        <f t="shared" si="0"/>
        <v>67200</v>
      </c>
      <c r="G24" s="89">
        <f t="shared" si="1"/>
        <v>44800</v>
      </c>
      <c r="H24" s="89">
        <f t="shared" si="3"/>
        <v>56</v>
      </c>
      <c r="I24" s="89"/>
    </row>
    <row r="25" spans="1:9">
      <c r="A25" s="87">
        <f t="shared" si="2"/>
        <v>157</v>
      </c>
      <c r="B25" s="88" t="s">
        <v>111</v>
      </c>
      <c r="C25" s="87">
        <v>2015</v>
      </c>
      <c r="D25" s="87">
        <v>184</v>
      </c>
      <c r="E25" s="89">
        <v>40000</v>
      </c>
      <c r="F25" s="89">
        <f t="shared" si="0"/>
        <v>24000</v>
      </c>
      <c r="G25" s="89">
        <f t="shared" si="1"/>
        <v>16000</v>
      </c>
      <c r="H25" s="89">
        <f t="shared" si="3"/>
        <v>20</v>
      </c>
      <c r="I25" s="89"/>
    </row>
    <row r="26" spans="1:9">
      <c r="A26" s="87">
        <f t="shared" si="2"/>
        <v>158</v>
      </c>
      <c r="B26" s="88" t="s">
        <v>350</v>
      </c>
      <c r="C26" s="87">
        <v>2015</v>
      </c>
      <c r="D26" s="87">
        <v>185</v>
      </c>
      <c r="E26" s="89">
        <v>140000</v>
      </c>
      <c r="F26" s="89">
        <f t="shared" si="0"/>
        <v>84000</v>
      </c>
      <c r="G26" s="89">
        <f t="shared" si="1"/>
        <v>56000</v>
      </c>
      <c r="H26" s="89">
        <f t="shared" si="3"/>
        <v>70</v>
      </c>
      <c r="I26" s="89"/>
    </row>
    <row r="27" spans="1:9">
      <c r="A27" s="87">
        <f t="shared" si="2"/>
        <v>159</v>
      </c>
      <c r="B27" s="88" t="s">
        <v>28</v>
      </c>
      <c r="C27" s="87">
        <v>2015</v>
      </c>
      <c r="D27" s="87">
        <v>186</v>
      </c>
      <c r="E27" s="89">
        <v>76000</v>
      </c>
      <c r="F27" s="89">
        <f t="shared" si="0"/>
        <v>45600</v>
      </c>
      <c r="G27" s="89">
        <f t="shared" si="1"/>
        <v>30400</v>
      </c>
      <c r="H27" s="89">
        <f t="shared" si="3"/>
        <v>38</v>
      </c>
      <c r="I27" s="89"/>
    </row>
    <row r="28" spans="1:9">
      <c r="A28" s="87">
        <f t="shared" si="2"/>
        <v>160</v>
      </c>
      <c r="B28" s="88" t="s">
        <v>350</v>
      </c>
      <c r="C28" s="87">
        <v>2015</v>
      </c>
      <c r="D28" s="87">
        <v>187</v>
      </c>
      <c r="E28" s="89">
        <v>224000</v>
      </c>
      <c r="F28" s="89">
        <f t="shared" si="0"/>
        <v>134400</v>
      </c>
      <c r="G28" s="89">
        <f t="shared" si="1"/>
        <v>89600</v>
      </c>
      <c r="H28" s="89">
        <f t="shared" si="3"/>
        <v>112</v>
      </c>
      <c r="I28" s="89"/>
    </row>
    <row r="29" spans="1:9">
      <c r="A29" s="87">
        <f t="shared" si="2"/>
        <v>161</v>
      </c>
      <c r="B29" s="88" t="s">
        <v>40</v>
      </c>
      <c r="C29" s="87">
        <v>2015</v>
      </c>
      <c r="D29" s="87">
        <v>188</v>
      </c>
      <c r="E29" s="89">
        <v>72000</v>
      </c>
      <c r="F29" s="89">
        <f t="shared" si="0"/>
        <v>43200</v>
      </c>
      <c r="G29" s="89">
        <f t="shared" si="1"/>
        <v>28800</v>
      </c>
      <c r="H29" s="89">
        <f t="shared" si="3"/>
        <v>36</v>
      </c>
      <c r="I29" s="89"/>
    </row>
    <row r="30" spans="1:9">
      <c r="A30" s="87">
        <f t="shared" si="2"/>
        <v>162</v>
      </c>
      <c r="B30" s="90" t="s">
        <v>111</v>
      </c>
      <c r="C30" s="87">
        <v>2015</v>
      </c>
      <c r="D30" s="87">
        <v>189</v>
      </c>
      <c r="E30" s="91">
        <v>24000</v>
      </c>
      <c r="F30" s="89">
        <f t="shared" si="0"/>
        <v>14400</v>
      </c>
      <c r="G30" s="89">
        <f t="shared" si="1"/>
        <v>9600</v>
      </c>
      <c r="H30" s="89">
        <f t="shared" si="3"/>
        <v>12</v>
      </c>
      <c r="I30" s="89"/>
    </row>
    <row r="31" spans="1:9">
      <c r="A31" s="87">
        <f t="shared" si="2"/>
        <v>163</v>
      </c>
      <c r="B31" s="90" t="s">
        <v>40</v>
      </c>
      <c r="C31" s="87">
        <v>2015</v>
      </c>
      <c r="D31" s="87">
        <v>193</v>
      </c>
      <c r="E31" s="91">
        <v>80000</v>
      </c>
      <c r="F31" s="89">
        <f t="shared" si="0"/>
        <v>48000</v>
      </c>
      <c r="G31" s="89">
        <f t="shared" si="1"/>
        <v>32000</v>
      </c>
      <c r="H31" s="89">
        <f t="shared" si="3"/>
        <v>40</v>
      </c>
      <c r="I31" s="89"/>
    </row>
    <row r="32" spans="1:9">
      <c r="A32" s="87">
        <f t="shared" si="2"/>
        <v>164</v>
      </c>
      <c r="B32" s="90" t="s">
        <v>28</v>
      </c>
      <c r="C32" s="87">
        <v>2015</v>
      </c>
      <c r="D32" s="87">
        <v>194</v>
      </c>
      <c r="E32" s="89">
        <v>76000</v>
      </c>
      <c r="F32" s="89">
        <f t="shared" si="0"/>
        <v>45600</v>
      </c>
      <c r="G32" s="89">
        <f t="shared" si="1"/>
        <v>30400</v>
      </c>
      <c r="H32" s="89">
        <f t="shared" si="3"/>
        <v>38</v>
      </c>
      <c r="I32" s="89"/>
    </row>
    <row r="33" spans="1:9">
      <c r="A33" s="87">
        <f t="shared" si="2"/>
        <v>165</v>
      </c>
      <c r="B33" s="90" t="s">
        <v>32</v>
      </c>
      <c r="C33" s="87">
        <v>2015</v>
      </c>
      <c r="D33" s="87">
        <v>195</v>
      </c>
      <c r="E33" s="89">
        <v>20000</v>
      </c>
      <c r="F33" s="89">
        <f t="shared" si="0"/>
        <v>12000</v>
      </c>
      <c r="G33" s="89">
        <f t="shared" si="1"/>
        <v>8000</v>
      </c>
      <c r="H33" s="89">
        <f t="shared" si="3"/>
        <v>10</v>
      </c>
      <c r="I33" s="89"/>
    </row>
    <row r="34" spans="1:9">
      <c r="A34" s="87">
        <f t="shared" si="2"/>
        <v>166</v>
      </c>
      <c r="B34" s="90" t="s">
        <v>111</v>
      </c>
      <c r="C34" s="87">
        <v>2015</v>
      </c>
      <c r="D34" s="87">
        <v>196</v>
      </c>
      <c r="E34" s="89">
        <v>16000</v>
      </c>
      <c r="F34" s="89">
        <f t="shared" si="0"/>
        <v>9600</v>
      </c>
      <c r="G34" s="89">
        <f t="shared" si="1"/>
        <v>6400</v>
      </c>
      <c r="H34" s="89">
        <f t="shared" si="3"/>
        <v>8</v>
      </c>
      <c r="I34" s="89"/>
    </row>
    <row r="35" spans="1:9">
      <c r="A35" s="87">
        <f t="shared" si="2"/>
        <v>167</v>
      </c>
      <c r="B35" s="90" t="s">
        <v>350</v>
      </c>
      <c r="C35" s="87">
        <v>2015</v>
      </c>
      <c r="D35" s="87">
        <v>197</v>
      </c>
      <c r="E35" s="89">
        <v>164000</v>
      </c>
      <c r="F35" s="89">
        <f t="shared" si="0"/>
        <v>98400</v>
      </c>
      <c r="G35" s="89">
        <f t="shared" si="1"/>
        <v>65600</v>
      </c>
      <c r="H35" s="89">
        <f t="shared" si="3"/>
        <v>82</v>
      </c>
      <c r="I35" s="89"/>
    </row>
    <row r="36" spans="1:9">
      <c r="A36" s="87">
        <f t="shared" si="2"/>
        <v>168</v>
      </c>
      <c r="B36" s="90" t="s">
        <v>28</v>
      </c>
      <c r="C36" s="87">
        <v>2015</v>
      </c>
      <c r="D36" s="87">
        <v>198</v>
      </c>
      <c r="E36" s="89">
        <v>72000</v>
      </c>
      <c r="F36" s="89">
        <f t="shared" si="0"/>
        <v>43200</v>
      </c>
      <c r="G36" s="89">
        <f t="shared" si="1"/>
        <v>28800</v>
      </c>
      <c r="H36" s="89">
        <f t="shared" si="3"/>
        <v>36</v>
      </c>
      <c r="I36" s="89"/>
    </row>
    <row r="37" spans="1:9">
      <c r="A37" s="87">
        <f t="shared" si="2"/>
        <v>169</v>
      </c>
      <c r="B37" s="90" t="s">
        <v>32</v>
      </c>
      <c r="C37" s="87">
        <v>2015</v>
      </c>
      <c r="D37" s="87">
        <v>199</v>
      </c>
      <c r="E37" s="89">
        <v>20000</v>
      </c>
      <c r="F37" s="89">
        <f t="shared" si="0"/>
        <v>12000</v>
      </c>
      <c r="G37" s="89">
        <f t="shared" si="1"/>
        <v>8000</v>
      </c>
      <c r="H37" s="89">
        <f t="shared" si="3"/>
        <v>10</v>
      </c>
      <c r="I37" s="89"/>
    </row>
    <row r="38" spans="1:9">
      <c r="A38" s="87">
        <f t="shared" si="2"/>
        <v>170</v>
      </c>
      <c r="B38" s="90" t="s">
        <v>111</v>
      </c>
      <c r="C38" s="87">
        <v>2015</v>
      </c>
      <c r="D38" s="87">
        <v>200</v>
      </c>
      <c r="E38" s="89">
        <v>16000</v>
      </c>
      <c r="F38" s="89">
        <f t="shared" si="0"/>
        <v>9600</v>
      </c>
      <c r="G38" s="89">
        <f t="shared" si="1"/>
        <v>6400</v>
      </c>
      <c r="H38" s="89">
        <f t="shared" si="3"/>
        <v>8</v>
      </c>
      <c r="I38" s="89"/>
    </row>
    <row r="39" spans="1:9">
      <c r="A39" s="87">
        <f t="shared" si="2"/>
        <v>171</v>
      </c>
      <c r="B39" s="90" t="s">
        <v>350</v>
      </c>
      <c r="C39" s="87">
        <v>2015</v>
      </c>
      <c r="D39" s="87">
        <v>201</v>
      </c>
      <c r="E39" s="89">
        <v>144000</v>
      </c>
      <c r="F39" s="89">
        <f t="shared" si="0"/>
        <v>86400</v>
      </c>
      <c r="G39" s="89">
        <f t="shared" si="1"/>
        <v>57600</v>
      </c>
      <c r="H39" s="89">
        <f t="shared" si="3"/>
        <v>72</v>
      </c>
      <c r="I39" s="89"/>
    </row>
    <row r="40" spans="1:9">
      <c r="A40" s="87">
        <f t="shared" si="2"/>
        <v>172</v>
      </c>
      <c r="B40" s="90" t="s">
        <v>40</v>
      </c>
      <c r="C40" s="87">
        <v>2015</v>
      </c>
      <c r="D40" s="87">
        <v>202</v>
      </c>
      <c r="E40" s="89">
        <v>48000</v>
      </c>
      <c r="F40" s="89">
        <f t="shared" si="0"/>
        <v>28800</v>
      </c>
      <c r="G40" s="89">
        <f t="shared" si="1"/>
        <v>19200</v>
      </c>
      <c r="H40" s="89">
        <f t="shared" si="3"/>
        <v>24</v>
      </c>
      <c r="I40" s="89"/>
    </row>
    <row r="41" spans="1:9">
      <c r="A41" s="87">
        <f t="shared" si="2"/>
        <v>173</v>
      </c>
      <c r="B41" s="90" t="s">
        <v>40</v>
      </c>
      <c r="C41" s="87">
        <v>2015</v>
      </c>
      <c r="D41" s="87">
        <v>207</v>
      </c>
      <c r="E41" s="89">
        <v>84000</v>
      </c>
      <c r="F41" s="89">
        <f t="shared" si="0"/>
        <v>50400</v>
      </c>
      <c r="G41" s="89">
        <f t="shared" si="1"/>
        <v>33600</v>
      </c>
      <c r="H41" s="89">
        <f t="shared" si="3"/>
        <v>42</v>
      </c>
      <c r="I41" s="89"/>
    </row>
    <row r="42" spans="1:9">
      <c r="A42" s="87">
        <f t="shared" si="2"/>
        <v>174</v>
      </c>
      <c r="B42" s="90" t="s">
        <v>28</v>
      </c>
      <c r="C42" s="87">
        <v>2015</v>
      </c>
      <c r="D42" s="87">
        <v>208</v>
      </c>
      <c r="E42" s="89">
        <v>120000</v>
      </c>
      <c r="F42" s="89">
        <f t="shared" si="0"/>
        <v>72000</v>
      </c>
      <c r="G42" s="89">
        <f t="shared" si="1"/>
        <v>48000</v>
      </c>
      <c r="H42" s="89">
        <f t="shared" si="3"/>
        <v>60</v>
      </c>
      <c r="I42" s="89"/>
    </row>
    <row r="43" spans="1:9">
      <c r="A43" s="87">
        <f t="shared" si="2"/>
        <v>175</v>
      </c>
      <c r="B43" s="90" t="s">
        <v>111</v>
      </c>
      <c r="C43" s="87">
        <v>2015</v>
      </c>
      <c r="D43" s="87">
        <v>209</v>
      </c>
      <c r="E43" s="89">
        <v>20000</v>
      </c>
      <c r="F43" s="89">
        <f t="shared" si="0"/>
        <v>12000</v>
      </c>
      <c r="G43" s="89">
        <f t="shared" si="1"/>
        <v>8000</v>
      </c>
      <c r="H43" s="89">
        <f t="shared" si="3"/>
        <v>10</v>
      </c>
      <c r="I43" s="89"/>
    </row>
    <row r="44" spans="1:9">
      <c r="A44" s="87">
        <f t="shared" si="2"/>
        <v>176</v>
      </c>
      <c r="B44" s="90" t="s">
        <v>32</v>
      </c>
      <c r="C44" s="87">
        <v>2015</v>
      </c>
      <c r="D44" s="87">
        <v>210</v>
      </c>
      <c r="E44" s="89">
        <v>28000</v>
      </c>
      <c r="F44" s="89">
        <f t="shared" si="0"/>
        <v>16800</v>
      </c>
      <c r="G44" s="89">
        <f t="shared" si="1"/>
        <v>11200</v>
      </c>
      <c r="H44" s="89">
        <f t="shared" si="3"/>
        <v>14</v>
      </c>
      <c r="I44" s="89"/>
    </row>
    <row r="45" spans="1:9">
      <c r="A45" s="87">
        <f t="shared" si="2"/>
        <v>177</v>
      </c>
      <c r="B45" s="90" t="s">
        <v>350</v>
      </c>
      <c r="C45" s="87">
        <v>2015</v>
      </c>
      <c r="D45" s="87">
        <v>211</v>
      </c>
      <c r="E45" s="89">
        <v>228000</v>
      </c>
      <c r="F45" s="89">
        <f t="shared" si="0"/>
        <v>136800</v>
      </c>
      <c r="G45" s="89">
        <f t="shared" si="1"/>
        <v>91200</v>
      </c>
      <c r="H45" s="89">
        <f t="shared" si="3"/>
        <v>114</v>
      </c>
      <c r="I45" s="89"/>
    </row>
    <row r="46" spans="1:9">
      <c r="A46" s="87">
        <f t="shared" si="2"/>
        <v>178</v>
      </c>
      <c r="B46" s="90" t="s">
        <v>40</v>
      </c>
      <c r="C46" s="87">
        <v>2015</v>
      </c>
      <c r="D46" s="87">
        <v>214</v>
      </c>
      <c r="E46" s="89">
        <v>52000</v>
      </c>
      <c r="F46" s="89">
        <f t="shared" si="0"/>
        <v>31200</v>
      </c>
      <c r="G46" s="89">
        <f t="shared" si="1"/>
        <v>20800</v>
      </c>
      <c r="H46" s="89">
        <f t="shared" si="3"/>
        <v>26</v>
      </c>
      <c r="I46" s="89"/>
    </row>
    <row r="47" spans="1:9">
      <c r="A47" s="87">
        <f t="shared" si="2"/>
        <v>179</v>
      </c>
      <c r="B47" s="90" t="s">
        <v>28</v>
      </c>
      <c r="C47" s="87">
        <v>2015</v>
      </c>
      <c r="D47" s="87">
        <v>215</v>
      </c>
      <c r="E47" s="89">
        <v>100000</v>
      </c>
      <c r="F47" s="89">
        <f t="shared" si="0"/>
        <v>60000</v>
      </c>
      <c r="G47" s="89">
        <f t="shared" si="1"/>
        <v>40000</v>
      </c>
      <c r="H47" s="89">
        <f t="shared" si="3"/>
        <v>50</v>
      </c>
      <c r="I47" s="89"/>
    </row>
    <row r="48" spans="1:9">
      <c r="A48" s="87">
        <f t="shared" si="2"/>
        <v>180</v>
      </c>
      <c r="B48" s="90" t="s">
        <v>32</v>
      </c>
      <c r="C48" s="87">
        <v>2015</v>
      </c>
      <c r="D48" s="87">
        <v>216</v>
      </c>
      <c r="E48" s="89">
        <v>24000</v>
      </c>
      <c r="F48" s="89">
        <f t="shared" si="0"/>
        <v>14400</v>
      </c>
      <c r="G48" s="89">
        <f t="shared" si="1"/>
        <v>9600</v>
      </c>
      <c r="H48" s="89">
        <f t="shared" si="3"/>
        <v>12</v>
      </c>
      <c r="I48" s="89"/>
    </row>
    <row r="49" spans="1:9">
      <c r="A49" s="87">
        <f t="shared" si="2"/>
        <v>181</v>
      </c>
      <c r="B49" s="90" t="s">
        <v>111</v>
      </c>
      <c r="C49" s="87">
        <v>2015</v>
      </c>
      <c r="D49" s="87">
        <v>217</v>
      </c>
      <c r="E49" s="89">
        <v>24000</v>
      </c>
      <c r="F49" s="89">
        <f t="shared" si="0"/>
        <v>14400</v>
      </c>
      <c r="G49" s="89">
        <f t="shared" si="1"/>
        <v>9600</v>
      </c>
      <c r="H49" s="89">
        <f t="shared" si="3"/>
        <v>12</v>
      </c>
      <c r="I49" s="89"/>
    </row>
    <row r="50" spans="1:9">
      <c r="A50" s="87">
        <f t="shared" si="2"/>
        <v>182</v>
      </c>
      <c r="B50" s="90" t="s">
        <v>350</v>
      </c>
      <c r="C50" s="87">
        <v>2015</v>
      </c>
      <c r="D50" s="87">
        <v>218</v>
      </c>
      <c r="E50" s="89">
        <v>208000</v>
      </c>
      <c r="F50" s="89">
        <f t="shared" si="0"/>
        <v>124800</v>
      </c>
      <c r="G50" s="89">
        <f t="shared" si="1"/>
        <v>83200</v>
      </c>
      <c r="H50" s="89">
        <f t="shared" si="3"/>
        <v>104</v>
      </c>
      <c r="I50" s="89"/>
    </row>
    <row r="51" spans="1:9">
      <c r="A51" s="87">
        <f t="shared" si="2"/>
        <v>183</v>
      </c>
      <c r="B51" s="90" t="s">
        <v>40</v>
      </c>
      <c r="C51" s="87">
        <v>2015</v>
      </c>
      <c r="D51" s="87">
        <v>219</v>
      </c>
      <c r="E51" s="89">
        <v>48000</v>
      </c>
      <c r="F51" s="89">
        <f t="shared" si="0"/>
        <v>28800</v>
      </c>
      <c r="G51" s="89">
        <f t="shared" si="1"/>
        <v>19200</v>
      </c>
      <c r="H51" s="89">
        <f t="shared" si="3"/>
        <v>24</v>
      </c>
      <c r="I51" s="89"/>
    </row>
    <row r="52" spans="1:9">
      <c r="A52" s="87">
        <f t="shared" si="2"/>
        <v>184</v>
      </c>
      <c r="B52" s="90" t="s">
        <v>28</v>
      </c>
      <c r="C52" s="87">
        <v>2015</v>
      </c>
      <c r="D52" s="87">
        <v>220</v>
      </c>
      <c r="E52" s="89">
        <v>100000</v>
      </c>
      <c r="F52" s="89">
        <f t="shared" si="0"/>
        <v>60000</v>
      </c>
      <c r="G52" s="89">
        <f t="shared" si="1"/>
        <v>40000</v>
      </c>
      <c r="H52" s="89">
        <f t="shared" si="3"/>
        <v>50</v>
      </c>
      <c r="I52" s="89"/>
    </row>
    <row r="53" spans="1:9">
      <c r="A53" s="87">
        <f t="shared" si="2"/>
        <v>185</v>
      </c>
      <c r="B53" s="90" t="s">
        <v>32</v>
      </c>
      <c r="C53" s="87">
        <v>2015</v>
      </c>
      <c r="D53" s="87">
        <v>221</v>
      </c>
      <c r="E53" s="89">
        <v>28000</v>
      </c>
      <c r="F53" s="89">
        <f t="shared" si="0"/>
        <v>16800</v>
      </c>
      <c r="G53" s="89">
        <f t="shared" si="1"/>
        <v>11200</v>
      </c>
      <c r="H53" s="89">
        <f t="shared" si="3"/>
        <v>14</v>
      </c>
      <c r="I53" s="89"/>
    </row>
    <row r="54" spans="1:9">
      <c r="A54" s="87">
        <f t="shared" si="2"/>
        <v>186</v>
      </c>
      <c r="B54" s="90" t="s">
        <v>111</v>
      </c>
      <c r="C54" s="87">
        <v>2015</v>
      </c>
      <c r="D54" s="87">
        <v>222</v>
      </c>
      <c r="E54" s="89">
        <v>32000</v>
      </c>
      <c r="F54" s="89">
        <f t="shared" si="0"/>
        <v>19200</v>
      </c>
      <c r="G54" s="89">
        <f t="shared" si="1"/>
        <v>12800</v>
      </c>
      <c r="H54" s="89">
        <f t="shared" si="3"/>
        <v>16</v>
      </c>
      <c r="I54" s="89"/>
    </row>
    <row r="55" spans="1:9">
      <c r="A55" s="87">
        <f t="shared" si="2"/>
        <v>187</v>
      </c>
      <c r="B55" s="90" t="s">
        <v>350</v>
      </c>
      <c r="C55" s="87">
        <v>2015</v>
      </c>
      <c r="D55" s="87">
        <v>223</v>
      </c>
      <c r="E55" s="89">
        <v>176000</v>
      </c>
      <c r="F55" s="89">
        <f t="shared" si="0"/>
        <v>105600</v>
      </c>
      <c r="G55" s="89">
        <f t="shared" si="1"/>
        <v>70400</v>
      </c>
      <c r="H55" s="89">
        <f t="shared" si="3"/>
        <v>88</v>
      </c>
      <c r="I55" s="89"/>
    </row>
    <row r="56" spans="1:9">
      <c r="A56" s="87">
        <f t="shared" si="2"/>
        <v>188</v>
      </c>
      <c r="B56" s="90" t="s">
        <v>40</v>
      </c>
      <c r="C56" s="87">
        <v>2015</v>
      </c>
      <c r="D56" s="87">
        <v>232</v>
      </c>
      <c r="E56" s="89">
        <v>72000</v>
      </c>
      <c r="F56" s="89">
        <f t="shared" si="0"/>
        <v>43200</v>
      </c>
      <c r="G56" s="89">
        <f t="shared" si="1"/>
        <v>28800</v>
      </c>
      <c r="H56" s="89">
        <f t="shared" si="3"/>
        <v>36</v>
      </c>
      <c r="I56" s="89"/>
    </row>
    <row r="57" spans="1:9">
      <c r="A57" s="87">
        <f t="shared" si="2"/>
        <v>189</v>
      </c>
      <c r="B57" s="90" t="s">
        <v>28</v>
      </c>
      <c r="C57" s="87">
        <v>2015</v>
      </c>
      <c r="D57" s="87">
        <v>233</v>
      </c>
      <c r="E57" s="89">
        <v>112000</v>
      </c>
      <c r="F57" s="89">
        <f t="shared" si="0"/>
        <v>67200</v>
      </c>
      <c r="G57" s="89">
        <f t="shared" si="1"/>
        <v>44800</v>
      </c>
      <c r="H57" s="89">
        <f t="shared" si="3"/>
        <v>56</v>
      </c>
      <c r="I57" s="89"/>
    </row>
    <row r="58" spans="1:9">
      <c r="A58" s="87">
        <f t="shared" si="2"/>
        <v>190</v>
      </c>
      <c r="B58" s="90" t="s">
        <v>32</v>
      </c>
      <c r="C58" s="87">
        <v>2015</v>
      </c>
      <c r="D58" s="87">
        <v>234</v>
      </c>
      <c r="E58" s="89">
        <v>36000</v>
      </c>
      <c r="F58" s="89">
        <f t="shared" si="0"/>
        <v>21600</v>
      </c>
      <c r="G58" s="89">
        <f t="shared" si="1"/>
        <v>14400</v>
      </c>
      <c r="H58" s="89">
        <f t="shared" si="3"/>
        <v>18</v>
      </c>
      <c r="I58" s="89"/>
    </row>
    <row r="59" spans="1:9">
      <c r="A59" s="87">
        <f t="shared" si="2"/>
        <v>191</v>
      </c>
      <c r="B59" s="90" t="s">
        <v>111</v>
      </c>
      <c r="C59" s="87">
        <v>2015</v>
      </c>
      <c r="D59" s="87">
        <v>235</v>
      </c>
      <c r="E59" s="89">
        <v>16000</v>
      </c>
      <c r="F59" s="89">
        <f t="shared" si="0"/>
        <v>9600</v>
      </c>
      <c r="G59" s="89">
        <f t="shared" si="1"/>
        <v>6400</v>
      </c>
      <c r="H59" s="89">
        <f t="shared" si="3"/>
        <v>8</v>
      </c>
      <c r="I59" s="89"/>
    </row>
    <row r="60" spans="1:9">
      <c r="A60" s="87">
        <f t="shared" si="2"/>
        <v>192</v>
      </c>
      <c r="B60" s="90" t="s">
        <v>350</v>
      </c>
      <c r="C60" s="87">
        <v>2015</v>
      </c>
      <c r="D60" s="87">
        <v>236</v>
      </c>
      <c r="E60" s="89">
        <v>252000</v>
      </c>
      <c r="F60" s="89">
        <f t="shared" si="0"/>
        <v>151200</v>
      </c>
      <c r="G60" s="89">
        <f t="shared" si="1"/>
        <v>100800</v>
      </c>
      <c r="H60" s="89">
        <f t="shared" si="3"/>
        <v>126</v>
      </c>
      <c r="I60" s="89"/>
    </row>
    <row r="61" spans="1:9">
      <c r="A61" s="87">
        <f t="shared" si="2"/>
        <v>193</v>
      </c>
      <c r="B61" s="90" t="s">
        <v>40</v>
      </c>
      <c r="C61" s="87">
        <v>2015</v>
      </c>
      <c r="D61" s="87">
        <v>242</v>
      </c>
      <c r="E61" s="89">
        <v>52000</v>
      </c>
      <c r="F61" s="89">
        <f t="shared" si="0"/>
        <v>31200</v>
      </c>
      <c r="G61" s="89">
        <f t="shared" si="1"/>
        <v>20800</v>
      </c>
      <c r="H61" s="89">
        <f t="shared" si="3"/>
        <v>26</v>
      </c>
      <c r="I61" s="89"/>
    </row>
    <row r="62" spans="1:9">
      <c r="A62" s="87">
        <f t="shared" si="2"/>
        <v>194</v>
      </c>
      <c r="B62" s="90" t="s">
        <v>28</v>
      </c>
      <c r="C62" s="87">
        <v>2015</v>
      </c>
      <c r="D62" s="87">
        <v>243</v>
      </c>
      <c r="E62" s="89">
        <v>96000</v>
      </c>
      <c r="F62" s="89">
        <f t="shared" si="0"/>
        <v>57600</v>
      </c>
      <c r="G62" s="89">
        <f t="shared" si="1"/>
        <v>38400</v>
      </c>
      <c r="H62" s="89">
        <f t="shared" si="3"/>
        <v>48</v>
      </c>
      <c r="I62" s="89"/>
    </row>
    <row r="63" spans="1:9">
      <c r="A63" s="87">
        <f t="shared" si="2"/>
        <v>195</v>
      </c>
      <c r="B63" s="90" t="s">
        <v>32</v>
      </c>
      <c r="C63" s="87">
        <v>2015</v>
      </c>
      <c r="D63" s="87">
        <v>244</v>
      </c>
      <c r="E63" s="89">
        <v>16000</v>
      </c>
      <c r="F63" s="89">
        <f t="shared" si="0"/>
        <v>9600</v>
      </c>
      <c r="G63" s="89">
        <f t="shared" si="1"/>
        <v>6400</v>
      </c>
      <c r="H63" s="89">
        <f t="shared" si="3"/>
        <v>8</v>
      </c>
      <c r="I63" s="89"/>
    </row>
    <row r="64" spans="1:9">
      <c r="A64" s="87">
        <f t="shared" si="2"/>
        <v>196</v>
      </c>
      <c r="B64" s="90" t="s">
        <v>111</v>
      </c>
      <c r="C64" s="87">
        <v>2015</v>
      </c>
      <c r="D64" s="87">
        <v>245</v>
      </c>
      <c r="E64" s="89">
        <v>16000</v>
      </c>
      <c r="F64" s="89">
        <f t="shared" si="0"/>
        <v>9600</v>
      </c>
      <c r="G64" s="89">
        <f t="shared" si="1"/>
        <v>6400</v>
      </c>
      <c r="H64" s="89">
        <f t="shared" si="3"/>
        <v>8</v>
      </c>
      <c r="I64" s="89"/>
    </row>
    <row r="65" spans="1:9">
      <c r="A65" s="87">
        <f t="shared" si="2"/>
        <v>197</v>
      </c>
      <c r="B65" s="90" t="s">
        <v>350</v>
      </c>
      <c r="C65" s="87">
        <v>2015</v>
      </c>
      <c r="D65" s="87">
        <v>246</v>
      </c>
      <c r="E65" s="89">
        <v>168000</v>
      </c>
      <c r="F65" s="89">
        <f t="shared" si="0"/>
        <v>100800</v>
      </c>
      <c r="G65" s="89">
        <f t="shared" si="1"/>
        <v>67200</v>
      </c>
      <c r="H65" s="89">
        <f t="shared" si="3"/>
        <v>84</v>
      </c>
      <c r="I65" s="89"/>
    </row>
    <row r="66" spans="1:9">
      <c r="A66" s="87">
        <f t="shared" si="2"/>
        <v>198</v>
      </c>
      <c r="B66" s="90" t="s">
        <v>40</v>
      </c>
      <c r="C66" s="87">
        <v>2015</v>
      </c>
      <c r="D66" s="87">
        <v>247</v>
      </c>
      <c r="E66" s="89">
        <v>56000</v>
      </c>
      <c r="F66" s="89">
        <f t="shared" si="0"/>
        <v>33600</v>
      </c>
      <c r="G66" s="89">
        <f t="shared" si="1"/>
        <v>22400</v>
      </c>
      <c r="H66" s="89">
        <f t="shared" si="3"/>
        <v>28</v>
      </c>
      <c r="I66" s="89"/>
    </row>
    <row r="67" spans="1:9">
      <c r="A67" s="87">
        <f t="shared" si="2"/>
        <v>199</v>
      </c>
      <c r="B67" s="90" t="s">
        <v>28</v>
      </c>
      <c r="C67" s="87">
        <v>2015</v>
      </c>
      <c r="D67" s="87">
        <v>248</v>
      </c>
      <c r="E67" s="89">
        <v>104000</v>
      </c>
      <c r="F67" s="89">
        <f t="shared" si="0"/>
        <v>62400</v>
      </c>
      <c r="G67" s="89">
        <f t="shared" si="1"/>
        <v>41600</v>
      </c>
      <c r="H67" s="89">
        <f t="shared" si="3"/>
        <v>52</v>
      </c>
      <c r="I67" s="89"/>
    </row>
    <row r="68" spans="1:9">
      <c r="A68" s="87">
        <f t="shared" si="2"/>
        <v>200</v>
      </c>
      <c r="B68" s="90" t="s">
        <v>32</v>
      </c>
      <c r="C68" s="87">
        <v>2015</v>
      </c>
      <c r="D68" s="87">
        <v>249</v>
      </c>
      <c r="E68" s="89">
        <v>20000</v>
      </c>
      <c r="F68" s="89">
        <f t="shared" si="0"/>
        <v>12000</v>
      </c>
      <c r="G68" s="89">
        <f t="shared" si="1"/>
        <v>8000</v>
      </c>
      <c r="H68" s="89">
        <f t="shared" si="3"/>
        <v>10</v>
      </c>
      <c r="I68" s="89"/>
    </row>
    <row r="69" spans="1:9">
      <c r="A69" s="87">
        <f t="shared" si="2"/>
        <v>201</v>
      </c>
      <c r="B69" s="90" t="s">
        <v>111</v>
      </c>
      <c r="C69" s="87">
        <v>2015</v>
      </c>
      <c r="D69" s="87">
        <v>250</v>
      </c>
      <c r="E69" s="89">
        <v>16000</v>
      </c>
      <c r="F69" s="89">
        <f t="shared" si="0"/>
        <v>9600</v>
      </c>
      <c r="G69" s="89">
        <f t="shared" si="1"/>
        <v>6400</v>
      </c>
      <c r="H69" s="89">
        <f t="shared" si="3"/>
        <v>8</v>
      </c>
      <c r="I69" s="89"/>
    </row>
    <row r="70" spans="1:9">
      <c r="A70" s="87">
        <f t="shared" si="2"/>
        <v>202</v>
      </c>
      <c r="B70" s="90" t="s">
        <v>350</v>
      </c>
      <c r="C70" s="87">
        <v>2015</v>
      </c>
      <c r="D70" s="87">
        <v>251</v>
      </c>
      <c r="E70" s="89">
        <v>136000</v>
      </c>
      <c r="F70" s="89">
        <f t="shared" si="0"/>
        <v>81600</v>
      </c>
      <c r="G70" s="89">
        <f t="shared" si="1"/>
        <v>54400</v>
      </c>
      <c r="H70" s="89">
        <f t="shared" si="3"/>
        <v>68</v>
      </c>
      <c r="I70" s="89"/>
    </row>
    <row r="71" spans="1:9">
      <c r="A71" s="87">
        <v>203</v>
      </c>
      <c r="B71" s="90" t="s">
        <v>40</v>
      </c>
      <c r="C71" s="87">
        <v>2015</v>
      </c>
      <c r="D71" s="87">
        <v>252</v>
      </c>
      <c r="E71" s="89">
        <v>52000</v>
      </c>
      <c r="F71" s="89">
        <f t="shared" si="0"/>
        <v>31200</v>
      </c>
      <c r="G71" s="89">
        <f t="shared" si="1"/>
        <v>20800</v>
      </c>
      <c r="H71" s="89">
        <f t="shared" si="3"/>
        <v>26</v>
      </c>
      <c r="I71" s="89"/>
    </row>
    <row r="72" spans="1:9">
      <c r="A72" s="87">
        <v>204</v>
      </c>
      <c r="B72" s="90" t="s">
        <v>28</v>
      </c>
      <c r="C72" s="87">
        <v>2015</v>
      </c>
      <c r="D72" s="87">
        <v>253</v>
      </c>
      <c r="E72" s="89">
        <v>104000</v>
      </c>
      <c r="F72" s="89">
        <f t="shared" si="0"/>
        <v>62400</v>
      </c>
      <c r="G72" s="89">
        <f t="shared" si="1"/>
        <v>41600</v>
      </c>
      <c r="H72" s="89">
        <f t="shared" si="3"/>
        <v>52</v>
      </c>
      <c r="I72" s="89"/>
    </row>
    <row r="73" spans="1:9">
      <c r="A73" s="87">
        <v>205</v>
      </c>
      <c r="B73" s="90" t="s">
        <v>32</v>
      </c>
      <c r="C73" s="87">
        <v>2015</v>
      </c>
      <c r="D73" s="87">
        <v>254</v>
      </c>
      <c r="E73" s="89">
        <v>24000</v>
      </c>
      <c r="F73" s="89">
        <f t="shared" si="0"/>
        <v>14400</v>
      </c>
      <c r="G73" s="89">
        <f t="shared" si="1"/>
        <v>9600</v>
      </c>
      <c r="H73" s="89">
        <f t="shared" si="3"/>
        <v>12</v>
      </c>
      <c r="I73" s="89"/>
    </row>
    <row r="74" spans="1:9">
      <c r="A74" s="87">
        <v>206</v>
      </c>
      <c r="B74" s="90" t="s">
        <v>111</v>
      </c>
      <c r="C74" s="87">
        <v>2015</v>
      </c>
      <c r="D74" s="87">
        <v>255</v>
      </c>
      <c r="E74" s="89">
        <v>16000</v>
      </c>
      <c r="F74" s="89">
        <f t="shared" si="0"/>
        <v>9600</v>
      </c>
      <c r="G74" s="89">
        <f t="shared" si="1"/>
        <v>6400</v>
      </c>
      <c r="H74" s="89">
        <f t="shared" si="3"/>
        <v>8</v>
      </c>
      <c r="I74" s="89"/>
    </row>
    <row r="75" spans="1:9">
      <c r="A75" s="87">
        <v>207</v>
      </c>
      <c r="B75" s="90" t="s">
        <v>350</v>
      </c>
      <c r="C75" s="87">
        <v>2015</v>
      </c>
      <c r="D75" s="87">
        <v>256</v>
      </c>
      <c r="E75" s="89">
        <v>88000</v>
      </c>
      <c r="F75" s="89">
        <f t="shared" ref="F75:F90" si="4">+E75*0.6</f>
        <v>52800</v>
      </c>
      <c r="G75" s="89">
        <f t="shared" ref="G75:G90" si="5">+E75*0.4</f>
        <v>35200</v>
      </c>
      <c r="H75" s="89">
        <f t="shared" si="3"/>
        <v>44</v>
      </c>
      <c r="I75" s="89"/>
    </row>
    <row r="76" spans="1:9">
      <c r="A76" s="87">
        <v>208</v>
      </c>
      <c r="B76" s="90" t="s">
        <v>40</v>
      </c>
      <c r="C76" s="87">
        <v>2015</v>
      </c>
      <c r="D76" s="87">
        <v>264</v>
      </c>
      <c r="E76" s="89">
        <v>72000</v>
      </c>
      <c r="F76" s="89">
        <f t="shared" si="4"/>
        <v>43200</v>
      </c>
      <c r="G76" s="89">
        <f t="shared" si="5"/>
        <v>28800</v>
      </c>
      <c r="H76" s="89">
        <f t="shared" ref="H76:H90" si="6">+E76/2000</f>
        <v>36</v>
      </c>
      <c r="I76" s="89"/>
    </row>
    <row r="77" spans="1:9">
      <c r="A77" s="87">
        <v>209</v>
      </c>
      <c r="B77" s="90" t="s">
        <v>28</v>
      </c>
      <c r="C77" s="87">
        <v>2015</v>
      </c>
      <c r="D77" s="87">
        <v>265</v>
      </c>
      <c r="E77" s="89">
        <v>160000</v>
      </c>
      <c r="F77" s="89">
        <f t="shared" si="4"/>
        <v>96000</v>
      </c>
      <c r="G77" s="89">
        <f t="shared" si="5"/>
        <v>64000</v>
      </c>
      <c r="H77" s="89">
        <f t="shared" si="6"/>
        <v>80</v>
      </c>
      <c r="I77" s="89"/>
    </row>
    <row r="78" spans="1:9">
      <c r="A78" s="87">
        <v>210</v>
      </c>
      <c r="B78" s="90" t="s">
        <v>32</v>
      </c>
      <c r="C78" s="87">
        <v>2015</v>
      </c>
      <c r="D78" s="87">
        <v>266</v>
      </c>
      <c r="E78" s="89">
        <v>44000</v>
      </c>
      <c r="F78" s="89">
        <f t="shared" si="4"/>
        <v>26400</v>
      </c>
      <c r="G78" s="89">
        <f t="shared" si="5"/>
        <v>17600</v>
      </c>
      <c r="H78" s="89">
        <f t="shared" si="6"/>
        <v>22</v>
      </c>
      <c r="I78" s="89"/>
    </row>
    <row r="79" spans="1:9">
      <c r="A79" s="87">
        <v>211</v>
      </c>
      <c r="B79" s="90" t="s">
        <v>350</v>
      </c>
      <c r="C79" s="87">
        <v>2015</v>
      </c>
      <c r="D79" s="87">
        <v>267</v>
      </c>
      <c r="E79" s="89">
        <v>308000</v>
      </c>
      <c r="F79" s="89">
        <f t="shared" si="4"/>
        <v>184800</v>
      </c>
      <c r="G79" s="89">
        <f t="shared" si="5"/>
        <v>123200</v>
      </c>
      <c r="H79" s="89">
        <f t="shared" si="6"/>
        <v>154</v>
      </c>
      <c r="I79" s="89"/>
    </row>
    <row r="80" spans="1:9">
      <c r="A80" s="87">
        <v>212</v>
      </c>
      <c r="B80" s="90" t="s">
        <v>111</v>
      </c>
      <c r="C80" s="87">
        <v>2015</v>
      </c>
      <c r="D80" s="87">
        <v>268</v>
      </c>
      <c r="E80" s="89">
        <v>32000</v>
      </c>
      <c r="F80" s="89">
        <f t="shared" si="4"/>
        <v>19200</v>
      </c>
      <c r="G80" s="89">
        <f t="shared" si="5"/>
        <v>12800</v>
      </c>
      <c r="H80" s="89">
        <f t="shared" si="6"/>
        <v>16</v>
      </c>
      <c r="I80" s="89"/>
    </row>
    <row r="81" spans="1:9">
      <c r="A81" s="87">
        <v>213</v>
      </c>
      <c r="B81" s="90" t="s">
        <v>40</v>
      </c>
      <c r="C81" s="87">
        <v>2015</v>
      </c>
      <c r="D81" s="87">
        <v>269</v>
      </c>
      <c r="E81" s="89">
        <v>44000</v>
      </c>
      <c r="F81" s="89">
        <f t="shared" si="4"/>
        <v>26400</v>
      </c>
      <c r="G81" s="89">
        <f t="shared" si="5"/>
        <v>17600</v>
      </c>
      <c r="H81" s="89">
        <f t="shared" si="6"/>
        <v>22</v>
      </c>
      <c r="I81" s="89"/>
    </row>
    <row r="82" spans="1:9">
      <c r="A82" s="87">
        <v>215</v>
      </c>
      <c r="B82" s="90" t="s">
        <v>28</v>
      </c>
      <c r="C82" s="87">
        <v>2015</v>
      </c>
      <c r="D82" s="87">
        <v>270</v>
      </c>
      <c r="E82" s="89">
        <v>68000</v>
      </c>
      <c r="F82" s="89">
        <f t="shared" si="4"/>
        <v>40800</v>
      </c>
      <c r="G82" s="89">
        <f t="shared" si="5"/>
        <v>27200</v>
      </c>
      <c r="H82" s="89">
        <f t="shared" si="6"/>
        <v>34</v>
      </c>
      <c r="I82" s="89"/>
    </row>
    <row r="83" spans="1:9">
      <c r="A83" s="87">
        <v>216</v>
      </c>
      <c r="B83" s="90" t="s">
        <v>32</v>
      </c>
      <c r="C83" s="87">
        <v>2015</v>
      </c>
      <c r="D83" s="87">
        <v>271</v>
      </c>
      <c r="E83" s="89">
        <v>28000</v>
      </c>
      <c r="F83" s="89">
        <f t="shared" si="4"/>
        <v>16800</v>
      </c>
      <c r="G83" s="89">
        <f t="shared" si="5"/>
        <v>11200</v>
      </c>
      <c r="H83" s="89">
        <f t="shared" si="6"/>
        <v>14</v>
      </c>
      <c r="I83" s="89"/>
    </row>
    <row r="84" spans="1:9">
      <c r="A84" s="87">
        <v>217</v>
      </c>
      <c r="B84" s="90" t="s">
        <v>111</v>
      </c>
      <c r="C84" s="87">
        <v>2015</v>
      </c>
      <c r="D84" s="87">
        <v>272</v>
      </c>
      <c r="E84" s="89">
        <v>12000</v>
      </c>
      <c r="F84" s="89">
        <f t="shared" si="4"/>
        <v>7200</v>
      </c>
      <c r="G84" s="89">
        <f t="shared" si="5"/>
        <v>4800</v>
      </c>
      <c r="H84" s="89">
        <f t="shared" si="6"/>
        <v>6</v>
      </c>
      <c r="I84" s="89"/>
    </row>
    <row r="85" spans="1:9">
      <c r="A85" s="87">
        <v>218</v>
      </c>
      <c r="B85" s="90" t="s">
        <v>350</v>
      </c>
      <c r="C85" s="87">
        <v>2015</v>
      </c>
      <c r="D85" s="87">
        <v>273</v>
      </c>
      <c r="E85" s="89">
        <v>108000</v>
      </c>
      <c r="F85" s="89">
        <f t="shared" si="4"/>
        <v>64800</v>
      </c>
      <c r="G85" s="89">
        <f t="shared" si="5"/>
        <v>43200</v>
      </c>
      <c r="H85" s="89">
        <f t="shared" si="6"/>
        <v>54</v>
      </c>
      <c r="I85" s="89"/>
    </row>
    <row r="86" spans="1:9">
      <c r="A86" s="87">
        <v>219</v>
      </c>
      <c r="B86" s="90" t="s">
        <v>40</v>
      </c>
      <c r="C86" s="87">
        <v>2015</v>
      </c>
      <c r="D86" s="87">
        <v>279</v>
      </c>
      <c r="E86" s="89">
        <v>48000</v>
      </c>
      <c r="F86" s="89">
        <f t="shared" si="4"/>
        <v>28800</v>
      </c>
      <c r="G86" s="89">
        <f t="shared" si="5"/>
        <v>19200</v>
      </c>
      <c r="H86" s="89">
        <f t="shared" si="6"/>
        <v>24</v>
      </c>
      <c r="I86" s="89"/>
    </row>
    <row r="87" spans="1:9">
      <c r="A87" s="87">
        <v>220</v>
      </c>
      <c r="B87" s="90" t="s">
        <v>28</v>
      </c>
      <c r="C87" s="87">
        <v>2015</v>
      </c>
      <c r="D87" s="87">
        <v>280</v>
      </c>
      <c r="E87" s="89">
        <v>68000</v>
      </c>
      <c r="F87" s="89">
        <f t="shared" si="4"/>
        <v>40800</v>
      </c>
      <c r="G87" s="89">
        <f t="shared" si="5"/>
        <v>27200</v>
      </c>
      <c r="H87" s="89">
        <f t="shared" si="6"/>
        <v>34</v>
      </c>
      <c r="I87" s="89"/>
    </row>
    <row r="88" spans="1:9">
      <c r="A88" s="87">
        <v>221</v>
      </c>
      <c r="B88" s="90" t="s">
        <v>32</v>
      </c>
      <c r="C88" s="87">
        <v>2015</v>
      </c>
      <c r="D88" s="87">
        <v>281</v>
      </c>
      <c r="E88" s="89">
        <v>36000</v>
      </c>
      <c r="F88" s="89">
        <f t="shared" si="4"/>
        <v>21600</v>
      </c>
      <c r="G88" s="89">
        <f t="shared" si="5"/>
        <v>14400</v>
      </c>
      <c r="H88" s="89">
        <f t="shared" si="6"/>
        <v>18</v>
      </c>
      <c r="I88" s="89"/>
    </row>
    <row r="89" spans="1:9">
      <c r="A89" s="87">
        <v>222</v>
      </c>
      <c r="B89" s="90" t="s">
        <v>111</v>
      </c>
      <c r="C89" s="87">
        <v>2015</v>
      </c>
      <c r="D89" s="87">
        <v>282</v>
      </c>
      <c r="E89" s="89">
        <v>24000</v>
      </c>
      <c r="F89" s="89">
        <f t="shared" si="4"/>
        <v>14400</v>
      </c>
      <c r="G89" s="89">
        <f t="shared" si="5"/>
        <v>9600</v>
      </c>
      <c r="H89" s="89">
        <f t="shared" si="6"/>
        <v>12</v>
      </c>
      <c r="I89" s="89"/>
    </row>
    <row r="90" spans="1:9" ht="15.75" thickBot="1">
      <c r="A90" s="87">
        <v>223</v>
      </c>
      <c r="B90" s="90" t="s">
        <v>350</v>
      </c>
      <c r="C90" s="87">
        <v>2015</v>
      </c>
      <c r="D90" s="87">
        <v>283</v>
      </c>
      <c r="E90" s="89">
        <v>152000</v>
      </c>
      <c r="F90" s="89">
        <f t="shared" si="4"/>
        <v>91200</v>
      </c>
      <c r="G90" s="89">
        <f t="shared" si="5"/>
        <v>60800</v>
      </c>
      <c r="H90" s="89">
        <f t="shared" si="6"/>
        <v>76</v>
      </c>
      <c r="I90" s="89"/>
    </row>
    <row r="91" spans="1:9" ht="15.75" thickBot="1">
      <c r="A91" s="100"/>
      <c r="B91" s="101"/>
      <c r="C91" s="102"/>
      <c r="D91" s="102"/>
      <c r="E91" s="103">
        <f>SUM(E11:E90)</f>
        <v>6688000</v>
      </c>
      <c r="F91" s="103">
        <f>SUM(F16:F90)</f>
        <v>3420000</v>
      </c>
      <c r="G91" s="103">
        <f>SUM(G16:G90)</f>
        <v>2280000</v>
      </c>
      <c r="H91" s="104">
        <f>SUM(H16:H90)</f>
        <v>2850</v>
      </c>
      <c r="I91" s="105"/>
    </row>
    <row r="92" spans="1:9">
      <c r="A92" s="27"/>
      <c r="B92" s="98"/>
      <c r="C92" s="27"/>
      <c r="D92" s="27"/>
      <c r="E92" s="99"/>
      <c r="F92" s="99"/>
      <c r="G92" s="99"/>
      <c r="H92" s="96"/>
      <c r="I92" s="96"/>
    </row>
    <row r="93" spans="1:9">
      <c r="A93" s="27"/>
      <c r="B93" s="98"/>
      <c r="C93" s="27"/>
      <c r="D93" s="27"/>
      <c r="E93" s="99"/>
      <c r="F93" s="99"/>
      <c r="G93" s="99"/>
      <c r="H93" s="96"/>
      <c r="I93" s="96"/>
    </row>
    <row r="94" spans="1:9">
      <c r="A94" s="27"/>
      <c r="B94" s="98"/>
      <c r="C94" s="27"/>
      <c r="D94" s="27"/>
      <c r="E94" s="99"/>
      <c r="F94" s="99"/>
      <c r="G94" s="99"/>
      <c r="H94" s="96"/>
      <c r="I94" s="96"/>
    </row>
    <row r="95" spans="1:9" ht="15.75" thickBot="1"/>
    <row r="96" spans="1:9" ht="50.25" thickBot="1">
      <c r="A96" s="109" t="s">
        <v>124</v>
      </c>
      <c r="B96" s="110" t="s">
        <v>125</v>
      </c>
      <c r="C96" s="111" t="s">
        <v>126</v>
      </c>
      <c r="D96" s="111" t="s">
        <v>127</v>
      </c>
      <c r="E96" s="112" t="s">
        <v>128</v>
      </c>
      <c r="F96" s="112" t="s">
        <v>129</v>
      </c>
      <c r="G96" s="112" t="s">
        <v>130</v>
      </c>
      <c r="H96" s="113" t="s">
        <v>131</v>
      </c>
      <c r="I96" s="114" t="s">
        <v>135</v>
      </c>
    </row>
    <row r="97" spans="1:9">
      <c r="A97" s="106">
        <v>1</v>
      </c>
      <c r="B97" s="97" t="s">
        <v>132</v>
      </c>
      <c r="C97" s="106">
        <v>2014</v>
      </c>
      <c r="D97" s="107"/>
      <c r="E97" s="108"/>
      <c r="F97" s="108"/>
      <c r="G97" s="108"/>
      <c r="H97" s="89">
        <f>+E97/2000</f>
        <v>0</v>
      </c>
      <c r="I97" s="108"/>
    </row>
    <row r="98" spans="1:9">
      <c r="A98" s="87">
        <v>2</v>
      </c>
      <c r="B98" s="85" t="s">
        <v>136</v>
      </c>
      <c r="C98" s="87">
        <v>2015</v>
      </c>
      <c r="D98" s="87">
        <v>80</v>
      </c>
      <c r="E98" s="89">
        <f>+E91</f>
        <v>6688000</v>
      </c>
      <c r="F98" s="89">
        <f>+E98*0.6</f>
        <v>4012800</v>
      </c>
      <c r="G98" s="89">
        <f>+E98*0.4</f>
        <v>2675200</v>
      </c>
      <c r="H98" s="89">
        <f>+E98/2000</f>
        <v>3344</v>
      </c>
      <c r="I98" s="89"/>
    </row>
    <row r="99" spans="1:9">
      <c r="A99" s="87">
        <v>3</v>
      </c>
      <c r="B99" s="85" t="s">
        <v>138</v>
      </c>
      <c r="C99" s="87"/>
      <c r="D99" s="87"/>
      <c r="E99" s="89"/>
      <c r="F99" s="93"/>
      <c r="G99" s="89"/>
      <c r="H99" s="89"/>
      <c r="I99" s="89"/>
    </row>
    <row r="100" spans="1:9" ht="15.75">
      <c r="A100" s="116"/>
      <c r="B100" s="116" t="s">
        <v>139</v>
      </c>
      <c r="C100" s="116">
        <v>2015</v>
      </c>
      <c r="D100" s="116">
        <f>SUM(D97:D99)</f>
        <v>80</v>
      </c>
      <c r="E100" s="93">
        <f>SUM(E97:E99)</f>
        <v>6688000</v>
      </c>
      <c r="F100" s="93">
        <f>SUM(F97:F99)</f>
        <v>4012800</v>
      </c>
      <c r="G100" s="93">
        <f>SUM(G97:G99)</f>
        <v>2675200</v>
      </c>
      <c r="H100" s="93">
        <f>SUM(H97:H99)</f>
        <v>3344</v>
      </c>
      <c r="I100" s="93"/>
    </row>
    <row r="102" spans="1:9">
      <c r="A102" s="126" t="s">
        <v>429</v>
      </c>
      <c r="B102" s="126"/>
    </row>
    <row r="103" spans="1:9">
      <c r="A103" s="127" t="s">
        <v>430</v>
      </c>
    </row>
    <row r="105" spans="1:9">
      <c r="B105" s="83" t="s">
        <v>114</v>
      </c>
    </row>
    <row r="107" spans="1:9" ht="16.5">
      <c r="F107" s="30" t="s">
        <v>263</v>
      </c>
      <c r="G107" s="30"/>
      <c r="H107" s="12"/>
    </row>
    <row r="108" spans="1:9" ht="16.5">
      <c r="F108" s="30"/>
      <c r="G108" s="30"/>
      <c r="H108" s="12"/>
    </row>
    <row r="109" spans="1:9" ht="16.5">
      <c r="F109" s="30"/>
      <c r="G109" s="30"/>
      <c r="H109" s="12"/>
    </row>
    <row r="110" spans="1:9" ht="16.5">
      <c r="F110" s="30"/>
      <c r="G110" s="30"/>
      <c r="H110" s="12"/>
    </row>
    <row r="111" spans="1:9" ht="16.5">
      <c r="E111" s="27"/>
      <c r="F111" s="605" t="s">
        <v>143</v>
      </c>
      <c r="G111" s="605"/>
      <c r="H111" s="12"/>
    </row>
    <row r="128" spans="4:7" ht="15.75">
      <c r="D128" s="191"/>
      <c r="E128" s="191" t="s">
        <v>869</v>
      </c>
      <c r="F128" s="191"/>
      <c r="G128" s="191"/>
    </row>
    <row r="129" spans="1:9" s="12" customFormat="1" ht="16.5">
      <c r="B129" s="167" t="s">
        <v>1216</v>
      </c>
    </row>
    <row r="130" spans="1:9" s="12" customFormat="1" ht="17.25" thickBot="1">
      <c r="B130" s="266"/>
    </row>
    <row r="131" spans="1:9" s="12" customFormat="1" ht="44.25" customHeight="1" thickBot="1">
      <c r="A131" s="109" t="s">
        <v>124</v>
      </c>
      <c r="B131" s="111" t="s">
        <v>125</v>
      </c>
      <c r="C131" s="111" t="s">
        <v>126</v>
      </c>
      <c r="D131" s="111" t="s">
        <v>127</v>
      </c>
      <c r="E131" s="112" t="s">
        <v>128</v>
      </c>
      <c r="F131" s="112" t="s">
        <v>129</v>
      </c>
      <c r="G131" s="112" t="s">
        <v>130</v>
      </c>
      <c r="H131" s="286" t="s">
        <v>131</v>
      </c>
      <c r="I131" s="125" t="s">
        <v>134</v>
      </c>
    </row>
    <row r="132" spans="1:9" s="12" customFormat="1" ht="15.75" hidden="1" customHeight="1">
      <c r="A132" s="283">
        <v>1</v>
      </c>
      <c r="B132" s="284" t="s">
        <v>40</v>
      </c>
      <c r="C132" s="283">
        <v>2016</v>
      </c>
      <c r="D132" s="283">
        <v>5</v>
      </c>
      <c r="E132" s="285"/>
      <c r="F132" s="285"/>
      <c r="G132" s="285">
        <f t="shared" ref="G132:G194" si="7">+E132*0.4</f>
        <v>0</v>
      </c>
      <c r="H132" s="285">
        <f>+E132/2000</f>
        <v>0</v>
      </c>
      <c r="I132" s="86"/>
    </row>
    <row r="133" spans="1:9" s="12" customFormat="1" ht="15.75" hidden="1" customHeight="1">
      <c r="A133" s="267">
        <f t="shared" ref="A133:A195" si="8">+A132+1</f>
        <v>2</v>
      </c>
      <c r="B133" s="268" t="s">
        <v>28</v>
      </c>
      <c r="C133" s="283">
        <v>2016</v>
      </c>
      <c r="D133" s="267">
        <f>+D132+1</f>
        <v>6</v>
      </c>
      <c r="E133" s="355"/>
      <c r="F133" s="355"/>
      <c r="G133" s="355">
        <f t="shared" si="7"/>
        <v>0</v>
      </c>
      <c r="H133" s="355">
        <f t="shared" ref="H133:H195" si="9">+E133/2000</f>
        <v>0</v>
      </c>
      <c r="I133" s="86"/>
    </row>
    <row r="134" spans="1:9" s="12" customFormat="1" ht="15.75" hidden="1" customHeight="1">
      <c r="A134" s="267">
        <f t="shared" si="8"/>
        <v>3</v>
      </c>
      <c r="B134" s="268" t="s">
        <v>32</v>
      </c>
      <c r="C134" s="283">
        <v>2016</v>
      </c>
      <c r="D134" s="267">
        <f t="shared" ref="D134:D140" si="10">+D133+1</f>
        <v>7</v>
      </c>
      <c r="E134" s="355"/>
      <c r="F134" s="355"/>
      <c r="G134" s="355">
        <f t="shared" si="7"/>
        <v>0</v>
      </c>
      <c r="H134" s="355">
        <f t="shared" si="9"/>
        <v>0</v>
      </c>
      <c r="I134" s="86"/>
    </row>
    <row r="135" spans="1:9" s="12" customFormat="1" ht="15.75" hidden="1" customHeight="1">
      <c r="A135" s="267">
        <f t="shared" si="8"/>
        <v>4</v>
      </c>
      <c r="B135" s="268" t="s">
        <v>111</v>
      </c>
      <c r="C135" s="283">
        <v>2016</v>
      </c>
      <c r="D135" s="267">
        <f t="shared" si="10"/>
        <v>8</v>
      </c>
      <c r="E135" s="355"/>
      <c r="F135" s="355"/>
      <c r="G135" s="355">
        <f t="shared" si="7"/>
        <v>0</v>
      </c>
      <c r="H135" s="355">
        <f t="shared" si="9"/>
        <v>0</v>
      </c>
      <c r="I135" s="86"/>
    </row>
    <row r="136" spans="1:9" s="12" customFormat="1" ht="15.75" hidden="1" customHeight="1">
      <c r="A136" s="267">
        <f t="shared" si="8"/>
        <v>5</v>
      </c>
      <c r="B136" s="268" t="s">
        <v>350</v>
      </c>
      <c r="C136" s="283">
        <v>2016</v>
      </c>
      <c r="D136" s="267">
        <f t="shared" si="10"/>
        <v>9</v>
      </c>
      <c r="E136" s="355"/>
      <c r="F136" s="355"/>
      <c r="G136" s="355">
        <f t="shared" si="7"/>
        <v>0</v>
      </c>
      <c r="H136" s="355">
        <f t="shared" si="9"/>
        <v>0</v>
      </c>
      <c r="I136" s="86"/>
    </row>
    <row r="137" spans="1:9" s="12" customFormat="1" ht="16.5" hidden="1">
      <c r="A137" s="267">
        <f t="shared" si="8"/>
        <v>6</v>
      </c>
      <c r="B137" s="268" t="s">
        <v>28</v>
      </c>
      <c r="C137" s="283">
        <v>2016</v>
      </c>
      <c r="D137" s="267">
        <v>11</v>
      </c>
      <c r="E137" s="355"/>
      <c r="F137" s="355"/>
      <c r="G137" s="355">
        <f t="shared" si="7"/>
        <v>0</v>
      </c>
      <c r="H137" s="355">
        <f t="shared" si="9"/>
        <v>0</v>
      </c>
      <c r="I137" s="355"/>
    </row>
    <row r="138" spans="1:9" s="12" customFormat="1" ht="16.5" hidden="1">
      <c r="A138" s="267">
        <f t="shared" si="8"/>
        <v>7</v>
      </c>
      <c r="B138" s="268" t="s">
        <v>32</v>
      </c>
      <c r="C138" s="283">
        <v>2016</v>
      </c>
      <c r="D138" s="267">
        <f t="shared" si="10"/>
        <v>12</v>
      </c>
      <c r="E138" s="355"/>
      <c r="F138" s="355"/>
      <c r="G138" s="355">
        <f t="shared" si="7"/>
        <v>0</v>
      </c>
      <c r="H138" s="355">
        <f t="shared" si="9"/>
        <v>0</v>
      </c>
      <c r="I138" s="355"/>
    </row>
    <row r="139" spans="1:9" s="12" customFormat="1" ht="16.5" hidden="1">
      <c r="A139" s="267">
        <f t="shared" si="8"/>
        <v>8</v>
      </c>
      <c r="B139" s="268" t="s">
        <v>111</v>
      </c>
      <c r="C139" s="283">
        <v>2016</v>
      </c>
      <c r="D139" s="267">
        <f t="shared" si="10"/>
        <v>13</v>
      </c>
      <c r="E139" s="355"/>
      <c r="F139" s="355"/>
      <c r="G139" s="355">
        <f t="shared" si="7"/>
        <v>0</v>
      </c>
      <c r="H139" s="355">
        <f t="shared" si="9"/>
        <v>0</v>
      </c>
      <c r="I139" s="355"/>
    </row>
    <row r="140" spans="1:9" s="12" customFormat="1" ht="16.5" hidden="1">
      <c r="A140" s="267">
        <f t="shared" si="8"/>
        <v>9</v>
      </c>
      <c r="B140" s="268" t="s">
        <v>350</v>
      </c>
      <c r="C140" s="283">
        <v>2016</v>
      </c>
      <c r="D140" s="267">
        <f t="shared" si="10"/>
        <v>14</v>
      </c>
      <c r="E140" s="355"/>
      <c r="F140" s="355"/>
      <c r="G140" s="355">
        <f t="shared" si="7"/>
        <v>0</v>
      </c>
      <c r="H140" s="355">
        <f t="shared" si="9"/>
        <v>0</v>
      </c>
      <c r="I140" s="355"/>
    </row>
    <row r="141" spans="1:9" s="12" customFormat="1" ht="16.5" hidden="1">
      <c r="A141" s="267">
        <f t="shared" si="8"/>
        <v>10</v>
      </c>
      <c r="B141" s="268" t="s">
        <v>40</v>
      </c>
      <c r="C141" s="283">
        <v>2016</v>
      </c>
      <c r="D141" s="267">
        <v>29</v>
      </c>
      <c r="E141" s="355"/>
      <c r="F141" s="355"/>
      <c r="G141" s="355">
        <f t="shared" si="7"/>
        <v>0</v>
      </c>
      <c r="H141" s="355">
        <f t="shared" si="9"/>
        <v>0</v>
      </c>
      <c r="I141" s="355"/>
    </row>
    <row r="142" spans="1:9" s="12" customFormat="1" ht="16.5" hidden="1">
      <c r="A142" s="267">
        <f t="shared" si="8"/>
        <v>11</v>
      </c>
      <c r="B142" s="268" t="s">
        <v>28</v>
      </c>
      <c r="C142" s="283">
        <v>2016</v>
      </c>
      <c r="D142" s="267">
        <f>+D141+1</f>
        <v>30</v>
      </c>
      <c r="E142" s="355"/>
      <c r="F142" s="355"/>
      <c r="G142" s="355">
        <f t="shared" si="7"/>
        <v>0</v>
      </c>
      <c r="H142" s="355">
        <f t="shared" si="9"/>
        <v>0</v>
      </c>
      <c r="I142" s="355"/>
    </row>
    <row r="143" spans="1:9" s="12" customFormat="1" ht="16.5" hidden="1">
      <c r="A143" s="267">
        <f t="shared" si="8"/>
        <v>12</v>
      </c>
      <c r="B143" s="268" t="s">
        <v>32</v>
      </c>
      <c r="C143" s="283">
        <v>2016</v>
      </c>
      <c r="D143" s="267">
        <f t="shared" ref="D143:D155" si="11">+D142+1</f>
        <v>31</v>
      </c>
      <c r="E143" s="355"/>
      <c r="F143" s="355"/>
      <c r="G143" s="355">
        <f t="shared" si="7"/>
        <v>0</v>
      </c>
      <c r="H143" s="355">
        <f t="shared" si="9"/>
        <v>0</v>
      </c>
      <c r="I143" s="355"/>
    </row>
    <row r="144" spans="1:9" s="12" customFormat="1" ht="16.5" hidden="1">
      <c r="A144" s="267">
        <f t="shared" si="8"/>
        <v>13</v>
      </c>
      <c r="B144" s="268" t="s">
        <v>350</v>
      </c>
      <c r="C144" s="283">
        <v>2016</v>
      </c>
      <c r="D144" s="267">
        <f t="shared" si="11"/>
        <v>32</v>
      </c>
      <c r="E144" s="355"/>
      <c r="F144" s="355"/>
      <c r="G144" s="355">
        <f t="shared" si="7"/>
        <v>0</v>
      </c>
      <c r="H144" s="355">
        <f t="shared" si="9"/>
        <v>0</v>
      </c>
      <c r="I144" s="355"/>
    </row>
    <row r="145" spans="1:9" s="12" customFormat="1" ht="16.5" hidden="1">
      <c r="A145" s="267">
        <f t="shared" si="8"/>
        <v>14</v>
      </c>
      <c r="B145" s="268" t="s">
        <v>40</v>
      </c>
      <c r="C145" s="283">
        <v>2016</v>
      </c>
      <c r="D145" s="267">
        <f t="shared" si="11"/>
        <v>33</v>
      </c>
      <c r="E145" s="355"/>
      <c r="F145" s="355"/>
      <c r="G145" s="355">
        <f t="shared" si="7"/>
        <v>0</v>
      </c>
      <c r="H145" s="355">
        <f t="shared" si="9"/>
        <v>0</v>
      </c>
      <c r="I145" s="355"/>
    </row>
    <row r="146" spans="1:9" s="12" customFormat="1" ht="16.5" hidden="1">
      <c r="A146" s="267">
        <f t="shared" si="8"/>
        <v>15</v>
      </c>
      <c r="B146" s="268" t="s">
        <v>28</v>
      </c>
      <c r="C146" s="283">
        <v>2016</v>
      </c>
      <c r="D146" s="267">
        <f t="shared" si="11"/>
        <v>34</v>
      </c>
      <c r="E146" s="355"/>
      <c r="F146" s="355"/>
      <c r="G146" s="355">
        <f t="shared" si="7"/>
        <v>0</v>
      </c>
      <c r="H146" s="355">
        <f t="shared" si="9"/>
        <v>0</v>
      </c>
      <c r="I146" s="355"/>
    </row>
    <row r="147" spans="1:9" s="12" customFormat="1" ht="16.5" hidden="1">
      <c r="A147" s="267">
        <f t="shared" si="8"/>
        <v>16</v>
      </c>
      <c r="B147" s="268" t="s">
        <v>32</v>
      </c>
      <c r="C147" s="283">
        <v>2016</v>
      </c>
      <c r="D147" s="267">
        <f t="shared" si="11"/>
        <v>35</v>
      </c>
      <c r="E147" s="355"/>
      <c r="F147" s="355"/>
      <c r="G147" s="355">
        <f t="shared" si="7"/>
        <v>0</v>
      </c>
      <c r="H147" s="355">
        <f t="shared" si="9"/>
        <v>0</v>
      </c>
      <c r="I147" s="355"/>
    </row>
    <row r="148" spans="1:9" s="12" customFormat="1" ht="16.5" hidden="1">
      <c r="A148" s="267">
        <f t="shared" si="8"/>
        <v>17</v>
      </c>
      <c r="B148" s="268" t="s">
        <v>111</v>
      </c>
      <c r="C148" s="283">
        <v>2016</v>
      </c>
      <c r="D148" s="267">
        <f t="shared" si="11"/>
        <v>36</v>
      </c>
      <c r="E148" s="355"/>
      <c r="F148" s="355"/>
      <c r="G148" s="355">
        <f t="shared" si="7"/>
        <v>0</v>
      </c>
      <c r="H148" s="355">
        <f t="shared" si="9"/>
        <v>0</v>
      </c>
      <c r="I148" s="355"/>
    </row>
    <row r="149" spans="1:9" s="12" customFormat="1" ht="16.5" hidden="1">
      <c r="A149" s="267">
        <f t="shared" si="8"/>
        <v>18</v>
      </c>
      <c r="B149" s="268" t="s">
        <v>350</v>
      </c>
      <c r="C149" s="283">
        <v>2016</v>
      </c>
      <c r="D149" s="267">
        <f t="shared" si="11"/>
        <v>37</v>
      </c>
      <c r="E149" s="355"/>
      <c r="F149" s="355"/>
      <c r="G149" s="355">
        <f t="shared" si="7"/>
        <v>0</v>
      </c>
      <c r="H149" s="355">
        <f t="shared" si="9"/>
        <v>0</v>
      </c>
      <c r="I149" s="355"/>
    </row>
    <row r="150" spans="1:9" s="12" customFormat="1" ht="16.5" hidden="1">
      <c r="A150" s="267">
        <f t="shared" si="8"/>
        <v>19</v>
      </c>
      <c r="B150" s="284" t="s">
        <v>40</v>
      </c>
      <c r="C150" s="283">
        <v>2016</v>
      </c>
      <c r="D150" s="267">
        <f t="shared" si="11"/>
        <v>38</v>
      </c>
      <c r="E150" s="355"/>
      <c r="F150" s="355"/>
      <c r="G150" s="355">
        <f t="shared" si="7"/>
        <v>0</v>
      </c>
      <c r="H150" s="355">
        <f t="shared" si="9"/>
        <v>0</v>
      </c>
      <c r="I150" s="355"/>
    </row>
    <row r="151" spans="1:9" s="12" customFormat="1" ht="16.5" hidden="1">
      <c r="A151" s="267">
        <f t="shared" si="8"/>
        <v>20</v>
      </c>
      <c r="B151" s="268" t="s">
        <v>28</v>
      </c>
      <c r="C151" s="283">
        <v>2016</v>
      </c>
      <c r="D151" s="267">
        <f t="shared" si="11"/>
        <v>39</v>
      </c>
      <c r="E151" s="228"/>
      <c r="F151" s="355"/>
      <c r="G151" s="355">
        <f t="shared" si="7"/>
        <v>0</v>
      </c>
      <c r="H151" s="355">
        <f t="shared" si="9"/>
        <v>0</v>
      </c>
      <c r="I151" s="355"/>
    </row>
    <row r="152" spans="1:9" s="12" customFormat="1" ht="16.5" hidden="1">
      <c r="A152" s="267">
        <f t="shared" si="8"/>
        <v>21</v>
      </c>
      <c r="B152" s="268" t="s">
        <v>32</v>
      </c>
      <c r="C152" s="283">
        <v>2016</v>
      </c>
      <c r="D152" s="267">
        <f t="shared" si="11"/>
        <v>40</v>
      </c>
      <c r="E152" s="228"/>
      <c r="F152" s="355"/>
      <c r="G152" s="355">
        <f t="shared" si="7"/>
        <v>0</v>
      </c>
      <c r="H152" s="355">
        <f t="shared" si="9"/>
        <v>0</v>
      </c>
      <c r="I152" s="355"/>
    </row>
    <row r="153" spans="1:9" s="12" customFormat="1" ht="16.5" hidden="1">
      <c r="A153" s="267">
        <f t="shared" si="8"/>
        <v>22</v>
      </c>
      <c r="B153" s="268" t="s">
        <v>111</v>
      </c>
      <c r="C153" s="283">
        <v>2016</v>
      </c>
      <c r="D153" s="267">
        <f t="shared" si="11"/>
        <v>41</v>
      </c>
      <c r="E153" s="355"/>
      <c r="F153" s="355"/>
      <c r="G153" s="355">
        <f t="shared" si="7"/>
        <v>0</v>
      </c>
      <c r="H153" s="355">
        <f t="shared" si="9"/>
        <v>0</v>
      </c>
      <c r="I153" s="355"/>
    </row>
    <row r="154" spans="1:9" s="12" customFormat="1" ht="16.5" hidden="1">
      <c r="A154" s="267">
        <f t="shared" si="8"/>
        <v>23</v>
      </c>
      <c r="B154" s="268" t="s">
        <v>350</v>
      </c>
      <c r="C154" s="283">
        <v>2016</v>
      </c>
      <c r="D154" s="267">
        <f t="shared" si="11"/>
        <v>42</v>
      </c>
      <c r="E154" s="355"/>
      <c r="F154" s="355"/>
      <c r="G154" s="355">
        <f t="shared" si="7"/>
        <v>0</v>
      </c>
      <c r="H154" s="355">
        <f t="shared" si="9"/>
        <v>0</v>
      </c>
      <c r="I154" s="355"/>
    </row>
    <row r="155" spans="1:9" s="12" customFormat="1" ht="16.5" hidden="1">
      <c r="A155" s="267">
        <f t="shared" si="8"/>
        <v>24</v>
      </c>
      <c r="B155" s="284" t="s">
        <v>40</v>
      </c>
      <c r="C155" s="283">
        <v>2016</v>
      </c>
      <c r="D155" s="267">
        <f t="shared" si="11"/>
        <v>43</v>
      </c>
      <c r="E155" s="355"/>
      <c r="F155" s="355"/>
      <c r="G155" s="355">
        <f t="shared" si="7"/>
        <v>0</v>
      </c>
      <c r="H155" s="355">
        <f t="shared" si="9"/>
        <v>0</v>
      </c>
      <c r="I155" s="355"/>
    </row>
    <row r="156" spans="1:9" s="12" customFormat="1" ht="16.5" hidden="1">
      <c r="A156" s="267">
        <f t="shared" si="8"/>
        <v>25</v>
      </c>
      <c r="B156" s="268" t="s">
        <v>28</v>
      </c>
      <c r="C156" s="283">
        <v>2016</v>
      </c>
      <c r="D156" s="267">
        <f>+D155+1</f>
        <v>44</v>
      </c>
      <c r="E156" s="355"/>
      <c r="F156" s="355"/>
      <c r="G156" s="355">
        <f t="shared" si="7"/>
        <v>0</v>
      </c>
      <c r="H156" s="355">
        <f t="shared" si="9"/>
        <v>0</v>
      </c>
      <c r="I156" s="355"/>
    </row>
    <row r="157" spans="1:9" s="12" customFormat="1" ht="16.5" hidden="1">
      <c r="A157" s="267">
        <f t="shared" si="8"/>
        <v>26</v>
      </c>
      <c r="B157" s="268" t="s">
        <v>32</v>
      </c>
      <c r="C157" s="283">
        <v>2016</v>
      </c>
      <c r="D157" s="267">
        <f>+D156+1</f>
        <v>45</v>
      </c>
      <c r="E157" s="355"/>
      <c r="F157" s="355"/>
      <c r="G157" s="355">
        <f t="shared" si="7"/>
        <v>0</v>
      </c>
      <c r="H157" s="355">
        <f t="shared" si="9"/>
        <v>0</v>
      </c>
      <c r="I157" s="355"/>
    </row>
    <row r="158" spans="1:9" s="12" customFormat="1" ht="16.5" hidden="1">
      <c r="A158" s="267">
        <f t="shared" si="8"/>
        <v>27</v>
      </c>
      <c r="B158" s="268" t="s">
        <v>350</v>
      </c>
      <c r="C158" s="283">
        <v>2016</v>
      </c>
      <c r="D158" s="267">
        <f>+D157+1</f>
        <v>46</v>
      </c>
      <c r="E158" s="355"/>
      <c r="F158" s="355"/>
      <c r="G158" s="355">
        <f t="shared" si="7"/>
        <v>0</v>
      </c>
      <c r="H158" s="355">
        <f t="shared" si="9"/>
        <v>0</v>
      </c>
      <c r="I158" s="355"/>
    </row>
    <row r="159" spans="1:9" s="12" customFormat="1" ht="16.5" hidden="1">
      <c r="A159" s="267">
        <f t="shared" si="8"/>
        <v>28</v>
      </c>
      <c r="B159" s="268" t="s">
        <v>111</v>
      </c>
      <c r="C159" s="283">
        <v>2016</v>
      </c>
      <c r="D159" s="267">
        <f>+D158+1</f>
        <v>47</v>
      </c>
      <c r="E159" s="355"/>
      <c r="F159" s="355"/>
      <c r="G159" s="355">
        <f t="shared" si="7"/>
        <v>0</v>
      </c>
      <c r="H159" s="355">
        <f t="shared" si="9"/>
        <v>0</v>
      </c>
      <c r="I159" s="355"/>
    </row>
    <row r="160" spans="1:9" s="12" customFormat="1" ht="16.5" hidden="1">
      <c r="A160" s="267">
        <f t="shared" si="8"/>
        <v>29</v>
      </c>
      <c r="B160" s="284" t="s">
        <v>40</v>
      </c>
      <c r="C160" s="283">
        <v>2016</v>
      </c>
      <c r="D160" s="267">
        <v>131</v>
      </c>
      <c r="E160" s="355"/>
      <c r="F160" s="355"/>
      <c r="G160" s="355">
        <f t="shared" si="7"/>
        <v>0</v>
      </c>
      <c r="H160" s="355">
        <f t="shared" si="9"/>
        <v>0</v>
      </c>
      <c r="I160" s="355"/>
    </row>
    <row r="161" spans="1:9" s="12" customFormat="1" ht="16.5" hidden="1">
      <c r="A161" s="267">
        <f t="shared" si="8"/>
        <v>30</v>
      </c>
      <c r="B161" s="268" t="s">
        <v>28</v>
      </c>
      <c r="C161" s="283">
        <v>2016</v>
      </c>
      <c r="D161" s="267">
        <f t="shared" ref="D161:D173" si="12">+D160+1</f>
        <v>132</v>
      </c>
      <c r="E161" s="355"/>
      <c r="F161" s="355"/>
      <c r="G161" s="355">
        <f t="shared" si="7"/>
        <v>0</v>
      </c>
      <c r="H161" s="355">
        <f t="shared" si="9"/>
        <v>0</v>
      </c>
      <c r="I161" s="355"/>
    </row>
    <row r="162" spans="1:9" s="12" customFormat="1" ht="16.5" hidden="1">
      <c r="A162" s="267">
        <f t="shared" si="8"/>
        <v>31</v>
      </c>
      <c r="B162" s="268" t="s">
        <v>32</v>
      </c>
      <c r="C162" s="283">
        <v>2016</v>
      </c>
      <c r="D162" s="267">
        <f t="shared" si="12"/>
        <v>133</v>
      </c>
      <c r="E162" s="355"/>
      <c r="F162" s="355"/>
      <c r="G162" s="355">
        <f t="shared" si="7"/>
        <v>0</v>
      </c>
      <c r="H162" s="355">
        <f t="shared" si="9"/>
        <v>0</v>
      </c>
      <c r="I162" s="355"/>
    </row>
    <row r="163" spans="1:9" s="12" customFormat="1" ht="16.5" hidden="1">
      <c r="A163" s="267">
        <f t="shared" si="8"/>
        <v>32</v>
      </c>
      <c r="B163" s="268" t="s">
        <v>111</v>
      </c>
      <c r="C163" s="283">
        <v>2016</v>
      </c>
      <c r="D163" s="267">
        <f t="shared" si="12"/>
        <v>134</v>
      </c>
      <c r="E163" s="355"/>
      <c r="F163" s="355"/>
      <c r="G163" s="355">
        <f t="shared" si="7"/>
        <v>0</v>
      </c>
      <c r="H163" s="355">
        <f t="shared" si="9"/>
        <v>0</v>
      </c>
      <c r="I163" s="355"/>
    </row>
    <row r="164" spans="1:9" s="12" customFormat="1" ht="16.5" hidden="1">
      <c r="A164" s="267">
        <f t="shared" si="8"/>
        <v>33</v>
      </c>
      <c r="B164" s="268" t="s">
        <v>350</v>
      </c>
      <c r="C164" s="283">
        <v>2016</v>
      </c>
      <c r="D164" s="267">
        <f t="shared" si="12"/>
        <v>135</v>
      </c>
      <c r="E164" s="355"/>
      <c r="F164" s="355"/>
      <c r="G164" s="355">
        <f t="shared" si="7"/>
        <v>0</v>
      </c>
      <c r="H164" s="355">
        <f t="shared" si="9"/>
        <v>0</v>
      </c>
      <c r="I164" s="355"/>
    </row>
    <row r="165" spans="1:9" s="12" customFormat="1" ht="16.5" hidden="1">
      <c r="A165" s="267">
        <f t="shared" si="8"/>
        <v>34</v>
      </c>
      <c r="B165" s="269" t="s">
        <v>40</v>
      </c>
      <c r="C165" s="283">
        <v>2016</v>
      </c>
      <c r="D165" s="267">
        <f t="shared" si="12"/>
        <v>136</v>
      </c>
      <c r="E165" s="355"/>
      <c r="F165" s="355"/>
      <c r="G165" s="355">
        <f t="shared" si="7"/>
        <v>0</v>
      </c>
      <c r="H165" s="355">
        <f t="shared" si="9"/>
        <v>0</v>
      </c>
      <c r="I165" s="355"/>
    </row>
    <row r="166" spans="1:9" s="12" customFormat="1" ht="16.5" hidden="1">
      <c r="A166" s="267">
        <f t="shared" si="8"/>
        <v>35</v>
      </c>
      <c r="B166" s="269" t="s">
        <v>28</v>
      </c>
      <c r="C166" s="283">
        <v>2016</v>
      </c>
      <c r="D166" s="267">
        <f t="shared" si="12"/>
        <v>137</v>
      </c>
      <c r="E166" s="355"/>
      <c r="F166" s="355"/>
      <c r="G166" s="355">
        <f t="shared" si="7"/>
        <v>0</v>
      </c>
      <c r="H166" s="355">
        <f t="shared" si="9"/>
        <v>0</v>
      </c>
      <c r="I166" s="355"/>
    </row>
    <row r="167" spans="1:9" s="12" customFormat="1" ht="16.5" hidden="1">
      <c r="A167" s="267">
        <f t="shared" si="8"/>
        <v>36</v>
      </c>
      <c r="B167" s="269" t="s">
        <v>32</v>
      </c>
      <c r="C167" s="283">
        <v>2016</v>
      </c>
      <c r="D167" s="267">
        <f t="shared" si="12"/>
        <v>138</v>
      </c>
      <c r="E167" s="355"/>
      <c r="F167" s="355"/>
      <c r="G167" s="355">
        <f t="shared" si="7"/>
        <v>0</v>
      </c>
      <c r="H167" s="355">
        <f t="shared" si="9"/>
        <v>0</v>
      </c>
      <c r="I167" s="355"/>
    </row>
    <row r="168" spans="1:9" s="12" customFormat="1" ht="16.5" hidden="1">
      <c r="A168" s="267">
        <f t="shared" si="8"/>
        <v>37</v>
      </c>
      <c r="B168" s="269" t="s">
        <v>111</v>
      </c>
      <c r="C168" s="283">
        <v>2016</v>
      </c>
      <c r="D168" s="267">
        <f t="shared" si="12"/>
        <v>139</v>
      </c>
      <c r="E168" s="355"/>
      <c r="F168" s="355"/>
      <c r="G168" s="355">
        <f t="shared" si="7"/>
        <v>0</v>
      </c>
      <c r="H168" s="355">
        <f t="shared" si="9"/>
        <v>0</v>
      </c>
      <c r="I168" s="355"/>
    </row>
    <row r="169" spans="1:9" s="12" customFormat="1" ht="16.5" hidden="1">
      <c r="A169" s="267">
        <f t="shared" si="8"/>
        <v>38</v>
      </c>
      <c r="B169" s="269" t="s">
        <v>350</v>
      </c>
      <c r="C169" s="283">
        <v>2016</v>
      </c>
      <c r="D169" s="267">
        <f t="shared" si="12"/>
        <v>140</v>
      </c>
      <c r="E169" s="355"/>
      <c r="F169" s="355"/>
      <c r="G169" s="355">
        <f t="shared" si="7"/>
        <v>0</v>
      </c>
      <c r="H169" s="355">
        <f t="shared" si="9"/>
        <v>0</v>
      </c>
      <c r="I169" s="355"/>
    </row>
    <row r="170" spans="1:9" s="12" customFormat="1" ht="16.5" hidden="1">
      <c r="A170" s="267">
        <f t="shared" si="8"/>
        <v>39</v>
      </c>
      <c r="B170" s="269" t="s">
        <v>28</v>
      </c>
      <c r="C170" s="283">
        <v>2016</v>
      </c>
      <c r="D170" s="267">
        <f t="shared" si="12"/>
        <v>141</v>
      </c>
      <c r="E170" s="355"/>
      <c r="F170" s="355"/>
      <c r="G170" s="355">
        <f t="shared" si="7"/>
        <v>0</v>
      </c>
      <c r="H170" s="355">
        <f t="shared" si="9"/>
        <v>0</v>
      </c>
      <c r="I170" s="355"/>
    </row>
    <row r="171" spans="1:9" s="12" customFormat="1" ht="16.5" hidden="1">
      <c r="A171" s="267">
        <f t="shared" si="8"/>
        <v>40</v>
      </c>
      <c r="B171" s="269" t="s">
        <v>32</v>
      </c>
      <c r="C171" s="283">
        <v>2016</v>
      </c>
      <c r="D171" s="267">
        <f t="shared" si="12"/>
        <v>142</v>
      </c>
      <c r="E171" s="355"/>
      <c r="F171" s="355"/>
      <c r="G171" s="355">
        <f t="shared" si="7"/>
        <v>0</v>
      </c>
      <c r="H171" s="355">
        <f t="shared" si="9"/>
        <v>0</v>
      </c>
      <c r="I171" s="355"/>
    </row>
    <row r="172" spans="1:9" s="12" customFormat="1" ht="16.5" hidden="1">
      <c r="A172" s="267">
        <f t="shared" si="8"/>
        <v>41</v>
      </c>
      <c r="B172" s="269" t="s">
        <v>111</v>
      </c>
      <c r="C172" s="283">
        <v>2016</v>
      </c>
      <c r="D172" s="267">
        <f t="shared" si="12"/>
        <v>143</v>
      </c>
      <c r="E172" s="355"/>
      <c r="F172" s="355"/>
      <c r="G172" s="355">
        <f t="shared" si="7"/>
        <v>0</v>
      </c>
      <c r="H172" s="355">
        <f t="shared" si="9"/>
        <v>0</v>
      </c>
      <c r="I172" s="355"/>
    </row>
    <row r="173" spans="1:9" s="12" customFormat="1" ht="16.5" hidden="1">
      <c r="A173" s="267">
        <f t="shared" si="8"/>
        <v>42</v>
      </c>
      <c r="B173" s="269" t="s">
        <v>350</v>
      </c>
      <c r="C173" s="283">
        <v>2016</v>
      </c>
      <c r="D173" s="267">
        <f t="shared" si="12"/>
        <v>144</v>
      </c>
      <c r="E173" s="355"/>
      <c r="F173" s="355"/>
      <c r="G173" s="355">
        <f t="shared" si="7"/>
        <v>0</v>
      </c>
      <c r="H173" s="355">
        <f t="shared" si="9"/>
        <v>0</v>
      </c>
      <c r="I173" s="355"/>
    </row>
    <row r="174" spans="1:9" s="12" customFormat="1" ht="16.5">
      <c r="A174" s="267">
        <v>1</v>
      </c>
      <c r="B174" s="269" t="s">
        <v>40</v>
      </c>
      <c r="C174" s="283">
        <v>2016</v>
      </c>
      <c r="D174" s="267">
        <v>222</v>
      </c>
      <c r="E174" s="355">
        <v>8000</v>
      </c>
      <c r="F174" s="355">
        <f t="shared" ref="F174:F206" si="13">+E174*0.6</f>
        <v>4800</v>
      </c>
      <c r="G174" s="355">
        <f t="shared" si="7"/>
        <v>3200</v>
      </c>
      <c r="H174" s="355">
        <f t="shared" si="9"/>
        <v>4</v>
      </c>
      <c r="I174" s="355"/>
    </row>
    <row r="175" spans="1:9" s="12" customFormat="1" ht="16.5">
      <c r="A175" s="267">
        <f t="shared" si="8"/>
        <v>2</v>
      </c>
      <c r="B175" s="269" t="s">
        <v>28</v>
      </c>
      <c r="C175" s="283">
        <v>2016</v>
      </c>
      <c r="D175" s="267">
        <v>223</v>
      </c>
      <c r="E175" s="355">
        <v>84000</v>
      </c>
      <c r="F175" s="355">
        <f t="shared" si="13"/>
        <v>50400</v>
      </c>
      <c r="G175" s="355">
        <f t="shared" si="7"/>
        <v>33600</v>
      </c>
      <c r="H175" s="355">
        <f t="shared" si="9"/>
        <v>42</v>
      </c>
      <c r="I175" s="355"/>
    </row>
    <row r="176" spans="1:9" s="12" customFormat="1" ht="16.5">
      <c r="A176" s="267">
        <f t="shared" si="8"/>
        <v>3</v>
      </c>
      <c r="B176" s="269" t="s">
        <v>111</v>
      </c>
      <c r="C176" s="283">
        <v>2016</v>
      </c>
      <c r="D176" s="267">
        <v>224</v>
      </c>
      <c r="E176" s="355">
        <v>24000</v>
      </c>
      <c r="F176" s="355">
        <f t="shared" si="13"/>
        <v>14400</v>
      </c>
      <c r="G176" s="355">
        <f t="shared" si="7"/>
        <v>9600</v>
      </c>
      <c r="H176" s="355">
        <f t="shared" si="9"/>
        <v>12</v>
      </c>
      <c r="I176" s="355"/>
    </row>
    <row r="177" spans="1:9" s="12" customFormat="1" ht="16.5">
      <c r="A177" s="267">
        <f t="shared" si="8"/>
        <v>4</v>
      </c>
      <c r="B177" s="269" t="s">
        <v>350</v>
      </c>
      <c r="C177" s="283">
        <v>2016</v>
      </c>
      <c r="D177" s="267">
        <v>225</v>
      </c>
      <c r="E177" s="355">
        <v>192000</v>
      </c>
      <c r="F177" s="355">
        <f t="shared" si="13"/>
        <v>115200</v>
      </c>
      <c r="G177" s="355">
        <f t="shared" si="7"/>
        <v>76800</v>
      </c>
      <c r="H177" s="355">
        <f t="shared" si="9"/>
        <v>96</v>
      </c>
      <c r="I177" s="355"/>
    </row>
    <row r="178" spans="1:9" s="12" customFormat="1" ht="16.5">
      <c r="A178" s="267">
        <f t="shared" si="8"/>
        <v>5</v>
      </c>
      <c r="B178" s="269" t="s">
        <v>40</v>
      </c>
      <c r="C178" s="283">
        <v>2016</v>
      </c>
      <c r="D178" s="267">
        <v>226</v>
      </c>
      <c r="E178" s="355">
        <v>40000</v>
      </c>
      <c r="F178" s="355">
        <f t="shared" si="13"/>
        <v>24000</v>
      </c>
      <c r="G178" s="355">
        <f t="shared" si="7"/>
        <v>16000</v>
      </c>
      <c r="H178" s="355">
        <f t="shared" si="9"/>
        <v>20</v>
      </c>
      <c r="I178" s="355"/>
    </row>
    <row r="179" spans="1:9" s="12" customFormat="1" ht="16.5">
      <c r="A179" s="267">
        <f t="shared" si="8"/>
        <v>6</v>
      </c>
      <c r="B179" s="269" t="s">
        <v>28</v>
      </c>
      <c r="C179" s="283">
        <v>2016</v>
      </c>
      <c r="D179" s="267">
        <v>227</v>
      </c>
      <c r="E179" s="355">
        <v>276000</v>
      </c>
      <c r="F179" s="355">
        <f t="shared" si="13"/>
        <v>165600</v>
      </c>
      <c r="G179" s="355">
        <f t="shared" si="7"/>
        <v>110400</v>
      </c>
      <c r="H179" s="355">
        <f t="shared" si="9"/>
        <v>138</v>
      </c>
      <c r="I179" s="355"/>
    </row>
    <row r="180" spans="1:9" s="12" customFormat="1" ht="16.5">
      <c r="A180" s="267">
        <f t="shared" si="8"/>
        <v>7</v>
      </c>
      <c r="B180" s="269" t="s">
        <v>111</v>
      </c>
      <c r="C180" s="283">
        <v>2016</v>
      </c>
      <c r="D180" s="267">
        <v>228</v>
      </c>
      <c r="E180" s="355">
        <v>72000</v>
      </c>
      <c r="F180" s="355">
        <f t="shared" si="13"/>
        <v>43200</v>
      </c>
      <c r="G180" s="355">
        <f t="shared" si="7"/>
        <v>28800</v>
      </c>
      <c r="H180" s="355">
        <f t="shared" si="9"/>
        <v>36</v>
      </c>
      <c r="I180" s="355"/>
    </row>
    <row r="181" spans="1:9" s="12" customFormat="1" ht="16.5">
      <c r="A181" s="267">
        <f t="shared" si="8"/>
        <v>8</v>
      </c>
      <c r="B181" s="269" t="s">
        <v>350</v>
      </c>
      <c r="C181" s="283">
        <v>2016</v>
      </c>
      <c r="D181" s="267">
        <v>229</v>
      </c>
      <c r="E181" s="355">
        <v>556000</v>
      </c>
      <c r="F181" s="355">
        <f t="shared" si="13"/>
        <v>333600</v>
      </c>
      <c r="G181" s="355">
        <f t="shared" si="7"/>
        <v>222400</v>
      </c>
      <c r="H181" s="355">
        <f t="shared" si="9"/>
        <v>278</v>
      </c>
      <c r="I181" s="355"/>
    </row>
    <row r="182" spans="1:9" s="12" customFormat="1" ht="16.5">
      <c r="A182" s="267">
        <f t="shared" si="8"/>
        <v>9</v>
      </c>
      <c r="B182" s="269" t="s">
        <v>40</v>
      </c>
      <c r="C182" s="283">
        <v>2016</v>
      </c>
      <c r="D182" s="267">
        <v>247</v>
      </c>
      <c r="E182" s="355">
        <v>40000</v>
      </c>
      <c r="F182" s="355">
        <f t="shared" si="13"/>
        <v>24000</v>
      </c>
      <c r="G182" s="355">
        <f t="shared" si="7"/>
        <v>16000</v>
      </c>
      <c r="H182" s="355">
        <f t="shared" si="9"/>
        <v>20</v>
      </c>
      <c r="I182" s="355"/>
    </row>
    <row r="183" spans="1:9" s="12" customFormat="1" ht="16.5">
      <c r="A183" s="267">
        <f t="shared" si="8"/>
        <v>10</v>
      </c>
      <c r="B183" s="269" t="s">
        <v>28</v>
      </c>
      <c r="C183" s="283">
        <v>2016</v>
      </c>
      <c r="D183" s="267">
        <v>248</v>
      </c>
      <c r="E183" s="355">
        <v>204000</v>
      </c>
      <c r="F183" s="355">
        <f t="shared" si="13"/>
        <v>122400</v>
      </c>
      <c r="G183" s="355">
        <f t="shared" si="7"/>
        <v>81600</v>
      </c>
      <c r="H183" s="355">
        <f t="shared" si="9"/>
        <v>102</v>
      </c>
      <c r="I183" s="355"/>
    </row>
    <row r="184" spans="1:9" s="12" customFormat="1" ht="16.5">
      <c r="A184" s="267">
        <f t="shared" si="8"/>
        <v>11</v>
      </c>
      <c r="B184" s="269" t="s">
        <v>111</v>
      </c>
      <c r="C184" s="283">
        <v>2016</v>
      </c>
      <c r="D184" s="267">
        <v>249</v>
      </c>
      <c r="E184" s="355">
        <v>72000</v>
      </c>
      <c r="F184" s="355">
        <f t="shared" si="13"/>
        <v>43200</v>
      </c>
      <c r="G184" s="355">
        <f t="shared" si="7"/>
        <v>28800</v>
      </c>
      <c r="H184" s="355">
        <f t="shared" si="9"/>
        <v>36</v>
      </c>
      <c r="I184" s="355"/>
    </row>
    <row r="185" spans="1:9" s="12" customFormat="1" ht="16.5">
      <c r="A185" s="267">
        <f t="shared" si="8"/>
        <v>12</v>
      </c>
      <c r="B185" s="269" t="s">
        <v>40</v>
      </c>
      <c r="C185" s="283">
        <v>2016</v>
      </c>
      <c r="D185" s="267">
        <v>250</v>
      </c>
      <c r="E185" s="355">
        <v>32000</v>
      </c>
      <c r="F185" s="355">
        <f t="shared" si="13"/>
        <v>19200</v>
      </c>
      <c r="G185" s="355">
        <f t="shared" si="7"/>
        <v>12800</v>
      </c>
      <c r="H185" s="355">
        <f t="shared" si="9"/>
        <v>16</v>
      </c>
      <c r="I185" s="355"/>
    </row>
    <row r="186" spans="1:9" s="12" customFormat="1" ht="16.5">
      <c r="A186" s="267">
        <f t="shared" si="8"/>
        <v>13</v>
      </c>
      <c r="B186" s="269" t="s">
        <v>28</v>
      </c>
      <c r="C186" s="283">
        <v>2016</v>
      </c>
      <c r="D186" s="267">
        <v>251</v>
      </c>
      <c r="E186" s="355">
        <v>144000</v>
      </c>
      <c r="F186" s="355">
        <f t="shared" si="13"/>
        <v>86400</v>
      </c>
      <c r="G186" s="355">
        <f t="shared" si="7"/>
        <v>57600</v>
      </c>
      <c r="H186" s="355">
        <f t="shared" si="9"/>
        <v>72</v>
      </c>
      <c r="I186" s="355"/>
    </row>
    <row r="187" spans="1:9" s="12" customFormat="1" ht="16.5">
      <c r="A187" s="267">
        <v>15</v>
      </c>
      <c r="B187" s="269" t="s">
        <v>40</v>
      </c>
      <c r="C187" s="283">
        <v>2016</v>
      </c>
      <c r="D187" s="267">
        <v>252</v>
      </c>
      <c r="E187" s="355">
        <v>16000</v>
      </c>
      <c r="F187" s="355">
        <f t="shared" si="13"/>
        <v>9600</v>
      </c>
      <c r="G187" s="355">
        <f t="shared" si="7"/>
        <v>6400</v>
      </c>
      <c r="H187" s="355">
        <f t="shared" si="9"/>
        <v>8</v>
      </c>
      <c r="I187" s="355"/>
    </row>
    <row r="188" spans="1:9" s="12" customFormat="1" ht="16.5">
      <c r="A188" s="267">
        <v>16</v>
      </c>
      <c r="B188" s="269" t="s">
        <v>28</v>
      </c>
      <c r="C188" s="283">
        <v>2016</v>
      </c>
      <c r="D188" s="267">
        <v>253</v>
      </c>
      <c r="E188" s="355">
        <v>72000</v>
      </c>
      <c r="F188" s="355">
        <f t="shared" si="13"/>
        <v>43200</v>
      </c>
      <c r="G188" s="355">
        <f t="shared" si="7"/>
        <v>28800</v>
      </c>
      <c r="H188" s="355">
        <f t="shared" si="9"/>
        <v>36</v>
      </c>
      <c r="I188" s="355"/>
    </row>
    <row r="189" spans="1:9" s="12" customFormat="1" ht="16.5">
      <c r="A189" s="267">
        <v>17</v>
      </c>
      <c r="B189" s="269" t="s">
        <v>111</v>
      </c>
      <c r="C189" s="283">
        <v>2016</v>
      </c>
      <c r="D189" s="267">
        <v>254</v>
      </c>
      <c r="E189" s="355">
        <v>32000</v>
      </c>
      <c r="F189" s="355">
        <f t="shared" si="13"/>
        <v>19200</v>
      </c>
      <c r="G189" s="355">
        <f t="shared" si="7"/>
        <v>12800</v>
      </c>
      <c r="H189" s="355">
        <f t="shared" si="9"/>
        <v>16</v>
      </c>
      <c r="I189" s="355"/>
    </row>
    <row r="190" spans="1:9" s="12" customFormat="1" ht="16.5">
      <c r="A190" s="267">
        <v>18</v>
      </c>
      <c r="B190" s="269" t="s">
        <v>111</v>
      </c>
      <c r="C190" s="283">
        <v>2016</v>
      </c>
      <c r="D190" s="267">
        <v>255</v>
      </c>
      <c r="E190" s="355">
        <v>16000</v>
      </c>
      <c r="F190" s="355">
        <f t="shared" si="13"/>
        <v>9600</v>
      </c>
      <c r="G190" s="355">
        <f t="shared" si="7"/>
        <v>6400</v>
      </c>
      <c r="H190" s="355">
        <f t="shared" si="9"/>
        <v>8</v>
      </c>
      <c r="I190" s="355"/>
    </row>
    <row r="191" spans="1:9" s="12" customFormat="1" ht="16.5">
      <c r="A191" s="267">
        <v>19</v>
      </c>
      <c r="B191" s="269" t="s">
        <v>350</v>
      </c>
      <c r="C191" s="283">
        <v>2016</v>
      </c>
      <c r="D191" s="267">
        <v>276</v>
      </c>
      <c r="E191" s="355">
        <v>138000</v>
      </c>
      <c r="F191" s="355">
        <f t="shared" si="13"/>
        <v>82800</v>
      </c>
      <c r="G191" s="355">
        <f t="shared" si="7"/>
        <v>55200</v>
      </c>
      <c r="H191" s="355">
        <f t="shared" si="9"/>
        <v>69</v>
      </c>
      <c r="I191" s="355"/>
    </row>
    <row r="192" spans="1:9" s="12" customFormat="1" ht="16.5">
      <c r="A192" s="267">
        <f t="shared" si="8"/>
        <v>20</v>
      </c>
      <c r="B192" s="269" t="s">
        <v>350</v>
      </c>
      <c r="C192" s="283">
        <v>2016</v>
      </c>
      <c r="D192" s="267">
        <v>277</v>
      </c>
      <c r="E192" s="355">
        <v>351000</v>
      </c>
      <c r="F192" s="355">
        <f t="shared" si="13"/>
        <v>210600</v>
      </c>
      <c r="G192" s="355">
        <f t="shared" si="7"/>
        <v>140400</v>
      </c>
      <c r="H192" s="355">
        <f t="shared" si="9"/>
        <v>175.5</v>
      </c>
      <c r="I192" s="355"/>
    </row>
    <row r="193" spans="1:9" s="12" customFormat="1" ht="16.5">
      <c r="A193" s="267">
        <f t="shared" si="8"/>
        <v>21</v>
      </c>
      <c r="B193" s="269" t="s">
        <v>350</v>
      </c>
      <c r="C193" s="283">
        <v>2016</v>
      </c>
      <c r="D193" s="267">
        <v>278</v>
      </c>
      <c r="E193" s="355">
        <v>213000</v>
      </c>
      <c r="F193" s="355">
        <f t="shared" si="13"/>
        <v>127800</v>
      </c>
      <c r="G193" s="355">
        <f t="shared" si="7"/>
        <v>85200</v>
      </c>
      <c r="H193" s="355">
        <f t="shared" si="9"/>
        <v>106.5</v>
      </c>
      <c r="I193" s="355"/>
    </row>
    <row r="194" spans="1:9" s="12" customFormat="1" ht="16.5">
      <c r="A194" s="267">
        <f t="shared" si="8"/>
        <v>22</v>
      </c>
      <c r="B194" s="269" t="s">
        <v>350</v>
      </c>
      <c r="C194" s="283">
        <v>2016</v>
      </c>
      <c r="D194" s="267">
        <v>279</v>
      </c>
      <c r="E194" s="355">
        <v>165000</v>
      </c>
      <c r="F194" s="355">
        <f t="shared" si="13"/>
        <v>99000</v>
      </c>
      <c r="G194" s="355">
        <f t="shared" si="7"/>
        <v>66000</v>
      </c>
      <c r="H194" s="355">
        <f t="shared" si="9"/>
        <v>82.5</v>
      </c>
      <c r="I194" s="355"/>
    </row>
    <row r="195" spans="1:9" s="12" customFormat="1" ht="16.5">
      <c r="A195" s="267">
        <f t="shared" si="8"/>
        <v>23</v>
      </c>
      <c r="B195" s="269" t="s">
        <v>350</v>
      </c>
      <c r="C195" s="283">
        <v>2016</v>
      </c>
      <c r="D195" s="267">
        <v>280</v>
      </c>
      <c r="E195" s="355">
        <v>159000</v>
      </c>
      <c r="F195" s="355">
        <f t="shared" si="13"/>
        <v>95400</v>
      </c>
      <c r="G195" s="355">
        <f t="shared" ref="G195:G206" si="14">+E195*0.4</f>
        <v>63600</v>
      </c>
      <c r="H195" s="355">
        <f t="shared" si="9"/>
        <v>79.5</v>
      </c>
      <c r="I195" s="355"/>
    </row>
    <row r="196" spans="1:9" s="12" customFormat="1" ht="16.5">
      <c r="A196" s="267">
        <f t="shared" ref="A196:A206" si="15">+A195+1</f>
        <v>24</v>
      </c>
      <c r="B196" s="269" t="s">
        <v>40</v>
      </c>
      <c r="C196" s="283">
        <v>2016</v>
      </c>
      <c r="D196" s="267">
        <v>282</v>
      </c>
      <c r="E196" s="355">
        <v>6000</v>
      </c>
      <c r="F196" s="355">
        <f t="shared" si="13"/>
        <v>3600</v>
      </c>
      <c r="G196" s="355">
        <f t="shared" si="14"/>
        <v>2400</v>
      </c>
      <c r="H196" s="355">
        <f t="shared" ref="H196:H206" si="16">+E196/2000</f>
        <v>3</v>
      </c>
      <c r="I196" s="355"/>
    </row>
    <row r="197" spans="1:9" s="12" customFormat="1" ht="16.5">
      <c r="A197" s="267">
        <f t="shared" si="15"/>
        <v>25</v>
      </c>
      <c r="B197" s="269" t="s">
        <v>40</v>
      </c>
      <c r="C197" s="283">
        <v>2016</v>
      </c>
      <c r="D197" s="267">
        <v>283</v>
      </c>
      <c r="E197" s="355">
        <v>30000</v>
      </c>
      <c r="F197" s="355">
        <f t="shared" si="13"/>
        <v>18000</v>
      </c>
      <c r="G197" s="355">
        <f t="shared" si="14"/>
        <v>12000</v>
      </c>
      <c r="H197" s="355">
        <f t="shared" si="16"/>
        <v>15</v>
      </c>
      <c r="I197" s="355"/>
    </row>
    <row r="198" spans="1:9" s="12" customFormat="1" ht="16.5">
      <c r="A198" s="267">
        <f t="shared" si="15"/>
        <v>26</v>
      </c>
      <c r="B198" s="269" t="s">
        <v>40</v>
      </c>
      <c r="C198" s="283">
        <v>2016</v>
      </c>
      <c r="D198" s="267">
        <v>284</v>
      </c>
      <c r="E198" s="355">
        <v>30000</v>
      </c>
      <c r="F198" s="355">
        <f t="shared" si="13"/>
        <v>18000</v>
      </c>
      <c r="G198" s="355">
        <f t="shared" si="14"/>
        <v>12000</v>
      </c>
      <c r="H198" s="355">
        <f t="shared" si="16"/>
        <v>15</v>
      </c>
      <c r="I198" s="355"/>
    </row>
    <row r="199" spans="1:9" s="12" customFormat="1" ht="16.5">
      <c r="A199" s="267">
        <f t="shared" si="15"/>
        <v>27</v>
      </c>
      <c r="B199" s="269" t="s">
        <v>40</v>
      </c>
      <c r="C199" s="283">
        <v>2016</v>
      </c>
      <c r="D199" s="267">
        <v>316</v>
      </c>
      <c r="E199" s="355">
        <v>30000</v>
      </c>
      <c r="F199" s="355">
        <f t="shared" si="13"/>
        <v>18000</v>
      </c>
      <c r="G199" s="355">
        <f t="shared" si="14"/>
        <v>12000</v>
      </c>
      <c r="H199" s="355">
        <f t="shared" si="16"/>
        <v>15</v>
      </c>
      <c r="I199" s="355"/>
    </row>
    <row r="200" spans="1:9" s="12" customFormat="1" ht="16.5">
      <c r="A200" s="267">
        <f t="shared" si="15"/>
        <v>28</v>
      </c>
      <c r="B200" s="269" t="s">
        <v>28</v>
      </c>
      <c r="C200" s="283">
        <v>2016</v>
      </c>
      <c r="D200" s="267">
        <v>317</v>
      </c>
      <c r="E200" s="355">
        <v>129000</v>
      </c>
      <c r="F200" s="355">
        <f t="shared" si="13"/>
        <v>77400</v>
      </c>
      <c r="G200" s="355">
        <f t="shared" si="14"/>
        <v>51600</v>
      </c>
      <c r="H200" s="355">
        <f t="shared" si="16"/>
        <v>64.5</v>
      </c>
      <c r="I200" s="355"/>
    </row>
    <row r="201" spans="1:9" s="12" customFormat="1" ht="16.5">
      <c r="A201" s="267">
        <f t="shared" si="15"/>
        <v>29</v>
      </c>
      <c r="B201" s="269" t="s">
        <v>111</v>
      </c>
      <c r="C201" s="283">
        <v>2016</v>
      </c>
      <c r="D201" s="267">
        <v>318</v>
      </c>
      <c r="E201" s="355">
        <v>24000</v>
      </c>
      <c r="F201" s="355">
        <f t="shared" si="13"/>
        <v>14400</v>
      </c>
      <c r="G201" s="355">
        <f t="shared" si="14"/>
        <v>9600</v>
      </c>
      <c r="H201" s="355">
        <f t="shared" si="16"/>
        <v>12</v>
      </c>
      <c r="I201" s="355"/>
    </row>
    <row r="202" spans="1:9" s="12" customFormat="1" ht="16.5">
      <c r="A202" s="267">
        <f t="shared" si="15"/>
        <v>30</v>
      </c>
      <c r="B202" s="269" t="s">
        <v>350</v>
      </c>
      <c r="C202" s="283">
        <v>2016</v>
      </c>
      <c r="D202" s="267">
        <v>319</v>
      </c>
      <c r="E202" s="355">
        <v>255000</v>
      </c>
      <c r="F202" s="355">
        <f t="shared" si="13"/>
        <v>153000</v>
      </c>
      <c r="G202" s="355">
        <f t="shared" si="14"/>
        <v>102000</v>
      </c>
      <c r="H202" s="355">
        <f t="shared" si="16"/>
        <v>127.5</v>
      </c>
      <c r="I202" s="355"/>
    </row>
    <row r="203" spans="1:9" s="12" customFormat="1" ht="16.5">
      <c r="A203" s="267">
        <f t="shared" si="15"/>
        <v>31</v>
      </c>
      <c r="B203" s="269" t="s">
        <v>40</v>
      </c>
      <c r="C203" s="283">
        <v>2016</v>
      </c>
      <c r="D203" s="267">
        <v>320</v>
      </c>
      <c r="E203" s="355">
        <v>12000</v>
      </c>
      <c r="F203" s="355">
        <f t="shared" si="13"/>
        <v>7200</v>
      </c>
      <c r="G203" s="355">
        <f t="shared" si="14"/>
        <v>4800</v>
      </c>
      <c r="H203" s="355">
        <f t="shared" si="16"/>
        <v>6</v>
      </c>
      <c r="I203" s="355"/>
    </row>
    <row r="204" spans="1:9" s="12" customFormat="1" ht="16.5">
      <c r="A204" s="267">
        <f t="shared" si="15"/>
        <v>32</v>
      </c>
      <c r="B204" s="269" t="s">
        <v>28</v>
      </c>
      <c r="C204" s="283">
        <v>2016</v>
      </c>
      <c r="D204" s="267">
        <v>321</v>
      </c>
      <c r="E204" s="355">
        <v>102000</v>
      </c>
      <c r="F204" s="355">
        <f t="shared" si="13"/>
        <v>61200</v>
      </c>
      <c r="G204" s="355">
        <f t="shared" si="14"/>
        <v>40800</v>
      </c>
      <c r="H204" s="355">
        <f t="shared" si="16"/>
        <v>51</v>
      </c>
      <c r="I204" s="355"/>
    </row>
    <row r="205" spans="1:9" s="12" customFormat="1" ht="16.5">
      <c r="A205" s="267">
        <f t="shared" si="15"/>
        <v>33</v>
      </c>
      <c r="B205" s="269" t="s">
        <v>111</v>
      </c>
      <c r="C205" s="283">
        <v>2016</v>
      </c>
      <c r="D205" s="267">
        <v>322</v>
      </c>
      <c r="E205" s="355">
        <v>24000</v>
      </c>
      <c r="F205" s="355">
        <f t="shared" si="13"/>
        <v>14400</v>
      </c>
      <c r="G205" s="355">
        <f t="shared" si="14"/>
        <v>9600</v>
      </c>
      <c r="H205" s="355">
        <f t="shared" si="16"/>
        <v>12</v>
      </c>
      <c r="I205" s="355"/>
    </row>
    <row r="206" spans="1:9" s="12" customFormat="1" ht="17.25" thickBot="1">
      <c r="A206" s="267">
        <f t="shared" si="15"/>
        <v>34</v>
      </c>
      <c r="B206" s="269" t="s">
        <v>350</v>
      </c>
      <c r="C206" s="283">
        <v>2016</v>
      </c>
      <c r="D206" s="267">
        <f>+D205+1</f>
        <v>323</v>
      </c>
      <c r="E206" s="355">
        <v>243000</v>
      </c>
      <c r="F206" s="355">
        <f t="shared" si="13"/>
        <v>145800</v>
      </c>
      <c r="G206" s="355">
        <f t="shared" si="14"/>
        <v>97200</v>
      </c>
      <c r="H206" s="355">
        <f t="shared" si="16"/>
        <v>121.5</v>
      </c>
      <c r="I206" s="355"/>
    </row>
    <row r="207" spans="1:9" s="12" customFormat="1" ht="17.25" thickBot="1">
      <c r="A207" s="267"/>
      <c r="B207" s="270"/>
      <c r="C207" s="271"/>
      <c r="D207" s="271"/>
      <c r="E207" s="272">
        <f>SUM(E132:E206)</f>
        <v>3791000</v>
      </c>
      <c r="F207" s="272">
        <f>SUM(F132:F206)</f>
        <v>2274600</v>
      </c>
      <c r="G207" s="272">
        <f>SUM(G132:G206)</f>
        <v>1516400</v>
      </c>
      <c r="H207" s="273">
        <f>SUM(H137:H206)</f>
        <v>1895.5</v>
      </c>
      <c r="I207" s="355"/>
    </row>
    <row r="208" spans="1:9" s="12" customFormat="1" ht="17.25" thickBot="1">
      <c r="A208" s="267"/>
      <c r="B208" s="266"/>
      <c r="I208" s="355"/>
    </row>
    <row r="209" spans="1:9" s="12" customFormat="1" ht="50.25" thickBot="1">
      <c r="A209" s="357" t="s">
        <v>631</v>
      </c>
      <c r="B209" s="275" t="s">
        <v>125</v>
      </c>
      <c r="C209" s="111" t="s">
        <v>126</v>
      </c>
      <c r="D209" s="111" t="s">
        <v>127</v>
      </c>
      <c r="E209" s="112" t="s">
        <v>128</v>
      </c>
      <c r="F209" s="112" t="s">
        <v>129</v>
      </c>
      <c r="G209" s="112" t="s">
        <v>130</v>
      </c>
      <c r="H209" s="113" t="s">
        <v>131</v>
      </c>
      <c r="I209" s="274"/>
    </row>
    <row r="210" spans="1:9" s="12" customFormat="1" ht="17.25" thickBot="1">
      <c r="A210" s="227"/>
      <c r="B210" s="276" t="s">
        <v>132</v>
      </c>
      <c r="C210" s="354">
        <v>2016</v>
      </c>
      <c r="D210" s="277"/>
      <c r="E210" s="278"/>
      <c r="F210" s="278"/>
      <c r="G210" s="278"/>
      <c r="H210" s="355">
        <f>+E210/2000</f>
        <v>0</v>
      </c>
    </row>
    <row r="211" spans="1:9" s="12" customFormat="1" ht="17.25" thickBot="1">
      <c r="A211" s="358" t="s">
        <v>124</v>
      </c>
      <c r="B211" s="279" t="s">
        <v>136</v>
      </c>
      <c r="C211" s="267">
        <v>2016</v>
      </c>
      <c r="D211" s="267">
        <v>33</v>
      </c>
      <c r="E211" s="355">
        <f>+E207</f>
        <v>3791000</v>
      </c>
      <c r="F211" s="355">
        <f>+E211*0.6</f>
        <v>2274600</v>
      </c>
      <c r="G211" s="355">
        <f>+E211*0.4</f>
        <v>1516400</v>
      </c>
      <c r="H211" s="355">
        <f>+H207</f>
        <v>1895.5</v>
      </c>
      <c r="I211" s="114" t="s">
        <v>135</v>
      </c>
    </row>
    <row r="212" spans="1:9" s="12" customFormat="1" ht="16.5" hidden="1">
      <c r="A212" s="354">
        <v>1</v>
      </c>
      <c r="B212" s="279" t="s">
        <v>138</v>
      </c>
      <c r="C212" s="267"/>
      <c r="D212" s="267"/>
      <c r="E212" s="355"/>
      <c r="F212" s="280"/>
      <c r="G212" s="355"/>
      <c r="H212" s="355"/>
      <c r="I212" s="278"/>
    </row>
    <row r="213" spans="1:9" s="12" customFormat="1" ht="16.5">
      <c r="A213" s="267">
        <v>2</v>
      </c>
      <c r="B213" s="281" t="s">
        <v>139</v>
      </c>
      <c r="C213" s="281" t="s">
        <v>139</v>
      </c>
      <c r="D213" s="356">
        <f>SUM(D210:D212)</f>
        <v>33</v>
      </c>
      <c r="E213" s="280">
        <f>SUM(E210:E212)</f>
        <v>3791000</v>
      </c>
      <c r="F213" s="280">
        <f>SUM(F210:F212)</f>
        <v>2274600</v>
      </c>
      <c r="G213" s="280">
        <f>SUM(G210:G212)</f>
        <v>1516400</v>
      </c>
      <c r="H213" s="280">
        <f>SUM(H210:H212)</f>
        <v>1895.5</v>
      </c>
      <c r="I213" s="355"/>
    </row>
    <row r="214" spans="1:9" s="12" customFormat="1" ht="16.5" hidden="1">
      <c r="A214" s="267">
        <v>3</v>
      </c>
      <c r="B214" s="266"/>
      <c r="I214" s="355"/>
    </row>
    <row r="215" spans="1:9" s="12" customFormat="1" ht="16.5">
      <c r="A215" s="281"/>
      <c r="B215" s="282"/>
      <c r="I215" s="280"/>
    </row>
    <row r="216" spans="1:9" s="12" customFormat="1" ht="16.5">
      <c r="A216" s="282" t="s">
        <v>1213</v>
      </c>
      <c r="B216" s="266"/>
    </row>
    <row r="217" spans="1:9" s="12" customFormat="1" ht="16.5">
      <c r="A217" s="295" t="s">
        <v>1214</v>
      </c>
      <c r="B217" s="282"/>
    </row>
    <row r="218" spans="1:9" s="12" customFormat="1" ht="16.5">
      <c r="A218" s="186" t="s">
        <v>1215</v>
      </c>
      <c r="B218" s="266"/>
    </row>
    <row r="219" spans="1:9" s="12" customFormat="1" ht="16.5">
      <c r="B219" s="266"/>
      <c r="G219" s="266" t="s">
        <v>114</v>
      </c>
    </row>
    <row r="220" spans="1:9" s="12" customFormat="1" ht="16.5">
      <c r="B220" s="167" t="s">
        <v>1211</v>
      </c>
      <c r="D220" s="30" t="s">
        <v>1212</v>
      </c>
    </row>
    <row r="221" spans="1:9" s="12" customFormat="1" ht="16.5">
      <c r="B221" s="266"/>
    </row>
    <row r="222" spans="1:9" s="12" customFormat="1" ht="16.5">
      <c r="B222" s="266"/>
      <c r="F222" s="30"/>
      <c r="G222" s="30"/>
    </row>
    <row r="223" spans="1:9" s="12" customFormat="1" ht="16.5">
      <c r="B223" s="266"/>
      <c r="F223" s="30" t="s">
        <v>263</v>
      </c>
    </row>
    <row r="224" spans="1:9" ht="16.5">
      <c r="F224" s="30"/>
    </row>
    <row r="225" spans="6:7" ht="16.5">
      <c r="F225" s="30"/>
    </row>
    <row r="227" spans="6:7" ht="16.5">
      <c r="F227" s="605" t="s">
        <v>23</v>
      </c>
      <c r="G227" s="605"/>
    </row>
  </sheetData>
  <mergeCells count="4">
    <mergeCell ref="B1:I1"/>
    <mergeCell ref="A3:H3"/>
    <mergeCell ref="F111:G111"/>
    <mergeCell ref="F227:G227"/>
  </mergeCells>
  <pageMargins left="0.51041666666666663" right="1.4166666666666667" top="0.75" bottom="0.47916666666666669" header="0.3" footer="0.3"/>
  <pageSetup paperSize="9" orientation="landscape" r:id="rId1"/>
  <headerFooter>
    <oddHeader>&amp;C&amp;"Times New Roman,Gras"&amp;13           Agence pour la Sécurité de la Navigation Aérienne en Afrique et à Madagascar                                        Délégation aux Activités Aéronautiques Nationales du Gabon</oddHeader>
    <oddFooter xml:space="preserve">&amp;C&amp;"Times New Roman,Gras"&amp;9AGF-Unite Budget -Facturation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25"/>
  <sheetViews>
    <sheetView topLeftCell="H509" zoomScaleNormal="100" workbookViewId="0">
      <selection activeCell="H472" sqref="H472:H473"/>
    </sheetView>
  </sheetViews>
  <sheetFormatPr baseColWidth="10" defaultRowHeight="15"/>
  <cols>
    <col min="1" max="1" width="13.28515625" style="51" hidden="1" customWidth="1"/>
    <col min="2" max="2" width="21.140625" style="51" hidden="1" customWidth="1"/>
    <col min="3" max="3" width="19.7109375" style="51" hidden="1" customWidth="1"/>
    <col min="4" max="4" width="19.140625" style="51" hidden="1" customWidth="1"/>
    <col min="5" max="5" width="18.28515625" style="51" hidden="1" customWidth="1"/>
    <col min="6" max="6" width="22.140625" style="51" hidden="1" customWidth="1"/>
    <col min="7" max="7" width="0.28515625" style="51" hidden="1" customWidth="1"/>
    <col min="8" max="8" width="12.5703125" style="51" customWidth="1"/>
    <col min="9" max="9" width="20.42578125" style="51" customWidth="1"/>
    <col min="10" max="10" width="18" style="51" customWidth="1"/>
    <col min="11" max="11" width="22.5703125" style="51" customWidth="1"/>
    <col min="12" max="12" width="14.140625" style="51" customWidth="1"/>
    <col min="13" max="13" width="22" style="51" customWidth="1"/>
    <col min="14" max="14" width="5.7109375" style="51" customWidth="1"/>
    <col min="15" max="15" width="15.5703125" style="51" customWidth="1"/>
    <col min="16" max="16" width="11.42578125" style="51"/>
    <col min="17" max="17" width="14.140625" style="51" bestFit="1" customWidth="1"/>
    <col min="18" max="18" width="12.85546875" style="51" customWidth="1"/>
    <col min="19" max="16384" width="11.42578125" style="51"/>
  </cols>
  <sheetData>
    <row r="1" spans="1:15" ht="14.25" customHeight="1">
      <c r="A1" s="49" t="s">
        <v>88</v>
      </c>
      <c r="B1" s="50"/>
      <c r="H1" s="49" t="s">
        <v>88</v>
      </c>
      <c r="I1" s="50"/>
    </row>
    <row r="2" spans="1:15">
      <c r="A2" s="51" t="s">
        <v>89</v>
      </c>
      <c r="H2" s="51" t="s">
        <v>89</v>
      </c>
    </row>
    <row r="3" spans="1:15">
      <c r="A3" s="51" t="s">
        <v>90</v>
      </c>
      <c r="H3" s="51" t="s">
        <v>90</v>
      </c>
    </row>
    <row r="4" spans="1:15">
      <c r="A4" s="51" t="s">
        <v>91</v>
      </c>
      <c r="H4" s="51" t="s">
        <v>91</v>
      </c>
    </row>
    <row r="5" spans="1:15" ht="5.25" customHeight="1">
      <c r="A5" s="50"/>
      <c r="B5" s="50"/>
      <c r="H5" s="50"/>
      <c r="I5" s="50"/>
    </row>
    <row r="6" spans="1:15" ht="16.5">
      <c r="A6" s="52" t="s">
        <v>172</v>
      </c>
      <c r="G6" s="52"/>
      <c r="H6" s="52" t="s">
        <v>571</v>
      </c>
      <c r="N6" s="52"/>
    </row>
    <row r="7" spans="1:15" ht="15.75">
      <c r="A7" s="53" t="s">
        <v>92</v>
      </c>
      <c r="G7" s="53"/>
      <c r="H7" s="53" t="s">
        <v>2754</v>
      </c>
      <c r="N7" s="53"/>
    </row>
    <row r="8" spans="1:15" ht="17.25" customHeight="1">
      <c r="A8" s="894" t="s">
        <v>93</v>
      </c>
      <c r="B8" s="894"/>
      <c r="C8" s="894"/>
      <c r="D8" s="894"/>
      <c r="E8" s="894"/>
      <c r="F8" s="894"/>
      <c r="G8" s="894"/>
      <c r="H8" s="894" t="s">
        <v>903</v>
      </c>
      <c r="I8" s="894"/>
      <c r="J8" s="894"/>
      <c r="K8" s="894"/>
      <c r="L8" s="894"/>
      <c r="M8" s="894"/>
      <c r="N8" s="894"/>
      <c r="O8" s="894"/>
    </row>
    <row r="9" spans="1:15" ht="3.75" customHeight="1" thickBot="1">
      <c r="A9" s="538"/>
      <c r="B9" s="538"/>
      <c r="C9" s="538"/>
      <c r="D9" s="538"/>
      <c r="E9" s="538"/>
      <c r="F9" s="538"/>
      <c r="G9" s="538"/>
      <c r="H9" s="538"/>
      <c r="I9" s="538"/>
      <c r="J9" s="538"/>
      <c r="K9" s="538"/>
      <c r="L9" s="538"/>
      <c r="M9" s="538"/>
      <c r="N9" s="538"/>
      <c r="O9" s="538"/>
    </row>
    <row r="10" spans="1:15">
      <c r="A10" s="895" t="s">
        <v>94</v>
      </c>
      <c r="B10" s="897" t="s">
        <v>95</v>
      </c>
      <c r="C10" s="897" t="s">
        <v>96</v>
      </c>
      <c r="D10" s="897" t="s">
        <v>3</v>
      </c>
      <c r="E10" s="897" t="s">
        <v>97</v>
      </c>
      <c r="F10" s="897" t="s">
        <v>98</v>
      </c>
      <c r="G10" s="500" t="s">
        <v>99</v>
      </c>
      <c r="H10" s="895" t="s">
        <v>94</v>
      </c>
      <c r="I10" s="897" t="s">
        <v>95</v>
      </c>
      <c r="J10" s="897" t="s">
        <v>96</v>
      </c>
      <c r="K10" s="897" t="s">
        <v>3</v>
      </c>
      <c r="L10" s="897" t="s">
        <v>97</v>
      </c>
      <c r="M10" s="897" t="s">
        <v>98</v>
      </c>
      <c r="N10" s="897" t="s">
        <v>99</v>
      </c>
      <c r="O10" s="899"/>
    </row>
    <row r="11" spans="1:15" ht="15.75" thickBot="1">
      <c r="A11" s="896"/>
      <c r="B11" s="898"/>
      <c r="C11" s="898"/>
      <c r="D11" s="898"/>
      <c r="E11" s="898"/>
      <c r="F11" s="898"/>
      <c r="G11" s="240" t="s">
        <v>100</v>
      </c>
      <c r="H11" s="896"/>
      <c r="I11" s="898"/>
      <c r="J11" s="898"/>
      <c r="K11" s="898"/>
      <c r="L11" s="898"/>
      <c r="M11" s="898"/>
      <c r="N11" s="240" t="s">
        <v>100</v>
      </c>
      <c r="O11" s="182" t="s">
        <v>101</v>
      </c>
    </row>
    <row r="12" spans="1:15" ht="12" customHeight="1">
      <c r="A12" s="881">
        <v>237</v>
      </c>
      <c r="B12" s="875">
        <v>42228</v>
      </c>
      <c r="C12" s="942" t="s">
        <v>31</v>
      </c>
      <c r="D12" s="881" t="s">
        <v>174</v>
      </c>
      <c r="E12" s="881" t="s">
        <v>115</v>
      </c>
      <c r="F12" s="883">
        <v>120000</v>
      </c>
      <c r="G12" s="55">
        <v>719</v>
      </c>
      <c r="H12" s="873" t="s">
        <v>2291</v>
      </c>
      <c r="I12" s="875">
        <v>45825</v>
      </c>
      <c r="J12" s="877" t="s">
        <v>1079</v>
      </c>
      <c r="K12" s="881" t="s">
        <v>2806</v>
      </c>
      <c r="L12" s="881" t="s">
        <v>148</v>
      </c>
      <c r="M12" s="883">
        <v>46252500</v>
      </c>
      <c r="N12" s="55">
        <v>719</v>
      </c>
      <c r="O12" s="78"/>
    </row>
    <row r="13" spans="1:15" ht="14.25" customHeight="1" thickBot="1">
      <c r="A13" s="882"/>
      <c r="B13" s="934"/>
      <c r="C13" s="943"/>
      <c r="D13" s="882"/>
      <c r="E13" s="882"/>
      <c r="F13" s="884"/>
      <c r="G13" s="56">
        <v>721</v>
      </c>
      <c r="H13" s="874"/>
      <c r="I13" s="876"/>
      <c r="J13" s="878"/>
      <c r="K13" s="882"/>
      <c r="L13" s="882"/>
      <c r="M13" s="884"/>
      <c r="N13" s="56">
        <v>723</v>
      </c>
      <c r="O13" s="79">
        <f>+M12-O12</f>
        <v>46252500</v>
      </c>
    </row>
    <row r="14" spans="1:15" ht="12.75" customHeight="1">
      <c r="A14" s="881">
        <f>+A12+1</f>
        <v>238</v>
      </c>
      <c r="B14" s="875">
        <v>42228</v>
      </c>
      <c r="C14" s="935" t="s">
        <v>28</v>
      </c>
      <c r="D14" s="881" t="s">
        <v>175</v>
      </c>
      <c r="E14" s="881" t="s">
        <v>115</v>
      </c>
      <c r="F14" s="883">
        <v>90000</v>
      </c>
      <c r="G14" s="55">
        <v>719</v>
      </c>
      <c r="H14" s="873" t="s">
        <v>2292</v>
      </c>
      <c r="I14" s="875">
        <v>45825</v>
      </c>
      <c r="J14" s="877" t="s">
        <v>1921</v>
      </c>
      <c r="K14" s="881" t="s">
        <v>2806</v>
      </c>
      <c r="L14" s="881" t="s">
        <v>148</v>
      </c>
      <c r="M14" s="883">
        <v>14875000</v>
      </c>
      <c r="N14" s="55">
        <v>719</v>
      </c>
      <c r="O14" s="78"/>
    </row>
    <row r="15" spans="1:15" ht="14.25" customHeight="1" thickBot="1">
      <c r="A15" s="882"/>
      <c r="B15" s="876"/>
      <c r="C15" s="936"/>
      <c r="D15" s="882"/>
      <c r="E15" s="882"/>
      <c r="F15" s="884"/>
      <c r="G15" s="56">
        <v>721</v>
      </c>
      <c r="H15" s="874"/>
      <c r="I15" s="876"/>
      <c r="J15" s="878"/>
      <c r="K15" s="882"/>
      <c r="L15" s="882"/>
      <c r="M15" s="884"/>
      <c r="N15" s="56">
        <v>723</v>
      </c>
      <c r="O15" s="79">
        <f>+M14-O14</f>
        <v>14875000</v>
      </c>
    </row>
    <row r="16" spans="1:15" ht="14.25" customHeight="1">
      <c r="A16" s="251"/>
      <c r="B16" s="252"/>
      <c r="C16" s="472"/>
      <c r="D16" s="251"/>
      <c r="E16" s="251"/>
      <c r="F16" s="254"/>
      <c r="G16" s="255"/>
      <c r="H16" s="873" t="s">
        <v>2293</v>
      </c>
      <c r="I16" s="875">
        <v>45825</v>
      </c>
      <c r="J16" s="877" t="s">
        <v>2809</v>
      </c>
      <c r="K16" s="881" t="s">
        <v>2806</v>
      </c>
      <c r="L16" s="881" t="s">
        <v>148</v>
      </c>
      <c r="M16" s="883">
        <v>27916900</v>
      </c>
      <c r="N16" s="55">
        <v>719</v>
      </c>
      <c r="O16" s="78"/>
    </row>
    <row r="17" spans="1:15" ht="14.25" customHeight="1" thickBot="1">
      <c r="A17" s="251"/>
      <c r="B17" s="252"/>
      <c r="C17" s="472"/>
      <c r="D17" s="251"/>
      <c r="E17" s="251"/>
      <c r="F17" s="254"/>
      <c r="G17" s="255"/>
      <c r="H17" s="874"/>
      <c r="I17" s="876"/>
      <c r="J17" s="878"/>
      <c r="K17" s="882"/>
      <c r="L17" s="882"/>
      <c r="M17" s="884"/>
      <c r="N17" s="56">
        <v>723</v>
      </c>
      <c r="O17" s="79">
        <f>+M16-O16</f>
        <v>27916900</v>
      </c>
    </row>
    <row r="18" spans="1:15" ht="12.75" customHeight="1">
      <c r="A18" s="881"/>
      <c r="B18" s="875"/>
      <c r="C18" s="935"/>
      <c r="D18" s="881"/>
      <c r="E18" s="881"/>
      <c r="F18" s="883"/>
      <c r="G18" s="55">
        <v>719</v>
      </c>
      <c r="H18" s="873" t="s">
        <v>2294</v>
      </c>
      <c r="I18" s="875">
        <v>45825</v>
      </c>
      <c r="J18" s="877" t="s">
        <v>672</v>
      </c>
      <c r="K18" s="881" t="s">
        <v>2806</v>
      </c>
      <c r="L18" s="881" t="s">
        <v>148</v>
      </c>
      <c r="M18" s="883">
        <v>21521960</v>
      </c>
      <c r="N18" s="55">
        <v>719</v>
      </c>
      <c r="O18" s="78"/>
    </row>
    <row r="19" spans="1:15" ht="12.75" customHeight="1" thickBot="1">
      <c r="A19" s="882"/>
      <c r="B19" s="934"/>
      <c r="C19" s="936"/>
      <c r="D19" s="882"/>
      <c r="E19" s="882"/>
      <c r="F19" s="884"/>
      <c r="G19" s="56">
        <v>721</v>
      </c>
      <c r="H19" s="874"/>
      <c r="I19" s="876"/>
      <c r="J19" s="878"/>
      <c r="K19" s="882"/>
      <c r="L19" s="882"/>
      <c r="M19" s="884"/>
      <c r="N19" s="56">
        <v>723</v>
      </c>
      <c r="O19" s="79">
        <f>+M18-O18</f>
        <v>21521960</v>
      </c>
    </row>
    <row r="20" spans="1:15" ht="9" customHeight="1">
      <c r="A20" s="881"/>
      <c r="B20" s="875"/>
      <c r="C20" s="935"/>
      <c r="D20" s="877"/>
      <c r="E20" s="881"/>
      <c r="F20" s="883"/>
      <c r="G20" s="55">
        <v>719</v>
      </c>
      <c r="H20" s="873" t="s">
        <v>2295</v>
      </c>
      <c r="I20" s="875">
        <v>45825</v>
      </c>
      <c r="J20" s="877" t="s">
        <v>2058</v>
      </c>
      <c r="K20" s="881" t="s">
        <v>2806</v>
      </c>
      <c r="L20" s="881" t="s">
        <v>148</v>
      </c>
      <c r="M20" s="883">
        <v>1920000</v>
      </c>
      <c r="N20" s="55">
        <v>719</v>
      </c>
      <c r="O20" s="78"/>
    </row>
    <row r="21" spans="1:15" ht="15" customHeight="1" thickBot="1">
      <c r="A21" s="882"/>
      <c r="B21" s="934"/>
      <c r="C21" s="936"/>
      <c r="D21" s="878"/>
      <c r="E21" s="882"/>
      <c r="F21" s="884"/>
      <c r="G21" s="56">
        <v>721</v>
      </c>
      <c r="H21" s="874"/>
      <c r="I21" s="876"/>
      <c r="J21" s="878"/>
      <c r="K21" s="882"/>
      <c r="L21" s="882"/>
      <c r="M21" s="884"/>
      <c r="N21" s="56">
        <v>723</v>
      </c>
      <c r="O21" s="79">
        <f>+M20-O20</f>
        <v>1920000</v>
      </c>
    </row>
    <row r="22" spans="1:15" ht="18" customHeight="1" thickBot="1">
      <c r="A22" s="901" t="s">
        <v>102</v>
      </c>
      <c r="B22" s="902"/>
      <c r="C22" s="902"/>
      <c r="D22" s="902"/>
      <c r="E22" s="903"/>
      <c r="F22" s="81">
        <f>SUM(F12:F21)</f>
        <v>210000</v>
      </c>
      <c r="H22" s="901" t="s">
        <v>102</v>
      </c>
      <c r="I22" s="902"/>
      <c r="J22" s="902"/>
      <c r="K22" s="902"/>
      <c r="L22" s="903"/>
      <c r="M22" s="81">
        <f>SUM(M12:M21)</f>
        <v>112486360</v>
      </c>
    </row>
    <row r="23" spans="1:15" ht="15.75" customHeight="1" thickBot="1">
      <c r="A23" s="885" t="s">
        <v>103</v>
      </c>
      <c r="B23" s="886"/>
      <c r="C23" s="886"/>
      <c r="D23" s="886"/>
      <c r="E23" s="887"/>
      <c r="F23" s="69">
        <f>+C37</f>
        <v>610857841</v>
      </c>
      <c r="H23" s="885" t="s">
        <v>103</v>
      </c>
      <c r="I23" s="886"/>
      <c r="J23" s="886"/>
      <c r="K23" s="886"/>
      <c r="L23" s="887"/>
      <c r="M23" s="69">
        <v>17057500</v>
      </c>
      <c r="N23" s="241" t="s">
        <v>561</v>
      </c>
      <c r="O23" s="242"/>
    </row>
    <row r="24" spans="1:15" ht="16.5" thickBot="1">
      <c r="A24" s="888" t="s">
        <v>104</v>
      </c>
      <c r="B24" s="889"/>
      <c r="C24" s="889"/>
      <c r="D24" s="889"/>
      <c r="E24" s="890"/>
      <c r="F24" s="183">
        <f>SUM(F22:F23)</f>
        <v>611067841</v>
      </c>
      <c r="H24" s="888" t="s">
        <v>104</v>
      </c>
      <c r="I24" s="889"/>
      <c r="J24" s="889"/>
      <c r="K24" s="889"/>
      <c r="L24" s="890"/>
      <c r="M24" s="183">
        <f>SUM(M22:M23)</f>
        <v>129543860</v>
      </c>
    </row>
    <row r="25" spans="1:15" ht="6" customHeight="1">
      <c r="A25" s="61"/>
      <c r="B25" s="61"/>
      <c r="C25" s="61"/>
      <c r="D25" s="61"/>
      <c r="E25" s="61"/>
      <c r="H25" s="61"/>
      <c r="I25" s="61"/>
      <c r="J25" s="61"/>
      <c r="K25" s="61"/>
      <c r="L25" s="61"/>
    </row>
    <row r="26" spans="1:15" ht="16.5" customHeight="1">
      <c r="A26" s="51" t="s">
        <v>176</v>
      </c>
      <c r="H26" s="51" t="s">
        <v>2810</v>
      </c>
    </row>
    <row r="27" spans="1:15" ht="5.25" customHeight="1">
      <c r="F27" s="139"/>
      <c r="M27" s="139"/>
    </row>
    <row r="28" spans="1:15" ht="15" customHeight="1">
      <c r="A28" s="50" t="s">
        <v>105</v>
      </c>
      <c r="D28" s="146"/>
      <c r="F28" s="139"/>
      <c r="H28" s="50" t="s">
        <v>105</v>
      </c>
      <c r="K28" s="146"/>
      <c r="M28" s="139"/>
    </row>
    <row r="29" spans="1:15" ht="9.75" customHeight="1" thickBot="1"/>
    <row r="30" spans="1:15" ht="15.75" thickBot="1">
      <c r="A30" s="891" t="s">
        <v>106</v>
      </c>
      <c r="B30" s="892"/>
      <c r="C30" s="892"/>
      <c r="D30" s="893"/>
      <c r="F30" s="50" t="s">
        <v>107</v>
      </c>
      <c r="H30" s="891" t="s">
        <v>106</v>
      </c>
      <c r="I30" s="892"/>
      <c r="J30" s="892"/>
      <c r="K30" s="893"/>
      <c r="M30" s="50" t="s">
        <v>288</v>
      </c>
    </row>
    <row r="31" spans="1:15" ht="34.5" customHeight="1" thickBot="1">
      <c r="A31" s="57" t="s">
        <v>100</v>
      </c>
      <c r="B31" s="58" t="s">
        <v>108</v>
      </c>
      <c r="C31" s="59" t="s">
        <v>109</v>
      </c>
      <c r="D31" s="60" t="s">
        <v>110</v>
      </c>
      <c r="H31" s="57" t="s">
        <v>100</v>
      </c>
      <c r="I31" s="58" t="s">
        <v>108</v>
      </c>
      <c r="J31" s="264" t="s">
        <v>109</v>
      </c>
      <c r="K31" s="60" t="s">
        <v>110</v>
      </c>
    </row>
    <row r="32" spans="1:15" ht="13.5" customHeight="1">
      <c r="A32" s="71">
        <v>719</v>
      </c>
      <c r="B32" s="73">
        <v>210000</v>
      </c>
      <c r="C32" s="74">
        <v>28120000</v>
      </c>
      <c r="D32" s="76">
        <f>+B32+C32</f>
        <v>28330000</v>
      </c>
      <c r="H32" s="71">
        <v>719</v>
      </c>
      <c r="I32" s="73">
        <f>+O12+O14+O18+O20</f>
        <v>0</v>
      </c>
      <c r="J32" s="74">
        <v>12720000</v>
      </c>
      <c r="K32" s="195">
        <f>+I32+J32</f>
        <v>12720000</v>
      </c>
    </row>
    <row r="33" spans="1:15" ht="13.5" customHeight="1">
      <c r="A33" s="72">
        <v>721</v>
      </c>
      <c r="B33" s="80"/>
      <c r="C33" s="75">
        <v>36156092</v>
      </c>
      <c r="D33" s="76">
        <f>+B33+C33</f>
        <v>36156092</v>
      </c>
      <c r="H33" s="72">
        <v>721</v>
      </c>
      <c r="I33" s="80"/>
      <c r="J33" s="74">
        <v>1505000</v>
      </c>
      <c r="K33" s="195">
        <f>+I33+J33</f>
        <v>1505000</v>
      </c>
    </row>
    <row r="34" spans="1:15" ht="12.75" customHeight="1">
      <c r="A34" s="72">
        <v>722</v>
      </c>
      <c r="B34" s="80"/>
      <c r="C34" s="75">
        <v>224787287</v>
      </c>
      <c r="D34" s="76">
        <f>+B34+C34</f>
        <v>224787287</v>
      </c>
      <c r="H34" s="72">
        <v>722</v>
      </c>
      <c r="I34" s="80"/>
      <c r="J34" s="74">
        <v>0</v>
      </c>
      <c r="K34" s="195">
        <f>+I34+J34</f>
        <v>0</v>
      </c>
    </row>
    <row r="35" spans="1:15" ht="13.5" customHeight="1" thickBot="1">
      <c r="A35" s="72">
        <v>723</v>
      </c>
      <c r="B35" s="80"/>
      <c r="C35" s="75">
        <v>319828837</v>
      </c>
      <c r="D35" s="76">
        <f>+B35+C35</f>
        <v>319828837</v>
      </c>
      <c r="F35" s="174" t="s">
        <v>23</v>
      </c>
      <c r="G35" s="175"/>
      <c r="H35" s="72">
        <v>723</v>
      </c>
      <c r="I35" s="80">
        <f>+O13+O15+O19+O21+O17</f>
        <v>112486360</v>
      </c>
      <c r="J35" s="74">
        <v>2832500</v>
      </c>
      <c r="K35" s="195">
        <f>+I35+J35</f>
        <v>115318860</v>
      </c>
      <c r="M35" s="918"/>
      <c r="N35" s="608"/>
      <c r="O35" s="608"/>
    </row>
    <row r="36" spans="1:15" ht="14.25" hidden="1" customHeight="1">
      <c r="A36" s="164" t="s">
        <v>181</v>
      </c>
      <c r="B36" s="165"/>
      <c r="C36" s="166">
        <v>1965625</v>
      </c>
      <c r="D36" s="168">
        <f>+B36+C36</f>
        <v>1965625</v>
      </c>
      <c r="F36" s="52"/>
      <c r="H36" s="164" t="s">
        <v>181</v>
      </c>
      <c r="I36" s="165"/>
      <c r="J36" s="74">
        <v>0</v>
      </c>
      <c r="K36" s="196">
        <f>+I36+J36</f>
        <v>0</v>
      </c>
      <c r="M36" s="52"/>
    </row>
    <row r="37" spans="1:15" ht="16.5" thickBot="1">
      <c r="A37" s="169"/>
      <c r="B37" s="170">
        <f>SUM(B32:B36)</f>
        <v>210000</v>
      </c>
      <c r="C37" s="171">
        <f>SUM(C32:C36)</f>
        <v>610857841</v>
      </c>
      <c r="D37" s="172">
        <f>SUM(D32:D36)</f>
        <v>611067841</v>
      </c>
      <c r="H37" s="169"/>
      <c r="I37" s="197">
        <f>SUM(I32:I36)</f>
        <v>112486360</v>
      </c>
      <c r="J37" s="197">
        <f>SUM(J32:J36)</f>
        <v>17057500</v>
      </c>
      <c r="K37" s="198">
        <f>SUM(K32:K36)</f>
        <v>129543860</v>
      </c>
    </row>
    <row r="38" spans="1:15" ht="16.5">
      <c r="A38" s="49" t="s">
        <v>88</v>
      </c>
      <c r="B38" s="50"/>
      <c r="H38" s="49" t="s">
        <v>88</v>
      </c>
      <c r="I38" s="50"/>
    </row>
    <row r="39" spans="1:15" ht="13.5" customHeight="1">
      <c r="A39" s="51" t="s">
        <v>89</v>
      </c>
      <c r="H39" s="51" t="s">
        <v>89</v>
      </c>
    </row>
    <row r="40" spans="1:15" ht="14.25" customHeight="1">
      <c r="A40" s="51" t="s">
        <v>90</v>
      </c>
      <c r="H40" s="51" t="s">
        <v>90</v>
      </c>
    </row>
    <row r="41" spans="1:15" ht="14.25" customHeight="1">
      <c r="A41" s="51" t="s">
        <v>91</v>
      </c>
      <c r="H41" s="51" t="s">
        <v>91</v>
      </c>
    </row>
    <row r="42" spans="1:15" ht="6" customHeight="1">
      <c r="A42" s="50"/>
      <c r="B42" s="50"/>
      <c r="H42" s="50"/>
      <c r="I42" s="50"/>
    </row>
    <row r="43" spans="1:15" ht="16.5" customHeight="1">
      <c r="A43" s="52" t="s">
        <v>222</v>
      </c>
      <c r="G43" s="52"/>
      <c r="H43" s="52" t="s">
        <v>2811</v>
      </c>
      <c r="N43" s="52"/>
    </row>
    <row r="44" spans="1:15" ht="15.75" customHeight="1">
      <c r="A44" s="53" t="s">
        <v>92</v>
      </c>
      <c r="G44" s="53"/>
      <c r="H44" s="53" t="s">
        <v>2754</v>
      </c>
      <c r="N44" s="53"/>
    </row>
    <row r="45" spans="1:15" ht="15.75" customHeight="1">
      <c r="A45" s="894" t="s">
        <v>93</v>
      </c>
      <c r="B45" s="894"/>
      <c r="C45" s="894"/>
      <c r="D45" s="894"/>
      <c r="E45" s="894"/>
      <c r="F45" s="894"/>
      <c r="G45" s="894"/>
      <c r="H45" s="894" t="s">
        <v>903</v>
      </c>
      <c r="I45" s="894"/>
      <c r="J45" s="894"/>
      <c r="K45" s="894"/>
      <c r="L45" s="894"/>
      <c r="M45" s="894"/>
      <c r="N45" s="894"/>
      <c r="O45" s="894"/>
    </row>
    <row r="46" spans="1:15" ht="12" customHeight="1" thickBot="1"/>
    <row r="47" spans="1:15">
      <c r="A47" s="895" t="s">
        <v>94</v>
      </c>
      <c r="B47" s="897" t="s">
        <v>95</v>
      </c>
      <c r="C47" s="897" t="s">
        <v>96</v>
      </c>
      <c r="D47" s="897" t="s">
        <v>3</v>
      </c>
      <c r="E47" s="897" t="s">
        <v>97</v>
      </c>
      <c r="F47" s="897" t="s">
        <v>98</v>
      </c>
      <c r="G47" s="500" t="s">
        <v>99</v>
      </c>
      <c r="H47" s="895" t="s">
        <v>94</v>
      </c>
      <c r="I47" s="897" t="s">
        <v>95</v>
      </c>
      <c r="J47" s="897" t="s">
        <v>96</v>
      </c>
      <c r="K47" s="897" t="s">
        <v>3</v>
      </c>
      <c r="L47" s="897" t="s">
        <v>97</v>
      </c>
      <c r="M47" s="897" t="s">
        <v>98</v>
      </c>
      <c r="N47" s="897" t="s">
        <v>99</v>
      </c>
      <c r="O47" s="899"/>
    </row>
    <row r="48" spans="1:15" ht="15.75" thickBot="1">
      <c r="A48" s="896"/>
      <c r="B48" s="898"/>
      <c r="C48" s="898"/>
      <c r="D48" s="898"/>
      <c r="E48" s="898"/>
      <c r="F48" s="898"/>
      <c r="G48" s="240" t="s">
        <v>100</v>
      </c>
      <c r="H48" s="896"/>
      <c r="I48" s="898"/>
      <c r="J48" s="898"/>
      <c r="K48" s="898"/>
      <c r="L48" s="898"/>
      <c r="M48" s="898"/>
      <c r="N48" s="240" t="s">
        <v>100</v>
      </c>
      <c r="O48" s="182" t="s">
        <v>101</v>
      </c>
    </row>
    <row r="49" spans="1:15" ht="13.5" customHeight="1">
      <c r="A49" s="881">
        <f>+A14+1</f>
        <v>239</v>
      </c>
      <c r="B49" s="875">
        <v>42240</v>
      </c>
      <c r="C49" s="935" t="s">
        <v>28</v>
      </c>
      <c r="D49" s="881" t="s">
        <v>223</v>
      </c>
      <c r="E49" s="881" t="s">
        <v>115</v>
      </c>
      <c r="F49" s="883">
        <v>60000</v>
      </c>
      <c r="G49" s="55">
        <v>719</v>
      </c>
      <c r="H49" s="873" t="s">
        <v>2301</v>
      </c>
      <c r="I49" s="875">
        <v>45825</v>
      </c>
      <c r="J49" s="877" t="s">
        <v>2446</v>
      </c>
      <c r="K49" s="881" t="s">
        <v>2806</v>
      </c>
      <c r="L49" s="881" t="s">
        <v>148</v>
      </c>
      <c r="M49" s="883">
        <v>6000000</v>
      </c>
      <c r="N49" s="55">
        <v>719</v>
      </c>
      <c r="O49" s="78"/>
    </row>
    <row r="50" spans="1:15" ht="12.75" customHeight="1" thickBot="1">
      <c r="A50" s="882"/>
      <c r="B50" s="934"/>
      <c r="C50" s="936"/>
      <c r="D50" s="882"/>
      <c r="E50" s="882"/>
      <c r="F50" s="884"/>
      <c r="G50" s="56">
        <v>721</v>
      </c>
      <c r="H50" s="874"/>
      <c r="I50" s="876"/>
      <c r="J50" s="878"/>
      <c r="K50" s="882"/>
      <c r="L50" s="882"/>
      <c r="M50" s="884"/>
      <c r="N50" s="56">
        <v>723</v>
      </c>
      <c r="O50" s="79">
        <f>+M49-O49</f>
        <v>6000000</v>
      </c>
    </row>
    <row r="51" spans="1:15" ht="12" customHeight="1">
      <c r="A51" s="881">
        <f>+A49+1</f>
        <v>240</v>
      </c>
      <c r="B51" s="875">
        <v>42240</v>
      </c>
      <c r="C51" s="942" t="s">
        <v>31</v>
      </c>
      <c r="D51" s="881" t="s">
        <v>224</v>
      </c>
      <c r="E51" s="881" t="s">
        <v>115</v>
      </c>
      <c r="F51" s="883">
        <v>140000</v>
      </c>
      <c r="G51" s="55">
        <v>719</v>
      </c>
      <c r="H51" s="873" t="s">
        <v>2302</v>
      </c>
      <c r="I51" s="875">
        <v>45825</v>
      </c>
      <c r="J51" s="877" t="s">
        <v>2481</v>
      </c>
      <c r="K51" s="881" t="s">
        <v>2806</v>
      </c>
      <c r="L51" s="881" t="s">
        <v>148</v>
      </c>
      <c r="M51" s="883">
        <v>1500000</v>
      </c>
      <c r="N51" s="55">
        <v>719</v>
      </c>
      <c r="O51" s="78"/>
    </row>
    <row r="52" spans="1:15" ht="15" customHeight="1" thickBot="1">
      <c r="A52" s="882"/>
      <c r="B52" s="934"/>
      <c r="C52" s="943"/>
      <c r="D52" s="882"/>
      <c r="E52" s="882"/>
      <c r="F52" s="884"/>
      <c r="G52" s="56">
        <v>721</v>
      </c>
      <c r="H52" s="874"/>
      <c r="I52" s="876"/>
      <c r="J52" s="878"/>
      <c r="K52" s="882"/>
      <c r="L52" s="882"/>
      <c r="M52" s="884"/>
      <c r="N52" s="56">
        <v>723</v>
      </c>
      <c r="O52" s="79">
        <f>+M51-O51</f>
        <v>1500000</v>
      </c>
    </row>
    <row r="53" spans="1:15" ht="13.5" customHeight="1">
      <c r="A53" s="251"/>
      <c r="B53" s="452"/>
      <c r="C53" s="465"/>
      <c r="D53" s="251"/>
      <c r="E53" s="251"/>
      <c r="F53" s="254"/>
      <c r="G53" s="255"/>
      <c r="H53" s="873" t="s">
        <v>2303</v>
      </c>
      <c r="I53" s="875">
        <v>45825</v>
      </c>
      <c r="J53" s="910" t="s">
        <v>695</v>
      </c>
      <c r="K53" s="881" t="s">
        <v>2806</v>
      </c>
      <c r="L53" s="881" t="s">
        <v>148</v>
      </c>
      <c r="M53" s="883">
        <v>7139940</v>
      </c>
      <c r="N53" s="55">
        <v>719</v>
      </c>
      <c r="O53" s="78"/>
    </row>
    <row r="54" spans="1:15" ht="12.75" customHeight="1" thickBot="1">
      <c r="A54" s="251"/>
      <c r="B54" s="452"/>
      <c r="C54" s="465"/>
      <c r="D54" s="251"/>
      <c r="E54" s="251"/>
      <c r="F54" s="254"/>
      <c r="G54" s="255"/>
      <c r="H54" s="874"/>
      <c r="I54" s="876"/>
      <c r="J54" s="911"/>
      <c r="K54" s="882"/>
      <c r="L54" s="882"/>
      <c r="M54" s="884"/>
      <c r="N54" s="56">
        <v>723</v>
      </c>
      <c r="O54" s="79">
        <f>+M53-O53</f>
        <v>7139940</v>
      </c>
    </row>
    <row r="55" spans="1:15" ht="12" customHeight="1">
      <c r="A55" s="881">
        <f>+A51+1</f>
        <v>241</v>
      </c>
      <c r="B55" s="875">
        <v>42240</v>
      </c>
      <c r="C55" s="942" t="s">
        <v>32</v>
      </c>
      <c r="D55" s="881" t="s">
        <v>225</v>
      </c>
      <c r="E55" s="881" t="s">
        <v>115</v>
      </c>
      <c r="F55" s="883">
        <v>50000</v>
      </c>
      <c r="G55" s="55">
        <v>719</v>
      </c>
      <c r="H55" s="873" t="s">
        <v>2304</v>
      </c>
      <c r="I55" s="875">
        <v>45825</v>
      </c>
      <c r="J55" s="944" t="s">
        <v>2039</v>
      </c>
      <c r="K55" s="881" t="s">
        <v>2806</v>
      </c>
      <c r="L55" s="948" t="s">
        <v>148</v>
      </c>
      <c r="M55" s="946">
        <v>1463000</v>
      </c>
      <c r="N55" s="55">
        <v>719</v>
      </c>
      <c r="O55" s="78"/>
    </row>
    <row r="56" spans="1:15" ht="15" customHeight="1" thickBot="1">
      <c r="A56" s="882"/>
      <c r="B56" s="934"/>
      <c r="C56" s="943"/>
      <c r="D56" s="882"/>
      <c r="E56" s="882"/>
      <c r="F56" s="884"/>
      <c r="G56" s="56">
        <v>721</v>
      </c>
      <c r="H56" s="874"/>
      <c r="I56" s="876"/>
      <c r="J56" s="945"/>
      <c r="K56" s="882"/>
      <c r="L56" s="949"/>
      <c r="M56" s="947"/>
      <c r="N56" s="56">
        <v>723</v>
      </c>
      <c r="O56" s="79">
        <f>+M55-O55</f>
        <v>1463000</v>
      </c>
    </row>
    <row r="57" spans="1:15" ht="12" customHeight="1">
      <c r="A57" s="881"/>
      <c r="B57" s="875"/>
      <c r="C57" s="935"/>
      <c r="D57" s="877"/>
      <c r="E57" s="881"/>
      <c r="F57" s="883"/>
      <c r="G57" s="55">
        <v>719</v>
      </c>
      <c r="H57" s="873" t="s">
        <v>2305</v>
      </c>
      <c r="I57" s="875">
        <v>45825</v>
      </c>
      <c r="J57" s="910" t="s">
        <v>2812</v>
      </c>
      <c r="K57" s="881" t="s">
        <v>2806</v>
      </c>
      <c r="L57" s="881" t="s">
        <v>148</v>
      </c>
      <c r="M57" s="883">
        <v>25661500</v>
      </c>
      <c r="N57" s="55">
        <v>719</v>
      </c>
      <c r="O57" s="78"/>
    </row>
    <row r="58" spans="1:15" ht="12.75" customHeight="1" thickBot="1">
      <c r="A58" s="882"/>
      <c r="B58" s="934"/>
      <c r="C58" s="936"/>
      <c r="D58" s="878"/>
      <c r="E58" s="882"/>
      <c r="F58" s="884"/>
      <c r="G58" s="56">
        <v>721</v>
      </c>
      <c r="H58" s="874"/>
      <c r="I58" s="876"/>
      <c r="J58" s="911"/>
      <c r="K58" s="882"/>
      <c r="L58" s="882"/>
      <c r="M58" s="884"/>
      <c r="N58" s="56">
        <v>723</v>
      </c>
      <c r="O58" s="79">
        <f>+M57</f>
        <v>25661500</v>
      </c>
    </row>
    <row r="59" spans="1:15" ht="15.75" customHeight="1" thickBot="1">
      <c r="A59" s="901" t="s">
        <v>102</v>
      </c>
      <c r="B59" s="902"/>
      <c r="C59" s="902"/>
      <c r="D59" s="902"/>
      <c r="E59" s="903"/>
      <c r="F59" s="81">
        <f>SUM(F49:F58)</f>
        <v>250000</v>
      </c>
      <c r="H59" s="901" t="s">
        <v>102</v>
      </c>
      <c r="I59" s="902"/>
      <c r="J59" s="902"/>
      <c r="K59" s="902"/>
      <c r="L59" s="903"/>
      <c r="M59" s="81">
        <f>SUM(M49:M58)</f>
        <v>41764440</v>
      </c>
    </row>
    <row r="60" spans="1:15" ht="16.5" thickBot="1">
      <c r="A60" s="885" t="s">
        <v>103</v>
      </c>
      <c r="B60" s="886"/>
      <c r="C60" s="886"/>
      <c r="D60" s="886"/>
      <c r="E60" s="887"/>
      <c r="F60" s="69">
        <f>+C74</f>
        <v>611067841</v>
      </c>
      <c r="H60" s="885" t="s">
        <v>103</v>
      </c>
      <c r="I60" s="886"/>
      <c r="J60" s="886"/>
      <c r="K60" s="886"/>
      <c r="L60" s="887"/>
      <c r="M60" s="69">
        <f>+M24</f>
        <v>129543860</v>
      </c>
      <c r="N60" s="241" t="s">
        <v>561</v>
      </c>
      <c r="O60" s="242"/>
    </row>
    <row r="61" spans="1:15" ht="15" customHeight="1" thickBot="1">
      <c r="A61" s="888" t="s">
        <v>104</v>
      </c>
      <c r="B61" s="889"/>
      <c r="C61" s="889"/>
      <c r="D61" s="889"/>
      <c r="E61" s="890"/>
      <c r="F61" s="183">
        <f>SUM(F59:F60)</f>
        <v>611317841</v>
      </c>
      <c r="H61" s="888" t="s">
        <v>104</v>
      </c>
      <c r="I61" s="889"/>
      <c r="J61" s="889"/>
      <c r="K61" s="889"/>
      <c r="L61" s="890"/>
      <c r="M61" s="183">
        <f>SUM(M59:M60)</f>
        <v>171308300</v>
      </c>
    </row>
    <row r="62" spans="1:15" ht="8.25" customHeight="1">
      <c r="A62" s="61"/>
      <c r="B62" s="61"/>
      <c r="C62" s="61"/>
      <c r="D62" s="61"/>
      <c r="E62" s="61"/>
      <c r="H62" s="61"/>
      <c r="I62" s="61"/>
      <c r="J62" s="61"/>
      <c r="K62" s="61"/>
      <c r="L62" s="61"/>
    </row>
    <row r="63" spans="1:15">
      <c r="A63" s="51" t="s">
        <v>226</v>
      </c>
      <c r="H63" s="51" t="s">
        <v>2813</v>
      </c>
    </row>
    <row r="64" spans="1:15" ht="7.5" customHeight="1">
      <c r="F64" s="139"/>
      <c r="M64" s="139"/>
    </row>
    <row r="65" spans="1:15">
      <c r="A65" s="50" t="s">
        <v>105</v>
      </c>
      <c r="D65" s="146"/>
      <c r="F65" s="139"/>
      <c r="H65" s="50" t="s">
        <v>105</v>
      </c>
      <c r="K65" s="146"/>
      <c r="M65" s="139"/>
    </row>
    <row r="66" spans="1:15" ht="7.5" customHeight="1" thickBot="1"/>
    <row r="67" spans="1:15" ht="15.75" thickBot="1">
      <c r="A67" s="891" t="s">
        <v>106</v>
      </c>
      <c r="B67" s="892"/>
      <c r="C67" s="892"/>
      <c r="D67" s="893"/>
      <c r="F67" s="50" t="s">
        <v>107</v>
      </c>
      <c r="H67" s="891" t="s">
        <v>106</v>
      </c>
      <c r="I67" s="892"/>
      <c r="J67" s="892"/>
      <c r="K67" s="893"/>
      <c r="M67" s="50" t="s">
        <v>288</v>
      </c>
    </row>
    <row r="68" spans="1:15" ht="28.5" customHeight="1" thickBot="1">
      <c r="A68" s="57" t="s">
        <v>100</v>
      </c>
      <c r="B68" s="58" t="s">
        <v>108</v>
      </c>
      <c r="C68" s="59" t="s">
        <v>109</v>
      </c>
      <c r="D68" s="60" t="s">
        <v>110</v>
      </c>
      <c r="H68" s="57" t="s">
        <v>100</v>
      </c>
      <c r="I68" s="58" t="s">
        <v>108</v>
      </c>
      <c r="J68" s="473" t="s">
        <v>109</v>
      </c>
      <c r="K68" s="60" t="s">
        <v>110</v>
      </c>
    </row>
    <row r="69" spans="1:15" ht="14.25" customHeight="1">
      <c r="A69" s="71">
        <v>719</v>
      </c>
      <c r="B69" s="73" t="e">
        <f>+#REF!+#REF!+#REF!</f>
        <v>#REF!</v>
      </c>
      <c r="C69" s="74">
        <f>+D32</f>
        <v>28330000</v>
      </c>
      <c r="D69" s="76" t="e">
        <f>+B69+C69</f>
        <v>#REF!</v>
      </c>
      <c r="H69" s="71">
        <v>719</v>
      </c>
      <c r="I69" s="73">
        <f>+O49+O51+O55</f>
        <v>0</v>
      </c>
      <c r="J69" s="74">
        <f>+K32</f>
        <v>12720000</v>
      </c>
      <c r="K69" s="195">
        <f>+I69+J69</f>
        <v>12720000</v>
      </c>
    </row>
    <row r="70" spans="1:15" ht="13.5" customHeight="1">
      <c r="A70" s="72">
        <v>721</v>
      </c>
      <c r="B70" s="80"/>
      <c r="C70" s="74">
        <f>+D33</f>
        <v>36156092</v>
      </c>
      <c r="D70" s="76">
        <f>+B70+C70</f>
        <v>36156092</v>
      </c>
      <c r="H70" s="72">
        <v>721</v>
      </c>
      <c r="I70" s="80"/>
      <c r="J70" s="74">
        <f>+K33</f>
        <v>1505000</v>
      </c>
      <c r="K70" s="195">
        <f>+I70+J70</f>
        <v>1505000</v>
      </c>
    </row>
    <row r="71" spans="1:15" ht="12.75" customHeight="1">
      <c r="A71" s="72">
        <v>722</v>
      </c>
      <c r="B71" s="80"/>
      <c r="C71" s="74">
        <f>+D34</f>
        <v>224787287</v>
      </c>
      <c r="D71" s="76">
        <f>+B71+C71</f>
        <v>224787287</v>
      </c>
      <c r="H71" s="72">
        <v>722</v>
      </c>
      <c r="I71" s="80"/>
      <c r="J71" s="74">
        <f>+K34</f>
        <v>0</v>
      </c>
      <c r="K71" s="195">
        <f>+I71+J71</f>
        <v>0</v>
      </c>
    </row>
    <row r="72" spans="1:15" ht="14.25" customHeight="1" thickBot="1">
      <c r="A72" s="72">
        <v>723</v>
      </c>
      <c r="B72" s="80"/>
      <c r="C72" s="74">
        <f>+D35</f>
        <v>319828837</v>
      </c>
      <c r="D72" s="76">
        <f>+B72+C72</f>
        <v>319828837</v>
      </c>
      <c r="F72" s="174" t="s">
        <v>23</v>
      </c>
      <c r="G72" s="175"/>
      <c r="H72" s="72">
        <v>723</v>
      </c>
      <c r="I72" s="80">
        <f>+M59</f>
        <v>41764440</v>
      </c>
      <c r="J72" s="74">
        <f>+K35</f>
        <v>115318860</v>
      </c>
      <c r="K72" s="195">
        <f>+I72+J72</f>
        <v>157083300</v>
      </c>
      <c r="M72" s="918"/>
      <c r="N72" s="608"/>
      <c r="O72" s="608"/>
    </row>
    <row r="73" spans="1:15" ht="14.25" hidden="1" customHeight="1">
      <c r="A73" s="164" t="s">
        <v>181</v>
      </c>
      <c r="B73" s="165"/>
      <c r="C73" s="74">
        <f>+D36</f>
        <v>1965625</v>
      </c>
      <c r="D73" s="168">
        <f>+B73+C73</f>
        <v>1965625</v>
      </c>
      <c r="F73" s="52"/>
      <c r="H73" s="164" t="s">
        <v>181</v>
      </c>
      <c r="I73" s="165"/>
      <c r="J73" s="74">
        <f>+K36</f>
        <v>0</v>
      </c>
      <c r="K73" s="196">
        <f>+I73+J73</f>
        <v>0</v>
      </c>
      <c r="M73" s="52"/>
    </row>
    <row r="74" spans="1:15" ht="16.5" thickBot="1">
      <c r="A74" s="169"/>
      <c r="B74" s="170" t="e">
        <f>SUM(B69:B73)</f>
        <v>#REF!</v>
      </c>
      <c r="C74" s="171">
        <f>SUM(C69:C73)</f>
        <v>611067841</v>
      </c>
      <c r="D74" s="172" t="e">
        <f>SUM(D69:D73)</f>
        <v>#REF!</v>
      </c>
      <c r="H74" s="169"/>
      <c r="I74" s="197">
        <f>SUM(I69:I73)</f>
        <v>41764440</v>
      </c>
      <c r="J74" s="197">
        <f>SUM(J69:J73)</f>
        <v>129543860</v>
      </c>
      <c r="K74" s="198">
        <f>SUM(K69:K73)</f>
        <v>171308300</v>
      </c>
    </row>
    <row r="75" spans="1:15" ht="16.5">
      <c r="A75" s="49" t="s">
        <v>88</v>
      </c>
      <c r="B75" s="50"/>
      <c r="H75" s="49" t="s">
        <v>88</v>
      </c>
      <c r="I75" s="50"/>
    </row>
    <row r="76" spans="1:15" ht="14.25" customHeight="1">
      <c r="A76" s="51" t="s">
        <v>89</v>
      </c>
      <c r="H76" s="51" t="s">
        <v>89</v>
      </c>
    </row>
    <row r="77" spans="1:15" ht="12.75" customHeight="1">
      <c r="A77" s="51" t="s">
        <v>90</v>
      </c>
      <c r="H77" s="51" t="s">
        <v>90</v>
      </c>
    </row>
    <row r="78" spans="1:15" ht="15" customHeight="1">
      <c r="A78" s="51" t="s">
        <v>91</v>
      </c>
      <c r="H78" s="51" t="s">
        <v>91</v>
      </c>
    </row>
    <row r="79" spans="1:15" ht="3" customHeight="1">
      <c r="A79" s="50"/>
      <c r="B79" s="50"/>
      <c r="H79" s="50"/>
      <c r="I79" s="50"/>
    </row>
    <row r="80" spans="1:15" ht="13.5" customHeight="1">
      <c r="A80" s="52" t="s">
        <v>227</v>
      </c>
      <c r="B80" s="50"/>
      <c r="G80" s="52"/>
      <c r="H80" s="52" t="s">
        <v>1731</v>
      </c>
      <c r="N80" s="52"/>
    </row>
    <row r="81" spans="1:15" ht="15.75" customHeight="1">
      <c r="A81" s="53" t="s">
        <v>92</v>
      </c>
      <c r="G81" s="53"/>
      <c r="H81" s="53" t="s">
        <v>2754</v>
      </c>
      <c r="N81" s="53"/>
    </row>
    <row r="82" spans="1:15" ht="15" customHeight="1">
      <c r="A82" s="894" t="s">
        <v>228</v>
      </c>
      <c r="B82" s="894"/>
      <c r="C82" s="894"/>
      <c r="D82" s="894"/>
      <c r="E82" s="894"/>
      <c r="F82" s="894"/>
      <c r="G82" s="894"/>
      <c r="H82" s="894" t="s">
        <v>903</v>
      </c>
      <c r="I82" s="894"/>
      <c r="J82" s="894"/>
      <c r="K82" s="894"/>
      <c r="L82" s="894"/>
      <c r="M82" s="894"/>
      <c r="N82" s="894"/>
      <c r="O82" s="894"/>
    </row>
    <row r="83" spans="1:15" ht="8.25" customHeight="1" thickBot="1"/>
    <row r="84" spans="1:15" ht="15" customHeight="1">
      <c r="A84" s="895" t="s">
        <v>94</v>
      </c>
      <c r="B84" s="897" t="s">
        <v>95</v>
      </c>
      <c r="C84" s="897" t="s">
        <v>96</v>
      </c>
      <c r="D84" s="897" t="s">
        <v>3</v>
      </c>
      <c r="E84" s="897" t="s">
        <v>97</v>
      </c>
      <c r="F84" s="897" t="s">
        <v>98</v>
      </c>
      <c r="G84" s="500" t="s">
        <v>99</v>
      </c>
      <c r="H84" s="895" t="s">
        <v>94</v>
      </c>
      <c r="I84" s="897" t="s">
        <v>95</v>
      </c>
      <c r="J84" s="897" t="s">
        <v>96</v>
      </c>
      <c r="K84" s="897" t="s">
        <v>3</v>
      </c>
      <c r="L84" s="897" t="s">
        <v>97</v>
      </c>
      <c r="M84" s="897" t="s">
        <v>98</v>
      </c>
      <c r="N84" s="897" t="s">
        <v>99</v>
      </c>
      <c r="O84" s="899"/>
    </row>
    <row r="85" spans="1:15" ht="15.75" customHeight="1" thickBot="1">
      <c r="A85" s="896"/>
      <c r="B85" s="898"/>
      <c r="C85" s="898"/>
      <c r="D85" s="898"/>
      <c r="E85" s="898"/>
      <c r="F85" s="898"/>
      <c r="G85" s="240" t="s">
        <v>100</v>
      </c>
      <c r="H85" s="896"/>
      <c r="I85" s="898"/>
      <c r="J85" s="898"/>
      <c r="K85" s="898"/>
      <c r="L85" s="898"/>
      <c r="M85" s="898"/>
      <c r="N85" s="240" t="s">
        <v>100</v>
      </c>
      <c r="O85" s="182" t="s">
        <v>101</v>
      </c>
    </row>
    <row r="86" spans="1:15" ht="13.5" customHeight="1">
      <c r="A86" s="881">
        <f>+A55+1</f>
        <v>242</v>
      </c>
      <c r="B86" s="875">
        <v>42242</v>
      </c>
      <c r="C86" s="877" t="s">
        <v>230</v>
      </c>
      <c r="D86" s="881" t="s">
        <v>244</v>
      </c>
      <c r="E86" s="881" t="s">
        <v>148</v>
      </c>
      <c r="F86" s="883">
        <v>182000</v>
      </c>
      <c r="G86" s="55">
        <v>719</v>
      </c>
      <c r="H86" s="873" t="s">
        <v>2306</v>
      </c>
      <c r="I86" s="875">
        <v>45825</v>
      </c>
      <c r="J86" s="910" t="s">
        <v>2486</v>
      </c>
      <c r="K86" s="881" t="s">
        <v>2806</v>
      </c>
      <c r="L86" s="948" t="s">
        <v>148</v>
      </c>
      <c r="M86" s="946">
        <v>1800000</v>
      </c>
      <c r="N86" s="55">
        <v>719</v>
      </c>
      <c r="O86" s="78"/>
    </row>
    <row r="87" spans="1:15" ht="21.75" customHeight="1" thickBot="1">
      <c r="A87" s="882"/>
      <c r="B87" s="934"/>
      <c r="C87" s="878"/>
      <c r="D87" s="882"/>
      <c r="E87" s="882"/>
      <c r="F87" s="884"/>
      <c r="G87" s="56">
        <v>721</v>
      </c>
      <c r="H87" s="882"/>
      <c r="I87" s="876"/>
      <c r="J87" s="911"/>
      <c r="K87" s="882"/>
      <c r="L87" s="949"/>
      <c r="M87" s="947"/>
      <c r="N87" s="56">
        <v>723</v>
      </c>
      <c r="O87" s="79">
        <f>+M86-O86</f>
        <v>1800000</v>
      </c>
    </row>
    <row r="88" spans="1:15" ht="12" customHeight="1">
      <c r="A88" s="881">
        <f>+A86+1</f>
        <v>243</v>
      </c>
      <c r="B88" s="875">
        <v>42242</v>
      </c>
      <c r="C88" s="881" t="s">
        <v>28</v>
      </c>
      <c r="D88" s="881" t="s">
        <v>229</v>
      </c>
      <c r="E88" s="881" t="s">
        <v>148</v>
      </c>
      <c r="F88" s="883">
        <v>336000</v>
      </c>
      <c r="G88" s="55">
        <v>719</v>
      </c>
      <c r="H88" s="873" t="s">
        <v>2312</v>
      </c>
      <c r="I88" s="875">
        <v>45825</v>
      </c>
      <c r="J88" s="877" t="s">
        <v>1958</v>
      </c>
      <c r="K88" s="881" t="s">
        <v>2806</v>
      </c>
      <c r="L88" s="881" t="s">
        <v>148</v>
      </c>
      <c r="M88" s="883">
        <v>2520000</v>
      </c>
      <c r="N88" s="492">
        <v>719</v>
      </c>
      <c r="O88" s="493"/>
    </row>
    <row r="89" spans="1:15" ht="14.25" customHeight="1" thickBot="1">
      <c r="A89" s="882"/>
      <c r="B89" s="934"/>
      <c r="C89" s="882"/>
      <c r="D89" s="882"/>
      <c r="E89" s="882"/>
      <c r="F89" s="884"/>
      <c r="G89" s="56">
        <v>721</v>
      </c>
      <c r="H89" s="882"/>
      <c r="I89" s="876"/>
      <c r="J89" s="878"/>
      <c r="K89" s="882"/>
      <c r="L89" s="882"/>
      <c r="M89" s="884"/>
      <c r="N89" s="494">
        <v>723</v>
      </c>
      <c r="O89" s="495">
        <f>+M88-O88</f>
        <v>2520000</v>
      </c>
    </row>
    <row r="90" spans="1:15" ht="11.25" customHeight="1">
      <c r="A90" s="881">
        <f>+A88+1</f>
        <v>244</v>
      </c>
      <c r="B90" s="875">
        <v>42242</v>
      </c>
      <c r="C90" s="877" t="s">
        <v>32</v>
      </c>
      <c r="D90" s="881" t="s">
        <v>229</v>
      </c>
      <c r="E90" s="881" t="s">
        <v>148</v>
      </c>
      <c r="F90" s="883">
        <v>56000</v>
      </c>
      <c r="G90" s="55">
        <v>719</v>
      </c>
      <c r="H90" s="873" t="s">
        <v>2313</v>
      </c>
      <c r="I90" s="875">
        <v>45825</v>
      </c>
      <c r="J90" s="910" t="s">
        <v>1079</v>
      </c>
      <c r="K90" s="881" t="s">
        <v>2806</v>
      </c>
      <c r="L90" s="881" t="s">
        <v>148</v>
      </c>
      <c r="M90" s="883">
        <v>3900000</v>
      </c>
      <c r="N90" s="492">
        <v>719</v>
      </c>
      <c r="O90" s="493"/>
    </row>
    <row r="91" spans="1:15" ht="14.25" customHeight="1" thickBot="1">
      <c r="A91" s="882"/>
      <c r="B91" s="934"/>
      <c r="C91" s="878"/>
      <c r="D91" s="882"/>
      <c r="E91" s="882"/>
      <c r="F91" s="884"/>
      <c r="G91" s="56">
        <v>721</v>
      </c>
      <c r="H91" s="882"/>
      <c r="I91" s="876"/>
      <c r="J91" s="911"/>
      <c r="K91" s="882"/>
      <c r="L91" s="882"/>
      <c r="M91" s="884"/>
      <c r="N91" s="494">
        <v>723</v>
      </c>
      <c r="O91" s="495">
        <f>+M90-O90</f>
        <v>3900000</v>
      </c>
    </row>
    <row r="92" spans="1:15" ht="12" customHeight="1">
      <c r="A92" s="251"/>
      <c r="B92" s="452"/>
      <c r="C92" s="253"/>
      <c r="D92" s="251"/>
      <c r="E92" s="251"/>
      <c r="F92" s="254"/>
      <c r="G92" s="255"/>
      <c r="H92" s="873" t="s">
        <v>2314</v>
      </c>
      <c r="I92" s="875">
        <v>45825</v>
      </c>
      <c r="J92" s="877" t="s">
        <v>806</v>
      </c>
      <c r="K92" s="881" t="s">
        <v>2806</v>
      </c>
      <c r="L92" s="881" t="s">
        <v>165</v>
      </c>
      <c r="M92" s="883">
        <v>1600000</v>
      </c>
      <c r="N92" s="55">
        <v>719</v>
      </c>
      <c r="O92" s="78"/>
    </row>
    <row r="93" spans="1:15" ht="14.25" customHeight="1" thickBot="1">
      <c r="A93" s="251"/>
      <c r="B93" s="452"/>
      <c r="C93" s="253"/>
      <c r="D93" s="251"/>
      <c r="E93" s="251"/>
      <c r="F93" s="254"/>
      <c r="G93" s="255"/>
      <c r="H93" s="882"/>
      <c r="I93" s="876"/>
      <c r="J93" s="878"/>
      <c r="K93" s="882"/>
      <c r="L93" s="882"/>
      <c r="M93" s="884"/>
      <c r="N93" s="56">
        <v>723</v>
      </c>
      <c r="O93" s="79">
        <f>+M92-O92</f>
        <v>1600000</v>
      </c>
    </row>
    <row r="94" spans="1:15" ht="11.25" customHeight="1">
      <c r="A94" s="881" t="e">
        <f>+#REF!+1</f>
        <v>#REF!</v>
      </c>
      <c r="B94" s="875">
        <v>42242</v>
      </c>
      <c r="C94" s="881" t="s">
        <v>31</v>
      </c>
      <c r="D94" s="881" t="s">
        <v>229</v>
      </c>
      <c r="E94" s="881" t="s">
        <v>148</v>
      </c>
      <c r="F94" s="883">
        <v>588000</v>
      </c>
      <c r="G94" s="55">
        <v>719</v>
      </c>
      <c r="H94" s="873" t="s">
        <v>2315</v>
      </c>
      <c r="I94" s="875">
        <v>45825</v>
      </c>
      <c r="J94" s="877" t="s">
        <v>2444</v>
      </c>
      <c r="K94" s="881" t="s">
        <v>2806</v>
      </c>
      <c r="L94" s="881" t="s">
        <v>148</v>
      </c>
      <c r="M94" s="883">
        <v>2583132</v>
      </c>
      <c r="N94" s="55">
        <v>719</v>
      </c>
      <c r="O94" s="78"/>
    </row>
    <row r="95" spans="1:15" ht="14.25" customHeight="1" thickBot="1">
      <c r="A95" s="882"/>
      <c r="B95" s="934"/>
      <c r="C95" s="882"/>
      <c r="D95" s="882"/>
      <c r="E95" s="882"/>
      <c r="F95" s="884"/>
      <c r="G95" s="56">
        <v>721</v>
      </c>
      <c r="H95" s="882"/>
      <c r="I95" s="876"/>
      <c r="J95" s="878"/>
      <c r="K95" s="882"/>
      <c r="L95" s="882"/>
      <c r="M95" s="884"/>
      <c r="N95" s="56">
        <v>723</v>
      </c>
      <c r="O95" s="79">
        <f>+M94-O94</f>
        <v>2583132</v>
      </c>
    </row>
    <row r="96" spans="1:15" ht="16.5" thickBot="1">
      <c r="A96" s="901" t="s">
        <v>102</v>
      </c>
      <c r="B96" s="902"/>
      <c r="C96" s="902"/>
      <c r="D96" s="902"/>
      <c r="E96" s="903"/>
      <c r="F96" s="81">
        <f>SUM(F86:F95)</f>
        <v>1162000</v>
      </c>
      <c r="H96" s="901" t="s">
        <v>102</v>
      </c>
      <c r="I96" s="902"/>
      <c r="J96" s="902"/>
      <c r="K96" s="902"/>
      <c r="L96" s="903"/>
      <c r="M96" s="81">
        <f>+M86+M88+M90+M92+M94</f>
        <v>12403132</v>
      </c>
    </row>
    <row r="97" spans="1:15" ht="16.5" thickBot="1">
      <c r="A97" s="885" t="s">
        <v>103</v>
      </c>
      <c r="B97" s="886"/>
      <c r="C97" s="886"/>
      <c r="D97" s="886"/>
      <c r="E97" s="887"/>
      <c r="F97" s="184" t="e">
        <f>+C111</f>
        <v>#REF!</v>
      </c>
      <c r="H97" s="885" t="s">
        <v>103</v>
      </c>
      <c r="I97" s="886"/>
      <c r="J97" s="886"/>
      <c r="K97" s="886"/>
      <c r="L97" s="887"/>
      <c r="M97" s="69">
        <f>+K74</f>
        <v>171308300</v>
      </c>
      <c r="N97" s="241" t="s">
        <v>561</v>
      </c>
      <c r="O97" s="242"/>
    </row>
    <row r="98" spans="1:15" ht="16.5" thickBot="1">
      <c r="A98" s="888" t="s">
        <v>104</v>
      </c>
      <c r="B98" s="889"/>
      <c r="C98" s="889"/>
      <c r="D98" s="889"/>
      <c r="E98" s="890"/>
      <c r="F98" s="183" t="e">
        <f>SUM(F96:F97)</f>
        <v>#REF!</v>
      </c>
      <c r="H98" s="888" t="s">
        <v>104</v>
      </c>
      <c r="I98" s="889"/>
      <c r="J98" s="889"/>
      <c r="K98" s="889"/>
      <c r="L98" s="890"/>
      <c r="M98" s="183">
        <f>SUM(M96:M97)</f>
        <v>183711432</v>
      </c>
    </row>
    <row r="99" spans="1:15" ht="14.25" customHeight="1">
      <c r="A99" s="61"/>
      <c r="B99" s="61"/>
      <c r="C99" s="61"/>
      <c r="D99" s="61"/>
      <c r="E99" s="61"/>
      <c r="H99" s="61"/>
      <c r="I99" s="61"/>
      <c r="J99" s="61"/>
      <c r="K99" s="61"/>
      <c r="L99" s="61"/>
    </row>
    <row r="100" spans="1:15">
      <c r="A100" s="51" t="s">
        <v>232</v>
      </c>
      <c r="H100" s="51" t="s">
        <v>2830</v>
      </c>
    </row>
    <row r="101" spans="1:15" ht="4.5" customHeight="1">
      <c r="F101" s="139"/>
      <c r="M101" s="139"/>
    </row>
    <row r="102" spans="1:15" ht="12" customHeight="1">
      <c r="A102" s="50" t="s">
        <v>105</v>
      </c>
      <c r="D102" s="146"/>
      <c r="H102" s="50" t="s">
        <v>105</v>
      </c>
      <c r="K102" s="146"/>
      <c r="M102" s="139"/>
    </row>
    <row r="103" spans="1:15" ht="6" customHeight="1" thickBot="1"/>
    <row r="104" spans="1:15" ht="17.25" thickBot="1">
      <c r="A104" s="891" t="s">
        <v>106</v>
      </c>
      <c r="B104" s="892"/>
      <c r="C104" s="892"/>
      <c r="D104" s="893"/>
      <c r="F104" s="50" t="s">
        <v>107</v>
      </c>
      <c r="H104" s="891" t="s">
        <v>106</v>
      </c>
      <c r="I104" s="892"/>
      <c r="J104" s="892"/>
      <c r="K104" s="893"/>
      <c r="M104" s="604" t="s">
        <v>288</v>
      </c>
      <c r="N104" s="604"/>
      <c r="O104" s="604"/>
    </row>
    <row r="105" spans="1:15" ht="28.5" customHeight="1" thickBot="1">
      <c r="A105" s="57" t="s">
        <v>100</v>
      </c>
      <c r="B105" s="58" t="s">
        <v>108</v>
      </c>
      <c r="C105" s="59" t="s">
        <v>109</v>
      </c>
      <c r="D105" s="60" t="s">
        <v>110</v>
      </c>
      <c r="H105" s="57" t="s">
        <v>100</v>
      </c>
      <c r="I105" s="58" t="s">
        <v>108</v>
      </c>
      <c r="J105" s="59" t="s">
        <v>109</v>
      </c>
      <c r="K105" s="60" t="s">
        <v>110</v>
      </c>
      <c r="M105" s="12"/>
      <c r="N105" s="12"/>
      <c r="O105" s="12"/>
    </row>
    <row r="106" spans="1:15" ht="12.75" customHeight="1">
      <c r="A106" s="71">
        <v>719</v>
      </c>
      <c r="B106" s="73" t="e">
        <f>+#REF!+#REF!+#REF!+#REF!+#REF!</f>
        <v>#REF!</v>
      </c>
      <c r="C106" s="74" t="e">
        <f>+D69</f>
        <v>#REF!</v>
      </c>
      <c r="D106" s="76" t="e">
        <f>+B106+C106</f>
        <v>#REF!</v>
      </c>
      <c r="H106" s="71">
        <v>719</v>
      </c>
      <c r="I106" s="73"/>
      <c r="J106" s="74">
        <f>+K69</f>
        <v>12720000</v>
      </c>
      <c r="K106" s="195">
        <f>+I106+J106</f>
        <v>12720000</v>
      </c>
      <c r="M106" s="12"/>
      <c r="N106" s="12"/>
      <c r="O106" s="12"/>
    </row>
    <row r="107" spans="1:15" ht="13.5" customHeight="1">
      <c r="A107" s="72">
        <v>721</v>
      </c>
      <c r="B107" s="80" t="e">
        <f>+#REF!+#REF!+#REF!+#REF!+#REF!</f>
        <v>#REF!</v>
      </c>
      <c r="C107" s="74">
        <f>+D70</f>
        <v>36156092</v>
      </c>
      <c r="D107" s="76" t="e">
        <f>+B107+C107</f>
        <v>#REF!</v>
      </c>
      <c r="H107" s="72">
        <v>721</v>
      </c>
      <c r="I107" s="80"/>
      <c r="J107" s="74">
        <f>+K70</f>
        <v>1505000</v>
      </c>
      <c r="K107" s="195">
        <f>+I107+J107</f>
        <v>1505000</v>
      </c>
      <c r="M107" s="12"/>
      <c r="N107" s="12"/>
      <c r="O107" s="12"/>
    </row>
    <row r="108" spans="1:15" ht="12.75" customHeight="1">
      <c r="A108" s="72">
        <v>722</v>
      </c>
      <c r="B108" s="80"/>
      <c r="C108" s="74">
        <f>+D71</f>
        <v>224787287</v>
      </c>
      <c r="D108" s="76">
        <f>+B108+C108</f>
        <v>224787287</v>
      </c>
      <c r="H108" s="72">
        <v>722</v>
      </c>
      <c r="I108" s="80">
        <v>0</v>
      </c>
      <c r="J108" s="74">
        <f>+K71</f>
        <v>0</v>
      </c>
      <c r="K108" s="195">
        <f>+I108+J108</f>
        <v>0</v>
      </c>
      <c r="M108" s="12"/>
      <c r="N108" s="12"/>
      <c r="O108" s="12"/>
    </row>
    <row r="109" spans="1:15" ht="17.25" customHeight="1" thickBot="1">
      <c r="A109" s="72">
        <v>723</v>
      </c>
      <c r="B109" s="80"/>
      <c r="C109" s="74">
        <f>+D72</f>
        <v>319828837</v>
      </c>
      <c r="D109" s="76">
        <f>+B109+C109</f>
        <v>319828837</v>
      </c>
      <c r="F109" s="174" t="s">
        <v>23</v>
      </c>
      <c r="H109" s="72">
        <v>723</v>
      </c>
      <c r="I109" s="80">
        <f>+M96</f>
        <v>12403132</v>
      </c>
      <c r="J109" s="74">
        <f>+K72</f>
        <v>157083300</v>
      </c>
      <c r="K109" s="195">
        <f>+I109+J109</f>
        <v>169486432</v>
      </c>
      <c r="M109" s="918"/>
      <c r="N109" s="608"/>
      <c r="O109" s="608"/>
    </row>
    <row r="110" spans="1:15" ht="13.5" hidden="1" customHeight="1">
      <c r="A110" s="164" t="s">
        <v>181</v>
      </c>
      <c r="B110" s="165"/>
      <c r="C110" s="74">
        <f>+D73</f>
        <v>1965625</v>
      </c>
      <c r="D110" s="168">
        <f>+B110+C110</f>
        <v>1965625</v>
      </c>
      <c r="F110" s="52"/>
      <c r="H110" s="164" t="s">
        <v>181</v>
      </c>
      <c r="I110" s="165"/>
      <c r="J110" s="74">
        <f>+K73</f>
        <v>0</v>
      </c>
      <c r="K110" s="196">
        <f>+I110+J110</f>
        <v>0</v>
      </c>
      <c r="M110" s="191"/>
      <c r="N110" s="12"/>
      <c r="O110" s="12"/>
    </row>
    <row r="111" spans="1:15" ht="15" customHeight="1" thickBot="1">
      <c r="A111" s="169"/>
      <c r="B111" s="170" t="e">
        <f>SUM(B106:B110)</f>
        <v>#REF!</v>
      </c>
      <c r="C111" s="171" t="e">
        <f>SUM(C106:C110)</f>
        <v>#REF!</v>
      </c>
      <c r="D111" s="172" t="e">
        <f>SUM(D106:D110)</f>
        <v>#REF!</v>
      </c>
      <c r="H111" s="169"/>
      <c r="I111" s="197">
        <f>SUM(I106:I110)</f>
        <v>12403132</v>
      </c>
      <c r="J111" s="197">
        <f>SUM(J106:J110)</f>
        <v>171308300</v>
      </c>
      <c r="K111" s="198">
        <f>SUM(K106:K110)</f>
        <v>183711432</v>
      </c>
    </row>
    <row r="112" spans="1:15" ht="16.5">
      <c r="A112" s="49" t="s">
        <v>88</v>
      </c>
      <c r="B112" s="50"/>
      <c r="H112" s="49" t="s">
        <v>88</v>
      </c>
      <c r="I112" s="50"/>
    </row>
    <row r="113" spans="1:15" ht="11.25" customHeight="1">
      <c r="A113" s="51" t="s">
        <v>89</v>
      </c>
      <c r="H113" s="51" t="s">
        <v>89</v>
      </c>
    </row>
    <row r="114" spans="1:15" ht="11.25" customHeight="1">
      <c r="A114" s="51" t="s">
        <v>90</v>
      </c>
      <c r="H114" s="51" t="s">
        <v>90</v>
      </c>
    </row>
    <row r="115" spans="1:15" ht="12.75" customHeight="1">
      <c r="A115" s="51" t="s">
        <v>91</v>
      </c>
      <c r="H115" s="51" t="s">
        <v>91</v>
      </c>
    </row>
    <row r="116" spans="1:15" ht="5.25" customHeight="1">
      <c r="A116" s="50"/>
      <c r="B116" s="50"/>
      <c r="H116" s="50"/>
      <c r="I116" s="50"/>
    </row>
    <row r="117" spans="1:15" ht="15.75" customHeight="1">
      <c r="A117" s="52" t="s">
        <v>233</v>
      </c>
      <c r="B117" s="50"/>
      <c r="G117" s="52"/>
      <c r="H117" s="52" t="s">
        <v>573</v>
      </c>
      <c r="N117" s="52"/>
    </row>
    <row r="118" spans="1:15" ht="15.75">
      <c r="A118" s="53" t="s">
        <v>92</v>
      </c>
      <c r="G118" s="53"/>
      <c r="H118" s="53" t="s">
        <v>2754</v>
      </c>
      <c r="N118" s="53"/>
    </row>
    <row r="119" spans="1:15" ht="15.75" customHeight="1">
      <c r="A119" s="894" t="s">
        <v>228</v>
      </c>
      <c r="B119" s="894"/>
      <c r="C119" s="894"/>
      <c r="D119" s="894"/>
      <c r="E119" s="894"/>
      <c r="F119" s="894"/>
      <c r="G119" s="894"/>
      <c r="H119" s="894" t="s">
        <v>903</v>
      </c>
      <c r="I119" s="894"/>
      <c r="J119" s="894"/>
      <c r="K119" s="894"/>
      <c r="L119" s="894"/>
      <c r="M119" s="894"/>
      <c r="N119" s="894"/>
      <c r="O119" s="894"/>
    </row>
    <row r="120" spans="1:15" ht="6.75" customHeight="1" thickBot="1"/>
    <row r="121" spans="1:15" ht="15.75" customHeight="1">
      <c r="A121" s="895" t="s">
        <v>94</v>
      </c>
      <c r="B121" s="897" t="s">
        <v>95</v>
      </c>
      <c r="C121" s="897" t="s">
        <v>96</v>
      </c>
      <c r="D121" s="897" t="s">
        <v>3</v>
      </c>
      <c r="E121" s="897" t="s">
        <v>97</v>
      </c>
      <c r="F121" s="897" t="s">
        <v>98</v>
      </c>
      <c r="G121" s="500" t="s">
        <v>99</v>
      </c>
      <c r="H121" s="895" t="s">
        <v>94</v>
      </c>
      <c r="I121" s="897" t="s">
        <v>95</v>
      </c>
      <c r="J121" s="897" t="s">
        <v>96</v>
      </c>
      <c r="K121" s="897" t="s">
        <v>3</v>
      </c>
      <c r="L121" s="897" t="s">
        <v>97</v>
      </c>
      <c r="M121" s="897" t="s">
        <v>98</v>
      </c>
      <c r="N121" s="897" t="s">
        <v>99</v>
      </c>
      <c r="O121" s="899"/>
    </row>
    <row r="122" spans="1:15" ht="15" customHeight="1" thickBot="1">
      <c r="A122" s="896"/>
      <c r="B122" s="898"/>
      <c r="C122" s="898"/>
      <c r="D122" s="898"/>
      <c r="E122" s="898"/>
      <c r="F122" s="898"/>
      <c r="G122" s="240" t="s">
        <v>100</v>
      </c>
      <c r="H122" s="896"/>
      <c r="I122" s="898"/>
      <c r="J122" s="898"/>
      <c r="K122" s="898"/>
      <c r="L122" s="898"/>
      <c r="M122" s="898"/>
      <c r="N122" s="240" t="s">
        <v>100</v>
      </c>
      <c r="O122" s="182" t="s">
        <v>101</v>
      </c>
    </row>
    <row r="123" spans="1:15" ht="14.25" customHeight="1">
      <c r="A123" s="881" t="e">
        <f>+A94+1</f>
        <v>#REF!</v>
      </c>
      <c r="B123" s="875">
        <v>42242</v>
      </c>
      <c r="C123" s="942" t="s">
        <v>230</v>
      </c>
      <c r="D123" s="881" t="s">
        <v>234</v>
      </c>
      <c r="E123" s="881" t="s">
        <v>148</v>
      </c>
      <c r="F123" s="883">
        <v>196000</v>
      </c>
      <c r="G123" s="55">
        <v>719</v>
      </c>
      <c r="H123" s="873" t="s">
        <v>2316</v>
      </c>
      <c r="I123" s="875">
        <v>45825</v>
      </c>
      <c r="J123" s="910" t="s">
        <v>1984</v>
      </c>
      <c r="K123" s="881" t="s">
        <v>2445</v>
      </c>
      <c r="L123" s="881" t="s">
        <v>148</v>
      </c>
      <c r="M123" s="883">
        <v>7623000</v>
      </c>
      <c r="N123" s="55">
        <v>719</v>
      </c>
      <c r="O123" s="78"/>
    </row>
    <row r="124" spans="1:15" ht="13.5" customHeight="1" thickBot="1">
      <c r="A124" s="882"/>
      <c r="B124" s="934"/>
      <c r="C124" s="943"/>
      <c r="D124" s="882"/>
      <c r="E124" s="882"/>
      <c r="F124" s="884"/>
      <c r="G124" s="56">
        <v>721</v>
      </c>
      <c r="H124" s="882"/>
      <c r="I124" s="876"/>
      <c r="J124" s="911"/>
      <c r="K124" s="882"/>
      <c r="L124" s="882"/>
      <c r="M124" s="884"/>
      <c r="N124" s="56">
        <v>723</v>
      </c>
      <c r="O124" s="79">
        <f>+M123-O123</f>
        <v>7623000</v>
      </c>
    </row>
    <row r="125" spans="1:15" ht="11.25" customHeight="1">
      <c r="A125" s="881" t="e">
        <f>+A123+1</f>
        <v>#REF!</v>
      </c>
      <c r="B125" s="875">
        <v>42242</v>
      </c>
      <c r="C125" s="935" t="s">
        <v>28</v>
      </c>
      <c r="D125" s="881" t="s">
        <v>234</v>
      </c>
      <c r="E125" s="881" t="s">
        <v>148</v>
      </c>
      <c r="F125" s="883">
        <v>364000</v>
      </c>
      <c r="G125" s="55">
        <v>719</v>
      </c>
      <c r="H125" s="873" t="s">
        <v>2317</v>
      </c>
      <c r="I125" s="875">
        <v>45825</v>
      </c>
      <c r="J125" s="910" t="s">
        <v>1984</v>
      </c>
      <c r="K125" s="881" t="s">
        <v>2445</v>
      </c>
      <c r="L125" s="881" t="s">
        <v>148</v>
      </c>
      <c r="M125" s="883">
        <v>5400000</v>
      </c>
      <c r="N125" s="55">
        <v>719</v>
      </c>
      <c r="O125" s="78"/>
    </row>
    <row r="126" spans="1:15" ht="13.5" customHeight="1" thickBot="1">
      <c r="A126" s="882"/>
      <c r="B126" s="934"/>
      <c r="C126" s="936"/>
      <c r="D126" s="882"/>
      <c r="E126" s="882"/>
      <c r="F126" s="884"/>
      <c r="G126" s="56">
        <v>721</v>
      </c>
      <c r="H126" s="882"/>
      <c r="I126" s="876"/>
      <c r="J126" s="911"/>
      <c r="K126" s="882"/>
      <c r="L126" s="882"/>
      <c r="M126" s="884"/>
      <c r="N126" s="56">
        <v>723</v>
      </c>
      <c r="O126" s="79">
        <f>+M125-O125</f>
        <v>5400000</v>
      </c>
    </row>
    <row r="127" spans="1:15" ht="13.5" customHeight="1">
      <c r="A127" s="881" t="e">
        <f>+A125+1</f>
        <v>#REF!</v>
      </c>
      <c r="B127" s="875">
        <v>42242</v>
      </c>
      <c r="C127" s="942" t="s">
        <v>32</v>
      </c>
      <c r="D127" s="881" t="s">
        <v>235</v>
      </c>
      <c r="E127" s="881" t="s">
        <v>148</v>
      </c>
      <c r="F127" s="883">
        <v>70000</v>
      </c>
      <c r="G127" s="55">
        <v>719</v>
      </c>
      <c r="H127" s="873" t="s">
        <v>2324</v>
      </c>
      <c r="I127" s="875">
        <v>45825</v>
      </c>
      <c r="J127" s="910" t="s">
        <v>1984</v>
      </c>
      <c r="K127" s="881" t="s">
        <v>2445</v>
      </c>
      <c r="L127" s="881" t="s">
        <v>148</v>
      </c>
      <c r="M127" s="883">
        <v>3300000</v>
      </c>
      <c r="N127" s="55">
        <v>719</v>
      </c>
      <c r="O127" s="78"/>
    </row>
    <row r="128" spans="1:15" ht="12.75" customHeight="1" thickBot="1">
      <c r="A128" s="882"/>
      <c r="B128" s="934"/>
      <c r="C128" s="943"/>
      <c r="D128" s="882"/>
      <c r="E128" s="882"/>
      <c r="F128" s="884"/>
      <c r="G128" s="56">
        <v>721</v>
      </c>
      <c r="H128" s="882"/>
      <c r="I128" s="876"/>
      <c r="J128" s="911"/>
      <c r="K128" s="882"/>
      <c r="L128" s="882"/>
      <c r="M128" s="884"/>
      <c r="N128" s="56">
        <v>723</v>
      </c>
      <c r="O128" s="79">
        <f>+M127-O127</f>
        <v>3300000</v>
      </c>
    </row>
    <row r="129" spans="1:15" ht="12.75" customHeight="1">
      <c r="A129" s="251"/>
      <c r="B129" s="452"/>
      <c r="C129" s="465"/>
      <c r="D129" s="251"/>
      <c r="E129" s="251"/>
      <c r="F129" s="254"/>
      <c r="G129" s="255"/>
      <c r="H129" s="873" t="s">
        <v>2325</v>
      </c>
      <c r="I129" s="875">
        <v>45825</v>
      </c>
      <c r="J129" s="877" t="s">
        <v>678</v>
      </c>
      <c r="K129" s="881" t="s">
        <v>2474</v>
      </c>
      <c r="L129" s="881" t="s">
        <v>148</v>
      </c>
      <c r="M129" s="883">
        <v>1260000</v>
      </c>
      <c r="N129" s="55">
        <v>719</v>
      </c>
      <c r="O129" s="78"/>
    </row>
    <row r="130" spans="1:15" ht="12.75" customHeight="1" thickBot="1">
      <c r="A130" s="251"/>
      <c r="B130" s="452"/>
      <c r="C130" s="465"/>
      <c r="D130" s="251"/>
      <c r="E130" s="251"/>
      <c r="F130" s="254"/>
      <c r="G130" s="255"/>
      <c r="H130" s="882"/>
      <c r="I130" s="876"/>
      <c r="J130" s="878"/>
      <c r="K130" s="882"/>
      <c r="L130" s="882"/>
      <c r="M130" s="884"/>
      <c r="N130" s="56">
        <v>723</v>
      </c>
      <c r="O130" s="79">
        <f>+M129-O129</f>
        <v>1260000</v>
      </c>
    </row>
    <row r="131" spans="1:15" ht="11.25" customHeight="1">
      <c r="A131" s="881" t="e">
        <f>+A127+1</f>
        <v>#REF!</v>
      </c>
      <c r="B131" s="875">
        <v>42242</v>
      </c>
      <c r="C131" s="935" t="s">
        <v>169</v>
      </c>
      <c r="D131" s="881" t="s">
        <v>236</v>
      </c>
      <c r="E131" s="881" t="s">
        <v>148</v>
      </c>
      <c r="F131" s="883">
        <v>56000</v>
      </c>
      <c r="G131" s="55">
        <v>719</v>
      </c>
      <c r="H131" s="873" t="s">
        <v>2326</v>
      </c>
      <c r="I131" s="875">
        <v>45825</v>
      </c>
      <c r="J131" s="877" t="s">
        <v>2568</v>
      </c>
      <c r="K131" s="881" t="s">
        <v>2474</v>
      </c>
      <c r="L131" s="881" t="s">
        <v>148</v>
      </c>
      <c r="M131" s="883">
        <v>7875000</v>
      </c>
      <c r="N131" s="55">
        <v>719</v>
      </c>
      <c r="O131" s="78"/>
    </row>
    <row r="132" spans="1:15" ht="14.25" customHeight="1" thickBot="1">
      <c r="A132" s="882"/>
      <c r="B132" s="934"/>
      <c r="C132" s="936"/>
      <c r="D132" s="882"/>
      <c r="E132" s="882"/>
      <c r="F132" s="884"/>
      <c r="G132" s="56">
        <v>721</v>
      </c>
      <c r="H132" s="882"/>
      <c r="I132" s="876"/>
      <c r="J132" s="878"/>
      <c r="K132" s="882"/>
      <c r="L132" s="882"/>
      <c r="M132" s="884"/>
      <c r="N132" s="56">
        <v>723</v>
      </c>
      <c r="O132" s="79">
        <f>+M131</f>
        <v>7875000</v>
      </c>
    </row>
    <row r="133" spans="1:15" ht="16.5" thickBot="1">
      <c r="A133" s="901" t="s">
        <v>102</v>
      </c>
      <c r="B133" s="902"/>
      <c r="C133" s="902"/>
      <c r="D133" s="902"/>
      <c r="E133" s="903"/>
      <c r="F133" s="81">
        <f>SUM(F123:F132)</f>
        <v>686000</v>
      </c>
      <c r="H133" s="901" t="s">
        <v>102</v>
      </c>
      <c r="I133" s="902"/>
      <c r="J133" s="902"/>
      <c r="K133" s="902"/>
      <c r="L133" s="903"/>
      <c r="M133" s="81">
        <f>SUM(M123:M132)</f>
        <v>25458000</v>
      </c>
    </row>
    <row r="134" spans="1:15" ht="16.5" thickBot="1">
      <c r="A134" s="885" t="s">
        <v>103</v>
      </c>
      <c r="B134" s="886"/>
      <c r="C134" s="886"/>
      <c r="D134" s="886"/>
      <c r="E134" s="887"/>
      <c r="F134" s="184" t="e">
        <f>+F98</f>
        <v>#REF!</v>
      </c>
      <c r="H134" s="885" t="s">
        <v>103</v>
      </c>
      <c r="I134" s="886"/>
      <c r="J134" s="886"/>
      <c r="K134" s="886"/>
      <c r="L134" s="887"/>
      <c r="M134" s="239">
        <f>+M98</f>
        <v>183711432</v>
      </c>
      <c r="N134" s="241" t="s">
        <v>561</v>
      </c>
      <c r="O134" s="242"/>
    </row>
    <row r="135" spans="1:15" ht="15" customHeight="1" thickBot="1">
      <c r="A135" s="888" t="s">
        <v>104</v>
      </c>
      <c r="B135" s="889"/>
      <c r="C135" s="889"/>
      <c r="D135" s="889"/>
      <c r="E135" s="890"/>
      <c r="F135" s="183" t="e">
        <f>SUM(F133:F134)</f>
        <v>#REF!</v>
      </c>
      <c r="H135" s="888" t="s">
        <v>104</v>
      </c>
      <c r="I135" s="889"/>
      <c r="J135" s="889"/>
      <c r="K135" s="889"/>
      <c r="L135" s="890"/>
      <c r="M135" s="183">
        <f>SUM(M133:M134)</f>
        <v>209169432</v>
      </c>
    </row>
    <row r="136" spans="1:15" ht="4.5" customHeight="1">
      <c r="A136" s="61"/>
      <c r="B136" s="61"/>
      <c r="C136" s="61"/>
      <c r="D136" s="61"/>
      <c r="E136" s="61"/>
      <c r="H136" s="61"/>
      <c r="I136" s="61"/>
      <c r="J136" s="61"/>
      <c r="K136" s="61"/>
      <c r="L136" s="61"/>
    </row>
    <row r="137" spans="1:15" ht="15" customHeight="1">
      <c r="A137" s="51" t="s">
        <v>238</v>
      </c>
      <c r="H137" s="51" t="s">
        <v>2841</v>
      </c>
    </row>
    <row r="138" spans="1:15" ht="9.75" customHeight="1">
      <c r="F138" s="139"/>
      <c r="M138" s="139"/>
    </row>
    <row r="139" spans="1:15">
      <c r="A139" s="50" t="s">
        <v>105</v>
      </c>
      <c r="D139" s="146"/>
      <c r="H139" s="50" t="s">
        <v>105</v>
      </c>
      <c r="K139" s="146"/>
      <c r="M139" s="139"/>
    </row>
    <row r="140" spans="1:15" ht="4.5" customHeight="1" thickBot="1"/>
    <row r="141" spans="1:15" ht="17.25" thickBot="1">
      <c r="A141" s="891" t="s">
        <v>106</v>
      </c>
      <c r="B141" s="892"/>
      <c r="C141" s="892"/>
      <c r="D141" s="893"/>
      <c r="F141" s="50" t="s">
        <v>107</v>
      </c>
      <c r="H141" s="891" t="s">
        <v>106</v>
      </c>
      <c r="I141" s="892"/>
      <c r="J141" s="892"/>
      <c r="K141" s="893"/>
      <c r="M141" s="604" t="s">
        <v>288</v>
      </c>
      <c r="N141" s="604"/>
      <c r="O141" s="604"/>
    </row>
    <row r="142" spans="1:15" ht="31.5" thickBot="1">
      <c r="A142" s="57" t="s">
        <v>100</v>
      </c>
      <c r="B142" s="58" t="s">
        <v>108</v>
      </c>
      <c r="C142" s="59" t="s">
        <v>109</v>
      </c>
      <c r="D142" s="60" t="s">
        <v>110</v>
      </c>
      <c r="H142" s="57" t="s">
        <v>100</v>
      </c>
      <c r="I142" s="58" t="s">
        <v>108</v>
      </c>
      <c r="J142" s="59" t="s">
        <v>109</v>
      </c>
      <c r="K142" s="60" t="s">
        <v>110</v>
      </c>
      <c r="M142" s="12"/>
      <c r="N142" s="12"/>
      <c r="O142" s="12"/>
    </row>
    <row r="143" spans="1:15" ht="15" customHeight="1">
      <c r="A143" s="71">
        <v>719</v>
      </c>
      <c r="B143" s="73" t="e">
        <f>+#REF!+#REF!+#REF!+#REF!+#REF!</f>
        <v>#REF!</v>
      </c>
      <c r="C143" s="74" t="e">
        <f>+D106</f>
        <v>#REF!</v>
      </c>
      <c r="D143" s="76" t="e">
        <f>+B143+C143</f>
        <v>#REF!</v>
      </c>
      <c r="H143" s="71">
        <v>719</v>
      </c>
      <c r="I143" s="73"/>
      <c r="J143" s="74">
        <f>+K106</f>
        <v>12720000</v>
      </c>
      <c r="K143" s="195">
        <f>+I143+J143</f>
        <v>12720000</v>
      </c>
      <c r="M143" s="12"/>
      <c r="N143" s="12"/>
      <c r="O143" s="12"/>
    </row>
    <row r="144" spans="1:15" ht="12.75" customHeight="1">
      <c r="A144" s="72">
        <v>721</v>
      </c>
      <c r="B144" s="80" t="e">
        <f>+#REF!+#REF!+#REF!+#REF!+#REF!</f>
        <v>#REF!</v>
      </c>
      <c r="C144" s="74" t="e">
        <f>+D107</f>
        <v>#REF!</v>
      </c>
      <c r="D144" s="76" t="e">
        <f>+B144+C144</f>
        <v>#REF!</v>
      </c>
      <c r="H144" s="72">
        <v>721</v>
      </c>
      <c r="I144" s="80"/>
      <c r="J144" s="74">
        <f>+K107</f>
        <v>1505000</v>
      </c>
      <c r="K144" s="195">
        <f>+I144+J144</f>
        <v>1505000</v>
      </c>
      <c r="M144" s="12"/>
      <c r="N144" s="12"/>
      <c r="O144" s="12"/>
    </row>
    <row r="145" spans="1:15" ht="13.5" customHeight="1">
      <c r="A145" s="72">
        <v>722</v>
      </c>
      <c r="B145" s="80"/>
      <c r="C145" s="74">
        <f>+D108</f>
        <v>224787287</v>
      </c>
      <c r="D145" s="76">
        <f>+B145+C145</f>
        <v>224787287</v>
      </c>
      <c r="H145" s="72">
        <v>722</v>
      </c>
      <c r="I145" s="80"/>
      <c r="J145" s="74">
        <f>+K108</f>
        <v>0</v>
      </c>
      <c r="K145" s="195">
        <f>+I145+J145</f>
        <v>0</v>
      </c>
      <c r="M145" s="12"/>
      <c r="N145" s="12"/>
      <c r="O145" s="12"/>
    </row>
    <row r="146" spans="1:15" ht="13.5" customHeight="1" thickBot="1">
      <c r="A146" s="72">
        <v>723</v>
      </c>
      <c r="B146" s="80"/>
      <c r="C146" s="74">
        <f>+D109</f>
        <v>319828837</v>
      </c>
      <c r="D146" s="76">
        <f>+B146+C146</f>
        <v>319828837</v>
      </c>
      <c r="F146" s="174" t="s">
        <v>23</v>
      </c>
      <c r="H146" s="72">
        <v>723</v>
      </c>
      <c r="I146" s="80">
        <f>+O124+O126+O128+O132+O130</f>
        <v>25458000</v>
      </c>
      <c r="J146" s="74">
        <f>+K109</f>
        <v>169486432</v>
      </c>
      <c r="K146" s="195">
        <f>+I146+J146</f>
        <v>194944432</v>
      </c>
      <c r="M146" s="918"/>
      <c r="N146" s="608"/>
      <c r="O146" s="608"/>
    </row>
    <row r="147" spans="1:15" ht="13.5" hidden="1" customHeight="1">
      <c r="A147" s="164" t="s">
        <v>181</v>
      </c>
      <c r="B147" s="165"/>
      <c r="C147" s="74">
        <f>+D110</f>
        <v>1965625</v>
      </c>
      <c r="D147" s="168">
        <f>+B147+C147</f>
        <v>1965625</v>
      </c>
      <c r="F147" s="52"/>
      <c r="H147" s="164" t="s">
        <v>181</v>
      </c>
      <c r="I147" s="165"/>
      <c r="J147" s="74">
        <f>+K110</f>
        <v>0</v>
      </c>
      <c r="K147" s="196">
        <f>+I147+J147</f>
        <v>0</v>
      </c>
      <c r="M147" s="52"/>
    </row>
    <row r="148" spans="1:15" ht="15.75" customHeight="1" thickBot="1">
      <c r="A148" s="169"/>
      <c r="B148" s="170" t="e">
        <f>SUM(B143:B147)</f>
        <v>#REF!</v>
      </c>
      <c r="C148" s="171" t="e">
        <f>SUM(C143:C147)</f>
        <v>#REF!</v>
      </c>
      <c r="D148" s="172" t="e">
        <f>SUM(D143:D147)</f>
        <v>#REF!</v>
      </c>
      <c r="H148" s="169"/>
      <c r="I148" s="197">
        <f>SUM(I143:I147)</f>
        <v>25458000</v>
      </c>
      <c r="J148" s="197">
        <f>SUM(J143:J147)</f>
        <v>183711432</v>
      </c>
      <c r="K148" s="198">
        <f>SUM(K143:K147)</f>
        <v>209169432</v>
      </c>
    </row>
    <row r="149" spans="1:15" ht="16.5">
      <c r="A149" s="49" t="s">
        <v>88</v>
      </c>
      <c r="B149" s="50"/>
      <c r="H149" s="49" t="s">
        <v>88</v>
      </c>
      <c r="I149" s="50"/>
    </row>
    <row r="150" spans="1:15" ht="13.5" customHeight="1">
      <c r="A150" s="51" t="s">
        <v>89</v>
      </c>
      <c r="H150" s="51" t="s">
        <v>89</v>
      </c>
    </row>
    <row r="151" spans="1:15" ht="12.75" customHeight="1">
      <c r="A151" s="51" t="s">
        <v>90</v>
      </c>
      <c r="H151" s="51" t="s">
        <v>90</v>
      </c>
    </row>
    <row r="152" spans="1:15">
      <c r="A152" s="51" t="s">
        <v>91</v>
      </c>
      <c r="H152" s="51" t="s">
        <v>91</v>
      </c>
    </row>
    <row r="153" spans="1:15" ht="1.5" customHeight="1">
      <c r="A153" s="50"/>
      <c r="B153" s="50"/>
      <c r="H153" s="50"/>
      <c r="I153" s="50"/>
    </row>
    <row r="154" spans="1:15" ht="15.75" customHeight="1">
      <c r="A154" s="52" t="s">
        <v>237</v>
      </c>
      <c r="B154" s="50"/>
      <c r="G154" s="52"/>
      <c r="H154" s="52" t="s">
        <v>590</v>
      </c>
      <c r="N154" s="52"/>
    </row>
    <row r="155" spans="1:15" ht="15" customHeight="1">
      <c r="A155" s="53" t="s">
        <v>92</v>
      </c>
      <c r="G155" s="53"/>
      <c r="H155" s="53" t="s">
        <v>2754</v>
      </c>
      <c r="N155" s="53"/>
    </row>
    <row r="156" spans="1:15" ht="14.25" customHeight="1">
      <c r="A156" s="894" t="s">
        <v>228</v>
      </c>
      <c r="B156" s="894"/>
      <c r="C156" s="894"/>
      <c r="D156" s="894"/>
      <c r="E156" s="894"/>
      <c r="F156" s="894"/>
      <c r="G156" s="894"/>
      <c r="H156" s="894" t="s">
        <v>2842</v>
      </c>
      <c r="I156" s="894"/>
      <c r="J156" s="894"/>
      <c r="K156" s="894"/>
      <c r="L156" s="894"/>
      <c r="M156" s="894"/>
      <c r="N156" s="894"/>
      <c r="O156" s="894"/>
    </row>
    <row r="157" spans="1:15" ht="3.75" customHeight="1" thickBot="1"/>
    <row r="158" spans="1:15" ht="15.75" customHeight="1">
      <c r="A158" s="895" t="s">
        <v>94</v>
      </c>
      <c r="B158" s="897" t="s">
        <v>95</v>
      </c>
      <c r="C158" s="897" t="s">
        <v>96</v>
      </c>
      <c r="D158" s="897" t="s">
        <v>3</v>
      </c>
      <c r="E158" s="897" t="s">
        <v>97</v>
      </c>
      <c r="F158" s="897" t="s">
        <v>98</v>
      </c>
      <c r="G158" s="500" t="s">
        <v>99</v>
      </c>
      <c r="H158" s="895" t="s">
        <v>94</v>
      </c>
      <c r="I158" s="897" t="s">
        <v>95</v>
      </c>
      <c r="J158" s="897" t="s">
        <v>96</v>
      </c>
      <c r="K158" s="897" t="s">
        <v>3</v>
      </c>
      <c r="L158" s="897" t="s">
        <v>97</v>
      </c>
      <c r="M158" s="897" t="s">
        <v>98</v>
      </c>
      <c r="N158" s="897" t="s">
        <v>99</v>
      </c>
      <c r="O158" s="899"/>
    </row>
    <row r="159" spans="1:15" ht="15" customHeight="1" thickBot="1">
      <c r="A159" s="896"/>
      <c r="B159" s="898"/>
      <c r="C159" s="898"/>
      <c r="D159" s="898"/>
      <c r="E159" s="898"/>
      <c r="F159" s="898"/>
      <c r="G159" s="240" t="s">
        <v>100</v>
      </c>
      <c r="H159" s="896"/>
      <c r="I159" s="898"/>
      <c r="J159" s="898"/>
      <c r="K159" s="898"/>
      <c r="L159" s="898"/>
      <c r="M159" s="898"/>
      <c r="N159" s="240" t="s">
        <v>100</v>
      </c>
      <c r="O159" s="182" t="s">
        <v>101</v>
      </c>
    </row>
    <row r="160" spans="1:15" ht="12" customHeight="1">
      <c r="A160" s="881" t="e">
        <f>+#REF!+1</f>
        <v>#REF!</v>
      </c>
      <c r="B160" s="875">
        <v>42242</v>
      </c>
      <c r="C160" s="942" t="s">
        <v>230</v>
      </c>
      <c r="D160" s="881" t="s">
        <v>242</v>
      </c>
      <c r="E160" s="881" t="s">
        <v>148</v>
      </c>
      <c r="F160" s="883">
        <v>182000</v>
      </c>
      <c r="G160" s="55">
        <v>719</v>
      </c>
      <c r="H160" s="873" t="s">
        <v>2327</v>
      </c>
      <c r="I160" s="875">
        <v>45832</v>
      </c>
      <c r="J160" s="877" t="s">
        <v>2843</v>
      </c>
      <c r="K160" s="879" t="s">
        <v>2844</v>
      </c>
      <c r="L160" s="881" t="s">
        <v>148</v>
      </c>
      <c r="M160" s="883">
        <v>1000000</v>
      </c>
      <c r="N160" s="55">
        <v>719</v>
      </c>
      <c r="O160" s="78">
        <v>0</v>
      </c>
    </row>
    <row r="161" spans="1:15" ht="15" customHeight="1" thickBot="1">
      <c r="A161" s="882"/>
      <c r="B161" s="934"/>
      <c r="C161" s="943"/>
      <c r="D161" s="882"/>
      <c r="E161" s="882"/>
      <c r="F161" s="884"/>
      <c r="G161" s="56">
        <v>721</v>
      </c>
      <c r="H161" s="882"/>
      <c r="I161" s="876"/>
      <c r="J161" s="878"/>
      <c r="K161" s="880"/>
      <c r="L161" s="882"/>
      <c r="M161" s="884"/>
      <c r="N161" s="56">
        <v>723</v>
      </c>
      <c r="O161" s="79">
        <f>+M160-O160</f>
        <v>1000000</v>
      </c>
    </row>
    <row r="162" spans="1:15" ht="13.5" customHeight="1">
      <c r="A162" s="251"/>
      <c r="B162" s="452"/>
      <c r="C162" s="465"/>
      <c r="D162" s="251"/>
      <c r="E162" s="251"/>
      <c r="F162" s="254"/>
      <c r="G162" s="255"/>
      <c r="H162" s="873" t="s">
        <v>2328</v>
      </c>
      <c r="I162" s="875">
        <v>45832</v>
      </c>
      <c r="J162" s="877" t="s">
        <v>2373</v>
      </c>
      <c r="K162" s="879" t="s">
        <v>2845</v>
      </c>
      <c r="L162" s="881" t="s">
        <v>148</v>
      </c>
      <c r="M162" s="883">
        <v>1500000</v>
      </c>
      <c r="N162" s="55">
        <v>719</v>
      </c>
      <c r="O162" s="78">
        <v>0</v>
      </c>
    </row>
    <row r="163" spans="1:15" ht="15" customHeight="1" thickBot="1">
      <c r="A163" s="251"/>
      <c r="B163" s="452"/>
      <c r="C163" s="465"/>
      <c r="D163" s="251"/>
      <c r="E163" s="251"/>
      <c r="F163" s="254"/>
      <c r="G163" s="255"/>
      <c r="H163" s="882"/>
      <c r="I163" s="876"/>
      <c r="J163" s="878"/>
      <c r="K163" s="880"/>
      <c r="L163" s="882"/>
      <c r="M163" s="884"/>
      <c r="N163" s="56">
        <v>723</v>
      </c>
      <c r="O163" s="79">
        <f>+M162-O162</f>
        <v>1500000</v>
      </c>
    </row>
    <row r="164" spans="1:15" ht="14.25" customHeight="1">
      <c r="A164" s="881" t="e">
        <f>+A160+1</f>
        <v>#REF!</v>
      </c>
      <c r="B164" s="875">
        <v>42242</v>
      </c>
      <c r="C164" s="935" t="s">
        <v>28</v>
      </c>
      <c r="D164" s="881" t="s">
        <v>240</v>
      </c>
      <c r="E164" s="881" t="s">
        <v>148</v>
      </c>
      <c r="F164" s="883">
        <v>364000</v>
      </c>
      <c r="G164" s="55">
        <v>719</v>
      </c>
      <c r="H164" s="873" t="s">
        <v>2333</v>
      </c>
      <c r="I164" s="875">
        <v>45832</v>
      </c>
      <c r="J164" s="877" t="s">
        <v>2846</v>
      </c>
      <c r="K164" s="879" t="s">
        <v>2847</v>
      </c>
      <c r="L164" s="881" t="s">
        <v>148</v>
      </c>
      <c r="M164" s="883">
        <v>7500000</v>
      </c>
      <c r="N164" s="55">
        <v>719</v>
      </c>
      <c r="O164" s="78">
        <v>0</v>
      </c>
    </row>
    <row r="165" spans="1:15" ht="13.5" customHeight="1" thickBot="1">
      <c r="A165" s="882"/>
      <c r="B165" s="934"/>
      <c r="C165" s="936"/>
      <c r="D165" s="882"/>
      <c r="E165" s="882"/>
      <c r="F165" s="884"/>
      <c r="G165" s="56">
        <v>721</v>
      </c>
      <c r="H165" s="882"/>
      <c r="I165" s="876"/>
      <c r="J165" s="878"/>
      <c r="K165" s="880"/>
      <c r="L165" s="882"/>
      <c r="M165" s="884"/>
      <c r="N165" s="56">
        <v>723</v>
      </c>
      <c r="O165" s="79">
        <f>+M164-O164</f>
        <v>7500000</v>
      </c>
    </row>
    <row r="166" spans="1:15" ht="13.5" customHeight="1">
      <c r="A166" s="251"/>
      <c r="B166" s="452"/>
      <c r="C166" s="472"/>
      <c r="D166" s="251"/>
      <c r="E166" s="251"/>
      <c r="F166" s="254"/>
      <c r="G166" s="255"/>
      <c r="H166" s="873" t="s">
        <v>2524</v>
      </c>
      <c r="I166" s="875">
        <v>45832</v>
      </c>
      <c r="J166" s="910" t="s">
        <v>2848</v>
      </c>
      <c r="K166" s="879" t="s">
        <v>2851</v>
      </c>
      <c r="L166" s="881" t="s">
        <v>148</v>
      </c>
      <c r="M166" s="883">
        <v>500000</v>
      </c>
      <c r="N166" s="55">
        <v>719</v>
      </c>
      <c r="O166" s="78">
        <v>0</v>
      </c>
    </row>
    <row r="167" spans="1:15" ht="13.5" customHeight="1" thickBot="1">
      <c r="A167" s="251"/>
      <c r="B167" s="452"/>
      <c r="C167" s="472"/>
      <c r="D167" s="251"/>
      <c r="E167" s="251"/>
      <c r="F167" s="254"/>
      <c r="G167" s="255"/>
      <c r="H167" s="882"/>
      <c r="I167" s="876"/>
      <c r="J167" s="911"/>
      <c r="K167" s="880"/>
      <c r="L167" s="882"/>
      <c r="M167" s="884"/>
      <c r="N167" s="56">
        <v>723</v>
      </c>
      <c r="O167" s="79">
        <f>+M166-O166</f>
        <v>500000</v>
      </c>
    </row>
    <row r="168" spans="1:15" ht="12" customHeight="1">
      <c r="A168" s="881" t="e">
        <f>+A164+1</f>
        <v>#REF!</v>
      </c>
      <c r="B168" s="875">
        <v>42242</v>
      </c>
      <c r="C168" s="942" t="s">
        <v>32</v>
      </c>
      <c r="D168" s="881" t="s">
        <v>241</v>
      </c>
      <c r="E168" s="881" t="s">
        <v>148</v>
      </c>
      <c r="F168" s="883">
        <v>84000</v>
      </c>
      <c r="G168" s="55">
        <v>719</v>
      </c>
      <c r="H168" s="873" t="s">
        <v>2550</v>
      </c>
      <c r="I168" s="875">
        <v>45832</v>
      </c>
      <c r="J168" s="877" t="s">
        <v>2849</v>
      </c>
      <c r="K168" s="879" t="s">
        <v>2852</v>
      </c>
      <c r="L168" s="881" t="s">
        <v>148</v>
      </c>
      <c r="M168" s="883">
        <v>1500000</v>
      </c>
      <c r="N168" s="55">
        <v>719</v>
      </c>
      <c r="O168" s="78">
        <v>0</v>
      </c>
    </row>
    <row r="169" spans="1:15" ht="12.75" customHeight="1" thickBot="1">
      <c r="A169" s="882"/>
      <c r="B169" s="934"/>
      <c r="C169" s="943"/>
      <c r="D169" s="882"/>
      <c r="E169" s="882"/>
      <c r="F169" s="884"/>
      <c r="G169" s="56">
        <v>721</v>
      </c>
      <c r="H169" s="882"/>
      <c r="I169" s="876"/>
      <c r="J169" s="878"/>
      <c r="K169" s="880"/>
      <c r="L169" s="882"/>
      <c r="M169" s="884"/>
      <c r="N169" s="56">
        <v>723</v>
      </c>
      <c r="O169" s="79">
        <f>+M168-O168</f>
        <v>1500000</v>
      </c>
    </row>
    <row r="170" spans="1:15" ht="17.25" customHeight="1" thickBot="1">
      <c r="A170" s="901" t="s">
        <v>102</v>
      </c>
      <c r="B170" s="902"/>
      <c r="C170" s="902"/>
      <c r="D170" s="902"/>
      <c r="E170" s="903"/>
      <c r="F170" s="81">
        <f>SUM(F160:F169)</f>
        <v>630000</v>
      </c>
      <c r="H170" s="901" t="s">
        <v>102</v>
      </c>
      <c r="I170" s="902"/>
      <c r="J170" s="902"/>
      <c r="K170" s="902"/>
      <c r="L170" s="903"/>
      <c r="M170" s="81">
        <f>SUM(M160:M169)</f>
        <v>12000000</v>
      </c>
    </row>
    <row r="171" spans="1:15" ht="16.5" thickBot="1">
      <c r="A171" s="885" t="s">
        <v>103</v>
      </c>
      <c r="B171" s="886"/>
      <c r="C171" s="886"/>
      <c r="D171" s="886"/>
      <c r="E171" s="887"/>
      <c r="F171" s="69" t="e">
        <f>+F135</f>
        <v>#REF!</v>
      </c>
      <c r="H171" s="885" t="s">
        <v>103</v>
      </c>
      <c r="I171" s="886"/>
      <c r="J171" s="886"/>
      <c r="K171" s="886"/>
      <c r="L171" s="887"/>
      <c r="M171" s="239">
        <f>+M135</f>
        <v>209169432</v>
      </c>
      <c r="N171" s="241" t="s">
        <v>561</v>
      </c>
      <c r="O171" s="242"/>
    </row>
    <row r="172" spans="1:15" ht="15.75" customHeight="1" thickBot="1">
      <c r="A172" s="888" t="s">
        <v>104</v>
      </c>
      <c r="B172" s="889"/>
      <c r="C172" s="889"/>
      <c r="D172" s="889"/>
      <c r="E172" s="890"/>
      <c r="F172" s="70" t="e">
        <f>SUM(F170:F171)</f>
        <v>#REF!</v>
      </c>
      <c r="H172" s="888" t="s">
        <v>104</v>
      </c>
      <c r="I172" s="889"/>
      <c r="J172" s="889"/>
      <c r="K172" s="889"/>
      <c r="L172" s="890"/>
      <c r="M172" s="183">
        <f>SUM(M170:M171)</f>
        <v>221169432</v>
      </c>
    </row>
    <row r="173" spans="1:15" ht="6.75" customHeight="1">
      <c r="A173" s="61"/>
      <c r="B173" s="61"/>
      <c r="C173" s="61"/>
      <c r="D173" s="61"/>
      <c r="E173" s="61"/>
      <c r="H173" s="61"/>
      <c r="I173" s="61"/>
      <c r="J173" s="61"/>
      <c r="K173" s="61"/>
      <c r="L173" s="61"/>
    </row>
    <row r="174" spans="1:15" ht="13.5" customHeight="1">
      <c r="A174" s="51" t="s">
        <v>243</v>
      </c>
      <c r="H174" s="51" t="s">
        <v>2850</v>
      </c>
    </row>
    <row r="175" spans="1:15" ht="3" customHeight="1">
      <c r="F175" s="139"/>
      <c r="M175" s="139"/>
    </row>
    <row r="176" spans="1:15" ht="15.75" customHeight="1">
      <c r="A176" s="50" t="s">
        <v>105</v>
      </c>
      <c r="D176" s="146"/>
      <c r="H176" s="453" t="s">
        <v>105</v>
      </c>
      <c r="K176" s="146"/>
      <c r="M176" s="139"/>
    </row>
    <row r="177" spans="1:15" ht="6" customHeight="1" thickBot="1"/>
    <row r="178" spans="1:15" ht="17.25" thickBot="1">
      <c r="A178" s="891" t="s">
        <v>106</v>
      </c>
      <c r="B178" s="892"/>
      <c r="C178" s="892"/>
      <c r="D178" s="893"/>
      <c r="F178" s="50" t="s">
        <v>107</v>
      </c>
      <c r="H178" s="891" t="s">
        <v>106</v>
      </c>
      <c r="I178" s="892"/>
      <c r="J178" s="892"/>
      <c r="K178" s="893"/>
      <c r="M178" s="604" t="s">
        <v>288</v>
      </c>
      <c r="N178" s="604"/>
      <c r="O178" s="604"/>
    </row>
    <row r="179" spans="1:15" ht="31.5" thickBot="1">
      <c r="A179" s="57" t="s">
        <v>100</v>
      </c>
      <c r="B179" s="58" t="s">
        <v>108</v>
      </c>
      <c r="C179" s="59" t="s">
        <v>109</v>
      </c>
      <c r="D179" s="60" t="s">
        <v>110</v>
      </c>
      <c r="H179" s="57" t="s">
        <v>100</v>
      </c>
      <c r="I179" s="58" t="s">
        <v>108</v>
      </c>
      <c r="J179" s="59" t="s">
        <v>109</v>
      </c>
      <c r="K179" s="60" t="s">
        <v>110</v>
      </c>
      <c r="M179" s="12"/>
      <c r="N179" s="12"/>
      <c r="O179" s="12"/>
    </row>
    <row r="180" spans="1:15" ht="12.75" customHeight="1">
      <c r="A180" s="71">
        <v>719</v>
      </c>
      <c r="B180" s="73" t="e">
        <f>+#REF!+#REF!+#REF!+#REF!+#REF!</f>
        <v>#REF!</v>
      </c>
      <c r="C180" s="74" t="e">
        <f>+D143</f>
        <v>#REF!</v>
      </c>
      <c r="D180" s="76" t="e">
        <f>+B180+C180</f>
        <v>#REF!</v>
      </c>
      <c r="H180" s="71">
        <v>719</v>
      </c>
      <c r="I180" s="73">
        <f>+O160+O162+O164+O166+O168</f>
        <v>0</v>
      </c>
      <c r="J180" s="74">
        <f>+K143</f>
        <v>12720000</v>
      </c>
      <c r="K180" s="195">
        <f>+I180+J180</f>
        <v>12720000</v>
      </c>
      <c r="M180" s="12"/>
      <c r="N180" s="12"/>
      <c r="O180" s="12"/>
    </row>
    <row r="181" spans="1:15" ht="12" customHeight="1">
      <c r="A181" s="72">
        <v>721</v>
      </c>
      <c r="B181" s="80" t="e">
        <f>+#REF!+#REF!+#REF!+#REF!+#REF!</f>
        <v>#REF!</v>
      </c>
      <c r="C181" s="74" t="e">
        <f>+D144</f>
        <v>#REF!</v>
      </c>
      <c r="D181" s="76" t="e">
        <f>+B181+C181</f>
        <v>#REF!</v>
      </c>
      <c r="H181" s="72">
        <v>721</v>
      </c>
      <c r="I181" s="80"/>
      <c r="J181" s="74">
        <f>+K144</f>
        <v>1505000</v>
      </c>
      <c r="K181" s="195">
        <f>+I181+J181</f>
        <v>1505000</v>
      </c>
      <c r="M181" s="12"/>
      <c r="N181" s="12"/>
      <c r="O181" s="12"/>
    </row>
    <row r="182" spans="1:15" ht="14.25" customHeight="1">
      <c r="A182" s="72">
        <v>722</v>
      </c>
      <c r="B182" s="80"/>
      <c r="C182" s="74">
        <f>+D145</f>
        <v>224787287</v>
      </c>
      <c r="D182" s="76">
        <f>+B182+C182</f>
        <v>224787287</v>
      </c>
      <c r="H182" s="72">
        <v>722</v>
      </c>
      <c r="I182" s="80"/>
      <c r="J182" s="74">
        <f>+K145</f>
        <v>0</v>
      </c>
      <c r="K182" s="195">
        <f>+I182+J182</f>
        <v>0</v>
      </c>
      <c r="M182" s="918"/>
      <c r="N182" s="608"/>
      <c r="O182" s="608"/>
    </row>
    <row r="183" spans="1:15" ht="16.5" customHeight="1" thickBot="1">
      <c r="A183" s="72">
        <v>723</v>
      </c>
      <c r="B183" s="80"/>
      <c r="C183" s="74">
        <f>+D146</f>
        <v>319828837</v>
      </c>
      <c r="D183" s="76">
        <f>+B183+C183</f>
        <v>319828837</v>
      </c>
      <c r="F183" s="174" t="s">
        <v>23</v>
      </c>
      <c r="H183" s="72">
        <v>723</v>
      </c>
      <c r="I183" s="80">
        <f>+M170</f>
        <v>12000000</v>
      </c>
      <c r="J183" s="74">
        <f>+K146</f>
        <v>194944432</v>
      </c>
      <c r="K183" s="195">
        <f>+I183+J183</f>
        <v>206944432</v>
      </c>
      <c r="M183" s="193"/>
      <c r="N183" s="175"/>
    </row>
    <row r="184" spans="1:15" ht="12.75" hidden="1" customHeight="1">
      <c r="A184" s="164" t="s">
        <v>181</v>
      </c>
      <c r="B184" s="165"/>
      <c r="C184" s="74">
        <f>+D147</f>
        <v>1965625</v>
      </c>
      <c r="D184" s="168">
        <f>+B184+C184</f>
        <v>1965625</v>
      </c>
      <c r="F184" s="52"/>
      <c r="H184" s="164" t="s">
        <v>181</v>
      </c>
      <c r="I184" s="165"/>
      <c r="J184" s="74">
        <f>+K147</f>
        <v>0</v>
      </c>
      <c r="K184" s="196">
        <f>+I184+J184</f>
        <v>0</v>
      </c>
      <c r="M184" s="52"/>
    </row>
    <row r="185" spans="1:15" ht="16.5" thickBot="1">
      <c r="A185" s="169"/>
      <c r="B185" s="170" t="e">
        <f>SUM(B180:B184)</f>
        <v>#REF!</v>
      </c>
      <c r="C185" s="171" t="e">
        <f>SUM(C180:C184)</f>
        <v>#REF!</v>
      </c>
      <c r="D185" s="172" t="e">
        <f>SUM(D180:D184)</f>
        <v>#REF!</v>
      </c>
      <c r="H185" s="169"/>
      <c r="I185" s="197">
        <f>SUM(I180:I184)</f>
        <v>12000000</v>
      </c>
      <c r="J185" s="197">
        <f>SUM(J180:J184)</f>
        <v>209169432</v>
      </c>
      <c r="K185" s="198">
        <f>SUM(K180:K184)</f>
        <v>221169432</v>
      </c>
    </row>
    <row r="186" spans="1:15" ht="16.5">
      <c r="A186" s="49" t="s">
        <v>88</v>
      </c>
      <c r="B186" s="50"/>
      <c r="H186" s="49" t="s">
        <v>88</v>
      </c>
      <c r="I186" s="50"/>
    </row>
    <row r="187" spans="1:15" ht="11.25" customHeight="1">
      <c r="A187" s="51" t="s">
        <v>89</v>
      </c>
      <c r="H187" s="51" t="s">
        <v>89</v>
      </c>
    </row>
    <row r="188" spans="1:15" ht="12.75" customHeight="1">
      <c r="A188" s="51" t="s">
        <v>90</v>
      </c>
      <c r="H188" s="51" t="s">
        <v>90</v>
      </c>
    </row>
    <row r="189" spans="1:15" ht="12.75" customHeight="1">
      <c r="A189" s="51" t="s">
        <v>91</v>
      </c>
      <c r="H189" s="51" t="s">
        <v>91</v>
      </c>
    </row>
    <row r="190" spans="1:15" ht="3.75" customHeight="1">
      <c r="A190" s="50"/>
      <c r="B190" s="50"/>
      <c r="H190" s="50"/>
      <c r="I190" s="50"/>
    </row>
    <row r="191" spans="1:15" ht="15" customHeight="1">
      <c r="A191" s="52" t="s">
        <v>245</v>
      </c>
      <c r="G191" s="52"/>
      <c r="H191" s="52" t="s">
        <v>606</v>
      </c>
      <c r="N191" s="52"/>
    </row>
    <row r="192" spans="1:15" ht="15.75">
      <c r="A192" s="53" t="s">
        <v>92</v>
      </c>
      <c r="G192" s="53"/>
      <c r="H192" s="53" t="s">
        <v>2754</v>
      </c>
      <c r="N192" s="53"/>
    </row>
    <row r="193" spans="1:17" ht="14.25" customHeight="1">
      <c r="A193" s="894" t="s">
        <v>255</v>
      </c>
      <c r="B193" s="894"/>
      <c r="C193" s="894"/>
      <c r="D193" s="894"/>
      <c r="E193" s="894"/>
      <c r="F193" s="894"/>
      <c r="G193" s="894"/>
      <c r="H193" s="894" t="s">
        <v>2842</v>
      </c>
      <c r="I193" s="894"/>
      <c r="J193" s="894"/>
      <c r="K193" s="894"/>
      <c r="L193" s="894"/>
      <c r="M193" s="894"/>
      <c r="N193" s="894"/>
      <c r="O193" s="894"/>
    </row>
    <row r="194" spans="1:17" ht="4.5" customHeight="1" thickBot="1"/>
    <row r="195" spans="1:17">
      <c r="A195" s="895" t="s">
        <v>94</v>
      </c>
      <c r="B195" s="897" t="s">
        <v>95</v>
      </c>
      <c r="C195" s="897" t="s">
        <v>96</v>
      </c>
      <c r="D195" s="897" t="s">
        <v>3</v>
      </c>
      <c r="E195" s="897" t="s">
        <v>97</v>
      </c>
      <c r="F195" s="897" t="s">
        <v>98</v>
      </c>
      <c r="G195" s="500" t="s">
        <v>99</v>
      </c>
      <c r="H195" s="895" t="s">
        <v>94</v>
      </c>
      <c r="I195" s="897" t="s">
        <v>95</v>
      </c>
      <c r="J195" s="897" t="s">
        <v>96</v>
      </c>
      <c r="K195" s="897" t="s">
        <v>3</v>
      </c>
      <c r="L195" s="897" t="s">
        <v>97</v>
      </c>
      <c r="M195" s="897" t="s">
        <v>98</v>
      </c>
      <c r="N195" s="897" t="s">
        <v>99</v>
      </c>
      <c r="O195" s="899"/>
    </row>
    <row r="196" spans="1:17" ht="15.75" thickBot="1">
      <c r="A196" s="896"/>
      <c r="B196" s="898"/>
      <c r="C196" s="898"/>
      <c r="D196" s="898"/>
      <c r="E196" s="898"/>
      <c r="F196" s="898"/>
      <c r="G196" s="240" t="s">
        <v>100</v>
      </c>
      <c r="H196" s="896"/>
      <c r="I196" s="898"/>
      <c r="J196" s="898"/>
      <c r="K196" s="898"/>
      <c r="L196" s="898"/>
      <c r="M196" s="898"/>
      <c r="N196" s="240" t="s">
        <v>100</v>
      </c>
      <c r="O196" s="182" t="s">
        <v>101</v>
      </c>
    </row>
    <row r="197" spans="1:17" ht="12.75" customHeight="1">
      <c r="A197" s="881" t="e">
        <f>+#REF!+1</f>
        <v>#REF!</v>
      </c>
      <c r="B197" s="875">
        <v>42243</v>
      </c>
      <c r="C197" s="942" t="s">
        <v>31</v>
      </c>
      <c r="D197" s="881" t="s">
        <v>246</v>
      </c>
      <c r="E197" s="881" t="s">
        <v>115</v>
      </c>
      <c r="F197" s="883">
        <v>120000</v>
      </c>
      <c r="G197" s="55">
        <v>719</v>
      </c>
      <c r="H197" s="873" t="s">
        <v>2551</v>
      </c>
      <c r="I197" s="875">
        <v>45832</v>
      </c>
      <c r="J197" s="877" t="s">
        <v>2858</v>
      </c>
      <c r="K197" s="881" t="s">
        <v>2859</v>
      </c>
      <c r="L197" s="881" t="s">
        <v>148</v>
      </c>
      <c r="M197" s="883">
        <v>1000000</v>
      </c>
      <c r="N197" s="55">
        <v>719</v>
      </c>
      <c r="O197" s="78"/>
    </row>
    <row r="198" spans="1:17" ht="15" customHeight="1" thickBot="1">
      <c r="A198" s="882"/>
      <c r="B198" s="934"/>
      <c r="C198" s="943"/>
      <c r="D198" s="882"/>
      <c r="E198" s="882"/>
      <c r="F198" s="884"/>
      <c r="G198" s="56">
        <v>721</v>
      </c>
      <c r="H198" s="874"/>
      <c r="I198" s="876"/>
      <c r="J198" s="878"/>
      <c r="K198" s="882"/>
      <c r="L198" s="882"/>
      <c r="M198" s="884"/>
      <c r="N198" s="56">
        <v>723</v>
      </c>
      <c r="O198" s="79">
        <f>+M197</f>
        <v>1000000</v>
      </c>
    </row>
    <row r="199" spans="1:17" ht="12.75" customHeight="1">
      <c r="A199" s="881" t="e">
        <f>+A197+1</f>
        <v>#REF!</v>
      </c>
      <c r="B199" s="875">
        <v>42243</v>
      </c>
      <c r="C199" s="935" t="s">
        <v>28</v>
      </c>
      <c r="D199" s="881" t="s">
        <v>247</v>
      </c>
      <c r="E199" s="881" t="s">
        <v>115</v>
      </c>
      <c r="F199" s="883">
        <v>50000</v>
      </c>
      <c r="G199" s="55">
        <v>719</v>
      </c>
      <c r="H199" s="873" t="s">
        <v>2552</v>
      </c>
      <c r="I199" s="875">
        <v>45832</v>
      </c>
      <c r="J199" s="944" t="s">
        <v>2860</v>
      </c>
      <c r="K199" s="881" t="s">
        <v>2862</v>
      </c>
      <c r="L199" s="881" t="s">
        <v>148</v>
      </c>
      <c r="M199" s="946">
        <v>1000000</v>
      </c>
      <c r="N199" s="55">
        <v>719</v>
      </c>
      <c r="O199" s="78"/>
    </row>
    <row r="200" spans="1:17" ht="15" customHeight="1" thickBot="1">
      <c r="A200" s="882"/>
      <c r="B200" s="934"/>
      <c r="C200" s="936"/>
      <c r="D200" s="882"/>
      <c r="E200" s="882"/>
      <c r="F200" s="884"/>
      <c r="G200" s="56">
        <v>721</v>
      </c>
      <c r="H200" s="874"/>
      <c r="I200" s="876"/>
      <c r="J200" s="945"/>
      <c r="K200" s="882"/>
      <c r="L200" s="882"/>
      <c r="M200" s="947"/>
      <c r="N200" s="56">
        <v>723</v>
      </c>
      <c r="O200" s="79">
        <f>+M199</f>
        <v>1000000</v>
      </c>
    </row>
    <row r="201" spans="1:17" ht="14.25" customHeight="1" thickBot="1">
      <c r="A201" s="881" t="e">
        <f>+A199+1</f>
        <v>#REF!</v>
      </c>
      <c r="B201" s="875">
        <v>42243</v>
      </c>
      <c r="C201" s="877" t="s">
        <v>250</v>
      </c>
      <c r="D201" s="877" t="s">
        <v>248</v>
      </c>
      <c r="E201" s="881" t="s">
        <v>145</v>
      </c>
      <c r="F201" s="883">
        <v>4280256</v>
      </c>
      <c r="G201" s="55">
        <v>719</v>
      </c>
      <c r="H201" s="873" t="s">
        <v>2854</v>
      </c>
      <c r="I201" s="875">
        <v>45832</v>
      </c>
      <c r="J201" s="877" t="s">
        <v>2408</v>
      </c>
      <c r="K201" s="881" t="s">
        <v>2861</v>
      </c>
      <c r="L201" s="881" t="s">
        <v>115</v>
      </c>
      <c r="M201" s="883">
        <f>688500+513000</f>
        <v>1201500</v>
      </c>
      <c r="N201" s="55">
        <v>719</v>
      </c>
      <c r="O201" s="78">
        <v>890000</v>
      </c>
      <c r="P201" s="51" t="s">
        <v>2146</v>
      </c>
    </row>
    <row r="202" spans="1:17" ht="12.75" customHeight="1" thickBot="1">
      <c r="A202" s="882"/>
      <c r="B202" s="934"/>
      <c r="C202" s="878"/>
      <c r="D202" s="878"/>
      <c r="E202" s="882"/>
      <c r="F202" s="884"/>
      <c r="G202" s="56">
        <v>722</v>
      </c>
      <c r="H202" s="874"/>
      <c r="I202" s="876"/>
      <c r="J202" s="878"/>
      <c r="K202" s="882"/>
      <c r="L202" s="882"/>
      <c r="M202" s="884"/>
      <c r="N202" s="56">
        <v>721</v>
      </c>
      <c r="O202" s="79">
        <f>+M201-O201</f>
        <v>311500</v>
      </c>
      <c r="Q202" s="877"/>
    </row>
    <row r="203" spans="1:17" ht="13.5" customHeight="1" thickBot="1">
      <c r="A203" s="881" t="e">
        <f>+A201+1</f>
        <v>#REF!</v>
      </c>
      <c r="B203" s="875">
        <v>42243</v>
      </c>
      <c r="C203" s="877" t="s">
        <v>249</v>
      </c>
      <c r="D203" s="877" t="s">
        <v>248</v>
      </c>
      <c r="E203" s="881" t="s">
        <v>145</v>
      </c>
      <c r="F203" s="883">
        <v>2140128</v>
      </c>
      <c r="G203" s="55">
        <v>719</v>
      </c>
      <c r="H203" s="873" t="s">
        <v>2855</v>
      </c>
      <c r="I203" s="875">
        <v>45832</v>
      </c>
      <c r="J203" s="877" t="s">
        <v>815</v>
      </c>
      <c r="K203" s="881" t="s">
        <v>2797</v>
      </c>
      <c r="L203" s="881" t="s">
        <v>115</v>
      </c>
      <c r="M203" s="883">
        <v>1228500</v>
      </c>
      <c r="N203" s="55">
        <v>719</v>
      </c>
      <c r="O203" s="78">
        <v>910000</v>
      </c>
      <c r="Q203" s="878"/>
    </row>
    <row r="204" spans="1:17" ht="15" customHeight="1" thickBot="1">
      <c r="A204" s="882"/>
      <c r="B204" s="934"/>
      <c r="C204" s="878"/>
      <c r="D204" s="878"/>
      <c r="E204" s="882"/>
      <c r="F204" s="884"/>
      <c r="G204" s="56">
        <v>722</v>
      </c>
      <c r="H204" s="874"/>
      <c r="I204" s="876"/>
      <c r="J204" s="878"/>
      <c r="K204" s="882"/>
      <c r="L204" s="882"/>
      <c r="M204" s="884"/>
      <c r="N204" s="56">
        <v>721</v>
      </c>
      <c r="O204" s="79">
        <f>+M203-O203</f>
        <v>318500</v>
      </c>
    </row>
    <row r="205" spans="1:17" ht="15" customHeight="1">
      <c r="A205" s="881"/>
      <c r="B205" s="875"/>
      <c r="C205" s="935"/>
      <c r="D205" s="877"/>
      <c r="E205" s="881"/>
      <c r="F205" s="883"/>
      <c r="G205" s="55">
        <v>719</v>
      </c>
      <c r="H205" s="873" t="s">
        <v>2856</v>
      </c>
      <c r="I205" s="875">
        <v>45832</v>
      </c>
      <c r="J205" s="877" t="s">
        <v>815</v>
      </c>
      <c r="K205" s="881" t="s">
        <v>2808</v>
      </c>
      <c r="L205" s="881" t="s">
        <v>115</v>
      </c>
      <c r="M205" s="883">
        <v>1188000</v>
      </c>
      <c r="N205" s="55">
        <v>719</v>
      </c>
      <c r="O205" s="78">
        <v>880000</v>
      </c>
    </row>
    <row r="206" spans="1:17" ht="14.25" customHeight="1" thickBot="1">
      <c r="A206" s="882"/>
      <c r="B206" s="934"/>
      <c r="C206" s="936"/>
      <c r="D206" s="878"/>
      <c r="E206" s="882"/>
      <c r="F206" s="884"/>
      <c r="G206" s="56">
        <v>721</v>
      </c>
      <c r="H206" s="874"/>
      <c r="I206" s="876"/>
      <c r="J206" s="878"/>
      <c r="K206" s="882"/>
      <c r="L206" s="882"/>
      <c r="M206" s="884"/>
      <c r="N206" s="56">
        <v>721</v>
      </c>
      <c r="O206" s="79">
        <f>+M205-O205</f>
        <v>308000</v>
      </c>
    </row>
    <row r="207" spans="1:17" ht="15" customHeight="1" thickBot="1">
      <c r="A207" s="901" t="s">
        <v>102</v>
      </c>
      <c r="B207" s="902"/>
      <c r="C207" s="902"/>
      <c r="D207" s="902"/>
      <c r="E207" s="903"/>
      <c r="F207" s="81">
        <f>SUM(F197:F206)</f>
        <v>6590384</v>
      </c>
      <c r="H207" s="901" t="s">
        <v>102</v>
      </c>
      <c r="I207" s="902"/>
      <c r="J207" s="902"/>
      <c r="K207" s="902"/>
      <c r="L207" s="903"/>
      <c r="M207" s="81">
        <f>SUM(M197:M206)</f>
        <v>5618000</v>
      </c>
    </row>
    <row r="208" spans="1:17" ht="15.75" customHeight="1" thickBot="1">
      <c r="A208" s="885" t="s">
        <v>103</v>
      </c>
      <c r="B208" s="886"/>
      <c r="C208" s="886"/>
      <c r="D208" s="886"/>
      <c r="E208" s="887"/>
      <c r="F208" s="69" t="e">
        <f>+F172</f>
        <v>#REF!</v>
      </c>
      <c r="H208" s="885" t="s">
        <v>103</v>
      </c>
      <c r="I208" s="886"/>
      <c r="J208" s="886"/>
      <c r="K208" s="886"/>
      <c r="L208" s="887"/>
      <c r="M208" s="239">
        <f>+M172</f>
        <v>221169432</v>
      </c>
      <c r="N208" s="241" t="s">
        <v>561</v>
      </c>
      <c r="O208" s="242">
        <f>1655+2083+772+750</f>
        <v>5260</v>
      </c>
    </row>
    <row r="209" spans="1:15" ht="14.25" customHeight="1" thickBot="1">
      <c r="A209" s="888" t="s">
        <v>104</v>
      </c>
      <c r="B209" s="889"/>
      <c r="C209" s="889"/>
      <c r="D209" s="889"/>
      <c r="E209" s="890"/>
      <c r="F209" s="183" t="e">
        <f>SUM(F207:F208)</f>
        <v>#REF!</v>
      </c>
      <c r="H209" s="888" t="s">
        <v>104</v>
      </c>
      <c r="I209" s="889"/>
      <c r="J209" s="889"/>
      <c r="K209" s="889"/>
      <c r="L209" s="890"/>
      <c r="M209" s="183">
        <f>SUM(M207:M208)</f>
        <v>226787432</v>
      </c>
    </row>
    <row r="210" spans="1:15" ht="7.5" customHeight="1">
      <c r="A210" s="61"/>
      <c r="B210" s="61"/>
      <c r="C210" s="61"/>
      <c r="D210" s="61"/>
      <c r="E210" s="61"/>
      <c r="H210" s="61"/>
      <c r="I210" s="61"/>
      <c r="J210" s="61"/>
      <c r="K210" s="61"/>
      <c r="L210" s="61"/>
    </row>
    <row r="211" spans="1:15">
      <c r="A211" s="51" t="s">
        <v>254</v>
      </c>
      <c r="H211" s="51" t="s">
        <v>2863</v>
      </c>
    </row>
    <row r="212" spans="1:15" ht="4.5" customHeight="1">
      <c r="F212" s="139"/>
      <c r="M212" s="139"/>
    </row>
    <row r="213" spans="1:15" ht="12.75" customHeight="1">
      <c r="A213" s="50" t="s">
        <v>105</v>
      </c>
      <c r="D213" s="146"/>
      <c r="F213" s="139"/>
      <c r="H213" s="50" t="s">
        <v>105</v>
      </c>
      <c r="K213" s="146"/>
      <c r="M213" s="139"/>
    </row>
    <row r="214" spans="1:15" ht="5.25" customHeight="1" thickBot="1"/>
    <row r="215" spans="1:15" ht="17.25" thickBot="1">
      <c r="A215" s="891" t="s">
        <v>106</v>
      </c>
      <c r="B215" s="892"/>
      <c r="C215" s="892"/>
      <c r="D215" s="893"/>
      <c r="F215" s="50" t="s">
        <v>107</v>
      </c>
      <c r="H215" s="891" t="s">
        <v>106</v>
      </c>
      <c r="I215" s="892"/>
      <c r="J215" s="892"/>
      <c r="K215" s="893"/>
      <c r="M215" s="604" t="s">
        <v>288</v>
      </c>
      <c r="N215" s="604"/>
      <c r="O215" s="604"/>
    </row>
    <row r="216" spans="1:15" ht="30" customHeight="1" thickBot="1">
      <c r="A216" s="57" t="s">
        <v>100</v>
      </c>
      <c r="B216" s="58" t="s">
        <v>108</v>
      </c>
      <c r="C216" s="59" t="s">
        <v>109</v>
      </c>
      <c r="D216" s="60" t="s">
        <v>110</v>
      </c>
      <c r="H216" s="57" t="s">
        <v>100</v>
      </c>
      <c r="I216" s="58" t="s">
        <v>108</v>
      </c>
      <c r="J216" s="473" t="s">
        <v>109</v>
      </c>
      <c r="K216" s="60" t="s">
        <v>110</v>
      </c>
      <c r="M216" s="12"/>
      <c r="N216" s="12"/>
      <c r="O216" s="12"/>
    </row>
    <row r="217" spans="1:15" ht="14.25" customHeight="1">
      <c r="A217" s="71">
        <v>719</v>
      </c>
      <c r="B217" s="73" t="e">
        <f>+#REF!+#REF!</f>
        <v>#REF!</v>
      </c>
      <c r="C217" s="74" t="e">
        <f>+D180</f>
        <v>#REF!</v>
      </c>
      <c r="D217" s="76" t="e">
        <f>+B217+C217</f>
        <v>#REF!</v>
      </c>
      <c r="H217" s="71">
        <v>719</v>
      </c>
      <c r="I217" s="73">
        <f>+O201+O203+O205</f>
        <v>2680000</v>
      </c>
      <c r="J217" s="74">
        <f>+K180</f>
        <v>12720000</v>
      </c>
      <c r="K217" s="195">
        <f>+I217+J217</f>
        <v>15400000</v>
      </c>
      <c r="M217" s="12"/>
      <c r="N217" s="12"/>
      <c r="O217" s="12"/>
    </row>
    <row r="218" spans="1:15" ht="15" customHeight="1">
      <c r="A218" s="72">
        <v>721</v>
      </c>
      <c r="B218" s="80"/>
      <c r="C218" s="74" t="e">
        <f>+D181</f>
        <v>#REF!</v>
      </c>
      <c r="D218" s="76" t="e">
        <f>+B218+C218</f>
        <v>#REF!</v>
      </c>
      <c r="H218" s="72">
        <v>721</v>
      </c>
      <c r="I218" s="80">
        <f>+O206+O204+O202</f>
        <v>938000</v>
      </c>
      <c r="J218" s="74">
        <f>+K181</f>
        <v>1505000</v>
      </c>
      <c r="K218" s="195">
        <f>+I218+J218</f>
        <v>2443000</v>
      </c>
      <c r="M218" s="12"/>
      <c r="N218" s="12"/>
      <c r="O218" s="12"/>
    </row>
    <row r="219" spans="1:15" ht="12.75" customHeight="1">
      <c r="A219" s="72">
        <v>722</v>
      </c>
      <c r="B219" s="80" t="e">
        <f>+#REF!+#REF!</f>
        <v>#REF!</v>
      </c>
      <c r="C219" s="74">
        <f>+D182</f>
        <v>224787287</v>
      </c>
      <c r="D219" s="76" t="e">
        <f>+B219+C219</f>
        <v>#REF!</v>
      </c>
      <c r="H219" s="72">
        <v>722</v>
      </c>
      <c r="I219" s="80"/>
      <c r="J219" s="74">
        <f>+K182</f>
        <v>0</v>
      </c>
      <c r="K219" s="195">
        <f>+I219+J219</f>
        <v>0</v>
      </c>
      <c r="M219" s="12"/>
      <c r="N219" s="12"/>
      <c r="O219" s="12"/>
    </row>
    <row r="220" spans="1:15" ht="16.5" customHeight="1" thickBot="1">
      <c r="A220" s="72">
        <v>723</v>
      </c>
      <c r="B220" s="80"/>
      <c r="C220" s="74">
        <f>+D183</f>
        <v>319828837</v>
      </c>
      <c r="D220" s="76">
        <f>+B220+C220</f>
        <v>319828837</v>
      </c>
      <c r="F220" s="174" t="s">
        <v>23</v>
      </c>
      <c r="G220" s="175"/>
      <c r="H220" s="72">
        <v>723</v>
      </c>
      <c r="I220" s="80">
        <f>+O198+O200</f>
        <v>2000000</v>
      </c>
      <c r="J220" s="74">
        <f>+K183</f>
        <v>206944432</v>
      </c>
      <c r="K220" s="195">
        <f>+I220+J220</f>
        <v>208944432</v>
      </c>
      <c r="M220" s="918"/>
      <c r="N220" s="608"/>
      <c r="O220" s="608"/>
    </row>
    <row r="221" spans="1:15" ht="13.5" hidden="1" customHeight="1">
      <c r="A221" s="164" t="s">
        <v>181</v>
      </c>
      <c r="B221" s="165"/>
      <c r="C221" s="74">
        <f>+D184</f>
        <v>1965625</v>
      </c>
      <c r="D221" s="168">
        <f>+B221+C221</f>
        <v>1965625</v>
      </c>
      <c r="F221" s="52"/>
      <c r="H221" s="164" t="s">
        <v>181</v>
      </c>
      <c r="I221" s="165"/>
      <c r="J221" s="74">
        <f>+K184</f>
        <v>0</v>
      </c>
      <c r="K221" s="196">
        <f>+I221+J221</f>
        <v>0</v>
      </c>
      <c r="M221" s="52"/>
    </row>
    <row r="222" spans="1:15" ht="15" customHeight="1" thickBot="1">
      <c r="A222" s="169"/>
      <c r="B222" s="170" t="e">
        <f>SUM(B217:B221)</f>
        <v>#REF!</v>
      </c>
      <c r="C222" s="171" t="e">
        <f>SUM(C217:C221)</f>
        <v>#REF!</v>
      </c>
      <c r="D222" s="172" t="e">
        <f>SUM(D217:D221)</f>
        <v>#REF!</v>
      </c>
      <c r="H222" s="169"/>
      <c r="I222" s="197">
        <f>SUM(I217:I221)</f>
        <v>5618000</v>
      </c>
      <c r="J222" s="197">
        <f>SUM(J217:J221)</f>
        <v>221169432</v>
      </c>
      <c r="K222" s="198">
        <f>SUM(K217:K221)</f>
        <v>226787432</v>
      </c>
    </row>
    <row r="223" spans="1:15" ht="15.75" customHeight="1">
      <c r="A223" s="49" t="s">
        <v>88</v>
      </c>
      <c r="B223" s="50"/>
      <c r="H223" s="49" t="s">
        <v>88</v>
      </c>
      <c r="I223" s="50"/>
    </row>
    <row r="224" spans="1:15" ht="12" customHeight="1">
      <c r="A224" s="51" t="s">
        <v>89</v>
      </c>
      <c r="H224" s="51" t="s">
        <v>89</v>
      </c>
    </row>
    <row r="225" spans="1:15" ht="12" customHeight="1">
      <c r="A225" s="51" t="s">
        <v>90</v>
      </c>
      <c r="H225" s="51" t="s">
        <v>90</v>
      </c>
    </row>
    <row r="226" spans="1:15" ht="11.25" customHeight="1">
      <c r="A226" s="51" t="s">
        <v>91</v>
      </c>
      <c r="H226" s="51" t="s">
        <v>91</v>
      </c>
    </row>
    <row r="227" spans="1:15" ht="4.5" customHeight="1">
      <c r="A227" s="50"/>
      <c r="B227" s="50"/>
      <c r="H227" s="50"/>
      <c r="I227" s="50"/>
    </row>
    <row r="228" spans="1:15" ht="12.75" customHeight="1">
      <c r="A228" s="52" t="s">
        <v>256</v>
      </c>
      <c r="G228" s="52"/>
      <c r="H228" s="52" t="s">
        <v>2869</v>
      </c>
      <c r="I228" s="243"/>
      <c r="N228" s="52"/>
    </row>
    <row r="229" spans="1:15" ht="15.75">
      <c r="A229" s="53" t="s">
        <v>92</v>
      </c>
      <c r="G229" s="53"/>
      <c r="H229" s="53" t="s">
        <v>2754</v>
      </c>
      <c r="N229" s="53"/>
    </row>
    <row r="230" spans="1:15" ht="13.5" customHeight="1">
      <c r="A230" s="894" t="s">
        <v>261</v>
      </c>
      <c r="B230" s="894"/>
      <c r="C230" s="894"/>
      <c r="D230" s="894"/>
      <c r="E230" s="894"/>
      <c r="F230" s="894"/>
      <c r="G230" s="894"/>
      <c r="H230" s="894" t="s">
        <v>212</v>
      </c>
      <c r="I230" s="894"/>
      <c r="J230" s="894"/>
      <c r="K230" s="894"/>
      <c r="L230" s="894"/>
      <c r="M230" s="894"/>
      <c r="N230" s="894"/>
      <c r="O230" s="894"/>
    </row>
    <row r="231" spans="1:15" ht="8.25" customHeight="1" thickBot="1"/>
    <row r="232" spans="1:15">
      <c r="A232" s="895" t="s">
        <v>94</v>
      </c>
      <c r="B232" s="897" t="s">
        <v>95</v>
      </c>
      <c r="C232" s="897" t="s">
        <v>96</v>
      </c>
      <c r="D232" s="897" t="s">
        <v>3</v>
      </c>
      <c r="E232" s="897" t="s">
        <v>97</v>
      </c>
      <c r="F232" s="897" t="s">
        <v>98</v>
      </c>
      <c r="G232" s="500" t="s">
        <v>99</v>
      </c>
      <c r="H232" s="895" t="s">
        <v>94</v>
      </c>
      <c r="I232" s="897" t="s">
        <v>95</v>
      </c>
      <c r="J232" s="897" t="s">
        <v>96</v>
      </c>
      <c r="K232" s="897" t="s">
        <v>3</v>
      </c>
      <c r="L232" s="897" t="s">
        <v>97</v>
      </c>
      <c r="M232" s="897" t="s">
        <v>98</v>
      </c>
      <c r="N232" s="897" t="s">
        <v>99</v>
      </c>
      <c r="O232" s="899"/>
    </row>
    <row r="233" spans="1:15" ht="15.75" thickBot="1">
      <c r="A233" s="896"/>
      <c r="B233" s="898"/>
      <c r="C233" s="898"/>
      <c r="D233" s="898"/>
      <c r="E233" s="898"/>
      <c r="F233" s="898"/>
      <c r="G233" s="240" t="s">
        <v>100</v>
      </c>
      <c r="H233" s="896"/>
      <c r="I233" s="898"/>
      <c r="J233" s="898"/>
      <c r="K233" s="898"/>
      <c r="L233" s="898"/>
      <c r="M233" s="898"/>
      <c r="N233" s="240" t="s">
        <v>100</v>
      </c>
      <c r="O233" s="182" t="s">
        <v>101</v>
      </c>
    </row>
    <row r="234" spans="1:15" ht="13.5" customHeight="1">
      <c r="A234" s="881" t="e">
        <f>+A203+1</f>
        <v>#REF!</v>
      </c>
      <c r="B234" s="875">
        <v>42252</v>
      </c>
      <c r="C234" s="942" t="s">
        <v>31</v>
      </c>
      <c r="D234" s="881" t="s">
        <v>257</v>
      </c>
      <c r="E234" s="881" t="s">
        <v>115</v>
      </c>
      <c r="F234" s="883">
        <v>90000</v>
      </c>
      <c r="G234" s="55">
        <v>719</v>
      </c>
      <c r="H234" s="873" t="s">
        <v>2857</v>
      </c>
      <c r="I234" s="875">
        <v>45832</v>
      </c>
      <c r="J234" s="877" t="s">
        <v>1897</v>
      </c>
      <c r="K234" s="881" t="s">
        <v>2806</v>
      </c>
      <c r="L234" s="881" t="s">
        <v>115</v>
      </c>
      <c r="M234" s="883">
        <v>5000000</v>
      </c>
      <c r="N234" s="55">
        <v>719</v>
      </c>
      <c r="O234" s="78"/>
    </row>
    <row r="235" spans="1:15" ht="14.25" customHeight="1" thickBot="1">
      <c r="A235" s="882"/>
      <c r="B235" s="934"/>
      <c r="C235" s="943"/>
      <c r="D235" s="882"/>
      <c r="E235" s="882"/>
      <c r="F235" s="884"/>
      <c r="G235" s="56">
        <v>721</v>
      </c>
      <c r="H235" s="882"/>
      <c r="I235" s="876"/>
      <c r="J235" s="878"/>
      <c r="K235" s="882"/>
      <c r="L235" s="882"/>
      <c r="M235" s="884"/>
      <c r="N235" s="56">
        <v>723</v>
      </c>
      <c r="O235" s="79">
        <f>+M234</f>
        <v>5000000</v>
      </c>
    </row>
    <row r="236" spans="1:15" ht="12.75" customHeight="1">
      <c r="A236" s="881" t="e">
        <f>+A234+1</f>
        <v>#REF!</v>
      </c>
      <c r="B236" s="875">
        <v>42252</v>
      </c>
      <c r="C236" s="935" t="s">
        <v>28</v>
      </c>
      <c r="D236" s="881" t="s">
        <v>258</v>
      </c>
      <c r="E236" s="881" t="s">
        <v>115</v>
      </c>
      <c r="F236" s="883">
        <v>40000</v>
      </c>
      <c r="G236" s="55">
        <v>719</v>
      </c>
      <c r="H236" s="873" t="s">
        <v>2870</v>
      </c>
      <c r="I236" s="875">
        <v>45832</v>
      </c>
      <c r="J236" s="877" t="s">
        <v>2875</v>
      </c>
      <c r="K236" s="881" t="s">
        <v>2806</v>
      </c>
      <c r="L236" s="881" t="s">
        <v>115</v>
      </c>
      <c r="M236" s="883">
        <v>2379200</v>
      </c>
      <c r="N236" s="55">
        <v>719</v>
      </c>
      <c r="O236" s="78"/>
    </row>
    <row r="237" spans="1:15" ht="13.5" customHeight="1" thickBot="1">
      <c r="A237" s="882"/>
      <c r="B237" s="934"/>
      <c r="C237" s="936"/>
      <c r="D237" s="882"/>
      <c r="E237" s="882"/>
      <c r="F237" s="884"/>
      <c r="G237" s="56">
        <v>721</v>
      </c>
      <c r="H237" s="882"/>
      <c r="I237" s="876"/>
      <c r="J237" s="878"/>
      <c r="K237" s="882"/>
      <c r="L237" s="882"/>
      <c r="M237" s="884"/>
      <c r="N237" s="56">
        <v>723</v>
      </c>
      <c r="O237" s="79">
        <f>+M236</f>
        <v>2379200</v>
      </c>
    </row>
    <row r="238" spans="1:15" ht="12.75" customHeight="1">
      <c r="A238" s="881" t="e">
        <f>+A236+1</f>
        <v>#REF!</v>
      </c>
      <c r="B238" s="875">
        <v>42252</v>
      </c>
      <c r="C238" s="877" t="s">
        <v>32</v>
      </c>
      <c r="D238" s="881" t="s">
        <v>259</v>
      </c>
      <c r="E238" s="881" t="s">
        <v>115</v>
      </c>
      <c r="F238" s="883">
        <v>80000</v>
      </c>
      <c r="G238" s="55">
        <v>719</v>
      </c>
      <c r="H238" s="873" t="s">
        <v>2871</v>
      </c>
      <c r="I238" s="875">
        <v>45832</v>
      </c>
      <c r="J238" s="910" t="s">
        <v>1899</v>
      </c>
      <c r="K238" s="881" t="s">
        <v>2806</v>
      </c>
      <c r="L238" s="881" t="s">
        <v>115</v>
      </c>
      <c r="M238" s="883">
        <v>4000000</v>
      </c>
      <c r="N238" s="55">
        <v>719</v>
      </c>
      <c r="O238" s="78"/>
    </row>
    <row r="239" spans="1:15" ht="13.5" customHeight="1" thickBot="1">
      <c r="A239" s="882"/>
      <c r="B239" s="934"/>
      <c r="C239" s="878"/>
      <c r="D239" s="882"/>
      <c r="E239" s="882"/>
      <c r="F239" s="884"/>
      <c r="G239" s="56">
        <v>721</v>
      </c>
      <c r="H239" s="882"/>
      <c r="I239" s="876"/>
      <c r="J239" s="911"/>
      <c r="K239" s="882"/>
      <c r="L239" s="882"/>
      <c r="M239" s="884"/>
      <c r="N239" s="56">
        <v>723</v>
      </c>
      <c r="O239" s="79">
        <f>+M238-O238</f>
        <v>4000000</v>
      </c>
    </row>
    <row r="240" spans="1:15" ht="13.5" customHeight="1">
      <c r="A240" s="251"/>
      <c r="B240" s="452"/>
      <c r="C240" s="253"/>
      <c r="D240" s="251"/>
      <c r="E240" s="251"/>
      <c r="F240" s="254"/>
      <c r="G240" s="255"/>
      <c r="H240" s="873" t="s">
        <v>2872</v>
      </c>
      <c r="I240" s="875">
        <v>45832</v>
      </c>
      <c r="J240" s="877" t="s">
        <v>2875</v>
      </c>
      <c r="K240" s="881" t="s">
        <v>2806</v>
      </c>
      <c r="L240" s="881" t="s">
        <v>115</v>
      </c>
      <c r="M240" s="883">
        <v>3600000</v>
      </c>
      <c r="N240" s="55">
        <v>719</v>
      </c>
      <c r="O240" s="78"/>
    </row>
    <row r="241" spans="1:15" ht="13.5" customHeight="1" thickBot="1">
      <c r="A241" s="251"/>
      <c r="B241" s="452"/>
      <c r="C241" s="253"/>
      <c r="D241" s="251"/>
      <c r="E241" s="251"/>
      <c r="F241" s="254"/>
      <c r="G241" s="255"/>
      <c r="H241" s="882"/>
      <c r="I241" s="876"/>
      <c r="J241" s="878"/>
      <c r="K241" s="882"/>
      <c r="L241" s="882"/>
      <c r="M241" s="884"/>
      <c r="N241" s="56">
        <v>723</v>
      </c>
      <c r="O241" s="79">
        <f>+M240-O240</f>
        <v>3600000</v>
      </c>
    </row>
    <row r="242" spans="1:15" ht="13.5" customHeight="1">
      <c r="A242" s="881"/>
      <c r="B242" s="875"/>
      <c r="C242" s="877"/>
      <c r="D242" s="877"/>
      <c r="E242" s="881"/>
      <c r="F242" s="883"/>
      <c r="G242" s="55">
        <v>719</v>
      </c>
      <c r="H242" s="873" t="s">
        <v>2873</v>
      </c>
      <c r="I242" s="875">
        <v>45832</v>
      </c>
      <c r="J242" s="877" t="s">
        <v>2875</v>
      </c>
      <c r="K242" s="881" t="s">
        <v>2806</v>
      </c>
      <c r="L242" s="881" t="s">
        <v>115</v>
      </c>
      <c r="M242" s="883">
        <v>2519800</v>
      </c>
      <c r="N242" s="55">
        <v>719</v>
      </c>
      <c r="O242" s="78"/>
    </row>
    <row r="243" spans="1:15" ht="12.75" customHeight="1" thickBot="1">
      <c r="A243" s="882"/>
      <c r="B243" s="934"/>
      <c r="C243" s="878"/>
      <c r="D243" s="878"/>
      <c r="E243" s="882"/>
      <c r="F243" s="884"/>
      <c r="G243" s="56">
        <v>721</v>
      </c>
      <c r="H243" s="882"/>
      <c r="I243" s="876"/>
      <c r="J243" s="878"/>
      <c r="K243" s="882"/>
      <c r="L243" s="882"/>
      <c r="M243" s="884"/>
      <c r="N243" s="56">
        <v>723</v>
      </c>
      <c r="O243" s="79">
        <f>+M242-O242</f>
        <v>2519800</v>
      </c>
    </row>
    <row r="244" spans="1:15" ht="11.25" customHeight="1">
      <c r="A244" s="881"/>
      <c r="B244" s="875"/>
      <c r="C244" s="935"/>
      <c r="D244" s="877"/>
      <c r="E244" s="881"/>
      <c r="F244" s="883"/>
      <c r="G244" s="55">
        <v>719</v>
      </c>
      <c r="H244" s="873" t="s">
        <v>2874</v>
      </c>
      <c r="I244" s="875">
        <v>45832</v>
      </c>
      <c r="J244" s="877" t="s">
        <v>250</v>
      </c>
      <c r="K244" s="881" t="s">
        <v>2806</v>
      </c>
      <c r="L244" s="881" t="s">
        <v>115</v>
      </c>
      <c r="M244" s="883">
        <v>1500000</v>
      </c>
      <c r="N244" s="55">
        <v>719</v>
      </c>
      <c r="O244" s="78"/>
    </row>
    <row r="245" spans="1:15" ht="13.5" customHeight="1" thickBot="1">
      <c r="A245" s="882"/>
      <c r="B245" s="934"/>
      <c r="C245" s="936"/>
      <c r="D245" s="878"/>
      <c r="E245" s="882"/>
      <c r="F245" s="884"/>
      <c r="G245" s="56">
        <v>721</v>
      </c>
      <c r="H245" s="882"/>
      <c r="I245" s="876"/>
      <c r="J245" s="878"/>
      <c r="K245" s="882"/>
      <c r="L245" s="882"/>
      <c r="M245" s="884"/>
      <c r="N245" s="56">
        <v>723</v>
      </c>
      <c r="O245" s="79">
        <f>+M244-O244</f>
        <v>1500000</v>
      </c>
    </row>
    <row r="246" spans="1:15" ht="16.5" thickBot="1">
      <c r="A246" s="901" t="s">
        <v>102</v>
      </c>
      <c r="B246" s="902"/>
      <c r="C246" s="902"/>
      <c r="D246" s="902"/>
      <c r="E246" s="903"/>
      <c r="F246" s="81">
        <f>SUM(F234:F245)</f>
        <v>210000</v>
      </c>
      <c r="H246" s="901" t="s">
        <v>102</v>
      </c>
      <c r="I246" s="902"/>
      <c r="J246" s="902"/>
      <c r="K246" s="902"/>
      <c r="L246" s="903"/>
      <c r="M246" s="81">
        <f>SUM(M234:M245)</f>
        <v>18999000</v>
      </c>
    </row>
    <row r="247" spans="1:15" ht="14.25" customHeight="1" thickBot="1">
      <c r="A247" s="885" t="s">
        <v>103</v>
      </c>
      <c r="B247" s="886"/>
      <c r="C247" s="886"/>
      <c r="D247" s="886"/>
      <c r="E247" s="887"/>
      <c r="F247" s="69" t="e">
        <f>+F209</f>
        <v>#REF!</v>
      </c>
      <c r="H247" s="885" t="s">
        <v>103</v>
      </c>
      <c r="I247" s="886"/>
      <c r="J247" s="886"/>
      <c r="K247" s="886"/>
      <c r="L247" s="887"/>
      <c r="M247" s="239">
        <f>+M209</f>
        <v>226787432</v>
      </c>
      <c r="N247" s="241" t="s">
        <v>561</v>
      </c>
      <c r="O247" s="242"/>
    </row>
    <row r="248" spans="1:15" ht="15" customHeight="1" thickBot="1">
      <c r="A248" s="888" t="s">
        <v>104</v>
      </c>
      <c r="B248" s="889"/>
      <c r="C248" s="889"/>
      <c r="D248" s="889"/>
      <c r="E248" s="890"/>
      <c r="F248" s="183" t="e">
        <f>SUM(F246:F247)</f>
        <v>#REF!</v>
      </c>
      <c r="H248" s="888" t="s">
        <v>104</v>
      </c>
      <c r="I248" s="889"/>
      <c r="J248" s="889"/>
      <c r="K248" s="889"/>
      <c r="L248" s="890"/>
      <c r="M248" s="183">
        <f>SUM(M246:M247)</f>
        <v>245786432</v>
      </c>
    </row>
    <row r="249" spans="1:15" ht="7.5" customHeight="1">
      <c r="A249" s="61"/>
      <c r="B249" s="61"/>
      <c r="C249" s="61"/>
      <c r="D249" s="61"/>
      <c r="E249" s="61"/>
      <c r="H249" s="61"/>
      <c r="I249" s="61"/>
      <c r="J249" s="61"/>
      <c r="K249" s="61"/>
      <c r="L249" s="61"/>
    </row>
    <row r="250" spans="1:15">
      <c r="A250" s="51" t="s">
        <v>260</v>
      </c>
      <c r="H250" s="51" t="s">
        <v>2876</v>
      </c>
    </row>
    <row r="251" spans="1:15" ht="3.75" customHeight="1">
      <c r="F251" s="139"/>
      <c r="M251" s="139"/>
    </row>
    <row r="252" spans="1:15" ht="13.5" customHeight="1">
      <c r="A252" s="50" t="s">
        <v>105</v>
      </c>
      <c r="D252" s="146"/>
      <c r="F252" s="139"/>
      <c r="H252" s="50" t="s">
        <v>105</v>
      </c>
      <c r="K252" s="146"/>
      <c r="M252" s="139"/>
    </row>
    <row r="253" spans="1:15" ht="6.75" customHeight="1" thickBot="1"/>
    <row r="254" spans="1:15" ht="17.25" thickBot="1">
      <c r="A254" s="891" t="s">
        <v>106</v>
      </c>
      <c r="B254" s="892"/>
      <c r="C254" s="892"/>
      <c r="D254" s="893"/>
      <c r="F254" s="50" t="s">
        <v>263</v>
      </c>
      <c r="H254" s="891" t="s">
        <v>106</v>
      </c>
      <c r="I254" s="892"/>
      <c r="J254" s="892"/>
      <c r="K254" s="893"/>
      <c r="M254" s="604" t="s">
        <v>288</v>
      </c>
      <c r="N254" s="604"/>
      <c r="O254" s="604"/>
    </row>
    <row r="255" spans="1:15" ht="28.5" customHeight="1" thickBot="1">
      <c r="A255" s="57" t="s">
        <v>100</v>
      </c>
      <c r="B255" s="58" t="s">
        <v>108</v>
      </c>
      <c r="C255" s="59" t="s">
        <v>109</v>
      </c>
      <c r="D255" s="60" t="s">
        <v>110</v>
      </c>
      <c r="H255" s="57" t="s">
        <v>100</v>
      </c>
      <c r="I255" s="58" t="s">
        <v>108</v>
      </c>
      <c r="J255" s="263" t="s">
        <v>109</v>
      </c>
      <c r="K255" s="60" t="s">
        <v>110</v>
      </c>
      <c r="M255" s="12"/>
      <c r="N255" s="12"/>
      <c r="O255" s="12"/>
    </row>
    <row r="256" spans="1:15" ht="13.5" customHeight="1">
      <c r="A256" s="71">
        <v>719</v>
      </c>
      <c r="B256" s="73" t="e">
        <f>+#REF!+#REF!+#REF!</f>
        <v>#REF!</v>
      </c>
      <c r="C256" s="74" t="e">
        <f>+D217</f>
        <v>#REF!</v>
      </c>
      <c r="D256" s="76" t="e">
        <f>+B256+C256</f>
        <v>#REF!</v>
      </c>
      <c r="H256" s="71">
        <v>719</v>
      </c>
      <c r="I256" s="73">
        <f>+O234+O236+O238+O242+O244</f>
        <v>0</v>
      </c>
      <c r="J256" s="74">
        <f>+K217</f>
        <v>15400000</v>
      </c>
      <c r="K256" s="195">
        <f>+I256+J256</f>
        <v>15400000</v>
      </c>
      <c r="M256" s="12"/>
      <c r="N256" s="12"/>
      <c r="O256" s="12"/>
    </row>
    <row r="257" spans="1:15" ht="14.25" customHeight="1">
      <c r="A257" s="72">
        <v>721</v>
      </c>
      <c r="B257" s="80"/>
      <c r="C257" s="74" t="e">
        <f>+D218</f>
        <v>#REF!</v>
      </c>
      <c r="D257" s="76" t="e">
        <f>+B257+C257</f>
        <v>#REF!</v>
      </c>
      <c r="H257" s="72">
        <v>721</v>
      </c>
      <c r="I257" s="80">
        <v>0</v>
      </c>
      <c r="J257" s="74">
        <f>+K218</f>
        <v>2443000</v>
      </c>
      <c r="K257" s="195">
        <f>+I257+J257</f>
        <v>2443000</v>
      </c>
      <c r="M257" s="12"/>
      <c r="N257" s="12"/>
      <c r="O257" s="12"/>
    </row>
    <row r="258" spans="1:15" ht="11.25" customHeight="1">
      <c r="A258" s="72">
        <v>722</v>
      </c>
      <c r="B258" s="80"/>
      <c r="C258" s="74" t="e">
        <f>+D219</f>
        <v>#REF!</v>
      </c>
      <c r="D258" s="76" t="e">
        <f>+B258+C258</f>
        <v>#REF!</v>
      </c>
      <c r="H258" s="72">
        <v>722</v>
      </c>
      <c r="I258" s="80"/>
      <c r="J258" s="74">
        <f>+K219</f>
        <v>0</v>
      </c>
      <c r="K258" s="195">
        <f>+I258+J258</f>
        <v>0</v>
      </c>
      <c r="M258" s="12"/>
      <c r="N258" s="12"/>
      <c r="O258" s="12"/>
    </row>
    <row r="259" spans="1:15" ht="16.5" customHeight="1" thickBot="1">
      <c r="A259" s="72">
        <v>723</v>
      </c>
      <c r="B259" s="80"/>
      <c r="C259" s="74">
        <f>+D220</f>
        <v>319828837</v>
      </c>
      <c r="D259" s="76">
        <f>+B259+C259</f>
        <v>319828837</v>
      </c>
      <c r="F259" s="174" t="s">
        <v>262</v>
      </c>
      <c r="G259" s="175"/>
      <c r="H259" s="72">
        <v>723</v>
      </c>
      <c r="I259" s="80">
        <f>+O235+O237+O239+O243+O245+O241</f>
        <v>18999000</v>
      </c>
      <c r="J259" s="74">
        <f>+K220</f>
        <v>208944432</v>
      </c>
      <c r="K259" s="195">
        <f>+I259+J259</f>
        <v>227943432</v>
      </c>
      <c r="M259" s="918"/>
      <c r="N259" s="608"/>
      <c r="O259" s="608"/>
    </row>
    <row r="260" spans="1:15" ht="13.5" hidden="1" customHeight="1">
      <c r="A260" s="164" t="s">
        <v>181</v>
      </c>
      <c r="B260" s="165"/>
      <c r="C260" s="74">
        <f>+D221</f>
        <v>1965625</v>
      </c>
      <c r="D260" s="168">
        <f>+B260+C260</f>
        <v>1965625</v>
      </c>
      <c r="F260" s="52"/>
      <c r="H260" s="164" t="s">
        <v>181</v>
      </c>
      <c r="I260" s="165"/>
      <c r="J260" s="74">
        <f>+K221</f>
        <v>0</v>
      </c>
      <c r="K260" s="196">
        <f>+I260+J260</f>
        <v>0</v>
      </c>
      <c r="M260" s="52"/>
    </row>
    <row r="261" spans="1:15" ht="15" customHeight="1" thickBot="1">
      <c r="A261" s="169"/>
      <c r="B261" s="170" t="e">
        <f>SUM(B256:B260)</f>
        <v>#REF!</v>
      </c>
      <c r="C261" s="171" t="e">
        <f>SUM(C256:C260)</f>
        <v>#REF!</v>
      </c>
      <c r="D261" s="172" t="e">
        <f>SUM(D256:D260)</f>
        <v>#REF!</v>
      </c>
      <c r="H261" s="169"/>
      <c r="I261" s="197">
        <f>SUM(I256:I260)</f>
        <v>18999000</v>
      </c>
      <c r="J261" s="197">
        <f>SUM(J256:J260)</f>
        <v>226787432</v>
      </c>
      <c r="K261" s="198">
        <f>SUM(K256:K260)</f>
        <v>245786432</v>
      </c>
    </row>
    <row r="262" spans="1:15" ht="15" customHeight="1">
      <c r="A262" s="49" t="s">
        <v>88</v>
      </c>
      <c r="B262" s="50"/>
      <c r="H262" s="49" t="s">
        <v>88</v>
      </c>
      <c r="I262" s="50"/>
    </row>
    <row r="263" spans="1:15" ht="12.75" customHeight="1">
      <c r="A263" s="51" t="s">
        <v>89</v>
      </c>
      <c r="H263" s="51" t="s">
        <v>89</v>
      </c>
    </row>
    <row r="264" spans="1:15" ht="13.5" customHeight="1">
      <c r="A264" s="51" t="s">
        <v>90</v>
      </c>
      <c r="H264" s="51" t="s">
        <v>90</v>
      </c>
    </row>
    <row r="265" spans="1:15" ht="13.5" customHeight="1">
      <c r="A265" s="51" t="s">
        <v>91</v>
      </c>
      <c r="H265" s="51" t="s">
        <v>91</v>
      </c>
    </row>
    <row r="266" spans="1:15" ht="3" customHeight="1">
      <c r="A266" s="50"/>
      <c r="B266" s="50"/>
      <c r="H266" s="50"/>
      <c r="I266" s="50"/>
    </row>
    <row r="267" spans="1:15" ht="14.25" customHeight="1">
      <c r="A267" s="52" t="s">
        <v>264</v>
      </c>
      <c r="G267" s="52"/>
      <c r="H267" s="52" t="s">
        <v>636</v>
      </c>
      <c r="I267" s="244"/>
      <c r="N267" s="52"/>
    </row>
    <row r="268" spans="1:15" ht="15.75">
      <c r="A268" s="53" t="s">
        <v>92</v>
      </c>
      <c r="G268" s="53"/>
      <c r="H268" s="53" t="s">
        <v>2754</v>
      </c>
      <c r="N268" s="53"/>
    </row>
    <row r="269" spans="1:15" ht="14.25" customHeight="1">
      <c r="A269" s="894" t="s">
        <v>261</v>
      </c>
      <c r="B269" s="894"/>
      <c r="C269" s="894"/>
      <c r="D269" s="894"/>
      <c r="E269" s="894"/>
      <c r="F269" s="894"/>
      <c r="G269" s="894"/>
      <c r="H269" s="894" t="s">
        <v>212</v>
      </c>
      <c r="I269" s="894"/>
      <c r="J269" s="894"/>
      <c r="K269" s="894"/>
      <c r="L269" s="894"/>
      <c r="M269" s="894"/>
      <c r="N269" s="894"/>
      <c r="O269" s="894"/>
    </row>
    <row r="270" spans="1:15" ht="3.75" customHeight="1" thickBot="1"/>
    <row r="271" spans="1:15">
      <c r="A271" s="895" t="s">
        <v>94</v>
      </c>
      <c r="B271" s="897" t="s">
        <v>95</v>
      </c>
      <c r="C271" s="897" t="s">
        <v>96</v>
      </c>
      <c r="D271" s="897" t="s">
        <v>3</v>
      </c>
      <c r="E271" s="897" t="s">
        <v>97</v>
      </c>
      <c r="F271" s="897" t="s">
        <v>98</v>
      </c>
      <c r="G271" s="500" t="s">
        <v>99</v>
      </c>
      <c r="H271" s="895" t="s">
        <v>94</v>
      </c>
      <c r="I271" s="897" t="s">
        <v>95</v>
      </c>
      <c r="J271" s="897" t="s">
        <v>96</v>
      </c>
      <c r="K271" s="897" t="s">
        <v>3</v>
      </c>
      <c r="L271" s="897" t="s">
        <v>97</v>
      </c>
      <c r="M271" s="897" t="s">
        <v>98</v>
      </c>
      <c r="N271" s="897" t="s">
        <v>99</v>
      </c>
      <c r="O271" s="899"/>
    </row>
    <row r="272" spans="1:15" ht="15.75" thickBot="1">
      <c r="A272" s="896"/>
      <c r="B272" s="898"/>
      <c r="C272" s="898"/>
      <c r="D272" s="898"/>
      <c r="E272" s="898"/>
      <c r="F272" s="898"/>
      <c r="G272" s="240" t="s">
        <v>100</v>
      </c>
      <c r="H272" s="896"/>
      <c r="I272" s="898"/>
      <c r="J272" s="898"/>
      <c r="K272" s="898"/>
      <c r="L272" s="898"/>
      <c r="M272" s="898"/>
      <c r="N272" s="240" t="s">
        <v>100</v>
      </c>
      <c r="O272" s="182" t="s">
        <v>101</v>
      </c>
    </row>
    <row r="273" spans="1:17" ht="11.25" customHeight="1">
      <c r="A273" s="881" t="e">
        <f>+A238+1</f>
        <v>#REF!</v>
      </c>
      <c r="B273" s="875">
        <v>42254</v>
      </c>
      <c r="C273" s="877" t="s">
        <v>267</v>
      </c>
      <c r="D273" s="881" t="s">
        <v>266</v>
      </c>
      <c r="E273" s="881" t="s">
        <v>148</v>
      </c>
      <c r="F273" s="883">
        <v>252000</v>
      </c>
      <c r="G273" s="55">
        <v>719</v>
      </c>
      <c r="H273" s="873" t="s">
        <v>2892</v>
      </c>
      <c r="I273" s="875">
        <v>45835</v>
      </c>
      <c r="J273" s="627" t="s">
        <v>2310</v>
      </c>
      <c r="K273" s="881" t="s">
        <v>2806</v>
      </c>
      <c r="L273" s="881" t="s">
        <v>115</v>
      </c>
      <c r="M273" s="883">
        <v>3000000</v>
      </c>
      <c r="N273" s="55">
        <v>719</v>
      </c>
      <c r="O273" s="78"/>
    </row>
    <row r="274" spans="1:17" ht="14.25" customHeight="1" thickBot="1">
      <c r="A274" s="882"/>
      <c r="B274" s="934"/>
      <c r="C274" s="878"/>
      <c r="D274" s="882"/>
      <c r="E274" s="882"/>
      <c r="F274" s="884"/>
      <c r="G274" s="56">
        <v>721</v>
      </c>
      <c r="H274" s="882"/>
      <c r="I274" s="876"/>
      <c r="J274" s="629"/>
      <c r="K274" s="882"/>
      <c r="L274" s="882"/>
      <c r="M274" s="884"/>
      <c r="N274" s="56">
        <v>723</v>
      </c>
      <c r="O274" s="352">
        <f>+M273</f>
        <v>3000000</v>
      </c>
    </row>
    <row r="275" spans="1:17" ht="12" customHeight="1">
      <c r="A275" s="881" t="e">
        <f>+A273+1</f>
        <v>#REF!</v>
      </c>
      <c r="B275" s="875">
        <v>42254</v>
      </c>
      <c r="C275" s="881" t="s">
        <v>28</v>
      </c>
      <c r="D275" s="881" t="s">
        <v>258</v>
      </c>
      <c r="E275" s="881" t="s">
        <v>148</v>
      </c>
      <c r="F275" s="883">
        <v>560000</v>
      </c>
      <c r="G275" s="55">
        <v>719</v>
      </c>
      <c r="H275" s="873" t="s">
        <v>2893</v>
      </c>
      <c r="I275" s="875">
        <v>45835</v>
      </c>
      <c r="J275" s="877" t="s">
        <v>2311</v>
      </c>
      <c r="K275" s="881" t="s">
        <v>2806</v>
      </c>
      <c r="L275" s="881" t="s">
        <v>115</v>
      </c>
      <c r="M275" s="883">
        <v>1200000</v>
      </c>
      <c r="N275" s="55">
        <v>719</v>
      </c>
      <c r="O275" s="258"/>
    </row>
    <row r="276" spans="1:17" ht="11.25" customHeight="1" thickBot="1">
      <c r="A276" s="882"/>
      <c r="B276" s="934"/>
      <c r="C276" s="882"/>
      <c r="D276" s="882"/>
      <c r="E276" s="882"/>
      <c r="F276" s="884"/>
      <c r="G276" s="56">
        <v>721</v>
      </c>
      <c r="H276" s="882"/>
      <c r="I276" s="876"/>
      <c r="J276" s="878"/>
      <c r="K276" s="882"/>
      <c r="L276" s="882"/>
      <c r="M276" s="884"/>
      <c r="N276" s="56">
        <v>723</v>
      </c>
      <c r="O276" s="352">
        <f>+M275</f>
        <v>1200000</v>
      </c>
    </row>
    <row r="277" spans="1:17" ht="12.75" customHeight="1">
      <c r="A277" s="881" t="e">
        <f>+A275+1</f>
        <v>#REF!</v>
      </c>
      <c r="B277" s="875">
        <v>42254</v>
      </c>
      <c r="C277" s="877" t="s">
        <v>32</v>
      </c>
      <c r="D277" s="881" t="s">
        <v>265</v>
      </c>
      <c r="E277" s="881" t="s">
        <v>148</v>
      </c>
      <c r="F277" s="883">
        <v>154000</v>
      </c>
      <c r="G277" s="55">
        <v>719</v>
      </c>
      <c r="H277" s="873" t="s">
        <v>2894</v>
      </c>
      <c r="I277" s="875">
        <v>45835</v>
      </c>
      <c r="J277" s="910" t="s">
        <v>1984</v>
      </c>
      <c r="K277" s="881" t="s">
        <v>2806</v>
      </c>
      <c r="L277" s="881" t="s">
        <v>115</v>
      </c>
      <c r="M277" s="883">
        <v>3600000</v>
      </c>
      <c r="N277" s="55">
        <v>719</v>
      </c>
      <c r="O277" s="258"/>
      <c r="Q277" s="51" t="s">
        <v>2146</v>
      </c>
    </row>
    <row r="278" spans="1:17" ht="15.75" customHeight="1" thickBot="1">
      <c r="A278" s="882"/>
      <c r="B278" s="934"/>
      <c r="C278" s="878"/>
      <c r="D278" s="882"/>
      <c r="E278" s="882"/>
      <c r="F278" s="884"/>
      <c r="G278" s="56">
        <v>721</v>
      </c>
      <c r="H278" s="882"/>
      <c r="I278" s="876"/>
      <c r="J278" s="911"/>
      <c r="K278" s="882"/>
      <c r="L278" s="882"/>
      <c r="M278" s="884"/>
      <c r="N278" s="56">
        <v>723</v>
      </c>
      <c r="O278" s="352">
        <f>+M277</f>
        <v>3600000</v>
      </c>
    </row>
    <row r="279" spans="1:17" ht="12" customHeight="1">
      <c r="A279" s="881" t="e">
        <f>+A277+1</f>
        <v>#REF!</v>
      </c>
      <c r="B279" s="875">
        <v>42254</v>
      </c>
      <c r="C279" s="877" t="s">
        <v>31</v>
      </c>
      <c r="D279" s="881" t="s">
        <v>265</v>
      </c>
      <c r="E279" s="881" t="s">
        <v>148</v>
      </c>
      <c r="F279" s="883">
        <v>1078000</v>
      </c>
      <c r="G279" s="55">
        <v>719</v>
      </c>
      <c r="H279" s="873" t="s">
        <v>2895</v>
      </c>
      <c r="I279" s="875">
        <v>45835</v>
      </c>
      <c r="J279" s="910" t="s">
        <v>1984</v>
      </c>
      <c r="K279" s="881" t="s">
        <v>2806</v>
      </c>
      <c r="L279" s="881" t="s">
        <v>115</v>
      </c>
      <c r="M279" s="883">
        <v>2400000</v>
      </c>
      <c r="N279" s="55">
        <v>719</v>
      </c>
      <c r="O279" s="258"/>
    </row>
    <row r="280" spans="1:17" ht="12" customHeight="1" thickBot="1">
      <c r="A280" s="882"/>
      <c r="B280" s="934"/>
      <c r="C280" s="878"/>
      <c r="D280" s="882"/>
      <c r="E280" s="882"/>
      <c r="F280" s="884"/>
      <c r="G280" s="56">
        <v>721</v>
      </c>
      <c r="H280" s="882"/>
      <c r="I280" s="876"/>
      <c r="J280" s="911"/>
      <c r="K280" s="882"/>
      <c r="L280" s="882"/>
      <c r="M280" s="884"/>
      <c r="N280" s="56">
        <v>723</v>
      </c>
      <c r="O280" s="352">
        <f>+M279</f>
        <v>2400000</v>
      </c>
    </row>
    <row r="281" spans="1:17" ht="12" customHeight="1">
      <c r="A281" s="251"/>
      <c r="B281" s="452"/>
      <c r="C281" s="253"/>
      <c r="D281" s="251"/>
      <c r="E281" s="251"/>
      <c r="F281" s="254"/>
      <c r="G281" s="255"/>
      <c r="H281" s="873" t="s">
        <v>2896</v>
      </c>
      <c r="I281" s="875">
        <v>45835</v>
      </c>
      <c r="J281" s="910" t="s">
        <v>1984</v>
      </c>
      <c r="K281" s="881" t="s">
        <v>2806</v>
      </c>
      <c r="L281" s="881" t="s">
        <v>115</v>
      </c>
      <c r="M281" s="883">
        <v>1392800</v>
      </c>
      <c r="N281" s="55">
        <v>719</v>
      </c>
      <c r="O281" s="258"/>
    </row>
    <row r="282" spans="1:17" ht="14.25" customHeight="1" thickBot="1">
      <c r="A282" s="251"/>
      <c r="B282" s="452"/>
      <c r="C282" s="253"/>
      <c r="D282" s="251"/>
      <c r="E282" s="251"/>
      <c r="F282" s="254"/>
      <c r="G282" s="255"/>
      <c r="H282" s="882"/>
      <c r="I282" s="876"/>
      <c r="J282" s="911"/>
      <c r="K282" s="882"/>
      <c r="L282" s="882"/>
      <c r="M282" s="884"/>
      <c r="N282" s="56">
        <v>723</v>
      </c>
      <c r="O282" s="352">
        <v>1392800</v>
      </c>
    </row>
    <row r="283" spans="1:17" ht="11.25" customHeight="1">
      <c r="A283" s="881" t="e">
        <f>+A279+1</f>
        <v>#REF!</v>
      </c>
      <c r="B283" s="875">
        <v>42254</v>
      </c>
      <c r="C283" s="877" t="s">
        <v>111</v>
      </c>
      <c r="D283" s="881" t="s">
        <v>268</v>
      </c>
      <c r="E283" s="881" t="s">
        <v>148</v>
      </c>
      <c r="F283" s="883">
        <v>112000</v>
      </c>
      <c r="G283" s="55">
        <v>719</v>
      </c>
      <c r="H283" s="873" t="s">
        <v>2897</v>
      </c>
      <c r="I283" s="875">
        <v>45835</v>
      </c>
      <c r="J283" s="910" t="s">
        <v>2898</v>
      </c>
      <c r="K283" s="881" t="s">
        <v>2806</v>
      </c>
      <c r="L283" s="881" t="s">
        <v>115</v>
      </c>
      <c r="M283" s="883">
        <v>2400000</v>
      </c>
      <c r="N283" s="496">
        <v>719</v>
      </c>
      <c r="O283" s="258"/>
    </row>
    <row r="284" spans="1:17" ht="15.75" customHeight="1" thickBot="1">
      <c r="A284" s="882"/>
      <c r="B284" s="934"/>
      <c r="C284" s="878"/>
      <c r="D284" s="882"/>
      <c r="E284" s="882"/>
      <c r="F284" s="884"/>
      <c r="G284" s="56">
        <v>721</v>
      </c>
      <c r="H284" s="882"/>
      <c r="I284" s="876"/>
      <c r="J284" s="911"/>
      <c r="K284" s="882"/>
      <c r="L284" s="882"/>
      <c r="M284" s="884"/>
      <c r="N284" s="56">
        <v>723</v>
      </c>
      <c r="O284" s="352">
        <f>+M283-O283</f>
        <v>2400000</v>
      </c>
    </row>
    <row r="285" spans="1:17" ht="13.5" customHeight="1" thickBot="1">
      <c r="A285" s="901" t="s">
        <v>102</v>
      </c>
      <c r="B285" s="902"/>
      <c r="C285" s="902"/>
      <c r="D285" s="902"/>
      <c r="E285" s="903"/>
      <c r="F285" s="81">
        <f>SUM(F273:F284)</f>
        <v>2156000</v>
      </c>
      <c r="H285" s="901" t="s">
        <v>102</v>
      </c>
      <c r="I285" s="902"/>
      <c r="J285" s="902"/>
      <c r="K285" s="902"/>
      <c r="L285" s="903"/>
      <c r="M285" s="81">
        <f>SUM(M273:M284)</f>
        <v>13992800</v>
      </c>
    </row>
    <row r="286" spans="1:17" ht="14.25" customHeight="1" thickBot="1">
      <c r="A286" s="885" t="s">
        <v>103</v>
      </c>
      <c r="B286" s="886"/>
      <c r="C286" s="886"/>
      <c r="D286" s="886"/>
      <c r="E286" s="887"/>
      <c r="F286" s="69" t="e">
        <f>+F248</f>
        <v>#REF!</v>
      </c>
      <c r="H286" s="885" t="s">
        <v>103</v>
      </c>
      <c r="I286" s="886"/>
      <c r="J286" s="886"/>
      <c r="K286" s="886"/>
      <c r="L286" s="887"/>
      <c r="M286" s="239">
        <f>+M248</f>
        <v>245786432</v>
      </c>
      <c r="N286" s="241" t="s">
        <v>561</v>
      </c>
      <c r="O286" s="242"/>
    </row>
    <row r="287" spans="1:17" ht="15.75" customHeight="1" thickBot="1">
      <c r="A287" s="888" t="s">
        <v>104</v>
      </c>
      <c r="B287" s="889"/>
      <c r="C287" s="889"/>
      <c r="D287" s="889"/>
      <c r="E287" s="890"/>
      <c r="F287" s="183" t="e">
        <f>SUM(F285:F286)</f>
        <v>#REF!</v>
      </c>
      <c r="H287" s="888" t="s">
        <v>104</v>
      </c>
      <c r="I287" s="889"/>
      <c r="J287" s="889"/>
      <c r="K287" s="889"/>
      <c r="L287" s="890"/>
      <c r="M287" s="183">
        <f>SUM(M285:M286)</f>
        <v>259779232</v>
      </c>
    </row>
    <row r="288" spans="1:17" ht="6.75" customHeight="1">
      <c r="A288" s="61"/>
      <c r="B288" s="61"/>
      <c r="C288" s="61"/>
      <c r="D288" s="61"/>
      <c r="E288" s="61"/>
      <c r="H288" s="61"/>
      <c r="I288" s="61"/>
      <c r="J288" s="61"/>
      <c r="K288" s="61"/>
      <c r="L288" s="61"/>
    </row>
    <row r="289" spans="1:15">
      <c r="A289" s="51" t="s">
        <v>269</v>
      </c>
      <c r="H289" s="51" t="s">
        <v>2899</v>
      </c>
    </row>
    <row r="290" spans="1:15" ht="3.75" customHeight="1">
      <c r="F290" s="139"/>
      <c r="M290" s="139"/>
    </row>
    <row r="291" spans="1:15" ht="12.75" customHeight="1">
      <c r="A291" s="50" t="s">
        <v>105</v>
      </c>
      <c r="D291" s="146"/>
      <c r="F291" s="139"/>
      <c r="H291" s="50" t="s">
        <v>105</v>
      </c>
      <c r="K291" s="146"/>
      <c r="M291" s="139"/>
    </row>
    <row r="292" spans="1:15" ht="3.75" customHeight="1" thickBot="1"/>
    <row r="293" spans="1:15" ht="17.25" thickBot="1">
      <c r="A293" s="891" t="s">
        <v>106</v>
      </c>
      <c r="B293" s="892"/>
      <c r="C293" s="892"/>
      <c r="D293" s="893"/>
      <c r="F293" s="50" t="s">
        <v>270</v>
      </c>
      <c r="H293" s="891" t="s">
        <v>106</v>
      </c>
      <c r="I293" s="892"/>
      <c r="J293" s="892"/>
      <c r="K293" s="893"/>
      <c r="M293" s="604" t="s">
        <v>288</v>
      </c>
      <c r="N293" s="604"/>
      <c r="O293" s="604"/>
    </row>
    <row r="294" spans="1:15" ht="31.5" thickBot="1">
      <c r="A294" s="57" t="s">
        <v>100</v>
      </c>
      <c r="B294" s="58" t="s">
        <v>108</v>
      </c>
      <c r="C294" s="59" t="s">
        <v>109</v>
      </c>
      <c r="D294" s="60" t="s">
        <v>110</v>
      </c>
      <c r="H294" s="57" t="s">
        <v>100</v>
      </c>
      <c r="I294" s="58" t="s">
        <v>108</v>
      </c>
      <c r="J294" s="59" t="s">
        <v>109</v>
      </c>
      <c r="K294" s="60" t="s">
        <v>110</v>
      </c>
      <c r="M294" s="12"/>
    </row>
    <row r="295" spans="1:15" ht="11.25" customHeight="1">
      <c r="A295" s="71">
        <v>719</v>
      </c>
      <c r="B295" s="73" t="e">
        <f>+#REF!+#REF!+#REF!+#REF!+#REF!</f>
        <v>#REF!</v>
      </c>
      <c r="C295" s="74" t="e">
        <f>+D256</f>
        <v>#REF!</v>
      </c>
      <c r="D295" s="76" t="e">
        <f>+B295+C295</f>
        <v>#REF!</v>
      </c>
      <c r="H295" s="71">
        <v>719</v>
      </c>
      <c r="I295" s="73">
        <f>+O273+O275+O277+O279+O283</f>
        <v>0</v>
      </c>
      <c r="J295" s="74">
        <f>+K256</f>
        <v>15400000</v>
      </c>
      <c r="K295" s="195">
        <f>+I295+J295</f>
        <v>15400000</v>
      </c>
      <c r="M295" s="12"/>
    </row>
    <row r="296" spans="1:15" ht="12" customHeight="1">
      <c r="A296" s="72">
        <v>721</v>
      </c>
      <c r="B296" s="80" t="e">
        <f>+#REF!+#REF!+#REF!+#REF!+#REF!</f>
        <v>#REF!</v>
      </c>
      <c r="C296" s="74" t="e">
        <f>+D257</f>
        <v>#REF!</v>
      </c>
      <c r="D296" s="76" t="e">
        <f>+B296+C296</f>
        <v>#REF!</v>
      </c>
      <c r="H296" s="72">
        <v>721</v>
      </c>
      <c r="I296" s="80"/>
      <c r="J296" s="74">
        <f>+K257</f>
        <v>2443000</v>
      </c>
      <c r="K296" s="195">
        <f>+I296+J296</f>
        <v>2443000</v>
      </c>
      <c r="M296" s="12"/>
    </row>
    <row r="297" spans="1:15" ht="12.75" customHeight="1">
      <c r="A297" s="72">
        <v>722</v>
      </c>
      <c r="B297" s="80"/>
      <c r="C297" s="74" t="e">
        <f>+D258</f>
        <v>#REF!</v>
      </c>
      <c r="D297" s="76" t="e">
        <f>+B297+C297</f>
        <v>#REF!</v>
      </c>
      <c r="H297" s="72">
        <v>722</v>
      </c>
      <c r="I297" s="80"/>
      <c r="J297" s="74">
        <f>+K258</f>
        <v>0</v>
      </c>
      <c r="K297" s="195">
        <f>+I297+J297</f>
        <v>0</v>
      </c>
      <c r="M297" s="12"/>
    </row>
    <row r="298" spans="1:15" ht="15" customHeight="1" thickBot="1">
      <c r="A298" s="72">
        <v>723</v>
      </c>
      <c r="B298" s="80"/>
      <c r="C298" s="74">
        <f>+D259</f>
        <v>319828837</v>
      </c>
      <c r="D298" s="76">
        <f>+B298+C298</f>
        <v>319828837</v>
      </c>
      <c r="F298" s="174" t="s">
        <v>262</v>
      </c>
      <c r="G298" s="175"/>
      <c r="H298" s="72">
        <v>723</v>
      </c>
      <c r="I298" s="80">
        <f>+M285</f>
        <v>13992800</v>
      </c>
      <c r="J298" s="74">
        <f>+K259</f>
        <v>227943432</v>
      </c>
      <c r="K298" s="195">
        <f>+I298+J298</f>
        <v>241936232</v>
      </c>
      <c r="M298" s="918"/>
      <c r="N298" s="608"/>
      <c r="O298" s="608"/>
    </row>
    <row r="299" spans="1:15" ht="14.25" hidden="1" customHeight="1">
      <c r="A299" s="164" t="s">
        <v>181</v>
      </c>
      <c r="B299" s="165"/>
      <c r="C299" s="74">
        <f>+D260</f>
        <v>1965625</v>
      </c>
      <c r="D299" s="168">
        <f>+B299+C299</f>
        <v>1965625</v>
      </c>
      <c r="F299" s="52"/>
      <c r="H299" s="164" t="s">
        <v>181</v>
      </c>
      <c r="I299" s="165"/>
      <c r="J299" s="74">
        <f>+K260</f>
        <v>0</v>
      </c>
      <c r="K299" s="196">
        <f>+I299+J299</f>
        <v>0</v>
      </c>
      <c r="M299" s="52"/>
    </row>
    <row r="300" spans="1:15" ht="16.5" thickBot="1">
      <c r="A300" s="169"/>
      <c r="B300" s="170" t="e">
        <f>SUM(B295:B299)</f>
        <v>#REF!</v>
      </c>
      <c r="C300" s="171" t="e">
        <f>SUM(C295:C299)</f>
        <v>#REF!</v>
      </c>
      <c r="D300" s="172" t="e">
        <f>SUM(D295:D299)</f>
        <v>#REF!</v>
      </c>
      <c r="H300" s="169"/>
      <c r="I300" s="197">
        <f>SUM(I295:I299)</f>
        <v>13992800</v>
      </c>
      <c r="J300" s="197">
        <f>SUM(J295:J299)</f>
        <v>245786432</v>
      </c>
      <c r="K300" s="198">
        <f>SUM(K295:K299)</f>
        <v>259779232</v>
      </c>
    </row>
    <row r="301" spans="1:15" ht="14.25" customHeight="1">
      <c r="A301" s="49" t="s">
        <v>88</v>
      </c>
      <c r="B301" s="50"/>
      <c r="H301" s="49" t="s">
        <v>88</v>
      </c>
      <c r="I301" s="50"/>
    </row>
    <row r="302" spans="1:15" ht="12.75" customHeight="1">
      <c r="A302" s="51" t="s">
        <v>89</v>
      </c>
      <c r="H302" s="51" t="s">
        <v>89</v>
      </c>
    </row>
    <row r="303" spans="1:15" ht="12.75" customHeight="1">
      <c r="A303" s="51" t="s">
        <v>90</v>
      </c>
      <c r="H303" s="51" t="s">
        <v>90</v>
      </c>
    </row>
    <row r="304" spans="1:15">
      <c r="A304" s="51" t="s">
        <v>91</v>
      </c>
      <c r="H304" s="51" t="s">
        <v>91</v>
      </c>
    </row>
    <row r="305" spans="1:15" ht="3.75" customHeight="1">
      <c r="A305" s="50"/>
      <c r="B305" s="50"/>
      <c r="H305" s="50"/>
      <c r="I305" s="50"/>
    </row>
    <row r="306" spans="1:15" ht="13.5" customHeight="1">
      <c r="A306" s="52" t="s">
        <v>271</v>
      </c>
      <c r="G306" s="52"/>
      <c r="H306" s="52" t="s">
        <v>731</v>
      </c>
      <c r="N306" s="52"/>
    </row>
    <row r="307" spans="1:15" ht="14.25" customHeight="1">
      <c r="A307" s="53" t="s">
        <v>92</v>
      </c>
      <c r="G307" s="53"/>
      <c r="H307" s="53" t="s">
        <v>2754</v>
      </c>
      <c r="N307" s="53"/>
    </row>
    <row r="308" spans="1:15" ht="15" customHeight="1">
      <c r="A308" s="894" t="s">
        <v>261</v>
      </c>
      <c r="B308" s="894"/>
      <c r="C308" s="894"/>
      <c r="D308" s="894"/>
      <c r="E308" s="894"/>
      <c r="F308" s="894"/>
      <c r="G308" s="894"/>
      <c r="H308" s="894" t="s">
        <v>2934</v>
      </c>
      <c r="I308" s="894"/>
      <c r="J308" s="894"/>
      <c r="K308" s="894"/>
      <c r="L308" s="894"/>
      <c r="M308" s="894"/>
      <c r="N308" s="894"/>
      <c r="O308" s="894"/>
    </row>
    <row r="309" spans="1:15" ht="6" customHeight="1" thickBot="1"/>
    <row r="310" spans="1:15">
      <c r="A310" s="895" t="s">
        <v>94</v>
      </c>
      <c r="B310" s="897" t="s">
        <v>95</v>
      </c>
      <c r="C310" s="897" t="s">
        <v>96</v>
      </c>
      <c r="D310" s="897" t="s">
        <v>3</v>
      </c>
      <c r="E310" s="897" t="s">
        <v>97</v>
      </c>
      <c r="F310" s="897" t="s">
        <v>98</v>
      </c>
      <c r="G310" s="500" t="s">
        <v>99</v>
      </c>
      <c r="H310" s="895" t="s">
        <v>94</v>
      </c>
      <c r="I310" s="897" t="s">
        <v>95</v>
      </c>
      <c r="J310" s="897" t="s">
        <v>96</v>
      </c>
      <c r="K310" s="897" t="s">
        <v>3</v>
      </c>
      <c r="L310" s="897" t="s">
        <v>97</v>
      </c>
      <c r="M310" s="897" t="s">
        <v>98</v>
      </c>
      <c r="N310" s="897" t="s">
        <v>99</v>
      </c>
      <c r="O310" s="899"/>
    </row>
    <row r="311" spans="1:15" ht="15.75" thickBot="1">
      <c r="A311" s="896"/>
      <c r="B311" s="898"/>
      <c r="C311" s="898"/>
      <c r="D311" s="898"/>
      <c r="E311" s="898"/>
      <c r="F311" s="898"/>
      <c r="G311" s="240" t="s">
        <v>100</v>
      </c>
      <c r="H311" s="896"/>
      <c r="I311" s="898"/>
      <c r="J311" s="898"/>
      <c r="K311" s="898"/>
      <c r="L311" s="898"/>
      <c r="M311" s="898"/>
      <c r="N311" s="240" t="s">
        <v>100</v>
      </c>
      <c r="O311" s="182" t="s">
        <v>101</v>
      </c>
    </row>
    <row r="312" spans="1:15" ht="12.75" customHeight="1">
      <c r="A312" s="881" t="e">
        <f>+A283+1</f>
        <v>#REF!</v>
      </c>
      <c r="B312" s="875">
        <v>42261</v>
      </c>
      <c r="C312" s="877" t="s">
        <v>267</v>
      </c>
      <c r="D312" s="881" t="s">
        <v>273</v>
      </c>
      <c r="E312" s="881" t="s">
        <v>148</v>
      </c>
      <c r="F312" s="883">
        <v>154000</v>
      </c>
      <c r="G312" s="55">
        <v>719</v>
      </c>
      <c r="H312" s="873" t="s">
        <v>764</v>
      </c>
      <c r="I312" s="875">
        <v>45869</v>
      </c>
      <c r="J312" s="877" t="s">
        <v>889</v>
      </c>
      <c r="K312" s="881" t="s">
        <v>2806</v>
      </c>
      <c r="L312" s="881" t="s">
        <v>145</v>
      </c>
      <c r="M312" s="883">
        <v>1950000</v>
      </c>
      <c r="N312" s="55">
        <v>719</v>
      </c>
      <c r="O312" s="78">
        <v>0</v>
      </c>
    </row>
    <row r="313" spans="1:15" ht="12" customHeight="1" thickBot="1">
      <c r="A313" s="882"/>
      <c r="B313" s="934"/>
      <c r="C313" s="878"/>
      <c r="D313" s="882"/>
      <c r="E313" s="882"/>
      <c r="F313" s="884"/>
      <c r="G313" s="56">
        <v>721</v>
      </c>
      <c r="H313" s="882"/>
      <c r="I313" s="876"/>
      <c r="J313" s="878"/>
      <c r="K313" s="882"/>
      <c r="L313" s="882"/>
      <c r="M313" s="884"/>
      <c r="N313" s="56">
        <v>723</v>
      </c>
      <c r="O313" s="79">
        <f>+M312-O312</f>
        <v>1950000</v>
      </c>
    </row>
    <row r="314" spans="1:15" ht="12.75" customHeight="1">
      <c r="A314" s="881" t="e">
        <f>+A312+1</f>
        <v>#REF!</v>
      </c>
      <c r="B314" s="875">
        <v>42261</v>
      </c>
      <c r="C314" s="881" t="s">
        <v>28</v>
      </c>
      <c r="D314" s="881" t="s">
        <v>274</v>
      </c>
      <c r="E314" s="881" t="s">
        <v>148</v>
      </c>
      <c r="F314" s="883">
        <v>238000</v>
      </c>
      <c r="G314" s="55">
        <v>719</v>
      </c>
      <c r="H314" s="873" t="s">
        <v>765</v>
      </c>
      <c r="I314" s="875">
        <v>45869</v>
      </c>
      <c r="J314" s="877" t="s">
        <v>2058</v>
      </c>
      <c r="K314" s="881" t="s">
        <v>2806</v>
      </c>
      <c r="L314" s="879" t="s">
        <v>1675</v>
      </c>
      <c r="M314" s="883">
        <v>1550000</v>
      </c>
      <c r="N314" s="55">
        <v>719</v>
      </c>
      <c r="O314" s="78"/>
    </row>
    <row r="315" spans="1:15" ht="14.25" customHeight="1" thickBot="1">
      <c r="A315" s="882"/>
      <c r="B315" s="934"/>
      <c r="C315" s="882"/>
      <c r="D315" s="882"/>
      <c r="E315" s="882"/>
      <c r="F315" s="884"/>
      <c r="G315" s="56">
        <v>721</v>
      </c>
      <c r="H315" s="882"/>
      <c r="I315" s="876"/>
      <c r="J315" s="878"/>
      <c r="K315" s="882"/>
      <c r="L315" s="880"/>
      <c r="M315" s="884"/>
      <c r="N315" s="56">
        <v>723</v>
      </c>
      <c r="O315" s="79">
        <f>+M314-O314</f>
        <v>1550000</v>
      </c>
    </row>
    <row r="316" spans="1:15" ht="12" customHeight="1">
      <c r="A316" s="881" t="e">
        <f>+A314+1</f>
        <v>#REF!</v>
      </c>
      <c r="B316" s="875">
        <v>42261</v>
      </c>
      <c r="C316" s="877" t="s">
        <v>32</v>
      </c>
      <c r="D316" s="881" t="s">
        <v>275</v>
      </c>
      <c r="E316" s="881" t="s">
        <v>148</v>
      </c>
      <c r="F316" s="883">
        <v>98000</v>
      </c>
      <c r="G316" s="55">
        <v>719</v>
      </c>
      <c r="H316" s="873" t="s">
        <v>766</v>
      </c>
      <c r="I316" s="875">
        <v>45869</v>
      </c>
      <c r="J316" s="877" t="s">
        <v>1079</v>
      </c>
      <c r="K316" s="881" t="s">
        <v>2806</v>
      </c>
      <c r="L316" s="879" t="s">
        <v>1675</v>
      </c>
      <c r="M316" s="883">
        <v>610000</v>
      </c>
      <c r="N316" s="55">
        <v>719</v>
      </c>
      <c r="O316" s="78">
        <v>610000</v>
      </c>
    </row>
    <row r="317" spans="1:15" ht="13.5" customHeight="1" thickBot="1">
      <c r="A317" s="882"/>
      <c r="B317" s="934"/>
      <c r="C317" s="878"/>
      <c r="D317" s="882"/>
      <c r="E317" s="882"/>
      <c r="F317" s="884"/>
      <c r="G317" s="56">
        <v>721</v>
      </c>
      <c r="H317" s="882"/>
      <c r="I317" s="876"/>
      <c r="J317" s="878"/>
      <c r="K317" s="882"/>
      <c r="L317" s="880"/>
      <c r="M317" s="884"/>
      <c r="N317" s="56">
        <v>721</v>
      </c>
      <c r="O317" s="79">
        <f>+M316-O316</f>
        <v>0</v>
      </c>
    </row>
    <row r="318" spans="1:15" ht="12.75" customHeight="1">
      <c r="A318" s="881" t="e">
        <f>+A316+1</f>
        <v>#REF!</v>
      </c>
      <c r="B318" s="875">
        <v>42261</v>
      </c>
      <c r="C318" s="877" t="s">
        <v>111</v>
      </c>
      <c r="D318" s="881" t="s">
        <v>273</v>
      </c>
      <c r="E318" s="881" t="s">
        <v>148</v>
      </c>
      <c r="F318" s="883">
        <v>42000</v>
      </c>
      <c r="G318" s="55">
        <v>719</v>
      </c>
      <c r="H318" s="873" t="s">
        <v>767</v>
      </c>
      <c r="I318" s="875">
        <v>45869</v>
      </c>
      <c r="J318" s="877" t="s">
        <v>1079</v>
      </c>
      <c r="K318" s="881" t="s">
        <v>2806</v>
      </c>
      <c r="L318" s="879" t="s">
        <v>1675</v>
      </c>
      <c r="M318" s="883">
        <v>970000</v>
      </c>
      <c r="N318" s="55">
        <v>719</v>
      </c>
      <c r="O318" s="78">
        <v>970000</v>
      </c>
    </row>
    <row r="319" spans="1:15" ht="13.5" customHeight="1" thickBot="1">
      <c r="A319" s="882"/>
      <c r="B319" s="934"/>
      <c r="C319" s="878"/>
      <c r="D319" s="882"/>
      <c r="E319" s="882"/>
      <c r="F319" s="884"/>
      <c r="G319" s="56">
        <v>721</v>
      </c>
      <c r="H319" s="882"/>
      <c r="I319" s="876"/>
      <c r="J319" s="878"/>
      <c r="K319" s="882"/>
      <c r="L319" s="880"/>
      <c r="M319" s="884"/>
      <c r="N319" s="56">
        <v>721</v>
      </c>
      <c r="O319" s="79">
        <f>+M318-O318</f>
        <v>0</v>
      </c>
    </row>
    <row r="320" spans="1:15" ht="13.5" customHeight="1">
      <c r="A320" s="251"/>
      <c r="B320" s="452"/>
      <c r="C320" s="253"/>
      <c r="D320" s="251"/>
      <c r="E320" s="251"/>
      <c r="F320" s="254"/>
      <c r="G320" s="255"/>
      <c r="H320" s="873" t="s">
        <v>768</v>
      </c>
      <c r="I320" s="875">
        <v>45869</v>
      </c>
      <c r="J320" s="877" t="s">
        <v>120</v>
      </c>
      <c r="K320" s="881" t="s">
        <v>2806</v>
      </c>
      <c r="L320" s="879" t="s">
        <v>1675</v>
      </c>
      <c r="M320" s="883">
        <v>360000</v>
      </c>
      <c r="N320" s="55">
        <v>719</v>
      </c>
      <c r="O320" s="78">
        <v>360000</v>
      </c>
    </row>
    <row r="321" spans="1:15" ht="13.5" customHeight="1" thickBot="1">
      <c r="A321" s="251"/>
      <c r="B321" s="452"/>
      <c r="C321" s="253"/>
      <c r="D321" s="251"/>
      <c r="E321" s="251"/>
      <c r="F321" s="254"/>
      <c r="G321" s="255"/>
      <c r="H321" s="882"/>
      <c r="I321" s="876"/>
      <c r="J321" s="878"/>
      <c r="K321" s="882"/>
      <c r="L321" s="880"/>
      <c r="M321" s="884"/>
      <c r="N321" s="56">
        <v>723</v>
      </c>
      <c r="O321" s="79">
        <f>+M320-O320</f>
        <v>0</v>
      </c>
    </row>
    <row r="322" spans="1:15" ht="13.5" customHeight="1">
      <c r="A322" s="251"/>
      <c r="B322" s="452"/>
      <c r="C322" s="253"/>
      <c r="D322" s="251"/>
      <c r="E322" s="251"/>
      <c r="F322" s="254"/>
      <c r="G322" s="255"/>
      <c r="H322" s="873"/>
      <c r="I322" s="875"/>
      <c r="J322" s="910"/>
      <c r="K322" s="881"/>
      <c r="L322" s="879"/>
      <c r="M322" s="883"/>
      <c r="N322" s="55">
        <v>719</v>
      </c>
      <c r="O322" s="78"/>
    </row>
    <row r="323" spans="1:15" ht="13.5" customHeight="1" thickBot="1">
      <c r="A323" s="251"/>
      <c r="B323" s="452"/>
      <c r="C323" s="253"/>
      <c r="D323" s="251"/>
      <c r="E323" s="251"/>
      <c r="F323" s="254"/>
      <c r="G323" s="255"/>
      <c r="H323" s="882"/>
      <c r="I323" s="876"/>
      <c r="J323" s="911"/>
      <c r="K323" s="882"/>
      <c r="L323" s="880"/>
      <c r="M323" s="884"/>
      <c r="N323" s="56">
        <v>723</v>
      </c>
      <c r="O323" s="79">
        <f>+M322-O322</f>
        <v>0</v>
      </c>
    </row>
    <row r="324" spans="1:15" ht="14.25" customHeight="1" thickBot="1">
      <c r="A324" s="901" t="s">
        <v>102</v>
      </c>
      <c r="B324" s="902"/>
      <c r="C324" s="902"/>
      <c r="D324" s="902"/>
      <c r="E324" s="903"/>
      <c r="F324" s="81">
        <f>SUM(F312:F323)</f>
        <v>532000</v>
      </c>
      <c r="H324" s="901" t="s">
        <v>102</v>
      </c>
      <c r="I324" s="902"/>
      <c r="J324" s="902"/>
      <c r="K324" s="902"/>
      <c r="L324" s="903"/>
      <c r="M324" s="81">
        <f>SUM(M312:M323)</f>
        <v>5440000</v>
      </c>
    </row>
    <row r="325" spans="1:15" ht="14.25" customHeight="1" thickBot="1">
      <c r="A325" s="885" t="s">
        <v>103</v>
      </c>
      <c r="B325" s="886"/>
      <c r="C325" s="886"/>
      <c r="D325" s="886"/>
      <c r="E325" s="887"/>
      <c r="F325" s="69" t="e">
        <f>+F287</f>
        <v>#REF!</v>
      </c>
      <c r="H325" s="885" t="s">
        <v>103</v>
      </c>
      <c r="I325" s="886"/>
      <c r="J325" s="886"/>
      <c r="K325" s="886"/>
      <c r="L325" s="887"/>
      <c r="M325" s="239">
        <v>300532532</v>
      </c>
      <c r="N325" s="241" t="s">
        <v>561</v>
      </c>
      <c r="O325" s="242"/>
    </row>
    <row r="326" spans="1:15" ht="13.5" customHeight="1" thickBot="1">
      <c r="A326" s="888" t="s">
        <v>104</v>
      </c>
      <c r="B326" s="889"/>
      <c r="C326" s="889"/>
      <c r="D326" s="889"/>
      <c r="E326" s="890"/>
      <c r="F326" s="183" t="e">
        <f>SUM(F324:F325)</f>
        <v>#REF!</v>
      </c>
      <c r="H326" s="888" t="s">
        <v>104</v>
      </c>
      <c r="I326" s="889"/>
      <c r="J326" s="889"/>
      <c r="K326" s="889"/>
      <c r="L326" s="890"/>
      <c r="M326" s="183">
        <f>SUM(M324:M325)</f>
        <v>305972532</v>
      </c>
    </row>
    <row r="327" spans="1:15" ht="12" customHeight="1">
      <c r="A327" s="61"/>
      <c r="B327" s="61"/>
      <c r="C327" s="61"/>
      <c r="D327" s="61"/>
      <c r="E327" s="61"/>
      <c r="H327" s="61"/>
      <c r="I327" s="61"/>
      <c r="J327" s="61"/>
      <c r="K327" s="61"/>
      <c r="L327" s="61"/>
    </row>
    <row r="328" spans="1:15">
      <c r="A328" s="51" t="s">
        <v>276</v>
      </c>
      <c r="H328" s="51" t="s">
        <v>2919</v>
      </c>
    </row>
    <row r="329" spans="1:15" ht="8.25" customHeight="1">
      <c r="F329" s="139"/>
      <c r="M329" s="139"/>
    </row>
    <row r="330" spans="1:15" ht="12.75" customHeight="1">
      <c r="A330" s="50" t="s">
        <v>105</v>
      </c>
      <c r="D330" s="146"/>
      <c r="F330" s="139"/>
      <c r="H330" s="50" t="s">
        <v>105</v>
      </c>
      <c r="K330" s="146"/>
      <c r="M330" s="139"/>
    </row>
    <row r="331" spans="1:15" ht="5.25" customHeight="1" thickBot="1"/>
    <row r="332" spans="1:15" ht="17.25" thickBot="1">
      <c r="A332" s="891" t="s">
        <v>106</v>
      </c>
      <c r="B332" s="892"/>
      <c r="C332" s="892"/>
      <c r="D332" s="893"/>
      <c r="F332" s="50" t="s">
        <v>270</v>
      </c>
      <c r="H332" s="891" t="s">
        <v>106</v>
      </c>
      <c r="I332" s="892"/>
      <c r="J332" s="892"/>
      <c r="K332" s="893"/>
      <c r="M332" s="604" t="s">
        <v>288</v>
      </c>
      <c r="N332" s="604"/>
      <c r="O332" s="604"/>
    </row>
    <row r="333" spans="1:15" ht="30.75" thickBot="1">
      <c r="A333" s="57" t="s">
        <v>100</v>
      </c>
      <c r="B333" s="58" t="s">
        <v>108</v>
      </c>
      <c r="C333" s="59" t="s">
        <v>109</v>
      </c>
      <c r="D333" s="60" t="s">
        <v>110</v>
      </c>
      <c r="H333" s="57" t="s">
        <v>100</v>
      </c>
      <c r="I333" s="58" t="s">
        <v>108</v>
      </c>
      <c r="J333" s="59" t="s">
        <v>109</v>
      </c>
      <c r="K333" s="60" t="s">
        <v>110</v>
      </c>
    </row>
    <row r="334" spans="1:15" ht="13.5" customHeight="1">
      <c r="A334" s="71">
        <v>719</v>
      </c>
      <c r="B334" s="73" t="e">
        <f>+#REF!+#REF!+#REF!+#REF!+#REF!</f>
        <v>#REF!</v>
      </c>
      <c r="C334" s="74" t="e">
        <f>+D295</f>
        <v>#REF!</v>
      </c>
      <c r="D334" s="76" t="e">
        <f>+B334+C334</f>
        <v>#REF!</v>
      </c>
      <c r="H334" s="71">
        <v>719</v>
      </c>
      <c r="I334" s="73">
        <f>+O316+O318+O320</f>
        <v>1940000</v>
      </c>
      <c r="J334" s="74">
        <f>+K295</f>
        <v>15400000</v>
      </c>
      <c r="K334" s="195">
        <f>+I334+J334</f>
        <v>17340000</v>
      </c>
    </row>
    <row r="335" spans="1:15" ht="13.5" customHeight="1">
      <c r="A335" s="72">
        <v>721</v>
      </c>
      <c r="B335" s="80" t="e">
        <f>+#REF!+#REF!+#REF!+#REF!+#REF!</f>
        <v>#REF!</v>
      </c>
      <c r="C335" s="74" t="e">
        <f>+D296</f>
        <v>#REF!</v>
      </c>
      <c r="D335" s="76" t="e">
        <f>+B335+C335</f>
        <v>#REF!</v>
      </c>
      <c r="H335" s="72">
        <v>721</v>
      </c>
      <c r="I335" s="80"/>
      <c r="J335" s="74">
        <f>+K296</f>
        <v>2443000</v>
      </c>
      <c r="K335" s="195">
        <f>+I335+J335</f>
        <v>2443000</v>
      </c>
    </row>
    <row r="336" spans="1:15" ht="14.25" hidden="1" customHeight="1">
      <c r="A336" s="72">
        <v>722</v>
      </c>
      <c r="B336" s="80"/>
      <c r="C336" s="74" t="e">
        <f>+D297</f>
        <v>#REF!</v>
      </c>
      <c r="D336" s="76" t="e">
        <f>+B336+C336</f>
        <v>#REF!</v>
      </c>
      <c r="H336" s="72">
        <v>722</v>
      </c>
      <c r="I336" s="80"/>
      <c r="J336" s="74">
        <f>+K297</f>
        <v>0</v>
      </c>
      <c r="K336" s="195">
        <f>+I336+J336</f>
        <v>0</v>
      </c>
      <c r="M336" s="918" t="s">
        <v>2347</v>
      </c>
      <c r="N336" s="608"/>
      <c r="O336" s="608"/>
    </row>
    <row r="337" spans="1:16" ht="15" customHeight="1" thickBot="1">
      <c r="A337" s="72">
        <v>723</v>
      </c>
      <c r="B337" s="80"/>
      <c r="C337" s="74">
        <f>+D298</f>
        <v>319828837</v>
      </c>
      <c r="D337" s="76">
        <f>+B337+C337</f>
        <v>319828837</v>
      </c>
      <c r="F337" s="174" t="s">
        <v>262</v>
      </c>
      <c r="G337" s="175"/>
      <c r="H337" s="72">
        <v>723</v>
      </c>
      <c r="I337" s="80">
        <f>+O313+O315</f>
        <v>3500000</v>
      </c>
      <c r="J337" s="74">
        <v>282689532</v>
      </c>
      <c r="K337" s="475">
        <f>+I337+J337</f>
        <v>286189532</v>
      </c>
      <c r="M337" s="609" t="s">
        <v>2926</v>
      </c>
      <c r="N337" s="609"/>
      <c r="O337" s="609"/>
      <c r="P337" s="259"/>
    </row>
    <row r="338" spans="1:16" ht="13.5" hidden="1" customHeight="1">
      <c r="A338" s="164" t="s">
        <v>181</v>
      </c>
      <c r="B338" s="165"/>
      <c r="C338" s="74">
        <f>+D299</f>
        <v>1965625</v>
      </c>
      <c r="D338" s="168">
        <f>+B338+C338</f>
        <v>1965625</v>
      </c>
      <c r="F338" s="52"/>
      <c r="H338" s="164" t="s">
        <v>181</v>
      </c>
      <c r="I338" s="165"/>
      <c r="J338" s="74">
        <f>+K299</f>
        <v>0</v>
      </c>
      <c r="K338" s="196">
        <f>+I338+J338</f>
        <v>0</v>
      </c>
      <c r="M338" s="52"/>
    </row>
    <row r="339" spans="1:16" ht="16.5" customHeight="1" thickBot="1">
      <c r="A339" s="169"/>
      <c r="B339" s="170" t="e">
        <f>SUM(B334:B338)</f>
        <v>#REF!</v>
      </c>
      <c r="C339" s="171" t="e">
        <f>SUM(C334:C338)</f>
        <v>#REF!</v>
      </c>
      <c r="D339" s="172" t="e">
        <f>SUM(D334:D338)</f>
        <v>#REF!</v>
      </c>
      <c r="H339" s="169"/>
      <c r="I339" s="197">
        <f>SUM(I334:I338)</f>
        <v>5440000</v>
      </c>
      <c r="J339" s="197">
        <f>SUM(J334:J338)</f>
        <v>300532532</v>
      </c>
      <c r="K339" s="198">
        <f>SUM(K334:K338)</f>
        <v>305972532</v>
      </c>
    </row>
    <row r="340" spans="1:16" ht="15.75" customHeight="1">
      <c r="A340" s="49" t="s">
        <v>88</v>
      </c>
      <c r="B340" s="50"/>
      <c r="H340" s="49" t="s">
        <v>88</v>
      </c>
      <c r="I340" s="50"/>
    </row>
    <row r="341" spans="1:16" ht="13.5" customHeight="1">
      <c r="A341" s="51" t="s">
        <v>89</v>
      </c>
      <c r="H341" s="51" t="s">
        <v>89</v>
      </c>
    </row>
    <row r="342" spans="1:16" ht="13.5" customHeight="1">
      <c r="A342" s="51" t="s">
        <v>90</v>
      </c>
      <c r="H342" s="51" t="s">
        <v>90</v>
      </c>
    </row>
    <row r="343" spans="1:16">
      <c r="A343" s="51" t="s">
        <v>91</v>
      </c>
      <c r="H343" s="51" t="s">
        <v>91</v>
      </c>
    </row>
    <row r="344" spans="1:16" ht="2.25" customHeight="1">
      <c r="A344" s="50"/>
      <c r="B344" s="50"/>
      <c r="H344" s="50"/>
      <c r="I344" s="50"/>
    </row>
    <row r="345" spans="1:16" ht="14.25" customHeight="1">
      <c r="A345" s="52" t="s">
        <v>277</v>
      </c>
      <c r="G345" s="52"/>
      <c r="H345" s="52" t="s">
        <v>743</v>
      </c>
      <c r="N345" s="52"/>
    </row>
    <row r="346" spans="1:16" ht="14.25" customHeight="1">
      <c r="A346" s="53" t="s">
        <v>92</v>
      </c>
      <c r="G346" s="53"/>
      <c r="H346" s="53" t="s">
        <v>2754</v>
      </c>
      <c r="N346" s="53"/>
    </row>
    <row r="347" spans="1:16" ht="15" customHeight="1">
      <c r="A347" s="894" t="s">
        <v>278</v>
      </c>
      <c r="B347" s="894"/>
      <c r="C347" s="894"/>
      <c r="D347" s="894"/>
      <c r="E347" s="894"/>
      <c r="F347" s="894"/>
      <c r="G347" s="894"/>
      <c r="H347" s="894" t="s">
        <v>228</v>
      </c>
      <c r="I347" s="894"/>
      <c r="J347" s="894"/>
      <c r="K347" s="894"/>
      <c r="L347" s="894"/>
      <c r="M347" s="894"/>
      <c r="N347" s="894"/>
      <c r="O347" s="894"/>
    </row>
    <row r="348" spans="1:16" ht="9.75" customHeight="1" thickBot="1"/>
    <row r="349" spans="1:16" ht="16.5">
      <c r="A349" s="895" t="s">
        <v>94</v>
      </c>
      <c r="B349" s="897" t="s">
        <v>95</v>
      </c>
      <c r="C349" s="897" t="s">
        <v>96</v>
      </c>
      <c r="D349" s="897" t="s">
        <v>3</v>
      </c>
      <c r="E349" s="897" t="s">
        <v>97</v>
      </c>
      <c r="F349" s="897" t="s">
        <v>98</v>
      </c>
      <c r="G349" s="500" t="s">
        <v>99</v>
      </c>
      <c r="H349" s="939" t="s">
        <v>94</v>
      </c>
      <c r="I349" s="937" t="s">
        <v>95</v>
      </c>
      <c r="J349" s="937" t="s">
        <v>96</v>
      </c>
      <c r="K349" s="937" t="s">
        <v>3</v>
      </c>
      <c r="L349" s="937" t="s">
        <v>97</v>
      </c>
      <c r="M349" s="937" t="s">
        <v>98</v>
      </c>
      <c r="N349" s="937" t="s">
        <v>99</v>
      </c>
      <c r="O349" s="938"/>
    </row>
    <row r="350" spans="1:16" ht="17.25" thickBot="1">
      <c r="A350" s="896"/>
      <c r="B350" s="898"/>
      <c r="C350" s="898"/>
      <c r="D350" s="898"/>
      <c r="E350" s="898"/>
      <c r="F350" s="898"/>
      <c r="G350" s="240" t="s">
        <v>100</v>
      </c>
      <c r="H350" s="940"/>
      <c r="I350" s="941"/>
      <c r="J350" s="941"/>
      <c r="K350" s="941"/>
      <c r="L350" s="941"/>
      <c r="M350" s="941"/>
      <c r="N350" s="497" t="s">
        <v>100</v>
      </c>
      <c r="O350" s="498" t="s">
        <v>101</v>
      </c>
    </row>
    <row r="351" spans="1:16" ht="10.5" customHeight="1">
      <c r="A351" s="881" t="e">
        <f>+#REF!+1</f>
        <v>#REF!</v>
      </c>
      <c r="B351" s="875">
        <v>42261</v>
      </c>
      <c r="C351" s="877" t="s">
        <v>267</v>
      </c>
      <c r="D351" s="881" t="s">
        <v>284</v>
      </c>
      <c r="E351" s="881" t="s">
        <v>115</v>
      </c>
      <c r="F351" s="883">
        <v>130000</v>
      </c>
      <c r="G351" s="55">
        <v>719</v>
      </c>
      <c r="H351" s="873" t="s">
        <v>769</v>
      </c>
      <c r="I351" s="875">
        <v>45898</v>
      </c>
      <c r="J351" s="877" t="s">
        <v>1079</v>
      </c>
      <c r="K351" s="881" t="s">
        <v>2920</v>
      </c>
      <c r="L351" s="881" t="s">
        <v>148</v>
      </c>
      <c r="M351" s="883">
        <v>520000</v>
      </c>
      <c r="N351" s="55">
        <v>719</v>
      </c>
      <c r="O351" s="78">
        <v>520000</v>
      </c>
    </row>
    <row r="352" spans="1:16" ht="12.75" customHeight="1" thickBot="1">
      <c r="A352" s="882"/>
      <c r="B352" s="934"/>
      <c r="C352" s="878"/>
      <c r="D352" s="882"/>
      <c r="E352" s="882"/>
      <c r="F352" s="884"/>
      <c r="G352" s="56">
        <v>721</v>
      </c>
      <c r="H352" s="882"/>
      <c r="I352" s="876"/>
      <c r="J352" s="878"/>
      <c r="K352" s="882"/>
      <c r="L352" s="882"/>
      <c r="M352" s="884"/>
      <c r="N352" s="56">
        <v>723</v>
      </c>
      <c r="O352" s="79"/>
    </row>
    <row r="353" spans="1:15" ht="11.25" customHeight="1">
      <c r="A353" s="251"/>
      <c r="B353" s="452"/>
      <c r="C353" s="253"/>
      <c r="D353" s="251"/>
      <c r="E353" s="251"/>
      <c r="F353" s="254"/>
      <c r="G353" s="255"/>
      <c r="H353" s="873" t="s">
        <v>770</v>
      </c>
      <c r="I353" s="875">
        <v>45898</v>
      </c>
      <c r="J353" s="877" t="s">
        <v>1079</v>
      </c>
      <c r="K353" s="881" t="s">
        <v>2921</v>
      </c>
      <c r="L353" s="881" t="s">
        <v>148</v>
      </c>
      <c r="M353" s="883">
        <v>560000</v>
      </c>
      <c r="N353" s="55">
        <v>719</v>
      </c>
      <c r="O353" s="78">
        <v>560000</v>
      </c>
    </row>
    <row r="354" spans="1:15" ht="12.75" customHeight="1" thickBot="1">
      <c r="A354" s="251"/>
      <c r="B354" s="452"/>
      <c r="C354" s="253"/>
      <c r="D354" s="251"/>
      <c r="E354" s="251"/>
      <c r="F354" s="254"/>
      <c r="G354" s="255"/>
      <c r="H354" s="882"/>
      <c r="I354" s="876"/>
      <c r="J354" s="878"/>
      <c r="K354" s="882"/>
      <c r="L354" s="882"/>
      <c r="M354" s="884"/>
      <c r="N354" s="56">
        <v>723</v>
      </c>
      <c r="O354" s="79"/>
    </row>
    <row r="355" spans="1:15" ht="13.5" customHeight="1">
      <c r="A355" s="881" t="e">
        <f>+A351+1</f>
        <v>#REF!</v>
      </c>
      <c r="B355" s="875">
        <v>42261</v>
      </c>
      <c r="C355" s="881" t="s">
        <v>28</v>
      </c>
      <c r="D355" s="881" t="s">
        <v>283</v>
      </c>
      <c r="E355" s="881" t="s">
        <v>115</v>
      </c>
      <c r="F355" s="883">
        <v>70000</v>
      </c>
      <c r="G355" s="55">
        <v>719</v>
      </c>
      <c r="H355" s="873" t="s">
        <v>771</v>
      </c>
      <c r="I355" s="875">
        <v>45898</v>
      </c>
      <c r="J355" s="877" t="s">
        <v>1984</v>
      </c>
      <c r="K355" s="881" t="s">
        <v>2922</v>
      </c>
      <c r="L355" s="881" t="s">
        <v>148</v>
      </c>
      <c r="M355" s="883">
        <v>480000</v>
      </c>
      <c r="N355" s="55">
        <v>719</v>
      </c>
      <c r="O355" s="78">
        <v>480000</v>
      </c>
    </row>
    <row r="356" spans="1:15" ht="12.75" customHeight="1" thickBot="1">
      <c r="A356" s="882"/>
      <c r="B356" s="876"/>
      <c r="C356" s="882"/>
      <c r="D356" s="882"/>
      <c r="E356" s="882"/>
      <c r="F356" s="884"/>
      <c r="G356" s="56">
        <v>721</v>
      </c>
      <c r="H356" s="882"/>
      <c r="I356" s="876"/>
      <c r="J356" s="878"/>
      <c r="K356" s="882"/>
      <c r="L356" s="882"/>
      <c r="M356" s="884"/>
      <c r="N356" s="56">
        <v>721</v>
      </c>
      <c r="O356" s="79"/>
    </row>
    <row r="357" spans="1:15" ht="12.75" customHeight="1">
      <c r="A357" s="251"/>
      <c r="B357" s="252"/>
      <c r="C357" s="251"/>
      <c r="D357" s="251"/>
      <c r="E357" s="251"/>
      <c r="F357" s="254"/>
      <c r="G357" s="255"/>
      <c r="H357" s="873" t="s">
        <v>772</v>
      </c>
      <c r="I357" s="875">
        <v>45898</v>
      </c>
      <c r="J357" s="877" t="s">
        <v>1984</v>
      </c>
      <c r="K357" s="881" t="s">
        <v>2923</v>
      </c>
      <c r="L357" s="881" t="s">
        <v>148</v>
      </c>
      <c r="M357" s="883">
        <v>490000</v>
      </c>
      <c r="N357" s="55">
        <v>719</v>
      </c>
      <c r="O357" s="78">
        <v>490000</v>
      </c>
    </row>
    <row r="358" spans="1:15" ht="12.75" customHeight="1" thickBot="1">
      <c r="A358" s="251"/>
      <c r="B358" s="252"/>
      <c r="C358" s="251"/>
      <c r="D358" s="251"/>
      <c r="E358" s="251"/>
      <c r="F358" s="254"/>
      <c r="G358" s="255"/>
      <c r="H358" s="882"/>
      <c r="I358" s="876"/>
      <c r="J358" s="878"/>
      <c r="K358" s="882"/>
      <c r="L358" s="882"/>
      <c r="M358" s="884"/>
      <c r="N358" s="56">
        <v>721</v>
      </c>
      <c r="O358" s="79">
        <f>+M357-O357</f>
        <v>0</v>
      </c>
    </row>
    <row r="359" spans="1:15" ht="12.75" customHeight="1">
      <c r="A359" s="881" t="e">
        <f>+#REF!+1</f>
        <v>#REF!</v>
      </c>
      <c r="B359" s="875">
        <v>42261</v>
      </c>
      <c r="C359" s="910" t="s">
        <v>282</v>
      </c>
      <c r="D359" s="881" t="s">
        <v>279</v>
      </c>
      <c r="E359" s="881" t="s">
        <v>165</v>
      </c>
      <c r="F359" s="883">
        <v>300000</v>
      </c>
      <c r="G359" s="55">
        <v>719</v>
      </c>
      <c r="H359" s="873" t="s">
        <v>773</v>
      </c>
      <c r="I359" s="875">
        <v>45898</v>
      </c>
      <c r="J359" s="877" t="s">
        <v>1984</v>
      </c>
      <c r="K359" s="881" t="s">
        <v>2924</v>
      </c>
      <c r="L359" s="881" t="s">
        <v>148</v>
      </c>
      <c r="M359" s="883">
        <v>500000</v>
      </c>
      <c r="N359" s="55">
        <v>719</v>
      </c>
      <c r="O359" s="78">
        <v>500000</v>
      </c>
    </row>
    <row r="360" spans="1:15" ht="13.5" customHeight="1" thickBot="1">
      <c r="A360" s="882"/>
      <c r="B360" s="876"/>
      <c r="C360" s="911"/>
      <c r="D360" s="882"/>
      <c r="E360" s="882"/>
      <c r="F360" s="884"/>
      <c r="G360" s="56">
        <v>723</v>
      </c>
      <c r="H360" s="882"/>
      <c r="I360" s="876"/>
      <c r="J360" s="878"/>
      <c r="K360" s="882"/>
      <c r="L360" s="882"/>
      <c r="M360" s="884"/>
      <c r="N360" s="56">
        <v>721</v>
      </c>
      <c r="O360" s="79">
        <f>+M359-O359</f>
        <v>0</v>
      </c>
    </row>
    <row r="361" spans="1:15" ht="14.25" customHeight="1" thickBot="1">
      <c r="A361" s="901" t="s">
        <v>102</v>
      </c>
      <c r="B361" s="902"/>
      <c r="C361" s="902"/>
      <c r="D361" s="902"/>
      <c r="E361" s="903"/>
      <c r="F361" s="81">
        <f>SUM(F351:F360)</f>
        <v>500000</v>
      </c>
      <c r="H361" s="901" t="s">
        <v>102</v>
      </c>
      <c r="I361" s="902"/>
      <c r="J361" s="902"/>
      <c r="K361" s="902"/>
      <c r="L361" s="903"/>
      <c r="M361" s="81">
        <f>SUM(M351:M360)</f>
        <v>2550000</v>
      </c>
    </row>
    <row r="362" spans="1:15" ht="15" customHeight="1" thickBot="1">
      <c r="A362" s="885" t="s">
        <v>103</v>
      </c>
      <c r="B362" s="886"/>
      <c r="C362" s="886"/>
      <c r="D362" s="886"/>
      <c r="E362" s="887"/>
      <c r="F362" s="69" t="e">
        <f>+F326</f>
        <v>#REF!</v>
      </c>
      <c r="H362" s="885" t="s">
        <v>103</v>
      </c>
      <c r="I362" s="886"/>
      <c r="J362" s="886"/>
      <c r="K362" s="886"/>
      <c r="L362" s="887"/>
      <c r="M362" s="239">
        <f>+K339</f>
        <v>305972532</v>
      </c>
      <c r="N362" s="241" t="s">
        <v>561</v>
      </c>
      <c r="O362" s="242"/>
    </row>
    <row r="363" spans="1:15" ht="16.5" customHeight="1" thickBot="1">
      <c r="A363" s="888" t="s">
        <v>104</v>
      </c>
      <c r="B363" s="889"/>
      <c r="C363" s="889"/>
      <c r="D363" s="889"/>
      <c r="E363" s="890"/>
      <c r="F363" s="183" t="e">
        <f>SUM(F361:F362)</f>
        <v>#REF!</v>
      </c>
      <c r="H363" s="888" t="s">
        <v>104</v>
      </c>
      <c r="I363" s="889"/>
      <c r="J363" s="889"/>
      <c r="K363" s="889"/>
      <c r="L363" s="890"/>
      <c r="M363" s="183">
        <f>SUM(M361:M362)</f>
        <v>308522532</v>
      </c>
    </row>
    <row r="364" spans="1:15" ht="5.25" customHeight="1">
      <c r="A364" s="61"/>
      <c r="B364" s="61"/>
      <c r="C364" s="61"/>
      <c r="D364" s="61"/>
      <c r="E364" s="61"/>
      <c r="H364" s="61"/>
      <c r="I364" s="61"/>
      <c r="J364" s="61"/>
      <c r="K364" s="61"/>
      <c r="L364" s="61"/>
    </row>
    <row r="365" spans="1:15">
      <c r="A365" s="51" t="s">
        <v>285</v>
      </c>
      <c r="H365" s="51" t="s">
        <v>2925</v>
      </c>
    </row>
    <row r="366" spans="1:15" ht="11.25" customHeight="1">
      <c r="F366" s="139"/>
      <c r="M366" s="139"/>
    </row>
    <row r="367" spans="1:15" ht="12.75" customHeight="1">
      <c r="A367" s="50" t="s">
        <v>105</v>
      </c>
      <c r="D367" s="146"/>
      <c r="F367" s="139"/>
      <c r="H367" s="50" t="s">
        <v>105</v>
      </c>
      <c r="K367" s="146"/>
      <c r="M367" s="139" t="s">
        <v>631</v>
      </c>
    </row>
    <row r="368" spans="1:15" ht="9.75" customHeight="1" thickBot="1"/>
    <row r="369" spans="1:15" ht="17.25" thickBot="1">
      <c r="A369" s="891" t="s">
        <v>106</v>
      </c>
      <c r="B369" s="892"/>
      <c r="C369" s="892"/>
      <c r="D369" s="893"/>
      <c r="F369" s="50" t="s">
        <v>270</v>
      </c>
      <c r="H369" s="891" t="s">
        <v>106</v>
      </c>
      <c r="I369" s="892"/>
      <c r="J369" s="892"/>
      <c r="K369" s="893"/>
      <c r="M369" s="604" t="s">
        <v>288</v>
      </c>
      <c r="N369" s="604"/>
      <c r="O369" s="604"/>
    </row>
    <row r="370" spans="1:15" ht="42.75" customHeight="1" thickBot="1">
      <c r="A370" s="57" t="s">
        <v>100</v>
      </c>
      <c r="B370" s="58" t="s">
        <v>108</v>
      </c>
      <c r="C370" s="59" t="s">
        <v>109</v>
      </c>
      <c r="D370" s="60" t="s">
        <v>110</v>
      </c>
      <c r="H370" s="57" t="s">
        <v>100</v>
      </c>
      <c r="I370" s="58" t="s">
        <v>108</v>
      </c>
      <c r="J370" s="59" t="s">
        <v>109</v>
      </c>
      <c r="K370" s="60" t="s">
        <v>110</v>
      </c>
    </row>
    <row r="371" spans="1:15" ht="13.5" customHeight="1">
      <c r="A371" s="71">
        <v>719</v>
      </c>
      <c r="B371" s="73" t="e">
        <f>+#REF!+#REF!+#REF!+#REF!+#REF!</f>
        <v>#REF!</v>
      </c>
      <c r="C371" s="74" t="e">
        <f>+D334</f>
        <v>#REF!</v>
      </c>
      <c r="D371" s="76" t="e">
        <f>+B371+C371</f>
        <v>#REF!</v>
      </c>
      <c r="H371" s="71">
        <v>719</v>
      </c>
      <c r="I371" s="73">
        <f>O351+O353+O355+O357+O359</f>
        <v>2550000</v>
      </c>
      <c r="J371" s="74">
        <f>+K334</f>
        <v>17340000</v>
      </c>
      <c r="K371" s="195">
        <f>+I371+J371</f>
        <v>19890000</v>
      </c>
      <c r="L371" s="139"/>
    </row>
    <row r="372" spans="1:15" ht="13.5" customHeight="1">
      <c r="A372" s="72">
        <v>721</v>
      </c>
      <c r="B372" s="80"/>
      <c r="C372" s="74" t="e">
        <f>+D335</f>
        <v>#REF!</v>
      </c>
      <c r="D372" s="76" t="e">
        <f>+B372+C372</f>
        <v>#REF!</v>
      </c>
      <c r="H372" s="72">
        <v>721</v>
      </c>
      <c r="I372" s="80">
        <f>+O356+O358+O360</f>
        <v>0</v>
      </c>
      <c r="J372" s="74">
        <f>+K335</f>
        <v>2443000</v>
      </c>
      <c r="K372" s="195">
        <f>+I372+J372</f>
        <v>2443000</v>
      </c>
    </row>
    <row r="373" spans="1:15" ht="13.5" customHeight="1">
      <c r="A373" s="72">
        <v>722</v>
      </c>
      <c r="B373" s="80"/>
      <c r="C373" s="74" t="e">
        <f>+D336</f>
        <v>#REF!</v>
      </c>
      <c r="D373" s="76" t="e">
        <f>+B373+C373</f>
        <v>#REF!</v>
      </c>
      <c r="H373" s="72">
        <v>722</v>
      </c>
      <c r="I373" s="80"/>
      <c r="J373" s="74">
        <f>+K336</f>
        <v>0</v>
      </c>
      <c r="K373" s="195">
        <f>+I373+J373</f>
        <v>0</v>
      </c>
    </row>
    <row r="374" spans="1:15" ht="13.5" customHeight="1" thickBot="1">
      <c r="A374" s="72">
        <v>723</v>
      </c>
      <c r="B374" s="80" t="e">
        <f>+#REF!+#REF!</f>
        <v>#REF!</v>
      </c>
      <c r="C374" s="74">
        <f>+D337</f>
        <v>319828837</v>
      </c>
      <c r="D374" s="76" t="e">
        <f>+B374+C374</f>
        <v>#REF!</v>
      </c>
      <c r="F374" s="174" t="s">
        <v>262</v>
      </c>
      <c r="G374" s="175"/>
      <c r="H374" s="72">
        <v>723</v>
      </c>
      <c r="I374" s="80">
        <f>+O352+O354</f>
        <v>0</v>
      </c>
      <c r="J374" s="74">
        <f>+K337</f>
        <v>286189532</v>
      </c>
      <c r="K374" s="195">
        <f>+I374+J374</f>
        <v>286189532</v>
      </c>
      <c r="M374" s="918" t="s">
        <v>2926</v>
      </c>
      <c r="N374" s="608"/>
      <c r="O374" s="608"/>
    </row>
    <row r="375" spans="1:15" ht="11.25" hidden="1" customHeight="1">
      <c r="A375" s="164" t="s">
        <v>181</v>
      </c>
      <c r="B375" s="165"/>
      <c r="C375" s="74">
        <f>+D338</f>
        <v>1965625</v>
      </c>
      <c r="D375" s="168">
        <f>+B375+C375</f>
        <v>1965625</v>
      </c>
      <c r="F375" s="52"/>
      <c r="H375" s="164" t="s">
        <v>181</v>
      </c>
      <c r="I375" s="165"/>
      <c r="J375" s="74">
        <f>+K338</f>
        <v>0</v>
      </c>
      <c r="K375" s="196">
        <f>+I375+J375</f>
        <v>0</v>
      </c>
      <c r="M375" s="52"/>
    </row>
    <row r="376" spans="1:15" ht="16.5" thickBot="1">
      <c r="A376" s="169"/>
      <c r="B376" s="170" t="e">
        <f>SUM(B371:B375)</f>
        <v>#REF!</v>
      </c>
      <c r="C376" s="171" t="e">
        <f>SUM(C371:C375)</f>
        <v>#REF!</v>
      </c>
      <c r="D376" s="172" t="e">
        <f>SUM(D371:D375)</f>
        <v>#REF!</v>
      </c>
      <c r="H376" s="169"/>
      <c r="I376" s="197">
        <f>SUM(I371:I375)</f>
        <v>2550000</v>
      </c>
      <c r="J376" s="197">
        <f>SUM(J371:J375)</f>
        <v>305972532</v>
      </c>
      <c r="K376" s="198">
        <f>SUM(K371:K375)</f>
        <v>308522532</v>
      </c>
    </row>
    <row r="377" spans="1:15" ht="14.25" customHeight="1">
      <c r="A377" s="49" t="s">
        <v>88</v>
      </c>
      <c r="B377" s="50"/>
      <c r="H377" s="49" t="s">
        <v>88</v>
      </c>
      <c r="I377" s="50"/>
    </row>
    <row r="378" spans="1:15" ht="15.75" customHeight="1">
      <c r="A378" s="51" t="s">
        <v>89</v>
      </c>
      <c r="H378" s="51" t="s">
        <v>89</v>
      </c>
    </row>
    <row r="379" spans="1:15" ht="15.75" customHeight="1">
      <c r="A379" s="51" t="s">
        <v>90</v>
      </c>
      <c r="H379" s="51" t="s">
        <v>90</v>
      </c>
    </row>
    <row r="380" spans="1:15" ht="17.25" customHeight="1">
      <c r="A380" s="51" t="s">
        <v>91</v>
      </c>
      <c r="H380" s="51" t="s">
        <v>91</v>
      </c>
    </row>
    <row r="381" spans="1:15" ht="3.75" customHeight="1">
      <c r="A381" s="50"/>
      <c r="B381" s="50"/>
      <c r="H381" s="50"/>
      <c r="I381" s="50"/>
    </row>
    <row r="382" spans="1:15" ht="14.25" customHeight="1">
      <c r="A382" s="52" t="s">
        <v>287</v>
      </c>
      <c r="G382" s="52"/>
      <c r="H382" s="52" t="s">
        <v>761</v>
      </c>
      <c r="N382" s="52"/>
    </row>
    <row r="383" spans="1:15" ht="15.75">
      <c r="A383" s="53" t="s">
        <v>92</v>
      </c>
      <c r="G383" s="53"/>
      <c r="H383" s="53" t="s">
        <v>2754</v>
      </c>
      <c r="N383" s="53"/>
    </row>
    <row r="384" spans="1:15" ht="14.25" customHeight="1">
      <c r="A384" s="894" t="s">
        <v>261</v>
      </c>
      <c r="B384" s="894"/>
      <c r="C384" s="894"/>
      <c r="D384" s="894"/>
      <c r="E384" s="894"/>
      <c r="F384" s="894"/>
      <c r="G384" s="894"/>
      <c r="H384" s="894" t="s">
        <v>2933</v>
      </c>
      <c r="I384" s="894"/>
      <c r="J384" s="894"/>
      <c r="K384" s="894"/>
      <c r="L384" s="894"/>
      <c r="M384" s="894"/>
      <c r="N384" s="894"/>
      <c r="O384" s="894"/>
    </row>
    <row r="385" spans="1:15" ht="4.5" customHeight="1" thickBot="1"/>
    <row r="386" spans="1:15">
      <c r="A386" s="895" t="s">
        <v>94</v>
      </c>
      <c r="B386" s="897" t="s">
        <v>95</v>
      </c>
      <c r="C386" s="897" t="s">
        <v>96</v>
      </c>
      <c r="D386" s="897" t="s">
        <v>3</v>
      </c>
      <c r="E386" s="897" t="s">
        <v>97</v>
      </c>
      <c r="F386" s="897" t="s">
        <v>98</v>
      </c>
      <c r="G386" s="500" t="s">
        <v>99</v>
      </c>
      <c r="H386" s="895" t="s">
        <v>94</v>
      </c>
      <c r="I386" s="897" t="s">
        <v>95</v>
      </c>
      <c r="J386" s="897" t="s">
        <v>96</v>
      </c>
      <c r="K386" s="897" t="s">
        <v>3</v>
      </c>
      <c r="L386" s="897" t="s">
        <v>97</v>
      </c>
      <c r="M386" s="897" t="s">
        <v>98</v>
      </c>
      <c r="N386" s="897" t="s">
        <v>99</v>
      </c>
      <c r="O386" s="899"/>
    </row>
    <row r="387" spans="1:15" ht="15.75" thickBot="1">
      <c r="A387" s="896"/>
      <c r="B387" s="898"/>
      <c r="C387" s="898"/>
      <c r="D387" s="898"/>
      <c r="E387" s="898"/>
      <c r="F387" s="898"/>
      <c r="G387" s="240" t="s">
        <v>100</v>
      </c>
      <c r="H387" s="896"/>
      <c r="I387" s="898"/>
      <c r="J387" s="898"/>
      <c r="K387" s="898"/>
      <c r="L387" s="898"/>
      <c r="M387" s="898"/>
      <c r="N387" s="240" t="s">
        <v>100</v>
      </c>
      <c r="O387" s="182" t="s">
        <v>101</v>
      </c>
    </row>
    <row r="388" spans="1:15" ht="13.5" customHeight="1">
      <c r="A388" s="881" t="e">
        <f>+A359+1</f>
        <v>#REF!</v>
      </c>
      <c r="B388" s="875">
        <v>42264</v>
      </c>
      <c r="C388" s="877" t="s">
        <v>267</v>
      </c>
      <c r="D388" s="881" t="s">
        <v>290</v>
      </c>
      <c r="E388" s="881" t="s">
        <v>148</v>
      </c>
      <c r="F388" s="883">
        <v>168000</v>
      </c>
      <c r="G388" s="55">
        <v>719</v>
      </c>
      <c r="H388" s="873" t="s">
        <v>774</v>
      </c>
      <c r="I388" s="875">
        <v>45898</v>
      </c>
      <c r="J388" s="877" t="s">
        <v>2927</v>
      </c>
      <c r="K388" s="881" t="s">
        <v>2928</v>
      </c>
      <c r="L388" s="881" t="s">
        <v>214</v>
      </c>
      <c r="M388" s="883">
        <v>390000</v>
      </c>
      <c r="N388" s="55">
        <v>719</v>
      </c>
      <c r="O388" s="78">
        <v>390000</v>
      </c>
    </row>
    <row r="389" spans="1:15" ht="14.25" customHeight="1" thickBot="1">
      <c r="A389" s="882"/>
      <c r="B389" s="934"/>
      <c r="C389" s="878"/>
      <c r="D389" s="882"/>
      <c r="E389" s="882"/>
      <c r="F389" s="884"/>
      <c r="G389" s="56">
        <v>721</v>
      </c>
      <c r="H389" s="882"/>
      <c r="I389" s="876"/>
      <c r="J389" s="878"/>
      <c r="K389" s="882"/>
      <c r="L389" s="882"/>
      <c r="M389" s="884"/>
      <c r="N389" s="56">
        <v>723</v>
      </c>
      <c r="O389" s="79"/>
    </row>
    <row r="390" spans="1:15" ht="9" customHeight="1">
      <c r="A390" s="251"/>
      <c r="B390" s="452"/>
      <c r="C390" s="253"/>
      <c r="D390" s="251"/>
      <c r="E390" s="251"/>
      <c r="F390" s="254"/>
      <c r="G390" s="255"/>
      <c r="H390" s="873" t="s">
        <v>2403</v>
      </c>
      <c r="I390" s="875">
        <v>45898</v>
      </c>
      <c r="J390" s="877" t="s">
        <v>780</v>
      </c>
      <c r="K390" s="881" t="s">
        <v>2929</v>
      </c>
      <c r="L390" s="881" t="s">
        <v>115</v>
      </c>
      <c r="M390" s="883">
        <v>2801900</v>
      </c>
      <c r="N390" s="55">
        <v>719</v>
      </c>
      <c r="O390" s="78"/>
    </row>
    <row r="391" spans="1:15" ht="14.25" customHeight="1" thickBot="1">
      <c r="A391" s="251"/>
      <c r="B391" s="452"/>
      <c r="C391" s="253"/>
      <c r="D391" s="251"/>
      <c r="E391" s="251"/>
      <c r="F391" s="254"/>
      <c r="G391" s="255"/>
      <c r="H391" s="882"/>
      <c r="I391" s="876"/>
      <c r="J391" s="878"/>
      <c r="K391" s="882"/>
      <c r="L391" s="882"/>
      <c r="M391" s="884"/>
      <c r="N391" s="56">
        <v>723</v>
      </c>
      <c r="O391" s="79">
        <f>+M390-O390</f>
        <v>2801900</v>
      </c>
    </row>
    <row r="392" spans="1:15" ht="14.25" customHeight="1">
      <c r="A392" s="251"/>
      <c r="B392" s="452"/>
      <c r="C392" s="253"/>
      <c r="D392" s="251"/>
      <c r="E392" s="251"/>
      <c r="F392" s="254"/>
      <c r="G392" s="255"/>
      <c r="H392" s="873" t="s">
        <v>1843</v>
      </c>
      <c r="I392" s="875">
        <v>45898</v>
      </c>
      <c r="J392" s="877" t="s">
        <v>1538</v>
      </c>
      <c r="K392" s="881" t="s">
        <v>2930</v>
      </c>
      <c r="L392" s="881" t="s">
        <v>148</v>
      </c>
      <c r="M392" s="883">
        <v>913000</v>
      </c>
      <c r="N392" s="55">
        <v>719</v>
      </c>
      <c r="O392" s="78"/>
    </row>
    <row r="393" spans="1:15" ht="14.25" customHeight="1" thickBot="1">
      <c r="A393" s="251"/>
      <c r="B393" s="452"/>
      <c r="C393" s="253"/>
      <c r="D393" s="251"/>
      <c r="E393" s="251"/>
      <c r="F393" s="254"/>
      <c r="G393" s="255"/>
      <c r="H393" s="882"/>
      <c r="I393" s="876"/>
      <c r="J393" s="878"/>
      <c r="K393" s="882"/>
      <c r="L393" s="882"/>
      <c r="M393" s="884"/>
      <c r="N393" s="56">
        <v>723</v>
      </c>
      <c r="O393" s="79">
        <f>+M392-O392</f>
        <v>913000</v>
      </c>
    </row>
    <row r="394" spans="1:15" ht="10.5" customHeight="1">
      <c r="A394" s="881" t="e">
        <f>+A388+1</f>
        <v>#REF!</v>
      </c>
      <c r="B394" s="875">
        <v>42264</v>
      </c>
      <c r="C394" s="881" t="s">
        <v>28</v>
      </c>
      <c r="D394" s="881" t="s">
        <v>292</v>
      </c>
      <c r="E394" s="881" t="s">
        <v>148</v>
      </c>
      <c r="F394" s="883">
        <v>238000</v>
      </c>
      <c r="G394" s="55">
        <v>719</v>
      </c>
      <c r="H394" s="873" t="s">
        <v>2404</v>
      </c>
      <c r="I394" s="875">
        <v>45898</v>
      </c>
      <c r="J394" s="877" t="s">
        <v>1538</v>
      </c>
      <c r="K394" s="881" t="s">
        <v>2931</v>
      </c>
      <c r="L394" s="881" t="s">
        <v>148</v>
      </c>
      <c r="M394" s="883">
        <v>1328401</v>
      </c>
      <c r="N394" s="55">
        <v>719</v>
      </c>
      <c r="O394" s="78"/>
    </row>
    <row r="395" spans="1:15" ht="14.25" customHeight="1" thickBot="1">
      <c r="A395" s="882"/>
      <c r="B395" s="934"/>
      <c r="C395" s="882"/>
      <c r="D395" s="882"/>
      <c r="E395" s="882"/>
      <c r="F395" s="884"/>
      <c r="G395" s="56">
        <v>721</v>
      </c>
      <c r="H395" s="882"/>
      <c r="I395" s="876"/>
      <c r="J395" s="878"/>
      <c r="K395" s="882"/>
      <c r="L395" s="882"/>
      <c r="M395" s="884"/>
      <c r="N395" s="56">
        <v>723</v>
      </c>
      <c r="O395" s="79">
        <f>+M394-O394</f>
        <v>1328401</v>
      </c>
    </row>
    <row r="396" spans="1:15" ht="12.75" customHeight="1">
      <c r="A396" s="881" t="e">
        <f>+A394+1</f>
        <v>#REF!</v>
      </c>
      <c r="B396" s="875">
        <v>42264</v>
      </c>
      <c r="C396" s="877" t="s">
        <v>32</v>
      </c>
      <c r="D396" s="881" t="s">
        <v>292</v>
      </c>
      <c r="E396" s="881" t="s">
        <v>148</v>
      </c>
      <c r="F396" s="883">
        <v>126000</v>
      </c>
      <c r="G396" s="55">
        <v>719</v>
      </c>
      <c r="H396" s="873"/>
      <c r="I396" s="875"/>
      <c r="J396" s="877"/>
      <c r="K396" s="881"/>
      <c r="L396" s="881"/>
      <c r="M396" s="883"/>
      <c r="N396" s="55">
        <v>719</v>
      </c>
      <c r="O396" s="78"/>
    </row>
    <row r="397" spans="1:15" ht="12.75" customHeight="1" thickBot="1">
      <c r="A397" s="882"/>
      <c r="B397" s="934"/>
      <c r="C397" s="878"/>
      <c r="D397" s="882"/>
      <c r="E397" s="882"/>
      <c r="F397" s="884"/>
      <c r="G397" s="56">
        <v>721</v>
      </c>
      <c r="H397" s="882"/>
      <c r="I397" s="876"/>
      <c r="J397" s="878"/>
      <c r="K397" s="882"/>
      <c r="L397" s="882"/>
      <c r="M397" s="884"/>
      <c r="N397" s="56">
        <v>721</v>
      </c>
      <c r="O397" s="79"/>
    </row>
    <row r="398" spans="1:15" ht="13.5" hidden="1" customHeight="1">
      <c r="A398" s="881" t="e">
        <f>+A396+1</f>
        <v>#REF!</v>
      </c>
      <c r="B398" s="875">
        <v>42264</v>
      </c>
      <c r="C398" s="877" t="s">
        <v>111</v>
      </c>
      <c r="D398" s="881" t="s">
        <v>291</v>
      </c>
      <c r="E398" s="881" t="s">
        <v>148</v>
      </c>
      <c r="F398" s="883">
        <v>84000</v>
      </c>
      <c r="G398" s="55">
        <v>719</v>
      </c>
      <c r="H398" s="873" t="s">
        <v>1433</v>
      </c>
      <c r="I398" s="875">
        <v>43935</v>
      </c>
      <c r="J398" s="877" t="s">
        <v>1091</v>
      </c>
      <c r="K398" s="881" t="s">
        <v>1918</v>
      </c>
      <c r="L398" s="881" t="s">
        <v>148</v>
      </c>
      <c r="M398" s="883">
        <v>870000</v>
      </c>
      <c r="N398" s="55">
        <v>719</v>
      </c>
      <c r="O398" s="78">
        <v>870000</v>
      </c>
    </row>
    <row r="399" spans="1:15" ht="13.5" hidden="1" customHeight="1">
      <c r="A399" s="882"/>
      <c r="B399" s="934"/>
      <c r="C399" s="878"/>
      <c r="D399" s="882"/>
      <c r="E399" s="882"/>
      <c r="F399" s="884"/>
      <c r="G399" s="56">
        <v>721</v>
      </c>
      <c r="H399" s="882"/>
      <c r="I399" s="876"/>
      <c r="J399" s="878"/>
      <c r="K399" s="882"/>
      <c r="L399" s="882"/>
      <c r="M399" s="884"/>
      <c r="N399" s="56">
        <v>723</v>
      </c>
      <c r="O399" s="79">
        <f>+M398-O398</f>
        <v>0</v>
      </c>
    </row>
    <row r="400" spans="1:15" ht="13.5" hidden="1" customHeight="1">
      <c r="A400" s="881" t="e">
        <f>+A398+1</f>
        <v>#REF!</v>
      </c>
      <c r="B400" s="875">
        <v>42264</v>
      </c>
      <c r="C400" s="877" t="s">
        <v>272</v>
      </c>
      <c r="D400" s="881" t="s">
        <v>290</v>
      </c>
      <c r="E400" s="881" t="s">
        <v>148</v>
      </c>
      <c r="F400" s="883">
        <v>532000</v>
      </c>
      <c r="G400" s="55">
        <v>719</v>
      </c>
      <c r="H400" s="873" t="s">
        <v>1458</v>
      </c>
      <c r="I400" s="875">
        <v>43935</v>
      </c>
      <c r="J400" s="877" t="s">
        <v>1931</v>
      </c>
      <c r="K400" s="881" t="s">
        <v>1887</v>
      </c>
      <c r="L400" s="881" t="s">
        <v>148</v>
      </c>
      <c r="M400" s="883">
        <v>-1800000</v>
      </c>
      <c r="N400" s="55">
        <v>719</v>
      </c>
      <c r="O400" s="78"/>
    </row>
    <row r="401" spans="1:15" ht="14.25" hidden="1" customHeight="1">
      <c r="A401" s="882"/>
      <c r="B401" s="934"/>
      <c r="C401" s="878"/>
      <c r="D401" s="882"/>
      <c r="E401" s="882"/>
      <c r="F401" s="884"/>
      <c r="G401" s="56">
        <v>721</v>
      </c>
      <c r="H401" s="882"/>
      <c r="I401" s="876"/>
      <c r="J401" s="878"/>
      <c r="K401" s="882"/>
      <c r="L401" s="882"/>
      <c r="M401" s="884"/>
      <c r="N401" s="56">
        <v>723</v>
      </c>
      <c r="O401" s="79">
        <f>+M400-O400</f>
        <v>-1800000</v>
      </c>
    </row>
    <row r="402" spans="1:15" ht="14.25" customHeight="1" thickBot="1">
      <c r="A402" s="901" t="s">
        <v>102</v>
      </c>
      <c r="B402" s="902"/>
      <c r="C402" s="902"/>
      <c r="D402" s="902"/>
      <c r="E402" s="903"/>
      <c r="F402" s="81">
        <f>SUM(F388:F401)</f>
        <v>1148000</v>
      </c>
      <c r="H402" s="901" t="s">
        <v>102</v>
      </c>
      <c r="I402" s="902"/>
      <c r="J402" s="902"/>
      <c r="K402" s="902"/>
      <c r="L402" s="903"/>
      <c r="M402" s="81">
        <f>SUM(M388:M397)</f>
        <v>5433301</v>
      </c>
    </row>
    <row r="403" spans="1:15" ht="13.5" customHeight="1" thickBot="1">
      <c r="A403" s="885" t="s">
        <v>103</v>
      </c>
      <c r="B403" s="886"/>
      <c r="C403" s="886"/>
      <c r="D403" s="886"/>
      <c r="E403" s="887"/>
      <c r="F403" s="69" t="e">
        <f>+F363</f>
        <v>#REF!</v>
      </c>
      <c r="H403" s="885" t="s">
        <v>103</v>
      </c>
      <c r="I403" s="886"/>
      <c r="J403" s="886"/>
      <c r="K403" s="886"/>
      <c r="L403" s="887"/>
      <c r="M403" s="239">
        <f>+M363</f>
        <v>308522532</v>
      </c>
      <c r="N403" s="241" t="s">
        <v>561</v>
      </c>
      <c r="O403" s="242"/>
    </row>
    <row r="404" spans="1:15" ht="14.25" customHeight="1" thickBot="1">
      <c r="A404" s="888" t="s">
        <v>104</v>
      </c>
      <c r="B404" s="889"/>
      <c r="C404" s="889"/>
      <c r="D404" s="889"/>
      <c r="E404" s="890"/>
      <c r="F404" s="183" t="e">
        <f>SUM(F402:F403)</f>
        <v>#REF!</v>
      </c>
      <c r="H404" s="888" t="s">
        <v>104</v>
      </c>
      <c r="I404" s="889"/>
      <c r="J404" s="889"/>
      <c r="K404" s="889"/>
      <c r="L404" s="890"/>
      <c r="M404" s="183">
        <f>SUM(M402:M403)</f>
        <v>313955833</v>
      </c>
    </row>
    <row r="405" spans="1:15" ht="6.75" customHeight="1">
      <c r="A405" s="61"/>
      <c r="B405" s="61"/>
      <c r="C405" s="61"/>
      <c r="D405" s="61"/>
      <c r="E405" s="61"/>
      <c r="H405" s="61"/>
      <c r="I405" s="61"/>
      <c r="J405" s="61"/>
      <c r="K405" s="61"/>
      <c r="L405" s="61"/>
    </row>
    <row r="406" spans="1:15">
      <c r="A406" s="51" t="s">
        <v>294</v>
      </c>
      <c r="H406" s="51" t="s">
        <v>2932</v>
      </c>
    </row>
    <row r="407" spans="1:15" ht="6" customHeight="1">
      <c r="F407" s="139"/>
      <c r="M407" s="139"/>
    </row>
    <row r="408" spans="1:15">
      <c r="A408" s="50" t="s">
        <v>105</v>
      </c>
      <c r="D408" s="146"/>
      <c r="F408" s="139"/>
      <c r="H408" s="50" t="s">
        <v>105</v>
      </c>
      <c r="K408" s="146"/>
      <c r="M408" s="139"/>
    </row>
    <row r="409" spans="1:15" ht="3.75" customHeight="1" thickBot="1"/>
    <row r="410" spans="1:15" ht="17.25" thickBot="1">
      <c r="A410" s="891" t="s">
        <v>106</v>
      </c>
      <c r="B410" s="892"/>
      <c r="C410" s="892"/>
      <c r="D410" s="893"/>
      <c r="F410" s="50" t="s">
        <v>288</v>
      </c>
      <c r="H410" s="891" t="s">
        <v>106</v>
      </c>
      <c r="I410" s="892"/>
      <c r="J410" s="892"/>
      <c r="K410" s="893"/>
      <c r="M410" s="604" t="s">
        <v>2571</v>
      </c>
      <c r="N410" s="604"/>
      <c r="O410" s="604"/>
    </row>
    <row r="411" spans="1:15" ht="30.75" thickBot="1">
      <c r="A411" s="57" t="s">
        <v>100</v>
      </c>
      <c r="B411" s="58" t="s">
        <v>108</v>
      </c>
      <c r="C411" s="59" t="s">
        <v>109</v>
      </c>
      <c r="D411" s="60" t="s">
        <v>110</v>
      </c>
      <c r="H411" s="57" t="s">
        <v>100</v>
      </c>
      <c r="I411" s="58" t="s">
        <v>108</v>
      </c>
      <c r="J411" s="59" t="s">
        <v>109</v>
      </c>
      <c r="K411" s="60" t="s">
        <v>110</v>
      </c>
    </row>
    <row r="412" spans="1:15" ht="12.75" customHeight="1">
      <c r="A412" s="71">
        <v>719</v>
      </c>
      <c r="B412" s="73" t="e">
        <f>+#REF!+#REF!+#REF!+#REF!+#REF!</f>
        <v>#REF!</v>
      </c>
      <c r="C412" s="74" t="e">
        <f>+D371</f>
        <v>#REF!</v>
      </c>
      <c r="D412" s="76" t="e">
        <f>+B412+C412</f>
        <v>#REF!</v>
      </c>
      <c r="H412" s="71">
        <v>719</v>
      </c>
      <c r="I412" s="73">
        <f>O388</f>
        <v>390000</v>
      </c>
      <c r="J412" s="74">
        <f>+K371</f>
        <v>19890000</v>
      </c>
      <c r="K412" s="195">
        <f>+I412+J412</f>
        <v>20280000</v>
      </c>
    </row>
    <row r="413" spans="1:15" ht="13.5" customHeight="1">
      <c r="A413" s="72">
        <v>721</v>
      </c>
      <c r="B413" s="80" t="e">
        <f>+#REF!+#REF!+#REF!+#REF!+#REF!</f>
        <v>#REF!</v>
      </c>
      <c r="C413" s="74" t="e">
        <f>+D372</f>
        <v>#REF!</v>
      </c>
      <c r="D413" s="76" t="e">
        <f>+B413+C413</f>
        <v>#REF!</v>
      </c>
      <c r="H413" s="72">
        <v>721</v>
      </c>
      <c r="I413" s="80">
        <f>+O397</f>
        <v>0</v>
      </c>
      <c r="J413" s="74">
        <f>+K372</f>
        <v>2443000</v>
      </c>
      <c r="K413" s="195">
        <f>+I413+J413</f>
        <v>2443000</v>
      </c>
    </row>
    <row r="414" spans="1:15" ht="13.5" customHeight="1">
      <c r="A414" s="72">
        <v>722</v>
      </c>
      <c r="B414" s="80"/>
      <c r="C414" s="74" t="e">
        <f>+D373</f>
        <v>#REF!</v>
      </c>
      <c r="D414" s="76" t="e">
        <f>+B414+C414</f>
        <v>#REF!</v>
      </c>
      <c r="H414" s="72">
        <v>722</v>
      </c>
      <c r="I414" s="80"/>
      <c r="J414" s="74">
        <f>+K373</f>
        <v>0</v>
      </c>
      <c r="K414" s="195">
        <f>+I414+J414</f>
        <v>0</v>
      </c>
    </row>
    <row r="415" spans="1:15" ht="13.5" customHeight="1" thickBot="1">
      <c r="A415" s="72">
        <v>723</v>
      </c>
      <c r="B415" s="80"/>
      <c r="C415" s="74" t="e">
        <f>+D374</f>
        <v>#REF!</v>
      </c>
      <c r="D415" s="76" t="e">
        <f>+B415+C415</f>
        <v>#REF!</v>
      </c>
      <c r="F415" s="193" t="s">
        <v>289</v>
      </c>
      <c r="G415" s="175"/>
      <c r="H415" s="72">
        <v>723</v>
      </c>
      <c r="I415" s="80">
        <f>O391+O393+O395</f>
        <v>5043301</v>
      </c>
      <c r="J415" s="74">
        <f>+K374</f>
        <v>286189532</v>
      </c>
      <c r="K415" s="195">
        <f>+I415+J415</f>
        <v>291232833</v>
      </c>
      <c r="M415" s="918" t="s">
        <v>2926</v>
      </c>
      <c r="N415" s="608"/>
      <c r="O415" s="608"/>
    </row>
    <row r="416" spans="1:15" ht="13.5" hidden="1" customHeight="1">
      <c r="A416" s="164" t="s">
        <v>181</v>
      </c>
      <c r="B416" s="165"/>
      <c r="C416" s="74">
        <f>+D375</f>
        <v>1965625</v>
      </c>
      <c r="D416" s="168">
        <f>+B416+C416</f>
        <v>1965625</v>
      </c>
      <c r="F416" s="52"/>
      <c r="H416" s="164" t="s">
        <v>181</v>
      </c>
      <c r="I416" s="165"/>
      <c r="J416" s="74">
        <f>+K375</f>
        <v>0</v>
      </c>
      <c r="K416" s="196">
        <f>+I416+J416</f>
        <v>0</v>
      </c>
      <c r="M416" s="52"/>
    </row>
    <row r="417" spans="1:15" ht="16.5" thickBot="1">
      <c r="A417" s="169"/>
      <c r="B417" s="170" t="e">
        <f>SUM(B412:B416)</f>
        <v>#REF!</v>
      </c>
      <c r="C417" s="171" t="e">
        <f>SUM(C412:C416)</f>
        <v>#REF!</v>
      </c>
      <c r="D417" s="172" t="e">
        <f>SUM(D412:D416)</f>
        <v>#REF!</v>
      </c>
      <c r="H417" s="169"/>
      <c r="I417" s="197">
        <f>SUM(I412:I416)</f>
        <v>5433301</v>
      </c>
      <c r="J417" s="197">
        <f>SUM(J412:J416)</f>
        <v>308522532</v>
      </c>
      <c r="K417" s="198">
        <f>SUM(K412:K416)</f>
        <v>313955833</v>
      </c>
    </row>
    <row r="418" spans="1:15" ht="15.75">
      <c r="A418" s="559"/>
      <c r="B418" s="560"/>
      <c r="C418" s="561"/>
      <c r="D418" s="562"/>
      <c r="H418" s="559"/>
      <c r="I418" s="560"/>
      <c r="J418" s="560"/>
      <c r="K418" s="562"/>
    </row>
    <row r="419" spans="1:15" ht="14.25" customHeight="1">
      <c r="A419" s="49" t="s">
        <v>88</v>
      </c>
      <c r="B419" s="50"/>
      <c r="H419" s="49" t="s">
        <v>88</v>
      </c>
      <c r="I419" s="50"/>
    </row>
    <row r="420" spans="1:15" ht="12.75" customHeight="1">
      <c r="A420" s="51" t="s">
        <v>89</v>
      </c>
      <c r="H420" s="51" t="s">
        <v>89</v>
      </c>
    </row>
    <row r="421" spans="1:15" ht="13.5" customHeight="1">
      <c r="A421" s="51" t="s">
        <v>90</v>
      </c>
      <c r="H421" s="51" t="s">
        <v>90</v>
      </c>
    </row>
    <row r="422" spans="1:15" ht="12.75" customHeight="1">
      <c r="A422" s="51" t="s">
        <v>91</v>
      </c>
      <c r="H422" s="51" t="s">
        <v>91</v>
      </c>
    </row>
    <row r="423" spans="1:15" ht="12" customHeight="1">
      <c r="A423" s="50"/>
      <c r="B423" s="50"/>
      <c r="H423" s="50"/>
      <c r="I423" s="50"/>
    </row>
    <row r="424" spans="1:15" ht="13.5" customHeight="1">
      <c r="A424" s="52" t="s">
        <v>295</v>
      </c>
      <c r="G424" s="52"/>
      <c r="H424" s="52" t="s">
        <v>2981</v>
      </c>
      <c r="N424" s="52"/>
    </row>
    <row r="425" spans="1:15" ht="14.25" customHeight="1">
      <c r="A425" s="53" t="s">
        <v>92</v>
      </c>
      <c r="G425" s="53"/>
      <c r="H425" s="53" t="s">
        <v>2754</v>
      </c>
      <c r="N425" s="53"/>
    </row>
    <row r="426" spans="1:15" ht="14.25" customHeight="1">
      <c r="A426" s="894" t="s">
        <v>261</v>
      </c>
      <c r="B426" s="894"/>
      <c r="C426" s="894"/>
      <c r="D426" s="894"/>
      <c r="E426" s="894"/>
      <c r="F426" s="894"/>
      <c r="G426" s="894"/>
      <c r="H426" s="894" t="s">
        <v>228</v>
      </c>
      <c r="I426" s="894"/>
      <c r="J426" s="894"/>
      <c r="K426" s="894"/>
      <c r="L426" s="894"/>
      <c r="M426" s="894"/>
      <c r="N426" s="894"/>
      <c r="O426" s="894"/>
    </row>
    <row r="427" spans="1:15" ht="3.75" customHeight="1" thickBot="1"/>
    <row r="428" spans="1:15">
      <c r="A428" s="895" t="s">
        <v>94</v>
      </c>
      <c r="B428" s="897" t="s">
        <v>95</v>
      </c>
      <c r="C428" s="897" t="s">
        <v>96</v>
      </c>
      <c r="D428" s="897" t="s">
        <v>3</v>
      </c>
      <c r="E428" s="897" t="s">
        <v>97</v>
      </c>
      <c r="F428" s="897" t="s">
        <v>98</v>
      </c>
      <c r="G428" s="500" t="s">
        <v>99</v>
      </c>
      <c r="H428" s="895" t="s">
        <v>94</v>
      </c>
      <c r="I428" s="897" t="s">
        <v>95</v>
      </c>
      <c r="J428" s="897" t="s">
        <v>96</v>
      </c>
      <c r="K428" s="897" t="s">
        <v>3</v>
      </c>
      <c r="L428" s="897" t="s">
        <v>97</v>
      </c>
      <c r="M428" s="897" t="s">
        <v>98</v>
      </c>
      <c r="N428" s="897" t="s">
        <v>99</v>
      </c>
      <c r="O428" s="899"/>
    </row>
    <row r="429" spans="1:15" ht="15.75" thickBot="1">
      <c r="A429" s="896"/>
      <c r="B429" s="898"/>
      <c r="C429" s="898"/>
      <c r="D429" s="898"/>
      <c r="E429" s="898"/>
      <c r="F429" s="898"/>
      <c r="G429" s="240" t="s">
        <v>100</v>
      </c>
      <c r="H429" s="896"/>
      <c r="I429" s="898"/>
      <c r="J429" s="898"/>
      <c r="K429" s="898"/>
      <c r="L429" s="898"/>
      <c r="M429" s="898"/>
      <c r="N429" s="240" t="s">
        <v>100</v>
      </c>
      <c r="O429" s="182" t="s">
        <v>101</v>
      </c>
    </row>
    <row r="430" spans="1:15" ht="12.75" customHeight="1">
      <c r="A430" s="881" t="e">
        <f>+A400+1</f>
        <v>#REF!</v>
      </c>
      <c r="B430" s="875">
        <v>42275</v>
      </c>
      <c r="C430" s="877" t="s">
        <v>267</v>
      </c>
      <c r="D430" s="881" t="s">
        <v>296</v>
      </c>
      <c r="E430" s="935" t="s">
        <v>31</v>
      </c>
      <c r="F430" s="883">
        <v>100000</v>
      </c>
      <c r="G430" s="55">
        <v>719</v>
      </c>
      <c r="H430" s="873" t="s">
        <v>2405</v>
      </c>
      <c r="I430" s="875">
        <v>45929</v>
      </c>
      <c r="J430" s="877" t="s">
        <v>2927</v>
      </c>
      <c r="K430" s="881" t="s">
        <v>2930</v>
      </c>
      <c r="L430" s="881" t="s">
        <v>115</v>
      </c>
      <c r="M430" s="883">
        <v>1201500</v>
      </c>
      <c r="N430" s="55">
        <v>719</v>
      </c>
      <c r="O430" s="78">
        <v>890000</v>
      </c>
    </row>
    <row r="431" spans="1:15" ht="14.25" customHeight="1" thickBot="1">
      <c r="A431" s="882"/>
      <c r="B431" s="934"/>
      <c r="C431" s="878"/>
      <c r="D431" s="882"/>
      <c r="E431" s="936"/>
      <c r="F431" s="884"/>
      <c r="G431" s="56">
        <v>721</v>
      </c>
      <c r="H431" s="882"/>
      <c r="I431" s="876"/>
      <c r="J431" s="878"/>
      <c r="K431" s="882"/>
      <c r="L431" s="882"/>
      <c r="M431" s="884"/>
      <c r="N431" s="56">
        <v>721</v>
      </c>
      <c r="O431" s="79">
        <f>+M430-O430</f>
        <v>311500</v>
      </c>
    </row>
    <row r="432" spans="1:15" ht="13.5" customHeight="1">
      <c r="A432" s="881" t="e">
        <f>+A430+1</f>
        <v>#REF!</v>
      </c>
      <c r="B432" s="875">
        <v>42275</v>
      </c>
      <c r="C432" s="881" t="s">
        <v>28</v>
      </c>
      <c r="D432" s="881" t="s">
        <v>297</v>
      </c>
      <c r="E432" s="935" t="s">
        <v>28</v>
      </c>
      <c r="F432" s="883">
        <v>50000</v>
      </c>
      <c r="G432" s="55">
        <v>719</v>
      </c>
      <c r="H432" s="873" t="s">
        <v>2406</v>
      </c>
      <c r="I432" s="875">
        <v>45929</v>
      </c>
      <c r="J432" s="877" t="s">
        <v>2408</v>
      </c>
      <c r="K432" s="881" t="s">
        <v>2930</v>
      </c>
      <c r="L432" s="881" t="s">
        <v>115</v>
      </c>
      <c r="M432" s="883">
        <v>742500</v>
      </c>
      <c r="N432" s="55">
        <v>719</v>
      </c>
      <c r="O432" s="78">
        <v>550000</v>
      </c>
    </row>
    <row r="433" spans="1:15" ht="14.25" customHeight="1" thickBot="1">
      <c r="A433" s="882"/>
      <c r="B433" s="934"/>
      <c r="C433" s="882"/>
      <c r="D433" s="882"/>
      <c r="E433" s="936"/>
      <c r="F433" s="884"/>
      <c r="G433" s="56">
        <v>721</v>
      </c>
      <c r="H433" s="882"/>
      <c r="I433" s="876"/>
      <c r="J433" s="878"/>
      <c r="K433" s="882"/>
      <c r="L433" s="882"/>
      <c r="M433" s="884"/>
      <c r="N433" s="56">
        <v>721</v>
      </c>
      <c r="O433" s="79">
        <f>+M432-O432</f>
        <v>192500</v>
      </c>
    </row>
    <row r="434" spans="1:15" ht="14.25" customHeight="1">
      <c r="A434" s="251"/>
      <c r="B434" s="452"/>
      <c r="C434" s="251"/>
      <c r="D434" s="251"/>
      <c r="E434" s="472"/>
      <c r="F434" s="254"/>
      <c r="G434" s="255"/>
      <c r="H434" s="873" t="s">
        <v>1856</v>
      </c>
      <c r="I434" s="875">
        <v>45929</v>
      </c>
      <c r="J434" s="877" t="s">
        <v>2408</v>
      </c>
      <c r="K434" s="881" t="s">
        <v>2982</v>
      </c>
      <c r="L434" s="881" t="s">
        <v>115</v>
      </c>
      <c r="M434" s="883">
        <v>702000</v>
      </c>
      <c r="N434" s="55">
        <v>719</v>
      </c>
      <c r="O434" s="78">
        <v>520000</v>
      </c>
    </row>
    <row r="435" spans="1:15" ht="14.25" customHeight="1" thickBot="1">
      <c r="A435" s="251"/>
      <c r="B435" s="452"/>
      <c r="C435" s="251"/>
      <c r="D435" s="251"/>
      <c r="E435" s="472"/>
      <c r="F435" s="254"/>
      <c r="G435" s="255"/>
      <c r="H435" s="882"/>
      <c r="I435" s="876"/>
      <c r="J435" s="878"/>
      <c r="K435" s="882"/>
      <c r="L435" s="882"/>
      <c r="M435" s="884"/>
      <c r="N435" s="56">
        <v>721</v>
      </c>
      <c r="O435" s="79">
        <f>+M434-O434</f>
        <v>182000</v>
      </c>
    </row>
    <row r="436" spans="1:15" ht="14.25" customHeight="1">
      <c r="A436" s="881" t="e">
        <f>+A432+1</f>
        <v>#REF!</v>
      </c>
      <c r="B436" s="875">
        <v>42275</v>
      </c>
      <c r="C436" s="877" t="s">
        <v>32</v>
      </c>
      <c r="D436" s="881" t="s">
        <v>297</v>
      </c>
      <c r="E436" s="877" t="s">
        <v>32</v>
      </c>
      <c r="F436" s="883">
        <v>30000</v>
      </c>
      <c r="G436" s="55">
        <v>719</v>
      </c>
      <c r="H436" s="873" t="s">
        <v>2407</v>
      </c>
      <c r="I436" s="875">
        <v>45929</v>
      </c>
      <c r="J436" s="877" t="s">
        <v>2927</v>
      </c>
      <c r="K436" s="881" t="s">
        <v>2983</v>
      </c>
      <c r="L436" s="881" t="s">
        <v>115</v>
      </c>
      <c r="M436" s="883">
        <v>1188000</v>
      </c>
      <c r="N436" s="55">
        <v>719</v>
      </c>
      <c r="O436" s="78">
        <v>880000</v>
      </c>
    </row>
    <row r="437" spans="1:15" ht="12.75" customHeight="1" thickBot="1">
      <c r="A437" s="882"/>
      <c r="B437" s="934"/>
      <c r="C437" s="878"/>
      <c r="D437" s="882"/>
      <c r="E437" s="878"/>
      <c r="F437" s="884"/>
      <c r="G437" s="56">
        <v>721</v>
      </c>
      <c r="H437" s="882"/>
      <c r="I437" s="876"/>
      <c r="J437" s="878"/>
      <c r="K437" s="882"/>
      <c r="L437" s="882"/>
      <c r="M437" s="884"/>
      <c r="N437" s="56">
        <v>721</v>
      </c>
      <c r="O437" s="79">
        <f>+M436-O436</f>
        <v>308000</v>
      </c>
    </row>
    <row r="438" spans="1:15" ht="13.5" customHeight="1">
      <c r="A438" s="881"/>
      <c r="B438" s="875"/>
      <c r="C438" s="877"/>
      <c r="D438" s="881"/>
      <c r="E438" s="881"/>
      <c r="F438" s="883"/>
      <c r="G438" s="55">
        <v>719</v>
      </c>
      <c r="H438" s="873" t="s">
        <v>2409</v>
      </c>
      <c r="I438" s="875">
        <v>45929</v>
      </c>
      <c r="J438" s="877" t="s">
        <v>2408</v>
      </c>
      <c r="K438" s="881" t="s">
        <v>2984</v>
      </c>
      <c r="L438" s="881" t="s">
        <v>115</v>
      </c>
      <c r="M438" s="883">
        <v>702000</v>
      </c>
      <c r="N438" s="55">
        <v>719</v>
      </c>
      <c r="O438" s="78">
        <v>520000</v>
      </c>
    </row>
    <row r="439" spans="1:15" ht="13.5" customHeight="1" thickBot="1">
      <c r="A439" s="882"/>
      <c r="B439" s="934"/>
      <c r="C439" s="878"/>
      <c r="D439" s="882"/>
      <c r="E439" s="882"/>
      <c r="F439" s="884"/>
      <c r="G439" s="56">
        <v>721</v>
      </c>
      <c r="H439" s="882"/>
      <c r="I439" s="876"/>
      <c r="J439" s="878"/>
      <c r="K439" s="882"/>
      <c r="L439" s="882"/>
      <c r="M439" s="884"/>
      <c r="N439" s="56">
        <v>721</v>
      </c>
      <c r="O439" s="79">
        <f>+M438-O438</f>
        <v>182000</v>
      </c>
    </row>
    <row r="440" spans="1:15" ht="13.5" customHeight="1" thickBot="1">
      <c r="A440" s="901" t="s">
        <v>102</v>
      </c>
      <c r="B440" s="902"/>
      <c r="C440" s="902"/>
      <c r="D440" s="902"/>
      <c r="E440" s="903"/>
      <c r="F440" s="81">
        <f>SUM(F430:F439)</f>
        <v>180000</v>
      </c>
      <c r="H440" s="901" t="s">
        <v>102</v>
      </c>
      <c r="I440" s="902"/>
      <c r="J440" s="902"/>
      <c r="K440" s="902"/>
      <c r="L440" s="903"/>
      <c r="M440" s="81">
        <f>SUM(M430:M439)</f>
        <v>4536000</v>
      </c>
    </row>
    <row r="441" spans="1:15" ht="13.5" customHeight="1" thickBot="1">
      <c r="A441" s="885" t="s">
        <v>103</v>
      </c>
      <c r="B441" s="886"/>
      <c r="C441" s="886"/>
      <c r="D441" s="886"/>
      <c r="E441" s="887"/>
      <c r="F441" s="69" t="e">
        <f>+F404</f>
        <v>#REF!</v>
      </c>
      <c r="H441" s="885" t="s">
        <v>103</v>
      </c>
      <c r="I441" s="886"/>
      <c r="J441" s="886"/>
      <c r="K441" s="886"/>
      <c r="L441" s="887"/>
      <c r="M441" s="239">
        <f>+M404</f>
        <v>313955833</v>
      </c>
      <c r="N441" s="241" t="s">
        <v>561</v>
      </c>
      <c r="O441" s="242" t="s">
        <v>631</v>
      </c>
    </row>
    <row r="442" spans="1:15" ht="14.25" customHeight="1" thickBot="1">
      <c r="A442" s="888" t="s">
        <v>104</v>
      </c>
      <c r="B442" s="889"/>
      <c r="C442" s="889"/>
      <c r="D442" s="889"/>
      <c r="E442" s="890"/>
      <c r="F442" s="183" t="e">
        <f>SUM(F440:F441)</f>
        <v>#REF!</v>
      </c>
      <c r="H442" s="888" t="s">
        <v>104</v>
      </c>
      <c r="I442" s="889"/>
      <c r="J442" s="889"/>
      <c r="K442" s="889"/>
      <c r="L442" s="890"/>
      <c r="M442" s="183">
        <f>SUM(M440:M441)</f>
        <v>318491833</v>
      </c>
    </row>
    <row r="443" spans="1:15" ht="5.25" customHeight="1">
      <c r="A443" s="61"/>
      <c r="B443" s="61"/>
      <c r="C443" s="61"/>
      <c r="D443" s="61"/>
      <c r="E443" s="61"/>
      <c r="H443" s="61"/>
      <c r="I443" s="61"/>
      <c r="J443" s="61"/>
      <c r="K443" s="61"/>
      <c r="L443" s="61"/>
    </row>
    <row r="444" spans="1:15">
      <c r="A444" s="51" t="s">
        <v>298</v>
      </c>
      <c r="H444" s="51" t="s">
        <v>2586</v>
      </c>
    </row>
    <row r="445" spans="1:15" ht="6" customHeight="1">
      <c r="F445" s="139"/>
      <c r="M445" s="139"/>
    </row>
    <row r="446" spans="1:15">
      <c r="A446" s="50" t="s">
        <v>105</v>
      </c>
      <c r="D446" s="146"/>
      <c r="F446" s="139"/>
      <c r="H446" s="50" t="s">
        <v>105</v>
      </c>
      <c r="K446" s="146"/>
      <c r="M446" s="139"/>
    </row>
    <row r="447" spans="1:15" ht="7.5" customHeight="1" thickBot="1"/>
    <row r="448" spans="1:15" ht="17.25" thickBot="1">
      <c r="A448" s="891" t="s">
        <v>106</v>
      </c>
      <c r="B448" s="892"/>
      <c r="C448" s="892"/>
      <c r="D448" s="893"/>
      <c r="F448" s="50" t="s">
        <v>288</v>
      </c>
      <c r="H448" s="891" t="s">
        <v>106</v>
      </c>
      <c r="I448" s="892"/>
      <c r="J448" s="892"/>
      <c r="K448" s="893"/>
      <c r="M448" s="605" t="s">
        <v>288</v>
      </c>
      <c r="N448" s="605"/>
      <c r="O448" s="605"/>
    </row>
    <row r="449" spans="1:15" ht="30.75" thickBot="1">
      <c r="A449" s="57" t="s">
        <v>100</v>
      </c>
      <c r="B449" s="58" t="s">
        <v>108</v>
      </c>
      <c r="C449" s="59" t="s">
        <v>109</v>
      </c>
      <c r="D449" s="60" t="s">
        <v>110</v>
      </c>
      <c r="H449" s="57" t="s">
        <v>100</v>
      </c>
      <c r="I449" s="58" t="s">
        <v>108</v>
      </c>
      <c r="J449" s="59" t="s">
        <v>109</v>
      </c>
      <c r="K449" s="60" t="s">
        <v>110</v>
      </c>
      <c r="M449" s="202"/>
      <c r="N449" s="202"/>
      <c r="O449" s="202"/>
    </row>
    <row r="450" spans="1:15" ht="15" customHeight="1">
      <c r="A450" s="71">
        <v>719</v>
      </c>
      <c r="B450" s="73" t="e">
        <f>+#REF!+#REF!+#REF!+#REF!+#REF!</f>
        <v>#REF!</v>
      </c>
      <c r="C450" s="74" t="e">
        <f>+D412</f>
        <v>#REF!</v>
      </c>
      <c r="D450" s="76" t="e">
        <f>+B450+C450</f>
        <v>#REF!</v>
      </c>
      <c r="H450" s="71">
        <v>719</v>
      </c>
      <c r="I450" s="73">
        <f>+O430+O432+O434+O436+O438</f>
        <v>3360000</v>
      </c>
      <c r="J450" s="74">
        <f>+K412</f>
        <v>20280000</v>
      </c>
      <c r="K450" s="195">
        <f>+I450+J450</f>
        <v>23640000</v>
      </c>
      <c r="M450" s="202"/>
      <c r="N450" s="202"/>
      <c r="O450" s="202"/>
    </row>
    <row r="451" spans="1:15" ht="13.5" customHeight="1">
      <c r="A451" s="72">
        <v>721</v>
      </c>
      <c r="B451" s="80" t="e">
        <f>+#REF!+#REF!+#REF!+#REF!+#REF!</f>
        <v>#REF!</v>
      </c>
      <c r="C451" s="74" t="e">
        <f>+D413</f>
        <v>#REF!</v>
      </c>
      <c r="D451" s="76" t="e">
        <f>+B451+C451</f>
        <v>#REF!</v>
      </c>
      <c r="H451" s="72">
        <v>721</v>
      </c>
      <c r="I451" s="80">
        <f>+O431+O433+O435+O437+O439</f>
        <v>1176000</v>
      </c>
      <c r="J451" s="74">
        <f>+K413</f>
        <v>2443000</v>
      </c>
      <c r="K451" s="195">
        <f>+I451+J451</f>
        <v>3619000</v>
      </c>
      <c r="M451" s="202"/>
      <c r="N451" s="202"/>
      <c r="O451" s="202"/>
    </row>
    <row r="452" spans="1:15" ht="12.75" customHeight="1">
      <c r="A452" s="72">
        <v>722</v>
      </c>
      <c r="B452" s="80"/>
      <c r="C452" s="74" t="e">
        <f>+D414</f>
        <v>#REF!</v>
      </c>
      <c r="D452" s="76" t="e">
        <f>+B452+C452</f>
        <v>#REF!</v>
      </c>
      <c r="H452" s="72">
        <v>722</v>
      </c>
      <c r="I452" s="80"/>
      <c r="J452" s="74">
        <f>+K414</f>
        <v>0</v>
      </c>
      <c r="K452" s="195">
        <f>+I452+J452</f>
        <v>0</v>
      </c>
      <c r="M452" s="202"/>
      <c r="N452" s="202"/>
      <c r="O452" s="202"/>
    </row>
    <row r="453" spans="1:15" ht="14.25" customHeight="1" thickBot="1">
      <c r="A453" s="72">
        <v>723</v>
      </c>
      <c r="B453" s="80"/>
      <c r="C453" s="74" t="e">
        <f>+D415</f>
        <v>#REF!</v>
      </c>
      <c r="D453" s="76" t="e">
        <f>+B453+C453</f>
        <v>#REF!</v>
      </c>
      <c r="F453" s="193" t="s">
        <v>289</v>
      </c>
      <c r="G453" s="175"/>
      <c r="H453" s="72">
        <v>723</v>
      </c>
      <c r="I453" s="80"/>
      <c r="J453" s="74">
        <f>+K415</f>
        <v>291232833</v>
      </c>
      <c r="K453" s="195">
        <f>+I453+J453</f>
        <v>291232833</v>
      </c>
      <c r="M453" s="918" t="s">
        <v>2926</v>
      </c>
      <c r="N453" s="608"/>
      <c r="O453" s="608"/>
    </row>
    <row r="454" spans="1:15" ht="15.75" hidden="1" customHeight="1">
      <c r="A454" s="164" t="s">
        <v>181</v>
      </c>
      <c r="B454" s="165"/>
      <c r="C454" s="74">
        <f>+D416</f>
        <v>1965625</v>
      </c>
      <c r="D454" s="168">
        <f>+B454+C454</f>
        <v>1965625</v>
      </c>
      <c r="F454" s="52"/>
      <c r="H454" s="164" t="s">
        <v>181</v>
      </c>
      <c r="I454" s="165"/>
      <c r="J454" s="74">
        <f>+K416</f>
        <v>0</v>
      </c>
      <c r="K454" s="196">
        <f>+I454+J454</f>
        <v>0</v>
      </c>
      <c r="M454" s="52"/>
    </row>
    <row r="455" spans="1:15" ht="15" customHeight="1" thickBot="1">
      <c r="A455" s="169"/>
      <c r="B455" s="170" t="e">
        <f>SUM(B450:B454)</f>
        <v>#REF!</v>
      </c>
      <c r="C455" s="171" t="e">
        <f>SUM(C450:C454)</f>
        <v>#REF!</v>
      </c>
      <c r="D455" s="172" t="e">
        <f>SUM(D450:D454)</f>
        <v>#REF!</v>
      </c>
      <c r="H455" s="169"/>
      <c r="I455" s="197">
        <f>SUM(I450:I454)</f>
        <v>4536000</v>
      </c>
      <c r="J455" s="197">
        <f>SUM(J450:J454)</f>
        <v>313955833</v>
      </c>
      <c r="K455" s="198">
        <f>SUM(K450:K454)</f>
        <v>318491833</v>
      </c>
    </row>
    <row r="456" spans="1:15" ht="15" customHeight="1">
      <c r="A456" s="559"/>
      <c r="B456" s="560"/>
      <c r="C456" s="561"/>
      <c r="D456" s="562"/>
      <c r="H456" s="559"/>
      <c r="I456" s="560"/>
      <c r="J456" s="560"/>
      <c r="K456" s="562"/>
    </row>
    <row r="457" spans="1:15" ht="13.5" customHeight="1">
      <c r="A457" s="49" t="s">
        <v>88</v>
      </c>
      <c r="B457" s="50"/>
      <c r="H457" s="49" t="s">
        <v>88</v>
      </c>
      <c r="I457" s="50"/>
    </row>
    <row r="458" spans="1:15" ht="12.75" customHeight="1">
      <c r="A458" s="51" t="s">
        <v>89</v>
      </c>
      <c r="H458" s="51" t="s">
        <v>89</v>
      </c>
    </row>
    <row r="459" spans="1:15" ht="13.5" customHeight="1">
      <c r="A459" s="51" t="s">
        <v>90</v>
      </c>
      <c r="H459" s="51" t="s">
        <v>90</v>
      </c>
    </row>
    <row r="460" spans="1:15" ht="12.75" customHeight="1">
      <c r="A460" s="51" t="s">
        <v>91</v>
      </c>
      <c r="H460" s="51" t="s">
        <v>91</v>
      </c>
    </row>
    <row r="461" spans="1:15" ht="3.75" customHeight="1">
      <c r="A461" s="50"/>
      <c r="B461" s="50"/>
      <c r="H461" s="50"/>
      <c r="I461" s="50"/>
    </row>
    <row r="462" spans="1:15" ht="12.75" customHeight="1">
      <c r="A462" s="52" t="s">
        <v>299</v>
      </c>
      <c r="G462" s="52"/>
      <c r="H462" s="52" t="s">
        <v>763</v>
      </c>
      <c r="N462" s="52"/>
    </row>
    <row r="463" spans="1:15" ht="15.75">
      <c r="A463" s="53" t="s">
        <v>92</v>
      </c>
      <c r="G463" s="53"/>
      <c r="H463" s="53" t="s">
        <v>2754</v>
      </c>
      <c r="N463" s="53"/>
    </row>
    <row r="464" spans="1:15" ht="13.5" customHeight="1">
      <c r="A464" s="894" t="s">
        <v>261</v>
      </c>
      <c r="B464" s="894"/>
      <c r="C464" s="894"/>
      <c r="D464" s="894"/>
      <c r="E464" s="894"/>
      <c r="F464" s="894"/>
      <c r="G464" s="894"/>
      <c r="H464" s="894" t="s">
        <v>2592</v>
      </c>
      <c r="I464" s="894"/>
      <c r="J464" s="894"/>
      <c r="K464" s="894"/>
      <c r="L464" s="894"/>
      <c r="M464" s="894"/>
      <c r="N464" s="894"/>
      <c r="O464" s="894"/>
    </row>
    <row r="465" spans="1:15" ht="9" customHeight="1" thickBot="1"/>
    <row r="466" spans="1:15">
      <c r="A466" s="895" t="s">
        <v>94</v>
      </c>
      <c r="B466" s="897" t="s">
        <v>95</v>
      </c>
      <c r="C466" s="897" t="s">
        <v>96</v>
      </c>
      <c r="D466" s="897" t="s">
        <v>3</v>
      </c>
      <c r="E466" s="897" t="s">
        <v>97</v>
      </c>
      <c r="F466" s="897" t="s">
        <v>98</v>
      </c>
      <c r="G466" s="500" t="s">
        <v>99</v>
      </c>
      <c r="H466" s="895" t="s">
        <v>94</v>
      </c>
      <c r="I466" s="897" t="s">
        <v>95</v>
      </c>
      <c r="J466" s="897" t="s">
        <v>96</v>
      </c>
      <c r="K466" s="897" t="s">
        <v>3</v>
      </c>
      <c r="L466" s="897" t="s">
        <v>97</v>
      </c>
      <c r="M466" s="897" t="s">
        <v>98</v>
      </c>
      <c r="N466" s="897" t="s">
        <v>99</v>
      </c>
      <c r="O466" s="899"/>
    </row>
    <row r="467" spans="1:15" ht="15.75" thickBot="1">
      <c r="A467" s="896"/>
      <c r="B467" s="898"/>
      <c r="C467" s="898"/>
      <c r="D467" s="898"/>
      <c r="E467" s="898"/>
      <c r="F467" s="898"/>
      <c r="G467" s="240" t="s">
        <v>100</v>
      </c>
      <c r="H467" s="896"/>
      <c r="I467" s="898"/>
      <c r="J467" s="898"/>
      <c r="K467" s="898"/>
      <c r="L467" s="898"/>
      <c r="M467" s="898"/>
      <c r="N467" s="240" t="s">
        <v>100</v>
      </c>
      <c r="O467" s="182" t="s">
        <v>101</v>
      </c>
    </row>
    <row r="468" spans="1:15" ht="14.25" customHeight="1">
      <c r="A468" s="881" t="e">
        <f>+A436+1</f>
        <v>#REF!</v>
      </c>
      <c r="B468" s="875">
        <v>42278</v>
      </c>
      <c r="C468" s="877" t="s">
        <v>267</v>
      </c>
      <c r="D468" s="881" t="s">
        <v>300</v>
      </c>
      <c r="E468" s="881" t="s">
        <v>148</v>
      </c>
      <c r="F468" s="883">
        <v>196000</v>
      </c>
      <c r="G468" s="55">
        <v>719</v>
      </c>
      <c r="H468" s="873" t="s">
        <v>1605</v>
      </c>
      <c r="I468" s="875">
        <v>45929</v>
      </c>
      <c r="J468" s="877" t="s">
        <v>2927</v>
      </c>
      <c r="K468" s="881" t="s">
        <v>2987</v>
      </c>
      <c r="L468" s="881" t="s">
        <v>775</v>
      </c>
      <c r="M468" s="883">
        <v>1296000</v>
      </c>
      <c r="N468" s="55">
        <v>719</v>
      </c>
      <c r="O468" s="78">
        <v>960000</v>
      </c>
    </row>
    <row r="469" spans="1:15" ht="13.5" customHeight="1" thickBot="1">
      <c r="A469" s="882"/>
      <c r="B469" s="934"/>
      <c r="C469" s="878"/>
      <c r="D469" s="882"/>
      <c r="E469" s="882"/>
      <c r="F469" s="884"/>
      <c r="G469" s="56">
        <v>721</v>
      </c>
      <c r="H469" s="882"/>
      <c r="I469" s="876"/>
      <c r="J469" s="878"/>
      <c r="K469" s="882"/>
      <c r="L469" s="882"/>
      <c r="M469" s="884"/>
      <c r="N469" s="56">
        <v>721</v>
      </c>
      <c r="O469" s="79">
        <v>336000</v>
      </c>
    </row>
    <row r="470" spans="1:15" ht="12.75" customHeight="1">
      <c r="A470" s="881" t="e">
        <f>+A468+1</f>
        <v>#REF!</v>
      </c>
      <c r="B470" s="875">
        <v>42278</v>
      </c>
      <c r="C470" s="881" t="s">
        <v>28</v>
      </c>
      <c r="D470" s="881" t="s">
        <v>301</v>
      </c>
      <c r="E470" s="881" t="s">
        <v>148</v>
      </c>
      <c r="F470" s="883">
        <v>224000</v>
      </c>
      <c r="G470" s="55">
        <v>719</v>
      </c>
      <c r="H470" s="873" t="s">
        <v>1604</v>
      </c>
      <c r="I470" s="875">
        <v>45929</v>
      </c>
      <c r="J470" s="877" t="s">
        <v>2927</v>
      </c>
      <c r="K470" s="881" t="s">
        <v>2987</v>
      </c>
      <c r="L470" s="881" t="s">
        <v>214</v>
      </c>
      <c r="M470" s="883">
        <v>460000</v>
      </c>
      <c r="N470" s="55">
        <v>719</v>
      </c>
      <c r="O470" s="78">
        <f>M470</f>
        <v>460000</v>
      </c>
    </row>
    <row r="471" spans="1:15" ht="13.5" customHeight="1" thickBot="1">
      <c r="A471" s="882"/>
      <c r="B471" s="934"/>
      <c r="C471" s="882"/>
      <c r="D471" s="882"/>
      <c r="E471" s="882"/>
      <c r="F471" s="884"/>
      <c r="G471" s="56">
        <v>721</v>
      </c>
      <c r="H471" s="882"/>
      <c r="I471" s="876"/>
      <c r="J471" s="878"/>
      <c r="K471" s="882"/>
      <c r="L471" s="882"/>
      <c r="M471" s="884"/>
      <c r="N471" s="56">
        <v>721</v>
      </c>
      <c r="O471" s="79"/>
    </row>
    <row r="472" spans="1:15" ht="13.5" customHeight="1">
      <c r="A472" s="251"/>
      <c r="B472" s="452"/>
      <c r="C472" s="251"/>
      <c r="D472" s="251"/>
      <c r="E472" s="251"/>
      <c r="F472" s="254"/>
      <c r="G472" s="255"/>
      <c r="H472" s="873" t="s">
        <v>1509</v>
      </c>
      <c r="I472" s="875">
        <v>45929</v>
      </c>
      <c r="J472" s="877" t="s">
        <v>2985</v>
      </c>
      <c r="K472" s="881" t="s">
        <v>2988</v>
      </c>
      <c r="L472" s="881" t="s">
        <v>775</v>
      </c>
      <c r="M472" s="883">
        <v>340000</v>
      </c>
      <c r="N472" s="55">
        <v>727</v>
      </c>
      <c r="O472" s="78"/>
    </row>
    <row r="473" spans="1:15" ht="13.5" customHeight="1" thickBot="1">
      <c r="A473" s="251"/>
      <c r="B473" s="452"/>
      <c r="C473" s="251"/>
      <c r="D473" s="251"/>
      <c r="E473" s="251"/>
      <c r="F473" s="254"/>
      <c r="G473" s="255"/>
      <c r="H473" s="882"/>
      <c r="I473" s="876"/>
      <c r="J473" s="878"/>
      <c r="K473" s="882"/>
      <c r="L473" s="882"/>
      <c r="M473" s="884"/>
      <c r="N473" s="56">
        <v>723</v>
      </c>
      <c r="O473" s="79">
        <f>+M472-O472</f>
        <v>340000</v>
      </c>
    </row>
    <row r="474" spans="1:15" ht="13.5" customHeight="1">
      <c r="A474" s="881" t="e">
        <f>+A470+1</f>
        <v>#REF!</v>
      </c>
      <c r="B474" s="875">
        <v>42278</v>
      </c>
      <c r="C474" s="877" t="s">
        <v>32</v>
      </c>
      <c r="D474" s="881" t="s">
        <v>301</v>
      </c>
      <c r="E474" s="881" t="s">
        <v>148</v>
      </c>
      <c r="F474" s="883">
        <v>112000</v>
      </c>
      <c r="G474" s="55">
        <v>719</v>
      </c>
      <c r="H474" s="873" t="s">
        <v>2421</v>
      </c>
      <c r="I474" s="875">
        <v>45929</v>
      </c>
      <c r="J474" s="877" t="s">
        <v>2985</v>
      </c>
      <c r="K474" s="881" t="s">
        <v>2988</v>
      </c>
      <c r="L474" s="881" t="s">
        <v>148</v>
      </c>
      <c r="M474" s="883">
        <v>1575328</v>
      </c>
      <c r="N474" s="55">
        <v>719</v>
      </c>
      <c r="O474" s="78">
        <v>0</v>
      </c>
    </row>
    <row r="475" spans="1:15" ht="13.5" customHeight="1" thickBot="1">
      <c r="A475" s="882"/>
      <c r="B475" s="934"/>
      <c r="C475" s="878"/>
      <c r="D475" s="882"/>
      <c r="E475" s="882"/>
      <c r="F475" s="884"/>
      <c r="G475" s="56">
        <v>721</v>
      </c>
      <c r="H475" s="882"/>
      <c r="I475" s="876"/>
      <c r="J475" s="878"/>
      <c r="K475" s="882"/>
      <c r="L475" s="882"/>
      <c r="M475" s="884"/>
      <c r="N475" s="56">
        <v>723</v>
      </c>
      <c r="O475" s="79">
        <f>+M474-O474</f>
        <v>1575328</v>
      </c>
    </row>
    <row r="476" spans="1:15" ht="12.75" customHeight="1">
      <c r="A476" s="881" t="e">
        <f>+A474+1</f>
        <v>#REF!</v>
      </c>
      <c r="B476" s="875">
        <v>42278</v>
      </c>
      <c r="C476" s="877" t="s">
        <v>111</v>
      </c>
      <c r="D476" s="881" t="s">
        <v>302</v>
      </c>
      <c r="E476" s="881" t="s">
        <v>148</v>
      </c>
      <c r="F476" s="883">
        <v>84000</v>
      </c>
      <c r="G476" s="55">
        <v>719</v>
      </c>
      <c r="H476" s="873" t="s">
        <v>545</v>
      </c>
      <c r="I476" s="875">
        <v>45929</v>
      </c>
      <c r="J476" s="877" t="s">
        <v>2986</v>
      </c>
      <c r="K476" s="881" t="s">
        <v>2989</v>
      </c>
      <c r="L476" s="881" t="s">
        <v>148</v>
      </c>
      <c r="M476" s="883">
        <v>-1125000</v>
      </c>
      <c r="N476" s="55">
        <v>710</v>
      </c>
      <c r="O476" s="78"/>
    </row>
    <row r="477" spans="1:15" ht="14.25" customHeight="1" thickBot="1">
      <c r="A477" s="882"/>
      <c r="B477" s="934"/>
      <c r="C477" s="878"/>
      <c r="D477" s="882"/>
      <c r="E477" s="882"/>
      <c r="F477" s="884"/>
      <c r="G477" s="56">
        <v>721</v>
      </c>
      <c r="H477" s="882"/>
      <c r="I477" s="876"/>
      <c r="J477" s="878"/>
      <c r="K477" s="882"/>
      <c r="L477" s="882"/>
      <c r="M477" s="884"/>
      <c r="N477" s="56">
        <v>723</v>
      </c>
      <c r="O477" s="79">
        <f>+M476-O476</f>
        <v>-1125000</v>
      </c>
    </row>
    <row r="478" spans="1:15" ht="16.5" thickBot="1">
      <c r="A478" s="901" t="s">
        <v>102</v>
      </c>
      <c r="B478" s="902"/>
      <c r="C478" s="902"/>
      <c r="D478" s="902"/>
      <c r="E478" s="903"/>
      <c r="F478" s="81">
        <f>SUM(F468:F477)</f>
        <v>616000</v>
      </c>
      <c r="H478" s="901" t="s">
        <v>102</v>
      </c>
      <c r="I478" s="902"/>
      <c r="J478" s="902"/>
      <c r="K478" s="902"/>
      <c r="L478" s="903"/>
      <c r="M478" s="81">
        <f>SUM(M468:M477)</f>
        <v>2546328</v>
      </c>
    </row>
    <row r="479" spans="1:15" ht="16.5" thickBot="1">
      <c r="A479" s="885" t="s">
        <v>103</v>
      </c>
      <c r="B479" s="886"/>
      <c r="C479" s="886"/>
      <c r="D479" s="886"/>
      <c r="E479" s="887"/>
      <c r="F479" s="69" t="e">
        <f>+F442</f>
        <v>#REF!</v>
      </c>
      <c r="H479" s="885" t="s">
        <v>103</v>
      </c>
      <c r="I479" s="886"/>
      <c r="J479" s="886"/>
      <c r="K479" s="886"/>
      <c r="L479" s="887"/>
      <c r="M479" s="239">
        <f>+M442</f>
        <v>318491833</v>
      </c>
      <c r="N479" s="241" t="s">
        <v>561</v>
      </c>
      <c r="O479" s="242"/>
    </row>
    <row r="480" spans="1:15" ht="16.5" thickBot="1">
      <c r="A480" s="888" t="s">
        <v>104</v>
      </c>
      <c r="B480" s="889"/>
      <c r="C480" s="889"/>
      <c r="D480" s="889"/>
      <c r="E480" s="890"/>
      <c r="F480" s="183" t="e">
        <f>SUM(F478:F479)</f>
        <v>#REF!</v>
      </c>
      <c r="H480" s="888" t="s">
        <v>104</v>
      </c>
      <c r="I480" s="889"/>
      <c r="J480" s="889"/>
      <c r="K480" s="889"/>
      <c r="L480" s="890"/>
      <c r="M480" s="183">
        <f>SUM(M478:M479)</f>
        <v>321038161</v>
      </c>
    </row>
    <row r="481" spans="1:15" ht="9" customHeight="1">
      <c r="A481" s="61"/>
      <c r="B481" s="61"/>
      <c r="C481" s="61"/>
      <c r="D481" s="61"/>
      <c r="E481" s="61"/>
      <c r="H481" s="61"/>
      <c r="I481" s="61"/>
      <c r="J481" s="61"/>
      <c r="K481" s="61"/>
      <c r="L481" s="61"/>
    </row>
    <row r="482" spans="1:15">
      <c r="A482" s="51" t="s">
        <v>303</v>
      </c>
      <c r="H482" s="51" t="s">
        <v>2990</v>
      </c>
    </row>
    <row r="483" spans="1:15" ht="7.5" customHeight="1">
      <c r="F483" s="139"/>
      <c r="M483" s="139"/>
    </row>
    <row r="484" spans="1:15">
      <c r="A484" s="50" t="s">
        <v>105</v>
      </c>
      <c r="D484" s="146"/>
      <c r="F484" s="139"/>
      <c r="H484" s="50" t="s">
        <v>105</v>
      </c>
      <c r="K484" s="146"/>
      <c r="M484" s="139"/>
    </row>
    <row r="485" spans="1:15" ht="11.25" customHeight="1" thickBot="1"/>
    <row r="486" spans="1:15" ht="17.25" thickBot="1">
      <c r="A486" s="891" t="s">
        <v>106</v>
      </c>
      <c r="B486" s="892"/>
      <c r="C486" s="892"/>
      <c r="D486" s="893"/>
      <c r="F486" s="50" t="s">
        <v>288</v>
      </c>
      <c r="H486" s="891" t="s">
        <v>106</v>
      </c>
      <c r="I486" s="892"/>
      <c r="J486" s="892"/>
      <c r="K486" s="893"/>
      <c r="M486" s="605" t="s">
        <v>288</v>
      </c>
      <c r="N486" s="605"/>
      <c r="O486" s="605"/>
    </row>
    <row r="487" spans="1:15" ht="28.5" customHeight="1" thickBot="1">
      <c r="A487" s="57" t="s">
        <v>100</v>
      </c>
      <c r="B487" s="58" t="s">
        <v>108</v>
      </c>
      <c r="C487" s="59" t="s">
        <v>109</v>
      </c>
      <c r="D487" s="60" t="s">
        <v>110</v>
      </c>
      <c r="H487" s="57" t="s">
        <v>100</v>
      </c>
      <c r="I487" s="58" t="s">
        <v>108</v>
      </c>
      <c r="J487" s="59" t="s">
        <v>109</v>
      </c>
      <c r="K487" s="60" t="s">
        <v>110</v>
      </c>
      <c r="M487" s="202"/>
      <c r="N487" s="202"/>
      <c r="O487" s="202"/>
    </row>
    <row r="488" spans="1:15" ht="15" customHeight="1">
      <c r="A488" s="71">
        <v>719</v>
      </c>
      <c r="B488" s="73" t="e">
        <f>+#REF!+#REF!+#REF!+#REF!+#REF!</f>
        <v>#REF!</v>
      </c>
      <c r="C488" s="74" t="e">
        <f>+D450</f>
        <v>#REF!</v>
      </c>
      <c r="D488" s="195" t="e">
        <f>+B488+C488</f>
        <v>#REF!</v>
      </c>
      <c r="H488" s="71">
        <v>719</v>
      </c>
      <c r="I488" s="73">
        <f>+O468+O470</f>
        <v>1420000</v>
      </c>
      <c r="J488" s="74">
        <f>+K450</f>
        <v>23640000</v>
      </c>
      <c r="K488" s="195">
        <f>+I488+J488</f>
        <v>25060000</v>
      </c>
      <c r="M488" s="202"/>
      <c r="N488" s="202"/>
      <c r="O488" s="202"/>
    </row>
    <row r="489" spans="1:15" ht="13.5" customHeight="1">
      <c r="A489" s="72">
        <v>721</v>
      </c>
      <c r="B489" s="80" t="e">
        <f>+#REF!+#REF!+#REF!+#REF!+#REF!</f>
        <v>#REF!</v>
      </c>
      <c r="C489" s="74" t="e">
        <f>+D451</f>
        <v>#REF!</v>
      </c>
      <c r="D489" s="195" t="e">
        <f>+B489+C489</f>
        <v>#REF!</v>
      </c>
      <c r="H489" s="72">
        <v>721</v>
      </c>
      <c r="I489" s="80"/>
      <c r="J489" s="74">
        <f>+K451</f>
        <v>3619000</v>
      </c>
      <c r="K489" s="195">
        <f>+I489+J489</f>
        <v>3619000</v>
      </c>
      <c r="M489" s="202"/>
      <c r="N489" s="202"/>
      <c r="O489" s="202"/>
    </row>
    <row r="490" spans="1:15" ht="15" customHeight="1">
      <c r="A490" s="72">
        <v>722</v>
      </c>
      <c r="B490" s="80"/>
      <c r="C490" s="74" t="e">
        <f>+D452</f>
        <v>#REF!</v>
      </c>
      <c r="D490" s="195" t="e">
        <f>+B490+C490</f>
        <v>#REF!</v>
      </c>
      <c r="H490" s="72">
        <v>722</v>
      </c>
      <c r="I490" s="80"/>
      <c r="J490" s="74">
        <f>+K452</f>
        <v>0</v>
      </c>
      <c r="K490" s="195">
        <f>+I490+J490</f>
        <v>0</v>
      </c>
      <c r="M490" s="202"/>
      <c r="N490" s="202"/>
      <c r="O490" s="202"/>
    </row>
    <row r="491" spans="1:15" ht="14.25" customHeight="1" thickBot="1">
      <c r="A491" s="72">
        <v>723</v>
      </c>
      <c r="B491" s="80"/>
      <c r="C491" s="74" t="e">
        <f>+D453</f>
        <v>#REF!</v>
      </c>
      <c r="D491" s="195" t="e">
        <f>+B491+C491</f>
        <v>#REF!</v>
      </c>
      <c r="F491" s="193" t="s">
        <v>289</v>
      </c>
      <c r="G491" s="175"/>
      <c r="H491" s="72">
        <v>723</v>
      </c>
      <c r="I491" s="80">
        <f>+O469+O471+O473+O475+O477</f>
        <v>1126328</v>
      </c>
      <c r="J491" s="74">
        <f>+K453</f>
        <v>291232833</v>
      </c>
      <c r="K491" s="195">
        <f>+I491+J491</f>
        <v>292359161</v>
      </c>
      <c r="M491" s="918" t="s">
        <v>2926</v>
      </c>
      <c r="N491" s="608"/>
      <c r="O491" s="608"/>
    </row>
    <row r="492" spans="1:15" ht="15" hidden="1" customHeight="1">
      <c r="A492" s="164" t="s">
        <v>181</v>
      </c>
      <c r="B492" s="165"/>
      <c r="C492" s="74">
        <f>+D454</f>
        <v>1965625</v>
      </c>
      <c r="D492" s="196">
        <f>+B492+C492</f>
        <v>1965625</v>
      </c>
      <c r="F492" s="52"/>
      <c r="H492" s="164" t="s">
        <v>181</v>
      </c>
      <c r="I492" s="165"/>
      <c r="J492" s="74">
        <f>+K454</f>
        <v>0</v>
      </c>
      <c r="K492" s="196">
        <f>+I492+J492</f>
        <v>0</v>
      </c>
      <c r="M492" s="52"/>
    </row>
    <row r="493" spans="1:15" ht="15" customHeight="1" thickBot="1">
      <c r="A493" s="169"/>
      <c r="B493" s="170" t="e">
        <f>SUM(B488:B492)</f>
        <v>#REF!</v>
      </c>
      <c r="C493" s="171" t="e">
        <f>SUM(C488:C492)</f>
        <v>#REF!</v>
      </c>
      <c r="D493" s="172" t="e">
        <f>SUM(D488:D492)</f>
        <v>#REF!</v>
      </c>
      <c r="H493" s="169"/>
      <c r="I493" s="197">
        <f>SUM(I488:I492)</f>
        <v>2546328</v>
      </c>
      <c r="J493" s="197">
        <f>SUM(J488:J492)</f>
        <v>318491833</v>
      </c>
      <c r="K493" s="198">
        <f>SUM(K488:K492)</f>
        <v>321038161</v>
      </c>
    </row>
    <row r="494" spans="1:15" ht="16.5">
      <c r="A494" s="49" t="s">
        <v>88</v>
      </c>
      <c r="B494" s="50"/>
      <c r="H494" s="49" t="s">
        <v>88</v>
      </c>
      <c r="I494" s="50"/>
    </row>
    <row r="495" spans="1:15" ht="13.5" customHeight="1">
      <c r="A495" s="51" t="s">
        <v>89</v>
      </c>
      <c r="H495" s="51" t="s">
        <v>89</v>
      </c>
    </row>
    <row r="496" spans="1:15">
      <c r="A496" s="51" t="s">
        <v>90</v>
      </c>
      <c r="H496" s="51" t="s">
        <v>90</v>
      </c>
    </row>
    <row r="497" spans="1:15">
      <c r="A497" s="51" t="s">
        <v>91</v>
      </c>
      <c r="H497" s="51" t="s">
        <v>91</v>
      </c>
    </row>
    <row r="498" spans="1:15" ht="5.25" customHeight="1">
      <c r="A498" s="50"/>
      <c r="B498" s="50"/>
      <c r="H498" s="50"/>
      <c r="I498" s="50"/>
    </row>
    <row r="499" spans="1:15" ht="13.5" customHeight="1">
      <c r="A499" s="52" t="s">
        <v>307</v>
      </c>
      <c r="G499" s="52"/>
      <c r="H499" s="52" t="s">
        <v>789</v>
      </c>
      <c r="N499" s="52"/>
    </row>
    <row r="500" spans="1:15" ht="15.75">
      <c r="A500" s="53" t="s">
        <v>92</v>
      </c>
      <c r="G500" s="53"/>
      <c r="H500" s="53" t="s">
        <v>2754</v>
      </c>
      <c r="N500" s="53"/>
    </row>
    <row r="501" spans="1:15" ht="16.5">
      <c r="A501" s="894" t="s">
        <v>261</v>
      </c>
      <c r="B501" s="894"/>
      <c r="C501" s="894"/>
      <c r="D501" s="894"/>
      <c r="E501" s="894"/>
      <c r="F501" s="894"/>
      <c r="G501" s="894"/>
      <c r="H501" s="894" t="s">
        <v>1823</v>
      </c>
      <c r="I501" s="894"/>
      <c r="J501" s="894"/>
      <c r="K501" s="894"/>
      <c r="L501" s="894"/>
      <c r="M501" s="894"/>
      <c r="N501" s="894"/>
      <c r="O501" s="894"/>
    </row>
    <row r="502" spans="1:15" ht="8.25" customHeight="1" thickBot="1"/>
    <row r="503" spans="1:15">
      <c r="A503" s="895" t="s">
        <v>94</v>
      </c>
      <c r="B503" s="897" t="s">
        <v>95</v>
      </c>
      <c r="C503" s="897" t="s">
        <v>96</v>
      </c>
      <c r="D503" s="897" t="s">
        <v>3</v>
      </c>
      <c r="E503" s="897" t="s">
        <v>97</v>
      </c>
      <c r="F503" s="897" t="s">
        <v>98</v>
      </c>
      <c r="G503" s="500" t="s">
        <v>99</v>
      </c>
      <c r="H503" s="895" t="s">
        <v>94</v>
      </c>
      <c r="I503" s="897" t="s">
        <v>95</v>
      </c>
      <c r="J503" s="897" t="s">
        <v>96</v>
      </c>
      <c r="K503" s="897" t="s">
        <v>3</v>
      </c>
      <c r="L503" s="897" t="s">
        <v>97</v>
      </c>
      <c r="M503" s="897" t="s">
        <v>98</v>
      </c>
      <c r="N503" s="897" t="s">
        <v>99</v>
      </c>
      <c r="O503" s="899"/>
    </row>
    <row r="504" spans="1:15" ht="15.75" thickBot="1">
      <c r="A504" s="896"/>
      <c r="B504" s="898"/>
      <c r="C504" s="898"/>
      <c r="D504" s="898"/>
      <c r="E504" s="898"/>
      <c r="F504" s="898"/>
      <c r="G504" s="240" t="s">
        <v>100</v>
      </c>
      <c r="H504" s="896"/>
      <c r="I504" s="898"/>
      <c r="J504" s="898"/>
      <c r="K504" s="898"/>
      <c r="L504" s="898"/>
      <c r="M504" s="898"/>
      <c r="N504" s="240" t="s">
        <v>100</v>
      </c>
      <c r="O504" s="182" t="s">
        <v>101</v>
      </c>
    </row>
    <row r="505" spans="1:15" ht="13.5" customHeight="1">
      <c r="A505" s="881" t="e">
        <f>+#REF!+1</f>
        <v>#REF!</v>
      </c>
      <c r="B505" s="875">
        <v>42278</v>
      </c>
      <c r="C505" s="877" t="s">
        <v>272</v>
      </c>
      <c r="D505" s="881" t="s">
        <v>305</v>
      </c>
      <c r="E505" s="881" t="s">
        <v>148</v>
      </c>
      <c r="F505" s="883">
        <v>100000</v>
      </c>
      <c r="G505" s="55">
        <v>719</v>
      </c>
      <c r="H505" s="873" t="s">
        <v>2422</v>
      </c>
      <c r="I505" s="875">
        <v>45952</v>
      </c>
      <c r="J505" s="877" t="s">
        <v>2408</v>
      </c>
      <c r="K505" s="879" t="s">
        <v>2992</v>
      </c>
      <c r="L505" s="881" t="s">
        <v>115</v>
      </c>
      <c r="M505" s="883">
        <v>135000</v>
      </c>
      <c r="N505" s="55">
        <v>719</v>
      </c>
      <c r="O505" s="78">
        <v>100000</v>
      </c>
    </row>
    <row r="506" spans="1:15" ht="12.75" customHeight="1" thickBot="1">
      <c r="A506" s="882"/>
      <c r="B506" s="934"/>
      <c r="C506" s="878"/>
      <c r="D506" s="882"/>
      <c r="E506" s="882"/>
      <c r="F506" s="884"/>
      <c r="G506" s="56">
        <v>721</v>
      </c>
      <c r="H506" s="882"/>
      <c r="I506" s="876"/>
      <c r="J506" s="878"/>
      <c r="K506" s="880"/>
      <c r="L506" s="882"/>
      <c r="M506" s="884"/>
      <c r="N506" s="461">
        <v>721</v>
      </c>
      <c r="O506" s="352">
        <f>+M505-O505</f>
        <v>35000</v>
      </c>
    </row>
    <row r="507" spans="1:15" ht="12.75" customHeight="1">
      <c r="A507" s="251"/>
      <c r="B507" s="452"/>
      <c r="C507" s="253"/>
      <c r="D507" s="251"/>
      <c r="E507" s="251"/>
      <c r="F507" s="254"/>
      <c r="G507" s="255"/>
      <c r="H507" s="873" t="s">
        <v>2427</v>
      </c>
      <c r="I507" s="875">
        <v>45952</v>
      </c>
      <c r="J507" s="877" t="s">
        <v>2408</v>
      </c>
      <c r="K507" s="879" t="s">
        <v>3007</v>
      </c>
      <c r="L507" s="881" t="s">
        <v>115</v>
      </c>
      <c r="M507" s="883">
        <v>702000</v>
      </c>
      <c r="N507" s="55">
        <v>719</v>
      </c>
      <c r="O507" s="78">
        <v>520000</v>
      </c>
    </row>
    <row r="508" spans="1:15" ht="12.75" customHeight="1" thickBot="1">
      <c r="A508" s="251"/>
      <c r="B508" s="452"/>
      <c r="C508" s="253"/>
      <c r="D508" s="251"/>
      <c r="E508" s="251"/>
      <c r="F508" s="254"/>
      <c r="G508" s="255"/>
      <c r="H508" s="882"/>
      <c r="I508" s="876"/>
      <c r="J508" s="878"/>
      <c r="K508" s="880"/>
      <c r="L508" s="882"/>
      <c r="M508" s="884"/>
      <c r="N508" s="461">
        <v>721</v>
      </c>
      <c r="O508" s="352">
        <f>+M507-O507</f>
        <v>182000</v>
      </c>
    </row>
    <row r="509" spans="1:15" ht="12.75" customHeight="1">
      <c r="A509" s="251"/>
      <c r="B509" s="452"/>
      <c r="C509" s="253"/>
      <c r="D509" s="251"/>
      <c r="E509" s="251"/>
      <c r="F509" s="254"/>
      <c r="G509" s="255"/>
      <c r="H509" s="873" t="s">
        <v>812</v>
      </c>
      <c r="I509" s="875">
        <v>45952</v>
      </c>
      <c r="J509" s="877" t="s">
        <v>120</v>
      </c>
      <c r="K509" s="881" t="s">
        <v>2999</v>
      </c>
      <c r="L509" s="881" t="s">
        <v>148</v>
      </c>
      <c r="M509" s="883">
        <v>430000</v>
      </c>
      <c r="N509" s="55">
        <v>719</v>
      </c>
      <c r="O509" s="78">
        <v>430000</v>
      </c>
    </row>
    <row r="510" spans="1:15" ht="12.75" customHeight="1" thickBot="1">
      <c r="A510" s="251"/>
      <c r="B510" s="452"/>
      <c r="C510" s="253"/>
      <c r="D510" s="251"/>
      <c r="E510" s="251"/>
      <c r="F510" s="254"/>
      <c r="G510" s="255"/>
      <c r="H510" s="882"/>
      <c r="I510" s="876"/>
      <c r="J510" s="878"/>
      <c r="K510" s="882"/>
      <c r="L510" s="882"/>
      <c r="M510" s="884"/>
      <c r="N510" s="461">
        <v>721</v>
      </c>
      <c r="O510" s="79">
        <f>+M509-O509</f>
        <v>0</v>
      </c>
    </row>
    <row r="511" spans="1:15" ht="12" customHeight="1">
      <c r="A511" s="881" t="e">
        <f>+A505+1</f>
        <v>#REF!</v>
      </c>
      <c r="B511" s="875">
        <v>42278</v>
      </c>
      <c r="C511" s="881" t="s">
        <v>28</v>
      </c>
      <c r="D511" s="881" t="s">
        <v>304</v>
      </c>
      <c r="E511" s="881" t="s">
        <v>115</v>
      </c>
      <c r="F511" s="883">
        <v>80000</v>
      </c>
      <c r="G511" s="55">
        <v>719</v>
      </c>
      <c r="H511" s="873" t="s">
        <v>1606</v>
      </c>
      <c r="I511" s="875">
        <v>45952</v>
      </c>
      <c r="J511" s="877" t="s">
        <v>1538</v>
      </c>
      <c r="K511" s="881" t="s">
        <v>2984</v>
      </c>
      <c r="L511" s="881" t="s">
        <v>148</v>
      </c>
      <c r="M511" s="883">
        <v>1133350</v>
      </c>
      <c r="N511" s="55">
        <v>719</v>
      </c>
      <c r="O511" s="78"/>
    </row>
    <row r="512" spans="1:15" ht="14.25" customHeight="1" thickBot="1">
      <c r="A512" s="882"/>
      <c r="B512" s="934"/>
      <c r="C512" s="882"/>
      <c r="D512" s="882"/>
      <c r="E512" s="882"/>
      <c r="F512" s="884"/>
      <c r="G512" s="56">
        <v>721</v>
      </c>
      <c r="H512" s="882"/>
      <c r="I512" s="876"/>
      <c r="J512" s="878"/>
      <c r="K512" s="882"/>
      <c r="L512" s="882"/>
      <c r="M512" s="884"/>
      <c r="N512" s="461">
        <v>723</v>
      </c>
      <c r="O512" s="79">
        <f>+M511-O511</f>
        <v>1133350</v>
      </c>
    </row>
    <row r="513" spans="1:15" ht="12.75" customHeight="1">
      <c r="A513" s="881"/>
      <c r="B513" s="875"/>
      <c r="C513" s="877"/>
      <c r="D513" s="881"/>
      <c r="E513" s="881"/>
      <c r="F513" s="883"/>
      <c r="G513" s="55">
        <v>719</v>
      </c>
      <c r="H513" s="873"/>
      <c r="I513" s="875"/>
      <c r="J513" s="877"/>
      <c r="K513" s="881"/>
      <c r="L513" s="881"/>
      <c r="M513" s="883"/>
      <c r="N513" s="55"/>
      <c r="O513" s="78"/>
    </row>
    <row r="514" spans="1:15" ht="14.25" customHeight="1" thickBot="1">
      <c r="A514" s="882"/>
      <c r="B514" s="934"/>
      <c r="C514" s="878"/>
      <c r="D514" s="882"/>
      <c r="E514" s="882"/>
      <c r="F514" s="884"/>
      <c r="G514" s="56">
        <v>721</v>
      </c>
      <c r="H514" s="882"/>
      <c r="I514" s="876"/>
      <c r="J514" s="878"/>
      <c r="K514" s="882"/>
      <c r="L514" s="882"/>
      <c r="M514" s="884"/>
      <c r="N514" s="461"/>
      <c r="O514" s="79"/>
    </row>
    <row r="515" spans="1:15" ht="16.5" thickBot="1">
      <c r="A515" s="901" t="s">
        <v>102</v>
      </c>
      <c r="B515" s="902"/>
      <c r="C515" s="902"/>
      <c r="D515" s="902"/>
      <c r="E515" s="903"/>
      <c r="F515" s="81">
        <f>SUM(F505:F514)</f>
        <v>180000</v>
      </c>
      <c r="H515" s="901" t="s">
        <v>102</v>
      </c>
      <c r="I515" s="902"/>
      <c r="J515" s="902"/>
      <c r="K515" s="902"/>
      <c r="L515" s="903"/>
      <c r="M515" s="81">
        <f>M505+M507+M509+M511</f>
        <v>2400350</v>
      </c>
    </row>
    <row r="516" spans="1:15" ht="16.5" thickBot="1">
      <c r="A516" s="885" t="s">
        <v>103</v>
      </c>
      <c r="B516" s="886"/>
      <c r="C516" s="886"/>
      <c r="D516" s="886"/>
      <c r="E516" s="887"/>
      <c r="F516" s="69" t="e">
        <f>+F480</f>
        <v>#REF!</v>
      </c>
      <c r="H516" s="885" t="s">
        <v>103</v>
      </c>
      <c r="I516" s="886"/>
      <c r="J516" s="886"/>
      <c r="K516" s="886"/>
      <c r="L516" s="887"/>
      <c r="M516" s="239">
        <f>+M480</f>
        <v>321038161</v>
      </c>
      <c r="N516" s="241" t="s">
        <v>561</v>
      </c>
      <c r="O516" s="242"/>
    </row>
    <row r="517" spans="1:15" ht="16.5" thickBot="1">
      <c r="A517" s="888" t="s">
        <v>104</v>
      </c>
      <c r="B517" s="889"/>
      <c r="C517" s="889"/>
      <c r="D517" s="889"/>
      <c r="E517" s="890"/>
      <c r="F517" s="183" t="e">
        <f>SUM(F515:F516)</f>
        <v>#REF!</v>
      </c>
      <c r="H517" s="888" t="s">
        <v>104</v>
      </c>
      <c r="I517" s="889"/>
      <c r="J517" s="889"/>
      <c r="K517" s="889"/>
      <c r="L517" s="890"/>
      <c r="M517" s="183">
        <f>M516+M515</f>
        <v>323438511</v>
      </c>
    </row>
    <row r="518" spans="1:15" ht="9.75" customHeight="1">
      <c r="A518" s="61"/>
      <c r="B518" s="61"/>
      <c r="C518" s="61"/>
      <c r="D518" s="61"/>
      <c r="E518" s="61"/>
      <c r="H518" s="61"/>
      <c r="I518" s="61"/>
      <c r="J518" s="61"/>
      <c r="K518" s="61"/>
      <c r="L518" s="61"/>
    </row>
    <row r="519" spans="1:15">
      <c r="A519" s="51" t="s">
        <v>306</v>
      </c>
      <c r="H519" s="51" t="s">
        <v>3008</v>
      </c>
    </row>
    <row r="520" spans="1:15" ht="5.25" customHeight="1">
      <c r="F520" s="139"/>
      <c r="M520" s="139"/>
    </row>
    <row r="521" spans="1:15">
      <c r="A521" s="50" t="s">
        <v>105</v>
      </c>
      <c r="D521" s="146"/>
      <c r="F521" s="139"/>
      <c r="H521" s="50" t="s">
        <v>105</v>
      </c>
      <c r="K521" s="146"/>
      <c r="M521" s="139"/>
    </row>
    <row r="522" spans="1:15" ht="9" customHeight="1" thickBot="1"/>
    <row r="523" spans="1:15" ht="16.5" customHeight="1" thickBot="1">
      <c r="A523" s="891" t="s">
        <v>106</v>
      </c>
      <c r="B523" s="892"/>
      <c r="C523" s="892"/>
      <c r="D523" s="893"/>
      <c r="F523" s="50" t="s">
        <v>288</v>
      </c>
      <c r="H523" s="891" t="s">
        <v>106</v>
      </c>
      <c r="I523" s="892"/>
      <c r="J523" s="892"/>
      <c r="K523" s="893"/>
      <c r="M523" s="605" t="s">
        <v>288</v>
      </c>
      <c r="N523" s="605"/>
      <c r="O523" s="605"/>
    </row>
    <row r="524" spans="1:15" ht="27" customHeight="1" thickBot="1">
      <c r="A524" s="57" t="s">
        <v>100</v>
      </c>
      <c r="B524" s="58" t="s">
        <v>108</v>
      </c>
      <c r="C524" s="59" t="s">
        <v>109</v>
      </c>
      <c r="D524" s="60" t="s">
        <v>110</v>
      </c>
      <c r="H524" s="57" t="s">
        <v>100</v>
      </c>
      <c r="I524" s="58" t="s">
        <v>108</v>
      </c>
      <c r="J524" s="59" t="s">
        <v>109</v>
      </c>
      <c r="K524" s="60" t="s">
        <v>110</v>
      </c>
      <c r="M524" s="202"/>
      <c r="N524" s="202"/>
      <c r="O524" s="202"/>
    </row>
    <row r="525" spans="1:15" ht="12" customHeight="1">
      <c r="A525" s="71">
        <v>719</v>
      </c>
      <c r="B525" s="73" t="e">
        <f>+#REF!+#REF!+#REF!+#REF!+#REF!</f>
        <v>#REF!</v>
      </c>
      <c r="C525" s="74" t="e">
        <f>+D488</f>
        <v>#REF!</v>
      </c>
      <c r="D525" s="195" t="e">
        <f>+B525+C525</f>
        <v>#REF!</v>
      </c>
      <c r="H525" s="71">
        <v>719</v>
      </c>
      <c r="I525" s="73">
        <f>O505+O507+O509</f>
        <v>1050000</v>
      </c>
      <c r="J525" s="74">
        <f>+K488</f>
        <v>25060000</v>
      </c>
      <c r="K525" s="195">
        <f>+I525+J525</f>
        <v>26110000</v>
      </c>
      <c r="M525" s="202"/>
      <c r="N525" s="202"/>
      <c r="O525" s="202"/>
    </row>
    <row r="526" spans="1:15" ht="12" customHeight="1">
      <c r="A526" s="72">
        <v>721</v>
      </c>
      <c r="B526" s="80" t="e">
        <f>+#REF!+#REF!+#REF!+#REF!+#REF!</f>
        <v>#REF!</v>
      </c>
      <c r="C526" s="74" t="e">
        <f>+D489</f>
        <v>#REF!</v>
      </c>
      <c r="D526" s="195" t="e">
        <f>+B526+C526</f>
        <v>#REF!</v>
      </c>
      <c r="H526" s="72">
        <v>721</v>
      </c>
      <c r="I526" s="80">
        <f>O506+O508</f>
        <v>217000</v>
      </c>
      <c r="J526" s="74">
        <f>+K489</f>
        <v>3619000</v>
      </c>
      <c r="K526" s="195">
        <f>+I526+J526</f>
        <v>3836000</v>
      </c>
      <c r="M526" s="202"/>
      <c r="N526" s="202"/>
      <c r="O526" s="202"/>
    </row>
    <row r="527" spans="1:15" ht="14.25" customHeight="1">
      <c r="A527" s="72">
        <v>722</v>
      </c>
      <c r="B527" s="80"/>
      <c r="C527" s="74" t="e">
        <f>+D490</f>
        <v>#REF!</v>
      </c>
      <c r="D527" s="195" t="e">
        <f>+B527+C527</f>
        <v>#REF!</v>
      </c>
      <c r="H527" s="72">
        <v>722</v>
      </c>
      <c r="I527" s="80"/>
      <c r="J527" s="74">
        <f>+K490</f>
        <v>0</v>
      </c>
      <c r="K527" s="195">
        <f>+I527+J527</f>
        <v>0</v>
      </c>
      <c r="M527" s="202"/>
      <c r="N527" s="202"/>
      <c r="O527" s="202"/>
    </row>
    <row r="528" spans="1:15" ht="13.5" customHeight="1" thickBot="1">
      <c r="A528" s="72">
        <v>723</v>
      </c>
      <c r="B528" s="80"/>
      <c r="C528" s="74" t="e">
        <f>+D491</f>
        <v>#REF!</v>
      </c>
      <c r="D528" s="195" t="e">
        <f>+B528+C528</f>
        <v>#REF!</v>
      </c>
      <c r="F528" s="193" t="s">
        <v>289</v>
      </c>
      <c r="G528" s="175"/>
      <c r="H528" s="72">
        <v>723</v>
      </c>
      <c r="I528" s="80">
        <f>O512</f>
        <v>1133350</v>
      </c>
      <c r="J528" s="74">
        <f>+K491</f>
        <v>292359161</v>
      </c>
      <c r="K528" s="195">
        <f>+I528+J528</f>
        <v>293492511</v>
      </c>
      <c r="M528" s="918" t="s">
        <v>2926</v>
      </c>
      <c r="N528" s="608"/>
      <c r="O528" s="608"/>
    </row>
    <row r="529" spans="1:15" ht="13.5" hidden="1" customHeight="1">
      <c r="A529" s="164" t="s">
        <v>181</v>
      </c>
      <c r="B529" s="165"/>
      <c r="C529" s="74">
        <f>+D492</f>
        <v>1965625</v>
      </c>
      <c r="D529" s="196">
        <f>+B529+C529</f>
        <v>1965625</v>
      </c>
      <c r="F529" s="52"/>
      <c r="H529" s="164" t="s">
        <v>181</v>
      </c>
      <c r="I529" s="165"/>
      <c r="J529" s="74">
        <f>+K492</f>
        <v>0</v>
      </c>
      <c r="K529" s="196">
        <f>+I529+J529</f>
        <v>0</v>
      </c>
      <c r="M529" s="52"/>
    </row>
    <row r="530" spans="1:15" ht="15.75" customHeight="1" thickBot="1">
      <c r="A530" s="169"/>
      <c r="B530" s="170" t="e">
        <f>SUM(B525:B529)</f>
        <v>#REF!</v>
      </c>
      <c r="C530" s="171" t="e">
        <f>SUM(C525:C529)</f>
        <v>#REF!</v>
      </c>
      <c r="D530" s="172" t="e">
        <f>SUM(D525:D529)</f>
        <v>#REF!</v>
      </c>
      <c r="H530" s="169"/>
      <c r="I530" s="197">
        <f>I525+I526+I528</f>
        <v>2400350</v>
      </c>
      <c r="J530" s="197">
        <f>SUM(J525:J529)</f>
        <v>321038161</v>
      </c>
      <c r="K530" s="198">
        <f>SUM(K525:K529)</f>
        <v>323438511</v>
      </c>
    </row>
    <row r="531" spans="1:15" ht="15" customHeight="1">
      <c r="A531" s="49" t="s">
        <v>88</v>
      </c>
      <c r="B531" s="50"/>
      <c r="H531" s="511" t="s">
        <v>88</v>
      </c>
      <c r="I531" s="453"/>
      <c r="J531" s="262"/>
    </row>
    <row r="532" spans="1:15">
      <c r="A532" s="51" t="s">
        <v>89</v>
      </c>
      <c r="H532" s="262" t="s">
        <v>89</v>
      </c>
      <c r="I532" s="262"/>
      <c r="J532" s="262"/>
    </row>
    <row r="533" spans="1:15">
      <c r="A533" s="51" t="s">
        <v>90</v>
      </c>
      <c r="H533" s="262" t="s">
        <v>90</v>
      </c>
      <c r="I533" s="262"/>
      <c r="J533" s="262"/>
    </row>
    <row r="534" spans="1:15">
      <c r="A534" s="51" t="s">
        <v>91</v>
      </c>
      <c r="H534" s="262" t="s">
        <v>91</v>
      </c>
      <c r="I534" s="262"/>
      <c r="J534" s="262"/>
    </row>
    <row r="535" spans="1:15" ht="6.75" customHeight="1">
      <c r="A535" s="50"/>
      <c r="B535" s="50"/>
      <c r="H535" s="50"/>
      <c r="I535" s="50"/>
      <c r="K535" s="515"/>
    </row>
    <row r="536" spans="1:15" ht="15" customHeight="1">
      <c r="A536" s="52" t="s">
        <v>308</v>
      </c>
      <c r="G536" s="52"/>
      <c r="H536" s="52" t="s">
        <v>638</v>
      </c>
      <c r="N536" s="52"/>
    </row>
    <row r="537" spans="1:15" ht="13.5" customHeight="1">
      <c r="A537" s="53" t="s">
        <v>92</v>
      </c>
      <c r="G537" s="53"/>
      <c r="H537" s="53" t="s">
        <v>2443</v>
      </c>
      <c r="N537" s="53"/>
    </row>
    <row r="538" spans="1:15" ht="15" customHeight="1">
      <c r="A538" s="894" t="s">
        <v>261</v>
      </c>
      <c r="B538" s="894"/>
      <c r="C538" s="894"/>
      <c r="D538" s="894"/>
      <c r="E538" s="894"/>
      <c r="F538" s="894"/>
      <c r="G538" s="894"/>
      <c r="H538" s="894" t="s">
        <v>2615</v>
      </c>
      <c r="I538" s="894"/>
      <c r="J538" s="894"/>
      <c r="K538" s="894"/>
      <c r="L538" s="894"/>
      <c r="M538" s="894"/>
      <c r="N538" s="894"/>
      <c r="O538" s="894"/>
    </row>
    <row r="539" spans="1:15" ht="8.25" customHeight="1" thickBot="1"/>
    <row r="540" spans="1:15">
      <c r="A540" s="895" t="s">
        <v>94</v>
      </c>
      <c r="B540" s="897" t="s">
        <v>95</v>
      </c>
      <c r="C540" s="897" t="s">
        <v>96</v>
      </c>
      <c r="D540" s="897" t="s">
        <v>3</v>
      </c>
      <c r="E540" s="897" t="s">
        <v>97</v>
      </c>
      <c r="F540" s="897" t="s">
        <v>98</v>
      </c>
      <c r="G540" s="500" t="s">
        <v>99</v>
      </c>
      <c r="H540" s="895" t="s">
        <v>94</v>
      </c>
      <c r="I540" s="897" t="s">
        <v>95</v>
      </c>
      <c r="J540" s="897" t="s">
        <v>96</v>
      </c>
      <c r="K540" s="897" t="s">
        <v>3</v>
      </c>
      <c r="L540" s="897" t="s">
        <v>97</v>
      </c>
      <c r="M540" s="897" t="s">
        <v>98</v>
      </c>
      <c r="N540" s="897" t="s">
        <v>99</v>
      </c>
      <c r="O540" s="899"/>
    </row>
    <row r="541" spans="1:15" ht="15.75" thickBot="1">
      <c r="A541" s="896"/>
      <c r="B541" s="898"/>
      <c r="C541" s="898"/>
      <c r="D541" s="898"/>
      <c r="E541" s="898"/>
      <c r="F541" s="898"/>
      <c r="G541" s="240" t="s">
        <v>100</v>
      </c>
      <c r="H541" s="896"/>
      <c r="I541" s="898"/>
      <c r="J541" s="898"/>
      <c r="K541" s="898"/>
      <c r="L541" s="898"/>
      <c r="M541" s="898"/>
      <c r="N541" s="240" t="s">
        <v>100</v>
      </c>
      <c r="O541" s="182" t="s">
        <v>101</v>
      </c>
    </row>
    <row r="542" spans="1:15" ht="12" customHeight="1">
      <c r="A542" s="881" t="e">
        <f>+#REF!+1</f>
        <v>#REF!</v>
      </c>
      <c r="B542" s="875">
        <v>42286</v>
      </c>
      <c r="C542" s="877" t="s">
        <v>267</v>
      </c>
      <c r="D542" s="881" t="s">
        <v>310</v>
      </c>
      <c r="E542" s="881" t="s">
        <v>148</v>
      </c>
      <c r="F542" s="883">
        <v>224000</v>
      </c>
      <c r="G542" s="55">
        <v>719</v>
      </c>
      <c r="H542" s="873" t="s">
        <v>664</v>
      </c>
      <c r="I542" s="875">
        <v>45485</v>
      </c>
      <c r="J542" s="877" t="s">
        <v>2610</v>
      </c>
      <c r="K542" s="881" t="s">
        <v>2611</v>
      </c>
      <c r="L542" s="881" t="s">
        <v>148</v>
      </c>
      <c r="M542" s="883">
        <v>1470000</v>
      </c>
      <c r="N542" s="55">
        <v>719</v>
      </c>
      <c r="O542" s="78"/>
    </row>
    <row r="543" spans="1:15" ht="17.25" customHeight="1" thickBot="1">
      <c r="A543" s="882"/>
      <c r="B543" s="934"/>
      <c r="C543" s="878"/>
      <c r="D543" s="882"/>
      <c r="E543" s="882"/>
      <c r="F543" s="884"/>
      <c r="G543" s="56">
        <v>721</v>
      </c>
      <c r="H543" s="882"/>
      <c r="I543" s="876"/>
      <c r="J543" s="878"/>
      <c r="K543" s="882"/>
      <c r="L543" s="882"/>
      <c r="M543" s="884"/>
      <c r="N543" s="56">
        <v>723</v>
      </c>
      <c r="O543" s="79">
        <f>+M542-O542</f>
        <v>1470000</v>
      </c>
    </row>
    <row r="544" spans="1:15" ht="13.5" customHeight="1">
      <c r="A544" s="251"/>
      <c r="B544" s="452"/>
      <c r="C544" s="253"/>
      <c r="D544" s="251"/>
      <c r="E544" s="251"/>
      <c r="F544" s="254"/>
      <c r="G544" s="255"/>
      <c r="H544" s="873" t="s">
        <v>665</v>
      </c>
      <c r="I544" s="875">
        <v>45485</v>
      </c>
      <c r="J544" s="877" t="s">
        <v>2610</v>
      </c>
      <c r="K544" s="881" t="s">
        <v>2611</v>
      </c>
      <c r="L544" s="881" t="s">
        <v>115</v>
      </c>
      <c r="M544" s="883">
        <v>612600</v>
      </c>
      <c r="N544" s="55">
        <v>719</v>
      </c>
      <c r="O544" s="78"/>
    </row>
    <row r="545" spans="1:15" ht="13.5" customHeight="1" thickBot="1">
      <c r="A545" s="251"/>
      <c r="B545" s="452"/>
      <c r="C545" s="253"/>
      <c r="D545" s="251"/>
      <c r="E545" s="251"/>
      <c r="F545" s="254"/>
      <c r="G545" s="255"/>
      <c r="H545" s="882"/>
      <c r="I545" s="876"/>
      <c r="J545" s="878"/>
      <c r="K545" s="882"/>
      <c r="L545" s="882"/>
      <c r="M545" s="884"/>
      <c r="N545" s="56">
        <v>723</v>
      </c>
      <c r="O545" s="79">
        <f>+M544-O544</f>
        <v>612600</v>
      </c>
    </row>
    <row r="546" spans="1:15" ht="13.5" customHeight="1">
      <c r="A546" s="881" t="e">
        <f>+A542+1</f>
        <v>#REF!</v>
      </c>
      <c r="B546" s="875">
        <v>42286</v>
      </c>
      <c r="C546" s="881" t="s">
        <v>28</v>
      </c>
      <c r="D546" s="881" t="s">
        <v>310</v>
      </c>
      <c r="E546" s="881" t="s">
        <v>148</v>
      </c>
      <c r="F546" s="883">
        <v>392000</v>
      </c>
      <c r="G546" s="55">
        <v>719</v>
      </c>
      <c r="H546" s="873" t="s">
        <v>666</v>
      </c>
      <c r="I546" s="875">
        <v>45485</v>
      </c>
      <c r="J546" s="877" t="s">
        <v>2610</v>
      </c>
      <c r="K546" s="881" t="s">
        <v>2611</v>
      </c>
      <c r="L546" s="881" t="s">
        <v>214</v>
      </c>
      <c r="M546" s="883">
        <v>420000</v>
      </c>
      <c r="N546" s="55">
        <v>719</v>
      </c>
      <c r="O546" s="78"/>
    </row>
    <row r="547" spans="1:15" ht="13.5" customHeight="1" thickBot="1">
      <c r="A547" s="882"/>
      <c r="B547" s="934"/>
      <c r="C547" s="882"/>
      <c r="D547" s="882"/>
      <c r="E547" s="882"/>
      <c r="F547" s="884"/>
      <c r="G547" s="56">
        <v>721</v>
      </c>
      <c r="H547" s="882"/>
      <c r="I547" s="876"/>
      <c r="J547" s="878"/>
      <c r="K547" s="882"/>
      <c r="L547" s="882"/>
      <c r="M547" s="884"/>
      <c r="N547" s="56">
        <v>723</v>
      </c>
      <c r="O547" s="79">
        <f>+M546-O546</f>
        <v>420000</v>
      </c>
    </row>
    <row r="548" spans="1:15" ht="13.5" customHeight="1">
      <c r="A548" s="251"/>
      <c r="B548" s="452"/>
      <c r="C548" s="251"/>
      <c r="D548" s="251"/>
      <c r="E548" s="251"/>
      <c r="F548" s="254"/>
      <c r="G548" s="255"/>
      <c r="H548" s="873" t="s">
        <v>667</v>
      </c>
      <c r="I548" s="875">
        <v>45485</v>
      </c>
      <c r="J548" s="877" t="s">
        <v>815</v>
      </c>
      <c r="K548" s="881" t="s">
        <v>2535</v>
      </c>
      <c r="L548" s="881" t="s">
        <v>214</v>
      </c>
      <c r="M548" s="883">
        <v>1256700</v>
      </c>
      <c r="N548" s="55">
        <v>719</v>
      </c>
      <c r="O548" s="78"/>
    </row>
    <row r="549" spans="1:15" ht="13.5" customHeight="1" thickBot="1">
      <c r="A549" s="251"/>
      <c r="B549" s="452"/>
      <c r="C549" s="251"/>
      <c r="D549" s="251"/>
      <c r="E549" s="251"/>
      <c r="F549" s="254"/>
      <c r="G549" s="255"/>
      <c r="H549" s="882"/>
      <c r="I549" s="876"/>
      <c r="J549" s="878"/>
      <c r="K549" s="882"/>
      <c r="L549" s="882"/>
      <c r="M549" s="884"/>
      <c r="N549" s="56">
        <v>723</v>
      </c>
      <c r="O549" s="79">
        <f>+M548-O548</f>
        <v>1256700</v>
      </c>
    </row>
    <row r="550" spans="1:15" ht="12" customHeight="1">
      <c r="A550" s="881" t="e">
        <f>+#REF!+1</f>
        <v>#REF!</v>
      </c>
      <c r="B550" s="875">
        <v>42286</v>
      </c>
      <c r="C550" s="877" t="s">
        <v>111</v>
      </c>
      <c r="D550" s="881" t="s">
        <v>311</v>
      </c>
      <c r="E550" s="881" t="s">
        <v>148</v>
      </c>
      <c r="F550" s="883">
        <v>84000</v>
      </c>
      <c r="G550" s="55">
        <v>719</v>
      </c>
      <c r="H550" s="873" t="s">
        <v>668</v>
      </c>
      <c r="I550" s="875">
        <v>45485</v>
      </c>
      <c r="J550" s="877" t="s">
        <v>2612</v>
      </c>
      <c r="K550" s="881" t="s">
        <v>2535</v>
      </c>
      <c r="L550" s="881" t="s">
        <v>214</v>
      </c>
      <c r="M550" s="883">
        <v>1500000</v>
      </c>
      <c r="N550" s="55">
        <v>721</v>
      </c>
      <c r="O550" s="78"/>
    </row>
    <row r="551" spans="1:15" ht="16.5" customHeight="1" thickBot="1">
      <c r="A551" s="882"/>
      <c r="B551" s="934"/>
      <c r="C551" s="878"/>
      <c r="D551" s="882"/>
      <c r="E551" s="882"/>
      <c r="F551" s="884"/>
      <c r="G551" s="56">
        <v>721</v>
      </c>
      <c r="H551" s="882"/>
      <c r="I551" s="876"/>
      <c r="J551" s="878"/>
      <c r="K551" s="882"/>
      <c r="L551" s="882"/>
      <c r="M551" s="884"/>
      <c r="N551" s="56">
        <v>723</v>
      </c>
      <c r="O551" s="79">
        <f>+M550-O550</f>
        <v>1500000</v>
      </c>
    </row>
    <row r="552" spans="1:15" ht="16.5" thickBot="1">
      <c r="A552" s="901" t="s">
        <v>102</v>
      </c>
      <c r="B552" s="902"/>
      <c r="C552" s="902"/>
      <c r="D552" s="902"/>
      <c r="E552" s="903"/>
      <c r="F552" s="81">
        <f>SUM(F542:F551)</f>
        <v>700000</v>
      </c>
      <c r="H552" s="901" t="s">
        <v>102</v>
      </c>
      <c r="I552" s="902"/>
      <c r="J552" s="902"/>
      <c r="K552" s="902"/>
      <c r="L552" s="903"/>
      <c r="M552" s="81">
        <f>SUM(M542:M551)</f>
        <v>5259300</v>
      </c>
    </row>
    <row r="553" spans="1:15" ht="16.5" thickBot="1">
      <c r="A553" s="885" t="s">
        <v>103</v>
      </c>
      <c r="B553" s="886"/>
      <c r="C553" s="886"/>
      <c r="D553" s="886"/>
      <c r="E553" s="887"/>
      <c r="F553" s="69" t="e">
        <f>+F517</f>
        <v>#REF!</v>
      </c>
      <c r="H553" s="885" t="s">
        <v>103</v>
      </c>
      <c r="I553" s="886"/>
      <c r="J553" s="886"/>
      <c r="K553" s="886"/>
      <c r="L553" s="887"/>
      <c r="M553" s="239">
        <f>+M517</f>
        <v>323438511</v>
      </c>
      <c r="N553" s="241" t="s">
        <v>561</v>
      </c>
      <c r="O553" s="242"/>
    </row>
    <row r="554" spans="1:15" ht="16.5" thickBot="1">
      <c r="A554" s="888" t="s">
        <v>104</v>
      </c>
      <c r="B554" s="889"/>
      <c r="C554" s="889"/>
      <c r="D554" s="889"/>
      <c r="E554" s="890"/>
      <c r="F554" s="183" t="e">
        <f>SUM(F552:F553)</f>
        <v>#REF!</v>
      </c>
      <c r="H554" s="888" t="s">
        <v>104</v>
      </c>
      <c r="I554" s="889"/>
      <c r="J554" s="889"/>
      <c r="K554" s="889"/>
      <c r="L554" s="890"/>
      <c r="M554" s="183">
        <f>SUM(M552:M553)</f>
        <v>328697811</v>
      </c>
    </row>
    <row r="555" spans="1:15" ht="6.75" customHeight="1">
      <c r="A555" s="61"/>
      <c r="B555" s="61"/>
      <c r="C555" s="61"/>
      <c r="D555" s="61"/>
      <c r="E555" s="61"/>
      <c r="H555" s="61"/>
      <c r="I555" s="61"/>
      <c r="J555" s="61"/>
      <c r="K555" s="61"/>
      <c r="L555" s="61"/>
    </row>
    <row r="556" spans="1:15">
      <c r="A556" s="51" t="s">
        <v>312</v>
      </c>
      <c r="H556" s="51" t="s">
        <v>2651</v>
      </c>
    </row>
    <row r="557" spans="1:15" ht="5.25" customHeight="1">
      <c r="F557" s="139"/>
      <c r="M557" s="139"/>
    </row>
    <row r="558" spans="1:15">
      <c r="A558" s="50" t="s">
        <v>105</v>
      </c>
      <c r="D558" s="146"/>
      <c r="F558" s="139"/>
      <c r="H558" s="50" t="s">
        <v>105</v>
      </c>
      <c r="K558" s="146"/>
      <c r="M558" s="139"/>
    </row>
    <row r="559" spans="1:15" ht="6.75" customHeight="1" thickBot="1"/>
    <row r="560" spans="1:15" ht="17.25" thickBot="1">
      <c r="A560" s="891" t="s">
        <v>106</v>
      </c>
      <c r="B560" s="892"/>
      <c r="C560" s="892"/>
      <c r="D560" s="893"/>
      <c r="F560" s="50" t="s">
        <v>288</v>
      </c>
      <c r="H560" s="891" t="s">
        <v>106</v>
      </c>
      <c r="I560" s="892"/>
      <c r="J560" s="892"/>
      <c r="K560" s="893"/>
      <c r="M560" s="605" t="s">
        <v>288</v>
      </c>
      <c r="N560" s="605"/>
      <c r="O560" s="605"/>
    </row>
    <row r="561" spans="1:15" ht="28.5" customHeight="1" thickBot="1">
      <c r="A561" s="57" t="s">
        <v>100</v>
      </c>
      <c r="B561" s="58" t="s">
        <v>108</v>
      </c>
      <c r="C561" s="59" t="s">
        <v>109</v>
      </c>
      <c r="D561" s="60" t="s">
        <v>110</v>
      </c>
      <c r="H561" s="57" t="s">
        <v>100</v>
      </c>
      <c r="I561" s="58" t="s">
        <v>108</v>
      </c>
      <c r="J561" s="59" t="s">
        <v>109</v>
      </c>
      <c r="K561" s="60" t="s">
        <v>110</v>
      </c>
      <c r="M561" s="202"/>
      <c r="N561" s="202"/>
      <c r="O561" s="202"/>
    </row>
    <row r="562" spans="1:15" ht="12.75" customHeight="1">
      <c r="A562" s="71">
        <v>719</v>
      </c>
      <c r="B562" s="73" t="e">
        <f>+#REF!+#REF!+#REF!+#REF!+#REF!</f>
        <v>#REF!</v>
      </c>
      <c r="C562" s="74" t="e">
        <f>+D525</f>
        <v>#REF!</v>
      </c>
      <c r="D562" s="195" t="e">
        <f>+B562+C562</f>
        <v>#REF!</v>
      </c>
      <c r="H562" s="71">
        <v>719</v>
      </c>
      <c r="I562" s="73"/>
      <c r="J562" s="74">
        <f>+K525</f>
        <v>26110000</v>
      </c>
      <c r="K562" s="195">
        <f>+I562+J562</f>
        <v>26110000</v>
      </c>
      <c r="M562" s="202"/>
      <c r="N562" s="202"/>
      <c r="O562" s="202"/>
    </row>
    <row r="563" spans="1:15" ht="15" customHeight="1">
      <c r="A563" s="72">
        <v>721</v>
      </c>
      <c r="B563" s="80" t="e">
        <f>+#REF!+#REF!+#REF!+#REF!+#REF!</f>
        <v>#REF!</v>
      </c>
      <c r="C563" s="74" t="e">
        <f>+D526</f>
        <v>#REF!</v>
      </c>
      <c r="D563" s="195" t="e">
        <f>+B563+C563</f>
        <v>#REF!</v>
      </c>
      <c r="H563" s="72">
        <v>721</v>
      </c>
      <c r="I563" s="80"/>
      <c r="J563" s="74">
        <f>+K526</f>
        <v>3836000</v>
      </c>
      <c r="K563" s="195">
        <f>+I563+J563</f>
        <v>3836000</v>
      </c>
      <c r="M563" s="202"/>
      <c r="N563" s="202"/>
      <c r="O563" s="202"/>
    </row>
    <row r="564" spans="1:15" ht="11.25" customHeight="1">
      <c r="A564" s="72">
        <v>722</v>
      </c>
      <c r="B564" s="80"/>
      <c r="C564" s="74" t="e">
        <f>+D527</f>
        <v>#REF!</v>
      </c>
      <c r="D564" s="195" t="e">
        <f>+B564+C564</f>
        <v>#REF!</v>
      </c>
      <c r="H564" s="72">
        <v>722</v>
      </c>
      <c r="I564" s="80"/>
      <c r="J564" s="74">
        <f>+K527</f>
        <v>0</v>
      </c>
      <c r="K564" s="195">
        <f>+I564+J564</f>
        <v>0</v>
      </c>
      <c r="M564" s="202"/>
      <c r="N564" s="202"/>
      <c r="O564" s="202"/>
    </row>
    <row r="565" spans="1:15" ht="14.25" customHeight="1" thickBot="1">
      <c r="A565" s="72">
        <v>723</v>
      </c>
      <c r="B565" s="80"/>
      <c r="C565" s="74" t="e">
        <f>+D528</f>
        <v>#REF!</v>
      </c>
      <c r="D565" s="195" t="e">
        <f>+B565+C565</f>
        <v>#REF!</v>
      </c>
      <c r="F565" s="193" t="s">
        <v>289</v>
      </c>
      <c r="G565" s="175"/>
      <c r="H565" s="72">
        <v>723</v>
      </c>
      <c r="I565" s="80">
        <f>+O543+O545+O547+O551+O549</f>
        <v>5259300</v>
      </c>
      <c r="J565" s="74">
        <f>+K528</f>
        <v>293492511</v>
      </c>
      <c r="K565" s="195">
        <f>+I565+J565</f>
        <v>298751811</v>
      </c>
      <c r="M565" s="918" t="s">
        <v>2347</v>
      </c>
      <c r="N565" s="608"/>
      <c r="O565" s="608"/>
    </row>
    <row r="566" spans="1:15" ht="12.75" hidden="1" customHeight="1">
      <c r="A566" s="482"/>
      <c r="B566" s="483"/>
      <c r="C566" s="199"/>
      <c r="D566" s="196"/>
      <c r="F566" s="193"/>
      <c r="G566" s="175"/>
      <c r="H566" s="164" t="s">
        <v>181</v>
      </c>
      <c r="I566" s="484"/>
      <c r="J566" s="485">
        <f>+K529</f>
        <v>0</v>
      </c>
      <c r="K566" s="486">
        <f>+I566+J566</f>
        <v>0</v>
      </c>
      <c r="M566" s="189"/>
      <c r="N566" s="222"/>
      <c r="O566" s="222"/>
    </row>
    <row r="567" spans="1:15" ht="16.5" customHeight="1" thickBot="1">
      <c r="A567" s="169"/>
      <c r="B567" s="170" t="e">
        <f>SUM(B562:B565)</f>
        <v>#REF!</v>
      </c>
      <c r="C567" s="171" t="e">
        <f>SUM(C562:C565)</f>
        <v>#REF!</v>
      </c>
      <c r="D567" s="172" t="e">
        <f>SUM(D562:D565)</f>
        <v>#REF!</v>
      </c>
      <c r="H567" s="169"/>
      <c r="I567" s="470">
        <f>SUM(I562:I565)</f>
        <v>5259300</v>
      </c>
      <c r="J567" s="470">
        <f>SUM(J562:J566)</f>
        <v>323438511</v>
      </c>
      <c r="K567" s="487">
        <f>SUM(K562:K566)</f>
        <v>328697811</v>
      </c>
    </row>
    <row r="568" spans="1:15" ht="16.5">
      <c r="A568" s="49" t="s">
        <v>88</v>
      </c>
      <c r="B568" s="50"/>
      <c r="H568" s="49" t="s">
        <v>88</v>
      </c>
      <c r="I568" s="50"/>
    </row>
    <row r="569" spans="1:15">
      <c r="A569" s="51" t="s">
        <v>89</v>
      </c>
      <c r="H569" s="51" t="s">
        <v>89</v>
      </c>
    </row>
    <row r="570" spans="1:15">
      <c r="A570" s="51" t="s">
        <v>90</v>
      </c>
      <c r="H570" s="51" t="s">
        <v>90</v>
      </c>
    </row>
    <row r="571" spans="1:15">
      <c r="A571" s="51" t="s">
        <v>91</v>
      </c>
      <c r="H571" s="51" t="s">
        <v>91</v>
      </c>
    </row>
    <row r="572" spans="1:15" ht="5.25" customHeight="1">
      <c r="A572" s="50"/>
      <c r="B572" s="50"/>
      <c r="H572" s="50"/>
      <c r="I572" s="50"/>
    </row>
    <row r="573" spans="1:15" ht="16.5">
      <c r="A573" s="52" t="s">
        <v>309</v>
      </c>
      <c r="G573" s="52"/>
      <c r="H573" s="52" t="s">
        <v>639</v>
      </c>
      <c r="N573" s="52"/>
    </row>
    <row r="574" spans="1:15" ht="15.75">
      <c r="A574" s="53" t="s">
        <v>92</v>
      </c>
      <c r="G574" s="53"/>
      <c r="H574" s="53" t="s">
        <v>2443</v>
      </c>
      <c r="N574" s="53"/>
    </row>
    <row r="575" spans="1:15" ht="15" customHeight="1">
      <c r="A575" s="894" t="s">
        <v>261</v>
      </c>
      <c r="B575" s="894"/>
      <c r="C575" s="894"/>
      <c r="D575" s="894"/>
      <c r="E575" s="894"/>
      <c r="F575" s="894"/>
      <c r="G575" s="894"/>
      <c r="H575" s="894" t="s">
        <v>1278</v>
      </c>
      <c r="I575" s="894"/>
      <c r="J575" s="894"/>
      <c r="K575" s="894"/>
      <c r="L575" s="894"/>
      <c r="M575" s="894"/>
      <c r="N575" s="894"/>
      <c r="O575" s="894"/>
    </row>
    <row r="576" spans="1:15" ht="9.75" customHeight="1" thickBot="1"/>
    <row r="577" spans="1:15">
      <c r="A577" s="895" t="s">
        <v>94</v>
      </c>
      <c r="B577" s="897" t="s">
        <v>95</v>
      </c>
      <c r="C577" s="897" t="s">
        <v>96</v>
      </c>
      <c r="D577" s="897" t="s">
        <v>3</v>
      </c>
      <c r="E577" s="897" t="s">
        <v>97</v>
      </c>
      <c r="F577" s="897" t="s">
        <v>98</v>
      </c>
      <c r="G577" s="500" t="s">
        <v>99</v>
      </c>
      <c r="H577" s="895" t="s">
        <v>94</v>
      </c>
      <c r="I577" s="897" t="s">
        <v>95</v>
      </c>
      <c r="J577" s="897" t="s">
        <v>96</v>
      </c>
      <c r="K577" s="897" t="s">
        <v>3</v>
      </c>
      <c r="L577" s="897" t="s">
        <v>97</v>
      </c>
      <c r="M577" s="897" t="s">
        <v>98</v>
      </c>
      <c r="N577" s="897" t="s">
        <v>99</v>
      </c>
      <c r="O577" s="899"/>
    </row>
    <row r="578" spans="1:15" ht="15.75" thickBot="1">
      <c r="A578" s="896"/>
      <c r="B578" s="898"/>
      <c r="C578" s="898"/>
      <c r="D578" s="898"/>
      <c r="E578" s="898"/>
      <c r="F578" s="898"/>
      <c r="G578" s="240" t="s">
        <v>100</v>
      </c>
      <c r="H578" s="896"/>
      <c r="I578" s="898"/>
      <c r="J578" s="898"/>
      <c r="K578" s="898"/>
      <c r="L578" s="898"/>
      <c r="M578" s="898"/>
      <c r="N578" s="240" t="s">
        <v>100</v>
      </c>
      <c r="O578" s="182" t="s">
        <v>101</v>
      </c>
    </row>
    <row r="579" spans="1:15" ht="13.5" customHeight="1">
      <c r="A579" s="881" t="e">
        <f>+#REF!+1</f>
        <v>#REF!</v>
      </c>
      <c r="B579" s="875">
        <v>42286</v>
      </c>
      <c r="C579" s="877" t="s">
        <v>272</v>
      </c>
      <c r="D579" s="881" t="s">
        <v>313</v>
      </c>
      <c r="E579" s="881" t="s">
        <v>115</v>
      </c>
      <c r="F579" s="883">
        <v>50000</v>
      </c>
      <c r="G579" s="55">
        <v>719</v>
      </c>
      <c r="H579" s="873" t="s">
        <v>669</v>
      </c>
      <c r="I579" s="875">
        <v>45485</v>
      </c>
      <c r="J579" s="877" t="s">
        <v>1538</v>
      </c>
      <c r="K579" s="881" t="s">
        <v>2613</v>
      </c>
      <c r="L579" s="881" t="s">
        <v>148</v>
      </c>
      <c r="M579" s="883">
        <v>1313500</v>
      </c>
      <c r="N579" s="55">
        <v>719</v>
      </c>
      <c r="O579" s="78">
        <v>0</v>
      </c>
    </row>
    <row r="580" spans="1:15" ht="12.75" customHeight="1" thickBot="1">
      <c r="A580" s="882"/>
      <c r="B580" s="876"/>
      <c r="C580" s="878"/>
      <c r="D580" s="882"/>
      <c r="E580" s="882"/>
      <c r="F580" s="884"/>
      <c r="G580" s="56">
        <v>721</v>
      </c>
      <c r="H580" s="882"/>
      <c r="I580" s="876"/>
      <c r="J580" s="878"/>
      <c r="K580" s="882"/>
      <c r="L580" s="882"/>
      <c r="M580" s="884"/>
      <c r="N580" s="56">
        <v>723</v>
      </c>
      <c r="O580" s="79">
        <f>+M579-O579</f>
        <v>1313500</v>
      </c>
    </row>
    <row r="581" spans="1:15" ht="12.75" customHeight="1">
      <c r="A581" s="881" t="e">
        <f>+A579+1</f>
        <v>#REF!</v>
      </c>
      <c r="B581" s="875">
        <v>42286</v>
      </c>
      <c r="C581" s="881" t="s">
        <v>28</v>
      </c>
      <c r="D581" s="881" t="s">
        <v>314</v>
      </c>
      <c r="E581" s="881" t="s">
        <v>115</v>
      </c>
      <c r="F581" s="883">
        <v>20000</v>
      </c>
      <c r="G581" s="55">
        <v>719</v>
      </c>
      <c r="H581" s="873" t="s">
        <v>670</v>
      </c>
      <c r="I581" s="875">
        <v>45485</v>
      </c>
      <c r="J581" s="877" t="s">
        <v>1538</v>
      </c>
      <c r="K581" s="881" t="s">
        <v>2614</v>
      </c>
      <c r="L581" s="881" t="s">
        <v>148</v>
      </c>
      <c r="M581" s="883">
        <v>2331100</v>
      </c>
      <c r="N581" s="55">
        <v>719</v>
      </c>
      <c r="O581" s="78"/>
    </row>
    <row r="582" spans="1:15" ht="12.75" customHeight="1" thickBot="1">
      <c r="A582" s="882"/>
      <c r="B582" s="876"/>
      <c r="C582" s="882"/>
      <c r="D582" s="882"/>
      <c r="E582" s="882"/>
      <c r="F582" s="884"/>
      <c r="G582" s="56">
        <v>721</v>
      </c>
      <c r="H582" s="882"/>
      <c r="I582" s="876"/>
      <c r="J582" s="878"/>
      <c r="K582" s="882"/>
      <c r="L582" s="882"/>
      <c r="M582" s="884"/>
      <c r="N582" s="56">
        <v>723</v>
      </c>
      <c r="O582" s="79">
        <f>+M581-O581</f>
        <v>2331100</v>
      </c>
    </row>
    <row r="583" spans="1:15" ht="12.75" customHeight="1">
      <c r="A583" s="251"/>
      <c r="B583" s="252"/>
      <c r="C583" s="251"/>
      <c r="D583" s="251"/>
      <c r="E583" s="251"/>
      <c r="F583" s="254"/>
      <c r="G583" s="255"/>
      <c r="H583" s="873" t="s">
        <v>717</v>
      </c>
      <c r="I583" s="875">
        <v>45485</v>
      </c>
      <c r="J583" s="877" t="s">
        <v>815</v>
      </c>
      <c r="K583" s="881" t="s">
        <v>2616</v>
      </c>
      <c r="L583" s="881" t="s">
        <v>214</v>
      </c>
      <c r="M583" s="883">
        <v>730000</v>
      </c>
      <c r="N583" s="55">
        <v>719</v>
      </c>
      <c r="O583" s="78">
        <v>730000</v>
      </c>
    </row>
    <row r="584" spans="1:15" ht="12.75" customHeight="1" thickBot="1">
      <c r="A584" s="251"/>
      <c r="B584" s="252"/>
      <c r="C584" s="251"/>
      <c r="D584" s="251"/>
      <c r="E584" s="251"/>
      <c r="F584" s="254"/>
      <c r="G584" s="255"/>
      <c r="H584" s="882"/>
      <c r="I584" s="876"/>
      <c r="J584" s="878"/>
      <c r="K584" s="882"/>
      <c r="L584" s="882"/>
      <c r="M584" s="884"/>
      <c r="N584" s="56">
        <v>721</v>
      </c>
      <c r="O584" s="79"/>
    </row>
    <row r="585" spans="1:15" ht="12.75" customHeight="1">
      <c r="A585" s="251"/>
      <c r="B585" s="252"/>
      <c r="C585" s="251"/>
      <c r="D585" s="251"/>
      <c r="E585" s="251"/>
      <c r="F585" s="254"/>
      <c r="G585" s="255"/>
      <c r="H585" s="873" t="s">
        <v>718</v>
      </c>
      <c r="I585" s="875">
        <v>45485</v>
      </c>
      <c r="J585" s="877" t="s">
        <v>1079</v>
      </c>
      <c r="K585" s="881" t="s">
        <v>2617</v>
      </c>
      <c r="L585" s="881" t="s">
        <v>148</v>
      </c>
      <c r="M585" s="883">
        <v>702000</v>
      </c>
      <c r="N585" s="55">
        <v>719</v>
      </c>
      <c r="O585" s="78">
        <v>520000</v>
      </c>
    </row>
    <row r="586" spans="1:15" ht="12.75" customHeight="1" thickBot="1">
      <c r="A586" s="251"/>
      <c r="B586" s="252"/>
      <c r="C586" s="251"/>
      <c r="D586" s="251"/>
      <c r="E586" s="251"/>
      <c r="F586" s="254"/>
      <c r="G586" s="255"/>
      <c r="H586" s="882"/>
      <c r="I586" s="876"/>
      <c r="J586" s="878"/>
      <c r="K586" s="882"/>
      <c r="L586" s="882"/>
      <c r="M586" s="884"/>
      <c r="N586" s="56">
        <v>721</v>
      </c>
      <c r="O586" s="79">
        <f>+M585-O585</f>
        <v>182000</v>
      </c>
    </row>
    <row r="587" spans="1:15" ht="13.5" customHeight="1">
      <c r="A587" s="881" t="e">
        <f>+#REF!+1</f>
        <v>#REF!</v>
      </c>
      <c r="B587" s="875">
        <v>42286</v>
      </c>
      <c r="C587" s="877" t="s">
        <v>120</v>
      </c>
      <c r="D587" s="881" t="s">
        <v>316</v>
      </c>
      <c r="E587" s="881" t="s">
        <v>115</v>
      </c>
      <c r="F587" s="883">
        <v>10000</v>
      </c>
      <c r="G587" s="55">
        <v>719</v>
      </c>
      <c r="H587" s="873" t="s">
        <v>719</v>
      </c>
      <c r="I587" s="875">
        <v>45485</v>
      </c>
      <c r="J587" s="877" t="s">
        <v>1079</v>
      </c>
      <c r="K587" s="881" t="s">
        <v>2618</v>
      </c>
      <c r="L587" s="881" t="s">
        <v>148</v>
      </c>
      <c r="M587" s="883">
        <v>702000</v>
      </c>
      <c r="N587" s="55">
        <v>722</v>
      </c>
      <c r="O587" s="78">
        <v>520000</v>
      </c>
    </row>
    <row r="588" spans="1:15" ht="12.75" customHeight="1" thickBot="1">
      <c r="A588" s="882"/>
      <c r="B588" s="876"/>
      <c r="C588" s="878"/>
      <c r="D588" s="882"/>
      <c r="E588" s="882"/>
      <c r="F588" s="884"/>
      <c r="G588" s="56">
        <v>721</v>
      </c>
      <c r="H588" s="882"/>
      <c r="I588" s="876"/>
      <c r="J588" s="878"/>
      <c r="K588" s="882"/>
      <c r="L588" s="882"/>
      <c r="M588" s="884"/>
      <c r="N588" s="56">
        <v>721</v>
      </c>
      <c r="O588" s="79">
        <f>+M587-O587</f>
        <v>182000</v>
      </c>
    </row>
    <row r="589" spans="1:15" ht="16.5" thickBot="1">
      <c r="A589" s="901" t="s">
        <v>102</v>
      </c>
      <c r="B589" s="902"/>
      <c r="C589" s="902"/>
      <c r="D589" s="902"/>
      <c r="E589" s="903"/>
      <c r="F589" s="81">
        <f>SUM(F579:F588)</f>
        <v>80000</v>
      </c>
      <c r="H589" s="901" t="s">
        <v>102</v>
      </c>
      <c r="I589" s="902"/>
      <c r="J589" s="902"/>
      <c r="K589" s="902"/>
      <c r="L589" s="903"/>
      <c r="M589" s="81">
        <f>SUM(M579:M588)</f>
        <v>5778600</v>
      </c>
    </row>
    <row r="590" spans="1:15" ht="16.5" thickBot="1">
      <c r="A590" s="885" t="s">
        <v>103</v>
      </c>
      <c r="B590" s="886"/>
      <c r="C590" s="886"/>
      <c r="D590" s="886"/>
      <c r="E590" s="887"/>
      <c r="F590" s="69" t="e">
        <f>+F554</f>
        <v>#REF!</v>
      </c>
      <c r="H590" s="885" t="s">
        <v>103</v>
      </c>
      <c r="I590" s="886"/>
      <c r="J590" s="886"/>
      <c r="K590" s="886"/>
      <c r="L590" s="887"/>
      <c r="M590" s="239">
        <f>+M554</f>
        <v>328697811</v>
      </c>
      <c r="N590" s="241" t="s">
        <v>561</v>
      </c>
      <c r="O590" s="242">
        <f>353+380+836</f>
        <v>1569</v>
      </c>
    </row>
    <row r="591" spans="1:15" ht="14.25" customHeight="1" thickBot="1">
      <c r="A591" s="888" t="s">
        <v>104</v>
      </c>
      <c r="B591" s="889"/>
      <c r="C591" s="889"/>
      <c r="D591" s="889"/>
      <c r="E591" s="890"/>
      <c r="F591" s="183" t="e">
        <f>SUM(F589:F590)</f>
        <v>#REF!</v>
      </c>
      <c r="H591" s="888" t="s">
        <v>104</v>
      </c>
      <c r="I591" s="889"/>
      <c r="J591" s="889"/>
      <c r="K591" s="889"/>
      <c r="L591" s="890"/>
      <c r="M591" s="183">
        <f>SUM(M589:M590)</f>
        <v>334476411</v>
      </c>
    </row>
    <row r="592" spans="1:15" ht="9.75" customHeight="1">
      <c r="A592" s="61"/>
      <c r="B592" s="61"/>
      <c r="C592" s="61"/>
      <c r="D592" s="61"/>
      <c r="E592" s="61"/>
      <c r="H592" s="61"/>
      <c r="I592" s="61"/>
      <c r="J592" s="61"/>
      <c r="K592" s="61"/>
      <c r="L592" s="61"/>
    </row>
    <row r="593" spans="1:15">
      <c r="A593" s="51" t="s">
        <v>317</v>
      </c>
      <c r="H593" s="51" t="s">
        <v>2619</v>
      </c>
    </row>
    <row r="594" spans="1:15" ht="6" customHeight="1">
      <c r="F594" s="139"/>
      <c r="M594" s="139"/>
    </row>
    <row r="595" spans="1:15">
      <c r="A595" s="50" t="s">
        <v>105</v>
      </c>
      <c r="D595" s="146"/>
      <c r="F595" s="139"/>
      <c r="H595" s="50" t="s">
        <v>105</v>
      </c>
      <c r="K595" s="146"/>
      <c r="M595" s="139"/>
    </row>
    <row r="596" spans="1:15" ht="7.5" customHeight="1" thickBot="1"/>
    <row r="597" spans="1:15" ht="17.25" thickBot="1">
      <c r="A597" s="891" t="s">
        <v>106</v>
      </c>
      <c r="B597" s="892"/>
      <c r="C597" s="892"/>
      <c r="D597" s="893"/>
      <c r="F597" s="50" t="s">
        <v>288</v>
      </c>
      <c r="H597" s="891" t="s">
        <v>106</v>
      </c>
      <c r="I597" s="892"/>
      <c r="J597" s="892"/>
      <c r="K597" s="893"/>
      <c r="M597" s="605" t="s">
        <v>288</v>
      </c>
      <c r="N597" s="605"/>
      <c r="O597" s="605"/>
    </row>
    <row r="598" spans="1:15" ht="29.25" customHeight="1" thickBot="1">
      <c r="A598" s="57" t="s">
        <v>100</v>
      </c>
      <c r="B598" s="58" t="s">
        <v>108</v>
      </c>
      <c r="C598" s="59" t="s">
        <v>109</v>
      </c>
      <c r="D598" s="60" t="s">
        <v>110</v>
      </c>
      <c r="H598" s="57" t="s">
        <v>100</v>
      </c>
      <c r="I598" s="58" t="s">
        <v>108</v>
      </c>
      <c r="J598" s="59" t="s">
        <v>109</v>
      </c>
      <c r="K598" s="60" t="s">
        <v>110</v>
      </c>
      <c r="M598" s="202"/>
      <c r="N598" s="202"/>
      <c r="O598" s="202"/>
    </row>
    <row r="599" spans="1:15" ht="15" customHeight="1">
      <c r="A599" s="71">
        <v>719</v>
      </c>
      <c r="B599" s="73" t="e">
        <f>+#REF!+#REF!+#REF!+#REF!+#REF!</f>
        <v>#REF!</v>
      </c>
      <c r="C599" s="74" t="e">
        <f>+D562</f>
        <v>#REF!</v>
      </c>
      <c r="D599" s="195" t="e">
        <f>+B599+C599</f>
        <v>#REF!</v>
      </c>
      <c r="H599" s="71">
        <v>719</v>
      </c>
      <c r="I599" s="512">
        <f>+O583+O585+O587</f>
        <v>1770000</v>
      </c>
      <c r="J599" s="74">
        <f>+K562</f>
        <v>26110000</v>
      </c>
      <c r="K599" s="195">
        <f>+I599+J599</f>
        <v>27880000</v>
      </c>
      <c r="M599" s="202"/>
      <c r="N599" s="202"/>
      <c r="O599" s="202"/>
    </row>
    <row r="600" spans="1:15" ht="12.75" customHeight="1">
      <c r="A600" s="72">
        <v>721</v>
      </c>
      <c r="B600" s="80" t="e">
        <f>+#REF!+#REF!+#REF!+#REF!+#REF!</f>
        <v>#REF!</v>
      </c>
      <c r="C600" s="74" t="e">
        <f>+D563</f>
        <v>#REF!</v>
      </c>
      <c r="D600" s="195" t="e">
        <f>+B600+C600</f>
        <v>#REF!</v>
      </c>
      <c r="H600" s="72">
        <v>721</v>
      </c>
      <c r="I600" s="80">
        <f>+O586+O588</f>
        <v>364000</v>
      </c>
      <c r="J600" s="74">
        <f>+K563</f>
        <v>3836000</v>
      </c>
      <c r="K600" s="195">
        <f>+I600+J600</f>
        <v>4200000</v>
      </c>
      <c r="M600" s="202"/>
      <c r="N600" s="202"/>
      <c r="O600" s="202"/>
    </row>
    <row r="601" spans="1:15" ht="12.75" customHeight="1">
      <c r="A601" s="72">
        <v>722</v>
      </c>
      <c r="B601" s="80"/>
      <c r="C601" s="74" t="e">
        <f>+D564</f>
        <v>#REF!</v>
      </c>
      <c r="D601" s="195" t="e">
        <f>+B601+C601</f>
        <v>#REF!</v>
      </c>
      <c r="H601" s="72">
        <v>722</v>
      </c>
      <c r="I601" s="80"/>
      <c r="J601" s="74">
        <f>+K564</f>
        <v>0</v>
      </c>
      <c r="K601" s="195">
        <f>+I601+J601</f>
        <v>0</v>
      </c>
      <c r="M601" s="202"/>
      <c r="N601" s="202"/>
      <c r="O601" s="202"/>
    </row>
    <row r="602" spans="1:15" ht="14.25" customHeight="1" thickBot="1">
      <c r="A602" s="72">
        <v>723</v>
      </c>
      <c r="B602" s="80"/>
      <c r="C602" s="74" t="e">
        <f>+D565</f>
        <v>#REF!</v>
      </c>
      <c r="D602" s="195" t="e">
        <f>+B602+C602</f>
        <v>#REF!</v>
      </c>
      <c r="F602" s="193" t="s">
        <v>289</v>
      </c>
      <c r="G602" s="175"/>
      <c r="H602" s="72">
        <v>723</v>
      </c>
      <c r="I602" s="80">
        <f>+O580+O582</f>
        <v>3644600</v>
      </c>
      <c r="J602" s="74">
        <f>+K565</f>
        <v>298751811</v>
      </c>
      <c r="K602" s="195">
        <f>+I602+J602</f>
        <v>302396411</v>
      </c>
      <c r="M602" s="918" t="s">
        <v>2347</v>
      </c>
      <c r="N602" s="608"/>
      <c r="O602" s="608"/>
    </row>
    <row r="603" spans="1:15" ht="15" hidden="1" customHeight="1">
      <c r="A603" s="482"/>
      <c r="B603" s="484"/>
      <c r="C603" s="488"/>
      <c r="D603" s="486"/>
      <c r="F603" s="193"/>
      <c r="G603" s="175"/>
      <c r="H603" s="164" t="s">
        <v>181</v>
      </c>
      <c r="I603" s="484"/>
      <c r="J603" s="485">
        <f>+J566</f>
        <v>0</v>
      </c>
      <c r="K603" s="486">
        <f>+I603+J603</f>
        <v>0</v>
      </c>
      <c r="M603" s="189"/>
      <c r="N603" s="222"/>
      <c r="O603" s="222"/>
    </row>
    <row r="604" spans="1:15" ht="18" customHeight="1" thickBot="1">
      <c r="A604" s="169"/>
      <c r="B604" s="197" t="e">
        <f>SUM(B599:B602)</f>
        <v>#REF!</v>
      </c>
      <c r="C604" s="200" t="e">
        <f>+D567</f>
        <v>#REF!</v>
      </c>
      <c r="D604" s="198" t="e">
        <f>SUM(D599:D602)</f>
        <v>#REF!</v>
      </c>
      <c r="H604" s="169"/>
      <c r="I604" s="470">
        <f>SUM(I599:I602)</f>
        <v>5778600</v>
      </c>
      <c r="J604" s="470">
        <f>SUM(J599:J603)</f>
        <v>328697811</v>
      </c>
      <c r="K604" s="198">
        <f>SUM(K599:K603)</f>
        <v>334476411</v>
      </c>
    </row>
    <row r="605" spans="1:15" ht="16.5">
      <c r="A605" s="49" t="s">
        <v>88</v>
      </c>
      <c r="B605" s="50"/>
      <c r="H605" s="49" t="s">
        <v>88</v>
      </c>
      <c r="I605" s="50"/>
    </row>
    <row r="606" spans="1:15">
      <c r="A606" s="51" t="s">
        <v>89</v>
      </c>
      <c r="H606" s="51" t="s">
        <v>89</v>
      </c>
    </row>
    <row r="607" spans="1:15">
      <c r="A607" s="51" t="s">
        <v>90</v>
      </c>
      <c r="H607" s="51" t="s">
        <v>90</v>
      </c>
    </row>
    <row r="608" spans="1:15">
      <c r="A608" s="51" t="s">
        <v>91</v>
      </c>
      <c r="H608" s="51" t="s">
        <v>91</v>
      </c>
    </row>
    <row r="609" spans="1:17" ht="6.75" customHeight="1">
      <c r="A609" s="50"/>
      <c r="B609" s="50"/>
      <c r="H609" s="50"/>
      <c r="I609" s="50"/>
    </row>
    <row r="610" spans="1:17" ht="14.25" customHeight="1">
      <c r="A610" s="52" t="s">
        <v>318</v>
      </c>
      <c r="G610" s="52"/>
      <c r="H610" s="52" t="s">
        <v>640</v>
      </c>
      <c r="N610" s="52"/>
    </row>
    <row r="611" spans="1:17" ht="15.75">
      <c r="A611" s="53" t="s">
        <v>92</v>
      </c>
      <c r="G611" s="53"/>
      <c r="H611" s="53" t="s">
        <v>2443</v>
      </c>
      <c r="N611" s="53"/>
    </row>
    <row r="612" spans="1:17" ht="16.5">
      <c r="A612" s="894" t="s">
        <v>261</v>
      </c>
      <c r="B612" s="894"/>
      <c r="C612" s="894"/>
      <c r="D612" s="894"/>
      <c r="E612" s="894"/>
      <c r="F612" s="894"/>
      <c r="G612" s="894"/>
      <c r="H612" s="894" t="s">
        <v>228</v>
      </c>
      <c r="I612" s="894"/>
      <c r="J612" s="894"/>
      <c r="K612" s="894"/>
      <c r="L612" s="894"/>
      <c r="M612" s="894"/>
      <c r="N612" s="894"/>
      <c r="O612" s="894"/>
    </row>
    <row r="613" spans="1:17" ht="14.25" customHeight="1" thickBot="1"/>
    <row r="614" spans="1:17">
      <c r="A614" s="895" t="s">
        <v>94</v>
      </c>
      <c r="B614" s="897" t="s">
        <v>95</v>
      </c>
      <c r="C614" s="897" t="s">
        <v>96</v>
      </c>
      <c r="D614" s="897" t="s">
        <v>3</v>
      </c>
      <c r="E614" s="897" t="s">
        <v>97</v>
      </c>
      <c r="F614" s="897" t="s">
        <v>98</v>
      </c>
      <c r="G614" s="500" t="s">
        <v>99</v>
      </c>
      <c r="H614" s="895" t="s">
        <v>94</v>
      </c>
      <c r="I614" s="897" t="s">
        <v>95</v>
      </c>
      <c r="J614" s="897" t="s">
        <v>96</v>
      </c>
      <c r="K614" s="897" t="s">
        <v>3</v>
      </c>
      <c r="L614" s="897" t="s">
        <v>97</v>
      </c>
      <c r="M614" s="897" t="s">
        <v>98</v>
      </c>
      <c r="N614" s="897" t="s">
        <v>99</v>
      </c>
      <c r="O614" s="899"/>
    </row>
    <row r="615" spans="1:17" ht="15.75" thickBot="1">
      <c r="A615" s="896"/>
      <c r="B615" s="898"/>
      <c r="C615" s="898"/>
      <c r="D615" s="898"/>
      <c r="E615" s="898"/>
      <c r="F615" s="898"/>
      <c r="G615" s="240" t="s">
        <v>100</v>
      </c>
      <c r="H615" s="896"/>
      <c r="I615" s="898"/>
      <c r="J615" s="898"/>
      <c r="K615" s="898"/>
      <c r="L615" s="898"/>
      <c r="M615" s="898"/>
      <c r="N615" s="240" t="s">
        <v>100</v>
      </c>
      <c r="O615" s="182" t="s">
        <v>101</v>
      </c>
    </row>
    <row r="616" spans="1:17" ht="14.25" customHeight="1">
      <c r="A616" s="881" t="e">
        <f>+A587+1</f>
        <v>#REF!</v>
      </c>
      <c r="B616" s="875">
        <v>42286</v>
      </c>
      <c r="C616" s="877" t="s">
        <v>267</v>
      </c>
      <c r="D616" s="881" t="s">
        <v>320</v>
      </c>
      <c r="E616" s="881" t="s">
        <v>148</v>
      </c>
      <c r="F616" s="883">
        <v>70000</v>
      </c>
      <c r="G616" s="55">
        <v>719</v>
      </c>
      <c r="H616" s="873" t="s">
        <v>720</v>
      </c>
      <c r="I616" s="875">
        <v>45485</v>
      </c>
      <c r="J616" s="877" t="s">
        <v>815</v>
      </c>
      <c r="K616" s="881" t="s">
        <v>2614</v>
      </c>
      <c r="L616" s="881" t="s">
        <v>214</v>
      </c>
      <c r="M616" s="883">
        <v>680000</v>
      </c>
      <c r="N616" s="55">
        <v>719</v>
      </c>
      <c r="O616" s="258">
        <f>+M616</f>
        <v>680000</v>
      </c>
      <c r="Q616" s="51">
        <f>178500+192500+171500+287000</f>
        <v>829500</v>
      </c>
    </row>
    <row r="617" spans="1:17" ht="12" customHeight="1" thickBot="1">
      <c r="A617" s="882"/>
      <c r="B617" s="934"/>
      <c r="C617" s="878"/>
      <c r="D617" s="882"/>
      <c r="E617" s="882"/>
      <c r="F617" s="884"/>
      <c r="G617" s="56">
        <v>721</v>
      </c>
      <c r="H617" s="882"/>
      <c r="I617" s="876"/>
      <c r="J617" s="878"/>
      <c r="K617" s="882"/>
      <c r="L617" s="882"/>
      <c r="M617" s="884"/>
      <c r="N617" s="56">
        <v>721</v>
      </c>
      <c r="O617" s="352">
        <v>0</v>
      </c>
    </row>
    <row r="618" spans="1:17" ht="13.5" customHeight="1">
      <c r="A618" s="251"/>
      <c r="B618" s="452"/>
      <c r="C618" s="253"/>
      <c r="D618" s="251"/>
      <c r="E618" s="251"/>
      <c r="F618" s="254"/>
      <c r="G618" s="255"/>
      <c r="H618" s="873" t="s">
        <v>721</v>
      </c>
      <c r="I618" s="875">
        <v>45485</v>
      </c>
      <c r="J618" s="877" t="s">
        <v>1079</v>
      </c>
      <c r="K618" s="881" t="s">
        <v>2622</v>
      </c>
      <c r="L618" s="881" t="s">
        <v>148</v>
      </c>
      <c r="M618" s="883">
        <v>729000</v>
      </c>
      <c r="N618" s="55">
        <v>719</v>
      </c>
      <c r="O618" s="258">
        <v>540000</v>
      </c>
    </row>
    <row r="619" spans="1:17" ht="12.75" customHeight="1" thickBot="1">
      <c r="A619" s="251"/>
      <c r="B619" s="452"/>
      <c r="C619" s="253"/>
      <c r="D619" s="251"/>
      <c r="E619" s="251"/>
      <c r="F619" s="254"/>
      <c r="G619" s="255"/>
      <c r="H619" s="882"/>
      <c r="I619" s="876"/>
      <c r="J619" s="878"/>
      <c r="K619" s="882"/>
      <c r="L619" s="882"/>
      <c r="M619" s="884"/>
      <c r="N619" s="56">
        <v>721</v>
      </c>
      <c r="O619" s="352">
        <f>+M618-O618</f>
        <v>189000</v>
      </c>
    </row>
    <row r="620" spans="1:17" ht="13.5" customHeight="1">
      <c r="A620" s="881" t="e">
        <f>+A616+1</f>
        <v>#REF!</v>
      </c>
      <c r="B620" s="875">
        <v>42286</v>
      </c>
      <c r="C620" s="881" t="s">
        <v>28</v>
      </c>
      <c r="D620" s="881" t="s">
        <v>321</v>
      </c>
      <c r="E620" s="881" t="s">
        <v>148</v>
      </c>
      <c r="F620" s="883">
        <v>182000</v>
      </c>
      <c r="G620" s="55">
        <v>719</v>
      </c>
      <c r="H620" s="873" t="s">
        <v>732</v>
      </c>
      <c r="I620" s="875">
        <v>45485</v>
      </c>
      <c r="J620" s="877" t="s">
        <v>1079</v>
      </c>
      <c r="K620" s="881" t="s">
        <v>2623</v>
      </c>
      <c r="L620" s="881" t="s">
        <v>148</v>
      </c>
      <c r="M620" s="883">
        <v>729000</v>
      </c>
      <c r="N620" s="55">
        <v>719</v>
      </c>
      <c r="O620" s="258">
        <v>540000</v>
      </c>
    </row>
    <row r="621" spans="1:17" ht="12.75" customHeight="1" thickBot="1">
      <c r="A621" s="882"/>
      <c r="B621" s="934"/>
      <c r="C621" s="882"/>
      <c r="D621" s="882"/>
      <c r="E621" s="882"/>
      <c r="F621" s="884"/>
      <c r="G621" s="56">
        <v>721</v>
      </c>
      <c r="H621" s="882"/>
      <c r="I621" s="876"/>
      <c r="J621" s="878"/>
      <c r="K621" s="882"/>
      <c r="L621" s="882"/>
      <c r="M621" s="884"/>
      <c r="N621" s="56">
        <v>721</v>
      </c>
      <c r="O621" s="352">
        <f>+M620-O620</f>
        <v>189000</v>
      </c>
    </row>
    <row r="622" spans="1:17" ht="12" customHeight="1">
      <c r="A622" s="251"/>
      <c r="B622" s="452"/>
      <c r="C622" s="251"/>
      <c r="D622" s="251"/>
      <c r="E622" s="251"/>
      <c r="F622" s="254"/>
      <c r="G622" s="255"/>
      <c r="H622" s="873" t="s">
        <v>733</v>
      </c>
      <c r="I622" s="875">
        <v>45485</v>
      </c>
      <c r="J622" s="910" t="s">
        <v>2620</v>
      </c>
      <c r="K622" s="881" t="s">
        <v>2621</v>
      </c>
      <c r="L622" s="881" t="s">
        <v>214</v>
      </c>
      <c r="M622" s="883">
        <v>80000</v>
      </c>
      <c r="N622" s="55">
        <v>719</v>
      </c>
      <c r="O622" s="258">
        <f>+M622</f>
        <v>80000</v>
      </c>
    </row>
    <row r="623" spans="1:17" ht="12" customHeight="1" thickBot="1">
      <c r="A623" s="251"/>
      <c r="B623" s="452"/>
      <c r="C623" s="251"/>
      <c r="D623" s="251"/>
      <c r="E623" s="251"/>
      <c r="F623" s="254"/>
      <c r="G623" s="255"/>
      <c r="H623" s="882"/>
      <c r="I623" s="876"/>
      <c r="J623" s="911"/>
      <c r="K623" s="882"/>
      <c r="L623" s="882"/>
      <c r="M623" s="884"/>
      <c r="N623" s="56">
        <v>721</v>
      </c>
      <c r="O623" s="352">
        <f>+M622-O622</f>
        <v>0</v>
      </c>
    </row>
    <row r="624" spans="1:17" ht="16.5" thickBot="1">
      <c r="A624" s="901" t="s">
        <v>102</v>
      </c>
      <c r="B624" s="902"/>
      <c r="C624" s="902"/>
      <c r="D624" s="902"/>
      <c r="E624" s="903"/>
      <c r="F624" s="81">
        <f>SUM(F616:F623)</f>
        <v>252000</v>
      </c>
      <c r="H624" s="901" t="s">
        <v>102</v>
      </c>
      <c r="I624" s="902"/>
      <c r="J624" s="902"/>
      <c r="K624" s="902"/>
      <c r="L624" s="903"/>
      <c r="M624" s="81">
        <f>SUM(M616:M623)</f>
        <v>2218000</v>
      </c>
    </row>
    <row r="625" spans="1:15" ht="16.5" thickBot="1">
      <c r="A625" s="885" t="s">
        <v>103</v>
      </c>
      <c r="B625" s="886"/>
      <c r="C625" s="886"/>
      <c r="D625" s="886"/>
      <c r="E625" s="887"/>
      <c r="F625" s="69" t="e">
        <f>+F591</f>
        <v>#REF!</v>
      </c>
      <c r="H625" s="885" t="s">
        <v>103</v>
      </c>
      <c r="I625" s="886"/>
      <c r="J625" s="886"/>
      <c r="K625" s="886"/>
      <c r="L625" s="887"/>
      <c r="M625" s="239">
        <f>+M591</f>
        <v>334476411</v>
      </c>
      <c r="N625" s="241" t="s">
        <v>561</v>
      </c>
      <c r="O625" s="242">
        <f>634+69+364+346</f>
        <v>1413</v>
      </c>
    </row>
    <row r="626" spans="1:15" ht="16.5" thickBot="1">
      <c r="A626" s="888" t="s">
        <v>104</v>
      </c>
      <c r="B626" s="889"/>
      <c r="C626" s="889"/>
      <c r="D626" s="889"/>
      <c r="E626" s="890"/>
      <c r="F626" s="183" t="e">
        <f>SUM(F624:F625)</f>
        <v>#REF!</v>
      </c>
      <c r="H626" s="888" t="s">
        <v>104</v>
      </c>
      <c r="I626" s="889"/>
      <c r="J626" s="889"/>
      <c r="K626" s="889"/>
      <c r="L626" s="890"/>
      <c r="M626" s="183">
        <f>SUM(M624:M625)</f>
        <v>336694411</v>
      </c>
    </row>
    <row r="627" spans="1:15" ht="8.25" customHeight="1">
      <c r="A627" s="61"/>
      <c r="B627" s="61"/>
      <c r="C627" s="61"/>
      <c r="D627" s="61"/>
      <c r="E627" s="61"/>
      <c r="H627" s="61"/>
      <c r="I627" s="61"/>
      <c r="J627" s="61"/>
      <c r="K627" s="61"/>
      <c r="L627" s="61"/>
    </row>
    <row r="628" spans="1:15">
      <c r="A628" s="51" t="s">
        <v>323</v>
      </c>
      <c r="H628" s="51" t="s">
        <v>2624</v>
      </c>
    </row>
    <row r="629" spans="1:15" ht="5.25" customHeight="1">
      <c r="F629" s="139"/>
      <c r="M629" s="139"/>
    </row>
    <row r="630" spans="1:15">
      <c r="A630" s="50" t="s">
        <v>105</v>
      </c>
      <c r="D630" s="146"/>
      <c r="F630" s="139"/>
      <c r="H630" s="50" t="s">
        <v>105</v>
      </c>
      <c r="K630" s="146"/>
      <c r="M630" s="139"/>
    </row>
    <row r="631" spans="1:15" ht="9" customHeight="1" thickBot="1"/>
    <row r="632" spans="1:15" ht="17.25" thickBot="1">
      <c r="A632" s="891" t="s">
        <v>106</v>
      </c>
      <c r="B632" s="892"/>
      <c r="C632" s="892"/>
      <c r="D632" s="893"/>
      <c r="F632" s="50" t="s">
        <v>288</v>
      </c>
      <c r="H632" s="891" t="s">
        <v>106</v>
      </c>
      <c r="I632" s="892"/>
      <c r="J632" s="892"/>
      <c r="K632" s="893"/>
      <c r="M632" s="605" t="s">
        <v>288</v>
      </c>
      <c r="N632" s="605"/>
      <c r="O632" s="605"/>
    </row>
    <row r="633" spans="1:15" ht="28.5" customHeight="1" thickBot="1">
      <c r="A633" s="57" t="s">
        <v>100</v>
      </c>
      <c r="B633" s="58" t="s">
        <v>108</v>
      </c>
      <c r="C633" s="59" t="s">
        <v>109</v>
      </c>
      <c r="D633" s="60" t="s">
        <v>110</v>
      </c>
      <c r="H633" s="57" t="s">
        <v>100</v>
      </c>
      <c r="I633" s="58" t="s">
        <v>108</v>
      </c>
      <c r="J633" s="59" t="s">
        <v>109</v>
      </c>
      <c r="K633" s="60" t="s">
        <v>110</v>
      </c>
      <c r="M633" s="202"/>
      <c r="N633" s="202"/>
      <c r="O633" s="202"/>
    </row>
    <row r="634" spans="1:15" ht="12.75" customHeight="1">
      <c r="A634" s="71">
        <v>719</v>
      </c>
      <c r="B634" s="73" t="e">
        <f>+#REF!+#REF!+#REF!+#REF!+#REF!</f>
        <v>#REF!</v>
      </c>
      <c r="C634" s="74" t="e">
        <f>+D599</f>
        <v>#REF!</v>
      </c>
      <c r="D634" s="195" t="e">
        <f>+B634+C634</f>
        <v>#REF!</v>
      </c>
      <c r="H634" s="71">
        <v>719</v>
      </c>
      <c r="I634" s="73">
        <f>+O616+O618+O620+O622</f>
        <v>1840000</v>
      </c>
      <c r="J634" s="74">
        <f>+K599</f>
        <v>27880000</v>
      </c>
      <c r="K634" s="195">
        <f>+I634+J634</f>
        <v>29720000</v>
      </c>
      <c r="M634" s="202"/>
      <c r="N634" s="202"/>
      <c r="O634" s="202"/>
    </row>
    <row r="635" spans="1:15" ht="12.75" customHeight="1">
      <c r="A635" s="72">
        <v>721</v>
      </c>
      <c r="B635" s="80" t="e">
        <f>+#REF!+#REF!+#REF!+#REF!+#REF!</f>
        <v>#REF!</v>
      </c>
      <c r="C635" s="74" t="e">
        <f>+D600</f>
        <v>#REF!</v>
      </c>
      <c r="D635" s="195" t="e">
        <f>+B635+C635</f>
        <v>#REF!</v>
      </c>
      <c r="H635" s="72">
        <v>721</v>
      </c>
      <c r="I635" s="80">
        <f>+O621+O619</f>
        <v>378000</v>
      </c>
      <c r="J635" s="74">
        <f>+K600</f>
        <v>4200000</v>
      </c>
      <c r="K635" s="195">
        <f>+I635+J635</f>
        <v>4578000</v>
      </c>
      <c r="M635" s="202"/>
      <c r="N635" s="202"/>
      <c r="O635" s="202"/>
    </row>
    <row r="636" spans="1:15" ht="12" customHeight="1">
      <c r="A636" s="72">
        <v>722</v>
      </c>
      <c r="B636" s="80"/>
      <c r="C636" s="74" t="e">
        <f>+D601</f>
        <v>#REF!</v>
      </c>
      <c r="D636" s="195" t="e">
        <f>+B636+C636</f>
        <v>#REF!</v>
      </c>
      <c r="H636" s="72">
        <v>722</v>
      </c>
      <c r="I636" s="80"/>
      <c r="J636" s="74">
        <f>+K601</f>
        <v>0</v>
      </c>
      <c r="K636" s="195">
        <f>+I636+J636</f>
        <v>0</v>
      </c>
      <c r="M636" s="202"/>
      <c r="N636" s="202"/>
      <c r="O636" s="202"/>
    </row>
    <row r="637" spans="1:15" ht="13.5" customHeight="1">
      <c r="A637" s="72">
        <v>723</v>
      </c>
      <c r="B637" s="80"/>
      <c r="C637" s="74" t="e">
        <f>+D602</f>
        <v>#REF!</v>
      </c>
      <c r="D637" s="195" t="e">
        <f>+B637+C637</f>
        <v>#REF!</v>
      </c>
      <c r="F637" s="193" t="s">
        <v>289</v>
      </c>
      <c r="G637" s="175"/>
      <c r="H637" s="72">
        <v>723</v>
      </c>
      <c r="I637" s="80"/>
      <c r="J637" s="74">
        <f>+K602</f>
        <v>302396411</v>
      </c>
      <c r="K637" s="195">
        <f>+I637+J637</f>
        <v>302396411</v>
      </c>
      <c r="M637" s="918" t="s">
        <v>2347</v>
      </c>
      <c r="N637" s="608"/>
      <c r="O637" s="608"/>
    </row>
    <row r="638" spans="1:15" ht="12.75" customHeight="1" thickBot="1">
      <c r="A638" s="482"/>
      <c r="B638" s="483"/>
      <c r="C638" s="199"/>
      <c r="D638" s="196"/>
      <c r="F638" s="193"/>
      <c r="G638" s="175"/>
      <c r="H638" s="482" t="str">
        <f>+H603</f>
        <v>710-718</v>
      </c>
      <c r="I638" s="484"/>
      <c r="J638" s="485">
        <f>+K603</f>
        <v>0</v>
      </c>
      <c r="K638" s="195">
        <f>+I638+J638</f>
        <v>0</v>
      </c>
      <c r="M638" s="189"/>
      <c r="N638" s="222"/>
      <c r="O638" s="222"/>
    </row>
    <row r="639" spans="1:15" ht="16.5" thickBot="1">
      <c r="A639" s="169"/>
      <c r="B639" s="170" t="e">
        <f>SUM(B634:B637)</f>
        <v>#REF!</v>
      </c>
      <c r="C639" s="171" t="e">
        <f>SUM(C634:C637)</f>
        <v>#REF!</v>
      </c>
      <c r="D639" s="172" t="e">
        <f>SUM(D634:D637)</f>
        <v>#REF!</v>
      </c>
      <c r="H639" s="169"/>
      <c r="I639" s="197">
        <f>SUM(I634:I637)</f>
        <v>2218000</v>
      </c>
      <c r="J639" s="197">
        <f>SUM(J634:J638)</f>
        <v>334476411</v>
      </c>
      <c r="K639" s="198">
        <f>SUM(K634:K638)</f>
        <v>336694411</v>
      </c>
    </row>
    <row r="640" spans="1:15" ht="16.5">
      <c r="A640" s="49" t="s">
        <v>88</v>
      </c>
      <c r="B640" s="50"/>
      <c r="H640" s="49" t="s">
        <v>88</v>
      </c>
      <c r="I640" s="50"/>
    </row>
    <row r="641" spans="1:15" ht="12.75" customHeight="1">
      <c r="A641" s="51" t="s">
        <v>89</v>
      </c>
      <c r="H641" s="51" t="s">
        <v>89</v>
      </c>
    </row>
    <row r="642" spans="1:15" ht="13.5" customHeight="1">
      <c r="A642" s="51" t="s">
        <v>90</v>
      </c>
      <c r="H642" s="51" t="s">
        <v>90</v>
      </c>
    </row>
    <row r="643" spans="1:15" ht="12.75" customHeight="1">
      <c r="A643" s="51" t="s">
        <v>91</v>
      </c>
      <c r="H643" s="51" t="s">
        <v>91</v>
      </c>
    </row>
    <row r="644" spans="1:15" ht="6" customHeight="1">
      <c r="A644" s="50"/>
      <c r="B644" s="50"/>
      <c r="H644" s="50"/>
      <c r="I644" s="50"/>
    </row>
    <row r="645" spans="1:15" ht="13.5" customHeight="1">
      <c r="A645" s="52" t="s">
        <v>344</v>
      </c>
      <c r="G645" s="52"/>
      <c r="H645" s="52" t="s">
        <v>725</v>
      </c>
      <c r="N645" s="52"/>
    </row>
    <row r="646" spans="1:15" ht="14.25" customHeight="1">
      <c r="A646" s="53" t="s">
        <v>92</v>
      </c>
      <c r="G646" s="53"/>
      <c r="H646" s="53" t="s">
        <v>2443</v>
      </c>
      <c r="N646" s="53"/>
    </row>
    <row r="647" spans="1:15" ht="15" customHeight="1">
      <c r="A647" s="894" t="s">
        <v>347</v>
      </c>
      <c r="B647" s="894"/>
      <c r="C647" s="894"/>
      <c r="D647" s="894"/>
      <c r="E647" s="894"/>
      <c r="F647" s="894"/>
      <c r="G647" s="894"/>
      <c r="H647" s="894" t="s">
        <v>2244</v>
      </c>
      <c r="I647" s="894"/>
      <c r="J647" s="894"/>
      <c r="K647" s="894"/>
      <c r="L647" s="894"/>
      <c r="M647" s="894"/>
      <c r="N647" s="894"/>
      <c r="O647" s="894"/>
    </row>
    <row r="648" spans="1:15" ht="6" customHeight="1" thickBot="1"/>
    <row r="649" spans="1:15">
      <c r="A649" s="895" t="s">
        <v>94</v>
      </c>
      <c r="B649" s="897" t="s">
        <v>95</v>
      </c>
      <c r="C649" s="897" t="s">
        <v>96</v>
      </c>
      <c r="D649" s="897" t="s">
        <v>3</v>
      </c>
      <c r="E649" s="897" t="s">
        <v>97</v>
      </c>
      <c r="F649" s="897" t="s">
        <v>98</v>
      </c>
      <c r="G649" s="500" t="s">
        <v>99</v>
      </c>
      <c r="H649" s="895" t="s">
        <v>94</v>
      </c>
      <c r="I649" s="897" t="s">
        <v>95</v>
      </c>
      <c r="J649" s="897" t="s">
        <v>96</v>
      </c>
      <c r="K649" s="897" t="s">
        <v>3</v>
      </c>
      <c r="L649" s="897" t="s">
        <v>97</v>
      </c>
      <c r="M649" s="897" t="s">
        <v>98</v>
      </c>
      <c r="N649" s="897" t="s">
        <v>99</v>
      </c>
      <c r="O649" s="899"/>
    </row>
    <row r="650" spans="1:15" ht="15.75" thickBot="1">
      <c r="A650" s="896"/>
      <c r="B650" s="898"/>
      <c r="C650" s="898"/>
      <c r="D650" s="898"/>
      <c r="E650" s="898"/>
      <c r="F650" s="898"/>
      <c r="G650" s="240" t="s">
        <v>100</v>
      </c>
      <c r="H650" s="896"/>
      <c r="I650" s="898"/>
      <c r="J650" s="898"/>
      <c r="K650" s="898"/>
      <c r="L650" s="898"/>
      <c r="M650" s="898"/>
      <c r="N650" s="240" t="s">
        <v>100</v>
      </c>
      <c r="O650" s="182" t="s">
        <v>101</v>
      </c>
    </row>
    <row r="651" spans="1:15" ht="12.75" customHeight="1">
      <c r="A651" s="881" t="e">
        <f>+#REF!+1</f>
        <v>#REF!</v>
      </c>
      <c r="B651" s="875">
        <v>42293</v>
      </c>
      <c r="C651" s="877" t="s">
        <v>325</v>
      </c>
      <c r="D651" s="877" t="s">
        <v>324</v>
      </c>
      <c r="E651" s="881" t="s">
        <v>145</v>
      </c>
      <c r="F651" s="883">
        <v>20276705</v>
      </c>
      <c r="G651" s="55">
        <v>719</v>
      </c>
      <c r="H651" s="873" t="s">
        <v>734</v>
      </c>
      <c r="I651" s="875">
        <v>45509</v>
      </c>
      <c r="J651" s="877" t="s">
        <v>1079</v>
      </c>
      <c r="K651" s="881" t="s">
        <v>2654</v>
      </c>
      <c r="L651" s="881" t="s">
        <v>148</v>
      </c>
      <c r="M651" s="883">
        <v>675000</v>
      </c>
      <c r="N651" s="55">
        <v>719</v>
      </c>
      <c r="O651" s="258">
        <v>500000</v>
      </c>
    </row>
    <row r="652" spans="1:15" ht="14.25" customHeight="1" thickBot="1">
      <c r="A652" s="882"/>
      <c r="B652" s="876"/>
      <c r="C652" s="878"/>
      <c r="D652" s="878"/>
      <c r="E652" s="882"/>
      <c r="F652" s="884"/>
      <c r="G652" s="56">
        <v>721</v>
      </c>
      <c r="H652" s="882"/>
      <c r="I652" s="876"/>
      <c r="J652" s="878"/>
      <c r="K652" s="882"/>
      <c r="L652" s="882"/>
      <c r="M652" s="884"/>
      <c r="N652" s="56">
        <v>721</v>
      </c>
      <c r="O652" s="79">
        <f>+M651-O651</f>
        <v>175000</v>
      </c>
    </row>
    <row r="653" spans="1:15" ht="14.25" customHeight="1">
      <c r="A653" s="251"/>
      <c r="B653" s="252"/>
      <c r="C653" s="253"/>
      <c r="D653" s="253"/>
      <c r="E653" s="251"/>
      <c r="F653" s="254"/>
      <c r="G653" s="255"/>
      <c r="H653" s="873" t="s">
        <v>735</v>
      </c>
      <c r="I653" s="875">
        <v>45509</v>
      </c>
      <c r="J653" s="877" t="s">
        <v>815</v>
      </c>
      <c r="K653" s="881" t="s">
        <v>2614</v>
      </c>
      <c r="L653" s="881" t="s">
        <v>115</v>
      </c>
      <c r="M653" s="883">
        <v>1134000</v>
      </c>
      <c r="N653" s="55">
        <v>719</v>
      </c>
      <c r="O653" s="258">
        <v>840000</v>
      </c>
    </row>
    <row r="654" spans="1:15" ht="14.25" customHeight="1" thickBot="1">
      <c r="A654" s="251"/>
      <c r="B654" s="252"/>
      <c r="C654" s="253"/>
      <c r="D654" s="253"/>
      <c r="E654" s="251"/>
      <c r="F654" s="254"/>
      <c r="G654" s="255"/>
      <c r="H654" s="882"/>
      <c r="I654" s="876"/>
      <c r="J654" s="878"/>
      <c r="K654" s="882"/>
      <c r="L654" s="882"/>
      <c r="M654" s="884"/>
      <c r="N654" s="56">
        <v>721</v>
      </c>
      <c r="O654" s="79">
        <f>+M653-O653</f>
        <v>294000</v>
      </c>
    </row>
    <row r="655" spans="1:15" ht="12.75" customHeight="1">
      <c r="A655" s="881" t="e">
        <f>+A651+1</f>
        <v>#REF!</v>
      </c>
      <c r="B655" s="875">
        <v>42293</v>
      </c>
      <c r="C655" s="877" t="s">
        <v>345</v>
      </c>
      <c r="D655" s="877" t="s">
        <v>346</v>
      </c>
      <c r="E655" s="881" t="s">
        <v>165</v>
      </c>
      <c r="F655" s="883">
        <v>200000</v>
      </c>
      <c r="G655" s="55">
        <v>719</v>
      </c>
      <c r="H655" s="873" t="s">
        <v>736</v>
      </c>
      <c r="I655" s="875">
        <v>45509</v>
      </c>
      <c r="J655" s="877" t="s">
        <v>815</v>
      </c>
      <c r="K655" s="881" t="s">
        <v>2613</v>
      </c>
      <c r="L655" s="881" t="s">
        <v>115</v>
      </c>
      <c r="M655" s="883">
        <v>945000</v>
      </c>
      <c r="N655" s="55">
        <v>719</v>
      </c>
      <c r="O655" s="258">
        <v>700000</v>
      </c>
    </row>
    <row r="656" spans="1:15" ht="13.5" customHeight="1" thickBot="1">
      <c r="A656" s="882"/>
      <c r="B656" s="876"/>
      <c r="C656" s="878"/>
      <c r="D656" s="878"/>
      <c r="E656" s="882"/>
      <c r="F656" s="884"/>
      <c r="G656" s="56">
        <v>723</v>
      </c>
      <c r="H656" s="882"/>
      <c r="I656" s="876"/>
      <c r="J656" s="878"/>
      <c r="K656" s="882"/>
      <c r="L656" s="882"/>
      <c r="M656" s="884"/>
      <c r="N656" s="56">
        <v>721</v>
      </c>
      <c r="O656" s="79">
        <f>+M655-O655</f>
        <v>245000</v>
      </c>
    </row>
    <row r="657" spans="1:15" ht="12.75" customHeight="1">
      <c r="A657" s="881"/>
      <c r="B657" s="875"/>
      <c r="C657" s="877"/>
      <c r="D657" s="881"/>
      <c r="E657" s="881"/>
      <c r="F657" s="883"/>
      <c r="G657" s="55">
        <v>719</v>
      </c>
      <c r="H657" s="873" t="s">
        <v>737</v>
      </c>
      <c r="I657" s="875">
        <v>45509</v>
      </c>
      <c r="J657" s="877" t="s">
        <v>2408</v>
      </c>
      <c r="K657" s="881" t="s">
        <v>2655</v>
      </c>
      <c r="L657" s="881" t="s">
        <v>115</v>
      </c>
      <c r="M657" s="883">
        <v>634500</v>
      </c>
      <c r="N657" s="55">
        <v>719</v>
      </c>
      <c r="O657" s="258">
        <v>470000</v>
      </c>
    </row>
    <row r="658" spans="1:15" ht="12.75" customHeight="1" thickBot="1">
      <c r="A658" s="882"/>
      <c r="B658" s="876"/>
      <c r="C658" s="878"/>
      <c r="D658" s="882"/>
      <c r="E658" s="882"/>
      <c r="F658" s="884"/>
      <c r="G658" s="56">
        <v>721</v>
      </c>
      <c r="H658" s="882"/>
      <c r="I658" s="876"/>
      <c r="J658" s="878"/>
      <c r="K658" s="882"/>
      <c r="L658" s="882"/>
      <c r="M658" s="884"/>
      <c r="N658" s="56">
        <v>721</v>
      </c>
      <c r="O658" s="79">
        <f>+M657-O657</f>
        <v>164500</v>
      </c>
    </row>
    <row r="659" spans="1:15" ht="12.75" customHeight="1">
      <c r="A659" s="251"/>
      <c r="B659" s="252"/>
      <c r="C659" s="253"/>
      <c r="D659" s="251"/>
      <c r="E659" s="251"/>
      <c r="F659" s="254"/>
      <c r="G659" s="255"/>
      <c r="H659" s="873" t="s">
        <v>744</v>
      </c>
      <c r="I659" s="875">
        <v>45509</v>
      </c>
      <c r="J659" s="877" t="s">
        <v>2408</v>
      </c>
      <c r="K659" s="881" t="s">
        <v>2656</v>
      </c>
      <c r="L659" s="881" t="s">
        <v>115</v>
      </c>
      <c r="M659" s="883">
        <v>769500</v>
      </c>
      <c r="N659" s="55">
        <v>719</v>
      </c>
      <c r="O659" s="258">
        <v>570000</v>
      </c>
    </row>
    <row r="660" spans="1:15" ht="15" customHeight="1" thickBot="1">
      <c r="A660" s="251"/>
      <c r="B660" s="252"/>
      <c r="C660" s="253"/>
      <c r="D660" s="251"/>
      <c r="E660" s="251"/>
      <c r="F660" s="254"/>
      <c r="G660" s="255"/>
      <c r="H660" s="882"/>
      <c r="I660" s="876"/>
      <c r="J660" s="878"/>
      <c r="K660" s="882"/>
      <c r="L660" s="882"/>
      <c r="M660" s="884"/>
      <c r="N660" s="56">
        <v>721</v>
      </c>
      <c r="O660" s="79">
        <f>+M659-O659</f>
        <v>199500</v>
      </c>
    </row>
    <row r="661" spans="1:15" ht="16.5" thickBot="1">
      <c r="A661" s="901" t="s">
        <v>102</v>
      </c>
      <c r="B661" s="902"/>
      <c r="C661" s="902"/>
      <c r="D661" s="902"/>
      <c r="E661" s="903"/>
      <c r="F661" s="81">
        <f>SUM(F651:F660)</f>
        <v>20476705</v>
      </c>
      <c r="H661" s="901" t="s">
        <v>102</v>
      </c>
      <c r="I661" s="902"/>
      <c r="J661" s="902"/>
      <c r="K661" s="902"/>
      <c r="L661" s="903"/>
      <c r="M661" s="81">
        <f>SUM(M651:M660)</f>
        <v>4158000</v>
      </c>
    </row>
    <row r="662" spans="1:15" ht="16.5" thickBot="1">
      <c r="A662" s="885" t="s">
        <v>103</v>
      </c>
      <c r="B662" s="886"/>
      <c r="C662" s="886"/>
      <c r="D662" s="886"/>
      <c r="E662" s="887"/>
      <c r="F662" s="69" t="e">
        <f>+F626</f>
        <v>#REF!</v>
      </c>
      <c r="H662" s="885" t="s">
        <v>103</v>
      </c>
      <c r="I662" s="886"/>
      <c r="J662" s="886"/>
      <c r="K662" s="886"/>
      <c r="L662" s="887"/>
      <c r="M662" s="239">
        <f>+M626</f>
        <v>336694411</v>
      </c>
      <c r="N662" s="241" t="s">
        <v>561</v>
      </c>
      <c r="O662" s="242">
        <f>814+792+1512+2044+381</f>
        <v>5543</v>
      </c>
    </row>
    <row r="663" spans="1:15" ht="16.5" thickBot="1">
      <c r="A663" s="888" t="s">
        <v>104</v>
      </c>
      <c r="B663" s="889"/>
      <c r="C663" s="889"/>
      <c r="D663" s="889"/>
      <c r="E663" s="890"/>
      <c r="F663" s="183" t="e">
        <f>SUM(F661:F662)</f>
        <v>#REF!</v>
      </c>
      <c r="H663" s="888" t="s">
        <v>104</v>
      </c>
      <c r="I663" s="889"/>
      <c r="J663" s="889"/>
      <c r="K663" s="889"/>
      <c r="L663" s="890"/>
      <c r="M663" s="183">
        <f>SUM(M661:M662)</f>
        <v>340852411</v>
      </c>
    </row>
    <row r="664" spans="1:15" ht="7.5" customHeight="1">
      <c r="A664" s="61"/>
      <c r="B664" s="61"/>
      <c r="C664" s="61"/>
      <c r="D664" s="61"/>
      <c r="E664" s="61"/>
      <c r="H664" s="61"/>
      <c r="I664" s="61"/>
      <c r="J664" s="61"/>
      <c r="K664" s="61"/>
      <c r="L664" s="61"/>
    </row>
    <row r="665" spans="1:15">
      <c r="A665" s="51" t="s">
        <v>349</v>
      </c>
      <c r="H665" s="51" t="s">
        <v>2657</v>
      </c>
    </row>
    <row r="666" spans="1:15" ht="5.25" customHeight="1">
      <c r="F666" s="139"/>
      <c r="M666" s="139"/>
    </row>
    <row r="667" spans="1:15">
      <c r="A667" s="50" t="s">
        <v>105</v>
      </c>
      <c r="D667" s="146"/>
      <c r="F667" s="139"/>
      <c r="H667" s="50" t="s">
        <v>105</v>
      </c>
      <c r="K667" s="146"/>
      <c r="M667" s="139"/>
    </row>
    <row r="668" spans="1:15" ht="5.25" customHeight="1" thickBot="1"/>
    <row r="669" spans="1:15" ht="15.75" thickBot="1">
      <c r="A669" s="891" t="s">
        <v>106</v>
      </c>
      <c r="B669" s="892"/>
      <c r="C669" s="892"/>
      <c r="D669" s="893"/>
      <c r="F669" s="50" t="s">
        <v>270</v>
      </c>
      <c r="H669" s="891" t="s">
        <v>106</v>
      </c>
      <c r="I669" s="892"/>
      <c r="J669" s="892"/>
      <c r="K669" s="893"/>
    </row>
    <row r="670" spans="1:15" ht="42.75" customHeight="1" thickBot="1">
      <c r="A670" s="57" t="s">
        <v>100</v>
      </c>
      <c r="B670" s="58" t="s">
        <v>108</v>
      </c>
      <c r="C670" s="59" t="s">
        <v>109</v>
      </c>
      <c r="D670" s="60" t="s">
        <v>110</v>
      </c>
      <c r="H670" s="57" t="s">
        <v>100</v>
      </c>
      <c r="I670" s="58" t="s">
        <v>108</v>
      </c>
      <c r="J670" s="59" t="s">
        <v>109</v>
      </c>
      <c r="K670" s="60" t="s">
        <v>110</v>
      </c>
      <c r="M670" s="605" t="s">
        <v>288</v>
      </c>
      <c r="N670" s="605"/>
      <c r="O670" s="605"/>
    </row>
    <row r="671" spans="1:15" ht="13.5" customHeight="1">
      <c r="A671" s="71">
        <v>719</v>
      </c>
      <c r="B671" s="73" t="e">
        <f>+#REF!+#REF!+#REF!+#REF!+#REF!</f>
        <v>#REF!</v>
      </c>
      <c r="C671" s="74" t="e">
        <f>+D634</f>
        <v>#REF!</v>
      </c>
      <c r="D671" s="195" t="e">
        <f>+B671+C671</f>
        <v>#REF!</v>
      </c>
      <c r="H671" s="71">
        <v>719</v>
      </c>
      <c r="I671" s="73">
        <f>+O651+O653+O655+O657+O659</f>
        <v>3080000</v>
      </c>
      <c r="J671" s="74">
        <f>+K634</f>
        <v>29720000</v>
      </c>
      <c r="K671" s="195">
        <f>+I671+J671</f>
        <v>32800000</v>
      </c>
      <c r="M671" s="202"/>
      <c r="N671" s="202"/>
      <c r="O671" s="202"/>
    </row>
    <row r="672" spans="1:15" ht="12.75" customHeight="1">
      <c r="A672" s="72">
        <v>721</v>
      </c>
      <c r="B672" s="80" t="e">
        <f>+#REF!</f>
        <v>#REF!</v>
      </c>
      <c r="C672" s="74" t="e">
        <f>+D635</f>
        <v>#REF!</v>
      </c>
      <c r="D672" s="195" t="e">
        <f>+B672+C672</f>
        <v>#REF!</v>
      </c>
      <c r="H672" s="72">
        <v>721</v>
      </c>
      <c r="I672" s="80">
        <f>+O652+O654+O656+O658+O660</f>
        <v>1078000</v>
      </c>
      <c r="J672" s="74">
        <f>+K635</f>
        <v>4578000</v>
      </c>
      <c r="K672" s="195">
        <f>+I672+J672</f>
        <v>5656000</v>
      </c>
      <c r="M672" s="202"/>
      <c r="N672" s="202"/>
      <c r="O672" s="202"/>
    </row>
    <row r="673" spans="1:15" ht="11.25" customHeight="1">
      <c r="A673" s="72">
        <v>722</v>
      </c>
      <c r="B673" s="80"/>
      <c r="C673" s="74" t="e">
        <f>+D636</f>
        <v>#REF!</v>
      </c>
      <c r="D673" s="195" t="e">
        <f>+B673+C673</f>
        <v>#REF!</v>
      </c>
      <c r="H673" s="72">
        <v>722</v>
      </c>
      <c r="I673" s="80"/>
      <c r="J673" s="74">
        <f>+K636</f>
        <v>0</v>
      </c>
      <c r="K673" s="195">
        <f>+I673+J673</f>
        <v>0</v>
      </c>
      <c r="M673" s="202"/>
      <c r="N673" s="202"/>
      <c r="O673" s="202"/>
    </row>
    <row r="674" spans="1:15" ht="15" customHeight="1" thickBot="1">
      <c r="A674" s="72">
        <v>723</v>
      </c>
      <c r="B674" s="80" t="e">
        <f>+#REF!</f>
        <v>#REF!</v>
      </c>
      <c r="C674" s="74" t="e">
        <f>+D637</f>
        <v>#REF!</v>
      </c>
      <c r="D674" s="195" t="e">
        <f>+B674+C674</f>
        <v>#REF!</v>
      </c>
      <c r="F674" s="193" t="s">
        <v>348</v>
      </c>
      <c r="G674" s="175"/>
      <c r="H674" s="72">
        <v>723</v>
      </c>
      <c r="I674" s="80"/>
      <c r="J674" s="74">
        <f>+K637</f>
        <v>302396411</v>
      </c>
      <c r="K674" s="195">
        <f>+I674+J674</f>
        <v>302396411</v>
      </c>
      <c r="M674" s="918"/>
      <c r="N674" s="608"/>
      <c r="O674" s="608"/>
    </row>
    <row r="675" spans="1:15" ht="16.5" hidden="1" thickBot="1">
      <c r="A675" s="164" t="s">
        <v>181</v>
      </c>
      <c r="B675" s="165"/>
      <c r="C675" s="74" t="e">
        <f>+#REF!</f>
        <v>#REF!</v>
      </c>
      <c r="D675" s="196" t="e">
        <f>+B675+C675</f>
        <v>#REF!</v>
      </c>
      <c r="F675" s="52"/>
      <c r="H675" s="164" t="s">
        <v>181</v>
      </c>
      <c r="I675" s="165"/>
      <c r="J675" s="74">
        <f>+J638</f>
        <v>0</v>
      </c>
      <c r="K675" s="195">
        <f>+I675+J675</f>
        <v>0</v>
      </c>
      <c r="M675" s="918" t="s">
        <v>2147</v>
      </c>
      <c r="N675" s="608"/>
      <c r="O675" s="608"/>
    </row>
    <row r="676" spans="1:15" ht="16.5" thickBot="1">
      <c r="A676" s="169"/>
      <c r="B676" s="170" t="e">
        <f>SUM(B671:B675)</f>
        <v>#REF!</v>
      </c>
      <c r="C676" s="171" t="e">
        <f>SUM(C671:C675)</f>
        <v>#REF!</v>
      </c>
      <c r="D676" s="172" t="e">
        <f>SUM(D671:D675)</f>
        <v>#REF!</v>
      </c>
      <c r="H676" s="169"/>
      <c r="I676" s="197">
        <f>SUM(I671:I675)</f>
        <v>4158000</v>
      </c>
      <c r="J676" s="197">
        <f>SUM(J671:J675)</f>
        <v>336694411</v>
      </c>
      <c r="K676" s="198">
        <f>SUM(K671:K675)</f>
        <v>340852411</v>
      </c>
    </row>
    <row r="677" spans="1:15" ht="16.5">
      <c r="A677" s="49" t="s">
        <v>88</v>
      </c>
      <c r="B677" s="50"/>
      <c r="H677" s="49" t="s">
        <v>88</v>
      </c>
      <c r="I677" s="50"/>
    </row>
    <row r="678" spans="1:15" ht="13.5" customHeight="1">
      <c r="A678" s="51" t="s">
        <v>89</v>
      </c>
      <c r="H678" s="51" t="s">
        <v>89</v>
      </c>
    </row>
    <row r="679" spans="1:15" ht="13.5" customHeight="1">
      <c r="A679" s="51" t="s">
        <v>90</v>
      </c>
      <c r="H679" s="51" t="s">
        <v>90</v>
      </c>
    </row>
    <row r="680" spans="1:15" ht="14.25" customHeight="1">
      <c r="A680" s="51" t="s">
        <v>91</v>
      </c>
      <c r="H680" s="51" t="s">
        <v>91</v>
      </c>
    </row>
    <row r="681" spans="1:15" ht="7.5" customHeight="1">
      <c r="A681" s="50"/>
      <c r="B681" s="50"/>
      <c r="H681" s="50"/>
      <c r="I681" s="50"/>
    </row>
    <row r="682" spans="1:15" ht="16.5">
      <c r="A682" s="52" t="s">
        <v>351</v>
      </c>
      <c r="G682" s="52"/>
      <c r="H682" s="52" t="s">
        <v>731</v>
      </c>
      <c r="N682" s="52"/>
    </row>
    <row r="683" spans="1:15" ht="15.75">
      <c r="A683" s="53" t="s">
        <v>92</v>
      </c>
      <c r="G683" s="53"/>
      <c r="H683" s="53" t="s">
        <v>2443</v>
      </c>
      <c r="N683" s="53"/>
    </row>
    <row r="684" spans="1:15" ht="15" customHeight="1">
      <c r="A684" s="894" t="s">
        <v>93</v>
      </c>
      <c r="B684" s="894"/>
      <c r="C684" s="894"/>
      <c r="D684" s="894"/>
      <c r="E684" s="894"/>
      <c r="F684" s="894"/>
      <c r="G684" s="894"/>
      <c r="H684" s="933" t="s">
        <v>2253</v>
      </c>
      <c r="I684" s="933"/>
      <c r="J684" s="933"/>
      <c r="K684" s="933"/>
      <c r="L684" s="933"/>
      <c r="M684" s="933"/>
      <c r="N684" s="933"/>
      <c r="O684" s="933"/>
    </row>
    <row r="685" spans="1:15" ht="7.5" customHeight="1" thickBot="1"/>
    <row r="686" spans="1:15">
      <c r="A686" s="895" t="s">
        <v>94</v>
      </c>
      <c r="B686" s="897" t="s">
        <v>95</v>
      </c>
      <c r="C686" s="897" t="s">
        <v>96</v>
      </c>
      <c r="D686" s="897" t="s">
        <v>3</v>
      </c>
      <c r="E686" s="897" t="s">
        <v>97</v>
      </c>
      <c r="F686" s="897" t="s">
        <v>98</v>
      </c>
      <c r="G686" s="500" t="s">
        <v>99</v>
      </c>
      <c r="H686" s="895" t="s">
        <v>94</v>
      </c>
      <c r="I686" s="897" t="s">
        <v>95</v>
      </c>
      <c r="J686" s="897" t="s">
        <v>96</v>
      </c>
      <c r="K686" s="897" t="s">
        <v>3</v>
      </c>
      <c r="L686" s="897" t="s">
        <v>97</v>
      </c>
      <c r="M686" s="897" t="s">
        <v>98</v>
      </c>
      <c r="N686" s="897" t="s">
        <v>99</v>
      </c>
      <c r="O686" s="899"/>
    </row>
    <row r="687" spans="1:15" ht="15.75" thickBot="1">
      <c r="A687" s="896"/>
      <c r="B687" s="898"/>
      <c r="C687" s="898"/>
      <c r="D687" s="898"/>
      <c r="E687" s="898"/>
      <c r="F687" s="898"/>
      <c r="G687" s="240" t="s">
        <v>100</v>
      </c>
      <c r="H687" s="896"/>
      <c r="I687" s="898"/>
      <c r="J687" s="898"/>
      <c r="K687" s="898"/>
      <c r="L687" s="898"/>
      <c r="M687" s="898"/>
      <c r="N687" s="240" t="s">
        <v>100</v>
      </c>
      <c r="O687" s="182" t="s">
        <v>101</v>
      </c>
    </row>
    <row r="688" spans="1:15" ht="14.25" customHeight="1">
      <c r="A688" s="881" t="e">
        <f>+A655+1</f>
        <v>#REF!</v>
      </c>
      <c r="B688" s="875">
        <v>42296</v>
      </c>
      <c r="C688" s="877" t="s">
        <v>267</v>
      </c>
      <c r="D688" s="881" t="s">
        <v>359</v>
      </c>
      <c r="E688" s="881" t="s">
        <v>148</v>
      </c>
      <c r="F688" s="883">
        <v>154000</v>
      </c>
      <c r="G688" s="55">
        <v>719</v>
      </c>
      <c r="H688" s="873" t="s">
        <v>745</v>
      </c>
      <c r="I688" s="875">
        <v>45517</v>
      </c>
      <c r="J688" s="877" t="s">
        <v>1079</v>
      </c>
      <c r="K688" s="881" t="s">
        <v>2658</v>
      </c>
      <c r="L688" s="881" t="s">
        <v>148</v>
      </c>
      <c r="M688" s="883">
        <v>500000</v>
      </c>
      <c r="N688" s="55">
        <v>719</v>
      </c>
      <c r="O688" s="78">
        <v>500000</v>
      </c>
    </row>
    <row r="689" spans="1:16" ht="13.5" customHeight="1" thickBot="1">
      <c r="A689" s="882"/>
      <c r="B689" s="876"/>
      <c r="C689" s="878"/>
      <c r="D689" s="882"/>
      <c r="E689" s="882"/>
      <c r="F689" s="884"/>
      <c r="G689" s="56">
        <v>721</v>
      </c>
      <c r="H689" s="882"/>
      <c r="I689" s="876"/>
      <c r="J689" s="878"/>
      <c r="K689" s="882"/>
      <c r="L689" s="882"/>
      <c r="M689" s="884"/>
      <c r="N689" s="56">
        <v>721</v>
      </c>
      <c r="O689" s="79">
        <f>+M688-O688</f>
        <v>0</v>
      </c>
      <c r="P689" s="139"/>
    </row>
    <row r="690" spans="1:16" ht="12.75" customHeight="1">
      <c r="A690" s="881" t="e">
        <f>+A688+1</f>
        <v>#REF!</v>
      </c>
      <c r="B690" s="875">
        <v>42296</v>
      </c>
      <c r="C690" s="881" t="s">
        <v>28</v>
      </c>
      <c r="D690" s="881" t="s">
        <v>357</v>
      </c>
      <c r="E690" s="881" t="s">
        <v>148</v>
      </c>
      <c r="F690" s="883">
        <v>280000</v>
      </c>
      <c r="G690" s="55">
        <v>719</v>
      </c>
      <c r="H690" s="873" t="s">
        <v>757</v>
      </c>
      <c r="I690" s="875">
        <v>45517</v>
      </c>
      <c r="J690" s="877" t="s">
        <v>1079</v>
      </c>
      <c r="K690" s="881" t="s">
        <v>2659</v>
      </c>
      <c r="L690" s="881" t="s">
        <v>148</v>
      </c>
      <c r="M690" s="883">
        <v>520000</v>
      </c>
      <c r="N690" s="55">
        <v>719</v>
      </c>
      <c r="O690" s="78">
        <v>520000</v>
      </c>
    </row>
    <row r="691" spans="1:16" ht="12.75" customHeight="1" thickBot="1">
      <c r="A691" s="882"/>
      <c r="B691" s="876"/>
      <c r="C691" s="882"/>
      <c r="D691" s="882"/>
      <c r="E691" s="882"/>
      <c r="F691" s="884"/>
      <c r="G691" s="56">
        <v>721</v>
      </c>
      <c r="H691" s="882"/>
      <c r="I691" s="876"/>
      <c r="J691" s="878"/>
      <c r="K691" s="882"/>
      <c r="L691" s="882"/>
      <c r="M691" s="884"/>
      <c r="N691" s="56">
        <v>721</v>
      </c>
      <c r="O691" s="79">
        <f>+M690-O690</f>
        <v>0</v>
      </c>
      <c r="P691" s="139"/>
    </row>
    <row r="692" spans="1:16" ht="12" customHeight="1">
      <c r="A692" s="881" t="e">
        <f>+A690+1</f>
        <v>#REF!</v>
      </c>
      <c r="B692" s="875">
        <v>42296</v>
      </c>
      <c r="C692" s="877" t="s">
        <v>32</v>
      </c>
      <c r="D692" s="881" t="s">
        <v>357</v>
      </c>
      <c r="E692" s="881" t="s">
        <v>148</v>
      </c>
      <c r="F692" s="883">
        <v>98000</v>
      </c>
      <c r="G692" s="55">
        <v>719</v>
      </c>
      <c r="H692" s="873" t="s">
        <v>758</v>
      </c>
      <c r="I692" s="875">
        <v>45517</v>
      </c>
      <c r="J692" s="877" t="s">
        <v>120</v>
      </c>
      <c r="K692" s="881" t="s">
        <v>2660</v>
      </c>
      <c r="L692" s="881" t="s">
        <v>214</v>
      </c>
      <c r="M692" s="883">
        <v>840000</v>
      </c>
      <c r="N692" s="55">
        <v>719</v>
      </c>
      <c r="O692" s="78">
        <v>840000</v>
      </c>
    </row>
    <row r="693" spans="1:16" ht="14.25" customHeight="1" thickBot="1">
      <c r="A693" s="882"/>
      <c r="B693" s="876"/>
      <c r="C693" s="878"/>
      <c r="D693" s="882"/>
      <c r="E693" s="882"/>
      <c r="F693" s="884"/>
      <c r="G693" s="56">
        <v>721</v>
      </c>
      <c r="H693" s="882"/>
      <c r="I693" s="876"/>
      <c r="J693" s="878"/>
      <c r="K693" s="882"/>
      <c r="L693" s="882"/>
      <c r="M693" s="884"/>
      <c r="N693" s="56">
        <v>721</v>
      </c>
      <c r="O693" s="79">
        <f>+M692-O692</f>
        <v>0</v>
      </c>
    </row>
    <row r="694" spans="1:16" ht="14.25" customHeight="1">
      <c r="A694" s="251"/>
      <c r="B694" s="252"/>
      <c r="C694" s="253"/>
      <c r="D694" s="251"/>
      <c r="E694" s="251"/>
      <c r="F694" s="254"/>
      <c r="G694" s="255"/>
      <c r="H694" s="873" t="s">
        <v>759</v>
      </c>
      <c r="I694" s="875">
        <v>45517</v>
      </c>
      <c r="J694" s="877" t="s">
        <v>2662</v>
      </c>
      <c r="K694" s="881" t="s">
        <v>2445</v>
      </c>
      <c r="L694" s="881" t="s">
        <v>1946</v>
      </c>
      <c r="M694" s="883">
        <v>480000</v>
      </c>
      <c r="N694" s="55">
        <v>719</v>
      </c>
      <c r="O694" s="78">
        <v>0</v>
      </c>
    </row>
    <row r="695" spans="1:16" ht="14.25" customHeight="1" thickBot="1">
      <c r="A695" s="251"/>
      <c r="B695" s="252"/>
      <c r="C695" s="253"/>
      <c r="D695" s="251"/>
      <c r="E695" s="251"/>
      <c r="F695" s="254"/>
      <c r="G695" s="255"/>
      <c r="H695" s="882"/>
      <c r="I695" s="876"/>
      <c r="J695" s="878"/>
      <c r="K695" s="882"/>
      <c r="L695" s="882"/>
      <c r="M695" s="884"/>
      <c r="N695" s="56">
        <v>723</v>
      </c>
      <c r="O695" s="79">
        <f>+M694-O694</f>
        <v>480000</v>
      </c>
    </row>
    <row r="696" spans="1:16" ht="11.25" customHeight="1">
      <c r="A696" s="881" t="e">
        <f>+#REF!+1</f>
        <v>#REF!</v>
      </c>
      <c r="B696" s="875">
        <v>42296</v>
      </c>
      <c r="C696" s="877" t="s">
        <v>272</v>
      </c>
      <c r="D696" s="881" t="s">
        <v>357</v>
      </c>
      <c r="E696" s="881" t="s">
        <v>148</v>
      </c>
      <c r="F696" s="883">
        <v>616000</v>
      </c>
      <c r="G696" s="55">
        <v>719</v>
      </c>
      <c r="H696" s="873" t="s">
        <v>764</v>
      </c>
      <c r="I696" s="875">
        <v>45517</v>
      </c>
      <c r="J696" s="877" t="s">
        <v>1538</v>
      </c>
      <c r="K696" s="881" t="s">
        <v>2660</v>
      </c>
      <c r="L696" s="881" t="s">
        <v>148</v>
      </c>
      <c r="M696" s="883">
        <v>1553100</v>
      </c>
      <c r="N696" s="55">
        <v>719</v>
      </c>
      <c r="O696" s="78">
        <v>0</v>
      </c>
    </row>
    <row r="697" spans="1:16" ht="15.75" customHeight="1" thickBot="1">
      <c r="A697" s="882"/>
      <c r="B697" s="876"/>
      <c r="C697" s="878"/>
      <c r="D697" s="882"/>
      <c r="E697" s="882"/>
      <c r="F697" s="884"/>
      <c r="G697" s="56">
        <v>721</v>
      </c>
      <c r="H697" s="882"/>
      <c r="I697" s="876"/>
      <c r="J697" s="878"/>
      <c r="K697" s="882"/>
      <c r="L697" s="882"/>
      <c r="M697" s="884"/>
      <c r="N697" s="56">
        <v>723</v>
      </c>
      <c r="O697" s="79">
        <f>+M696-O696</f>
        <v>1553100</v>
      </c>
    </row>
    <row r="698" spans="1:16" ht="16.5" thickBot="1">
      <c r="A698" s="901" t="s">
        <v>102</v>
      </c>
      <c r="B698" s="902"/>
      <c r="C698" s="902"/>
      <c r="D698" s="902"/>
      <c r="E698" s="903"/>
      <c r="F698" s="81">
        <f>SUM(F688:F697)</f>
        <v>1148000</v>
      </c>
      <c r="H698" s="901" t="s">
        <v>102</v>
      </c>
      <c r="I698" s="902"/>
      <c r="J698" s="902"/>
      <c r="K698" s="902"/>
      <c r="L698" s="903"/>
      <c r="M698" s="81">
        <f>SUM(M688:M697)</f>
        <v>3893100</v>
      </c>
    </row>
    <row r="699" spans="1:16" ht="16.5" thickBot="1">
      <c r="A699" s="885" t="s">
        <v>103</v>
      </c>
      <c r="B699" s="886"/>
      <c r="C699" s="886"/>
      <c r="D699" s="886"/>
      <c r="E699" s="887"/>
      <c r="F699" s="69" t="e">
        <f>+F663</f>
        <v>#REF!</v>
      </c>
      <c r="H699" s="885" t="s">
        <v>103</v>
      </c>
      <c r="I699" s="886"/>
      <c r="J699" s="886"/>
      <c r="K699" s="886"/>
      <c r="L699" s="887"/>
      <c r="M699" s="239">
        <f>+M663</f>
        <v>340852411</v>
      </c>
      <c r="N699" s="241" t="s">
        <v>561</v>
      </c>
      <c r="O699" s="242">
        <f>747+391+385</f>
        <v>1523</v>
      </c>
    </row>
    <row r="700" spans="1:16" ht="16.5" thickBot="1">
      <c r="A700" s="888" t="s">
        <v>104</v>
      </c>
      <c r="B700" s="889"/>
      <c r="C700" s="889"/>
      <c r="D700" s="889"/>
      <c r="E700" s="890"/>
      <c r="F700" s="183" t="e">
        <f>SUM(F698:F699)</f>
        <v>#REF!</v>
      </c>
      <c r="H700" s="888" t="s">
        <v>104</v>
      </c>
      <c r="I700" s="889"/>
      <c r="J700" s="889"/>
      <c r="K700" s="889"/>
      <c r="L700" s="890"/>
      <c r="M700" s="183">
        <f>SUM(M698:M699)</f>
        <v>344745511</v>
      </c>
    </row>
    <row r="701" spans="1:16" ht="8.25" customHeight="1">
      <c r="A701" s="61"/>
      <c r="B701" s="61"/>
      <c r="C701" s="61"/>
      <c r="D701" s="61"/>
      <c r="E701" s="61"/>
      <c r="H701" s="61"/>
      <c r="I701" s="61"/>
      <c r="J701" s="61"/>
      <c r="K701" s="61"/>
      <c r="L701" s="61"/>
    </row>
    <row r="702" spans="1:16">
      <c r="A702" s="51" t="s">
        <v>353</v>
      </c>
      <c r="H702" s="51" t="s">
        <v>2672</v>
      </c>
    </row>
    <row r="703" spans="1:16" ht="6.75" customHeight="1">
      <c r="F703" s="139"/>
      <c r="M703" s="139"/>
    </row>
    <row r="704" spans="1:16">
      <c r="A704" s="50" t="s">
        <v>105</v>
      </c>
      <c r="D704" s="146"/>
      <c r="F704" s="139"/>
      <c r="H704" s="50" t="s">
        <v>105</v>
      </c>
      <c r="K704" s="146"/>
      <c r="M704" s="139"/>
    </row>
    <row r="705" spans="1:20" ht="9" customHeight="1" thickBot="1"/>
    <row r="706" spans="1:20" ht="15.75" customHeight="1" thickBot="1">
      <c r="A706" s="891" t="s">
        <v>106</v>
      </c>
      <c r="B706" s="892"/>
      <c r="C706" s="892"/>
      <c r="D706" s="893"/>
      <c r="F706" s="50" t="s">
        <v>270</v>
      </c>
      <c r="H706" s="891" t="s">
        <v>106</v>
      </c>
      <c r="I706" s="892"/>
      <c r="J706" s="892"/>
      <c r="K706" s="893"/>
      <c r="M706" s="605" t="s">
        <v>288</v>
      </c>
      <c r="N706" s="605"/>
      <c r="O706" s="605"/>
    </row>
    <row r="707" spans="1:20" ht="28.5" customHeight="1" thickBot="1">
      <c r="A707" s="57" t="s">
        <v>100</v>
      </c>
      <c r="B707" s="58" t="s">
        <v>108</v>
      </c>
      <c r="C707" s="59" t="s">
        <v>109</v>
      </c>
      <c r="D707" s="60" t="s">
        <v>110</v>
      </c>
      <c r="H707" s="57" t="s">
        <v>100</v>
      </c>
      <c r="I707" s="58" t="s">
        <v>108</v>
      </c>
      <c r="J707" s="59" t="s">
        <v>109</v>
      </c>
      <c r="K707" s="60" t="s">
        <v>110</v>
      </c>
      <c r="M707" s="202"/>
      <c r="N707" s="202"/>
      <c r="O707" s="202"/>
    </row>
    <row r="708" spans="1:20" ht="14.25" customHeight="1">
      <c r="A708" s="71">
        <v>719</v>
      </c>
      <c r="B708" s="73" t="e">
        <f>+#REF!+#REF!+#REF!+#REF!+#REF!</f>
        <v>#REF!</v>
      </c>
      <c r="C708" s="74" t="e">
        <f>+D671</f>
        <v>#REF!</v>
      </c>
      <c r="D708" s="195" t="e">
        <f>+B708+C708</f>
        <v>#REF!</v>
      </c>
      <c r="H708" s="71">
        <v>719</v>
      </c>
      <c r="I708" s="73">
        <f>+O688+O690+O692</f>
        <v>1860000</v>
      </c>
      <c r="J708" s="74">
        <f>+K671</f>
        <v>32800000</v>
      </c>
      <c r="K708" s="195">
        <f>+I708+J708</f>
        <v>34660000</v>
      </c>
      <c r="M708" s="202"/>
      <c r="N708" s="202"/>
      <c r="O708" s="202"/>
    </row>
    <row r="709" spans="1:20" ht="12.75" customHeight="1">
      <c r="A709" s="72">
        <v>721</v>
      </c>
      <c r="B709" s="80" t="e">
        <f>+#REF!+#REF!+#REF!+#REF!+#REF!</f>
        <v>#REF!</v>
      </c>
      <c r="C709" s="74" t="e">
        <f>+D672</f>
        <v>#REF!</v>
      </c>
      <c r="D709" s="195" t="e">
        <f>+B709+C709</f>
        <v>#REF!</v>
      </c>
      <c r="H709" s="72">
        <v>721</v>
      </c>
      <c r="I709" s="80"/>
      <c r="J709" s="74">
        <f>+K672</f>
        <v>5656000</v>
      </c>
      <c r="K709" s="195">
        <f>+I709+J709</f>
        <v>5656000</v>
      </c>
      <c r="M709" s="918"/>
      <c r="N709" s="608"/>
      <c r="O709" s="608"/>
    </row>
    <row r="710" spans="1:20" ht="12.75" customHeight="1">
      <c r="A710" s="72">
        <v>722</v>
      </c>
      <c r="B710" s="80"/>
      <c r="C710" s="74" t="e">
        <f>+D673</f>
        <v>#REF!</v>
      </c>
      <c r="D710" s="195" t="e">
        <f>+B710+C710</f>
        <v>#REF!</v>
      </c>
      <c r="H710" s="72">
        <v>722</v>
      </c>
      <c r="I710" s="80"/>
      <c r="J710" s="74">
        <f>+K673</f>
        <v>0</v>
      </c>
      <c r="K710" s="195">
        <f>+I710+J710</f>
        <v>0</v>
      </c>
      <c r="M710" s="202"/>
      <c r="N710" s="202"/>
      <c r="O710" s="202"/>
    </row>
    <row r="711" spans="1:20" ht="13.5" customHeight="1" thickBot="1">
      <c r="A711" s="72">
        <v>723</v>
      </c>
      <c r="B711" s="80"/>
      <c r="C711" s="74" t="e">
        <f>+D674</f>
        <v>#REF!</v>
      </c>
      <c r="D711" s="195" t="e">
        <f>+B711+C711</f>
        <v>#REF!</v>
      </c>
      <c r="F711" s="193" t="s">
        <v>348</v>
      </c>
      <c r="G711" s="175"/>
      <c r="H711" s="72">
        <v>723</v>
      </c>
      <c r="I711" s="80">
        <f>+O695+O697</f>
        <v>2033100</v>
      </c>
      <c r="J711" s="74">
        <f>+K674</f>
        <v>302396411</v>
      </c>
      <c r="K711" s="195">
        <f>+I711+J711</f>
        <v>304429511</v>
      </c>
      <c r="M711" s="918"/>
      <c r="N711" s="608"/>
      <c r="O711" s="608"/>
    </row>
    <row r="712" spans="1:20" ht="12.75" hidden="1" customHeight="1">
      <c r="A712" s="164" t="s">
        <v>181</v>
      </c>
      <c r="B712" s="165"/>
      <c r="C712" s="74" t="e">
        <f>+D675</f>
        <v>#REF!</v>
      </c>
      <c r="D712" s="196" t="e">
        <f>+B712+C712</f>
        <v>#REF!</v>
      </c>
      <c r="F712" s="52"/>
      <c r="H712" s="164" t="s">
        <v>181</v>
      </c>
      <c r="I712" s="165"/>
      <c r="J712" s="74">
        <f>+K675</f>
        <v>0</v>
      </c>
      <c r="K712" s="196">
        <f>+I712+J712</f>
        <v>0</v>
      </c>
      <c r="M712" s="52"/>
    </row>
    <row r="713" spans="1:20" ht="16.5" thickBot="1">
      <c r="A713" s="169"/>
      <c r="B713" s="170" t="e">
        <f>SUM(B708:B712)</f>
        <v>#REF!</v>
      </c>
      <c r="C713" s="171" t="e">
        <f>SUM(C708:C712)</f>
        <v>#REF!</v>
      </c>
      <c r="D713" s="172" t="e">
        <f>SUM(D708:D712)</f>
        <v>#REF!</v>
      </c>
      <c r="H713" s="169"/>
      <c r="I713" s="197">
        <f>SUM(I708:I712)</f>
        <v>3893100</v>
      </c>
      <c r="J713" s="197">
        <f>SUM(J708:J712)</f>
        <v>340852411</v>
      </c>
      <c r="K713" s="198">
        <f>SUM(K708:K712)</f>
        <v>344745511</v>
      </c>
    </row>
    <row r="714" spans="1:20" ht="16.5">
      <c r="A714" s="49" t="s">
        <v>88</v>
      </c>
      <c r="B714" s="50"/>
      <c r="H714" s="49" t="s">
        <v>88</v>
      </c>
      <c r="I714" s="50"/>
    </row>
    <row r="715" spans="1:20">
      <c r="A715" s="51" t="s">
        <v>89</v>
      </c>
      <c r="H715" s="51" t="s">
        <v>89</v>
      </c>
    </row>
    <row r="716" spans="1:20">
      <c r="A716" s="51" t="s">
        <v>90</v>
      </c>
      <c r="H716" s="51" t="s">
        <v>90</v>
      </c>
    </row>
    <row r="717" spans="1:20" ht="16.5">
      <c r="A717" s="51" t="s">
        <v>91</v>
      </c>
      <c r="H717" s="51" t="s">
        <v>91</v>
      </c>
      <c r="T717" s="505"/>
    </row>
    <row r="718" spans="1:20" ht="4.5" customHeight="1">
      <c r="A718" s="50"/>
      <c r="B718" s="50"/>
      <c r="H718" s="50"/>
      <c r="I718" s="50"/>
    </row>
    <row r="719" spans="1:20" ht="16.5">
      <c r="A719" s="52" t="s">
        <v>352</v>
      </c>
      <c r="G719" s="52"/>
      <c r="H719" s="260" t="s">
        <v>743</v>
      </c>
      <c r="I719" s="262"/>
      <c r="N719" s="52"/>
    </row>
    <row r="720" spans="1:20" ht="16.5">
      <c r="A720" s="53" t="s">
        <v>92</v>
      </c>
      <c r="G720" s="53"/>
      <c r="H720" s="261" t="s">
        <v>2443</v>
      </c>
      <c r="I720" s="262"/>
      <c r="N720" s="53"/>
      <c r="T720" s="506"/>
    </row>
    <row r="721" spans="1:15" ht="17.25" customHeight="1">
      <c r="A721" s="894" t="s">
        <v>93</v>
      </c>
      <c r="B721" s="894"/>
      <c r="C721" s="894"/>
      <c r="D721" s="894"/>
      <c r="E721" s="894"/>
      <c r="F721" s="894"/>
      <c r="G721" s="894"/>
      <c r="H721" s="894" t="s">
        <v>2429</v>
      </c>
      <c r="I721" s="894"/>
      <c r="J721" s="894"/>
      <c r="K721" s="894"/>
      <c r="L721" s="894"/>
      <c r="M721" s="894"/>
      <c r="N721" s="894"/>
      <c r="O721" s="894"/>
    </row>
    <row r="722" spans="1:15" ht="8.25" customHeight="1" thickBot="1"/>
    <row r="723" spans="1:15">
      <c r="A723" s="895" t="s">
        <v>94</v>
      </c>
      <c r="B723" s="897" t="s">
        <v>95</v>
      </c>
      <c r="C723" s="897" t="s">
        <v>96</v>
      </c>
      <c r="D723" s="897" t="s">
        <v>3</v>
      </c>
      <c r="E723" s="897" t="s">
        <v>97</v>
      </c>
      <c r="F723" s="897" t="s">
        <v>98</v>
      </c>
      <c r="G723" s="500" t="s">
        <v>99</v>
      </c>
      <c r="H723" s="895" t="s">
        <v>94</v>
      </c>
      <c r="I723" s="897" t="s">
        <v>95</v>
      </c>
      <c r="J723" s="897" t="s">
        <v>96</v>
      </c>
      <c r="K723" s="897" t="s">
        <v>3</v>
      </c>
      <c r="L723" s="897" t="s">
        <v>97</v>
      </c>
      <c r="M723" s="897" t="s">
        <v>98</v>
      </c>
      <c r="N723" s="897" t="s">
        <v>99</v>
      </c>
      <c r="O723" s="899"/>
    </row>
    <row r="724" spans="1:15" ht="15.75" thickBot="1">
      <c r="A724" s="896"/>
      <c r="B724" s="898"/>
      <c r="C724" s="898"/>
      <c r="D724" s="898"/>
      <c r="E724" s="898"/>
      <c r="F724" s="898"/>
      <c r="G724" s="240" t="s">
        <v>100</v>
      </c>
      <c r="H724" s="896"/>
      <c r="I724" s="898"/>
      <c r="J724" s="898"/>
      <c r="K724" s="898"/>
      <c r="L724" s="898"/>
      <c r="M724" s="898"/>
      <c r="N724" s="240" t="s">
        <v>100</v>
      </c>
      <c r="O724" s="182" t="s">
        <v>101</v>
      </c>
    </row>
    <row r="725" spans="1:15" ht="14.25" customHeight="1">
      <c r="A725" s="881" t="e">
        <f>+A696+1</f>
        <v>#REF!</v>
      </c>
      <c r="B725" s="875">
        <v>42296</v>
      </c>
      <c r="C725" s="877" t="s">
        <v>272</v>
      </c>
      <c r="D725" s="881" t="s">
        <v>356</v>
      </c>
      <c r="E725" s="881" t="s">
        <v>115</v>
      </c>
      <c r="F725" s="883">
        <v>100000</v>
      </c>
      <c r="G725" s="55">
        <v>719</v>
      </c>
      <c r="H725" s="873" t="s">
        <v>765</v>
      </c>
      <c r="I725" s="875">
        <v>45527</v>
      </c>
      <c r="J725" s="877" t="s">
        <v>1764</v>
      </c>
      <c r="K725" s="881" t="s">
        <v>2366</v>
      </c>
      <c r="L725" s="881" t="s">
        <v>115</v>
      </c>
      <c r="M725" s="883">
        <v>1189600</v>
      </c>
      <c r="N725" s="55">
        <v>719</v>
      </c>
      <c r="O725" s="78">
        <v>0</v>
      </c>
    </row>
    <row r="726" spans="1:15" ht="13.5" customHeight="1" thickBot="1">
      <c r="A726" s="882"/>
      <c r="B726" s="876"/>
      <c r="C726" s="878"/>
      <c r="D726" s="882"/>
      <c r="E726" s="882"/>
      <c r="F726" s="884"/>
      <c r="G726" s="56">
        <v>721</v>
      </c>
      <c r="H726" s="882"/>
      <c r="I726" s="876"/>
      <c r="J726" s="878"/>
      <c r="K726" s="882"/>
      <c r="L726" s="882"/>
      <c r="M726" s="884"/>
      <c r="N726" s="56">
        <v>723</v>
      </c>
      <c r="O726" s="79">
        <f>+M725-O725</f>
        <v>1189600</v>
      </c>
    </row>
    <row r="727" spans="1:15" ht="13.5" customHeight="1">
      <c r="A727" s="881" t="e">
        <f>+A725+1</f>
        <v>#REF!</v>
      </c>
      <c r="B727" s="875">
        <v>42296</v>
      </c>
      <c r="C727" s="881" t="s">
        <v>28</v>
      </c>
      <c r="D727" s="881" t="s">
        <v>355</v>
      </c>
      <c r="E727" s="881" t="s">
        <v>115</v>
      </c>
      <c r="F727" s="883">
        <v>50000</v>
      </c>
      <c r="G727" s="55">
        <v>719</v>
      </c>
      <c r="H727" s="873" t="s">
        <v>766</v>
      </c>
      <c r="I727" s="875">
        <v>45527</v>
      </c>
      <c r="J727" s="877" t="s">
        <v>1764</v>
      </c>
      <c r="K727" s="881" t="s">
        <v>2445</v>
      </c>
      <c r="L727" s="881" t="s">
        <v>115</v>
      </c>
      <c r="M727" s="883">
        <v>2379200</v>
      </c>
      <c r="N727" s="55">
        <v>719</v>
      </c>
      <c r="O727" s="78">
        <v>0</v>
      </c>
    </row>
    <row r="728" spans="1:15" ht="12.75" customHeight="1" thickBot="1">
      <c r="A728" s="882"/>
      <c r="B728" s="876"/>
      <c r="C728" s="882"/>
      <c r="D728" s="882"/>
      <c r="E728" s="882"/>
      <c r="F728" s="884"/>
      <c r="G728" s="56">
        <v>721</v>
      </c>
      <c r="H728" s="882"/>
      <c r="I728" s="876"/>
      <c r="J728" s="878"/>
      <c r="K728" s="882"/>
      <c r="L728" s="882"/>
      <c r="M728" s="884"/>
      <c r="N728" s="56">
        <v>723</v>
      </c>
      <c r="O728" s="79">
        <f>+M727-O727</f>
        <v>2379200</v>
      </c>
    </row>
    <row r="729" spans="1:15" ht="11.25" customHeight="1">
      <c r="A729" s="251"/>
      <c r="B729" s="252"/>
      <c r="C729" s="251"/>
      <c r="D729" s="251"/>
      <c r="E729" s="251"/>
      <c r="F729" s="254"/>
      <c r="G729" s="255"/>
      <c r="H729" s="873" t="s">
        <v>550</v>
      </c>
      <c r="I729" s="875">
        <v>45527</v>
      </c>
      <c r="J729" s="910" t="s">
        <v>1984</v>
      </c>
      <c r="K729" s="881" t="s">
        <v>2667</v>
      </c>
      <c r="L729" s="881" t="s">
        <v>148</v>
      </c>
      <c r="M729" s="883">
        <v>-63000</v>
      </c>
      <c r="N729" s="55">
        <v>719</v>
      </c>
      <c r="O729" s="78">
        <v>0</v>
      </c>
    </row>
    <row r="730" spans="1:15" ht="12.75" customHeight="1" thickBot="1">
      <c r="A730" s="251"/>
      <c r="B730" s="252"/>
      <c r="C730" s="251"/>
      <c r="D730" s="251"/>
      <c r="E730" s="251"/>
      <c r="F730" s="254"/>
      <c r="G730" s="255"/>
      <c r="H730" s="882"/>
      <c r="I730" s="876"/>
      <c r="J730" s="911"/>
      <c r="K730" s="882"/>
      <c r="L730" s="882"/>
      <c r="M730" s="884"/>
      <c r="N730" s="56">
        <v>721</v>
      </c>
      <c r="O730" s="79">
        <f>+M729-O729</f>
        <v>-63000</v>
      </c>
    </row>
    <row r="731" spans="1:15" ht="12.75" customHeight="1">
      <c r="A731" s="251"/>
      <c r="B731" s="252"/>
      <c r="C731" s="251"/>
      <c r="D731" s="251"/>
      <c r="E731" s="251"/>
      <c r="F731" s="254"/>
      <c r="G731" s="255"/>
      <c r="H731" s="873" t="s">
        <v>551</v>
      </c>
      <c r="I731" s="875">
        <v>45527</v>
      </c>
      <c r="J731" s="910" t="s">
        <v>2408</v>
      </c>
      <c r="K731" s="881" t="s">
        <v>2445</v>
      </c>
      <c r="L731" s="881" t="s">
        <v>148</v>
      </c>
      <c r="M731" s="883">
        <v>-168000</v>
      </c>
      <c r="N731" s="55">
        <v>719</v>
      </c>
      <c r="O731" s="78">
        <v>0</v>
      </c>
    </row>
    <row r="732" spans="1:15" ht="12.75" customHeight="1" thickBot="1">
      <c r="A732" s="251"/>
      <c r="B732" s="252"/>
      <c r="C732" s="251"/>
      <c r="D732" s="251"/>
      <c r="E732" s="251"/>
      <c r="F732" s="254"/>
      <c r="G732" s="255"/>
      <c r="H732" s="882"/>
      <c r="I732" s="876"/>
      <c r="J732" s="911"/>
      <c r="K732" s="882"/>
      <c r="L732" s="882"/>
      <c r="M732" s="884"/>
      <c r="N732" s="56">
        <v>721</v>
      </c>
      <c r="O732" s="79">
        <f>+M731-O731</f>
        <v>-168000</v>
      </c>
    </row>
    <row r="733" spans="1:15" ht="15" customHeight="1">
      <c r="A733" s="881" t="e">
        <f>+#REF!+1</f>
        <v>#REF!</v>
      </c>
      <c r="B733" s="875">
        <v>42296</v>
      </c>
      <c r="C733" s="877" t="s">
        <v>272</v>
      </c>
      <c r="D733" s="881" t="s">
        <v>427</v>
      </c>
      <c r="E733" s="881" t="s">
        <v>115</v>
      </c>
      <c r="F733" s="883">
        <v>90000</v>
      </c>
      <c r="G733" s="55">
        <v>719</v>
      </c>
      <c r="H733" s="873" t="s">
        <v>767</v>
      </c>
      <c r="I733" s="875">
        <v>45527</v>
      </c>
      <c r="J733" s="877" t="s">
        <v>120</v>
      </c>
      <c r="K733" s="881" t="s">
        <v>2660</v>
      </c>
      <c r="L733" s="881" t="s">
        <v>115</v>
      </c>
      <c r="M733" s="883">
        <v>1242000</v>
      </c>
      <c r="N733" s="55">
        <v>719</v>
      </c>
      <c r="O733" s="78">
        <v>920000</v>
      </c>
    </row>
    <row r="734" spans="1:15" ht="13.5" customHeight="1" thickBot="1">
      <c r="A734" s="882"/>
      <c r="B734" s="876"/>
      <c r="C734" s="878"/>
      <c r="D734" s="882"/>
      <c r="E734" s="882"/>
      <c r="F734" s="884"/>
      <c r="G734" s="56">
        <v>721</v>
      </c>
      <c r="H734" s="882"/>
      <c r="I734" s="876"/>
      <c r="J734" s="878"/>
      <c r="K734" s="882"/>
      <c r="L734" s="882"/>
      <c r="M734" s="884"/>
      <c r="N734" s="56">
        <v>721</v>
      </c>
      <c r="O734" s="79">
        <f>+M733-O733</f>
        <v>322000</v>
      </c>
    </row>
    <row r="735" spans="1:15" ht="15" customHeight="1" thickBot="1">
      <c r="A735" s="881" t="e">
        <f>+A733+1</f>
        <v>#REF!</v>
      </c>
      <c r="B735" s="875">
        <v>42296</v>
      </c>
      <c r="C735" s="881" t="s">
        <v>28</v>
      </c>
      <c r="D735" s="881" t="s">
        <v>355</v>
      </c>
      <c r="E735" s="881" t="s">
        <v>115</v>
      </c>
      <c r="F735" s="883">
        <v>50000</v>
      </c>
      <c r="G735" s="55">
        <v>719</v>
      </c>
      <c r="H735" s="901" t="s">
        <v>102</v>
      </c>
      <c r="I735" s="902"/>
      <c r="J735" s="902"/>
      <c r="K735" s="902"/>
      <c r="L735" s="903"/>
      <c r="M735" s="81">
        <f>SUM(M725:M734)</f>
        <v>4579800</v>
      </c>
    </row>
    <row r="736" spans="1:15" ht="12.75" customHeight="1" thickBot="1">
      <c r="A736" s="882"/>
      <c r="B736" s="876"/>
      <c r="C736" s="882"/>
      <c r="D736" s="882"/>
      <c r="E736" s="882"/>
      <c r="F736" s="884"/>
      <c r="G736" s="56">
        <v>721</v>
      </c>
      <c r="H736" s="885" t="s">
        <v>103</v>
      </c>
      <c r="I736" s="886"/>
      <c r="J736" s="886"/>
      <c r="K736" s="886"/>
      <c r="L736" s="887"/>
      <c r="M736" s="239">
        <f>+M700</f>
        <v>344745511</v>
      </c>
      <c r="N736" s="241" t="s">
        <v>561</v>
      </c>
      <c r="O736" s="242">
        <v>2338</v>
      </c>
    </row>
    <row r="737" spans="1:15" ht="16.5" thickBot="1">
      <c r="A737" s="901" t="s">
        <v>102</v>
      </c>
      <c r="B737" s="902"/>
      <c r="C737" s="902"/>
      <c r="D737" s="902"/>
      <c r="E737" s="903"/>
      <c r="F737" s="81">
        <f>SUM(F725:F736)</f>
        <v>290000</v>
      </c>
      <c r="H737" s="888" t="s">
        <v>104</v>
      </c>
      <c r="I737" s="889"/>
      <c r="J737" s="889"/>
      <c r="K737" s="889"/>
      <c r="L737" s="890"/>
      <c r="M737" s="183">
        <f>SUM(M735:M736)</f>
        <v>349325311</v>
      </c>
    </row>
    <row r="738" spans="1:15" ht="8.25" customHeight="1" thickBot="1">
      <c r="A738" s="885" t="s">
        <v>103</v>
      </c>
      <c r="B738" s="886"/>
      <c r="C738" s="886"/>
      <c r="D738" s="886"/>
      <c r="E738" s="887"/>
      <c r="F738" s="69" t="e">
        <f>+F700</f>
        <v>#REF!</v>
      </c>
      <c r="H738" s="61"/>
      <c r="I738" s="61"/>
      <c r="J738" s="61"/>
      <c r="K738" s="61"/>
      <c r="L738" s="61"/>
    </row>
    <row r="739" spans="1:15" ht="18" customHeight="1" thickBot="1">
      <c r="A739" s="888" t="s">
        <v>104</v>
      </c>
      <c r="B739" s="889"/>
      <c r="C739" s="889"/>
      <c r="D739" s="889"/>
      <c r="E739" s="890"/>
      <c r="F739" s="183" t="e">
        <f>SUM(F737:F738)</f>
        <v>#REF!</v>
      </c>
      <c r="H739" s="51" t="s">
        <v>2682</v>
      </c>
    </row>
    <row r="740" spans="1:15" ht="6" customHeight="1">
      <c r="A740" s="61"/>
      <c r="B740" s="61"/>
      <c r="C740" s="61"/>
      <c r="D740" s="61"/>
      <c r="E740" s="61"/>
      <c r="M740" s="139"/>
    </row>
    <row r="741" spans="1:15">
      <c r="A741" s="51" t="s">
        <v>428</v>
      </c>
      <c r="H741" s="50" t="s">
        <v>105</v>
      </c>
      <c r="K741" s="146"/>
      <c r="M741" s="139"/>
    </row>
    <row r="742" spans="1:15" ht="6" customHeight="1" thickBot="1">
      <c r="F742" s="139"/>
    </row>
    <row r="743" spans="1:15" ht="17.25" thickBot="1">
      <c r="A743" s="50" t="s">
        <v>105</v>
      </c>
      <c r="D743" s="146"/>
      <c r="F743" s="139"/>
      <c r="H743" s="891" t="s">
        <v>106</v>
      </c>
      <c r="I743" s="892"/>
      <c r="J743" s="892"/>
      <c r="K743" s="893"/>
      <c r="M743" s="605" t="s">
        <v>288</v>
      </c>
      <c r="N743" s="605"/>
      <c r="O743" s="605"/>
    </row>
    <row r="744" spans="1:15" ht="26.25" customHeight="1" thickBot="1">
      <c r="H744" s="57" t="s">
        <v>100</v>
      </c>
      <c r="I744" s="58" t="s">
        <v>108</v>
      </c>
      <c r="J744" s="59" t="s">
        <v>109</v>
      </c>
      <c r="K744" s="60" t="s">
        <v>110</v>
      </c>
      <c r="M744" s="202"/>
      <c r="N744" s="202"/>
      <c r="O744" s="202"/>
    </row>
    <row r="745" spans="1:15" ht="15" customHeight="1" thickBot="1">
      <c r="A745" s="891" t="s">
        <v>106</v>
      </c>
      <c r="B745" s="892"/>
      <c r="C745" s="892"/>
      <c r="D745" s="893"/>
      <c r="F745" s="50" t="s">
        <v>288</v>
      </c>
      <c r="H745" s="71">
        <v>719</v>
      </c>
      <c r="I745" s="73">
        <f>+O733</f>
        <v>920000</v>
      </c>
      <c r="J745" s="74">
        <f>+K708</f>
        <v>34660000</v>
      </c>
      <c r="K745" s="195">
        <f>+I745+J745</f>
        <v>35580000</v>
      </c>
      <c r="M745" s="202"/>
      <c r="N745" s="202"/>
      <c r="O745" s="202"/>
    </row>
    <row r="746" spans="1:15" ht="14.25" customHeight="1" thickBot="1">
      <c r="A746" s="57" t="s">
        <v>100</v>
      </c>
      <c r="B746" s="58" t="s">
        <v>108</v>
      </c>
      <c r="C746" s="59" t="s">
        <v>109</v>
      </c>
      <c r="D746" s="60" t="s">
        <v>110</v>
      </c>
      <c r="H746" s="72">
        <v>721</v>
      </c>
      <c r="I746" s="257">
        <f>+O734+O732+O730</f>
        <v>91000</v>
      </c>
      <c r="J746" s="74">
        <f>+K709</f>
        <v>5656000</v>
      </c>
      <c r="K746" s="195">
        <f>+I746+J746</f>
        <v>5747000</v>
      </c>
      <c r="M746" s="202"/>
      <c r="N746" s="202"/>
      <c r="O746" s="202"/>
    </row>
    <row r="747" spans="1:15" ht="12" customHeight="1">
      <c r="A747" s="71">
        <v>719</v>
      </c>
      <c r="B747" s="73" t="e">
        <f>+#REF!+#REF!+#REF!+#REF!+#REF!+#REF!</f>
        <v>#REF!</v>
      </c>
      <c r="C747" s="74" t="e">
        <f>+D708</f>
        <v>#REF!</v>
      </c>
      <c r="D747" s="195" t="e">
        <f>+B747+C747</f>
        <v>#REF!</v>
      </c>
      <c r="H747" s="72">
        <v>722</v>
      </c>
      <c r="I747" s="257"/>
      <c r="J747" s="74">
        <f>+K710</f>
        <v>0</v>
      </c>
      <c r="K747" s="195">
        <f>+I747+J747</f>
        <v>0</v>
      </c>
      <c r="M747" s="202"/>
      <c r="N747" s="202"/>
      <c r="O747" s="202"/>
    </row>
    <row r="748" spans="1:15" ht="14.25" customHeight="1" thickBot="1">
      <c r="A748" s="72">
        <v>721</v>
      </c>
      <c r="B748" s="80" t="e">
        <f>+#REF!</f>
        <v>#REF!</v>
      </c>
      <c r="C748" s="74" t="e">
        <f>+D709</f>
        <v>#REF!</v>
      </c>
      <c r="D748" s="195" t="e">
        <f>+B748+C748</f>
        <v>#REF!</v>
      </c>
      <c r="H748" s="72">
        <v>723</v>
      </c>
      <c r="I748" s="257">
        <f>+O726+O728</f>
        <v>3568800</v>
      </c>
      <c r="J748" s="74">
        <f>+K711</f>
        <v>304429511</v>
      </c>
      <c r="K748" s="195">
        <f>+I748+J748</f>
        <v>307998311</v>
      </c>
      <c r="M748" s="918"/>
      <c r="N748" s="608"/>
      <c r="O748" s="608"/>
    </row>
    <row r="749" spans="1:15" ht="15" hidden="1" customHeight="1">
      <c r="A749" s="72">
        <v>722</v>
      </c>
      <c r="B749" s="80"/>
      <c r="C749" s="74" t="e">
        <f>+D710</f>
        <v>#REF!</v>
      </c>
      <c r="D749" s="195" t="e">
        <f>+B749+C749</f>
        <v>#REF!</v>
      </c>
      <c r="H749" s="164" t="s">
        <v>181</v>
      </c>
      <c r="I749" s="165"/>
      <c r="J749" s="74">
        <f>+K712</f>
        <v>0</v>
      </c>
      <c r="K749" s="196">
        <f>+I749+J749</f>
        <v>0</v>
      </c>
      <c r="M749" s="52"/>
    </row>
    <row r="750" spans="1:15" ht="16.5" thickBot="1">
      <c r="A750" s="72">
        <v>723</v>
      </c>
      <c r="B750" s="80" t="e">
        <f>+#REF!</f>
        <v>#REF!</v>
      </c>
      <c r="C750" s="74" t="e">
        <f>+D711</f>
        <v>#REF!</v>
      </c>
      <c r="D750" s="195" t="e">
        <f>+B750+C750</f>
        <v>#REF!</v>
      </c>
      <c r="F750" s="193" t="s">
        <v>23</v>
      </c>
      <c r="G750" s="175"/>
      <c r="H750" s="169"/>
      <c r="I750" s="197">
        <f>SUM(I745:I749)</f>
        <v>4579800</v>
      </c>
      <c r="J750" s="197">
        <f>SUM(J745:J749)</f>
        <v>344745511</v>
      </c>
      <c r="K750" s="198">
        <f>SUM(K745:K749)</f>
        <v>349325311</v>
      </c>
    </row>
    <row r="751" spans="1:15" ht="17.25" thickBot="1">
      <c r="A751" s="164" t="s">
        <v>181</v>
      </c>
      <c r="B751" s="165"/>
      <c r="C751" s="74" t="e">
        <f>+D712</f>
        <v>#REF!</v>
      </c>
      <c r="D751" s="196" t="e">
        <f>+B751+C751</f>
        <v>#REF!</v>
      </c>
      <c r="F751" s="52"/>
      <c r="H751" s="49" t="s">
        <v>88</v>
      </c>
      <c r="I751" s="50"/>
    </row>
    <row r="752" spans="1:15" ht="15" customHeight="1" thickBot="1">
      <c r="A752" s="169"/>
      <c r="B752" s="170" t="e">
        <f>SUM(B747:B751)</f>
        <v>#REF!</v>
      </c>
      <c r="C752" s="171" t="e">
        <f>SUM(C747:C751)</f>
        <v>#REF!</v>
      </c>
      <c r="D752" s="172" t="e">
        <f>SUM(D747:D751)</f>
        <v>#REF!</v>
      </c>
      <c r="H752" s="51" t="s">
        <v>89</v>
      </c>
      <c r="K752" s="139"/>
    </row>
    <row r="753" spans="1:15" ht="13.5" customHeight="1">
      <c r="A753" s="49" t="s">
        <v>88</v>
      </c>
      <c r="B753" s="50"/>
      <c r="H753" s="51" t="s">
        <v>90</v>
      </c>
    </row>
    <row r="754" spans="1:15" ht="13.5" customHeight="1">
      <c r="A754" s="51" t="s">
        <v>89</v>
      </c>
      <c r="H754" s="51" t="s">
        <v>91</v>
      </c>
    </row>
    <row r="755" spans="1:15" ht="3" customHeight="1">
      <c r="A755" s="51" t="s">
        <v>90</v>
      </c>
      <c r="H755" s="50"/>
      <c r="I755" s="50"/>
    </row>
    <row r="756" spans="1:15" ht="16.5">
      <c r="A756" s="51" t="s">
        <v>91</v>
      </c>
      <c r="H756" s="260" t="s">
        <v>761</v>
      </c>
      <c r="I756" s="262"/>
      <c r="N756" s="52"/>
    </row>
    <row r="757" spans="1:15" ht="15.75" customHeight="1">
      <c r="A757" s="50"/>
      <c r="B757" s="50"/>
      <c r="H757" s="261" t="s">
        <v>2443</v>
      </c>
      <c r="I757" s="262"/>
      <c r="N757" s="53"/>
    </row>
    <row r="758" spans="1:15" ht="14.25" customHeight="1">
      <c r="A758" s="52" t="s">
        <v>431</v>
      </c>
      <c r="G758" s="52"/>
      <c r="H758" s="894" t="s">
        <v>2688</v>
      </c>
      <c r="I758" s="894"/>
      <c r="J758" s="894"/>
      <c r="K758" s="894"/>
      <c r="L758" s="894"/>
      <c r="M758" s="894"/>
      <c r="N758" s="894"/>
      <c r="O758" s="894"/>
    </row>
    <row r="759" spans="1:15" ht="9.75" customHeight="1" thickBot="1">
      <c r="A759" s="53" t="s">
        <v>92</v>
      </c>
      <c r="G759" s="53"/>
    </row>
    <row r="760" spans="1:15" ht="16.5">
      <c r="A760" s="894" t="s">
        <v>93</v>
      </c>
      <c r="B760" s="894"/>
      <c r="C760" s="894"/>
      <c r="D760" s="894"/>
      <c r="E760" s="894"/>
      <c r="F760" s="894"/>
      <c r="G760" s="894"/>
      <c r="H760" s="895" t="s">
        <v>94</v>
      </c>
      <c r="I760" s="897" t="s">
        <v>95</v>
      </c>
      <c r="J760" s="897" t="s">
        <v>96</v>
      </c>
      <c r="K760" s="897" t="s">
        <v>3</v>
      </c>
      <c r="L760" s="897" t="s">
        <v>97</v>
      </c>
      <c r="M760" s="897" t="s">
        <v>98</v>
      </c>
      <c r="N760" s="897" t="s">
        <v>99</v>
      </c>
      <c r="O760" s="899"/>
    </row>
    <row r="761" spans="1:15" ht="13.5" customHeight="1" thickBot="1">
      <c r="H761" s="896"/>
      <c r="I761" s="898"/>
      <c r="J761" s="898"/>
      <c r="K761" s="898"/>
      <c r="L761" s="898"/>
      <c r="M761" s="898"/>
      <c r="N761" s="240" t="s">
        <v>100</v>
      </c>
      <c r="O761" s="182" t="s">
        <v>101</v>
      </c>
    </row>
    <row r="762" spans="1:15" ht="13.5" customHeight="1">
      <c r="A762" s="895" t="s">
        <v>94</v>
      </c>
      <c r="B762" s="897" t="s">
        <v>95</v>
      </c>
      <c r="C762" s="897" t="s">
        <v>96</v>
      </c>
      <c r="D762" s="897" t="s">
        <v>3</v>
      </c>
      <c r="E762" s="897" t="s">
        <v>97</v>
      </c>
      <c r="F762" s="897" t="s">
        <v>98</v>
      </c>
      <c r="G762" s="500" t="s">
        <v>99</v>
      </c>
      <c r="H762" s="873" t="s">
        <v>768</v>
      </c>
      <c r="I762" s="875">
        <v>45554</v>
      </c>
      <c r="J762" s="877" t="s">
        <v>815</v>
      </c>
      <c r="K762" s="879" t="s">
        <v>2684</v>
      </c>
      <c r="L762" s="881" t="s">
        <v>775</v>
      </c>
      <c r="M762" s="883">
        <v>15118800</v>
      </c>
      <c r="N762" s="55">
        <v>719</v>
      </c>
      <c r="O762" s="78">
        <v>0</v>
      </c>
    </row>
    <row r="763" spans="1:15" ht="13.5" customHeight="1" thickBot="1">
      <c r="A763" s="896"/>
      <c r="B763" s="898"/>
      <c r="C763" s="898"/>
      <c r="D763" s="898"/>
      <c r="E763" s="898"/>
      <c r="F763" s="898"/>
      <c r="G763" s="240" t="s">
        <v>100</v>
      </c>
      <c r="H763" s="882"/>
      <c r="I763" s="876"/>
      <c r="J763" s="878"/>
      <c r="K763" s="880"/>
      <c r="L763" s="882"/>
      <c r="M763" s="884"/>
      <c r="N763" s="56">
        <v>723</v>
      </c>
      <c r="O763" s="79">
        <f>+M762-O762</f>
        <v>15118800</v>
      </c>
    </row>
    <row r="764" spans="1:15" ht="13.5" customHeight="1">
      <c r="A764" s="478"/>
      <c r="B764" s="479"/>
      <c r="C764" s="479"/>
      <c r="D764" s="479"/>
      <c r="E764" s="479"/>
      <c r="F764" s="479"/>
      <c r="G764" s="479"/>
      <c r="H764" s="873" t="s">
        <v>769</v>
      </c>
      <c r="I764" s="875">
        <v>45554</v>
      </c>
      <c r="J764" s="877" t="s">
        <v>2683</v>
      </c>
      <c r="K764" s="881" t="s">
        <v>2445</v>
      </c>
      <c r="L764" s="881" t="s">
        <v>148</v>
      </c>
      <c r="M764" s="883">
        <v>942000</v>
      </c>
      <c r="N764" s="55">
        <v>719</v>
      </c>
      <c r="O764" s="78"/>
    </row>
    <row r="765" spans="1:15" ht="13.5" customHeight="1" thickBot="1">
      <c r="A765" s="478"/>
      <c r="B765" s="479"/>
      <c r="C765" s="479"/>
      <c r="D765" s="479"/>
      <c r="E765" s="479"/>
      <c r="F765" s="479"/>
      <c r="G765" s="479"/>
      <c r="H765" s="882"/>
      <c r="I765" s="876"/>
      <c r="J765" s="878"/>
      <c r="K765" s="882"/>
      <c r="L765" s="882"/>
      <c r="M765" s="884"/>
      <c r="N765" s="56">
        <v>723</v>
      </c>
      <c r="O765" s="79">
        <f>+M764-O764</f>
        <v>942000</v>
      </c>
    </row>
    <row r="766" spans="1:15" ht="12.75" customHeight="1">
      <c r="A766" s="881" t="e">
        <f>+A735+1</f>
        <v>#REF!</v>
      </c>
      <c r="B766" s="875">
        <v>42306</v>
      </c>
      <c r="C766" s="877" t="s">
        <v>267</v>
      </c>
      <c r="D766" s="881" t="s">
        <v>436</v>
      </c>
      <c r="E766" s="881" t="s">
        <v>148</v>
      </c>
      <c r="F766" s="883">
        <v>112000</v>
      </c>
      <c r="G766" s="55">
        <v>719</v>
      </c>
      <c r="H766" s="873" t="s">
        <v>770</v>
      </c>
      <c r="I766" s="875">
        <v>45554</v>
      </c>
      <c r="J766" s="877" t="s">
        <v>889</v>
      </c>
      <c r="K766" s="881" t="s">
        <v>2445</v>
      </c>
      <c r="L766" s="881" t="s">
        <v>145</v>
      </c>
      <c r="M766" s="883">
        <v>1950000</v>
      </c>
      <c r="N766" s="55">
        <v>719</v>
      </c>
      <c r="O766" s="78">
        <v>0</v>
      </c>
    </row>
    <row r="767" spans="1:15" ht="13.5" customHeight="1" thickBot="1">
      <c r="A767" s="882"/>
      <c r="B767" s="876"/>
      <c r="C767" s="878"/>
      <c r="D767" s="882"/>
      <c r="E767" s="882"/>
      <c r="F767" s="884"/>
      <c r="G767" s="56">
        <v>721</v>
      </c>
      <c r="H767" s="882"/>
      <c r="I767" s="876"/>
      <c r="J767" s="878"/>
      <c r="K767" s="882"/>
      <c r="L767" s="882"/>
      <c r="M767" s="884"/>
      <c r="N767" s="56">
        <v>723</v>
      </c>
      <c r="O767" s="79">
        <f>+M766-O766</f>
        <v>1950000</v>
      </c>
    </row>
    <row r="768" spans="1:15" ht="13.5" customHeight="1">
      <c r="A768" s="881" t="e">
        <f>+A766+1</f>
        <v>#REF!</v>
      </c>
      <c r="B768" s="875">
        <v>42306</v>
      </c>
      <c r="C768" s="881" t="s">
        <v>28</v>
      </c>
      <c r="D768" s="881" t="s">
        <v>437</v>
      </c>
      <c r="E768" s="881" t="s">
        <v>148</v>
      </c>
      <c r="F768" s="883">
        <v>210000</v>
      </c>
      <c r="G768" s="55">
        <v>719</v>
      </c>
      <c r="H768" s="873" t="s">
        <v>771</v>
      </c>
      <c r="I768" s="875">
        <v>45554</v>
      </c>
      <c r="J768" s="877" t="s">
        <v>815</v>
      </c>
      <c r="K768" s="881" t="s">
        <v>2685</v>
      </c>
      <c r="L768" s="881" t="s">
        <v>214</v>
      </c>
      <c r="M768" s="883">
        <v>760000</v>
      </c>
      <c r="N768" s="55">
        <v>719</v>
      </c>
      <c r="O768" s="78">
        <v>760000</v>
      </c>
    </row>
    <row r="769" spans="1:15" ht="13.5" customHeight="1" thickBot="1">
      <c r="A769" s="882"/>
      <c r="B769" s="876"/>
      <c r="C769" s="882"/>
      <c r="D769" s="882"/>
      <c r="E769" s="882"/>
      <c r="F769" s="884"/>
      <c r="G769" s="56">
        <v>721</v>
      </c>
      <c r="H769" s="882"/>
      <c r="I769" s="876"/>
      <c r="J769" s="878"/>
      <c r="K769" s="882"/>
      <c r="L769" s="882"/>
      <c r="M769" s="884"/>
      <c r="N769" s="56">
        <v>721</v>
      </c>
      <c r="O769" s="79">
        <f>+M768-O768</f>
        <v>0</v>
      </c>
    </row>
    <row r="770" spans="1:15" ht="15" customHeight="1">
      <c r="A770" s="881" t="e">
        <f>+#REF!+1</f>
        <v>#REF!</v>
      </c>
      <c r="B770" s="875">
        <v>42306</v>
      </c>
      <c r="C770" s="877" t="s">
        <v>111</v>
      </c>
      <c r="D770" s="881" t="s">
        <v>439</v>
      </c>
      <c r="E770" s="881" t="s">
        <v>148</v>
      </c>
      <c r="F770" s="883">
        <v>56000</v>
      </c>
      <c r="G770" s="55">
        <v>719</v>
      </c>
      <c r="H770" s="873" t="s">
        <v>772</v>
      </c>
      <c r="I770" s="875">
        <v>45540</v>
      </c>
      <c r="J770" s="877" t="s">
        <v>1781</v>
      </c>
      <c r="K770" s="881" t="s">
        <v>2691</v>
      </c>
      <c r="L770" s="881" t="s">
        <v>775</v>
      </c>
      <c r="M770" s="883">
        <v>2519800</v>
      </c>
      <c r="N770" s="55">
        <v>719</v>
      </c>
      <c r="O770" s="78">
        <v>0</v>
      </c>
    </row>
    <row r="771" spans="1:15" ht="13.5" customHeight="1" thickBot="1">
      <c r="A771" s="882"/>
      <c r="B771" s="876"/>
      <c r="C771" s="878"/>
      <c r="D771" s="882"/>
      <c r="E771" s="882"/>
      <c r="F771" s="884"/>
      <c r="G771" s="56">
        <v>721</v>
      </c>
      <c r="H771" s="882"/>
      <c r="I771" s="876"/>
      <c r="J771" s="878"/>
      <c r="K771" s="882"/>
      <c r="L771" s="882"/>
      <c r="M771" s="884"/>
      <c r="N771" s="56">
        <v>723</v>
      </c>
      <c r="O771" s="352">
        <f>+M770-O770</f>
        <v>2519800</v>
      </c>
    </row>
    <row r="772" spans="1:15" ht="15" customHeight="1" thickBot="1">
      <c r="A772" s="881" t="e">
        <f>+A770+1</f>
        <v>#REF!</v>
      </c>
      <c r="B772" s="875">
        <v>42306</v>
      </c>
      <c r="C772" s="877" t="s">
        <v>272</v>
      </c>
      <c r="D772" s="881" t="s">
        <v>437</v>
      </c>
      <c r="E772" s="881" t="s">
        <v>115</v>
      </c>
      <c r="F772" s="931">
        <v>714000</v>
      </c>
      <c r="G772" s="55">
        <v>719</v>
      </c>
      <c r="H772" s="901" t="s">
        <v>102</v>
      </c>
      <c r="I772" s="902"/>
      <c r="J772" s="902"/>
      <c r="K772" s="902"/>
      <c r="L772" s="903"/>
      <c r="M772" s="81">
        <f>SUM(M762:M771)</f>
        <v>21290600</v>
      </c>
    </row>
    <row r="773" spans="1:15" ht="15.75" customHeight="1" thickBot="1">
      <c r="A773" s="882"/>
      <c r="B773" s="876"/>
      <c r="C773" s="878"/>
      <c r="D773" s="882"/>
      <c r="E773" s="882"/>
      <c r="F773" s="932"/>
      <c r="G773" s="56">
        <v>721</v>
      </c>
      <c r="H773" s="885" t="s">
        <v>103</v>
      </c>
      <c r="I773" s="886"/>
      <c r="J773" s="886"/>
      <c r="K773" s="886"/>
      <c r="L773" s="887"/>
      <c r="M773" s="239">
        <f>+M737</f>
        <v>349325311</v>
      </c>
      <c r="N773" s="241" t="s">
        <v>561</v>
      </c>
      <c r="O773" s="242">
        <v>963</v>
      </c>
    </row>
    <row r="774" spans="1:15" ht="16.5" thickBot="1">
      <c r="A774" s="901" t="s">
        <v>102</v>
      </c>
      <c r="B774" s="902"/>
      <c r="C774" s="902"/>
      <c r="D774" s="902"/>
      <c r="E774" s="903"/>
      <c r="F774" s="81">
        <f>SUM(F766:F773)</f>
        <v>1092000</v>
      </c>
      <c r="H774" s="888" t="s">
        <v>104</v>
      </c>
      <c r="I774" s="889"/>
      <c r="J774" s="889"/>
      <c r="K774" s="889"/>
      <c r="L774" s="890"/>
      <c r="M774" s="183">
        <f>SUM(M772:M773)</f>
        <v>370615911</v>
      </c>
    </row>
    <row r="775" spans="1:15" ht="8.25" customHeight="1" thickBot="1">
      <c r="A775" s="885" t="s">
        <v>103</v>
      </c>
      <c r="B775" s="886"/>
      <c r="C775" s="886"/>
      <c r="D775" s="886"/>
      <c r="E775" s="887"/>
      <c r="F775" s="69" t="e">
        <f>+F739</f>
        <v>#REF!</v>
      </c>
      <c r="H775" s="61"/>
      <c r="I775" s="61"/>
      <c r="J775" s="61"/>
      <c r="K775" s="61"/>
      <c r="L775" s="61"/>
    </row>
    <row r="776" spans="1:15" ht="16.5" thickBot="1">
      <c r="A776" s="888" t="s">
        <v>104</v>
      </c>
      <c r="B776" s="889"/>
      <c r="C776" s="889"/>
      <c r="D776" s="889"/>
      <c r="E776" s="890"/>
      <c r="F776" s="183" t="e">
        <f>SUM(F774:F775)</f>
        <v>#REF!</v>
      </c>
      <c r="H776" s="51" t="s">
        <v>2697</v>
      </c>
    </row>
    <row r="777" spans="1:15" ht="6.75" customHeight="1">
      <c r="A777" s="61"/>
      <c r="B777" s="61"/>
      <c r="C777" s="61"/>
      <c r="D777" s="61"/>
      <c r="E777" s="61"/>
      <c r="M777" s="139"/>
    </row>
    <row r="778" spans="1:15">
      <c r="A778" s="51" t="s">
        <v>440</v>
      </c>
      <c r="H778" s="50" t="s">
        <v>105</v>
      </c>
      <c r="K778" s="146"/>
      <c r="M778" s="139"/>
    </row>
    <row r="779" spans="1:15" ht="6.75" customHeight="1" thickBot="1">
      <c r="F779" s="139"/>
    </row>
    <row r="780" spans="1:15" ht="17.25" thickBot="1">
      <c r="A780" s="50" t="s">
        <v>105</v>
      </c>
      <c r="D780" s="146"/>
      <c r="F780" s="139"/>
      <c r="H780" s="891" t="s">
        <v>106</v>
      </c>
      <c r="I780" s="892"/>
      <c r="J780" s="892"/>
      <c r="K780" s="893"/>
      <c r="M780" s="605" t="s">
        <v>288</v>
      </c>
      <c r="N780" s="605"/>
      <c r="O780" s="605"/>
    </row>
    <row r="781" spans="1:15" ht="29.25" customHeight="1" thickBot="1">
      <c r="H781" s="57" t="s">
        <v>100</v>
      </c>
      <c r="I781" s="58" t="s">
        <v>108</v>
      </c>
      <c r="J781" s="263" t="s">
        <v>109</v>
      </c>
      <c r="K781" s="60" t="s">
        <v>110</v>
      </c>
      <c r="M781" s="202"/>
      <c r="N781" s="202"/>
      <c r="O781" s="202"/>
    </row>
    <row r="782" spans="1:15" ht="13.5" customHeight="1" thickBot="1">
      <c r="A782" s="891" t="s">
        <v>106</v>
      </c>
      <c r="B782" s="892"/>
      <c r="C782" s="892"/>
      <c r="D782" s="893"/>
      <c r="F782" s="50" t="s">
        <v>288</v>
      </c>
      <c r="H782" s="71">
        <v>719</v>
      </c>
      <c r="I782" s="73">
        <f>+O768</f>
        <v>760000</v>
      </c>
      <c r="J782" s="74">
        <f>+K745</f>
        <v>35580000</v>
      </c>
      <c r="K782" s="195">
        <f>+I782+J782</f>
        <v>36340000</v>
      </c>
      <c r="M782" s="202"/>
      <c r="N782" s="202"/>
      <c r="O782" s="202"/>
    </row>
    <row r="783" spans="1:15" ht="13.5" customHeight="1" thickBot="1">
      <c r="A783" s="57" t="s">
        <v>100</v>
      </c>
      <c r="B783" s="58" t="s">
        <v>108</v>
      </c>
      <c r="C783" s="59" t="s">
        <v>109</v>
      </c>
      <c r="D783" s="60" t="s">
        <v>110</v>
      </c>
      <c r="H783" s="72">
        <v>721</v>
      </c>
      <c r="I783" s="257"/>
      <c r="J783" s="74">
        <f>+K746</f>
        <v>5747000</v>
      </c>
      <c r="K783" s="195">
        <f>+I783+J783</f>
        <v>5747000</v>
      </c>
      <c r="M783" s="202"/>
      <c r="N783" s="202"/>
      <c r="O783" s="202"/>
    </row>
    <row r="784" spans="1:15" ht="12" customHeight="1">
      <c r="A784" s="71">
        <v>719</v>
      </c>
      <c r="B784" s="73" t="e">
        <f>+#REF!+#REF!+#REF!+#REF!+#REF!</f>
        <v>#REF!</v>
      </c>
      <c r="C784" s="74" t="e">
        <f>+D747</f>
        <v>#REF!</v>
      </c>
      <c r="D784" s="195" t="e">
        <f>+B784+C784</f>
        <v>#REF!</v>
      </c>
      <c r="H784" s="72">
        <v>722</v>
      </c>
      <c r="I784" s="257"/>
      <c r="J784" s="74">
        <f>+K747</f>
        <v>0</v>
      </c>
      <c r="K784" s="195">
        <f>+I784+J784</f>
        <v>0</v>
      </c>
      <c r="M784" s="202"/>
      <c r="N784" s="202"/>
      <c r="O784" s="202"/>
    </row>
    <row r="785" spans="1:15" ht="12.75" customHeight="1" thickBot="1">
      <c r="A785" s="72">
        <v>721</v>
      </c>
      <c r="B785" s="80" t="e">
        <f>+#REF!+#REF!+#REF!+#REF!+#REF!</f>
        <v>#REF!</v>
      </c>
      <c r="C785" s="74" t="e">
        <f>+D748</f>
        <v>#REF!</v>
      </c>
      <c r="D785" s="195" t="e">
        <f>+B785+C785</f>
        <v>#REF!</v>
      </c>
      <c r="H785" s="72">
        <v>723</v>
      </c>
      <c r="I785" s="257">
        <f>+O763+O765+O767+O771</f>
        <v>20530600</v>
      </c>
      <c r="J785" s="74">
        <f>+K748</f>
        <v>307998311</v>
      </c>
      <c r="K785" s="195">
        <f>+I785+J785</f>
        <v>328528911</v>
      </c>
      <c r="M785" s="918"/>
      <c r="N785" s="608"/>
      <c r="O785" s="608"/>
    </row>
    <row r="786" spans="1:15" ht="12.75" hidden="1" customHeight="1">
      <c r="A786" s="72">
        <v>722</v>
      </c>
      <c r="B786" s="80"/>
      <c r="C786" s="74" t="e">
        <f>+D749</f>
        <v>#REF!</v>
      </c>
      <c r="D786" s="195" t="e">
        <f>+B786+C786</f>
        <v>#REF!</v>
      </c>
      <c r="H786" s="164" t="s">
        <v>181</v>
      </c>
      <c r="I786" s="165"/>
      <c r="J786" s="74">
        <f>+K749</f>
        <v>0</v>
      </c>
      <c r="K786" s="196">
        <f>+I786+J786</f>
        <v>0</v>
      </c>
      <c r="M786" s="52"/>
    </row>
    <row r="787" spans="1:15" ht="16.5" thickBot="1">
      <c r="A787" s="72">
        <v>723</v>
      </c>
      <c r="B787" s="80"/>
      <c r="C787" s="74" t="e">
        <f>+D750</f>
        <v>#REF!</v>
      </c>
      <c r="D787" s="195" t="e">
        <f>+B787+C787</f>
        <v>#REF!</v>
      </c>
      <c r="F787" s="174" t="s">
        <v>23</v>
      </c>
      <c r="G787" s="175"/>
      <c r="H787" s="169"/>
      <c r="I787" s="197">
        <f>SUM(I782:I786)</f>
        <v>21290600</v>
      </c>
      <c r="J787" s="197">
        <f>SUM(J782:J786)</f>
        <v>349325311</v>
      </c>
      <c r="K787" s="198">
        <f>SUM(K782:K786)</f>
        <v>370615911</v>
      </c>
    </row>
    <row r="788" spans="1:15" ht="17.25" thickBot="1">
      <c r="A788" s="164" t="s">
        <v>181</v>
      </c>
      <c r="B788" s="165"/>
      <c r="C788" s="74" t="e">
        <f>+D751</f>
        <v>#REF!</v>
      </c>
      <c r="D788" s="196" t="e">
        <f>+B788+C788</f>
        <v>#REF!</v>
      </c>
      <c r="F788" s="52"/>
      <c r="H788" s="49" t="s">
        <v>88</v>
      </c>
      <c r="I788" s="50"/>
    </row>
    <row r="789" spans="1:15" ht="16.5" thickBot="1">
      <c r="A789" s="169"/>
      <c r="B789" s="170" t="e">
        <f>SUM(B784:B788)</f>
        <v>#REF!</v>
      </c>
      <c r="C789" s="171" t="e">
        <f>SUM(C784:C788)</f>
        <v>#REF!</v>
      </c>
      <c r="D789" s="172" t="e">
        <f>SUM(D784:D788)</f>
        <v>#REF!</v>
      </c>
      <c r="H789" s="51" t="s">
        <v>89</v>
      </c>
    </row>
    <row r="790" spans="1:15" ht="16.5">
      <c r="A790" s="49" t="s">
        <v>88</v>
      </c>
      <c r="B790" s="50"/>
      <c r="H790" s="51" t="s">
        <v>90</v>
      </c>
    </row>
    <row r="791" spans="1:15">
      <c r="A791" s="51" t="s">
        <v>89</v>
      </c>
      <c r="H791" s="51" t="s">
        <v>91</v>
      </c>
    </row>
    <row r="792" spans="1:15" ht="3" customHeight="1">
      <c r="A792" s="51" t="s">
        <v>90</v>
      </c>
      <c r="H792" s="50"/>
      <c r="I792" s="50"/>
    </row>
    <row r="793" spans="1:15" ht="16.5">
      <c r="A793" s="51" t="s">
        <v>91</v>
      </c>
      <c r="H793" s="260" t="s">
        <v>762</v>
      </c>
      <c r="I793" s="262"/>
      <c r="N793" s="52"/>
    </row>
    <row r="794" spans="1:15" ht="15" customHeight="1">
      <c r="A794" s="50"/>
      <c r="B794" s="50"/>
      <c r="H794" s="261" t="s">
        <v>2443</v>
      </c>
      <c r="I794" s="262"/>
      <c r="N794" s="53"/>
    </row>
    <row r="795" spans="1:15" ht="16.5">
      <c r="A795" s="52" t="s">
        <v>432</v>
      </c>
      <c r="G795" s="52"/>
      <c r="H795" s="894" t="s">
        <v>2692</v>
      </c>
      <c r="I795" s="894"/>
      <c r="J795" s="894"/>
      <c r="K795" s="894"/>
      <c r="L795" s="894"/>
      <c r="M795" s="894"/>
      <c r="N795" s="894"/>
      <c r="O795" s="894"/>
    </row>
    <row r="796" spans="1:15" ht="16.5" customHeight="1" thickBot="1">
      <c r="A796" s="53" t="s">
        <v>92</v>
      </c>
      <c r="G796" s="53"/>
    </row>
    <row r="797" spans="1:15" ht="16.5">
      <c r="A797" s="894" t="s">
        <v>93</v>
      </c>
      <c r="B797" s="894"/>
      <c r="C797" s="894"/>
      <c r="D797" s="894"/>
      <c r="E797" s="894"/>
      <c r="F797" s="894"/>
      <c r="G797" s="894"/>
      <c r="H797" s="895" t="s">
        <v>94</v>
      </c>
      <c r="I797" s="897" t="s">
        <v>95</v>
      </c>
      <c r="J797" s="897" t="s">
        <v>96</v>
      </c>
      <c r="K797" s="897" t="s">
        <v>3</v>
      </c>
      <c r="L797" s="897" t="s">
        <v>97</v>
      </c>
      <c r="M797" s="897" t="s">
        <v>98</v>
      </c>
      <c r="N797" s="897" t="s">
        <v>99</v>
      </c>
      <c r="O797" s="899"/>
    </row>
    <row r="798" spans="1:15" ht="13.5" customHeight="1" thickBot="1">
      <c r="H798" s="896"/>
      <c r="I798" s="898"/>
      <c r="J798" s="898"/>
      <c r="K798" s="898"/>
      <c r="L798" s="898"/>
      <c r="M798" s="898"/>
      <c r="N798" s="240" t="s">
        <v>100</v>
      </c>
      <c r="O798" s="182" t="s">
        <v>101</v>
      </c>
    </row>
    <row r="799" spans="1:15" ht="13.5" customHeight="1">
      <c r="A799" s="895" t="s">
        <v>94</v>
      </c>
      <c r="B799" s="897" t="s">
        <v>95</v>
      </c>
      <c r="C799" s="897" t="s">
        <v>96</v>
      </c>
      <c r="D799" s="897" t="s">
        <v>3</v>
      </c>
      <c r="E799" s="897" t="s">
        <v>97</v>
      </c>
      <c r="F799" s="897" t="s">
        <v>98</v>
      </c>
      <c r="G799" s="500" t="s">
        <v>99</v>
      </c>
      <c r="H799" s="873" t="s">
        <v>773</v>
      </c>
      <c r="I799" s="875">
        <v>45540</v>
      </c>
      <c r="J799" s="877" t="s">
        <v>1079</v>
      </c>
      <c r="K799" s="881" t="s">
        <v>2687</v>
      </c>
      <c r="L799" s="881" t="s">
        <v>148</v>
      </c>
      <c r="M799" s="883">
        <v>530000</v>
      </c>
      <c r="N799" s="55">
        <v>719</v>
      </c>
      <c r="O799" s="78">
        <v>530000</v>
      </c>
    </row>
    <row r="800" spans="1:15" ht="14.25" customHeight="1" thickBot="1">
      <c r="A800" s="896"/>
      <c r="B800" s="898"/>
      <c r="C800" s="898"/>
      <c r="D800" s="898"/>
      <c r="E800" s="898"/>
      <c r="F800" s="898"/>
      <c r="G800" s="240" t="s">
        <v>100</v>
      </c>
      <c r="H800" s="882"/>
      <c r="I800" s="876"/>
      <c r="J800" s="878"/>
      <c r="K800" s="882"/>
      <c r="L800" s="882"/>
      <c r="M800" s="884"/>
      <c r="N800" s="56">
        <v>721</v>
      </c>
      <c r="O800" s="352">
        <f>+M799-O799</f>
        <v>0</v>
      </c>
    </row>
    <row r="801" spans="1:15" ht="12.75" customHeight="1">
      <c r="A801" s="881" t="e">
        <f>+A772+1</f>
        <v>#REF!</v>
      </c>
      <c r="B801" s="875">
        <v>42306</v>
      </c>
      <c r="C801" s="877" t="s">
        <v>272</v>
      </c>
      <c r="D801" s="881" t="s">
        <v>433</v>
      </c>
      <c r="E801" s="881" t="s">
        <v>115</v>
      </c>
      <c r="F801" s="883">
        <v>40000</v>
      </c>
      <c r="G801" s="55">
        <v>719</v>
      </c>
      <c r="H801" s="873" t="s">
        <v>774</v>
      </c>
      <c r="I801" s="875">
        <v>45540</v>
      </c>
      <c r="J801" s="877" t="s">
        <v>1984</v>
      </c>
      <c r="K801" s="881" t="s">
        <v>2686</v>
      </c>
      <c r="L801" s="881" t="s">
        <v>775</v>
      </c>
      <c r="M801" s="883">
        <v>742500</v>
      </c>
      <c r="N801" s="55">
        <v>719</v>
      </c>
      <c r="O801" s="78">
        <v>550000</v>
      </c>
    </row>
    <row r="802" spans="1:15" ht="14.25" customHeight="1" thickBot="1">
      <c r="A802" s="882"/>
      <c r="B802" s="876"/>
      <c r="C802" s="878"/>
      <c r="D802" s="882"/>
      <c r="E802" s="882"/>
      <c r="F802" s="884"/>
      <c r="G802" s="56">
        <v>721</v>
      </c>
      <c r="H802" s="882"/>
      <c r="I802" s="876"/>
      <c r="J802" s="878"/>
      <c r="K802" s="882"/>
      <c r="L802" s="882"/>
      <c r="M802" s="884"/>
      <c r="N802" s="56">
        <v>721</v>
      </c>
      <c r="O802" s="352">
        <f>+M801-O801</f>
        <v>192500</v>
      </c>
    </row>
    <row r="803" spans="1:15" ht="14.25" customHeight="1">
      <c r="A803" s="251"/>
      <c r="B803" s="252"/>
      <c r="C803" s="251"/>
      <c r="D803" s="251"/>
      <c r="E803" s="251"/>
      <c r="F803" s="254"/>
      <c r="G803" s="255"/>
      <c r="H803" s="873"/>
      <c r="I803" s="875"/>
      <c r="J803" s="877"/>
      <c r="K803" s="881"/>
      <c r="L803" s="881"/>
      <c r="M803" s="883"/>
      <c r="N803" s="55">
        <v>719</v>
      </c>
      <c r="O803" s="78">
        <v>0</v>
      </c>
    </row>
    <row r="804" spans="1:15" ht="14.25" customHeight="1" thickBot="1">
      <c r="A804" s="251"/>
      <c r="B804" s="252"/>
      <c r="C804" s="251"/>
      <c r="D804" s="251"/>
      <c r="E804" s="251"/>
      <c r="F804" s="254"/>
      <c r="G804" s="255"/>
      <c r="H804" s="874"/>
      <c r="I804" s="876"/>
      <c r="J804" s="878"/>
      <c r="K804" s="882"/>
      <c r="L804" s="882"/>
      <c r="M804" s="884"/>
      <c r="N804" s="56">
        <v>723</v>
      </c>
      <c r="O804" s="352"/>
    </row>
    <row r="805" spans="1:15" ht="12" customHeight="1">
      <c r="A805" s="881"/>
      <c r="B805" s="875"/>
      <c r="C805" s="877"/>
      <c r="D805" s="881"/>
      <c r="E805" s="881"/>
      <c r="F805" s="883"/>
      <c r="G805" s="55">
        <v>719</v>
      </c>
      <c r="H805" s="873"/>
      <c r="I805" s="875"/>
      <c r="J805" s="877"/>
      <c r="K805" s="881"/>
      <c r="L805" s="881"/>
      <c r="M805" s="883"/>
      <c r="N805" s="55">
        <v>719</v>
      </c>
      <c r="O805" s="78">
        <v>0</v>
      </c>
    </row>
    <row r="806" spans="1:15" ht="12.75" customHeight="1" thickBot="1">
      <c r="A806" s="882"/>
      <c r="B806" s="876"/>
      <c r="C806" s="878"/>
      <c r="D806" s="882"/>
      <c r="E806" s="882"/>
      <c r="F806" s="884"/>
      <c r="G806" s="56">
        <v>721</v>
      </c>
      <c r="H806" s="874"/>
      <c r="I806" s="876"/>
      <c r="J806" s="878"/>
      <c r="K806" s="882"/>
      <c r="L806" s="882"/>
      <c r="M806" s="884"/>
      <c r="N806" s="56">
        <v>721</v>
      </c>
      <c r="O806" s="352">
        <f>+M805-O805</f>
        <v>0</v>
      </c>
    </row>
    <row r="807" spans="1:15" ht="15" customHeight="1" thickBot="1">
      <c r="A807" s="881"/>
      <c r="B807" s="875"/>
      <c r="C807" s="881"/>
      <c r="D807" s="881"/>
      <c r="E807" s="881"/>
      <c r="F807" s="883"/>
      <c r="G807" s="55">
        <v>719</v>
      </c>
      <c r="H807" s="901" t="s">
        <v>102</v>
      </c>
      <c r="I807" s="902"/>
      <c r="J807" s="902"/>
      <c r="K807" s="902"/>
      <c r="L807" s="903"/>
      <c r="M807" s="81">
        <f>SUM(M799:M806)</f>
        <v>1272500</v>
      </c>
    </row>
    <row r="808" spans="1:15" ht="15.75" customHeight="1" thickBot="1">
      <c r="A808" s="882"/>
      <c r="B808" s="876"/>
      <c r="C808" s="882"/>
      <c r="D808" s="882"/>
      <c r="E808" s="882"/>
      <c r="F808" s="884"/>
      <c r="G808" s="56">
        <v>721</v>
      </c>
      <c r="H808" s="885" t="s">
        <v>103</v>
      </c>
      <c r="I808" s="886"/>
      <c r="J808" s="886"/>
      <c r="K808" s="886"/>
      <c r="L808" s="887"/>
      <c r="M808" s="239">
        <f>+M774</f>
        <v>370615911</v>
      </c>
      <c r="N808" s="241" t="s">
        <v>561</v>
      </c>
      <c r="O808" s="242">
        <f>352+1162</f>
        <v>1514</v>
      </c>
    </row>
    <row r="809" spans="1:15" ht="16.5" thickBot="1">
      <c r="A809" s="901" t="s">
        <v>102</v>
      </c>
      <c r="B809" s="902"/>
      <c r="C809" s="902"/>
      <c r="D809" s="902"/>
      <c r="E809" s="903"/>
      <c r="F809" s="81">
        <f>SUM(F801:F808)</f>
        <v>40000</v>
      </c>
      <c r="H809" s="888" t="s">
        <v>104</v>
      </c>
      <c r="I809" s="889"/>
      <c r="J809" s="889"/>
      <c r="K809" s="889"/>
      <c r="L809" s="890"/>
      <c r="M809" s="183">
        <f>SUM(M807:M808)</f>
        <v>371888411</v>
      </c>
    </row>
    <row r="810" spans="1:15" ht="8.25" customHeight="1" thickBot="1">
      <c r="A810" s="885" t="s">
        <v>103</v>
      </c>
      <c r="B810" s="886"/>
      <c r="C810" s="886"/>
      <c r="D810" s="886"/>
      <c r="E810" s="887"/>
      <c r="F810" s="69" t="e">
        <f>+F776</f>
        <v>#REF!</v>
      </c>
      <c r="H810" s="61"/>
      <c r="I810" s="61"/>
      <c r="J810" s="61"/>
      <c r="K810" s="61"/>
      <c r="L810" s="61"/>
    </row>
    <row r="811" spans="1:15" ht="16.5" thickBot="1">
      <c r="A811" s="888" t="s">
        <v>104</v>
      </c>
      <c r="B811" s="889"/>
      <c r="C811" s="889"/>
      <c r="D811" s="889"/>
      <c r="E811" s="890"/>
      <c r="F811" s="183" t="e">
        <f>SUM(F809:F810)</f>
        <v>#REF!</v>
      </c>
      <c r="H811" s="51" t="s">
        <v>2694</v>
      </c>
    </row>
    <row r="812" spans="1:15" ht="8.25" customHeight="1">
      <c r="A812" s="61"/>
      <c r="B812" s="61"/>
      <c r="C812" s="61"/>
      <c r="D812" s="61"/>
      <c r="E812" s="61"/>
      <c r="M812" s="139"/>
    </row>
    <row r="813" spans="1:15">
      <c r="A813" s="51" t="s">
        <v>441</v>
      </c>
      <c r="H813" s="50" t="s">
        <v>105</v>
      </c>
      <c r="K813" s="146"/>
      <c r="M813" s="139"/>
    </row>
    <row r="814" spans="1:15" ht="9" customHeight="1" thickBot="1">
      <c r="F814" s="139"/>
    </row>
    <row r="815" spans="1:15" ht="17.25" thickBot="1">
      <c r="A815" s="50" t="s">
        <v>105</v>
      </c>
      <c r="D815" s="146"/>
      <c r="F815" s="139"/>
      <c r="H815" s="891" t="s">
        <v>106</v>
      </c>
      <c r="I815" s="892"/>
      <c r="J815" s="892"/>
      <c r="K815" s="893"/>
      <c r="M815" s="605" t="s">
        <v>288</v>
      </c>
      <c r="N815" s="605"/>
      <c r="O815" s="605"/>
    </row>
    <row r="816" spans="1:15" ht="27" customHeight="1" thickBot="1">
      <c r="H816" s="57" t="s">
        <v>100</v>
      </c>
      <c r="I816" s="58" t="s">
        <v>108</v>
      </c>
      <c r="J816" s="264" t="s">
        <v>109</v>
      </c>
      <c r="K816" s="60" t="s">
        <v>110</v>
      </c>
      <c r="M816" s="202"/>
      <c r="N816" s="202"/>
      <c r="O816" s="202"/>
    </row>
    <row r="817" spans="1:15" ht="13.5" customHeight="1" thickBot="1">
      <c r="A817" s="891" t="s">
        <v>106</v>
      </c>
      <c r="B817" s="892"/>
      <c r="C817" s="892"/>
      <c r="D817" s="893"/>
      <c r="F817" s="50" t="s">
        <v>288</v>
      </c>
      <c r="H817" s="71">
        <v>719</v>
      </c>
      <c r="I817" s="73">
        <f>+O799+O801</f>
        <v>1080000</v>
      </c>
      <c r="J817" s="74">
        <f>+K782</f>
        <v>36340000</v>
      </c>
      <c r="K817" s="195">
        <f>+I817+J817</f>
        <v>37420000</v>
      </c>
      <c r="M817" s="202"/>
      <c r="N817" s="202"/>
      <c r="O817" s="202"/>
    </row>
    <row r="818" spans="1:15" ht="15" customHeight="1" thickBot="1">
      <c r="A818" s="57" t="s">
        <v>100</v>
      </c>
      <c r="B818" s="58" t="s">
        <v>108</v>
      </c>
      <c r="C818" s="59" t="s">
        <v>109</v>
      </c>
      <c r="D818" s="60" t="s">
        <v>110</v>
      </c>
      <c r="H818" s="72">
        <v>721</v>
      </c>
      <c r="I818" s="257">
        <f>+O802</f>
        <v>192500</v>
      </c>
      <c r="J818" s="74">
        <f>+K783</f>
        <v>5747000</v>
      </c>
      <c r="K818" s="195">
        <f>+I818+J818</f>
        <v>5939500</v>
      </c>
      <c r="M818" s="202"/>
      <c r="N818" s="202"/>
      <c r="O818" s="202"/>
    </row>
    <row r="819" spans="1:15" ht="12" customHeight="1">
      <c r="A819" s="71">
        <v>719</v>
      </c>
      <c r="B819" s="73" t="e">
        <f>+#REF!+#REF!+#REF!+#REF!+#REF!</f>
        <v>#REF!</v>
      </c>
      <c r="C819" s="74" t="e">
        <f>+D784</f>
        <v>#REF!</v>
      </c>
      <c r="D819" s="195" t="e">
        <f>+B819+C819</f>
        <v>#REF!</v>
      </c>
      <c r="H819" s="72">
        <v>722</v>
      </c>
      <c r="I819" s="257"/>
      <c r="J819" s="74">
        <f>+K784</f>
        <v>0</v>
      </c>
      <c r="K819" s="195">
        <f>+I819+J819</f>
        <v>0</v>
      </c>
      <c r="M819" s="202"/>
      <c r="N819" s="202"/>
      <c r="O819" s="202"/>
    </row>
    <row r="820" spans="1:15" ht="13.5" customHeight="1" thickBot="1">
      <c r="A820" s="72">
        <v>721</v>
      </c>
      <c r="B820" s="80" t="e">
        <f>+#REF!</f>
        <v>#REF!</v>
      </c>
      <c r="C820" s="74" t="e">
        <f>+D785</f>
        <v>#REF!</v>
      </c>
      <c r="D820" s="195" t="e">
        <f>+B820+C820</f>
        <v>#REF!</v>
      </c>
      <c r="H820" s="72">
        <v>723</v>
      </c>
      <c r="I820" s="257"/>
      <c r="J820" s="74">
        <f>+K785</f>
        <v>328528911</v>
      </c>
      <c r="K820" s="195">
        <f>+I820+J820</f>
        <v>328528911</v>
      </c>
      <c r="M820" s="918"/>
      <c r="N820" s="608"/>
      <c r="O820" s="608"/>
    </row>
    <row r="821" spans="1:15" ht="13.5" hidden="1" customHeight="1">
      <c r="A821" s="72">
        <v>722</v>
      </c>
      <c r="B821" s="80"/>
      <c r="C821" s="74" t="e">
        <f>+D786</f>
        <v>#REF!</v>
      </c>
      <c r="D821" s="195" t="e">
        <f>+B821+C821</f>
        <v>#REF!</v>
      </c>
      <c r="H821" s="164" t="s">
        <v>181</v>
      </c>
      <c r="I821" s="165"/>
      <c r="J821" s="74">
        <f>+K786</f>
        <v>0</v>
      </c>
      <c r="K821" s="196">
        <f>+I821+J821</f>
        <v>0</v>
      </c>
      <c r="M821" s="52"/>
    </row>
    <row r="822" spans="1:15" ht="16.5" thickBot="1">
      <c r="A822" s="72">
        <v>723</v>
      </c>
      <c r="B822" s="80" t="e">
        <f>+#REF!</f>
        <v>#REF!</v>
      </c>
      <c r="C822" s="74" t="e">
        <f>+D787</f>
        <v>#REF!</v>
      </c>
      <c r="D822" s="195" t="e">
        <f>+B822+C822</f>
        <v>#REF!</v>
      </c>
      <c r="F822" s="174" t="s">
        <v>23</v>
      </c>
      <c r="G822" s="175"/>
      <c r="H822" s="169"/>
      <c r="I822" s="197">
        <f>SUM(I817:I821)</f>
        <v>1272500</v>
      </c>
      <c r="J822" s="197">
        <f>SUM(J817:J821)</f>
        <v>370615911</v>
      </c>
      <c r="K822" s="198">
        <f>SUM(K817:K821)</f>
        <v>371888411</v>
      </c>
    </row>
    <row r="823" spans="1:15" ht="17.25" thickBot="1">
      <c r="A823" s="164" t="s">
        <v>181</v>
      </c>
      <c r="B823" s="165"/>
      <c r="C823" s="74" t="e">
        <f>+D788</f>
        <v>#REF!</v>
      </c>
      <c r="D823" s="196" t="e">
        <f>+B823+C823</f>
        <v>#REF!</v>
      </c>
      <c r="F823" s="52"/>
      <c r="H823" s="49" t="s">
        <v>88</v>
      </c>
      <c r="I823" s="50"/>
    </row>
    <row r="824" spans="1:15" ht="15" customHeight="1" thickBot="1">
      <c r="A824" s="169"/>
      <c r="B824" s="170" t="e">
        <f>SUM(B819:B823)</f>
        <v>#REF!</v>
      </c>
      <c r="C824" s="171" t="e">
        <f>SUM(C819:C823)</f>
        <v>#REF!</v>
      </c>
      <c r="D824" s="172" t="e">
        <f>SUM(D819:D823)</f>
        <v>#REF!</v>
      </c>
      <c r="H824" s="51" t="s">
        <v>89</v>
      </c>
    </row>
    <row r="825" spans="1:15" ht="15" customHeight="1">
      <c r="A825" s="49" t="s">
        <v>88</v>
      </c>
      <c r="B825" s="50"/>
      <c r="H825" s="51" t="s">
        <v>90</v>
      </c>
    </row>
    <row r="826" spans="1:15">
      <c r="A826" s="51" t="s">
        <v>89</v>
      </c>
      <c r="H826" s="51" t="s">
        <v>91</v>
      </c>
    </row>
    <row r="827" spans="1:15" ht="4.5" customHeight="1">
      <c r="A827" s="51" t="s">
        <v>90</v>
      </c>
      <c r="H827" s="50"/>
      <c r="I827" s="50"/>
    </row>
    <row r="828" spans="1:15" ht="15" customHeight="1">
      <c r="A828" s="51" t="s">
        <v>91</v>
      </c>
      <c r="H828" s="260" t="s">
        <v>763</v>
      </c>
      <c r="I828" s="262"/>
      <c r="N828" s="52"/>
    </row>
    <row r="829" spans="1:15" ht="14.25" customHeight="1">
      <c r="A829" s="50"/>
      <c r="B829" s="50"/>
      <c r="H829" s="261" t="s">
        <v>2443</v>
      </c>
      <c r="I829" s="262"/>
      <c r="N829" s="53"/>
    </row>
    <row r="830" spans="1:15" ht="16.5">
      <c r="A830" s="52" t="s">
        <v>442</v>
      </c>
      <c r="G830" s="52"/>
      <c r="H830" s="894" t="s">
        <v>2702</v>
      </c>
      <c r="I830" s="894"/>
      <c r="J830" s="894"/>
      <c r="K830" s="894"/>
      <c r="L830" s="894"/>
      <c r="M830" s="894"/>
      <c r="N830" s="894"/>
      <c r="O830" s="894"/>
    </row>
    <row r="831" spans="1:15" ht="9" customHeight="1" thickBot="1">
      <c r="A831" s="53" t="s">
        <v>92</v>
      </c>
      <c r="G831" s="53"/>
    </row>
    <row r="832" spans="1:15" ht="16.5">
      <c r="A832" s="894" t="s">
        <v>93</v>
      </c>
      <c r="B832" s="894"/>
      <c r="C832" s="894"/>
      <c r="D832" s="894"/>
      <c r="E832" s="894"/>
      <c r="F832" s="894"/>
      <c r="G832" s="894"/>
      <c r="H832" s="895" t="s">
        <v>2703</v>
      </c>
      <c r="I832" s="897" t="s">
        <v>95</v>
      </c>
      <c r="J832" s="897" t="s">
        <v>96</v>
      </c>
      <c r="K832" s="897" t="s">
        <v>3</v>
      </c>
      <c r="L832" s="897" t="s">
        <v>97</v>
      </c>
      <c r="M832" s="897" t="s">
        <v>98</v>
      </c>
      <c r="N832" s="897" t="s">
        <v>99</v>
      </c>
      <c r="O832" s="899"/>
    </row>
    <row r="833" spans="1:15" ht="15.75" thickBot="1">
      <c r="H833" s="896"/>
      <c r="I833" s="898"/>
      <c r="J833" s="898"/>
      <c r="K833" s="898"/>
      <c r="L833" s="898"/>
      <c r="M833" s="898"/>
      <c r="N833" s="240" t="s">
        <v>100</v>
      </c>
      <c r="O833" s="182" t="s">
        <v>101</v>
      </c>
    </row>
    <row r="834" spans="1:15" ht="14.25" customHeight="1">
      <c r="A834" s="881" t="e">
        <f>+#REF!+1</f>
        <v>#REF!</v>
      </c>
      <c r="B834" s="875">
        <v>42317</v>
      </c>
      <c r="C834" s="877" t="s">
        <v>267</v>
      </c>
      <c r="D834" s="881" t="s">
        <v>444</v>
      </c>
      <c r="E834" s="881" t="s">
        <v>148</v>
      </c>
      <c r="F834" s="883">
        <v>252000</v>
      </c>
      <c r="G834" s="55">
        <v>719</v>
      </c>
      <c r="H834" s="873" t="s">
        <v>2403</v>
      </c>
      <c r="I834" s="875">
        <v>45567</v>
      </c>
      <c r="J834" s="910" t="s">
        <v>2408</v>
      </c>
      <c r="K834" s="879" t="s">
        <v>2698</v>
      </c>
      <c r="L834" s="881" t="s">
        <v>115</v>
      </c>
      <c r="M834" s="883">
        <v>702000</v>
      </c>
      <c r="N834" s="55">
        <v>719</v>
      </c>
      <c r="O834" s="78">
        <v>520000</v>
      </c>
    </row>
    <row r="835" spans="1:15" ht="12.75" customHeight="1" thickBot="1">
      <c r="A835" s="882"/>
      <c r="B835" s="876"/>
      <c r="C835" s="878"/>
      <c r="D835" s="882"/>
      <c r="E835" s="882"/>
      <c r="F835" s="884"/>
      <c r="G835" s="56">
        <v>721</v>
      </c>
      <c r="H835" s="874"/>
      <c r="I835" s="876"/>
      <c r="J835" s="911"/>
      <c r="K835" s="880"/>
      <c r="L835" s="882"/>
      <c r="M835" s="884"/>
      <c r="N835" s="56">
        <v>721</v>
      </c>
      <c r="O835" s="79">
        <f>+M834-O834</f>
        <v>182000</v>
      </c>
    </row>
    <row r="836" spans="1:15" ht="12.75" customHeight="1">
      <c r="A836" s="881" t="e">
        <f>+A834+1</f>
        <v>#REF!</v>
      </c>
      <c r="B836" s="875">
        <v>42317</v>
      </c>
      <c r="C836" s="881" t="s">
        <v>28</v>
      </c>
      <c r="D836" s="881" t="s">
        <v>445</v>
      </c>
      <c r="E836" s="881" t="s">
        <v>148</v>
      </c>
      <c r="F836" s="883">
        <v>574000</v>
      </c>
      <c r="G836" s="55">
        <v>719</v>
      </c>
      <c r="H836" s="873" t="s">
        <v>1843</v>
      </c>
      <c r="I836" s="875">
        <v>45567</v>
      </c>
      <c r="J836" s="877" t="s">
        <v>815</v>
      </c>
      <c r="K836" s="881" t="s">
        <v>2700</v>
      </c>
      <c r="L836" s="881" t="s">
        <v>115</v>
      </c>
      <c r="M836" s="883">
        <v>1201500</v>
      </c>
      <c r="N836" s="55">
        <v>719</v>
      </c>
      <c r="O836" s="78">
        <v>890000</v>
      </c>
    </row>
    <row r="837" spans="1:15" ht="12.75" customHeight="1" thickBot="1">
      <c r="A837" s="882"/>
      <c r="B837" s="876"/>
      <c r="C837" s="882"/>
      <c r="D837" s="882"/>
      <c r="E837" s="882"/>
      <c r="F837" s="884"/>
      <c r="G837" s="56">
        <v>721</v>
      </c>
      <c r="H837" s="874"/>
      <c r="I837" s="876"/>
      <c r="J837" s="878"/>
      <c r="K837" s="882"/>
      <c r="L837" s="882"/>
      <c r="M837" s="884"/>
      <c r="N837" s="56">
        <v>721</v>
      </c>
      <c r="O837" s="79">
        <f>+M836-O836</f>
        <v>311500</v>
      </c>
    </row>
    <row r="838" spans="1:15" ht="12.75" customHeight="1">
      <c r="A838" s="881" t="e">
        <f>+A836+1</f>
        <v>#REF!</v>
      </c>
      <c r="B838" s="875">
        <v>42317</v>
      </c>
      <c r="C838" s="877" t="s">
        <v>32</v>
      </c>
      <c r="D838" s="881" t="s">
        <v>446</v>
      </c>
      <c r="E838" s="881" t="s">
        <v>148</v>
      </c>
      <c r="F838" s="883">
        <v>28000</v>
      </c>
      <c r="G838" s="55">
        <v>719</v>
      </c>
      <c r="H838" s="873" t="s">
        <v>2404</v>
      </c>
      <c r="I838" s="875">
        <v>45567</v>
      </c>
      <c r="J838" s="877" t="s">
        <v>1079</v>
      </c>
      <c r="K838" s="881" t="s">
        <v>2699</v>
      </c>
      <c r="L838" s="881" t="s">
        <v>148</v>
      </c>
      <c r="M838" s="883">
        <v>1010000</v>
      </c>
      <c r="N838" s="55">
        <v>719</v>
      </c>
      <c r="O838" s="78">
        <v>1010000</v>
      </c>
    </row>
    <row r="839" spans="1:15" ht="13.5" customHeight="1" thickBot="1">
      <c r="A839" s="882"/>
      <c r="B839" s="876"/>
      <c r="C839" s="878"/>
      <c r="D839" s="882"/>
      <c r="E839" s="882"/>
      <c r="F839" s="884"/>
      <c r="G839" s="56">
        <v>721</v>
      </c>
      <c r="H839" s="874"/>
      <c r="I839" s="876"/>
      <c r="J839" s="878"/>
      <c r="K839" s="882"/>
      <c r="L839" s="882"/>
      <c r="M839" s="884"/>
      <c r="N839" s="56">
        <v>721</v>
      </c>
      <c r="O839" s="79">
        <f>+M838-O838</f>
        <v>0</v>
      </c>
    </row>
    <row r="840" spans="1:15" ht="13.5" customHeight="1">
      <c r="A840" s="251"/>
      <c r="B840" s="252"/>
      <c r="C840" s="253"/>
      <c r="D840" s="251"/>
      <c r="E840" s="251"/>
      <c r="F840" s="254"/>
      <c r="G840" s="255"/>
      <c r="H840" s="873" t="s">
        <v>2405</v>
      </c>
      <c r="I840" s="875">
        <v>45567</v>
      </c>
      <c r="J840" s="877" t="s">
        <v>1538</v>
      </c>
      <c r="K840" s="881" t="s">
        <v>2700</v>
      </c>
      <c r="L840" s="881" t="s">
        <v>148</v>
      </c>
      <c r="M840" s="883">
        <v>1332600</v>
      </c>
      <c r="N840" s="55">
        <v>719</v>
      </c>
      <c r="O840" s="78"/>
    </row>
    <row r="841" spans="1:15" ht="13.5" customHeight="1" thickBot="1">
      <c r="A841" s="251"/>
      <c r="B841" s="252"/>
      <c r="C841" s="253"/>
      <c r="D841" s="251"/>
      <c r="E841" s="251"/>
      <c r="F841" s="254"/>
      <c r="G841" s="255"/>
      <c r="H841" s="874"/>
      <c r="I841" s="876"/>
      <c r="J841" s="878"/>
      <c r="K841" s="882"/>
      <c r="L841" s="882"/>
      <c r="M841" s="884"/>
      <c r="N841" s="56">
        <v>723</v>
      </c>
      <c r="O841" s="79">
        <f>+M840</f>
        <v>1332600</v>
      </c>
    </row>
    <row r="842" spans="1:15" ht="12" customHeight="1">
      <c r="A842" s="881" t="e">
        <f>+A838+1</f>
        <v>#REF!</v>
      </c>
      <c r="B842" s="875">
        <v>42317</v>
      </c>
      <c r="C842" s="877" t="s">
        <v>111</v>
      </c>
      <c r="D842" s="881" t="s">
        <v>447</v>
      </c>
      <c r="E842" s="881" t="s">
        <v>148</v>
      </c>
      <c r="F842" s="883">
        <v>140000</v>
      </c>
      <c r="G842" s="55">
        <v>719</v>
      </c>
      <c r="H842" s="873"/>
      <c r="I842" s="875"/>
      <c r="J842" s="877"/>
      <c r="K842" s="881"/>
      <c r="L842" s="881"/>
      <c r="M842" s="883"/>
      <c r="N842" s="55">
        <v>719</v>
      </c>
      <c r="O842" s="78"/>
    </row>
    <row r="843" spans="1:15" ht="12.75" customHeight="1" thickBot="1">
      <c r="A843" s="882"/>
      <c r="B843" s="876"/>
      <c r="C843" s="878"/>
      <c r="D843" s="882"/>
      <c r="E843" s="882"/>
      <c r="F843" s="884"/>
      <c r="G843" s="56">
        <v>721</v>
      </c>
      <c r="H843" s="874"/>
      <c r="I843" s="876"/>
      <c r="J843" s="878"/>
      <c r="K843" s="882"/>
      <c r="L843" s="882"/>
      <c r="M843" s="884"/>
      <c r="N843" s="56">
        <v>723</v>
      </c>
      <c r="O843" s="79">
        <f>+M842</f>
        <v>0</v>
      </c>
    </row>
    <row r="844" spans="1:15" ht="15" customHeight="1" thickBot="1">
      <c r="A844" s="881" t="e">
        <f>+A842+1</f>
        <v>#REF!</v>
      </c>
      <c r="B844" s="875">
        <v>42317</v>
      </c>
      <c r="C844" s="877" t="s">
        <v>272</v>
      </c>
      <c r="D844" s="881" t="s">
        <v>444</v>
      </c>
      <c r="E844" s="881" t="s">
        <v>148</v>
      </c>
      <c r="F844" s="883">
        <v>756000</v>
      </c>
      <c r="G844" s="55">
        <v>719</v>
      </c>
      <c r="H844" s="901" t="s">
        <v>102</v>
      </c>
      <c r="I844" s="902"/>
      <c r="J844" s="902"/>
      <c r="K844" s="902"/>
      <c r="L844" s="903"/>
      <c r="M844" s="81">
        <f>SUM(M834:M843)</f>
        <v>4246100</v>
      </c>
    </row>
    <row r="845" spans="1:15" ht="15.75" customHeight="1" thickBot="1">
      <c r="A845" s="882"/>
      <c r="B845" s="876"/>
      <c r="C845" s="878"/>
      <c r="D845" s="882"/>
      <c r="E845" s="882"/>
      <c r="F845" s="884"/>
      <c r="G845" s="56">
        <v>721</v>
      </c>
      <c r="H845" s="885" t="s">
        <v>103</v>
      </c>
      <c r="I845" s="886"/>
      <c r="J845" s="886"/>
      <c r="K845" s="886"/>
      <c r="L845" s="887"/>
      <c r="M845" s="239">
        <f>+M809</f>
        <v>371888411</v>
      </c>
      <c r="N845" s="241" t="s">
        <v>561</v>
      </c>
      <c r="O845" s="242"/>
    </row>
    <row r="846" spans="1:15" ht="16.5" thickBot="1">
      <c r="A846" s="901" t="s">
        <v>102</v>
      </c>
      <c r="B846" s="902"/>
      <c r="C846" s="902"/>
      <c r="D846" s="902"/>
      <c r="E846" s="903"/>
      <c r="F846" s="81">
        <f>SUM(F834:F845)</f>
        <v>1750000</v>
      </c>
      <c r="H846" s="888" t="s">
        <v>104</v>
      </c>
      <c r="I846" s="889"/>
      <c r="J846" s="889"/>
      <c r="K846" s="889"/>
      <c r="L846" s="890"/>
      <c r="M846" s="183">
        <f>SUM(M844:M845)</f>
        <v>376134511</v>
      </c>
    </row>
    <row r="847" spans="1:15" ht="6.75" customHeight="1" thickBot="1">
      <c r="A847" s="885" t="s">
        <v>103</v>
      </c>
      <c r="B847" s="886"/>
      <c r="C847" s="886"/>
      <c r="D847" s="886"/>
      <c r="E847" s="887"/>
      <c r="F847" s="69" t="e">
        <f>+F811</f>
        <v>#REF!</v>
      </c>
      <c r="H847" s="61"/>
      <c r="I847" s="61"/>
      <c r="J847" s="61"/>
      <c r="K847" s="61"/>
      <c r="L847" s="61"/>
    </row>
    <row r="848" spans="1:15" ht="16.5" thickBot="1">
      <c r="A848" s="888" t="s">
        <v>104</v>
      </c>
      <c r="B848" s="889"/>
      <c r="C848" s="889"/>
      <c r="D848" s="889"/>
      <c r="E848" s="890"/>
      <c r="F848" s="183" t="e">
        <f>SUM(F846:F847)</f>
        <v>#REF!</v>
      </c>
      <c r="H848" s="51" t="s">
        <v>2701</v>
      </c>
    </row>
    <row r="849" spans="1:15" ht="6" customHeight="1">
      <c r="A849" s="61"/>
      <c r="B849" s="61"/>
      <c r="C849" s="61"/>
      <c r="D849" s="61"/>
      <c r="E849" s="61"/>
      <c r="M849" s="139"/>
    </row>
    <row r="850" spans="1:15">
      <c r="A850" s="51" t="s">
        <v>448</v>
      </c>
      <c r="H850" s="50" t="s">
        <v>105</v>
      </c>
      <c r="K850" s="146"/>
      <c r="M850" s="139"/>
    </row>
    <row r="851" spans="1:15" ht="7.5" customHeight="1" thickBot="1">
      <c r="F851" s="139"/>
    </row>
    <row r="852" spans="1:15" ht="15.75" thickBot="1">
      <c r="A852" s="50" t="s">
        <v>105</v>
      </c>
      <c r="D852" s="146"/>
      <c r="F852" s="139"/>
      <c r="H852" s="891" t="s">
        <v>106</v>
      </c>
      <c r="I852" s="892"/>
      <c r="J852" s="892"/>
      <c r="K852" s="893"/>
    </row>
    <row r="853" spans="1:15" ht="28.5" customHeight="1" thickBot="1">
      <c r="H853" s="57" t="s">
        <v>100</v>
      </c>
      <c r="I853" s="58" t="s">
        <v>108</v>
      </c>
      <c r="J853" s="263" t="s">
        <v>109</v>
      </c>
      <c r="K853" s="60" t="s">
        <v>110</v>
      </c>
      <c r="M853" s="202"/>
      <c r="N853" s="202"/>
      <c r="O853" s="202"/>
    </row>
    <row r="854" spans="1:15" ht="15" customHeight="1" thickBot="1">
      <c r="A854" s="891" t="s">
        <v>106</v>
      </c>
      <c r="B854" s="892"/>
      <c r="C854" s="892"/>
      <c r="D854" s="893"/>
      <c r="F854" s="50" t="s">
        <v>288</v>
      </c>
      <c r="H854" s="71">
        <v>719</v>
      </c>
      <c r="I854" s="73">
        <f>+O834+O836+O838</f>
        <v>2420000</v>
      </c>
      <c r="J854" s="74">
        <f>+K817</f>
        <v>37420000</v>
      </c>
      <c r="K854" s="195">
        <f>+I854+J854</f>
        <v>39840000</v>
      </c>
      <c r="M854" s="605" t="s">
        <v>288</v>
      </c>
      <c r="N854" s="605"/>
      <c r="O854" s="605"/>
    </row>
    <row r="855" spans="1:15" ht="14.25" customHeight="1" thickBot="1">
      <c r="A855" s="57" t="s">
        <v>100</v>
      </c>
      <c r="B855" s="58" t="s">
        <v>108</v>
      </c>
      <c r="C855" s="59" t="s">
        <v>109</v>
      </c>
      <c r="D855" s="60" t="s">
        <v>110</v>
      </c>
      <c r="H855" s="72">
        <v>721</v>
      </c>
      <c r="I855" s="257">
        <f>+O835+O837</f>
        <v>493500</v>
      </c>
      <c r="J855" s="74">
        <f>+K818</f>
        <v>5939500</v>
      </c>
      <c r="K855" s="195">
        <f>+I855+J855</f>
        <v>6433000</v>
      </c>
      <c r="M855" s="202"/>
      <c r="N855" s="202"/>
      <c r="O855" s="202"/>
    </row>
    <row r="856" spans="1:15" ht="14.25" customHeight="1">
      <c r="A856" s="71">
        <v>719</v>
      </c>
      <c r="B856" s="73" t="e">
        <f>+#REF!+#REF!+#REF!+#REF!+#REF!</f>
        <v>#REF!</v>
      </c>
      <c r="C856" s="74" t="e">
        <f>+D819</f>
        <v>#REF!</v>
      </c>
      <c r="D856" s="195" t="e">
        <f>+B856+C856</f>
        <v>#REF!</v>
      </c>
      <c r="H856" s="72">
        <v>722</v>
      </c>
      <c r="I856" s="257"/>
      <c r="J856" s="74">
        <f>+K819</f>
        <v>0</v>
      </c>
      <c r="K856" s="195">
        <f>+I856+J856</f>
        <v>0</v>
      </c>
      <c r="M856" s="288"/>
      <c r="N856" s="288"/>
      <c r="O856" s="288"/>
    </row>
    <row r="857" spans="1:15" ht="14.25" customHeight="1" thickBot="1">
      <c r="A857" s="72">
        <v>721</v>
      </c>
      <c r="B857" s="80" t="e">
        <f>+#REF!+#REF!+#REF!+#REF!+#REF!</f>
        <v>#REF!</v>
      </c>
      <c r="C857" s="74" t="e">
        <f>+D820</f>
        <v>#REF!</v>
      </c>
      <c r="D857" s="195" t="e">
        <f>+B857+C857</f>
        <v>#REF!</v>
      </c>
      <c r="H857" s="72">
        <v>723</v>
      </c>
      <c r="I857" s="257">
        <f>+O841</f>
        <v>1332600</v>
      </c>
      <c r="J857" s="74">
        <f>+K820</f>
        <v>328528911</v>
      </c>
      <c r="K857" s="195">
        <f>+I857+J857</f>
        <v>329861511</v>
      </c>
      <c r="M857" s="288"/>
      <c r="N857" s="288"/>
      <c r="O857" s="288"/>
    </row>
    <row r="858" spans="1:15" ht="15" hidden="1" customHeight="1">
      <c r="A858" s="72">
        <v>722</v>
      </c>
      <c r="B858" s="80"/>
      <c r="C858" s="74" t="e">
        <f>+D821</f>
        <v>#REF!</v>
      </c>
      <c r="D858" s="195" t="e">
        <f>+B858+C858</f>
        <v>#REF!</v>
      </c>
      <c r="H858" s="164" t="s">
        <v>181</v>
      </c>
      <c r="I858" s="165"/>
      <c r="J858" s="74">
        <f>+K821</f>
        <v>0</v>
      </c>
      <c r="K858" s="196">
        <f>+I858+J858</f>
        <v>0</v>
      </c>
      <c r="M858" s="918"/>
      <c r="N858" s="918"/>
      <c r="O858" s="918"/>
    </row>
    <row r="859" spans="1:15" ht="16.5" thickBot="1">
      <c r="A859" s="72">
        <v>723</v>
      </c>
      <c r="B859" s="80"/>
      <c r="C859" s="74" t="e">
        <f>+D822</f>
        <v>#REF!</v>
      </c>
      <c r="D859" s="195" t="e">
        <f>+B859+C859</f>
        <v>#REF!</v>
      </c>
      <c r="F859" s="174" t="s">
        <v>23</v>
      </c>
      <c r="G859" s="175"/>
      <c r="H859" s="169"/>
      <c r="I859" s="197">
        <f>SUM(I854:I858)</f>
        <v>4246100</v>
      </c>
      <c r="J859" s="197">
        <f>SUM(J854:J858)</f>
        <v>371888411</v>
      </c>
      <c r="K859" s="198">
        <f>SUM(K854:K858)</f>
        <v>376134511</v>
      </c>
      <c r="M859" s="918"/>
      <c r="N859" s="918"/>
      <c r="O859" s="918"/>
    </row>
    <row r="860" spans="1:15" ht="17.25" thickBot="1">
      <c r="A860" s="164" t="s">
        <v>181</v>
      </c>
      <c r="B860" s="165"/>
      <c r="C860" s="74" t="e">
        <f>+D823</f>
        <v>#REF!</v>
      </c>
      <c r="D860" s="196" t="e">
        <f>+B860+C860</f>
        <v>#REF!</v>
      </c>
      <c r="F860" s="52"/>
      <c r="H860" s="49" t="s">
        <v>88</v>
      </c>
      <c r="I860" s="50"/>
    </row>
    <row r="861" spans="1:15" ht="16.5" thickBot="1">
      <c r="A861" s="169"/>
      <c r="B861" s="170" t="e">
        <f>SUM(B856:B860)</f>
        <v>#REF!</v>
      </c>
      <c r="C861" s="171" t="e">
        <f>SUM(C856:C860)</f>
        <v>#REF!</v>
      </c>
      <c r="D861" s="172" t="e">
        <f>SUM(D856:D860)</f>
        <v>#REF!</v>
      </c>
      <c r="H861" s="51" t="s">
        <v>89</v>
      </c>
    </row>
    <row r="862" spans="1:15" ht="16.5">
      <c r="A862" s="49" t="s">
        <v>88</v>
      </c>
      <c r="B862" s="50"/>
      <c r="H862" s="51" t="s">
        <v>90</v>
      </c>
    </row>
    <row r="863" spans="1:15">
      <c r="A863" s="51" t="s">
        <v>89</v>
      </c>
      <c r="H863" s="51" t="s">
        <v>91</v>
      </c>
    </row>
    <row r="864" spans="1:15" ht="4.5" customHeight="1">
      <c r="A864" s="51" t="s">
        <v>90</v>
      </c>
      <c r="H864" s="50"/>
      <c r="I864" s="50"/>
    </row>
    <row r="865" spans="1:15" ht="15" customHeight="1">
      <c r="A865" s="51" t="s">
        <v>91</v>
      </c>
      <c r="H865" s="260" t="s">
        <v>789</v>
      </c>
      <c r="I865" s="262"/>
      <c r="N865" s="52"/>
    </row>
    <row r="866" spans="1:15" ht="14.25" customHeight="1">
      <c r="A866" s="50"/>
      <c r="B866" s="50"/>
      <c r="H866" s="261" t="s">
        <v>2443</v>
      </c>
      <c r="I866" s="262"/>
      <c r="N866" s="53"/>
    </row>
    <row r="867" spans="1:15" ht="16.5">
      <c r="A867" s="52" t="s">
        <v>443</v>
      </c>
      <c r="G867" s="52"/>
      <c r="H867" s="894" t="s">
        <v>228</v>
      </c>
      <c r="I867" s="894"/>
      <c r="J867" s="894"/>
      <c r="K867" s="894"/>
      <c r="L867" s="894"/>
      <c r="M867" s="894"/>
      <c r="N867" s="894"/>
      <c r="O867" s="894"/>
    </row>
    <row r="868" spans="1:15" ht="9.75" customHeight="1" thickBot="1">
      <c r="A868" s="53" t="s">
        <v>92</v>
      </c>
      <c r="G868" s="53"/>
    </row>
    <row r="869" spans="1:15" ht="16.5">
      <c r="A869" s="894" t="s">
        <v>93</v>
      </c>
      <c r="B869" s="894"/>
      <c r="C869" s="894"/>
      <c r="D869" s="894"/>
      <c r="E869" s="894"/>
      <c r="F869" s="894"/>
      <c r="G869" s="894"/>
      <c r="H869" s="895" t="s">
        <v>94</v>
      </c>
      <c r="I869" s="897" t="s">
        <v>95</v>
      </c>
      <c r="J869" s="897" t="s">
        <v>96</v>
      </c>
      <c r="K869" s="897" t="s">
        <v>3</v>
      </c>
      <c r="L869" s="897" t="s">
        <v>97</v>
      </c>
      <c r="M869" s="897" t="s">
        <v>98</v>
      </c>
      <c r="N869" s="897" t="s">
        <v>99</v>
      </c>
      <c r="O869" s="899"/>
    </row>
    <row r="870" spans="1:15" ht="12.75" customHeight="1" thickBot="1">
      <c r="H870" s="896"/>
      <c r="I870" s="898"/>
      <c r="J870" s="898"/>
      <c r="K870" s="898"/>
      <c r="L870" s="898"/>
      <c r="M870" s="898"/>
      <c r="N870" s="240" t="s">
        <v>100</v>
      </c>
      <c r="O870" s="182" t="s">
        <v>101</v>
      </c>
    </row>
    <row r="871" spans="1:15" ht="14.25" customHeight="1">
      <c r="A871" s="895" t="s">
        <v>94</v>
      </c>
      <c r="B871" s="897" t="s">
        <v>95</v>
      </c>
      <c r="C871" s="897" t="s">
        <v>96</v>
      </c>
      <c r="D871" s="897" t="s">
        <v>3</v>
      </c>
      <c r="E871" s="897" t="s">
        <v>97</v>
      </c>
      <c r="F871" s="897" t="s">
        <v>98</v>
      </c>
      <c r="G871" s="500" t="s">
        <v>99</v>
      </c>
      <c r="H871" s="928">
        <v>109</v>
      </c>
      <c r="I871" s="875">
        <v>45594</v>
      </c>
      <c r="J871" s="877" t="s">
        <v>1984</v>
      </c>
      <c r="K871" s="881" t="s">
        <v>2704</v>
      </c>
      <c r="L871" s="881" t="s">
        <v>148</v>
      </c>
      <c r="M871" s="883">
        <v>500000</v>
      </c>
      <c r="N871" s="55">
        <v>719</v>
      </c>
      <c r="O871" s="78">
        <f>+M871</f>
        <v>500000</v>
      </c>
    </row>
    <row r="872" spans="1:15" ht="11.25" customHeight="1" thickBot="1">
      <c r="A872" s="896"/>
      <c r="B872" s="898"/>
      <c r="C872" s="898"/>
      <c r="D872" s="898"/>
      <c r="E872" s="898"/>
      <c r="F872" s="898"/>
      <c r="G872" s="240" t="s">
        <v>100</v>
      </c>
      <c r="H872" s="929"/>
      <c r="I872" s="876"/>
      <c r="J872" s="878"/>
      <c r="K872" s="882"/>
      <c r="L872" s="882"/>
      <c r="M872" s="884"/>
      <c r="N872" s="56">
        <v>721</v>
      </c>
      <c r="O872" s="79">
        <v>0</v>
      </c>
    </row>
    <row r="873" spans="1:15" ht="12" customHeight="1">
      <c r="A873" s="881" t="e">
        <f>+A844+1</f>
        <v>#REF!</v>
      </c>
      <c r="B873" s="875">
        <v>42317</v>
      </c>
      <c r="C873" s="877" t="s">
        <v>272</v>
      </c>
      <c r="D873" s="881" t="s">
        <v>449</v>
      </c>
      <c r="E873" s="881" t="s">
        <v>115</v>
      </c>
      <c r="F873" s="883">
        <v>210000</v>
      </c>
      <c r="G873" s="55">
        <v>719</v>
      </c>
      <c r="H873" s="928">
        <f>+H871+1</f>
        <v>110</v>
      </c>
      <c r="I873" s="875">
        <v>45594</v>
      </c>
      <c r="J873" s="877" t="s">
        <v>1984</v>
      </c>
      <c r="K873" s="926" t="s">
        <v>2705</v>
      </c>
      <c r="L873" s="881" t="s">
        <v>148</v>
      </c>
      <c r="M873" s="883">
        <v>520000</v>
      </c>
      <c r="N873" s="55">
        <v>719</v>
      </c>
      <c r="O873" s="78">
        <f>+M873</f>
        <v>520000</v>
      </c>
    </row>
    <row r="874" spans="1:15" ht="12" customHeight="1" thickBot="1">
      <c r="A874" s="882"/>
      <c r="B874" s="876"/>
      <c r="C874" s="878"/>
      <c r="D874" s="882"/>
      <c r="E874" s="882"/>
      <c r="F874" s="884"/>
      <c r="G874" s="56">
        <v>721</v>
      </c>
      <c r="H874" s="929"/>
      <c r="I874" s="876"/>
      <c r="J874" s="878"/>
      <c r="K874" s="927"/>
      <c r="L874" s="882"/>
      <c r="M874" s="884"/>
      <c r="N874" s="56">
        <v>721</v>
      </c>
      <c r="O874" s="79"/>
    </row>
    <row r="875" spans="1:15" ht="13.5" customHeight="1">
      <c r="A875" s="881" t="e">
        <f>+A873+1</f>
        <v>#REF!</v>
      </c>
      <c r="B875" s="875">
        <v>42317</v>
      </c>
      <c r="C875" s="881" t="s">
        <v>28</v>
      </c>
      <c r="D875" s="881" t="s">
        <v>450</v>
      </c>
      <c r="E875" s="881" t="s">
        <v>115</v>
      </c>
      <c r="F875" s="883">
        <v>20000</v>
      </c>
      <c r="G875" s="55">
        <v>719</v>
      </c>
      <c r="H875" s="928">
        <f>+H873+1</f>
        <v>111</v>
      </c>
      <c r="I875" s="875">
        <v>45594</v>
      </c>
      <c r="J875" s="877" t="s">
        <v>1079</v>
      </c>
      <c r="K875" s="881" t="s">
        <v>2706</v>
      </c>
      <c r="L875" s="881" t="s">
        <v>148</v>
      </c>
      <c r="M875" s="883">
        <v>520000</v>
      </c>
      <c r="N875" s="55">
        <v>719</v>
      </c>
      <c r="O875" s="78">
        <f>+M875</f>
        <v>520000</v>
      </c>
    </row>
    <row r="876" spans="1:15" ht="12.75" customHeight="1" thickBot="1">
      <c r="A876" s="882"/>
      <c r="B876" s="876"/>
      <c r="C876" s="882"/>
      <c r="D876" s="882"/>
      <c r="E876" s="882"/>
      <c r="F876" s="884"/>
      <c r="G876" s="56">
        <v>721</v>
      </c>
      <c r="H876" s="929"/>
      <c r="I876" s="876"/>
      <c r="J876" s="878"/>
      <c r="K876" s="882"/>
      <c r="L876" s="882"/>
      <c r="M876" s="884"/>
      <c r="N876" s="56">
        <v>721</v>
      </c>
      <c r="O876" s="79"/>
    </row>
    <row r="877" spans="1:15" ht="13.5" customHeight="1">
      <c r="A877" s="881" t="e">
        <f>+A875+1</f>
        <v>#REF!</v>
      </c>
      <c r="B877" s="875">
        <v>42317</v>
      </c>
      <c r="C877" s="877" t="s">
        <v>32</v>
      </c>
      <c r="D877" s="881" t="s">
        <v>451</v>
      </c>
      <c r="E877" s="881" t="s">
        <v>115</v>
      </c>
      <c r="F877" s="883">
        <v>30000</v>
      </c>
      <c r="G877" s="55">
        <v>719</v>
      </c>
      <c r="H877" s="928">
        <f>+H875+1</f>
        <v>112</v>
      </c>
      <c r="I877" s="875">
        <v>45594</v>
      </c>
      <c r="J877" s="877" t="s">
        <v>1079</v>
      </c>
      <c r="K877" s="881" t="s">
        <v>2707</v>
      </c>
      <c r="L877" s="881" t="s">
        <v>148</v>
      </c>
      <c r="M877" s="883">
        <v>510000</v>
      </c>
      <c r="N877" s="55">
        <v>719</v>
      </c>
      <c r="O877" s="78">
        <f>+M877</f>
        <v>510000</v>
      </c>
    </row>
    <row r="878" spans="1:15" ht="12" customHeight="1" thickBot="1">
      <c r="A878" s="882"/>
      <c r="B878" s="876"/>
      <c r="C878" s="878"/>
      <c r="D878" s="882"/>
      <c r="E878" s="882"/>
      <c r="F878" s="884"/>
      <c r="G878" s="56">
        <v>721</v>
      </c>
      <c r="H878" s="929"/>
      <c r="I878" s="876"/>
      <c r="J878" s="878"/>
      <c r="K878" s="882"/>
      <c r="L878" s="882"/>
      <c r="M878" s="884"/>
      <c r="N878" s="56">
        <v>721</v>
      </c>
      <c r="O878" s="79"/>
    </row>
    <row r="879" spans="1:15" ht="13.5" customHeight="1">
      <c r="A879" s="251"/>
      <c r="B879" s="252"/>
      <c r="C879" s="253"/>
      <c r="D879" s="251"/>
      <c r="E879" s="251"/>
      <c r="F879" s="254"/>
      <c r="G879" s="255"/>
      <c r="H879" s="928">
        <f>+H877+1</f>
        <v>113</v>
      </c>
      <c r="I879" s="875">
        <v>45594</v>
      </c>
      <c r="J879" s="877" t="s">
        <v>1079</v>
      </c>
      <c r="K879" s="881" t="s">
        <v>2708</v>
      </c>
      <c r="L879" s="881" t="s">
        <v>148</v>
      </c>
      <c r="M879" s="883">
        <v>500000</v>
      </c>
      <c r="N879" s="55">
        <v>719</v>
      </c>
      <c r="O879" s="78">
        <f>+M879-O880</f>
        <v>500000</v>
      </c>
    </row>
    <row r="880" spans="1:15" ht="10.5" customHeight="1" thickBot="1">
      <c r="A880" s="251"/>
      <c r="B880" s="252"/>
      <c r="C880" s="253"/>
      <c r="D880" s="251"/>
      <c r="E880" s="251"/>
      <c r="F880" s="254"/>
      <c r="G880" s="255"/>
      <c r="H880" s="929"/>
      <c r="I880" s="876"/>
      <c r="J880" s="878"/>
      <c r="K880" s="882"/>
      <c r="L880" s="882"/>
      <c r="M880" s="884"/>
      <c r="N880" s="56">
        <v>721</v>
      </c>
      <c r="O880" s="79"/>
    </row>
    <row r="881" spans="1:15" ht="12" customHeight="1">
      <c r="A881" s="881" t="e">
        <f>+A877+1</f>
        <v>#REF!</v>
      </c>
      <c r="B881" s="875">
        <v>42317</v>
      </c>
      <c r="C881" s="881" t="s">
        <v>28</v>
      </c>
      <c r="D881" s="881" t="s">
        <v>452</v>
      </c>
      <c r="E881" s="881" t="s">
        <v>115</v>
      </c>
      <c r="F881" s="883">
        <v>30000</v>
      </c>
      <c r="G881" s="55">
        <v>719</v>
      </c>
      <c r="H881" s="928">
        <f>+H879+1</f>
        <v>114</v>
      </c>
      <c r="I881" s="875">
        <v>45594</v>
      </c>
      <c r="J881" s="877" t="s">
        <v>120</v>
      </c>
      <c r="K881" s="881" t="s">
        <v>2709</v>
      </c>
      <c r="L881" s="881" t="s">
        <v>115</v>
      </c>
      <c r="M881" s="883">
        <v>1107000</v>
      </c>
      <c r="N881" s="55">
        <v>719</v>
      </c>
      <c r="O881" s="78">
        <v>820000</v>
      </c>
    </row>
    <row r="882" spans="1:15" ht="12" customHeight="1" thickBot="1">
      <c r="A882" s="882"/>
      <c r="B882" s="876"/>
      <c r="C882" s="882"/>
      <c r="D882" s="882"/>
      <c r="E882" s="882"/>
      <c r="F882" s="884"/>
      <c r="G882" s="56">
        <v>721</v>
      </c>
      <c r="H882" s="929"/>
      <c r="I882" s="876"/>
      <c r="J882" s="878"/>
      <c r="K882" s="882"/>
      <c r="L882" s="882"/>
      <c r="M882" s="884"/>
      <c r="N882" s="56">
        <v>721</v>
      </c>
      <c r="O882" s="79">
        <f>+M881-O881</f>
        <v>287000</v>
      </c>
    </row>
    <row r="883" spans="1:15" ht="15" customHeight="1" thickBot="1">
      <c r="A883" s="881" t="e">
        <f>+A881+1</f>
        <v>#REF!</v>
      </c>
      <c r="B883" s="875">
        <v>42317</v>
      </c>
      <c r="C883" s="877" t="s">
        <v>272</v>
      </c>
      <c r="D883" s="881" t="s">
        <v>453</v>
      </c>
      <c r="E883" s="881" t="s">
        <v>115</v>
      </c>
      <c r="F883" s="883">
        <v>50000</v>
      </c>
      <c r="G883" s="55">
        <v>719</v>
      </c>
      <c r="H883" s="901" t="s">
        <v>102</v>
      </c>
      <c r="I883" s="902"/>
      <c r="J883" s="902"/>
      <c r="K883" s="902"/>
      <c r="L883" s="903"/>
      <c r="M883" s="81">
        <f>SUM(M871:M882)</f>
        <v>3657000</v>
      </c>
    </row>
    <row r="884" spans="1:15" ht="15.75" customHeight="1" thickBot="1">
      <c r="A884" s="882"/>
      <c r="B884" s="876"/>
      <c r="C884" s="878"/>
      <c r="D884" s="882"/>
      <c r="E884" s="882"/>
      <c r="F884" s="884"/>
      <c r="G884" s="56">
        <v>721</v>
      </c>
      <c r="H884" s="885" t="s">
        <v>103</v>
      </c>
      <c r="I884" s="886"/>
      <c r="J884" s="886"/>
      <c r="K884" s="886"/>
      <c r="L884" s="887"/>
      <c r="M884" s="239">
        <f>+M846</f>
        <v>376134511</v>
      </c>
      <c r="N884" s="241" t="s">
        <v>561</v>
      </c>
      <c r="O884" s="242">
        <v>5845</v>
      </c>
    </row>
    <row r="885" spans="1:15" ht="16.5" thickBot="1">
      <c r="A885" s="901" t="s">
        <v>102</v>
      </c>
      <c r="B885" s="902"/>
      <c r="C885" s="902"/>
      <c r="D885" s="902"/>
      <c r="E885" s="903"/>
      <c r="F885" s="81">
        <f>SUM(F873:F884)</f>
        <v>340000</v>
      </c>
      <c r="H885" s="888" t="s">
        <v>104</v>
      </c>
      <c r="I885" s="889"/>
      <c r="J885" s="889"/>
      <c r="K885" s="889"/>
      <c r="L885" s="890"/>
      <c r="M885" s="183">
        <f>SUM(M883:M884)</f>
        <v>379791511</v>
      </c>
    </row>
    <row r="886" spans="1:15" ht="5.25" customHeight="1" thickBot="1">
      <c r="A886" s="885" t="s">
        <v>103</v>
      </c>
      <c r="B886" s="886"/>
      <c r="C886" s="886"/>
      <c r="D886" s="886"/>
      <c r="E886" s="887"/>
      <c r="F886" s="69" t="e">
        <f>+F848</f>
        <v>#REF!</v>
      </c>
      <c r="H886" s="61"/>
      <c r="I886" s="61"/>
      <c r="J886" s="61"/>
      <c r="K886" s="61"/>
      <c r="L886" s="61"/>
    </row>
    <row r="887" spans="1:15" ht="16.5" thickBot="1">
      <c r="A887" s="888" t="s">
        <v>104</v>
      </c>
      <c r="B887" s="889"/>
      <c r="C887" s="889"/>
      <c r="D887" s="889"/>
      <c r="E887" s="890"/>
      <c r="F887" s="183" t="e">
        <f>SUM(F885:F886)</f>
        <v>#REF!</v>
      </c>
      <c r="H887" s="51" t="s">
        <v>2721</v>
      </c>
    </row>
    <row r="888" spans="1:15" ht="4.5" customHeight="1">
      <c r="A888" s="61"/>
      <c r="B888" s="61"/>
      <c r="C888" s="61"/>
      <c r="D888" s="61"/>
      <c r="E888" s="61"/>
      <c r="M888" s="139"/>
    </row>
    <row r="889" spans="1:15">
      <c r="A889" s="51" t="s">
        <v>454</v>
      </c>
      <c r="H889" s="50" t="s">
        <v>105</v>
      </c>
      <c r="K889" s="146"/>
      <c r="M889" s="139"/>
    </row>
    <row r="890" spans="1:15" ht="4.5" customHeight="1" thickBot="1">
      <c r="F890" s="139"/>
    </row>
    <row r="891" spans="1:15" ht="17.25" thickBot="1">
      <c r="A891" s="50" t="s">
        <v>105</v>
      </c>
      <c r="D891" s="146"/>
      <c r="F891" s="139"/>
      <c r="H891" s="891" t="s">
        <v>106</v>
      </c>
      <c r="I891" s="892"/>
      <c r="J891" s="892"/>
      <c r="K891" s="893"/>
      <c r="M891" s="605" t="s">
        <v>263</v>
      </c>
      <c r="N891" s="605"/>
      <c r="O891" s="605"/>
    </row>
    <row r="892" spans="1:15" s="532" customFormat="1" ht="27.75" thickBot="1">
      <c r="H892" s="533" t="s">
        <v>100</v>
      </c>
      <c r="I892" s="534" t="s">
        <v>108</v>
      </c>
      <c r="J892" s="535" t="s">
        <v>109</v>
      </c>
      <c r="K892" s="536" t="s">
        <v>110</v>
      </c>
      <c r="M892" s="537"/>
      <c r="N892" s="537"/>
      <c r="O892" s="537"/>
    </row>
    <row r="893" spans="1:15" ht="15.75" customHeight="1" thickBot="1">
      <c r="A893" s="891" t="s">
        <v>106</v>
      </c>
      <c r="B893" s="892"/>
      <c r="C893" s="892"/>
      <c r="D893" s="893"/>
      <c r="F893" s="50" t="s">
        <v>288</v>
      </c>
      <c r="H893" s="71">
        <v>719</v>
      </c>
      <c r="I893" s="73">
        <f>+O871+O873+O875+O877+O879</f>
        <v>2550000</v>
      </c>
      <c r="J893" s="74">
        <f>+K854</f>
        <v>39840000</v>
      </c>
      <c r="K893" s="195">
        <f>+I893+J893</f>
        <v>42390000</v>
      </c>
      <c r="M893" s="918"/>
      <c r="N893" s="918"/>
      <c r="O893" s="918"/>
    </row>
    <row r="894" spans="1:15" ht="12.75" customHeight="1" thickBot="1">
      <c r="A894" s="57" t="s">
        <v>100</v>
      </c>
      <c r="B894" s="58" t="s">
        <v>108</v>
      </c>
      <c r="C894" s="59" t="s">
        <v>109</v>
      </c>
      <c r="D894" s="60" t="s">
        <v>110</v>
      </c>
      <c r="H894" s="72">
        <v>721</v>
      </c>
      <c r="I894" s="257">
        <v>287000</v>
      </c>
      <c r="J894" s="74">
        <f>+K855</f>
        <v>6433000</v>
      </c>
      <c r="K894" s="195">
        <f>+I894+J894</f>
        <v>6720000</v>
      </c>
      <c r="M894" s="918"/>
      <c r="N894" s="918"/>
      <c r="O894" s="918"/>
    </row>
    <row r="895" spans="1:15" ht="14.25" hidden="1" customHeight="1">
      <c r="A895" s="71">
        <v>719</v>
      </c>
      <c r="B895" s="73" t="e">
        <f>+#REF!+#REF!+#REF!+#REF!+#REF!</f>
        <v>#REF!</v>
      </c>
      <c r="C895" s="74" t="e">
        <f>+D856</f>
        <v>#REF!</v>
      </c>
      <c r="D895" s="195" t="e">
        <f>+B895+C895</f>
        <v>#REF!</v>
      </c>
      <c r="H895" s="72">
        <v>722</v>
      </c>
      <c r="I895" s="257"/>
      <c r="J895" s="74">
        <f>+K856</f>
        <v>0</v>
      </c>
      <c r="K895" s="195">
        <f>+I895+J895</f>
        <v>0</v>
      </c>
      <c r="M895" s="918"/>
      <c r="N895" s="918"/>
      <c r="O895" s="918"/>
    </row>
    <row r="896" spans="1:15" ht="13.5" customHeight="1" thickBot="1">
      <c r="A896" s="72">
        <v>721</v>
      </c>
      <c r="B896" s="80" t="e">
        <f>+#REF!</f>
        <v>#REF!</v>
      </c>
      <c r="C896" s="74" t="e">
        <f>+D857</f>
        <v>#REF!</v>
      </c>
      <c r="D896" s="195" t="e">
        <f>+B896+C896</f>
        <v>#REF!</v>
      </c>
      <c r="H896" s="72">
        <v>723</v>
      </c>
      <c r="I896" s="257">
        <f>+O881</f>
        <v>820000</v>
      </c>
      <c r="J896" s="74">
        <f>+K857</f>
        <v>329861511</v>
      </c>
      <c r="K896" s="195">
        <f>+I896+J896</f>
        <v>330681511</v>
      </c>
      <c r="M896" s="930"/>
      <c r="N896" s="930"/>
      <c r="O896" s="930"/>
    </row>
    <row r="897" spans="1:15" ht="15" hidden="1" customHeight="1">
      <c r="A897" s="72">
        <v>722</v>
      </c>
      <c r="B897" s="80"/>
      <c r="C897" s="74" t="e">
        <f>+D858</f>
        <v>#REF!</v>
      </c>
      <c r="D897" s="195" t="e">
        <f>+B897+C897</f>
        <v>#REF!</v>
      </c>
      <c r="H897" s="164" t="s">
        <v>181</v>
      </c>
      <c r="I897" s="165"/>
      <c r="J897" s="74">
        <f>+K858</f>
        <v>0</v>
      </c>
      <c r="K897" s="196">
        <f>+I897+J897</f>
        <v>0</v>
      </c>
      <c r="M897" s="52"/>
    </row>
    <row r="898" spans="1:15" ht="16.5" thickBot="1">
      <c r="A898" s="72">
        <v>723</v>
      </c>
      <c r="B898" s="80" t="e">
        <f>+#REF!</f>
        <v>#REF!</v>
      </c>
      <c r="C898" s="74" t="e">
        <f>+D859</f>
        <v>#REF!</v>
      </c>
      <c r="D898" s="195" t="e">
        <f>+B898+C898</f>
        <v>#REF!</v>
      </c>
      <c r="F898" s="174" t="s">
        <v>23</v>
      </c>
      <c r="G898" s="175"/>
      <c r="H898" s="169"/>
      <c r="I898" s="197">
        <f>SUM(I893:I897)</f>
        <v>3657000</v>
      </c>
      <c r="J898" s="197">
        <f>SUM(J893:J897)</f>
        <v>376134511</v>
      </c>
      <c r="K898" s="198">
        <f>SUM(K893:K897)</f>
        <v>379791511</v>
      </c>
    </row>
    <row r="899" spans="1:15" ht="17.25" thickBot="1">
      <c r="A899" s="164" t="s">
        <v>181</v>
      </c>
      <c r="B899" s="165"/>
      <c r="C899" s="74" t="e">
        <f>+D860</f>
        <v>#REF!</v>
      </c>
      <c r="D899" s="196" t="e">
        <f>+B899+C899</f>
        <v>#REF!</v>
      </c>
      <c r="F899" s="52"/>
      <c r="H899" s="49" t="s">
        <v>88</v>
      </c>
      <c r="I899" s="50"/>
    </row>
    <row r="900" spans="1:15" ht="14.25" customHeight="1" thickBot="1">
      <c r="A900" s="169"/>
      <c r="B900" s="170" t="e">
        <f>SUM(B895:B899)</f>
        <v>#REF!</v>
      </c>
      <c r="C900" s="171" t="e">
        <f>SUM(C895:C899)</f>
        <v>#REF!</v>
      </c>
      <c r="D900" s="172" t="e">
        <f>SUM(D895:D899)</f>
        <v>#REF!</v>
      </c>
      <c r="H900" s="51" t="s">
        <v>89</v>
      </c>
    </row>
    <row r="901" spans="1:15" ht="14.25" customHeight="1">
      <c r="A901" s="49" t="s">
        <v>88</v>
      </c>
      <c r="B901" s="50"/>
      <c r="H901" s="51" t="s">
        <v>90</v>
      </c>
    </row>
    <row r="902" spans="1:15">
      <c r="A902" s="51" t="s">
        <v>89</v>
      </c>
      <c r="H902" s="51" t="s">
        <v>91</v>
      </c>
    </row>
    <row r="903" spans="1:15" ht="6" customHeight="1">
      <c r="A903" s="51" t="s">
        <v>90</v>
      </c>
      <c r="H903" s="50"/>
      <c r="I903" s="50"/>
    </row>
    <row r="904" spans="1:15" ht="15" customHeight="1">
      <c r="A904" s="51" t="s">
        <v>91</v>
      </c>
      <c r="H904" s="260" t="s">
        <v>795</v>
      </c>
      <c r="N904" s="52"/>
    </row>
    <row r="905" spans="1:15" ht="15" customHeight="1">
      <c r="A905" s="50"/>
      <c r="B905" s="50"/>
      <c r="H905" s="261" t="s">
        <v>2443</v>
      </c>
      <c r="N905" s="53"/>
    </row>
    <row r="906" spans="1:15" ht="15" customHeight="1">
      <c r="A906" s="52" t="s">
        <v>455</v>
      </c>
      <c r="G906" s="52"/>
      <c r="H906" s="894" t="s">
        <v>2724</v>
      </c>
      <c r="I906" s="894"/>
      <c r="J906" s="894"/>
      <c r="K906" s="894"/>
      <c r="L906" s="894"/>
      <c r="M906" s="894"/>
      <c r="N906" s="894"/>
      <c r="O906" s="894"/>
    </row>
    <row r="907" spans="1:15" ht="7.5" customHeight="1" thickBot="1">
      <c r="A907" s="53" t="s">
        <v>92</v>
      </c>
      <c r="G907" s="53"/>
    </row>
    <row r="908" spans="1:15" ht="16.5">
      <c r="A908" s="894" t="s">
        <v>93</v>
      </c>
      <c r="B908" s="894"/>
      <c r="C908" s="894"/>
      <c r="D908" s="894"/>
      <c r="E908" s="894"/>
      <c r="F908" s="894"/>
      <c r="G908" s="894"/>
      <c r="H908" s="895" t="s">
        <v>94</v>
      </c>
      <c r="I908" s="897" t="s">
        <v>95</v>
      </c>
      <c r="J908" s="897" t="s">
        <v>96</v>
      </c>
      <c r="K908" s="897" t="s">
        <v>3</v>
      </c>
      <c r="L908" s="897" t="s">
        <v>97</v>
      </c>
      <c r="M908" s="897" t="s">
        <v>98</v>
      </c>
      <c r="N908" s="897" t="s">
        <v>99</v>
      </c>
      <c r="O908" s="899"/>
    </row>
    <row r="909" spans="1:15" ht="15.75" thickBot="1">
      <c r="H909" s="896"/>
      <c r="I909" s="898"/>
      <c r="J909" s="898"/>
      <c r="K909" s="898"/>
      <c r="L909" s="898"/>
      <c r="M909" s="898"/>
      <c r="N909" s="240" t="s">
        <v>100</v>
      </c>
      <c r="O909" s="182" t="s">
        <v>101</v>
      </c>
    </row>
    <row r="910" spans="1:15" ht="15" customHeight="1">
      <c r="A910" s="895" t="s">
        <v>94</v>
      </c>
      <c r="B910" s="897" t="s">
        <v>95</v>
      </c>
      <c r="C910" s="897" t="s">
        <v>96</v>
      </c>
      <c r="D910" s="897" t="s">
        <v>3</v>
      </c>
      <c r="E910" s="897" t="s">
        <v>97</v>
      </c>
      <c r="F910" s="897" t="s">
        <v>98</v>
      </c>
      <c r="G910" s="500" t="s">
        <v>99</v>
      </c>
      <c r="H910" s="928">
        <f>+H881+1</f>
        <v>115</v>
      </c>
      <c r="I910" s="875">
        <v>45594</v>
      </c>
      <c r="J910" s="877" t="s">
        <v>1984</v>
      </c>
      <c r="K910" s="881" t="s">
        <v>2710</v>
      </c>
      <c r="L910" s="881" t="s">
        <v>115</v>
      </c>
      <c r="M910" s="883">
        <v>675000</v>
      </c>
      <c r="N910" s="55">
        <v>719</v>
      </c>
      <c r="O910" s="78">
        <v>500000</v>
      </c>
    </row>
    <row r="911" spans="1:15" ht="15.75" customHeight="1" thickBot="1">
      <c r="A911" s="896"/>
      <c r="B911" s="898"/>
      <c r="C911" s="898"/>
      <c r="D911" s="898"/>
      <c r="E911" s="898"/>
      <c r="F911" s="898"/>
      <c r="G911" s="240" t="s">
        <v>100</v>
      </c>
      <c r="H911" s="929"/>
      <c r="I911" s="876"/>
      <c r="J911" s="878"/>
      <c r="K911" s="882"/>
      <c r="L911" s="882"/>
      <c r="M911" s="884"/>
      <c r="N911" s="56">
        <v>721</v>
      </c>
      <c r="O911" s="79">
        <v>175000</v>
      </c>
    </row>
    <row r="912" spans="1:15" ht="15" customHeight="1">
      <c r="A912" s="881" t="e">
        <f>+A883+1</f>
        <v>#REF!</v>
      </c>
      <c r="B912" s="875">
        <v>42320</v>
      </c>
      <c r="C912" s="877" t="s">
        <v>272</v>
      </c>
      <c r="D912" s="881" t="s">
        <v>456</v>
      </c>
      <c r="E912" s="881" t="s">
        <v>115</v>
      </c>
      <c r="F912" s="883">
        <v>60000</v>
      </c>
      <c r="G912" s="55">
        <v>719</v>
      </c>
      <c r="H912" s="928">
        <f>+H910+1</f>
        <v>116</v>
      </c>
      <c r="I912" s="875">
        <v>45594</v>
      </c>
      <c r="J912" s="877" t="s">
        <v>120</v>
      </c>
      <c r="K912" s="881" t="s">
        <v>2711</v>
      </c>
      <c r="L912" s="881" t="s">
        <v>214</v>
      </c>
      <c r="M912" s="883">
        <v>650000</v>
      </c>
      <c r="N912" s="55">
        <v>719</v>
      </c>
      <c r="O912" s="78">
        <v>650000</v>
      </c>
    </row>
    <row r="913" spans="1:15" ht="12" customHeight="1" thickBot="1">
      <c r="A913" s="882"/>
      <c r="B913" s="876"/>
      <c r="C913" s="878"/>
      <c r="D913" s="882"/>
      <c r="E913" s="882"/>
      <c r="F913" s="884"/>
      <c r="G913" s="56">
        <v>721</v>
      </c>
      <c r="H913" s="929"/>
      <c r="I913" s="876"/>
      <c r="J913" s="878"/>
      <c r="K913" s="882"/>
      <c r="L913" s="882"/>
      <c r="M913" s="884"/>
      <c r="N913" s="56">
        <v>721</v>
      </c>
      <c r="O913" s="79"/>
    </row>
    <row r="914" spans="1:15" ht="15" customHeight="1">
      <c r="A914" s="881" t="e">
        <f>+A912+1</f>
        <v>#REF!</v>
      </c>
      <c r="B914" s="875">
        <v>42320</v>
      </c>
      <c r="C914" s="881" t="s">
        <v>28</v>
      </c>
      <c r="D914" s="881" t="s">
        <v>456</v>
      </c>
      <c r="E914" s="881" t="s">
        <v>115</v>
      </c>
      <c r="F914" s="883">
        <v>30000</v>
      </c>
      <c r="G914" s="55">
        <v>719</v>
      </c>
      <c r="H914" s="928">
        <f>+H912+1</f>
        <v>117</v>
      </c>
      <c r="I914" s="875">
        <v>45594</v>
      </c>
      <c r="J914" s="877" t="s">
        <v>1984</v>
      </c>
      <c r="K914" s="881" t="s">
        <v>2712</v>
      </c>
      <c r="L914" s="881" t="s">
        <v>148</v>
      </c>
      <c r="M914" s="883">
        <v>500000</v>
      </c>
      <c r="N914" s="55">
        <v>719</v>
      </c>
      <c r="O914" s="78">
        <f>+M914</f>
        <v>500000</v>
      </c>
    </row>
    <row r="915" spans="1:15" ht="13.5" customHeight="1" thickBot="1">
      <c r="A915" s="882"/>
      <c r="B915" s="876"/>
      <c r="C915" s="882"/>
      <c r="D915" s="882"/>
      <c r="E915" s="882"/>
      <c r="F915" s="884"/>
      <c r="G915" s="56">
        <v>721</v>
      </c>
      <c r="H915" s="929"/>
      <c r="I915" s="876"/>
      <c r="J915" s="878"/>
      <c r="K915" s="882"/>
      <c r="L915" s="882"/>
      <c r="M915" s="884"/>
      <c r="N915" s="56">
        <v>721</v>
      </c>
      <c r="O915" s="79"/>
    </row>
    <row r="916" spans="1:15" ht="12.75" customHeight="1">
      <c r="A916" s="881" t="e">
        <f>+A914+1</f>
        <v>#REF!</v>
      </c>
      <c r="B916" s="875">
        <v>42320</v>
      </c>
      <c r="C916" s="877" t="s">
        <v>32</v>
      </c>
      <c r="D916" s="881" t="s">
        <v>457</v>
      </c>
      <c r="E916" s="881" t="s">
        <v>115</v>
      </c>
      <c r="F916" s="883">
        <v>20000</v>
      </c>
      <c r="G916" s="55">
        <v>719</v>
      </c>
      <c r="H916" s="928">
        <v>118</v>
      </c>
      <c r="I916" s="875">
        <v>45594</v>
      </c>
      <c r="J916" s="877" t="s">
        <v>2713</v>
      </c>
      <c r="K916" s="881" t="s">
        <v>2709</v>
      </c>
      <c r="L916" s="881" t="s">
        <v>148</v>
      </c>
      <c r="M916" s="883">
        <v>3642650</v>
      </c>
      <c r="N916" s="55">
        <v>719</v>
      </c>
      <c r="O916" s="78"/>
    </row>
    <row r="917" spans="1:15" ht="13.5" customHeight="1" thickBot="1">
      <c r="A917" s="882"/>
      <c r="B917" s="876"/>
      <c r="C917" s="878"/>
      <c r="D917" s="882"/>
      <c r="E917" s="882"/>
      <c r="F917" s="884"/>
      <c r="G917" s="56">
        <v>721</v>
      </c>
      <c r="H917" s="929"/>
      <c r="I917" s="876"/>
      <c r="J917" s="878"/>
      <c r="K917" s="882"/>
      <c r="L917" s="882"/>
      <c r="M917" s="884"/>
      <c r="N917" s="56">
        <v>723</v>
      </c>
      <c r="O917" s="79">
        <v>3642650</v>
      </c>
    </row>
    <row r="918" spans="1:15" ht="12" customHeight="1">
      <c r="A918" s="881"/>
      <c r="B918" s="875"/>
      <c r="C918" s="881"/>
      <c r="D918" s="881"/>
      <c r="E918" s="881"/>
      <c r="F918" s="883"/>
      <c r="G918" s="55">
        <v>719</v>
      </c>
      <c r="H918" s="928">
        <v>119</v>
      </c>
      <c r="I918" s="875">
        <v>45594</v>
      </c>
      <c r="J918" s="877" t="s">
        <v>2713</v>
      </c>
      <c r="K918" s="881" t="s">
        <v>2714</v>
      </c>
      <c r="L918" s="881" t="s">
        <v>148</v>
      </c>
      <c r="M918" s="883">
        <v>1521250</v>
      </c>
      <c r="N918" s="55">
        <v>719</v>
      </c>
      <c r="O918" s="78"/>
    </row>
    <row r="919" spans="1:15" ht="12" customHeight="1" thickBot="1">
      <c r="A919" s="882"/>
      <c r="B919" s="876"/>
      <c r="C919" s="882"/>
      <c r="D919" s="882"/>
      <c r="E919" s="882"/>
      <c r="F919" s="884"/>
      <c r="G919" s="56">
        <v>721</v>
      </c>
      <c r="H919" s="929"/>
      <c r="I919" s="876"/>
      <c r="J919" s="878"/>
      <c r="K919" s="882"/>
      <c r="L919" s="882"/>
      <c r="M919" s="884"/>
      <c r="N919" s="56">
        <v>723</v>
      </c>
      <c r="O919" s="79">
        <v>1521250</v>
      </c>
    </row>
    <row r="920" spans="1:15" ht="16.5" thickBot="1">
      <c r="A920" s="881"/>
      <c r="B920" s="875"/>
      <c r="C920" s="877"/>
      <c r="D920" s="881"/>
      <c r="E920" s="881"/>
      <c r="F920" s="883"/>
      <c r="G920" s="55">
        <v>719</v>
      </c>
      <c r="H920" s="901" t="s">
        <v>102</v>
      </c>
      <c r="I920" s="902"/>
      <c r="J920" s="902"/>
      <c r="K920" s="902"/>
      <c r="L920" s="903"/>
      <c r="M920" s="81">
        <f>SUM(M910:M919)</f>
        <v>6988900</v>
      </c>
    </row>
    <row r="921" spans="1:15" ht="16.5" thickBot="1">
      <c r="A921" s="882"/>
      <c r="B921" s="876"/>
      <c r="C921" s="878"/>
      <c r="D921" s="882"/>
      <c r="E921" s="882"/>
      <c r="F921" s="884"/>
      <c r="G921" s="56">
        <v>721</v>
      </c>
      <c r="H921" s="885" t="s">
        <v>103</v>
      </c>
      <c r="I921" s="886"/>
      <c r="J921" s="886"/>
      <c r="K921" s="886"/>
      <c r="L921" s="887"/>
      <c r="M921" s="239">
        <f>+M885</f>
        <v>379791511</v>
      </c>
      <c r="N921" s="241" t="s">
        <v>561</v>
      </c>
      <c r="O921" s="242">
        <v>2848</v>
      </c>
    </row>
    <row r="922" spans="1:15" ht="15" customHeight="1" thickBot="1">
      <c r="A922" s="901" t="s">
        <v>102</v>
      </c>
      <c r="B922" s="902"/>
      <c r="C922" s="902"/>
      <c r="D922" s="902"/>
      <c r="E922" s="903"/>
      <c r="F922" s="81">
        <f>SUM(F912:F921)</f>
        <v>110000</v>
      </c>
      <c r="H922" s="888" t="s">
        <v>104</v>
      </c>
      <c r="I922" s="889"/>
      <c r="J922" s="889"/>
      <c r="K922" s="889"/>
      <c r="L922" s="890"/>
      <c r="M922" s="183">
        <f>SUM(M920:M921)</f>
        <v>386780411</v>
      </c>
    </row>
    <row r="923" spans="1:15" ht="5.25" customHeight="1" thickBot="1">
      <c r="A923" s="885" t="s">
        <v>103</v>
      </c>
      <c r="B923" s="886"/>
      <c r="C923" s="886"/>
      <c r="D923" s="886"/>
      <c r="E923" s="887"/>
      <c r="F923" s="69" t="e">
        <f>+F887</f>
        <v>#REF!</v>
      </c>
      <c r="H923" s="61"/>
      <c r="I923" s="61"/>
      <c r="J923" s="61"/>
      <c r="K923" s="61"/>
      <c r="L923" s="61"/>
    </row>
    <row r="924" spans="1:15" ht="16.5" thickBot="1">
      <c r="A924" s="888" t="s">
        <v>104</v>
      </c>
      <c r="B924" s="889"/>
      <c r="C924" s="889"/>
      <c r="D924" s="889"/>
      <c r="E924" s="890"/>
      <c r="F924" s="183" t="e">
        <f>SUM(F922:F923)</f>
        <v>#REF!</v>
      </c>
      <c r="H924" s="51" t="s">
        <v>2715</v>
      </c>
    </row>
    <row r="925" spans="1:15" ht="3" customHeight="1">
      <c r="A925" s="61"/>
      <c r="B925" s="61"/>
      <c r="C925" s="61"/>
      <c r="D925" s="61"/>
      <c r="E925" s="61"/>
      <c r="M925" s="139"/>
    </row>
    <row r="926" spans="1:15">
      <c r="A926" s="51" t="s">
        <v>458</v>
      </c>
      <c r="H926" s="50" t="s">
        <v>105</v>
      </c>
      <c r="K926" s="146"/>
      <c r="M926" s="139"/>
    </row>
    <row r="927" spans="1:15" ht="8.25" customHeight="1" thickBot="1">
      <c r="F927" s="139"/>
    </row>
    <row r="928" spans="1:15" ht="15.75" thickBot="1">
      <c r="A928" s="50" t="s">
        <v>105</v>
      </c>
      <c r="D928" s="146"/>
      <c r="F928" s="139"/>
      <c r="H928" s="891" t="s">
        <v>106</v>
      </c>
      <c r="I928" s="892"/>
      <c r="J928" s="892"/>
      <c r="K928" s="893"/>
      <c r="M928" s="925" t="s">
        <v>288</v>
      </c>
      <c r="N928" s="925"/>
      <c r="O928" s="925"/>
    </row>
    <row r="929" spans="1:15" s="532" customFormat="1" ht="28.5" customHeight="1" thickBot="1">
      <c r="H929" s="533" t="s">
        <v>100</v>
      </c>
      <c r="I929" s="534" t="s">
        <v>108</v>
      </c>
      <c r="J929" s="535" t="s">
        <v>109</v>
      </c>
      <c r="K929" s="536" t="s">
        <v>110</v>
      </c>
    </row>
    <row r="930" spans="1:15" ht="14.25" customHeight="1" thickBot="1">
      <c r="A930" s="891" t="s">
        <v>106</v>
      </c>
      <c r="B930" s="892"/>
      <c r="C930" s="892"/>
      <c r="D930" s="893"/>
      <c r="F930" s="50" t="s">
        <v>288</v>
      </c>
      <c r="H930" s="71">
        <v>719</v>
      </c>
      <c r="I930" s="73">
        <f>+O910+O912+O914+O916+O918</f>
        <v>1650000</v>
      </c>
      <c r="J930" s="74">
        <f>+K893</f>
        <v>42390000</v>
      </c>
      <c r="K930" s="195">
        <f>+I930+J930</f>
        <v>44040000</v>
      </c>
    </row>
    <row r="931" spans="1:15" ht="16.5" customHeight="1" thickBot="1">
      <c r="A931" s="57" t="s">
        <v>100</v>
      </c>
      <c r="B931" s="58" t="s">
        <v>108</v>
      </c>
      <c r="C931" s="59" t="s">
        <v>109</v>
      </c>
      <c r="D931" s="60" t="s">
        <v>110</v>
      </c>
      <c r="H931" s="72">
        <v>721</v>
      </c>
      <c r="I931" s="257">
        <v>175000</v>
      </c>
      <c r="J931" s="74">
        <f>+K894</f>
        <v>6720000</v>
      </c>
      <c r="K931" s="195">
        <f>+I931+J931</f>
        <v>6895000</v>
      </c>
    </row>
    <row r="932" spans="1:15" ht="13.5" hidden="1" customHeight="1">
      <c r="A932" s="71">
        <v>719</v>
      </c>
      <c r="B932" s="73" t="e">
        <f>+#REF!+#REF!+#REF!+#REF!+#REF!</f>
        <v>#REF!</v>
      </c>
      <c r="C932" s="74" t="e">
        <f>+D895</f>
        <v>#REF!</v>
      </c>
      <c r="D932" s="195" t="e">
        <f>+B932+C932</f>
        <v>#REF!</v>
      </c>
      <c r="H932" s="72">
        <v>722</v>
      </c>
      <c r="I932" s="257"/>
      <c r="J932" s="74">
        <f>+K895</f>
        <v>0</v>
      </c>
      <c r="K932" s="195">
        <f>+I932+J932</f>
        <v>0</v>
      </c>
    </row>
    <row r="933" spans="1:15" ht="16.5" thickBot="1">
      <c r="A933" s="72">
        <v>721</v>
      </c>
      <c r="B933" s="80" t="e">
        <f>+#REF!</f>
        <v>#REF!</v>
      </c>
      <c r="C933" s="74" t="e">
        <f>+D896</f>
        <v>#REF!</v>
      </c>
      <c r="D933" s="195" t="e">
        <f>+B933+C933</f>
        <v>#REF!</v>
      </c>
      <c r="H933" s="72">
        <v>723</v>
      </c>
      <c r="I933" s="257">
        <f>+M916+M918</f>
        <v>5163900</v>
      </c>
      <c r="J933" s="74">
        <f>+K896</f>
        <v>330681511</v>
      </c>
      <c r="K933" s="195">
        <f>+I933+J933</f>
        <v>335845411</v>
      </c>
      <c r="M933" s="918"/>
      <c r="N933" s="918"/>
      <c r="O933" s="918"/>
    </row>
    <row r="934" spans="1:15" ht="14.25" hidden="1" customHeight="1">
      <c r="A934" s="72">
        <v>722</v>
      </c>
      <c r="B934" s="80"/>
      <c r="C934" s="74" t="e">
        <f>+D897</f>
        <v>#REF!</v>
      </c>
      <c r="D934" s="195" t="e">
        <f>+B934+C934</f>
        <v>#REF!</v>
      </c>
      <c r="H934" s="164" t="s">
        <v>181</v>
      </c>
      <c r="I934" s="165"/>
      <c r="J934" s="74">
        <f>+K897</f>
        <v>0</v>
      </c>
      <c r="K934" s="196">
        <f>+I934+J934</f>
        <v>0</v>
      </c>
      <c r="M934" s="52"/>
    </row>
    <row r="935" spans="1:15" ht="16.5" thickBot="1">
      <c r="A935" s="72">
        <v>723</v>
      </c>
      <c r="B935" s="80" t="e">
        <f>+#REF!</f>
        <v>#REF!</v>
      </c>
      <c r="C935" s="74" t="e">
        <f>+D898</f>
        <v>#REF!</v>
      </c>
      <c r="D935" s="195" t="e">
        <f>+B935+C935</f>
        <v>#REF!</v>
      </c>
      <c r="F935" s="174" t="s">
        <v>23</v>
      </c>
      <c r="G935" s="175"/>
      <c r="H935" s="169"/>
      <c r="I935" s="197">
        <f>SUM(I930:I934)</f>
        <v>6988900</v>
      </c>
      <c r="J935" s="197">
        <f>SUM(J930:J934)</f>
        <v>379791511</v>
      </c>
      <c r="K935" s="198">
        <f>SUM(K930:K934)</f>
        <v>386780411</v>
      </c>
    </row>
    <row r="936" spans="1:15" ht="17.25" thickBot="1">
      <c r="A936" s="164" t="s">
        <v>181</v>
      </c>
      <c r="B936" s="165"/>
      <c r="C936" s="74" t="e">
        <f>+D899</f>
        <v>#REF!</v>
      </c>
      <c r="D936" s="196" t="e">
        <f>+B936+C936</f>
        <v>#REF!</v>
      </c>
      <c r="F936" s="52"/>
      <c r="H936" s="49" t="s">
        <v>88</v>
      </c>
      <c r="I936" s="50"/>
    </row>
    <row r="937" spans="1:15" ht="15" customHeight="1" thickBot="1">
      <c r="A937" s="169"/>
      <c r="B937" s="170" t="e">
        <f>SUM(B932:B936)</f>
        <v>#REF!</v>
      </c>
      <c r="C937" s="171" t="e">
        <f>SUM(C932:C936)</f>
        <v>#REF!</v>
      </c>
      <c r="D937" s="172" t="e">
        <f>SUM(D932:D936)</f>
        <v>#REF!</v>
      </c>
      <c r="H937" s="51" t="s">
        <v>89</v>
      </c>
    </row>
    <row r="938" spans="1:15" ht="15" customHeight="1">
      <c r="A938" s="49" t="s">
        <v>88</v>
      </c>
      <c r="B938" s="50"/>
      <c r="H938" s="51" t="s">
        <v>90</v>
      </c>
    </row>
    <row r="939" spans="1:15" ht="12.75" customHeight="1">
      <c r="A939" s="51" t="s">
        <v>89</v>
      </c>
      <c r="H939" s="51" t="s">
        <v>91</v>
      </c>
    </row>
    <row r="940" spans="1:15" ht="3.75" customHeight="1">
      <c r="A940" s="51" t="s">
        <v>90</v>
      </c>
      <c r="H940" s="50"/>
      <c r="I940" s="50"/>
    </row>
    <row r="941" spans="1:15" ht="15.75" customHeight="1">
      <c r="A941" s="51" t="s">
        <v>91</v>
      </c>
      <c r="H941" s="52" t="s">
        <v>813</v>
      </c>
      <c r="N941" s="52"/>
    </row>
    <row r="942" spans="1:15" ht="13.5" customHeight="1">
      <c r="A942" s="50"/>
      <c r="B942" s="50"/>
      <c r="H942" s="53" t="s">
        <v>2443</v>
      </c>
      <c r="N942" s="53"/>
    </row>
    <row r="943" spans="1:15" ht="15" customHeight="1">
      <c r="A943" s="52" t="s">
        <v>460</v>
      </c>
      <c r="G943" s="52"/>
      <c r="H943" s="894" t="s">
        <v>261</v>
      </c>
      <c r="I943" s="894"/>
      <c r="J943" s="894"/>
      <c r="K943" s="894"/>
      <c r="L943" s="894"/>
      <c r="M943" s="894"/>
      <c r="N943" s="894"/>
      <c r="O943" s="894"/>
    </row>
    <row r="944" spans="1:15" ht="7.5" customHeight="1" thickBot="1">
      <c r="A944" s="53" t="s">
        <v>92</v>
      </c>
      <c r="G944" s="53"/>
    </row>
    <row r="945" spans="1:15" ht="16.5">
      <c r="A945" s="894" t="s">
        <v>462</v>
      </c>
      <c r="B945" s="894"/>
      <c r="C945" s="894"/>
      <c r="D945" s="894"/>
      <c r="E945" s="894"/>
      <c r="F945" s="894"/>
      <c r="G945" s="894"/>
      <c r="H945" s="895" t="s">
        <v>94</v>
      </c>
      <c r="I945" s="897" t="s">
        <v>95</v>
      </c>
      <c r="J945" s="897" t="s">
        <v>96</v>
      </c>
      <c r="K945" s="897" t="s">
        <v>3</v>
      </c>
      <c r="L945" s="897" t="s">
        <v>97</v>
      </c>
      <c r="M945" s="897" t="s">
        <v>98</v>
      </c>
      <c r="N945" s="897" t="s">
        <v>99</v>
      </c>
      <c r="O945" s="899"/>
    </row>
    <row r="946" spans="1:15" ht="15.75" thickBot="1">
      <c r="H946" s="896"/>
      <c r="I946" s="898"/>
      <c r="J946" s="898"/>
      <c r="K946" s="898"/>
      <c r="L946" s="898"/>
      <c r="M946" s="898"/>
      <c r="N946" s="240" t="s">
        <v>100</v>
      </c>
      <c r="O946" s="182" t="s">
        <v>101</v>
      </c>
    </row>
    <row r="947" spans="1:15" ht="12.75" customHeight="1">
      <c r="A947" s="895" t="s">
        <v>94</v>
      </c>
      <c r="B947" s="897" t="s">
        <v>95</v>
      </c>
      <c r="C947" s="897" t="s">
        <v>96</v>
      </c>
      <c r="D947" s="897" t="s">
        <v>3</v>
      </c>
      <c r="E947" s="897" t="s">
        <v>97</v>
      </c>
      <c r="F947" s="897" t="s">
        <v>98</v>
      </c>
      <c r="G947" s="500" t="s">
        <v>99</v>
      </c>
      <c r="H947" s="873" t="s">
        <v>1606</v>
      </c>
      <c r="I947" s="875">
        <v>45649</v>
      </c>
      <c r="J947" s="877" t="s">
        <v>120</v>
      </c>
      <c r="K947" s="881" t="s">
        <v>2727</v>
      </c>
      <c r="L947" s="881" t="s">
        <v>214</v>
      </c>
      <c r="M947" s="883">
        <v>490000</v>
      </c>
      <c r="N947" s="55">
        <v>719</v>
      </c>
      <c r="O947" s="78">
        <v>490000</v>
      </c>
    </row>
    <row r="948" spans="1:15" ht="13.5" customHeight="1" thickBot="1">
      <c r="A948" s="896"/>
      <c r="B948" s="898"/>
      <c r="C948" s="898"/>
      <c r="D948" s="898"/>
      <c r="E948" s="898"/>
      <c r="F948" s="898"/>
      <c r="G948" s="240" t="s">
        <v>100</v>
      </c>
      <c r="H948" s="882"/>
      <c r="I948" s="876"/>
      <c r="J948" s="878"/>
      <c r="K948" s="882"/>
      <c r="L948" s="882"/>
      <c r="M948" s="884"/>
      <c r="N948" s="56">
        <v>721</v>
      </c>
      <c r="O948" s="79"/>
    </row>
    <row r="949" spans="1:15" ht="12" customHeight="1">
      <c r="A949" s="881" t="e">
        <f>+A916+1</f>
        <v>#REF!</v>
      </c>
      <c r="B949" s="875">
        <v>42328</v>
      </c>
      <c r="C949" s="877" t="s">
        <v>469</v>
      </c>
      <c r="D949" s="881" t="s">
        <v>459</v>
      </c>
      <c r="E949" s="881" t="s">
        <v>148</v>
      </c>
      <c r="F949" s="883">
        <v>1764708</v>
      </c>
      <c r="G949" s="55">
        <v>723</v>
      </c>
      <c r="H949" s="873" t="s">
        <v>1519</v>
      </c>
      <c r="I949" s="875">
        <v>45649</v>
      </c>
      <c r="J949" s="877" t="s">
        <v>120</v>
      </c>
      <c r="K949" s="881" t="s">
        <v>2728</v>
      </c>
      <c r="L949" s="881" t="s">
        <v>214</v>
      </c>
      <c r="M949" s="883">
        <v>390000</v>
      </c>
      <c r="N949" s="55">
        <v>719</v>
      </c>
      <c r="O949" s="78">
        <f>+M949</f>
        <v>390000</v>
      </c>
    </row>
    <row r="950" spans="1:15" ht="13.5" customHeight="1" thickBot="1">
      <c r="A950" s="882"/>
      <c r="B950" s="876"/>
      <c r="C950" s="878"/>
      <c r="D950" s="882"/>
      <c r="E950" s="882"/>
      <c r="F950" s="884"/>
      <c r="G950" s="56">
        <v>721</v>
      </c>
      <c r="H950" s="882"/>
      <c r="I950" s="876"/>
      <c r="J950" s="878"/>
      <c r="K950" s="882"/>
      <c r="L950" s="882"/>
      <c r="M950" s="884"/>
      <c r="N950" s="56">
        <v>721</v>
      </c>
      <c r="O950" s="79">
        <f>+M949-O949</f>
        <v>0</v>
      </c>
    </row>
    <row r="951" spans="1:15" ht="15" customHeight="1">
      <c r="A951" s="881"/>
      <c r="B951" s="875"/>
      <c r="C951" s="881"/>
      <c r="D951" s="881"/>
      <c r="E951" s="881"/>
      <c r="F951" s="883"/>
      <c r="G951" s="55">
        <v>719</v>
      </c>
      <c r="H951" s="873" t="s">
        <v>1607</v>
      </c>
      <c r="I951" s="875">
        <v>45649</v>
      </c>
      <c r="J951" s="877" t="s">
        <v>120</v>
      </c>
      <c r="K951" s="881" t="s">
        <v>2729</v>
      </c>
      <c r="L951" s="881" t="s">
        <v>115</v>
      </c>
      <c r="M951" s="883">
        <v>1201500</v>
      </c>
      <c r="N951" s="55">
        <v>719</v>
      </c>
      <c r="O951" s="78">
        <v>890000</v>
      </c>
    </row>
    <row r="952" spans="1:15" ht="13.5" customHeight="1" thickBot="1">
      <c r="A952" s="882"/>
      <c r="B952" s="876"/>
      <c r="C952" s="882"/>
      <c r="D952" s="882"/>
      <c r="E952" s="882"/>
      <c r="F952" s="884"/>
      <c r="G952" s="56">
        <v>721</v>
      </c>
      <c r="H952" s="882"/>
      <c r="I952" s="876"/>
      <c r="J952" s="878"/>
      <c r="K952" s="882"/>
      <c r="L952" s="882"/>
      <c r="M952" s="884"/>
      <c r="N952" s="56">
        <v>721</v>
      </c>
      <c r="O952" s="79">
        <f>+M951-O951</f>
        <v>311500</v>
      </c>
    </row>
    <row r="953" spans="1:15" ht="14.25" customHeight="1">
      <c r="A953" s="251"/>
      <c r="B953" s="252"/>
      <c r="C953" s="251"/>
      <c r="D953" s="251"/>
      <c r="E953" s="251"/>
      <c r="F953" s="254"/>
      <c r="G953" s="255"/>
      <c r="H953" s="873" t="s">
        <v>2725</v>
      </c>
      <c r="I953" s="875">
        <v>45649</v>
      </c>
      <c r="J953" s="877" t="s">
        <v>120</v>
      </c>
      <c r="K953" s="881" t="s">
        <v>2729</v>
      </c>
      <c r="L953" s="881" t="s">
        <v>115</v>
      </c>
      <c r="M953" s="883">
        <v>1080000</v>
      </c>
      <c r="N953" s="55">
        <v>719</v>
      </c>
      <c r="O953" s="78">
        <v>800000</v>
      </c>
    </row>
    <row r="954" spans="1:15" ht="14.25" customHeight="1" thickBot="1">
      <c r="A954" s="251"/>
      <c r="B954" s="252"/>
      <c r="C954" s="251"/>
      <c r="D954" s="251"/>
      <c r="E954" s="251"/>
      <c r="F954" s="254"/>
      <c r="G954" s="255"/>
      <c r="H954" s="882"/>
      <c r="I954" s="876"/>
      <c r="J954" s="878"/>
      <c r="K954" s="882"/>
      <c r="L954" s="882"/>
      <c r="M954" s="884"/>
      <c r="N954" s="56">
        <v>721</v>
      </c>
      <c r="O954" s="79">
        <f>+M953-O953</f>
        <v>280000</v>
      </c>
    </row>
    <row r="955" spans="1:15" ht="15" customHeight="1">
      <c r="A955" s="881"/>
      <c r="B955" s="875"/>
      <c r="C955" s="877"/>
      <c r="D955" s="881"/>
      <c r="E955" s="881"/>
      <c r="F955" s="883"/>
      <c r="G955" s="55">
        <v>719</v>
      </c>
      <c r="H955" s="873" t="s">
        <v>2726</v>
      </c>
      <c r="I955" s="875">
        <v>45649</v>
      </c>
      <c r="J955" s="877" t="s">
        <v>1984</v>
      </c>
      <c r="K955" s="881" t="s">
        <v>2710</v>
      </c>
      <c r="L955" s="881" t="s">
        <v>148</v>
      </c>
      <c r="M955" s="883">
        <v>490000</v>
      </c>
      <c r="N955" s="55">
        <v>719</v>
      </c>
      <c r="O955" s="78">
        <v>490000</v>
      </c>
    </row>
    <row r="956" spans="1:15" ht="12" customHeight="1" thickBot="1">
      <c r="A956" s="882"/>
      <c r="B956" s="876"/>
      <c r="C956" s="878"/>
      <c r="D956" s="882"/>
      <c r="E956" s="882"/>
      <c r="F956" s="884"/>
      <c r="G956" s="56">
        <v>721</v>
      </c>
      <c r="H956" s="882"/>
      <c r="I956" s="876"/>
      <c r="J956" s="878"/>
      <c r="K956" s="882"/>
      <c r="L956" s="882"/>
      <c r="M956" s="884"/>
      <c r="N956" s="56">
        <v>721</v>
      </c>
      <c r="O956" s="79">
        <f>+M955-O955</f>
        <v>0</v>
      </c>
    </row>
    <row r="957" spans="1:15" ht="12" customHeight="1">
      <c r="A957" s="881"/>
      <c r="B957" s="875"/>
      <c r="C957" s="881"/>
      <c r="D957" s="881"/>
      <c r="E957" s="881"/>
      <c r="F957" s="883"/>
      <c r="G957" s="55">
        <v>719</v>
      </c>
      <c r="H957" s="873" t="s">
        <v>816</v>
      </c>
      <c r="I957" s="875">
        <v>45649</v>
      </c>
      <c r="J957" s="877" t="s">
        <v>1984</v>
      </c>
      <c r="K957" s="881" t="s">
        <v>2727</v>
      </c>
      <c r="L957" s="881" t="s">
        <v>115</v>
      </c>
      <c r="M957" s="883">
        <v>702000</v>
      </c>
      <c r="N957" s="55">
        <v>719</v>
      </c>
      <c r="O957" s="78">
        <v>520000</v>
      </c>
    </row>
    <row r="958" spans="1:15" ht="13.5" customHeight="1" thickBot="1">
      <c r="A958" s="882"/>
      <c r="B958" s="876"/>
      <c r="C958" s="882"/>
      <c r="D958" s="882"/>
      <c r="E958" s="882"/>
      <c r="F958" s="884"/>
      <c r="G958" s="56">
        <v>721</v>
      </c>
      <c r="H958" s="882"/>
      <c r="I958" s="876"/>
      <c r="J958" s="878"/>
      <c r="K958" s="882"/>
      <c r="L958" s="882"/>
      <c r="M958" s="884"/>
      <c r="N958" s="56">
        <v>721</v>
      </c>
      <c r="O958" s="79">
        <f>+M957-O957</f>
        <v>182000</v>
      </c>
    </row>
    <row r="959" spans="1:15" ht="16.5" thickBot="1">
      <c r="A959" s="881"/>
      <c r="B959" s="875"/>
      <c r="C959" s="877"/>
      <c r="D959" s="881"/>
      <c r="E959" s="881"/>
      <c r="F959" s="883"/>
      <c r="G959" s="55">
        <v>719</v>
      </c>
      <c r="H959" s="901" t="s">
        <v>102</v>
      </c>
      <c r="I959" s="902"/>
      <c r="J959" s="902"/>
      <c r="K959" s="902"/>
      <c r="L959" s="903"/>
      <c r="M959" s="81">
        <f>SUM(M947:M958)</f>
        <v>4353500</v>
      </c>
    </row>
    <row r="960" spans="1:15" ht="16.5" thickBot="1">
      <c r="A960" s="882"/>
      <c r="B960" s="876"/>
      <c r="C960" s="878"/>
      <c r="D960" s="882"/>
      <c r="E960" s="882"/>
      <c r="F960" s="884"/>
      <c r="G960" s="56">
        <v>721</v>
      </c>
      <c r="H960" s="885" t="s">
        <v>103</v>
      </c>
      <c r="I960" s="886"/>
      <c r="J960" s="886"/>
      <c r="K960" s="886"/>
      <c r="L960" s="887"/>
      <c r="M960" s="239">
        <f>+M922</f>
        <v>386780411</v>
      </c>
      <c r="N960" s="241" t="s">
        <v>561</v>
      </c>
      <c r="O960" s="242">
        <f>820+1021+1562+1886+624+640</f>
        <v>6553</v>
      </c>
    </row>
    <row r="961" spans="1:15" ht="16.5" thickBot="1">
      <c r="A961" s="901" t="s">
        <v>102</v>
      </c>
      <c r="B961" s="902"/>
      <c r="C961" s="902"/>
      <c r="D961" s="902"/>
      <c r="E961" s="903"/>
      <c r="F961" s="81">
        <f>SUM(F949:F960)</f>
        <v>1764708</v>
      </c>
      <c r="H961" s="888" t="s">
        <v>104</v>
      </c>
      <c r="I961" s="889"/>
      <c r="J961" s="889"/>
      <c r="K961" s="889"/>
      <c r="L961" s="890"/>
      <c r="M961" s="183">
        <f>SUM(M959:M960)</f>
        <v>391133911</v>
      </c>
    </row>
    <row r="962" spans="1:15" ht="6" customHeight="1" thickBot="1">
      <c r="A962" s="885" t="s">
        <v>103</v>
      </c>
      <c r="B962" s="886"/>
      <c r="C962" s="886"/>
      <c r="D962" s="886"/>
      <c r="E962" s="887"/>
      <c r="F962" s="69" t="e">
        <f>+F924</f>
        <v>#REF!</v>
      </c>
      <c r="H962" s="61"/>
      <c r="I962" s="61"/>
      <c r="J962" s="61"/>
      <c r="K962" s="61"/>
      <c r="L962" s="61"/>
    </row>
    <row r="963" spans="1:15" ht="16.5" thickBot="1">
      <c r="A963" s="888" t="s">
        <v>104</v>
      </c>
      <c r="B963" s="889"/>
      <c r="C963" s="889"/>
      <c r="D963" s="889"/>
      <c r="E963" s="890"/>
      <c r="F963" s="183" t="e">
        <f>SUM(F961:F962)</f>
        <v>#REF!</v>
      </c>
      <c r="H963" s="51" t="s">
        <v>2730</v>
      </c>
    </row>
    <row r="964" spans="1:15" ht="5.25" customHeight="1">
      <c r="A964" s="61"/>
      <c r="B964" s="61"/>
      <c r="C964" s="61"/>
      <c r="D964" s="61"/>
      <c r="E964" s="61"/>
      <c r="M964" s="139"/>
    </row>
    <row r="965" spans="1:15">
      <c r="A965" s="51" t="s">
        <v>461</v>
      </c>
      <c r="H965" s="50" t="s">
        <v>105</v>
      </c>
      <c r="K965" s="146"/>
      <c r="M965" s="139"/>
    </row>
    <row r="966" spans="1:15" ht="6.75" customHeight="1" thickBot="1">
      <c r="F966" s="139"/>
    </row>
    <row r="967" spans="1:15" ht="15.75" thickBot="1">
      <c r="A967" s="50" t="s">
        <v>105</v>
      </c>
      <c r="D967" s="146"/>
      <c r="F967" s="139"/>
      <c r="H967" s="891" t="s">
        <v>106</v>
      </c>
      <c r="I967" s="892"/>
      <c r="J967" s="892"/>
      <c r="K967" s="893"/>
      <c r="M967" s="50" t="s">
        <v>288</v>
      </c>
    </row>
    <row r="968" spans="1:15" ht="12.75" customHeight="1" thickBot="1">
      <c r="H968" s="57" t="s">
        <v>100</v>
      </c>
      <c r="I968" s="58"/>
      <c r="J968" s="59" t="s">
        <v>109</v>
      </c>
      <c r="K968" s="60" t="s">
        <v>110</v>
      </c>
    </row>
    <row r="969" spans="1:15" ht="13.5" customHeight="1" thickBot="1">
      <c r="A969" s="891" t="s">
        <v>106</v>
      </c>
      <c r="B969" s="892"/>
      <c r="C969" s="892"/>
      <c r="D969" s="893"/>
      <c r="F969" s="50" t="s">
        <v>288</v>
      </c>
      <c r="H969" s="71">
        <v>719</v>
      </c>
      <c r="I969" s="73">
        <f>+O947+O951+O955+O957+O953+O949</f>
        <v>3580000</v>
      </c>
      <c r="J969" s="74">
        <f>+K930</f>
        <v>44040000</v>
      </c>
      <c r="K969" s="195">
        <f>+I969+J969</f>
        <v>47620000</v>
      </c>
    </row>
    <row r="970" spans="1:15" ht="13.5" customHeight="1" thickBot="1">
      <c r="A970" s="57" t="s">
        <v>100</v>
      </c>
      <c r="B970" s="58" t="s">
        <v>108</v>
      </c>
      <c r="C970" s="59" t="s">
        <v>109</v>
      </c>
      <c r="D970" s="60" t="s">
        <v>110</v>
      </c>
      <c r="H970" s="72">
        <v>721</v>
      </c>
      <c r="I970" s="80">
        <f>+O948+O950+O952+O956+O958+O954</f>
        <v>773500</v>
      </c>
      <c r="J970" s="74">
        <f>+K931</f>
        <v>6895000</v>
      </c>
      <c r="K970" s="195">
        <f>+I970+J970</f>
        <v>7668500</v>
      </c>
    </row>
    <row r="971" spans="1:15" ht="12.75" hidden="1" customHeight="1">
      <c r="A971" s="71">
        <v>719</v>
      </c>
      <c r="B971" s="73">
        <f>0</f>
        <v>0</v>
      </c>
      <c r="C971" s="74" t="e">
        <f>+D932</f>
        <v>#REF!</v>
      </c>
      <c r="D971" s="195" t="e">
        <f>+B971+C971</f>
        <v>#REF!</v>
      </c>
      <c r="H971" s="72">
        <v>722</v>
      </c>
      <c r="I971" s="80"/>
      <c r="J971" s="74">
        <f>+K932</f>
        <v>0</v>
      </c>
      <c r="K971" s="195">
        <f>+I971+J971</f>
        <v>0</v>
      </c>
    </row>
    <row r="972" spans="1:15" ht="14.25" customHeight="1" thickBot="1">
      <c r="A972" s="72">
        <v>721</v>
      </c>
      <c r="B972" s="80" t="e">
        <f>+#REF!</f>
        <v>#REF!</v>
      </c>
      <c r="C972" s="74" t="e">
        <f>+D933</f>
        <v>#REF!</v>
      </c>
      <c r="D972" s="195" t="e">
        <f>+B972+C972</f>
        <v>#REF!</v>
      </c>
      <c r="H972" s="72">
        <v>723</v>
      </c>
      <c r="I972" s="80"/>
      <c r="J972" s="74">
        <f>+K933</f>
        <v>335845411</v>
      </c>
      <c r="K972" s="195">
        <f>+I972+J972</f>
        <v>335845411</v>
      </c>
      <c r="M972" s="918"/>
      <c r="N972" s="918"/>
      <c r="O972" s="918"/>
    </row>
    <row r="973" spans="1:15" ht="13.5" hidden="1" customHeight="1">
      <c r="A973" s="72">
        <v>722</v>
      </c>
      <c r="B973" s="80"/>
      <c r="C973" s="74" t="e">
        <f>+D934</f>
        <v>#REF!</v>
      </c>
      <c r="D973" s="195" t="e">
        <f>+B973+C973</f>
        <v>#REF!</v>
      </c>
      <c r="H973" s="164" t="s">
        <v>181</v>
      </c>
      <c r="I973" s="165"/>
      <c r="J973" s="74">
        <f>+K934</f>
        <v>0</v>
      </c>
      <c r="K973" s="196">
        <f>+I973+J973</f>
        <v>0</v>
      </c>
      <c r="M973" s="52"/>
    </row>
    <row r="974" spans="1:15" ht="15" customHeight="1" thickBot="1">
      <c r="A974" s="72">
        <v>723</v>
      </c>
      <c r="B974" s="80" t="e">
        <f>+#REF!</f>
        <v>#REF!</v>
      </c>
      <c r="C974" s="74" t="e">
        <f>+D935</f>
        <v>#REF!</v>
      </c>
      <c r="D974" s="195" t="e">
        <f>+B974+C974</f>
        <v>#REF!</v>
      </c>
      <c r="F974" s="174" t="s">
        <v>23</v>
      </c>
      <c r="G974" s="175"/>
      <c r="H974" s="169"/>
      <c r="I974" s="197">
        <f>SUM(I969:I973)</f>
        <v>4353500</v>
      </c>
      <c r="J974" s="197">
        <f>SUM(J969:J973)</f>
        <v>386780411</v>
      </c>
      <c r="K974" s="198">
        <f>SUM(K969:K973)</f>
        <v>391133911</v>
      </c>
    </row>
    <row r="975" spans="1:15" ht="15" customHeight="1" thickBot="1">
      <c r="A975" s="164" t="s">
        <v>181</v>
      </c>
      <c r="B975" s="165"/>
      <c r="C975" s="74" t="e">
        <f>+D936</f>
        <v>#REF!</v>
      </c>
      <c r="D975" s="196" t="e">
        <f>+B975+C975</f>
        <v>#REF!</v>
      </c>
      <c r="F975" s="52"/>
      <c r="H975" s="49" t="s">
        <v>88</v>
      </c>
      <c r="I975" s="50"/>
    </row>
    <row r="976" spans="1:15" ht="14.25" customHeight="1" thickBot="1">
      <c r="A976" s="169"/>
      <c r="B976" s="170" t="e">
        <f>SUM(B971:B975)</f>
        <v>#REF!</v>
      </c>
      <c r="C976" s="171" t="e">
        <f>SUM(C971:C975)</f>
        <v>#REF!</v>
      </c>
      <c r="D976" s="172" t="e">
        <f>SUM(D971:D975)</f>
        <v>#REF!</v>
      </c>
      <c r="H976" s="51" t="s">
        <v>89</v>
      </c>
    </row>
    <row r="977" spans="1:15" ht="14.25" customHeight="1">
      <c r="A977" s="49" t="s">
        <v>88</v>
      </c>
      <c r="B977" s="50"/>
      <c r="H977" s="51" t="s">
        <v>90</v>
      </c>
    </row>
    <row r="978" spans="1:15">
      <c r="A978" s="51" t="s">
        <v>89</v>
      </c>
      <c r="H978" s="51" t="s">
        <v>91</v>
      </c>
    </row>
    <row r="979" spans="1:15" ht="5.25" customHeight="1">
      <c r="A979" s="51" t="s">
        <v>90</v>
      </c>
      <c r="H979" s="50"/>
      <c r="I979" s="50"/>
    </row>
    <row r="980" spans="1:15" ht="15" customHeight="1">
      <c r="A980" s="51" t="s">
        <v>91</v>
      </c>
      <c r="H980" s="52" t="s">
        <v>814</v>
      </c>
      <c r="N980" s="52"/>
    </row>
    <row r="981" spans="1:15" ht="15.75" customHeight="1">
      <c r="A981" s="50"/>
      <c r="B981" s="50"/>
      <c r="H981" s="53" t="s">
        <v>2443</v>
      </c>
      <c r="N981" s="53"/>
    </row>
    <row r="982" spans="1:15" ht="16.5">
      <c r="A982" s="52" t="s">
        <v>463</v>
      </c>
      <c r="G982" s="52"/>
      <c r="H982" s="894" t="s">
        <v>2735</v>
      </c>
      <c r="I982" s="894"/>
      <c r="J982" s="894"/>
      <c r="K982" s="894"/>
      <c r="L982" s="894"/>
      <c r="M982" s="894"/>
      <c r="N982" s="894"/>
      <c r="O982" s="894"/>
    </row>
    <row r="983" spans="1:15" ht="7.5" customHeight="1" thickBot="1">
      <c r="A983" s="53" t="s">
        <v>92</v>
      </c>
      <c r="G983" s="53"/>
    </row>
    <row r="984" spans="1:15" ht="16.5">
      <c r="A984" s="894" t="s">
        <v>462</v>
      </c>
      <c r="B984" s="894"/>
      <c r="C984" s="894"/>
      <c r="D984" s="894"/>
      <c r="E984" s="894"/>
      <c r="F984" s="894"/>
      <c r="G984" s="894"/>
      <c r="H984" s="895" t="s">
        <v>94</v>
      </c>
      <c r="I984" s="897" t="s">
        <v>95</v>
      </c>
      <c r="J984" s="897" t="s">
        <v>96</v>
      </c>
      <c r="K984" s="897" t="s">
        <v>3</v>
      </c>
      <c r="L984" s="897" t="s">
        <v>97</v>
      </c>
      <c r="M984" s="897" t="s">
        <v>98</v>
      </c>
      <c r="N984" s="897" t="s">
        <v>99</v>
      </c>
      <c r="O984" s="899"/>
    </row>
    <row r="985" spans="1:15" ht="15.75" thickBot="1">
      <c r="H985" s="896"/>
      <c r="I985" s="898"/>
      <c r="J985" s="898"/>
      <c r="K985" s="898"/>
      <c r="L985" s="898"/>
      <c r="M985" s="898"/>
      <c r="N985" s="240" t="s">
        <v>100</v>
      </c>
      <c r="O985" s="182" t="s">
        <v>101</v>
      </c>
    </row>
    <row r="986" spans="1:15" ht="12.75" customHeight="1">
      <c r="A986" s="895" t="s">
        <v>94</v>
      </c>
      <c r="B986" s="897" t="s">
        <v>95</v>
      </c>
      <c r="C986" s="897" t="s">
        <v>96</v>
      </c>
      <c r="D986" s="897" t="s">
        <v>3</v>
      </c>
      <c r="E986" s="897" t="s">
        <v>97</v>
      </c>
      <c r="F986" s="897" t="s">
        <v>98</v>
      </c>
      <c r="G986" s="500" t="s">
        <v>99</v>
      </c>
      <c r="H986" s="873" t="s">
        <v>1608</v>
      </c>
      <c r="I986" s="875">
        <v>45649</v>
      </c>
      <c r="J986" s="881" t="s">
        <v>1079</v>
      </c>
      <c r="K986" s="881" t="s">
        <v>2731</v>
      </c>
      <c r="L986" s="881" t="s">
        <v>148</v>
      </c>
      <c r="M986" s="883">
        <v>500000</v>
      </c>
      <c r="N986" s="55">
        <v>719</v>
      </c>
      <c r="O986" s="78">
        <v>500000</v>
      </c>
    </row>
    <row r="987" spans="1:15" ht="12.75" customHeight="1" thickBot="1">
      <c r="A987" s="896"/>
      <c r="B987" s="898"/>
      <c r="C987" s="898"/>
      <c r="D987" s="898"/>
      <c r="E987" s="898"/>
      <c r="F987" s="898"/>
      <c r="G987" s="240" t="s">
        <v>100</v>
      </c>
      <c r="H987" s="874"/>
      <c r="I987" s="876"/>
      <c r="J987" s="882"/>
      <c r="K987" s="882"/>
      <c r="L987" s="882"/>
      <c r="M987" s="884"/>
      <c r="N987" s="56">
        <v>721</v>
      </c>
      <c r="O987" s="79">
        <f>+M986-O986</f>
        <v>0</v>
      </c>
    </row>
    <row r="988" spans="1:15" ht="13.5" customHeight="1">
      <c r="A988" s="881" t="e">
        <f>+A949+1</f>
        <v>#REF!</v>
      </c>
      <c r="B988" s="875">
        <v>42332</v>
      </c>
      <c r="C988" s="877" t="s">
        <v>272</v>
      </c>
      <c r="D988" s="881" t="s">
        <v>467</v>
      </c>
      <c r="E988" s="881" t="s">
        <v>115</v>
      </c>
      <c r="F988" s="883">
        <v>120000</v>
      </c>
      <c r="G988" s="55">
        <v>719</v>
      </c>
      <c r="H988" s="881">
        <f>+H986+1</f>
        <v>127</v>
      </c>
      <c r="I988" s="875">
        <v>45649</v>
      </c>
      <c r="J988" s="881" t="s">
        <v>1079</v>
      </c>
      <c r="K988" s="881" t="s">
        <v>2732</v>
      </c>
      <c r="L988" s="881" t="s">
        <v>148</v>
      </c>
      <c r="M988" s="883">
        <v>500000</v>
      </c>
      <c r="N988" s="55">
        <v>719</v>
      </c>
      <c r="O988" s="78">
        <v>500000</v>
      </c>
    </row>
    <row r="989" spans="1:15" ht="13.5" customHeight="1" thickBot="1">
      <c r="A989" s="882"/>
      <c r="B989" s="876"/>
      <c r="C989" s="878"/>
      <c r="D989" s="882"/>
      <c r="E989" s="882"/>
      <c r="F989" s="884"/>
      <c r="G989" s="56">
        <v>721</v>
      </c>
      <c r="H989" s="882"/>
      <c r="I989" s="876"/>
      <c r="J989" s="882"/>
      <c r="K989" s="882"/>
      <c r="L989" s="882"/>
      <c r="M989" s="884"/>
      <c r="N989" s="56">
        <v>721</v>
      </c>
      <c r="O989" s="79">
        <f>+M988-O988</f>
        <v>0</v>
      </c>
    </row>
    <row r="990" spans="1:15" ht="15" customHeight="1">
      <c r="A990" s="881" t="e">
        <f>+A988+1</f>
        <v>#REF!</v>
      </c>
      <c r="B990" s="875">
        <v>42332</v>
      </c>
      <c r="C990" s="881" t="s">
        <v>28</v>
      </c>
      <c r="D990" s="881" t="s">
        <v>466</v>
      </c>
      <c r="E990" s="881" t="s">
        <v>115</v>
      </c>
      <c r="F990" s="883">
        <v>50000</v>
      </c>
      <c r="G990" s="55">
        <v>719</v>
      </c>
      <c r="H990" s="881">
        <f>+H988+1</f>
        <v>128</v>
      </c>
      <c r="I990" s="875">
        <v>45649</v>
      </c>
      <c r="J990" s="881" t="s">
        <v>1079</v>
      </c>
      <c r="K990" s="881" t="s">
        <v>2733</v>
      </c>
      <c r="L990" s="881" t="s">
        <v>148</v>
      </c>
      <c r="M990" s="883">
        <v>510000</v>
      </c>
      <c r="N990" s="55">
        <v>719</v>
      </c>
      <c r="O990" s="78">
        <v>510000</v>
      </c>
    </row>
    <row r="991" spans="1:15" ht="10.5" customHeight="1" thickBot="1">
      <c r="A991" s="882"/>
      <c r="B991" s="876"/>
      <c r="C991" s="882"/>
      <c r="D991" s="882"/>
      <c r="E991" s="882"/>
      <c r="F991" s="884"/>
      <c r="G991" s="56">
        <v>721</v>
      </c>
      <c r="H991" s="882"/>
      <c r="I991" s="876"/>
      <c r="J991" s="882"/>
      <c r="K991" s="882"/>
      <c r="L991" s="882"/>
      <c r="M991" s="884"/>
      <c r="N991" s="56">
        <v>721</v>
      </c>
      <c r="O991" s="79">
        <f>+M990-O990</f>
        <v>0</v>
      </c>
    </row>
    <row r="992" spans="1:15" ht="11.25" customHeight="1">
      <c r="A992" s="251"/>
      <c r="B992" s="252"/>
      <c r="C992" s="251"/>
      <c r="D992" s="251"/>
      <c r="E992" s="251"/>
      <c r="F992" s="254"/>
      <c r="G992" s="255"/>
      <c r="H992" s="881">
        <f>+H990+1</f>
        <v>129</v>
      </c>
      <c r="I992" s="875">
        <v>45649</v>
      </c>
      <c r="J992" s="881" t="s">
        <v>1079</v>
      </c>
      <c r="K992" s="881" t="s">
        <v>2734</v>
      </c>
      <c r="L992" s="881" t="s">
        <v>148</v>
      </c>
      <c r="M992" s="883">
        <v>520000</v>
      </c>
      <c r="N992" s="55">
        <v>719</v>
      </c>
      <c r="O992" s="78">
        <v>520000</v>
      </c>
    </row>
    <row r="993" spans="1:15" ht="12" customHeight="1" thickBot="1">
      <c r="A993" s="251"/>
      <c r="B993" s="252"/>
      <c r="C993" s="251"/>
      <c r="D993" s="251"/>
      <c r="E993" s="251"/>
      <c r="F993" s="254"/>
      <c r="G993" s="255"/>
      <c r="H993" s="882"/>
      <c r="I993" s="876"/>
      <c r="J993" s="882"/>
      <c r="K993" s="882"/>
      <c r="L993" s="882"/>
      <c r="M993" s="884"/>
      <c r="N993" s="56">
        <v>721</v>
      </c>
      <c r="O993" s="79">
        <f>+M992-O992</f>
        <v>0</v>
      </c>
    </row>
    <row r="994" spans="1:15" ht="12" customHeight="1">
      <c r="A994" s="251"/>
      <c r="B994" s="252"/>
      <c r="C994" s="251"/>
      <c r="D994" s="251"/>
      <c r="E994" s="251"/>
      <c r="F994" s="254"/>
      <c r="G994" s="255"/>
      <c r="H994" s="881">
        <f>+H992+1</f>
        <v>130</v>
      </c>
      <c r="I994" s="875">
        <v>45649</v>
      </c>
      <c r="J994" s="881" t="s">
        <v>2408</v>
      </c>
      <c r="K994" s="881" t="s">
        <v>2729</v>
      </c>
      <c r="L994" s="881" t="s">
        <v>115</v>
      </c>
      <c r="M994" s="883">
        <v>661500</v>
      </c>
      <c r="N994" s="55">
        <v>719</v>
      </c>
      <c r="O994" s="78">
        <v>490000</v>
      </c>
    </row>
    <row r="995" spans="1:15" ht="15.75" customHeight="1" thickBot="1">
      <c r="A995" s="251"/>
      <c r="B995" s="252"/>
      <c r="C995" s="251"/>
      <c r="D995" s="251"/>
      <c r="E995" s="251"/>
      <c r="F995" s="254"/>
      <c r="G995" s="255"/>
      <c r="H995" s="882"/>
      <c r="I995" s="876"/>
      <c r="J995" s="882"/>
      <c r="K995" s="882"/>
      <c r="L995" s="882"/>
      <c r="M995" s="884"/>
      <c r="N995" s="56">
        <v>721</v>
      </c>
      <c r="O995" s="79">
        <f>+M994-O994</f>
        <v>171500</v>
      </c>
    </row>
    <row r="996" spans="1:15" ht="13.5" customHeight="1">
      <c r="A996" s="881" t="e">
        <f>+A990+1</f>
        <v>#REF!</v>
      </c>
      <c r="B996" s="875">
        <v>42332</v>
      </c>
      <c r="C996" s="877" t="s">
        <v>32</v>
      </c>
      <c r="D996" s="881" t="s">
        <v>465</v>
      </c>
      <c r="E996" s="881" t="s">
        <v>115</v>
      </c>
      <c r="F996" s="883">
        <v>20000</v>
      </c>
      <c r="G996" s="55">
        <v>719</v>
      </c>
      <c r="H996" s="873" t="s">
        <v>2003</v>
      </c>
      <c r="I996" s="875">
        <v>45649</v>
      </c>
      <c r="J996" s="881" t="s">
        <v>1079</v>
      </c>
      <c r="K996" s="881" t="s">
        <v>2445</v>
      </c>
      <c r="L996" s="881" t="s">
        <v>148</v>
      </c>
      <c r="M996" s="883">
        <v>-46252500</v>
      </c>
      <c r="N996" s="55">
        <v>719</v>
      </c>
      <c r="O996" s="78"/>
    </row>
    <row r="997" spans="1:15" ht="16.5" customHeight="1" thickBot="1">
      <c r="A997" s="882"/>
      <c r="B997" s="876"/>
      <c r="C997" s="878"/>
      <c r="D997" s="882"/>
      <c r="E997" s="882"/>
      <c r="F997" s="884"/>
      <c r="G997" s="56">
        <v>721</v>
      </c>
      <c r="H997" s="874"/>
      <c r="I997" s="876"/>
      <c r="J997" s="882"/>
      <c r="K997" s="882"/>
      <c r="L997" s="882"/>
      <c r="M997" s="884"/>
      <c r="N997" s="56">
        <v>723</v>
      </c>
      <c r="O997" s="79">
        <f>+M996-O996</f>
        <v>-46252500</v>
      </c>
    </row>
    <row r="998" spans="1:15" ht="16.5" thickBot="1">
      <c r="A998" s="881"/>
      <c r="B998" s="875"/>
      <c r="C998" s="877"/>
      <c r="D998" s="881"/>
      <c r="E998" s="881"/>
      <c r="F998" s="883"/>
      <c r="G998" s="55">
        <v>719</v>
      </c>
      <c r="H998" s="901" t="s">
        <v>102</v>
      </c>
      <c r="I998" s="902"/>
      <c r="J998" s="902"/>
      <c r="K998" s="902"/>
      <c r="L998" s="903"/>
      <c r="M998" s="81">
        <f>SUM(M986:M997)</f>
        <v>-43561000</v>
      </c>
    </row>
    <row r="999" spans="1:15" ht="16.5" thickBot="1">
      <c r="A999" s="882"/>
      <c r="B999" s="876"/>
      <c r="C999" s="878"/>
      <c r="D999" s="882"/>
      <c r="E999" s="882"/>
      <c r="F999" s="884"/>
      <c r="G999" s="56">
        <v>721</v>
      </c>
      <c r="H999" s="885" t="s">
        <v>103</v>
      </c>
      <c r="I999" s="886"/>
      <c r="J999" s="886"/>
      <c r="K999" s="886"/>
      <c r="L999" s="887"/>
      <c r="M999" s="239">
        <f>+M961</f>
        <v>391133911</v>
      </c>
      <c r="N999" s="241" t="s">
        <v>561</v>
      </c>
      <c r="O999" s="242">
        <f>830+347+372+127+346</f>
        <v>2022</v>
      </c>
    </row>
    <row r="1000" spans="1:15" ht="16.5" thickBot="1">
      <c r="A1000" s="901" t="s">
        <v>102</v>
      </c>
      <c r="B1000" s="902"/>
      <c r="C1000" s="902"/>
      <c r="D1000" s="902"/>
      <c r="E1000" s="903"/>
      <c r="F1000" s="81">
        <f>SUM(F988:F999)</f>
        <v>190000</v>
      </c>
      <c r="H1000" s="888" t="s">
        <v>104</v>
      </c>
      <c r="I1000" s="889"/>
      <c r="J1000" s="889"/>
      <c r="K1000" s="889"/>
      <c r="L1000" s="890"/>
      <c r="M1000" s="183">
        <f>SUM(M998:M999)</f>
        <v>347572911</v>
      </c>
    </row>
    <row r="1001" spans="1:15" ht="5.25" customHeight="1" thickBot="1">
      <c r="A1001" s="885" t="s">
        <v>103</v>
      </c>
      <c r="B1001" s="886"/>
      <c r="C1001" s="886"/>
      <c r="D1001" s="886"/>
      <c r="E1001" s="887"/>
      <c r="F1001" s="69" t="e">
        <f>+F963</f>
        <v>#REF!</v>
      </c>
      <c r="H1001" s="61"/>
      <c r="I1001" s="61"/>
      <c r="J1001" s="61"/>
      <c r="K1001" s="61"/>
      <c r="L1001" s="61"/>
    </row>
    <row r="1002" spans="1:15" ht="16.5" thickBot="1">
      <c r="A1002" s="888" t="s">
        <v>104</v>
      </c>
      <c r="B1002" s="889"/>
      <c r="C1002" s="889"/>
      <c r="D1002" s="889"/>
      <c r="E1002" s="890"/>
      <c r="F1002" s="183" t="e">
        <f>SUM(F1000:F1001)</f>
        <v>#REF!</v>
      </c>
      <c r="H1002" s="51" t="s">
        <v>2736</v>
      </c>
    </row>
    <row r="1003" spans="1:15" ht="5.25" customHeight="1">
      <c r="A1003" s="61"/>
      <c r="B1003" s="61"/>
      <c r="C1003" s="61"/>
      <c r="D1003" s="61"/>
      <c r="E1003" s="61"/>
      <c r="M1003" s="139"/>
    </row>
    <row r="1004" spans="1:15">
      <c r="A1004" s="51" t="s">
        <v>468</v>
      </c>
      <c r="H1004" s="50" t="s">
        <v>105</v>
      </c>
      <c r="K1004" s="146"/>
      <c r="M1004" s="139"/>
    </row>
    <row r="1005" spans="1:15" ht="6" customHeight="1" thickBot="1">
      <c r="F1005" s="139"/>
    </row>
    <row r="1006" spans="1:15" ht="15.75" customHeight="1" thickBot="1">
      <c r="A1006" s="50" t="s">
        <v>105</v>
      </c>
      <c r="D1006" s="146"/>
      <c r="F1006" s="139"/>
      <c r="H1006" s="891" t="s">
        <v>106</v>
      </c>
      <c r="I1006" s="892"/>
      <c r="J1006" s="892"/>
      <c r="K1006" s="893"/>
      <c r="M1006" s="50" t="s">
        <v>288</v>
      </c>
    </row>
    <row r="1007" spans="1:15" ht="12" customHeight="1" thickBot="1">
      <c r="H1007" s="57" t="s">
        <v>100</v>
      </c>
      <c r="I1007" s="58" t="s">
        <v>108</v>
      </c>
      <c r="J1007" s="59" t="s">
        <v>109</v>
      </c>
      <c r="K1007" s="60" t="s">
        <v>110</v>
      </c>
    </row>
    <row r="1008" spans="1:15" ht="14.25" customHeight="1" thickBot="1">
      <c r="A1008" s="891" t="s">
        <v>106</v>
      </c>
      <c r="B1008" s="892"/>
      <c r="C1008" s="892"/>
      <c r="D1008" s="893"/>
      <c r="F1008" s="50" t="s">
        <v>288</v>
      </c>
      <c r="H1008" s="71">
        <v>719</v>
      </c>
      <c r="I1008" s="73">
        <f>+O986+O988+O990+O992+O994+O996</f>
        <v>2520000</v>
      </c>
      <c r="J1008" s="74">
        <f>+K969</f>
        <v>47620000</v>
      </c>
      <c r="K1008" s="195">
        <f>+I1008+J1008</f>
        <v>50140000</v>
      </c>
    </row>
    <row r="1009" spans="1:15" ht="14.25" customHeight="1" thickBot="1">
      <c r="A1009" s="57" t="s">
        <v>100</v>
      </c>
      <c r="B1009" s="58" t="s">
        <v>108</v>
      </c>
      <c r="C1009" s="59" t="s">
        <v>109</v>
      </c>
      <c r="D1009" s="60" t="s">
        <v>110</v>
      </c>
      <c r="H1009" s="72">
        <v>721</v>
      </c>
      <c r="I1009" s="80">
        <f>+O995</f>
        <v>171500</v>
      </c>
      <c r="J1009" s="74">
        <f>+K970</f>
        <v>7668500</v>
      </c>
      <c r="K1009" s="195">
        <f>+I1009+J1009</f>
        <v>7840000</v>
      </c>
    </row>
    <row r="1010" spans="1:15" ht="11.25" hidden="1" customHeight="1">
      <c r="A1010" s="71">
        <v>719</v>
      </c>
      <c r="B1010" s="73" t="e">
        <f>+#REF!+#REF!+#REF!+#REF!</f>
        <v>#REF!</v>
      </c>
      <c r="C1010" s="74" t="e">
        <f>+D971</f>
        <v>#REF!</v>
      </c>
      <c r="D1010" s="195" t="e">
        <f>+B1010+C1010</f>
        <v>#REF!</v>
      </c>
      <c r="H1010" s="72">
        <v>722</v>
      </c>
      <c r="I1010" s="80"/>
      <c r="J1010" s="74">
        <f>+K971</f>
        <v>0</v>
      </c>
      <c r="K1010" s="195">
        <f>+I1010+J1010</f>
        <v>0</v>
      </c>
    </row>
    <row r="1011" spans="1:15" ht="15.75" customHeight="1" thickBot="1">
      <c r="A1011" s="72">
        <v>721</v>
      </c>
      <c r="B1011" s="80" t="e">
        <f>+#REF!</f>
        <v>#REF!</v>
      </c>
      <c r="C1011" s="74" t="e">
        <f>+D972</f>
        <v>#REF!</v>
      </c>
      <c r="D1011" s="195" t="e">
        <f>+B1011+C1011</f>
        <v>#REF!</v>
      </c>
      <c r="H1011" s="72">
        <v>723</v>
      </c>
      <c r="I1011" s="80">
        <f>+O997</f>
        <v>-46252500</v>
      </c>
      <c r="J1011" s="74">
        <f>+K972</f>
        <v>335845411</v>
      </c>
      <c r="K1011" s="195">
        <f>+I1011+J1011</f>
        <v>289592911</v>
      </c>
      <c r="M1011" s="918"/>
      <c r="N1011" s="918"/>
      <c r="O1011" s="918"/>
    </row>
    <row r="1012" spans="1:15" ht="14.25" hidden="1" customHeight="1">
      <c r="A1012" s="72">
        <v>722</v>
      </c>
      <c r="B1012" s="80"/>
      <c r="C1012" s="74" t="e">
        <f>+D973</f>
        <v>#REF!</v>
      </c>
      <c r="D1012" s="195" t="e">
        <f>+B1012+C1012</f>
        <v>#REF!</v>
      </c>
      <c r="H1012" s="164" t="s">
        <v>181</v>
      </c>
      <c r="I1012" s="165"/>
      <c r="J1012" s="74">
        <f>+K973</f>
        <v>0</v>
      </c>
      <c r="K1012" s="196">
        <f>+I1012+J1012</f>
        <v>0</v>
      </c>
      <c r="M1012" s="52"/>
    </row>
    <row r="1013" spans="1:15" ht="16.5" customHeight="1" thickBot="1">
      <c r="A1013" s="72">
        <v>723</v>
      </c>
      <c r="B1013" s="80"/>
      <c r="C1013" s="74" t="e">
        <f>+D974</f>
        <v>#REF!</v>
      </c>
      <c r="D1013" s="195" t="e">
        <f>+B1013+C1013</f>
        <v>#REF!</v>
      </c>
      <c r="F1013" s="174" t="s">
        <v>23</v>
      </c>
      <c r="G1013" s="175"/>
      <c r="H1013" s="169"/>
      <c r="I1013" s="197">
        <f>SUM(I1008:I1012)</f>
        <v>-43561000</v>
      </c>
      <c r="J1013" s="197">
        <f>SUM(J1008:J1012)</f>
        <v>391133911</v>
      </c>
      <c r="K1013" s="198">
        <f>SUM(K1008:K1012)</f>
        <v>347572911</v>
      </c>
    </row>
    <row r="1014" spans="1:15" ht="16.5" customHeight="1" thickBot="1">
      <c r="A1014" s="164" t="s">
        <v>181</v>
      </c>
      <c r="B1014" s="165"/>
      <c r="C1014" s="74" t="e">
        <f>+D975</f>
        <v>#REF!</v>
      </c>
      <c r="D1014" s="196" t="e">
        <f>+B1014+C1014</f>
        <v>#REF!</v>
      </c>
      <c r="F1014" s="52"/>
      <c r="H1014" s="49" t="s">
        <v>88</v>
      </c>
      <c r="I1014" s="50"/>
    </row>
    <row r="1015" spans="1:15" ht="16.5" thickBot="1">
      <c r="A1015" s="169"/>
      <c r="B1015" s="170" t="e">
        <f>SUM(B1010:B1014)</f>
        <v>#REF!</v>
      </c>
      <c r="C1015" s="171" t="e">
        <f>SUM(C1010:C1014)</f>
        <v>#REF!</v>
      </c>
      <c r="D1015" s="172" t="e">
        <f>SUM(D1010:D1014)</f>
        <v>#REF!</v>
      </c>
      <c r="H1015" s="51" t="s">
        <v>89</v>
      </c>
    </row>
    <row r="1016" spans="1:15" ht="16.5">
      <c r="A1016" s="49" t="s">
        <v>88</v>
      </c>
      <c r="B1016" s="50"/>
      <c r="H1016" s="51" t="s">
        <v>90</v>
      </c>
    </row>
    <row r="1017" spans="1:15">
      <c r="A1017" s="51" t="s">
        <v>89</v>
      </c>
      <c r="H1017" s="51" t="s">
        <v>91</v>
      </c>
    </row>
    <row r="1018" spans="1:15" ht="6" customHeight="1">
      <c r="A1018" s="51" t="s">
        <v>90</v>
      </c>
      <c r="H1018" s="50"/>
      <c r="I1018" s="50"/>
    </row>
    <row r="1019" spans="1:15" ht="16.5">
      <c r="A1019" s="51" t="s">
        <v>91</v>
      </c>
      <c r="H1019" s="52" t="s">
        <v>836</v>
      </c>
      <c r="N1019" s="52"/>
    </row>
    <row r="1020" spans="1:15" ht="14.25" customHeight="1">
      <c r="A1020" s="50"/>
      <c r="B1020" s="50"/>
      <c r="H1020" s="53" t="s">
        <v>2443</v>
      </c>
      <c r="N1020" s="53"/>
    </row>
    <row r="1021" spans="1:15" ht="16.5">
      <c r="A1021" s="52" t="s">
        <v>470</v>
      </c>
      <c r="G1021" s="52"/>
      <c r="H1021" s="894" t="s">
        <v>2741</v>
      </c>
      <c r="I1021" s="894"/>
      <c r="J1021" s="894"/>
      <c r="K1021" s="894"/>
      <c r="L1021" s="894"/>
      <c r="M1021" s="894"/>
      <c r="N1021" s="894"/>
      <c r="O1021" s="894"/>
    </row>
    <row r="1022" spans="1:15" ht="13.5" customHeight="1" thickBot="1">
      <c r="A1022" s="53" t="s">
        <v>92</v>
      </c>
      <c r="G1022" s="53"/>
    </row>
    <row r="1023" spans="1:15" ht="16.5">
      <c r="A1023" s="894" t="s">
        <v>462</v>
      </c>
      <c r="B1023" s="894"/>
      <c r="C1023" s="894"/>
      <c r="D1023" s="894"/>
      <c r="E1023" s="894"/>
      <c r="F1023" s="894"/>
      <c r="G1023" s="894"/>
      <c r="H1023" s="895" t="s">
        <v>94</v>
      </c>
      <c r="I1023" s="897" t="s">
        <v>95</v>
      </c>
      <c r="J1023" s="897" t="s">
        <v>96</v>
      </c>
      <c r="K1023" s="897" t="s">
        <v>3</v>
      </c>
      <c r="L1023" s="897" t="s">
        <v>97</v>
      </c>
      <c r="M1023" s="897" t="s">
        <v>98</v>
      </c>
      <c r="N1023" s="897" t="s">
        <v>99</v>
      </c>
      <c r="O1023" s="899"/>
    </row>
    <row r="1024" spans="1:15" ht="15.75" thickBot="1">
      <c r="H1024" s="896"/>
      <c r="I1024" s="898"/>
      <c r="J1024" s="898"/>
      <c r="K1024" s="898"/>
      <c r="L1024" s="898"/>
      <c r="M1024" s="898"/>
      <c r="N1024" s="240" t="s">
        <v>100</v>
      </c>
      <c r="O1024" s="182" t="s">
        <v>101</v>
      </c>
    </row>
    <row r="1025" spans="1:15" ht="14.25" customHeight="1">
      <c r="A1025" s="895" t="s">
        <v>94</v>
      </c>
      <c r="B1025" s="897" t="s">
        <v>95</v>
      </c>
      <c r="C1025" s="897" t="s">
        <v>96</v>
      </c>
      <c r="D1025" s="897" t="s">
        <v>3</v>
      </c>
      <c r="E1025" s="897" t="s">
        <v>97</v>
      </c>
      <c r="F1025" s="897" t="s">
        <v>98</v>
      </c>
      <c r="G1025" s="500" t="s">
        <v>99</v>
      </c>
      <c r="H1025" s="873" t="s">
        <v>837</v>
      </c>
      <c r="I1025" s="875">
        <v>45652</v>
      </c>
      <c r="J1025" s="910" t="s">
        <v>1650</v>
      </c>
      <c r="K1025" s="881" t="s">
        <v>2445</v>
      </c>
      <c r="L1025" s="881" t="s">
        <v>148</v>
      </c>
      <c r="M1025" s="883">
        <v>5000000</v>
      </c>
      <c r="N1025" s="55">
        <v>723</v>
      </c>
      <c r="O1025" s="78">
        <f>M1025</f>
        <v>5000000</v>
      </c>
    </row>
    <row r="1026" spans="1:15" ht="12" customHeight="1" thickBot="1">
      <c r="A1026" s="896"/>
      <c r="B1026" s="898"/>
      <c r="C1026" s="898"/>
      <c r="D1026" s="898"/>
      <c r="E1026" s="898"/>
      <c r="F1026" s="898"/>
      <c r="G1026" s="240" t="s">
        <v>100</v>
      </c>
      <c r="H1026" s="874"/>
      <c r="I1026" s="876"/>
      <c r="J1026" s="911"/>
      <c r="K1026" s="882"/>
      <c r="L1026" s="882"/>
      <c r="M1026" s="884"/>
      <c r="N1026" s="56">
        <v>721</v>
      </c>
      <c r="O1026" s="79">
        <v>0</v>
      </c>
    </row>
    <row r="1027" spans="1:15" ht="12.75" customHeight="1">
      <c r="A1027" s="881" t="e">
        <f>+A988+1</f>
        <v>#REF!</v>
      </c>
      <c r="B1027" s="875">
        <v>42345</v>
      </c>
      <c r="C1027" s="877" t="s">
        <v>267</v>
      </c>
      <c r="D1027" s="881" t="s">
        <v>475</v>
      </c>
      <c r="E1027" s="881" t="s">
        <v>148</v>
      </c>
      <c r="F1027" s="883">
        <v>420000</v>
      </c>
      <c r="G1027" s="55">
        <v>719</v>
      </c>
      <c r="H1027" s="873" t="s">
        <v>2743</v>
      </c>
      <c r="I1027" s="875">
        <v>45652</v>
      </c>
      <c r="J1027" s="910" t="s">
        <v>117</v>
      </c>
      <c r="K1027" s="881" t="s">
        <v>2445</v>
      </c>
      <c r="L1027" s="881" t="s">
        <v>775</v>
      </c>
      <c r="M1027" s="883">
        <v>870000</v>
      </c>
      <c r="N1027" s="55">
        <v>719</v>
      </c>
      <c r="O1027" s="78">
        <v>0</v>
      </c>
    </row>
    <row r="1028" spans="1:15" ht="13.5" customHeight="1" thickBot="1">
      <c r="A1028" s="882"/>
      <c r="B1028" s="876"/>
      <c r="C1028" s="878"/>
      <c r="D1028" s="882"/>
      <c r="E1028" s="882"/>
      <c r="F1028" s="884"/>
      <c r="G1028" s="56">
        <v>721</v>
      </c>
      <c r="H1028" s="874"/>
      <c r="I1028" s="876"/>
      <c r="J1028" s="911"/>
      <c r="K1028" s="882"/>
      <c r="L1028" s="882"/>
      <c r="M1028" s="884"/>
      <c r="N1028" s="56">
        <v>723</v>
      </c>
      <c r="O1028" s="79">
        <f>+M1027-O1027</f>
        <v>870000</v>
      </c>
    </row>
    <row r="1029" spans="1:15" ht="13.5" customHeight="1">
      <c r="A1029" s="881" t="e">
        <f>+A1027+1</f>
        <v>#REF!</v>
      </c>
      <c r="B1029" s="875">
        <v>42345</v>
      </c>
      <c r="C1029" s="881" t="s">
        <v>28</v>
      </c>
      <c r="D1029" s="881" t="s">
        <v>476</v>
      </c>
      <c r="E1029" s="881" t="s">
        <v>148</v>
      </c>
      <c r="F1029" s="883">
        <v>714000</v>
      </c>
      <c r="G1029" s="55">
        <v>719</v>
      </c>
      <c r="H1029" s="873" t="s">
        <v>2744</v>
      </c>
      <c r="I1029" s="875">
        <v>45652</v>
      </c>
      <c r="J1029" s="881" t="s">
        <v>2753</v>
      </c>
      <c r="K1029" s="881" t="s">
        <v>2445</v>
      </c>
      <c r="L1029" s="881" t="s">
        <v>165</v>
      </c>
      <c r="M1029" s="883">
        <v>1200000</v>
      </c>
      <c r="N1029" s="55">
        <v>719</v>
      </c>
      <c r="O1029" s="78">
        <v>0</v>
      </c>
    </row>
    <row r="1030" spans="1:15" ht="13.5" customHeight="1" thickBot="1">
      <c r="A1030" s="882"/>
      <c r="B1030" s="876"/>
      <c r="C1030" s="882"/>
      <c r="D1030" s="882"/>
      <c r="E1030" s="882"/>
      <c r="F1030" s="884"/>
      <c r="G1030" s="56">
        <v>721</v>
      </c>
      <c r="H1030" s="874"/>
      <c r="I1030" s="876"/>
      <c r="J1030" s="882"/>
      <c r="K1030" s="882"/>
      <c r="L1030" s="882"/>
      <c r="M1030" s="884"/>
      <c r="N1030" s="56">
        <v>723</v>
      </c>
      <c r="O1030" s="79">
        <f>+M1029-O1029</f>
        <v>1200000</v>
      </c>
    </row>
    <row r="1031" spans="1:15" ht="13.5" customHeight="1">
      <c r="A1031" s="881" t="e">
        <f>+A1029+1</f>
        <v>#REF!</v>
      </c>
      <c r="B1031" s="875">
        <v>42345</v>
      </c>
      <c r="C1031" s="877" t="s">
        <v>32</v>
      </c>
      <c r="D1031" s="881" t="s">
        <v>476</v>
      </c>
      <c r="E1031" s="881" t="s">
        <v>148</v>
      </c>
      <c r="F1031" s="883">
        <v>140000</v>
      </c>
      <c r="G1031" s="55">
        <v>719</v>
      </c>
      <c r="H1031" s="873" t="s">
        <v>2745</v>
      </c>
      <c r="I1031" s="875">
        <v>45652</v>
      </c>
      <c r="J1031" s="881" t="s">
        <v>2746</v>
      </c>
      <c r="K1031" s="881" t="s">
        <v>2445</v>
      </c>
      <c r="L1031" s="881" t="s">
        <v>775</v>
      </c>
      <c r="M1031" s="883">
        <v>1008000</v>
      </c>
      <c r="N1031" s="55">
        <v>719</v>
      </c>
      <c r="O1031" s="78">
        <v>0</v>
      </c>
    </row>
    <row r="1032" spans="1:15" ht="12.75" customHeight="1" thickBot="1">
      <c r="A1032" s="882"/>
      <c r="B1032" s="876"/>
      <c r="C1032" s="878"/>
      <c r="D1032" s="882"/>
      <c r="E1032" s="882"/>
      <c r="F1032" s="884"/>
      <c r="G1032" s="56">
        <v>721</v>
      </c>
      <c r="H1032" s="874"/>
      <c r="I1032" s="876"/>
      <c r="J1032" s="882"/>
      <c r="K1032" s="882"/>
      <c r="L1032" s="882"/>
      <c r="M1032" s="884"/>
      <c r="N1032" s="56">
        <v>723</v>
      </c>
      <c r="O1032" s="79">
        <f>+M1031-O1031</f>
        <v>1008000</v>
      </c>
    </row>
    <row r="1033" spans="1:15" ht="16.5" customHeight="1" thickBot="1">
      <c r="A1033" s="881" t="e">
        <f>+#REF!+1</f>
        <v>#REF!</v>
      </c>
      <c r="B1033" s="875">
        <v>42345</v>
      </c>
      <c r="C1033" s="877" t="s">
        <v>272</v>
      </c>
      <c r="D1033" s="881" t="s">
        <v>474</v>
      </c>
      <c r="E1033" s="881" t="s">
        <v>148</v>
      </c>
      <c r="F1033" s="883">
        <v>2058000</v>
      </c>
      <c r="G1033" s="55">
        <v>719</v>
      </c>
      <c r="H1033" s="901" t="s">
        <v>102</v>
      </c>
      <c r="I1033" s="902"/>
      <c r="J1033" s="902"/>
      <c r="K1033" s="902"/>
      <c r="L1033" s="903"/>
      <c r="M1033" s="81">
        <f>SUM(M1025:M1032)</f>
        <v>8078000</v>
      </c>
    </row>
    <row r="1034" spans="1:15" ht="16.5" customHeight="1" thickBot="1">
      <c r="A1034" s="882"/>
      <c r="B1034" s="876"/>
      <c r="C1034" s="878"/>
      <c r="D1034" s="882"/>
      <c r="E1034" s="882"/>
      <c r="F1034" s="884"/>
      <c r="G1034" s="56">
        <v>721</v>
      </c>
      <c r="H1034" s="885" t="s">
        <v>103</v>
      </c>
      <c r="I1034" s="886"/>
      <c r="J1034" s="886"/>
      <c r="K1034" s="886"/>
      <c r="L1034" s="887"/>
      <c r="M1034" s="69">
        <f>+M1000</f>
        <v>347572911</v>
      </c>
      <c r="N1034" s="241" t="s">
        <v>561</v>
      </c>
      <c r="O1034" s="242"/>
    </row>
    <row r="1035" spans="1:15" ht="16.5" thickBot="1">
      <c r="A1035" s="901" t="s">
        <v>102</v>
      </c>
      <c r="B1035" s="902"/>
      <c r="C1035" s="902"/>
      <c r="D1035" s="902"/>
      <c r="E1035" s="903"/>
      <c r="F1035" s="81">
        <f>SUM(F1027:F1034)</f>
        <v>3332000</v>
      </c>
      <c r="H1035" s="888" t="s">
        <v>104</v>
      </c>
      <c r="I1035" s="889"/>
      <c r="J1035" s="889"/>
      <c r="K1035" s="889"/>
      <c r="L1035" s="890"/>
      <c r="M1035" s="183">
        <f>SUM(M1033:M1034)</f>
        <v>355650911</v>
      </c>
    </row>
    <row r="1036" spans="1:15" ht="7.5" customHeight="1" thickBot="1">
      <c r="A1036" s="885" t="s">
        <v>103</v>
      </c>
      <c r="B1036" s="886"/>
      <c r="C1036" s="886"/>
      <c r="D1036" s="886"/>
      <c r="E1036" s="887"/>
      <c r="F1036" s="69" t="e">
        <f>+F1002</f>
        <v>#REF!</v>
      </c>
      <c r="H1036" s="61"/>
      <c r="I1036" s="61"/>
      <c r="J1036" s="61"/>
      <c r="K1036" s="61"/>
      <c r="L1036" s="61"/>
    </row>
    <row r="1037" spans="1:15" ht="16.5" thickBot="1">
      <c r="A1037" s="888" t="s">
        <v>104</v>
      </c>
      <c r="B1037" s="889"/>
      <c r="C1037" s="889"/>
      <c r="D1037" s="889"/>
      <c r="E1037" s="890"/>
      <c r="F1037" s="183" t="e">
        <f>SUM(F1035:F1036)</f>
        <v>#REF!</v>
      </c>
      <c r="H1037" s="51" t="s">
        <v>2752</v>
      </c>
    </row>
    <row r="1038" spans="1:15" ht="11.25" customHeight="1">
      <c r="A1038" s="61"/>
      <c r="B1038" s="61"/>
      <c r="C1038" s="61"/>
      <c r="D1038" s="61"/>
      <c r="E1038" s="61"/>
      <c r="M1038" s="139"/>
    </row>
    <row r="1039" spans="1:15" ht="15.75" customHeight="1">
      <c r="A1039" s="51" t="s">
        <v>477</v>
      </c>
      <c r="H1039" s="50" t="s">
        <v>105</v>
      </c>
      <c r="K1039" s="146"/>
      <c r="M1039" s="139"/>
    </row>
    <row r="1040" spans="1:15" ht="17.25" customHeight="1" thickBot="1">
      <c r="F1040" s="139"/>
    </row>
    <row r="1041" spans="1:15" ht="16.5" customHeight="1" thickBot="1">
      <c r="A1041" s="50" t="s">
        <v>105</v>
      </c>
      <c r="D1041" s="146"/>
      <c r="F1041" s="139"/>
      <c r="H1041" s="891" t="s">
        <v>106</v>
      </c>
      <c r="I1041" s="892"/>
      <c r="J1041" s="892"/>
      <c r="K1041" s="893"/>
      <c r="M1041" s="30" t="s">
        <v>288</v>
      </c>
    </row>
    <row r="1042" spans="1:15" ht="11.25" customHeight="1" thickBot="1">
      <c r="H1042" s="57" t="s">
        <v>100</v>
      </c>
      <c r="I1042" s="58" t="s">
        <v>108</v>
      </c>
      <c r="J1042" s="59" t="s">
        <v>109</v>
      </c>
      <c r="K1042" s="60" t="s">
        <v>110</v>
      </c>
    </row>
    <row r="1043" spans="1:15" ht="14.25" customHeight="1" thickBot="1">
      <c r="A1043" s="891" t="s">
        <v>106</v>
      </c>
      <c r="B1043" s="892"/>
      <c r="C1043" s="892"/>
      <c r="D1043" s="893"/>
      <c r="F1043" s="50" t="s">
        <v>288</v>
      </c>
      <c r="H1043" s="71">
        <v>719</v>
      </c>
      <c r="I1043" s="73"/>
      <c r="J1043" s="74">
        <f>+K1008</f>
        <v>50140000</v>
      </c>
      <c r="K1043" s="195">
        <f>+I1043+J1043</f>
        <v>50140000</v>
      </c>
    </row>
    <row r="1044" spans="1:15" ht="14.25" customHeight="1" thickBot="1">
      <c r="A1044" s="57" t="s">
        <v>100</v>
      </c>
      <c r="B1044" s="58" t="s">
        <v>108</v>
      </c>
      <c r="C1044" s="59" t="s">
        <v>109</v>
      </c>
      <c r="D1044" s="60" t="s">
        <v>110</v>
      </c>
      <c r="H1044" s="72">
        <v>721</v>
      </c>
      <c r="I1044" s="80"/>
      <c r="J1044" s="74">
        <f>+K1009</f>
        <v>7840000</v>
      </c>
      <c r="K1044" s="195">
        <f>+I1044+J1044</f>
        <v>7840000</v>
      </c>
    </row>
    <row r="1045" spans="1:15" ht="12.75" customHeight="1">
      <c r="A1045" s="71">
        <v>719</v>
      </c>
      <c r="B1045" s="73" t="e">
        <f>+#REF!+#REF!+#REF!+#REF!+#REF!</f>
        <v>#REF!</v>
      </c>
      <c r="C1045" s="74" t="e">
        <f>+D1010</f>
        <v>#REF!</v>
      </c>
      <c r="D1045" s="195" t="e">
        <f>+B1045+C1045</f>
        <v>#REF!</v>
      </c>
      <c r="H1045" s="72">
        <v>722</v>
      </c>
      <c r="I1045" s="80"/>
      <c r="J1045" s="74">
        <f>+K1010</f>
        <v>0</v>
      </c>
      <c r="K1045" s="195">
        <f>+I1045+J1045</f>
        <v>0</v>
      </c>
    </row>
    <row r="1046" spans="1:15" ht="16.5" thickBot="1">
      <c r="A1046" s="72">
        <v>721</v>
      </c>
      <c r="B1046" s="80" t="e">
        <f>+#REF!+#REF!+#REF!+#REF!+#REF!</f>
        <v>#REF!</v>
      </c>
      <c r="C1046" s="74" t="e">
        <f>+D1011</f>
        <v>#REF!</v>
      </c>
      <c r="D1046" s="195" t="e">
        <f>+B1046+C1046</f>
        <v>#REF!</v>
      </c>
      <c r="H1046" s="72">
        <v>723</v>
      </c>
      <c r="I1046" s="80">
        <f>+O1025+O1028+O1030+O1032</f>
        <v>8078000</v>
      </c>
      <c r="J1046" s="74">
        <f>+K1011</f>
        <v>289592911</v>
      </c>
      <c r="K1046" s="195">
        <f>+I1046+J1046</f>
        <v>297670911</v>
      </c>
      <c r="M1046" s="918"/>
      <c r="N1046" s="918"/>
      <c r="O1046" s="918"/>
    </row>
    <row r="1047" spans="1:15" ht="16.5" hidden="1" thickBot="1">
      <c r="A1047" s="72">
        <v>722</v>
      </c>
      <c r="B1047" s="80"/>
      <c r="C1047" s="74" t="e">
        <f>+D1012</f>
        <v>#REF!</v>
      </c>
      <c r="D1047" s="195" t="e">
        <f>+B1047+C1047</f>
        <v>#REF!</v>
      </c>
      <c r="H1047" s="164" t="s">
        <v>181</v>
      </c>
      <c r="I1047" s="165"/>
      <c r="J1047" s="74">
        <f>+K1012</f>
        <v>0</v>
      </c>
      <c r="K1047" s="196">
        <f>+I1047+J1047</f>
        <v>0</v>
      </c>
      <c r="M1047" s="52"/>
    </row>
    <row r="1048" spans="1:15" ht="16.5" thickBot="1">
      <c r="A1048" s="72">
        <v>723</v>
      </c>
      <c r="B1048" s="80"/>
      <c r="C1048" s="74" t="e">
        <f>+D1013</f>
        <v>#REF!</v>
      </c>
      <c r="D1048" s="195" t="e">
        <f>+B1048+C1048</f>
        <v>#REF!</v>
      </c>
      <c r="F1048" s="174" t="s">
        <v>23</v>
      </c>
      <c r="G1048" s="175"/>
      <c r="H1048" s="169"/>
      <c r="I1048" s="197">
        <f>SUM(I1043:I1047)</f>
        <v>8078000</v>
      </c>
      <c r="J1048" s="197">
        <f>SUM(J1043:J1047)</f>
        <v>347572911</v>
      </c>
      <c r="K1048" s="198">
        <f>SUM(K1043:K1047)</f>
        <v>355650911</v>
      </c>
    </row>
    <row r="1049" spans="1:15" ht="16.5">
      <c r="A1049" s="49" t="s">
        <v>88</v>
      </c>
      <c r="B1049" s="50"/>
      <c r="H1049" s="49" t="s">
        <v>88</v>
      </c>
      <c r="I1049" s="50"/>
    </row>
    <row r="1050" spans="1:15" ht="14.25" customHeight="1">
      <c r="A1050" s="51" t="s">
        <v>89</v>
      </c>
      <c r="H1050" s="51" t="s">
        <v>89</v>
      </c>
    </row>
    <row r="1051" spans="1:15">
      <c r="A1051" s="51" t="s">
        <v>90</v>
      </c>
      <c r="H1051" s="51" t="s">
        <v>90</v>
      </c>
    </row>
    <row r="1052" spans="1:15" ht="12.75" customHeight="1">
      <c r="A1052" s="51" t="s">
        <v>91</v>
      </c>
      <c r="H1052" s="51" t="s">
        <v>91</v>
      </c>
    </row>
    <row r="1053" spans="1:15" ht="4.5" customHeight="1">
      <c r="A1053" s="50"/>
      <c r="B1053" s="50"/>
      <c r="H1053" s="50"/>
      <c r="I1053" s="50"/>
    </row>
    <row r="1054" spans="1:15" ht="16.5">
      <c r="A1054" s="52" t="s">
        <v>471</v>
      </c>
      <c r="G1054" s="52"/>
      <c r="H1054" s="260" t="s">
        <v>534</v>
      </c>
      <c r="N1054" s="52"/>
    </row>
    <row r="1055" spans="1:15" ht="15.75">
      <c r="A1055" s="53" t="s">
        <v>92</v>
      </c>
      <c r="G1055" s="53"/>
      <c r="H1055" s="53" t="s">
        <v>2754</v>
      </c>
      <c r="N1055" s="53"/>
    </row>
    <row r="1056" spans="1:15" ht="15" customHeight="1">
      <c r="A1056" s="894" t="s">
        <v>462</v>
      </c>
      <c r="B1056" s="894"/>
      <c r="C1056" s="894"/>
      <c r="D1056" s="894"/>
      <c r="E1056" s="894"/>
      <c r="F1056" s="894"/>
      <c r="G1056" s="894"/>
      <c r="H1056" s="894" t="s">
        <v>1278</v>
      </c>
      <c r="I1056" s="894"/>
      <c r="J1056" s="894"/>
      <c r="K1056" s="894"/>
      <c r="L1056" s="894"/>
      <c r="M1056" s="894"/>
      <c r="N1056" s="894"/>
      <c r="O1056" s="894"/>
    </row>
    <row r="1057" spans="1:15" ht="6" customHeight="1" thickBot="1"/>
    <row r="1058" spans="1:15">
      <c r="A1058" s="895" t="s">
        <v>94</v>
      </c>
      <c r="B1058" s="897" t="s">
        <v>95</v>
      </c>
      <c r="C1058" s="897" t="s">
        <v>96</v>
      </c>
      <c r="D1058" s="897" t="s">
        <v>3</v>
      </c>
      <c r="E1058" s="897" t="s">
        <v>97</v>
      </c>
      <c r="F1058" s="897" t="s">
        <v>98</v>
      </c>
      <c r="G1058" s="500" t="s">
        <v>99</v>
      </c>
      <c r="H1058" s="895" t="s">
        <v>94</v>
      </c>
      <c r="I1058" s="897" t="s">
        <v>95</v>
      </c>
      <c r="J1058" s="897" t="s">
        <v>96</v>
      </c>
      <c r="K1058" s="897" t="s">
        <v>3</v>
      </c>
      <c r="L1058" s="897" t="s">
        <v>97</v>
      </c>
      <c r="M1058" s="897" t="s">
        <v>98</v>
      </c>
      <c r="N1058" s="897" t="s">
        <v>99</v>
      </c>
      <c r="O1058" s="899"/>
    </row>
    <row r="1059" spans="1:15" ht="15.75" thickBot="1">
      <c r="A1059" s="896"/>
      <c r="B1059" s="898"/>
      <c r="C1059" s="898"/>
      <c r="D1059" s="898"/>
      <c r="E1059" s="898"/>
      <c r="F1059" s="898"/>
      <c r="G1059" s="240" t="s">
        <v>100</v>
      </c>
      <c r="H1059" s="896"/>
      <c r="I1059" s="898"/>
      <c r="J1059" s="898"/>
      <c r="K1059" s="898"/>
      <c r="L1059" s="898"/>
      <c r="M1059" s="898"/>
      <c r="N1059" s="240" t="s">
        <v>100</v>
      </c>
      <c r="O1059" s="182" t="s">
        <v>101</v>
      </c>
    </row>
    <row r="1060" spans="1:15" ht="13.5" customHeight="1">
      <c r="A1060" s="881" t="e">
        <f>+A1033+1</f>
        <v>#REF!</v>
      </c>
      <c r="B1060" s="875">
        <v>42345</v>
      </c>
      <c r="C1060" s="877" t="s">
        <v>31</v>
      </c>
      <c r="D1060" s="881" t="s">
        <v>478</v>
      </c>
      <c r="E1060" s="881" t="s">
        <v>115</v>
      </c>
      <c r="F1060" s="883">
        <v>110000</v>
      </c>
      <c r="G1060" s="55">
        <v>719</v>
      </c>
      <c r="H1060" s="873" t="s">
        <v>545</v>
      </c>
      <c r="I1060" s="875">
        <v>45721</v>
      </c>
      <c r="J1060" s="877" t="s">
        <v>120</v>
      </c>
      <c r="K1060" s="881" t="s">
        <v>2766</v>
      </c>
      <c r="L1060" s="881" t="s">
        <v>115</v>
      </c>
      <c r="M1060" s="883">
        <v>1269000</v>
      </c>
      <c r="N1060" s="55">
        <v>719</v>
      </c>
      <c r="O1060" s="78">
        <v>940000</v>
      </c>
    </row>
    <row r="1061" spans="1:15" ht="12" customHeight="1" thickBot="1">
      <c r="A1061" s="882"/>
      <c r="B1061" s="876"/>
      <c r="C1061" s="878"/>
      <c r="D1061" s="882"/>
      <c r="E1061" s="882"/>
      <c r="F1061" s="884"/>
      <c r="G1061" s="56">
        <v>721</v>
      </c>
      <c r="H1061" s="874"/>
      <c r="I1061" s="876"/>
      <c r="J1061" s="878"/>
      <c r="K1061" s="882"/>
      <c r="L1061" s="882"/>
      <c r="M1061" s="884"/>
      <c r="N1061" s="56">
        <v>721</v>
      </c>
      <c r="O1061" s="79">
        <f>+M1060-O1060</f>
        <v>329000</v>
      </c>
    </row>
    <row r="1062" spans="1:15" ht="12.75" customHeight="1">
      <c r="A1062" s="881" t="e">
        <f>+A1060+1</f>
        <v>#REF!</v>
      </c>
      <c r="B1062" s="875">
        <v>42345</v>
      </c>
      <c r="C1062" s="881" t="s">
        <v>472</v>
      </c>
      <c r="D1062" s="881" t="s">
        <v>479</v>
      </c>
      <c r="E1062" s="881" t="s">
        <v>115</v>
      </c>
      <c r="F1062" s="883">
        <v>60000</v>
      </c>
      <c r="G1062" s="55">
        <v>719</v>
      </c>
      <c r="H1062" s="873" t="s">
        <v>547</v>
      </c>
      <c r="I1062" s="875">
        <v>45721</v>
      </c>
      <c r="J1062" s="877" t="s">
        <v>120</v>
      </c>
      <c r="K1062" s="881" t="s">
        <v>2767</v>
      </c>
      <c r="L1062" s="881" t="s">
        <v>214</v>
      </c>
      <c r="M1062" s="883">
        <v>420000</v>
      </c>
      <c r="N1062" s="55">
        <v>719</v>
      </c>
      <c r="O1062" s="78">
        <v>420000</v>
      </c>
    </row>
    <row r="1063" spans="1:15" ht="13.5" customHeight="1" thickBot="1">
      <c r="A1063" s="882"/>
      <c r="B1063" s="876"/>
      <c r="C1063" s="882"/>
      <c r="D1063" s="882"/>
      <c r="E1063" s="882"/>
      <c r="F1063" s="884"/>
      <c r="G1063" s="56">
        <v>721</v>
      </c>
      <c r="H1063" s="874"/>
      <c r="I1063" s="876"/>
      <c r="J1063" s="878"/>
      <c r="K1063" s="882"/>
      <c r="L1063" s="882"/>
      <c r="M1063" s="884"/>
      <c r="N1063" s="56">
        <v>723</v>
      </c>
      <c r="O1063" s="79">
        <f>+M1062-O1062</f>
        <v>0</v>
      </c>
    </row>
    <row r="1064" spans="1:15" ht="15.75" customHeight="1">
      <c r="A1064" s="251"/>
      <c r="B1064" s="252"/>
      <c r="C1064" s="251"/>
      <c r="D1064" s="251"/>
      <c r="E1064" s="251"/>
      <c r="F1064" s="254"/>
      <c r="G1064" s="255"/>
      <c r="H1064" s="873" t="s">
        <v>548</v>
      </c>
      <c r="I1064" s="875">
        <v>45721</v>
      </c>
      <c r="J1064" s="877" t="s">
        <v>1079</v>
      </c>
      <c r="K1064" s="881" t="s">
        <v>2768</v>
      </c>
      <c r="L1064" s="881" t="s">
        <v>148</v>
      </c>
      <c r="M1064" s="883">
        <v>500000</v>
      </c>
      <c r="N1064" s="55">
        <v>719</v>
      </c>
      <c r="O1064" s="78">
        <v>500000</v>
      </c>
    </row>
    <row r="1065" spans="1:15" ht="12" customHeight="1" thickBot="1">
      <c r="A1065" s="251"/>
      <c r="B1065" s="252"/>
      <c r="C1065" s="251"/>
      <c r="D1065" s="251"/>
      <c r="E1065" s="251"/>
      <c r="F1065" s="254"/>
      <c r="G1065" s="255"/>
      <c r="H1065" s="874"/>
      <c r="I1065" s="876"/>
      <c r="J1065" s="878"/>
      <c r="K1065" s="882"/>
      <c r="L1065" s="882"/>
      <c r="M1065" s="884"/>
      <c r="N1065" s="56">
        <v>721</v>
      </c>
      <c r="O1065" s="79">
        <f>+M1064-O1064</f>
        <v>0</v>
      </c>
    </row>
    <row r="1066" spans="1:15" ht="15" customHeight="1">
      <c r="A1066" s="881"/>
      <c r="B1066" s="875"/>
      <c r="C1066" s="877"/>
      <c r="D1066" s="881"/>
      <c r="E1066" s="881"/>
      <c r="F1066" s="883"/>
      <c r="G1066" s="55">
        <v>719</v>
      </c>
      <c r="H1066" s="873" t="s">
        <v>549</v>
      </c>
      <c r="I1066" s="875">
        <v>45721</v>
      </c>
      <c r="J1066" s="877" t="s">
        <v>1079</v>
      </c>
      <c r="K1066" s="881" t="s">
        <v>2769</v>
      </c>
      <c r="L1066" s="881" t="s">
        <v>148</v>
      </c>
      <c r="M1066" s="883">
        <v>500000</v>
      </c>
      <c r="N1066" s="55">
        <v>719</v>
      </c>
      <c r="O1066" s="78">
        <v>500000</v>
      </c>
    </row>
    <row r="1067" spans="1:15" ht="12.75" customHeight="1" thickBot="1">
      <c r="A1067" s="882"/>
      <c r="B1067" s="876"/>
      <c r="C1067" s="878"/>
      <c r="D1067" s="882"/>
      <c r="E1067" s="882"/>
      <c r="F1067" s="884"/>
      <c r="G1067" s="56">
        <v>721</v>
      </c>
      <c r="H1067" s="874"/>
      <c r="I1067" s="876"/>
      <c r="J1067" s="878"/>
      <c r="K1067" s="882"/>
      <c r="L1067" s="882"/>
      <c r="M1067" s="884"/>
      <c r="N1067" s="56">
        <v>723</v>
      </c>
      <c r="O1067" s="79">
        <f>+M1066-O1066</f>
        <v>0</v>
      </c>
    </row>
    <row r="1068" spans="1:15" ht="13.5" customHeight="1">
      <c r="A1068" s="881"/>
      <c r="B1068" s="875"/>
      <c r="C1068" s="877"/>
      <c r="D1068" s="881"/>
      <c r="E1068" s="881"/>
      <c r="F1068" s="883"/>
      <c r="G1068" s="55">
        <v>719</v>
      </c>
      <c r="H1068" s="873" t="s">
        <v>550</v>
      </c>
      <c r="I1068" s="875">
        <v>45721</v>
      </c>
      <c r="J1068" s="877" t="s">
        <v>1984</v>
      </c>
      <c r="K1068" s="881" t="s">
        <v>2767</v>
      </c>
      <c r="L1068" s="881" t="s">
        <v>115</v>
      </c>
      <c r="M1068" s="883">
        <v>715500</v>
      </c>
      <c r="N1068" s="55">
        <v>719</v>
      </c>
      <c r="O1068" s="78">
        <v>530000</v>
      </c>
    </row>
    <row r="1069" spans="1:15" ht="13.5" customHeight="1" thickBot="1">
      <c r="A1069" s="882"/>
      <c r="B1069" s="876"/>
      <c r="C1069" s="878"/>
      <c r="D1069" s="882"/>
      <c r="E1069" s="882"/>
      <c r="F1069" s="884"/>
      <c r="G1069" s="56">
        <v>721</v>
      </c>
      <c r="H1069" s="874"/>
      <c r="I1069" s="876"/>
      <c r="J1069" s="878"/>
      <c r="K1069" s="882"/>
      <c r="L1069" s="882"/>
      <c r="M1069" s="884"/>
      <c r="N1069" s="56">
        <v>721</v>
      </c>
      <c r="O1069" s="79">
        <f>+M1068-O1068</f>
        <v>185500</v>
      </c>
    </row>
    <row r="1070" spans="1:15" ht="16.5" thickBot="1">
      <c r="A1070" s="901" t="s">
        <v>102</v>
      </c>
      <c r="B1070" s="902"/>
      <c r="C1070" s="902"/>
      <c r="D1070" s="902"/>
      <c r="E1070" s="903"/>
      <c r="F1070" s="81">
        <f>SUM(F1060:F1069)</f>
        <v>170000</v>
      </c>
      <c r="H1070" s="901" t="s">
        <v>102</v>
      </c>
      <c r="I1070" s="902"/>
      <c r="J1070" s="902"/>
      <c r="K1070" s="902"/>
      <c r="L1070" s="903"/>
      <c r="M1070" s="81">
        <f>SUM(M1060:M1069)</f>
        <v>3404500</v>
      </c>
    </row>
    <row r="1071" spans="1:15" ht="16.5" thickBot="1">
      <c r="A1071" s="885" t="s">
        <v>103</v>
      </c>
      <c r="B1071" s="886"/>
      <c r="C1071" s="886"/>
      <c r="D1071" s="886"/>
      <c r="E1071" s="887"/>
      <c r="F1071" s="69" t="e">
        <f>+F1037</f>
        <v>#REF!</v>
      </c>
      <c r="H1071" s="885" t="s">
        <v>103</v>
      </c>
      <c r="I1071" s="886"/>
      <c r="J1071" s="886"/>
      <c r="K1071" s="886"/>
      <c r="L1071" s="887"/>
      <c r="M1071" s="69">
        <v>0</v>
      </c>
      <c r="N1071" s="241" t="s">
        <v>561</v>
      </c>
      <c r="O1071" s="242"/>
    </row>
    <row r="1072" spans="1:15" ht="16.5" thickBot="1">
      <c r="A1072" s="888" t="s">
        <v>104</v>
      </c>
      <c r="B1072" s="889"/>
      <c r="C1072" s="889"/>
      <c r="D1072" s="889"/>
      <c r="E1072" s="890"/>
      <c r="F1072" s="183" t="e">
        <f>SUM(F1070:F1071)</f>
        <v>#REF!</v>
      </c>
      <c r="H1072" s="888" t="s">
        <v>104</v>
      </c>
      <c r="I1072" s="889"/>
      <c r="J1072" s="889"/>
      <c r="K1072" s="889"/>
      <c r="L1072" s="890"/>
      <c r="M1072" s="183">
        <f>SUM(M1070:M1071)</f>
        <v>3404500</v>
      </c>
    </row>
    <row r="1073" spans="1:15" ht="6.75" customHeight="1">
      <c r="A1073" s="61"/>
      <c r="B1073" s="61"/>
      <c r="C1073" s="61"/>
      <c r="D1073" s="61"/>
      <c r="E1073" s="61"/>
      <c r="H1073" s="61"/>
      <c r="I1073" s="61"/>
      <c r="J1073" s="61"/>
      <c r="K1073" s="61"/>
      <c r="L1073" s="61"/>
    </row>
    <row r="1074" spans="1:15">
      <c r="A1074" s="51" t="s">
        <v>480</v>
      </c>
      <c r="H1074" s="51" t="s">
        <v>2770</v>
      </c>
    </row>
    <row r="1075" spans="1:15" ht="4.5" customHeight="1">
      <c r="F1075" s="139"/>
      <c r="M1075" s="139"/>
    </row>
    <row r="1076" spans="1:15" ht="15" customHeight="1">
      <c r="A1076" s="50" t="s">
        <v>105</v>
      </c>
      <c r="D1076" s="146"/>
      <c r="F1076" s="139"/>
      <c r="H1076" s="50" t="s">
        <v>105</v>
      </c>
      <c r="K1076" s="146"/>
      <c r="M1076" s="139"/>
    </row>
    <row r="1077" spans="1:15" ht="5.25" customHeight="1" thickBot="1"/>
    <row r="1078" spans="1:15" ht="15.75" thickBot="1">
      <c r="A1078" s="891" t="s">
        <v>106</v>
      </c>
      <c r="B1078" s="892"/>
      <c r="C1078" s="892"/>
      <c r="D1078" s="893"/>
      <c r="F1078" s="50" t="s">
        <v>288</v>
      </c>
      <c r="H1078" s="891" t="s">
        <v>106</v>
      </c>
      <c r="I1078" s="892"/>
      <c r="J1078" s="892"/>
      <c r="K1078" s="893"/>
      <c r="M1078" s="50" t="s">
        <v>288</v>
      </c>
    </row>
    <row r="1079" spans="1:15" ht="43.5" customHeight="1" thickBot="1">
      <c r="A1079" s="57" t="s">
        <v>100</v>
      </c>
      <c r="B1079" s="58" t="s">
        <v>108</v>
      </c>
      <c r="C1079" s="59" t="s">
        <v>109</v>
      </c>
      <c r="D1079" s="60" t="s">
        <v>110</v>
      </c>
      <c r="H1079" s="57" t="s">
        <v>100</v>
      </c>
      <c r="I1079" s="58" t="s">
        <v>108</v>
      </c>
      <c r="J1079" s="59" t="s">
        <v>109</v>
      </c>
      <c r="K1079" s="60" t="s">
        <v>110</v>
      </c>
    </row>
    <row r="1080" spans="1:15" ht="13.5" customHeight="1">
      <c r="A1080" s="71">
        <v>719</v>
      </c>
      <c r="B1080" s="73" t="e">
        <f>+#REF!+#REF!+#REF!+#REF!</f>
        <v>#REF!</v>
      </c>
      <c r="C1080" s="74" t="e">
        <f>+D1045</f>
        <v>#REF!</v>
      </c>
      <c r="D1080" s="195" t="e">
        <f>+B1080+C1080</f>
        <v>#REF!</v>
      </c>
      <c r="H1080" s="71">
        <v>719</v>
      </c>
      <c r="I1080" s="73">
        <f>+O1060+O1062+O1064+O1066+O1068</f>
        <v>2890000</v>
      </c>
      <c r="J1080" s="74">
        <v>0</v>
      </c>
      <c r="K1080" s="195">
        <f>+I1080+J1080</f>
        <v>2890000</v>
      </c>
    </row>
    <row r="1081" spans="1:15" ht="13.5" customHeight="1">
      <c r="A1081" s="72">
        <v>721</v>
      </c>
      <c r="B1081" s="80" t="e">
        <f>+#REF!</f>
        <v>#REF!</v>
      </c>
      <c r="C1081" s="74" t="e">
        <f>+D1046</f>
        <v>#REF!</v>
      </c>
      <c r="D1081" s="195" t="e">
        <f>+B1081+C1081</f>
        <v>#REF!</v>
      </c>
      <c r="H1081" s="72">
        <v>721</v>
      </c>
      <c r="I1081" s="80">
        <f>+O1061+O1063+O1065+O1067+O1069</f>
        <v>514500</v>
      </c>
      <c r="J1081" s="74">
        <v>0</v>
      </c>
      <c r="K1081" s="195">
        <f>+I1081+J1081</f>
        <v>514500</v>
      </c>
    </row>
    <row r="1082" spans="1:15" hidden="1">
      <c r="A1082" s="72">
        <v>722</v>
      </c>
      <c r="B1082" s="80"/>
      <c r="C1082" s="74" t="e">
        <f>+D1047</f>
        <v>#REF!</v>
      </c>
      <c r="D1082" s="195" t="e">
        <f>+B1082+C1082</f>
        <v>#REF!</v>
      </c>
      <c r="H1082" s="72">
        <v>722</v>
      </c>
      <c r="I1082" s="80"/>
      <c r="J1082" s="74">
        <f>+K1045</f>
        <v>0</v>
      </c>
      <c r="K1082" s="195">
        <f>+I1082+J1082</f>
        <v>0</v>
      </c>
    </row>
    <row r="1083" spans="1:15" ht="14.25" customHeight="1" thickBot="1">
      <c r="A1083" s="72">
        <v>723</v>
      </c>
      <c r="B1083" s="80"/>
      <c r="C1083" s="74" t="e">
        <f>+D1048</f>
        <v>#REF!</v>
      </c>
      <c r="D1083" s="195" t="e">
        <f>+B1083+C1083</f>
        <v>#REF!</v>
      </c>
      <c r="F1083" s="174" t="s">
        <v>23</v>
      </c>
      <c r="G1083" s="175"/>
      <c r="H1083" s="72">
        <v>723</v>
      </c>
      <c r="I1083" s="80"/>
      <c r="J1083" s="74">
        <v>0</v>
      </c>
      <c r="K1083" s="195">
        <f>+I1083+J1083</f>
        <v>0</v>
      </c>
      <c r="M1083" s="918"/>
      <c r="N1083" s="918"/>
      <c r="O1083" s="918"/>
    </row>
    <row r="1084" spans="1:15" ht="13.5" hidden="1" customHeight="1" thickBot="1">
      <c r="A1084" s="164" t="s">
        <v>181</v>
      </c>
      <c r="B1084" s="165"/>
      <c r="C1084" s="74" t="e">
        <f>+#REF!</f>
        <v>#REF!</v>
      </c>
      <c r="D1084" s="196" t="e">
        <f>+B1084+C1084</f>
        <v>#REF!</v>
      </c>
      <c r="F1084" s="52"/>
      <c r="H1084" s="164" t="s">
        <v>181</v>
      </c>
      <c r="I1084" s="165"/>
      <c r="J1084" s="74">
        <f>+K1047</f>
        <v>0</v>
      </c>
      <c r="K1084" s="196">
        <f>+I1084+J1084</f>
        <v>0</v>
      </c>
      <c r="M1084" s="52"/>
    </row>
    <row r="1085" spans="1:15" ht="16.5" thickBot="1">
      <c r="A1085" s="169"/>
      <c r="B1085" s="170" t="e">
        <f>SUM(B1080:B1084)</f>
        <v>#REF!</v>
      </c>
      <c r="C1085" s="171" t="e">
        <f>SUM(C1080:C1084)</f>
        <v>#REF!</v>
      </c>
      <c r="D1085" s="172" t="e">
        <f>SUM(D1080:D1084)</f>
        <v>#REF!</v>
      </c>
      <c r="H1085" s="169"/>
      <c r="I1085" s="197">
        <f>SUM(I1080:I1084)</f>
        <v>3404500</v>
      </c>
      <c r="J1085" s="197">
        <f>SUM(J1080:J1084)</f>
        <v>0</v>
      </c>
      <c r="K1085" s="198">
        <f>SUM(K1080:K1084)</f>
        <v>3404500</v>
      </c>
    </row>
    <row r="1086" spans="1:15" ht="16.5">
      <c r="A1086" s="49" t="s">
        <v>88</v>
      </c>
      <c r="B1086" s="50"/>
      <c r="H1086" s="49" t="s">
        <v>88</v>
      </c>
      <c r="I1086" s="50"/>
    </row>
    <row r="1087" spans="1:15">
      <c r="A1087" s="51" t="s">
        <v>89</v>
      </c>
      <c r="H1087" s="51" t="s">
        <v>89</v>
      </c>
    </row>
    <row r="1088" spans="1:15">
      <c r="A1088" s="51" t="s">
        <v>90</v>
      </c>
      <c r="H1088" s="51" t="s">
        <v>90</v>
      </c>
    </row>
    <row r="1089" spans="1:15">
      <c r="A1089" s="51" t="s">
        <v>91</v>
      </c>
      <c r="H1089" s="51" t="s">
        <v>91</v>
      </c>
    </row>
    <row r="1090" spans="1:15" ht="4.5" customHeight="1">
      <c r="A1090" s="50"/>
      <c r="B1090" s="50"/>
      <c r="H1090" s="50"/>
      <c r="I1090" s="50"/>
    </row>
    <row r="1091" spans="1:15" ht="16.5">
      <c r="A1091" s="52" t="s">
        <v>473</v>
      </c>
      <c r="G1091" s="52"/>
      <c r="H1091" s="260" t="s">
        <v>536</v>
      </c>
      <c r="N1091" s="52"/>
    </row>
    <row r="1092" spans="1:15" ht="15.75">
      <c r="A1092" s="53" t="s">
        <v>92</v>
      </c>
      <c r="G1092" s="53"/>
      <c r="H1092" s="53" t="s">
        <v>2754</v>
      </c>
      <c r="N1092" s="53"/>
    </row>
    <row r="1093" spans="1:15" ht="16.5">
      <c r="A1093" s="894" t="s">
        <v>462</v>
      </c>
      <c r="B1093" s="894"/>
      <c r="C1093" s="894"/>
      <c r="D1093" s="894"/>
      <c r="E1093" s="894"/>
      <c r="F1093" s="894"/>
      <c r="G1093" s="894"/>
      <c r="H1093" s="894" t="s">
        <v>261</v>
      </c>
      <c r="I1093" s="894"/>
      <c r="J1093" s="894"/>
      <c r="K1093" s="894"/>
      <c r="L1093" s="894"/>
      <c r="M1093" s="894"/>
      <c r="N1093" s="894"/>
      <c r="O1093" s="894"/>
    </row>
    <row r="1094" spans="1:15" ht="6.75" customHeight="1" thickBot="1"/>
    <row r="1095" spans="1:15">
      <c r="A1095" s="895" t="s">
        <v>94</v>
      </c>
      <c r="B1095" s="897" t="s">
        <v>95</v>
      </c>
      <c r="C1095" s="897" t="s">
        <v>96</v>
      </c>
      <c r="D1095" s="897" t="s">
        <v>3</v>
      </c>
      <c r="E1095" s="897" t="s">
        <v>97</v>
      </c>
      <c r="F1095" s="897" t="s">
        <v>98</v>
      </c>
      <c r="G1095" s="500" t="s">
        <v>99</v>
      </c>
      <c r="H1095" s="895" t="s">
        <v>94</v>
      </c>
      <c r="I1095" s="897" t="s">
        <v>95</v>
      </c>
      <c r="J1095" s="897" t="s">
        <v>96</v>
      </c>
      <c r="K1095" s="897" t="s">
        <v>3</v>
      </c>
      <c r="L1095" s="897" t="s">
        <v>97</v>
      </c>
      <c r="M1095" s="897" t="s">
        <v>98</v>
      </c>
      <c r="N1095" s="897" t="s">
        <v>99</v>
      </c>
      <c r="O1095" s="899"/>
    </row>
    <row r="1096" spans="1:15" ht="15.75" thickBot="1">
      <c r="A1096" s="896"/>
      <c r="B1096" s="898"/>
      <c r="C1096" s="898"/>
      <c r="D1096" s="898"/>
      <c r="E1096" s="898"/>
      <c r="F1096" s="898"/>
      <c r="G1096" s="240" t="s">
        <v>100</v>
      </c>
      <c r="H1096" s="896"/>
      <c r="I1096" s="898"/>
      <c r="J1096" s="898"/>
      <c r="K1096" s="898"/>
      <c r="L1096" s="898"/>
      <c r="M1096" s="898"/>
      <c r="N1096" s="240" t="s">
        <v>100</v>
      </c>
      <c r="O1096" s="182" t="s">
        <v>101</v>
      </c>
    </row>
    <row r="1097" spans="1:15" ht="15" customHeight="1">
      <c r="A1097" s="881" t="e">
        <f>+A1062+1</f>
        <v>#REF!</v>
      </c>
      <c r="B1097" s="875">
        <v>42345</v>
      </c>
      <c r="C1097" s="877" t="s">
        <v>267</v>
      </c>
      <c r="D1097" s="881" t="s">
        <v>481</v>
      </c>
      <c r="E1097" s="881" t="s">
        <v>148</v>
      </c>
      <c r="F1097" s="883">
        <v>182000</v>
      </c>
      <c r="G1097" s="55">
        <v>719</v>
      </c>
      <c r="H1097" s="873" t="s">
        <v>551</v>
      </c>
      <c r="I1097" s="875">
        <v>45741</v>
      </c>
      <c r="J1097" s="881" t="s">
        <v>815</v>
      </c>
      <c r="K1097" s="881" t="s">
        <v>2782</v>
      </c>
      <c r="L1097" s="881" t="s">
        <v>214</v>
      </c>
      <c r="M1097" s="883">
        <v>400000</v>
      </c>
      <c r="N1097" s="55">
        <v>719</v>
      </c>
      <c r="O1097" s="78">
        <f>+M1097</f>
        <v>400000</v>
      </c>
    </row>
    <row r="1098" spans="1:15" ht="11.25" customHeight="1" thickBot="1">
      <c r="A1098" s="882"/>
      <c r="B1098" s="876"/>
      <c r="C1098" s="878"/>
      <c r="D1098" s="882"/>
      <c r="E1098" s="882"/>
      <c r="F1098" s="884"/>
      <c r="G1098" s="56">
        <v>721</v>
      </c>
      <c r="H1098" s="874"/>
      <c r="I1098" s="876"/>
      <c r="J1098" s="882"/>
      <c r="K1098" s="882"/>
      <c r="L1098" s="882"/>
      <c r="M1098" s="884"/>
      <c r="N1098" s="56">
        <v>721</v>
      </c>
      <c r="O1098" s="79">
        <v>0</v>
      </c>
    </row>
    <row r="1099" spans="1:15" ht="12.75" customHeight="1">
      <c r="A1099" s="881" t="e">
        <f>+A1097+1</f>
        <v>#REF!</v>
      </c>
      <c r="B1099" s="875">
        <v>42345</v>
      </c>
      <c r="C1099" s="881" t="s">
        <v>28</v>
      </c>
      <c r="D1099" s="881" t="s">
        <v>482</v>
      </c>
      <c r="E1099" s="881" t="s">
        <v>148</v>
      </c>
      <c r="F1099" s="883">
        <v>266000</v>
      </c>
      <c r="G1099" s="55">
        <v>719</v>
      </c>
      <c r="H1099" s="873" t="s">
        <v>552</v>
      </c>
      <c r="I1099" s="875">
        <v>45741</v>
      </c>
      <c r="J1099" s="881" t="s">
        <v>815</v>
      </c>
      <c r="K1099" s="881" t="s">
        <v>2783</v>
      </c>
      <c r="L1099" s="881" t="s">
        <v>115</v>
      </c>
      <c r="M1099" s="883">
        <v>1066500</v>
      </c>
      <c r="N1099" s="55">
        <v>719</v>
      </c>
      <c r="O1099" s="78">
        <v>790000</v>
      </c>
    </row>
    <row r="1100" spans="1:15" ht="13.5" customHeight="1" thickBot="1">
      <c r="A1100" s="882"/>
      <c r="B1100" s="876"/>
      <c r="C1100" s="882"/>
      <c r="D1100" s="882"/>
      <c r="E1100" s="882"/>
      <c r="F1100" s="884"/>
      <c r="G1100" s="56">
        <v>721</v>
      </c>
      <c r="H1100" s="874"/>
      <c r="I1100" s="876"/>
      <c r="J1100" s="882"/>
      <c r="K1100" s="882"/>
      <c r="L1100" s="882"/>
      <c r="M1100" s="884"/>
      <c r="N1100" s="56">
        <v>721</v>
      </c>
      <c r="O1100" s="79">
        <f>+M1099-O1099</f>
        <v>276500</v>
      </c>
    </row>
    <row r="1101" spans="1:15" ht="13.5" customHeight="1">
      <c r="A1101" s="881" t="e">
        <f>+A1099+1</f>
        <v>#REF!</v>
      </c>
      <c r="B1101" s="875">
        <v>42345</v>
      </c>
      <c r="C1101" s="877" t="s">
        <v>32</v>
      </c>
      <c r="D1101" s="881" t="s">
        <v>481</v>
      </c>
      <c r="E1101" s="881" t="s">
        <v>148</v>
      </c>
      <c r="F1101" s="883">
        <v>70000</v>
      </c>
      <c r="G1101" s="55">
        <v>719</v>
      </c>
      <c r="H1101" s="873" t="s">
        <v>553</v>
      </c>
      <c r="I1101" s="875">
        <v>45741</v>
      </c>
      <c r="J1101" s="877" t="s">
        <v>1079</v>
      </c>
      <c r="K1101" s="881" t="s">
        <v>2784</v>
      </c>
      <c r="L1101" s="881" t="s">
        <v>148</v>
      </c>
      <c r="M1101" s="883">
        <v>480000</v>
      </c>
      <c r="N1101" s="55">
        <v>719</v>
      </c>
      <c r="O1101" s="78">
        <v>480000</v>
      </c>
    </row>
    <row r="1102" spans="1:15" ht="12.75" customHeight="1" thickBot="1">
      <c r="A1102" s="882"/>
      <c r="B1102" s="876"/>
      <c r="C1102" s="878"/>
      <c r="D1102" s="882"/>
      <c r="E1102" s="882"/>
      <c r="F1102" s="884"/>
      <c r="G1102" s="56">
        <v>721</v>
      </c>
      <c r="H1102" s="874"/>
      <c r="I1102" s="876"/>
      <c r="J1102" s="878"/>
      <c r="K1102" s="882"/>
      <c r="L1102" s="882"/>
      <c r="M1102" s="884"/>
      <c r="N1102" s="56">
        <v>721</v>
      </c>
      <c r="O1102" s="79">
        <f>+M1101-O1101</f>
        <v>0</v>
      </c>
    </row>
    <row r="1103" spans="1:15" ht="12.75" customHeight="1">
      <c r="A1103" s="251"/>
      <c r="B1103" s="252"/>
      <c r="C1103" s="253"/>
      <c r="D1103" s="251"/>
      <c r="E1103" s="251"/>
      <c r="F1103" s="254"/>
      <c r="G1103" s="255"/>
      <c r="H1103" s="873" t="s">
        <v>554</v>
      </c>
      <c r="I1103" s="875">
        <v>45741</v>
      </c>
      <c r="J1103" s="877" t="s">
        <v>1079</v>
      </c>
      <c r="K1103" s="881" t="s">
        <v>2785</v>
      </c>
      <c r="L1103" s="881" t="s">
        <v>148</v>
      </c>
      <c r="M1103" s="883">
        <v>490000</v>
      </c>
      <c r="N1103" s="55">
        <v>719</v>
      </c>
      <c r="O1103" s="78">
        <v>490000</v>
      </c>
    </row>
    <row r="1104" spans="1:15" ht="12.75" customHeight="1" thickBot="1">
      <c r="A1104" s="251"/>
      <c r="B1104" s="252"/>
      <c r="C1104" s="253"/>
      <c r="D1104" s="251"/>
      <c r="E1104" s="251"/>
      <c r="F1104" s="254"/>
      <c r="G1104" s="255"/>
      <c r="H1104" s="874"/>
      <c r="I1104" s="876"/>
      <c r="J1104" s="878"/>
      <c r="K1104" s="882"/>
      <c r="L1104" s="882"/>
      <c r="M1104" s="884"/>
      <c r="N1104" s="56">
        <v>721</v>
      </c>
      <c r="O1104" s="79">
        <f>+M1103-O1103</f>
        <v>0</v>
      </c>
    </row>
    <row r="1105" spans="1:15" ht="12.75" customHeight="1">
      <c r="A1105" s="251"/>
      <c r="B1105" s="252"/>
      <c r="C1105" s="253"/>
      <c r="D1105" s="251"/>
      <c r="E1105" s="251"/>
      <c r="F1105" s="254"/>
      <c r="G1105" s="255"/>
      <c r="H1105" s="873" t="s">
        <v>1318</v>
      </c>
      <c r="I1105" s="875">
        <v>45741</v>
      </c>
      <c r="J1105" s="877" t="s">
        <v>1984</v>
      </c>
      <c r="K1105" s="881" t="s">
        <v>2783</v>
      </c>
      <c r="L1105" s="881" t="s">
        <v>115</v>
      </c>
      <c r="M1105" s="883">
        <v>621000</v>
      </c>
      <c r="N1105" s="55">
        <v>719</v>
      </c>
      <c r="O1105" s="78">
        <v>460000</v>
      </c>
    </row>
    <row r="1106" spans="1:15" ht="12.75" customHeight="1" thickBot="1">
      <c r="A1106" s="251"/>
      <c r="B1106" s="252"/>
      <c r="C1106" s="253"/>
      <c r="D1106" s="251"/>
      <c r="E1106" s="251"/>
      <c r="F1106" s="254"/>
      <c r="G1106" s="255"/>
      <c r="H1106" s="874"/>
      <c r="I1106" s="876"/>
      <c r="J1106" s="878"/>
      <c r="K1106" s="882"/>
      <c r="L1106" s="882"/>
      <c r="M1106" s="884"/>
      <c r="N1106" s="56">
        <v>721</v>
      </c>
      <c r="O1106" s="79">
        <f>+M1105-O1105</f>
        <v>161000</v>
      </c>
    </row>
    <row r="1107" spans="1:15" ht="16.5" thickBot="1">
      <c r="A1107" s="901" t="s">
        <v>102</v>
      </c>
      <c r="B1107" s="902"/>
      <c r="C1107" s="902"/>
      <c r="D1107" s="902"/>
      <c r="E1107" s="903"/>
      <c r="F1107" s="81">
        <f>SUM(F1097:F1106)</f>
        <v>518000</v>
      </c>
      <c r="H1107" s="901" t="s">
        <v>102</v>
      </c>
      <c r="I1107" s="902"/>
      <c r="J1107" s="902"/>
      <c r="K1107" s="902"/>
      <c r="L1107" s="903"/>
      <c r="M1107" s="81">
        <f>SUM(M1097:M1106)</f>
        <v>3057500</v>
      </c>
    </row>
    <row r="1108" spans="1:15" ht="16.5" thickBot="1">
      <c r="A1108" s="885" t="s">
        <v>103</v>
      </c>
      <c r="B1108" s="886"/>
      <c r="C1108" s="886"/>
      <c r="D1108" s="886"/>
      <c r="E1108" s="887"/>
      <c r="F1108" s="69" t="e">
        <f>+F1072</f>
        <v>#REF!</v>
      </c>
      <c r="H1108" s="885" t="s">
        <v>103</v>
      </c>
      <c r="I1108" s="886"/>
      <c r="J1108" s="886"/>
      <c r="K1108" s="886"/>
      <c r="L1108" s="887"/>
      <c r="M1108" s="69">
        <f>+M1072</f>
        <v>3404500</v>
      </c>
      <c r="N1108" s="241" t="s">
        <v>561</v>
      </c>
      <c r="O1108" s="242">
        <f>777+349+338+1883+544</f>
        <v>3891</v>
      </c>
    </row>
    <row r="1109" spans="1:15" ht="16.5" thickBot="1">
      <c r="A1109" s="888" t="s">
        <v>104</v>
      </c>
      <c r="B1109" s="889"/>
      <c r="C1109" s="889"/>
      <c r="D1109" s="889"/>
      <c r="E1109" s="890"/>
      <c r="F1109" s="183" t="e">
        <f>SUM(F1107:F1108)</f>
        <v>#REF!</v>
      </c>
      <c r="H1109" s="888" t="s">
        <v>104</v>
      </c>
      <c r="I1109" s="889"/>
      <c r="J1109" s="889"/>
      <c r="K1109" s="889"/>
      <c r="L1109" s="890"/>
      <c r="M1109" s="183">
        <f>SUM(M1107:M1108)</f>
        <v>6462000</v>
      </c>
    </row>
    <row r="1110" spans="1:15" ht="7.5" customHeight="1">
      <c r="A1110" s="61"/>
      <c r="B1110" s="61"/>
      <c r="C1110" s="61"/>
      <c r="D1110" s="61"/>
      <c r="E1110" s="61"/>
      <c r="H1110" s="61"/>
      <c r="I1110" s="61"/>
      <c r="J1110" s="61"/>
      <c r="K1110" s="61"/>
      <c r="L1110" s="61"/>
    </row>
    <row r="1111" spans="1:15">
      <c r="A1111" s="51" t="s">
        <v>484</v>
      </c>
      <c r="H1111" s="547" t="s">
        <v>2788</v>
      </c>
    </row>
    <row r="1112" spans="1:15" ht="7.5" customHeight="1">
      <c r="F1112" s="139"/>
      <c r="M1112" s="139"/>
    </row>
    <row r="1113" spans="1:15">
      <c r="A1113" s="50" t="s">
        <v>105</v>
      </c>
      <c r="D1113" s="146"/>
      <c r="F1113" s="139"/>
      <c r="H1113" s="50" t="s">
        <v>105</v>
      </c>
      <c r="K1113" s="146"/>
      <c r="M1113" s="139"/>
    </row>
    <row r="1114" spans="1:15" ht="9" customHeight="1" thickBot="1"/>
    <row r="1115" spans="1:15" ht="15.75" thickBot="1">
      <c r="A1115" s="891" t="s">
        <v>106</v>
      </c>
      <c r="B1115" s="892"/>
      <c r="C1115" s="892"/>
      <c r="D1115" s="893"/>
      <c r="F1115" s="50" t="s">
        <v>288</v>
      </c>
      <c r="H1115" s="891" t="s">
        <v>106</v>
      </c>
      <c r="I1115" s="892"/>
      <c r="J1115" s="892"/>
      <c r="K1115" s="893"/>
      <c r="M1115" s="925" t="s">
        <v>288</v>
      </c>
      <c r="N1115" s="925"/>
      <c r="O1115" s="925"/>
    </row>
    <row r="1116" spans="1:15" ht="30.75" thickBot="1">
      <c r="A1116" s="57" t="s">
        <v>100</v>
      </c>
      <c r="B1116" s="58" t="s">
        <v>108</v>
      </c>
      <c r="C1116" s="59" t="s">
        <v>109</v>
      </c>
      <c r="D1116" s="60" t="s">
        <v>110</v>
      </c>
      <c r="H1116" s="57" t="s">
        <v>100</v>
      </c>
      <c r="I1116" s="58" t="s">
        <v>108</v>
      </c>
      <c r="J1116" s="59" t="s">
        <v>109</v>
      </c>
      <c r="K1116" s="60" t="s">
        <v>110</v>
      </c>
    </row>
    <row r="1117" spans="1:15">
      <c r="A1117" s="71">
        <v>719</v>
      </c>
      <c r="B1117" s="73" t="e">
        <f>+#REF!+#REF!+#REF!+#REF!+#REF!</f>
        <v>#REF!</v>
      </c>
      <c r="C1117" s="74" t="e">
        <f>+D1080</f>
        <v>#REF!</v>
      </c>
      <c r="D1117" s="195" t="e">
        <f>+B1117+C1117</f>
        <v>#REF!</v>
      </c>
      <c r="H1117" s="71">
        <v>719</v>
      </c>
      <c r="I1117" s="73">
        <f>+O1097+O1099+O1101+O1103+O1105</f>
        <v>2620000</v>
      </c>
      <c r="J1117" s="74">
        <f>+K1080</f>
        <v>2890000</v>
      </c>
      <c r="K1117" s="195">
        <f>+I1117+J1117</f>
        <v>5510000</v>
      </c>
    </row>
    <row r="1118" spans="1:15" ht="12.75" customHeight="1">
      <c r="A1118" s="72">
        <v>721</v>
      </c>
      <c r="B1118" s="80" t="e">
        <f>+#REF!+#REF!+#REF!+#REF!+#REF!</f>
        <v>#REF!</v>
      </c>
      <c r="C1118" s="74" t="e">
        <f>+D1081</f>
        <v>#REF!</v>
      </c>
      <c r="D1118" s="195" t="e">
        <f>+B1118+C1118</f>
        <v>#REF!</v>
      </c>
      <c r="H1118" s="72">
        <v>721</v>
      </c>
      <c r="I1118" s="80">
        <f>+O1098+O1100+O1102+O1104+O1106</f>
        <v>437500</v>
      </c>
      <c r="J1118" s="74">
        <f>+K1081</f>
        <v>514500</v>
      </c>
      <c r="K1118" s="195">
        <f>+I1118+J1118</f>
        <v>952000</v>
      </c>
    </row>
    <row r="1119" spans="1:15" ht="13.5" hidden="1" customHeight="1">
      <c r="A1119" s="72">
        <v>722</v>
      </c>
      <c r="B1119" s="80"/>
      <c r="C1119" s="74" t="e">
        <f>+D1082</f>
        <v>#REF!</v>
      </c>
      <c r="D1119" s="195" t="e">
        <f>+B1119+C1119</f>
        <v>#REF!</v>
      </c>
      <c r="H1119" s="72">
        <v>722</v>
      </c>
      <c r="I1119" s="80"/>
      <c r="J1119" s="74">
        <f>+K1082</f>
        <v>0</v>
      </c>
      <c r="K1119" s="195">
        <f>+I1119+J1119</f>
        <v>0</v>
      </c>
    </row>
    <row r="1120" spans="1:15" ht="13.5" customHeight="1" thickBot="1">
      <c r="A1120" s="72">
        <v>723</v>
      </c>
      <c r="B1120" s="80"/>
      <c r="C1120" s="74" t="e">
        <f>+D1083</f>
        <v>#REF!</v>
      </c>
      <c r="D1120" s="195" t="e">
        <f>+B1120+C1120</f>
        <v>#REF!</v>
      </c>
      <c r="F1120" s="174" t="s">
        <v>23</v>
      </c>
      <c r="G1120" s="175"/>
      <c r="H1120" s="72">
        <v>723</v>
      </c>
      <c r="I1120" s="80"/>
      <c r="J1120" s="74">
        <f>+K1083</f>
        <v>0</v>
      </c>
      <c r="K1120" s="195">
        <f>+I1120+J1120</f>
        <v>0</v>
      </c>
      <c r="M1120" s="918"/>
      <c r="N1120" s="918"/>
      <c r="O1120" s="918"/>
    </row>
    <row r="1121" spans="1:15" ht="14.25" hidden="1" customHeight="1" thickBot="1">
      <c r="A1121" s="164" t="s">
        <v>181</v>
      </c>
      <c r="B1121" s="165"/>
      <c r="C1121" s="74" t="e">
        <f>+D1084</f>
        <v>#REF!</v>
      </c>
      <c r="D1121" s="196" t="e">
        <f>+B1121+C1121</f>
        <v>#REF!</v>
      </c>
      <c r="F1121" s="52"/>
      <c r="H1121" s="164" t="s">
        <v>181</v>
      </c>
      <c r="I1121" s="165"/>
      <c r="J1121" s="74">
        <f>+K1084</f>
        <v>0</v>
      </c>
      <c r="K1121" s="196">
        <f>+I1121+J1121</f>
        <v>0</v>
      </c>
      <c r="M1121" s="52"/>
    </row>
    <row r="1122" spans="1:15" ht="15" customHeight="1" thickBot="1">
      <c r="A1122" s="169"/>
      <c r="B1122" s="170" t="e">
        <f>SUM(B1117:B1121)</f>
        <v>#REF!</v>
      </c>
      <c r="C1122" s="171" t="e">
        <f>SUM(C1117:C1121)</f>
        <v>#REF!</v>
      </c>
      <c r="D1122" s="172" t="e">
        <f>SUM(D1117:D1121)</f>
        <v>#REF!</v>
      </c>
      <c r="H1122" s="169"/>
      <c r="I1122" s="197">
        <f>SUM(I1117:I1121)</f>
        <v>3057500</v>
      </c>
      <c r="J1122" s="197">
        <f>SUM(J1117:J1121)</f>
        <v>3404500</v>
      </c>
      <c r="K1122" s="198">
        <f>SUM(K1117:K1121)</f>
        <v>6462000</v>
      </c>
    </row>
    <row r="1123" spans="1:15" ht="16.5">
      <c r="A1123" s="49" t="s">
        <v>88</v>
      </c>
      <c r="B1123" s="50"/>
      <c r="H1123" s="49" t="s">
        <v>88</v>
      </c>
      <c r="I1123" s="50"/>
    </row>
    <row r="1124" spans="1:15">
      <c r="A1124" s="51" t="s">
        <v>89</v>
      </c>
      <c r="H1124" s="51" t="s">
        <v>89</v>
      </c>
    </row>
    <row r="1125" spans="1:15">
      <c r="A1125" s="51" t="s">
        <v>90</v>
      </c>
      <c r="H1125" s="51" t="s">
        <v>90</v>
      </c>
    </row>
    <row r="1126" spans="1:15" ht="13.5" customHeight="1">
      <c r="A1126" s="51" t="s">
        <v>91</v>
      </c>
      <c r="H1126" s="51" t="s">
        <v>91</v>
      </c>
    </row>
    <row r="1127" spans="1:15" ht="5.25" customHeight="1">
      <c r="A1127" s="50"/>
      <c r="B1127" s="50"/>
      <c r="H1127" s="50"/>
      <c r="I1127" s="50"/>
    </row>
    <row r="1128" spans="1:15" ht="15.75" customHeight="1">
      <c r="A1128" s="52" t="s">
        <v>486</v>
      </c>
      <c r="G1128" s="52"/>
      <c r="H1128" s="260" t="s">
        <v>539</v>
      </c>
      <c r="N1128" s="52"/>
    </row>
    <row r="1129" spans="1:15" ht="16.5" thickBot="1">
      <c r="A1129" s="53" t="s">
        <v>92</v>
      </c>
      <c r="G1129" s="53"/>
      <c r="H1129" s="53" t="s">
        <v>2754</v>
      </c>
      <c r="N1129" s="53"/>
    </row>
    <row r="1130" spans="1:15" ht="16.5">
      <c r="A1130" s="894" t="s">
        <v>485</v>
      </c>
      <c r="B1130" s="894"/>
      <c r="C1130" s="894"/>
      <c r="D1130" s="894"/>
      <c r="E1130" s="894"/>
      <c r="F1130" s="894"/>
      <c r="G1130" s="894"/>
      <c r="H1130" s="894" t="s">
        <v>228</v>
      </c>
      <c r="I1130" s="894"/>
      <c r="J1130" s="894"/>
      <c r="K1130" s="894"/>
      <c r="L1130" s="894"/>
      <c r="M1130" s="894"/>
      <c r="N1130" s="894"/>
      <c r="O1130" s="894"/>
    </row>
    <row r="1131" spans="1:15" ht="7.5" customHeight="1" thickBot="1"/>
    <row r="1132" spans="1:15">
      <c r="A1132" s="895" t="s">
        <v>94</v>
      </c>
      <c r="B1132" s="897" t="s">
        <v>95</v>
      </c>
      <c r="C1132" s="897" t="s">
        <v>96</v>
      </c>
      <c r="D1132" s="897" t="s">
        <v>3</v>
      </c>
      <c r="E1132" s="897" t="s">
        <v>97</v>
      </c>
      <c r="F1132" s="897" t="s">
        <v>98</v>
      </c>
      <c r="G1132" s="500" t="s">
        <v>99</v>
      </c>
      <c r="H1132" s="895" t="s">
        <v>94</v>
      </c>
      <c r="I1132" s="897" t="s">
        <v>95</v>
      </c>
      <c r="J1132" s="897" t="s">
        <v>96</v>
      </c>
      <c r="K1132" s="897" t="s">
        <v>3</v>
      </c>
      <c r="L1132" s="897" t="s">
        <v>97</v>
      </c>
      <c r="M1132" s="897" t="s">
        <v>98</v>
      </c>
      <c r="N1132" s="897" t="s">
        <v>99</v>
      </c>
      <c r="O1132" s="899"/>
    </row>
    <row r="1133" spans="1:15" ht="15.75" thickBot="1">
      <c r="A1133" s="896"/>
      <c r="B1133" s="898"/>
      <c r="C1133" s="898"/>
      <c r="D1133" s="898"/>
      <c r="E1133" s="898"/>
      <c r="F1133" s="898"/>
      <c r="G1133" s="240" t="s">
        <v>100</v>
      </c>
      <c r="H1133" s="896"/>
      <c r="I1133" s="898"/>
      <c r="J1133" s="898"/>
      <c r="K1133" s="898"/>
      <c r="L1133" s="898"/>
      <c r="M1133" s="898"/>
      <c r="N1133" s="240" t="s">
        <v>100</v>
      </c>
      <c r="O1133" s="182" t="s">
        <v>101</v>
      </c>
    </row>
    <row r="1134" spans="1:15" ht="13.5" customHeight="1">
      <c r="A1134" s="919">
        <v>1</v>
      </c>
      <c r="B1134" s="875">
        <v>42345</v>
      </c>
      <c r="C1134" s="877" t="s">
        <v>487</v>
      </c>
      <c r="D1134" s="877" t="s">
        <v>251</v>
      </c>
      <c r="E1134" s="881" t="s">
        <v>145</v>
      </c>
      <c r="F1134" s="883">
        <v>-4280256</v>
      </c>
      <c r="G1134" s="55">
        <v>719</v>
      </c>
      <c r="H1134" s="873" t="s">
        <v>1628</v>
      </c>
      <c r="I1134" s="875">
        <v>45782</v>
      </c>
      <c r="J1134" s="877" t="s">
        <v>1984</v>
      </c>
      <c r="K1134" s="926" t="s">
        <v>2786</v>
      </c>
      <c r="L1134" s="881" t="s">
        <v>148</v>
      </c>
      <c r="M1134" s="883">
        <v>500000</v>
      </c>
      <c r="N1134" s="55">
        <v>719</v>
      </c>
      <c r="O1134" s="78">
        <f>+M1134</f>
        <v>500000</v>
      </c>
    </row>
    <row r="1135" spans="1:15" ht="12.75" customHeight="1" thickBot="1">
      <c r="A1135" s="920"/>
      <c r="B1135" s="876"/>
      <c r="C1135" s="878"/>
      <c r="D1135" s="878"/>
      <c r="E1135" s="882"/>
      <c r="F1135" s="884"/>
      <c r="G1135" s="56">
        <v>721</v>
      </c>
      <c r="H1135" s="874"/>
      <c r="I1135" s="876"/>
      <c r="J1135" s="878"/>
      <c r="K1135" s="927"/>
      <c r="L1135" s="882"/>
      <c r="M1135" s="884"/>
      <c r="N1135" s="56">
        <v>721</v>
      </c>
      <c r="O1135" s="79">
        <f>+M1134-O1134</f>
        <v>0</v>
      </c>
    </row>
    <row r="1136" spans="1:15" ht="13.5" customHeight="1">
      <c r="A1136" s="919">
        <v>2</v>
      </c>
      <c r="B1136" s="875">
        <v>42345</v>
      </c>
      <c r="C1136" s="877" t="s">
        <v>249</v>
      </c>
      <c r="D1136" s="877" t="s">
        <v>251</v>
      </c>
      <c r="E1136" s="881" t="s">
        <v>145</v>
      </c>
      <c r="F1136" s="883">
        <v>-2140128</v>
      </c>
      <c r="G1136" s="55">
        <v>719</v>
      </c>
      <c r="H1136" s="873" t="s">
        <v>1629</v>
      </c>
      <c r="I1136" s="875">
        <v>45782</v>
      </c>
      <c r="J1136" s="877" t="s">
        <v>1984</v>
      </c>
      <c r="K1136" s="879" t="s">
        <v>2787</v>
      </c>
      <c r="L1136" s="881" t="s">
        <v>148</v>
      </c>
      <c r="M1136" s="883">
        <v>470000</v>
      </c>
      <c r="N1136" s="55">
        <v>719</v>
      </c>
      <c r="O1136" s="78">
        <f>+M1136</f>
        <v>470000</v>
      </c>
    </row>
    <row r="1137" spans="1:15" ht="10.5" customHeight="1" thickBot="1">
      <c r="A1137" s="920"/>
      <c r="B1137" s="876"/>
      <c r="C1137" s="878"/>
      <c r="D1137" s="878"/>
      <c r="E1137" s="882"/>
      <c r="F1137" s="884"/>
      <c r="G1137" s="56">
        <v>721</v>
      </c>
      <c r="H1137" s="874"/>
      <c r="I1137" s="876"/>
      <c r="J1137" s="878"/>
      <c r="K1137" s="880"/>
      <c r="L1137" s="882"/>
      <c r="M1137" s="884"/>
      <c r="N1137" s="56">
        <v>721</v>
      </c>
      <c r="O1137" s="79">
        <v>0</v>
      </c>
    </row>
    <row r="1138" spans="1:15" ht="13.5" customHeight="1">
      <c r="A1138" s="881"/>
      <c r="B1138" s="875"/>
      <c r="C1138" s="877"/>
      <c r="D1138" s="881"/>
      <c r="E1138" s="881"/>
      <c r="F1138" s="883"/>
      <c r="G1138" s="55">
        <v>719</v>
      </c>
      <c r="H1138" s="873" t="s">
        <v>1631</v>
      </c>
      <c r="I1138" s="875">
        <v>45782</v>
      </c>
      <c r="J1138" s="881" t="s">
        <v>815</v>
      </c>
      <c r="K1138" s="879" t="s">
        <v>2790</v>
      </c>
      <c r="L1138" s="881" t="s">
        <v>214</v>
      </c>
      <c r="M1138" s="883">
        <v>490000</v>
      </c>
      <c r="N1138" s="55">
        <v>719</v>
      </c>
      <c r="O1138" s="78">
        <v>490000</v>
      </c>
    </row>
    <row r="1139" spans="1:15" ht="9.75" customHeight="1" thickBot="1">
      <c r="A1139" s="882"/>
      <c r="B1139" s="876"/>
      <c r="C1139" s="878"/>
      <c r="D1139" s="882"/>
      <c r="E1139" s="882"/>
      <c r="F1139" s="884"/>
      <c r="G1139" s="56">
        <v>721</v>
      </c>
      <c r="H1139" s="874"/>
      <c r="I1139" s="876"/>
      <c r="J1139" s="882"/>
      <c r="K1139" s="880"/>
      <c r="L1139" s="882"/>
      <c r="M1139" s="884"/>
      <c r="N1139" s="56">
        <v>721</v>
      </c>
      <c r="O1139" s="79">
        <v>0</v>
      </c>
    </row>
    <row r="1140" spans="1:15" ht="12.75" customHeight="1">
      <c r="A1140" s="881"/>
      <c r="B1140" s="875"/>
      <c r="C1140" s="877"/>
      <c r="D1140" s="881"/>
      <c r="E1140" s="881"/>
      <c r="F1140" s="883"/>
      <c r="G1140" s="55">
        <v>719</v>
      </c>
      <c r="H1140" s="873" t="s">
        <v>1344</v>
      </c>
      <c r="I1140" s="875">
        <v>45782</v>
      </c>
      <c r="J1140" s="877" t="s">
        <v>1984</v>
      </c>
      <c r="K1140" s="879" t="s">
        <v>2791</v>
      </c>
      <c r="L1140" s="881" t="s">
        <v>115</v>
      </c>
      <c r="M1140" s="883">
        <v>891000</v>
      </c>
      <c r="N1140" s="55">
        <v>719</v>
      </c>
      <c r="O1140" s="78">
        <v>660000</v>
      </c>
    </row>
    <row r="1141" spans="1:15" ht="12.75" customHeight="1" thickBot="1">
      <c r="A1141" s="882"/>
      <c r="B1141" s="876"/>
      <c r="C1141" s="878"/>
      <c r="D1141" s="882"/>
      <c r="E1141" s="882"/>
      <c r="F1141" s="884"/>
      <c r="G1141" s="56">
        <v>721</v>
      </c>
      <c r="H1141" s="874"/>
      <c r="I1141" s="876"/>
      <c r="J1141" s="878"/>
      <c r="K1141" s="880"/>
      <c r="L1141" s="882"/>
      <c r="M1141" s="884"/>
      <c r="N1141" s="56">
        <v>721</v>
      </c>
      <c r="O1141" s="79">
        <f>+M1140-O1140</f>
        <v>231000</v>
      </c>
    </row>
    <row r="1142" spans="1:15" ht="14.25" customHeight="1">
      <c r="A1142" s="881"/>
      <c r="B1142" s="875"/>
      <c r="C1142" s="877"/>
      <c r="D1142" s="881"/>
      <c r="E1142" s="881"/>
      <c r="F1142" s="883"/>
      <c r="G1142" s="55">
        <v>719</v>
      </c>
      <c r="H1142" s="873" t="s">
        <v>1345</v>
      </c>
      <c r="I1142" s="875">
        <v>45782</v>
      </c>
      <c r="J1142" s="881" t="s">
        <v>815</v>
      </c>
      <c r="K1142" s="879" t="s">
        <v>2791</v>
      </c>
      <c r="L1142" s="881" t="s">
        <v>115</v>
      </c>
      <c r="M1142" s="883">
        <v>1242000</v>
      </c>
      <c r="N1142" s="55">
        <v>719</v>
      </c>
      <c r="O1142" s="78">
        <v>920000</v>
      </c>
    </row>
    <row r="1143" spans="1:15" ht="13.5" customHeight="1" thickBot="1">
      <c r="A1143" s="882"/>
      <c r="B1143" s="876"/>
      <c r="C1143" s="878"/>
      <c r="D1143" s="882"/>
      <c r="E1143" s="882"/>
      <c r="F1143" s="884"/>
      <c r="G1143" s="56">
        <v>721</v>
      </c>
      <c r="H1143" s="874"/>
      <c r="I1143" s="876"/>
      <c r="J1143" s="882"/>
      <c r="K1143" s="880"/>
      <c r="L1143" s="882"/>
      <c r="M1143" s="884"/>
      <c r="N1143" s="56">
        <v>721</v>
      </c>
      <c r="O1143" s="79">
        <f>+M1142-O1142</f>
        <v>322000</v>
      </c>
    </row>
    <row r="1144" spans="1:15" ht="16.5" thickBot="1">
      <c r="A1144" s="901" t="s">
        <v>102</v>
      </c>
      <c r="B1144" s="902"/>
      <c r="C1144" s="902"/>
      <c r="D1144" s="902"/>
      <c r="E1144" s="903"/>
      <c r="F1144" s="81">
        <f>SUM(F1134:F1143)</f>
        <v>-6420384</v>
      </c>
      <c r="H1144" s="901" t="s">
        <v>102</v>
      </c>
      <c r="I1144" s="902"/>
      <c r="J1144" s="902"/>
      <c r="K1144" s="902"/>
      <c r="L1144" s="903"/>
      <c r="M1144" s="81">
        <f>SUM(M1134:M1143)</f>
        <v>3593000</v>
      </c>
    </row>
    <row r="1145" spans="1:15" ht="16.5" thickBot="1">
      <c r="A1145" s="885" t="s">
        <v>103</v>
      </c>
      <c r="B1145" s="886"/>
      <c r="C1145" s="886"/>
      <c r="D1145" s="886"/>
      <c r="E1145" s="887"/>
      <c r="F1145" s="69" t="e">
        <f>+F1109</f>
        <v>#REF!</v>
      </c>
      <c r="H1145" s="885" t="s">
        <v>103</v>
      </c>
      <c r="I1145" s="886"/>
      <c r="J1145" s="886"/>
      <c r="K1145" s="886"/>
      <c r="L1145" s="887"/>
      <c r="M1145" s="69">
        <f>+M1109</f>
        <v>6462000</v>
      </c>
      <c r="N1145" s="241" t="s">
        <v>561</v>
      </c>
      <c r="O1145" s="242"/>
    </row>
    <row r="1146" spans="1:15" ht="16.5" thickBot="1">
      <c r="A1146" s="888" t="s">
        <v>104</v>
      </c>
      <c r="B1146" s="889"/>
      <c r="C1146" s="889"/>
      <c r="D1146" s="889"/>
      <c r="E1146" s="890"/>
      <c r="F1146" s="183" t="e">
        <f>SUM(F1144:F1145)</f>
        <v>#REF!</v>
      </c>
      <c r="H1146" s="888" t="s">
        <v>104</v>
      </c>
      <c r="I1146" s="889"/>
      <c r="J1146" s="889"/>
      <c r="K1146" s="889"/>
      <c r="L1146" s="890"/>
      <c r="M1146" s="183">
        <f>SUM(M1144:M1145)</f>
        <v>10055000</v>
      </c>
    </row>
    <row r="1147" spans="1:15" ht="9" customHeight="1">
      <c r="A1147" s="61"/>
      <c r="B1147" s="61"/>
      <c r="C1147" s="61"/>
      <c r="D1147" s="61"/>
      <c r="E1147" s="61"/>
      <c r="H1147" s="61"/>
      <c r="I1147" s="61"/>
      <c r="J1147" s="61"/>
      <c r="K1147" s="61"/>
      <c r="L1147" s="61"/>
    </row>
    <row r="1148" spans="1:15">
      <c r="A1148" s="51" t="s">
        <v>488</v>
      </c>
      <c r="H1148" s="51" t="s">
        <v>2792</v>
      </c>
    </row>
    <row r="1149" spans="1:15" ht="4.5" customHeight="1">
      <c r="F1149" s="139"/>
      <c r="M1149" s="139"/>
    </row>
    <row r="1150" spans="1:15">
      <c r="A1150" s="50" t="s">
        <v>105</v>
      </c>
      <c r="D1150" s="146"/>
      <c r="F1150" s="139"/>
      <c r="H1150" s="50" t="s">
        <v>105</v>
      </c>
      <c r="K1150" s="146"/>
      <c r="M1150" s="139"/>
    </row>
    <row r="1151" spans="1:15" ht="8.25" customHeight="1" thickBot="1"/>
    <row r="1152" spans="1:15" ht="15.75" thickBot="1">
      <c r="A1152" s="891" t="s">
        <v>106</v>
      </c>
      <c r="B1152" s="892"/>
      <c r="C1152" s="892"/>
      <c r="D1152" s="893"/>
      <c r="F1152" s="50" t="s">
        <v>288</v>
      </c>
      <c r="H1152" s="891" t="s">
        <v>106</v>
      </c>
      <c r="I1152" s="892"/>
      <c r="J1152" s="892"/>
      <c r="K1152" s="893"/>
      <c r="M1152" s="925" t="s">
        <v>288</v>
      </c>
      <c r="N1152" s="925"/>
      <c r="O1152" s="925"/>
    </row>
    <row r="1153" spans="1:15" ht="30.75" thickBot="1">
      <c r="A1153" s="57" t="s">
        <v>100</v>
      </c>
      <c r="B1153" s="58" t="s">
        <v>108</v>
      </c>
      <c r="C1153" s="59" t="s">
        <v>109</v>
      </c>
      <c r="D1153" s="60" t="s">
        <v>110</v>
      </c>
      <c r="H1153" s="57" t="s">
        <v>100</v>
      </c>
      <c r="I1153" s="58" t="s">
        <v>108</v>
      </c>
      <c r="J1153" s="59" t="s">
        <v>109</v>
      </c>
      <c r="K1153" s="60" t="s">
        <v>110</v>
      </c>
    </row>
    <row r="1154" spans="1:15">
      <c r="A1154" s="71">
        <v>719</v>
      </c>
      <c r="B1154" s="73" t="e">
        <f>+#REF!+#REF!+#REF!+#REF!+#REF!</f>
        <v>#REF!</v>
      </c>
      <c r="C1154" s="74" t="e">
        <f>+D1117</f>
        <v>#REF!</v>
      </c>
      <c r="D1154" s="195" t="e">
        <f>+B1154+C1154</f>
        <v>#REF!</v>
      </c>
      <c r="H1154" s="71">
        <v>719</v>
      </c>
      <c r="I1154" s="73">
        <f>+O1134+O1136+O1138+O1140+O1142</f>
        <v>3040000</v>
      </c>
      <c r="J1154" s="74">
        <f>+K1117</f>
        <v>5510000</v>
      </c>
      <c r="K1154" s="195">
        <f>+I1154+J1154</f>
        <v>8550000</v>
      </c>
    </row>
    <row r="1155" spans="1:15">
      <c r="A1155" s="72">
        <v>721</v>
      </c>
      <c r="B1155" s="80" t="e">
        <f>(+#REF!+#REF!+#REF!+#REF!+#REF!)</f>
        <v>#REF!</v>
      </c>
      <c r="C1155" s="74" t="e">
        <f>+D1118</f>
        <v>#REF!</v>
      </c>
      <c r="D1155" s="195" t="e">
        <f>+B1155+C1155</f>
        <v>#REF!</v>
      </c>
      <c r="H1155" s="72">
        <v>721</v>
      </c>
      <c r="I1155" s="80">
        <f>+O1143+O1141+O1139+O1137+O1135</f>
        <v>553000</v>
      </c>
      <c r="J1155" s="74">
        <f>+K1118</f>
        <v>952000</v>
      </c>
      <c r="K1155" s="195">
        <f>+I1155+J1155</f>
        <v>1505000</v>
      </c>
    </row>
    <row r="1156" spans="1:15" ht="15.75" hidden="1">
      <c r="A1156" s="72">
        <v>722</v>
      </c>
      <c r="B1156" s="80"/>
      <c r="C1156" s="74" t="e">
        <f>+D1119</f>
        <v>#REF!</v>
      </c>
      <c r="D1156" s="195" t="e">
        <f>+B1156+C1156</f>
        <v>#REF!</v>
      </c>
      <c r="H1156" s="72">
        <v>722</v>
      </c>
      <c r="I1156" s="80"/>
      <c r="J1156" s="74">
        <f>+K1119</f>
        <v>0</v>
      </c>
      <c r="K1156" s="195">
        <f>+I1156+J1156</f>
        <v>0</v>
      </c>
      <c r="M1156" s="918"/>
      <c r="N1156" s="918"/>
      <c r="O1156" s="918"/>
    </row>
    <row r="1157" spans="1:15" ht="14.25" customHeight="1" thickBot="1">
      <c r="A1157" s="72">
        <v>723</v>
      </c>
      <c r="B1157" s="80"/>
      <c r="C1157" s="74" t="e">
        <f>+D1120</f>
        <v>#REF!</v>
      </c>
      <c r="D1157" s="195" t="e">
        <f>+B1157+C1157</f>
        <v>#REF!</v>
      </c>
      <c r="F1157" s="174" t="s">
        <v>23</v>
      </c>
      <c r="G1157" s="175"/>
      <c r="H1157" s="72">
        <v>723</v>
      </c>
      <c r="I1157" s="80"/>
      <c r="J1157" s="74">
        <f>+K1120</f>
        <v>0</v>
      </c>
      <c r="K1157" s="195">
        <f>+I1157+J1157</f>
        <v>0</v>
      </c>
      <c r="M1157" s="193"/>
      <c r="N1157" s="175"/>
    </row>
    <row r="1158" spans="1:15" ht="13.5" hidden="1" customHeight="1" thickBot="1">
      <c r="A1158" s="164" t="s">
        <v>181</v>
      </c>
      <c r="B1158" s="165"/>
      <c r="C1158" s="74" t="e">
        <f>+D1121</f>
        <v>#REF!</v>
      </c>
      <c r="D1158" s="196" t="e">
        <f>+B1158+C1158</f>
        <v>#REF!</v>
      </c>
      <c r="F1158" s="52"/>
      <c r="H1158" s="164" t="s">
        <v>181</v>
      </c>
      <c r="I1158" s="165"/>
      <c r="J1158" s="74">
        <f>+K1121</f>
        <v>0</v>
      </c>
      <c r="K1158" s="196">
        <f>+I1158+J1158</f>
        <v>0</v>
      </c>
      <c r="M1158" s="52"/>
    </row>
    <row r="1159" spans="1:15" ht="16.5" thickBot="1">
      <c r="A1159" s="169"/>
      <c r="B1159" s="170" t="e">
        <f>SUM(B1154:B1158)</f>
        <v>#REF!</v>
      </c>
      <c r="C1159" s="171" t="e">
        <f>SUM(C1154:C1158)</f>
        <v>#REF!</v>
      </c>
      <c r="D1159" s="172" t="e">
        <f>SUM(D1154:D1158)</f>
        <v>#REF!</v>
      </c>
      <c r="H1159" s="169"/>
      <c r="I1159" s="197">
        <f>SUM(I1154:I1158)</f>
        <v>3593000</v>
      </c>
      <c r="J1159" s="197">
        <f>SUM(J1154:J1158)</f>
        <v>6462000</v>
      </c>
      <c r="K1159" s="198">
        <f>SUM(K1154:K1158)</f>
        <v>10055000</v>
      </c>
    </row>
    <row r="1160" spans="1:15" ht="16.5">
      <c r="A1160" s="49" t="s">
        <v>88</v>
      </c>
      <c r="B1160" s="50"/>
      <c r="H1160" s="49" t="s">
        <v>88</v>
      </c>
      <c r="I1160" s="50"/>
    </row>
    <row r="1161" spans="1:15" ht="14.25" customHeight="1">
      <c r="A1161" s="51" t="s">
        <v>89</v>
      </c>
      <c r="H1161" s="51" t="s">
        <v>89</v>
      </c>
    </row>
    <row r="1162" spans="1:15" ht="12.75" customHeight="1">
      <c r="A1162" s="51" t="s">
        <v>90</v>
      </c>
      <c r="H1162" s="51" t="s">
        <v>90</v>
      </c>
    </row>
    <row r="1163" spans="1:15">
      <c r="A1163" s="51" t="s">
        <v>91</v>
      </c>
      <c r="H1163" s="51" t="s">
        <v>91</v>
      </c>
    </row>
    <row r="1164" spans="1:15" ht="6" customHeight="1">
      <c r="A1164" s="50"/>
      <c r="B1164" s="50"/>
      <c r="H1164" s="50"/>
      <c r="I1164" s="50"/>
    </row>
    <row r="1165" spans="1:15" ht="14.25" customHeight="1">
      <c r="A1165" s="52" t="s">
        <v>489</v>
      </c>
      <c r="G1165" s="52"/>
      <c r="H1165" s="260" t="s">
        <v>2789</v>
      </c>
      <c r="N1165" s="52"/>
    </row>
    <row r="1166" spans="1:15" ht="15.75">
      <c r="A1166" s="53" t="s">
        <v>92</v>
      </c>
      <c r="G1166" s="53"/>
      <c r="H1166" s="53" t="s">
        <v>2754</v>
      </c>
      <c r="N1166" s="53"/>
    </row>
    <row r="1167" spans="1:15" ht="15.75" customHeight="1">
      <c r="A1167" s="894" t="s">
        <v>462</v>
      </c>
      <c r="B1167" s="894"/>
      <c r="C1167" s="894"/>
      <c r="D1167" s="894"/>
      <c r="E1167" s="894"/>
      <c r="F1167" s="894"/>
      <c r="G1167" s="894"/>
      <c r="H1167" s="894" t="s">
        <v>1278</v>
      </c>
      <c r="I1167" s="894"/>
      <c r="J1167" s="894"/>
      <c r="K1167" s="894"/>
      <c r="L1167" s="894"/>
      <c r="M1167" s="894"/>
      <c r="N1167" s="894"/>
      <c r="O1167" s="894"/>
    </row>
    <row r="1168" spans="1:15" ht="9.75" customHeight="1" thickBot="1"/>
    <row r="1169" spans="1:15">
      <c r="A1169" s="895" t="s">
        <v>94</v>
      </c>
      <c r="B1169" s="897" t="s">
        <v>95</v>
      </c>
      <c r="C1169" s="897" t="s">
        <v>96</v>
      </c>
      <c r="D1169" s="897" t="s">
        <v>3</v>
      </c>
      <c r="E1169" s="897" t="s">
        <v>97</v>
      </c>
      <c r="F1169" s="897" t="s">
        <v>98</v>
      </c>
      <c r="G1169" s="500" t="s">
        <v>99</v>
      </c>
      <c r="H1169" s="895" t="s">
        <v>94</v>
      </c>
      <c r="I1169" s="897" t="s">
        <v>95</v>
      </c>
      <c r="J1169" s="897" t="s">
        <v>96</v>
      </c>
      <c r="K1169" s="897" t="s">
        <v>3</v>
      </c>
      <c r="L1169" s="897" t="s">
        <v>97</v>
      </c>
      <c r="M1169" s="897" t="s">
        <v>98</v>
      </c>
      <c r="N1169" s="897" t="s">
        <v>99</v>
      </c>
      <c r="O1169" s="899"/>
    </row>
    <row r="1170" spans="1:15" ht="15.75" thickBot="1">
      <c r="A1170" s="896"/>
      <c r="B1170" s="898"/>
      <c r="C1170" s="898"/>
      <c r="D1170" s="898"/>
      <c r="E1170" s="898"/>
      <c r="F1170" s="898"/>
      <c r="G1170" s="240" t="s">
        <v>100</v>
      </c>
      <c r="H1170" s="896"/>
      <c r="I1170" s="898"/>
      <c r="J1170" s="898"/>
      <c r="K1170" s="898"/>
      <c r="L1170" s="898"/>
      <c r="M1170" s="898"/>
      <c r="N1170" s="240" t="s">
        <v>100</v>
      </c>
      <c r="O1170" s="182" t="s">
        <v>101</v>
      </c>
    </row>
    <row r="1171" spans="1:15" ht="14.25" customHeight="1">
      <c r="A1171" s="919" t="e">
        <f>+#REF!+1</f>
        <v>#REF!</v>
      </c>
      <c r="B1171" s="875">
        <v>42355</v>
      </c>
      <c r="C1171" s="877" t="s">
        <v>31</v>
      </c>
      <c r="D1171" s="877" t="s">
        <v>490</v>
      </c>
      <c r="E1171" s="881" t="s">
        <v>115</v>
      </c>
      <c r="F1171" s="883">
        <v>50000</v>
      </c>
      <c r="G1171" s="55">
        <v>719</v>
      </c>
      <c r="H1171" s="873" t="s">
        <v>1346</v>
      </c>
      <c r="I1171" s="875">
        <v>45824</v>
      </c>
      <c r="J1171" s="881" t="s">
        <v>815</v>
      </c>
      <c r="K1171" s="879" t="s">
        <v>2799</v>
      </c>
      <c r="L1171" s="881" t="s">
        <v>214</v>
      </c>
      <c r="M1171" s="883">
        <v>940000</v>
      </c>
      <c r="N1171" s="55">
        <v>719</v>
      </c>
      <c r="O1171" s="78">
        <f>+M1171-O1172</f>
        <v>940000</v>
      </c>
    </row>
    <row r="1172" spans="1:15" ht="12.75" customHeight="1" thickBot="1">
      <c r="A1172" s="920"/>
      <c r="B1172" s="876"/>
      <c r="C1172" s="878"/>
      <c r="D1172" s="878"/>
      <c r="E1172" s="882"/>
      <c r="F1172" s="884"/>
      <c r="G1172" s="56">
        <v>721</v>
      </c>
      <c r="H1172" s="874"/>
      <c r="I1172" s="876"/>
      <c r="J1172" s="882"/>
      <c r="K1172" s="880"/>
      <c r="L1172" s="882"/>
      <c r="M1172" s="884"/>
      <c r="N1172" s="56">
        <v>721</v>
      </c>
      <c r="O1172" s="79">
        <v>0</v>
      </c>
    </row>
    <row r="1173" spans="1:15" ht="11.25" customHeight="1">
      <c r="A1173" s="919" t="e">
        <f>+A1171+1</f>
        <v>#REF!</v>
      </c>
      <c r="B1173" s="875">
        <v>42355</v>
      </c>
      <c r="C1173" s="877" t="s">
        <v>32</v>
      </c>
      <c r="D1173" s="877" t="s">
        <v>491</v>
      </c>
      <c r="E1173" s="881" t="s">
        <v>115</v>
      </c>
      <c r="F1173" s="883">
        <v>20000</v>
      </c>
      <c r="G1173" s="55">
        <v>719</v>
      </c>
      <c r="H1173" s="873" t="s">
        <v>1347</v>
      </c>
      <c r="I1173" s="875">
        <v>45824</v>
      </c>
      <c r="J1173" s="877" t="s">
        <v>1079</v>
      </c>
      <c r="K1173" s="879" t="s">
        <v>2795</v>
      </c>
      <c r="L1173" s="881" t="s">
        <v>148</v>
      </c>
      <c r="M1173" s="883">
        <v>510000</v>
      </c>
      <c r="N1173" s="55">
        <v>719</v>
      </c>
      <c r="O1173" s="78">
        <v>510000</v>
      </c>
    </row>
    <row r="1174" spans="1:15" ht="13.5" customHeight="1" thickBot="1">
      <c r="A1174" s="920"/>
      <c r="B1174" s="876"/>
      <c r="C1174" s="878"/>
      <c r="D1174" s="878"/>
      <c r="E1174" s="882"/>
      <c r="F1174" s="884"/>
      <c r="G1174" s="56">
        <v>721</v>
      </c>
      <c r="H1174" s="874"/>
      <c r="I1174" s="876"/>
      <c r="J1174" s="878"/>
      <c r="K1174" s="880"/>
      <c r="L1174" s="882"/>
      <c r="M1174" s="884"/>
      <c r="N1174" s="56">
        <v>721</v>
      </c>
      <c r="O1174" s="79">
        <f>+M1173-O1173</f>
        <v>0</v>
      </c>
    </row>
    <row r="1175" spans="1:15" ht="12.75" customHeight="1">
      <c r="A1175" s="919"/>
      <c r="B1175" s="875"/>
      <c r="C1175" s="877"/>
      <c r="D1175" s="881"/>
      <c r="E1175" s="881"/>
      <c r="F1175" s="883"/>
      <c r="G1175" s="55">
        <v>719</v>
      </c>
      <c r="H1175" s="873" t="s">
        <v>1348</v>
      </c>
      <c r="I1175" s="875">
        <v>45824</v>
      </c>
      <c r="J1175" s="877" t="s">
        <v>1079</v>
      </c>
      <c r="K1175" s="879" t="s">
        <v>2796</v>
      </c>
      <c r="L1175" s="881" t="s">
        <v>148</v>
      </c>
      <c r="M1175" s="883">
        <f>560000+530000</f>
        <v>1090000</v>
      </c>
      <c r="N1175" s="55">
        <v>719</v>
      </c>
      <c r="O1175" s="78">
        <f>+M1175-O1176</f>
        <v>1090000</v>
      </c>
    </row>
    <row r="1176" spans="1:15" ht="13.5" customHeight="1" thickBot="1">
      <c r="A1176" s="920"/>
      <c r="B1176" s="876"/>
      <c r="C1176" s="878"/>
      <c r="D1176" s="882"/>
      <c r="E1176" s="882"/>
      <c r="F1176" s="884"/>
      <c r="G1176" s="56">
        <v>721</v>
      </c>
      <c r="H1176" s="874"/>
      <c r="I1176" s="876"/>
      <c r="J1176" s="878"/>
      <c r="K1176" s="880"/>
      <c r="L1176" s="882"/>
      <c r="M1176" s="884"/>
      <c r="N1176" s="56">
        <v>721</v>
      </c>
      <c r="O1176" s="79">
        <v>0</v>
      </c>
    </row>
    <row r="1177" spans="1:15" ht="12" customHeight="1">
      <c r="A1177" s="881"/>
      <c r="B1177" s="875"/>
      <c r="C1177" s="877"/>
      <c r="D1177" s="881"/>
      <c r="E1177" s="881"/>
      <c r="F1177" s="883"/>
      <c r="G1177" s="55">
        <v>719</v>
      </c>
      <c r="H1177" s="873" t="s">
        <v>1725</v>
      </c>
      <c r="I1177" s="875">
        <v>45824</v>
      </c>
      <c r="J1177" s="877" t="s">
        <v>1079</v>
      </c>
      <c r="K1177" s="879" t="s">
        <v>2797</v>
      </c>
      <c r="L1177" s="881" t="s">
        <v>148</v>
      </c>
      <c r="M1177" s="883">
        <f>570000+540000</f>
        <v>1110000</v>
      </c>
      <c r="N1177" s="55">
        <v>719</v>
      </c>
      <c r="O1177" s="78">
        <f>+M1177-O1178</f>
        <v>1110000</v>
      </c>
    </row>
    <row r="1178" spans="1:15" ht="12.75" customHeight="1" thickBot="1">
      <c r="A1178" s="882"/>
      <c r="B1178" s="876"/>
      <c r="C1178" s="878"/>
      <c r="D1178" s="882"/>
      <c r="E1178" s="882"/>
      <c r="F1178" s="884"/>
      <c r="G1178" s="56">
        <v>721</v>
      </c>
      <c r="H1178" s="874"/>
      <c r="I1178" s="876"/>
      <c r="J1178" s="878"/>
      <c r="K1178" s="880"/>
      <c r="L1178" s="882"/>
      <c r="M1178" s="884"/>
      <c r="N1178" s="56">
        <v>721</v>
      </c>
      <c r="O1178" s="79">
        <v>0</v>
      </c>
    </row>
    <row r="1179" spans="1:15" ht="12.75" customHeight="1">
      <c r="A1179" s="881"/>
      <c r="B1179" s="875"/>
      <c r="C1179" s="877"/>
      <c r="D1179" s="881"/>
      <c r="E1179" s="881"/>
      <c r="F1179" s="883"/>
      <c r="G1179" s="55">
        <v>719</v>
      </c>
      <c r="H1179" s="873" t="s">
        <v>574</v>
      </c>
      <c r="I1179" s="875">
        <v>45824</v>
      </c>
      <c r="J1179" s="877" t="s">
        <v>1079</v>
      </c>
      <c r="K1179" s="879" t="s">
        <v>2798</v>
      </c>
      <c r="L1179" s="881" t="s">
        <v>148</v>
      </c>
      <c r="M1179" s="883">
        <v>520000</v>
      </c>
      <c r="N1179" s="55">
        <v>719</v>
      </c>
      <c r="O1179" s="78">
        <f>+M1179-O1180</f>
        <v>520000</v>
      </c>
    </row>
    <row r="1180" spans="1:15" ht="12" customHeight="1" thickBot="1">
      <c r="A1180" s="882"/>
      <c r="B1180" s="876"/>
      <c r="C1180" s="878"/>
      <c r="D1180" s="882"/>
      <c r="E1180" s="882"/>
      <c r="F1180" s="884"/>
      <c r="G1180" s="56">
        <v>721</v>
      </c>
      <c r="H1180" s="874"/>
      <c r="I1180" s="876"/>
      <c r="J1180" s="878"/>
      <c r="K1180" s="880"/>
      <c r="L1180" s="882"/>
      <c r="M1180" s="884"/>
      <c r="N1180" s="56">
        <v>721</v>
      </c>
      <c r="O1180" s="79">
        <v>0</v>
      </c>
    </row>
    <row r="1181" spans="1:15" ht="16.5" thickBot="1">
      <c r="A1181" s="901" t="s">
        <v>102</v>
      </c>
      <c r="B1181" s="902"/>
      <c r="C1181" s="902"/>
      <c r="D1181" s="902"/>
      <c r="E1181" s="903"/>
      <c r="F1181" s="81">
        <f>SUM(F1171:F1180)</f>
        <v>70000</v>
      </c>
      <c r="H1181" s="901" t="s">
        <v>102</v>
      </c>
      <c r="I1181" s="902"/>
      <c r="J1181" s="902"/>
      <c r="K1181" s="902"/>
      <c r="L1181" s="903"/>
      <c r="M1181" s="81">
        <f>SUM(M1171:M1180)</f>
        <v>4170000</v>
      </c>
    </row>
    <row r="1182" spans="1:15" ht="16.5" thickBot="1">
      <c r="A1182" s="885" t="s">
        <v>103</v>
      </c>
      <c r="B1182" s="886"/>
      <c r="C1182" s="886"/>
      <c r="D1182" s="886"/>
      <c r="E1182" s="887"/>
      <c r="F1182" s="69" t="e">
        <f>+F1146</f>
        <v>#REF!</v>
      </c>
      <c r="H1182" s="885" t="s">
        <v>103</v>
      </c>
      <c r="I1182" s="886"/>
      <c r="J1182" s="886"/>
      <c r="K1182" s="886"/>
      <c r="L1182" s="887"/>
      <c r="M1182" s="69">
        <f>+M1146</f>
        <v>10055000</v>
      </c>
      <c r="N1182" s="241" t="s">
        <v>561</v>
      </c>
      <c r="O1182" s="242">
        <f>354+348+310+383+371+362+776</f>
        <v>2904</v>
      </c>
    </row>
    <row r="1183" spans="1:15" ht="16.5" thickBot="1">
      <c r="A1183" s="888" t="s">
        <v>104</v>
      </c>
      <c r="B1183" s="889"/>
      <c r="C1183" s="889"/>
      <c r="D1183" s="889"/>
      <c r="E1183" s="890"/>
      <c r="F1183" s="183" t="e">
        <f>SUM(F1181:F1182)</f>
        <v>#REF!</v>
      </c>
      <c r="H1183" s="888" t="s">
        <v>104</v>
      </c>
      <c r="I1183" s="889"/>
      <c r="J1183" s="889"/>
      <c r="K1183" s="889"/>
      <c r="L1183" s="890"/>
      <c r="M1183" s="183">
        <f>SUM(M1181:M1182)</f>
        <v>14225000</v>
      </c>
    </row>
    <row r="1184" spans="1:15" ht="9.75" customHeight="1">
      <c r="A1184" s="61"/>
      <c r="B1184" s="61"/>
      <c r="C1184" s="61"/>
      <c r="D1184" s="61"/>
      <c r="E1184" s="61"/>
      <c r="H1184" s="61"/>
      <c r="I1184" s="61"/>
      <c r="J1184" s="61"/>
      <c r="K1184" s="61"/>
      <c r="L1184" s="61"/>
    </row>
    <row r="1185" spans="1:15">
      <c r="A1185" s="51" t="s">
        <v>492</v>
      </c>
      <c r="H1185" s="51" t="s">
        <v>2800</v>
      </c>
    </row>
    <row r="1186" spans="1:15" ht="6.75" customHeight="1">
      <c r="F1186" s="139"/>
      <c r="M1186" s="139"/>
    </row>
    <row r="1187" spans="1:15">
      <c r="A1187" s="50" t="s">
        <v>105</v>
      </c>
      <c r="D1187" s="146"/>
      <c r="F1187" s="139"/>
      <c r="H1187" s="50" t="s">
        <v>105</v>
      </c>
      <c r="K1187" s="146"/>
      <c r="M1187" s="139"/>
    </row>
    <row r="1188" spans="1:15" ht="9.75" customHeight="1" thickBot="1"/>
    <row r="1189" spans="1:15" ht="15.75" thickBot="1">
      <c r="A1189" s="891" t="s">
        <v>106</v>
      </c>
      <c r="B1189" s="892"/>
      <c r="C1189" s="892"/>
      <c r="D1189" s="893"/>
      <c r="F1189" s="50" t="s">
        <v>288</v>
      </c>
      <c r="H1189" s="891" t="s">
        <v>106</v>
      </c>
      <c r="I1189" s="892"/>
      <c r="J1189" s="892"/>
      <c r="K1189" s="893"/>
      <c r="M1189" s="925" t="s">
        <v>288</v>
      </c>
      <c r="N1189" s="925"/>
      <c r="O1189" s="925"/>
    </row>
    <row r="1190" spans="1:15" ht="42" customHeight="1" thickBot="1">
      <c r="A1190" s="57" t="s">
        <v>100</v>
      </c>
      <c r="B1190" s="58" t="s">
        <v>108</v>
      </c>
      <c r="C1190" s="59" t="s">
        <v>109</v>
      </c>
      <c r="D1190" s="60" t="s">
        <v>110</v>
      </c>
      <c r="H1190" s="57" t="s">
        <v>100</v>
      </c>
      <c r="I1190" s="58" t="s">
        <v>108</v>
      </c>
      <c r="J1190" s="264" t="s">
        <v>109</v>
      </c>
      <c r="K1190" s="60" t="s">
        <v>110</v>
      </c>
    </row>
    <row r="1191" spans="1:15" ht="13.5" customHeight="1">
      <c r="A1191" s="71">
        <v>719</v>
      </c>
      <c r="B1191" s="73" t="e">
        <f>+#REF!+#REF!+#REF!+#REF!+#REF!</f>
        <v>#REF!</v>
      </c>
      <c r="C1191" s="74" t="e">
        <f>+D1154</f>
        <v>#REF!</v>
      </c>
      <c r="D1191" s="195" t="e">
        <f>+B1191+C1191</f>
        <v>#REF!</v>
      </c>
      <c r="H1191" s="71">
        <v>719</v>
      </c>
      <c r="I1191" s="73">
        <f>+O1171+O1173+O1175+O1177+O1179</f>
        <v>4170000</v>
      </c>
      <c r="J1191" s="74">
        <f>+K1154</f>
        <v>8550000</v>
      </c>
      <c r="K1191" s="195">
        <f>+I1191+J1191</f>
        <v>12720000</v>
      </c>
    </row>
    <row r="1192" spans="1:15">
      <c r="A1192" s="72">
        <v>721</v>
      </c>
      <c r="B1192" s="80" t="e">
        <f>(+#REF!+#REF!+#REF!+#REF!+#REF!)</f>
        <v>#REF!</v>
      </c>
      <c r="C1192" s="74" t="e">
        <f>+D1155</f>
        <v>#REF!</v>
      </c>
      <c r="D1192" s="195" t="e">
        <f>+B1192+C1192</f>
        <v>#REF!</v>
      </c>
      <c r="H1192" s="72">
        <v>721</v>
      </c>
      <c r="I1192" s="80">
        <f>+O1172+O1176+O1178+O1180</f>
        <v>0</v>
      </c>
      <c r="J1192" s="74">
        <f>+K1155</f>
        <v>1505000</v>
      </c>
      <c r="K1192" s="195">
        <f>+I1192+J1192</f>
        <v>1505000</v>
      </c>
    </row>
    <row r="1193" spans="1:15" ht="13.5" hidden="1" customHeight="1">
      <c r="A1193" s="72">
        <v>722</v>
      </c>
      <c r="B1193" s="80"/>
      <c r="C1193" s="74" t="e">
        <f>+D1156</f>
        <v>#REF!</v>
      </c>
      <c r="D1193" s="195" t="e">
        <f>+B1193+C1193</f>
        <v>#REF!</v>
      </c>
      <c r="H1193" s="72">
        <v>722</v>
      </c>
      <c r="I1193" s="80"/>
      <c r="J1193" s="74">
        <f>+K1156</f>
        <v>0</v>
      </c>
      <c r="K1193" s="195">
        <f>+I1193+J1193</f>
        <v>0</v>
      </c>
      <c r="M1193" s="918"/>
      <c r="N1193" s="918"/>
      <c r="O1193" s="918"/>
    </row>
    <row r="1194" spans="1:15" ht="16.5" thickBot="1">
      <c r="A1194" s="72">
        <v>723</v>
      </c>
      <c r="B1194" s="80"/>
      <c r="C1194" s="74" t="e">
        <f>+D1157</f>
        <v>#REF!</v>
      </c>
      <c r="D1194" s="195" t="e">
        <f>+B1194+C1194</f>
        <v>#REF!</v>
      </c>
      <c r="F1194" s="174" t="s">
        <v>23</v>
      </c>
      <c r="G1194" s="175"/>
      <c r="H1194" s="72">
        <v>723</v>
      </c>
      <c r="I1194" s="80">
        <f>+O1174</f>
        <v>0</v>
      </c>
      <c r="J1194" s="74">
        <f>+K1157</f>
        <v>0</v>
      </c>
      <c r="K1194" s="195">
        <f>+I1194+J1194</f>
        <v>0</v>
      </c>
      <c r="M1194" s="193"/>
      <c r="N1194" s="175"/>
    </row>
    <row r="1195" spans="1:15" ht="14.25" hidden="1" customHeight="1" thickBot="1">
      <c r="A1195" s="164" t="s">
        <v>181</v>
      </c>
      <c r="B1195" s="165"/>
      <c r="C1195" s="74" t="e">
        <f>+D1158</f>
        <v>#REF!</v>
      </c>
      <c r="D1195" s="196" t="e">
        <f>+B1195+C1195</f>
        <v>#REF!</v>
      </c>
      <c r="F1195" s="52"/>
      <c r="H1195" s="164" t="s">
        <v>181</v>
      </c>
      <c r="I1195" s="165"/>
      <c r="J1195" s="74">
        <f>+K1158</f>
        <v>0</v>
      </c>
      <c r="K1195" s="196">
        <f>+I1195+J1195</f>
        <v>0</v>
      </c>
      <c r="M1195" s="52"/>
    </row>
    <row r="1196" spans="1:15" ht="16.5" thickBot="1">
      <c r="A1196" s="169"/>
      <c r="B1196" s="170" t="e">
        <f>SUM(B1191:B1195)</f>
        <v>#REF!</v>
      </c>
      <c r="C1196" s="171" t="e">
        <f>SUM(C1191:C1195)</f>
        <v>#REF!</v>
      </c>
      <c r="D1196" s="172" t="e">
        <f>SUM(D1191:D1195)</f>
        <v>#REF!</v>
      </c>
      <c r="H1196" s="169"/>
      <c r="I1196" s="197">
        <f>SUM(I1191:I1195)</f>
        <v>4170000</v>
      </c>
      <c r="J1196" s="197">
        <f>SUM(J1191:J1195)</f>
        <v>10055000</v>
      </c>
      <c r="K1196" s="198">
        <f>SUM(K1191:K1195)</f>
        <v>14225000</v>
      </c>
    </row>
    <row r="1197" spans="1:15" ht="16.5">
      <c r="A1197" s="49" t="s">
        <v>88</v>
      </c>
      <c r="B1197" s="50"/>
      <c r="H1197" s="49" t="s">
        <v>88</v>
      </c>
      <c r="I1197" s="50"/>
    </row>
    <row r="1198" spans="1:15">
      <c r="A1198" s="51" t="s">
        <v>89</v>
      </c>
      <c r="H1198" s="51" t="s">
        <v>89</v>
      </c>
    </row>
    <row r="1199" spans="1:15">
      <c r="A1199" s="51" t="s">
        <v>90</v>
      </c>
      <c r="H1199" s="51" t="s">
        <v>90</v>
      </c>
    </row>
    <row r="1200" spans="1:15" ht="14.25" customHeight="1">
      <c r="A1200" s="51" t="s">
        <v>91</v>
      </c>
      <c r="H1200" s="51" t="s">
        <v>91</v>
      </c>
    </row>
    <row r="1201" spans="1:15" ht="6.75" customHeight="1">
      <c r="A1201" s="50"/>
      <c r="B1201" s="50"/>
      <c r="H1201" s="50"/>
      <c r="I1201" s="50"/>
    </row>
    <row r="1202" spans="1:15" ht="16.5">
      <c r="A1202" s="52" t="s">
        <v>493</v>
      </c>
      <c r="G1202" s="52"/>
      <c r="H1202" s="260" t="s">
        <v>564</v>
      </c>
      <c r="N1202" s="52"/>
    </row>
    <row r="1203" spans="1:15" ht="15.75">
      <c r="A1203" s="53" t="s">
        <v>92</v>
      </c>
      <c r="G1203" s="53"/>
      <c r="H1203" s="53" t="s">
        <v>2754</v>
      </c>
      <c r="N1203" s="53"/>
    </row>
    <row r="1204" spans="1:15" ht="16.5">
      <c r="A1204" s="894" t="s">
        <v>261</v>
      </c>
      <c r="B1204" s="894"/>
      <c r="C1204" s="894"/>
      <c r="D1204" s="894"/>
      <c r="E1204" s="894"/>
      <c r="F1204" s="894"/>
      <c r="G1204" s="894"/>
      <c r="H1204" s="894" t="s">
        <v>261</v>
      </c>
      <c r="I1204" s="894"/>
      <c r="J1204" s="894"/>
      <c r="K1204" s="894"/>
      <c r="L1204" s="894"/>
      <c r="M1204" s="894"/>
      <c r="N1204" s="894"/>
      <c r="O1204" s="894"/>
    </row>
    <row r="1205" spans="1:15" ht="7.5" customHeight="1" thickBot="1"/>
    <row r="1206" spans="1:15">
      <c r="A1206" s="895" t="s">
        <v>94</v>
      </c>
      <c r="B1206" s="897" t="s">
        <v>95</v>
      </c>
      <c r="C1206" s="897" t="s">
        <v>96</v>
      </c>
      <c r="D1206" s="897" t="s">
        <v>3</v>
      </c>
      <c r="E1206" s="897" t="s">
        <v>97</v>
      </c>
      <c r="F1206" s="897" t="s">
        <v>98</v>
      </c>
      <c r="G1206" s="500" t="s">
        <v>99</v>
      </c>
      <c r="H1206" s="895" t="s">
        <v>94</v>
      </c>
      <c r="I1206" s="897" t="s">
        <v>95</v>
      </c>
      <c r="J1206" s="897" t="s">
        <v>96</v>
      </c>
      <c r="K1206" s="897" t="s">
        <v>3</v>
      </c>
      <c r="L1206" s="897" t="s">
        <v>97</v>
      </c>
      <c r="M1206" s="897" t="s">
        <v>98</v>
      </c>
      <c r="N1206" s="897" t="s">
        <v>99</v>
      </c>
      <c r="O1206" s="899"/>
    </row>
    <row r="1207" spans="1:15" ht="15.75" thickBot="1">
      <c r="A1207" s="896"/>
      <c r="B1207" s="898"/>
      <c r="C1207" s="898"/>
      <c r="D1207" s="898"/>
      <c r="E1207" s="898"/>
      <c r="F1207" s="898"/>
      <c r="G1207" s="240" t="s">
        <v>100</v>
      </c>
      <c r="H1207" s="896"/>
      <c r="I1207" s="898"/>
      <c r="J1207" s="898"/>
      <c r="K1207" s="898"/>
      <c r="L1207" s="898"/>
      <c r="M1207" s="898"/>
      <c r="N1207" s="240" t="s">
        <v>100</v>
      </c>
      <c r="O1207" s="182" t="s">
        <v>101</v>
      </c>
    </row>
    <row r="1208" spans="1:15" ht="12.75" customHeight="1">
      <c r="A1208" s="919" t="e">
        <f>+A1173+1</f>
        <v>#REF!</v>
      </c>
      <c r="B1208" s="875">
        <v>42360</v>
      </c>
      <c r="C1208" s="877" t="s">
        <v>31</v>
      </c>
      <c r="D1208" s="877" t="s">
        <v>494</v>
      </c>
      <c r="E1208" s="881" t="s">
        <v>115</v>
      </c>
      <c r="F1208" s="883">
        <v>70000</v>
      </c>
      <c r="G1208" s="55">
        <v>719</v>
      </c>
      <c r="H1208" s="873" t="s">
        <v>575</v>
      </c>
      <c r="I1208" s="875">
        <v>45824</v>
      </c>
      <c r="J1208" s="910" t="s">
        <v>2801</v>
      </c>
      <c r="K1208" s="881" t="s">
        <v>2808</v>
      </c>
      <c r="L1208" s="881" t="s">
        <v>148</v>
      </c>
      <c r="M1208" s="883">
        <v>625000</v>
      </c>
      <c r="N1208" s="55">
        <v>719</v>
      </c>
      <c r="O1208" s="78">
        <f>+M1208-O1209</f>
        <v>625000</v>
      </c>
    </row>
    <row r="1209" spans="1:15" ht="12.75" customHeight="1" thickBot="1">
      <c r="A1209" s="920"/>
      <c r="B1209" s="876"/>
      <c r="C1209" s="878"/>
      <c r="D1209" s="878"/>
      <c r="E1209" s="882"/>
      <c r="F1209" s="884"/>
      <c r="G1209" s="56">
        <v>721</v>
      </c>
      <c r="H1209" s="874"/>
      <c r="I1209" s="876"/>
      <c r="J1209" s="911"/>
      <c r="K1209" s="882"/>
      <c r="L1209" s="882"/>
      <c r="M1209" s="884"/>
      <c r="N1209" s="56">
        <v>721</v>
      </c>
      <c r="O1209" s="79">
        <v>0</v>
      </c>
    </row>
    <row r="1210" spans="1:15" ht="12" customHeight="1">
      <c r="A1210" s="919" t="e">
        <f>+A1208+1</f>
        <v>#REF!</v>
      </c>
      <c r="B1210" s="875">
        <v>42360</v>
      </c>
      <c r="C1210" s="877" t="s">
        <v>472</v>
      </c>
      <c r="D1210" s="877" t="s">
        <v>495</v>
      </c>
      <c r="E1210" s="881" t="s">
        <v>115</v>
      </c>
      <c r="F1210" s="883">
        <v>60000</v>
      </c>
      <c r="G1210" s="55">
        <v>719</v>
      </c>
      <c r="H1210" s="873" t="s">
        <v>576</v>
      </c>
      <c r="I1210" s="875">
        <v>45824</v>
      </c>
      <c r="J1210" s="910" t="s">
        <v>2802</v>
      </c>
      <c r="K1210" s="881" t="s">
        <v>2797</v>
      </c>
      <c r="L1210" s="881" t="s">
        <v>148</v>
      </c>
      <c r="M1210" s="883">
        <v>731300</v>
      </c>
      <c r="N1210" s="55">
        <v>719</v>
      </c>
      <c r="O1210" s="78">
        <f>+M1210-O1211</f>
        <v>731300</v>
      </c>
    </row>
    <row r="1211" spans="1:15" ht="12" customHeight="1" thickBot="1">
      <c r="A1211" s="920"/>
      <c r="B1211" s="876"/>
      <c r="C1211" s="878"/>
      <c r="D1211" s="878"/>
      <c r="E1211" s="882"/>
      <c r="F1211" s="884"/>
      <c r="G1211" s="56">
        <v>721</v>
      </c>
      <c r="H1211" s="874"/>
      <c r="I1211" s="876"/>
      <c r="J1211" s="911"/>
      <c r="K1211" s="882"/>
      <c r="L1211" s="882"/>
      <c r="M1211" s="884"/>
      <c r="N1211" s="56">
        <v>721</v>
      </c>
      <c r="O1211" s="79">
        <v>0</v>
      </c>
    </row>
    <row r="1212" spans="1:15" ht="12" customHeight="1">
      <c r="A1212" s="919" t="e">
        <f>+A1210+1</f>
        <v>#REF!</v>
      </c>
      <c r="B1212" s="875">
        <v>42360</v>
      </c>
      <c r="C1212" s="877" t="s">
        <v>32</v>
      </c>
      <c r="D1212" s="877" t="s">
        <v>496</v>
      </c>
      <c r="E1212" s="881" t="s">
        <v>115</v>
      </c>
      <c r="F1212" s="883">
        <v>50000</v>
      </c>
      <c r="G1212" s="55">
        <v>719</v>
      </c>
      <c r="H1212" s="873" t="s">
        <v>577</v>
      </c>
      <c r="I1212" s="875">
        <v>45824</v>
      </c>
      <c r="J1212" s="910" t="s">
        <v>2803</v>
      </c>
      <c r="K1212" s="881" t="s">
        <v>2791</v>
      </c>
      <c r="L1212" s="881" t="s">
        <v>148</v>
      </c>
      <c r="M1212" s="883">
        <v>427700</v>
      </c>
      <c r="N1212" s="55">
        <v>719</v>
      </c>
      <c r="O1212" s="78">
        <f>+M1212</f>
        <v>427700</v>
      </c>
    </row>
    <row r="1213" spans="1:15" ht="10.5" customHeight="1" thickBot="1">
      <c r="A1213" s="920"/>
      <c r="B1213" s="876"/>
      <c r="C1213" s="878"/>
      <c r="D1213" s="878"/>
      <c r="E1213" s="882"/>
      <c r="F1213" s="884"/>
      <c r="G1213" s="56">
        <v>721</v>
      </c>
      <c r="H1213" s="874"/>
      <c r="I1213" s="876"/>
      <c r="J1213" s="911"/>
      <c r="K1213" s="882"/>
      <c r="L1213" s="882"/>
      <c r="M1213" s="884"/>
      <c r="N1213" s="56">
        <v>721</v>
      </c>
      <c r="O1213" s="79">
        <v>0</v>
      </c>
    </row>
    <row r="1214" spans="1:15" ht="13.5" customHeight="1">
      <c r="A1214" s="439"/>
      <c r="B1214" s="252"/>
      <c r="C1214" s="253"/>
      <c r="D1214" s="251"/>
      <c r="E1214" s="251"/>
      <c r="F1214" s="254"/>
      <c r="G1214" s="255"/>
      <c r="H1214" s="873" t="s">
        <v>578</v>
      </c>
      <c r="I1214" s="875">
        <v>45824</v>
      </c>
      <c r="J1214" s="910" t="s">
        <v>2804</v>
      </c>
      <c r="K1214" s="881" t="s">
        <v>2783</v>
      </c>
      <c r="L1214" s="881" t="s">
        <v>148</v>
      </c>
      <c r="M1214" s="883">
        <v>415500</v>
      </c>
      <c r="N1214" s="55">
        <v>719</v>
      </c>
      <c r="O1214" s="78">
        <f>+M1214</f>
        <v>415500</v>
      </c>
    </row>
    <row r="1215" spans="1:15" ht="15" customHeight="1" thickBot="1">
      <c r="A1215" s="439"/>
      <c r="B1215" s="252"/>
      <c r="C1215" s="253"/>
      <c r="D1215" s="251"/>
      <c r="E1215" s="251"/>
      <c r="F1215" s="254"/>
      <c r="G1215" s="255"/>
      <c r="H1215" s="874"/>
      <c r="I1215" s="876"/>
      <c r="J1215" s="911"/>
      <c r="K1215" s="882"/>
      <c r="L1215" s="882"/>
      <c r="M1215" s="884"/>
      <c r="N1215" s="56">
        <v>721</v>
      </c>
      <c r="O1215" s="79">
        <v>0</v>
      </c>
    </row>
    <row r="1216" spans="1:15" ht="12" customHeight="1">
      <c r="A1216" s="881"/>
      <c r="B1216" s="875"/>
      <c r="C1216" s="877"/>
      <c r="D1216" s="881"/>
      <c r="E1216" s="881"/>
      <c r="F1216" s="883"/>
      <c r="G1216" s="55">
        <v>719</v>
      </c>
      <c r="H1216" s="873" t="s">
        <v>579</v>
      </c>
      <c r="I1216" s="875">
        <v>45824</v>
      </c>
      <c r="J1216" s="910" t="s">
        <v>2805</v>
      </c>
      <c r="K1216" s="881" t="s">
        <v>2766</v>
      </c>
      <c r="L1216" s="881" t="s">
        <v>148</v>
      </c>
      <c r="M1216" s="883">
        <v>633000</v>
      </c>
      <c r="N1216" s="55">
        <v>719</v>
      </c>
      <c r="O1216" s="78">
        <f>+M1216</f>
        <v>633000</v>
      </c>
    </row>
    <row r="1217" spans="1:15" ht="12" customHeight="1" thickBot="1">
      <c r="A1217" s="882"/>
      <c r="B1217" s="876"/>
      <c r="C1217" s="878"/>
      <c r="D1217" s="882"/>
      <c r="E1217" s="882"/>
      <c r="F1217" s="884"/>
      <c r="G1217" s="56">
        <v>721</v>
      </c>
      <c r="H1217" s="874"/>
      <c r="I1217" s="876"/>
      <c r="J1217" s="911"/>
      <c r="K1217" s="882"/>
      <c r="L1217" s="882"/>
      <c r="M1217" s="884"/>
      <c r="N1217" s="56">
        <v>721</v>
      </c>
      <c r="O1217" s="79">
        <v>0</v>
      </c>
    </row>
    <row r="1218" spans="1:15" ht="15" customHeight="1" thickBot="1">
      <c r="A1218" s="901" t="s">
        <v>102</v>
      </c>
      <c r="B1218" s="902"/>
      <c r="C1218" s="902"/>
      <c r="D1218" s="902"/>
      <c r="E1218" s="903"/>
      <c r="F1218" s="81">
        <f>SUM(F1208:F1217)</f>
        <v>180000</v>
      </c>
      <c r="H1218" s="901" t="s">
        <v>102</v>
      </c>
      <c r="I1218" s="902"/>
      <c r="J1218" s="902"/>
      <c r="K1218" s="902"/>
      <c r="L1218" s="903"/>
      <c r="M1218" s="81">
        <f>SUM(M1208:M1217)</f>
        <v>2832500</v>
      </c>
    </row>
    <row r="1219" spans="1:15" ht="16.5" thickBot="1">
      <c r="A1219" s="885" t="s">
        <v>103</v>
      </c>
      <c r="B1219" s="886"/>
      <c r="C1219" s="886"/>
      <c r="D1219" s="886"/>
      <c r="E1219" s="887"/>
      <c r="F1219" s="69" t="e">
        <f>+F1183</f>
        <v>#REF!</v>
      </c>
      <c r="H1219" s="885" t="s">
        <v>103</v>
      </c>
      <c r="I1219" s="886"/>
      <c r="J1219" s="886"/>
      <c r="K1219" s="886"/>
      <c r="L1219" s="887"/>
      <c r="M1219" s="69">
        <f>+M1183</f>
        <v>14225000</v>
      </c>
      <c r="N1219" s="241" t="s">
        <v>561</v>
      </c>
      <c r="O1219" s="242"/>
    </row>
    <row r="1220" spans="1:15" ht="16.5" thickBot="1">
      <c r="A1220" s="888" t="s">
        <v>104</v>
      </c>
      <c r="B1220" s="889"/>
      <c r="C1220" s="889"/>
      <c r="D1220" s="889"/>
      <c r="E1220" s="890"/>
      <c r="F1220" s="183" t="e">
        <f>SUM(F1218:F1219)</f>
        <v>#REF!</v>
      </c>
      <c r="H1220" s="888" t="s">
        <v>104</v>
      </c>
      <c r="I1220" s="889"/>
      <c r="J1220" s="889"/>
      <c r="K1220" s="889"/>
      <c r="L1220" s="890"/>
      <c r="M1220" s="183">
        <f>SUM(M1218:M1219)</f>
        <v>17057500</v>
      </c>
    </row>
    <row r="1221" spans="1:15" ht="10.5" customHeight="1">
      <c r="A1221" s="61"/>
      <c r="B1221" s="61"/>
      <c r="C1221" s="61"/>
      <c r="D1221" s="61"/>
      <c r="E1221" s="61"/>
      <c r="H1221" s="61"/>
      <c r="I1221" s="61"/>
      <c r="J1221" s="61"/>
      <c r="K1221" s="61"/>
      <c r="L1221" s="61"/>
    </row>
    <row r="1222" spans="1:15">
      <c r="A1222" s="51" t="s">
        <v>497</v>
      </c>
      <c r="H1222" s="51" t="s">
        <v>2807</v>
      </c>
    </row>
    <row r="1223" spans="1:15" ht="5.25" customHeight="1">
      <c r="F1223" s="139"/>
      <c r="M1223" s="139"/>
    </row>
    <row r="1224" spans="1:15">
      <c r="A1224" s="50" t="s">
        <v>105</v>
      </c>
      <c r="D1224" s="146"/>
      <c r="F1224" s="139"/>
      <c r="H1224" s="50" t="s">
        <v>105</v>
      </c>
      <c r="K1224" s="146"/>
      <c r="M1224" s="139"/>
    </row>
    <row r="1225" spans="1:15" ht="9.75" customHeight="1" thickBot="1"/>
    <row r="1226" spans="1:15" ht="17.25" thickBot="1">
      <c r="A1226" s="891" t="s">
        <v>106</v>
      </c>
      <c r="B1226" s="892"/>
      <c r="C1226" s="892"/>
      <c r="D1226" s="893"/>
      <c r="F1226" s="50" t="s">
        <v>288</v>
      </c>
      <c r="H1226" s="891" t="s">
        <v>106</v>
      </c>
      <c r="I1226" s="892"/>
      <c r="J1226" s="892"/>
      <c r="K1226" s="893"/>
      <c r="M1226" s="604" t="s">
        <v>288</v>
      </c>
      <c r="N1226" s="604"/>
      <c r="O1226" s="604"/>
    </row>
    <row r="1227" spans="1:15" ht="30.75" thickBot="1">
      <c r="A1227" s="57" t="s">
        <v>100</v>
      </c>
      <c r="B1227" s="58" t="s">
        <v>108</v>
      </c>
      <c r="C1227" s="59" t="s">
        <v>109</v>
      </c>
      <c r="D1227" s="60" t="s">
        <v>110</v>
      </c>
      <c r="H1227" s="57" t="s">
        <v>100</v>
      </c>
      <c r="I1227" s="58" t="s">
        <v>108</v>
      </c>
      <c r="J1227" s="59" t="s">
        <v>109</v>
      </c>
      <c r="K1227" s="60" t="s">
        <v>110</v>
      </c>
    </row>
    <row r="1228" spans="1:15" ht="14.25" customHeight="1">
      <c r="A1228" s="71">
        <v>719</v>
      </c>
      <c r="B1228" s="73" t="e">
        <f>+#REF!+#REF!+#REF!+#REF!+#REF!</f>
        <v>#REF!</v>
      </c>
      <c r="C1228" s="74" t="e">
        <f>+D1191</f>
        <v>#REF!</v>
      </c>
      <c r="D1228" s="195" t="e">
        <f>+B1228+C1228</f>
        <v>#REF!</v>
      </c>
      <c r="H1228" s="71">
        <v>719</v>
      </c>
      <c r="I1228" s="73">
        <v>0</v>
      </c>
      <c r="J1228" s="74">
        <f>+K1191</f>
        <v>12720000</v>
      </c>
      <c r="K1228" s="195">
        <f>+I1228+J1228</f>
        <v>12720000</v>
      </c>
    </row>
    <row r="1229" spans="1:15" ht="13.5" customHeight="1">
      <c r="A1229" s="72">
        <v>721</v>
      </c>
      <c r="B1229" s="80" t="e">
        <f>(+#REF!+#REF!+#REF!+#REF!+#REF!)</f>
        <v>#REF!</v>
      </c>
      <c r="C1229" s="74" t="e">
        <f>+D1192</f>
        <v>#REF!</v>
      </c>
      <c r="D1229" s="195" t="e">
        <f>+B1229+C1229</f>
        <v>#REF!</v>
      </c>
      <c r="H1229" s="72">
        <v>721</v>
      </c>
      <c r="I1229" s="80">
        <v>0</v>
      </c>
      <c r="J1229" s="74">
        <f>+K1192</f>
        <v>1505000</v>
      </c>
      <c r="K1229" s="195">
        <f>+I1229+J1229</f>
        <v>1505000</v>
      </c>
    </row>
    <row r="1230" spans="1:15" ht="12.75" hidden="1" customHeight="1">
      <c r="A1230" s="72">
        <v>722</v>
      </c>
      <c r="B1230" s="80"/>
      <c r="C1230" s="74" t="e">
        <f>+D1193</f>
        <v>#REF!</v>
      </c>
      <c r="D1230" s="195" t="e">
        <f>+B1230+C1230</f>
        <v>#REF!</v>
      </c>
      <c r="H1230" s="72">
        <v>722</v>
      </c>
      <c r="I1230" s="80"/>
      <c r="J1230" s="74">
        <f>+K1193</f>
        <v>0</v>
      </c>
      <c r="K1230" s="195">
        <f>+I1230+J1230</f>
        <v>0</v>
      </c>
    </row>
    <row r="1231" spans="1:15" ht="14.25" customHeight="1" thickBot="1">
      <c r="A1231" s="72">
        <v>723</v>
      </c>
      <c r="B1231" s="80"/>
      <c r="C1231" s="74" t="e">
        <f>+D1194</f>
        <v>#REF!</v>
      </c>
      <c r="D1231" s="195" t="e">
        <f>+B1231+C1231</f>
        <v>#REF!</v>
      </c>
      <c r="F1231" s="174" t="s">
        <v>23</v>
      </c>
      <c r="G1231" s="175"/>
      <c r="H1231" s="72">
        <v>723</v>
      </c>
      <c r="I1231" s="80">
        <f>+M1218</f>
        <v>2832500</v>
      </c>
      <c r="J1231" s="74">
        <f>+K1194</f>
        <v>0</v>
      </c>
      <c r="K1231" s="195">
        <f>+I1231+J1231</f>
        <v>2832500</v>
      </c>
      <c r="M1231" s="918"/>
      <c r="N1231" s="918"/>
      <c r="O1231" s="918"/>
    </row>
    <row r="1232" spans="1:15" ht="14.25" hidden="1" customHeight="1" thickBot="1">
      <c r="A1232" s="164" t="s">
        <v>181</v>
      </c>
      <c r="B1232" s="165"/>
      <c r="C1232" s="74" t="e">
        <f>+D1195</f>
        <v>#REF!</v>
      </c>
      <c r="D1232" s="196" t="e">
        <f>+B1232+C1232</f>
        <v>#REF!</v>
      </c>
      <c r="F1232" s="52"/>
      <c r="H1232" s="164" t="s">
        <v>181</v>
      </c>
      <c r="I1232" s="165"/>
      <c r="J1232" s="74">
        <f>+K1195</f>
        <v>0</v>
      </c>
      <c r="K1232" s="196">
        <f>+I1232+J1232</f>
        <v>0</v>
      </c>
      <c r="M1232" s="52"/>
    </row>
    <row r="1233" spans="1:15" ht="15" customHeight="1" thickBot="1">
      <c r="A1233" s="169"/>
      <c r="B1233" s="170" t="e">
        <f>SUM(B1228:B1232)</f>
        <v>#REF!</v>
      </c>
      <c r="C1233" s="171" t="e">
        <f>SUM(C1228:C1232)</f>
        <v>#REF!</v>
      </c>
      <c r="D1233" s="172" t="e">
        <f>SUM(D1228:D1232)</f>
        <v>#REF!</v>
      </c>
      <c r="H1233" s="169"/>
      <c r="I1233" s="197">
        <f>SUM(I1228:I1232)</f>
        <v>2832500</v>
      </c>
      <c r="J1233" s="197">
        <f>SUM(J1228:J1232)</f>
        <v>14225000</v>
      </c>
      <c r="K1233" s="198">
        <f>SUM(K1228:K1232)</f>
        <v>17057500</v>
      </c>
    </row>
    <row r="1234" spans="1:15" ht="16.5">
      <c r="A1234" s="49" t="s">
        <v>88</v>
      </c>
      <c r="B1234" s="50"/>
      <c r="H1234" s="49" t="s">
        <v>88</v>
      </c>
      <c r="I1234" s="50"/>
    </row>
    <row r="1235" spans="1:15">
      <c r="A1235" s="51" t="s">
        <v>89</v>
      </c>
      <c r="H1235" s="51" t="s">
        <v>89</v>
      </c>
    </row>
    <row r="1236" spans="1:15">
      <c r="A1236" s="51" t="s">
        <v>90</v>
      </c>
      <c r="H1236" s="51" t="s">
        <v>90</v>
      </c>
    </row>
    <row r="1237" spans="1:15">
      <c r="A1237" s="51" t="s">
        <v>91</v>
      </c>
      <c r="H1237" s="51" t="s">
        <v>91</v>
      </c>
    </row>
    <row r="1238" spans="1:15" ht="12" customHeight="1">
      <c r="A1238" s="50"/>
      <c r="B1238" s="50"/>
      <c r="H1238" s="50"/>
      <c r="I1238" s="50"/>
    </row>
    <row r="1239" spans="1:15" ht="16.5">
      <c r="A1239" s="52" t="s">
        <v>498</v>
      </c>
      <c r="G1239" s="52"/>
      <c r="H1239" s="260" t="s">
        <v>200</v>
      </c>
      <c r="N1239" s="52"/>
    </row>
    <row r="1240" spans="1:15" ht="15.75">
      <c r="A1240" s="53" t="s">
        <v>92</v>
      </c>
      <c r="G1240" s="53"/>
      <c r="H1240" s="53" t="s">
        <v>1333</v>
      </c>
      <c r="N1240" s="53"/>
    </row>
    <row r="1241" spans="1:15" ht="16.5">
      <c r="A1241" s="894" t="s">
        <v>261</v>
      </c>
      <c r="B1241" s="894"/>
      <c r="C1241" s="894"/>
      <c r="D1241" s="894"/>
      <c r="E1241" s="894"/>
      <c r="F1241" s="894"/>
      <c r="G1241" s="894"/>
      <c r="H1241" s="894" t="s">
        <v>1564</v>
      </c>
      <c r="I1241" s="894"/>
      <c r="J1241" s="894"/>
      <c r="K1241" s="894"/>
      <c r="L1241" s="894"/>
      <c r="M1241" s="894"/>
      <c r="N1241" s="894"/>
      <c r="O1241" s="894"/>
    </row>
    <row r="1242" spans="1:15" ht="15.75" thickBot="1"/>
    <row r="1243" spans="1:15">
      <c r="A1243" s="895" t="s">
        <v>94</v>
      </c>
      <c r="B1243" s="897" t="s">
        <v>95</v>
      </c>
      <c r="C1243" s="897" t="s">
        <v>96</v>
      </c>
      <c r="D1243" s="897" t="s">
        <v>3</v>
      </c>
      <c r="E1243" s="897" t="s">
        <v>97</v>
      </c>
      <c r="F1243" s="897" t="s">
        <v>98</v>
      </c>
      <c r="G1243" s="500" t="s">
        <v>99</v>
      </c>
      <c r="H1243" s="895" t="s">
        <v>94</v>
      </c>
      <c r="I1243" s="897" t="s">
        <v>95</v>
      </c>
      <c r="J1243" s="897" t="s">
        <v>96</v>
      </c>
      <c r="K1243" s="897" t="s">
        <v>3</v>
      </c>
      <c r="L1243" s="897" t="s">
        <v>97</v>
      </c>
      <c r="M1243" s="897" t="s">
        <v>98</v>
      </c>
      <c r="N1243" s="897" t="s">
        <v>99</v>
      </c>
      <c r="O1243" s="899"/>
    </row>
    <row r="1244" spans="1:15" ht="15.75" thickBot="1">
      <c r="A1244" s="896"/>
      <c r="B1244" s="898"/>
      <c r="C1244" s="898"/>
      <c r="D1244" s="898"/>
      <c r="E1244" s="898"/>
      <c r="F1244" s="898"/>
      <c r="G1244" s="240" t="s">
        <v>100</v>
      </c>
      <c r="H1244" s="896"/>
      <c r="I1244" s="898"/>
      <c r="J1244" s="898"/>
      <c r="K1244" s="898"/>
      <c r="L1244" s="898"/>
      <c r="M1244" s="898"/>
      <c r="N1244" s="240" t="s">
        <v>100</v>
      </c>
      <c r="O1244" s="182" t="s">
        <v>101</v>
      </c>
    </row>
    <row r="1245" spans="1:15" ht="12" customHeight="1">
      <c r="A1245" s="919" t="e">
        <f>+A1212+1</f>
        <v>#REF!</v>
      </c>
      <c r="B1245" s="875">
        <v>42361</v>
      </c>
      <c r="C1245" s="877" t="s">
        <v>267</v>
      </c>
      <c r="D1245" s="877" t="s">
        <v>499</v>
      </c>
      <c r="E1245" s="881" t="s">
        <v>148</v>
      </c>
      <c r="F1245" s="883">
        <v>126000</v>
      </c>
      <c r="G1245" s="55">
        <v>719</v>
      </c>
      <c r="H1245" s="873" t="s">
        <v>1569</v>
      </c>
      <c r="I1245" s="875">
        <v>43062</v>
      </c>
      <c r="J1245" s="881" t="s">
        <v>28</v>
      </c>
      <c r="K1245" s="879" t="s">
        <v>1566</v>
      </c>
      <c r="L1245" s="881" t="s">
        <v>115</v>
      </c>
      <c r="M1245" s="883">
        <v>50000</v>
      </c>
      <c r="N1245" s="55">
        <v>719</v>
      </c>
      <c r="O1245" s="78">
        <f>+M1245</f>
        <v>50000</v>
      </c>
    </row>
    <row r="1246" spans="1:15" ht="14.25" customHeight="1" thickBot="1">
      <c r="A1246" s="920"/>
      <c r="B1246" s="876"/>
      <c r="C1246" s="878"/>
      <c r="D1246" s="878"/>
      <c r="E1246" s="882"/>
      <c r="F1246" s="884"/>
      <c r="G1246" s="56">
        <v>721</v>
      </c>
      <c r="H1246" s="874"/>
      <c r="I1246" s="876"/>
      <c r="J1246" s="882"/>
      <c r="K1246" s="880"/>
      <c r="L1246" s="882"/>
      <c r="M1246" s="884"/>
      <c r="N1246" s="56">
        <v>721</v>
      </c>
      <c r="O1246" s="79"/>
    </row>
    <row r="1247" spans="1:15" ht="15" customHeight="1">
      <c r="A1247" s="919" t="e">
        <f>+A1245+1</f>
        <v>#REF!</v>
      </c>
      <c r="B1247" s="875">
        <v>42361</v>
      </c>
      <c r="C1247" s="881" t="s">
        <v>28</v>
      </c>
      <c r="D1247" s="877" t="s">
        <v>500</v>
      </c>
      <c r="E1247" s="881" t="s">
        <v>148</v>
      </c>
      <c r="F1247" s="883">
        <v>196000</v>
      </c>
      <c r="G1247" s="55">
        <v>719</v>
      </c>
      <c r="H1247" s="873" t="s">
        <v>1570</v>
      </c>
      <c r="I1247" s="875">
        <v>43062</v>
      </c>
      <c r="J1247" s="881" t="s">
        <v>120</v>
      </c>
      <c r="K1247" s="879" t="s">
        <v>1567</v>
      </c>
      <c r="L1247" s="881" t="s">
        <v>115</v>
      </c>
      <c r="M1247" s="883">
        <v>190000</v>
      </c>
      <c r="N1247" s="55">
        <v>719</v>
      </c>
      <c r="O1247" s="78">
        <f>+M1247</f>
        <v>190000</v>
      </c>
    </row>
    <row r="1248" spans="1:15" ht="13.5" customHeight="1" thickBot="1">
      <c r="A1248" s="920"/>
      <c r="B1248" s="876"/>
      <c r="C1248" s="882"/>
      <c r="D1248" s="878"/>
      <c r="E1248" s="882"/>
      <c r="F1248" s="884"/>
      <c r="G1248" s="56">
        <v>721</v>
      </c>
      <c r="H1248" s="882"/>
      <c r="I1248" s="876"/>
      <c r="J1248" s="882"/>
      <c r="K1248" s="880"/>
      <c r="L1248" s="882"/>
      <c r="M1248" s="884"/>
      <c r="N1248" s="56">
        <v>721</v>
      </c>
      <c r="O1248" s="79"/>
    </row>
    <row r="1249" spans="1:15" ht="12.75" customHeight="1">
      <c r="A1249" s="919" t="e">
        <f>+A1247+1</f>
        <v>#REF!</v>
      </c>
      <c r="B1249" s="875">
        <v>42361</v>
      </c>
      <c r="C1249" s="877" t="s">
        <v>32</v>
      </c>
      <c r="D1249" s="877" t="s">
        <v>500</v>
      </c>
      <c r="E1249" s="881" t="s">
        <v>148</v>
      </c>
      <c r="F1249" s="883">
        <v>42000</v>
      </c>
      <c r="G1249" s="55">
        <v>719</v>
      </c>
      <c r="H1249" s="873" t="s">
        <v>1568</v>
      </c>
      <c r="I1249" s="875">
        <v>43062</v>
      </c>
      <c r="J1249" s="877" t="s">
        <v>1571</v>
      </c>
      <c r="K1249" s="879" t="s">
        <v>1225</v>
      </c>
      <c r="L1249" s="881" t="s">
        <v>115</v>
      </c>
      <c r="M1249" s="883">
        <v>3980000</v>
      </c>
      <c r="N1249" s="55">
        <v>719</v>
      </c>
      <c r="O1249" s="78"/>
    </row>
    <row r="1250" spans="1:15" ht="15.75" customHeight="1" thickBot="1">
      <c r="A1250" s="920"/>
      <c r="B1250" s="876"/>
      <c r="C1250" s="878"/>
      <c r="D1250" s="878"/>
      <c r="E1250" s="882"/>
      <c r="F1250" s="884"/>
      <c r="G1250" s="56">
        <v>721</v>
      </c>
      <c r="H1250" s="882"/>
      <c r="I1250" s="876"/>
      <c r="J1250" s="878"/>
      <c r="K1250" s="880"/>
      <c r="L1250" s="882"/>
      <c r="M1250" s="884"/>
      <c r="N1250" s="56">
        <v>723</v>
      </c>
      <c r="O1250" s="79">
        <f>+M1249</f>
        <v>3980000</v>
      </c>
    </row>
    <row r="1251" spans="1:15" ht="12" customHeight="1">
      <c r="A1251" s="919" t="e">
        <f>+A1249+1</f>
        <v>#REF!</v>
      </c>
      <c r="B1251" s="875">
        <v>42361</v>
      </c>
      <c r="C1251" s="877" t="s">
        <v>111</v>
      </c>
      <c r="D1251" s="877" t="s">
        <v>499</v>
      </c>
      <c r="E1251" s="881" t="s">
        <v>148</v>
      </c>
      <c r="F1251" s="883">
        <v>112000</v>
      </c>
      <c r="G1251" s="55">
        <v>719</v>
      </c>
      <c r="H1251" s="873" t="s">
        <v>1563</v>
      </c>
      <c r="I1251" s="875">
        <v>43062</v>
      </c>
      <c r="J1251" s="881" t="s">
        <v>385</v>
      </c>
      <c r="K1251" s="879" t="s">
        <v>1188</v>
      </c>
      <c r="L1251" s="881" t="s">
        <v>148</v>
      </c>
      <c r="M1251" s="883">
        <v>22479749</v>
      </c>
      <c r="N1251" s="55">
        <v>719</v>
      </c>
      <c r="O1251" s="78"/>
    </row>
    <row r="1252" spans="1:15" ht="14.25" customHeight="1" thickBot="1">
      <c r="A1252" s="920"/>
      <c r="B1252" s="876"/>
      <c r="C1252" s="878"/>
      <c r="D1252" s="878"/>
      <c r="E1252" s="882"/>
      <c r="F1252" s="884"/>
      <c r="G1252" s="56">
        <v>721</v>
      </c>
      <c r="H1252" s="882"/>
      <c r="I1252" s="876"/>
      <c r="J1252" s="882"/>
      <c r="K1252" s="880"/>
      <c r="L1252" s="882"/>
      <c r="M1252" s="884"/>
      <c r="N1252" s="56">
        <v>721</v>
      </c>
      <c r="O1252" s="79">
        <f>+M1251</f>
        <v>22479749</v>
      </c>
    </row>
    <row r="1253" spans="1:15" ht="12" customHeight="1">
      <c r="A1253" s="919" t="e">
        <f>+A1251+1</f>
        <v>#REF!</v>
      </c>
      <c r="B1253" s="875">
        <v>42361</v>
      </c>
      <c r="C1253" s="877" t="s">
        <v>272</v>
      </c>
      <c r="D1253" s="877" t="s">
        <v>500</v>
      </c>
      <c r="E1253" s="881" t="s">
        <v>148</v>
      </c>
      <c r="F1253" s="883">
        <v>588000</v>
      </c>
      <c r="G1253" s="55">
        <v>719</v>
      </c>
      <c r="H1253" s="873" t="s">
        <v>873</v>
      </c>
      <c r="I1253" s="875">
        <v>43062</v>
      </c>
      <c r="J1253" s="881" t="s">
        <v>385</v>
      </c>
      <c r="K1253" s="879" t="s">
        <v>1245</v>
      </c>
      <c r="L1253" s="881" t="s">
        <v>148</v>
      </c>
      <c r="M1253" s="883">
        <v>55554732</v>
      </c>
      <c r="N1253" s="55">
        <v>719</v>
      </c>
      <c r="O1253" s="78"/>
    </row>
    <row r="1254" spans="1:15" ht="13.5" customHeight="1" thickBot="1">
      <c r="A1254" s="920"/>
      <c r="B1254" s="876"/>
      <c r="C1254" s="878"/>
      <c r="D1254" s="878"/>
      <c r="E1254" s="882"/>
      <c r="F1254" s="884"/>
      <c r="G1254" s="56">
        <v>721</v>
      </c>
      <c r="H1254" s="882"/>
      <c r="I1254" s="876"/>
      <c r="J1254" s="882"/>
      <c r="K1254" s="880"/>
      <c r="L1254" s="882"/>
      <c r="M1254" s="884"/>
      <c r="N1254" s="56">
        <v>721</v>
      </c>
      <c r="O1254" s="79">
        <f>+M1253-O1253</f>
        <v>55554732</v>
      </c>
    </row>
    <row r="1255" spans="1:15" ht="16.5" thickBot="1">
      <c r="A1255" s="901" t="s">
        <v>102</v>
      </c>
      <c r="B1255" s="902"/>
      <c r="C1255" s="902"/>
      <c r="D1255" s="902"/>
      <c r="E1255" s="903"/>
      <c r="F1255" s="81">
        <f>SUM(F1245:F1254)</f>
        <v>1064000</v>
      </c>
      <c r="H1255" s="901" t="s">
        <v>102</v>
      </c>
      <c r="I1255" s="902"/>
      <c r="J1255" s="902"/>
      <c r="K1255" s="902"/>
      <c r="L1255" s="903"/>
      <c r="M1255" s="81">
        <f>SUM(M1245:M1254)</f>
        <v>82254481</v>
      </c>
    </row>
    <row r="1256" spans="1:15" ht="16.5" thickBot="1">
      <c r="A1256" s="885" t="s">
        <v>103</v>
      </c>
      <c r="B1256" s="886"/>
      <c r="C1256" s="886"/>
      <c r="D1256" s="886"/>
      <c r="E1256" s="887"/>
      <c r="F1256" s="69" t="e">
        <f>+F1220</f>
        <v>#REF!</v>
      </c>
      <c r="H1256" s="885" t="s">
        <v>103</v>
      </c>
      <c r="I1256" s="886"/>
      <c r="J1256" s="886"/>
      <c r="K1256" s="886"/>
      <c r="L1256" s="887"/>
      <c r="M1256" s="69">
        <f>+M1220</f>
        <v>17057500</v>
      </c>
      <c r="N1256" s="241" t="s">
        <v>561</v>
      </c>
      <c r="O1256" s="242"/>
    </row>
    <row r="1257" spans="1:15" ht="16.5" thickBot="1">
      <c r="A1257" s="888" t="s">
        <v>104</v>
      </c>
      <c r="B1257" s="889"/>
      <c r="C1257" s="889"/>
      <c r="D1257" s="889"/>
      <c r="E1257" s="890"/>
      <c r="F1257" s="183" t="e">
        <f>SUM(F1255:F1256)</f>
        <v>#REF!</v>
      </c>
      <c r="H1257" s="888" t="s">
        <v>104</v>
      </c>
      <c r="I1257" s="889"/>
      <c r="J1257" s="889"/>
      <c r="K1257" s="889"/>
      <c r="L1257" s="890"/>
      <c r="M1257" s="183">
        <f>SUM(M1255:M1256)</f>
        <v>99311981</v>
      </c>
    </row>
    <row r="1258" spans="1:15">
      <c r="A1258" s="61"/>
      <c r="B1258" s="61"/>
      <c r="C1258" s="61"/>
      <c r="D1258" s="61"/>
      <c r="E1258" s="61"/>
      <c r="H1258" s="61"/>
      <c r="I1258" s="61"/>
      <c r="J1258" s="61"/>
      <c r="K1258" s="61"/>
      <c r="L1258" s="61"/>
    </row>
    <row r="1259" spans="1:15">
      <c r="A1259" s="51" t="s">
        <v>501</v>
      </c>
      <c r="H1259" s="51" t="s">
        <v>1565</v>
      </c>
    </row>
    <row r="1260" spans="1:15" ht="11.25" customHeight="1">
      <c r="F1260" s="139"/>
      <c r="M1260" s="139"/>
    </row>
    <row r="1261" spans="1:15">
      <c r="A1261" s="50" t="s">
        <v>105</v>
      </c>
      <c r="D1261" s="146"/>
      <c r="F1261" s="139"/>
      <c r="H1261" s="50" t="s">
        <v>105</v>
      </c>
      <c r="K1261" s="146"/>
      <c r="M1261" s="139"/>
    </row>
    <row r="1262" spans="1:15" ht="13.5" customHeight="1" thickBot="1"/>
    <row r="1263" spans="1:15" ht="17.25" thickBot="1">
      <c r="A1263" s="891" t="s">
        <v>106</v>
      </c>
      <c r="B1263" s="892"/>
      <c r="C1263" s="892"/>
      <c r="D1263" s="893"/>
      <c r="F1263" s="50" t="s">
        <v>288</v>
      </c>
      <c r="H1263" s="891" t="s">
        <v>106</v>
      </c>
      <c r="I1263" s="892"/>
      <c r="J1263" s="892"/>
      <c r="K1263" s="893"/>
      <c r="M1263" s="604" t="s">
        <v>288</v>
      </c>
      <c r="N1263" s="604"/>
      <c r="O1263" s="604"/>
    </row>
    <row r="1264" spans="1:15" ht="26.25" customHeight="1" thickBot="1">
      <c r="A1264" s="57" t="s">
        <v>100</v>
      </c>
      <c r="B1264" s="58" t="s">
        <v>108</v>
      </c>
      <c r="C1264" s="59" t="s">
        <v>109</v>
      </c>
      <c r="D1264" s="60" t="s">
        <v>110</v>
      </c>
      <c r="H1264" s="57" t="s">
        <v>100</v>
      </c>
      <c r="I1264" s="58" t="s">
        <v>108</v>
      </c>
      <c r="J1264" s="59" t="s">
        <v>109</v>
      </c>
      <c r="K1264" s="60" t="s">
        <v>110</v>
      </c>
    </row>
    <row r="1265" spans="1:15">
      <c r="A1265" s="71">
        <v>719</v>
      </c>
      <c r="B1265" s="73" t="e">
        <f>+#REF!+#REF!+#REF!+#REF!+#REF!</f>
        <v>#REF!</v>
      </c>
      <c r="C1265" s="74" t="e">
        <f>+D1228</f>
        <v>#REF!</v>
      </c>
      <c r="D1265" s="195" t="e">
        <f>+B1265+C1265</f>
        <v>#REF!</v>
      </c>
      <c r="H1265" s="71">
        <v>719</v>
      </c>
      <c r="I1265" s="73">
        <f>+O1245+O1247+O1249+O1251+O1253</f>
        <v>240000</v>
      </c>
      <c r="J1265" s="74">
        <f>+K1228</f>
        <v>12720000</v>
      </c>
      <c r="K1265" s="195">
        <f>+I1265+J1265</f>
        <v>12960000</v>
      </c>
    </row>
    <row r="1266" spans="1:15" ht="14.25" customHeight="1">
      <c r="A1266" s="72">
        <v>721</v>
      </c>
      <c r="B1266" s="80" t="e">
        <f>(+#REF!+#REF!+#REF!+#REF!+#REF!)</f>
        <v>#REF!</v>
      </c>
      <c r="C1266" s="74" t="e">
        <f>+D1229</f>
        <v>#REF!</v>
      </c>
      <c r="D1266" s="195" t="e">
        <f>+B1266+C1266</f>
        <v>#REF!</v>
      </c>
      <c r="H1266" s="72">
        <v>721</v>
      </c>
      <c r="I1266" s="80">
        <f>+O1246+O1248++O1252+O1254</f>
        <v>78034481</v>
      </c>
      <c r="J1266" s="74">
        <f>+K1229</f>
        <v>1505000</v>
      </c>
      <c r="K1266" s="195">
        <f>+I1266+J1266</f>
        <v>79539481</v>
      </c>
    </row>
    <row r="1267" spans="1:15" ht="12.75" customHeight="1">
      <c r="A1267" s="72">
        <v>722</v>
      </c>
      <c r="B1267" s="80"/>
      <c r="C1267" s="74" t="e">
        <f>+D1230</f>
        <v>#REF!</v>
      </c>
      <c r="D1267" s="195" t="e">
        <f>+B1267+C1267</f>
        <v>#REF!</v>
      </c>
      <c r="H1267" s="72">
        <v>722</v>
      </c>
      <c r="I1267" s="80"/>
      <c r="J1267" s="74">
        <f>+K1230</f>
        <v>0</v>
      </c>
      <c r="K1267" s="195">
        <f>+I1267+J1267</f>
        <v>0</v>
      </c>
      <c r="M1267" s="918" t="s">
        <v>1481</v>
      </c>
      <c r="N1267" s="918"/>
      <c r="O1267" s="918"/>
    </row>
    <row r="1268" spans="1:15" ht="14.25" customHeight="1">
      <c r="A1268" s="72">
        <v>723</v>
      </c>
      <c r="B1268" s="80"/>
      <c r="C1268" s="74" t="e">
        <f>+D1231</f>
        <v>#REF!</v>
      </c>
      <c r="D1268" s="195" t="e">
        <f>+B1268+C1268</f>
        <v>#REF!</v>
      </c>
      <c r="F1268" s="174" t="s">
        <v>23</v>
      </c>
      <c r="G1268" s="175"/>
      <c r="H1268" s="72">
        <v>723</v>
      </c>
      <c r="I1268" s="80">
        <f>+O1250</f>
        <v>3980000</v>
      </c>
      <c r="J1268" s="74">
        <f>+K1231</f>
        <v>2832500</v>
      </c>
      <c r="K1268" s="195">
        <f>+I1268+J1268</f>
        <v>6812500</v>
      </c>
      <c r="M1268" s="918"/>
      <c r="N1268" s="918"/>
      <c r="O1268" s="918"/>
    </row>
    <row r="1269" spans="1:15" ht="14.25" customHeight="1" thickBot="1">
      <c r="A1269" s="164" t="s">
        <v>181</v>
      </c>
      <c r="B1269" s="165"/>
      <c r="C1269" s="74" t="e">
        <f>+D1232</f>
        <v>#REF!</v>
      </c>
      <c r="D1269" s="196" t="e">
        <f>+B1269+C1269</f>
        <v>#REF!</v>
      </c>
      <c r="F1269" s="52"/>
      <c r="H1269" s="164" t="s">
        <v>181</v>
      </c>
      <c r="I1269" s="165"/>
      <c r="J1269" s="74">
        <f>+K1232</f>
        <v>0</v>
      </c>
      <c r="K1269" s="196">
        <f>+I1269+J1269</f>
        <v>0</v>
      </c>
      <c r="M1269" s="52"/>
    </row>
    <row r="1270" spans="1:15" ht="16.5" thickBot="1">
      <c r="A1270" s="169"/>
      <c r="B1270" s="170" t="e">
        <f>SUM(B1265:B1269)</f>
        <v>#REF!</v>
      </c>
      <c r="C1270" s="171" t="e">
        <f>SUM(C1265:C1269)</f>
        <v>#REF!</v>
      </c>
      <c r="D1270" s="172" t="e">
        <f>SUM(D1265:D1269)</f>
        <v>#REF!</v>
      </c>
      <c r="H1270" s="169"/>
      <c r="I1270" s="197">
        <f>SUM(I1265:I1269)</f>
        <v>82254481</v>
      </c>
      <c r="J1270" s="197">
        <f>SUM(J1265:J1269)</f>
        <v>17057500</v>
      </c>
      <c r="K1270" s="198">
        <f>SUM(K1265:K1269)</f>
        <v>99311981</v>
      </c>
    </row>
    <row r="1271" spans="1:15" ht="16.5">
      <c r="A1271" s="49" t="s">
        <v>88</v>
      </c>
      <c r="B1271" s="50"/>
      <c r="H1271" s="49" t="s">
        <v>88</v>
      </c>
      <c r="I1271" s="50"/>
    </row>
    <row r="1272" spans="1:15">
      <c r="A1272" s="51" t="s">
        <v>89</v>
      </c>
      <c r="H1272" s="51" t="s">
        <v>89</v>
      </c>
    </row>
    <row r="1273" spans="1:15">
      <c r="A1273" s="51" t="s">
        <v>90</v>
      </c>
      <c r="H1273" s="51" t="s">
        <v>90</v>
      </c>
    </row>
    <row r="1274" spans="1:15">
      <c r="A1274" s="51" t="s">
        <v>91</v>
      </c>
      <c r="H1274" s="51" t="s">
        <v>91</v>
      </c>
    </row>
    <row r="1275" spans="1:15" ht="12" customHeight="1">
      <c r="A1275" s="50"/>
      <c r="B1275" s="50"/>
      <c r="H1275" s="50"/>
      <c r="I1275" s="50"/>
    </row>
    <row r="1276" spans="1:15" ht="16.5">
      <c r="A1276" s="52" t="s">
        <v>502</v>
      </c>
      <c r="G1276" s="52"/>
      <c r="H1276" s="260" t="s">
        <v>871</v>
      </c>
      <c r="N1276" s="52"/>
    </row>
    <row r="1277" spans="1:15" ht="15.75">
      <c r="A1277" s="53" t="s">
        <v>92</v>
      </c>
      <c r="G1277" s="53"/>
      <c r="H1277" s="53" t="s">
        <v>1333</v>
      </c>
      <c r="N1277" s="53"/>
    </row>
    <row r="1278" spans="1:15" ht="16.5">
      <c r="A1278" s="894" t="s">
        <v>261</v>
      </c>
      <c r="B1278" s="894"/>
      <c r="C1278" s="894"/>
      <c r="D1278" s="894"/>
      <c r="E1278" s="894"/>
      <c r="F1278" s="894"/>
      <c r="G1278" s="894"/>
      <c r="H1278" s="894" t="s">
        <v>903</v>
      </c>
      <c r="I1278" s="894"/>
      <c r="J1278" s="894"/>
      <c r="K1278" s="894"/>
      <c r="L1278" s="894"/>
      <c r="M1278" s="894"/>
      <c r="N1278" s="894"/>
      <c r="O1278" s="894"/>
    </row>
    <row r="1279" spans="1:15" ht="12.75" customHeight="1" thickBot="1"/>
    <row r="1280" spans="1:15">
      <c r="A1280" s="895" t="s">
        <v>94</v>
      </c>
      <c r="B1280" s="897" t="s">
        <v>95</v>
      </c>
      <c r="C1280" s="897" t="s">
        <v>96</v>
      </c>
      <c r="D1280" s="897" t="s">
        <v>3</v>
      </c>
      <c r="E1280" s="897" t="s">
        <v>97</v>
      </c>
      <c r="F1280" s="897" t="s">
        <v>98</v>
      </c>
      <c r="G1280" s="500" t="s">
        <v>99</v>
      </c>
      <c r="H1280" s="895" t="s">
        <v>94</v>
      </c>
      <c r="I1280" s="897" t="s">
        <v>95</v>
      </c>
      <c r="J1280" s="897" t="s">
        <v>96</v>
      </c>
      <c r="K1280" s="897" t="s">
        <v>3</v>
      </c>
      <c r="L1280" s="897" t="s">
        <v>97</v>
      </c>
      <c r="M1280" s="897" t="s">
        <v>98</v>
      </c>
      <c r="N1280" s="897" t="s">
        <v>99</v>
      </c>
      <c r="O1280" s="899"/>
    </row>
    <row r="1281" spans="1:15" ht="15.75" thickBot="1">
      <c r="A1281" s="896"/>
      <c r="B1281" s="898"/>
      <c r="C1281" s="898"/>
      <c r="D1281" s="898"/>
      <c r="E1281" s="898"/>
      <c r="F1281" s="898"/>
      <c r="G1281" s="240" t="s">
        <v>100</v>
      </c>
      <c r="H1281" s="896"/>
      <c r="I1281" s="898"/>
      <c r="J1281" s="898"/>
      <c r="K1281" s="898"/>
      <c r="L1281" s="898"/>
      <c r="M1281" s="898"/>
      <c r="N1281" s="240" t="s">
        <v>100</v>
      </c>
      <c r="O1281" s="182" t="s">
        <v>101</v>
      </c>
    </row>
    <row r="1282" spans="1:15" ht="15" customHeight="1">
      <c r="A1282" s="919" t="e">
        <f>+A1253+1</f>
        <v>#REF!</v>
      </c>
      <c r="B1282" s="875">
        <v>42361</v>
      </c>
      <c r="C1282" s="877" t="s">
        <v>267</v>
      </c>
      <c r="D1282" s="877" t="s">
        <v>490</v>
      </c>
      <c r="E1282" s="881" t="s">
        <v>148</v>
      </c>
      <c r="F1282" s="883">
        <v>168000</v>
      </c>
      <c r="G1282" s="55">
        <v>719</v>
      </c>
      <c r="H1282" s="873" t="s">
        <v>1578</v>
      </c>
      <c r="I1282" s="875">
        <v>43062</v>
      </c>
      <c r="J1282" s="877" t="s">
        <v>28</v>
      </c>
      <c r="K1282" s="881" t="s">
        <v>1582</v>
      </c>
      <c r="L1282" s="881" t="s">
        <v>115</v>
      </c>
      <c r="M1282" s="883">
        <v>80000</v>
      </c>
      <c r="N1282" s="55">
        <v>719</v>
      </c>
      <c r="O1282" s="78">
        <f>+M1282</f>
        <v>80000</v>
      </c>
    </row>
    <row r="1283" spans="1:15" ht="15.75" customHeight="1" thickBot="1">
      <c r="A1283" s="920"/>
      <c r="B1283" s="876"/>
      <c r="C1283" s="878"/>
      <c r="D1283" s="878"/>
      <c r="E1283" s="882"/>
      <c r="F1283" s="884"/>
      <c r="G1283" s="56">
        <v>721</v>
      </c>
      <c r="H1283" s="874"/>
      <c r="I1283" s="876"/>
      <c r="J1283" s="878"/>
      <c r="K1283" s="882"/>
      <c r="L1283" s="882"/>
      <c r="M1283" s="884"/>
      <c r="N1283" s="56">
        <v>723</v>
      </c>
      <c r="O1283" s="79"/>
    </row>
    <row r="1284" spans="1:15" ht="15" customHeight="1">
      <c r="A1284" s="919" t="e">
        <f>+A1282+1</f>
        <v>#REF!</v>
      </c>
      <c r="B1284" s="875">
        <v>42361</v>
      </c>
      <c r="C1284" s="881" t="s">
        <v>28</v>
      </c>
      <c r="D1284" s="877" t="s">
        <v>503</v>
      </c>
      <c r="E1284" s="881" t="s">
        <v>148</v>
      </c>
      <c r="F1284" s="883">
        <v>182000</v>
      </c>
      <c r="G1284" s="55">
        <v>719</v>
      </c>
      <c r="H1284" s="873" t="s">
        <v>1579</v>
      </c>
      <c r="I1284" s="875">
        <v>43062</v>
      </c>
      <c r="J1284" s="881" t="s">
        <v>120</v>
      </c>
      <c r="K1284" s="881" t="s">
        <v>1581</v>
      </c>
      <c r="L1284" s="881" t="s">
        <v>115</v>
      </c>
      <c r="M1284" s="883">
        <v>300000</v>
      </c>
      <c r="N1284" s="55">
        <v>719</v>
      </c>
      <c r="O1284" s="78">
        <f>+M1284</f>
        <v>300000</v>
      </c>
    </row>
    <row r="1285" spans="1:15" ht="15.75" customHeight="1" thickBot="1">
      <c r="A1285" s="920"/>
      <c r="B1285" s="876"/>
      <c r="C1285" s="882"/>
      <c r="D1285" s="878"/>
      <c r="E1285" s="882"/>
      <c r="F1285" s="884"/>
      <c r="G1285" s="56">
        <v>721</v>
      </c>
      <c r="H1285" s="874"/>
      <c r="I1285" s="876"/>
      <c r="J1285" s="882"/>
      <c r="K1285" s="882"/>
      <c r="L1285" s="882"/>
      <c r="M1285" s="884"/>
      <c r="N1285" s="56">
        <v>723</v>
      </c>
      <c r="O1285" s="79">
        <v>0</v>
      </c>
    </row>
    <row r="1286" spans="1:15" ht="12.75" customHeight="1">
      <c r="A1286" s="919" t="e">
        <f>+A1284+1</f>
        <v>#REF!</v>
      </c>
      <c r="B1286" s="875">
        <v>42361</v>
      </c>
      <c r="C1286" s="877" t="s">
        <v>32</v>
      </c>
      <c r="D1286" s="877" t="s">
        <v>504</v>
      </c>
      <c r="E1286" s="881" t="s">
        <v>148</v>
      </c>
      <c r="F1286" s="883">
        <v>98000</v>
      </c>
      <c r="G1286" s="55">
        <v>719</v>
      </c>
      <c r="H1286" s="881"/>
      <c r="I1286" s="875"/>
      <c r="J1286" s="877"/>
      <c r="K1286" s="881"/>
      <c r="L1286" s="881"/>
      <c r="M1286" s="883"/>
      <c r="N1286" s="55"/>
      <c r="O1286" s="78"/>
    </row>
    <row r="1287" spans="1:15" ht="12" customHeight="1" thickBot="1">
      <c r="A1287" s="920"/>
      <c r="B1287" s="876"/>
      <c r="C1287" s="878"/>
      <c r="D1287" s="878"/>
      <c r="E1287" s="882"/>
      <c r="F1287" s="884"/>
      <c r="G1287" s="56">
        <v>721</v>
      </c>
      <c r="H1287" s="882"/>
      <c r="I1287" s="876"/>
      <c r="J1287" s="878"/>
      <c r="K1287" s="882"/>
      <c r="L1287" s="882"/>
      <c r="M1287" s="884"/>
      <c r="N1287" s="56"/>
      <c r="O1287" s="79"/>
    </row>
    <row r="1288" spans="1:15" ht="12.75" customHeight="1">
      <c r="A1288" s="919" t="e">
        <f>+A1286+1</f>
        <v>#REF!</v>
      </c>
      <c r="B1288" s="875">
        <v>42361</v>
      </c>
      <c r="C1288" s="877" t="s">
        <v>111</v>
      </c>
      <c r="D1288" s="877" t="s">
        <v>505</v>
      </c>
      <c r="E1288" s="881" t="s">
        <v>148</v>
      </c>
      <c r="F1288" s="883">
        <v>168000</v>
      </c>
      <c r="G1288" s="55">
        <v>719</v>
      </c>
      <c r="H1288" s="881"/>
      <c r="I1288" s="875"/>
      <c r="J1288" s="877"/>
      <c r="K1288" s="881"/>
      <c r="L1288" s="881"/>
      <c r="M1288" s="883"/>
      <c r="N1288" s="55"/>
      <c r="O1288" s="78"/>
    </row>
    <row r="1289" spans="1:15" ht="12" customHeight="1" thickBot="1">
      <c r="A1289" s="920"/>
      <c r="B1289" s="876"/>
      <c r="C1289" s="878"/>
      <c r="D1289" s="878"/>
      <c r="E1289" s="882"/>
      <c r="F1289" s="884"/>
      <c r="G1289" s="56">
        <v>721</v>
      </c>
      <c r="H1289" s="882"/>
      <c r="I1289" s="876"/>
      <c r="J1289" s="878"/>
      <c r="K1289" s="882"/>
      <c r="L1289" s="882"/>
      <c r="M1289" s="884"/>
      <c r="N1289" s="56"/>
      <c r="O1289" s="79"/>
    </row>
    <row r="1290" spans="1:15" ht="12" customHeight="1">
      <c r="A1290" s="919" t="e">
        <f>+A1288+1</f>
        <v>#REF!</v>
      </c>
      <c r="B1290" s="875">
        <v>42361</v>
      </c>
      <c r="C1290" s="877" t="s">
        <v>272</v>
      </c>
      <c r="D1290" s="877" t="s">
        <v>504</v>
      </c>
      <c r="E1290" s="881" t="s">
        <v>148</v>
      </c>
      <c r="F1290" s="883">
        <v>700000</v>
      </c>
      <c r="G1290" s="55">
        <v>719</v>
      </c>
      <c r="H1290" s="881"/>
      <c r="I1290" s="875"/>
      <c r="J1290" s="877"/>
      <c r="K1290" s="881"/>
      <c r="L1290" s="881"/>
      <c r="M1290" s="883"/>
      <c r="N1290" s="55"/>
      <c r="O1290" s="78"/>
    </row>
    <row r="1291" spans="1:15" ht="13.5" customHeight="1" thickBot="1">
      <c r="A1291" s="920"/>
      <c r="B1291" s="876"/>
      <c r="C1291" s="878"/>
      <c r="D1291" s="878"/>
      <c r="E1291" s="882"/>
      <c r="F1291" s="884"/>
      <c r="G1291" s="56">
        <v>721</v>
      </c>
      <c r="H1291" s="882"/>
      <c r="I1291" s="876"/>
      <c r="J1291" s="878"/>
      <c r="K1291" s="882"/>
      <c r="L1291" s="882"/>
      <c r="M1291" s="884"/>
      <c r="N1291" s="56"/>
      <c r="O1291" s="79"/>
    </row>
    <row r="1292" spans="1:15" ht="16.5" thickBot="1">
      <c r="A1292" s="901" t="s">
        <v>102</v>
      </c>
      <c r="B1292" s="902"/>
      <c r="C1292" s="902"/>
      <c r="D1292" s="902"/>
      <c r="E1292" s="903"/>
      <c r="F1292" s="81">
        <f>SUM(F1282:F1291)</f>
        <v>1316000</v>
      </c>
      <c r="H1292" s="901" t="s">
        <v>102</v>
      </c>
      <c r="I1292" s="902"/>
      <c r="J1292" s="902"/>
      <c r="K1292" s="902"/>
      <c r="L1292" s="903"/>
      <c r="M1292" s="81">
        <f>SUM(M1282:M1291)</f>
        <v>380000</v>
      </c>
    </row>
    <row r="1293" spans="1:15" ht="16.5" thickBot="1">
      <c r="A1293" s="885" t="s">
        <v>103</v>
      </c>
      <c r="B1293" s="886"/>
      <c r="C1293" s="886"/>
      <c r="D1293" s="886"/>
      <c r="E1293" s="887"/>
      <c r="F1293" s="69" t="e">
        <f>+F1257</f>
        <v>#REF!</v>
      </c>
      <c r="H1293" s="885" t="s">
        <v>103</v>
      </c>
      <c r="I1293" s="886"/>
      <c r="J1293" s="886"/>
      <c r="K1293" s="886"/>
      <c r="L1293" s="887"/>
      <c r="M1293" s="69">
        <f>+M1257</f>
        <v>99311981</v>
      </c>
      <c r="N1293" s="241" t="s">
        <v>561</v>
      </c>
      <c r="O1293" s="242"/>
    </row>
    <row r="1294" spans="1:15" ht="16.5" thickBot="1">
      <c r="A1294" s="888" t="s">
        <v>104</v>
      </c>
      <c r="B1294" s="889"/>
      <c r="C1294" s="889"/>
      <c r="D1294" s="889"/>
      <c r="E1294" s="890"/>
      <c r="F1294" s="183" t="e">
        <f>SUM(F1292:F1293)</f>
        <v>#REF!</v>
      </c>
      <c r="H1294" s="888" t="s">
        <v>104</v>
      </c>
      <c r="I1294" s="889"/>
      <c r="J1294" s="889"/>
      <c r="K1294" s="889"/>
      <c r="L1294" s="890"/>
      <c r="M1294" s="183">
        <f>SUM(M1292:M1293)</f>
        <v>99691981</v>
      </c>
    </row>
    <row r="1295" spans="1:15">
      <c r="A1295" s="61"/>
      <c r="B1295" s="61"/>
      <c r="C1295" s="61"/>
      <c r="D1295" s="61"/>
      <c r="E1295" s="61"/>
      <c r="H1295" s="61"/>
      <c r="I1295" s="61"/>
      <c r="J1295" s="61"/>
      <c r="K1295" s="61"/>
      <c r="L1295" s="61"/>
    </row>
    <row r="1296" spans="1:15">
      <c r="A1296" s="51" t="s">
        <v>506</v>
      </c>
      <c r="H1296" s="51" t="s">
        <v>1580</v>
      </c>
    </row>
    <row r="1297" spans="1:15" ht="12" customHeight="1">
      <c r="F1297" s="139"/>
      <c r="M1297" s="139"/>
    </row>
    <row r="1298" spans="1:15">
      <c r="A1298" s="50" t="s">
        <v>105</v>
      </c>
      <c r="D1298" s="146"/>
      <c r="F1298" s="139"/>
      <c r="H1298" s="50" t="s">
        <v>105</v>
      </c>
      <c r="K1298" s="146"/>
      <c r="M1298" s="139"/>
    </row>
    <row r="1299" spans="1:15" ht="12" customHeight="1" thickBot="1"/>
    <row r="1300" spans="1:15" ht="15.75" thickBot="1">
      <c r="A1300" s="891" t="s">
        <v>106</v>
      </c>
      <c r="B1300" s="892"/>
      <c r="C1300" s="892"/>
      <c r="D1300" s="893"/>
      <c r="F1300" s="50" t="s">
        <v>288</v>
      </c>
      <c r="H1300" s="891" t="s">
        <v>106</v>
      </c>
      <c r="I1300" s="892"/>
      <c r="J1300" s="892"/>
      <c r="K1300" s="893"/>
      <c r="M1300" s="50" t="s">
        <v>288</v>
      </c>
    </row>
    <row r="1301" spans="1:15" ht="30.75" thickBot="1">
      <c r="A1301" s="57" t="s">
        <v>100</v>
      </c>
      <c r="B1301" s="58" t="s">
        <v>108</v>
      </c>
      <c r="C1301" s="59" t="s">
        <v>109</v>
      </c>
      <c r="D1301" s="60" t="s">
        <v>110</v>
      </c>
      <c r="H1301" s="57" t="s">
        <v>100</v>
      </c>
      <c r="I1301" s="58" t="s">
        <v>108</v>
      </c>
      <c r="J1301" s="59" t="s">
        <v>109</v>
      </c>
      <c r="K1301" s="60" t="s">
        <v>110</v>
      </c>
    </row>
    <row r="1302" spans="1:15" ht="12.75" customHeight="1">
      <c r="A1302" s="71">
        <v>719</v>
      </c>
      <c r="B1302" s="73" t="e">
        <f>+#REF!+#REF!+#REF!+#REF!+#REF!</f>
        <v>#REF!</v>
      </c>
      <c r="C1302" s="74" t="e">
        <f>+D1265</f>
        <v>#REF!</v>
      </c>
      <c r="D1302" s="195" t="e">
        <f>+B1302+C1302</f>
        <v>#REF!</v>
      </c>
      <c r="H1302" s="71">
        <v>719</v>
      </c>
      <c r="I1302" s="73">
        <f>+O1282+O1284+O1286+O1288+O1290</f>
        <v>380000</v>
      </c>
      <c r="J1302" s="74">
        <f>+K1265</f>
        <v>12960000</v>
      </c>
      <c r="K1302" s="195">
        <f>+I1302+J1302</f>
        <v>13340000</v>
      </c>
    </row>
    <row r="1303" spans="1:15" ht="13.5" customHeight="1">
      <c r="A1303" s="72">
        <v>721</v>
      </c>
      <c r="B1303" s="80" t="e">
        <f>(+#REF!+#REF!+#REF!+#REF!+#REF!)</f>
        <v>#REF!</v>
      </c>
      <c r="C1303" s="74" t="e">
        <f>+D1266</f>
        <v>#REF!</v>
      </c>
      <c r="D1303" s="195" t="e">
        <f>+B1303+C1303</f>
        <v>#REF!</v>
      </c>
      <c r="H1303" s="72">
        <v>721</v>
      </c>
      <c r="I1303" s="80">
        <v>0</v>
      </c>
      <c r="J1303" s="74">
        <f>+K1266</f>
        <v>79539481</v>
      </c>
      <c r="K1303" s="195">
        <f>+I1303+J1303</f>
        <v>79539481</v>
      </c>
    </row>
    <row r="1304" spans="1:15" ht="14.25" customHeight="1">
      <c r="A1304" s="72">
        <v>722</v>
      </c>
      <c r="B1304" s="80"/>
      <c r="C1304" s="74" t="e">
        <f>+D1267</f>
        <v>#REF!</v>
      </c>
      <c r="D1304" s="195" t="e">
        <f>+B1304+C1304</f>
        <v>#REF!</v>
      </c>
      <c r="H1304" s="72">
        <v>722</v>
      </c>
      <c r="I1304" s="80"/>
      <c r="J1304" s="74">
        <f>+K1267</f>
        <v>0</v>
      </c>
      <c r="K1304" s="195">
        <f>+I1304+J1304</f>
        <v>0</v>
      </c>
    </row>
    <row r="1305" spans="1:15" ht="15.75">
      <c r="A1305" s="72">
        <v>723</v>
      </c>
      <c r="B1305" s="80"/>
      <c r="C1305" s="74" t="e">
        <f>+D1268</f>
        <v>#REF!</v>
      </c>
      <c r="D1305" s="195" t="e">
        <f>+B1305+C1305</f>
        <v>#REF!</v>
      </c>
      <c r="F1305" s="174" t="s">
        <v>23</v>
      </c>
      <c r="G1305" s="175"/>
      <c r="H1305" s="72">
        <v>723</v>
      </c>
      <c r="I1305" s="80">
        <f>+O1291+O1289+O1287+O1285+O1283</f>
        <v>0</v>
      </c>
      <c r="J1305" s="74">
        <f>+K1268</f>
        <v>6812500</v>
      </c>
      <c r="K1305" s="195">
        <f>+I1305+J1305</f>
        <v>6812500</v>
      </c>
      <c r="M1305" s="918" t="s">
        <v>1481</v>
      </c>
      <c r="N1305" s="918"/>
      <c r="O1305" s="918"/>
    </row>
    <row r="1306" spans="1:15" ht="13.5" customHeight="1" thickBot="1">
      <c r="A1306" s="164" t="s">
        <v>181</v>
      </c>
      <c r="B1306" s="165"/>
      <c r="C1306" s="74" t="e">
        <f>+D1269</f>
        <v>#REF!</v>
      </c>
      <c r="D1306" s="196" t="e">
        <f>+B1306+C1306</f>
        <v>#REF!</v>
      </c>
      <c r="F1306" s="52"/>
      <c r="H1306" s="164" t="s">
        <v>181</v>
      </c>
      <c r="I1306" s="165"/>
      <c r="J1306" s="74">
        <f>+K1269</f>
        <v>0</v>
      </c>
      <c r="K1306" s="196">
        <f>+I1306+J1306</f>
        <v>0</v>
      </c>
      <c r="M1306" s="52"/>
    </row>
    <row r="1307" spans="1:15" ht="16.5" thickBot="1">
      <c r="A1307" s="169"/>
      <c r="B1307" s="170" t="e">
        <f>SUM(B1302:B1306)</f>
        <v>#REF!</v>
      </c>
      <c r="C1307" s="171" t="e">
        <f>SUM(C1302:C1306)</f>
        <v>#REF!</v>
      </c>
      <c r="D1307" s="172" t="e">
        <f>SUM(D1302:D1306)</f>
        <v>#REF!</v>
      </c>
      <c r="H1307" s="169"/>
      <c r="I1307" s="197">
        <f>SUM(I1302:I1306)</f>
        <v>380000</v>
      </c>
      <c r="J1307" s="197">
        <f>SUM(J1302:J1306)</f>
        <v>99311981</v>
      </c>
      <c r="K1307" s="198">
        <f>SUM(K1302:K1306)</f>
        <v>99691981</v>
      </c>
    </row>
    <row r="1308" spans="1:15" ht="16.5">
      <c r="A1308" s="49" t="s">
        <v>88</v>
      </c>
      <c r="B1308" s="50"/>
      <c r="H1308" s="49" t="s">
        <v>88</v>
      </c>
      <c r="I1308" s="50"/>
    </row>
    <row r="1309" spans="1:15">
      <c r="A1309" s="51" t="s">
        <v>89</v>
      </c>
      <c r="H1309" s="51" t="s">
        <v>89</v>
      </c>
    </row>
    <row r="1310" spans="1:15">
      <c r="A1310" s="51" t="s">
        <v>90</v>
      </c>
      <c r="H1310" s="51" t="s">
        <v>90</v>
      </c>
    </row>
    <row r="1311" spans="1:15">
      <c r="A1311" s="51" t="s">
        <v>91</v>
      </c>
      <c r="H1311" s="51" t="s">
        <v>91</v>
      </c>
    </row>
    <row r="1312" spans="1:15" ht="12" customHeight="1">
      <c r="A1312" s="50"/>
      <c r="B1312" s="50"/>
      <c r="H1312" s="50"/>
      <c r="I1312" s="50"/>
    </row>
    <row r="1313" spans="1:15" ht="16.5">
      <c r="A1313" s="52" t="s">
        <v>507</v>
      </c>
      <c r="G1313" s="52"/>
      <c r="H1313" s="260" t="s">
        <v>209</v>
      </c>
      <c r="N1313" s="52"/>
    </row>
    <row r="1314" spans="1:15" ht="15.75">
      <c r="A1314" s="53" t="s">
        <v>92</v>
      </c>
      <c r="G1314" s="53"/>
      <c r="H1314" s="53" t="s">
        <v>1333</v>
      </c>
      <c r="N1314" s="53"/>
    </row>
    <row r="1315" spans="1:15" ht="16.5">
      <c r="A1315" s="894" t="s">
        <v>261</v>
      </c>
      <c r="B1315" s="894"/>
      <c r="C1315" s="894"/>
      <c r="D1315" s="894"/>
      <c r="E1315" s="894"/>
      <c r="F1315" s="894"/>
      <c r="G1315" s="894"/>
      <c r="H1315" s="894" t="s">
        <v>903</v>
      </c>
      <c r="I1315" s="894"/>
      <c r="J1315" s="894"/>
      <c r="K1315" s="894"/>
      <c r="L1315" s="894"/>
      <c r="M1315" s="894"/>
      <c r="N1315" s="894"/>
      <c r="O1315" s="894"/>
    </row>
    <row r="1316" spans="1:15" ht="15.75" thickBot="1"/>
    <row r="1317" spans="1:15">
      <c r="A1317" s="895" t="s">
        <v>94</v>
      </c>
      <c r="B1317" s="897" t="s">
        <v>95</v>
      </c>
      <c r="C1317" s="897" t="s">
        <v>96</v>
      </c>
      <c r="D1317" s="897" t="s">
        <v>3</v>
      </c>
      <c r="E1317" s="897" t="s">
        <v>97</v>
      </c>
      <c r="F1317" s="897" t="s">
        <v>98</v>
      </c>
      <c r="G1317" s="500" t="s">
        <v>99</v>
      </c>
      <c r="H1317" s="895" t="s">
        <v>94</v>
      </c>
      <c r="I1317" s="897" t="s">
        <v>95</v>
      </c>
      <c r="J1317" s="897" t="s">
        <v>96</v>
      </c>
      <c r="K1317" s="897" t="s">
        <v>3</v>
      </c>
      <c r="L1317" s="897" t="s">
        <v>97</v>
      </c>
      <c r="M1317" s="897" t="s">
        <v>98</v>
      </c>
      <c r="N1317" s="897" t="s">
        <v>99</v>
      </c>
      <c r="O1317" s="899"/>
    </row>
    <row r="1318" spans="1:15" ht="15.75" thickBot="1">
      <c r="A1318" s="896"/>
      <c r="B1318" s="898"/>
      <c r="C1318" s="898"/>
      <c r="D1318" s="898"/>
      <c r="E1318" s="898"/>
      <c r="F1318" s="898"/>
      <c r="G1318" s="240" t="s">
        <v>100</v>
      </c>
      <c r="H1318" s="896"/>
      <c r="I1318" s="898"/>
      <c r="J1318" s="898"/>
      <c r="K1318" s="898"/>
      <c r="L1318" s="898"/>
      <c r="M1318" s="898"/>
      <c r="N1318" s="240" t="s">
        <v>100</v>
      </c>
      <c r="O1318" s="182" t="s">
        <v>101</v>
      </c>
    </row>
    <row r="1319" spans="1:15" ht="13.5" customHeight="1">
      <c r="A1319" s="919" t="e">
        <f>+A1290+1</f>
        <v>#REF!</v>
      </c>
      <c r="B1319" s="875">
        <v>42364</v>
      </c>
      <c r="C1319" s="877" t="s">
        <v>267</v>
      </c>
      <c r="D1319" s="877" t="s">
        <v>509</v>
      </c>
      <c r="E1319" s="881" t="s">
        <v>148</v>
      </c>
      <c r="F1319" s="883">
        <v>112000</v>
      </c>
      <c r="G1319" s="55">
        <v>719</v>
      </c>
      <c r="H1319" s="873" t="s">
        <v>1589</v>
      </c>
      <c r="I1319" s="875">
        <v>43088</v>
      </c>
      <c r="J1319" s="877" t="s">
        <v>472</v>
      </c>
      <c r="K1319" s="881" t="s">
        <v>1522</v>
      </c>
      <c r="L1319" s="881" t="s">
        <v>148</v>
      </c>
      <c r="M1319" s="883">
        <v>325000</v>
      </c>
      <c r="N1319" s="55">
        <v>719</v>
      </c>
      <c r="O1319" s="78">
        <v>250000</v>
      </c>
    </row>
    <row r="1320" spans="1:15" ht="12.75" customHeight="1" thickBot="1">
      <c r="A1320" s="920"/>
      <c r="B1320" s="876"/>
      <c r="C1320" s="878"/>
      <c r="D1320" s="878"/>
      <c r="E1320" s="882"/>
      <c r="F1320" s="884"/>
      <c r="G1320" s="56">
        <v>721</v>
      </c>
      <c r="H1320" s="874"/>
      <c r="I1320" s="876"/>
      <c r="J1320" s="878"/>
      <c r="K1320" s="882"/>
      <c r="L1320" s="882"/>
      <c r="M1320" s="884"/>
      <c r="N1320" s="56">
        <v>723</v>
      </c>
      <c r="O1320" s="79">
        <f>+M1319-O1319</f>
        <v>75000</v>
      </c>
    </row>
    <row r="1321" spans="1:15" ht="12" customHeight="1">
      <c r="A1321" s="919" t="e">
        <f>+A1319+1</f>
        <v>#REF!</v>
      </c>
      <c r="B1321" s="875">
        <v>42364</v>
      </c>
      <c r="C1321" s="881" t="s">
        <v>28</v>
      </c>
      <c r="D1321" s="877" t="s">
        <v>510</v>
      </c>
      <c r="E1321" s="881" t="s">
        <v>148</v>
      </c>
      <c r="F1321" s="883">
        <v>238000</v>
      </c>
      <c r="G1321" s="55">
        <v>719</v>
      </c>
      <c r="H1321" s="881">
        <f>+H1319+1</f>
        <v>164</v>
      </c>
      <c r="I1321" s="875">
        <v>43088</v>
      </c>
      <c r="J1321" s="877" t="s">
        <v>472</v>
      </c>
      <c r="K1321" s="881" t="s">
        <v>1590</v>
      </c>
      <c r="L1321" s="881" t="s">
        <v>148</v>
      </c>
      <c r="M1321" s="883">
        <v>312000</v>
      </c>
      <c r="N1321" s="55">
        <v>719</v>
      </c>
      <c r="O1321" s="78">
        <v>240000</v>
      </c>
    </row>
    <row r="1322" spans="1:15" ht="13.5" customHeight="1" thickBot="1">
      <c r="A1322" s="920"/>
      <c r="B1322" s="876"/>
      <c r="C1322" s="882"/>
      <c r="D1322" s="878"/>
      <c r="E1322" s="882"/>
      <c r="F1322" s="884"/>
      <c r="G1322" s="56">
        <v>721</v>
      </c>
      <c r="H1322" s="882"/>
      <c r="I1322" s="876"/>
      <c r="J1322" s="878"/>
      <c r="K1322" s="882"/>
      <c r="L1322" s="882"/>
      <c r="M1322" s="884"/>
      <c r="N1322" s="56">
        <v>723</v>
      </c>
      <c r="O1322" s="79">
        <f>+M1321-O1321</f>
        <v>72000</v>
      </c>
    </row>
    <row r="1323" spans="1:15" ht="12.75" customHeight="1">
      <c r="A1323" s="919" t="e">
        <f>+A1321+1</f>
        <v>#REF!</v>
      </c>
      <c r="B1323" s="875">
        <v>42364</v>
      </c>
      <c r="C1323" s="877" t="s">
        <v>32</v>
      </c>
      <c r="D1323" s="877" t="s">
        <v>510</v>
      </c>
      <c r="E1323" s="881" t="s">
        <v>148</v>
      </c>
      <c r="F1323" s="883">
        <v>112000</v>
      </c>
      <c r="G1323" s="55">
        <v>719</v>
      </c>
      <c r="H1323" s="881">
        <f>+H1321+1</f>
        <v>165</v>
      </c>
      <c r="I1323" s="875">
        <v>43088</v>
      </c>
      <c r="J1323" s="877" t="s">
        <v>472</v>
      </c>
      <c r="K1323" s="881" t="s">
        <v>1507</v>
      </c>
      <c r="L1323" s="881" t="s">
        <v>148</v>
      </c>
      <c r="M1323" s="883">
        <v>247000</v>
      </c>
      <c r="N1323" s="55">
        <v>719</v>
      </c>
      <c r="O1323" s="78">
        <v>190000</v>
      </c>
    </row>
    <row r="1324" spans="1:15" ht="12.75" customHeight="1" thickBot="1">
      <c r="A1324" s="920"/>
      <c r="B1324" s="876"/>
      <c r="C1324" s="878"/>
      <c r="D1324" s="878"/>
      <c r="E1324" s="882"/>
      <c r="F1324" s="884"/>
      <c r="G1324" s="56">
        <v>721</v>
      </c>
      <c r="H1324" s="882"/>
      <c r="I1324" s="876"/>
      <c r="J1324" s="878"/>
      <c r="K1324" s="882"/>
      <c r="L1324" s="882"/>
      <c r="M1324" s="884"/>
      <c r="N1324" s="56">
        <v>723</v>
      </c>
      <c r="O1324" s="79">
        <f>+M1323-O1323</f>
        <v>57000</v>
      </c>
    </row>
    <row r="1325" spans="1:15" ht="13.5" customHeight="1">
      <c r="A1325" s="919" t="e">
        <f>+A1323+1</f>
        <v>#REF!</v>
      </c>
      <c r="B1325" s="875">
        <v>42364</v>
      </c>
      <c r="C1325" s="877" t="s">
        <v>111</v>
      </c>
      <c r="D1325" s="877" t="s">
        <v>511</v>
      </c>
      <c r="E1325" s="881" t="s">
        <v>148</v>
      </c>
      <c r="F1325" s="883">
        <v>112000</v>
      </c>
      <c r="G1325" s="55">
        <v>719</v>
      </c>
      <c r="H1325" s="881">
        <f>+H1323+1</f>
        <v>166</v>
      </c>
      <c r="I1325" s="875">
        <v>43088</v>
      </c>
      <c r="J1325" s="877" t="s">
        <v>472</v>
      </c>
      <c r="K1325" s="881" t="s">
        <v>1506</v>
      </c>
      <c r="L1325" s="881" t="s">
        <v>148</v>
      </c>
      <c r="M1325" s="883">
        <v>208000</v>
      </c>
      <c r="N1325" s="55">
        <v>719</v>
      </c>
      <c r="O1325" s="78">
        <v>160000</v>
      </c>
    </row>
    <row r="1326" spans="1:15" ht="13.5" customHeight="1" thickBot="1">
      <c r="A1326" s="920"/>
      <c r="B1326" s="876"/>
      <c r="C1326" s="878"/>
      <c r="D1326" s="878"/>
      <c r="E1326" s="882"/>
      <c r="F1326" s="884"/>
      <c r="G1326" s="56">
        <v>721</v>
      </c>
      <c r="H1326" s="882"/>
      <c r="I1326" s="876"/>
      <c r="J1326" s="878"/>
      <c r="K1326" s="882"/>
      <c r="L1326" s="882"/>
      <c r="M1326" s="884"/>
      <c r="N1326" s="56">
        <v>723</v>
      </c>
      <c r="O1326" s="79">
        <f>+M1325-O1325</f>
        <v>48000</v>
      </c>
    </row>
    <row r="1327" spans="1:15" ht="12.75" customHeight="1">
      <c r="A1327" s="919" t="e">
        <f>+A1325+1</f>
        <v>#REF!</v>
      </c>
      <c r="B1327" s="875">
        <v>42364</v>
      </c>
      <c r="C1327" s="877" t="s">
        <v>272</v>
      </c>
      <c r="D1327" s="877" t="s">
        <v>510</v>
      </c>
      <c r="E1327" s="881" t="s">
        <v>148</v>
      </c>
      <c r="F1327" s="883">
        <v>616000</v>
      </c>
      <c r="G1327" s="55">
        <v>719</v>
      </c>
      <c r="H1327" s="881">
        <f>+H1325+1</f>
        <v>167</v>
      </c>
      <c r="I1327" s="875">
        <v>43088</v>
      </c>
      <c r="J1327" s="877" t="s">
        <v>472</v>
      </c>
      <c r="K1327" s="881" t="s">
        <v>1510</v>
      </c>
      <c r="L1327" s="881" t="s">
        <v>148</v>
      </c>
      <c r="M1327" s="883">
        <v>234000</v>
      </c>
      <c r="N1327" s="55">
        <v>719</v>
      </c>
      <c r="O1327" s="78">
        <v>180000</v>
      </c>
    </row>
    <row r="1328" spans="1:15" ht="12.75" customHeight="1" thickBot="1">
      <c r="A1328" s="920"/>
      <c r="B1328" s="876"/>
      <c r="C1328" s="878"/>
      <c r="D1328" s="878"/>
      <c r="E1328" s="882"/>
      <c r="F1328" s="884"/>
      <c r="G1328" s="56">
        <v>721</v>
      </c>
      <c r="H1328" s="882"/>
      <c r="I1328" s="876"/>
      <c r="J1328" s="878"/>
      <c r="K1328" s="882"/>
      <c r="L1328" s="882"/>
      <c r="M1328" s="884"/>
      <c r="N1328" s="56">
        <v>723</v>
      </c>
      <c r="O1328" s="79">
        <f>+M1327-O1327</f>
        <v>54000</v>
      </c>
    </row>
    <row r="1329" spans="1:15" ht="16.5" thickBot="1">
      <c r="A1329" s="901" t="s">
        <v>102</v>
      </c>
      <c r="B1329" s="902"/>
      <c r="C1329" s="902"/>
      <c r="D1329" s="902"/>
      <c r="E1329" s="903"/>
      <c r="F1329" s="81">
        <f>SUM(F1319:F1328)</f>
        <v>1190000</v>
      </c>
      <c r="H1329" s="901" t="s">
        <v>102</v>
      </c>
      <c r="I1329" s="902"/>
      <c r="J1329" s="902"/>
      <c r="K1329" s="902"/>
      <c r="L1329" s="903"/>
      <c r="M1329" s="81">
        <f>SUM(M1319:M1328)</f>
        <v>1326000</v>
      </c>
    </row>
    <row r="1330" spans="1:15" ht="16.5" thickBot="1">
      <c r="A1330" s="885" t="s">
        <v>103</v>
      </c>
      <c r="B1330" s="886"/>
      <c r="C1330" s="886"/>
      <c r="D1330" s="886"/>
      <c r="E1330" s="887"/>
      <c r="F1330" s="69" t="e">
        <f>+F1294</f>
        <v>#REF!</v>
      </c>
      <c r="H1330" s="885" t="s">
        <v>103</v>
      </c>
      <c r="I1330" s="886"/>
      <c r="J1330" s="886"/>
      <c r="K1330" s="886"/>
      <c r="L1330" s="887"/>
      <c r="M1330" s="69">
        <f>+M1294</f>
        <v>99691981</v>
      </c>
      <c r="N1330" s="241" t="s">
        <v>561</v>
      </c>
      <c r="O1330" s="242">
        <f>426+320+398+660+676</f>
        <v>2480</v>
      </c>
    </row>
    <row r="1331" spans="1:15" ht="16.5" thickBot="1">
      <c r="A1331" s="888" t="s">
        <v>104</v>
      </c>
      <c r="B1331" s="889"/>
      <c r="C1331" s="889"/>
      <c r="D1331" s="889"/>
      <c r="E1331" s="890"/>
      <c r="F1331" s="183" t="e">
        <f>SUM(F1329:F1330)</f>
        <v>#REF!</v>
      </c>
      <c r="H1331" s="888" t="s">
        <v>104</v>
      </c>
      <c r="I1331" s="889"/>
      <c r="J1331" s="889"/>
      <c r="K1331" s="889"/>
      <c r="L1331" s="890"/>
      <c r="M1331" s="183">
        <f>SUM(M1329:M1330)</f>
        <v>101017981</v>
      </c>
    </row>
    <row r="1332" spans="1:15">
      <c r="A1332" s="61"/>
      <c r="B1332" s="61"/>
      <c r="C1332" s="61"/>
      <c r="D1332" s="61"/>
      <c r="E1332" s="61"/>
      <c r="H1332" s="61"/>
      <c r="I1332" s="61"/>
      <c r="J1332" s="61"/>
      <c r="K1332" s="61"/>
      <c r="L1332" s="61"/>
    </row>
    <row r="1333" spans="1:15">
      <c r="A1333" s="51" t="s">
        <v>512</v>
      </c>
      <c r="H1333" s="51" t="s">
        <v>1598</v>
      </c>
    </row>
    <row r="1334" spans="1:15" ht="9.75" customHeight="1">
      <c r="F1334" s="139"/>
      <c r="M1334" s="139"/>
    </row>
    <row r="1335" spans="1:15">
      <c r="A1335" s="50" t="s">
        <v>105</v>
      </c>
      <c r="D1335" s="146"/>
      <c r="F1335" s="139"/>
      <c r="H1335" s="50" t="s">
        <v>105</v>
      </c>
      <c r="K1335" s="146"/>
      <c r="M1335" s="139"/>
    </row>
    <row r="1336" spans="1:15" ht="10.5" customHeight="1" thickBot="1"/>
    <row r="1337" spans="1:15" ht="15.75" thickBot="1">
      <c r="A1337" s="891" t="s">
        <v>106</v>
      </c>
      <c r="B1337" s="892"/>
      <c r="C1337" s="892"/>
      <c r="D1337" s="893"/>
      <c r="F1337" s="50" t="s">
        <v>288</v>
      </c>
      <c r="H1337" s="891" t="s">
        <v>106</v>
      </c>
      <c r="I1337" s="892"/>
      <c r="J1337" s="892"/>
      <c r="K1337" s="893"/>
      <c r="M1337" s="50" t="s">
        <v>288</v>
      </c>
    </row>
    <row r="1338" spans="1:15" ht="30.75" thickBot="1">
      <c r="A1338" s="57" t="s">
        <v>100</v>
      </c>
      <c r="B1338" s="58" t="s">
        <v>108</v>
      </c>
      <c r="C1338" s="59" t="s">
        <v>109</v>
      </c>
      <c r="D1338" s="60" t="s">
        <v>110</v>
      </c>
      <c r="H1338" s="57" t="s">
        <v>100</v>
      </c>
      <c r="I1338" s="58" t="s">
        <v>108</v>
      </c>
      <c r="J1338" s="59" t="s">
        <v>109</v>
      </c>
      <c r="K1338" s="60" t="s">
        <v>110</v>
      </c>
    </row>
    <row r="1339" spans="1:15">
      <c r="A1339" s="71">
        <v>719</v>
      </c>
      <c r="B1339" s="73" t="e">
        <f>+#REF!+#REF!+#REF!+#REF!+#REF!</f>
        <v>#REF!</v>
      </c>
      <c r="C1339" s="74" t="e">
        <f>+D1302</f>
        <v>#REF!</v>
      </c>
      <c r="D1339" s="195" t="e">
        <f>+B1339+C1339</f>
        <v>#REF!</v>
      </c>
      <c r="H1339" s="71">
        <v>719</v>
      </c>
      <c r="I1339" s="73">
        <f>+O1319+O1321+O1323+O1325+O1327</f>
        <v>1020000</v>
      </c>
      <c r="J1339" s="74">
        <f>+K1302</f>
        <v>13340000</v>
      </c>
      <c r="K1339" s="195">
        <f>+I1339+J1339</f>
        <v>14360000</v>
      </c>
    </row>
    <row r="1340" spans="1:15">
      <c r="A1340" s="72">
        <v>721</v>
      </c>
      <c r="B1340" s="80" t="e">
        <f>(+#REF!+#REF!+#REF!+#REF!+#REF!)</f>
        <v>#REF!</v>
      </c>
      <c r="C1340" s="74" t="e">
        <f>+D1303</f>
        <v>#REF!</v>
      </c>
      <c r="D1340" s="195" t="e">
        <f>+B1340+C1340</f>
        <v>#REF!</v>
      </c>
      <c r="H1340" s="72">
        <v>721</v>
      </c>
      <c r="I1340" s="80">
        <f>+O1320+O1322+O1324+O1326+O1328</f>
        <v>306000</v>
      </c>
      <c r="J1340" s="74">
        <f>+K1303</f>
        <v>79539481</v>
      </c>
      <c r="K1340" s="195">
        <f>+I1340+J1340</f>
        <v>79845481</v>
      </c>
    </row>
    <row r="1341" spans="1:15" ht="13.5" customHeight="1">
      <c r="A1341" s="72">
        <v>722</v>
      </c>
      <c r="B1341" s="80"/>
      <c r="C1341" s="74" t="e">
        <f>+D1304</f>
        <v>#REF!</v>
      </c>
      <c r="D1341" s="195" t="e">
        <f>+B1341+C1341</f>
        <v>#REF!</v>
      </c>
      <c r="H1341" s="72">
        <v>722</v>
      </c>
      <c r="I1341" s="80"/>
      <c r="J1341" s="74">
        <f>+K1304</f>
        <v>0</v>
      </c>
      <c r="K1341" s="195">
        <f>+I1341+J1341</f>
        <v>0</v>
      </c>
    </row>
    <row r="1342" spans="1:15" ht="15.75">
      <c r="A1342" s="72">
        <v>723</v>
      </c>
      <c r="B1342" s="80"/>
      <c r="C1342" s="74" t="e">
        <f>+D1305</f>
        <v>#REF!</v>
      </c>
      <c r="D1342" s="195" t="e">
        <f>+B1342+C1342</f>
        <v>#REF!</v>
      </c>
      <c r="F1342" s="174" t="s">
        <v>23</v>
      </c>
      <c r="G1342" s="175"/>
      <c r="H1342" s="72">
        <v>723</v>
      </c>
      <c r="I1342" s="80"/>
      <c r="J1342" s="74">
        <f>+K1305</f>
        <v>6812500</v>
      </c>
      <c r="K1342" s="195">
        <f>+I1342+J1342</f>
        <v>6812500</v>
      </c>
      <c r="M1342" s="918" t="s">
        <v>1481</v>
      </c>
      <c r="N1342" s="918"/>
      <c r="O1342" s="918"/>
    </row>
    <row r="1343" spans="1:15" ht="15" customHeight="1" thickBot="1">
      <c r="A1343" s="164" t="s">
        <v>181</v>
      </c>
      <c r="B1343" s="165"/>
      <c r="C1343" s="74" t="e">
        <f>+D1306</f>
        <v>#REF!</v>
      </c>
      <c r="D1343" s="196" t="e">
        <f>+B1343+C1343</f>
        <v>#REF!</v>
      </c>
      <c r="F1343" s="52"/>
      <c r="H1343" s="164" t="s">
        <v>181</v>
      </c>
      <c r="I1343" s="165"/>
      <c r="J1343" s="74">
        <f>+K1306</f>
        <v>0</v>
      </c>
      <c r="K1343" s="196">
        <f>+I1343+J1343</f>
        <v>0</v>
      </c>
      <c r="M1343" s="52"/>
    </row>
    <row r="1344" spans="1:15" ht="16.5" thickBot="1">
      <c r="A1344" s="169"/>
      <c r="B1344" s="170" t="e">
        <f>SUM(B1339:B1343)</f>
        <v>#REF!</v>
      </c>
      <c r="C1344" s="171" t="e">
        <f>SUM(C1339:C1343)</f>
        <v>#REF!</v>
      </c>
      <c r="D1344" s="172" t="e">
        <f>SUM(D1339:D1343)</f>
        <v>#REF!</v>
      </c>
      <c r="H1344" s="169"/>
      <c r="I1344" s="197">
        <f>SUM(I1339:I1343)</f>
        <v>1326000</v>
      </c>
      <c r="J1344" s="197">
        <f>SUM(J1339:J1343)</f>
        <v>99691981</v>
      </c>
      <c r="K1344" s="198">
        <f>SUM(K1339:K1343)</f>
        <v>101017981</v>
      </c>
    </row>
    <row r="1345" spans="1:15" ht="16.5">
      <c r="A1345" s="49" t="s">
        <v>88</v>
      </c>
      <c r="B1345" s="50"/>
      <c r="H1345" s="49" t="s">
        <v>88</v>
      </c>
      <c r="I1345" s="50"/>
    </row>
    <row r="1346" spans="1:15">
      <c r="A1346" s="51" t="s">
        <v>89</v>
      </c>
      <c r="H1346" s="51" t="s">
        <v>89</v>
      </c>
    </row>
    <row r="1347" spans="1:15">
      <c r="A1347" s="51" t="s">
        <v>90</v>
      </c>
      <c r="H1347" s="51" t="s">
        <v>90</v>
      </c>
    </row>
    <row r="1348" spans="1:15">
      <c r="A1348" s="51" t="s">
        <v>91</v>
      </c>
      <c r="H1348" s="51" t="s">
        <v>91</v>
      </c>
    </row>
    <row r="1349" spans="1:15" ht="9.75" customHeight="1">
      <c r="A1349" s="50"/>
      <c r="B1349" s="50"/>
      <c r="H1349" s="50"/>
      <c r="I1349" s="50"/>
    </row>
    <row r="1350" spans="1:15" ht="16.5">
      <c r="A1350" s="52" t="s">
        <v>508</v>
      </c>
      <c r="G1350" s="52"/>
      <c r="H1350" s="260" t="s">
        <v>898</v>
      </c>
      <c r="N1350" s="52"/>
    </row>
    <row r="1351" spans="1:15" ht="14.25" customHeight="1">
      <c r="A1351" s="53" t="s">
        <v>92</v>
      </c>
      <c r="G1351" s="53"/>
      <c r="H1351" s="53" t="s">
        <v>1333</v>
      </c>
      <c r="N1351" s="53"/>
    </row>
    <row r="1352" spans="1:15" ht="16.5">
      <c r="A1352" s="894" t="s">
        <v>261</v>
      </c>
      <c r="B1352" s="894"/>
      <c r="C1352" s="894"/>
      <c r="D1352" s="894"/>
      <c r="E1352" s="894"/>
      <c r="F1352" s="894"/>
      <c r="G1352" s="894"/>
      <c r="H1352" s="894" t="s">
        <v>903</v>
      </c>
      <c r="I1352" s="894"/>
      <c r="J1352" s="894"/>
      <c r="K1352" s="894"/>
      <c r="L1352" s="894"/>
      <c r="M1352" s="894"/>
      <c r="N1352" s="894"/>
      <c r="O1352" s="894"/>
    </row>
    <row r="1353" spans="1:15" ht="13.5" customHeight="1" thickBot="1"/>
    <row r="1354" spans="1:15">
      <c r="A1354" s="895" t="s">
        <v>94</v>
      </c>
      <c r="B1354" s="897" t="s">
        <v>95</v>
      </c>
      <c r="C1354" s="897" t="s">
        <v>96</v>
      </c>
      <c r="D1354" s="897" t="s">
        <v>3</v>
      </c>
      <c r="E1354" s="897" t="s">
        <v>97</v>
      </c>
      <c r="F1354" s="897" t="s">
        <v>98</v>
      </c>
      <c r="G1354" s="500" t="s">
        <v>99</v>
      </c>
      <c r="H1354" s="895" t="s">
        <v>94</v>
      </c>
      <c r="I1354" s="897" t="s">
        <v>95</v>
      </c>
      <c r="J1354" s="897" t="s">
        <v>96</v>
      </c>
      <c r="K1354" s="897" t="s">
        <v>3</v>
      </c>
      <c r="L1354" s="897" t="s">
        <v>97</v>
      </c>
      <c r="M1354" s="897" t="s">
        <v>98</v>
      </c>
      <c r="N1354" s="897" t="s">
        <v>99</v>
      </c>
      <c r="O1354" s="899"/>
    </row>
    <row r="1355" spans="1:15" ht="15.75" thickBot="1">
      <c r="A1355" s="896"/>
      <c r="B1355" s="898"/>
      <c r="C1355" s="898"/>
      <c r="D1355" s="898"/>
      <c r="E1355" s="898"/>
      <c r="F1355" s="898"/>
      <c r="G1355" s="240" t="s">
        <v>100</v>
      </c>
      <c r="H1355" s="896"/>
      <c r="I1355" s="898"/>
      <c r="J1355" s="898"/>
      <c r="K1355" s="898"/>
      <c r="L1355" s="898"/>
      <c r="M1355" s="898"/>
      <c r="N1355" s="240" t="s">
        <v>100</v>
      </c>
      <c r="O1355" s="182" t="s">
        <v>101</v>
      </c>
    </row>
    <row r="1356" spans="1:15" ht="12.75" customHeight="1">
      <c r="A1356" s="919" t="e">
        <f>+A1327+1</f>
        <v>#REF!</v>
      </c>
      <c r="B1356" s="875">
        <v>42364</v>
      </c>
      <c r="C1356" s="877" t="s">
        <v>31</v>
      </c>
      <c r="D1356" s="877" t="s">
        <v>513</v>
      </c>
      <c r="E1356" s="881" t="s">
        <v>115</v>
      </c>
      <c r="F1356" s="883">
        <v>100000</v>
      </c>
      <c r="G1356" s="55">
        <v>719</v>
      </c>
      <c r="H1356" s="873" t="s">
        <v>1591</v>
      </c>
      <c r="I1356" s="875">
        <v>42723</v>
      </c>
      <c r="J1356" s="877" t="s">
        <v>28</v>
      </c>
      <c r="K1356" s="881" t="s">
        <v>1592</v>
      </c>
      <c r="L1356" s="881" t="s">
        <v>775</v>
      </c>
      <c r="M1356" s="883">
        <v>230000</v>
      </c>
      <c r="N1356" s="55">
        <v>719</v>
      </c>
      <c r="O1356" s="78">
        <v>230000</v>
      </c>
    </row>
    <row r="1357" spans="1:15" ht="13.5" customHeight="1" thickBot="1">
      <c r="A1357" s="920"/>
      <c r="B1357" s="876"/>
      <c r="C1357" s="878"/>
      <c r="D1357" s="878"/>
      <c r="E1357" s="882"/>
      <c r="F1357" s="884"/>
      <c r="G1357" s="56">
        <v>721</v>
      </c>
      <c r="H1357" s="874"/>
      <c r="I1357" s="876"/>
      <c r="J1357" s="878"/>
      <c r="K1357" s="882"/>
      <c r="L1357" s="882"/>
      <c r="M1357" s="884"/>
      <c r="N1357" s="56">
        <v>723</v>
      </c>
      <c r="O1357" s="79">
        <f>+M1356-O1356</f>
        <v>0</v>
      </c>
    </row>
    <row r="1358" spans="1:15" ht="15" customHeight="1">
      <c r="A1358" s="919" t="e">
        <f>+A1356+1</f>
        <v>#REF!</v>
      </c>
      <c r="B1358" s="875">
        <v>42364</v>
      </c>
      <c r="C1358" s="877" t="s">
        <v>472</v>
      </c>
      <c r="D1358" s="877" t="s">
        <v>517</v>
      </c>
      <c r="E1358" s="881" t="s">
        <v>115</v>
      </c>
      <c r="F1358" s="883">
        <v>40000</v>
      </c>
      <c r="G1358" s="55">
        <v>719</v>
      </c>
      <c r="H1358" s="881">
        <f>+H1356+1</f>
        <v>169</v>
      </c>
      <c r="I1358" s="875">
        <v>42723</v>
      </c>
      <c r="J1358" s="877" t="s">
        <v>28</v>
      </c>
      <c r="K1358" s="881" t="s">
        <v>1516</v>
      </c>
      <c r="L1358" s="881" t="s">
        <v>775</v>
      </c>
      <c r="M1358" s="883">
        <v>90000</v>
      </c>
      <c r="N1358" s="55">
        <v>719</v>
      </c>
      <c r="O1358" s="78">
        <v>90000</v>
      </c>
    </row>
    <row r="1359" spans="1:15" ht="13.5" customHeight="1" thickBot="1">
      <c r="A1359" s="920"/>
      <c r="B1359" s="876"/>
      <c r="C1359" s="878"/>
      <c r="D1359" s="878"/>
      <c r="E1359" s="882"/>
      <c r="F1359" s="884"/>
      <c r="G1359" s="56">
        <v>721</v>
      </c>
      <c r="H1359" s="882"/>
      <c r="I1359" s="876"/>
      <c r="J1359" s="878"/>
      <c r="K1359" s="882"/>
      <c r="L1359" s="882"/>
      <c r="M1359" s="884"/>
      <c r="N1359" s="56">
        <v>723</v>
      </c>
      <c r="O1359" s="79">
        <f>+M1358-O1358</f>
        <v>0</v>
      </c>
    </row>
    <row r="1360" spans="1:15" ht="14.25" customHeight="1">
      <c r="A1360" s="919" t="e">
        <f>+A1358+1</f>
        <v>#REF!</v>
      </c>
      <c r="B1360" s="875">
        <v>42364</v>
      </c>
      <c r="C1360" s="877" t="s">
        <v>32</v>
      </c>
      <c r="D1360" s="877" t="s">
        <v>518</v>
      </c>
      <c r="E1360" s="881" t="s">
        <v>115</v>
      </c>
      <c r="F1360" s="883">
        <v>40000</v>
      </c>
      <c r="G1360" s="55">
        <v>719</v>
      </c>
      <c r="H1360" s="881">
        <f>+H1358+1</f>
        <v>170</v>
      </c>
      <c r="I1360" s="875">
        <v>42723</v>
      </c>
      <c r="J1360" s="877" t="s">
        <v>28</v>
      </c>
      <c r="K1360" s="881" t="s">
        <v>1517</v>
      </c>
      <c r="L1360" s="881" t="s">
        <v>775</v>
      </c>
      <c r="M1360" s="883">
        <v>220000</v>
      </c>
      <c r="N1360" s="55">
        <v>719</v>
      </c>
      <c r="O1360" s="78">
        <v>220000</v>
      </c>
    </row>
    <row r="1361" spans="1:15" ht="13.5" customHeight="1" thickBot="1">
      <c r="A1361" s="920"/>
      <c r="B1361" s="876"/>
      <c r="C1361" s="878"/>
      <c r="D1361" s="878"/>
      <c r="E1361" s="882"/>
      <c r="F1361" s="884"/>
      <c r="G1361" s="56">
        <v>721</v>
      </c>
      <c r="H1361" s="882"/>
      <c r="I1361" s="876"/>
      <c r="J1361" s="878"/>
      <c r="K1361" s="882"/>
      <c r="L1361" s="882"/>
      <c r="M1361" s="884"/>
      <c r="N1361" s="56">
        <v>723</v>
      </c>
      <c r="O1361" s="79">
        <f>+M1360-O1360</f>
        <v>0</v>
      </c>
    </row>
    <row r="1362" spans="1:15" ht="15" customHeight="1">
      <c r="A1362" s="919" t="e">
        <f>+A1360+1</f>
        <v>#REF!</v>
      </c>
      <c r="B1362" s="875">
        <v>42364</v>
      </c>
      <c r="C1362" s="877" t="s">
        <v>120</v>
      </c>
      <c r="D1362" s="877" t="s">
        <v>519</v>
      </c>
      <c r="E1362" s="881" t="s">
        <v>115</v>
      </c>
      <c r="F1362" s="883">
        <v>20000</v>
      </c>
      <c r="G1362" s="55">
        <v>719</v>
      </c>
      <c r="H1362" s="881">
        <f>+H1360+1</f>
        <v>171</v>
      </c>
      <c r="I1362" s="875">
        <v>42723</v>
      </c>
      <c r="J1362" s="877" t="s">
        <v>28</v>
      </c>
      <c r="K1362" s="881" t="s">
        <v>1593</v>
      </c>
      <c r="L1362" s="881" t="s">
        <v>775</v>
      </c>
      <c r="M1362" s="883">
        <v>80000</v>
      </c>
      <c r="N1362" s="55">
        <v>719</v>
      </c>
      <c r="O1362" s="78">
        <v>80000</v>
      </c>
    </row>
    <row r="1363" spans="1:15" ht="12" customHeight="1" thickBot="1">
      <c r="A1363" s="920"/>
      <c r="B1363" s="876"/>
      <c r="C1363" s="878"/>
      <c r="D1363" s="878"/>
      <c r="E1363" s="882"/>
      <c r="F1363" s="884"/>
      <c r="G1363" s="56">
        <v>721</v>
      </c>
      <c r="H1363" s="882"/>
      <c r="I1363" s="876"/>
      <c r="J1363" s="878"/>
      <c r="K1363" s="882"/>
      <c r="L1363" s="882"/>
      <c r="M1363" s="884"/>
      <c r="N1363" s="56">
        <v>723</v>
      </c>
      <c r="O1363" s="79">
        <f>+M1362-O1362</f>
        <v>0</v>
      </c>
    </row>
    <row r="1364" spans="1:15" ht="14.25" customHeight="1">
      <c r="A1364" s="919" t="e">
        <f>+A1362+1</f>
        <v>#REF!</v>
      </c>
      <c r="B1364" s="875">
        <v>42364</v>
      </c>
      <c r="C1364" s="877" t="s">
        <v>31</v>
      </c>
      <c r="D1364" s="877" t="s">
        <v>514</v>
      </c>
      <c r="E1364" s="881" t="s">
        <v>115</v>
      </c>
      <c r="F1364" s="883">
        <v>50000</v>
      </c>
      <c r="G1364" s="55">
        <v>719</v>
      </c>
      <c r="H1364" s="881">
        <f>+H1362+1</f>
        <v>172</v>
      </c>
      <c r="I1364" s="875">
        <v>42723</v>
      </c>
      <c r="J1364" s="877" t="s">
        <v>120</v>
      </c>
      <c r="K1364" s="881" t="s">
        <v>1594</v>
      </c>
      <c r="L1364" s="881" t="s">
        <v>775</v>
      </c>
      <c r="M1364" s="883">
        <v>370000</v>
      </c>
      <c r="N1364" s="55">
        <v>719</v>
      </c>
      <c r="O1364" s="78">
        <v>370000</v>
      </c>
    </row>
    <row r="1365" spans="1:15" ht="12.75" customHeight="1" thickBot="1">
      <c r="A1365" s="920"/>
      <c r="B1365" s="876"/>
      <c r="C1365" s="878"/>
      <c r="D1365" s="878"/>
      <c r="E1365" s="882"/>
      <c r="F1365" s="884"/>
      <c r="G1365" s="56">
        <v>721</v>
      </c>
      <c r="H1365" s="882"/>
      <c r="I1365" s="876"/>
      <c r="J1365" s="878"/>
      <c r="K1365" s="882"/>
      <c r="L1365" s="882"/>
      <c r="M1365" s="884"/>
      <c r="N1365" s="56">
        <v>723</v>
      </c>
      <c r="O1365" s="79">
        <f>+M1364-O1364</f>
        <v>0</v>
      </c>
    </row>
    <row r="1366" spans="1:15" ht="14.25" customHeight="1" thickBot="1">
      <c r="A1366" s="919" t="e">
        <f>+A1364+1</f>
        <v>#REF!</v>
      </c>
      <c r="B1366" s="875">
        <v>42364</v>
      </c>
      <c r="C1366" s="877" t="s">
        <v>472</v>
      </c>
      <c r="D1366" s="877" t="s">
        <v>515</v>
      </c>
      <c r="E1366" s="881" t="s">
        <v>115</v>
      </c>
      <c r="F1366" s="883">
        <v>20000</v>
      </c>
      <c r="G1366" s="55">
        <v>719</v>
      </c>
      <c r="H1366" s="901" t="s">
        <v>102</v>
      </c>
      <c r="I1366" s="902"/>
      <c r="J1366" s="902"/>
      <c r="K1366" s="902"/>
      <c r="L1366" s="903"/>
      <c r="M1366" s="81">
        <f>SUM(M1356:M1365)</f>
        <v>990000</v>
      </c>
    </row>
    <row r="1367" spans="1:15" ht="14.25" customHeight="1" thickBot="1">
      <c r="A1367" s="920"/>
      <c r="B1367" s="876"/>
      <c r="C1367" s="878"/>
      <c r="D1367" s="878"/>
      <c r="E1367" s="882"/>
      <c r="F1367" s="884"/>
      <c r="G1367" s="56">
        <v>721</v>
      </c>
      <c r="H1367" s="885" t="s">
        <v>103</v>
      </c>
      <c r="I1367" s="886"/>
      <c r="J1367" s="886"/>
      <c r="K1367" s="886"/>
      <c r="L1367" s="887"/>
      <c r="M1367" s="69">
        <f>+M1331</f>
        <v>101017981</v>
      </c>
      <c r="N1367" s="241" t="s">
        <v>561</v>
      </c>
      <c r="O1367" s="242">
        <f>754+171+406+173+423</f>
        <v>1927</v>
      </c>
    </row>
    <row r="1368" spans="1:15" ht="16.5" thickBot="1">
      <c r="A1368" s="901" t="s">
        <v>102</v>
      </c>
      <c r="B1368" s="902"/>
      <c r="C1368" s="902"/>
      <c r="D1368" s="902"/>
      <c r="E1368" s="903"/>
      <c r="F1368" s="81">
        <f>SUM(F1356:F1367)</f>
        <v>270000</v>
      </c>
      <c r="H1368" s="888" t="s">
        <v>104</v>
      </c>
      <c r="I1368" s="889"/>
      <c r="J1368" s="889"/>
      <c r="K1368" s="889"/>
      <c r="L1368" s="890"/>
      <c r="M1368" s="183">
        <f>SUM(M1366:M1367)</f>
        <v>102007981</v>
      </c>
    </row>
    <row r="1369" spans="1:15" ht="12.75" customHeight="1" thickBot="1">
      <c r="A1369" s="885" t="s">
        <v>103</v>
      </c>
      <c r="B1369" s="886"/>
      <c r="C1369" s="886"/>
      <c r="D1369" s="886"/>
      <c r="E1369" s="887"/>
      <c r="F1369" s="69" t="e">
        <f>+F1331</f>
        <v>#REF!</v>
      </c>
      <c r="H1369" s="61"/>
      <c r="I1369" s="61"/>
      <c r="J1369" s="61"/>
      <c r="K1369" s="61"/>
      <c r="L1369" s="61"/>
    </row>
    <row r="1370" spans="1:15" ht="16.5" thickBot="1">
      <c r="A1370" s="888" t="s">
        <v>104</v>
      </c>
      <c r="B1370" s="889"/>
      <c r="C1370" s="889"/>
      <c r="D1370" s="889"/>
      <c r="E1370" s="890"/>
      <c r="F1370" s="183" t="e">
        <f>SUM(F1368:F1369)</f>
        <v>#REF!</v>
      </c>
      <c r="H1370" s="51" t="s">
        <v>1599</v>
      </c>
    </row>
    <row r="1371" spans="1:15" ht="13.5" customHeight="1">
      <c r="A1371" s="61"/>
      <c r="B1371" s="61"/>
      <c r="C1371" s="61"/>
      <c r="D1371" s="61"/>
      <c r="E1371" s="61"/>
      <c r="M1371" s="139"/>
    </row>
    <row r="1372" spans="1:15">
      <c r="A1372" s="51" t="s">
        <v>516</v>
      </c>
      <c r="H1372" s="50" t="s">
        <v>105</v>
      </c>
      <c r="K1372" s="146"/>
      <c r="M1372" s="139"/>
    </row>
    <row r="1373" spans="1:15" ht="14.25" customHeight="1" thickBot="1">
      <c r="F1373" s="139"/>
    </row>
    <row r="1374" spans="1:15" ht="15.75" thickBot="1">
      <c r="A1374" s="50" t="s">
        <v>105</v>
      </c>
      <c r="D1374" s="146"/>
      <c r="F1374" s="139"/>
      <c r="H1374" s="891" t="s">
        <v>106</v>
      </c>
      <c r="I1374" s="892"/>
      <c r="J1374" s="892"/>
      <c r="K1374" s="893"/>
      <c r="M1374" s="50" t="s">
        <v>288</v>
      </c>
    </row>
    <row r="1375" spans="1:15" ht="28.5" customHeight="1" thickBot="1">
      <c r="H1375" s="57" t="s">
        <v>100</v>
      </c>
      <c r="I1375" s="58" t="s">
        <v>108</v>
      </c>
      <c r="J1375" s="287" t="s">
        <v>109</v>
      </c>
      <c r="K1375" s="60" t="s">
        <v>110</v>
      </c>
    </row>
    <row r="1376" spans="1:15" ht="15.75" thickBot="1">
      <c r="A1376" s="891" t="s">
        <v>106</v>
      </c>
      <c r="B1376" s="892"/>
      <c r="C1376" s="892"/>
      <c r="D1376" s="893"/>
      <c r="F1376" s="50" t="s">
        <v>288</v>
      </c>
      <c r="H1376" s="71">
        <v>719</v>
      </c>
      <c r="I1376" s="73">
        <f>+O1356+O1358+O1360+O1362+O1364</f>
        <v>990000</v>
      </c>
      <c r="J1376" s="74">
        <f>+K1339</f>
        <v>14360000</v>
      </c>
      <c r="K1376" s="195">
        <f>+I1376+J1376</f>
        <v>15350000</v>
      </c>
    </row>
    <row r="1377" spans="1:15" ht="14.25" customHeight="1" thickBot="1">
      <c r="A1377" s="57" t="s">
        <v>100</v>
      </c>
      <c r="B1377" s="58" t="s">
        <v>108</v>
      </c>
      <c r="C1377" s="59" t="s">
        <v>109</v>
      </c>
      <c r="D1377" s="60" t="s">
        <v>110</v>
      </c>
      <c r="H1377" s="72">
        <v>721</v>
      </c>
      <c r="I1377" s="80">
        <v>0</v>
      </c>
      <c r="J1377" s="74">
        <f>+K1340</f>
        <v>79845481</v>
      </c>
      <c r="K1377" s="195">
        <f>+I1377+J1377</f>
        <v>79845481</v>
      </c>
    </row>
    <row r="1378" spans="1:15" ht="13.5" customHeight="1">
      <c r="A1378" s="71">
        <v>719</v>
      </c>
      <c r="B1378" s="73" t="e">
        <f>+#REF!+#REF!+#REF!+#REF!+#REF!+#REF!+#REF!+#REF!</f>
        <v>#REF!</v>
      </c>
      <c r="C1378" s="74" t="e">
        <f>+D1339</f>
        <v>#REF!</v>
      </c>
      <c r="D1378" s="195" t="e">
        <f>+B1378+C1378</f>
        <v>#REF!</v>
      </c>
      <c r="H1378" s="72">
        <v>722</v>
      </c>
      <c r="I1378" s="80"/>
      <c r="J1378" s="74">
        <f>+K1341</f>
        <v>0</v>
      </c>
      <c r="K1378" s="195">
        <f>+I1378+J1378</f>
        <v>0</v>
      </c>
    </row>
    <row r="1379" spans="1:15" ht="15.75">
      <c r="A1379" s="72">
        <v>721</v>
      </c>
      <c r="B1379" s="80" t="e">
        <f>(+#REF!+#REF!+#REF!+#REF!+#REF!)</f>
        <v>#REF!</v>
      </c>
      <c r="C1379" s="74" t="e">
        <f>+D1340</f>
        <v>#REF!</v>
      </c>
      <c r="D1379" s="195" t="e">
        <f>+B1379+C1379</f>
        <v>#REF!</v>
      </c>
      <c r="H1379" s="72">
        <v>723</v>
      </c>
      <c r="I1379" s="80"/>
      <c r="J1379" s="74">
        <f>+K1342</f>
        <v>6812500</v>
      </c>
      <c r="K1379" s="195">
        <f>+I1379+J1379</f>
        <v>6812500</v>
      </c>
      <c r="M1379" s="918" t="s">
        <v>1481</v>
      </c>
      <c r="N1379" s="918"/>
      <c r="O1379" s="918"/>
    </row>
    <row r="1380" spans="1:15" ht="16.5" thickBot="1">
      <c r="A1380" s="72">
        <v>722</v>
      </c>
      <c r="B1380" s="80"/>
      <c r="C1380" s="74" t="e">
        <f>+D1341</f>
        <v>#REF!</v>
      </c>
      <c r="D1380" s="195" t="e">
        <f>+B1380+C1380</f>
        <v>#REF!</v>
      </c>
      <c r="H1380" s="164" t="s">
        <v>181</v>
      </c>
      <c r="I1380" s="165"/>
      <c r="J1380" s="74">
        <f>+K1343</f>
        <v>0</v>
      </c>
      <c r="K1380" s="196">
        <f>+I1380+J1380</f>
        <v>0</v>
      </c>
      <c r="M1380" s="52"/>
    </row>
    <row r="1381" spans="1:15" ht="16.5" thickBot="1">
      <c r="A1381" s="72">
        <v>723</v>
      </c>
      <c r="B1381" s="80"/>
      <c r="C1381" s="74" t="e">
        <f>+D1342</f>
        <v>#REF!</v>
      </c>
      <c r="D1381" s="195" t="e">
        <f>+B1381+C1381</f>
        <v>#REF!</v>
      </c>
      <c r="F1381" s="174" t="s">
        <v>23</v>
      </c>
      <c r="G1381" s="175"/>
      <c r="H1381" s="169"/>
      <c r="I1381" s="197">
        <f>SUM(I1376:I1380)</f>
        <v>990000</v>
      </c>
      <c r="J1381" s="197">
        <f>SUM(J1376:J1380)</f>
        <v>101017981</v>
      </c>
      <c r="K1381" s="198">
        <f>SUM(K1376:K1380)</f>
        <v>102007981</v>
      </c>
    </row>
    <row r="1382" spans="1:15" ht="17.25" thickBot="1">
      <c r="A1382" s="164" t="s">
        <v>181</v>
      </c>
      <c r="B1382" s="165"/>
      <c r="C1382" s="74" t="e">
        <f>+D1343</f>
        <v>#REF!</v>
      </c>
      <c r="D1382" s="196" t="e">
        <f>+B1382+C1382</f>
        <v>#REF!</v>
      </c>
      <c r="F1382" s="52"/>
      <c r="H1382" s="49" t="s">
        <v>88</v>
      </c>
      <c r="I1382" s="50"/>
    </row>
    <row r="1383" spans="1:15" ht="16.5" thickBot="1">
      <c r="A1383" s="169"/>
      <c r="B1383" s="170" t="e">
        <f>SUM(B1378:B1382)</f>
        <v>#REF!</v>
      </c>
      <c r="C1383" s="171" t="e">
        <f>SUM(C1378:C1382)</f>
        <v>#REF!</v>
      </c>
      <c r="D1383" s="172" t="e">
        <f>SUM(D1378:D1382)</f>
        <v>#REF!</v>
      </c>
      <c r="H1383" s="51" t="s">
        <v>89</v>
      </c>
    </row>
    <row r="1384" spans="1:15" ht="16.5">
      <c r="A1384" s="49" t="s">
        <v>88</v>
      </c>
      <c r="B1384" s="50"/>
      <c r="H1384" s="51" t="s">
        <v>90</v>
      </c>
    </row>
    <row r="1385" spans="1:15">
      <c r="A1385" s="51" t="s">
        <v>89</v>
      </c>
      <c r="H1385" s="51" t="s">
        <v>91</v>
      </c>
    </row>
    <row r="1386" spans="1:15" ht="11.25" customHeight="1">
      <c r="A1386" s="51" t="s">
        <v>90</v>
      </c>
      <c r="H1386" s="50"/>
      <c r="I1386" s="50"/>
    </row>
    <row r="1387" spans="1:15" ht="16.5">
      <c r="A1387" s="51" t="s">
        <v>91</v>
      </c>
      <c r="H1387" s="260" t="s">
        <v>908</v>
      </c>
      <c r="N1387" s="52"/>
    </row>
    <row r="1388" spans="1:15" ht="12.75" customHeight="1">
      <c r="A1388" s="50"/>
      <c r="B1388" s="50"/>
      <c r="H1388" s="53" t="s">
        <v>1333</v>
      </c>
      <c r="N1388" s="53"/>
    </row>
    <row r="1389" spans="1:15" ht="16.5">
      <c r="A1389" s="52" t="s">
        <v>520</v>
      </c>
      <c r="G1389" s="52"/>
      <c r="H1389" s="894" t="s">
        <v>909</v>
      </c>
      <c r="I1389" s="894"/>
      <c r="J1389" s="894"/>
      <c r="K1389" s="894"/>
      <c r="L1389" s="894"/>
      <c r="M1389" s="894"/>
      <c r="N1389" s="894"/>
      <c r="O1389" s="894"/>
    </row>
    <row r="1390" spans="1:15" ht="16.5" thickBot="1">
      <c r="A1390" s="53" t="s">
        <v>92</v>
      </c>
      <c r="G1390" s="53"/>
    </row>
    <row r="1391" spans="1:15" ht="16.5">
      <c r="A1391" s="894" t="s">
        <v>261</v>
      </c>
      <c r="B1391" s="894"/>
      <c r="C1391" s="894"/>
      <c r="D1391" s="894"/>
      <c r="E1391" s="894"/>
      <c r="F1391" s="894"/>
      <c r="G1391" s="894"/>
      <c r="H1391" s="895" t="s">
        <v>94</v>
      </c>
      <c r="I1391" s="897" t="s">
        <v>95</v>
      </c>
      <c r="J1391" s="897" t="s">
        <v>96</v>
      </c>
      <c r="K1391" s="897" t="s">
        <v>3</v>
      </c>
      <c r="L1391" s="897" t="s">
        <v>97</v>
      </c>
      <c r="M1391" s="897" t="s">
        <v>98</v>
      </c>
      <c r="N1391" s="897" t="s">
        <v>99</v>
      </c>
      <c r="O1391" s="899"/>
    </row>
    <row r="1392" spans="1:15" ht="15.75" thickBot="1">
      <c r="H1392" s="896"/>
      <c r="I1392" s="898"/>
      <c r="J1392" s="898"/>
      <c r="K1392" s="898"/>
      <c r="L1392" s="898"/>
      <c r="M1392" s="898"/>
      <c r="N1392" s="240" t="s">
        <v>100</v>
      </c>
      <c r="O1392" s="182" t="s">
        <v>101</v>
      </c>
    </row>
    <row r="1393" spans="1:15" ht="15" customHeight="1">
      <c r="A1393" s="895" t="s">
        <v>94</v>
      </c>
      <c r="B1393" s="897" t="s">
        <v>95</v>
      </c>
      <c r="C1393" s="897" t="s">
        <v>96</v>
      </c>
      <c r="D1393" s="897" t="s">
        <v>3</v>
      </c>
      <c r="E1393" s="897" t="s">
        <v>97</v>
      </c>
      <c r="F1393" s="897" t="s">
        <v>98</v>
      </c>
      <c r="G1393" s="500" t="s">
        <v>99</v>
      </c>
      <c r="H1393" s="873" t="s">
        <v>1595</v>
      </c>
      <c r="I1393" s="875">
        <v>42723</v>
      </c>
      <c r="J1393" s="877" t="s">
        <v>472</v>
      </c>
      <c r="K1393" s="881" t="s">
        <v>1524</v>
      </c>
      <c r="L1393" s="881" t="s">
        <v>148</v>
      </c>
      <c r="M1393" s="883">
        <v>507000</v>
      </c>
      <c r="N1393" s="55">
        <v>719</v>
      </c>
      <c r="O1393" s="78">
        <v>390000</v>
      </c>
    </row>
    <row r="1394" spans="1:15" ht="15.75" customHeight="1" thickBot="1">
      <c r="A1394" s="896"/>
      <c r="B1394" s="898"/>
      <c r="C1394" s="898"/>
      <c r="D1394" s="898"/>
      <c r="E1394" s="898"/>
      <c r="F1394" s="898"/>
      <c r="G1394" s="240" t="s">
        <v>100</v>
      </c>
      <c r="H1394" s="874"/>
      <c r="I1394" s="876"/>
      <c r="J1394" s="878"/>
      <c r="K1394" s="882"/>
      <c r="L1394" s="882"/>
      <c r="M1394" s="884"/>
      <c r="N1394" s="56">
        <v>721</v>
      </c>
      <c r="O1394" s="79">
        <f>+M1393-O1393</f>
        <v>117000</v>
      </c>
    </row>
    <row r="1395" spans="1:15" ht="15" customHeight="1">
      <c r="A1395" s="919" t="e">
        <f>+A1366+1</f>
        <v>#REF!</v>
      </c>
      <c r="B1395" s="875">
        <v>42369</v>
      </c>
      <c r="C1395" s="877" t="s">
        <v>31</v>
      </c>
      <c r="D1395" s="877" t="s">
        <v>523</v>
      </c>
      <c r="E1395" s="881" t="s">
        <v>115</v>
      </c>
      <c r="F1395" s="883">
        <v>180000</v>
      </c>
      <c r="G1395" s="55">
        <v>719</v>
      </c>
      <c r="H1395" s="881">
        <f>+H1393+1</f>
        <v>174</v>
      </c>
      <c r="I1395" s="875">
        <v>42723</v>
      </c>
      <c r="J1395" s="877" t="s">
        <v>472</v>
      </c>
      <c r="K1395" s="881" t="s">
        <v>913</v>
      </c>
      <c r="L1395" s="881" t="s">
        <v>148</v>
      </c>
      <c r="M1395" s="883">
        <v>312000</v>
      </c>
      <c r="N1395" s="55">
        <v>719</v>
      </c>
      <c r="O1395" s="78">
        <v>240000</v>
      </c>
    </row>
    <row r="1396" spans="1:15" ht="15.75" customHeight="1" thickBot="1">
      <c r="A1396" s="920"/>
      <c r="B1396" s="876"/>
      <c r="C1396" s="878"/>
      <c r="D1396" s="878"/>
      <c r="E1396" s="882"/>
      <c r="F1396" s="884"/>
      <c r="G1396" s="56">
        <v>721</v>
      </c>
      <c r="H1396" s="882"/>
      <c r="I1396" s="876"/>
      <c r="J1396" s="878"/>
      <c r="K1396" s="882"/>
      <c r="L1396" s="882"/>
      <c r="M1396" s="884"/>
      <c r="N1396" s="56">
        <v>721</v>
      </c>
      <c r="O1396" s="79">
        <f>+M1395-O1395</f>
        <v>72000</v>
      </c>
    </row>
    <row r="1397" spans="1:15" ht="15" customHeight="1">
      <c r="A1397" s="919" t="e">
        <f>+A1395+1</f>
        <v>#REF!</v>
      </c>
      <c r="B1397" s="875">
        <v>42369</v>
      </c>
      <c r="C1397" s="877" t="s">
        <v>472</v>
      </c>
      <c r="D1397" s="877" t="s">
        <v>524</v>
      </c>
      <c r="E1397" s="881" t="s">
        <v>115</v>
      </c>
      <c r="F1397" s="883">
        <v>40000</v>
      </c>
      <c r="G1397" s="55">
        <v>719</v>
      </c>
      <c r="H1397" s="881">
        <f>+H1395+1</f>
        <v>175</v>
      </c>
      <c r="I1397" s="875">
        <v>42723</v>
      </c>
      <c r="J1397" s="877" t="s">
        <v>472</v>
      </c>
      <c r="K1397" s="881" t="s">
        <v>914</v>
      </c>
      <c r="L1397" s="881" t="s">
        <v>148</v>
      </c>
      <c r="M1397" s="883">
        <v>338000</v>
      </c>
      <c r="N1397" s="55">
        <v>719</v>
      </c>
      <c r="O1397" s="78">
        <v>260000</v>
      </c>
    </row>
    <row r="1398" spans="1:15" ht="15.75" customHeight="1" thickBot="1">
      <c r="A1398" s="920"/>
      <c r="B1398" s="876"/>
      <c r="C1398" s="878"/>
      <c r="D1398" s="878"/>
      <c r="E1398" s="882"/>
      <c r="F1398" s="884"/>
      <c r="G1398" s="56">
        <v>721</v>
      </c>
      <c r="H1398" s="882"/>
      <c r="I1398" s="876"/>
      <c r="J1398" s="878"/>
      <c r="K1398" s="882"/>
      <c r="L1398" s="882"/>
      <c r="M1398" s="884"/>
      <c r="N1398" s="56">
        <v>721</v>
      </c>
      <c r="O1398" s="79">
        <f>+M1397-O1397</f>
        <v>78000</v>
      </c>
    </row>
    <row r="1399" spans="1:15" ht="11.25" customHeight="1">
      <c r="A1399" s="919" t="e">
        <f>+A1397+1</f>
        <v>#REF!</v>
      </c>
      <c r="B1399" s="875">
        <v>42369</v>
      </c>
      <c r="C1399" s="877" t="s">
        <v>32</v>
      </c>
      <c r="D1399" s="877" t="s">
        <v>521</v>
      </c>
      <c r="E1399" s="881" t="s">
        <v>115</v>
      </c>
      <c r="F1399" s="883">
        <v>40000</v>
      </c>
      <c r="G1399" s="55">
        <v>719</v>
      </c>
      <c r="H1399" s="881"/>
      <c r="I1399" s="875"/>
      <c r="J1399" s="877"/>
      <c r="K1399" s="881"/>
      <c r="L1399" s="881"/>
      <c r="M1399" s="883"/>
      <c r="N1399" s="55">
        <v>719</v>
      </c>
      <c r="O1399" s="78"/>
    </row>
    <row r="1400" spans="1:15" ht="13.5" customHeight="1" thickBot="1">
      <c r="A1400" s="920"/>
      <c r="B1400" s="876"/>
      <c r="C1400" s="878"/>
      <c r="D1400" s="878"/>
      <c r="E1400" s="882"/>
      <c r="F1400" s="884"/>
      <c r="G1400" s="56">
        <v>721</v>
      </c>
      <c r="H1400" s="882"/>
      <c r="I1400" s="876"/>
      <c r="J1400" s="878"/>
      <c r="K1400" s="882"/>
      <c r="L1400" s="882"/>
      <c r="M1400" s="884"/>
      <c r="N1400" s="56">
        <v>721</v>
      </c>
      <c r="O1400" s="79">
        <f>+M1399-O1399</f>
        <v>0</v>
      </c>
    </row>
    <row r="1401" spans="1:15" ht="12.75" customHeight="1">
      <c r="A1401" s="919" t="e">
        <f>+A1399+1</f>
        <v>#REF!</v>
      </c>
      <c r="B1401" s="875">
        <v>42369</v>
      </c>
      <c r="C1401" s="877" t="s">
        <v>120</v>
      </c>
      <c r="D1401" s="877" t="s">
        <v>522</v>
      </c>
      <c r="E1401" s="881" t="s">
        <v>115</v>
      </c>
      <c r="F1401" s="883">
        <v>20000</v>
      </c>
      <c r="G1401" s="55">
        <v>719</v>
      </c>
      <c r="H1401" s="881"/>
      <c r="I1401" s="875"/>
      <c r="J1401" s="877"/>
      <c r="K1401" s="881"/>
      <c r="L1401" s="881"/>
      <c r="M1401" s="883"/>
      <c r="N1401" s="55">
        <v>719</v>
      </c>
      <c r="O1401" s="78"/>
    </row>
    <row r="1402" spans="1:15" ht="12.75" customHeight="1" thickBot="1">
      <c r="A1402" s="920"/>
      <c r="B1402" s="876"/>
      <c r="C1402" s="878"/>
      <c r="D1402" s="878"/>
      <c r="E1402" s="882"/>
      <c r="F1402" s="884"/>
      <c r="G1402" s="56">
        <v>721</v>
      </c>
      <c r="H1402" s="882"/>
      <c r="I1402" s="876"/>
      <c r="J1402" s="878"/>
      <c r="K1402" s="882"/>
      <c r="L1402" s="882"/>
      <c r="M1402" s="884"/>
      <c r="N1402" s="56">
        <v>721</v>
      </c>
      <c r="O1402" s="79">
        <f>+M1401-O1401</f>
        <v>0</v>
      </c>
    </row>
    <row r="1403" spans="1:15" ht="15" customHeight="1" thickBot="1">
      <c r="A1403" s="919"/>
      <c r="B1403" s="875"/>
      <c r="C1403" s="877"/>
      <c r="D1403" s="877"/>
      <c r="E1403" s="881"/>
      <c r="F1403" s="883"/>
      <c r="G1403" s="55">
        <v>719</v>
      </c>
      <c r="H1403" s="901" t="s">
        <v>102</v>
      </c>
      <c r="I1403" s="902"/>
      <c r="J1403" s="902"/>
      <c r="K1403" s="902"/>
      <c r="L1403" s="903"/>
      <c r="M1403" s="81">
        <f>SUM(M1393:M1402)</f>
        <v>1157000</v>
      </c>
    </row>
    <row r="1404" spans="1:15" ht="15.75" customHeight="1" thickBot="1">
      <c r="A1404" s="920"/>
      <c r="B1404" s="876"/>
      <c r="C1404" s="878"/>
      <c r="D1404" s="878"/>
      <c r="E1404" s="882"/>
      <c r="F1404" s="884"/>
      <c r="G1404" s="56">
        <v>721</v>
      </c>
      <c r="H1404" s="885" t="s">
        <v>103</v>
      </c>
      <c r="I1404" s="886"/>
      <c r="J1404" s="886"/>
      <c r="K1404" s="886"/>
      <c r="L1404" s="887"/>
      <c r="M1404" s="69">
        <f>+M1368</f>
        <v>102007981</v>
      </c>
      <c r="N1404" s="241" t="s">
        <v>561</v>
      </c>
      <c r="O1404" s="242">
        <f>753+65+288</f>
        <v>1106</v>
      </c>
    </row>
    <row r="1405" spans="1:15" ht="15" customHeight="1" thickBot="1">
      <c r="A1405" s="901" t="s">
        <v>102</v>
      </c>
      <c r="B1405" s="902"/>
      <c r="C1405" s="902"/>
      <c r="D1405" s="902"/>
      <c r="E1405" s="903"/>
      <c r="F1405" s="81">
        <f>SUM(F1395:F1404)</f>
        <v>280000</v>
      </c>
      <c r="H1405" s="888" t="s">
        <v>104</v>
      </c>
      <c r="I1405" s="889"/>
      <c r="J1405" s="889"/>
      <c r="K1405" s="889"/>
      <c r="L1405" s="890"/>
      <c r="M1405" s="183">
        <f>SUM(M1403:M1404)</f>
        <v>103164981</v>
      </c>
    </row>
    <row r="1406" spans="1:15" ht="15.75" customHeight="1" thickBot="1">
      <c r="A1406" s="885" t="s">
        <v>103</v>
      </c>
      <c r="B1406" s="886"/>
      <c r="C1406" s="886"/>
      <c r="D1406" s="886"/>
      <c r="E1406" s="887"/>
      <c r="F1406" s="69" t="e">
        <f>+F1370</f>
        <v>#REF!</v>
      </c>
      <c r="H1406" s="61"/>
      <c r="I1406" s="61"/>
      <c r="J1406" s="61"/>
      <c r="K1406" s="61"/>
      <c r="L1406" s="61"/>
    </row>
    <row r="1407" spans="1:15" ht="16.5" thickBot="1">
      <c r="A1407" s="888" t="s">
        <v>104</v>
      </c>
      <c r="B1407" s="889"/>
      <c r="C1407" s="889"/>
      <c r="D1407" s="889"/>
      <c r="E1407" s="890"/>
      <c r="F1407" s="183" t="e">
        <f>SUM(F1405:F1406)</f>
        <v>#REF!</v>
      </c>
      <c r="H1407" s="51" t="s">
        <v>1596</v>
      </c>
    </row>
    <row r="1408" spans="1:15" ht="12" customHeight="1">
      <c r="A1408" s="61"/>
      <c r="B1408" s="61"/>
      <c r="C1408" s="61"/>
      <c r="D1408" s="61"/>
      <c r="E1408" s="61"/>
      <c r="M1408" s="139"/>
    </row>
    <row r="1409" spans="1:15">
      <c r="A1409" s="51" t="s">
        <v>525</v>
      </c>
      <c r="H1409" s="50" t="s">
        <v>105</v>
      </c>
      <c r="K1409" s="146"/>
      <c r="M1409" s="139"/>
    </row>
    <row r="1410" spans="1:15" ht="14.25" customHeight="1" thickBot="1">
      <c r="F1410" s="139"/>
    </row>
    <row r="1411" spans="1:15" ht="15.75" thickBot="1">
      <c r="A1411" s="50" t="s">
        <v>105</v>
      </c>
      <c r="D1411" s="146"/>
      <c r="F1411" s="139"/>
      <c r="H1411" s="891" t="s">
        <v>106</v>
      </c>
      <c r="I1411" s="892"/>
      <c r="J1411" s="892"/>
      <c r="K1411" s="893"/>
      <c r="M1411" s="50" t="s">
        <v>288</v>
      </c>
    </row>
    <row r="1412" spans="1:15" ht="11.25" customHeight="1" thickBot="1">
      <c r="H1412" s="57" t="s">
        <v>100</v>
      </c>
      <c r="I1412" s="58" t="s">
        <v>108</v>
      </c>
      <c r="J1412" s="287" t="s">
        <v>109</v>
      </c>
      <c r="K1412" s="60" t="s">
        <v>110</v>
      </c>
    </row>
    <row r="1413" spans="1:15" ht="15.75" thickBot="1">
      <c r="A1413" s="891" t="s">
        <v>106</v>
      </c>
      <c r="B1413" s="892"/>
      <c r="C1413" s="892"/>
      <c r="D1413" s="893"/>
      <c r="F1413" s="50" t="s">
        <v>288</v>
      </c>
      <c r="H1413" s="71">
        <v>719</v>
      </c>
      <c r="I1413" s="73">
        <f>+O1393+O1395+O1397+O1399+O1401</f>
        <v>890000</v>
      </c>
      <c r="J1413" s="74">
        <f>+K1376</f>
        <v>15350000</v>
      </c>
      <c r="K1413" s="195">
        <f>+I1413+J1413</f>
        <v>16240000</v>
      </c>
    </row>
    <row r="1414" spans="1:15" ht="12.75" customHeight="1" thickBot="1">
      <c r="A1414" s="57" t="s">
        <v>100</v>
      </c>
      <c r="B1414" s="58" t="s">
        <v>108</v>
      </c>
      <c r="C1414" s="59" t="s">
        <v>109</v>
      </c>
      <c r="D1414" s="60" t="s">
        <v>110</v>
      </c>
      <c r="H1414" s="72">
        <v>721</v>
      </c>
      <c r="I1414" s="80">
        <f>+O1394+O1396+O1398</f>
        <v>267000</v>
      </c>
      <c r="J1414" s="74">
        <f>+K1377</f>
        <v>79845481</v>
      </c>
      <c r="K1414" s="195">
        <f>+I1414+J1414</f>
        <v>80112481</v>
      </c>
    </row>
    <row r="1415" spans="1:15">
      <c r="A1415" s="71">
        <v>719</v>
      </c>
      <c r="B1415" s="73" t="e">
        <f>+#REF!+#REF!+#REF!+#REF!+#REF!</f>
        <v>#REF!</v>
      </c>
      <c r="C1415" s="74" t="e">
        <f>+D1378</f>
        <v>#REF!</v>
      </c>
      <c r="D1415" s="195" t="e">
        <f>+B1415+C1415</f>
        <v>#REF!</v>
      </c>
      <c r="H1415" s="72">
        <v>722</v>
      </c>
      <c r="I1415" s="80"/>
      <c r="J1415" s="74">
        <f>+K1378</f>
        <v>0</v>
      </c>
      <c r="K1415" s="195">
        <f>+I1415+J1415</f>
        <v>0</v>
      </c>
    </row>
    <row r="1416" spans="1:15" ht="15.75">
      <c r="A1416" s="72">
        <v>721</v>
      </c>
      <c r="B1416" s="80" t="e">
        <f>(+#REF!+#REF!+#REF!+#REF!+#REF!)</f>
        <v>#REF!</v>
      </c>
      <c r="C1416" s="74" t="e">
        <f>+D1379</f>
        <v>#REF!</v>
      </c>
      <c r="D1416" s="195" t="e">
        <f>+B1416+C1416</f>
        <v>#REF!</v>
      </c>
      <c r="H1416" s="72">
        <v>723</v>
      </c>
      <c r="I1416" s="80"/>
      <c r="J1416" s="74">
        <f>+K1379</f>
        <v>6812500</v>
      </c>
      <c r="K1416" s="195">
        <f>+I1416+J1416</f>
        <v>6812500</v>
      </c>
      <c r="M1416" s="918" t="s">
        <v>1481</v>
      </c>
      <c r="N1416" s="918"/>
      <c r="O1416" s="918"/>
    </row>
    <row r="1417" spans="1:15" ht="16.5" thickBot="1">
      <c r="A1417" s="72">
        <v>722</v>
      </c>
      <c r="B1417" s="80"/>
      <c r="C1417" s="74" t="e">
        <f>+D1380</f>
        <v>#REF!</v>
      </c>
      <c r="D1417" s="195" t="e">
        <f>+B1417+C1417</f>
        <v>#REF!</v>
      </c>
      <c r="H1417" s="164" t="s">
        <v>181</v>
      </c>
      <c r="I1417" s="165"/>
      <c r="J1417" s="74">
        <f>+K1380</f>
        <v>0</v>
      </c>
      <c r="K1417" s="196">
        <f>+I1417+J1417</f>
        <v>0</v>
      </c>
      <c r="M1417" s="52"/>
    </row>
    <row r="1418" spans="1:15" ht="16.5" thickBot="1">
      <c r="A1418" s="72">
        <v>723</v>
      </c>
      <c r="B1418" s="80"/>
      <c r="C1418" s="74" t="e">
        <f>+D1381</f>
        <v>#REF!</v>
      </c>
      <c r="D1418" s="195" t="e">
        <f>+B1418+C1418</f>
        <v>#REF!</v>
      </c>
      <c r="F1418" s="174" t="s">
        <v>23</v>
      </c>
      <c r="G1418" s="175"/>
      <c r="H1418" s="169"/>
      <c r="I1418" s="197">
        <f>SUM(I1413:I1417)</f>
        <v>1157000</v>
      </c>
      <c r="J1418" s="197">
        <f>SUM(J1413:J1417)</f>
        <v>102007981</v>
      </c>
      <c r="K1418" s="198">
        <f>SUM(K1413:K1417)</f>
        <v>103164981</v>
      </c>
    </row>
    <row r="1419" spans="1:15" ht="17.25" thickBot="1">
      <c r="A1419" s="164" t="s">
        <v>181</v>
      </c>
      <c r="B1419" s="165"/>
      <c r="C1419" s="74" t="e">
        <f>+D1382</f>
        <v>#REF!</v>
      </c>
      <c r="D1419" s="196" t="e">
        <f>+B1419+C1419</f>
        <v>#REF!</v>
      </c>
      <c r="F1419" s="52"/>
      <c r="H1419" s="49" t="s">
        <v>88</v>
      </c>
      <c r="I1419" s="50"/>
    </row>
    <row r="1420" spans="1:15" ht="16.5" thickBot="1">
      <c r="A1420" s="169"/>
      <c r="B1420" s="170" t="e">
        <f>SUM(B1415:B1419)</f>
        <v>#REF!</v>
      </c>
      <c r="C1420" s="171" t="e">
        <f>SUM(C1415:C1419)</f>
        <v>#REF!</v>
      </c>
      <c r="D1420" s="172" t="e">
        <f>SUM(D1415:D1419)</f>
        <v>#REF!</v>
      </c>
      <c r="H1420" s="51" t="s">
        <v>89</v>
      </c>
    </row>
    <row r="1421" spans="1:15" ht="16.5">
      <c r="A1421" s="49" t="s">
        <v>88</v>
      </c>
      <c r="B1421" s="50"/>
      <c r="H1421" s="51" t="s">
        <v>90</v>
      </c>
    </row>
    <row r="1422" spans="1:15">
      <c r="A1422" s="51" t="s">
        <v>89</v>
      </c>
      <c r="H1422" s="51" t="s">
        <v>91</v>
      </c>
    </row>
    <row r="1423" spans="1:15">
      <c r="A1423" s="51" t="s">
        <v>90</v>
      </c>
      <c r="H1423" s="50"/>
      <c r="I1423" s="50"/>
    </row>
    <row r="1424" spans="1:15" ht="16.5">
      <c r="A1424" s="51" t="s">
        <v>91</v>
      </c>
      <c r="H1424" s="260" t="s">
        <v>917</v>
      </c>
      <c r="N1424" s="52"/>
    </row>
    <row r="1425" spans="1:15" ht="15" customHeight="1">
      <c r="A1425" s="50"/>
      <c r="B1425" s="50"/>
      <c r="H1425" s="53" t="s">
        <v>1333</v>
      </c>
      <c r="N1425" s="53"/>
    </row>
    <row r="1426" spans="1:15" ht="16.5">
      <c r="A1426" s="52" t="s">
        <v>528</v>
      </c>
      <c r="G1426" s="52"/>
      <c r="H1426" s="894" t="s">
        <v>1600</v>
      </c>
      <c r="I1426" s="894"/>
      <c r="J1426" s="894"/>
      <c r="K1426" s="894"/>
      <c r="L1426" s="894"/>
      <c r="M1426" s="894"/>
      <c r="N1426" s="894"/>
      <c r="O1426" s="894"/>
    </row>
    <row r="1427" spans="1:15" ht="12" customHeight="1" thickBot="1">
      <c r="A1427" s="53" t="s">
        <v>92</v>
      </c>
      <c r="G1427" s="53"/>
    </row>
    <row r="1428" spans="1:15" ht="16.5">
      <c r="A1428" s="894" t="s">
        <v>261</v>
      </c>
      <c r="B1428" s="894"/>
      <c r="C1428" s="894"/>
      <c r="D1428" s="894"/>
      <c r="E1428" s="894"/>
      <c r="F1428" s="894"/>
      <c r="G1428" s="894"/>
      <c r="H1428" s="895" t="s">
        <v>94</v>
      </c>
      <c r="I1428" s="897" t="s">
        <v>95</v>
      </c>
      <c r="J1428" s="897" t="s">
        <v>96</v>
      </c>
      <c r="K1428" s="897" t="s">
        <v>3</v>
      </c>
      <c r="L1428" s="897" t="s">
        <v>97</v>
      </c>
      <c r="M1428" s="897" t="s">
        <v>98</v>
      </c>
      <c r="N1428" s="897" t="s">
        <v>99</v>
      </c>
      <c r="O1428" s="899"/>
    </row>
    <row r="1429" spans="1:15" ht="15.75" thickBot="1">
      <c r="H1429" s="896"/>
      <c r="I1429" s="898"/>
      <c r="J1429" s="898"/>
      <c r="K1429" s="898"/>
      <c r="L1429" s="898"/>
      <c r="M1429" s="898"/>
      <c r="N1429" s="240" t="s">
        <v>100</v>
      </c>
      <c r="O1429" s="182" t="s">
        <v>101</v>
      </c>
    </row>
    <row r="1430" spans="1:15" ht="13.5" customHeight="1">
      <c r="A1430" s="895" t="s">
        <v>94</v>
      </c>
      <c r="B1430" s="897" t="s">
        <v>95</v>
      </c>
      <c r="C1430" s="897" t="s">
        <v>96</v>
      </c>
      <c r="D1430" s="897" t="s">
        <v>3</v>
      </c>
      <c r="E1430" s="897" t="s">
        <v>97</v>
      </c>
      <c r="F1430" s="897" t="s">
        <v>98</v>
      </c>
      <c r="G1430" s="500" t="s">
        <v>99</v>
      </c>
      <c r="H1430" s="873" t="s">
        <v>1526</v>
      </c>
      <c r="I1430" s="875">
        <v>43088</v>
      </c>
      <c r="J1430" s="877" t="s">
        <v>472</v>
      </c>
      <c r="K1430" s="881" t="s">
        <v>1522</v>
      </c>
      <c r="L1430" s="881" t="s">
        <v>148</v>
      </c>
      <c r="M1430" s="883">
        <v>-637000</v>
      </c>
      <c r="N1430" s="55">
        <v>719</v>
      </c>
      <c r="O1430" s="78">
        <v>-490000</v>
      </c>
    </row>
    <row r="1431" spans="1:15" ht="12.75" customHeight="1" thickBot="1">
      <c r="A1431" s="896"/>
      <c r="B1431" s="898"/>
      <c r="C1431" s="898"/>
      <c r="D1431" s="898"/>
      <c r="E1431" s="898"/>
      <c r="F1431" s="898"/>
      <c r="G1431" s="240" t="s">
        <v>100</v>
      </c>
      <c r="H1431" s="874"/>
      <c r="I1431" s="876"/>
      <c r="J1431" s="878"/>
      <c r="K1431" s="882"/>
      <c r="L1431" s="882"/>
      <c r="M1431" s="884"/>
      <c r="N1431" s="56">
        <v>721</v>
      </c>
      <c r="O1431" s="79">
        <f>+M1430-O1430</f>
        <v>-147000</v>
      </c>
    </row>
    <row r="1432" spans="1:15" ht="13.5" customHeight="1">
      <c r="A1432" s="919" t="e">
        <f>+A1401+1</f>
        <v>#REF!</v>
      </c>
      <c r="B1432" s="875">
        <v>42369</v>
      </c>
      <c r="C1432" s="877" t="s">
        <v>267</v>
      </c>
      <c r="D1432" s="877" t="s">
        <v>526</v>
      </c>
      <c r="E1432" s="881" t="s">
        <v>148</v>
      </c>
      <c r="F1432" s="883">
        <v>224000</v>
      </c>
      <c r="G1432" s="55">
        <v>719</v>
      </c>
      <c r="H1432" s="873" t="s">
        <v>1603</v>
      </c>
      <c r="I1432" s="875">
        <v>43088</v>
      </c>
      <c r="J1432" s="877" t="s">
        <v>472</v>
      </c>
      <c r="K1432" s="881" t="s">
        <v>1590</v>
      </c>
      <c r="L1432" s="881" t="s">
        <v>148</v>
      </c>
      <c r="M1432" s="883">
        <v>-572000</v>
      </c>
      <c r="N1432" s="55">
        <v>719</v>
      </c>
      <c r="O1432" s="78">
        <v>-440000</v>
      </c>
    </row>
    <row r="1433" spans="1:15" ht="13.5" customHeight="1" thickBot="1">
      <c r="A1433" s="920"/>
      <c r="B1433" s="876"/>
      <c r="C1433" s="878"/>
      <c r="D1433" s="878"/>
      <c r="E1433" s="882"/>
      <c r="F1433" s="884"/>
      <c r="G1433" s="56">
        <v>721</v>
      </c>
      <c r="H1433" s="874"/>
      <c r="I1433" s="876"/>
      <c r="J1433" s="878"/>
      <c r="K1433" s="882"/>
      <c r="L1433" s="882"/>
      <c r="M1433" s="884"/>
      <c r="N1433" s="56">
        <v>723</v>
      </c>
      <c r="O1433" s="79">
        <f>+M1432-O1432</f>
        <v>-132000</v>
      </c>
    </row>
    <row r="1434" spans="1:15" ht="12.75" customHeight="1">
      <c r="A1434" s="919" t="e">
        <f>+A1432+1</f>
        <v>#REF!</v>
      </c>
      <c r="B1434" s="875">
        <v>42369</v>
      </c>
      <c r="C1434" s="881" t="s">
        <v>28</v>
      </c>
      <c r="D1434" s="877" t="s">
        <v>526</v>
      </c>
      <c r="E1434" s="881" t="s">
        <v>148</v>
      </c>
      <c r="F1434" s="883">
        <v>224000</v>
      </c>
      <c r="G1434" s="55">
        <v>719</v>
      </c>
      <c r="H1434" s="873" t="s">
        <v>1604</v>
      </c>
      <c r="I1434" s="875">
        <v>43088</v>
      </c>
      <c r="J1434" s="877" t="s">
        <v>472</v>
      </c>
      <c r="K1434" s="881" t="s">
        <v>1507</v>
      </c>
      <c r="L1434" s="881" t="s">
        <v>148</v>
      </c>
      <c r="M1434" s="883">
        <v>-481000</v>
      </c>
      <c r="N1434" s="55">
        <v>719</v>
      </c>
      <c r="O1434" s="78">
        <v>-370000</v>
      </c>
    </row>
    <row r="1435" spans="1:15" ht="14.25" customHeight="1" thickBot="1">
      <c r="A1435" s="920"/>
      <c r="B1435" s="876"/>
      <c r="C1435" s="882"/>
      <c r="D1435" s="878"/>
      <c r="E1435" s="882"/>
      <c r="F1435" s="884"/>
      <c r="G1435" s="56">
        <v>721</v>
      </c>
      <c r="H1435" s="874"/>
      <c r="I1435" s="876"/>
      <c r="J1435" s="878"/>
      <c r="K1435" s="882"/>
      <c r="L1435" s="882"/>
      <c r="M1435" s="884"/>
      <c r="N1435" s="56">
        <v>723</v>
      </c>
      <c r="O1435" s="79">
        <f>+M1434-O1434</f>
        <v>-111000</v>
      </c>
    </row>
    <row r="1436" spans="1:15" ht="12.75" customHeight="1">
      <c r="A1436" s="919" t="e">
        <f>+A1434+1</f>
        <v>#REF!</v>
      </c>
      <c r="B1436" s="875">
        <v>42369</v>
      </c>
      <c r="C1436" s="877" t="s">
        <v>32</v>
      </c>
      <c r="D1436" s="877" t="s">
        <v>521</v>
      </c>
      <c r="E1436" s="881" t="s">
        <v>148</v>
      </c>
      <c r="F1436" s="883">
        <v>154000</v>
      </c>
      <c r="G1436" s="55">
        <v>719</v>
      </c>
      <c r="H1436" s="873" t="s">
        <v>1605</v>
      </c>
      <c r="I1436" s="875">
        <v>43088</v>
      </c>
      <c r="J1436" s="877" t="s">
        <v>472</v>
      </c>
      <c r="K1436" s="881" t="s">
        <v>1506</v>
      </c>
      <c r="L1436" s="881" t="s">
        <v>148</v>
      </c>
      <c r="M1436" s="883">
        <v>-403000</v>
      </c>
      <c r="N1436" s="55">
        <v>719</v>
      </c>
      <c r="O1436" s="78">
        <v>-310000</v>
      </c>
    </row>
    <row r="1437" spans="1:15" ht="12.75" customHeight="1" thickBot="1">
      <c r="A1437" s="920"/>
      <c r="B1437" s="876"/>
      <c r="C1437" s="878"/>
      <c r="D1437" s="878"/>
      <c r="E1437" s="882"/>
      <c r="F1437" s="884"/>
      <c r="G1437" s="56">
        <v>721</v>
      </c>
      <c r="H1437" s="874"/>
      <c r="I1437" s="876"/>
      <c r="J1437" s="878"/>
      <c r="K1437" s="882"/>
      <c r="L1437" s="882"/>
      <c r="M1437" s="884"/>
      <c r="N1437" s="56">
        <v>722</v>
      </c>
      <c r="O1437" s="79">
        <f>+M1436-O1436</f>
        <v>-93000</v>
      </c>
    </row>
    <row r="1438" spans="1:15" ht="12.75" customHeight="1">
      <c r="A1438" s="919" t="e">
        <f>+A1436+1</f>
        <v>#REF!</v>
      </c>
      <c r="B1438" s="875">
        <v>42369</v>
      </c>
      <c r="C1438" s="877" t="s">
        <v>272</v>
      </c>
      <c r="D1438" s="877" t="s">
        <v>526</v>
      </c>
      <c r="E1438" s="881" t="s">
        <v>148</v>
      </c>
      <c r="F1438" s="883">
        <v>644000</v>
      </c>
      <c r="G1438" s="55">
        <v>719</v>
      </c>
      <c r="H1438" s="873" t="s">
        <v>1509</v>
      </c>
      <c r="I1438" s="875">
        <v>43088</v>
      </c>
      <c r="J1438" s="877" t="s">
        <v>472</v>
      </c>
      <c r="K1438" s="881" t="s">
        <v>1510</v>
      </c>
      <c r="L1438" s="881" t="s">
        <v>148</v>
      </c>
      <c r="M1438" s="883">
        <v>-429000</v>
      </c>
      <c r="N1438" s="55">
        <v>719</v>
      </c>
      <c r="O1438" s="78">
        <v>-330000</v>
      </c>
    </row>
    <row r="1439" spans="1:15" ht="14.25" customHeight="1" thickBot="1">
      <c r="A1439" s="920"/>
      <c r="B1439" s="876"/>
      <c r="C1439" s="878"/>
      <c r="D1439" s="878"/>
      <c r="E1439" s="882"/>
      <c r="F1439" s="884"/>
      <c r="G1439" s="56">
        <v>721</v>
      </c>
      <c r="H1439" s="874"/>
      <c r="I1439" s="876"/>
      <c r="J1439" s="878"/>
      <c r="K1439" s="882"/>
      <c r="L1439" s="882"/>
      <c r="M1439" s="884"/>
      <c r="N1439" s="56">
        <v>721</v>
      </c>
      <c r="O1439" s="79">
        <f>+M1438-O1438</f>
        <v>-99000</v>
      </c>
    </row>
    <row r="1440" spans="1:15" ht="15" customHeight="1" thickBot="1">
      <c r="A1440" s="919"/>
      <c r="B1440" s="875"/>
      <c r="C1440" s="877"/>
      <c r="D1440" s="877"/>
      <c r="E1440" s="881"/>
      <c r="F1440" s="883"/>
      <c r="G1440" s="55">
        <v>719</v>
      </c>
      <c r="H1440" s="901" t="s">
        <v>102</v>
      </c>
      <c r="I1440" s="902"/>
      <c r="J1440" s="902"/>
      <c r="K1440" s="902"/>
      <c r="L1440" s="903"/>
      <c r="M1440" s="81">
        <f>SUM(M1430:M1439)</f>
        <v>-2522000</v>
      </c>
    </row>
    <row r="1441" spans="1:15" ht="15.75" customHeight="1" thickBot="1">
      <c r="A1441" s="920"/>
      <c r="B1441" s="876"/>
      <c r="C1441" s="878"/>
      <c r="D1441" s="878"/>
      <c r="E1441" s="882"/>
      <c r="F1441" s="884"/>
      <c r="G1441" s="56">
        <v>721</v>
      </c>
      <c r="H1441" s="885" t="s">
        <v>103</v>
      </c>
      <c r="I1441" s="886"/>
      <c r="J1441" s="886"/>
      <c r="K1441" s="886"/>
      <c r="L1441" s="887"/>
      <c r="M1441" s="69">
        <f>+M1405</f>
        <v>103164981</v>
      </c>
      <c r="N1441" s="241" t="s">
        <v>561</v>
      </c>
      <c r="O1441" s="242">
        <v>124</v>
      </c>
    </row>
    <row r="1442" spans="1:15" ht="16.5" thickBot="1">
      <c r="A1442" s="901" t="s">
        <v>102</v>
      </c>
      <c r="B1442" s="902"/>
      <c r="C1442" s="902"/>
      <c r="D1442" s="902"/>
      <c r="E1442" s="903"/>
      <c r="F1442" s="81">
        <f>SUM(F1432:F1441)</f>
        <v>1246000</v>
      </c>
      <c r="H1442" s="888" t="s">
        <v>104</v>
      </c>
      <c r="I1442" s="889"/>
      <c r="J1442" s="889"/>
      <c r="K1442" s="889"/>
      <c r="L1442" s="890"/>
      <c r="M1442" s="183">
        <f>SUM(M1440:M1441)</f>
        <v>100642981</v>
      </c>
    </row>
    <row r="1443" spans="1:15" ht="12.75" customHeight="1" thickBot="1">
      <c r="A1443" s="885" t="s">
        <v>103</v>
      </c>
      <c r="B1443" s="886"/>
      <c r="C1443" s="886"/>
      <c r="D1443" s="886"/>
      <c r="E1443" s="887"/>
      <c r="F1443" s="69" t="e">
        <f>+F1407</f>
        <v>#REF!</v>
      </c>
      <c r="H1443" s="61"/>
      <c r="I1443" s="61"/>
      <c r="J1443" s="61"/>
      <c r="K1443" s="61"/>
      <c r="L1443" s="61"/>
    </row>
    <row r="1444" spans="1:15" ht="16.5" thickBot="1">
      <c r="A1444" s="888" t="s">
        <v>104</v>
      </c>
      <c r="B1444" s="889"/>
      <c r="C1444" s="889"/>
      <c r="D1444" s="889"/>
      <c r="E1444" s="890"/>
      <c r="F1444" s="183" t="e">
        <f>SUM(F1442:F1443)</f>
        <v>#REF!</v>
      </c>
      <c r="H1444" s="51" t="s">
        <v>1601</v>
      </c>
    </row>
    <row r="1445" spans="1:15" ht="9.75" customHeight="1">
      <c r="A1445" s="61"/>
      <c r="B1445" s="61"/>
      <c r="C1445" s="61"/>
      <c r="D1445" s="61"/>
      <c r="E1445" s="61"/>
      <c r="M1445" s="139"/>
    </row>
    <row r="1446" spans="1:15">
      <c r="A1446" s="51" t="s">
        <v>527</v>
      </c>
      <c r="H1446" s="50" t="s">
        <v>105</v>
      </c>
      <c r="K1446" s="146"/>
      <c r="M1446" s="139"/>
    </row>
    <row r="1447" spans="1:15" ht="12.75" customHeight="1" thickBot="1">
      <c r="F1447" s="139"/>
    </row>
    <row r="1448" spans="1:15" ht="15.75" thickBot="1">
      <c r="A1448" s="50" t="s">
        <v>105</v>
      </c>
      <c r="D1448" s="146"/>
      <c r="F1448" s="139"/>
      <c r="H1448" s="891" t="s">
        <v>106</v>
      </c>
      <c r="I1448" s="892"/>
      <c r="J1448" s="892"/>
      <c r="K1448" s="893"/>
      <c r="M1448" s="50" t="s">
        <v>288</v>
      </c>
    </row>
    <row r="1449" spans="1:15" ht="30.75" thickBot="1">
      <c r="H1449" s="57" t="s">
        <v>100</v>
      </c>
      <c r="I1449" s="58" t="s">
        <v>108</v>
      </c>
      <c r="J1449" s="287" t="s">
        <v>109</v>
      </c>
      <c r="K1449" s="60" t="s">
        <v>110</v>
      </c>
    </row>
    <row r="1450" spans="1:15" ht="15.75" thickBot="1">
      <c r="A1450" s="891" t="s">
        <v>106</v>
      </c>
      <c r="B1450" s="892"/>
      <c r="C1450" s="892"/>
      <c r="D1450" s="893"/>
      <c r="F1450" s="50" t="s">
        <v>288</v>
      </c>
      <c r="H1450" s="71">
        <v>719</v>
      </c>
      <c r="I1450" s="73">
        <f>+O1430+O1432+O1434+O1436+O1438</f>
        <v>-1940000</v>
      </c>
      <c r="J1450" s="74">
        <f>+K1413</f>
        <v>16240000</v>
      </c>
      <c r="K1450" s="195">
        <f>+I1450+J1450</f>
        <v>14300000</v>
      </c>
    </row>
    <row r="1451" spans="1:15" ht="17.25" customHeight="1" thickBot="1">
      <c r="A1451" s="57" t="s">
        <v>100</v>
      </c>
      <c r="B1451" s="58" t="s">
        <v>108</v>
      </c>
      <c r="C1451" s="59" t="s">
        <v>109</v>
      </c>
      <c r="D1451" s="60" t="s">
        <v>110</v>
      </c>
      <c r="H1451" s="72">
        <v>721</v>
      </c>
      <c r="I1451" s="80">
        <v>0</v>
      </c>
      <c r="J1451" s="74">
        <f>+K1414</f>
        <v>80112481</v>
      </c>
      <c r="K1451" s="195">
        <f>+I1451+J1451</f>
        <v>80112481</v>
      </c>
    </row>
    <row r="1452" spans="1:15" ht="11.25" customHeight="1">
      <c r="A1452" s="71">
        <v>719</v>
      </c>
      <c r="B1452" s="73" t="e">
        <f>+#REF!+#REF!+#REF!+#REF!</f>
        <v>#REF!</v>
      </c>
      <c r="C1452" s="74" t="e">
        <f>+D1415</f>
        <v>#REF!</v>
      </c>
      <c r="D1452" s="195" t="e">
        <f>+B1452+C1452</f>
        <v>#REF!</v>
      </c>
      <c r="H1452" s="72">
        <v>722</v>
      </c>
      <c r="I1452" s="80"/>
      <c r="J1452" s="74">
        <f>+K1415</f>
        <v>0</v>
      </c>
      <c r="K1452" s="195">
        <f>+I1452+J1452</f>
        <v>0</v>
      </c>
    </row>
    <row r="1453" spans="1:15" ht="15.75">
      <c r="A1453" s="72">
        <v>721</v>
      </c>
      <c r="B1453" s="80" t="e">
        <f>+#REF!+#REF!+#REF!+#REF!</f>
        <v>#REF!</v>
      </c>
      <c r="C1453" s="74" t="e">
        <f>+D1416</f>
        <v>#REF!</v>
      </c>
      <c r="D1453" s="195" t="e">
        <f>+B1453+C1453</f>
        <v>#REF!</v>
      </c>
      <c r="H1453" s="72">
        <v>723</v>
      </c>
      <c r="I1453" s="80">
        <f>+O1433+O1435+O1437+O1439+O1431</f>
        <v>-582000</v>
      </c>
      <c r="J1453" s="74">
        <f>+K1416</f>
        <v>6812500</v>
      </c>
      <c r="K1453" s="195">
        <f>+I1453+J1453</f>
        <v>6230500</v>
      </c>
      <c r="M1453" s="918" t="s">
        <v>1481</v>
      </c>
      <c r="N1453" s="918"/>
      <c r="O1453" s="918"/>
    </row>
    <row r="1454" spans="1:15" ht="12" customHeight="1" thickBot="1">
      <c r="A1454" s="72">
        <v>722</v>
      </c>
      <c r="B1454" s="80"/>
      <c r="C1454" s="74" t="e">
        <f>+D1417</f>
        <v>#REF!</v>
      </c>
      <c r="D1454" s="195" t="e">
        <f>+B1454+C1454</f>
        <v>#REF!</v>
      </c>
      <c r="H1454" s="164" t="s">
        <v>181</v>
      </c>
      <c r="I1454" s="165"/>
      <c r="J1454" s="74">
        <f>+K1417</f>
        <v>0</v>
      </c>
      <c r="K1454" s="196">
        <f>+I1454+J1454</f>
        <v>0</v>
      </c>
      <c r="M1454" s="52"/>
    </row>
    <row r="1455" spans="1:15" ht="14.25" customHeight="1" thickBot="1">
      <c r="A1455" s="72">
        <v>723</v>
      </c>
      <c r="B1455" s="80"/>
      <c r="C1455" s="74" t="e">
        <f>+D1418</f>
        <v>#REF!</v>
      </c>
      <c r="D1455" s="195" t="e">
        <f>+B1455+C1455</f>
        <v>#REF!</v>
      </c>
      <c r="F1455" s="174" t="s">
        <v>23</v>
      </c>
      <c r="G1455" s="175"/>
      <c r="H1455" s="169"/>
      <c r="I1455" s="197">
        <f>SUM(I1450:I1454)</f>
        <v>-2522000</v>
      </c>
      <c r="J1455" s="197">
        <f>SUM(J1450:J1454)</f>
        <v>103164981</v>
      </c>
      <c r="K1455" s="198">
        <f>SUM(K1450:K1454)</f>
        <v>100642981</v>
      </c>
    </row>
    <row r="1456" spans="1:15" ht="15.75" customHeight="1" thickBot="1">
      <c r="A1456" s="169"/>
      <c r="B1456" s="170" t="e">
        <f>SUM(#REF!)</f>
        <v>#REF!</v>
      </c>
      <c r="C1456" s="171" t="e">
        <f>SUM(#REF!)</f>
        <v>#REF!</v>
      </c>
      <c r="D1456" s="172" t="e">
        <f>SUM(#REF!)</f>
        <v>#REF!</v>
      </c>
      <c r="H1456" s="49" t="s">
        <v>88</v>
      </c>
      <c r="I1456" s="50"/>
    </row>
    <row r="1457" spans="1:15" ht="13.5" customHeight="1">
      <c r="A1457" s="49" t="s">
        <v>88</v>
      </c>
      <c r="B1457" s="50"/>
      <c r="H1457" s="51" t="s">
        <v>89</v>
      </c>
    </row>
    <row r="1458" spans="1:15" ht="14.25" customHeight="1">
      <c r="A1458" s="51" t="s">
        <v>89</v>
      </c>
      <c r="H1458" s="51" t="s">
        <v>90</v>
      </c>
    </row>
    <row r="1459" spans="1:15" ht="12" customHeight="1">
      <c r="A1459" s="51" t="s">
        <v>90</v>
      </c>
      <c r="H1459" s="51" t="s">
        <v>91</v>
      </c>
    </row>
    <row r="1460" spans="1:15" ht="8.25" customHeight="1">
      <c r="A1460" s="51" t="s">
        <v>91</v>
      </c>
      <c r="H1460" s="50"/>
      <c r="I1460" s="50"/>
    </row>
    <row r="1461" spans="1:15" ht="12" customHeight="1">
      <c r="A1461" s="50"/>
      <c r="B1461" s="50"/>
      <c r="H1461" s="260" t="s">
        <v>927</v>
      </c>
      <c r="N1461" s="52"/>
    </row>
    <row r="1462" spans="1:15" ht="16.5">
      <c r="A1462" s="52" t="s">
        <v>544</v>
      </c>
      <c r="G1462" s="52"/>
      <c r="H1462" s="53" t="s">
        <v>535</v>
      </c>
      <c r="N1462" s="53"/>
    </row>
    <row r="1463" spans="1:15" ht="16.5">
      <c r="A1463" s="53" t="s">
        <v>92</v>
      </c>
      <c r="G1463" s="53"/>
      <c r="H1463" s="894" t="s">
        <v>1600</v>
      </c>
      <c r="I1463" s="894"/>
      <c r="J1463" s="894"/>
      <c r="K1463" s="894"/>
      <c r="L1463" s="894"/>
      <c r="M1463" s="894"/>
      <c r="N1463" s="894"/>
      <c r="O1463" s="894"/>
    </row>
    <row r="1464" spans="1:15" ht="7.5" customHeight="1" thickBot="1">
      <c r="A1464" s="894" t="s">
        <v>261</v>
      </c>
      <c r="B1464" s="894"/>
      <c r="C1464" s="894"/>
      <c r="D1464" s="894"/>
      <c r="E1464" s="894"/>
      <c r="F1464" s="894"/>
      <c r="G1464" s="894"/>
    </row>
    <row r="1465" spans="1:15" ht="15.75" thickBot="1">
      <c r="H1465" s="895" t="s">
        <v>94</v>
      </c>
      <c r="I1465" s="897" t="s">
        <v>95</v>
      </c>
      <c r="J1465" s="897" t="s">
        <v>96</v>
      </c>
      <c r="K1465" s="897" t="s">
        <v>3</v>
      </c>
      <c r="L1465" s="897" t="s">
        <v>97</v>
      </c>
      <c r="M1465" s="897" t="s">
        <v>98</v>
      </c>
      <c r="N1465" s="897" t="s">
        <v>99</v>
      </c>
      <c r="O1465" s="899"/>
    </row>
    <row r="1466" spans="1:15" ht="15.75" thickBot="1">
      <c r="A1466" s="895" t="s">
        <v>94</v>
      </c>
      <c r="B1466" s="897" t="s">
        <v>95</v>
      </c>
      <c r="C1466" s="897" t="s">
        <v>96</v>
      </c>
      <c r="D1466" s="897" t="s">
        <v>3</v>
      </c>
      <c r="E1466" s="897" t="s">
        <v>97</v>
      </c>
      <c r="F1466" s="897" t="s">
        <v>98</v>
      </c>
      <c r="G1466" s="500" t="s">
        <v>99</v>
      </c>
      <c r="H1466" s="896"/>
      <c r="I1466" s="898"/>
      <c r="J1466" s="898"/>
      <c r="K1466" s="898"/>
      <c r="L1466" s="898"/>
      <c r="M1466" s="898"/>
      <c r="N1466" s="240" t="s">
        <v>100</v>
      </c>
      <c r="O1466" s="182" t="s">
        <v>101</v>
      </c>
    </row>
    <row r="1467" spans="1:15" ht="14.25" customHeight="1" thickBot="1">
      <c r="A1467" s="896"/>
      <c r="B1467" s="898"/>
      <c r="C1467" s="898"/>
      <c r="D1467" s="898"/>
      <c r="E1467" s="898"/>
      <c r="F1467" s="898"/>
      <c r="G1467" s="240" t="s">
        <v>100</v>
      </c>
      <c r="H1467" s="873" t="s">
        <v>1519</v>
      </c>
      <c r="I1467" s="875">
        <v>42723</v>
      </c>
      <c r="J1467" s="877" t="s">
        <v>28</v>
      </c>
      <c r="K1467" s="881" t="s">
        <v>1592</v>
      </c>
      <c r="L1467" s="881" t="s">
        <v>775</v>
      </c>
      <c r="M1467" s="883">
        <v>-170000</v>
      </c>
      <c r="N1467" s="55">
        <v>719</v>
      </c>
      <c r="O1467" s="78">
        <v>-170000</v>
      </c>
    </row>
    <row r="1468" spans="1:15" ht="12" customHeight="1" thickBot="1">
      <c r="A1468" s="919" t="e">
        <f>+#REF!+1</f>
        <v>#REF!</v>
      </c>
      <c r="B1468" s="875">
        <v>42369</v>
      </c>
      <c r="C1468" s="877" t="s">
        <v>267</v>
      </c>
      <c r="D1468" s="881" t="s">
        <v>530</v>
      </c>
      <c r="E1468" s="881" t="s">
        <v>148</v>
      </c>
      <c r="F1468" s="883">
        <v>70000</v>
      </c>
      <c r="G1468" s="55">
        <v>719</v>
      </c>
      <c r="H1468" s="874"/>
      <c r="I1468" s="876"/>
      <c r="J1468" s="878"/>
      <c r="K1468" s="882"/>
      <c r="L1468" s="882"/>
      <c r="M1468" s="884"/>
      <c r="N1468" s="56">
        <v>721</v>
      </c>
      <c r="O1468" s="79">
        <f>+M1467-O1467</f>
        <v>0</v>
      </c>
    </row>
    <row r="1469" spans="1:15" ht="14.25" customHeight="1" thickBot="1">
      <c r="A1469" s="920"/>
      <c r="B1469" s="876"/>
      <c r="C1469" s="878"/>
      <c r="D1469" s="882"/>
      <c r="E1469" s="882"/>
      <c r="F1469" s="884"/>
      <c r="G1469" s="56">
        <v>721</v>
      </c>
      <c r="H1469" s="873" t="s">
        <v>1606</v>
      </c>
      <c r="I1469" s="875">
        <v>42723</v>
      </c>
      <c r="J1469" s="877" t="s">
        <v>28</v>
      </c>
      <c r="K1469" s="881" t="s">
        <v>1516</v>
      </c>
      <c r="L1469" s="881" t="s">
        <v>775</v>
      </c>
      <c r="M1469" s="883">
        <v>-70000</v>
      </c>
      <c r="N1469" s="55">
        <v>719</v>
      </c>
      <c r="O1469" s="78">
        <v>-70000</v>
      </c>
    </row>
    <row r="1470" spans="1:15" ht="12.75" customHeight="1" thickBot="1">
      <c r="A1470" s="919" t="e">
        <f>+A1468+1</f>
        <v>#REF!</v>
      </c>
      <c r="B1470" s="875">
        <v>42369</v>
      </c>
      <c r="C1470" s="881" t="s">
        <v>28</v>
      </c>
      <c r="D1470" s="881" t="s">
        <v>530</v>
      </c>
      <c r="E1470" s="881" t="s">
        <v>148</v>
      </c>
      <c r="F1470" s="883">
        <v>70000</v>
      </c>
      <c r="G1470" s="55">
        <v>719</v>
      </c>
      <c r="H1470" s="874"/>
      <c r="I1470" s="876"/>
      <c r="J1470" s="878"/>
      <c r="K1470" s="882"/>
      <c r="L1470" s="882"/>
      <c r="M1470" s="884"/>
      <c r="N1470" s="56">
        <v>721</v>
      </c>
      <c r="O1470" s="79">
        <f>+M1469-O1469</f>
        <v>0</v>
      </c>
    </row>
    <row r="1471" spans="1:15" ht="14.25" customHeight="1" thickBot="1">
      <c r="A1471" s="920"/>
      <c r="B1471" s="876"/>
      <c r="C1471" s="882"/>
      <c r="D1471" s="882"/>
      <c r="E1471" s="882"/>
      <c r="F1471" s="884"/>
      <c r="G1471" s="56">
        <v>721</v>
      </c>
      <c r="H1471" s="873" t="s">
        <v>1607</v>
      </c>
      <c r="I1471" s="875">
        <v>42723</v>
      </c>
      <c r="J1471" s="877" t="s">
        <v>28</v>
      </c>
      <c r="K1471" s="881" t="s">
        <v>1517</v>
      </c>
      <c r="L1471" s="881" t="s">
        <v>775</v>
      </c>
      <c r="M1471" s="883">
        <v>-160000</v>
      </c>
      <c r="N1471" s="55">
        <v>719</v>
      </c>
      <c r="O1471" s="78">
        <v>-160000</v>
      </c>
    </row>
    <row r="1472" spans="1:15" ht="11.25" customHeight="1" thickBot="1">
      <c r="A1472" s="919" t="e">
        <f>+A1470+1</f>
        <v>#REF!</v>
      </c>
      <c r="B1472" s="875">
        <v>42369</v>
      </c>
      <c r="C1472" s="877" t="s">
        <v>32</v>
      </c>
      <c r="D1472" s="881" t="s">
        <v>530</v>
      </c>
      <c r="E1472" s="881" t="s">
        <v>148</v>
      </c>
      <c r="F1472" s="883">
        <v>84000</v>
      </c>
      <c r="G1472" s="55">
        <v>719</v>
      </c>
      <c r="H1472" s="874"/>
      <c r="I1472" s="876"/>
      <c r="J1472" s="878"/>
      <c r="K1472" s="882"/>
      <c r="L1472" s="882"/>
      <c r="M1472" s="884"/>
      <c r="N1472" s="56">
        <v>721</v>
      </c>
      <c r="O1472" s="79"/>
    </row>
    <row r="1473" spans="1:15" ht="13.5" customHeight="1">
      <c r="A1473" s="921"/>
      <c r="B1473" s="922"/>
      <c r="C1473" s="900"/>
      <c r="D1473" s="923"/>
      <c r="E1473" s="923"/>
      <c r="F1473" s="924"/>
      <c r="G1473" s="255"/>
      <c r="H1473" s="873" t="s">
        <v>1608</v>
      </c>
      <c r="I1473" s="875">
        <v>42723</v>
      </c>
      <c r="J1473" s="877" t="s">
        <v>28</v>
      </c>
      <c r="K1473" s="881" t="s">
        <v>1524</v>
      </c>
      <c r="L1473" s="881" t="s">
        <v>148</v>
      </c>
      <c r="M1473" s="883">
        <v>-1001000</v>
      </c>
      <c r="N1473" s="55">
        <v>719</v>
      </c>
      <c r="O1473" s="78">
        <v>-770000</v>
      </c>
    </row>
    <row r="1474" spans="1:15" ht="13.5" customHeight="1" thickBot="1">
      <c r="A1474" s="921"/>
      <c r="B1474" s="922"/>
      <c r="C1474" s="900"/>
      <c r="D1474" s="923"/>
      <c r="E1474" s="923"/>
      <c r="F1474" s="924"/>
      <c r="G1474" s="255"/>
      <c r="H1474" s="874"/>
      <c r="I1474" s="876"/>
      <c r="J1474" s="878"/>
      <c r="K1474" s="882"/>
      <c r="L1474" s="882"/>
      <c r="M1474" s="884"/>
      <c r="N1474" s="56">
        <v>721</v>
      </c>
      <c r="O1474" s="79">
        <v>-231000</v>
      </c>
    </row>
    <row r="1475" spans="1:15" ht="14.25" customHeight="1" thickBot="1">
      <c r="A1475" s="920"/>
      <c r="B1475" s="876"/>
      <c r="C1475" s="878"/>
      <c r="D1475" s="882"/>
      <c r="E1475" s="882"/>
      <c r="F1475" s="884"/>
      <c r="G1475" s="56">
        <v>721</v>
      </c>
      <c r="H1475" s="873" t="s">
        <v>1609</v>
      </c>
      <c r="I1475" s="875">
        <v>42723</v>
      </c>
      <c r="J1475" s="877" t="s">
        <v>28</v>
      </c>
      <c r="K1475" s="881" t="s">
        <v>1527</v>
      </c>
      <c r="L1475" s="881" t="s">
        <v>148</v>
      </c>
      <c r="M1475" s="883">
        <v>-559000</v>
      </c>
      <c r="N1475" s="55">
        <v>719</v>
      </c>
      <c r="O1475" s="78">
        <v>-430000</v>
      </c>
    </row>
    <row r="1476" spans="1:15" ht="15" customHeight="1" thickBot="1">
      <c r="A1476" s="919" t="e">
        <f>+A1472+1</f>
        <v>#REF!</v>
      </c>
      <c r="B1476" s="875">
        <v>42369</v>
      </c>
      <c r="C1476" s="877" t="s">
        <v>272</v>
      </c>
      <c r="D1476" s="881" t="s">
        <v>530</v>
      </c>
      <c r="E1476" s="881" t="s">
        <v>148</v>
      </c>
      <c r="F1476" s="883">
        <v>294000</v>
      </c>
      <c r="G1476" s="55">
        <v>719</v>
      </c>
      <c r="H1476" s="874"/>
      <c r="I1476" s="876"/>
      <c r="J1476" s="878"/>
      <c r="K1476" s="882"/>
      <c r="L1476" s="882"/>
      <c r="M1476" s="884"/>
      <c r="N1476" s="56">
        <v>721</v>
      </c>
      <c r="O1476" s="79">
        <f>+M1475-O1475</f>
        <v>-129000</v>
      </c>
    </row>
    <row r="1477" spans="1:15" ht="13.5" customHeight="1" thickBot="1">
      <c r="A1477" s="920"/>
      <c r="B1477" s="876"/>
      <c r="C1477" s="878"/>
      <c r="D1477" s="882"/>
      <c r="E1477" s="882"/>
      <c r="F1477" s="884"/>
      <c r="G1477" s="56">
        <v>721</v>
      </c>
      <c r="H1477" s="873" t="s">
        <v>1610</v>
      </c>
      <c r="I1477" s="875">
        <v>42723</v>
      </c>
      <c r="J1477" s="877" t="s">
        <v>28</v>
      </c>
      <c r="K1477" s="881" t="s">
        <v>1529</v>
      </c>
      <c r="L1477" s="881" t="s">
        <v>148</v>
      </c>
      <c r="M1477" s="883">
        <v>-624000</v>
      </c>
      <c r="N1477" s="55">
        <v>719</v>
      </c>
      <c r="O1477" s="78">
        <v>-480000</v>
      </c>
    </row>
    <row r="1478" spans="1:15" ht="14.25" customHeight="1" thickBot="1">
      <c r="A1478" s="919"/>
      <c r="B1478" s="875"/>
      <c r="C1478" s="877"/>
      <c r="D1478" s="877"/>
      <c r="E1478" s="881"/>
      <c r="F1478" s="883"/>
      <c r="G1478" s="55">
        <v>719</v>
      </c>
      <c r="H1478" s="874"/>
      <c r="I1478" s="876"/>
      <c r="J1478" s="878"/>
      <c r="K1478" s="882"/>
      <c r="L1478" s="882"/>
      <c r="M1478" s="884"/>
      <c r="N1478" s="56">
        <v>721</v>
      </c>
      <c r="O1478" s="79">
        <f>+M1477-O1477</f>
        <v>-144000</v>
      </c>
    </row>
    <row r="1479" spans="1:15" ht="16.5" thickBot="1">
      <c r="A1479" s="920"/>
      <c r="B1479" s="876"/>
      <c r="C1479" s="878"/>
      <c r="D1479" s="878"/>
      <c r="E1479" s="882"/>
      <c r="F1479" s="884"/>
      <c r="G1479" s="56">
        <v>721</v>
      </c>
      <c r="H1479" s="901" t="s">
        <v>102</v>
      </c>
      <c r="I1479" s="902"/>
      <c r="J1479" s="902"/>
      <c r="K1479" s="902"/>
      <c r="L1479" s="903"/>
      <c r="M1479" s="81">
        <f>SUM(M1467:M1478)</f>
        <v>-2584000</v>
      </c>
    </row>
    <row r="1480" spans="1:15" ht="16.5" thickBot="1">
      <c r="A1480" s="901" t="s">
        <v>102</v>
      </c>
      <c r="B1480" s="902"/>
      <c r="C1480" s="902"/>
      <c r="D1480" s="902"/>
      <c r="E1480" s="903"/>
      <c r="F1480" s="81">
        <f>SUM(F1468:F1479)</f>
        <v>518000</v>
      </c>
      <c r="H1480" s="885" t="s">
        <v>103</v>
      </c>
      <c r="I1480" s="886"/>
      <c r="J1480" s="886"/>
      <c r="K1480" s="886"/>
      <c r="L1480" s="887"/>
      <c r="M1480" s="69">
        <f>+M1442</f>
        <v>100642981</v>
      </c>
      <c r="N1480" s="241" t="s">
        <v>561</v>
      </c>
      <c r="O1480" s="242"/>
    </row>
    <row r="1481" spans="1:15" ht="16.5" thickBot="1">
      <c r="A1481" s="885" t="s">
        <v>103</v>
      </c>
      <c r="B1481" s="886"/>
      <c r="C1481" s="886"/>
      <c r="D1481" s="886"/>
      <c r="E1481" s="887"/>
      <c r="F1481" s="69" t="e">
        <f>+#REF!</f>
        <v>#REF!</v>
      </c>
      <c r="H1481" s="888" t="s">
        <v>104</v>
      </c>
      <c r="I1481" s="889"/>
      <c r="J1481" s="889"/>
      <c r="K1481" s="889"/>
      <c r="L1481" s="890"/>
      <c r="M1481" s="183">
        <f>SUM(M1479:M1480)</f>
        <v>98058981</v>
      </c>
    </row>
    <row r="1482" spans="1:15" ht="14.25" customHeight="1" thickBot="1">
      <c r="A1482" s="888" t="s">
        <v>104</v>
      </c>
      <c r="B1482" s="889"/>
      <c r="C1482" s="889"/>
      <c r="D1482" s="889"/>
      <c r="E1482" s="890"/>
      <c r="F1482" s="183" t="e">
        <f>SUM(F1480:F1481)</f>
        <v>#REF!</v>
      </c>
      <c r="H1482" s="61"/>
      <c r="I1482" s="61"/>
      <c r="J1482" s="61"/>
      <c r="K1482" s="61"/>
      <c r="L1482" s="61"/>
    </row>
    <row r="1483" spans="1:15">
      <c r="A1483" s="61"/>
      <c r="B1483" s="61"/>
      <c r="C1483" s="61"/>
      <c r="D1483" s="61"/>
      <c r="E1483" s="61"/>
      <c r="H1483" s="51" t="s">
        <v>1602</v>
      </c>
    </row>
    <row r="1484" spans="1:15" ht="9" customHeight="1">
      <c r="A1484" s="51" t="s">
        <v>546</v>
      </c>
      <c r="M1484" s="139"/>
    </row>
    <row r="1485" spans="1:15" ht="12.75" customHeight="1">
      <c r="F1485" s="139"/>
      <c r="H1485" s="50" t="s">
        <v>105</v>
      </c>
      <c r="K1485" s="146"/>
      <c r="M1485" s="139"/>
    </row>
    <row r="1486" spans="1:15" ht="12" customHeight="1" thickBot="1">
      <c r="A1486" s="50" t="s">
        <v>105</v>
      </c>
      <c r="D1486" s="146"/>
      <c r="F1486" s="139"/>
    </row>
    <row r="1487" spans="1:15" ht="12" customHeight="1" thickBot="1">
      <c r="H1487" s="891" t="s">
        <v>106</v>
      </c>
      <c r="I1487" s="892"/>
      <c r="J1487" s="892"/>
      <c r="K1487" s="893"/>
      <c r="M1487" s="50" t="s">
        <v>288</v>
      </c>
    </row>
    <row r="1488" spans="1:15" ht="28.5" customHeight="1" thickBot="1">
      <c r="A1488" s="891" t="s">
        <v>106</v>
      </c>
      <c r="B1488" s="892"/>
      <c r="C1488" s="892"/>
      <c r="D1488" s="893"/>
      <c r="F1488" s="50" t="s">
        <v>288</v>
      </c>
      <c r="H1488" s="57" t="s">
        <v>100</v>
      </c>
      <c r="I1488" s="58" t="s">
        <v>108</v>
      </c>
      <c r="J1488" s="59" t="s">
        <v>109</v>
      </c>
      <c r="K1488" s="60" t="s">
        <v>110</v>
      </c>
    </row>
    <row r="1489" spans="1:15" ht="14.25" customHeight="1" thickBot="1">
      <c r="A1489" s="57" t="s">
        <v>100</v>
      </c>
      <c r="B1489" s="58" t="s">
        <v>108</v>
      </c>
      <c r="C1489" s="59" t="s">
        <v>109</v>
      </c>
      <c r="D1489" s="60" t="s">
        <v>110</v>
      </c>
      <c r="H1489" s="71">
        <v>719</v>
      </c>
      <c r="I1489" s="73">
        <f>+O1467+O1469+O1471+O1473+O1475+O1477</f>
        <v>-2080000</v>
      </c>
      <c r="J1489" s="74">
        <f>+K1450</f>
        <v>14300000</v>
      </c>
      <c r="K1489" s="195">
        <f>+I1489+J1489</f>
        <v>12220000</v>
      </c>
    </row>
    <row r="1490" spans="1:15" ht="13.5" customHeight="1">
      <c r="A1490" s="71">
        <v>719</v>
      </c>
      <c r="B1490" s="73" t="e">
        <f>+#REF!+#REF!+#REF!+#REF!</f>
        <v>#REF!</v>
      </c>
      <c r="C1490" s="74" t="e">
        <f>+#REF!</f>
        <v>#REF!</v>
      </c>
      <c r="D1490" s="195" t="e">
        <f>+B1490+C1490</f>
        <v>#REF!</v>
      </c>
      <c r="H1490" s="72">
        <v>721</v>
      </c>
      <c r="I1490" s="80">
        <f>+O1478+O1476+O1474</f>
        <v>-504000</v>
      </c>
      <c r="J1490" s="74">
        <f>+K1451</f>
        <v>80112481</v>
      </c>
      <c r="K1490" s="195">
        <f>+I1490+J1490</f>
        <v>79608481</v>
      </c>
    </row>
    <row r="1491" spans="1:15" ht="13.5" customHeight="1">
      <c r="A1491" s="72">
        <v>721</v>
      </c>
      <c r="B1491" s="80" t="e">
        <f>+#REF!+#REF!+#REF!+#REF!+#REF!</f>
        <v>#REF!</v>
      </c>
      <c r="C1491" s="74" t="e">
        <f>+#REF!</f>
        <v>#REF!</v>
      </c>
      <c r="D1491" s="195" t="e">
        <f>+B1491+C1491</f>
        <v>#REF!</v>
      </c>
      <c r="H1491" s="72">
        <v>722</v>
      </c>
      <c r="I1491" s="80"/>
      <c r="J1491" s="74">
        <f>+K1452</f>
        <v>0</v>
      </c>
      <c r="K1491" s="195">
        <f>+I1491+J1491</f>
        <v>0</v>
      </c>
    </row>
    <row r="1492" spans="1:15" ht="15" customHeight="1">
      <c r="A1492" s="72">
        <v>722</v>
      </c>
      <c r="B1492" s="80"/>
      <c r="C1492" s="74" t="e">
        <f>+#REF!</f>
        <v>#REF!</v>
      </c>
      <c r="D1492" s="195" t="e">
        <f>+B1492+C1492</f>
        <v>#REF!</v>
      </c>
      <c r="H1492" s="72">
        <v>723</v>
      </c>
      <c r="I1492" s="80"/>
      <c r="J1492" s="74">
        <f>+K1453</f>
        <v>6230500</v>
      </c>
      <c r="K1492" s="195">
        <f>+I1492+J1492</f>
        <v>6230500</v>
      </c>
      <c r="M1492" s="918" t="s">
        <v>1481</v>
      </c>
      <c r="N1492" s="918"/>
      <c r="O1492" s="918"/>
    </row>
    <row r="1493" spans="1:15" ht="16.5" thickBot="1">
      <c r="A1493" s="72">
        <v>723</v>
      </c>
      <c r="B1493" s="80"/>
      <c r="C1493" s="74" t="e">
        <f>+#REF!</f>
        <v>#REF!</v>
      </c>
      <c r="D1493" s="195" t="e">
        <f>+B1493+C1493</f>
        <v>#REF!</v>
      </c>
      <c r="F1493" s="174" t="s">
        <v>23</v>
      </c>
      <c r="G1493" s="175"/>
      <c r="H1493" s="164" t="s">
        <v>181</v>
      </c>
      <c r="I1493" s="165"/>
      <c r="J1493" s="74">
        <f>+K1454</f>
        <v>0</v>
      </c>
      <c r="K1493" s="196">
        <f>+I1493+J1493</f>
        <v>0</v>
      </c>
      <c r="M1493" s="52"/>
    </row>
    <row r="1494" spans="1:15" ht="16.5" thickBot="1">
      <c r="A1494" s="164" t="s">
        <v>181</v>
      </c>
      <c r="B1494" s="165"/>
      <c r="C1494" s="74" t="e">
        <f>+#REF!</f>
        <v>#REF!</v>
      </c>
      <c r="D1494" s="196" t="e">
        <f>+B1494+C1494</f>
        <v>#REF!</v>
      </c>
      <c r="F1494" s="52"/>
      <c r="H1494" s="169"/>
      <c r="I1494" s="197">
        <f>SUM(I1489:I1493)</f>
        <v>-2584000</v>
      </c>
      <c r="J1494" s="197">
        <f>SUM(J1489:J1493)</f>
        <v>100642981</v>
      </c>
      <c r="K1494" s="198">
        <f>SUM(K1489:K1493)</f>
        <v>98058981</v>
      </c>
    </row>
    <row r="1495" spans="1:15" ht="17.25" thickBot="1">
      <c r="A1495" s="169"/>
      <c r="B1495" s="170" t="e">
        <f>SUM(B1490:B1494)</f>
        <v>#REF!</v>
      </c>
      <c r="C1495" s="171" t="e">
        <f>SUM(C1490:C1494)</f>
        <v>#REF!</v>
      </c>
      <c r="D1495" s="172" t="e">
        <f>SUM(D1490:D1494)</f>
        <v>#REF!</v>
      </c>
      <c r="H1495" s="49" t="s">
        <v>88</v>
      </c>
      <c r="I1495" s="50"/>
    </row>
    <row r="1496" spans="1:15">
      <c r="H1496" s="51" t="s">
        <v>89</v>
      </c>
    </row>
    <row r="1497" spans="1:15">
      <c r="H1497" s="51" t="s">
        <v>90</v>
      </c>
    </row>
    <row r="1498" spans="1:15">
      <c r="H1498" s="51" t="s">
        <v>91</v>
      </c>
    </row>
    <row r="1499" spans="1:15">
      <c r="H1499" s="50"/>
      <c r="I1499" s="50"/>
    </row>
    <row r="1500" spans="1:15" ht="15.75">
      <c r="H1500" s="260" t="s">
        <v>928</v>
      </c>
      <c r="N1500" s="52"/>
    </row>
    <row r="1501" spans="1:15" ht="15.75">
      <c r="H1501" s="53" t="s">
        <v>1333</v>
      </c>
      <c r="N1501" s="53"/>
    </row>
    <row r="1502" spans="1:15" ht="16.5">
      <c r="H1502" s="894" t="s">
        <v>909</v>
      </c>
      <c r="I1502" s="894"/>
      <c r="J1502" s="894"/>
      <c r="K1502" s="894"/>
      <c r="L1502" s="894"/>
      <c r="M1502" s="894"/>
      <c r="N1502" s="894"/>
      <c r="O1502" s="894"/>
    </row>
    <row r="1503" spans="1:15" ht="15.75" thickBot="1"/>
    <row r="1504" spans="1:15">
      <c r="H1504" s="895" t="s">
        <v>94</v>
      </c>
      <c r="I1504" s="897" t="s">
        <v>95</v>
      </c>
      <c r="J1504" s="897" t="s">
        <v>96</v>
      </c>
      <c r="K1504" s="897" t="s">
        <v>3</v>
      </c>
      <c r="L1504" s="897" t="s">
        <v>97</v>
      </c>
      <c r="M1504" s="897" t="s">
        <v>98</v>
      </c>
      <c r="N1504" s="897" t="s">
        <v>99</v>
      </c>
      <c r="O1504" s="899"/>
    </row>
    <row r="1505" spans="8:15" ht="15.75" thickBot="1">
      <c r="H1505" s="896"/>
      <c r="I1505" s="898"/>
      <c r="J1505" s="898"/>
      <c r="K1505" s="898"/>
      <c r="L1505" s="898"/>
      <c r="M1505" s="898"/>
      <c r="N1505" s="240" t="s">
        <v>100</v>
      </c>
      <c r="O1505" s="182" t="s">
        <v>101</v>
      </c>
    </row>
    <row r="1506" spans="8:15" ht="12" customHeight="1">
      <c r="H1506" s="873" t="s">
        <v>1611</v>
      </c>
      <c r="I1506" s="875">
        <v>43096</v>
      </c>
      <c r="J1506" s="881" t="s">
        <v>28</v>
      </c>
      <c r="K1506" s="881" t="s">
        <v>1615</v>
      </c>
      <c r="L1506" s="881" t="s">
        <v>148</v>
      </c>
      <c r="M1506" s="883">
        <v>650000</v>
      </c>
      <c r="N1506" s="55">
        <v>719</v>
      </c>
      <c r="O1506" s="78">
        <v>500000</v>
      </c>
    </row>
    <row r="1507" spans="8:15" ht="13.5" customHeight="1" thickBot="1">
      <c r="H1507" s="874"/>
      <c r="I1507" s="876"/>
      <c r="J1507" s="882"/>
      <c r="K1507" s="882"/>
      <c r="L1507" s="882"/>
      <c r="M1507" s="884"/>
      <c r="N1507" s="56">
        <v>721</v>
      </c>
      <c r="O1507" s="79">
        <f>+M1506-O1506</f>
        <v>150000</v>
      </c>
    </row>
    <row r="1508" spans="8:15" ht="12" customHeight="1">
      <c r="H1508" s="881">
        <f>+H1506+1</f>
        <v>177</v>
      </c>
      <c r="I1508" s="875">
        <v>43096</v>
      </c>
      <c r="J1508" s="881" t="s">
        <v>28</v>
      </c>
      <c r="K1508" s="879" t="s">
        <v>1614</v>
      </c>
      <c r="L1508" s="881" t="s">
        <v>148</v>
      </c>
      <c r="M1508" s="883">
        <v>650000</v>
      </c>
      <c r="N1508" s="55">
        <v>719</v>
      </c>
      <c r="O1508" s="78">
        <v>500000</v>
      </c>
    </row>
    <row r="1509" spans="8:15" ht="12.75" customHeight="1" thickBot="1">
      <c r="H1509" s="882"/>
      <c r="I1509" s="876"/>
      <c r="J1509" s="882"/>
      <c r="K1509" s="880"/>
      <c r="L1509" s="882"/>
      <c r="M1509" s="884"/>
      <c r="N1509" s="56">
        <v>721</v>
      </c>
      <c r="O1509" s="79">
        <f>+M1508-O1508</f>
        <v>150000</v>
      </c>
    </row>
    <row r="1510" spans="8:15" ht="12.75" customHeight="1">
      <c r="H1510" s="881">
        <f>+H1508+1</f>
        <v>178</v>
      </c>
      <c r="I1510" s="875">
        <v>43096</v>
      </c>
      <c r="J1510" s="877" t="s">
        <v>1079</v>
      </c>
      <c r="K1510" s="881" t="s">
        <v>1613</v>
      </c>
      <c r="L1510" s="881" t="s">
        <v>148</v>
      </c>
      <c r="M1510" s="883">
        <v>650000</v>
      </c>
      <c r="N1510" s="55">
        <v>719</v>
      </c>
      <c r="O1510" s="78">
        <v>500000</v>
      </c>
    </row>
    <row r="1511" spans="8:15" ht="12.75" customHeight="1" thickBot="1">
      <c r="H1511" s="882"/>
      <c r="I1511" s="876"/>
      <c r="J1511" s="878"/>
      <c r="K1511" s="882"/>
      <c r="L1511" s="882"/>
      <c r="M1511" s="884"/>
      <c r="N1511" s="56">
        <v>721</v>
      </c>
      <c r="O1511" s="79">
        <f>+M1510-O1510</f>
        <v>150000</v>
      </c>
    </row>
    <row r="1512" spans="8:15" ht="12" customHeight="1">
      <c r="H1512" s="881">
        <f>+H1510+1</f>
        <v>179</v>
      </c>
      <c r="I1512" s="875">
        <v>43096</v>
      </c>
      <c r="J1512" s="877" t="s">
        <v>1079</v>
      </c>
      <c r="K1512" s="879" t="s">
        <v>1612</v>
      </c>
      <c r="L1512" s="881" t="s">
        <v>148</v>
      </c>
      <c r="M1512" s="883">
        <v>650000</v>
      </c>
      <c r="N1512" s="55">
        <v>719</v>
      </c>
      <c r="O1512" s="78">
        <v>500000</v>
      </c>
    </row>
    <row r="1513" spans="8:15" ht="13.5" customHeight="1" thickBot="1">
      <c r="H1513" s="882"/>
      <c r="I1513" s="876"/>
      <c r="J1513" s="878"/>
      <c r="K1513" s="880"/>
      <c r="L1513" s="882"/>
      <c r="M1513" s="884"/>
      <c r="N1513" s="56">
        <v>721</v>
      </c>
      <c r="O1513" s="79">
        <f>+M1512-O1512</f>
        <v>150000</v>
      </c>
    </row>
    <row r="1514" spans="8:15" ht="13.5" customHeight="1">
      <c r="H1514" s="881">
        <f>+H1512+1</f>
        <v>180</v>
      </c>
      <c r="I1514" s="875">
        <v>43096</v>
      </c>
      <c r="J1514" s="881" t="s">
        <v>28</v>
      </c>
      <c r="K1514" s="879" t="s">
        <v>1616</v>
      </c>
      <c r="L1514" s="881" t="s">
        <v>115</v>
      </c>
      <c r="M1514" s="883">
        <v>70000</v>
      </c>
      <c r="N1514" s="55">
        <v>719</v>
      </c>
      <c r="O1514" s="78">
        <v>70000</v>
      </c>
    </row>
    <row r="1515" spans="8:15" ht="12.75" customHeight="1" thickBot="1">
      <c r="H1515" s="882"/>
      <c r="I1515" s="876"/>
      <c r="J1515" s="882"/>
      <c r="K1515" s="880"/>
      <c r="L1515" s="882"/>
      <c r="M1515" s="884"/>
      <c r="N1515" s="56">
        <v>721</v>
      </c>
      <c r="O1515" s="79">
        <f>+M1514-O1514</f>
        <v>0</v>
      </c>
    </row>
    <row r="1516" spans="8:15" ht="15" customHeight="1">
      <c r="H1516" s="881">
        <f>+H1514+1</f>
        <v>181</v>
      </c>
      <c r="I1516" s="875">
        <v>43096</v>
      </c>
      <c r="J1516" s="877" t="s">
        <v>120</v>
      </c>
      <c r="K1516" s="879" t="s">
        <v>1616</v>
      </c>
      <c r="L1516" s="881" t="s">
        <v>115</v>
      </c>
      <c r="M1516" s="883">
        <v>250000</v>
      </c>
      <c r="N1516" s="55">
        <v>719</v>
      </c>
      <c r="O1516" s="78">
        <v>250000</v>
      </c>
    </row>
    <row r="1517" spans="8:15" ht="12.75" customHeight="1" thickBot="1">
      <c r="H1517" s="882"/>
      <c r="I1517" s="876"/>
      <c r="J1517" s="878"/>
      <c r="K1517" s="880"/>
      <c r="L1517" s="882"/>
      <c r="M1517" s="884"/>
      <c r="N1517" s="56">
        <v>721</v>
      </c>
      <c r="O1517" s="79">
        <f>+M1516-O1516</f>
        <v>0</v>
      </c>
    </row>
    <row r="1518" spans="8:15" ht="16.5" thickBot="1">
      <c r="H1518" s="901" t="s">
        <v>102</v>
      </c>
      <c r="I1518" s="902"/>
      <c r="J1518" s="902"/>
      <c r="K1518" s="902"/>
      <c r="L1518" s="903"/>
      <c r="M1518" s="81">
        <f>SUM(M1506:M1517)</f>
        <v>2920000</v>
      </c>
    </row>
    <row r="1519" spans="8:15" ht="16.5" thickBot="1">
      <c r="H1519" s="885" t="s">
        <v>103</v>
      </c>
      <c r="I1519" s="886"/>
      <c r="J1519" s="886"/>
      <c r="K1519" s="886"/>
      <c r="L1519" s="887"/>
      <c r="M1519" s="69">
        <f>+M1481</f>
        <v>98058981</v>
      </c>
      <c r="N1519" s="241" t="s">
        <v>561</v>
      </c>
      <c r="O1519" s="242">
        <f>1207+1207+235+235+162+310</f>
        <v>3356</v>
      </c>
    </row>
    <row r="1520" spans="8:15" ht="16.5" thickBot="1">
      <c r="H1520" s="888" t="s">
        <v>104</v>
      </c>
      <c r="I1520" s="889"/>
      <c r="J1520" s="889"/>
      <c r="K1520" s="889"/>
      <c r="L1520" s="890"/>
      <c r="M1520" s="183">
        <f>SUM(M1518:M1519)</f>
        <v>100978981</v>
      </c>
    </row>
    <row r="1521" spans="8:15">
      <c r="H1521" s="61"/>
      <c r="I1521" s="61"/>
      <c r="J1521" s="61"/>
      <c r="K1521" s="61"/>
      <c r="L1521" s="61"/>
    </row>
    <row r="1522" spans="8:15">
      <c r="H1522" s="51" t="s">
        <v>1617</v>
      </c>
    </row>
    <row r="1523" spans="8:15" ht="9.75" customHeight="1">
      <c r="M1523" s="139"/>
    </row>
    <row r="1524" spans="8:15">
      <c r="H1524" s="50" t="s">
        <v>105</v>
      </c>
      <c r="K1524" s="146"/>
      <c r="M1524" s="139"/>
    </row>
    <row r="1525" spans="8:15" ht="13.5" customHeight="1" thickBot="1"/>
    <row r="1526" spans="8:15" ht="15.75" thickBot="1">
      <c r="H1526" s="891" t="s">
        <v>106</v>
      </c>
      <c r="I1526" s="892"/>
      <c r="J1526" s="892"/>
      <c r="K1526" s="893"/>
      <c r="M1526" s="50" t="s">
        <v>288</v>
      </c>
    </row>
    <row r="1527" spans="8:15" ht="30.75" thickBot="1">
      <c r="H1527" s="57" t="s">
        <v>100</v>
      </c>
      <c r="I1527" s="58" t="s">
        <v>108</v>
      </c>
      <c r="J1527" s="287" t="s">
        <v>109</v>
      </c>
      <c r="K1527" s="60" t="s">
        <v>110</v>
      </c>
    </row>
    <row r="1528" spans="8:15" ht="13.5" customHeight="1">
      <c r="H1528" s="71">
        <v>719</v>
      </c>
      <c r="I1528" s="73">
        <f>+O1506+O1508+O1510+O1512+O1516</f>
        <v>2250000</v>
      </c>
      <c r="J1528" s="74">
        <f>+K1489</f>
        <v>12220000</v>
      </c>
      <c r="K1528" s="195">
        <f>+I1528+J1528</f>
        <v>14470000</v>
      </c>
    </row>
    <row r="1529" spans="8:15" ht="12.75" customHeight="1">
      <c r="H1529" s="72">
        <v>721</v>
      </c>
      <c r="I1529" s="80">
        <f>+O1517+O1513+O1511+O1509+O1507</f>
        <v>600000</v>
      </c>
      <c r="J1529" s="74">
        <f>+K1490</f>
        <v>79608481</v>
      </c>
      <c r="K1529" s="195">
        <f>+I1529+J1529</f>
        <v>80208481</v>
      </c>
    </row>
    <row r="1530" spans="8:15" ht="12.75" customHeight="1">
      <c r="H1530" s="72">
        <v>722</v>
      </c>
      <c r="I1530" s="80"/>
      <c r="J1530" s="74">
        <f>+K1491</f>
        <v>0</v>
      </c>
      <c r="K1530" s="195">
        <f>+I1530+J1530</f>
        <v>0</v>
      </c>
    </row>
    <row r="1531" spans="8:15" ht="15.75">
      <c r="H1531" s="72">
        <v>723</v>
      </c>
      <c r="I1531" s="80"/>
      <c r="J1531" s="74">
        <f>+K1492</f>
        <v>6230500</v>
      </c>
      <c r="K1531" s="195">
        <f>+I1531+J1531</f>
        <v>6230500</v>
      </c>
      <c r="M1531" s="918" t="s">
        <v>1481</v>
      </c>
      <c r="N1531" s="918"/>
      <c r="O1531" s="918"/>
    </row>
    <row r="1532" spans="8:15" ht="13.5" customHeight="1" thickBot="1">
      <c r="H1532" s="164" t="s">
        <v>181</v>
      </c>
      <c r="I1532" s="165"/>
      <c r="J1532" s="74">
        <f>+K1493</f>
        <v>0</v>
      </c>
      <c r="K1532" s="196">
        <f>+I1532+J1532</f>
        <v>0</v>
      </c>
      <c r="M1532" s="52"/>
    </row>
    <row r="1533" spans="8:15" ht="16.5" thickBot="1">
      <c r="H1533" s="169"/>
      <c r="I1533" s="197">
        <f>SUM(I1528:I1532)</f>
        <v>2850000</v>
      </c>
      <c r="J1533" s="197">
        <f>SUM(J1528:J1532)</f>
        <v>98058981</v>
      </c>
      <c r="K1533" s="198">
        <f>SUM(K1528:K1532)</f>
        <v>100908981</v>
      </c>
    </row>
    <row r="1534" spans="8:15" ht="16.5">
      <c r="H1534" s="49" t="s">
        <v>88</v>
      </c>
      <c r="I1534" s="50"/>
    </row>
    <row r="1535" spans="8:15">
      <c r="H1535" s="51" t="s">
        <v>89</v>
      </c>
    </row>
    <row r="1536" spans="8:15">
      <c r="H1536" s="51" t="s">
        <v>90</v>
      </c>
    </row>
    <row r="1537" spans="8:15">
      <c r="H1537" s="51" t="s">
        <v>91</v>
      </c>
    </row>
    <row r="1538" spans="8:15" ht="10.5" customHeight="1">
      <c r="H1538" s="50"/>
      <c r="I1538" s="50"/>
    </row>
    <row r="1539" spans="8:15" ht="15.75">
      <c r="H1539" s="260" t="s">
        <v>929</v>
      </c>
      <c r="N1539" s="52"/>
    </row>
    <row r="1540" spans="8:15" ht="15.75">
      <c r="H1540" s="53" t="s">
        <v>1333</v>
      </c>
      <c r="N1540" s="53"/>
    </row>
    <row r="1541" spans="8:15" ht="16.5">
      <c r="H1541" s="894" t="s">
        <v>909</v>
      </c>
      <c r="I1541" s="894"/>
      <c r="J1541" s="894"/>
      <c r="K1541" s="894"/>
      <c r="L1541" s="894"/>
      <c r="M1541" s="894"/>
      <c r="N1541" s="894"/>
      <c r="O1541" s="894"/>
    </row>
    <row r="1542" spans="8:15" ht="13.5" customHeight="1" thickBot="1"/>
    <row r="1543" spans="8:15">
      <c r="H1543" s="895" t="s">
        <v>94</v>
      </c>
      <c r="I1543" s="897" t="s">
        <v>95</v>
      </c>
      <c r="J1543" s="897" t="s">
        <v>96</v>
      </c>
      <c r="K1543" s="897" t="s">
        <v>3</v>
      </c>
      <c r="L1543" s="897" t="s">
        <v>97</v>
      </c>
      <c r="M1543" s="897" t="s">
        <v>98</v>
      </c>
      <c r="N1543" s="897" t="s">
        <v>99</v>
      </c>
      <c r="O1543" s="899"/>
    </row>
    <row r="1544" spans="8:15" ht="15.75" thickBot="1">
      <c r="H1544" s="896"/>
      <c r="I1544" s="898"/>
      <c r="J1544" s="898"/>
      <c r="K1544" s="898"/>
      <c r="L1544" s="898"/>
      <c r="M1544" s="898"/>
      <c r="N1544" s="240" t="s">
        <v>100</v>
      </c>
      <c r="O1544" s="182" t="s">
        <v>101</v>
      </c>
    </row>
    <row r="1545" spans="8:15" ht="15" customHeight="1">
      <c r="H1545" s="881">
        <v>182</v>
      </c>
      <c r="I1545" s="875">
        <v>43097</v>
      </c>
      <c r="J1545" s="881" t="s">
        <v>28</v>
      </c>
      <c r="K1545" s="879" t="s">
        <v>1618</v>
      </c>
      <c r="L1545" s="881" t="s">
        <v>115</v>
      </c>
      <c r="M1545" s="883">
        <v>110000</v>
      </c>
      <c r="N1545" s="55">
        <v>719</v>
      </c>
      <c r="O1545" s="78">
        <v>110000</v>
      </c>
    </row>
    <row r="1546" spans="8:15" ht="15.75" customHeight="1" thickBot="1">
      <c r="H1546" s="882"/>
      <c r="I1546" s="876"/>
      <c r="J1546" s="882"/>
      <c r="K1546" s="880"/>
      <c r="L1546" s="882"/>
      <c r="M1546" s="884"/>
      <c r="N1546" s="56">
        <v>721</v>
      </c>
      <c r="O1546" s="79"/>
    </row>
    <row r="1547" spans="8:15" ht="15" customHeight="1">
      <c r="H1547" s="881">
        <v>183</v>
      </c>
      <c r="I1547" s="875">
        <v>43097</v>
      </c>
      <c r="J1547" s="881" t="s">
        <v>120</v>
      </c>
      <c r="K1547" s="879" t="s">
        <v>1618</v>
      </c>
      <c r="L1547" s="881" t="s">
        <v>115</v>
      </c>
      <c r="M1547" s="883">
        <v>440000</v>
      </c>
      <c r="N1547" s="55">
        <v>719</v>
      </c>
      <c r="O1547" s="78">
        <v>440000</v>
      </c>
    </row>
    <row r="1548" spans="8:15" ht="15.75" customHeight="1" thickBot="1">
      <c r="H1548" s="882"/>
      <c r="I1548" s="876"/>
      <c r="J1548" s="882"/>
      <c r="K1548" s="880"/>
      <c r="L1548" s="882"/>
      <c r="M1548" s="884"/>
      <c r="N1548" s="56">
        <v>721</v>
      </c>
      <c r="O1548" s="79">
        <f>+M1547-O1547</f>
        <v>0</v>
      </c>
    </row>
    <row r="1549" spans="8:15" ht="15" customHeight="1">
      <c r="H1549" s="881">
        <v>184</v>
      </c>
      <c r="I1549" s="875">
        <v>43097</v>
      </c>
      <c r="J1549" s="877" t="s">
        <v>385</v>
      </c>
      <c r="K1549" s="879" t="s">
        <v>1619</v>
      </c>
      <c r="L1549" s="881" t="s">
        <v>148</v>
      </c>
      <c r="M1549" s="883">
        <v>4500000</v>
      </c>
      <c r="N1549" s="55">
        <v>719</v>
      </c>
      <c r="O1549" s="78"/>
    </row>
    <row r="1550" spans="8:15" ht="15.75" customHeight="1" thickBot="1">
      <c r="H1550" s="882"/>
      <c r="I1550" s="876"/>
      <c r="J1550" s="878"/>
      <c r="K1550" s="880"/>
      <c r="L1550" s="882"/>
      <c r="M1550" s="884"/>
      <c r="N1550" s="56">
        <v>721</v>
      </c>
      <c r="O1550" s="79">
        <f>+M1549-O1549</f>
        <v>4500000</v>
      </c>
    </row>
    <row r="1551" spans="8:15">
      <c r="H1551" s="881">
        <v>185</v>
      </c>
      <c r="I1551" s="875"/>
      <c r="J1551" s="877"/>
      <c r="K1551" s="879"/>
      <c r="L1551" s="881"/>
      <c r="M1551" s="883"/>
      <c r="N1551" s="55">
        <v>719</v>
      </c>
      <c r="O1551" s="78"/>
    </row>
    <row r="1552" spans="8:15" ht="15.75" thickBot="1">
      <c r="H1552" s="882"/>
      <c r="I1552" s="876"/>
      <c r="J1552" s="878"/>
      <c r="K1552" s="880"/>
      <c r="L1552" s="882"/>
      <c r="M1552" s="884"/>
      <c r="N1552" s="56">
        <v>721</v>
      </c>
      <c r="O1552" s="79">
        <f>+M1551-O1551</f>
        <v>0</v>
      </c>
    </row>
    <row r="1553" spans="8:15">
      <c r="H1553" s="881"/>
      <c r="I1553" s="875"/>
      <c r="J1553" s="877"/>
      <c r="K1553" s="881"/>
      <c r="L1553" s="881"/>
      <c r="M1553" s="883"/>
      <c r="N1553" s="55">
        <v>719</v>
      </c>
      <c r="O1553" s="78"/>
    </row>
    <row r="1554" spans="8:15" ht="15.75" thickBot="1">
      <c r="H1554" s="882"/>
      <c r="I1554" s="876"/>
      <c r="J1554" s="878"/>
      <c r="K1554" s="882"/>
      <c r="L1554" s="882"/>
      <c r="M1554" s="884"/>
      <c r="N1554" s="56">
        <v>721</v>
      </c>
      <c r="O1554" s="79">
        <f>+M1553-O1553</f>
        <v>0</v>
      </c>
    </row>
    <row r="1555" spans="8:15" ht="16.5" thickBot="1">
      <c r="H1555" s="901" t="s">
        <v>102</v>
      </c>
      <c r="I1555" s="902"/>
      <c r="J1555" s="902"/>
      <c r="K1555" s="902"/>
      <c r="L1555" s="903"/>
      <c r="M1555" s="81">
        <f>SUM(M1545:M1554)</f>
        <v>5050000</v>
      </c>
    </row>
    <row r="1556" spans="8:15" ht="16.5" thickBot="1">
      <c r="H1556" s="885" t="s">
        <v>103</v>
      </c>
      <c r="I1556" s="886"/>
      <c r="J1556" s="886"/>
      <c r="K1556" s="886"/>
      <c r="L1556" s="887"/>
      <c r="M1556" s="69">
        <f>+M1520</f>
        <v>100978981</v>
      </c>
      <c r="N1556" s="241" t="s">
        <v>561</v>
      </c>
      <c r="O1556" s="242">
        <f>246+617</f>
        <v>863</v>
      </c>
    </row>
    <row r="1557" spans="8:15" ht="16.5" thickBot="1">
      <c r="H1557" s="888" t="s">
        <v>104</v>
      </c>
      <c r="I1557" s="889"/>
      <c r="J1557" s="889"/>
      <c r="K1557" s="889"/>
      <c r="L1557" s="890"/>
      <c r="M1557" s="183">
        <f>SUM(M1555:M1556)</f>
        <v>106028981</v>
      </c>
    </row>
    <row r="1558" spans="8:15">
      <c r="H1558" s="61"/>
      <c r="I1558" s="61"/>
      <c r="J1558" s="61"/>
      <c r="K1558" s="61"/>
      <c r="L1558" s="61"/>
    </row>
    <row r="1559" spans="8:15">
      <c r="H1559" s="51" t="s">
        <v>1620</v>
      </c>
    </row>
    <row r="1560" spans="8:15">
      <c r="M1560" s="139"/>
    </row>
    <row r="1561" spans="8:15">
      <c r="H1561" s="50" t="s">
        <v>105</v>
      </c>
      <c r="K1561" s="146"/>
      <c r="M1561" s="139"/>
    </row>
    <row r="1562" spans="8:15" ht="13.5" customHeight="1" thickBot="1"/>
    <row r="1563" spans="8:15" ht="15.75" thickBot="1">
      <c r="H1563" s="891" t="s">
        <v>106</v>
      </c>
      <c r="I1563" s="892"/>
      <c r="J1563" s="892"/>
      <c r="K1563" s="893"/>
      <c r="M1563" s="50" t="s">
        <v>288</v>
      </c>
    </row>
    <row r="1564" spans="8:15" ht="30.75" thickBot="1">
      <c r="H1564" s="57" t="s">
        <v>100</v>
      </c>
      <c r="I1564" s="58" t="s">
        <v>108</v>
      </c>
      <c r="J1564" s="287" t="s">
        <v>109</v>
      </c>
      <c r="K1564" s="60" t="s">
        <v>110</v>
      </c>
    </row>
    <row r="1565" spans="8:15">
      <c r="H1565" s="71">
        <v>719</v>
      </c>
      <c r="I1565" s="73">
        <f>+O1545+O1547+O1549+O1551+O1553</f>
        <v>550000</v>
      </c>
      <c r="J1565" s="74">
        <f>+K1528</f>
        <v>14470000</v>
      </c>
      <c r="K1565" s="195">
        <f>+I1565+J1565</f>
        <v>15020000</v>
      </c>
    </row>
    <row r="1566" spans="8:15">
      <c r="H1566" s="72">
        <v>721</v>
      </c>
      <c r="I1566" s="80">
        <v>0</v>
      </c>
      <c r="J1566" s="74">
        <f>+K1529</f>
        <v>80208481</v>
      </c>
      <c r="K1566" s="195">
        <f>+I1566+J1566</f>
        <v>80208481</v>
      </c>
    </row>
    <row r="1567" spans="8:15">
      <c r="H1567" s="72">
        <v>722</v>
      </c>
      <c r="I1567" s="80"/>
      <c r="J1567" s="74">
        <f>+K1530</f>
        <v>0</v>
      </c>
      <c r="K1567" s="195">
        <f>+I1567+J1567</f>
        <v>0</v>
      </c>
    </row>
    <row r="1568" spans="8:15" ht="15.75">
      <c r="H1568" s="72">
        <v>723</v>
      </c>
      <c r="I1568" s="80">
        <f>+O1554+O1552+O1550+O1548+O1546</f>
        <v>4500000</v>
      </c>
      <c r="J1568" s="74">
        <f>+K1531</f>
        <v>6230500</v>
      </c>
      <c r="K1568" s="195">
        <f>+I1568+J1568</f>
        <v>10730500</v>
      </c>
      <c r="M1568" s="193" t="s">
        <v>289</v>
      </c>
      <c r="N1568" s="175"/>
    </row>
    <row r="1569" spans="8:15" ht="16.5" thickBot="1">
      <c r="H1569" s="164" t="s">
        <v>181</v>
      </c>
      <c r="I1569" s="165"/>
      <c r="J1569" s="74">
        <f>+K1532</f>
        <v>0</v>
      </c>
      <c r="K1569" s="196">
        <f>+I1569+J1569</f>
        <v>0</v>
      </c>
      <c r="M1569" s="52"/>
    </row>
    <row r="1570" spans="8:15" ht="16.5" thickBot="1">
      <c r="H1570" s="169"/>
      <c r="I1570" s="197">
        <f>SUM(I1565:I1569)</f>
        <v>5050000</v>
      </c>
      <c r="J1570" s="197">
        <f>SUM(J1565:J1569)</f>
        <v>100908981</v>
      </c>
      <c r="K1570" s="198">
        <f>SUM(K1565:K1569)</f>
        <v>105958981</v>
      </c>
    </row>
    <row r="1571" spans="8:15" ht="16.5">
      <c r="H1571" s="49" t="s">
        <v>88</v>
      </c>
      <c r="I1571" s="50"/>
    </row>
    <row r="1572" spans="8:15">
      <c r="H1572" s="51" t="s">
        <v>89</v>
      </c>
    </row>
    <row r="1573" spans="8:15">
      <c r="H1573" s="51" t="s">
        <v>90</v>
      </c>
    </row>
    <row r="1574" spans="8:15">
      <c r="H1574" s="51" t="s">
        <v>91</v>
      </c>
    </row>
    <row r="1575" spans="8:15" ht="12" customHeight="1">
      <c r="H1575" s="50"/>
      <c r="I1575" s="50"/>
    </row>
    <row r="1576" spans="8:15" ht="15.75">
      <c r="H1576" s="260" t="s">
        <v>944</v>
      </c>
      <c r="N1576" s="52"/>
    </row>
    <row r="1577" spans="8:15" ht="15.75">
      <c r="H1577" s="53" t="s">
        <v>535</v>
      </c>
      <c r="N1577" s="53"/>
    </row>
    <row r="1578" spans="8:15" ht="16.5">
      <c r="H1578" s="894" t="s">
        <v>909</v>
      </c>
      <c r="I1578" s="894"/>
      <c r="J1578" s="894"/>
      <c r="K1578" s="894"/>
      <c r="L1578" s="894"/>
      <c r="M1578" s="894"/>
      <c r="N1578" s="894"/>
      <c r="O1578" s="894"/>
    </row>
    <row r="1579" spans="8:15" ht="15.75" thickBot="1"/>
    <row r="1580" spans="8:15">
      <c r="H1580" s="895" t="s">
        <v>94</v>
      </c>
      <c r="I1580" s="897" t="s">
        <v>95</v>
      </c>
      <c r="J1580" s="897" t="s">
        <v>96</v>
      </c>
      <c r="K1580" s="897" t="s">
        <v>3</v>
      </c>
      <c r="L1580" s="897" t="s">
        <v>97</v>
      </c>
      <c r="M1580" s="897" t="s">
        <v>98</v>
      </c>
      <c r="N1580" s="897" t="s">
        <v>99</v>
      </c>
      <c r="O1580" s="899"/>
    </row>
    <row r="1581" spans="8:15" ht="15.75" thickBot="1">
      <c r="H1581" s="896"/>
      <c r="I1581" s="898"/>
      <c r="J1581" s="898"/>
      <c r="K1581" s="898"/>
      <c r="L1581" s="898"/>
      <c r="M1581" s="898"/>
      <c r="N1581" s="240" t="s">
        <v>100</v>
      </c>
      <c r="O1581" s="182" t="s">
        <v>101</v>
      </c>
    </row>
    <row r="1582" spans="8:15">
      <c r="H1582" s="881">
        <v>194</v>
      </c>
      <c r="I1582" s="875">
        <v>42515</v>
      </c>
      <c r="J1582" s="877" t="s">
        <v>272</v>
      </c>
      <c r="K1582" s="879" t="s">
        <v>945</v>
      </c>
      <c r="L1582" s="881" t="s">
        <v>115</v>
      </c>
      <c r="M1582" s="883">
        <v>100000</v>
      </c>
      <c r="N1582" s="55">
        <v>719</v>
      </c>
      <c r="O1582" s="78">
        <v>100000</v>
      </c>
    </row>
    <row r="1583" spans="8:15" ht="15.75" thickBot="1">
      <c r="H1583" s="882"/>
      <c r="I1583" s="876"/>
      <c r="J1583" s="878"/>
      <c r="K1583" s="880"/>
      <c r="L1583" s="882"/>
      <c r="M1583" s="884"/>
      <c r="N1583" s="56">
        <v>721</v>
      </c>
      <c r="O1583" s="79">
        <f>+M1582-O1582</f>
        <v>0</v>
      </c>
    </row>
    <row r="1584" spans="8:15" ht="15" customHeight="1">
      <c r="H1584" s="881">
        <v>195</v>
      </c>
      <c r="I1584" s="875">
        <v>42515</v>
      </c>
      <c r="J1584" s="877" t="s">
        <v>28</v>
      </c>
      <c r="K1584" s="879" t="s">
        <v>946</v>
      </c>
      <c r="L1584" s="881" t="s">
        <v>115</v>
      </c>
      <c r="M1584" s="883">
        <v>70000</v>
      </c>
      <c r="N1584" s="55">
        <v>719</v>
      </c>
      <c r="O1584" s="78">
        <v>70000</v>
      </c>
    </row>
    <row r="1585" spans="8:15" ht="15.75" customHeight="1" thickBot="1">
      <c r="H1585" s="882"/>
      <c r="I1585" s="876"/>
      <c r="J1585" s="878"/>
      <c r="K1585" s="880"/>
      <c r="L1585" s="882"/>
      <c r="M1585" s="884"/>
      <c r="N1585" s="56">
        <v>721</v>
      </c>
      <c r="O1585" s="79">
        <f>+M1584-O1584</f>
        <v>0</v>
      </c>
    </row>
    <row r="1586" spans="8:15">
      <c r="H1586" s="881"/>
      <c r="I1586" s="875"/>
      <c r="J1586" s="877"/>
      <c r="K1586" s="881"/>
      <c r="L1586" s="881"/>
      <c r="M1586" s="883"/>
      <c r="N1586" s="55">
        <v>719</v>
      </c>
      <c r="O1586" s="78"/>
    </row>
    <row r="1587" spans="8:15" ht="15.75" thickBot="1">
      <c r="H1587" s="882"/>
      <c r="I1587" s="876"/>
      <c r="J1587" s="878"/>
      <c r="K1587" s="882"/>
      <c r="L1587" s="882"/>
      <c r="M1587" s="884"/>
      <c r="N1587" s="56">
        <v>721</v>
      </c>
      <c r="O1587" s="79">
        <f>+M1586-O1586</f>
        <v>0</v>
      </c>
    </row>
    <row r="1588" spans="8:15">
      <c r="H1588" s="881"/>
      <c r="I1588" s="875"/>
      <c r="J1588" s="877"/>
      <c r="K1588" s="879"/>
      <c r="L1588" s="881"/>
      <c r="M1588" s="883"/>
      <c r="N1588" s="55">
        <v>719</v>
      </c>
      <c r="O1588" s="78"/>
    </row>
    <row r="1589" spans="8:15" ht="15.75" thickBot="1">
      <c r="H1589" s="882"/>
      <c r="I1589" s="876"/>
      <c r="J1589" s="878"/>
      <c r="K1589" s="880"/>
      <c r="L1589" s="882"/>
      <c r="M1589" s="884"/>
      <c r="N1589" s="56">
        <v>721</v>
      </c>
      <c r="O1589" s="79">
        <f>+M1588-O1588</f>
        <v>0</v>
      </c>
    </row>
    <row r="1590" spans="8:15">
      <c r="H1590" s="881"/>
      <c r="I1590" s="875"/>
      <c r="J1590" s="877"/>
      <c r="K1590" s="881"/>
      <c r="L1590" s="881"/>
      <c r="M1590" s="883"/>
      <c r="N1590" s="55">
        <v>719</v>
      </c>
      <c r="O1590" s="78"/>
    </row>
    <row r="1591" spans="8:15" ht="15.75" thickBot="1">
      <c r="H1591" s="882"/>
      <c r="I1591" s="876"/>
      <c r="J1591" s="878"/>
      <c r="K1591" s="882"/>
      <c r="L1591" s="882"/>
      <c r="M1591" s="884"/>
      <c r="N1591" s="56">
        <v>721</v>
      </c>
      <c r="O1591" s="79">
        <f>+M1590-O1590</f>
        <v>0</v>
      </c>
    </row>
    <row r="1592" spans="8:15" ht="16.5" thickBot="1">
      <c r="H1592" s="901" t="s">
        <v>102</v>
      </c>
      <c r="I1592" s="902"/>
      <c r="J1592" s="902"/>
      <c r="K1592" s="902"/>
      <c r="L1592" s="903"/>
      <c r="M1592" s="81">
        <f>SUM(M1582:M1591)</f>
        <v>170000</v>
      </c>
    </row>
    <row r="1593" spans="8:15" ht="16.5" thickBot="1">
      <c r="H1593" s="885" t="s">
        <v>103</v>
      </c>
      <c r="I1593" s="886"/>
      <c r="J1593" s="886"/>
      <c r="K1593" s="886"/>
      <c r="L1593" s="887"/>
      <c r="M1593" s="69">
        <f>+M1557</f>
        <v>106028981</v>
      </c>
      <c r="N1593" s="241" t="s">
        <v>561</v>
      </c>
      <c r="O1593" s="242">
        <f>108+281</f>
        <v>389</v>
      </c>
    </row>
    <row r="1594" spans="8:15" ht="16.5" thickBot="1">
      <c r="H1594" s="888" t="s">
        <v>104</v>
      </c>
      <c r="I1594" s="889"/>
      <c r="J1594" s="889"/>
      <c r="K1594" s="889"/>
      <c r="L1594" s="890"/>
      <c r="M1594" s="183">
        <f>SUM(M1592:M1593)</f>
        <v>106198981</v>
      </c>
    </row>
    <row r="1595" spans="8:15">
      <c r="H1595" s="61"/>
      <c r="I1595" s="61"/>
      <c r="J1595" s="61"/>
      <c r="K1595" s="61"/>
      <c r="L1595" s="61"/>
    </row>
    <row r="1596" spans="8:15">
      <c r="H1596" s="51" t="s">
        <v>947</v>
      </c>
    </row>
    <row r="1597" spans="8:15" ht="12.75" customHeight="1">
      <c r="M1597" s="139"/>
    </row>
    <row r="1598" spans="8:15">
      <c r="H1598" s="50" t="s">
        <v>105</v>
      </c>
      <c r="K1598" s="146"/>
      <c r="M1598" s="139"/>
    </row>
    <row r="1599" spans="8:15" ht="10.5" customHeight="1" thickBot="1"/>
    <row r="1600" spans="8:15" ht="15.75" thickBot="1">
      <c r="H1600" s="891" t="s">
        <v>106</v>
      </c>
      <c r="I1600" s="892"/>
      <c r="J1600" s="892"/>
      <c r="K1600" s="893"/>
      <c r="M1600" s="50" t="s">
        <v>288</v>
      </c>
    </row>
    <row r="1601" spans="8:15" ht="30.75" thickBot="1">
      <c r="H1601" s="57" t="s">
        <v>100</v>
      </c>
      <c r="I1601" s="58" t="s">
        <v>108</v>
      </c>
      <c r="J1601" s="287" t="s">
        <v>109</v>
      </c>
      <c r="K1601" s="60" t="s">
        <v>110</v>
      </c>
    </row>
    <row r="1602" spans="8:15">
      <c r="H1602" s="71">
        <v>719</v>
      </c>
      <c r="I1602" s="73">
        <f>+O1582+O1584+O1586+O1588+O1590</f>
        <v>170000</v>
      </c>
      <c r="J1602" s="74">
        <f>+K1565</f>
        <v>15020000</v>
      </c>
      <c r="K1602" s="195">
        <f>+I1602+J1602</f>
        <v>15190000</v>
      </c>
    </row>
    <row r="1603" spans="8:15">
      <c r="H1603" s="72">
        <v>721</v>
      </c>
      <c r="I1603" s="80">
        <v>0</v>
      </c>
      <c r="J1603" s="74">
        <f>+K1566</f>
        <v>80208481</v>
      </c>
      <c r="K1603" s="195">
        <f>+I1603+J1603</f>
        <v>80208481</v>
      </c>
    </row>
    <row r="1604" spans="8:15">
      <c r="H1604" s="72">
        <v>722</v>
      </c>
      <c r="I1604" s="80"/>
      <c r="J1604" s="74">
        <f>+K1567</f>
        <v>0</v>
      </c>
      <c r="K1604" s="195">
        <f>+I1604+J1604</f>
        <v>0</v>
      </c>
    </row>
    <row r="1605" spans="8:15" ht="15.75">
      <c r="H1605" s="72">
        <v>723</v>
      </c>
      <c r="I1605" s="80">
        <f>+O1591+O1589+O1587+O1585+O1583</f>
        <v>0</v>
      </c>
      <c r="J1605" s="74">
        <f>+K1568</f>
        <v>10730500</v>
      </c>
      <c r="K1605" s="195">
        <f>+I1605+J1605</f>
        <v>10730500</v>
      </c>
      <c r="M1605" s="193" t="s">
        <v>289</v>
      </c>
      <c r="N1605" s="175"/>
    </row>
    <row r="1606" spans="8:15" ht="16.5" thickBot="1">
      <c r="H1606" s="164" t="s">
        <v>181</v>
      </c>
      <c r="I1606" s="165"/>
      <c r="J1606" s="74">
        <f>+K1569</f>
        <v>0</v>
      </c>
      <c r="K1606" s="196">
        <f>+I1606+J1606</f>
        <v>0</v>
      </c>
      <c r="M1606" s="52"/>
    </row>
    <row r="1607" spans="8:15" ht="16.5" thickBot="1">
      <c r="H1607" s="169"/>
      <c r="I1607" s="197">
        <f>SUM(I1602:I1606)</f>
        <v>170000</v>
      </c>
      <c r="J1607" s="197">
        <f>SUM(J1602:J1606)</f>
        <v>105958981</v>
      </c>
      <c r="K1607" s="198">
        <f>SUM(K1602:K1606)</f>
        <v>106128981</v>
      </c>
    </row>
    <row r="1608" spans="8:15" ht="16.5">
      <c r="H1608" s="49" t="s">
        <v>88</v>
      </c>
      <c r="I1608" s="50"/>
    </row>
    <row r="1609" spans="8:15">
      <c r="H1609" s="51" t="s">
        <v>89</v>
      </c>
    </row>
    <row r="1610" spans="8:15">
      <c r="H1610" s="51" t="s">
        <v>90</v>
      </c>
    </row>
    <row r="1611" spans="8:15">
      <c r="H1611" s="51" t="s">
        <v>91</v>
      </c>
    </row>
    <row r="1612" spans="8:15" ht="12" customHeight="1">
      <c r="H1612" s="50"/>
      <c r="I1612" s="50"/>
    </row>
    <row r="1613" spans="8:15" ht="15.75">
      <c r="H1613" s="260" t="s">
        <v>948</v>
      </c>
      <c r="N1613" s="52"/>
    </row>
    <row r="1614" spans="8:15" ht="15.75">
      <c r="H1614" s="53" t="s">
        <v>535</v>
      </c>
      <c r="N1614" s="53"/>
    </row>
    <row r="1615" spans="8:15" ht="16.5">
      <c r="H1615" s="894" t="s">
        <v>909</v>
      </c>
      <c r="I1615" s="894"/>
      <c r="J1615" s="894"/>
      <c r="K1615" s="894"/>
      <c r="L1615" s="894"/>
      <c r="M1615" s="894"/>
      <c r="N1615" s="894"/>
      <c r="O1615" s="894"/>
    </row>
    <row r="1616" spans="8:15" ht="15.75" thickBot="1"/>
    <row r="1617" spans="8:15">
      <c r="H1617" s="895" t="s">
        <v>94</v>
      </c>
      <c r="I1617" s="897" t="s">
        <v>95</v>
      </c>
      <c r="J1617" s="897" t="s">
        <v>96</v>
      </c>
      <c r="K1617" s="897" t="s">
        <v>3</v>
      </c>
      <c r="L1617" s="897" t="s">
        <v>97</v>
      </c>
      <c r="M1617" s="897" t="s">
        <v>98</v>
      </c>
      <c r="N1617" s="897" t="s">
        <v>99</v>
      </c>
      <c r="O1617" s="899"/>
    </row>
    <row r="1618" spans="8:15" ht="15.75" thickBot="1">
      <c r="H1618" s="896"/>
      <c r="I1618" s="898"/>
      <c r="J1618" s="898"/>
      <c r="K1618" s="898"/>
      <c r="L1618" s="898"/>
      <c r="M1618" s="898"/>
      <c r="N1618" s="240" t="s">
        <v>100</v>
      </c>
      <c r="O1618" s="182" t="s">
        <v>101</v>
      </c>
    </row>
    <row r="1619" spans="8:15">
      <c r="H1619" s="881">
        <v>196</v>
      </c>
      <c r="I1619" s="875">
        <v>42520</v>
      </c>
      <c r="J1619" s="877" t="s">
        <v>272</v>
      </c>
      <c r="K1619" s="879" t="s">
        <v>951</v>
      </c>
      <c r="L1619" s="881" t="s">
        <v>115</v>
      </c>
      <c r="M1619" s="883">
        <v>140000</v>
      </c>
      <c r="N1619" s="55">
        <v>719</v>
      </c>
      <c r="O1619" s="78">
        <v>140000</v>
      </c>
    </row>
    <row r="1620" spans="8:15" ht="15.75" thickBot="1">
      <c r="H1620" s="882"/>
      <c r="I1620" s="876"/>
      <c r="J1620" s="878"/>
      <c r="K1620" s="880"/>
      <c r="L1620" s="882"/>
      <c r="M1620" s="884"/>
      <c r="N1620" s="56">
        <v>721</v>
      </c>
      <c r="O1620" s="79">
        <f>+M1619-O1619</f>
        <v>0</v>
      </c>
    </row>
    <row r="1621" spans="8:15">
      <c r="H1621" s="881">
        <v>197</v>
      </c>
      <c r="I1621" s="875">
        <v>42520</v>
      </c>
      <c r="J1621" s="877" t="s">
        <v>28</v>
      </c>
      <c r="K1621" s="879" t="s">
        <v>952</v>
      </c>
      <c r="L1621" s="881" t="s">
        <v>115</v>
      </c>
      <c r="M1621" s="883">
        <v>60000</v>
      </c>
      <c r="N1621" s="55">
        <v>719</v>
      </c>
      <c r="O1621" s="78">
        <v>60000</v>
      </c>
    </row>
    <row r="1622" spans="8:15" ht="15.75" thickBot="1">
      <c r="H1622" s="882"/>
      <c r="I1622" s="876"/>
      <c r="J1622" s="878"/>
      <c r="K1622" s="880"/>
      <c r="L1622" s="882"/>
      <c r="M1622" s="884"/>
      <c r="N1622" s="56">
        <v>721</v>
      </c>
      <c r="O1622" s="79">
        <f>+M1621-O1621</f>
        <v>0</v>
      </c>
    </row>
    <row r="1623" spans="8:15" ht="15" customHeight="1">
      <c r="H1623" s="881">
        <v>198</v>
      </c>
      <c r="I1623" s="875">
        <v>42520</v>
      </c>
      <c r="J1623" s="877" t="s">
        <v>120</v>
      </c>
      <c r="K1623" s="879" t="s">
        <v>953</v>
      </c>
      <c r="L1623" s="881" t="s">
        <v>115</v>
      </c>
      <c r="M1623" s="883">
        <v>60000</v>
      </c>
      <c r="N1623" s="55">
        <v>719</v>
      </c>
      <c r="O1623" s="78">
        <v>60000</v>
      </c>
    </row>
    <row r="1624" spans="8:15" ht="15.75" customHeight="1" thickBot="1">
      <c r="H1624" s="882"/>
      <c r="I1624" s="876"/>
      <c r="J1624" s="878"/>
      <c r="K1624" s="880"/>
      <c r="L1624" s="882"/>
      <c r="M1624" s="884"/>
      <c r="N1624" s="56">
        <v>721</v>
      </c>
      <c r="O1624" s="79">
        <f>+M1623-O1623</f>
        <v>0</v>
      </c>
    </row>
    <row r="1625" spans="8:15">
      <c r="H1625" s="881"/>
      <c r="I1625" s="875"/>
      <c r="J1625" s="877"/>
      <c r="K1625" s="879"/>
      <c r="L1625" s="881"/>
      <c r="M1625" s="883"/>
      <c r="N1625" s="55">
        <v>719</v>
      </c>
      <c r="O1625" s="78"/>
    </row>
    <row r="1626" spans="8:15" ht="15.75" thickBot="1">
      <c r="H1626" s="882"/>
      <c r="I1626" s="876"/>
      <c r="J1626" s="878"/>
      <c r="K1626" s="880"/>
      <c r="L1626" s="882"/>
      <c r="M1626" s="884"/>
      <c r="N1626" s="56">
        <v>721</v>
      </c>
      <c r="O1626" s="79">
        <f>+M1625-O1625</f>
        <v>0</v>
      </c>
    </row>
    <row r="1627" spans="8:15">
      <c r="H1627" s="881"/>
      <c r="I1627" s="875"/>
      <c r="J1627" s="877"/>
      <c r="K1627" s="881"/>
      <c r="L1627" s="881"/>
      <c r="M1627" s="883"/>
      <c r="N1627" s="55">
        <v>719</v>
      </c>
      <c r="O1627" s="78"/>
    </row>
    <row r="1628" spans="8:15" ht="15.75" thickBot="1">
      <c r="H1628" s="882"/>
      <c r="I1628" s="876"/>
      <c r="J1628" s="878"/>
      <c r="K1628" s="882"/>
      <c r="L1628" s="882"/>
      <c r="M1628" s="884"/>
      <c r="N1628" s="56">
        <v>721</v>
      </c>
      <c r="O1628" s="79">
        <f>+M1627-O1627</f>
        <v>0</v>
      </c>
    </row>
    <row r="1629" spans="8:15" ht="16.5" thickBot="1">
      <c r="H1629" s="901" t="s">
        <v>102</v>
      </c>
      <c r="I1629" s="902"/>
      <c r="J1629" s="902"/>
      <c r="K1629" s="902"/>
      <c r="L1629" s="903"/>
      <c r="M1629" s="81">
        <f>SUM(M1619:M1628)</f>
        <v>260000</v>
      </c>
    </row>
    <row r="1630" spans="8:15" ht="16.5" thickBot="1">
      <c r="H1630" s="885" t="s">
        <v>103</v>
      </c>
      <c r="I1630" s="886"/>
      <c r="J1630" s="886"/>
      <c r="K1630" s="886"/>
      <c r="L1630" s="887"/>
      <c r="M1630" s="69">
        <f>+M1594</f>
        <v>106198981</v>
      </c>
      <c r="N1630" s="241" t="s">
        <v>561</v>
      </c>
      <c r="O1630" s="242">
        <f>108+281</f>
        <v>389</v>
      </c>
    </row>
    <row r="1631" spans="8:15" ht="16.5" thickBot="1">
      <c r="H1631" s="888" t="s">
        <v>104</v>
      </c>
      <c r="I1631" s="889"/>
      <c r="J1631" s="889"/>
      <c r="K1631" s="889"/>
      <c r="L1631" s="890"/>
      <c r="M1631" s="183">
        <f>SUM(M1629:M1630)</f>
        <v>106458981</v>
      </c>
    </row>
    <row r="1632" spans="8:15">
      <c r="H1632" s="61"/>
      <c r="I1632" s="61"/>
      <c r="J1632" s="61"/>
      <c r="K1632" s="61"/>
      <c r="L1632" s="61"/>
    </row>
    <row r="1633" spans="8:14">
      <c r="H1633" s="51" t="s">
        <v>954</v>
      </c>
    </row>
    <row r="1634" spans="8:14" ht="12.75" customHeight="1">
      <c r="M1634" s="139"/>
    </row>
    <row r="1635" spans="8:14">
      <c r="H1635" s="50" t="s">
        <v>105</v>
      </c>
      <c r="K1635" s="146"/>
      <c r="M1635" s="139"/>
    </row>
    <row r="1636" spans="8:14" ht="11.25" customHeight="1" thickBot="1"/>
    <row r="1637" spans="8:14" ht="15.75" thickBot="1">
      <c r="H1637" s="891" t="s">
        <v>106</v>
      </c>
      <c r="I1637" s="892"/>
      <c r="J1637" s="892"/>
      <c r="K1637" s="893"/>
      <c r="M1637" s="50" t="s">
        <v>288</v>
      </c>
    </row>
    <row r="1638" spans="8:14" ht="30.75" thickBot="1">
      <c r="H1638" s="57" t="s">
        <v>100</v>
      </c>
      <c r="I1638" s="58" t="s">
        <v>108</v>
      </c>
      <c r="J1638" s="287" t="s">
        <v>109</v>
      </c>
      <c r="K1638" s="60" t="s">
        <v>110</v>
      </c>
    </row>
    <row r="1639" spans="8:14">
      <c r="H1639" s="71">
        <v>719</v>
      </c>
      <c r="I1639" s="73">
        <f>+O1619+O1621+O1623+O1625+O1627</f>
        <v>260000</v>
      </c>
      <c r="J1639" s="74">
        <f>+K1602</f>
        <v>15190000</v>
      </c>
      <c r="K1639" s="195">
        <f>+I1639+J1639</f>
        <v>15450000</v>
      </c>
    </row>
    <row r="1640" spans="8:14">
      <c r="H1640" s="72">
        <v>721</v>
      </c>
      <c r="I1640" s="80">
        <v>0</v>
      </c>
      <c r="J1640" s="74">
        <f>+K1603</f>
        <v>80208481</v>
      </c>
      <c r="K1640" s="195">
        <f>+I1640+J1640</f>
        <v>80208481</v>
      </c>
    </row>
    <row r="1641" spans="8:14">
      <c r="H1641" s="72">
        <v>722</v>
      </c>
      <c r="I1641" s="80"/>
      <c r="J1641" s="74">
        <f>+K1604</f>
        <v>0</v>
      </c>
      <c r="K1641" s="195">
        <f>+I1641+J1641</f>
        <v>0</v>
      </c>
    </row>
    <row r="1642" spans="8:14" ht="15.75">
      <c r="H1642" s="72">
        <v>723</v>
      </c>
      <c r="I1642" s="80">
        <f>+O1628+O1626+O1624+O1622+O1620</f>
        <v>0</v>
      </c>
      <c r="J1642" s="74">
        <f>+K1605</f>
        <v>10730500</v>
      </c>
      <c r="K1642" s="195">
        <f>+I1642+J1642</f>
        <v>10730500</v>
      </c>
      <c r="M1642" s="193" t="s">
        <v>289</v>
      </c>
      <c r="N1642" s="175"/>
    </row>
    <row r="1643" spans="8:14" ht="16.5" thickBot="1">
      <c r="H1643" s="164" t="s">
        <v>181</v>
      </c>
      <c r="I1643" s="165"/>
      <c r="J1643" s="74">
        <f>+K1606</f>
        <v>0</v>
      </c>
      <c r="K1643" s="196">
        <f>+I1643+J1643</f>
        <v>0</v>
      </c>
      <c r="M1643" s="52"/>
    </row>
    <row r="1644" spans="8:14" ht="16.5" thickBot="1">
      <c r="H1644" s="169"/>
      <c r="I1644" s="197">
        <f>SUM(I1639:I1643)</f>
        <v>260000</v>
      </c>
      <c r="J1644" s="197">
        <f>SUM(J1639:J1643)</f>
        <v>106128981</v>
      </c>
      <c r="K1644" s="198">
        <f>SUM(K1639:K1643)</f>
        <v>106388981</v>
      </c>
    </row>
    <row r="1645" spans="8:14" ht="16.5">
      <c r="H1645" s="49" t="s">
        <v>88</v>
      </c>
      <c r="I1645" s="50"/>
    </row>
    <row r="1646" spans="8:14">
      <c r="H1646" s="51" t="s">
        <v>89</v>
      </c>
    </row>
    <row r="1647" spans="8:14">
      <c r="H1647" s="51" t="s">
        <v>90</v>
      </c>
    </row>
    <row r="1648" spans="8:14">
      <c r="H1648" s="51" t="s">
        <v>91</v>
      </c>
    </row>
    <row r="1649" spans="8:15" ht="12" customHeight="1">
      <c r="H1649" s="50"/>
      <c r="I1649" s="50"/>
    </row>
    <row r="1650" spans="8:15" ht="15.75">
      <c r="H1650" s="260" t="s">
        <v>949</v>
      </c>
      <c r="N1650" s="52"/>
    </row>
    <row r="1651" spans="8:15" ht="15.75">
      <c r="H1651" s="53" t="s">
        <v>535</v>
      </c>
      <c r="N1651" s="53"/>
    </row>
    <row r="1652" spans="8:15" ht="16.5">
      <c r="H1652" s="894" t="s">
        <v>909</v>
      </c>
      <c r="I1652" s="894"/>
      <c r="J1652" s="894"/>
      <c r="K1652" s="894"/>
      <c r="L1652" s="894"/>
      <c r="M1652" s="894"/>
      <c r="N1652" s="894"/>
      <c r="O1652" s="894"/>
    </row>
    <row r="1653" spans="8:15" ht="15.75" thickBot="1"/>
    <row r="1654" spans="8:15">
      <c r="H1654" s="895" t="s">
        <v>94</v>
      </c>
      <c r="I1654" s="897" t="s">
        <v>95</v>
      </c>
      <c r="J1654" s="897" t="s">
        <v>96</v>
      </c>
      <c r="K1654" s="897" t="s">
        <v>3</v>
      </c>
      <c r="L1654" s="897" t="s">
        <v>97</v>
      </c>
      <c r="M1654" s="897" t="s">
        <v>98</v>
      </c>
      <c r="N1654" s="897" t="s">
        <v>99</v>
      </c>
      <c r="O1654" s="899"/>
    </row>
    <row r="1655" spans="8:15" ht="15.75" thickBot="1">
      <c r="H1655" s="896"/>
      <c r="I1655" s="898"/>
      <c r="J1655" s="898"/>
      <c r="K1655" s="898"/>
      <c r="L1655" s="898"/>
      <c r="M1655" s="898"/>
      <c r="N1655" s="240" t="s">
        <v>100</v>
      </c>
      <c r="O1655" s="182" t="s">
        <v>101</v>
      </c>
    </row>
    <row r="1656" spans="8:15" ht="15" customHeight="1">
      <c r="H1656" s="881">
        <v>199</v>
      </c>
      <c r="I1656" s="875">
        <v>42520</v>
      </c>
      <c r="J1656" s="877" t="s">
        <v>267</v>
      </c>
      <c r="K1656" s="879" t="s">
        <v>955</v>
      </c>
      <c r="L1656" s="881" t="s">
        <v>148</v>
      </c>
      <c r="M1656" s="883">
        <v>42000</v>
      </c>
      <c r="N1656" s="55">
        <v>719</v>
      </c>
      <c r="O1656" s="78">
        <v>30000</v>
      </c>
    </row>
    <row r="1657" spans="8:15" ht="15.75" customHeight="1" thickBot="1">
      <c r="H1657" s="882"/>
      <c r="I1657" s="876"/>
      <c r="J1657" s="878"/>
      <c r="K1657" s="880"/>
      <c r="L1657" s="882"/>
      <c r="M1657" s="884"/>
      <c r="N1657" s="56">
        <v>721</v>
      </c>
      <c r="O1657" s="79">
        <f>+M1656-O1656</f>
        <v>12000</v>
      </c>
    </row>
    <row r="1658" spans="8:15" ht="15" customHeight="1">
      <c r="H1658" s="881">
        <v>200</v>
      </c>
      <c r="I1658" s="875">
        <v>42520</v>
      </c>
      <c r="J1658" s="877" t="s">
        <v>28</v>
      </c>
      <c r="K1658" s="879" t="s">
        <v>956</v>
      </c>
      <c r="L1658" s="881" t="s">
        <v>148</v>
      </c>
      <c r="M1658" s="883">
        <v>224000</v>
      </c>
      <c r="N1658" s="55">
        <v>719</v>
      </c>
      <c r="O1658" s="78">
        <v>160000</v>
      </c>
    </row>
    <row r="1659" spans="8:15" ht="15.75" customHeight="1" thickBot="1">
      <c r="H1659" s="882"/>
      <c r="I1659" s="876"/>
      <c r="J1659" s="878"/>
      <c r="K1659" s="880"/>
      <c r="L1659" s="882"/>
      <c r="M1659" s="884"/>
      <c r="N1659" s="56">
        <v>721</v>
      </c>
      <c r="O1659" s="79">
        <f>+M1658-O1658</f>
        <v>64000</v>
      </c>
    </row>
    <row r="1660" spans="8:15" ht="15" customHeight="1">
      <c r="H1660" s="881">
        <v>201</v>
      </c>
      <c r="I1660" s="875">
        <v>42520</v>
      </c>
      <c r="J1660" s="877" t="s">
        <v>111</v>
      </c>
      <c r="K1660" s="879" t="s">
        <v>957</v>
      </c>
      <c r="L1660" s="881" t="s">
        <v>148</v>
      </c>
      <c r="M1660" s="883">
        <v>56000</v>
      </c>
      <c r="N1660" s="55">
        <v>719</v>
      </c>
      <c r="O1660" s="78">
        <v>40000</v>
      </c>
    </row>
    <row r="1661" spans="8:15" ht="15.75" customHeight="1" thickBot="1">
      <c r="H1661" s="882"/>
      <c r="I1661" s="876"/>
      <c r="J1661" s="878"/>
      <c r="K1661" s="880"/>
      <c r="L1661" s="882"/>
      <c r="M1661" s="884"/>
      <c r="N1661" s="56">
        <v>721</v>
      </c>
      <c r="O1661" s="79">
        <f>+M1660-O1660</f>
        <v>16000</v>
      </c>
    </row>
    <row r="1662" spans="8:15" ht="15" customHeight="1">
      <c r="H1662" s="881">
        <v>202</v>
      </c>
      <c r="I1662" s="875">
        <v>42520</v>
      </c>
      <c r="J1662" s="877" t="s">
        <v>272</v>
      </c>
      <c r="K1662" s="879" t="s">
        <v>956</v>
      </c>
      <c r="L1662" s="881" t="s">
        <v>148</v>
      </c>
      <c r="M1662" s="883">
        <v>546000</v>
      </c>
      <c r="N1662" s="55">
        <v>719</v>
      </c>
      <c r="O1662" s="78">
        <v>390000</v>
      </c>
    </row>
    <row r="1663" spans="8:15" ht="15.75" customHeight="1" thickBot="1">
      <c r="H1663" s="882"/>
      <c r="I1663" s="876"/>
      <c r="J1663" s="878"/>
      <c r="K1663" s="880"/>
      <c r="L1663" s="882"/>
      <c r="M1663" s="884"/>
      <c r="N1663" s="56">
        <v>721</v>
      </c>
      <c r="O1663" s="79">
        <f>+M1662-O1662</f>
        <v>156000</v>
      </c>
    </row>
    <row r="1664" spans="8:15">
      <c r="H1664" s="881"/>
      <c r="I1664" s="875"/>
      <c r="J1664" s="877"/>
      <c r="K1664" s="881"/>
      <c r="L1664" s="881"/>
      <c r="M1664" s="883"/>
      <c r="N1664" s="55">
        <v>719</v>
      </c>
      <c r="O1664" s="78"/>
    </row>
    <row r="1665" spans="8:15" ht="15.75" thickBot="1">
      <c r="H1665" s="882"/>
      <c r="I1665" s="876"/>
      <c r="J1665" s="878"/>
      <c r="K1665" s="882"/>
      <c r="L1665" s="882"/>
      <c r="M1665" s="884"/>
      <c r="N1665" s="56">
        <v>721</v>
      </c>
      <c r="O1665" s="79">
        <f>+M1664-O1664</f>
        <v>0</v>
      </c>
    </row>
    <row r="1666" spans="8:15" ht="16.5" thickBot="1">
      <c r="H1666" s="901" t="s">
        <v>102</v>
      </c>
      <c r="I1666" s="902"/>
      <c r="J1666" s="902"/>
      <c r="K1666" s="902"/>
      <c r="L1666" s="903"/>
      <c r="M1666" s="81">
        <f>SUM(M1656:M1665)</f>
        <v>868000</v>
      </c>
    </row>
    <row r="1667" spans="8:15" ht="16.5" thickBot="1">
      <c r="H1667" s="885" t="s">
        <v>103</v>
      </c>
      <c r="I1667" s="886"/>
      <c r="J1667" s="886"/>
      <c r="K1667" s="886"/>
      <c r="L1667" s="887"/>
      <c r="M1667" s="69">
        <f>+M1631</f>
        <v>106458981</v>
      </c>
      <c r="N1667" s="241" t="s">
        <v>561</v>
      </c>
      <c r="O1667" s="242">
        <f>941+20+470+17</f>
        <v>1448</v>
      </c>
    </row>
    <row r="1668" spans="8:15" ht="16.5" thickBot="1">
      <c r="H1668" s="888" t="s">
        <v>104</v>
      </c>
      <c r="I1668" s="889"/>
      <c r="J1668" s="889"/>
      <c r="K1668" s="889"/>
      <c r="L1668" s="890"/>
      <c r="M1668" s="183">
        <f>SUM(M1666:M1667)</f>
        <v>107326981</v>
      </c>
    </row>
    <row r="1669" spans="8:15">
      <c r="H1669" s="61"/>
      <c r="I1669" s="61"/>
      <c r="J1669" s="61"/>
      <c r="K1669" s="61"/>
      <c r="L1669" s="61"/>
    </row>
    <row r="1670" spans="8:15">
      <c r="H1670" s="51" t="s">
        <v>962</v>
      </c>
    </row>
    <row r="1671" spans="8:15" ht="11.25" customHeight="1">
      <c r="M1671" s="139"/>
    </row>
    <row r="1672" spans="8:15">
      <c r="H1672" s="50" t="s">
        <v>105</v>
      </c>
      <c r="K1672" s="146"/>
      <c r="M1672" s="139"/>
    </row>
    <row r="1673" spans="8:15" ht="13.5" customHeight="1" thickBot="1"/>
    <row r="1674" spans="8:15" ht="15.75" thickBot="1">
      <c r="H1674" s="891" t="s">
        <v>106</v>
      </c>
      <c r="I1674" s="892"/>
      <c r="J1674" s="892"/>
      <c r="K1674" s="893"/>
      <c r="M1674" s="50" t="s">
        <v>288</v>
      </c>
    </row>
    <row r="1675" spans="8:15" ht="30.75" thickBot="1">
      <c r="H1675" s="57" t="s">
        <v>100</v>
      </c>
      <c r="I1675" s="58" t="s">
        <v>108</v>
      </c>
      <c r="J1675" s="287" t="s">
        <v>109</v>
      </c>
      <c r="K1675" s="60" t="s">
        <v>110</v>
      </c>
    </row>
    <row r="1676" spans="8:15">
      <c r="H1676" s="71">
        <v>719</v>
      </c>
      <c r="I1676" s="73">
        <f>+O1656+O1658+O1660+O1662+O1664</f>
        <v>620000</v>
      </c>
      <c r="J1676" s="74">
        <f>+K1639</f>
        <v>15450000</v>
      </c>
      <c r="K1676" s="195">
        <f>+I1676+J1676</f>
        <v>16070000</v>
      </c>
    </row>
    <row r="1677" spans="8:15">
      <c r="H1677" s="72">
        <v>721</v>
      </c>
      <c r="I1677" s="80">
        <f>+O1657+O1659+O1661+O1663</f>
        <v>248000</v>
      </c>
      <c r="J1677" s="74">
        <f>+K1640</f>
        <v>80208481</v>
      </c>
      <c r="K1677" s="195">
        <f>+I1677+J1677</f>
        <v>80456481</v>
      </c>
    </row>
    <row r="1678" spans="8:15">
      <c r="H1678" s="72">
        <v>722</v>
      </c>
      <c r="I1678" s="80"/>
      <c r="J1678" s="74">
        <f>+K1641</f>
        <v>0</v>
      </c>
      <c r="K1678" s="195">
        <f>+I1678+J1678</f>
        <v>0</v>
      </c>
    </row>
    <row r="1679" spans="8:15" ht="15.75">
      <c r="H1679" s="72">
        <v>723</v>
      </c>
      <c r="I1679" s="80"/>
      <c r="J1679" s="74">
        <f>+K1642</f>
        <v>10730500</v>
      </c>
      <c r="K1679" s="195">
        <f>+I1679+J1679</f>
        <v>10730500</v>
      </c>
      <c r="M1679" s="193" t="s">
        <v>289</v>
      </c>
      <c r="N1679" s="175"/>
    </row>
    <row r="1680" spans="8:15" ht="16.5" thickBot="1">
      <c r="H1680" s="164" t="s">
        <v>181</v>
      </c>
      <c r="I1680" s="165"/>
      <c r="J1680" s="74">
        <f>+K1643</f>
        <v>0</v>
      </c>
      <c r="K1680" s="196">
        <f>+I1680+J1680</f>
        <v>0</v>
      </c>
      <c r="M1680" s="52"/>
    </row>
    <row r="1681" spans="8:15" ht="16.5" thickBot="1">
      <c r="H1681" s="169"/>
      <c r="I1681" s="197">
        <f>SUM(I1676:I1680)</f>
        <v>868000</v>
      </c>
      <c r="J1681" s="197">
        <f>SUM(J1676:J1680)</f>
        <v>106388981</v>
      </c>
      <c r="K1681" s="198">
        <f>SUM(K1676:K1680)</f>
        <v>107256981</v>
      </c>
    </row>
    <row r="1682" spans="8:15" ht="16.5">
      <c r="H1682" s="49" t="s">
        <v>88</v>
      </c>
      <c r="I1682" s="50"/>
    </row>
    <row r="1683" spans="8:15">
      <c r="H1683" s="51" t="s">
        <v>89</v>
      </c>
    </row>
    <row r="1684" spans="8:15">
      <c r="H1684" s="51" t="s">
        <v>90</v>
      </c>
    </row>
    <row r="1685" spans="8:15">
      <c r="H1685" s="51" t="s">
        <v>91</v>
      </c>
    </row>
    <row r="1686" spans="8:15" ht="12.75" customHeight="1">
      <c r="H1686" s="50"/>
      <c r="I1686" s="50"/>
    </row>
    <row r="1687" spans="8:15" ht="15.75">
      <c r="H1687" s="260" t="s">
        <v>950</v>
      </c>
      <c r="N1687" s="52"/>
    </row>
    <row r="1688" spans="8:15" ht="15.75">
      <c r="H1688" s="53" t="s">
        <v>535</v>
      </c>
      <c r="N1688" s="53"/>
    </row>
    <row r="1689" spans="8:15" ht="16.5">
      <c r="H1689" s="894" t="s">
        <v>909</v>
      </c>
      <c r="I1689" s="894"/>
      <c r="J1689" s="894"/>
      <c r="K1689" s="894"/>
      <c r="L1689" s="894"/>
      <c r="M1689" s="894"/>
      <c r="N1689" s="894"/>
      <c r="O1689" s="894"/>
    </row>
    <row r="1690" spans="8:15" ht="15.75" thickBot="1"/>
    <row r="1691" spans="8:15">
      <c r="H1691" s="895" t="s">
        <v>94</v>
      </c>
      <c r="I1691" s="897" t="s">
        <v>95</v>
      </c>
      <c r="J1691" s="897" t="s">
        <v>96</v>
      </c>
      <c r="K1691" s="897" t="s">
        <v>3</v>
      </c>
      <c r="L1691" s="897" t="s">
        <v>97</v>
      </c>
      <c r="M1691" s="897" t="s">
        <v>98</v>
      </c>
      <c r="N1691" s="897" t="s">
        <v>99</v>
      </c>
      <c r="O1691" s="899"/>
    </row>
    <row r="1692" spans="8:15" ht="15.75" thickBot="1">
      <c r="H1692" s="896"/>
      <c r="I1692" s="898"/>
      <c r="J1692" s="898"/>
      <c r="K1692" s="898"/>
      <c r="L1692" s="898"/>
      <c r="M1692" s="898"/>
      <c r="N1692" s="240" t="s">
        <v>100</v>
      </c>
      <c r="O1692" s="182" t="s">
        <v>101</v>
      </c>
    </row>
    <row r="1693" spans="8:15" ht="15" customHeight="1">
      <c r="H1693" s="881">
        <v>203</v>
      </c>
      <c r="I1693" s="875">
        <v>42520</v>
      </c>
      <c r="J1693" s="877" t="s">
        <v>267</v>
      </c>
      <c r="K1693" s="879" t="s">
        <v>958</v>
      </c>
      <c r="L1693" s="881" t="s">
        <v>148</v>
      </c>
      <c r="M1693" s="883">
        <v>28000</v>
      </c>
      <c r="N1693" s="55">
        <v>719</v>
      </c>
      <c r="O1693" s="78">
        <v>20000</v>
      </c>
    </row>
    <row r="1694" spans="8:15" ht="15.75" customHeight="1" thickBot="1">
      <c r="H1694" s="882"/>
      <c r="I1694" s="876"/>
      <c r="J1694" s="878"/>
      <c r="K1694" s="880"/>
      <c r="L1694" s="882"/>
      <c r="M1694" s="884"/>
      <c r="N1694" s="56">
        <v>721</v>
      </c>
      <c r="O1694" s="79">
        <f>+M1693-O1693</f>
        <v>8000</v>
      </c>
    </row>
    <row r="1695" spans="8:15" ht="15" customHeight="1">
      <c r="H1695" s="881">
        <v>204</v>
      </c>
      <c r="I1695" s="875">
        <v>42520</v>
      </c>
      <c r="J1695" s="877" t="s">
        <v>28</v>
      </c>
      <c r="K1695" s="879" t="s">
        <v>959</v>
      </c>
      <c r="L1695" s="881" t="s">
        <v>148</v>
      </c>
      <c r="M1695" s="883">
        <v>238000</v>
      </c>
      <c r="N1695" s="55">
        <v>719</v>
      </c>
      <c r="O1695" s="78">
        <v>170000</v>
      </c>
    </row>
    <row r="1696" spans="8:15" ht="15.75" customHeight="1" thickBot="1">
      <c r="H1696" s="882"/>
      <c r="I1696" s="876"/>
      <c r="J1696" s="878"/>
      <c r="K1696" s="880"/>
      <c r="L1696" s="882"/>
      <c r="M1696" s="884"/>
      <c r="N1696" s="56">
        <v>721</v>
      </c>
      <c r="O1696" s="79">
        <f>+M1695-O1695</f>
        <v>68000</v>
      </c>
    </row>
    <row r="1697" spans="8:15" ht="15" customHeight="1">
      <c r="H1697" s="881">
        <v>205</v>
      </c>
      <c r="I1697" s="875">
        <v>42520</v>
      </c>
      <c r="J1697" s="877" t="s">
        <v>111</v>
      </c>
      <c r="K1697" s="879" t="s">
        <v>960</v>
      </c>
      <c r="L1697" s="881" t="s">
        <v>148</v>
      </c>
      <c r="M1697" s="883">
        <v>84000</v>
      </c>
      <c r="N1697" s="55">
        <v>719</v>
      </c>
      <c r="O1697" s="78">
        <v>60000</v>
      </c>
    </row>
    <row r="1698" spans="8:15" ht="15.75" customHeight="1" thickBot="1">
      <c r="H1698" s="882"/>
      <c r="I1698" s="876"/>
      <c r="J1698" s="878"/>
      <c r="K1698" s="880"/>
      <c r="L1698" s="882"/>
      <c r="M1698" s="884"/>
      <c r="N1698" s="56">
        <v>721</v>
      </c>
      <c r="O1698" s="79">
        <f>+M1697-O1697</f>
        <v>24000</v>
      </c>
    </row>
    <row r="1699" spans="8:15" ht="15" customHeight="1">
      <c r="H1699" s="881">
        <v>206</v>
      </c>
      <c r="I1699" s="875">
        <v>42520</v>
      </c>
      <c r="J1699" s="877" t="s">
        <v>272</v>
      </c>
      <c r="K1699" s="879" t="s">
        <v>959</v>
      </c>
      <c r="L1699" s="881" t="s">
        <v>148</v>
      </c>
      <c r="M1699" s="883">
        <v>504000</v>
      </c>
      <c r="N1699" s="55">
        <v>719</v>
      </c>
      <c r="O1699" s="78">
        <v>360000</v>
      </c>
    </row>
    <row r="1700" spans="8:15" ht="15.75" customHeight="1" thickBot="1">
      <c r="H1700" s="882"/>
      <c r="I1700" s="876"/>
      <c r="J1700" s="878"/>
      <c r="K1700" s="880"/>
      <c r="L1700" s="882"/>
      <c r="M1700" s="884"/>
      <c r="N1700" s="56">
        <v>721</v>
      </c>
      <c r="O1700" s="79">
        <f>+M1699-O1699</f>
        <v>144000</v>
      </c>
    </row>
    <row r="1701" spans="8:15">
      <c r="H1701" s="881"/>
      <c r="I1701" s="875"/>
      <c r="J1701" s="877"/>
      <c r="K1701" s="881"/>
      <c r="L1701" s="881"/>
      <c r="M1701" s="883"/>
      <c r="N1701" s="55">
        <v>719</v>
      </c>
      <c r="O1701" s="78"/>
    </row>
    <row r="1702" spans="8:15" ht="15.75" thickBot="1">
      <c r="H1702" s="882"/>
      <c r="I1702" s="876"/>
      <c r="J1702" s="878"/>
      <c r="K1702" s="882"/>
      <c r="L1702" s="882"/>
      <c r="M1702" s="884"/>
      <c r="N1702" s="56">
        <v>721</v>
      </c>
      <c r="O1702" s="79">
        <f>+M1701-O1701</f>
        <v>0</v>
      </c>
    </row>
    <row r="1703" spans="8:15" ht="16.5" thickBot="1">
      <c r="H1703" s="901" t="s">
        <v>102</v>
      </c>
      <c r="I1703" s="902"/>
      <c r="J1703" s="902"/>
      <c r="K1703" s="902"/>
      <c r="L1703" s="903"/>
      <c r="M1703" s="81">
        <f>SUM(M1693:M1702)</f>
        <v>854000</v>
      </c>
    </row>
    <row r="1704" spans="8:15" ht="16.5" thickBot="1">
      <c r="H1704" s="885" t="s">
        <v>103</v>
      </c>
      <c r="I1704" s="886"/>
      <c r="J1704" s="886"/>
      <c r="K1704" s="886"/>
      <c r="L1704" s="887"/>
      <c r="M1704" s="69">
        <f>+M1668</f>
        <v>107326981</v>
      </c>
      <c r="N1704" s="241" t="s">
        <v>561</v>
      </c>
      <c r="O1704" s="242">
        <f>746+26+428+20</f>
        <v>1220</v>
      </c>
    </row>
    <row r="1705" spans="8:15" ht="16.5" thickBot="1">
      <c r="H1705" s="888" t="s">
        <v>104</v>
      </c>
      <c r="I1705" s="889"/>
      <c r="J1705" s="889"/>
      <c r="K1705" s="889"/>
      <c r="L1705" s="890"/>
      <c r="M1705" s="183">
        <f>SUM(M1703:M1704)</f>
        <v>108180981</v>
      </c>
    </row>
    <row r="1706" spans="8:15">
      <c r="H1706" s="61"/>
      <c r="I1706" s="61"/>
      <c r="J1706" s="61"/>
      <c r="K1706" s="61"/>
      <c r="L1706" s="61"/>
    </row>
    <row r="1707" spans="8:15">
      <c r="H1707" s="51" t="s">
        <v>961</v>
      </c>
    </row>
    <row r="1708" spans="8:15" ht="12" customHeight="1">
      <c r="M1708" s="139"/>
    </row>
    <row r="1709" spans="8:15">
      <c r="H1709" s="50" t="s">
        <v>105</v>
      </c>
      <c r="K1709" s="146"/>
      <c r="M1709" s="139"/>
    </row>
    <row r="1710" spans="8:15" ht="11.25" customHeight="1" thickBot="1"/>
    <row r="1711" spans="8:15" ht="15.75" thickBot="1">
      <c r="H1711" s="891" t="s">
        <v>106</v>
      </c>
      <c r="I1711" s="892"/>
      <c r="J1711" s="892"/>
      <c r="K1711" s="893"/>
      <c r="M1711" s="50" t="s">
        <v>288</v>
      </c>
    </row>
    <row r="1712" spans="8:15" ht="30.75" thickBot="1">
      <c r="H1712" s="57" t="s">
        <v>100</v>
      </c>
      <c r="I1712" s="58" t="s">
        <v>108</v>
      </c>
      <c r="J1712" s="287" t="s">
        <v>109</v>
      </c>
      <c r="K1712" s="60" t="s">
        <v>110</v>
      </c>
    </row>
    <row r="1713" spans="8:15">
      <c r="H1713" s="71">
        <v>719</v>
      </c>
      <c r="I1713" s="73">
        <f>+O1693+O1695+O1697+O1699+O1701</f>
        <v>610000</v>
      </c>
      <c r="J1713" s="74">
        <f>+K1676</f>
        <v>16070000</v>
      </c>
      <c r="K1713" s="195">
        <f>+I1713+J1713</f>
        <v>16680000</v>
      </c>
    </row>
    <row r="1714" spans="8:15">
      <c r="H1714" s="72">
        <v>721</v>
      </c>
      <c r="I1714" s="80">
        <f>+O1694+O1696+O1698+O1700</f>
        <v>244000</v>
      </c>
      <c r="J1714" s="74">
        <f>+K1677</f>
        <v>80456481</v>
      </c>
      <c r="K1714" s="195">
        <f>+I1714+J1714</f>
        <v>80700481</v>
      </c>
    </row>
    <row r="1715" spans="8:15">
      <c r="H1715" s="72">
        <v>722</v>
      </c>
      <c r="I1715" s="80"/>
      <c r="J1715" s="74">
        <f>+K1678</f>
        <v>0</v>
      </c>
      <c r="K1715" s="195">
        <f>+I1715+J1715</f>
        <v>0</v>
      </c>
    </row>
    <row r="1716" spans="8:15" ht="15.75">
      <c r="H1716" s="72">
        <v>723</v>
      </c>
      <c r="I1716" s="80"/>
      <c r="J1716" s="74">
        <f>+K1679</f>
        <v>10730500</v>
      </c>
      <c r="K1716" s="195">
        <f>+I1716+J1716</f>
        <v>10730500</v>
      </c>
      <c r="M1716" s="193" t="s">
        <v>289</v>
      </c>
      <c r="N1716" s="175"/>
    </row>
    <row r="1717" spans="8:15" ht="16.5" thickBot="1">
      <c r="H1717" s="164" t="s">
        <v>181</v>
      </c>
      <c r="I1717" s="165"/>
      <c r="J1717" s="74">
        <f>+K1680</f>
        <v>0</v>
      </c>
      <c r="K1717" s="196">
        <f>+I1717+J1717</f>
        <v>0</v>
      </c>
      <c r="M1717" s="52"/>
    </row>
    <row r="1718" spans="8:15" ht="16.5" thickBot="1">
      <c r="H1718" s="169"/>
      <c r="I1718" s="197">
        <f>SUM(I1713:I1717)</f>
        <v>854000</v>
      </c>
      <c r="J1718" s="197">
        <f>SUM(J1713:J1717)</f>
        <v>107256981</v>
      </c>
      <c r="K1718" s="198">
        <f>SUM(K1713:K1717)</f>
        <v>108110981</v>
      </c>
    </row>
    <row r="1719" spans="8:15" ht="16.5">
      <c r="H1719" s="49" t="s">
        <v>88</v>
      </c>
      <c r="I1719" s="50"/>
    </row>
    <row r="1720" spans="8:15">
      <c r="H1720" s="51" t="s">
        <v>89</v>
      </c>
    </row>
    <row r="1721" spans="8:15">
      <c r="H1721" s="51" t="s">
        <v>90</v>
      </c>
    </row>
    <row r="1722" spans="8:15">
      <c r="H1722" s="51" t="s">
        <v>91</v>
      </c>
    </row>
    <row r="1723" spans="8:15" ht="12.75" customHeight="1">
      <c r="H1723" s="50"/>
      <c r="I1723" s="50"/>
    </row>
    <row r="1724" spans="8:15" ht="15.75">
      <c r="H1724" s="260" t="s">
        <v>976</v>
      </c>
      <c r="N1724" s="52"/>
    </row>
    <row r="1725" spans="8:15" ht="15.75">
      <c r="H1725" s="53" t="s">
        <v>535</v>
      </c>
      <c r="N1725" s="53"/>
    </row>
    <row r="1726" spans="8:15" ht="16.5">
      <c r="H1726" s="894" t="s">
        <v>967</v>
      </c>
      <c r="I1726" s="894"/>
      <c r="J1726" s="894"/>
      <c r="K1726" s="894"/>
      <c r="L1726" s="894"/>
      <c r="M1726" s="894"/>
      <c r="N1726" s="894"/>
      <c r="O1726" s="894"/>
    </row>
    <row r="1727" spans="8:15" ht="15.75" thickBot="1"/>
    <row r="1728" spans="8:15">
      <c r="H1728" s="916" t="s">
        <v>968</v>
      </c>
      <c r="I1728" s="912" t="s">
        <v>95</v>
      </c>
      <c r="J1728" s="912" t="s">
        <v>96</v>
      </c>
      <c r="K1728" s="912" t="s">
        <v>3</v>
      </c>
      <c r="L1728" s="912" t="s">
        <v>97</v>
      </c>
      <c r="M1728" s="912" t="s">
        <v>98</v>
      </c>
      <c r="N1728" s="914" t="s">
        <v>99</v>
      </c>
      <c r="O1728" s="915"/>
    </row>
    <row r="1729" spans="8:18" ht="15.75" thickBot="1">
      <c r="H1729" s="917"/>
      <c r="I1729" s="913"/>
      <c r="J1729" s="913"/>
      <c r="K1729" s="913"/>
      <c r="L1729" s="913"/>
      <c r="M1729" s="913"/>
      <c r="N1729" s="240" t="s">
        <v>100</v>
      </c>
      <c r="O1729" s="182" t="s">
        <v>101</v>
      </c>
    </row>
    <row r="1730" spans="8:18" ht="12" customHeight="1">
      <c r="H1730" s="873" t="s">
        <v>545</v>
      </c>
      <c r="I1730" s="875">
        <v>42520</v>
      </c>
      <c r="J1730" s="910" t="s">
        <v>695</v>
      </c>
      <c r="K1730" s="879" t="s">
        <v>556</v>
      </c>
      <c r="L1730" s="881" t="s">
        <v>148</v>
      </c>
      <c r="M1730" s="883"/>
      <c r="N1730" s="55">
        <v>719</v>
      </c>
      <c r="O1730" s="78"/>
    </row>
    <row r="1731" spans="8:18" ht="12.75" customHeight="1" thickBot="1">
      <c r="H1731" s="874"/>
      <c r="I1731" s="876"/>
      <c r="J1731" s="911"/>
      <c r="K1731" s="880"/>
      <c r="L1731" s="882"/>
      <c r="M1731" s="884"/>
      <c r="N1731" s="56">
        <v>723</v>
      </c>
      <c r="O1731" s="79">
        <f>+M1730-O1730</f>
        <v>0</v>
      </c>
    </row>
    <row r="1732" spans="8:18" ht="12.75" customHeight="1">
      <c r="H1732" s="873" t="s">
        <v>547</v>
      </c>
      <c r="I1732" s="875">
        <v>42520</v>
      </c>
      <c r="J1732" s="910" t="s">
        <v>695</v>
      </c>
      <c r="K1732" s="879" t="s">
        <v>556</v>
      </c>
      <c r="L1732" s="881" t="s">
        <v>115</v>
      </c>
      <c r="M1732" s="883"/>
      <c r="N1732" s="55">
        <v>719</v>
      </c>
      <c r="O1732" s="78"/>
    </row>
    <row r="1733" spans="8:18" ht="13.5" customHeight="1" thickBot="1">
      <c r="H1733" s="874"/>
      <c r="I1733" s="876"/>
      <c r="J1733" s="911"/>
      <c r="K1733" s="880"/>
      <c r="L1733" s="882"/>
      <c r="M1733" s="884"/>
      <c r="N1733" s="56">
        <v>723</v>
      </c>
      <c r="O1733" s="79">
        <f>+M1732-O1732</f>
        <v>0</v>
      </c>
    </row>
    <row r="1734" spans="8:18" ht="11.25" customHeight="1">
      <c r="H1734" s="873" t="s">
        <v>548</v>
      </c>
      <c r="I1734" s="875">
        <v>42520</v>
      </c>
      <c r="J1734" s="877" t="s">
        <v>701</v>
      </c>
      <c r="K1734" s="879" t="s">
        <v>556</v>
      </c>
      <c r="L1734" s="881" t="s">
        <v>148</v>
      </c>
      <c r="M1734" s="883"/>
      <c r="N1734" s="55">
        <v>719</v>
      </c>
      <c r="O1734" s="78"/>
    </row>
    <row r="1735" spans="8:18" ht="13.5" customHeight="1" thickBot="1">
      <c r="H1735" s="874"/>
      <c r="I1735" s="876"/>
      <c r="J1735" s="878"/>
      <c r="K1735" s="880"/>
      <c r="L1735" s="882"/>
      <c r="M1735" s="884"/>
      <c r="N1735" s="56">
        <v>723</v>
      </c>
      <c r="O1735" s="79">
        <f>+M1734-O1734</f>
        <v>0</v>
      </c>
    </row>
    <row r="1736" spans="8:18" ht="12.75" customHeight="1">
      <c r="H1736" s="873" t="s">
        <v>549</v>
      </c>
      <c r="I1736" s="875">
        <v>42520</v>
      </c>
      <c r="J1736" s="877" t="s">
        <v>673</v>
      </c>
      <c r="K1736" s="879" t="s">
        <v>556</v>
      </c>
      <c r="L1736" s="881" t="s">
        <v>148</v>
      </c>
      <c r="M1736" s="883"/>
      <c r="N1736" s="55">
        <v>719</v>
      </c>
      <c r="O1736" s="78"/>
    </row>
    <row r="1737" spans="8:18" ht="14.25" customHeight="1" thickBot="1">
      <c r="H1737" s="874"/>
      <c r="I1737" s="876"/>
      <c r="J1737" s="878"/>
      <c r="K1737" s="880"/>
      <c r="L1737" s="882"/>
      <c r="M1737" s="884"/>
      <c r="N1737" s="56">
        <v>723</v>
      </c>
      <c r="O1737" s="79">
        <f>+M1736-O1736</f>
        <v>0</v>
      </c>
    </row>
    <row r="1738" spans="8:18" ht="12" customHeight="1">
      <c r="H1738" s="873" t="s">
        <v>550</v>
      </c>
      <c r="I1738" s="875">
        <v>42520</v>
      </c>
      <c r="J1738" s="877" t="s">
        <v>729</v>
      </c>
      <c r="K1738" s="879" t="s">
        <v>556</v>
      </c>
      <c r="L1738" s="881" t="s">
        <v>148</v>
      </c>
      <c r="M1738" s="883"/>
      <c r="N1738" s="55">
        <v>719</v>
      </c>
      <c r="O1738" s="78"/>
    </row>
    <row r="1739" spans="8:18" ht="12.75" customHeight="1" thickBot="1">
      <c r="H1739" s="874"/>
      <c r="I1739" s="876"/>
      <c r="J1739" s="878"/>
      <c r="K1739" s="880"/>
      <c r="L1739" s="882"/>
      <c r="M1739" s="884"/>
      <c r="N1739" s="56">
        <v>723</v>
      </c>
      <c r="O1739" s="79">
        <f>+M1738-O1738</f>
        <v>0</v>
      </c>
    </row>
    <row r="1740" spans="8:18" ht="12.75" customHeight="1">
      <c r="H1740" s="873" t="s">
        <v>551</v>
      </c>
      <c r="I1740" s="875">
        <v>42520</v>
      </c>
      <c r="J1740" s="877" t="s">
        <v>694</v>
      </c>
      <c r="K1740" s="879" t="s">
        <v>556</v>
      </c>
      <c r="L1740" s="881" t="s">
        <v>148</v>
      </c>
      <c r="M1740" s="883"/>
      <c r="N1740" s="55">
        <v>719</v>
      </c>
      <c r="O1740" s="78"/>
    </row>
    <row r="1741" spans="8:18" ht="13.5" customHeight="1" thickBot="1">
      <c r="H1741" s="874"/>
      <c r="I1741" s="876"/>
      <c r="J1741" s="878"/>
      <c r="K1741" s="880"/>
      <c r="L1741" s="882"/>
      <c r="M1741" s="884"/>
      <c r="N1741" s="56">
        <v>723</v>
      </c>
      <c r="O1741" s="79">
        <f>+M1740-O1740</f>
        <v>0</v>
      </c>
    </row>
    <row r="1742" spans="8:18" ht="16.5" thickBot="1">
      <c r="H1742" s="888" t="s">
        <v>102</v>
      </c>
      <c r="I1742" s="889"/>
      <c r="J1742" s="889"/>
      <c r="K1742" s="889"/>
      <c r="L1742" s="890"/>
      <c r="M1742" s="81">
        <f>SUM(M1730:M1741)</f>
        <v>0</v>
      </c>
    </row>
    <row r="1743" spans="8:18" ht="16.5" thickBot="1">
      <c r="H1743" s="885" t="s">
        <v>103</v>
      </c>
      <c r="I1743" s="886"/>
      <c r="J1743" s="886"/>
      <c r="K1743" s="886"/>
      <c r="L1743" s="887"/>
      <c r="M1743" s="69">
        <f>+M1705</f>
        <v>108180981</v>
      </c>
      <c r="N1743" s="241" t="s">
        <v>561</v>
      </c>
      <c r="O1743" s="242"/>
    </row>
    <row r="1744" spans="8:18" ht="16.5" thickBot="1">
      <c r="H1744" s="888" t="s">
        <v>104</v>
      </c>
      <c r="I1744" s="889"/>
      <c r="J1744" s="889"/>
      <c r="K1744" s="889"/>
      <c r="L1744" s="890"/>
      <c r="M1744" s="183">
        <f>SUM(M1742:M1743)</f>
        <v>108180981</v>
      </c>
      <c r="R1744" s="51">
        <f>1945*1.05^4.5</f>
        <v>2422.5427600461721</v>
      </c>
    </row>
    <row r="1745" spans="8:14" ht="13.5" customHeight="1">
      <c r="H1745" s="61"/>
      <c r="I1745" s="61"/>
      <c r="J1745" s="61"/>
      <c r="K1745" s="61"/>
      <c r="L1745" s="61"/>
    </row>
    <row r="1746" spans="8:14">
      <c r="H1746" s="51" t="s">
        <v>966</v>
      </c>
    </row>
    <row r="1747" spans="8:14" ht="12.75" customHeight="1">
      <c r="M1747" s="139"/>
    </row>
    <row r="1748" spans="8:14">
      <c r="H1748" s="50" t="s">
        <v>105</v>
      </c>
      <c r="K1748" s="146"/>
      <c r="M1748" s="139"/>
    </row>
    <row r="1749" spans="8:14" ht="13.5" customHeight="1" thickBot="1"/>
    <row r="1750" spans="8:14" ht="15.75" thickBot="1">
      <c r="H1750" s="891" t="s">
        <v>106</v>
      </c>
      <c r="I1750" s="892"/>
      <c r="J1750" s="892"/>
      <c r="K1750" s="893"/>
      <c r="M1750" s="50" t="s">
        <v>288</v>
      </c>
    </row>
    <row r="1751" spans="8:14" ht="30.75" thickBot="1">
      <c r="H1751" s="57" t="s">
        <v>100</v>
      </c>
      <c r="I1751" s="58" t="s">
        <v>108</v>
      </c>
      <c r="J1751" s="287" t="s">
        <v>109</v>
      </c>
      <c r="K1751" s="60" t="s">
        <v>110</v>
      </c>
    </row>
    <row r="1752" spans="8:14">
      <c r="H1752" s="71">
        <v>719</v>
      </c>
      <c r="I1752" s="73">
        <f>+O1730+O1732+O1736+O1738+O1740</f>
        <v>0</v>
      </c>
      <c r="J1752" s="74">
        <f>+K1713</f>
        <v>16680000</v>
      </c>
      <c r="K1752" s="195">
        <f>+I1752+J1752</f>
        <v>16680000</v>
      </c>
    </row>
    <row r="1753" spans="8:14">
      <c r="H1753" s="72">
        <v>721</v>
      </c>
      <c r="I1753" s="80">
        <v>0</v>
      </c>
      <c r="J1753" s="74">
        <f>+K1714</f>
        <v>80700481</v>
      </c>
      <c r="K1753" s="195">
        <f>+I1753+J1753</f>
        <v>80700481</v>
      </c>
    </row>
    <row r="1754" spans="8:14">
      <c r="H1754" s="72">
        <v>722</v>
      </c>
      <c r="I1754" s="80"/>
      <c r="J1754" s="74">
        <f>+K1715</f>
        <v>0</v>
      </c>
      <c r="K1754" s="195">
        <f>+I1754+J1754</f>
        <v>0</v>
      </c>
    </row>
    <row r="1755" spans="8:14" ht="15.75">
      <c r="H1755" s="72">
        <v>723</v>
      </c>
      <c r="I1755" s="80">
        <f>+O1741+O1739+O1737+O1733+O1731+O1735</f>
        <v>0</v>
      </c>
      <c r="J1755" s="74">
        <f>+K1716</f>
        <v>10730500</v>
      </c>
      <c r="K1755" s="195">
        <f>+I1755+J1755</f>
        <v>10730500</v>
      </c>
      <c r="M1755" s="193" t="s">
        <v>289</v>
      </c>
      <c r="N1755" s="175"/>
    </row>
    <row r="1756" spans="8:14" ht="16.5" thickBot="1">
      <c r="H1756" s="164" t="s">
        <v>181</v>
      </c>
      <c r="I1756" s="165"/>
      <c r="J1756" s="74">
        <f>+K1717</f>
        <v>0</v>
      </c>
      <c r="K1756" s="196">
        <f>+I1756+J1756</f>
        <v>0</v>
      </c>
      <c r="M1756" s="52"/>
    </row>
    <row r="1757" spans="8:14" ht="16.5" thickBot="1">
      <c r="H1757" s="169"/>
      <c r="I1757" s="197">
        <f>SUM(I1752:I1756)</f>
        <v>0</v>
      </c>
      <c r="J1757" s="197">
        <f>SUM(J1752:J1756)</f>
        <v>108110981</v>
      </c>
      <c r="K1757" s="198">
        <f>SUM(K1752:K1756)</f>
        <v>108110981</v>
      </c>
    </row>
    <row r="1758" spans="8:14" ht="16.5">
      <c r="H1758" s="49" t="s">
        <v>88</v>
      </c>
      <c r="I1758" s="50"/>
    </row>
    <row r="1759" spans="8:14">
      <c r="H1759" s="51" t="s">
        <v>89</v>
      </c>
    </row>
    <row r="1760" spans="8:14">
      <c r="H1760" s="51" t="s">
        <v>90</v>
      </c>
    </row>
    <row r="1761" spans="8:15">
      <c r="H1761" s="51" t="s">
        <v>91</v>
      </c>
    </row>
    <row r="1762" spans="8:15" ht="9" customHeight="1">
      <c r="H1762" s="50"/>
      <c r="I1762" s="50"/>
    </row>
    <row r="1763" spans="8:15" ht="15.75">
      <c r="H1763" s="260" t="s">
        <v>964</v>
      </c>
      <c r="N1763" s="52"/>
    </row>
    <row r="1764" spans="8:15" ht="15.75">
      <c r="H1764" s="53" t="s">
        <v>535</v>
      </c>
      <c r="N1764" s="53"/>
    </row>
    <row r="1765" spans="8:15" ht="16.5">
      <c r="H1765" s="894" t="s">
        <v>909</v>
      </c>
      <c r="I1765" s="894"/>
      <c r="J1765" s="894"/>
      <c r="K1765" s="894"/>
      <c r="L1765" s="894"/>
      <c r="M1765" s="894"/>
      <c r="N1765" s="894"/>
      <c r="O1765" s="894"/>
    </row>
    <row r="1766" spans="8:15" ht="15.75" thickBot="1"/>
    <row r="1767" spans="8:15">
      <c r="H1767" s="895" t="s">
        <v>94</v>
      </c>
      <c r="I1767" s="897" t="s">
        <v>95</v>
      </c>
      <c r="J1767" s="897" t="s">
        <v>96</v>
      </c>
      <c r="K1767" s="897" t="s">
        <v>3</v>
      </c>
      <c r="L1767" s="897" t="s">
        <v>97</v>
      </c>
      <c r="M1767" s="897" t="s">
        <v>98</v>
      </c>
      <c r="N1767" s="897" t="s">
        <v>99</v>
      </c>
      <c r="O1767" s="899"/>
    </row>
    <row r="1768" spans="8:15" ht="15.75" thickBot="1">
      <c r="H1768" s="896"/>
      <c r="I1768" s="898"/>
      <c r="J1768" s="898"/>
      <c r="K1768" s="898"/>
      <c r="L1768" s="898"/>
      <c r="M1768" s="898"/>
      <c r="N1768" s="240" t="s">
        <v>100</v>
      </c>
      <c r="O1768" s="182" t="s">
        <v>101</v>
      </c>
    </row>
    <row r="1769" spans="8:15">
      <c r="H1769" s="881">
        <v>207</v>
      </c>
      <c r="I1769" s="875">
        <v>42521</v>
      </c>
      <c r="J1769" s="877" t="s">
        <v>267</v>
      </c>
      <c r="K1769" s="879" t="s">
        <v>971</v>
      </c>
      <c r="L1769" s="881" t="s">
        <v>148</v>
      </c>
      <c r="M1769" s="883">
        <v>28000</v>
      </c>
      <c r="N1769" s="55">
        <v>719</v>
      </c>
      <c r="O1769" s="78">
        <v>20000</v>
      </c>
    </row>
    <row r="1770" spans="8:15" ht="15.75" thickBot="1">
      <c r="H1770" s="882"/>
      <c r="I1770" s="876"/>
      <c r="J1770" s="878"/>
      <c r="K1770" s="880"/>
      <c r="L1770" s="882"/>
      <c r="M1770" s="884"/>
      <c r="N1770" s="56">
        <v>721</v>
      </c>
      <c r="O1770" s="79">
        <f>+M1769-O1769</f>
        <v>8000</v>
      </c>
    </row>
    <row r="1771" spans="8:15">
      <c r="H1771" s="881">
        <v>208</v>
      </c>
      <c r="I1771" s="875">
        <v>42521</v>
      </c>
      <c r="J1771" s="877" t="s">
        <v>28</v>
      </c>
      <c r="K1771" s="879" t="s">
        <v>970</v>
      </c>
      <c r="L1771" s="881" t="s">
        <v>148</v>
      </c>
      <c r="M1771" s="883">
        <v>294000</v>
      </c>
      <c r="N1771" s="55">
        <v>719</v>
      </c>
      <c r="O1771" s="78">
        <v>210000</v>
      </c>
    </row>
    <row r="1772" spans="8:15" ht="15.75" thickBot="1">
      <c r="H1772" s="882"/>
      <c r="I1772" s="876"/>
      <c r="J1772" s="878"/>
      <c r="K1772" s="880"/>
      <c r="L1772" s="882"/>
      <c r="M1772" s="884"/>
      <c r="N1772" s="56">
        <v>721</v>
      </c>
      <c r="O1772" s="79">
        <f>+M1771-O1771</f>
        <v>84000</v>
      </c>
    </row>
    <row r="1773" spans="8:15">
      <c r="H1773" s="881">
        <v>209</v>
      </c>
      <c r="I1773" s="875">
        <v>42521</v>
      </c>
      <c r="J1773" s="877" t="s">
        <v>111</v>
      </c>
      <c r="K1773" s="879" t="s">
        <v>951</v>
      </c>
      <c r="L1773" s="881" t="s">
        <v>148</v>
      </c>
      <c r="M1773" s="883">
        <v>56000</v>
      </c>
      <c r="N1773" s="55">
        <v>719</v>
      </c>
      <c r="O1773" s="78">
        <v>40000</v>
      </c>
    </row>
    <row r="1774" spans="8:15" ht="15.75" thickBot="1">
      <c r="H1774" s="882"/>
      <c r="I1774" s="876"/>
      <c r="J1774" s="878"/>
      <c r="K1774" s="880"/>
      <c r="L1774" s="882"/>
      <c r="M1774" s="884"/>
      <c r="N1774" s="56">
        <v>721</v>
      </c>
      <c r="O1774" s="79">
        <f>+M1773-O1773</f>
        <v>16000</v>
      </c>
    </row>
    <row r="1775" spans="8:15">
      <c r="H1775" s="881">
        <v>210</v>
      </c>
      <c r="I1775" s="875">
        <v>42521</v>
      </c>
      <c r="J1775" s="877" t="s">
        <v>272</v>
      </c>
      <c r="K1775" s="879" t="s">
        <v>970</v>
      </c>
      <c r="L1775" s="881" t="s">
        <v>148</v>
      </c>
      <c r="M1775" s="883">
        <v>672000</v>
      </c>
      <c r="N1775" s="55">
        <v>719</v>
      </c>
      <c r="O1775" s="78">
        <v>480000</v>
      </c>
    </row>
    <row r="1776" spans="8:15" ht="15.75" thickBot="1">
      <c r="H1776" s="882"/>
      <c r="I1776" s="876"/>
      <c r="J1776" s="878"/>
      <c r="K1776" s="880"/>
      <c r="L1776" s="882"/>
      <c r="M1776" s="884"/>
      <c r="N1776" s="56">
        <v>721</v>
      </c>
      <c r="O1776" s="79">
        <f>+M1775-O1775</f>
        <v>192000</v>
      </c>
    </row>
    <row r="1777" spans="8:15" ht="12.75" customHeight="1">
      <c r="H1777" s="881"/>
      <c r="I1777" s="875"/>
      <c r="J1777" s="877"/>
      <c r="K1777" s="881"/>
      <c r="L1777" s="881"/>
      <c r="M1777" s="883"/>
      <c r="N1777" s="55">
        <v>719</v>
      </c>
      <c r="O1777" s="78"/>
    </row>
    <row r="1778" spans="8:15" ht="13.5" customHeight="1" thickBot="1">
      <c r="H1778" s="882"/>
      <c r="I1778" s="876"/>
      <c r="J1778" s="878"/>
      <c r="K1778" s="882"/>
      <c r="L1778" s="882"/>
      <c r="M1778" s="884"/>
      <c r="N1778" s="56">
        <v>721</v>
      </c>
      <c r="O1778" s="79">
        <f>+M1777-O1777</f>
        <v>0</v>
      </c>
    </row>
    <row r="1779" spans="8:15" ht="16.5" thickBot="1">
      <c r="H1779" s="901" t="s">
        <v>102</v>
      </c>
      <c r="I1779" s="902"/>
      <c r="J1779" s="902"/>
      <c r="K1779" s="902"/>
      <c r="L1779" s="903"/>
      <c r="M1779" s="81">
        <f>SUM(M1769:M1778)</f>
        <v>1050000</v>
      </c>
    </row>
    <row r="1780" spans="8:15" ht="16.5" thickBot="1">
      <c r="H1780" s="885" t="s">
        <v>103</v>
      </c>
      <c r="I1780" s="886"/>
      <c r="J1780" s="886"/>
      <c r="K1780" s="886"/>
      <c r="L1780" s="887"/>
      <c r="M1780" s="69">
        <f>+M1744</f>
        <v>108180981</v>
      </c>
      <c r="N1780" s="241" t="s">
        <v>561</v>
      </c>
      <c r="O1780" s="242">
        <f>22+651+13+1233</f>
        <v>1919</v>
      </c>
    </row>
    <row r="1781" spans="8:15" ht="16.5" thickBot="1">
      <c r="H1781" s="888" t="s">
        <v>104</v>
      </c>
      <c r="I1781" s="889"/>
      <c r="J1781" s="889"/>
      <c r="K1781" s="889"/>
      <c r="L1781" s="890"/>
      <c r="M1781" s="183">
        <f>SUM(M1779:M1780)</f>
        <v>109230981</v>
      </c>
    </row>
    <row r="1782" spans="8:15">
      <c r="H1782" s="61"/>
      <c r="I1782" s="61"/>
      <c r="J1782" s="61"/>
      <c r="K1782" s="61"/>
      <c r="L1782" s="61"/>
    </row>
    <row r="1783" spans="8:15">
      <c r="H1783" s="51" t="s">
        <v>972</v>
      </c>
    </row>
    <row r="1784" spans="8:15" ht="12" customHeight="1">
      <c r="M1784" s="139"/>
    </row>
    <row r="1785" spans="8:15">
      <c r="H1785" s="50" t="s">
        <v>105</v>
      </c>
      <c r="K1785" s="146"/>
      <c r="M1785" s="139"/>
    </row>
    <row r="1786" spans="8:15" ht="15.75" thickBot="1"/>
    <row r="1787" spans="8:15" ht="15.75" thickBot="1">
      <c r="H1787" s="891" t="s">
        <v>106</v>
      </c>
      <c r="I1787" s="892"/>
      <c r="J1787" s="892"/>
      <c r="K1787" s="893"/>
      <c r="M1787" s="50" t="s">
        <v>288</v>
      </c>
    </row>
    <row r="1788" spans="8:15" ht="30.75" thickBot="1">
      <c r="H1788" s="57" t="s">
        <v>100</v>
      </c>
      <c r="I1788" s="58" t="s">
        <v>108</v>
      </c>
      <c r="J1788" s="287" t="s">
        <v>109</v>
      </c>
      <c r="K1788" s="60" t="s">
        <v>110</v>
      </c>
    </row>
    <row r="1789" spans="8:15">
      <c r="H1789" s="71">
        <v>719</v>
      </c>
      <c r="I1789" s="73">
        <f>+O1769+O1771+O1773+O1775+O1777</f>
        <v>750000</v>
      </c>
      <c r="J1789" s="74">
        <f>+K1752</f>
        <v>16680000</v>
      </c>
      <c r="K1789" s="195">
        <f>+I1789+J1789</f>
        <v>17430000</v>
      </c>
    </row>
    <row r="1790" spans="8:15">
      <c r="H1790" s="72">
        <v>721</v>
      </c>
      <c r="I1790" s="80">
        <f>+O1770+O1772+O1774+O1776</f>
        <v>300000</v>
      </c>
      <c r="J1790" s="74">
        <f>+K1753</f>
        <v>80700481</v>
      </c>
      <c r="K1790" s="195">
        <f>+I1790+J1790</f>
        <v>81000481</v>
      </c>
    </row>
    <row r="1791" spans="8:15">
      <c r="H1791" s="72">
        <v>722</v>
      </c>
      <c r="I1791" s="80"/>
      <c r="J1791" s="74">
        <f>+K1754</f>
        <v>0</v>
      </c>
      <c r="K1791" s="195">
        <f>+I1791+J1791</f>
        <v>0</v>
      </c>
    </row>
    <row r="1792" spans="8:15" ht="15.75">
      <c r="H1792" s="72">
        <v>723</v>
      </c>
      <c r="I1792" s="80"/>
      <c r="J1792" s="74">
        <f>+K1755</f>
        <v>10730500</v>
      </c>
      <c r="K1792" s="195">
        <f>+I1792+J1792</f>
        <v>10730500</v>
      </c>
      <c r="M1792" s="193" t="s">
        <v>289</v>
      </c>
      <c r="N1792" s="175"/>
    </row>
    <row r="1793" spans="8:15" ht="16.5" thickBot="1">
      <c r="H1793" s="164" t="s">
        <v>181</v>
      </c>
      <c r="I1793" s="165"/>
      <c r="J1793" s="74">
        <f>+K1756</f>
        <v>0</v>
      </c>
      <c r="K1793" s="196">
        <f>+I1793+J1793</f>
        <v>0</v>
      </c>
      <c r="M1793" s="52"/>
    </row>
    <row r="1794" spans="8:15" ht="16.5" thickBot="1">
      <c r="H1794" s="169"/>
      <c r="I1794" s="197">
        <f>SUM(I1789:I1793)</f>
        <v>1050000</v>
      </c>
      <c r="J1794" s="197">
        <f>SUM(J1789:J1793)</f>
        <v>108110981</v>
      </c>
      <c r="K1794" s="198">
        <f>SUM(K1789:K1793)</f>
        <v>109160981</v>
      </c>
    </row>
    <row r="1795" spans="8:15" ht="16.5">
      <c r="H1795" s="49" t="s">
        <v>88</v>
      </c>
      <c r="I1795" s="50"/>
    </row>
    <row r="1796" spans="8:15">
      <c r="H1796" s="51" t="s">
        <v>89</v>
      </c>
    </row>
    <row r="1797" spans="8:15">
      <c r="H1797" s="51" t="s">
        <v>90</v>
      </c>
    </row>
    <row r="1798" spans="8:15">
      <c r="H1798" s="51" t="s">
        <v>91</v>
      </c>
    </row>
    <row r="1799" spans="8:15" ht="12" customHeight="1">
      <c r="H1799" s="50"/>
      <c r="I1799" s="50"/>
    </row>
    <row r="1800" spans="8:15" ht="15.75">
      <c r="H1800" s="260" t="s">
        <v>969</v>
      </c>
      <c r="N1800" s="52"/>
    </row>
    <row r="1801" spans="8:15" ht="15.75">
      <c r="H1801" s="53" t="s">
        <v>535</v>
      </c>
      <c r="N1801" s="53"/>
    </row>
    <row r="1802" spans="8:15" ht="16.5">
      <c r="H1802" s="894" t="s">
        <v>979</v>
      </c>
      <c r="I1802" s="894"/>
      <c r="J1802" s="894"/>
      <c r="K1802" s="894"/>
      <c r="L1802" s="894"/>
      <c r="M1802" s="894"/>
      <c r="N1802" s="894"/>
      <c r="O1802" s="894"/>
    </row>
    <row r="1803" spans="8:15" ht="15.75" thickBot="1"/>
    <row r="1804" spans="8:15">
      <c r="H1804" s="895" t="s">
        <v>94</v>
      </c>
      <c r="I1804" s="897" t="s">
        <v>95</v>
      </c>
      <c r="J1804" s="897" t="s">
        <v>96</v>
      </c>
      <c r="K1804" s="897" t="s">
        <v>3</v>
      </c>
      <c r="L1804" s="897" t="s">
        <v>97</v>
      </c>
      <c r="M1804" s="897" t="s">
        <v>98</v>
      </c>
      <c r="N1804" s="897" t="s">
        <v>99</v>
      </c>
      <c r="O1804" s="899"/>
    </row>
    <row r="1805" spans="8:15" ht="15.75" thickBot="1">
      <c r="H1805" s="896"/>
      <c r="I1805" s="898"/>
      <c r="J1805" s="898"/>
      <c r="K1805" s="898"/>
      <c r="L1805" s="898"/>
      <c r="M1805" s="898"/>
      <c r="N1805" s="240" t="s">
        <v>100</v>
      </c>
      <c r="O1805" s="182" t="s">
        <v>101</v>
      </c>
    </row>
    <row r="1806" spans="8:15">
      <c r="H1806" s="881">
        <v>211</v>
      </c>
      <c r="I1806" s="875">
        <v>42521</v>
      </c>
      <c r="J1806" s="910" t="s">
        <v>974</v>
      </c>
      <c r="K1806" s="879" t="s">
        <v>556</v>
      </c>
      <c r="L1806" s="881" t="s">
        <v>145</v>
      </c>
      <c r="M1806" s="883">
        <v>2941578</v>
      </c>
      <c r="N1806" s="55">
        <v>719</v>
      </c>
      <c r="O1806" s="78">
        <v>0</v>
      </c>
    </row>
    <row r="1807" spans="8:15" ht="15.75" thickBot="1">
      <c r="H1807" s="882"/>
      <c r="I1807" s="876"/>
      <c r="J1807" s="911"/>
      <c r="K1807" s="880"/>
      <c r="L1807" s="882"/>
      <c r="M1807" s="884"/>
      <c r="N1807" s="56">
        <v>721</v>
      </c>
      <c r="O1807" s="79">
        <f>+M1806-O1806</f>
        <v>2941578</v>
      </c>
    </row>
    <row r="1808" spans="8:15">
      <c r="H1808" s="881"/>
      <c r="I1808" s="875"/>
      <c r="J1808" s="910"/>
      <c r="K1808" s="879"/>
      <c r="L1808" s="881"/>
      <c r="M1808" s="883"/>
      <c r="N1808" s="55">
        <v>719</v>
      </c>
      <c r="O1808" s="78">
        <v>0</v>
      </c>
    </row>
    <row r="1809" spans="8:15" ht="15.75" thickBot="1">
      <c r="H1809" s="882"/>
      <c r="I1809" s="876"/>
      <c r="J1809" s="911"/>
      <c r="K1809" s="880"/>
      <c r="L1809" s="882"/>
      <c r="M1809" s="884"/>
      <c r="N1809" s="56">
        <v>723</v>
      </c>
      <c r="O1809" s="79">
        <f>+M1808-O1808</f>
        <v>0</v>
      </c>
    </row>
    <row r="1810" spans="8:15">
      <c r="H1810" s="881"/>
      <c r="I1810" s="875"/>
      <c r="J1810" s="877"/>
      <c r="K1810" s="879"/>
      <c r="L1810" s="881"/>
      <c r="M1810" s="883"/>
      <c r="N1810" s="55">
        <v>719</v>
      </c>
      <c r="O1810" s="78"/>
    </row>
    <row r="1811" spans="8:15" ht="15.75" thickBot="1">
      <c r="H1811" s="882"/>
      <c r="I1811" s="876"/>
      <c r="J1811" s="878"/>
      <c r="K1811" s="880"/>
      <c r="L1811" s="882"/>
      <c r="M1811" s="884"/>
      <c r="N1811" s="56">
        <v>721</v>
      </c>
      <c r="O1811" s="79">
        <f>+M1810-O1810</f>
        <v>0</v>
      </c>
    </row>
    <row r="1812" spans="8:15" ht="12.75" customHeight="1">
      <c r="H1812" s="881"/>
      <c r="I1812" s="875"/>
      <c r="J1812" s="877"/>
      <c r="K1812" s="879"/>
      <c r="L1812" s="881"/>
      <c r="M1812" s="883"/>
      <c r="N1812" s="55">
        <v>719</v>
      </c>
      <c r="O1812" s="78"/>
    </row>
    <row r="1813" spans="8:15" ht="15.75" thickBot="1">
      <c r="H1813" s="882"/>
      <c r="I1813" s="876"/>
      <c r="J1813" s="878"/>
      <c r="K1813" s="880"/>
      <c r="L1813" s="882"/>
      <c r="M1813" s="884"/>
      <c r="N1813" s="56">
        <v>721</v>
      </c>
      <c r="O1813" s="79">
        <f>+M1812-O1812</f>
        <v>0</v>
      </c>
    </row>
    <row r="1814" spans="8:15">
      <c r="H1814" s="881"/>
      <c r="I1814" s="875"/>
      <c r="J1814" s="877"/>
      <c r="K1814" s="881"/>
      <c r="L1814" s="881"/>
      <c r="M1814" s="883"/>
      <c r="N1814" s="55">
        <v>719</v>
      </c>
      <c r="O1814" s="78"/>
    </row>
    <row r="1815" spans="8:15" ht="14.25" customHeight="1" thickBot="1">
      <c r="H1815" s="882"/>
      <c r="I1815" s="876"/>
      <c r="J1815" s="878"/>
      <c r="K1815" s="882"/>
      <c r="L1815" s="882"/>
      <c r="M1815" s="884"/>
      <c r="N1815" s="56">
        <v>721</v>
      </c>
      <c r="O1815" s="79">
        <f>+M1814-O1814</f>
        <v>0</v>
      </c>
    </row>
    <row r="1816" spans="8:15" ht="16.5" thickBot="1">
      <c r="H1816" s="901" t="s">
        <v>102</v>
      </c>
      <c r="I1816" s="902"/>
      <c r="J1816" s="902"/>
      <c r="K1816" s="902"/>
      <c r="L1816" s="903"/>
      <c r="M1816" s="81">
        <f>SUM(M1806:M1815)</f>
        <v>2941578</v>
      </c>
    </row>
    <row r="1817" spans="8:15" ht="16.5" thickBot="1">
      <c r="H1817" s="885" t="s">
        <v>103</v>
      </c>
      <c r="I1817" s="886"/>
      <c r="J1817" s="886"/>
      <c r="K1817" s="886"/>
      <c r="L1817" s="887"/>
      <c r="M1817" s="69">
        <f>+M1781</f>
        <v>109230981</v>
      </c>
      <c r="N1817" s="241" t="s">
        <v>561</v>
      </c>
      <c r="O1817" s="242"/>
    </row>
    <row r="1818" spans="8:15" ht="16.5" thickBot="1">
      <c r="H1818" s="888" t="s">
        <v>104</v>
      </c>
      <c r="I1818" s="889"/>
      <c r="J1818" s="889"/>
      <c r="K1818" s="889"/>
      <c r="L1818" s="890"/>
      <c r="M1818" s="183">
        <f>SUM(M1816:M1817)</f>
        <v>112172559</v>
      </c>
    </row>
    <row r="1819" spans="8:15">
      <c r="H1819" s="61"/>
      <c r="I1819" s="61"/>
      <c r="J1819" s="61"/>
      <c r="K1819" s="61"/>
      <c r="L1819" s="61"/>
    </row>
    <row r="1820" spans="8:15">
      <c r="H1820" s="51" t="s">
        <v>975</v>
      </c>
    </row>
    <row r="1821" spans="8:15">
      <c r="M1821" s="139"/>
    </row>
    <row r="1822" spans="8:15">
      <c r="H1822" s="50" t="s">
        <v>105</v>
      </c>
      <c r="K1822" s="146"/>
      <c r="M1822" s="139"/>
    </row>
    <row r="1823" spans="8:15" ht="12" customHeight="1" thickBot="1"/>
    <row r="1824" spans="8:15" ht="15.75" thickBot="1">
      <c r="H1824" s="891" t="s">
        <v>106</v>
      </c>
      <c r="I1824" s="892"/>
      <c r="J1824" s="892"/>
      <c r="K1824" s="893"/>
      <c r="M1824" s="50" t="s">
        <v>288</v>
      </c>
    </row>
    <row r="1825" spans="8:15" ht="30.75" thickBot="1">
      <c r="H1825" s="57" t="s">
        <v>100</v>
      </c>
      <c r="I1825" s="58" t="s">
        <v>108</v>
      </c>
      <c r="J1825" s="287" t="s">
        <v>109</v>
      </c>
      <c r="K1825" s="60" t="s">
        <v>110</v>
      </c>
    </row>
    <row r="1826" spans="8:15">
      <c r="H1826" s="71">
        <v>719</v>
      </c>
      <c r="I1826" s="73">
        <f>+O1806+O1808+O1810+O1812+O1814</f>
        <v>0</v>
      </c>
      <c r="J1826" s="74">
        <f>+K1789</f>
        <v>17430000</v>
      </c>
      <c r="K1826" s="195">
        <f>+I1826+J1826</f>
        <v>17430000</v>
      </c>
    </row>
    <row r="1827" spans="8:15">
      <c r="H1827" s="72">
        <v>721</v>
      </c>
      <c r="I1827" s="80">
        <f>+O1807</f>
        <v>2941578</v>
      </c>
      <c r="J1827" s="74">
        <f>+K1790</f>
        <v>81000481</v>
      </c>
      <c r="K1827" s="195">
        <f>+I1827+J1827</f>
        <v>83942059</v>
      </c>
    </row>
    <row r="1828" spans="8:15">
      <c r="H1828" s="72">
        <v>722</v>
      </c>
      <c r="I1828" s="80"/>
      <c r="J1828" s="74">
        <f>+K1791</f>
        <v>0</v>
      </c>
      <c r="K1828" s="195">
        <f>+I1828+J1828</f>
        <v>0</v>
      </c>
    </row>
    <row r="1829" spans="8:15" ht="15.75">
      <c r="H1829" s="72">
        <v>723</v>
      </c>
      <c r="I1829" s="80"/>
      <c r="J1829" s="74">
        <f>+K1792</f>
        <v>10730500</v>
      </c>
      <c r="K1829" s="195">
        <f>+I1829+J1829</f>
        <v>10730500</v>
      </c>
      <c r="M1829" s="193" t="s">
        <v>289</v>
      </c>
      <c r="N1829" s="175"/>
    </row>
    <row r="1830" spans="8:15" ht="16.5" thickBot="1">
      <c r="H1830" s="164" t="s">
        <v>181</v>
      </c>
      <c r="I1830" s="165"/>
      <c r="J1830" s="74">
        <f>+K1793</f>
        <v>0</v>
      </c>
      <c r="K1830" s="196">
        <f>+I1830+J1830</f>
        <v>0</v>
      </c>
      <c r="M1830" s="52"/>
    </row>
    <row r="1831" spans="8:15" ht="16.5" thickBot="1">
      <c r="H1831" s="169"/>
      <c r="I1831" s="197">
        <f>SUM(I1826:I1830)</f>
        <v>2941578</v>
      </c>
      <c r="J1831" s="197">
        <f>SUM(J1826:J1830)</f>
        <v>109160981</v>
      </c>
      <c r="K1831" s="198">
        <f>SUM(K1826:K1830)</f>
        <v>112102559</v>
      </c>
    </row>
    <row r="1832" spans="8:15" ht="16.5">
      <c r="H1832" s="49" t="s">
        <v>88</v>
      </c>
      <c r="I1832" s="50"/>
    </row>
    <row r="1833" spans="8:15">
      <c r="H1833" s="51" t="s">
        <v>89</v>
      </c>
    </row>
    <row r="1834" spans="8:15">
      <c r="H1834" s="51" t="s">
        <v>90</v>
      </c>
    </row>
    <row r="1835" spans="8:15">
      <c r="H1835" s="51" t="s">
        <v>91</v>
      </c>
    </row>
    <row r="1836" spans="8:15" ht="12" customHeight="1">
      <c r="H1836" s="50"/>
      <c r="I1836" s="50"/>
    </row>
    <row r="1837" spans="8:15" ht="15.75">
      <c r="H1837" s="260" t="s">
        <v>973</v>
      </c>
      <c r="N1837" s="52"/>
    </row>
    <row r="1838" spans="8:15" ht="15.75">
      <c r="H1838" s="53" t="s">
        <v>535</v>
      </c>
      <c r="N1838" s="53"/>
    </row>
    <row r="1839" spans="8:15" ht="16.5">
      <c r="H1839" s="894" t="s">
        <v>967</v>
      </c>
      <c r="I1839" s="894"/>
      <c r="J1839" s="894"/>
      <c r="K1839" s="894"/>
      <c r="L1839" s="894"/>
      <c r="M1839" s="894"/>
      <c r="N1839" s="894"/>
      <c r="O1839" s="894"/>
    </row>
    <row r="1840" spans="8:15" ht="15.75" thickBot="1"/>
    <row r="1841" spans="8:15">
      <c r="H1841" s="895" t="s">
        <v>968</v>
      </c>
      <c r="I1841" s="897" t="s">
        <v>95</v>
      </c>
      <c r="J1841" s="897" t="s">
        <v>96</v>
      </c>
      <c r="K1841" s="897" t="s">
        <v>3</v>
      </c>
      <c r="L1841" s="897" t="s">
        <v>97</v>
      </c>
      <c r="M1841" s="897" t="s">
        <v>98</v>
      </c>
      <c r="N1841" s="897" t="s">
        <v>99</v>
      </c>
      <c r="O1841" s="899"/>
    </row>
    <row r="1842" spans="8:15" ht="15.75" thickBot="1">
      <c r="H1842" s="896"/>
      <c r="I1842" s="898"/>
      <c r="J1842" s="898"/>
      <c r="K1842" s="898"/>
      <c r="L1842" s="898"/>
      <c r="M1842" s="898"/>
      <c r="N1842" s="240" t="s">
        <v>100</v>
      </c>
      <c r="O1842" s="182" t="s">
        <v>101</v>
      </c>
    </row>
    <row r="1843" spans="8:15">
      <c r="H1843" s="873" t="s">
        <v>545</v>
      </c>
      <c r="I1843" s="875">
        <v>42520</v>
      </c>
      <c r="J1843" s="910" t="s">
        <v>695</v>
      </c>
      <c r="K1843" s="879" t="s">
        <v>556</v>
      </c>
      <c r="L1843" s="881" t="s">
        <v>148</v>
      </c>
      <c r="M1843" s="883">
        <v>-241240</v>
      </c>
      <c r="N1843" s="55">
        <v>719</v>
      </c>
      <c r="O1843" s="78"/>
    </row>
    <row r="1844" spans="8:15" ht="15.75" thickBot="1">
      <c r="H1844" s="874"/>
      <c r="I1844" s="876"/>
      <c r="J1844" s="911"/>
      <c r="K1844" s="880"/>
      <c r="L1844" s="882"/>
      <c r="M1844" s="884"/>
      <c r="N1844" s="56">
        <v>723</v>
      </c>
      <c r="O1844" s="79">
        <f>+M1843-O1843</f>
        <v>-241240</v>
      </c>
    </row>
    <row r="1845" spans="8:15">
      <c r="H1845" s="873" t="s">
        <v>547</v>
      </c>
      <c r="I1845" s="875">
        <v>42520</v>
      </c>
      <c r="J1845" s="910" t="s">
        <v>695</v>
      </c>
      <c r="K1845" s="879" t="s">
        <v>556</v>
      </c>
      <c r="L1845" s="881" t="s">
        <v>115</v>
      </c>
      <c r="M1845" s="883">
        <v>-525000</v>
      </c>
      <c r="N1845" s="55">
        <v>719</v>
      </c>
      <c r="O1845" s="78"/>
    </row>
    <row r="1846" spans="8:15" ht="15.75" thickBot="1">
      <c r="H1846" s="874"/>
      <c r="I1846" s="876"/>
      <c r="J1846" s="911"/>
      <c r="K1846" s="880"/>
      <c r="L1846" s="882"/>
      <c r="M1846" s="884"/>
      <c r="N1846" s="56">
        <v>723</v>
      </c>
      <c r="O1846" s="79">
        <f>+M1845-O1845</f>
        <v>-525000</v>
      </c>
    </row>
    <row r="1847" spans="8:15" ht="12.75" customHeight="1">
      <c r="H1847" s="873"/>
      <c r="I1847" s="875"/>
      <c r="J1847" s="877"/>
      <c r="K1847" s="879"/>
      <c r="L1847" s="881"/>
      <c r="M1847" s="883"/>
      <c r="N1847" s="55">
        <v>719</v>
      </c>
      <c r="O1847" s="78"/>
    </row>
    <row r="1848" spans="8:15" ht="14.25" customHeight="1" thickBot="1">
      <c r="H1848" s="874"/>
      <c r="I1848" s="876"/>
      <c r="J1848" s="878"/>
      <c r="K1848" s="880"/>
      <c r="L1848" s="882"/>
      <c r="M1848" s="884"/>
      <c r="N1848" s="56">
        <v>723</v>
      </c>
      <c r="O1848" s="79">
        <f>+M1847-O1847</f>
        <v>0</v>
      </c>
    </row>
    <row r="1849" spans="8:15">
      <c r="H1849" s="873"/>
      <c r="I1849" s="875"/>
      <c r="J1849" s="877"/>
      <c r="K1849" s="879"/>
      <c r="L1849" s="881"/>
      <c r="M1849" s="883"/>
      <c r="N1849" s="55">
        <v>719</v>
      </c>
      <c r="O1849" s="78"/>
    </row>
    <row r="1850" spans="8:15" ht="15.75" thickBot="1">
      <c r="H1850" s="874"/>
      <c r="I1850" s="876"/>
      <c r="J1850" s="878"/>
      <c r="K1850" s="880"/>
      <c r="L1850" s="882"/>
      <c r="M1850" s="884"/>
      <c r="N1850" s="56">
        <v>723</v>
      </c>
      <c r="O1850" s="79">
        <f>+M1849-O1849</f>
        <v>0</v>
      </c>
    </row>
    <row r="1851" spans="8:15" ht="12.75" customHeight="1">
      <c r="H1851" s="873"/>
      <c r="I1851" s="875"/>
      <c r="J1851" s="877"/>
      <c r="K1851" s="879"/>
      <c r="L1851" s="881"/>
      <c r="M1851" s="883"/>
      <c r="N1851" s="55">
        <v>719</v>
      </c>
      <c r="O1851" s="78"/>
    </row>
    <row r="1852" spans="8:15" ht="15.75" thickBot="1">
      <c r="H1852" s="874"/>
      <c r="I1852" s="876"/>
      <c r="J1852" s="878"/>
      <c r="K1852" s="880"/>
      <c r="L1852" s="882"/>
      <c r="M1852" s="884"/>
      <c r="N1852" s="56">
        <v>723</v>
      </c>
      <c r="O1852" s="79">
        <f>+M1851-O1851</f>
        <v>0</v>
      </c>
    </row>
    <row r="1853" spans="8:15" ht="16.5" thickBot="1">
      <c r="H1853" s="901" t="s">
        <v>102</v>
      </c>
      <c r="I1853" s="902"/>
      <c r="J1853" s="902"/>
      <c r="K1853" s="902"/>
      <c r="L1853" s="903"/>
      <c r="M1853" s="81">
        <f>SUM(M1843:M1852)</f>
        <v>-766240</v>
      </c>
    </row>
    <row r="1854" spans="8:15" ht="16.5" thickBot="1">
      <c r="H1854" s="885" t="s">
        <v>103</v>
      </c>
      <c r="I1854" s="886"/>
      <c r="J1854" s="886"/>
      <c r="K1854" s="886"/>
      <c r="L1854" s="887"/>
      <c r="M1854" s="69">
        <f>+M1818</f>
        <v>112172559</v>
      </c>
      <c r="N1854" s="241" t="s">
        <v>561</v>
      </c>
      <c r="O1854" s="242"/>
    </row>
    <row r="1855" spans="8:15" ht="16.5" thickBot="1">
      <c r="H1855" s="888" t="s">
        <v>104</v>
      </c>
      <c r="I1855" s="889"/>
      <c r="J1855" s="889"/>
      <c r="K1855" s="889"/>
      <c r="L1855" s="890"/>
      <c r="M1855" s="183">
        <f>SUM(M1853:M1854)</f>
        <v>111406319</v>
      </c>
    </row>
    <row r="1856" spans="8:15">
      <c r="H1856" s="61"/>
      <c r="I1856" s="61"/>
      <c r="J1856" s="61"/>
      <c r="K1856" s="61"/>
      <c r="L1856" s="61"/>
    </row>
    <row r="1857" spans="8:14">
      <c r="H1857" s="51" t="s">
        <v>978</v>
      </c>
    </row>
    <row r="1858" spans="8:14" ht="12" customHeight="1">
      <c r="M1858" s="139"/>
    </row>
    <row r="1859" spans="8:14">
      <c r="H1859" s="50" t="s">
        <v>105</v>
      </c>
      <c r="K1859" s="146"/>
      <c r="M1859" s="139"/>
    </row>
    <row r="1860" spans="8:14" ht="12" customHeight="1" thickBot="1"/>
    <row r="1861" spans="8:14" ht="15.75" thickBot="1">
      <c r="H1861" s="891" t="s">
        <v>106</v>
      </c>
      <c r="I1861" s="892"/>
      <c r="J1861" s="892"/>
      <c r="K1861" s="893"/>
      <c r="M1861" s="50" t="s">
        <v>288</v>
      </c>
    </row>
    <row r="1862" spans="8:14" ht="30.75" thickBot="1">
      <c r="H1862" s="57" t="s">
        <v>100</v>
      </c>
      <c r="I1862" s="58" t="s">
        <v>108</v>
      </c>
      <c r="J1862" s="287" t="s">
        <v>109</v>
      </c>
      <c r="K1862" s="60" t="s">
        <v>110</v>
      </c>
    </row>
    <row r="1863" spans="8:14">
      <c r="H1863" s="71">
        <v>719</v>
      </c>
      <c r="I1863" s="73">
        <f>+O1843+O1845+O1847+O1849+O1851</f>
        <v>0</v>
      </c>
      <c r="J1863" s="74">
        <f>+K1826</f>
        <v>17430000</v>
      </c>
      <c r="K1863" s="195">
        <f>+I1863+J1863</f>
        <v>17430000</v>
      </c>
    </row>
    <row r="1864" spans="8:14">
      <c r="H1864" s="72">
        <v>721</v>
      </c>
      <c r="I1864" s="80">
        <v>0</v>
      </c>
      <c r="J1864" s="74">
        <f>+K1827</f>
        <v>83942059</v>
      </c>
      <c r="K1864" s="195">
        <f>+I1864+J1864</f>
        <v>83942059</v>
      </c>
    </row>
    <row r="1865" spans="8:14">
      <c r="H1865" s="72">
        <v>722</v>
      </c>
      <c r="I1865" s="80"/>
      <c r="J1865" s="74">
        <f>+K1828</f>
        <v>0</v>
      </c>
      <c r="K1865" s="195">
        <f>+I1865+J1865</f>
        <v>0</v>
      </c>
    </row>
    <row r="1866" spans="8:14" ht="15.75">
      <c r="H1866" s="72">
        <v>723</v>
      </c>
      <c r="I1866" s="80">
        <f>+O1852+O1850+O1848+O1846+O1844</f>
        <v>-766240</v>
      </c>
      <c r="J1866" s="74">
        <f>+K1829</f>
        <v>10730500</v>
      </c>
      <c r="K1866" s="195">
        <f>+I1866+J1866</f>
        <v>9964260</v>
      </c>
      <c r="M1866" s="193" t="s">
        <v>289</v>
      </c>
      <c r="N1866" s="175"/>
    </row>
    <row r="1867" spans="8:14" ht="16.5" thickBot="1">
      <c r="H1867" s="164" t="s">
        <v>181</v>
      </c>
      <c r="I1867" s="165"/>
      <c r="J1867" s="74">
        <f>+K1830</f>
        <v>0</v>
      </c>
      <c r="K1867" s="196">
        <f>+I1867+J1867</f>
        <v>0</v>
      </c>
      <c r="M1867" s="52"/>
    </row>
    <row r="1868" spans="8:14" ht="16.5" thickBot="1">
      <c r="H1868" s="169"/>
      <c r="I1868" s="197">
        <f>SUM(I1863:I1867)</f>
        <v>-766240</v>
      </c>
      <c r="J1868" s="197">
        <f>SUM(J1863:J1867)</f>
        <v>112102559</v>
      </c>
      <c r="K1868" s="198">
        <f>SUM(K1863:K1867)</f>
        <v>111336319</v>
      </c>
    </row>
    <row r="1869" spans="8:14" ht="16.5">
      <c r="H1869" s="49" t="s">
        <v>88</v>
      </c>
      <c r="I1869" s="50"/>
    </row>
    <row r="1870" spans="8:14">
      <c r="H1870" s="51" t="s">
        <v>89</v>
      </c>
    </row>
    <row r="1871" spans="8:14">
      <c r="H1871" s="51" t="s">
        <v>90</v>
      </c>
    </row>
    <row r="1872" spans="8:14">
      <c r="H1872" s="51" t="s">
        <v>91</v>
      </c>
    </row>
    <row r="1873" spans="8:15">
      <c r="H1873" s="50"/>
      <c r="I1873" s="50"/>
    </row>
    <row r="1874" spans="8:15" ht="15.75">
      <c r="H1874" s="260" t="s">
        <v>977</v>
      </c>
      <c r="N1874" s="52"/>
    </row>
    <row r="1875" spans="8:15" ht="15.75">
      <c r="H1875" s="53" t="s">
        <v>535</v>
      </c>
      <c r="N1875" s="53"/>
    </row>
    <row r="1876" spans="8:15" ht="16.5">
      <c r="H1876" s="894" t="s">
        <v>967</v>
      </c>
      <c r="I1876" s="894"/>
      <c r="J1876" s="894"/>
      <c r="K1876" s="894"/>
      <c r="L1876" s="894"/>
      <c r="M1876" s="894"/>
      <c r="N1876" s="894"/>
      <c r="O1876" s="894"/>
    </row>
    <row r="1877" spans="8:15" ht="15.75" thickBot="1"/>
    <row r="1878" spans="8:15">
      <c r="H1878" s="895" t="s">
        <v>968</v>
      </c>
      <c r="I1878" s="897" t="s">
        <v>95</v>
      </c>
      <c r="J1878" s="897" t="s">
        <v>96</v>
      </c>
      <c r="K1878" s="897" t="s">
        <v>3</v>
      </c>
      <c r="L1878" s="897" t="s">
        <v>97</v>
      </c>
      <c r="M1878" s="897" t="s">
        <v>98</v>
      </c>
      <c r="N1878" s="897" t="s">
        <v>99</v>
      </c>
      <c r="O1878" s="899"/>
    </row>
    <row r="1879" spans="8:15" ht="15.75" thickBot="1">
      <c r="H1879" s="896"/>
      <c r="I1879" s="898"/>
      <c r="J1879" s="898"/>
      <c r="K1879" s="898"/>
      <c r="L1879" s="898"/>
      <c r="M1879" s="898"/>
      <c r="N1879" s="240" t="s">
        <v>100</v>
      </c>
      <c r="O1879" s="182" t="s">
        <v>101</v>
      </c>
    </row>
    <row r="1880" spans="8:15" ht="13.5" customHeight="1">
      <c r="H1880" s="873" t="s">
        <v>548</v>
      </c>
      <c r="I1880" s="875">
        <v>42520</v>
      </c>
      <c r="J1880" s="877" t="s">
        <v>701</v>
      </c>
      <c r="K1880" s="879" t="s">
        <v>556</v>
      </c>
      <c r="L1880" s="881" t="s">
        <v>148</v>
      </c>
      <c r="M1880" s="883">
        <v>-630000</v>
      </c>
      <c r="N1880" s="55">
        <v>719</v>
      </c>
      <c r="O1880" s="78"/>
    </row>
    <row r="1881" spans="8:15" ht="15.75" customHeight="1" thickBot="1">
      <c r="H1881" s="874"/>
      <c r="I1881" s="876"/>
      <c r="J1881" s="878"/>
      <c r="K1881" s="880"/>
      <c r="L1881" s="882"/>
      <c r="M1881" s="884"/>
      <c r="N1881" s="56">
        <v>723</v>
      </c>
      <c r="O1881" s="79">
        <f>+M1880-O1880</f>
        <v>-630000</v>
      </c>
    </row>
    <row r="1882" spans="8:15" ht="15" customHeight="1">
      <c r="H1882" s="873" t="s">
        <v>549</v>
      </c>
      <c r="I1882" s="875">
        <v>42520</v>
      </c>
      <c r="J1882" s="877" t="s">
        <v>673</v>
      </c>
      <c r="K1882" s="879" t="s">
        <v>556</v>
      </c>
      <c r="L1882" s="881" t="s">
        <v>148</v>
      </c>
      <c r="M1882" s="883">
        <v>-630000</v>
      </c>
      <c r="N1882" s="55">
        <v>719</v>
      </c>
      <c r="O1882" s="78"/>
    </row>
    <row r="1883" spans="8:15" ht="13.5" customHeight="1" thickBot="1">
      <c r="H1883" s="874"/>
      <c r="I1883" s="876"/>
      <c r="J1883" s="878"/>
      <c r="K1883" s="880"/>
      <c r="L1883" s="882"/>
      <c r="M1883" s="884"/>
      <c r="N1883" s="56">
        <v>723</v>
      </c>
      <c r="O1883" s="79">
        <f>+M1882-O1882</f>
        <v>-630000</v>
      </c>
    </row>
    <row r="1884" spans="8:15" ht="15" customHeight="1">
      <c r="H1884" s="873" t="s">
        <v>550</v>
      </c>
      <c r="I1884" s="875">
        <v>42520</v>
      </c>
      <c r="J1884" s="877" t="s">
        <v>729</v>
      </c>
      <c r="K1884" s="879" t="s">
        <v>556</v>
      </c>
      <c r="L1884" s="881" t="s">
        <v>148</v>
      </c>
      <c r="M1884" s="883">
        <v>-945000</v>
      </c>
      <c r="N1884" s="55">
        <v>719</v>
      </c>
      <c r="O1884" s="78"/>
    </row>
    <row r="1885" spans="8:15" ht="15.75" customHeight="1" thickBot="1">
      <c r="H1885" s="874"/>
      <c r="I1885" s="876"/>
      <c r="J1885" s="878"/>
      <c r="K1885" s="880"/>
      <c r="L1885" s="882"/>
      <c r="M1885" s="884"/>
      <c r="N1885" s="56">
        <v>723</v>
      </c>
      <c r="O1885" s="79">
        <f>+M1884-O1884</f>
        <v>-945000</v>
      </c>
    </row>
    <row r="1886" spans="8:15" ht="15" customHeight="1">
      <c r="H1886" s="873" t="s">
        <v>551</v>
      </c>
      <c r="I1886" s="875">
        <v>42520</v>
      </c>
      <c r="J1886" s="877" t="s">
        <v>694</v>
      </c>
      <c r="K1886" s="879" t="s">
        <v>556</v>
      </c>
      <c r="L1886" s="881" t="s">
        <v>148</v>
      </c>
      <c r="M1886" s="883">
        <v>-25611697</v>
      </c>
      <c r="N1886" s="55">
        <v>719</v>
      </c>
      <c r="O1886" s="78"/>
    </row>
    <row r="1887" spans="8:15" ht="15.75" customHeight="1" thickBot="1">
      <c r="H1887" s="874"/>
      <c r="I1887" s="876"/>
      <c r="J1887" s="878"/>
      <c r="K1887" s="880"/>
      <c r="L1887" s="882"/>
      <c r="M1887" s="884"/>
      <c r="N1887" s="56">
        <v>723</v>
      </c>
      <c r="O1887" s="79">
        <f>+M1886-O1886</f>
        <v>-25611697</v>
      </c>
    </row>
    <row r="1888" spans="8:15" ht="12" customHeight="1">
      <c r="H1888" s="873"/>
      <c r="I1888" s="875"/>
      <c r="J1888" s="877"/>
      <c r="K1888" s="879"/>
      <c r="L1888" s="881"/>
      <c r="M1888" s="883"/>
      <c r="N1888" s="55">
        <v>719</v>
      </c>
      <c r="O1888" s="78"/>
    </row>
    <row r="1889" spans="8:15" ht="12" customHeight="1" thickBot="1">
      <c r="H1889" s="874"/>
      <c r="I1889" s="876"/>
      <c r="J1889" s="878"/>
      <c r="K1889" s="880"/>
      <c r="L1889" s="882"/>
      <c r="M1889" s="884"/>
      <c r="N1889" s="56">
        <v>723</v>
      </c>
      <c r="O1889" s="79">
        <f>+M1888-O1888</f>
        <v>0</v>
      </c>
    </row>
    <row r="1890" spans="8:15" ht="16.5" thickBot="1">
      <c r="H1890" s="901" t="s">
        <v>102</v>
      </c>
      <c r="I1890" s="902"/>
      <c r="J1890" s="902"/>
      <c r="K1890" s="902"/>
      <c r="L1890" s="903"/>
      <c r="M1890" s="81">
        <f>SUM(M1880:M1889)</f>
        <v>-27816697</v>
      </c>
    </row>
    <row r="1891" spans="8:15" ht="16.5" thickBot="1">
      <c r="H1891" s="885" t="s">
        <v>103</v>
      </c>
      <c r="I1891" s="886"/>
      <c r="J1891" s="886"/>
      <c r="K1891" s="886"/>
      <c r="L1891" s="887"/>
      <c r="M1891" s="69">
        <f>+M1855</f>
        <v>111406319</v>
      </c>
      <c r="N1891" s="241" t="s">
        <v>561</v>
      </c>
      <c r="O1891" s="242"/>
    </row>
    <row r="1892" spans="8:15" ht="16.5" thickBot="1">
      <c r="H1892" s="888" t="s">
        <v>104</v>
      </c>
      <c r="I1892" s="889"/>
      <c r="J1892" s="889"/>
      <c r="K1892" s="889"/>
      <c r="L1892" s="890"/>
      <c r="M1892" s="183">
        <f>SUM(M1890:M1891)</f>
        <v>83589622</v>
      </c>
    </row>
    <row r="1893" spans="8:15">
      <c r="H1893" s="61"/>
      <c r="I1893" s="61"/>
      <c r="J1893" s="61"/>
      <c r="K1893" s="61"/>
      <c r="L1893" s="61"/>
    </row>
    <row r="1894" spans="8:15">
      <c r="H1894" s="51" t="s">
        <v>989</v>
      </c>
    </row>
    <row r="1895" spans="8:15">
      <c r="M1895" s="139"/>
    </row>
    <row r="1896" spans="8:15">
      <c r="H1896" s="50" t="s">
        <v>105</v>
      </c>
      <c r="K1896" s="146"/>
      <c r="M1896" s="139"/>
    </row>
    <row r="1897" spans="8:15" ht="15.75" thickBot="1"/>
    <row r="1898" spans="8:15" ht="15.75" thickBot="1">
      <c r="H1898" s="891" t="s">
        <v>106</v>
      </c>
      <c r="I1898" s="892"/>
      <c r="J1898" s="892"/>
      <c r="K1898" s="893"/>
      <c r="M1898" s="50" t="s">
        <v>288</v>
      </c>
    </row>
    <row r="1899" spans="8:15" ht="30.75" thickBot="1">
      <c r="H1899" s="57" t="s">
        <v>100</v>
      </c>
      <c r="I1899" s="58" t="s">
        <v>108</v>
      </c>
      <c r="J1899" s="287" t="s">
        <v>109</v>
      </c>
      <c r="K1899" s="60" t="s">
        <v>110</v>
      </c>
    </row>
    <row r="1900" spans="8:15">
      <c r="H1900" s="71">
        <v>719</v>
      </c>
      <c r="I1900" s="73">
        <f>+O1880+O1882+O1886</f>
        <v>0</v>
      </c>
      <c r="J1900" s="74">
        <f>+K1863</f>
        <v>17430000</v>
      </c>
      <c r="K1900" s="195">
        <f>+I1900+J1900</f>
        <v>17430000</v>
      </c>
    </row>
    <row r="1901" spans="8:15">
      <c r="H1901" s="72">
        <v>721</v>
      </c>
      <c r="I1901" s="80">
        <v>0</v>
      </c>
      <c r="J1901" s="74">
        <f>+K1864</f>
        <v>83942059</v>
      </c>
      <c r="K1901" s="195">
        <f>+I1901+J1901</f>
        <v>83942059</v>
      </c>
    </row>
    <row r="1902" spans="8:15">
      <c r="H1902" s="72">
        <v>722</v>
      </c>
      <c r="I1902" s="80"/>
      <c r="J1902" s="74">
        <f>+K1865</f>
        <v>0</v>
      </c>
      <c r="K1902" s="195">
        <f>+I1902+J1902</f>
        <v>0</v>
      </c>
    </row>
    <row r="1903" spans="8:15" ht="15.75">
      <c r="H1903" s="72">
        <v>723</v>
      </c>
      <c r="I1903" s="80">
        <f>+O1887+O1883+O1881+O1885</f>
        <v>-27816697</v>
      </c>
      <c r="J1903" s="74">
        <f>+K1866</f>
        <v>9964260</v>
      </c>
      <c r="K1903" s="195">
        <f>+I1903+J1903</f>
        <v>-17852437</v>
      </c>
      <c r="M1903" s="193" t="s">
        <v>289</v>
      </c>
      <c r="N1903" s="175"/>
    </row>
    <row r="1904" spans="8:15" ht="16.5" thickBot="1">
      <c r="H1904" s="164" t="s">
        <v>181</v>
      </c>
      <c r="I1904" s="165"/>
      <c r="J1904" s="74">
        <f>+K1867</f>
        <v>0</v>
      </c>
      <c r="K1904" s="196">
        <f>+I1904+J1904</f>
        <v>0</v>
      </c>
      <c r="M1904" s="52"/>
    </row>
    <row r="1905" spans="8:15" ht="16.5" thickBot="1">
      <c r="H1905" s="169"/>
      <c r="I1905" s="197">
        <f>SUM(I1900:I1904)</f>
        <v>-27816697</v>
      </c>
      <c r="J1905" s="197">
        <f>SUM(J1900:J1904)</f>
        <v>111336319</v>
      </c>
      <c r="K1905" s="198">
        <f>SUM(K1900:K1904)</f>
        <v>83519622</v>
      </c>
    </row>
    <row r="1906" spans="8:15" ht="16.5">
      <c r="H1906" s="49" t="s">
        <v>88</v>
      </c>
      <c r="I1906" s="50"/>
    </row>
    <row r="1907" spans="8:15">
      <c r="H1907" s="51" t="s">
        <v>89</v>
      </c>
    </row>
    <row r="1908" spans="8:15">
      <c r="H1908" s="51" t="s">
        <v>90</v>
      </c>
    </row>
    <row r="1909" spans="8:15">
      <c r="H1909" s="51" t="s">
        <v>91</v>
      </c>
    </row>
    <row r="1910" spans="8:15">
      <c r="H1910" s="50"/>
      <c r="I1910" s="50"/>
    </row>
    <row r="1911" spans="8:15" ht="15.75">
      <c r="H1911" s="260" t="s">
        <v>980</v>
      </c>
      <c r="N1911" s="52"/>
    </row>
    <row r="1912" spans="8:15" ht="15.75">
      <c r="H1912" s="53" t="s">
        <v>535</v>
      </c>
      <c r="N1912" s="53"/>
    </row>
    <row r="1913" spans="8:15" ht="16.5">
      <c r="H1913" s="894" t="s">
        <v>909</v>
      </c>
      <c r="I1913" s="894"/>
      <c r="J1913" s="894"/>
      <c r="K1913" s="894"/>
      <c r="L1913" s="894"/>
      <c r="M1913" s="894"/>
      <c r="N1913" s="894"/>
      <c r="O1913" s="894"/>
    </row>
    <row r="1914" spans="8:15" ht="15.75" thickBot="1"/>
    <row r="1915" spans="8:15">
      <c r="H1915" s="895" t="s">
        <v>94</v>
      </c>
      <c r="I1915" s="897" t="s">
        <v>95</v>
      </c>
      <c r="J1915" s="897" t="s">
        <v>96</v>
      </c>
      <c r="K1915" s="897" t="s">
        <v>3</v>
      </c>
      <c r="L1915" s="897" t="s">
        <v>97</v>
      </c>
      <c r="M1915" s="897" t="s">
        <v>98</v>
      </c>
      <c r="N1915" s="897" t="s">
        <v>99</v>
      </c>
      <c r="O1915" s="899"/>
    </row>
    <row r="1916" spans="8:15" ht="15.75" thickBot="1">
      <c r="H1916" s="896"/>
      <c r="I1916" s="898"/>
      <c r="J1916" s="898"/>
      <c r="K1916" s="898"/>
      <c r="L1916" s="898"/>
      <c r="M1916" s="898"/>
      <c r="N1916" s="240" t="s">
        <v>100</v>
      </c>
      <c r="O1916" s="182" t="s">
        <v>101</v>
      </c>
    </row>
    <row r="1917" spans="8:15">
      <c r="H1917" s="881">
        <v>212</v>
      </c>
      <c r="I1917" s="875">
        <v>42549</v>
      </c>
      <c r="J1917" s="877" t="s">
        <v>272</v>
      </c>
      <c r="K1917" s="879" t="s">
        <v>983</v>
      </c>
      <c r="L1917" s="881" t="s">
        <v>115</v>
      </c>
      <c r="M1917" s="883">
        <v>140000</v>
      </c>
      <c r="N1917" s="55">
        <v>719</v>
      </c>
      <c r="O1917" s="78">
        <v>140000</v>
      </c>
    </row>
    <row r="1918" spans="8:15" ht="15.75" thickBot="1">
      <c r="H1918" s="882"/>
      <c r="I1918" s="876"/>
      <c r="J1918" s="878"/>
      <c r="K1918" s="880"/>
      <c r="L1918" s="882"/>
      <c r="M1918" s="884"/>
      <c r="N1918" s="56">
        <v>721</v>
      </c>
      <c r="O1918" s="79">
        <f>+M1917-O1917</f>
        <v>0</v>
      </c>
    </row>
    <row r="1919" spans="8:15" ht="15" customHeight="1">
      <c r="H1919" s="881">
        <v>213</v>
      </c>
      <c r="I1919" s="875">
        <v>42549</v>
      </c>
      <c r="J1919" s="877" t="s">
        <v>28</v>
      </c>
      <c r="K1919" s="879" t="s">
        <v>982</v>
      </c>
      <c r="L1919" s="881" t="s">
        <v>115</v>
      </c>
      <c r="M1919" s="883">
        <v>40000</v>
      </c>
      <c r="N1919" s="55">
        <v>719</v>
      </c>
      <c r="O1919" s="78">
        <v>40000</v>
      </c>
    </row>
    <row r="1920" spans="8:15" ht="15.75" customHeight="1" thickBot="1">
      <c r="H1920" s="882"/>
      <c r="I1920" s="876"/>
      <c r="J1920" s="878"/>
      <c r="K1920" s="880"/>
      <c r="L1920" s="882"/>
      <c r="M1920" s="884"/>
      <c r="N1920" s="56">
        <v>721</v>
      </c>
      <c r="O1920" s="79">
        <f>+M1919-O1919</f>
        <v>0</v>
      </c>
    </row>
    <row r="1921" spans="8:15" ht="15" customHeight="1">
      <c r="H1921" s="881">
        <v>214</v>
      </c>
      <c r="I1921" s="875">
        <v>42549</v>
      </c>
      <c r="J1921" s="877" t="s">
        <v>120</v>
      </c>
      <c r="K1921" s="879" t="s">
        <v>984</v>
      </c>
      <c r="L1921" s="881" t="s">
        <v>115</v>
      </c>
      <c r="M1921" s="883">
        <v>30000</v>
      </c>
      <c r="N1921" s="55">
        <v>719</v>
      </c>
      <c r="O1921" s="78">
        <v>30000</v>
      </c>
    </row>
    <row r="1922" spans="8:15" ht="15.75" customHeight="1" thickBot="1">
      <c r="H1922" s="882"/>
      <c r="I1922" s="876"/>
      <c r="J1922" s="878"/>
      <c r="K1922" s="880"/>
      <c r="L1922" s="882"/>
      <c r="M1922" s="884"/>
      <c r="N1922" s="56">
        <v>721</v>
      </c>
      <c r="O1922" s="79">
        <f>+M1921-O1921</f>
        <v>0</v>
      </c>
    </row>
    <row r="1923" spans="8:15" ht="15" customHeight="1">
      <c r="H1923" s="881">
        <v>215</v>
      </c>
      <c r="I1923" s="875">
        <v>42549</v>
      </c>
      <c r="J1923" s="877" t="s">
        <v>272</v>
      </c>
      <c r="K1923" s="879" t="s">
        <v>985</v>
      </c>
      <c r="L1923" s="881" t="s">
        <v>115</v>
      </c>
      <c r="M1923" s="883">
        <v>200000</v>
      </c>
      <c r="N1923" s="55">
        <v>719</v>
      </c>
      <c r="O1923" s="78">
        <v>200000</v>
      </c>
    </row>
    <row r="1924" spans="8:15" ht="15.75" customHeight="1" thickBot="1">
      <c r="H1924" s="882"/>
      <c r="I1924" s="876"/>
      <c r="J1924" s="878"/>
      <c r="K1924" s="880"/>
      <c r="L1924" s="882"/>
      <c r="M1924" s="884"/>
      <c r="N1924" s="56">
        <v>721</v>
      </c>
      <c r="O1924" s="79">
        <f>+M1923-O1923</f>
        <v>0</v>
      </c>
    </row>
    <row r="1925" spans="8:15" ht="15" customHeight="1">
      <c r="H1925" s="881"/>
      <c r="I1925" s="875"/>
      <c r="J1925" s="877"/>
      <c r="K1925" s="881"/>
      <c r="L1925" s="881"/>
      <c r="M1925" s="883"/>
      <c r="N1925" s="55">
        <v>719</v>
      </c>
      <c r="O1925" s="78"/>
    </row>
    <row r="1926" spans="8:15" ht="12" customHeight="1" thickBot="1">
      <c r="H1926" s="882"/>
      <c r="I1926" s="876"/>
      <c r="J1926" s="878"/>
      <c r="K1926" s="882"/>
      <c r="L1926" s="882"/>
      <c r="M1926" s="884"/>
      <c r="N1926" s="56">
        <v>721</v>
      </c>
      <c r="O1926" s="79">
        <f>+M1925-O1925</f>
        <v>0</v>
      </c>
    </row>
    <row r="1927" spans="8:15" ht="16.5" thickBot="1">
      <c r="H1927" s="901" t="s">
        <v>102</v>
      </c>
      <c r="I1927" s="902"/>
      <c r="J1927" s="902"/>
      <c r="K1927" s="902"/>
      <c r="L1927" s="903"/>
      <c r="M1927" s="81">
        <f>SUM(M1917:M1926)</f>
        <v>410000</v>
      </c>
    </row>
    <row r="1928" spans="8:15" ht="16.5" thickBot="1">
      <c r="H1928" s="885" t="s">
        <v>103</v>
      </c>
      <c r="I1928" s="886"/>
      <c r="J1928" s="886"/>
      <c r="K1928" s="886"/>
      <c r="L1928" s="887"/>
      <c r="M1928" s="69">
        <f>+M1892</f>
        <v>83589622</v>
      </c>
      <c r="N1928" s="241" t="s">
        <v>561</v>
      </c>
      <c r="O1928" s="242">
        <f>649+441+67+12</f>
        <v>1169</v>
      </c>
    </row>
    <row r="1929" spans="8:15" ht="16.5" thickBot="1">
      <c r="H1929" s="888" t="s">
        <v>104</v>
      </c>
      <c r="I1929" s="889"/>
      <c r="J1929" s="889"/>
      <c r="K1929" s="889"/>
      <c r="L1929" s="890"/>
      <c r="M1929" s="183">
        <f>SUM(M1927:M1928)</f>
        <v>83999622</v>
      </c>
    </row>
    <row r="1930" spans="8:15">
      <c r="H1930" s="61"/>
      <c r="I1930" s="61"/>
      <c r="J1930" s="61"/>
      <c r="K1930" s="61"/>
      <c r="L1930" s="61"/>
    </row>
    <row r="1931" spans="8:15">
      <c r="H1931" s="51" t="s">
        <v>990</v>
      </c>
    </row>
    <row r="1932" spans="8:15" ht="12" customHeight="1">
      <c r="M1932" s="139"/>
    </row>
    <row r="1933" spans="8:15">
      <c r="H1933" s="50" t="s">
        <v>105</v>
      </c>
      <c r="K1933" s="146"/>
      <c r="M1933" s="139"/>
    </row>
    <row r="1934" spans="8:15" ht="12.75" customHeight="1" thickBot="1"/>
    <row r="1935" spans="8:15" ht="15.75" thickBot="1">
      <c r="H1935" s="891" t="s">
        <v>106</v>
      </c>
      <c r="I1935" s="892"/>
      <c r="J1935" s="892"/>
      <c r="K1935" s="893"/>
      <c r="M1935" s="50" t="s">
        <v>288</v>
      </c>
    </row>
    <row r="1936" spans="8:15" ht="30.75" thickBot="1">
      <c r="H1936" s="57" t="s">
        <v>100</v>
      </c>
      <c r="I1936" s="58" t="s">
        <v>108</v>
      </c>
      <c r="J1936" s="287" t="s">
        <v>109</v>
      </c>
      <c r="K1936" s="60" t="s">
        <v>110</v>
      </c>
    </row>
    <row r="1937" spans="8:15">
      <c r="H1937" s="71">
        <v>719</v>
      </c>
      <c r="I1937" s="73">
        <f>+O1917+O1919+O1921+O1923+O1925</f>
        <v>410000</v>
      </c>
      <c r="J1937" s="74">
        <f>+K1900</f>
        <v>17430000</v>
      </c>
      <c r="K1937" s="195">
        <f>+I1937+J1937</f>
        <v>17840000</v>
      </c>
    </row>
    <row r="1938" spans="8:15">
      <c r="H1938" s="72">
        <v>721</v>
      </c>
      <c r="I1938" s="80">
        <f>+O1918+O1920+O1922+O1924</f>
        <v>0</v>
      </c>
      <c r="J1938" s="74">
        <f>+K1901</f>
        <v>83942059</v>
      </c>
      <c r="K1938" s="195">
        <f>+I1938+J1938</f>
        <v>83942059</v>
      </c>
    </row>
    <row r="1939" spans="8:15">
      <c r="H1939" s="72">
        <v>722</v>
      </c>
      <c r="I1939" s="80"/>
      <c r="J1939" s="74">
        <f>+K1902</f>
        <v>0</v>
      </c>
      <c r="K1939" s="195">
        <f>+I1939+J1939</f>
        <v>0</v>
      </c>
    </row>
    <row r="1940" spans="8:15" ht="15.75">
      <c r="H1940" s="72">
        <v>723</v>
      </c>
      <c r="I1940" s="80"/>
      <c r="J1940" s="74">
        <f>+K1903</f>
        <v>-17852437</v>
      </c>
      <c r="K1940" s="195">
        <f>+I1940+J1940</f>
        <v>-17852437</v>
      </c>
      <c r="M1940" s="193" t="s">
        <v>289</v>
      </c>
      <c r="N1940" s="175"/>
    </row>
    <row r="1941" spans="8:15" ht="16.5" thickBot="1">
      <c r="H1941" s="164" t="s">
        <v>181</v>
      </c>
      <c r="I1941" s="165"/>
      <c r="J1941" s="74">
        <f>+K1904</f>
        <v>0</v>
      </c>
      <c r="K1941" s="196">
        <f>+I1941+J1941</f>
        <v>0</v>
      </c>
      <c r="M1941" s="52"/>
    </row>
    <row r="1942" spans="8:15" ht="16.5" thickBot="1">
      <c r="H1942" s="169"/>
      <c r="I1942" s="197">
        <f>SUM(I1937:I1941)</f>
        <v>410000</v>
      </c>
      <c r="J1942" s="197">
        <f>SUM(J1937:J1941)</f>
        <v>83519622</v>
      </c>
      <c r="K1942" s="198">
        <f>SUM(K1937:K1941)</f>
        <v>83929622</v>
      </c>
    </row>
    <row r="1943" spans="8:15" ht="16.5">
      <c r="H1943" s="49" t="s">
        <v>88</v>
      </c>
      <c r="I1943" s="50"/>
    </row>
    <row r="1944" spans="8:15">
      <c r="H1944" s="51" t="s">
        <v>89</v>
      </c>
    </row>
    <row r="1945" spans="8:15">
      <c r="H1945" s="51" t="s">
        <v>90</v>
      </c>
    </row>
    <row r="1946" spans="8:15">
      <c r="H1946" s="51" t="s">
        <v>91</v>
      </c>
    </row>
    <row r="1947" spans="8:15" ht="11.25" customHeight="1">
      <c r="H1947" s="50"/>
      <c r="I1947" s="50"/>
    </row>
    <row r="1948" spans="8:15" ht="15.75">
      <c r="H1948" s="260" t="s">
        <v>981</v>
      </c>
      <c r="N1948" s="52"/>
    </row>
    <row r="1949" spans="8:15" ht="15.75">
      <c r="H1949" s="53" t="s">
        <v>535</v>
      </c>
      <c r="N1949" s="53"/>
    </row>
    <row r="1950" spans="8:15" ht="16.5">
      <c r="H1950" s="894" t="s">
        <v>909</v>
      </c>
      <c r="I1950" s="894"/>
      <c r="J1950" s="894"/>
      <c r="K1950" s="894"/>
      <c r="L1950" s="894"/>
      <c r="M1950" s="894"/>
      <c r="N1950" s="894"/>
      <c r="O1950" s="894"/>
    </row>
    <row r="1951" spans="8:15" ht="15.75" thickBot="1"/>
    <row r="1952" spans="8:15">
      <c r="H1952" s="895" t="s">
        <v>94</v>
      </c>
      <c r="I1952" s="897" t="s">
        <v>95</v>
      </c>
      <c r="J1952" s="897" t="s">
        <v>96</v>
      </c>
      <c r="K1952" s="897" t="s">
        <v>3</v>
      </c>
      <c r="L1952" s="897" t="s">
        <v>97</v>
      </c>
      <c r="M1952" s="897" t="s">
        <v>98</v>
      </c>
      <c r="N1952" s="897" t="s">
        <v>99</v>
      </c>
      <c r="O1952" s="899"/>
    </row>
    <row r="1953" spans="8:15" ht="15.75" thickBot="1">
      <c r="H1953" s="896"/>
      <c r="I1953" s="898"/>
      <c r="J1953" s="898"/>
      <c r="K1953" s="898"/>
      <c r="L1953" s="898"/>
      <c r="M1953" s="898"/>
      <c r="N1953" s="240" t="s">
        <v>100</v>
      </c>
      <c r="O1953" s="182" t="s">
        <v>101</v>
      </c>
    </row>
    <row r="1954" spans="8:15" ht="15" customHeight="1">
      <c r="H1954" s="881">
        <v>216</v>
      </c>
      <c r="I1954" s="875">
        <v>42549</v>
      </c>
      <c r="J1954" s="877" t="s">
        <v>272</v>
      </c>
      <c r="K1954" s="879" t="s">
        <v>986</v>
      </c>
      <c r="L1954" s="881" t="s">
        <v>115</v>
      </c>
      <c r="M1954" s="883">
        <v>60000</v>
      </c>
      <c r="N1954" s="55">
        <v>719</v>
      </c>
      <c r="O1954" s="78">
        <v>60000</v>
      </c>
    </row>
    <row r="1955" spans="8:15" ht="15.75" customHeight="1" thickBot="1">
      <c r="H1955" s="882"/>
      <c r="I1955" s="876"/>
      <c r="J1955" s="878"/>
      <c r="K1955" s="880"/>
      <c r="L1955" s="882"/>
      <c r="M1955" s="884"/>
      <c r="N1955" s="56">
        <v>721</v>
      </c>
      <c r="O1955" s="79">
        <f>+M1954-O1954</f>
        <v>0</v>
      </c>
    </row>
    <row r="1956" spans="8:15" ht="15" customHeight="1">
      <c r="H1956" s="881">
        <v>217</v>
      </c>
      <c r="I1956" s="875">
        <v>42549</v>
      </c>
      <c r="J1956" s="877" t="s">
        <v>28</v>
      </c>
      <c r="K1956" s="879" t="s">
        <v>987</v>
      </c>
      <c r="L1956" s="881" t="s">
        <v>115</v>
      </c>
      <c r="M1956" s="883">
        <v>50000</v>
      </c>
      <c r="N1956" s="55">
        <v>719</v>
      </c>
      <c r="O1956" s="78">
        <v>50000</v>
      </c>
    </row>
    <row r="1957" spans="8:15" ht="15.75" customHeight="1" thickBot="1">
      <c r="H1957" s="882"/>
      <c r="I1957" s="876"/>
      <c r="J1957" s="878"/>
      <c r="K1957" s="880"/>
      <c r="L1957" s="882"/>
      <c r="M1957" s="884"/>
      <c r="N1957" s="56">
        <v>721</v>
      </c>
      <c r="O1957" s="79">
        <f>+M1956-O1956</f>
        <v>0</v>
      </c>
    </row>
    <row r="1958" spans="8:15" ht="15" customHeight="1">
      <c r="H1958" s="881">
        <v>218</v>
      </c>
      <c r="I1958" s="875">
        <v>42549</v>
      </c>
      <c r="J1958" s="877" t="s">
        <v>28</v>
      </c>
      <c r="K1958" s="879" t="s">
        <v>988</v>
      </c>
      <c r="L1958" s="881" t="s">
        <v>115</v>
      </c>
      <c r="M1958" s="883">
        <v>40000</v>
      </c>
      <c r="N1958" s="55">
        <v>719</v>
      </c>
      <c r="O1958" s="78">
        <v>40000</v>
      </c>
    </row>
    <row r="1959" spans="8:15" ht="15.75" customHeight="1" thickBot="1">
      <c r="H1959" s="882"/>
      <c r="I1959" s="876"/>
      <c r="J1959" s="878"/>
      <c r="K1959" s="880"/>
      <c r="L1959" s="882"/>
      <c r="M1959" s="884"/>
      <c r="N1959" s="56">
        <v>721</v>
      </c>
      <c r="O1959" s="79">
        <f>+M1958-O1958</f>
        <v>0</v>
      </c>
    </row>
    <row r="1960" spans="8:15" ht="15" customHeight="1">
      <c r="H1960" s="881"/>
      <c r="I1960" s="875"/>
      <c r="J1960" s="877"/>
      <c r="K1960" s="879"/>
      <c r="L1960" s="881"/>
      <c r="M1960" s="883"/>
      <c r="N1960" s="55">
        <v>719</v>
      </c>
      <c r="O1960" s="78">
        <v>0</v>
      </c>
    </row>
    <row r="1961" spans="8:15" ht="15.75" customHeight="1" thickBot="1">
      <c r="H1961" s="882"/>
      <c r="I1961" s="876"/>
      <c r="J1961" s="878"/>
      <c r="K1961" s="880"/>
      <c r="L1961" s="882"/>
      <c r="M1961" s="884"/>
      <c r="N1961" s="56">
        <v>721</v>
      </c>
      <c r="O1961" s="79">
        <f>+M1960-O1960</f>
        <v>0</v>
      </c>
    </row>
    <row r="1962" spans="8:15">
      <c r="H1962" s="881"/>
      <c r="I1962" s="875"/>
      <c r="J1962" s="877"/>
      <c r="K1962" s="881"/>
      <c r="L1962" s="881"/>
      <c r="M1962" s="883"/>
      <c r="N1962" s="55">
        <v>719</v>
      </c>
      <c r="O1962" s="78"/>
    </row>
    <row r="1963" spans="8:15" ht="15.75" thickBot="1">
      <c r="H1963" s="882"/>
      <c r="I1963" s="876"/>
      <c r="J1963" s="878"/>
      <c r="K1963" s="882"/>
      <c r="L1963" s="882"/>
      <c r="M1963" s="884"/>
      <c r="N1963" s="56">
        <v>721</v>
      </c>
      <c r="O1963" s="79">
        <f>+M1962-O1962</f>
        <v>0</v>
      </c>
    </row>
    <row r="1964" spans="8:15" ht="16.5" thickBot="1">
      <c r="H1964" s="901" t="s">
        <v>102</v>
      </c>
      <c r="I1964" s="902"/>
      <c r="J1964" s="902"/>
      <c r="K1964" s="902"/>
      <c r="L1964" s="903"/>
      <c r="M1964" s="81">
        <f>SUM(M1954:M1963)</f>
        <v>150000</v>
      </c>
    </row>
    <row r="1965" spans="8:15" ht="16.5" thickBot="1">
      <c r="H1965" s="885" t="s">
        <v>103</v>
      </c>
      <c r="I1965" s="886"/>
      <c r="J1965" s="886"/>
      <c r="K1965" s="886"/>
      <c r="L1965" s="887"/>
      <c r="M1965" s="69">
        <f>+M1929</f>
        <v>83999622</v>
      </c>
      <c r="N1965" s="241" t="s">
        <v>561</v>
      </c>
      <c r="O1965" s="242">
        <f>314+120+93</f>
        <v>527</v>
      </c>
    </row>
    <row r="1966" spans="8:15" ht="16.5" thickBot="1">
      <c r="H1966" s="888" t="s">
        <v>104</v>
      </c>
      <c r="I1966" s="889"/>
      <c r="J1966" s="889"/>
      <c r="K1966" s="889"/>
      <c r="L1966" s="890"/>
      <c r="M1966" s="183">
        <f>SUM(M1964:M1965)</f>
        <v>84149622</v>
      </c>
    </row>
    <row r="1967" spans="8:15" ht="14.25" customHeight="1">
      <c r="H1967" s="61"/>
      <c r="I1967" s="61"/>
      <c r="J1967" s="61"/>
      <c r="K1967" s="61"/>
      <c r="L1967" s="61"/>
    </row>
    <row r="1968" spans="8:15">
      <c r="H1968" s="51" t="s">
        <v>991</v>
      </c>
    </row>
    <row r="1969" spans="8:14" ht="11.25" customHeight="1">
      <c r="M1969" s="139"/>
    </row>
    <row r="1970" spans="8:14">
      <c r="H1970" s="50" t="s">
        <v>105</v>
      </c>
      <c r="K1970" s="146"/>
      <c r="M1970" s="139"/>
    </row>
    <row r="1971" spans="8:14" ht="12" customHeight="1" thickBot="1"/>
    <row r="1972" spans="8:14" ht="15.75" thickBot="1">
      <c r="H1972" s="891" t="s">
        <v>106</v>
      </c>
      <c r="I1972" s="892"/>
      <c r="J1972" s="892"/>
      <c r="K1972" s="893"/>
      <c r="M1972" s="50" t="s">
        <v>288</v>
      </c>
    </row>
    <row r="1973" spans="8:14" ht="30.75" thickBot="1">
      <c r="H1973" s="57" t="s">
        <v>100</v>
      </c>
      <c r="I1973" s="58" t="s">
        <v>108</v>
      </c>
      <c r="J1973" s="287" t="s">
        <v>109</v>
      </c>
      <c r="K1973" s="60" t="s">
        <v>110</v>
      </c>
    </row>
    <row r="1974" spans="8:14">
      <c r="H1974" s="71">
        <v>719</v>
      </c>
      <c r="I1974" s="73">
        <f>+O1954+O1956+O1958+O1960+O1962</f>
        <v>150000</v>
      </c>
      <c r="J1974" s="74">
        <f>+K1937</f>
        <v>17840000</v>
      </c>
      <c r="K1974" s="195">
        <f>+I1974+J1974</f>
        <v>17990000</v>
      </c>
    </row>
    <row r="1975" spans="8:14">
      <c r="H1975" s="72">
        <v>721</v>
      </c>
      <c r="I1975" s="80">
        <f>+O1955+O1957+O1959+O1961</f>
        <v>0</v>
      </c>
      <c r="J1975" s="74">
        <f>+K1938</f>
        <v>83942059</v>
      </c>
      <c r="K1975" s="195">
        <f>+I1975+J1975</f>
        <v>83942059</v>
      </c>
    </row>
    <row r="1976" spans="8:14">
      <c r="H1976" s="72">
        <v>722</v>
      </c>
      <c r="I1976" s="80"/>
      <c r="J1976" s="74">
        <f>+K1939</f>
        <v>0</v>
      </c>
      <c r="K1976" s="195">
        <f>+I1976+J1976</f>
        <v>0</v>
      </c>
    </row>
    <row r="1977" spans="8:14" ht="15.75">
      <c r="H1977" s="72">
        <v>723</v>
      </c>
      <c r="I1977" s="80"/>
      <c r="J1977" s="74">
        <f>+K1940</f>
        <v>-17852437</v>
      </c>
      <c r="K1977" s="195">
        <f>+I1977+J1977</f>
        <v>-17852437</v>
      </c>
      <c r="M1977" s="193" t="s">
        <v>289</v>
      </c>
      <c r="N1977" s="175"/>
    </row>
    <row r="1978" spans="8:14" ht="16.5" thickBot="1">
      <c r="H1978" s="164" t="s">
        <v>181</v>
      </c>
      <c r="I1978" s="165"/>
      <c r="J1978" s="74">
        <f>+K1941</f>
        <v>0</v>
      </c>
      <c r="K1978" s="196">
        <f>+I1978+J1978</f>
        <v>0</v>
      </c>
      <c r="M1978" s="52"/>
    </row>
    <row r="1979" spans="8:14" ht="16.5" thickBot="1">
      <c r="H1979" s="169"/>
      <c r="I1979" s="197">
        <f>SUM(I1974:I1978)</f>
        <v>150000</v>
      </c>
      <c r="J1979" s="197">
        <f>SUM(J1974:J1978)</f>
        <v>83929622</v>
      </c>
      <c r="K1979" s="198">
        <f>SUM(K1974:K1978)</f>
        <v>84079622</v>
      </c>
    </row>
    <row r="1980" spans="8:14" ht="16.5">
      <c r="H1980" s="49" t="s">
        <v>88</v>
      </c>
      <c r="I1980" s="50"/>
    </row>
    <row r="1981" spans="8:14">
      <c r="H1981" s="51" t="s">
        <v>89</v>
      </c>
    </row>
    <row r="1982" spans="8:14">
      <c r="H1982" s="51" t="s">
        <v>90</v>
      </c>
    </row>
    <row r="1983" spans="8:14">
      <c r="H1983" s="51" t="s">
        <v>91</v>
      </c>
    </row>
    <row r="1984" spans="8:14" ht="11.25" customHeight="1">
      <c r="H1984" s="50"/>
      <c r="I1984" s="50"/>
    </row>
    <row r="1985" spans="8:15" ht="15.75">
      <c r="H1985" s="260" t="s">
        <v>992</v>
      </c>
      <c r="N1985" s="52"/>
    </row>
    <row r="1986" spans="8:15" ht="15.75">
      <c r="H1986" s="53" t="s">
        <v>535</v>
      </c>
      <c r="N1986" s="53"/>
    </row>
    <row r="1987" spans="8:15" ht="16.5">
      <c r="H1987" s="894" t="s">
        <v>909</v>
      </c>
      <c r="I1987" s="894"/>
      <c r="J1987" s="894"/>
      <c r="K1987" s="894"/>
      <c r="L1987" s="894"/>
      <c r="M1987" s="894"/>
      <c r="N1987" s="894"/>
      <c r="O1987" s="894"/>
    </row>
    <row r="1988" spans="8:15" ht="15.75" thickBot="1"/>
    <row r="1989" spans="8:15">
      <c r="H1989" s="895" t="s">
        <v>94</v>
      </c>
      <c r="I1989" s="897" t="s">
        <v>95</v>
      </c>
      <c r="J1989" s="897" t="s">
        <v>96</v>
      </c>
      <c r="K1989" s="897" t="s">
        <v>3</v>
      </c>
      <c r="L1989" s="897" t="s">
        <v>97</v>
      </c>
      <c r="M1989" s="897" t="s">
        <v>98</v>
      </c>
      <c r="N1989" s="897" t="s">
        <v>99</v>
      </c>
      <c r="O1989" s="899"/>
    </row>
    <row r="1990" spans="8:15" ht="15.75" thickBot="1">
      <c r="H1990" s="896"/>
      <c r="I1990" s="898"/>
      <c r="J1990" s="898"/>
      <c r="K1990" s="898"/>
      <c r="L1990" s="898"/>
      <c r="M1990" s="898"/>
      <c r="N1990" s="240" t="s">
        <v>100</v>
      </c>
      <c r="O1990" s="182" t="s">
        <v>101</v>
      </c>
    </row>
    <row r="1991" spans="8:15">
      <c r="H1991" s="881">
        <v>219</v>
      </c>
      <c r="I1991" s="875">
        <v>42549</v>
      </c>
      <c r="J1991" s="877" t="s">
        <v>272</v>
      </c>
      <c r="K1991" s="879" t="s">
        <v>996</v>
      </c>
      <c r="L1991" s="881" t="s">
        <v>115</v>
      </c>
      <c r="M1991" s="883">
        <v>190000</v>
      </c>
      <c r="N1991" s="55">
        <v>719</v>
      </c>
      <c r="O1991" s="78">
        <v>190000</v>
      </c>
    </row>
    <row r="1992" spans="8:15" ht="15.75" thickBot="1">
      <c r="H1992" s="882"/>
      <c r="I1992" s="876"/>
      <c r="J1992" s="878"/>
      <c r="K1992" s="880"/>
      <c r="L1992" s="882"/>
      <c r="M1992" s="884"/>
      <c r="N1992" s="56">
        <v>721</v>
      </c>
      <c r="O1992" s="79">
        <f>+M1991-O1991</f>
        <v>0</v>
      </c>
    </row>
    <row r="1993" spans="8:15">
      <c r="H1993" s="881">
        <v>220</v>
      </c>
      <c r="I1993" s="875">
        <v>42549</v>
      </c>
      <c r="J1993" s="877" t="s">
        <v>28</v>
      </c>
      <c r="K1993" s="879" t="s">
        <v>993</v>
      </c>
      <c r="L1993" s="881" t="s">
        <v>115</v>
      </c>
      <c r="M1993" s="883">
        <v>60000</v>
      </c>
      <c r="N1993" s="55">
        <v>719</v>
      </c>
      <c r="O1993" s="78">
        <v>60000</v>
      </c>
    </row>
    <row r="1994" spans="8:15" ht="15.75" thickBot="1">
      <c r="H1994" s="882"/>
      <c r="I1994" s="876"/>
      <c r="J1994" s="878"/>
      <c r="K1994" s="880"/>
      <c r="L1994" s="882"/>
      <c r="M1994" s="884"/>
      <c r="N1994" s="56">
        <v>721</v>
      </c>
      <c r="O1994" s="79">
        <f>+M1993-O1993</f>
        <v>0</v>
      </c>
    </row>
    <row r="1995" spans="8:15">
      <c r="H1995" s="881">
        <v>221</v>
      </c>
      <c r="I1995" s="875">
        <v>42549</v>
      </c>
      <c r="J1995" s="877" t="s">
        <v>120</v>
      </c>
      <c r="K1995" s="879" t="s">
        <v>994</v>
      </c>
      <c r="L1995" s="881" t="s">
        <v>115</v>
      </c>
      <c r="M1995" s="883">
        <v>50000</v>
      </c>
      <c r="N1995" s="55">
        <v>719</v>
      </c>
      <c r="O1995" s="78">
        <v>50000</v>
      </c>
    </row>
    <row r="1996" spans="8:15" ht="15.75" thickBot="1">
      <c r="H1996" s="882"/>
      <c r="I1996" s="876"/>
      <c r="J1996" s="878"/>
      <c r="K1996" s="880"/>
      <c r="L1996" s="882"/>
      <c r="M1996" s="884"/>
      <c r="N1996" s="56">
        <v>721</v>
      </c>
      <c r="O1996" s="79">
        <f>+M1995-O1995</f>
        <v>0</v>
      </c>
    </row>
    <row r="1997" spans="8:15">
      <c r="H1997" s="881"/>
      <c r="I1997" s="875"/>
      <c r="J1997" s="877"/>
      <c r="K1997" s="879"/>
      <c r="L1997" s="881"/>
      <c r="M1997" s="883"/>
      <c r="N1997" s="55">
        <v>719</v>
      </c>
      <c r="O1997" s="78">
        <v>0</v>
      </c>
    </row>
    <row r="1998" spans="8:15" ht="13.5" customHeight="1" thickBot="1">
      <c r="H1998" s="882"/>
      <c r="I1998" s="876"/>
      <c r="J1998" s="878"/>
      <c r="K1998" s="880"/>
      <c r="L1998" s="882"/>
      <c r="M1998" s="884"/>
      <c r="N1998" s="56">
        <v>721</v>
      </c>
      <c r="O1998" s="79">
        <f>+M1997-O1997</f>
        <v>0</v>
      </c>
    </row>
    <row r="1999" spans="8:15">
      <c r="H1999" s="881"/>
      <c r="I1999" s="875"/>
      <c r="J1999" s="877"/>
      <c r="K1999" s="881"/>
      <c r="L1999" s="881"/>
      <c r="M1999" s="883"/>
      <c r="N1999" s="55">
        <v>719</v>
      </c>
      <c r="O1999" s="78"/>
    </row>
    <row r="2000" spans="8:15" ht="12" customHeight="1" thickBot="1">
      <c r="H2000" s="882"/>
      <c r="I2000" s="876"/>
      <c r="J2000" s="878"/>
      <c r="K2000" s="882"/>
      <c r="L2000" s="882"/>
      <c r="M2000" s="884"/>
      <c r="N2000" s="56">
        <v>721</v>
      </c>
      <c r="O2000" s="79">
        <f>+M1999-O1999</f>
        <v>0</v>
      </c>
    </row>
    <row r="2001" spans="8:15" ht="16.5" thickBot="1">
      <c r="H2001" s="901" t="s">
        <v>102</v>
      </c>
      <c r="I2001" s="902"/>
      <c r="J2001" s="902"/>
      <c r="K2001" s="902"/>
      <c r="L2001" s="903"/>
      <c r="M2001" s="81">
        <f>SUM(M1991:M2000)</f>
        <v>300000</v>
      </c>
    </row>
    <row r="2002" spans="8:15" ht="16.5" thickBot="1">
      <c r="H2002" s="885" t="s">
        <v>103</v>
      </c>
      <c r="I2002" s="886"/>
      <c r="J2002" s="886"/>
      <c r="K2002" s="886"/>
      <c r="L2002" s="887"/>
      <c r="M2002" s="69">
        <f>+M1966</f>
        <v>84149622</v>
      </c>
      <c r="N2002" s="241" t="s">
        <v>561</v>
      </c>
      <c r="O2002" s="242">
        <f>50+174+606</f>
        <v>830</v>
      </c>
    </row>
    <row r="2003" spans="8:15" ht="16.5" thickBot="1">
      <c r="H2003" s="888" t="s">
        <v>104</v>
      </c>
      <c r="I2003" s="889"/>
      <c r="J2003" s="889"/>
      <c r="K2003" s="889"/>
      <c r="L2003" s="890"/>
      <c r="M2003" s="183">
        <f>SUM(M2001:M2002)</f>
        <v>84449622</v>
      </c>
    </row>
    <row r="2004" spans="8:15">
      <c r="H2004" s="61"/>
      <c r="I2004" s="61"/>
      <c r="J2004" s="61"/>
      <c r="K2004" s="61"/>
      <c r="L2004" s="61"/>
    </row>
    <row r="2005" spans="8:15">
      <c r="H2005" s="51" t="s">
        <v>995</v>
      </c>
    </row>
    <row r="2006" spans="8:15">
      <c r="M2006" s="139"/>
    </row>
    <row r="2007" spans="8:15">
      <c r="H2007" s="50" t="s">
        <v>105</v>
      </c>
      <c r="K2007" s="146"/>
      <c r="M2007" s="139"/>
    </row>
    <row r="2008" spans="8:15" ht="12.75" customHeight="1" thickBot="1"/>
    <row r="2009" spans="8:15" ht="15.75" thickBot="1">
      <c r="H2009" s="891" t="s">
        <v>106</v>
      </c>
      <c r="I2009" s="892"/>
      <c r="J2009" s="892"/>
      <c r="K2009" s="893"/>
      <c r="M2009" s="50" t="s">
        <v>288</v>
      </c>
    </row>
    <row r="2010" spans="8:15" ht="30.75" thickBot="1">
      <c r="H2010" s="57" t="s">
        <v>100</v>
      </c>
      <c r="I2010" s="58" t="s">
        <v>108</v>
      </c>
      <c r="J2010" s="287" t="s">
        <v>109</v>
      </c>
      <c r="K2010" s="60" t="s">
        <v>110</v>
      </c>
    </row>
    <row r="2011" spans="8:15">
      <c r="H2011" s="71">
        <v>719</v>
      </c>
      <c r="I2011" s="73">
        <f>+O1991+O1993+O1995+O1997+O1999</f>
        <v>300000</v>
      </c>
      <c r="J2011" s="74">
        <f>+K1974</f>
        <v>17990000</v>
      </c>
      <c r="K2011" s="195">
        <f>+I2011+J2011</f>
        <v>18290000</v>
      </c>
    </row>
    <row r="2012" spans="8:15">
      <c r="H2012" s="72">
        <v>721</v>
      </c>
      <c r="I2012" s="80">
        <f>+O1992+O1994+O1996+O1998</f>
        <v>0</v>
      </c>
      <c r="J2012" s="74">
        <f>+K1975</f>
        <v>83942059</v>
      </c>
      <c r="K2012" s="195">
        <f>+I2012+J2012</f>
        <v>83942059</v>
      </c>
    </row>
    <row r="2013" spans="8:15">
      <c r="H2013" s="72">
        <v>722</v>
      </c>
      <c r="I2013" s="80"/>
      <c r="J2013" s="74">
        <f>+K1976</f>
        <v>0</v>
      </c>
      <c r="K2013" s="195">
        <f>+I2013+J2013</f>
        <v>0</v>
      </c>
    </row>
    <row r="2014" spans="8:15" ht="15.75">
      <c r="H2014" s="72">
        <v>723</v>
      </c>
      <c r="I2014" s="80"/>
      <c r="J2014" s="74">
        <f>+K1977</f>
        <v>-17852437</v>
      </c>
      <c r="K2014" s="195">
        <f>+I2014+J2014</f>
        <v>-17852437</v>
      </c>
      <c r="M2014" s="193" t="s">
        <v>289</v>
      </c>
      <c r="N2014" s="175"/>
    </row>
    <row r="2015" spans="8:15" ht="16.5" thickBot="1">
      <c r="H2015" s="164" t="s">
        <v>181</v>
      </c>
      <c r="I2015" s="165"/>
      <c r="J2015" s="74">
        <f>+K1978</f>
        <v>0</v>
      </c>
      <c r="K2015" s="196">
        <f>+I2015+J2015</f>
        <v>0</v>
      </c>
      <c r="M2015" s="52"/>
    </row>
    <row r="2016" spans="8:15" ht="16.5" thickBot="1">
      <c r="H2016" s="169"/>
      <c r="I2016" s="197">
        <f>SUM(I2011:I2015)</f>
        <v>300000</v>
      </c>
      <c r="J2016" s="197">
        <f>SUM(J2011:J2015)</f>
        <v>84079622</v>
      </c>
      <c r="K2016" s="198">
        <f>SUM(K2011:K2015)</f>
        <v>84379622</v>
      </c>
    </row>
    <row r="2017" spans="8:15" ht="16.5">
      <c r="H2017" s="49" t="s">
        <v>88</v>
      </c>
      <c r="I2017" s="50"/>
    </row>
    <row r="2018" spans="8:15">
      <c r="H2018" s="51" t="s">
        <v>89</v>
      </c>
    </row>
    <row r="2019" spans="8:15">
      <c r="H2019" s="51" t="s">
        <v>90</v>
      </c>
    </row>
    <row r="2020" spans="8:15">
      <c r="H2020" s="51" t="s">
        <v>91</v>
      </c>
    </row>
    <row r="2021" spans="8:15" ht="12.75" customHeight="1">
      <c r="H2021" s="50"/>
      <c r="I2021" s="50"/>
    </row>
    <row r="2022" spans="8:15" ht="15.75">
      <c r="H2022" s="260" t="s">
        <v>997</v>
      </c>
      <c r="N2022" s="52"/>
    </row>
    <row r="2023" spans="8:15" ht="15.75">
      <c r="H2023" s="53" t="s">
        <v>535</v>
      </c>
      <c r="N2023" s="53"/>
    </row>
    <row r="2024" spans="8:15" ht="16.5">
      <c r="H2024" s="894" t="s">
        <v>909</v>
      </c>
      <c r="I2024" s="894"/>
      <c r="J2024" s="894"/>
      <c r="K2024" s="894"/>
      <c r="L2024" s="894"/>
      <c r="M2024" s="894"/>
      <c r="N2024" s="894"/>
      <c r="O2024" s="894"/>
    </row>
    <row r="2025" spans="8:15" ht="15.75" thickBot="1"/>
    <row r="2026" spans="8:15">
      <c r="H2026" s="895" t="s">
        <v>94</v>
      </c>
      <c r="I2026" s="897" t="s">
        <v>95</v>
      </c>
      <c r="J2026" s="897" t="s">
        <v>96</v>
      </c>
      <c r="K2026" s="897" t="s">
        <v>3</v>
      </c>
      <c r="L2026" s="897" t="s">
        <v>97</v>
      </c>
      <c r="M2026" s="897" t="s">
        <v>98</v>
      </c>
      <c r="N2026" s="897" t="s">
        <v>99</v>
      </c>
      <c r="O2026" s="899"/>
    </row>
    <row r="2027" spans="8:15" ht="15.75" thickBot="1">
      <c r="H2027" s="896"/>
      <c r="I2027" s="898"/>
      <c r="J2027" s="898"/>
      <c r="K2027" s="898"/>
      <c r="L2027" s="898"/>
      <c r="M2027" s="898"/>
      <c r="N2027" s="240" t="s">
        <v>100</v>
      </c>
      <c r="O2027" s="182" t="s">
        <v>101</v>
      </c>
    </row>
    <row r="2028" spans="8:15">
      <c r="H2028" s="881">
        <v>222</v>
      </c>
      <c r="I2028" s="875">
        <v>42551</v>
      </c>
      <c r="J2028" s="877" t="s">
        <v>40</v>
      </c>
      <c r="K2028" s="879" t="s">
        <v>999</v>
      </c>
      <c r="L2028" s="881" t="s">
        <v>148</v>
      </c>
      <c r="M2028" s="883">
        <v>28000</v>
      </c>
      <c r="N2028" s="55">
        <v>719</v>
      </c>
      <c r="O2028" s="78">
        <v>20000</v>
      </c>
    </row>
    <row r="2029" spans="8:15" ht="15.75" thickBot="1">
      <c r="H2029" s="882"/>
      <c r="I2029" s="876"/>
      <c r="J2029" s="878"/>
      <c r="K2029" s="880"/>
      <c r="L2029" s="882"/>
      <c r="M2029" s="884"/>
      <c r="N2029" s="56">
        <v>721</v>
      </c>
      <c r="O2029" s="79">
        <f>+M2028-O2028</f>
        <v>8000</v>
      </c>
    </row>
    <row r="2030" spans="8:15" ht="15" customHeight="1">
      <c r="H2030" s="881">
        <v>223</v>
      </c>
      <c r="I2030" s="875">
        <v>42551</v>
      </c>
      <c r="J2030" s="877" t="s">
        <v>28</v>
      </c>
      <c r="K2030" s="879" t="s">
        <v>983</v>
      </c>
      <c r="L2030" s="881" t="s">
        <v>148</v>
      </c>
      <c r="M2030" s="883">
        <v>294000</v>
      </c>
      <c r="N2030" s="55">
        <v>719</v>
      </c>
      <c r="O2030" s="78">
        <v>210000</v>
      </c>
    </row>
    <row r="2031" spans="8:15" ht="15.75" customHeight="1" thickBot="1">
      <c r="H2031" s="882"/>
      <c r="I2031" s="876"/>
      <c r="J2031" s="878"/>
      <c r="K2031" s="880"/>
      <c r="L2031" s="882"/>
      <c r="M2031" s="884"/>
      <c r="N2031" s="56">
        <v>721</v>
      </c>
      <c r="O2031" s="79">
        <f>+M2030-O2030</f>
        <v>84000</v>
      </c>
    </row>
    <row r="2032" spans="8:15" ht="15" customHeight="1">
      <c r="H2032" s="881">
        <v>224</v>
      </c>
      <c r="I2032" s="875">
        <v>42551</v>
      </c>
      <c r="J2032" s="877" t="s">
        <v>111</v>
      </c>
      <c r="K2032" s="879" t="s">
        <v>1000</v>
      </c>
      <c r="L2032" s="881" t="s">
        <v>148</v>
      </c>
      <c r="M2032" s="883">
        <v>84000</v>
      </c>
      <c r="N2032" s="55">
        <v>719</v>
      </c>
      <c r="O2032" s="78">
        <v>60000</v>
      </c>
    </row>
    <row r="2033" spans="8:15" ht="15.75" customHeight="1" thickBot="1">
      <c r="H2033" s="882"/>
      <c r="I2033" s="876"/>
      <c r="J2033" s="878"/>
      <c r="K2033" s="880"/>
      <c r="L2033" s="882"/>
      <c r="M2033" s="884"/>
      <c r="N2033" s="56">
        <v>721</v>
      </c>
      <c r="O2033" s="79">
        <f>+M2032-O2032</f>
        <v>24000</v>
      </c>
    </row>
    <row r="2034" spans="8:15" ht="15" customHeight="1">
      <c r="H2034" s="881">
        <v>225</v>
      </c>
      <c r="I2034" s="875">
        <v>42551</v>
      </c>
      <c r="J2034" s="877" t="s">
        <v>272</v>
      </c>
      <c r="K2034" s="879" t="s">
        <v>983</v>
      </c>
      <c r="L2034" s="881" t="s">
        <v>148</v>
      </c>
      <c r="M2034" s="883">
        <v>672000</v>
      </c>
      <c r="N2034" s="55">
        <v>719</v>
      </c>
      <c r="O2034" s="78">
        <v>480000</v>
      </c>
    </row>
    <row r="2035" spans="8:15" ht="15.75" customHeight="1" thickBot="1">
      <c r="H2035" s="882"/>
      <c r="I2035" s="876"/>
      <c r="J2035" s="878"/>
      <c r="K2035" s="880"/>
      <c r="L2035" s="882"/>
      <c r="M2035" s="884"/>
      <c r="N2035" s="56">
        <v>721</v>
      </c>
      <c r="O2035" s="79">
        <f>+M2034-O2034</f>
        <v>192000</v>
      </c>
    </row>
    <row r="2036" spans="8:15" ht="14.25" customHeight="1">
      <c r="H2036" s="881"/>
      <c r="I2036" s="875"/>
      <c r="J2036" s="877"/>
      <c r="K2036" s="881"/>
      <c r="L2036" s="881"/>
      <c r="M2036" s="883"/>
      <c r="N2036" s="55">
        <v>719</v>
      </c>
      <c r="O2036" s="78"/>
    </row>
    <row r="2037" spans="8:15" ht="12.75" customHeight="1" thickBot="1">
      <c r="H2037" s="882"/>
      <c r="I2037" s="876"/>
      <c r="J2037" s="878"/>
      <c r="K2037" s="882"/>
      <c r="L2037" s="882"/>
      <c r="M2037" s="884"/>
      <c r="N2037" s="56">
        <v>721</v>
      </c>
      <c r="O2037" s="79">
        <f>+M2036-O2036</f>
        <v>0</v>
      </c>
    </row>
    <row r="2038" spans="8:15" ht="16.5" thickBot="1">
      <c r="H2038" s="901" t="s">
        <v>102</v>
      </c>
      <c r="I2038" s="902"/>
      <c r="J2038" s="902"/>
      <c r="K2038" s="902"/>
      <c r="L2038" s="903"/>
      <c r="M2038" s="81">
        <f>SUM(M2028:M2037)</f>
        <v>1078000</v>
      </c>
    </row>
    <row r="2039" spans="8:15" ht="16.5" thickBot="1">
      <c r="H2039" s="885" t="s">
        <v>103</v>
      </c>
      <c r="I2039" s="886"/>
      <c r="J2039" s="886"/>
      <c r="K2039" s="886"/>
      <c r="L2039" s="887"/>
      <c r="M2039" s="69">
        <f>+M2003</f>
        <v>84449622</v>
      </c>
      <c r="N2039" s="241" t="s">
        <v>561</v>
      </c>
      <c r="O2039" s="242">
        <f>22+571+21+917</f>
        <v>1531</v>
      </c>
    </row>
    <row r="2040" spans="8:15" ht="16.5" thickBot="1">
      <c r="H2040" s="888" t="s">
        <v>104</v>
      </c>
      <c r="I2040" s="889"/>
      <c r="J2040" s="889"/>
      <c r="K2040" s="889"/>
      <c r="L2040" s="890"/>
      <c r="M2040" s="183">
        <f>SUM(M2038:M2039)</f>
        <v>85527622</v>
      </c>
    </row>
    <row r="2041" spans="8:15">
      <c r="H2041" s="61"/>
      <c r="I2041" s="61"/>
      <c r="J2041" s="61"/>
      <c r="K2041" s="61"/>
      <c r="L2041" s="61"/>
    </row>
    <row r="2042" spans="8:15">
      <c r="H2042" s="51" t="s">
        <v>1006</v>
      </c>
    </row>
    <row r="2043" spans="8:15" ht="12.75" customHeight="1">
      <c r="M2043" s="139"/>
    </row>
    <row r="2044" spans="8:15">
      <c r="H2044" s="50" t="s">
        <v>105</v>
      </c>
      <c r="K2044" s="146"/>
      <c r="M2044" s="139"/>
    </row>
    <row r="2045" spans="8:15" ht="15.75" thickBot="1"/>
    <row r="2046" spans="8:15" ht="15.75" thickBot="1">
      <c r="H2046" s="891" t="s">
        <v>106</v>
      </c>
      <c r="I2046" s="892"/>
      <c r="J2046" s="892"/>
      <c r="K2046" s="893"/>
      <c r="M2046" s="50" t="s">
        <v>288</v>
      </c>
    </row>
    <row r="2047" spans="8:15" ht="30.75" thickBot="1">
      <c r="H2047" s="57" t="s">
        <v>100</v>
      </c>
      <c r="I2047" s="58" t="s">
        <v>108</v>
      </c>
      <c r="J2047" s="287" t="s">
        <v>109</v>
      </c>
      <c r="K2047" s="60" t="s">
        <v>110</v>
      </c>
    </row>
    <row r="2048" spans="8:15">
      <c r="H2048" s="71">
        <v>719</v>
      </c>
      <c r="I2048" s="73">
        <f>+O2028+O2030+O2032+O2034+O2036</f>
        <v>770000</v>
      </c>
      <c r="J2048" s="74">
        <f>+K2011</f>
        <v>18290000</v>
      </c>
      <c r="K2048" s="195">
        <f>+I2048+J2048</f>
        <v>19060000</v>
      </c>
    </row>
    <row r="2049" spans="8:15">
      <c r="H2049" s="72">
        <v>721</v>
      </c>
      <c r="I2049" s="80">
        <f>+O2029+O2031+O2033+O2035</f>
        <v>308000</v>
      </c>
      <c r="J2049" s="74">
        <f>+K2012</f>
        <v>83942059</v>
      </c>
      <c r="K2049" s="195">
        <f>+I2049+J2049</f>
        <v>84250059</v>
      </c>
    </row>
    <row r="2050" spans="8:15">
      <c r="H2050" s="72">
        <v>722</v>
      </c>
      <c r="I2050" s="80"/>
      <c r="J2050" s="74">
        <f>+K2013</f>
        <v>0</v>
      </c>
      <c r="K2050" s="195">
        <f>+I2050+J2050</f>
        <v>0</v>
      </c>
    </row>
    <row r="2051" spans="8:15" ht="15.75">
      <c r="H2051" s="72">
        <v>723</v>
      </c>
      <c r="I2051" s="80"/>
      <c r="J2051" s="74">
        <f>+K2014</f>
        <v>-17852437</v>
      </c>
      <c r="K2051" s="195">
        <f>+I2051+J2051</f>
        <v>-17852437</v>
      </c>
      <c r="M2051" s="193" t="s">
        <v>289</v>
      </c>
      <c r="N2051" s="175"/>
    </row>
    <row r="2052" spans="8:15" ht="16.5" thickBot="1">
      <c r="H2052" s="164" t="s">
        <v>181</v>
      </c>
      <c r="I2052" s="165"/>
      <c r="J2052" s="74">
        <f>+K2015</f>
        <v>0</v>
      </c>
      <c r="K2052" s="196">
        <f>+I2052+J2052</f>
        <v>0</v>
      </c>
      <c r="M2052" s="52"/>
    </row>
    <row r="2053" spans="8:15" ht="16.5" thickBot="1">
      <c r="H2053" s="169"/>
      <c r="I2053" s="197">
        <f>SUM(I2048:I2052)</f>
        <v>1078000</v>
      </c>
      <c r="J2053" s="197">
        <f>SUM(J2048:J2052)</f>
        <v>84379622</v>
      </c>
      <c r="K2053" s="198">
        <f>SUM(K2048:K2052)</f>
        <v>85457622</v>
      </c>
    </row>
    <row r="2054" spans="8:15" ht="16.5">
      <c r="H2054" s="49" t="s">
        <v>88</v>
      </c>
      <c r="I2054" s="50"/>
    </row>
    <row r="2055" spans="8:15">
      <c r="H2055" s="51" t="s">
        <v>89</v>
      </c>
    </row>
    <row r="2056" spans="8:15">
      <c r="H2056" s="51" t="s">
        <v>90</v>
      </c>
    </row>
    <row r="2057" spans="8:15">
      <c r="H2057" s="51" t="s">
        <v>91</v>
      </c>
    </row>
    <row r="2058" spans="8:15" ht="12.75" customHeight="1">
      <c r="H2058" s="50"/>
      <c r="I2058" s="50"/>
    </row>
    <row r="2059" spans="8:15" ht="15.75">
      <c r="H2059" s="260" t="s">
        <v>998</v>
      </c>
      <c r="N2059" s="52"/>
    </row>
    <row r="2060" spans="8:15" ht="15.75">
      <c r="H2060" s="53" t="s">
        <v>535</v>
      </c>
      <c r="N2060" s="53"/>
    </row>
    <row r="2061" spans="8:15" ht="16.5">
      <c r="H2061" s="894" t="s">
        <v>909</v>
      </c>
      <c r="I2061" s="894"/>
      <c r="J2061" s="894"/>
      <c r="K2061" s="894"/>
      <c r="L2061" s="894"/>
      <c r="M2061" s="894"/>
      <c r="N2061" s="894"/>
      <c r="O2061" s="894"/>
    </row>
    <row r="2062" spans="8:15" ht="15.75" thickBot="1"/>
    <row r="2063" spans="8:15">
      <c r="H2063" s="895" t="s">
        <v>94</v>
      </c>
      <c r="I2063" s="897" t="s">
        <v>95</v>
      </c>
      <c r="J2063" s="897" t="s">
        <v>96</v>
      </c>
      <c r="K2063" s="897" t="s">
        <v>3</v>
      </c>
      <c r="L2063" s="897" t="s">
        <v>97</v>
      </c>
      <c r="M2063" s="897" t="s">
        <v>98</v>
      </c>
      <c r="N2063" s="897" t="s">
        <v>99</v>
      </c>
      <c r="O2063" s="899"/>
    </row>
    <row r="2064" spans="8:15" ht="15.75" thickBot="1">
      <c r="H2064" s="896"/>
      <c r="I2064" s="898"/>
      <c r="J2064" s="898"/>
      <c r="K2064" s="898"/>
      <c r="L2064" s="898"/>
      <c r="M2064" s="898"/>
      <c r="N2064" s="240" t="s">
        <v>100</v>
      </c>
      <c r="O2064" s="182" t="s">
        <v>101</v>
      </c>
    </row>
    <row r="2065" spans="8:15" ht="15" customHeight="1">
      <c r="H2065" s="881">
        <v>226</v>
      </c>
      <c r="I2065" s="875">
        <v>42551</v>
      </c>
      <c r="J2065" s="877" t="s">
        <v>40</v>
      </c>
      <c r="K2065" s="879" t="s">
        <v>1001</v>
      </c>
      <c r="L2065" s="881" t="s">
        <v>148</v>
      </c>
      <c r="M2065" s="883">
        <v>140000</v>
      </c>
      <c r="N2065" s="55">
        <v>719</v>
      </c>
      <c r="O2065" s="78">
        <v>100000</v>
      </c>
    </row>
    <row r="2066" spans="8:15" ht="15.75" customHeight="1" thickBot="1">
      <c r="H2066" s="882"/>
      <c r="I2066" s="876"/>
      <c r="J2066" s="878"/>
      <c r="K2066" s="880"/>
      <c r="L2066" s="882"/>
      <c r="M2066" s="884"/>
      <c r="N2066" s="56">
        <v>721</v>
      </c>
      <c r="O2066" s="79">
        <f>+M2065-O2065</f>
        <v>40000</v>
      </c>
    </row>
    <row r="2067" spans="8:15" ht="15" customHeight="1">
      <c r="H2067" s="881">
        <v>227</v>
      </c>
      <c r="I2067" s="875">
        <v>42551</v>
      </c>
      <c r="J2067" s="877" t="s">
        <v>28</v>
      </c>
      <c r="K2067" s="879" t="s">
        <v>1002</v>
      </c>
      <c r="L2067" s="881" t="s">
        <v>148</v>
      </c>
      <c r="M2067" s="883">
        <v>966000</v>
      </c>
      <c r="N2067" s="55">
        <v>719</v>
      </c>
      <c r="O2067" s="78">
        <v>690000</v>
      </c>
    </row>
    <row r="2068" spans="8:15" ht="15.75" customHeight="1" thickBot="1">
      <c r="H2068" s="882"/>
      <c r="I2068" s="876"/>
      <c r="J2068" s="878"/>
      <c r="K2068" s="880"/>
      <c r="L2068" s="882"/>
      <c r="M2068" s="884"/>
      <c r="N2068" s="56">
        <v>721</v>
      </c>
      <c r="O2068" s="79">
        <f>+M2067-O2067</f>
        <v>276000</v>
      </c>
    </row>
    <row r="2069" spans="8:15" ht="15" customHeight="1">
      <c r="H2069" s="881">
        <v>228</v>
      </c>
      <c r="I2069" s="875">
        <v>42551</v>
      </c>
      <c r="J2069" s="877" t="s">
        <v>111</v>
      </c>
      <c r="K2069" s="879" t="s">
        <v>1003</v>
      </c>
      <c r="L2069" s="881" t="s">
        <v>148</v>
      </c>
      <c r="M2069" s="883">
        <v>252000</v>
      </c>
      <c r="N2069" s="55">
        <v>719</v>
      </c>
      <c r="O2069" s="78">
        <v>180000</v>
      </c>
    </row>
    <row r="2070" spans="8:15" ht="15.75" customHeight="1" thickBot="1">
      <c r="H2070" s="882"/>
      <c r="I2070" s="876"/>
      <c r="J2070" s="878"/>
      <c r="K2070" s="880"/>
      <c r="L2070" s="882"/>
      <c r="M2070" s="884"/>
      <c r="N2070" s="56">
        <v>721</v>
      </c>
      <c r="O2070" s="79">
        <f>+M2069-O2069</f>
        <v>72000</v>
      </c>
    </row>
    <row r="2071" spans="8:15" ht="15" customHeight="1">
      <c r="H2071" s="881">
        <v>229</v>
      </c>
      <c r="I2071" s="875">
        <v>42551</v>
      </c>
      <c r="J2071" s="877" t="s">
        <v>272</v>
      </c>
      <c r="K2071" s="879" t="s">
        <v>1004</v>
      </c>
      <c r="L2071" s="881" t="s">
        <v>148</v>
      </c>
      <c r="M2071" s="883">
        <v>1946000</v>
      </c>
      <c r="N2071" s="55">
        <v>719</v>
      </c>
      <c r="O2071" s="78">
        <v>1390000</v>
      </c>
    </row>
    <row r="2072" spans="8:15" ht="15.75" customHeight="1" thickBot="1">
      <c r="H2072" s="882"/>
      <c r="I2072" s="876"/>
      <c r="J2072" s="878"/>
      <c r="K2072" s="880"/>
      <c r="L2072" s="882"/>
      <c r="M2072" s="884"/>
      <c r="N2072" s="56">
        <v>721</v>
      </c>
      <c r="O2072" s="79">
        <f>+M2071-O2071</f>
        <v>556000</v>
      </c>
    </row>
    <row r="2073" spans="8:15">
      <c r="H2073" s="881"/>
      <c r="I2073" s="875"/>
      <c r="J2073" s="877"/>
      <c r="K2073" s="881"/>
      <c r="L2073" s="881"/>
      <c r="M2073" s="883"/>
      <c r="N2073" s="55">
        <v>719</v>
      </c>
      <c r="O2073" s="78"/>
    </row>
    <row r="2074" spans="8:15" ht="12" customHeight="1" thickBot="1">
      <c r="H2074" s="882"/>
      <c r="I2074" s="876"/>
      <c r="J2074" s="878"/>
      <c r="K2074" s="882"/>
      <c r="L2074" s="882"/>
      <c r="M2074" s="884"/>
      <c r="N2074" s="56">
        <v>721</v>
      </c>
      <c r="O2074" s="79">
        <f>+M2073-O2073</f>
        <v>0</v>
      </c>
    </row>
    <row r="2075" spans="8:15" ht="16.5" thickBot="1">
      <c r="H2075" s="901" t="s">
        <v>102</v>
      </c>
      <c r="I2075" s="902"/>
      <c r="J2075" s="902"/>
      <c r="K2075" s="902"/>
      <c r="L2075" s="903"/>
      <c r="M2075" s="81">
        <f>SUM(M2065:M2074)</f>
        <v>3304000</v>
      </c>
    </row>
    <row r="2076" spans="8:15" ht="16.5" thickBot="1">
      <c r="H2076" s="885" t="s">
        <v>103</v>
      </c>
      <c r="I2076" s="886"/>
      <c r="J2076" s="886"/>
      <c r="K2076" s="886"/>
      <c r="L2076" s="887"/>
      <c r="M2076" s="69">
        <f>+M2040</f>
        <v>85527622</v>
      </c>
      <c r="N2076" s="241" t="s">
        <v>561</v>
      </c>
      <c r="O2076" s="242">
        <f>89+1849+70+3374</f>
        <v>5382</v>
      </c>
    </row>
    <row r="2077" spans="8:15" ht="16.5" thickBot="1">
      <c r="H2077" s="888" t="s">
        <v>104</v>
      </c>
      <c r="I2077" s="889"/>
      <c r="J2077" s="889"/>
      <c r="K2077" s="889"/>
      <c r="L2077" s="890"/>
      <c r="M2077" s="183">
        <f>SUM(M2075:M2076)</f>
        <v>88831622</v>
      </c>
    </row>
    <row r="2078" spans="8:15">
      <c r="H2078" s="61"/>
      <c r="I2078" s="61"/>
      <c r="J2078" s="61"/>
      <c r="K2078" s="61"/>
      <c r="L2078" s="61"/>
    </row>
    <row r="2079" spans="8:15">
      <c r="H2079" s="51" t="s">
        <v>1005</v>
      </c>
    </row>
    <row r="2080" spans="8:15" ht="12.75" customHeight="1">
      <c r="M2080" s="139"/>
    </row>
    <row r="2081" spans="8:14">
      <c r="H2081" s="50" t="s">
        <v>105</v>
      </c>
      <c r="K2081" s="146"/>
      <c r="M2081" s="139"/>
    </row>
    <row r="2082" spans="8:14" ht="15.75" thickBot="1"/>
    <row r="2083" spans="8:14" ht="15.75" thickBot="1">
      <c r="H2083" s="891" t="s">
        <v>106</v>
      </c>
      <c r="I2083" s="892"/>
      <c r="J2083" s="892"/>
      <c r="K2083" s="893"/>
      <c r="M2083" s="50" t="s">
        <v>288</v>
      </c>
    </row>
    <row r="2084" spans="8:14" ht="30.75" thickBot="1">
      <c r="H2084" s="57" t="s">
        <v>100</v>
      </c>
      <c r="I2084" s="58" t="s">
        <v>108</v>
      </c>
      <c r="J2084" s="287" t="s">
        <v>109</v>
      </c>
      <c r="K2084" s="60" t="s">
        <v>110</v>
      </c>
    </row>
    <row r="2085" spans="8:14">
      <c r="H2085" s="71">
        <v>719</v>
      </c>
      <c r="I2085" s="73">
        <f>+O2065+O2067+O2069+O2071+O2073</f>
        <v>2360000</v>
      </c>
      <c r="J2085" s="74">
        <f>+K2048</f>
        <v>19060000</v>
      </c>
      <c r="K2085" s="195">
        <f>+I2085+J2085</f>
        <v>21420000</v>
      </c>
    </row>
    <row r="2086" spans="8:14">
      <c r="H2086" s="72">
        <v>721</v>
      </c>
      <c r="I2086" s="80">
        <f>+O2066+O2068+O2070+O2072</f>
        <v>944000</v>
      </c>
      <c r="J2086" s="74">
        <f>+K2049</f>
        <v>84250059</v>
      </c>
      <c r="K2086" s="195">
        <f>+I2086+J2086</f>
        <v>85194059</v>
      </c>
    </row>
    <row r="2087" spans="8:14">
      <c r="H2087" s="72">
        <v>722</v>
      </c>
      <c r="I2087" s="80"/>
      <c r="J2087" s="74">
        <f>+K2050</f>
        <v>0</v>
      </c>
      <c r="K2087" s="195">
        <f>+I2087+J2087</f>
        <v>0</v>
      </c>
    </row>
    <row r="2088" spans="8:14" ht="15.75">
      <c r="H2088" s="72">
        <v>723</v>
      </c>
      <c r="I2088" s="80"/>
      <c r="J2088" s="74">
        <f>+K2051</f>
        <v>-17852437</v>
      </c>
      <c r="K2088" s="195">
        <f>+I2088+J2088</f>
        <v>-17852437</v>
      </c>
      <c r="M2088" s="193" t="s">
        <v>289</v>
      </c>
      <c r="N2088" s="175"/>
    </row>
    <row r="2089" spans="8:14" ht="16.5" thickBot="1">
      <c r="H2089" s="164" t="s">
        <v>181</v>
      </c>
      <c r="I2089" s="165"/>
      <c r="J2089" s="74">
        <f>+K2052</f>
        <v>0</v>
      </c>
      <c r="K2089" s="196">
        <f>+I2089+J2089</f>
        <v>0</v>
      </c>
      <c r="M2089" s="52"/>
    </row>
    <row r="2090" spans="8:14" ht="16.5" thickBot="1">
      <c r="H2090" s="169"/>
      <c r="I2090" s="197">
        <f>SUM(I2085:I2089)</f>
        <v>3304000</v>
      </c>
      <c r="J2090" s="197">
        <f>SUM(J2085:J2089)</f>
        <v>85457622</v>
      </c>
      <c r="K2090" s="198">
        <f>SUM(K2085:K2089)</f>
        <v>88761622</v>
      </c>
    </row>
    <row r="2091" spans="8:14" ht="16.5">
      <c r="H2091" s="49" t="s">
        <v>88</v>
      </c>
      <c r="I2091" s="50"/>
    </row>
    <row r="2092" spans="8:14">
      <c r="H2092" s="51" t="s">
        <v>89</v>
      </c>
    </row>
    <row r="2093" spans="8:14">
      <c r="H2093" s="51" t="s">
        <v>90</v>
      </c>
    </row>
    <row r="2094" spans="8:14">
      <c r="H2094" s="51" t="s">
        <v>91</v>
      </c>
    </row>
    <row r="2095" spans="8:14" ht="12.75" customHeight="1">
      <c r="H2095" s="50"/>
      <c r="I2095" s="50"/>
    </row>
    <row r="2096" spans="8:14" ht="15.75">
      <c r="H2096" s="260" t="s">
        <v>1007</v>
      </c>
      <c r="N2096" s="52"/>
    </row>
    <row r="2097" spans="8:15" ht="15.75">
      <c r="H2097" s="53" t="s">
        <v>535</v>
      </c>
      <c r="N2097" s="53"/>
    </row>
    <row r="2098" spans="8:15" ht="16.5">
      <c r="H2098" s="894" t="s">
        <v>1011</v>
      </c>
      <c r="I2098" s="894"/>
      <c r="J2098" s="894"/>
      <c r="K2098" s="894"/>
      <c r="L2098" s="894"/>
      <c r="M2098" s="894"/>
      <c r="N2098" s="894"/>
      <c r="O2098" s="894"/>
    </row>
    <row r="2099" spans="8:15" ht="15.75" thickBot="1"/>
    <row r="2100" spans="8:15">
      <c r="H2100" s="895" t="s">
        <v>94</v>
      </c>
      <c r="I2100" s="897" t="s">
        <v>95</v>
      </c>
      <c r="J2100" s="897" t="s">
        <v>96</v>
      </c>
      <c r="K2100" s="897" t="s">
        <v>3</v>
      </c>
      <c r="L2100" s="897" t="s">
        <v>97</v>
      </c>
      <c r="M2100" s="897" t="s">
        <v>98</v>
      </c>
      <c r="N2100" s="897" t="s">
        <v>99</v>
      </c>
      <c r="O2100" s="899"/>
    </row>
    <row r="2101" spans="8:15" ht="15.75" thickBot="1">
      <c r="H2101" s="896"/>
      <c r="I2101" s="898"/>
      <c r="J2101" s="898"/>
      <c r="K2101" s="898"/>
      <c r="L2101" s="898"/>
      <c r="M2101" s="898"/>
      <c r="N2101" s="240" t="s">
        <v>100</v>
      </c>
      <c r="O2101" s="182" t="s">
        <v>101</v>
      </c>
    </row>
    <row r="2102" spans="8:15">
      <c r="H2102" s="881">
        <v>230</v>
      </c>
      <c r="I2102" s="875">
        <v>42551</v>
      </c>
      <c r="J2102" s="877" t="s">
        <v>1008</v>
      </c>
      <c r="K2102" s="879" t="s">
        <v>1010</v>
      </c>
      <c r="L2102" s="881" t="s">
        <v>145</v>
      </c>
      <c r="M2102" s="883">
        <v>100000</v>
      </c>
      <c r="N2102" s="55">
        <v>719</v>
      </c>
      <c r="O2102" s="78">
        <v>0</v>
      </c>
    </row>
    <row r="2103" spans="8:15" ht="15.75" thickBot="1">
      <c r="H2103" s="882"/>
      <c r="I2103" s="876"/>
      <c r="J2103" s="878"/>
      <c r="K2103" s="880"/>
      <c r="L2103" s="882"/>
      <c r="M2103" s="884"/>
      <c r="N2103" s="56">
        <v>721</v>
      </c>
      <c r="O2103" s="79">
        <v>100000</v>
      </c>
    </row>
    <row r="2104" spans="8:15" ht="15" customHeight="1">
      <c r="H2104" s="881">
        <v>231</v>
      </c>
      <c r="I2104" s="875">
        <v>42551</v>
      </c>
      <c r="J2104" s="877" t="s">
        <v>1009</v>
      </c>
      <c r="K2104" s="879" t="s">
        <v>1010</v>
      </c>
      <c r="L2104" s="881" t="s">
        <v>145</v>
      </c>
      <c r="M2104" s="883">
        <v>100000</v>
      </c>
      <c r="N2104" s="55">
        <v>719</v>
      </c>
      <c r="O2104" s="78">
        <v>0</v>
      </c>
    </row>
    <row r="2105" spans="8:15" ht="15.75" customHeight="1" thickBot="1">
      <c r="H2105" s="882"/>
      <c r="I2105" s="876"/>
      <c r="J2105" s="878"/>
      <c r="K2105" s="880"/>
      <c r="L2105" s="882"/>
      <c r="M2105" s="884"/>
      <c r="N2105" s="56">
        <v>721</v>
      </c>
      <c r="O2105" s="79">
        <v>100000</v>
      </c>
    </row>
    <row r="2106" spans="8:15">
      <c r="H2106" s="881"/>
      <c r="I2106" s="875"/>
      <c r="J2106" s="877"/>
      <c r="K2106" s="879"/>
      <c r="L2106" s="881"/>
      <c r="M2106" s="883"/>
      <c r="N2106" s="55">
        <v>719</v>
      </c>
      <c r="O2106" s="78">
        <v>0</v>
      </c>
    </row>
    <row r="2107" spans="8:15" ht="14.25" customHeight="1" thickBot="1">
      <c r="H2107" s="882"/>
      <c r="I2107" s="876"/>
      <c r="J2107" s="878"/>
      <c r="K2107" s="880"/>
      <c r="L2107" s="882"/>
      <c r="M2107" s="884"/>
      <c r="N2107" s="56">
        <v>721</v>
      </c>
      <c r="O2107" s="79">
        <f>+M2106-O2106</f>
        <v>0</v>
      </c>
    </row>
    <row r="2108" spans="8:15" ht="15" customHeight="1">
      <c r="H2108" s="881"/>
      <c r="I2108" s="875"/>
      <c r="J2108" s="877"/>
      <c r="K2108" s="879"/>
      <c r="L2108" s="881"/>
      <c r="M2108" s="883"/>
      <c r="N2108" s="55">
        <v>719</v>
      </c>
      <c r="O2108" s="78">
        <v>0</v>
      </c>
    </row>
    <row r="2109" spans="8:15" ht="15.75" customHeight="1" thickBot="1">
      <c r="H2109" s="882"/>
      <c r="I2109" s="876"/>
      <c r="J2109" s="878"/>
      <c r="K2109" s="880"/>
      <c r="L2109" s="882"/>
      <c r="M2109" s="884"/>
      <c r="N2109" s="56">
        <v>721</v>
      </c>
      <c r="O2109" s="79">
        <f>+M2108-O2108</f>
        <v>0</v>
      </c>
    </row>
    <row r="2110" spans="8:15" ht="10.5" customHeight="1">
      <c r="H2110" s="881"/>
      <c r="I2110" s="875"/>
      <c r="J2110" s="877"/>
      <c r="K2110" s="881"/>
      <c r="L2110" s="881"/>
      <c r="M2110" s="883"/>
      <c r="N2110" s="55">
        <v>719</v>
      </c>
      <c r="O2110" s="78"/>
    </row>
    <row r="2111" spans="8:15" ht="14.25" customHeight="1" thickBot="1">
      <c r="H2111" s="882"/>
      <c r="I2111" s="876"/>
      <c r="J2111" s="878"/>
      <c r="K2111" s="882"/>
      <c r="L2111" s="882"/>
      <c r="M2111" s="884"/>
      <c r="N2111" s="56">
        <v>721</v>
      </c>
      <c r="O2111" s="79">
        <f>+M2110-O2110</f>
        <v>0</v>
      </c>
    </row>
    <row r="2112" spans="8:15" ht="16.5" customHeight="1" thickBot="1">
      <c r="H2112" s="901" t="s">
        <v>102</v>
      </c>
      <c r="I2112" s="902"/>
      <c r="J2112" s="902"/>
      <c r="K2112" s="902"/>
      <c r="L2112" s="903"/>
      <c r="M2112" s="81">
        <f>SUM(M2102:M2111)</f>
        <v>200000</v>
      </c>
    </row>
    <row r="2113" spans="8:15" ht="16.5" customHeight="1" thickBot="1">
      <c r="H2113" s="885" t="s">
        <v>103</v>
      </c>
      <c r="I2113" s="886"/>
      <c r="J2113" s="886"/>
      <c r="K2113" s="886"/>
      <c r="L2113" s="887"/>
      <c r="M2113" s="69">
        <f>+M2077</f>
        <v>88831622</v>
      </c>
      <c r="N2113" s="241" t="s">
        <v>561</v>
      </c>
      <c r="O2113" s="242"/>
    </row>
    <row r="2114" spans="8:15" ht="16.5" customHeight="1" thickBot="1">
      <c r="H2114" s="888" t="s">
        <v>104</v>
      </c>
      <c r="I2114" s="889"/>
      <c r="J2114" s="889"/>
      <c r="K2114" s="889"/>
      <c r="L2114" s="890"/>
      <c r="M2114" s="183">
        <f>SUM(M2112:M2113)</f>
        <v>89031622</v>
      </c>
    </row>
    <row r="2115" spans="8:15" ht="15.75" customHeight="1">
      <c r="H2115" s="61"/>
      <c r="I2115" s="61"/>
      <c r="J2115" s="61"/>
      <c r="K2115" s="61"/>
      <c r="L2115" s="61"/>
    </row>
    <row r="2116" spans="8:15" ht="15" customHeight="1">
      <c r="H2116" s="51" t="s">
        <v>1012</v>
      </c>
    </row>
    <row r="2117" spans="8:15" ht="14.25" customHeight="1">
      <c r="M2117" s="139"/>
    </row>
    <row r="2118" spans="8:15">
      <c r="H2118" s="50" t="s">
        <v>105</v>
      </c>
      <c r="K2118" s="146"/>
      <c r="M2118" s="139"/>
    </row>
    <row r="2119" spans="8:15" ht="14.25" customHeight="1" thickBot="1"/>
    <row r="2120" spans="8:15" ht="15.75" thickBot="1">
      <c r="H2120" s="891" t="s">
        <v>106</v>
      </c>
      <c r="I2120" s="892"/>
      <c r="J2120" s="892"/>
      <c r="K2120" s="893"/>
      <c r="M2120" s="50" t="s">
        <v>288</v>
      </c>
    </row>
    <row r="2121" spans="8:15" ht="30.75" thickBot="1">
      <c r="H2121" s="57" t="s">
        <v>100</v>
      </c>
      <c r="I2121" s="58" t="s">
        <v>108</v>
      </c>
      <c r="J2121" s="287" t="s">
        <v>109</v>
      </c>
      <c r="K2121" s="60" t="s">
        <v>110</v>
      </c>
    </row>
    <row r="2122" spans="8:15">
      <c r="H2122" s="71">
        <v>719</v>
      </c>
      <c r="I2122" s="73">
        <f>+O2102+O2104+O2106+O2108+O2110</f>
        <v>0</v>
      </c>
      <c r="J2122" s="74">
        <f>+K2085</f>
        <v>21420000</v>
      </c>
      <c r="K2122" s="195">
        <f>+I2122+J2122</f>
        <v>21420000</v>
      </c>
    </row>
    <row r="2123" spans="8:15">
      <c r="H2123" s="72">
        <v>721</v>
      </c>
      <c r="I2123" s="80">
        <f>+O2103+O2105+O2107+O2109</f>
        <v>200000</v>
      </c>
      <c r="J2123" s="74">
        <f>+K2086</f>
        <v>85194059</v>
      </c>
      <c r="K2123" s="195">
        <f>+I2123+J2123</f>
        <v>85394059</v>
      </c>
    </row>
    <row r="2124" spans="8:15">
      <c r="H2124" s="72">
        <v>722</v>
      </c>
      <c r="I2124" s="80"/>
      <c r="J2124" s="74">
        <f>+K2087</f>
        <v>0</v>
      </c>
      <c r="K2124" s="195">
        <f>+I2124+J2124</f>
        <v>0</v>
      </c>
    </row>
    <row r="2125" spans="8:15" ht="15.75">
      <c r="H2125" s="72">
        <v>723</v>
      </c>
      <c r="I2125" s="80"/>
      <c r="J2125" s="74">
        <f>+K2088</f>
        <v>-17852437</v>
      </c>
      <c r="K2125" s="195">
        <f>+I2125+J2125</f>
        <v>-17852437</v>
      </c>
      <c r="M2125" s="193" t="s">
        <v>289</v>
      </c>
      <c r="N2125" s="175"/>
    </row>
    <row r="2126" spans="8:15" ht="16.5" thickBot="1">
      <c r="H2126" s="164" t="s">
        <v>181</v>
      </c>
      <c r="I2126" s="165"/>
      <c r="J2126" s="74">
        <f>+K2089</f>
        <v>0</v>
      </c>
      <c r="K2126" s="196">
        <f>+I2126+J2126</f>
        <v>0</v>
      </c>
      <c r="M2126" s="52"/>
    </row>
    <row r="2127" spans="8:15" ht="16.5" thickBot="1">
      <c r="H2127" s="169"/>
      <c r="I2127" s="197">
        <f>SUM(I2122:I2126)</f>
        <v>200000</v>
      </c>
      <c r="J2127" s="197">
        <f>SUM(J2122:J2126)</f>
        <v>88761622</v>
      </c>
      <c r="K2127" s="198">
        <f>SUM(K2122:K2126)</f>
        <v>88961622</v>
      </c>
    </row>
    <row r="2128" spans="8:15" ht="16.5">
      <c r="H2128" s="49" t="s">
        <v>88</v>
      </c>
      <c r="I2128" s="50"/>
    </row>
    <row r="2129" spans="8:17">
      <c r="H2129" s="51" t="s">
        <v>89</v>
      </c>
    </row>
    <row r="2130" spans="8:17">
      <c r="H2130" s="51" t="s">
        <v>90</v>
      </c>
    </row>
    <row r="2131" spans="8:17">
      <c r="H2131" s="51" t="s">
        <v>91</v>
      </c>
    </row>
    <row r="2132" spans="8:17">
      <c r="H2132" s="50"/>
      <c r="I2132" s="50"/>
    </row>
    <row r="2133" spans="8:17" ht="15.75">
      <c r="H2133" s="260" t="s">
        <v>1013</v>
      </c>
      <c r="N2133" s="52"/>
    </row>
    <row r="2134" spans="8:17" ht="15.75">
      <c r="H2134" s="53" t="s">
        <v>535</v>
      </c>
      <c r="N2134" s="53"/>
    </row>
    <row r="2135" spans="8:17" ht="16.5">
      <c r="H2135" s="894" t="s">
        <v>1011</v>
      </c>
      <c r="I2135" s="894"/>
      <c r="J2135" s="894"/>
      <c r="K2135" s="894"/>
      <c r="L2135" s="894"/>
      <c r="M2135" s="894"/>
      <c r="N2135" s="894"/>
      <c r="O2135" s="894"/>
    </row>
    <row r="2136" spans="8:17" ht="15.75" thickBot="1"/>
    <row r="2137" spans="8:17">
      <c r="H2137" s="895" t="s">
        <v>94</v>
      </c>
      <c r="I2137" s="897" t="s">
        <v>95</v>
      </c>
      <c r="J2137" s="897" t="s">
        <v>96</v>
      </c>
      <c r="K2137" s="897" t="s">
        <v>3</v>
      </c>
      <c r="L2137" s="897" t="s">
        <v>97</v>
      </c>
      <c r="M2137" s="897" t="s">
        <v>98</v>
      </c>
      <c r="N2137" s="897" t="s">
        <v>99</v>
      </c>
      <c r="O2137" s="899"/>
    </row>
    <row r="2138" spans="8:17" ht="15.75" thickBot="1">
      <c r="H2138" s="896"/>
      <c r="I2138" s="898"/>
      <c r="J2138" s="898"/>
      <c r="K2138" s="898"/>
      <c r="L2138" s="898"/>
      <c r="M2138" s="898"/>
      <c r="N2138" s="240" t="s">
        <v>100</v>
      </c>
      <c r="O2138" s="182" t="s">
        <v>101</v>
      </c>
      <c r="Q2138" s="51" t="s">
        <v>631</v>
      </c>
    </row>
    <row r="2139" spans="8:17">
      <c r="H2139" s="881">
        <v>232</v>
      </c>
      <c r="I2139" s="875">
        <v>42556</v>
      </c>
      <c r="J2139" s="877" t="s">
        <v>1014</v>
      </c>
      <c r="K2139" s="879" t="s">
        <v>1010</v>
      </c>
      <c r="L2139" s="881" t="s">
        <v>115</v>
      </c>
      <c r="M2139" s="883">
        <v>50000</v>
      </c>
      <c r="N2139" s="55">
        <v>719</v>
      </c>
      <c r="O2139" s="78">
        <v>50000</v>
      </c>
    </row>
    <row r="2140" spans="8:17" ht="15.75" thickBot="1">
      <c r="H2140" s="882"/>
      <c r="I2140" s="876"/>
      <c r="J2140" s="878"/>
      <c r="K2140" s="880"/>
      <c r="L2140" s="882"/>
      <c r="M2140" s="884"/>
      <c r="N2140" s="56">
        <v>721</v>
      </c>
      <c r="O2140" s="79"/>
    </row>
    <row r="2141" spans="8:17">
      <c r="H2141" s="881">
        <v>233</v>
      </c>
      <c r="I2141" s="875">
        <v>42556</v>
      </c>
      <c r="J2141" s="877" t="s">
        <v>120</v>
      </c>
      <c r="K2141" s="879" t="s">
        <v>1015</v>
      </c>
      <c r="L2141" s="881" t="s">
        <v>115</v>
      </c>
      <c r="M2141" s="883">
        <v>10000</v>
      </c>
      <c r="N2141" s="55">
        <v>719</v>
      </c>
      <c r="O2141" s="78">
        <v>10000</v>
      </c>
    </row>
    <row r="2142" spans="8:17" ht="15.75" thickBot="1">
      <c r="H2142" s="882"/>
      <c r="I2142" s="876"/>
      <c r="J2142" s="878"/>
      <c r="K2142" s="880"/>
      <c r="L2142" s="882"/>
      <c r="M2142" s="884"/>
      <c r="N2142" s="56">
        <v>721</v>
      </c>
      <c r="O2142" s="79"/>
    </row>
    <row r="2143" spans="8:17">
      <c r="H2143" s="881"/>
      <c r="I2143" s="875"/>
      <c r="J2143" s="877"/>
      <c r="K2143" s="879"/>
      <c r="L2143" s="881"/>
      <c r="M2143" s="883"/>
      <c r="N2143" s="55">
        <v>719</v>
      </c>
      <c r="O2143" s="78">
        <v>0</v>
      </c>
    </row>
    <row r="2144" spans="8:17" ht="12.75" customHeight="1" thickBot="1">
      <c r="H2144" s="882"/>
      <c r="I2144" s="876"/>
      <c r="J2144" s="878"/>
      <c r="K2144" s="880"/>
      <c r="L2144" s="882"/>
      <c r="M2144" s="884"/>
      <c r="N2144" s="56">
        <v>721</v>
      </c>
      <c r="O2144" s="79">
        <f>+M2143-O2143</f>
        <v>0</v>
      </c>
    </row>
    <row r="2145" spans="8:15">
      <c r="H2145" s="881"/>
      <c r="I2145" s="875"/>
      <c r="J2145" s="877"/>
      <c r="K2145" s="879"/>
      <c r="L2145" s="881"/>
      <c r="M2145" s="883"/>
      <c r="N2145" s="55">
        <v>719</v>
      </c>
      <c r="O2145" s="78">
        <v>0</v>
      </c>
    </row>
    <row r="2146" spans="8:15" ht="12.75" customHeight="1" thickBot="1">
      <c r="H2146" s="882"/>
      <c r="I2146" s="876"/>
      <c r="J2146" s="878"/>
      <c r="K2146" s="880"/>
      <c r="L2146" s="882"/>
      <c r="M2146" s="884"/>
      <c r="N2146" s="56">
        <v>721</v>
      </c>
      <c r="O2146" s="79">
        <f>+M2145-O2145</f>
        <v>0</v>
      </c>
    </row>
    <row r="2147" spans="8:15">
      <c r="H2147" s="881"/>
      <c r="I2147" s="875"/>
      <c r="J2147" s="877"/>
      <c r="K2147" s="881"/>
      <c r="L2147" s="881"/>
      <c r="M2147" s="883"/>
      <c r="N2147" s="55">
        <v>719</v>
      </c>
      <c r="O2147" s="78"/>
    </row>
    <row r="2148" spans="8:15" ht="12.75" customHeight="1" thickBot="1">
      <c r="H2148" s="882"/>
      <c r="I2148" s="876"/>
      <c r="J2148" s="878"/>
      <c r="K2148" s="882"/>
      <c r="L2148" s="882"/>
      <c r="M2148" s="884"/>
      <c r="N2148" s="56">
        <v>721</v>
      </c>
      <c r="O2148" s="79">
        <f>+M2147-O2147</f>
        <v>0</v>
      </c>
    </row>
    <row r="2149" spans="8:15" ht="16.5" thickBot="1">
      <c r="H2149" s="901" t="s">
        <v>102</v>
      </c>
      <c r="I2149" s="902"/>
      <c r="J2149" s="902"/>
      <c r="K2149" s="902"/>
      <c r="L2149" s="903"/>
      <c r="M2149" s="81">
        <f>SUM(M2139:M2148)</f>
        <v>60000</v>
      </c>
    </row>
    <row r="2150" spans="8:15" ht="16.5" thickBot="1">
      <c r="H2150" s="885" t="s">
        <v>103</v>
      </c>
      <c r="I2150" s="886"/>
      <c r="J2150" s="886"/>
      <c r="K2150" s="886"/>
      <c r="L2150" s="887"/>
      <c r="M2150" s="69">
        <f>+M2114</f>
        <v>89031622</v>
      </c>
      <c r="N2150" s="241" t="s">
        <v>561</v>
      </c>
      <c r="O2150" s="242">
        <v>161</v>
      </c>
    </row>
    <row r="2151" spans="8:15" ht="16.5" thickBot="1">
      <c r="H2151" s="888" t="s">
        <v>104</v>
      </c>
      <c r="I2151" s="889"/>
      <c r="J2151" s="889"/>
      <c r="K2151" s="889"/>
      <c r="L2151" s="890"/>
      <c r="M2151" s="183">
        <f>SUM(M2149:M2150)</f>
        <v>89091622</v>
      </c>
    </row>
    <row r="2152" spans="8:15">
      <c r="H2152" s="61"/>
      <c r="I2152" s="61"/>
      <c r="J2152" s="61"/>
      <c r="K2152" s="61"/>
      <c r="L2152" s="61"/>
    </row>
    <row r="2153" spans="8:15">
      <c r="H2153" s="51" t="s">
        <v>1016</v>
      </c>
    </row>
    <row r="2154" spans="8:15">
      <c r="M2154" s="139"/>
    </row>
    <row r="2155" spans="8:15">
      <c r="H2155" s="50" t="s">
        <v>105</v>
      </c>
      <c r="K2155" s="146"/>
      <c r="M2155" s="139"/>
    </row>
    <row r="2156" spans="8:15" ht="15.75" thickBot="1"/>
    <row r="2157" spans="8:15" ht="15.75" thickBot="1">
      <c r="H2157" s="891" t="s">
        <v>106</v>
      </c>
      <c r="I2157" s="892"/>
      <c r="J2157" s="892"/>
      <c r="K2157" s="893"/>
      <c r="M2157" s="50" t="s">
        <v>288</v>
      </c>
    </row>
    <row r="2158" spans="8:15" ht="30.75" thickBot="1">
      <c r="H2158" s="57" t="s">
        <v>100</v>
      </c>
      <c r="I2158" s="58" t="s">
        <v>108</v>
      </c>
      <c r="J2158" s="287" t="s">
        <v>109</v>
      </c>
      <c r="K2158" s="60" t="s">
        <v>110</v>
      </c>
    </row>
    <row r="2159" spans="8:15">
      <c r="H2159" s="71">
        <v>719</v>
      </c>
      <c r="I2159" s="73">
        <f>+O2139+O2141+O2143+O2145+O2147</f>
        <v>60000</v>
      </c>
      <c r="J2159" s="74">
        <f>+K2122</f>
        <v>21420000</v>
      </c>
      <c r="K2159" s="195">
        <f>+I2159+J2159</f>
        <v>21480000</v>
      </c>
    </row>
    <row r="2160" spans="8:15">
      <c r="H2160" s="72">
        <v>721</v>
      </c>
      <c r="I2160" s="80">
        <f>+O2140+O2142+O2144+O2146</f>
        <v>0</v>
      </c>
      <c r="J2160" s="74">
        <f>+K2123</f>
        <v>85394059</v>
      </c>
      <c r="K2160" s="195">
        <f>+I2160+J2160</f>
        <v>85394059</v>
      </c>
    </row>
    <row r="2161" spans="8:15">
      <c r="H2161" s="72">
        <v>722</v>
      </c>
      <c r="I2161" s="80"/>
      <c r="J2161" s="74">
        <f>+K2124</f>
        <v>0</v>
      </c>
      <c r="K2161" s="195">
        <f>+I2161+J2161</f>
        <v>0</v>
      </c>
    </row>
    <row r="2162" spans="8:15" ht="15.75">
      <c r="H2162" s="72">
        <v>723</v>
      </c>
      <c r="I2162" s="80"/>
      <c r="J2162" s="74">
        <f>+K2125</f>
        <v>-17852437</v>
      </c>
      <c r="K2162" s="195">
        <f>+I2162+J2162</f>
        <v>-17852437</v>
      </c>
      <c r="M2162" s="193" t="s">
        <v>289</v>
      </c>
      <c r="N2162" s="175"/>
    </row>
    <row r="2163" spans="8:15" ht="16.5" thickBot="1">
      <c r="H2163" s="164" t="s">
        <v>181</v>
      </c>
      <c r="I2163" s="165"/>
      <c r="J2163" s="74">
        <f>+K2126</f>
        <v>0</v>
      </c>
      <c r="K2163" s="196">
        <f>+I2163+J2163</f>
        <v>0</v>
      </c>
      <c r="M2163" s="52"/>
    </row>
    <row r="2164" spans="8:15" ht="16.5" thickBot="1">
      <c r="H2164" s="169"/>
      <c r="I2164" s="197">
        <f>SUM(I2159:I2163)</f>
        <v>60000</v>
      </c>
      <c r="J2164" s="197">
        <f>SUM(J2159:J2163)</f>
        <v>88961622</v>
      </c>
      <c r="K2164" s="198">
        <f>SUM(K2159:K2163)</f>
        <v>89021622</v>
      </c>
    </row>
    <row r="2165" spans="8:15" ht="16.5">
      <c r="H2165" s="49" t="s">
        <v>88</v>
      </c>
      <c r="I2165" s="50"/>
    </row>
    <row r="2166" spans="8:15">
      <c r="H2166" s="51" t="s">
        <v>89</v>
      </c>
    </row>
    <row r="2167" spans="8:15">
      <c r="H2167" s="51" t="s">
        <v>90</v>
      </c>
    </row>
    <row r="2168" spans="8:15">
      <c r="H2168" s="51" t="s">
        <v>91</v>
      </c>
    </row>
    <row r="2169" spans="8:15" ht="10.5" customHeight="1">
      <c r="H2169" s="50"/>
      <c r="I2169" s="50"/>
    </row>
    <row r="2170" spans="8:15" ht="15.75">
      <c r="H2170" s="260" t="s">
        <v>1017</v>
      </c>
      <c r="N2170" s="52"/>
    </row>
    <row r="2171" spans="8:15" ht="15.75">
      <c r="H2171" s="53" t="s">
        <v>535</v>
      </c>
      <c r="N2171" s="53"/>
    </row>
    <row r="2172" spans="8:15" ht="15.75" customHeight="1">
      <c r="H2172" s="894" t="s">
        <v>909</v>
      </c>
      <c r="I2172" s="894"/>
      <c r="J2172" s="894"/>
      <c r="K2172" s="894"/>
      <c r="L2172" s="894"/>
      <c r="M2172" s="894"/>
      <c r="N2172" s="894"/>
      <c r="O2172" s="894"/>
    </row>
    <row r="2173" spans="8:15" ht="12.75" customHeight="1" thickBot="1"/>
    <row r="2174" spans="8:15">
      <c r="H2174" s="895" t="s">
        <v>94</v>
      </c>
      <c r="I2174" s="897" t="s">
        <v>95</v>
      </c>
      <c r="J2174" s="897" t="s">
        <v>96</v>
      </c>
      <c r="K2174" s="897" t="s">
        <v>3</v>
      </c>
      <c r="L2174" s="897" t="s">
        <v>97</v>
      </c>
      <c r="M2174" s="897" t="s">
        <v>98</v>
      </c>
      <c r="N2174" s="897" t="s">
        <v>99</v>
      </c>
      <c r="O2174" s="899"/>
    </row>
    <row r="2175" spans="8:15" ht="15.75" thickBot="1">
      <c r="H2175" s="896"/>
      <c r="I2175" s="898"/>
      <c r="J2175" s="898"/>
      <c r="K2175" s="898"/>
      <c r="L2175" s="898"/>
      <c r="M2175" s="898"/>
      <c r="N2175" s="240" t="s">
        <v>100</v>
      </c>
      <c r="O2175" s="182" t="s">
        <v>101</v>
      </c>
    </row>
    <row r="2176" spans="8:15">
      <c r="H2176" s="881">
        <v>234</v>
      </c>
      <c r="I2176" s="875">
        <v>42573</v>
      </c>
      <c r="J2176" s="877" t="s">
        <v>1014</v>
      </c>
      <c r="K2176" s="879" t="s">
        <v>1018</v>
      </c>
      <c r="L2176" s="881" t="s">
        <v>115</v>
      </c>
      <c r="M2176" s="883">
        <v>100000</v>
      </c>
      <c r="N2176" s="55">
        <v>719</v>
      </c>
      <c r="O2176" s="78">
        <v>100000</v>
      </c>
    </row>
    <row r="2177" spans="8:15" ht="11.25" customHeight="1" thickBot="1">
      <c r="H2177" s="882"/>
      <c r="I2177" s="876"/>
      <c r="J2177" s="878"/>
      <c r="K2177" s="880"/>
      <c r="L2177" s="882"/>
      <c r="M2177" s="884"/>
      <c r="N2177" s="56">
        <v>721</v>
      </c>
      <c r="O2177" s="79"/>
    </row>
    <row r="2178" spans="8:15" ht="15" customHeight="1">
      <c r="H2178" s="881">
        <v>235</v>
      </c>
      <c r="I2178" s="875">
        <v>42573</v>
      </c>
      <c r="J2178" s="877" t="s">
        <v>28</v>
      </c>
      <c r="K2178" s="879" t="s">
        <v>1019</v>
      </c>
      <c r="L2178" s="881" t="s">
        <v>115</v>
      </c>
      <c r="M2178" s="883">
        <v>10000</v>
      </c>
      <c r="N2178" s="55">
        <v>719</v>
      </c>
      <c r="O2178" s="78">
        <v>10000</v>
      </c>
    </row>
    <row r="2179" spans="8:15" ht="12.75" customHeight="1" thickBot="1">
      <c r="H2179" s="882"/>
      <c r="I2179" s="876"/>
      <c r="J2179" s="878"/>
      <c r="K2179" s="880"/>
      <c r="L2179" s="882"/>
      <c r="M2179" s="884"/>
      <c r="N2179" s="56">
        <v>721</v>
      </c>
      <c r="O2179" s="79"/>
    </row>
    <row r="2180" spans="8:15" ht="15" customHeight="1">
      <c r="H2180" s="881">
        <v>236</v>
      </c>
      <c r="I2180" s="875">
        <v>42573</v>
      </c>
      <c r="J2180" s="877" t="s">
        <v>1014</v>
      </c>
      <c r="K2180" s="879" t="s">
        <v>1020</v>
      </c>
      <c r="L2180" s="881" t="s">
        <v>115</v>
      </c>
      <c r="M2180" s="883">
        <v>140000</v>
      </c>
      <c r="N2180" s="55">
        <v>719</v>
      </c>
      <c r="O2180" s="78">
        <v>140000</v>
      </c>
    </row>
    <row r="2181" spans="8:15" ht="12.75" customHeight="1" thickBot="1">
      <c r="H2181" s="882"/>
      <c r="I2181" s="876"/>
      <c r="J2181" s="878"/>
      <c r="K2181" s="880"/>
      <c r="L2181" s="882"/>
      <c r="M2181" s="884"/>
      <c r="N2181" s="56">
        <v>721</v>
      </c>
      <c r="O2181" s="79">
        <f>+M2180-O2180</f>
        <v>0</v>
      </c>
    </row>
    <row r="2182" spans="8:15">
      <c r="H2182" s="881">
        <v>237</v>
      </c>
      <c r="I2182" s="875">
        <v>42573</v>
      </c>
      <c r="J2182" s="877" t="s">
        <v>28</v>
      </c>
      <c r="K2182" s="879" t="s">
        <v>1022</v>
      </c>
      <c r="L2182" s="881" t="s">
        <v>115</v>
      </c>
      <c r="M2182" s="883">
        <v>60000</v>
      </c>
      <c r="N2182" s="55">
        <v>719</v>
      </c>
      <c r="O2182" s="78">
        <v>60000</v>
      </c>
    </row>
    <row r="2183" spans="8:15" ht="13.5" customHeight="1" thickBot="1">
      <c r="H2183" s="882"/>
      <c r="I2183" s="876"/>
      <c r="J2183" s="878"/>
      <c r="K2183" s="880"/>
      <c r="L2183" s="882"/>
      <c r="M2183" s="884"/>
      <c r="N2183" s="56">
        <v>721</v>
      </c>
      <c r="O2183" s="79">
        <f>+M2182-O2182</f>
        <v>0</v>
      </c>
    </row>
    <row r="2184" spans="8:15" ht="15" customHeight="1">
      <c r="H2184" s="881">
        <v>238</v>
      </c>
      <c r="I2184" s="875">
        <v>42573</v>
      </c>
      <c r="J2184" s="877" t="s">
        <v>28</v>
      </c>
      <c r="K2184" s="879" t="s">
        <v>1021</v>
      </c>
      <c r="L2184" s="881" t="s">
        <v>115</v>
      </c>
      <c r="M2184" s="883">
        <v>40000</v>
      </c>
      <c r="N2184" s="55">
        <v>719</v>
      </c>
      <c r="O2184" s="78">
        <v>40000</v>
      </c>
    </row>
    <row r="2185" spans="8:15" ht="12" customHeight="1" thickBot="1">
      <c r="H2185" s="882"/>
      <c r="I2185" s="876"/>
      <c r="J2185" s="878"/>
      <c r="K2185" s="880"/>
      <c r="L2185" s="882"/>
      <c r="M2185" s="884"/>
      <c r="N2185" s="56">
        <v>721</v>
      </c>
      <c r="O2185" s="79">
        <f>+M2184-O2184</f>
        <v>0</v>
      </c>
    </row>
    <row r="2186" spans="8:15" ht="15" customHeight="1">
      <c r="H2186" s="881">
        <v>239</v>
      </c>
      <c r="I2186" s="875">
        <v>42573</v>
      </c>
      <c r="J2186" s="877" t="s">
        <v>120</v>
      </c>
      <c r="K2186" s="879" t="s">
        <v>1010</v>
      </c>
      <c r="L2186" s="881" t="s">
        <v>115</v>
      </c>
      <c r="M2186" s="883">
        <v>1259900</v>
      </c>
      <c r="N2186" s="55">
        <v>719</v>
      </c>
      <c r="O2186" s="78"/>
    </row>
    <row r="2187" spans="8:15" ht="12.75" customHeight="1" thickBot="1">
      <c r="H2187" s="882"/>
      <c r="I2187" s="876"/>
      <c r="J2187" s="878"/>
      <c r="K2187" s="880"/>
      <c r="L2187" s="882"/>
      <c r="M2187" s="884"/>
      <c r="N2187" s="56">
        <v>723</v>
      </c>
      <c r="O2187" s="79">
        <f>+M2186-O2186</f>
        <v>1259900</v>
      </c>
    </row>
    <row r="2188" spans="8:15" ht="16.5" thickBot="1">
      <c r="H2188" s="901" t="s">
        <v>102</v>
      </c>
      <c r="I2188" s="902"/>
      <c r="J2188" s="902"/>
      <c r="K2188" s="902"/>
      <c r="L2188" s="903"/>
      <c r="M2188" s="81">
        <f>SUM(M2176:M2187)</f>
        <v>1609900</v>
      </c>
    </row>
    <row r="2189" spans="8:15" ht="16.5" thickBot="1">
      <c r="H2189" s="885" t="s">
        <v>103</v>
      </c>
      <c r="I2189" s="886"/>
      <c r="J2189" s="886"/>
      <c r="K2189" s="886"/>
      <c r="L2189" s="887"/>
      <c r="M2189" s="69">
        <f>+M2151</f>
        <v>89091622</v>
      </c>
      <c r="N2189" s="241" t="s">
        <v>561</v>
      </c>
      <c r="O2189" s="242">
        <f>28+324+91+533+198</f>
        <v>1174</v>
      </c>
    </row>
    <row r="2190" spans="8:15" ht="16.5" thickBot="1">
      <c r="H2190" s="888" t="s">
        <v>104</v>
      </c>
      <c r="I2190" s="889"/>
      <c r="J2190" s="889"/>
      <c r="K2190" s="889"/>
      <c r="L2190" s="890"/>
      <c r="M2190" s="183">
        <f>SUM(M2188:M2189)</f>
        <v>90701522</v>
      </c>
    </row>
    <row r="2191" spans="8:15" ht="12.75" customHeight="1">
      <c r="H2191" s="61"/>
      <c r="I2191" s="61"/>
      <c r="J2191" s="61"/>
      <c r="K2191" s="61"/>
      <c r="L2191" s="61"/>
    </row>
    <row r="2192" spans="8:15">
      <c r="H2192" s="51" t="s">
        <v>1023</v>
      </c>
    </row>
    <row r="2193" spans="8:14" ht="12" customHeight="1">
      <c r="M2193" s="139"/>
    </row>
    <row r="2194" spans="8:14">
      <c r="H2194" s="50" t="s">
        <v>105</v>
      </c>
      <c r="K2194" s="146"/>
      <c r="M2194" s="139"/>
    </row>
    <row r="2195" spans="8:14" ht="12.75" customHeight="1" thickBot="1"/>
    <row r="2196" spans="8:14" ht="15.75" thickBot="1">
      <c r="H2196" s="891" t="s">
        <v>106</v>
      </c>
      <c r="I2196" s="892"/>
      <c r="J2196" s="892"/>
      <c r="K2196" s="893"/>
      <c r="M2196" s="50" t="s">
        <v>288</v>
      </c>
    </row>
    <row r="2197" spans="8:14" ht="30.75" thickBot="1">
      <c r="H2197" s="57" t="s">
        <v>100</v>
      </c>
      <c r="I2197" s="58" t="s">
        <v>108</v>
      </c>
      <c r="J2197" s="287" t="s">
        <v>109</v>
      </c>
      <c r="K2197" s="60" t="s">
        <v>110</v>
      </c>
    </row>
    <row r="2198" spans="8:14">
      <c r="H2198" s="71">
        <v>719</v>
      </c>
      <c r="I2198" s="73">
        <f>+O2176+O2178+O2180+O2184+O2186+O2182</f>
        <v>350000</v>
      </c>
      <c r="J2198" s="74">
        <f>+K2159</f>
        <v>21480000</v>
      </c>
      <c r="K2198" s="195">
        <f>+I2198+J2198</f>
        <v>21830000</v>
      </c>
    </row>
    <row r="2199" spans="8:14" ht="13.5" customHeight="1">
      <c r="H2199" s="72">
        <v>721</v>
      </c>
      <c r="I2199" s="80">
        <f>+O2177+O2179+O2181+O2185+O2183</f>
        <v>0</v>
      </c>
      <c r="J2199" s="74">
        <f>+K2160</f>
        <v>85394059</v>
      </c>
      <c r="K2199" s="195">
        <f>+I2199+J2199</f>
        <v>85394059</v>
      </c>
    </row>
    <row r="2200" spans="8:14">
      <c r="H2200" s="72">
        <v>722</v>
      </c>
      <c r="I2200" s="80"/>
      <c r="J2200" s="74">
        <f>+K2161</f>
        <v>0</v>
      </c>
      <c r="K2200" s="195">
        <f>+I2200+J2200</f>
        <v>0</v>
      </c>
    </row>
    <row r="2201" spans="8:14" ht="15" customHeight="1">
      <c r="H2201" s="72">
        <v>723</v>
      </c>
      <c r="I2201" s="80">
        <f>+O2187</f>
        <v>1259900</v>
      </c>
      <c r="J2201" s="74">
        <f>+K2162</f>
        <v>-17852437</v>
      </c>
      <c r="K2201" s="195">
        <f>+I2201+J2201</f>
        <v>-16592537</v>
      </c>
      <c r="M2201" s="193" t="s">
        <v>289</v>
      </c>
      <c r="N2201" s="175"/>
    </row>
    <row r="2202" spans="8:14" ht="13.5" customHeight="1" thickBot="1">
      <c r="H2202" s="164" t="s">
        <v>181</v>
      </c>
      <c r="I2202" s="165"/>
      <c r="J2202" s="74">
        <f>+K2163</f>
        <v>0</v>
      </c>
      <c r="K2202" s="196">
        <f>+I2202+J2202</f>
        <v>0</v>
      </c>
      <c r="M2202" s="52"/>
    </row>
    <row r="2203" spans="8:14" ht="16.5" thickBot="1">
      <c r="H2203" s="169"/>
      <c r="I2203" s="197">
        <f>SUM(I2198:I2202)</f>
        <v>1609900</v>
      </c>
      <c r="J2203" s="197">
        <f>SUM(J2198:J2202)</f>
        <v>89021622</v>
      </c>
      <c r="K2203" s="198">
        <f>SUM(K2198:K2202)</f>
        <v>90631522</v>
      </c>
    </row>
    <row r="2204" spans="8:14" ht="16.5">
      <c r="H2204" s="49" t="s">
        <v>88</v>
      </c>
      <c r="I2204" s="50"/>
    </row>
    <row r="2205" spans="8:14">
      <c r="H2205" s="51" t="s">
        <v>89</v>
      </c>
    </row>
    <row r="2206" spans="8:14">
      <c r="H2206" s="51" t="s">
        <v>90</v>
      </c>
    </row>
    <row r="2207" spans="8:14">
      <c r="H2207" s="51" t="s">
        <v>91</v>
      </c>
    </row>
    <row r="2208" spans="8:14" ht="10.5" customHeight="1">
      <c r="H2208" s="50"/>
      <c r="I2208" s="50"/>
    </row>
    <row r="2209" spans="8:15" ht="15.75">
      <c r="H2209" s="260" t="s">
        <v>1024</v>
      </c>
      <c r="N2209" s="52"/>
    </row>
    <row r="2210" spans="8:15" ht="15.75">
      <c r="H2210" s="53" t="s">
        <v>535</v>
      </c>
      <c r="N2210" s="53"/>
    </row>
    <row r="2211" spans="8:15" ht="16.5">
      <c r="H2211" s="894" t="s">
        <v>909</v>
      </c>
      <c r="I2211" s="894"/>
      <c r="J2211" s="894"/>
      <c r="K2211" s="894"/>
      <c r="L2211" s="894"/>
      <c r="M2211" s="894"/>
      <c r="N2211" s="894"/>
      <c r="O2211" s="894"/>
    </row>
    <row r="2212" spans="8:15" ht="15.75" thickBot="1"/>
    <row r="2213" spans="8:15">
      <c r="H2213" s="895" t="s">
        <v>94</v>
      </c>
      <c r="I2213" s="897" t="s">
        <v>95</v>
      </c>
      <c r="J2213" s="897" t="s">
        <v>96</v>
      </c>
      <c r="K2213" s="897" t="s">
        <v>3</v>
      </c>
      <c r="L2213" s="897" t="s">
        <v>97</v>
      </c>
      <c r="M2213" s="897" t="s">
        <v>98</v>
      </c>
      <c r="N2213" s="897" t="s">
        <v>99</v>
      </c>
      <c r="O2213" s="899"/>
    </row>
    <row r="2214" spans="8:15" ht="15.75" thickBot="1">
      <c r="H2214" s="896"/>
      <c r="I2214" s="898"/>
      <c r="J2214" s="898"/>
      <c r="K2214" s="898"/>
      <c r="L2214" s="898"/>
      <c r="M2214" s="898"/>
      <c r="N2214" s="240" t="s">
        <v>100</v>
      </c>
      <c r="O2214" s="182" t="s">
        <v>101</v>
      </c>
    </row>
    <row r="2215" spans="8:15">
      <c r="H2215" s="881">
        <v>240</v>
      </c>
      <c r="I2215" s="875">
        <v>42592</v>
      </c>
      <c r="J2215" s="877" t="s">
        <v>1014</v>
      </c>
      <c r="K2215" s="879" t="s">
        <v>1025</v>
      </c>
      <c r="L2215" s="881" t="s">
        <v>115</v>
      </c>
      <c r="M2215" s="883">
        <v>110000</v>
      </c>
      <c r="N2215" s="55">
        <v>719</v>
      </c>
      <c r="O2215" s="78">
        <f>+M2215</f>
        <v>110000</v>
      </c>
    </row>
    <row r="2216" spans="8:15" ht="15.75" thickBot="1">
      <c r="H2216" s="882"/>
      <c r="I2216" s="876"/>
      <c r="J2216" s="878"/>
      <c r="K2216" s="880"/>
      <c r="L2216" s="882"/>
      <c r="M2216" s="884"/>
      <c r="N2216" s="56">
        <v>721</v>
      </c>
      <c r="O2216" s="79"/>
    </row>
    <row r="2217" spans="8:15" ht="15" customHeight="1">
      <c r="H2217" s="881">
        <v>241</v>
      </c>
      <c r="I2217" s="875">
        <v>42592</v>
      </c>
      <c r="J2217" s="877" t="s">
        <v>28</v>
      </c>
      <c r="K2217" s="879" t="s">
        <v>1026</v>
      </c>
      <c r="L2217" s="881" t="s">
        <v>115</v>
      </c>
      <c r="M2217" s="883">
        <v>70000</v>
      </c>
      <c r="N2217" s="55">
        <v>719</v>
      </c>
      <c r="O2217" s="78">
        <f>+M2217</f>
        <v>70000</v>
      </c>
    </row>
    <row r="2218" spans="8:15" ht="15.75" customHeight="1" thickBot="1">
      <c r="H2218" s="882"/>
      <c r="I2218" s="876"/>
      <c r="J2218" s="878"/>
      <c r="K2218" s="880"/>
      <c r="L2218" s="882"/>
      <c r="M2218" s="884"/>
      <c r="N2218" s="56">
        <v>721</v>
      </c>
      <c r="O2218" s="79"/>
    </row>
    <row r="2219" spans="8:15" ht="15" customHeight="1">
      <c r="H2219" s="881">
        <v>242</v>
      </c>
      <c r="I2219" s="875">
        <v>42592</v>
      </c>
      <c r="J2219" s="877" t="s">
        <v>1014</v>
      </c>
      <c r="K2219" s="879" t="s">
        <v>1027</v>
      </c>
      <c r="L2219" s="881" t="s">
        <v>115</v>
      </c>
      <c r="M2219" s="883">
        <v>260000</v>
      </c>
      <c r="N2219" s="55">
        <v>719</v>
      </c>
      <c r="O2219" s="78">
        <v>260000</v>
      </c>
    </row>
    <row r="2220" spans="8:15" ht="15.75" customHeight="1" thickBot="1">
      <c r="H2220" s="882"/>
      <c r="I2220" s="876"/>
      <c r="J2220" s="878"/>
      <c r="K2220" s="880"/>
      <c r="L2220" s="882"/>
      <c r="M2220" s="884"/>
      <c r="N2220" s="56">
        <v>721</v>
      </c>
      <c r="O2220" s="79">
        <f>+M2219-O2219</f>
        <v>0</v>
      </c>
    </row>
    <row r="2221" spans="8:15" ht="15" customHeight="1">
      <c r="H2221" s="881"/>
      <c r="I2221" s="875"/>
      <c r="J2221" s="877"/>
      <c r="K2221" s="879"/>
      <c r="L2221" s="881"/>
      <c r="M2221" s="883"/>
      <c r="N2221" s="55">
        <v>719</v>
      </c>
      <c r="O2221" s="78">
        <v>0</v>
      </c>
    </row>
    <row r="2222" spans="8:15" ht="15.75" customHeight="1" thickBot="1">
      <c r="H2222" s="882"/>
      <c r="I2222" s="876"/>
      <c r="J2222" s="878"/>
      <c r="K2222" s="880"/>
      <c r="L2222" s="882"/>
      <c r="M2222" s="884"/>
      <c r="N2222" s="56">
        <v>721</v>
      </c>
      <c r="O2222" s="79">
        <f>+M2221-O2221</f>
        <v>0</v>
      </c>
    </row>
    <row r="2223" spans="8:15">
      <c r="H2223" s="881"/>
      <c r="I2223" s="875"/>
      <c r="J2223" s="877"/>
      <c r="K2223" s="879"/>
      <c r="L2223" s="881"/>
      <c r="M2223" s="883"/>
      <c r="N2223" s="55">
        <v>719</v>
      </c>
      <c r="O2223" s="78"/>
    </row>
    <row r="2224" spans="8:15" ht="15.75" thickBot="1">
      <c r="H2224" s="882"/>
      <c r="I2224" s="876"/>
      <c r="J2224" s="878"/>
      <c r="K2224" s="880"/>
      <c r="L2224" s="882"/>
      <c r="M2224" s="884"/>
      <c r="N2224" s="56">
        <v>723</v>
      </c>
      <c r="O2224" s="79">
        <f>+M2223-O2223</f>
        <v>0</v>
      </c>
    </row>
    <row r="2225" spans="8:15" ht="16.5" thickBot="1">
      <c r="H2225" s="901" t="s">
        <v>102</v>
      </c>
      <c r="I2225" s="902"/>
      <c r="J2225" s="902"/>
      <c r="K2225" s="902"/>
      <c r="L2225" s="903"/>
      <c r="M2225" s="81">
        <f>SUM(M2215:M2224)</f>
        <v>440000</v>
      </c>
    </row>
    <row r="2226" spans="8:15" ht="16.5" thickBot="1">
      <c r="H2226" s="885" t="s">
        <v>103</v>
      </c>
      <c r="I2226" s="886"/>
      <c r="J2226" s="886"/>
      <c r="K2226" s="886"/>
      <c r="L2226" s="887"/>
      <c r="M2226" s="69">
        <f>+M2190</f>
        <v>90701522</v>
      </c>
      <c r="N2226" s="241" t="s">
        <v>561</v>
      </c>
      <c r="O2226" s="242">
        <f>742+165+273</f>
        <v>1180</v>
      </c>
    </row>
    <row r="2227" spans="8:15" ht="16.5" thickBot="1">
      <c r="H2227" s="888" t="s">
        <v>104</v>
      </c>
      <c r="I2227" s="889"/>
      <c r="J2227" s="889"/>
      <c r="K2227" s="889"/>
      <c r="L2227" s="890"/>
      <c r="M2227" s="183">
        <f>SUM(M2225:M2226)</f>
        <v>91141522</v>
      </c>
    </row>
    <row r="2228" spans="8:15">
      <c r="H2228" s="61"/>
      <c r="I2228" s="61"/>
      <c r="J2228" s="61"/>
      <c r="K2228" s="61"/>
      <c r="L2228" s="61"/>
    </row>
    <row r="2229" spans="8:15">
      <c r="H2229" s="51" t="s">
        <v>1029</v>
      </c>
    </row>
    <row r="2230" spans="8:15" ht="12.75" customHeight="1">
      <c r="M2230" s="139"/>
    </row>
    <row r="2231" spans="8:15">
      <c r="H2231" s="50" t="s">
        <v>105</v>
      </c>
      <c r="K2231" s="146"/>
      <c r="M2231" s="139"/>
    </row>
    <row r="2232" spans="8:15" ht="12.75" customHeight="1" thickBot="1"/>
    <row r="2233" spans="8:15" ht="15.75" thickBot="1">
      <c r="H2233" s="891" t="s">
        <v>106</v>
      </c>
      <c r="I2233" s="892"/>
      <c r="J2233" s="892"/>
      <c r="K2233" s="893"/>
      <c r="M2233" s="50" t="s">
        <v>270</v>
      </c>
    </row>
    <row r="2234" spans="8:15" ht="30.75" thickBot="1">
      <c r="H2234" s="57" t="s">
        <v>100</v>
      </c>
      <c r="I2234" s="58" t="s">
        <v>108</v>
      </c>
      <c r="J2234" s="287" t="s">
        <v>109</v>
      </c>
      <c r="K2234" s="60" t="s">
        <v>110</v>
      </c>
    </row>
    <row r="2235" spans="8:15">
      <c r="H2235" s="71">
        <v>719</v>
      </c>
      <c r="I2235" s="73">
        <f>+O2215+O2217+O2219+O2221+O2223</f>
        <v>440000</v>
      </c>
      <c r="J2235" s="74">
        <f>+K2198</f>
        <v>21830000</v>
      </c>
      <c r="K2235" s="195">
        <f>+I2235+J2235</f>
        <v>22270000</v>
      </c>
    </row>
    <row r="2236" spans="8:15">
      <c r="H2236" s="72">
        <v>721</v>
      </c>
      <c r="I2236" s="80">
        <f>+O2216+O2218+O2220+O2222</f>
        <v>0</v>
      </c>
      <c r="J2236" s="74">
        <f>+K2199</f>
        <v>85394059</v>
      </c>
      <c r="K2236" s="195">
        <f>+I2236+J2236</f>
        <v>85394059</v>
      </c>
    </row>
    <row r="2237" spans="8:15">
      <c r="H2237" s="72">
        <v>722</v>
      </c>
      <c r="I2237" s="80"/>
      <c r="J2237" s="74">
        <f>+K2200</f>
        <v>0</v>
      </c>
      <c r="K2237" s="195">
        <f>+I2237+J2237</f>
        <v>0</v>
      </c>
    </row>
    <row r="2238" spans="8:15" ht="15.75">
      <c r="H2238" s="72">
        <v>723</v>
      </c>
      <c r="I2238" s="80">
        <f>+O2224</f>
        <v>0</v>
      </c>
      <c r="J2238" s="74">
        <f>+K2201</f>
        <v>-16592537</v>
      </c>
      <c r="K2238" s="195">
        <f>+I2238+J2238</f>
        <v>-16592537</v>
      </c>
      <c r="M2238" s="193" t="s">
        <v>1028</v>
      </c>
      <c r="N2238" s="175"/>
    </row>
    <row r="2239" spans="8:15" ht="16.5" thickBot="1">
      <c r="H2239" s="164" t="s">
        <v>181</v>
      </c>
      <c r="I2239" s="165"/>
      <c r="J2239" s="74">
        <f>+K2202</f>
        <v>0</v>
      </c>
      <c r="K2239" s="196">
        <f>+I2239+J2239</f>
        <v>0</v>
      </c>
      <c r="M2239" s="52"/>
    </row>
    <row r="2240" spans="8:15" ht="16.5" thickBot="1">
      <c r="H2240" s="169"/>
      <c r="I2240" s="197">
        <f>SUM(I2235:I2239)</f>
        <v>440000</v>
      </c>
      <c r="J2240" s="197">
        <f>SUM(J2235:J2239)</f>
        <v>90631522</v>
      </c>
      <c r="K2240" s="198">
        <f>SUM(K2235:K2239)</f>
        <v>91071522</v>
      </c>
    </row>
    <row r="2241" spans="8:15" ht="16.5">
      <c r="H2241" s="49" t="s">
        <v>88</v>
      </c>
      <c r="I2241" s="50"/>
    </row>
    <row r="2242" spans="8:15">
      <c r="H2242" s="51" t="s">
        <v>89</v>
      </c>
    </row>
    <row r="2243" spans="8:15">
      <c r="H2243" s="51" t="s">
        <v>90</v>
      </c>
    </row>
    <row r="2244" spans="8:15">
      <c r="H2244" s="51" t="s">
        <v>91</v>
      </c>
    </row>
    <row r="2245" spans="8:15" ht="10.5" customHeight="1">
      <c r="H2245" s="50"/>
      <c r="I2245" s="50"/>
    </row>
    <row r="2246" spans="8:15" ht="15.75">
      <c r="H2246" s="260" t="s">
        <v>1030</v>
      </c>
      <c r="N2246" s="52"/>
    </row>
    <row r="2247" spans="8:15" ht="15.75">
      <c r="H2247" s="53" t="s">
        <v>535</v>
      </c>
      <c r="N2247" s="53"/>
    </row>
    <row r="2248" spans="8:15" ht="16.5">
      <c r="H2248" s="894" t="s">
        <v>909</v>
      </c>
      <c r="I2248" s="894"/>
      <c r="J2248" s="894"/>
      <c r="K2248" s="894"/>
      <c r="L2248" s="894"/>
      <c r="M2248" s="894"/>
      <c r="N2248" s="894"/>
      <c r="O2248" s="894"/>
    </row>
    <row r="2249" spans="8:15" ht="12" customHeight="1" thickBot="1"/>
    <row r="2250" spans="8:15">
      <c r="H2250" s="895" t="s">
        <v>94</v>
      </c>
      <c r="I2250" s="897" t="s">
        <v>95</v>
      </c>
      <c r="J2250" s="897" t="s">
        <v>96</v>
      </c>
      <c r="K2250" s="897" t="s">
        <v>3</v>
      </c>
      <c r="L2250" s="897" t="s">
        <v>97</v>
      </c>
      <c r="M2250" s="897" t="s">
        <v>98</v>
      </c>
      <c r="N2250" s="897" t="s">
        <v>99</v>
      </c>
      <c r="O2250" s="899"/>
    </row>
    <row r="2251" spans="8:15" ht="15.75" thickBot="1">
      <c r="H2251" s="896"/>
      <c r="I2251" s="898"/>
      <c r="J2251" s="898"/>
      <c r="K2251" s="898"/>
      <c r="L2251" s="898"/>
      <c r="M2251" s="898"/>
      <c r="N2251" s="240" t="s">
        <v>100</v>
      </c>
      <c r="O2251" s="182" t="s">
        <v>101</v>
      </c>
    </row>
    <row r="2252" spans="8:15">
      <c r="H2252" s="881">
        <v>243</v>
      </c>
      <c r="I2252" s="875">
        <v>42621</v>
      </c>
      <c r="J2252" s="877" t="s">
        <v>1014</v>
      </c>
      <c r="K2252" s="879" t="s">
        <v>1033</v>
      </c>
      <c r="L2252" s="881" t="s">
        <v>115</v>
      </c>
      <c r="M2252" s="883">
        <v>190000</v>
      </c>
      <c r="N2252" s="55">
        <v>719</v>
      </c>
      <c r="O2252" s="78">
        <f>+M2252</f>
        <v>190000</v>
      </c>
    </row>
    <row r="2253" spans="8:15" ht="15.75" thickBot="1">
      <c r="H2253" s="882"/>
      <c r="I2253" s="876"/>
      <c r="J2253" s="878"/>
      <c r="K2253" s="880"/>
      <c r="L2253" s="882"/>
      <c r="M2253" s="884"/>
      <c r="N2253" s="56">
        <v>721</v>
      </c>
      <c r="O2253" s="79"/>
    </row>
    <row r="2254" spans="8:15" ht="15" customHeight="1">
      <c r="H2254" s="881">
        <v>244</v>
      </c>
      <c r="I2254" s="875">
        <v>42621</v>
      </c>
      <c r="J2254" s="877" t="s">
        <v>28</v>
      </c>
      <c r="K2254" s="879" t="s">
        <v>1033</v>
      </c>
      <c r="L2254" s="881" t="s">
        <v>115</v>
      </c>
      <c r="M2254" s="883">
        <v>60000</v>
      </c>
      <c r="N2254" s="55">
        <v>719</v>
      </c>
      <c r="O2254" s="78">
        <f>+M2254</f>
        <v>60000</v>
      </c>
    </row>
    <row r="2255" spans="8:15" ht="15.75" customHeight="1" thickBot="1">
      <c r="H2255" s="882"/>
      <c r="I2255" s="876"/>
      <c r="J2255" s="878"/>
      <c r="K2255" s="880"/>
      <c r="L2255" s="882"/>
      <c r="M2255" s="884"/>
      <c r="N2255" s="56">
        <v>721</v>
      </c>
      <c r="O2255" s="79"/>
    </row>
    <row r="2256" spans="8:15" ht="15" customHeight="1">
      <c r="H2256" s="881">
        <v>245</v>
      </c>
      <c r="I2256" s="875">
        <v>42621</v>
      </c>
      <c r="J2256" s="877" t="s">
        <v>1014</v>
      </c>
      <c r="K2256" s="879" t="s">
        <v>1034</v>
      </c>
      <c r="L2256" s="881" t="s">
        <v>115</v>
      </c>
      <c r="M2256" s="883">
        <v>560000</v>
      </c>
      <c r="N2256" s="55">
        <v>719</v>
      </c>
      <c r="O2256" s="78">
        <v>560000</v>
      </c>
    </row>
    <row r="2257" spans="8:15" ht="15.75" customHeight="1" thickBot="1">
      <c r="H2257" s="882"/>
      <c r="I2257" s="876"/>
      <c r="J2257" s="878"/>
      <c r="K2257" s="880"/>
      <c r="L2257" s="882"/>
      <c r="M2257" s="884"/>
      <c r="N2257" s="56">
        <v>721</v>
      </c>
      <c r="O2257" s="79">
        <f>+M2256-O2256</f>
        <v>0</v>
      </c>
    </row>
    <row r="2258" spans="8:15" ht="15" customHeight="1">
      <c r="H2258" s="881">
        <v>246</v>
      </c>
      <c r="I2258" s="875">
        <v>42621</v>
      </c>
      <c r="J2258" s="877" t="s">
        <v>28</v>
      </c>
      <c r="K2258" s="879" t="s">
        <v>1035</v>
      </c>
      <c r="L2258" s="881" t="s">
        <v>115</v>
      </c>
      <c r="M2258" s="883">
        <v>70000</v>
      </c>
      <c r="N2258" s="55">
        <v>719</v>
      </c>
      <c r="O2258" s="78">
        <v>70000</v>
      </c>
    </row>
    <row r="2259" spans="8:15" ht="15.75" customHeight="1" thickBot="1">
      <c r="H2259" s="882"/>
      <c r="I2259" s="876"/>
      <c r="J2259" s="878"/>
      <c r="K2259" s="880"/>
      <c r="L2259" s="882"/>
      <c r="M2259" s="884"/>
      <c r="N2259" s="56">
        <v>721</v>
      </c>
      <c r="O2259" s="79">
        <f>+M2258-O2258</f>
        <v>0</v>
      </c>
    </row>
    <row r="2260" spans="8:15" ht="15" customHeight="1">
      <c r="H2260" s="881"/>
      <c r="I2260" s="875"/>
      <c r="J2260" s="877"/>
      <c r="K2260" s="879"/>
      <c r="L2260" s="881"/>
      <c r="M2260" s="883"/>
      <c r="N2260" s="55">
        <v>719</v>
      </c>
      <c r="O2260" s="78"/>
    </row>
    <row r="2261" spans="8:15" ht="15.75" customHeight="1" thickBot="1">
      <c r="H2261" s="882"/>
      <c r="I2261" s="876"/>
      <c r="J2261" s="878"/>
      <c r="K2261" s="880"/>
      <c r="L2261" s="882"/>
      <c r="M2261" s="884"/>
      <c r="N2261" s="56">
        <v>723</v>
      </c>
      <c r="O2261" s="79">
        <f>+M2260-O2260</f>
        <v>0</v>
      </c>
    </row>
    <row r="2262" spans="8:15" ht="16.5" thickBot="1">
      <c r="H2262" s="901" t="s">
        <v>102</v>
      </c>
      <c r="I2262" s="902"/>
      <c r="J2262" s="902"/>
      <c r="K2262" s="902"/>
      <c r="L2262" s="903"/>
      <c r="M2262" s="81">
        <f>SUM(M2252:M2261)</f>
        <v>880000</v>
      </c>
    </row>
    <row r="2263" spans="8:15" ht="16.5" thickBot="1">
      <c r="H2263" s="885" t="s">
        <v>103</v>
      </c>
      <c r="I2263" s="886"/>
      <c r="J2263" s="886"/>
      <c r="K2263" s="886"/>
      <c r="L2263" s="887"/>
      <c r="M2263" s="69">
        <f>+M2227</f>
        <v>91141522</v>
      </c>
      <c r="N2263" s="241" t="s">
        <v>561</v>
      </c>
      <c r="O2263" s="242">
        <f>86+1021+143+512</f>
        <v>1762</v>
      </c>
    </row>
    <row r="2264" spans="8:15" ht="16.5" thickBot="1">
      <c r="H2264" s="888" t="s">
        <v>104</v>
      </c>
      <c r="I2264" s="889"/>
      <c r="J2264" s="889"/>
      <c r="K2264" s="889"/>
      <c r="L2264" s="890"/>
      <c r="M2264" s="183">
        <f>SUM(M2262:M2263)</f>
        <v>92021522</v>
      </c>
    </row>
    <row r="2265" spans="8:15">
      <c r="H2265" s="61"/>
      <c r="I2265" s="61"/>
      <c r="J2265" s="61"/>
      <c r="K2265" s="61"/>
      <c r="L2265" s="61"/>
    </row>
    <row r="2266" spans="8:15">
      <c r="H2266" s="51" t="s">
        <v>1036</v>
      </c>
    </row>
    <row r="2267" spans="8:15" ht="12.75" customHeight="1">
      <c r="M2267" s="139"/>
    </row>
    <row r="2268" spans="8:15">
      <c r="H2268" s="50" t="s">
        <v>105</v>
      </c>
      <c r="K2268" s="146"/>
      <c r="M2268" s="139"/>
    </row>
    <row r="2269" spans="8:15" ht="13.5" customHeight="1" thickBot="1"/>
    <row r="2270" spans="8:15" ht="15.75" thickBot="1">
      <c r="H2270" s="891" t="s">
        <v>106</v>
      </c>
      <c r="I2270" s="892"/>
      <c r="J2270" s="892"/>
      <c r="K2270" s="893"/>
      <c r="M2270" s="50" t="s">
        <v>288</v>
      </c>
    </row>
    <row r="2271" spans="8:15" ht="30.75" thickBot="1">
      <c r="H2271" s="57" t="s">
        <v>100</v>
      </c>
      <c r="I2271" s="58" t="s">
        <v>108</v>
      </c>
      <c r="J2271" s="287" t="s">
        <v>109</v>
      </c>
      <c r="K2271" s="60" t="s">
        <v>110</v>
      </c>
    </row>
    <row r="2272" spans="8:15">
      <c r="H2272" s="71">
        <v>719</v>
      </c>
      <c r="I2272" s="73">
        <f>+O2252+O2254+O2256+O2258+O2260</f>
        <v>880000</v>
      </c>
      <c r="J2272" s="74">
        <f>+K2235</f>
        <v>22270000</v>
      </c>
      <c r="K2272" s="195">
        <f>+I2272+J2272</f>
        <v>23150000</v>
      </c>
    </row>
    <row r="2273" spans="8:15">
      <c r="H2273" s="72">
        <v>721</v>
      </c>
      <c r="I2273" s="80">
        <f>+O2253+O2255+O2257+O2259</f>
        <v>0</v>
      </c>
      <c r="J2273" s="74">
        <f>+K2236</f>
        <v>85394059</v>
      </c>
      <c r="K2273" s="195">
        <f>+I2273+J2273</f>
        <v>85394059</v>
      </c>
    </row>
    <row r="2274" spans="8:15">
      <c r="H2274" s="72">
        <v>722</v>
      </c>
      <c r="I2274" s="80"/>
      <c r="J2274" s="74">
        <f>+K2237</f>
        <v>0</v>
      </c>
      <c r="K2274" s="195">
        <f>+I2274+J2274</f>
        <v>0</v>
      </c>
    </row>
    <row r="2275" spans="8:15" ht="15.75">
      <c r="H2275" s="72">
        <v>723</v>
      </c>
      <c r="I2275" s="80">
        <f>+O2261</f>
        <v>0</v>
      </c>
      <c r="J2275" s="74">
        <f>+K2238</f>
        <v>-16592537</v>
      </c>
      <c r="K2275" s="195">
        <f>+I2275+J2275</f>
        <v>-16592537</v>
      </c>
      <c r="M2275" s="193" t="s">
        <v>289</v>
      </c>
      <c r="N2275" s="175"/>
    </row>
    <row r="2276" spans="8:15" ht="16.5" thickBot="1">
      <c r="H2276" s="164" t="s">
        <v>181</v>
      </c>
      <c r="I2276" s="165"/>
      <c r="J2276" s="74">
        <f>+K2239</f>
        <v>0</v>
      </c>
      <c r="K2276" s="196">
        <f>+I2276+J2276</f>
        <v>0</v>
      </c>
      <c r="M2276" s="52"/>
    </row>
    <row r="2277" spans="8:15" ht="16.5" thickBot="1">
      <c r="H2277" s="169"/>
      <c r="I2277" s="197">
        <f>SUM(I2272:I2276)</f>
        <v>880000</v>
      </c>
      <c r="J2277" s="197">
        <f>SUM(J2272:J2276)</f>
        <v>91071522</v>
      </c>
      <c r="K2277" s="198">
        <f>SUM(K2272:K2276)</f>
        <v>91951522</v>
      </c>
    </row>
    <row r="2278" spans="8:15" ht="16.5">
      <c r="H2278" s="49" t="s">
        <v>88</v>
      </c>
      <c r="I2278" s="50"/>
    </row>
    <row r="2279" spans="8:15">
      <c r="H2279" s="51" t="s">
        <v>89</v>
      </c>
    </row>
    <row r="2280" spans="8:15">
      <c r="H2280" s="51" t="s">
        <v>90</v>
      </c>
    </row>
    <row r="2281" spans="8:15">
      <c r="H2281" s="51" t="s">
        <v>91</v>
      </c>
    </row>
    <row r="2282" spans="8:15" ht="11.25" customHeight="1">
      <c r="H2282" s="50"/>
      <c r="I2282" s="50"/>
    </row>
    <row r="2283" spans="8:15" ht="15.75">
      <c r="H2283" s="260" t="s">
        <v>1031</v>
      </c>
      <c r="N2283" s="52"/>
    </row>
    <row r="2284" spans="8:15" ht="15.75">
      <c r="H2284" s="53" t="s">
        <v>535</v>
      </c>
      <c r="N2284" s="53"/>
    </row>
    <row r="2285" spans="8:15" ht="16.5">
      <c r="H2285" s="894" t="s">
        <v>909</v>
      </c>
      <c r="I2285" s="894"/>
      <c r="J2285" s="894"/>
      <c r="K2285" s="894"/>
      <c r="L2285" s="894"/>
      <c r="M2285" s="894"/>
      <c r="N2285" s="894"/>
      <c r="O2285" s="894"/>
    </row>
    <row r="2286" spans="8:15" ht="15.75" thickBot="1"/>
    <row r="2287" spans="8:15">
      <c r="H2287" s="895" t="s">
        <v>94</v>
      </c>
      <c r="I2287" s="897" t="s">
        <v>95</v>
      </c>
      <c r="J2287" s="897" t="s">
        <v>96</v>
      </c>
      <c r="K2287" s="897" t="s">
        <v>3</v>
      </c>
      <c r="L2287" s="897" t="s">
        <v>97</v>
      </c>
      <c r="M2287" s="897" t="s">
        <v>98</v>
      </c>
      <c r="N2287" s="897" t="s">
        <v>99</v>
      </c>
      <c r="O2287" s="899"/>
    </row>
    <row r="2288" spans="8:15" ht="15.75" thickBot="1">
      <c r="H2288" s="896"/>
      <c r="I2288" s="898"/>
      <c r="J2288" s="898"/>
      <c r="K2288" s="898"/>
      <c r="L2288" s="898"/>
      <c r="M2288" s="898"/>
      <c r="N2288" s="240" t="s">
        <v>100</v>
      </c>
      <c r="O2288" s="182" t="s">
        <v>101</v>
      </c>
    </row>
    <row r="2289" spans="8:15">
      <c r="H2289" s="881">
        <v>247</v>
      </c>
      <c r="I2289" s="875">
        <v>42623</v>
      </c>
      <c r="J2289" s="877" t="s">
        <v>40</v>
      </c>
      <c r="K2289" s="879" t="s">
        <v>1037</v>
      </c>
      <c r="L2289" s="881" t="s">
        <v>148</v>
      </c>
      <c r="M2289" s="883">
        <v>140000</v>
      </c>
      <c r="N2289" s="55">
        <v>719</v>
      </c>
      <c r="O2289" s="78">
        <v>100000</v>
      </c>
    </row>
    <row r="2290" spans="8:15" ht="15.75" thickBot="1">
      <c r="H2290" s="882"/>
      <c r="I2290" s="876"/>
      <c r="J2290" s="878"/>
      <c r="K2290" s="880"/>
      <c r="L2290" s="882"/>
      <c r="M2290" s="884"/>
      <c r="N2290" s="56">
        <v>721</v>
      </c>
      <c r="O2290" s="79">
        <f>+M2289-O2289</f>
        <v>40000</v>
      </c>
    </row>
    <row r="2291" spans="8:15">
      <c r="H2291" s="881">
        <v>248</v>
      </c>
      <c r="I2291" s="875">
        <v>42623</v>
      </c>
      <c r="J2291" s="877" t="s">
        <v>28</v>
      </c>
      <c r="K2291" s="879" t="s">
        <v>1038</v>
      </c>
      <c r="L2291" s="881" t="s">
        <v>148</v>
      </c>
      <c r="M2291" s="883">
        <v>714000</v>
      </c>
      <c r="N2291" s="55">
        <v>719</v>
      </c>
      <c r="O2291" s="78">
        <f>+M2291-O2292</f>
        <v>510000</v>
      </c>
    </row>
    <row r="2292" spans="8:15" ht="15.75" thickBot="1">
      <c r="H2292" s="882"/>
      <c r="I2292" s="876"/>
      <c r="J2292" s="878"/>
      <c r="K2292" s="880"/>
      <c r="L2292" s="882"/>
      <c r="M2292" s="884"/>
      <c r="N2292" s="56">
        <v>721</v>
      </c>
      <c r="O2292" s="79">
        <v>204000</v>
      </c>
    </row>
    <row r="2293" spans="8:15">
      <c r="H2293" s="881">
        <v>249</v>
      </c>
      <c r="I2293" s="875">
        <v>42623</v>
      </c>
      <c r="J2293" s="877" t="s">
        <v>111</v>
      </c>
      <c r="K2293" s="879" t="s">
        <v>1039</v>
      </c>
      <c r="L2293" s="881" t="s">
        <v>148</v>
      </c>
      <c r="M2293" s="883">
        <v>252000</v>
      </c>
      <c r="N2293" s="55">
        <v>719</v>
      </c>
      <c r="O2293" s="78">
        <v>180000</v>
      </c>
    </row>
    <row r="2294" spans="8:15" ht="15.75" thickBot="1">
      <c r="H2294" s="882"/>
      <c r="I2294" s="876"/>
      <c r="J2294" s="878"/>
      <c r="K2294" s="880"/>
      <c r="L2294" s="882"/>
      <c r="M2294" s="884"/>
      <c r="N2294" s="56">
        <v>721</v>
      </c>
      <c r="O2294" s="79">
        <f>+M2293-O2293</f>
        <v>72000</v>
      </c>
    </row>
    <row r="2295" spans="8:15">
      <c r="H2295" s="881">
        <v>250</v>
      </c>
      <c r="I2295" s="875">
        <v>42623</v>
      </c>
      <c r="J2295" s="877" t="s">
        <v>40</v>
      </c>
      <c r="K2295" s="879" t="s">
        <v>1040</v>
      </c>
      <c r="L2295" s="881" t="s">
        <v>148</v>
      </c>
      <c r="M2295" s="883">
        <v>112000</v>
      </c>
      <c r="N2295" s="55">
        <v>719</v>
      </c>
      <c r="O2295" s="78">
        <v>80000</v>
      </c>
    </row>
    <row r="2296" spans="8:15" ht="15.75" thickBot="1">
      <c r="H2296" s="882"/>
      <c r="I2296" s="876"/>
      <c r="J2296" s="878"/>
      <c r="K2296" s="880"/>
      <c r="L2296" s="882"/>
      <c r="M2296" s="884"/>
      <c r="N2296" s="56">
        <v>721</v>
      </c>
      <c r="O2296" s="79">
        <f>+M2295-O2295</f>
        <v>32000</v>
      </c>
    </row>
    <row r="2297" spans="8:15">
      <c r="H2297" s="881">
        <v>251</v>
      </c>
      <c r="I2297" s="875">
        <v>42623</v>
      </c>
      <c r="J2297" s="877" t="s">
        <v>28</v>
      </c>
      <c r="K2297" s="879" t="s">
        <v>1041</v>
      </c>
      <c r="L2297" s="881" t="s">
        <v>148</v>
      </c>
      <c r="M2297" s="883">
        <v>504000</v>
      </c>
      <c r="N2297" s="55">
        <v>719</v>
      </c>
      <c r="O2297" s="78">
        <v>360000</v>
      </c>
    </row>
    <row r="2298" spans="8:15" ht="15.75" thickBot="1">
      <c r="H2298" s="882"/>
      <c r="I2298" s="876"/>
      <c r="J2298" s="878"/>
      <c r="K2298" s="880"/>
      <c r="L2298" s="882"/>
      <c r="M2298" s="884"/>
      <c r="N2298" s="56">
        <v>723</v>
      </c>
      <c r="O2298" s="79">
        <f>+M2297-O2297</f>
        <v>144000</v>
      </c>
    </row>
    <row r="2299" spans="8:15" ht="16.5" thickBot="1">
      <c r="H2299" s="901" t="s">
        <v>102</v>
      </c>
      <c r="I2299" s="902"/>
      <c r="J2299" s="902"/>
      <c r="K2299" s="902"/>
      <c r="L2299" s="903"/>
      <c r="M2299" s="81">
        <f>SUM(M2289:M2298)</f>
        <v>1722000</v>
      </c>
    </row>
    <row r="2300" spans="8:15" ht="16.5" thickBot="1">
      <c r="H2300" s="885" t="s">
        <v>103</v>
      </c>
      <c r="I2300" s="886"/>
      <c r="J2300" s="886"/>
      <c r="K2300" s="886"/>
      <c r="L2300" s="887"/>
      <c r="M2300" s="69">
        <f>+M2264</f>
        <v>92021522</v>
      </c>
      <c r="N2300" s="241" t="s">
        <v>561</v>
      </c>
      <c r="O2300" s="242">
        <f>875+40+72+1421+61</f>
        <v>2469</v>
      </c>
    </row>
    <row r="2301" spans="8:15" ht="16.5" thickBot="1">
      <c r="H2301" s="888" t="s">
        <v>104</v>
      </c>
      <c r="I2301" s="889"/>
      <c r="J2301" s="889"/>
      <c r="K2301" s="889"/>
      <c r="L2301" s="890"/>
      <c r="M2301" s="183">
        <f>SUM(M2299:M2300)</f>
        <v>93743522</v>
      </c>
    </row>
    <row r="2302" spans="8:15">
      <c r="H2302" s="61"/>
      <c r="I2302" s="61"/>
      <c r="J2302" s="61"/>
      <c r="K2302" s="61"/>
      <c r="L2302" s="61"/>
    </row>
    <row r="2303" spans="8:15">
      <c r="H2303" s="51" t="s">
        <v>1042</v>
      </c>
    </row>
    <row r="2304" spans="8:15" ht="12.75" customHeight="1">
      <c r="M2304" s="139"/>
    </row>
    <row r="2305" spans="8:14">
      <c r="H2305" s="50" t="s">
        <v>105</v>
      </c>
      <c r="K2305" s="146"/>
      <c r="M2305" s="139"/>
    </row>
    <row r="2306" spans="8:14" ht="13.5" customHeight="1" thickBot="1"/>
    <row r="2307" spans="8:14" ht="15.75" thickBot="1">
      <c r="H2307" s="891" t="s">
        <v>106</v>
      </c>
      <c r="I2307" s="892"/>
      <c r="J2307" s="892"/>
      <c r="K2307" s="893"/>
      <c r="M2307" s="50" t="s">
        <v>288</v>
      </c>
    </row>
    <row r="2308" spans="8:14" ht="30.75" thickBot="1">
      <c r="H2308" s="57" t="s">
        <v>100</v>
      </c>
      <c r="I2308" s="58" t="s">
        <v>108</v>
      </c>
      <c r="J2308" s="287" t="s">
        <v>109</v>
      </c>
      <c r="K2308" s="60" t="s">
        <v>110</v>
      </c>
    </row>
    <row r="2309" spans="8:14">
      <c r="H2309" s="71">
        <v>719</v>
      </c>
      <c r="I2309" s="73">
        <f>+O2289+O2291+O2293+O2295+O2297</f>
        <v>1230000</v>
      </c>
      <c r="J2309" s="74">
        <f>+K2272</f>
        <v>23150000</v>
      </c>
      <c r="K2309" s="195">
        <f>+I2309+J2309</f>
        <v>24380000</v>
      </c>
    </row>
    <row r="2310" spans="8:14">
      <c r="H2310" s="72">
        <v>721</v>
      </c>
      <c r="I2310" s="80">
        <f>+O2290+O2292+O2294+O2296+O2298</f>
        <v>492000</v>
      </c>
      <c r="J2310" s="74">
        <f>+K2273</f>
        <v>85394059</v>
      </c>
      <c r="K2310" s="195">
        <f>+I2310+J2310</f>
        <v>85886059</v>
      </c>
    </row>
    <row r="2311" spans="8:14">
      <c r="H2311" s="72">
        <v>722</v>
      </c>
      <c r="I2311" s="80"/>
      <c r="J2311" s="74">
        <f>+K2274</f>
        <v>0</v>
      </c>
      <c r="K2311" s="195">
        <f>+I2311+J2311</f>
        <v>0</v>
      </c>
    </row>
    <row r="2312" spans="8:14" ht="15.75">
      <c r="H2312" s="72">
        <v>723</v>
      </c>
      <c r="I2312" s="80"/>
      <c r="J2312" s="74">
        <f>+K2275</f>
        <v>-16592537</v>
      </c>
      <c r="K2312" s="195">
        <f>+I2312+J2312</f>
        <v>-16592537</v>
      </c>
      <c r="M2312" s="193" t="s">
        <v>289</v>
      </c>
      <c r="N2312" s="175"/>
    </row>
    <row r="2313" spans="8:14" ht="16.5" thickBot="1">
      <c r="H2313" s="164" t="s">
        <v>181</v>
      </c>
      <c r="I2313" s="165"/>
      <c r="J2313" s="74">
        <f>+K2276</f>
        <v>0</v>
      </c>
      <c r="K2313" s="196">
        <f>+I2313+J2313</f>
        <v>0</v>
      </c>
      <c r="M2313" s="52"/>
    </row>
    <row r="2314" spans="8:14" ht="16.5" thickBot="1">
      <c r="H2314" s="169"/>
      <c r="I2314" s="197">
        <f>SUM(I2309:I2313)</f>
        <v>1722000</v>
      </c>
      <c r="J2314" s="197">
        <f>SUM(J2309:J2313)</f>
        <v>91951522</v>
      </c>
      <c r="K2314" s="198">
        <f>SUM(K2309:K2313)</f>
        <v>93673522</v>
      </c>
    </row>
    <row r="2315" spans="8:14" ht="16.5">
      <c r="H2315" s="49" t="s">
        <v>88</v>
      </c>
      <c r="I2315" s="50"/>
    </row>
    <row r="2316" spans="8:14">
      <c r="H2316" s="51" t="s">
        <v>89</v>
      </c>
    </row>
    <row r="2317" spans="8:14">
      <c r="H2317" s="51" t="s">
        <v>90</v>
      </c>
    </row>
    <row r="2318" spans="8:14">
      <c r="H2318" s="51" t="s">
        <v>91</v>
      </c>
    </row>
    <row r="2319" spans="8:14" ht="12.75" customHeight="1">
      <c r="H2319" s="50"/>
      <c r="I2319" s="50"/>
    </row>
    <row r="2320" spans="8:14" ht="15.75">
      <c r="H2320" s="260" t="s">
        <v>1032</v>
      </c>
      <c r="N2320" s="52"/>
    </row>
    <row r="2321" spans="8:15" ht="15.75">
      <c r="H2321" s="53" t="s">
        <v>535</v>
      </c>
      <c r="N2321" s="53"/>
    </row>
    <row r="2322" spans="8:15" ht="16.5">
      <c r="H2322" s="894" t="s">
        <v>909</v>
      </c>
      <c r="I2322" s="894"/>
      <c r="J2322" s="894"/>
      <c r="K2322" s="894"/>
      <c r="L2322" s="894"/>
      <c r="M2322" s="894"/>
      <c r="N2322" s="894"/>
      <c r="O2322" s="894"/>
    </row>
    <row r="2323" spans="8:15" ht="15.75" thickBot="1"/>
    <row r="2324" spans="8:15">
      <c r="H2324" s="895" t="s">
        <v>94</v>
      </c>
      <c r="I2324" s="897" t="s">
        <v>95</v>
      </c>
      <c r="J2324" s="897" t="s">
        <v>96</v>
      </c>
      <c r="K2324" s="897" t="s">
        <v>3</v>
      </c>
      <c r="L2324" s="897" t="s">
        <v>97</v>
      </c>
      <c r="M2324" s="897" t="s">
        <v>98</v>
      </c>
      <c r="N2324" s="897" t="s">
        <v>99</v>
      </c>
      <c r="O2324" s="899"/>
    </row>
    <row r="2325" spans="8:15" ht="15.75" thickBot="1">
      <c r="H2325" s="896"/>
      <c r="I2325" s="898"/>
      <c r="J2325" s="898"/>
      <c r="K2325" s="898"/>
      <c r="L2325" s="898"/>
      <c r="M2325" s="898"/>
      <c r="N2325" s="240" t="s">
        <v>100</v>
      </c>
      <c r="O2325" s="182" t="s">
        <v>101</v>
      </c>
    </row>
    <row r="2326" spans="8:15" ht="15" customHeight="1">
      <c r="H2326" s="881">
        <v>252</v>
      </c>
      <c r="I2326" s="875">
        <v>42621</v>
      </c>
      <c r="J2326" s="877" t="s">
        <v>40</v>
      </c>
      <c r="K2326" s="879" t="s">
        <v>1043</v>
      </c>
      <c r="L2326" s="881" t="s">
        <v>148</v>
      </c>
      <c r="M2326" s="883">
        <v>56000</v>
      </c>
      <c r="N2326" s="55">
        <v>719</v>
      </c>
      <c r="O2326" s="78">
        <v>40000</v>
      </c>
    </row>
    <row r="2327" spans="8:15" ht="15.75" customHeight="1" thickBot="1">
      <c r="H2327" s="882"/>
      <c r="I2327" s="876"/>
      <c r="J2327" s="878"/>
      <c r="K2327" s="880"/>
      <c r="L2327" s="882"/>
      <c r="M2327" s="884"/>
      <c r="N2327" s="56">
        <v>721</v>
      </c>
      <c r="O2327" s="79">
        <f>+M2326-O2326</f>
        <v>16000</v>
      </c>
    </row>
    <row r="2328" spans="8:15" ht="15" customHeight="1">
      <c r="H2328" s="881">
        <v>253</v>
      </c>
      <c r="I2328" s="875">
        <v>42621</v>
      </c>
      <c r="J2328" s="877" t="s">
        <v>28</v>
      </c>
      <c r="K2328" s="879" t="s">
        <v>1044</v>
      </c>
      <c r="L2328" s="881" t="s">
        <v>148</v>
      </c>
      <c r="M2328" s="883">
        <v>252000</v>
      </c>
      <c r="N2328" s="55">
        <v>719</v>
      </c>
      <c r="O2328" s="78">
        <v>180000</v>
      </c>
    </row>
    <row r="2329" spans="8:15" ht="15.75" customHeight="1" thickBot="1">
      <c r="H2329" s="882"/>
      <c r="I2329" s="876"/>
      <c r="J2329" s="878"/>
      <c r="K2329" s="880"/>
      <c r="L2329" s="882"/>
      <c r="M2329" s="884"/>
      <c r="N2329" s="56">
        <v>721</v>
      </c>
      <c r="O2329" s="79">
        <f>+M2328-O2328</f>
        <v>72000</v>
      </c>
    </row>
    <row r="2330" spans="8:15" ht="15" customHeight="1">
      <c r="H2330" s="881">
        <v>254</v>
      </c>
      <c r="I2330" s="875">
        <v>42621</v>
      </c>
      <c r="J2330" s="877" t="s">
        <v>111</v>
      </c>
      <c r="K2330" s="879" t="s">
        <v>1045</v>
      </c>
      <c r="L2330" s="881" t="s">
        <v>148</v>
      </c>
      <c r="M2330" s="883">
        <v>112000</v>
      </c>
      <c r="N2330" s="55">
        <v>719</v>
      </c>
      <c r="O2330" s="78">
        <v>80000</v>
      </c>
    </row>
    <row r="2331" spans="8:15" ht="15.75" customHeight="1" thickBot="1">
      <c r="H2331" s="882"/>
      <c r="I2331" s="876"/>
      <c r="J2331" s="878"/>
      <c r="K2331" s="880"/>
      <c r="L2331" s="882"/>
      <c r="M2331" s="884"/>
      <c r="N2331" s="56">
        <v>721</v>
      </c>
      <c r="O2331" s="79">
        <f>+M2330-O2330</f>
        <v>32000</v>
      </c>
    </row>
    <row r="2332" spans="8:15" ht="15" customHeight="1">
      <c r="H2332" s="881">
        <v>255</v>
      </c>
      <c r="I2332" s="875">
        <v>42621</v>
      </c>
      <c r="J2332" s="877" t="s">
        <v>111</v>
      </c>
      <c r="K2332" s="879" t="s">
        <v>1044</v>
      </c>
      <c r="L2332" s="881" t="s">
        <v>148</v>
      </c>
      <c r="M2332" s="883">
        <v>56000</v>
      </c>
      <c r="N2332" s="55">
        <v>719</v>
      </c>
      <c r="O2332" s="78">
        <v>40000</v>
      </c>
    </row>
    <row r="2333" spans="8:15" ht="15.75" customHeight="1" thickBot="1">
      <c r="H2333" s="882"/>
      <c r="I2333" s="876"/>
      <c r="J2333" s="878"/>
      <c r="K2333" s="880"/>
      <c r="L2333" s="882"/>
      <c r="M2333" s="884"/>
      <c r="N2333" s="56">
        <v>721</v>
      </c>
      <c r="O2333" s="79">
        <f>+M2332-O2332</f>
        <v>16000</v>
      </c>
    </row>
    <row r="2334" spans="8:15">
      <c r="H2334" s="881"/>
      <c r="I2334" s="875"/>
      <c r="J2334" s="877"/>
      <c r="K2334" s="879"/>
      <c r="L2334" s="881"/>
      <c r="M2334" s="883"/>
      <c r="N2334" s="55">
        <v>719</v>
      </c>
      <c r="O2334" s="78"/>
    </row>
    <row r="2335" spans="8:15" ht="15.75" thickBot="1">
      <c r="H2335" s="882"/>
      <c r="I2335" s="876"/>
      <c r="J2335" s="878"/>
      <c r="K2335" s="880"/>
      <c r="L2335" s="882"/>
      <c r="M2335" s="884"/>
      <c r="N2335" s="56">
        <v>723</v>
      </c>
      <c r="O2335" s="79">
        <f>+M2334-O2334</f>
        <v>0</v>
      </c>
    </row>
    <row r="2336" spans="8:15" ht="16.5" thickBot="1">
      <c r="H2336" s="901" t="s">
        <v>102</v>
      </c>
      <c r="I2336" s="902"/>
      <c r="J2336" s="902"/>
      <c r="K2336" s="902"/>
      <c r="L2336" s="903"/>
      <c r="M2336" s="81">
        <f>SUM(M2326:M2335)</f>
        <v>476000</v>
      </c>
    </row>
    <row r="2337" spans="8:15" ht="16.5" thickBot="1">
      <c r="H2337" s="885" t="s">
        <v>103</v>
      </c>
      <c r="I2337" s="886"/>
      <c r="J2337" s="886"/>
      <c r="K2337" s="886"/>
      <c r="L2337" s="887"/>
      <c r="M2337" s="69">
        <f>+M2301</f>
        <v>93743522</v>
      </c>
      <c r="N2337" s="241" t="s">
        <v>561</v>
      </c>
      <c r="O2337" s="242">
        <f>451+25+37+18</f>
        <v>531</v>
      </c>
    </row>
    <row r="2338" spans="8:15" ht="16.5" thickBot="1">
      <c r="H2338" s="888" t="s">
        <v>104</v>
      </c>
      <c r="I2338" s="889"/>
      <c r="J2338" s="889"/>
      <c r="K2338" s="889"/>
      <c r="L2338" s="890"/>
      <c r="M2338" s="183">
        <f>SUM(M2336:M2337)</f>
        <v>94219522</v>
      </c>
    </row>
    <row r="2339" spans="8:15">
      <c r="H2339" s="61"/>
      <c r="I2339" s="61"/>
      <c r="J2339" s="61"/>
      <c r="K2339" s="61"/>
      <c r="L2339" s="61"/>
    </row>
    <row r="2340" spans="8:15">
      <c r="H2340" s="51" t="s">
        <v>1065</v>
      </c>
    </row>
    <row r="2341" spans="8:15" ht="12" customHeight="1">
      <c r="M2341" s="139"/>
    </row>
    <row r="2342" spans="8:15">
      <c r="H2342" s="50" t="s">
        <v>105</v>
      </c>
      <c r="K2342" s="146"/>
      <c r="M2342" s="139"/>
    </row>
    <row r="2343" spans="8:15" ht="12.75" customHeight="1" thickBot="1"/>
    <row r="2344" spans="8:15" ht="15.75" thickBot="1">
      <c r="H2344" s="891" t="s">
        <v>106</v>
      </c>
      <c r="I2344" s="892"/>
      <c r="J2344" s="892"/>
      <c r="K2344" s="893"/>
      <c r="M2344" s="50" t="s">
        <v>288</v>
      </c>
    </row>
    <row r="2345" spans="8:15" ht="30.75" thickBot="1">
      <c r="H2345" s="57" t="s">
        <v>100</v>
      </c>
      <c r="I2345" s="58" t="s">
        <v>108</v>
      </c>
      <c r="J2345" s="287" t="s">
        <v>109</v>
      </c>
      <c r="K2345" s="60" t="s">
        <v>110</v>
      </c>
    </row>
    <row r="2346" spans="8:15">
      <c r="H2346" s="71">
        <v>719</v>
      </c>
      <c r="I2346" s="73">
        <f>+O2326+O2328+O2330+O2332+O2334</f>
        <v>340000</v>
      </c>
      <c r="J2346" s="74">
        <f>+K2309</f>
        <v>24380000</v>
      </c>
      <c r="K2346" s="195">
        <f>+I2346+J2346</f>
        <v>24720000</v>
      </c>
    </row>
    <row r="2347" spans="8:15">
      <c r="H2347" s="72">
        <v>721</v>
      </c>
      <c r="I2347" s="80">
        <f>+O2327+O2329+O2331+O2333+O2335</f>
        <v>136000</v>
      </c>
      <c r="J2347" s="74">
        <f>+K2310</f>
        <v>85886059</v>
      </c>
      <c r="K2347" s="195">
        <f>+I2347+J2347</f>
        <v>86022059</v>
      </c>
    </row>
    <row r="2348" spans="8:15">
      <c r="H2348" s="72">
        <v>722</v>
      </c>
      <c r="I2348" s="80"/>
      <c r="J2348" s="74">
        <f>+K2311</f>
        <v>0</v>
      </c>
      <c r="K2348" s="195">
        <f>+I2348+J2348</f>
        <v>0</v>
      </c>
    </row>
    <row r="2349" spans="8:15" ht="15.75">
      <c r="H2349" s="72">
        <v>723</v>
      </c>
      <c r="I2349" s="80"/>
      <c r="J2349" s="74">
        <f>+K2312</f>
        <v>-16592537</v>
      </c>
      <c r="K2349" s="195">
        <f>+I2349+J2349</f>
        <v>-16592537</v>
      </c>
      <c r="M2349" s="193" t="s">
        <v>289</v>
      </c>
      <c r="N2349" s="175"/>
    </row>
    <row r="2350" spans="8:15" ht="16.5" thickBot="1">
      <c r="H2350" s="164" t="s">
        <v>181</v>
      </c>
      <c r="I2350" s="165"/>
      <c r="J2350" s="74">
        <f>+K2313</f>
        <v>0</v>
      </c>
      <c r="K2350" s="196">
        <f>+I2350+J2350</f>
        <v>0</v>
      </c>
      <c r="M2350" s="52"/>
    </row>
    <row r="2351" spans="8:15" ht="16.5" thickBot="1">
      <c r="H2351" s="169"/>
      <c r="I2351" s="197">
        <f>SUM(I2346:I2350)</f>
        <v>476000</v>
      </c>
      <c r="J2351" s="197">
        <f>SUM(J2346:J2350)</f>
        <v>93673522</v>
      </c>
      <c r="K2351" s="198">
        <f>SUM(K2346:K2350)</f>
        <v>94149522</v>
      </c>
    </row>
    <row r="2352" spans="8:15" ht="16.5">
      <c r="H2352" s="49" t="s">
        <v>88</v>
      </c>
      <c r="I2352" s="50"/>
    </row>
    <row r="2353" spans="8:15">
      <c r="H2353" s="51" t="s">
        <v>89</v>
      </c>
    </row>
    <row r="2354" spans="8:15">
      <c r="H2354" s="51" t="s">
        <v>90</v>
      </c>
    </row>
    <row r="2355" spans="8:15">
      <c r="H2355" s="51" t="s">
        <v>91</v>
      </c>
    </row>
    <row r="2356" spans="8:15" ht="12" customHeight="1">
      <c r="H2356" s="50"/>
      <c r="I2356" s="50"/>
    </row>
    <row r="2357" spans="8:15" ht="15.75">
      <c r="H2357" s="260" t="s">
        <v>1059</v>
      </c>
      <c r="N2357" s="52"/>
    </row>
    <row r="2358" spans="8:15" ht="15.75">
      <c r="H2358" s="53" t="s">
        <v>535</v>
      </c>
      <c r="N2358" s="53"/>
    </row>
    <row r="2359" spans="8:15" ht="16.5">
      <c r="H2359" s="894" t="s">
        <v>1063</v>
      </c>
      <c r="I2359" s="894"/>
      <c r="J2359" s="894"/>
      <c r="K2359" s="894"/>
      <c r="L2359" s="894"/>
      <c r="M2359" s="894"/>
      <c r="N2359" s="894"/>
      <c r="O2359" s="894"/>
    </row>
    <row r="2360" spans="8:15" ht="15.75" thickBot="1"/>
    <row r="2361" spans="8:15">
      <c r="H2361" s="895" t="s">
        <v>94</v>
      </c>
      <c r="I2361" s="897" t="s">
        <v>95</v>
      </c>
      <c r="J2361" s="897" t="s">
        <v>96</v>
      </c>
      <c r="K2361" s="897" t="s">
        <v>3</v>
      </c>
      <c r="L2361" s="897" t="s">
        <v>97</v>
      </c>
      <c r="M2361" s="897" t="s">
        <v>98</v>
      </c>
      <c r="N2361" s="897" t="s">
        <v>99</v>
      </c>
      <c r="O2361" s="899"/>
    </row>
    <row r="2362" spans="8:15" ht="15.75" thickBot="1">
      <c r="H2362" s="896"/>
      <c r="I2362" s="898"/>
      <c r="J2362" s="898"/>
      <c r="K2362" s="898"/>
      <c r="L2362" s="898"/>
      <c r="M2362" s="898"/>
      <c r="N2362" s="240" t="s">
        <v>100</v>
      </c>
      <c r="O2362" s="182" t="s">
        <v>101</v>
      </c>
    </row>
    <row r="2363" spans="8:15">
      <c r="H2363" s="881">
        <v>256</v>
      </c>
      <c r="I2363" s="875">
        <v>42622</v>
      </c>
      <c r="J2363" s="877" t="s">
        <v>1060</v>
      </c>
      <c r="K2363" s="879" t="s">
        <v>1061</v>
      </c>
      <c r="L2363" s="881" t="s">
        <v>148</v>
      </c>
      <c r="M2363" s="883">
        <v>2000000</v>
      </c>
      <c r="N2363" s="55">
        <v>722</v>
      </c>
      <c r="O2363" s="78">
        <v>2000000</v>
      </c>
    </row>
    <row r="2364" spans="8:15" ht="15.75" thickBot="1">
      <c r="H2364" s="882"/>
      <c r="I2364" s="876"/>
      <c r="J2364" s="878"/>
      <c r="K2364" s="880"/>
      <c r="L2364" s="882"/>
      <c r="M2364" s="884"/>
      <c r="N2364" s="56">
        <v>721</v>
      </c>
      <c r="O2364" s="79">
        <f>+M2363-O2363</f>
        <v>0</v>
      </c>
    </row>
    <row r="2365" spans="8:15">
      <c r="H2365" s="881"/>
      <c r="I2365" s="875"/>
      <c r="J2365" s="877"/>
      <c r="K2365" s="879"/>
      <c r="L2365" s="881"/>
      <c r="M2365" s="883"/>
      <c r="N2365" s="55">
        <v>719</v>
      </c>
      <c r="O2365" s="78"/>
    </row>
    <row r="2366" spans="8:15" ht="15.75" thickBot="1">
      <c r="H2366" s="882"/>
      <c r="I2366" s="876"/>
      <c r="J2366" s="878"/>
      <c r="K2366" s="880"/>
      <c r="L2366" s="882"/>
      <c r="M2366" s="884"/>
      <c r="N2366" s="56">
        <v>721</v>
      </c>
      <c r="O2366" s="79">
        <f>+M2365-O2365</f>
        <v>0</v>
      </c>
    </row>
    <row r="2367" spans="8:15">
      <c r="H2367" s="881"/>
      <c r="I2367" s="875"/>
      <c r="J2367" s="877"/>
      <c r="K2367" s="879"/>
      <c r="L2367" s="881"/>
      <c r="M2367" s="883"/>
      <c r="N2367" s="55">
        <v>719</v>
      </c>
      <c r="O2367" s="78"/>
    </row>
    <row r="2368" spans="8:15" ht="13.5" customHeight="1" thickBot="1">
      <c r="H2368" s="882"/>
      <c r="I2368" s="876"/>
      <c r="J2368" s="878"/>
      <c r="K2368" s="880"/>
      <c r="L2368" s="882"/>
      <c r="M2368" s="884"/>
      <c r="N2368" s="56">
        <v>721</v>
      </c>
      <c r="O2368" s="79">
        <f>+M2367-O2367</f>
        <v>0</v>
      </c>
    </row>
    <row r="2369" spans="8:15">
      <c r="H2369" s="881"/>
      <c r="I2369" s="875"/>
      <c r="J2369" s="877"/>
      <c r="K2369" s="879"/>
      <c r="L2369" s="881"/>
      <c r="M2369" s="883"/>
      <c r="N2369" s="55">
        <v>719</v>
      </c>
      <c r="O2369" s="78"/>
    </row>
    <row r="2370" spans="8:15" ht="15.75" thickBot="1">
      <c r="H2370" s="882"/>
      <c r="I2370" s="876"/>
      <c r="J2370" s="878"/>
      <c r="K2370" s="880"/>
      <c r="L2370" s="882"/>
      <c r="M2370" s="884"/>
      <c r="N2370" s="56">
        <v>721</v>
      </c>
      <c r="O2370" s="79">
        <f>+M2369-O2369</f>
        <v>0</v>
      </c>
    </row>
    <row r="2371" spans="8:15">
      <c r="H2371" s="881"/>
      <c r="I2371" s="875"/>
      <c r="J2371" s="877"/>
      <c r="K2371" s="879"/>
      <c r="L2371" s="881"/>
      <c r="M2371" s="883"/>
      <c r="N2371" s="55">
        <v>719</v>
      </c>
      <c r="O2371" s="78"/>
    </row>
    <row r="2372" spans="8:15" ht="12" customHeight="1" thickBot="1">
      <c r="H2372" s="882"/>
      <c r="I2372" s="876"/>
      <c r="J2372" s="878"/>
      <c r="K2372" s="880"/>
      <c r="L2372" s="882"/>
      <c r="M2372" s="884"/>
      <c r="N2372" s="56">
        <v>723</v>
      </c>
      <c r="O2372" s="79">
        <f>+M2371-O2371</f>
        <v>0</v>
      </c>
    </row>
    <row r="2373" spans="8:15" ht="16.5" thickBot="1">
      <c r="H2373" s="901" t="s">
        <v>102</v>
      </c>
      <c r="I2373" s="902"/>
      <c r="J2373" s="902"/>
      <c r="K2373" s="902"/>
      <c r="L2373" s="903"/>
      <c r="M2373" s="81">
        <f>SUM(M2363:M2372)</f>
        <v>2000000</v>
      </c>
    </row>
    <row r="2374" spans="8:15" ht="16.5" thickBot="1">
      <c r="H2374" s="885" t="s">
        <v>103</v>
      </c>
      <c r="I2374" s="886"/>
      <c r="J2374" s="886"/>
      <c r="K2374" s="886"/>
      <c r="L2374" s="887"/>
      <c r="M2374" s="69">
        <f>+M2338</f>
        <v>94219522</v>
      </c>
      <c r="N2374" s="241" t="s">
        <v>561</v>
      </c>
      <c r="O2374" s="242">
        <v>0</v>
      </c>
    </row>
    <row r="2375" spans="8:15" ht="16.5" thickBot="1">
      <c r="H2375" s="888" t="s">
        <v>104</v>
      </c>
      <c r="I2375" s="889"/>
      <c r="J2375" s="889"/>
      <c r="K2375" s="889"/>
      <c r="L2375" s="890"/>
      <c r="M2375" s="183">
        <f>SUM(M2373:M2374)</f>
        <v>96219522</v>
      </c>
    </row>
    <row r="2376" spans="8:15">
      <c r="H2376" s="61"/>
      <c r="I2376" s="61"/>
      <c r="J2376" s="61"/>
      <c r="K2376" s="61"/>
      <c r="L2376" s="61"/>
    </row>
    <row r="2377" spans="8:15">
      <c r="H2377" s="51" t="s">
        <v>1062</v>
      </c>
    </row>
    <row r="2378" spans="8:15" ht="12" customHeight="1">
      <c r="M2378" s="139"/>
    </row>
    <row r="2379" spans="8:15">
      <c r="H2379" s="50" t="s">
        <v>105</v>
      </c>
      <c r="K2379" s="146"/>
      <c r="M2379" s="139"/>
    </row>
    <row r="2380" spans="8:15" ht="15.75" thickBot="1"/>
    <row r="2381" spans="8:15" ht="15.75" thickBot="1">
      <c r="H2381" s="891" t="s">
        <v>106</v>
      </c>
      <c r="I2381" s="892"/>
      <c r="J2381" s="892"/>
      <c r="K2381" s="893"/>
      <c r="M2381" s="50" t="s">
        <v>288</v>
      </c>
    </row>
    <row r="2382" spans="8:15" ht="30.75" thickBot="1">
      <c r="H2382" s="57" t="s">
        <v>100</v>
      </c>
      <c r="I2382" s="58" t="s">
        <v>108</v>
      </c>
      <c r="J2382" s="287" t="s">
        <v>109</v>
      </c>
      <c r="K2382" s="60" t="s">
        <v>110</v>
      </c>
    </row>
    <row r="2383" spans="8:15">
      <c r="H2383" s="71">
        <v>719</v>
      </c>
      <c r="I2383" s="73"/>
      <c r="J2383" s="74">
        <f>+K2346</f>
        <v>24720000</v>
      </c>
      <c r="K2383" s="195">
        <f>+I2383+J2383</f>
        <v>24720000</v>
      </c>
    </row>
    <row r="2384" spans="8:15">
      <c r="H2384" s="72">
        <v>721</v>
      </c>
      <c r="I2384" s="80">
        <f>+O2364+O2366+O2368+O2370+O2372</f>
        <v>0</v>
      </c>
      <c r="J2384" s="74">
        <f>+K2347</f>
        <v>86022059</v>
      </c>
      <c r="K2384" s="195">
        <f>+I2384+J2384</f>
        <v>86022059</v>
      </c>
    </row>
    <row r="2385" spans="8:15">
      <c r="H2385" s="72">
        <v>722</v>
      </c>
      <c r="I2385" s="80">
        <f>+O2363</f>
        <v>2000000</v>
      </c>
      <c r="J2385" s="74">
        <f>+K2348</f>
        <v>0</v>
      </c>
      <c r="K2385" s="195">
        <f>+I2385+J2385</f>
        <v>2000000</v>
      </c>
    </row>
    <row r="2386" spans="8:15" ht="15.75">
      <c r="H2386" s="72">
        <v>723</v>
      </c>
      <c r="I2386" s="80"/>
      <c r="J2386" s="74">
        <f>K2389</f>
        <v>0</v>
      </c>
      <c r="K2386" s="195">
        <f>+I2386+J2386</f>
        <v>0</v>
      </c>
      <c r="M2386" s="193" t="s">
        <v>289</v>
      </c>
      <c r="N2386" s="175"/>
    </row>
    <row r="2387" spans="8:15" ht="16.5" thickBot="1">
      <c r="H2387" s="164" t="s">
        <v>181</v>
      </c>
      <c r="I2387" s="165"/>
      <c r="J2387" s="74">
        <f>+K2350</f>
        <v>0</v>
      </c>
      <c r="K2387" s="196">
        <f>+I2387+J2387</f>
        <v>0</v>
      </c>
      <c r="M2387" s="52"/>
    </row>
    <row r="2388" spans="8:15" ht="16.5" thickBot="1">
      <c r="H2388" s="169"/>
      <c r="I2388" s="197">
        <f>SUM(I2383:I2387)</f>
        <v>2000000</v>
      </c>
      <c r="J2388" s="197">
        <f>SUM(J2383:J2387)</f>
        <v>110742059</v>
      </c>
      <c r="K2388" s="198">
        <f>SUM(K2383:K2387)</f>
        <v>112742059</v>
      </c>
    </row>
    <row r="2389" spans="8:15" ht="16.5">
      <c r="H2389" s="49" t="s">
        <v>88</v>
      </c>
      <c r="I2389" s="50"/>
    </row>
    <row r="2390" spans="8:15">
      <c r="H2390" s="51" t="s">
        <v>89</v>
      </c>
    </row>
    <row r="2391" spans="8:15">
      <c r="H2391" s="51" t="s">
        <v>90</v>
      </c>
    </row>
    <row r="2392" spans="8:15">
      <c r="H2392" s="51" t="s">
        <v>91</v>
      </c>
    </row>
    <row r="2393" spans="8:15" ht="12" customHeight="1">
      <c r="H2393" s="50"/>
      <c r="I2393" s="50"/>
    </row>
    <row r="2394" spans="8:15" ht="15.75">
      <c r="H2394" s="260" t="s">
        <v>1066</v>
      </c>
      <c r="N2394" s="52"/>
    </row>
    <row r="2395" spans="8:15" ht="15.75">
      <c r="H2395" s="53" t="s">
        <v>535</v>
      </c>
      <c r="N2395" s="53"/>
    </row>
    <row r="2396" spans="8:15" ht="16.5">
      <c r="H2396" s="894" t="s">
        <v>909</v>
      </c>
      <c r="I2396" s="894"/>
      <c r="J2396" s="894"/>
      <c r="K2396" s="894"/>
      <c r="L2396" s="894"/>
      <c r="M2396" s="894"/>
      <c r="N2396" s="894"/>
      <c r="O2396" s="894"/>
    </row>
    <row r="2397" spans="8:15" ht="15.75" thickBot="1"/>
    <row r="2398" spans="8:15">
      <c r="H2398" s="895" t="s">
        <v>94</v>
      </c>
      <c r="I2398" s="897" t="s">
        <v>95</v>
      </c>
      <c r="J2398" s="897" t="s">
        <v>96</v>
      </c>
      <c r="K2398" s="897" t="s">
        <v>3</v>
      </c>
      <c r="L2398" s="897" t="s">
        <v>97</v>
      </c>
      <c r="M2398" s="897" t="s">
        <v>98</v>
      </c>
      <c r="N2398" s="897" t="s">
        <v>99</v>
      </c>
      <c r="O2398" s="899"/>
    </row>
    <row r="2399" spans="8:15" ht="15.75" thickBot="1">
      <c r="H2399" s="896"/>
      <c r="I2399" s="898"/>
      <c r="J2399" s="898"/>
      <c r="K2399" s="898"/>
      <c r="L2399" s="898"/>
      <c r="M2399" s="898"/>
      <c r="N2399" s="240" t="s">
        <v>100</v>
      </c>
      <c r="O2399" s="182" t="s">
        <v>101</v>
      </c>
    </row>
    <row r="2400" spans="8:15" ht="15" customHeight="1">
      <c r="H2400" s="881">
        <v>257</v>
      </c>
      <c r="I2400" s="875">
        <v>42622</v>
      </c>
      <c r="J2400" s="877" t="s">
        <v>1014</v>
      </c>
      <c r="K2400" s="879" t="s">
        <v>1067</v>
      </c>
      <c r="L2400" s="881" t="s">
        <v>115</v>
      </c>
      <c r="M2400" s="883">
        <v>60000</v>
      </c>
      <c r="N2400" s="55">
        <v>719</v>
      </c>
      <c r="O2400" s="78">
        <v>60000</v>
      </c>
    </row>
    <row r="2401" spans="8:15" ht="15.75" customHeight="1" thickBot="1">
      <c r="H2401" s="882"/>
      <c r="I2401" s="876"/>
      <c r="J2401" s="878"/>
      <c r="K2401" s="880"/>
      <c r="L2401" s="882"/>
      <c r="M2401" s="884"/>
      <c r="N2401" s="56">
        <v>721</v>
      </c>
      <c r="O2401" s="79">
        <f>+M2400-O2400</f>
        <v>0</v>
      </c>
    </row>
    <row r="2402" spans="8:15" ht="15" customHeight="1">
      <c r="H2402" s="881">
        <v>258</v>
      </c>
      <c r="I2402" s="875">
        <v>42622</v>
      </c>
      <c r="J2402" s="877" t="s">
        <v>28</v>
      </c>
      <c r="K2402" s="879" t="s">
        <v>1069</v>
      </c>
      <c r="L2402" s="881" t="s">
        <v>115</v>
      </c>
      <c r="M2402" s="883">
        <v>50000</v>
      </c>
      <c r="N2402" s="55">
        <v>719</v>
      </c>
      <c r="O2402" s="78">
        <v>50000</v>
      </c>
    </row>
    <row r="2403" spans="8:15" ht="15.75" customHeight="1" thickBot="1">
      <c r="H2403" s="882"/>
      <c r="I2403" s="876"/>
      <c r="J2403" s="878"/>
      <c r="K2403" s="880"/>
      <c r="L2403" s="882"/>
      <c r="M2403" s="884"/>
      <c r="N2403" s="56">
        <v>721</v>
      </c>
      <c r="O2403" s="79">
        <f>+M2402-O2402</f>
        <v>0</v>
      </c>
    </row>
    <row r="2404" spans="8:15">
      <c r="H2404" s="881"/>
      <c r="I2404" s="875"/>
      <c r="J2404" s="877"/>
      <c r="K2404" s="879"/>
      <c r="L2404" s="881"/>
      <c r="M2404" s="883"/>
      <c r="N2404" s="55">
        <v>719</v>
      </c>
      <c r="O2404" s="78"/>
    </row>
    <row r="2405" spans="8:15" ht="15.75" thickBot="1">
      <c r="H2405" s="882"/>
      <c r="I2405" s="876"/>
      <c r="J2405" s="878"/>
      <c r="K2405" s="880"/>
      <c r="L2405" s="882"/>
      <c r="M2405" s="884"/>
      <c r="N2405" s="56">
        <v>721</v>
      </c>
      <c r="O2405" s="79">
        <f>+M2404-O2404</f>
        <v>0</v>
      </c>
    </row>
    <row r="2406" spans="8:15">
      <c r="H2406" s="881"/>
      <c r="I2406" s="875"/>
      <c r="J2406" s="877"/>
      <c r="K2406" s="879"/>
      <c r="L2406" s="881"/>
      <c r="M2406" s="883"/>
      <c r="N2406" s="55">
        <v>719</v>
      </c>
      <c r="O2406" s="78"/>
    </row>
    <row r="2407" spans="8:15" ht="15.75" thickBot="1">
      <c r="H2407" s="882"/>
      <c r="I2407" s="876"/>
      <c r="J2407" s="878"/>
      <c r="K2407" s="880"/>
      <c r="L2407" s="882"/>
      <c r="M2407" s="884"/>
      <c r="N2407" s="56">
        <v>721</v>
      </c>
      <c r="O2407" s="79">
        <f>+M2406-O2406</f>
        <v>0</v>
      </c>
    </row>
    <row r="2408" spans="8:15">
      <c r="H2408" s="881"/>
      <c r="I2408" s="875"/>
      <c r="J2408" s="877"/>
      <c r="K2408" s="879"/>
      <c r="L2408" s="881"/>
      <c r="M2408" s="883"/>
      <c r="N2408" s="55">
        <v>719</v>
      </c>
      <c r="O2408" s="78"/>
    </row>
    <row r="2409" spans="8:15" ht="15.75" thickBot="1">
      <c r="H2409" s="882"/>
      <c r="I2409" s="876"/>
      <c r="J2409" s="878"/>
      <c r="K2409" s="880"/>
      <c r="L2409" s="882"/>
      <c r="M2409" s="884"/>
      <c r="N2409" s="56">
        <v>723</v>
      </c>
      <c r="O2409" s="79">
        <f>+M2408-O2408</f>
        <v>0</v>
      </c>
    </row>
    <row r="2410" spans="8:15" ht="16.5" thickBot="1">
      <c r="H2410" s="901" t="s">
        <v>102</v>
      </c>
      <c r="I2410" s="902"/>
      <c r="J2410" s="902"/>
      <c r="K2410" s="902"/>
      <c r="L2410" s="903"/>
      <c r="M2410" s="81">
        <f>SUM(M2400:M2409)</f>
        <v>110000</v>
      </c>
    </row>
    <row r="2411" spans="8:15" ht="16.5" thickBot="1">
      <c r="H2411" s="885" t="s">
        <v>103</v>
      </c>
      <c r="I2411" s="886"/>
      <c r="J2411" s="886"/>
      <c r="K2411" s="886"/>
      <c r="L2411" s="887"/>
      <c r="M2411" s="69">
        <f>+M2375</f>
        <v>96219522</v>
      </c>
      <c r="N2411" s="241" t="s">
        <v>561</v>
      </c>
      <c r="O2411" s="242">
        <f>123+195</f>
        <v>318</v>
      </c>
    </row>
    <row r="2412" spans="8:15" ht="16.5" thickBot="1">
      <c r="H2412" s="888" t="s">
        <v>104</v>
      </c>
      <c r="I2412" s="889"/>
      <c r="J2412" s="889"/>
      <c r="K2412" s="889"/>
      <c r="L2412" s="890"/>
      <c r="M2412" s="183">
        <f>SUM(M2410:M2411)</f>
        <v>96329522</v>
      </c>
    </row>
    <row r="2413" spans="8:15">
      <c r="H2413" s="61"/>
      <c r="I2413" s="61"/>
      <c r="J2413" s="61"/>
      <c r="K2413" s="61"/>
      <c r="L2413" s="61"/>
    </row>
    <row r="2414" spans="8:15">
      <c r="H2414" s="51" t="s">
        <v>1068</v>
      </c>
    </row>
    <row r="2415" spans="8:15" ht="12" customHeight="1">
      <c r="M2415" s="139"/>
    </row>
    <row r="2416" spans="8:15">
      <c r="H2416" s="50" t="s">
        <v>105</v>
      </c>
      <c r="K2416" s="146"/>
      <c r="M2416" s="139"/>
    </row>
    <row r="2417" spans="8:14" ht="12.75" customHeight="1" thickBot="1"/>
    <row r="2418" spans="8:14" ht="15.75" thickBot="1">
      <c r="H2418" s="891" t="s">
        <v>106</v>
      </c>
      <c r="I2418" s="892"/>
      <c r="J2418" s="892"/>
      <c r="K2418" s="893"/>
      <c r="M2418" s="50" t="s">
        <v>288</v>
      </c>
    </row>
    <row r="2419" spans="8:14" ht="30.75" thickBot="1">
      <c r="H2419" s="57" t="s">
        <v>100</v>
      </c>
      <c r="I2419" s="58" t="s">
        <v>108</v>
      </c>
      <c r="J2419" s="287" t="s">
        <v>109</v>
      </c>
      <c r="K2419" s="60" t="s">
        <v>110</v>
      </c>
    </row>
    <row r="2420" spans="8:14">
      <c r="H2420" s="71">
        <v>719</v>
      </c>
      <c r="I2420" s="73">
        <f>+O2400+O2402</f>
        <v>110000</v>
      </c>
      <c r="J2420" s="74">
        <f>+K2383</f>
        <v>24720000</v>
      </c>
      <c r="K2420" s="195">
        <f>+I2420+J2420</f>
        <v>24830000</v>
      </c>
    </row>
    <row r="2421" spans="8:14">
      <c r="H2421" s="72">
        <v>721</v>
      </c>
      <c r="I2421" s="80">
        <f>+O2401+O2403+O2405+O2407+O2409</f>
        <v>0</v>
      </c>
      <c r="J2421" s="74">
        <f>+K2384</f>
        <v>86022059</v>
      </c>
      <c r="K2421" s="195">
        <f>+I2421+J2421</f>
        <v>86022059</v>
      </c>
    </row>
    <row r="2422" spans="8:14">
      <c r="H2422" s="72">
        <v>722</v>
      </c>
      <c r="I2422" s="80"/>
      <c r="J2422" s="74">
        <f>+K2385</f>
        <v>2000000</v>
      </c>
      <c r="K2422" s="195">
        <f>+I2422+J2422</f>
        <v>2000000</v>
      </c>
    </row>
    <row r="2423" spans="8:14" ht="15.75">
      <c r="H2423" s="72">
        <v>723</v>
      </c>
      <c r="I2423" s="80"/>
      <c r="J2423" s="74">
        <f>+K2386</f>
        <v>0</v>
      </c>
      <c r="K2423" s="195">
        <f>+I2423+J2423</f>
        <v>0</v>
      </c>
      <c r="M2423" s="193" t="s">
        <v>289</v>
      </c>
      <c r="N2423" s="175"/>
    </row>
    <row r="2424" spans="8:14" ht="16.5" thickBot="1">
      <c r="H2424" s="164" t="s">
        <v>181</v>
      </c>
      <c r="I2424" s="165"/>
      <c r="J2424" s="74">
        <f>+K2387</f>
        <v>0</v>
      </c>
      <c r="K2424" s="196">
        <f>+I2424+J2424</f>
        <v>0</v>
      </c>
      <c r="M2424" s="52"/>
    </row>
    <row r="2425" spans="8:14" ht="16.5" thickBot="1">
      <c r="H2425" s="169"/>
      <c r="I2425" s="197">
        <f>SUM(I2420:I2424)</f>
        <v>110000</v>
      </c>
      <c r="J2425" s="197">
        <f>SUM(J2420:J2424)</f>
        <v>112742059</v>
      </c>
      <c r="K2425" s="198">
        <f>SUM(K2420:K2424)</f>
        <v>112852059</v>
      </c>
    </row>
    <row r="2426" spans="8:14" ht="16.5">
      <c r="H2426" s="49" t="s">
        <v>88</v>
      </c>
      <c r="I2426" s="50"/>
    </row>
    <row r="2427" spans="8:14">
      <c r="H2427" s="51" t="s">
        <v>89</v>
      </c>
    </row>
    <row r="2428" spans="8:14">
      <c r="H2428" s="51" t="s">
        <v>90</v>
      </c>
    </row>
    <row r="2429" spans="8:14">
      <c r="H2429" s="51" t="s">
        <v>91</v>
      </c>
    </row>
    <row r="2430" spans="8:14" ht="11.25" customHeight="1">
      <c r="H2430" s="50"/>
      <c r="I2430" s="50"/>
    </row>
    <row r="2431" spans="8:14" ht="15.75">
      <c r="H2431" s="260" t="s">
        <v>1070</v>
      </c>
      <c r="N2431" s="52"/>
    </row>
    <row r="2432" spans="8:14" ht="15.75">
      <c r="H2432" s="53" t="s">
        <v>535</v>
      </c>
      <c r="N2432" s="53"/>
    </row>
    <row r="2433" spans="8:15" ht="16.5">
      <c r="H2433" s="894" t="s">
        <v>909</v>
      </c>
      <c r="I2433" s="894"/>
      <c r="J2433" s="894"/>
      <c r="K2433" s="894"/>
      <c r="L2433" s="894"/>
      <c r="M2433" s="894"/>
      <c r="N2433" s="894"/>
      <c r="O2433" s="894"/>
    </row>
    <row r="2434" spans="8:15" ht="15.75" thickBot="1"/>
    <row r="2435" spans="8:15">
      <c r="H2435" s="895" t="s">
        <v>94</v>
      </c>
      <c r="I2435" s="897" t="s">
        <v>95</v>
      </c>
      <c r="J2435" s="897" t="s">
        <v>96</v>
      </c>
      <c r="K2435" s="897" t="s">
        <v>3</v>
      </c>
      <c r="L2435" s="897" t="s">
        <v>97</v>
      </c>
      <c r="M2435" s="897" t="s">
        <v>98</v>
      </c>
      <c r="N2435" s="897" t="s">
        <v>99</v>
      </c>
      <c r="O2435" s="899"/>
    </row>
    <row r="2436" spans="8:15" ht="15.75" thickBot="1">
      <c r="H2436" s="896"/>
      <c r="I2436" s="898"/>
      <c r="J2436" s="898"/>
      <c r="K2436" s="898"/>
      <c r="L2436" s="898"/>
      <c r="M2436" s="898"/>
      <c r="N2436" s="240" t="s">
        <v>100</v>
      </c>
      <c r="O2436" s="182" t="s">
        <v>101</v>
      </c>
    </row>
    <row r="2437" spans="8:15">
      <c r="H2437" s="881">
        <v>259</v>
      </c>
      <c r="I2437" s="875">
        <v>42632</v>
      </c>
      <c r="J2437" s="877" t="s">
        <v>1014</v>
      </c>
      <c r="K2437" s="879" t="s">
        <v>1072</v>
      </c>
      <c r="L2437" s="881" t="s">
        <v>115</v>
      </c>
      <c r="M2437" s="883">
        <v>150000</v>
      </c>
      <c r="N2437" s="55">
        <v>719</v>
      </c>
      <c r="O2437" s="78">
        <v>150000</v>
      </c>
    </row>
    <row r="2438" spans="8:15" ht="15.75" thickBot="1">
      <c r="H2438" s="882"/>
      <c r="I2438" s="876"/>
      <c r="J2438" s="878"/>
      <c r="K2438" s="880"/>
      <c r="L2438" s="882"/>
      <c r="M2438" s="884"/>
      <c r="N2438" s="56">
        <v>721</v>
      </c>
      <c r="O2438" s="79">
        <f>+M2437-O2437</f>
        <v>0</v>
      </c>
    </row>
    <row r="2439" spans="8:15">
      <c r="H2439" s="881">
        <v>260</v>
      </c>
      <c r="I2439" s="875">
        <v>42632</v>
      </c>
      <c r="J2439" s="877" t="s">
        <v>120</v>
      </c>
      <c r="K2439" s="879" t="s">
        <v>1071</v>
      </c>
      <c r="L2439" s="881" t="s">
        <v>115</v>
      </c>
      <c r="M2439" s="883">
        <v>110000</v>
      </c>
      <c r="N2439" s="55">
        <v>719</v>
      </c>
      <c r="O2439" s="78">
        <v>110000</v>
      </c>
    </row>
    <row r="2440" spans="8:15" ht="15.75" thickBot="1">
      <c r="H2440" s="882"/>
      <c r="I2440" s="876"/>
      <c r="J2440" s="878"/>
      <c r="K2440" s="880"/>
      <c r="L2440" s="882"/>
      <c r="M2440" s="884"/>
      <c r="N2440" s="56">
        <v>721</v>
      </c>
      <c r="O2440" s="79">
        <f>+M2439-O2439</f>
        <v>0</v>
      </c>
    </row>
    <row r="2441" spans="8:15">
      <c r="H2441" s="881"/>
      <c r="I2441" s="875"/>
      <c r="J2441" s="877"/>
      <c r="K2441" s="879"/>
      <c r="L2441" s="881"/>
      <c r="M2441" s="883"/>
      <c r="N2441" s="55">
        <v>719</v>
      </c>
      <c r="O2441" s="78"/>
    </row>
    <row r="2442" spans="8:15" ht="14.25" customHeight="1" thickBot="1">
      <c r="H2442" s="882"/>
      <c r="I2442" s="876"/>
      <c r="J2442" s="878"/>
      <c r="K2442" s="880"/>
      <c r="L2442" s="882"/>
      <c r="M2442" s="884"/>
      <c r="N2442" s="56">
        <v>721</v>
      </c>
      <c r="O2442" s="79">
        <f>+M2441-O2441</f>
        <v>0</v>
      </c>
    </row>
    <row r="2443" spans="8:15">
      <c r="H2443" s="881"/>
      <c r="I2443" s="875"/>
      <c r="J2443" s="877"/>
      <c r="K2443" s="879"/>
      <c r="L2443" s="881"/>
      <c r="M2443" s="883"/>
      <c r="N2443" s="55">
        <v>719</v>
      </c>
      <c r="O2443" s="78"/>
    </row>
    <row r="2444" spans="8:15" ht="13.5" customHeight="1" thickBot="1">
      <c r="H2444" s="882"/>
      <c r="I2444" s="876"/>
      <c r="J2444" s="878"/>
      <c r="K2444" s="880"/>
      <c r="L2444" s="882"/>
      <c r="M2444" s="884"/>
      <c r="N2444" s="56">
        <v>721</v>
      </c>
      <c r="O2444" s="79">
        <f>+M2443-O2443</f>
        <v>0</v>
      </c>
    </row>
    <row r="2445" spans="8:15">
      <c r="H2445" s="881"/>
      <c r="I2445" s="875"/>
      <c r="J2445" s="877"/>
      <c r="K2445" s="879"/>
      <c r="L2445" s="881"/>
      <c r="M2445" s="883"/>
      <c r="N2445" s="55">
        <v>719</v>
      </c>
      <c r="O2445" s="78"/>
    </row>
    <row r="2446" spans="8:15" ht="14.25" customHeight="1" thickBot="1">
      <c r="H2446" s="882"/>
      <c r="I2446" s="876"/>
      <c r="J2446" s="878"/>
      <c r="K2446" s="880"/>
      <c r="L2446" s="882"/>
      <c r="M2446" s="884"/>
      <c r="N2446" s="56">
        <v>723</v>
      </c>
      <c r="O2446" s="79">
        <f>+M2445-O2445</f>
        <v>0</v>
      </c>
    </row>
    <row r="2447" spans="8:15" ht="16.5" thickBot="1">
      <c r="H2447" s="901" t="s">
        <v>102</v>
      </c>
      <c r="I2447" s="902"/>
      <c r="J2447" s="902"/>
      <c r="K2447" s="902"/>
      <c r="L2447" s="903"/>
      <c r="M2447" s="81">
        <f>SUM(M2437:M2446)</f>
        <v>260000</v>
      </c>
    </row>
    <row r="2448" spans="8:15" ht="16.5" thickBot="1">
      <c r="H2448" s="885" t="s">
        <v>103</v>
      </c>
      <c r="I2448" s="886"/>
      <c r="J2448" s="886"/>
      <c r="K2448" s="886"/>
      <c r="L2448" s="887"/>
      <c r="M2448" s="69">
        <f>+M2412</f>
        <v>96329522</v>
      </c>
      <c r="N2448" s="241" t="s">
        <v>561</v>
      </c>
      <c r="O2448" s="242">
        <f>528+24</f>
        <v>552</v>
      </c>
    </row>
    <row r="2449" spans="8:14" ht="16.5" thickBot="1">
      <c r="H2449" s="888" t="s">
        <v>104</v>
      </c>
      <c r="I2449" s="889"/>
      <c r="J2449" s="889"/>
      <c r="K2449" s="889"/>
      <c r="L2449" s="890"/>
      <c r="M2449" s="183">
        <f>SUM(M2447:M2448)</f>
        <v>96589522</v>
      </c>
    </row>
    <row r="2450" spans="8:14">
      <c r="H2450" s="61"/>
      <c r="I2450" s="61"/>
      <c r="J2450" s="61"/>
      <c r="K2450" s="61"/>
      <c r="L2450" s="61"/>
    </row>
    <row r="2451" spans="8:14">
      <c r="H2451" s="51" t="s">
        <v>1073</v>
      </c>
    </row>
    <row r="2452" spans="8:14">
      <c r="M2452" s="139"/>
    </row>
    <row r="2453" spans="8:14">
      <c r="H2453" s="50" t="s">
        <v>105</v>
      </c>
      <c r="K2453" s="146"/>
      <c r="M2453" s="139"/>
    </row>
    <row r="2454" spans="8:14" ht="15.75" thickBot="1"/>
    <row r="2455" spans="8:14" ht="15.75" thickBot="1">
      <c r="H2455" s="891" t="s">
        <v>106</v>
      </c>
      <c r="I2455" s="892"/>
      <c r="J2455" s="892"/>
      <c r="K2455" s="893"/>
      <c r="M2455" s="50" t="s">
        <v>288</v>
      </c>
    </row>
    <row r="2456" spans="8:14" ht="30.75" thickBot="1">
      <c r="H2456" s="57" t="s">
        <v>100</v>
      </c>
      <c r="I2456" s="58" t="s">
        <v>108</v>
      </c>
      <c r="J2456" s="287" t="s">
        <v>109</v>
      </c>
      <c r="K2456" s="60" t="s">
        <v>110</v>
      </c>
    </row>
    <row r="2457" spans="8:14">
      <c r="H2457" s="71">
        <v>719</v>
      </c>
      <c r="I2457" s="73">
        <f>+O2437+O2439</f>
        <v>260000</v>
      </c>
      <c r="J2457" s="74">
        <f>+K2420</f>
        <v>24830000</v>
      </c>
      <c r="K2457" s="195">
        <f>+I2457+J2457</f>
        <v>25090000</v>
      </c>
    </row>
    <row r="2458" spans="8:14">
      <c r="H2458" s="72">
        <v>721</v>
      </c>
      <c r="I2458" s="80">
        <f>+O2438+O2440+O2442+O2444+O2446</f>
        <v>0</v>
      </c>
      <c r="J2458" s="74">
        <f>+K2421</f>
        <v>86022059</v>
      </c>
      <c r="K2458" s="195">
        <f>+I2458+J2458</f>
        <v>86022059</v>
      </c>
    </row>
    <row r="2459" spans="8:14">
      <c r="H2459" s="72">
        <v>722</v>
      </c>
      <c r="I2459" s="80"/>
      <c r="J2459" s="74">
        <f>+K2422</f>
        <v>2000000</v>
      </c>
      <c r="K2459" s="195">
        <f>+I2459+J2459</f>
        <v>2000000</v>
      </c>
    </row>
    <row r="2460" spans="8:14" ht="15.75">
      <c r="H2460" s="72">
        <v>723</v>
      </c>
      <c r="I2460" s="80"/>
      <c r="J2460" s="74">
        <f>+K2423</f>
        <v>0</v>
      </c>
      <c r="K2460" s="195">
        <f>+I2460+J2460</f>
        <v>0</v>
      </c>
      <c r="M2460" s="193" t="s">
        <v>289</v>
      </c>
      <c r="N2460" s="175"/>
    </row>
    <row r="2461" spans="8:14" ht="16.5" thickBot="1">
      <c r="H2461" s="164" t="s">
        <v>181</v>
      </c>
      <c r="I2461" s="165"/>
      <c r="J2461" s="74">
        <f>+K2424</f>
        <v>0</v>
      </c>
      <c r="K2461" s="196">
        <f>+I2461+J2461</f>
        <v>0</v>
      </c>
      <c r="M2461" s="52"/>
    </row>
    <row r="2462" spans="8:14" ht="16.5" thickBot="1">
      <c r="H2462" s="169"/>
      <c r="I2462" s="197">
        <f>SUM(I2457:I2461)</f>
        <v>260000</v>
      </c>
      <c r="J2462" s="197">
        <f>SUM(J2457:J2461)</f>
        <v>112852059</v>
      </c>
      <c r="K2462" s="198">
        <f>SUM(K2457:K2461)</f>
        <v>113112059</v>
      </c>
    </row>
    <row r="2463" spans="8:14" ht="16.5">
      <c r="H2463" s="49" t="s">
        <v>88</v>
      </c>
      <c r="I2463" s="50"/>
    </row>
    <row r="2464" spans="8:14">
      <c r="H2464" s="51" t="s">
        <v>89</v>
      </c>
    </row>
    <row r="2465" spans="8:15">
      <c r="H2465" s="51" t="s">
        <v>90</v>
      </c>
    </row>
    <row r="2466" spans="8:15">
      <c r="H2466" s="51" t="s">
        <v>91</v>
      </c>
    </row>
    <row r="2467" spans="8:15" ht="6.75" customHeight="1">
      <c r="H2467" s="50"/>
      <c r="I2467" s="50"/>
    </row>
    <row r="2468" spans="8:15" ht="15.75">
      <c r="H2468" s="260" t="s">
        <v>1074</v>
      </c>
      <c r="N2468" s="52"/>
    </row>
    <row r="2469" spans="8:15" ht="15.75">
      <c r="H2469" s="53" t="s">
        <v>535</v>
      </c>
      <c r="N2469" s="53"/>
    </row>
    <row r="2470" spans="8:15" ht="15.75" customHeight="1">
      <c r="H2470" s="894" t="s">
        <v>1078</v>
      </c>
      <c r="I2470" s="894"/>
      <c r="J2470" s="894"/>
      <c r="K2470" s="894"/>
      <c r="L2470" s="894"/>
      <c r="M2470" s="894"/>
      <c r="N2470" s="894"/>
      <c r="O2470" s="894"/>
    </row>
    <row r="2471" spans="8:15" ht="15.75" thickBot="1"/>
    <row r="2472" spans="8:15">
      <c r="H2472" s="895" t="s">
        <v>94</v>
      </c>
      <c r="I2472" s="897" t="s">
        <v>95</v>
      </c>
      <c r="J2472" s="897" t="s">
        <v>96</v>
      </c>
      <c r="K2472" s="897" t="s">
        <v>3</v>
      </c>
      <c r="L2472" s="897" t="s">
        <v>97</v>
      </c>
      <c r="M2472" s="897" t="s">
        <v>98</v>
      </c>
      <c r="N2472" s="897" t="s">
        <v>99</v>
      </c>
      <c r="O2472" s="899"/>
    </row>
    <row r="2473" spans="8:15" ht="15.75" thickBot="1">
      <c r="H2473" s="896"/>
      <c r="I2473" s="898"/>
      <c r="J2473" s="898"/>
      <c r="K2473" s="898"/>
      <c r="L2473" s="898"/>
      <c r="M2473" s="898"/>
      <c r="N2473" s="240" t="s">
        <v>100</v>
      </c>
      <c r="O2473" s="182" t="s">
        <v>101</v>
      </c>
    </row>
    <row r="2474" spans="8:15" ht="15" customHeight="1">
      <c r="H2474" s="881">
        <v>261</v>
      </c>
      <c r="I2474" s="875">
        <v>42641</v>
      </c>
      <c r="J2474" s="877" t="s">
        <v>1079</v>
      </c>
      <c r="K2474" s="879" t="s">
        <v>1080</v>
      </c>
      <c r="L2474" s="881" t="s">
        <v>783</v>
      </c>
      <c r="M2474" s="883">
        <v>145000</v>
      </c>
      <c r="N2474" s="55">
        <v>719</v>
      </c>
      <c r="O2474" s="78">
        <v>145000</v>
      </c>
    </row>
    <row r="2475" spans="8:15" ht="12.75" customHeight="1" thickBot="1">
      <c r="H2475" s="882"/>
      <c r="I2475" s="876"/>
      <c r="J2475" s="878"/>
      <c r="K2475" s="880"/>
      <c r="L2475" s="882"/>
      <c r="M2475" s="884"/>
      <c r="N2475" s="56">
        <v>721</v>
      </c>
      <c r="O2475" s="79">
        <f>+M2474-O2474</f>
        <v>0</v>
      </c>
    </row>
    <row r="2476" spans="8:15" ht="15" customHeight="1">
      <c r="H2476" s="881">
        <v>262</v>
      </c>
      <c r="I2476" s="875">
        <v>42641</v>
      </c>
      <c r="J2476" s="877" t="s">
        <v>1079</v>
      </c>
      <c r="K2476" s="879" t="s">
        <v>1081</v>
      </c>
      <c r="L2476" s="881" t="s">
        <v>783</v>
      </c>
      <c r="M2476" s="883">
        <v>72500</v>
      </c>
      <c r="N2476" s="55">
        <v>719</v>
      </c>
      <c r="O2476" s="78">
        <v>72500</v>
      </c>
    </row>
    <row r="2477" spans="8:15" ht="13.5" customHeight="1" thickBot="1">
      <c r="H2477" s="882"/>
      <c r="I2477" s="876"/>
      <c r="J2477" s="878"/>
      <c r="K2477" s="880"/>
      <c r="L2477" s="882"/>
      <c r="M2477" s="884"/>
      <c r="N2477" s="56">
        <v>721</v>
      </c>
      <c r="O2477" s="79">
        <f>+M2476-O2476</f>
        <v>0</v>
      </c>
    </row>
    <row r="2478" spans="8:15" ht="15" customHeight="1">
      <c r="H2478" s="881">
        <v>263</v>
      </c>
      <c r="I2478" s="875">
        <v>42641</v>
      </c>
      <c r="J2478" s="877" t="s">
        <v>1079</v>
      </c>
      <c r="K2478" s="879" t="s">
        <v>1082</v>
      </c>
      <c r="L2478" s="881" t="s">
        <v>783</v>
      </c>
      <c r="M2478" s="883">
        <v>72500</v>
      </c>
      <c r="N2478" s="55">
        <v>719</v>
      </c>
      <c r="O2478" s="78">
        <v>72500</v>
      </c>
    </row>
    <row r="2479" spans="8:15" ht="14.25" customHeight="1" thickBot="1">
      <c r="H2479" s="882"/>
      <c r="I2479" s="876"/>
      <c r="J2479" s="878"/>
      <c r="K2479" s="880"/>
      <c r="L2479" s="882"/>
      <c r="M2479" s="884"/>
      <c r="N2479" s="56">
        <v>721</v>
      </c>
      <c r="O2479" s="79">
        <f>+M2478-O2478</f>
        <v>0</v>
      </c>
    </row>
    <row r="2480" spans="8:15" ht="15" customHeight="1">
      <c r="H2480" s="881">
        <v>264</v>
      </c>
      <c r="I2480" s="875">
        <v>42641</v>
      </c>
      <c r="J2480" s="877" t="s">
        <v>1079</v>
      </c>
      <c r="K2480" s="879" t="s">
        <v>1084</v>
      </c>
      <c r="L2480" s="881" t="s">
        <v>783</v>
      </c>
      <c r="M2480" s="883">
        <v>217500</v>
      </c>
      <c r="N2480" s="55">
        <v>719</v>
      </c>
      <c r="O2480" s="78">
        <v>217500</v>
      </c>
    </row>
    <row r="2481" spans="8:15" ht="13.5" customHeight="1" thickBot="1">
      <c r="H2481" s="882"/>
      <c r="I2481" s="876"/>
      <c r="J2481" s="878"/>
      <c r="K2481" s="880"/>
      <c r="L2481" s="882"/>
      <c r="M2481" s="884"/>
      <c r="N2481" s="56">
        <v>721</v>
      </c>
      <c r="O2481" s="79">
        <f>+M2480-O2480</f>
        <v>0</v>
      </c>
    </row>
    <row r="2482" spans="8:15" ht="15.75" customHeight="1">
      <c r="H2482" s="881">
        <v>265</v>
      </c>
      <c r="I2482" s="875">
        <v>42641</v>
      </c>
      <c r="J2482" s="877" t="s">
        <v>1079</v>
      </c>
      <c r="K2482" s="879" t="s">
        <v>1095</v>
      </c>
      <c r="L2482" s="881" t="s">
        <v>783</v>
      </c>
      <c r="M2482" s="883">
        <f>72500*2</f>
        <v>145000</v>
      </c>
      <c r="N2482" s="55">
        <v>719</v>
      </c>
      <c r="O2482" s="78">
        <v>145000</v>
      </c>
    </row>
    <row r="2483" spans="8:15" ht="13.5" customHeight="1" thickBot="1">
      <c r="H2483" s="882"/>
      <c r="I2483" s="876"/>
      <c r="J2483" s="878"/>
      <c r="K2483" s="880"/>
      <c r="L2483" s="882"/>
      <c r="M2483" s="884"/>
      <c r="N2483" s="56">
        <v>721</v>
      </c>
      <c r="O2483" s="79">
        <f>+M2482-O2482</f>
        <v>0</v>
      </c>
    </row>
    <row r="2484" spans="8:15" ht="15" customHeight="1">
      <c r="H2484" s="881">
        <v>266</v>
      </c>
      <c r="I2484" s="875">
        <v>42641</v>
      </c>
      <c r="J2484" s="877" t="s">
        <v>1079</v>
      </c>
      <c r="K2484" s="879" t="s">
        <v>1086</v>
      </c>
      <c r="L2484" s="881" t="s">
        <v>783</v>
      </c>
      <c r="M2484" s="883">
        <v>145000</v>
      </c>
      <c r="N2484" s="55">
        <v>719</v>
      </c>
      <c r="O2484" s="78">
        <v>145000</v>
      </c>
    </row>
    <row r="2485" spans="8:15" ht="13.5" customHeight="1" thickBot="1">
      <c r="H2485" s="882"/>
      <c r="I2485" s="876"/>
      <c r="J2485" s="878"/>
      <c r="K2485" s="880"/>
      <c r="L2485" s="882"/>
      <c r="M2485" s="884"/>
      <c r="N2485" s="56">
        <v>721</v>
      </c>
      <c r="O2485" s="79">
        <f>+M2484-O2484</f>
        <v>0</v>
      </c>
    </row>
    <row r="2486" spans="8:15" ht="16.5" thickBot="1">
      <c r="H2486" s="901" t="s">
        <v>102</v>
      </c>
      <c r="I2486" s="902"/>
      <c r="J2486" s="902"/>
      <c r="K2486" s="902"/>
      <c r="L2486" s="903"/>
      <c r="M2486" s="81">
        <f>SUM(M2474:M2485)</f>
        <v>797500</v>
      </c>
    </row>
    <row r="2487" spans="8:15" ht="16.5" thickBot="1">
      <c r="H2487" s="885" t="s">
        <v>103</v>
      </c>
      <c r="I2487" s="886"/>
      <c r="J2487" s="886"/>
      <c r="K2487" s="886"/>
      <c r="L2487" s="887"/>
      <c r="M2487" s="69">
        <f>+M2449</f>
        <v>96589522</v>
      </c>
      <c r="N2487" s="241" t="s">
        <v>561</v>
      </c>
      <c r="O2487" s="242"/>
    </row>
    <row r="2488" spans="8:15" ht="16.5" thickBot="1">
      <c r="H2488" s="888" t="s">
        <v>104</v>
      </c>
      <c r="I2488" s="889"/>
      <c r="J2488" s="889"/>
      <c r="K2488" s="889"/>
      <c r="L2488" s="890"/>
      <c r="M2488" s="183">
        <f>SUM(M2486:M2487)</f>
        <v>97387022</v>
      </c>
    </row>
    <row r="2489" spans="8:15" ht="9.75" customHeight="1">
      <c r="H2489" s="61"/>
      <c r="I2489" s="61"/>
      <c r="J2489" s="61"/>
      <c r="K2489" s="61"/>
      <c r="L2489" s="61"/>
    </row>
    <row r="2490" spans="8:15">
      <c r="H2490" s="51" t="s">
        <v>1101</v>
      </c>
    </row>
    <row r="2491" spans="8:15" ht="9.75" customHeight="1">
      <c r="M2491" s="139"/>
    </row>
    <row r="2492" spans="8:15">
      <c r="H2492" s="50" t="s">
        <v>105</v>
      </c>
      <c r="K2492" s="146"/>
      <c r="M2492" s="139"/>
    </row>
    <row r="2493" spans="8:15" ht="12" customHeight="1" thickBot="1"/>
    <row r="2494" spans="8:15" ht="15.75" thickBot="1">
      <c r="H2494" s="891" t="s">
        <v>106</v>
      </c>
      <c r="I2494" s="892"/>
      <c r="J2494" s="892"/>
      <c r="K2494" s="893"/>
      <c r="M2494" s="50" t="s">
        <v>288</v>
      </c>
    </row>
    <row r="2495" spans="8:15" ht="28.5" customHeight="1" thickBot="1">
      <c r="H2495" s="57" t="s">
        <v>100</v>
      </c>
      <c r="I2495" s="58" t="s">
        <v>108</v>
      </c>
      <c r="J2495" s="287" t="s">
        <v>109</v>
      </c>
      <c r="K2495" s="60" t="s">
        <v>110</v>
      </c>
    </row>
    <row r="2496" spans="8:15">
      <c r="H2496" s="71">
        <v>719</v>
      </c>
      <c r="I2496" s="73"/>
      <c r="J2496" s="74">
        <f>+K2457</f>
        <v>25090000</v>
      </c>
      <c r="K2496" s="195">
        <f>+I2496+J2496</f>
        <v>25090000</v>
      </c>
    </row>
    <row r="2497" spans="8:15">
      <c r="H2497" s="72">
        <v>721</v>
      </c>
      <c r="I2497" s="80"/>
      <c r="J2497" s="74">
        <f>+K2458</f>
        <v>86022059</v>
      </c>
      <c r="K2497" s="195">
        <f>+I2497+J2497</f>
        <v>86022059</v>
      </c>
    </row>
    <row r="2498" spans="8:15">
      <c r="H2498" s="72">
        <v>722</v>
      </c>
      <c r="I2498" s="80"/>
      <c r="J2498" s="74">
        <f>+K2459</f>
        <v>2000000</v>
      </c>
      <c r="K2498" s="195">
        <f>+I2498+J2498</f>
        <v>2000000</v>
      </c>
    </row>
    <row r="2499" spans="8:15" ht="15" customHeight="1">
      <c r="H2499" s="72">
        <v>723</v>
      </c>
      <c r="I2499" s="80"/>
      <c r="J2499" s="74">
        <f>+K2460</f>
        <v>0</v>
      </c>
      <c r="K2499" s="195">
        <f>+I2499+J2499</f>
        <v>0</v>
      </c>
      <c r="M2499" s="193" t="s">
        <v>289</v>
      </c>
      <c r="N2499" s="175"/>
    </row>
    <row r="2500" spans="8:15" ht="16.5" thickBot="1">
      <c r="H2500" s="164" t="s">
        <v>1077</v>
      </c>
      <c r="I2500" s="165">
        <f>+O2474+O2476+O2478+O2480+O2484+O2482</f>
        <v>797500</v>
      </c>
      <c r="J2500" s="74">
        <f>+K2461</f>
        <v>0</v>
      </c>
      <c r="K2500" s="196">
        <f>+I2500+J2500</f>
        <v>797500</v>
      </c>
      <c r="M2500" s="52"/>
    </row>
    <row r="2501" spans="8:15" ht="16.5" thickBot="1">
      <c r="H2501" s="316" t="s">
        <v>147</v>
      </c>
      <c r="I2501" s="197">
        <f>SUM(I2496:I2500)</f>
        <v>797500</v>
      </c>
      <c r="J2501" s="197">
        <f>SUM(J2496:J2500)</f>
        <v>113112059</v>
      </c>
      <c r="K2501" s="198">
        <f>SUM(K2496:K2500)</f>
        <v>113909559</v>
      </c>
    </row>
    <row r="2502" spans="8:15" ht="16.5">
      <c r="H2502" s="49" t="s">
        <v>88</v>
      </c>
      <c r="I2502" s="50"/>
    </row>
    <row r="2503" spans="8:15">
      <c r="H2503" s="51" t="s">
        <v>89</v>
      </c>
    </row>
    <row r="2504" spans="8:15">
      <c r="H2504" s="51" t="s">
        <v>90</v>
      </c>
    </row>
    <row r="2505" spans="8:15">
      <c r="H2505" s="51" t="s">
        <v>91</v>
      </c>
    </row>
    <row r="2506" spans="8:15" ht="12.75" customHeight="1">
      <c r="H2506" s="50"/>
      <c r="I2506" s="50"/>
    </row>
    <row r="2507" spans="8:15" ht="15.75">
      <c r="H2507" s="260" t="s">
        <v>1075</v>
      </c>
      <c r="N2507" s="52"/>
    </row>
    <row r="2508" spans="8:15" ht="15.75">
      <c r="H2508" s="53" t="s">
        <v>535</v>
      </c>
      <c r="N2508" s="53"/>
    </row>
    <row r="2509" spans="8:15" ht="16.5">
      <c r="H2509" s="894" t="s">
        <v>1098</v>
      </c>
      <c r="I2509" s="894"/>
      <c r="J2509" s="894"/>
      <c r="K2509" s="894"/>
      <c r="L2509" s="894"/>
      <c r="M2509" s="894"/>
      <c r="N2509" s="894"/>
      <c r="O2509" s="894"/>
    </row>
    <row r="2510" spans="8:15" ht="15.75" thickBot="1"/>
    <row r="2511" spans="8:15">
      <c r="H2511" s="895" t="s">
        <v>94</v>
      </c>
      <c r="I2511" s="897" t="s">
        <v>95</v>
      </c>
      <c r="J2511" s="897" t="s">
        <v>96</v>
      </c>
      <c r="K2511" s="897" t="s">
        <v>3</v>
      </c>
      <c r="L2511" s="897" t="s">
        <v>97</v>
      </c>
      <c r="M2511" s="897" t="s">
        <v>98</v>
      </c>
      <c r="N2511" s="897" t="s">
        <v>99</v>
      </c>
      <c r="O2511" s="899"/>
    </row>
    <row r="2512" spans="8:15" ht="15.75" thickBot="1">
      <c r="H2512" s="896"/>
      <c r="I2512" s="898"/>
      <c r="J2512" s="898"/>
      <c r="K2512" s="898"/>
      <c r="L2512" s="898"/>
      <c r="M2512" s="898"/>
      <c r="N2512" s="240" t="s">
        <v>100</v>
      </c>
      <c r="O2512" s="182" t="s">
        <v>101</v>
      </c>
    </row>
    <row r="2513" spans="8:15" ht="15" customHeight="1">
      <c r="H2513" s="881">
        <v>267</v>
      </c>
      <c r="I2513" s="875">
        <v>42641</v>
      </c>
      <c r="J2513" s="877" t="s">
        <v>738</v>
      </c>
      <c r="K2513" s="879" t="s">
        <v>1097</v>
      </c>
      <c r="L2513" s="881" t="s">
        <v>148</v>
      </c>
      <c r="M2513" s="883">
        <v>2672700</v>
      </c>
      <c r="N2513" s="55">
        <v>719</v>
      </c>
      <c r="O2513" s="78"/>
    </row>
    <row r="2514" spans="8:15" ht="15.75" customHeight="1" thickBot="1">
      <c r="H2514" s="882"/>
      <c r="I2514" s="876"/>
      <c r="J2514" s="878"/>
      <c r="K2514" s="880"/>
      <c r="L2514" s="882"/>
      <c r="M2514" s="884"/>
      <c r="N2514" s="56">
        <v>721</v>
      </c>
      <c r="O2514" s="79">
        <f>+M2513</f>
        <v>2672700</v>
      </c>
    </row>
    <row r="2515" spans="8:15" ht="15" customHeight="1">
      <c r="H2515" s="881">
        <v>268</v>
      </c>
      <c r="I2515" s="875">
        <v>42641</v>
      </c>
      <c r="J2515" s="877" t="s">
        <v>738</v>
      </c>
      <c r="K2515" s="879" t="s">
        <v>1099</v>
      </c>
      <c r="L2515" s="881" t="s">
        <v>148</v>
      </c>
      <c r="M2515" s="883">
        <v>773675</v>
      </c>
      <c r="N2515" s="55">
        <v>719</v>
      </c>
      <c r="O2515" s="78"/>
    </row>
    <row r="2516" spans="8:15" ht="15.75" customHeight="1" thickBot="1">
      <c r="H2516" s="882"/>
      <c r="I2516" s="876"/>
      <c r="J2516" s="878"/>
      <c r="K2516" s="880"/>
      <c r="L2516" s="882"/>
      <c r="M2516" s="884"/>
      <c r="N2516" s="56">
        <v>721</v>
      </c>
      <c r="O2516" s="79">
        <f>+M2515-O2515</f>
        <v>773675</v>
      </c>
    </row>
    <row r="2517" spans="8:15" ht="15" customHeight="1">
      <c r="H2517" s="881">
        <v>269</v>
      </c>
      <c r="I2517" s="875">
        <v>42641</v>
      </c>
      <c r="J2517" s="877" t="s">
        <v>738</v>
      </c>
      <c r="K2517" s="879" t="s">
        <v>1100</v>
      </c>
      <c r="L2517" s="881" t="s">
        <v>148</v>
      </c>
      <c r="M2517" s="883">
        <v>2672700</v>
      </c>
      <c r="N2517" s="55">
        <v>719</v>
      </c>
      <c r="O2517" s="78"/>
    </row>
    <row r="2518" spans="8:15" ht="14.25" customHeight="1" thickBot="1">
      <c r="H2518" s="882"/>
      <c r="I2518" s="876"/>
      <c r="J2518" s="878"/>
      <c r="K2518" s="880"/>
      <c r="L2518" s="882"/>
      <c r="M2518" s="884"/>
      <c r="N2518" s="56">
        <v>721</v>
      </c>
      <c r="O2518" s="79">
        <f>+M2517-O2517</f>
        <v>2672700</v>
      </c>
    </row>
    <row r="2519" spans="8:15" ht="14.25" customHeight="1">
      <c r="H2519" s="881"/>
      <c r="I2519" s="875"/>
      <c r="J2519" s="877"/>
      <c r="K2519" s="879"/>
      <c r="L2519" s="881"/>
      <c r="M2519" s="883"/>
      <c r="N2519" s="55">
        <v>719</v>
      </c>
      <c r="O2519" s="78"/>
    </row>
    <row r="2520" spans="8:15" ht="14.25" customHeight="1" thickBot="1">
      <c r="H2520" s="882"/>
      <c r="I2520" s="876"/>
      <c r="J2520" s="878"/>
      <c r="K2520" s="880"/>
      <c r="L2520" s="882"/>
      <c r="M2520" s="884"/>
      <c r="N2520" s="56">
        <v>721</v>
      </c>
      <c r="O2520" s="79">
        <f>+M2519-O2519</f>
        <v>0</v>
      </c>
    </row>
    <row r="2521" spans="8:15" ht="15" customHeight="1">
      <c r="H2521" s="881"/>
      <c r="I2521" s="875"/>
      <c r="J2521" s="877"/>
      <c r="K2521" s="879"/>
      <c r="L2521" s="881"/>
      <c r="M2521" s="883"/>
      <c r="N2521" s="55">
        <v>719</v>
      </c>
      <c r="O2521" s="78"/>
    </row>
    <row r="2522" spans="8:15" ht="11.25" customHeight="1" thickBot="1">
      <c r="H2522" s="882"/>
      <c r="I2522" s="876"/>
      <c r="J2522" s="878"/>
      <c r="K2522" s="880"/>
      <c r="L2522" s="882"/>
      <c r="M2522" s="884"/>
      <c r="N2522" s="56">
        <v>723</v>
      </c>
      <c r="O2522" s="79">
        <f>+M2521-O2521</f>
        <v>0</v>
      </c>
    </row>
    <row r="2523" spans="8:15" ht="16.5" thickBot="1">
      <c r="H2523" s="901" t="s">
        <v>102</v>
      </c>
      <c r="I2523" s="902"/>
      <c r="J2523" s="902"/>
      <c r="K2523" s="902"/>
      <c r="L2523" s="903"/>
      <c r="M2523" s="81">
        <f>SUM(M2513:M2522)</f>
        <v>6119075</v>
      </c>
    </row>
    <row r="2524" spans="8:15" ht="16.5" thickBot="1">
      <c r="H2524" s="885" t="s">
        <v>103</v>
      </c>
      <c r="I2524" s="886"/>
      <c r="J2524" s="886"/>
      <c r="K2524" s="886"/>
      <c r="L2524" s="887"/>
      <c r="M2524" s="69">
        <f>+M2488</f>
        <v>97387022</v>
      </c>
      <c r="N2524" s="241" t="s">
        <v>561</v>
      </c>
      <c r="O2524" s="242"/>
    </row>
    <row r="2525" spans="8:15" ht="16.5" thickBot="1">
      <c r="H2525" s="888" t="s">
        <v>104</v>
      </c>
      <c r="I2525" s="889"/>
      <c r="J2525" s="889"/>
      <c r="K2525" s="889"/>
      <c r="L2525" s="890"/>
      <c r="M2525" s="183">
        <f>SUM(M2523:M2524)</f>
        <v>103506097</v>
      </c>
    </row>
    <row r="2526" spans="8:15">
      <c r="H2526" s="61"/>
      <c r="I2526" s="61"/>
      <c r="J2526" s="61"/>
      <c r="K2526" s="61"/>
      <c r="L2526" s="61"/>
    </row>
    <row r="2527" spans="8:15">
      <c r="H2527" s="51" t="s">
        <v>1110</v>
      </c>
    </row>
    <row r="2528" spans="8:15" ht="12.75" customHeight="1">
      <c r="M2528" s="139"/>
    </row>
    <row r="2529" spans="8:14">
      <c r="H2529" s="50" t="s">
        <v>105</v>
      </c>
      <c r="K2529" s="146"/>
      <c r="M2529" s="139"/>
    </row>
    <row r="2530" spans="8:14" ht="14.25" customHeight="1" thickBot="1"/>
    <row r="2531" spans="8:14" ht="15.75" thickBot="1">
      <c r="H2531" s="891" t="s">
        <v>106</v>
      </c>
      <c r="I2531" s="892"/>
      <c r="J2531" s="892"/>
      <c r="K2531" s="893"/>
      <c r="M2531" s="50" t="s">
        <v>288</v>
      </c>
    </row>
    <row r="2532" spans="8:14" ht="30.75" thickBot="1">
      <c r="H2532" s="57" t="s">
        <v>100</v>
      </c>
      <c r="I2532" s="58" t="s">
        <v>108</v>
      </c>
      <c r="J2532" s="287" t="s">
        <v>109</v>
      </c>
      <c r="K2532" s="60" t="s">
        <v>110</v>
      </c>
    </row>
    <row r="2533" spans="8:14">
      <c r="H2533" s="71">
        <v>719</v>
      </c>
      <c r="I2533" s="73">
        <v>0</v>
      </c>
      <c r="J2533" s="74">
        <f>+K2496</f>
        <v>25090000</v>
      </c>
      <c r="K2533" s="195">
        <f>+I2533+J2533</f>
        <v>25090000</v>
      </c>
    </row>
    <row r="2534" spans="8:14">
      <c r="H2534" s="72">
        <v>721</v>
      </c>
      <c r="I2534" s="80">
        <f>+O2514+O2516+O2518+O2520+O2522</f>
        <v>6119075</v>
      </c>
      <c r="J2534" s="74">
        <f>+K2497</f>
        <v>86022059</v>
      </c>
      <c r="K2534" s="195">
        <f>+I2534+J2534</f>
        <v>92141134</v>
      </c>
    </row>
    <row r="2535" spans="8:14">
      <c r="H2535" s="72">
        <v>722</v>
      </c>
      <c r="I2535" s="80"/>
      <c r="J2535" s="74">
        <f>+K2498</f>
        <v>2000000</v>
      </c>
      <c r="K2535" s="195">
        <f>+I2535+J2535</f>
        <v>2000000</v>
      </c>
    </row>
    <row r="2536" spans="8:14" ht="15.75">
      <c r="H2536" s="72">
        <v>723</v>
      </c>
      <c r="I2536" s="80"/>
      <c r="J2536" s="74">
        <f>+K2499</f>
        <v>0</v>
      </c>
      <c r="K2536" s="195">
        <f>+I2536+J2536</f>
        <v>0</v>
      </c>
      <c r="M2536" s="193" t="s">
        <v>289</v>
      </c>
      <c r="N2536" s="175"/>
    </row>
    <row r="2537" spans="8:14" ht="16.5" thickBot="1">
      <c r="H2537" s="164" t="s">
        <v>1077</v>
      </c>
      <c r="I2537" s="165">
        <f>+O2513+O2515+O2517</f>
        <v>0</v>
      </c>
      <c r="J2537" s="74">
        <f>+K2500</f>
        <v>797500</v>
      </c>
      <c r="K2537" s="196">
        <f>+I2537+J2537</f>
        <v>797500</v>
      </c>
      <c r="M2537" s="52"/>
    </row>
    <row r="2538" spans="8:14" ht="16.5" thickBot="1">
      <c r="H2538" s="169"/>
      <c r="I2538" s="197">
        <f>SUM(I2533:I2537)</f>
        <v>6119075</v>
      </c>
      <c r="J2538" s="197">
        <f>SUM(J2533:J2537)</f>
        <v>113909559</v>
      </c>
      <c r="K2538" s="198">
        <f>SUM(K2533:K2537)</f>
        <v>120028634</v>
      </c>
    </row>
    <row r="2539" spans="8:14" ht="16.5">
      <c r="H2539" s="49" t="s">
        <v>88</v>
      </c>
      <c r="I2539" s="50"/>
    </row>
    <row r="2540" spans="8:14">
      <c r="H2540" s="51" t="s">
        <v>89</v>
      </c>
    </row>
    <row r="2541" spans="8:14">
      <c r="H2541" s="51" t="s">
        <v>90</v>
      </c>
    </row>
    <row r="2542" spans="8:14">
      <c r="H2542" s="51" t="s">
        <v>91</v>
      </c>
    </row>
    <row r="2543" spans="8:14" ht="11.25" customHeight="1">
      <c r="H2543" s="50"/>
      <c r="I2543" s="50"/>
    </row>
    <row r="2544" spans="8:14" ht="15.75">
      <c r="H2544" s="260" t="s">
        <v>1076</v>
      </c>
      <c r="N2544" s="52"/>
    </row>
    <row r="2545" spans="8:15" ht="15.75">
      <c r="H2545" s="53" t="s">
        <v>535</v>
      </c>
      <c r="N2545" s="53"/>
    </row>
    <row r="2546" spans="8:15" ht="16.5">
      <c r="H2546" s="894" t="s">
        <v>1121</v>
      </c>
      <c r="I2546" s="894"/>
      <c r="J2546" s="894"/>
      <c r="K2546" s="894"/>
      <c r="L2546" s="894"/>
      <c r="M2546" s="894"/>
      <c r="N2546" s="894"/>
      <c r="O2546" s="894"/>
    </row>
    <row r="2547" spans="8:15" ht="15.75" thickBot="1"/>
    <row r="2548" spans="8:15">
      <c r="H2548" s="895" t="s">
        <v>94</v>
      </c>
      <c r="I2548" s="897" t="s">
        <v>95</v>
      </c>
      <c r="J2548" s="897" t="s">
        <v>96</v>
      </c>
      <c r="K2548" s="897" t="s">
        <v>3</v>
      </c>
      <c r="L2548" s="897" t="s">
        <v>97</v>
      </c>
      <c r="M2548" s="897" t="s">
        <v>98</v>
      </c>
      <c r="N2548" s="897" t="s">
        <v>99</v>
      </c>
      <c r="O2548" s="899"/>
    </row>
    <row r="2549" spans="8:15" ht="15.75" thickBot="1">
      <c r="H2549" s="896"/>
      <c r="I2549" s="898"/>
      <c r="J2549" s="898"/>
      <c r="K2549" s="898"/>
      <c r="L2549" s="898"/>
      <c r="M2549" s="898"/>
      <c r="N2549" s="240" t="s">
        <v>100</v>
      </c>
      <c r="O2549" s="182" t="s">
        <v>101</v>
      </c>
    </row>
    <row r="2550" spans="8:15" ht="15" customHeight="1">
      <c r="H2550" s="881">
        <v>270</v>
      </c>
      <c r="I2550" s="875">
        <v>42641</v>
      </c>
      <c r="J2550" s="877" t="s">
        <v>1014</v>
      </c>
      <c r="K2550" s="879" t="s">
        <v>1120</v>
      </c>
      <c r="L2550" s="881" t="s">
        <v>115</v>
      </c>
      <c r="M2550" s="883">
        <v>90000</v>
      </c>
      <c r="N2550" s="55">
        <v>719</v>
      </c>
      <c r="O2550" s="78">
        <v>90000</v>
      </c>
    </row>
    <row r="2551" spans="8:15" ht="15.75" customHeight="1" thickBot="1">
      <c r="H2551" s="882"/>
      <c r="I2551" s="876"/>
      <c r="J2551" s="878"/>
      <c r="K2551" s="880"/>
      <c r="L2551" s="882"/>
      <c r="M2551" s="884"/>
      <c r="N2551" s="56">
        <v>721</v>
      </c>
      <c r="O2551" s="79">
        <f>+M2550-O2550</f>
        <v>0</v>
      </c>
    </row>
    <row r="2552" spans="8:15" ht="15" customHeight="1">
      <c r="H2552" s="881">
        <v>271</v>
      </c>
      <c r="I2552" s="875">
        <v>42641</v>
      </c>
      <c r="J2552" s="877" t="s">
        <v>28</v>
      </c>
      <c r="K2552" s="879" t="s">
        <v>1119</v>
      </c>
      <c r="L2552" s="881" t="s">
        <v>115</v>
      </c>
      <c r="M2552" s="883">
        <v>80000</v>
      </c>
      <c r="N2552" s="55">
        <v>719</v>
      </c>
      <c r="O2552" s="78">
        <v>80000</v>
      </c>
    </row>
    <row r="2553" spans="8:15" ht="15.75" customHeight="1" thickBot="1">
      <c r="H2553" s="882"/>
      <c r="I2553" s="876"/>
      <c r="J2553" s="878"/>
      <c r="K2553" s="880"/>
      <c r="L2553" s="882"/>
      <c r="M2553" s="884"/>
      <c r="N2553" s="56">
        <v>721</v>
      </c>
      <c r="O2553" s="79">
        <f>+M2552-O2552</f>
        <v>0</v>
      </c>
    </row>
    <row r="2554" spans="8:15" ht="13.5" customHeight="1">
      <c r="H2554" s="881">
        <v>272</v>
      </c>
      <c r="I2554" s="875">
        <v>42641</v>
      </c>
      <c r="J2554" s="877" t="s">
        <v>1116</v>
      </c>
      <c r="K2554" s="879" t="s">
        <v>1118</v>
      </c>
      <c r="L2554" s="881" t="s">
        <v>115</v>
      </c>
      <c r="M2554" s="883">
        <v>80000</v>
      </c>
      <c r="N2554" s="55">
        <v>719</v>
      </c>
      <c r="O2554" s="78">
        <v>80000</v>
      </c>
    </row>
    <row r="2555" spans="8:15" ht="14.25" customHeight="1" thickBot="1">
      <c r="H2555" s="882"/>
      <c r="I2555" s="876"/>
      <c r="J2555" s="878"/>
      <c r="K2555" s="880"/>
      <c r="L2555" s="882"/>
      <c r="M2555" s="884"/>
      <c r="N2555" s="56">
        <v>721</v>
      </c>
      <c r="O2555" s="79">
        <f>+M2554-O2554</f>
        <v>0</v>
      </c>
    </row>
    <row r="2556" spans="8:15" ht="14.25" customHeight="1">
      <c r="H2556" s="881"/>
      <c r="I2556" s="875"/>
      <c r="J2556" s="875"/>
      <c r="K2556" s="877"/>
      <c r="L2556" s="879"/>
      <c r="M2556" s="883"/>
      <c r="N2556" s="55">
        <v>719</v>
      </c>
      <c r="O2556" s="78"/>
    </row>
    <row r="2557" spans="8:15" ht="13.5" customHeight="1" thickBot="1">
      <c r="H2557" s="882"/>
      <c r="I2557" s="876"/>
      <c r="J2557" s="876"/>
      <c r="K2557" s="878"/>
      <c r="L2557" s="880"/>
      <c r="M2557" s="884"/>
      <c r="N2557" s="56">
        <v>721</v>
      </c>
      <c r="O2557" s="79">
        <f>+M2556-O2556</f>
        <v>0</v>
      </c>
    </row>
    <row r="2558" spans="8:15" ht="14.25" customHeight="1">
      <c r="H2558" s="881"/>
      <c r="I2558" s="875"/>
      <c r="J2558" s="877"/>
      <c r="K2558" s="879"/>
      <c r="L2558" s="881"/>
      <c r="M2558" s="883"/>
      <c r="N2558" s="55">
        <v>719</v>
      </c>
      <c r="O2558" s="78"/>
    </row>
    <row r="2559" spans="8:15" ht="13.5" customHeight="1" thickBot="1">
      <c r="H2559" s="882"/>
      <c r="I2559" s="876"/>
      <c r="J2559" s="878"/>
      <c r="K2559" s="880"/>
      <c r="L2559" s="882"/>
      <c r="M2559" s="884"/>
      <c r="N2559" s="56">
        <v>723</v>
      </c>
      <c r="O2559" s="79">
        <f>+M2558-O2558</f>
        <v>0</v>
      </c>
    </row>
    <row r="2560" spans="8:15" ht="16.5" thickBot="1">
      <c r="H2560" s="901" t="s">
        <v>102</v>
      </c>
      <c r="I2560" s="902"/>
      <c r="J2560" s="902"/>
      <c r="K2560" s="902"/>
      <c r="L2560" s="903"/>
      <c r="M2560" s="81">
        <f>SUM(M2550:M2559)</f>
        <v>250000</v>
      </c>
    </row>
    <row r="2561" spans="8:15" ht="16.5" thickBot="1">
      <c r="H2561" s="885" t="s">
        <v>103</v>
      </c>
      <c r="I2561" s="886"/>
      <c r="J2561" s="886"/>
      <c r="K2561" s="886"/>
      <c r="L2561" s="887"/>
      <c r="M2561" s="69">
        <f>+M2525</f>
        <v>103506097</v>
      </c>
      <c r="N2561" s="241" t="s">
        <v>561</v>
      </c>
      <c r="O2561" s="242">
        <f>325+46+159</f>
        <v>530</v>
      </c>
    </row>
    <row r="2562" spans="8:15" ht="16.5" thickBot="1">
      <c r="H2562" s="888" t="s">
        <v>104</v>
      </c>
      <c r="I2562" s="889"/>
      <c r="J2562" s="889"/>
      <c r="K2562" s="889"/>
      <c r="L2562" s="890"/>
      <c r="M2562" s="183">
        <f>SUM(M2560:M2561)</f>
        <v>103756097</v>
      </c>
    </row>
    <row r="2563" spans="8:15">
      <c r="H2563" s="61"/>
      <c r="I2563" s="61"/>
      <c r="J2563" s="61"/>
      <c r="K2563" s="61"/>
      <c r="L2563" s="61"/>
    </row>
    <row r="2564" spans="8:15">
      <c r="H2564" s="51" t="s">
        <v>1117</v>
      </c>
    </row>
    <row r="2565" spans="8:15" ht="12.75" customHeight="1">
      <c r="M2565" s="139"/>
    </row>
    <row r="2566" spans="8:15">
      <c r="H2566" s="50" t="s">
        <v>105</v>
      </c>
      <c r="K2566" s="146"/>
      <c r="M2566" s="139"/>
    </row>
    <row r="2567" spans="8:15" ht="14.25" customHeight="1" thickBot="1"/>
    <row r="2568" spans="8:15" ht="15.75" thickBot="1">
      <c r="H2568" s="891" t="s">
        <v>106</v>
      </c>
      <c r="I2568" s="892"/>
      <c r="J2568" s="892"/>
      <c r="K2568" s="893"/>
      <c r="M2568" s="50" t="s">
        <v>288</v>
      </c>
    </row>
    <row r="2569" spans="8:15" ht="30.75" thickBot="1">
      <c r="H2569" s="57" t="s">
        <v>100</v>
      </c>
      <c r="I2569" s="58" t="s">
        <v>108</v>
      </c>
      <c r="J2569" s="287" t="s">
        <v>109</v>
      </c>
      <c r="K2569" s="60" t="s">
        <v>110</v>
      </c>
    </row>
    <row r="2570" spans="8:15">
      <c r="H2570" s="71">
        <v>719</v>
      </c>
      <c r="I2570" s="73">
        <f>+O2550+O2552+O2554</f>
        <v>250000</v>
      </c>
      <c r="J2570" s="74">
        <f>+K2533</f>
        <v>25090000</v>
      </c>
      <c r="K2570" s="195">
        <f>+I2570+J2570</f>
        <v>25340000</v>
      </c>
    </row>
    <row r="2571" spans="8:15">
      <c r="H2571" s="72">
        <v>721</v>
      </c>
      <c r="I2571" s="80">
        <f>+O2551+O2553+O2555+O2557+O2559</f>
        <v>0</v>
      </c>
      <c r="J2571" s="74">
        <f>+K2534</f>
        <v>92141134</v>
      </c>
      <c r="K2571" s="195">
        <f>+I2571+J2571</f>
        <v>92141134</v>
      </c>
    </row>
    <row r="2572" spans="8:15">
      <c r="H2572" s="72">
        <v>722</v>
      </c>
      <c r="I2572" s="80"/>
      <c r="J2572" s="74">
        <f>+K2535</f>
        <v>2000000</v>
      </c>
      <c r="K2572" s="195">
        <f>+I2572+J2572</f>
        <v>2000000</v>
      </c>
    </row>
    <row r="2573" spans="8:15" ht="15.75">
      <c r="H2573" s="72">
        <v>723</v>
      </c>
      <c r="I2573" s="80"/>
      <c r="J2573" s="74">
        <f>+K2536</f>
        <v>0</v>
      </c>
      <c r="K2573" s="195">
        <f>+I2573+J2573</f>
        <v>0</v>
      </c>
      <c r="M2573" s="193" t="s">
        <v>289</v>
      </c>
      <c r="N2573" s="175"/>
    </row>
    <row r="2574" spans="8:15" ht="16.5" thickBot="1">
      <c r="H2574" s="164" t="s">
        <v>1077</v>
      </c>
      <c r="I2574" s="165"/>
      <c r="J2574" s="74">
        <f>+K2537</f>
        <v>797500</v>
      </c>
      <c r="K2574" s="196">
        <f>+I2574+J2574</f>
        <v>797500</v>
      </c>
      <c r="M2574" s="52"/>
    </row>
    <row r="2575" spans="8:15" ht="16.5" thickBot="1">
      <c r="H2575" s="169"/>
      <c r="I2575" s="197">
        <f>SUM(I2570:I2574)</f>
        <v>250000</v>
      </c>
      <c r="J2575" s="197">
        <f>SUM(J2570:J2574)</f>
        <v>120028634</v>
      </c>
      <c r="K2575" s="198">
        <f>SUM(K2570:K2574)</f>
        <v>120278634</v>
      </c>
    </row>
    <row r="2576" spans="8:15" ht="16.5">
      <c r="H2576" s="49" t="s">
        <v>88</v>
      </c>
      <c r="I2576" s="50"/>
    </row>
    <row r="2577" spans="8:15">
      <c r="H2577" s="51" t="s">
        <v>89</v>
      </c>
    </row>
    <row r="2578" spans="8:15">
      <c r="H2578" s="51" t="s">
        <v>90</v>
      </c>
    </row>
    <row r="2579" spans="8:15">
      <c r="H2579" s="51" t="s">
        <v>91</v>
      </c>
    </row>
    <row r="2580" spans="8:15" ht="14.25" customHeight="1">
      <c r="H2580" s="50"/>
      <c r="I2580" s="50"/>
    </row>
    <row r="2581" spans="8:15" ht="15.75">
      <c r="H2581" s="260" t="s">
        <v>1083</v>
      </c>
      <c r="N2581" s="52"/>
    </row>
    <row r="2582" spans="8:15" ht="15.75">
      <c r="H2582" s="53" t="s">
        <v>535</v>
      </c>
      <c r="N2582" s="53"/>
    </row>
    <row r="2583" spans="8:15" ht="16.5">
      <c r="H2583" s="894" t="s">
        <v>1121</v>
      </c>
      <c r="I2583" s="894"/>
      <c r="J2583" s="894"/>
      <c r="K2583" s="894"/>
      <c r="L2583" s="894"/>
      <c r="M2583" s="894"/>
      <c r="N2583" s="894"/>
      <c r="O2583" s="894"/>
    </row>
    <row r="2584" spans="8:15" ht="12.75" customHeight="1" thickBot="1"/>
    <row r="2585" spans="8:15">
      <c r="H2585" s="895" t="s">
        <v>94</v>
      </c>
      <c r="I2585" s="897" t="s">
        <v>95</v>
      </c>
      <c r="J2585" s="897" t="s">
        <v>96</v>
      </c>
      <c r="K2585" s="897" t="s">
        <v>3</v>
      </c>
      <c r="L2585" s="897" t="s">
        <v>97</v>
      </c>
      <c r="M2585" s="897" t="s">
        <v>98</v>
      </c>
      <c r="N2585" s="897" t="s">
        <v>99</v>
      </c>
      <c r="O2585" s="899"/>
    </row>
    <row r="2586" spans="8:15" ht="15.75" thickBot="1">
      <c r="H2586" s="896"/>
      <c r="I2586" s="898"/>
      <c r="J2586" s="898"/>
      <c r="K2586" s="898"/>
      <c r="L2586" s="898"/>
      <c r="M2586" s="898"/>
      <c r="N2586" s="240" t="s">
        <v>100</v>
      </c>
      <c r="O2586" s="182" t="s">
        <v>101</v>
      </c>
    </row>
    <row r="2587" spans="8:15" ht="15" customHeight="1">
      <c r="H2587" s="881">
        <v>273</v>
      </c>
      <c r="I2587" s="875">
        <v>42648</v>
      </c>
      <c r="J2587" s="877" t="s">
        <v>1014</v>
      </c>
      <c r="K2587" s="879" t="s">
        <v>1122</v>
      </c>
      <c r="L2587" s="881" t="s">
        <v>115</v>
      </c>
      <c r="M2587" s="883">
        <v>60000</v>
      </c>
      <c r="N2587" s="55">
        <v>719</v>
      </c>
      <c r="O2587" s="78">
        <v>60000</v>
      </c>
    </row>
    <row r="2588" spans="8:15" ht="15.75" customHeight="1" thickBot="1">
      <c r="H2588" s="882"/>
      <c r="I2588" s="876"/>
      <c r="J2588" s="878"/>
      <c r="K2588" s="880"/>
      <c r="L2588" s="882"/>
      <c r="M2588" s="884"/>
      <c r="N2588" s="56">
        <v>721</v>
      </c>
      <c r="O2588" s="79">
        <f>+M2587-O2587</f>
        <v>0</v>
      </c>
    </row>
    <row r="2589" spans="8:15" ht="15" customHeight="1">
      <c r="H2589" s="881">
        <v>274</v>
      </c>
      <c r="I2589" s="875">
        <v>42648</v>
      </c>
      <c r="J2589" s="877" t="s">
        <v>28</v>
      </c>
      <c r="K2589" s="879" t="s">
        <v>1123</v>
      </c>
      <c r="L2589" s="881" t="s">
        <v>115</v>
      </c>
      <c r="M2589" s="883">
        <v>40000</v>
      </c>
      <c r="N2589" s="55">
        <v>719</v>
      </c>
      <c r="O2589" s="78">
        <v>40000</v>
      </c>
    </row>
    <row r="2590" spans="8:15" ht="15.75" customHeight="1" thickBot="1">
      <c r="H2590" s="882"/>
      <c r="I2590" s="876"/>
      <c r="J2590" s="878"/>
      <c r="K2590" s="880"/>
      <c r="L2590" s="882"/>
      <c r="M2590" s="884"/>
      <c r="N2590" s="56">
        <v>721</v>
      </c>
      <c r="O2590" s="79">
        <f>+M2589-O2589</f>
        <v>0</v>
      </c>
    </row>
    <row r="2591" spans="8:15" ht="15" customHeight="1">
      <c r="H2591" s="881">
        <v>275</v>
      </c>
      <c r="I2591" s="875">
        <v>42648</v>
      </c>
      <c r="J2591" s="877" t="s">
        <v>120</v>
      </c>
      <c r="K2591" s="879" t="s">
        <v>1122</v>
      </c>
      <c r="L2591" s="881" t="s">
        <v>115</v>
      </c>
      <c r="M2591" s="883">
        <v>100000</v>
      </c>
      <c r="N2591" s="55">
        <v>719</v>
      </c>
      <c r="O2591" s="78">
        <v>100000</v>
      </c>
    </row>
    <row r="2592" spans="8:15" ht="15.75" customHeight="1" thickBot="1">
      <c r="H2592" s="882"/>
      <c r="I2592" s="876"/>
      <c r="J2592" s="878"/>
      <c r="K2592" s="880"/>
      <c r="L2592" s="882"/>
      <c r="M2592" s="884"/>
      <c r="N2592" s="56">
        <v>721</v>
      </c>
      <c r="O2592" s="79">
        <f>+M2591-O2591</f>
        <v>0</v>
      </c>
    </row>
    <row r="2593" spans="8:15" ht="15" customHeight="1">
      <c r="H2593" s="881"/>
      <c r="I2593" s="875"/>
      <c r="J2593" s="877"/>
      <c r="K2593" s="879"/>
      <c r="L2593" s="881"/>
      <c r="M2593" s="883"/>
      <c r="N2593" s="55">
        <v>719</v>
      </c>
      <c r="O2593" s="78">
        <v>0</v>
      </c>
    </row>
    <row r="2594" spans="8:15" ht="15.75" customHeight="1" thickBot="1">
      <c r="H2594" s="882"/>
      <c r="I2594" s="876"/>
      <c r="J2594" s="878"/>
      <c r="K2594" s="880"/>
      <c r="L2594" s="882"/>
      <c r="M2594" s="884"/>
      <c r="N2594" s="56">
        <v>721</v>
      </c>
      <c r="O2594" s="79">
        <f>+M2593-O2593</f>
        <v>0</v>
      </c>
    </row>
    <row r="2595" spans="8:15" ht="15" customHeight="1">
      <c r="H2595" s="881"/>
      <c r="I2595" s="875"/>
      <c r="J2595" s="877"/>
      <c r="K2595" s="879"/>
      <c r="L2595" s="881"/>
      <c r="M2595" s="883"/>
      <c r="N2595" s="55">
        <v>719</v>
      </c>
      <c r="O2595" s="78"/>
    </row>
    <row r="2596" spans="8:15" ht="15.75" customHeight="1" thickBot="1">
      <c r="H2596" s="882"/>
      <c r="I2596" s="876"/>
      <c r="J2596" s="878"/>
      <c r="K2596" s="880"/>
      <c r="L2596" s="882"/>
      <c r="M2596" s="884"/>
      <c r="N2596" s="56">
        <v>723</v>
      </c>
      <c r="O2596" s="79">
        <f>+M2595-O2595</f>
        <v>0</v>
      </c>
    </row>
    <row r="2597" spans="8:15" ht="16.5" thickBot="1">
      <c r="H2597" s="901" t="s">
        <v>102</v>
      </c>
      <c r="I2597" s="902"/>
      <c r="J2597" s="902"/>
      <c r="K2597" s="902"/>
      <c r="L2597" s="903"/>
      <c r="M2597" s="81">
        <f>SUM(M2587:M2596)</f>
        <v>200000</v>
      </c>
    </row>
    <row r="2598" spans="8:15" ht="16.5" thickBot="1">
      <c r="H2598" s="885" t="s">
        <v>103</v>
      </c>
      <c r="I2598" s="886"/>
      <c r="J2598" s="886"/>
      <c r="K2598" s="886"/>
      <c r="L2598" s="887"/>
      <c r="M2598" s="69">
        <f>+M2562</f>
        <v>103756097</v>
      </c>
      <c r="N2598" s="241" t="s">
        <v>561</v>
      </c>
      <c r="O2598" s="242"/>
    </row>
    <row r="2599" spans="8:15" ht="16.5" thickBot="1">
      <c r="H2599" s="888" t="s">
        <v>104</v>
      </c>
      <c r="I2599" s="889"/>
      <c r="J2599" s="889"/>
      <c r="K2599" s="889"/>
      <c r="L2599" s="890"/>
      <c r="M2599" s="183">
        <f>SUM(M2597:M2598)</f>
        <v>103956097</v>
      </c>
    </row>
    <row r="2600" spans="8:15">
      <c r="H2600" s="61"/>
      <c r="I2600" s="61"/>
      <c r="J2600" s="61"/>
      <c r="K2600" s="61"/>
      <c r="L2600" s="61"/>
    </row>
    <row r="2601" spans="8:15">
      <c r="H2601" s="51" t="s">
        <v>1124</v>
      </c>
    </row>
    <row r="2602" spans="8:15" ht="12.75" customHeight="1">
      <c r="M2602" s="139"/>
    </row>
    <row r="2603" spans="8:15">
      <c r="H2603" s="50" t="s">
        <v>105</v>
      </c>
      <c r="K2603" s="146"/>
      <c r="M2603" s="139"/>
    </row>
    <row r="2604" spans="8:15" ht="13.5" customHeight="1" thickBot="1"/>
    <row r="2605" spans="8:15" ht="15.75" thickBot="1">
      <c r="H2605" s="891" t="s">
        <v>106</v>
      </c>
      <c r="I2605" s="892"/>
      <c r="J2605" s="892"/>
      <c r="K2605" s="893"/>
      <c r="M2605" s="908" t="s">
        <v>1126</v>
      </c>
      <c r="N2605" s="908"/>
      <c r="O2605" s="908"/>
    </row>
    <row r="2606" spans="8:15" ht="30.75" thickBot="1">
      <c r="H2606" s="57" t="s">
        <v>100</v>
      </c>
      <c r="I2606" s="58" t="s">
        <v>108</v>
      </c>
      <c r="J2606" s="287" t="s">
        <v>109</v>
      </c>
      <c r="K2606" s="60" t="s">
        <v>110</v>
      </c>
    </row>
    <row r="2607" spans="8:15">
      <c r="H2607" s="71">
        <v>719</v>
      </c>
      <c r="I2607" s="73">
        <f>+O2595+O2593+O2591+O2589+O2587</f>
        <v>200000</v>
      </c>
      <c r="J2607" s="74">
        <f>+K2570</f>
        <v>25340000</v>
      </c>
      <c r="K2607" s="195">
        <f>+I2607+J2607</f>
        <v>25540000</v>
      </c>
    </row>
    <row r="2608" spans="8:15">
      <c r="H2608" s="72">
        <v>721</v>
      </c>
      <c r="I2608" s="80"/>
      <c r="J2608" s="74">
        <f>+K2571</f>
        <v>92141134</v>
      </c>
      <c r="K2608" s="195">
        <f>+I2608+J2608</f>
        <v>92141134</v>
      </c>
    </row>
    <row r="2609" spans="8:15">
      <c r="H2609" s="72">
        <v>722</v>
      </c>
      <c r="I2609" s="80"/>
      <c r="J2609" s="74">
        <f>+K2572</f>
        <v>2000000</v>
      </c>
      <c r="K2609" s="195">
        <f>+I2609+J2609</f>
        <v>2000000</v>
      </c>
    </row>
    <row r="2610" spans="8:15" ht="15.75">
      <c r="H2610" s="72">
        <v>723</v>
      </c>
      <c r="I2610" s="80"/>
      <c r="J2610" s="74">
        <f>+K2573</f>
        <v>0</v>
      </c>
      <c r="K2610" s="195">
        <f>+I2610+J2610</f>
        <v>0</v>
      </c>
      <c r="M2610" s="909" t="s">
        <v>1125</v>
      </c>
      <c r="N2610" s="909"/>
      <c r="O2610" s="909"/>
    </row>
    <row r="2611" spans="8:15" ht="16.5" thickBot="1">
      <c r="H2611" s="164" t="s">
        <v>1077</v>
      </c>
      <c r="I2611" s="165"/>
      <c r="J2611" s="74">
        <f>+K2574</f>
        <v>797500</v>
      </c>
      <c r="K2611" s="196">
        <f>+I2611+J2611</f>
        <v>797500</v>
      </c>
      <c r="M2611" s="52"/>
    </row>
    <row r="2612" spans="8:15" ht="16.5" thickBot="1">
      <c r="H2612" s="169"/>
      <c r="I2612" s="197">
        <f>SUM(I2607:I2611)</f>
        <v>200000</v>
      </c>
      <c r="J2612" s="197">
        <f>SUM(J2607:J2611)</f>
        <v>120278634</v>
      </c>
      <c r="K2612" s="198">
        <f>SUM(K2607:K2611)</f>
        <v>120478634</v>
      </c>
    </row>
    <row r="2613" spans="8:15" ht="16.5">
      <c r="H2613" s="49" t="s">
        <v>88</v>
      </c>
      <c r="I2613" s="50"/>
    </row>
    <row r="2614" spans="8:15">
      <c r="H2614" s="51" t="s">
        <v>89</v>
      </c>
    </row>
    <row r="2615" spans="8:15">
      <c r="H2615" s="51" t="s">
        <v>90</v>
      </c>
    </row>
    <row r="2616" spans="8:15">
      <c r="H2616" s="51" t="s">
        <v>91</v>
      </c>
    </row>
    <row r="2617" spans="8:15" ht="12" customHeight="1">
      <c r="H2617" s="50"/>
      <c r="I2617" s="50"/>
    </row>
    <row r="2618" spans="8:15" ht="15.75">
      <c r="H2618" s="260" t="s">
        <v>1085</v>
      </c>
      <c r="N2618" s="52"/>
    </row>
    <row r="2619" spans="8:15" ht="15.75">
      <c r="H2619" s="53" t="s">
        <v>535</v>
      </c>
      <c r="N2619" s="53"/>
    </row>
    <row r="2620" spans="8:15" ht="15" customHeight="1">
      <c r="H2620" s="894" t="s">
        <v>1078</v>
      </c>
      <c r="I2620" s="894"/>
      <c r="J2620" s="894"/>
      <c r="K2620" s="894"/>
      <c r="L2620" s="894"/>
      <c r="M2620" s="894"/>
      <c r="N2620" s="894"/>
      <c r="O2620" s="894"/>
    </row>
    <row r="2621" spans="8:15" ht="13.5" customHeight="1" thickBot="1"/>
    <row r="2622" spans="8:15">
      <c r="H2622" s="895" t="s">
        <v>94</v>
      </c>
      <c r="I2622" s="897" t="s">
        <v>95</v>
      </c>
      <c r="J2622" s="897" t="s">
        <v>96</v>
      </c>
      <c r="K2622" s="897" t="s">
        <v>3</v>
      </c>
      <c r="L2622" s="897" t="s">
        <v>97</v>
      </c>
      <c r="M2622" s="897" t="s">
        <v>98</v>
      </c>
      <c r="N2622" s="897" t="s">
        <v>99</v>
      </c>
      <c r="O2622" s="899"/>
    </row>
    <row r="2623" spans="8:15" ht="15.75" thickBot="1">
      <c r="H2623" s="896"/>
      <c r="I2623" s="898"/>
      <c r="J2623" s="898"/>
      <c r="K2623" s="898"/>
      <c r="L2623" s="898"/>
      <c r="M2623" s="898"/>
      <c r="N2623" s="240" t="s">
        <v>100</v>
      </c>
      <c r="O2623" s="182" t="s">
        <v>101</v>
      </c>
    </row>
    <row r="2624" spans="8:15" ht="12.75" customHeight="1">
      <c r="H2624" s="881">
        <v>276</v>
      </c>
      <c r="I2624" s="875">
        <v>42650</v>
      </c>
      <c r="J2624" s="877" t="s">
        <v>350</v>
      </c>
      <c r="K2624" s="879" t="s">
        <v>1127</v>
      </c>
      <c r="L2624" s="881" t="s">
        <v>148</v>
      </c>
      <c r="M2624" s="883">
        <v>598000</v>
      </c>
      <c r="N2624" s="55">
        <v>719</v>
      </c>
      <c r="O2624" s="78">
        <v>460000</v>
      </c>
    </row>
    <row r="2625" spans="8:15" ht="12" customHeight="1" thickBot="1">
      <c r="H2625" s="882"/>
      <c r="I2625" s="876"/>
      <c r="J2625" s="878"/>
      <c r="K2625" s="880"/>
      <c r="L2625" s="882"/>
      <c r="M2625" s="884"/>
      <c r="N2625" s="56">
        <v>721</v>
      </c>
      <c r="O2625" s="351">
        <f>+M2624-O2624</f>
        <v>138000</v>
      </c>
    </row>
    <row r="2626" spans="8:15" ht="12.75" customHeight="1">
      <c r="H2626" s="881">
        <v>277</v>
      </c>
      <c r="I2626" s="875">
        <v>42650</v>
      </c>
      <c r="J2626" s="877" t="s">
        <v>350</v>
      </c>
      <c r="K2626" s="879" t="s">
        <v>1038</v>
      </c>
      <c r="L2626" s="881" t="s">
        <v>148</v>
      </c>
      <c r="M2626" s="883">
        <v>1521000</v>
      </c>
      <c r="N2626" s="55">
        <v>719</v>
      </c>
      <c r="O2626" s="78">
        <v>1170000</v>
      </c>
    </row>
    <row r="2627" spans="8:15" ht="12" customHeight="1" thickBot="1">
      <c r="H2627" s="882"/>
      <c r="I2627" s="876"/>
      <c r="J2627" s="878"/>
      <c r="K2627" s="880"/>
      <c r="L2627" s="882"/>
      <c r="M2627" s="884"/>
      <c r="N2627" s="56">
        <v>721</v>
      </c>
      <c r="O2627" s="352">
        <f>+M2626-O2626</f>
        <v>351000</v>
      </c>
    </row>
    <row r="2628" spans="8:15" ht="15" customHeight="1">
      <c r="H2628" s="881">
        <v>278</v>
      </c>
      <c r="I2628" s="875">
        <v>42650</v>
      </c>
      <c r="J2628" s="877" t="s">
        <v>350</v>
      </c>
      <c r="K2628" s="879" t="s">
        <v>1122</v>
      </c>
      <c r="L2628" s="881" t="s">
        <v>148</v>
      </c>
      <c r="M2628" s="883">
        <v>923000</v>
      </c>
      <c r="N2628" s="55">
        <v>719</v>
      </c>
      <c r="O2628" s="78">
        <v>710000</v>
      </c>
    </row>
    <row r="2629" spans="8:15" ht="12" customHeight="1" thickBot="1">
      <c r="H2629" s="882"/>
      <c r="I2629" s="876"/>
      <c r="J2629" s="878"/>
      <c r="K2629" s="880"/>
      <c r="L2629" s="882"/>
      <c r="M2629" s="884"/>
      <c r="N2629" s="56">
        <v>721</v>
      </c>
      <c r="O2629" s="352">
        <f>+M2628-O2628</f>
        <v>213000</v>
      </c>
    </row>
    <row r="2630" spans="8:15" ht="15" customHeight="1">
      <c r="H2630" s="881">
        <v>279</v>
      </c>
      <c r="I2630" s="875">
        <v>42650</v>
      </c>
      <c r="J2630" s="877" t="s">
        <v>350</v>
      </c>
      <c r="K2630" s="879" t="s">
        <v>1122</v>
      </c>
      <c r="L2630" s="881" t="s">
        <v>148</v>
      </c>
      <c r="M2630" s="883">
        <v>715000</v>
      </c>
      <c r="N2630" s="55">
        <v>719</v>
      </c>
      <c r="O2630" s="78">
        <v>550000</v>
      </c>
    </row>
    <row r="2631" spans="8:15" ht="13.5" customHeight="1" thickBot="1">
      <c r="H2631" s="882"/>
      <c r="I2631" s="876"/>
      <c r="J2631" s="878"/>
      <c r="K2631" s="880"/>
      <c r="L2631" s="882"/>
      <c r="M2631" s="884"/>
      <c r="N2631" s="56">
        <v>721</v>
      </c>
      <c r="O2631" s="79">
        <f>+M2630-O2630</f>
        <v>165000</v>
      </c>
    </row>
    <row r="2632" spans="8:15" ht="15" customHeight="1">
      <c r="H2632" s="881">
        <v>280</v>
      </c>
      <c r="I2632" s="875">
        <v>42650</v>
      </c>
      <c r="J2632" s="877" t="s">
        <v>350</v>
      </c>
      <c r="K2632" s="879" t="s">
        <v>1122</v>
      </c>
      <c r="L2632" s="881" t="s">
        <v>148</v>
      </c>
      <c r="M2632" s="883">
        <v>879000</v>
      </c>
      <c r="N2632" s="55">
        <v>719</v>
      </c>
      <c r="O2632" s="78">
        <v>720000</v>
      </c>
    </row>
    <row r="2633" spans="8:15" ht="15" customHeight="1" thickBot="1">
      <c r="H2633" s="882"/>
      <c r="I2633" s="876"/>
      <c r="J2633" s="878"/>
      <c r="K2633" s="880"/>
      <c r="L2633" s="882"/>
      <c r="M2633" s="884"/>
      <c r="N2633" s="56">
        <v>721</v>
      </c>
      <c r="O2633" s="79">
        <f>+M2632-O2632</f>
        <v>159000</v>
      </c>
    </row>
    <row r="2634" spans="8:15" ht="12.75" customHeight="1">
      <c r="H2634" s="881">
        <v>281</v>
      </c>
      <c r="I2634" s="875">
        <v>42650</v>
      </c>
      <c r="J2634" s="877" t="s">
        <v>350</v>
      </c>
      <c r="K2634" s="879" t="s">
        <v>1122</v>
      </c>
      <c r="L2634" s="881" t="s">
        <v>148</v>
      </c>
      <c r="M2634" s="883">
        <v>300000</v>
      </c>
      <c r="N2634" s="55">
        <v>719</v>
      </c>
      <c r="O2634" s="78">
        <v>300000</v>
      </c>
    </row>
    <row r="2635" spans="8:15" ht="13.5" customHeight="1" thickBot="1">
      <c r="H2635" s="882"/>
      <c r="I2635" s="876"/>
      <c r="J2635" s="878"/>
      <c r="K2635" s="880"/>
      <c r="L2635" s="882"/>
      <c r="M2635" s="884"/>
      <c r="N2635" s="56">
        <v>723</v>
      </c>
      <c r="O2635" s="79">
        <f>+M2634-O2634</f>
        <v>0</v>
      </c>
    </row>
    <row r="2636" spans="8:15" ht="16.5" thickBot="1">
      <c r="H2636" s="901" t="s">
        <v>102</v>
      </c>
      <c r="I2636" s="902"/>
      <c r="J2636" s="902"/>
      <c r="K2636" s="902"/>
      <c r="L2636" s="903"/>
      <c r="M2636" s="81">
        <f>SUM(M2624:M2635)</f>
        <v>4936000</v>
      </c>
    </row>
    <row r="2637" spans="8:15" ht="16.5" thickBot="1">
      <c r="H2637" s="885" t="s">
        <v>103</v>
      </c>
      <c r="I2637" s="886"/>
      <c r="J2637" s="886"/>
      <c r="K2637" s="886"/>
      <c r="L2637" s="887"/>
      <c r="M2637" s="69">
        <f>+M2599</f>
        <v>103956097</v>
      </c>
      <c r="N2637" s="241" t="s">
        <v>561</v>
      </c>
      <c r="O2637" s="242">
        <v>6648</v>
      </c>
    </row>
    <row r="2638" spans="8:15" ht="16.5" thickBot="1">
      <c r="H2638" s="888" t="s">
        <v>104</v>
      </c>
      <c r="I2638" s="889"/>
      <c r="J2638" s="889"/>
      <c r="K2638" s="889"/>
      <c r="L2638" s="890"/>
      <c r="M2638" s="183">
        <f>SUM(M2636:M2637)</f>
        <v>108892097</v>
      </c>
    </row>
    <row r="2639" spans="8:15" ht="13.5" customHeight="1">
      <c r="H2639" s="61"/>
      <c r="I2639" s="61"/>
      <c r="J2639" s="61"/>
      <c r="K2639" s="61"/>
      <c r="L2639" s="61"/>
    </row>
    <row r="2640" spans="8:15">
      <c r="H2640" s="51" t="s">
        <v>1158</v>
      </c>
    </row>
    <row r="2641" spans="8:14" ht="10.5" customHeight="1">
      <c r="M2641" s="139"/>
    </row>
    <row r="2642" spans="8:14">
      <c r="H2642" s="50" t="s">
        <v>105</v>
      </c>
      <c r="K2642" s="146"/>
      <c r="M2642" s="139"/>
    </row>
    <row r="2643" spans="8:14" ht="10.5" customHeight="1" thickBot="1"/>
    <row r="2644" spans="8:14" ht="15.75" thickBot="1">
      <c r="H2644" s="891" t="s">
        <v>106</v>
      </c>
      <c r="I2644" s="892"/>
      <c r="J2644" s="892"/>
      <c r="K2644" s="893"/>
      <c r="M2644" s="50" t="s">
        <v>288</v>
      </c>
    </row>
    <row r="2645" spans="8:14" ht="30.75" thickBot="1">
      <c r="H2645" s="57" t="s">
        <v>100</v>
      </c>
      <c r="I2645" s="58" t="s">
        <v>108</v>
      </c>
      <c r="J2645" s="287" t="s">
        <v>109</v>
      </c>
      <c r="K2645" s="60" t="s">
        <v>110</v>
      </c>
    </row>
    <row r="2646" spans="8:14">
      <c r="H2646" s="71">
        <v>719</v>
      </c>
      <c r="I2646" s="73">
        <f>+O2624+O2626+O2628+O2630+O2632+O2634</f>
        <v>3910000</v>
      </c>
      <c r="J2646" s="74">
        <f>+K2607</f>
        <v>25540000</v>
      </c>
      <c r="K2646" s="195">
        <f>+I2646+J2646</f>
        <v>29450000</v>
      </c>
    </row>
    <row r="2647" spans="8:14">
      <c r="H2647" s="72">
        <v>721</v>
      </c>
      <c r="I2647" s="80">
        <f>+O2625+O2627+O2629+O2631+O2635+O2633</f>
        <v>1026000</v>
      </c>
      <c r="J2647" s="74">
        <f>+K2608</f>
        <v>92141134</v>
      </c>
      <c r="K2647" s="195">
        <f>+I2647+J2647</f>
        <v>93167134</v>
      </c>
    </row>
    <row r="2648" spans="8:14">
      <c r="H2648" s="72">
        <v>722</v>
      </c>
      <c r="I2648" s="80"/>
      <c r="J2648" s="74">
        <f>+K2609</f>
        <v>2000000</v>
      </c>
      <c r="K2648" s="195">
        <f>+I2648+J2648</f>
        <v>2000000</v>
      </c>
    </row>
    <row r="2649" spans="8:14" ht="15.75">
      <c r="H2649" s="72">
        <v>723</v>
      </c>
      <c r="I2649" s="80"/>
      <c r="J2649" s="74">
        <f>+K2610</f>
        <v>0</v>
      </c>
      <c r="K2649" s="195">
        <f>+I2649+J2649</f>
        <v>0</v>
      </c>
      <c r="M2649" s="193" t="s">
        <v>289</v>
      </c>
      <c r="N2649" s="175"/>
    </row>
    <row r="2650" spans="8:14" ht="16.5" thickBot="1">
      <c r="H2650" s="164" t="s">
        <v>1077</v>
      </c>
      <c r="I2650" s="165"/>
      <c r="J2650" s="74">
        <f>+K2611</f>
        <v>797500</v>
      </c>
      <c r="K2650" s="196">
        <f>+I2650+J2650</f>
        <v>797500</v>
      </c>
      <c r="M2650" s="52"/>
    </row>
    <row r="2651" spans="8:14" ht="16.5" thickBot="1">
      <c r="H2651" s="169"/>
      <c r="I2651" s="197">
        <f>SUM(I2646:I2650)</f>
        <v>4936000</v>
      </c>
      <c r="J2651" s="197">
        <f>SUM(J2646:J2650)</f>
        <v>120478634</v>
      </c>
      <c r="K2651" s="198">
        <f>SUM(K2646:K2650)</f>
        <v>125414634</v>
      </c>
    </row>
    <row r="2652" spans="8:14" ht="16.5">
      <c r="H2652" s="49" t="s">
        <v>88</v>
      </c>
      <c r="I2652" s="50"/>
    </row>
    <row r="2653" spans="8:14">
      <c r="H2653" s="51" t="s">
        <v>89</v>
      </c>
    </row>
    <row r="2654" spans="8:14">
      <c r="H2654" s="51" t="s">
        <v>90</v>
      </c>
    </row>
    <row r="2655" spans="8:14">
      <c r="H2655" s="51" t="s">
        <v>91</v>
      </c>
    </row>
    <row r="2656" spans="8:14" ht="14.25" customHeight="1">
      <c r="H2656" s="50"/>
      <c r="I2656" s="50"/>
    </row>
    <row r="2657" spans="8:15" ht="15.75">
      <c r="H2657" s="260" t="s">
        <v>1087</v>
      </c>
      <c r="N2657" s="52"/>
    </row>
    <row r="2658" spans="8:15" ht="15.75">
      <c r="H2658" s="53" t="s">
        <v>535</v>
      </c>
      <c r="N2658" s="53"/>
    </row>
    <row r="2659" spans="8:15" ht="16.5">
      <c r="H2659" s="894" t="s">
        <v>1078</v>
      </c>
      <c r="I2659" s="894"/>
      <c r="J2659" s="894"/>
      <c r="K2659" s="894"/>
      <c r="L2659" s="894"/>
      <c r="M2659" s="894"/>
      <c r="N2659" s="894"/>
      <c r="O2659" s="894"/>
    </row>
    <row r="2660" spans="8:15" ht="15.75" thickBot="1"/>
    <row r="2661" spans="8:15">
      <c r="H2661" s="895" t="s">
        <v>94</v>
      </c>
      <c r="I2661" s="897" t="s">
        <v>95</v>
      </c>
      <c r="J2661" s="897" t="s">
        <v>96</v>
      </c>
      <c r="K2661" s="897" t="s">
        <v>3</v>
      </c>
      <c r="L2661" s="897" t="s">
        <v>97</v>
      </c>
      <c r="M2661" s="897" t="s">
        <v>98</v>
      </c>
      <c r="N2661" s="897" t="s">
        <v>99</v>
      </c>
      <c r="O2661" s="899"/>
    </row>
    <row r="2662" spans="8:15" ht="15.75" thickBot="1">
      <c r="H2662" s="896"/>
      <c r="I2662" s="898"/>
      <c r="J2662" s="898"/>
      <c r="K2662" s="898"/>
      <c r="L2662" s="898"/>
      <c r="M2662" s="898"/>
      <c r="N2662" s="240" t="s">
        <v>100</v>
      </c>
      <c r="O2662" s="182" t="s">
        <v>101</v>
      </c>
    </row>
    <row r="2663" spans="8:15" ht="15" customHeight="1">
      <c r="H2663" s="881">
        <v>282</v>
      </c>
      <c r="I2663" s="875">
        <v>42655</v>
      </c>
      <c r="J2663" s="877" t="s">
        <v>267</v>
      </c>
      <c r="K2663" s="879" t="s">
        <v>1129</v>
      </c>
      <c r="L2663" s="881" t="s">
        <v>148</v>
      </c>
      <c r="M2663" s="883">
        <v>26000</v>
      </c>
      <c r="N2663" s="55">
        <v>719</v>
      </c>
      <c r="O2663" s="78">
        <v>20000</v>
      </c>
    </row>
    <row r="2664" spans="8:15" ht="15.75" customHeight="1" thickBot="1">
      <c r="H2664" s="882"/>
      <c r="I2664" s="876"/>
      <c r="J2664" s="878"/>
      <c r="K2664" s="880"/>
      <c r="L2664" s="882"/>
      <c r="M2664" s="884"/>
      <c r="N2664" s="56">
        <v>721</v>
      </c>
      <c r="O2664" s="79">
        <f>+M2663-O2663</f>
        <v>6000</v>
      </c>
    </row>
    <row r="2665" spans="8:15" ht="15" customHeight="1">
      <c r="H2665" s="881">
        <v>283</v>
      </c>
      <c r="I2665" s="875">
        <v>42655</v>
      </c>
      <c r="J2665" s="877" t="s">
        <v>267</v>
      </c>
      <c r="K2665" s="879" t="s">
        <v>1130</v>
      </c>
      <c r="L2665" s="881" t="s">
        <v>148</v>
      </c>
      <c r="M2665" s="883">
        <v>130000</v>
      </c>
      <c r="N2665" s="55">
        <v>719</v>
      </c>
      <c r="O2665" s="78">
        <v>100000</v>
      </c>
    </row>
    <row r="2666" spans="8:15" ht="15.75" customHeight="1" thickBot="1">
      <c r="H2666" s="882"/>
      <c r="I2666" s="876"/>
      <c r="J2666" s="878"/>
      <c r="K2666" s="880"/>
      <c r="L2666" s="882"/>
      <c r="M2666" s="884"/>
      <c r="N2666" s="56">
        <v>721</v>
      </c>
      <c r="O2666" s="79">
        <f>+M2665-O2665</f>
        <v>30000</v>
      </c>
    </row>
    <row r="2667" spans="8:15" ht="15" customHeight="1">
      <c r="H2667" s="881">
        <v>284</v>
      </c>
      <c r="I2667" s="875">
        <v>42655</v>
      </c>
      <c r="J2667" s="877" t="s">
        <v>267</v>
      </c>
      <c r="K2667" s="879" t="s">
        <v>1131</v>
      </c>
      <c r="L2667" s="881" t="s">
        <v>148</v>
      </c>
      <c r="M2667" s="883">
        <v>130000</v>
      </c>
      <c r="N2667" s="55">
        <v>719</v>
      </c>
      <c r="O2667" s="78">
        <v>100000</v>
      </c>
    </row>
    <row r="2668" spans="8:15" ht="15.75" customHeight="1" thickBot="1">
      <c r="H2668" s="882"/>
      <c r="I2668" s="876"/>
      <c r="J2668" s="878"/>
      <c r="K2668" s="880"/>
      <c r="L2668" s="882"/>
      <c r="M2668" s="884"/>
      <c r="N2668" s="56">
        <v>721</v>
      </c>
      <c r="O2668" s="79">
        <f>+M2667-O2667</f>
        <v>30000</v>
      </c>
    </row>
    <row r="2669" spans="8:15" ht="15" customHeight="1">
      <c r="H2669" s="881">
        <v>285</v>
      </c>
      <c r="I2669" s="875">
        <v>42655</v>
      </c>
      <c r="J2669" s="877" t="s">
        <v>267</v>
      </c>
      <c r="K2669" s="879" t="s">
        <v>1132</v>
      </c>
      <c r="L2669" s="881" t="s">
        <v>148</v>
      </c>
      <c r="M2669" s="883">
        <v>30000</v>
      </c>
      <c r="N2669" s="55">
        <v>719</v>
      </c>
      <c r="O2669" s="78">
        <v>30000</v>
      </c>
    </row>
    <row r="2670" spans="8:15" ht="15.75" customHeight="1" thickBot="1">
      <c r="H2670" s="882"/>
      <c r="I2670" s="876"/>
      <c r="J2670" s="878"/>
      <c r="K2670" s="880"/>
      <c r="L2670" s="882"/>
      <c r="M2670" s="884"/>
      <c r="N2670" s="56">
        <v>721</v>
      </c>
      <c r="O2670" s="79">
        <f>+M2669-O2669</f>
        <v>0</v>
      </c>
    </row>
    <row r="2671" spans="8:15" ht="13.5" customHeight="1">
      <c r="H2671" s="881"/>
      <c r="I2671" s="875"/>
      <c r="J2671" s="877"/>
      <c r="K2671" s="879"/>
      <c r="L2671" s="881"/>
      <c r="M2671" s="883"/>
      <c r="N2671" s="55">
        <v>719</v>
      </c>
      <c r="O2671" s="78"/>
    </row>
    <row r="2672" spans="8:15" ht="13.5" customHeight="1" thickBot="1">
      <c r="H2672" s="882"/>
      <c r="I2672" s="876"/>
      <c r="J2672" s="878"/>
      <c r="K2672" s="880"/>
      <c r="L2672" s="882"/>
      <c r="M2672" s="884"/>
      <c r="N2672" s="56">
        <v>723</v>
      </c>
      <c r="O2672" s="79">
        <f>+M2671-O2671</f>
        <v>0</v>
      </c>
    </row>
    <row r="2673" spans="8:15" ht="16.5" thickBot="1">
      <c r="H2673" s="901" t="s">
        <v>102</v>
      </c>
      <c r="I2673" s="902"/>
      <c r="J2673" s="902"/>
      <c r="K2673" s="902"/>
      <c r="L2673" s="903"/>
      <c r="M2673" s="81">
        <f>SUM(M2663:M2672)</f>
        <v>316000</v>
      </c>
    </row>
    <row r="2674" spans="8:15" ht="16.5" thickBot="1">
      <c r="H2674" s="885" t="s">
        <v>103</v>
      </c>
      <c r="I2674" s="886"/>
      <c r="J2674" s="886"/>
      <c r="K2674" s="886"/>
      <c r="L2674" s="887"/>
      <c r="M2674" s="69">
        <f>+M2638</f>
        <v>108892097</v>
      </c>
      <c r="N2674" s="241" t="s">
        <v>561</v>
      </c>
      <c r="O2674" s="242"/>
    </row>
    <row r="2675" spans="8:15" ht="16.5" thickBot="1">
      <c r="H2675" s="888" t="s">
        <v>104</v>
      </c>
      <c r="I2675" s="889"/>
      <c r="J2675" s="889"/>
      <c r="K2675" s="889"/>
      <c r="L2675" s="890"/>
      <c r="M2675" s="183">
        <f>SUM(M2673:M2674)</f>
        <v>109208097</v>
      </c>
    </row>
    <row r="2676" spans="8:15">
      <c r="H2676" s="61"/>
      <c r="I2676" s="61"/>
      <c r="J2676" s="61"/>
      <c r="K2676" s="61"/>
      <c r="L2676" s="61"/>
    </row>
    <row r="2677" spans="8:15">
      <c r="H2677" s="51" t="s">
        <v>1159</v>
      </c>
    </row>
    <row r="2678" spans="8:15" ht="12.75" customHeight="1">
      <c r="M2678" s="139"/>
    </row>
    <row r="2679" spans="8:15">
      <c r="H2679" s="50" t="s">
        <v>105</v>
      </c>
      <c r="K2679" s="146"/>
      <c r="M2679" s="139"/>
    </row>
    <row r="2680" spans="8:15" ht="13.5" customHeight="1" thickBot="1"/>
    <row r="2681" spans="8:15" ht="15.75" thickBot="1">
      <c r="H2681" s="891" t="s">
        <v>106</v>
      </c>
      <c r="I2681" s="892"/>
      <c r="J2681" s="892"/>
      <c r="K2681" s="893"/>
      <c r="M2681" s="50" t="s">
        <v>288</v>
      </c>
    </row>
    <row r="2682" spans="8:15" ht="30.75" thickBot="1">
      <c r="H2682" s="57" t="s">
        <v>100</v>
      </c>
      <c r="I2682" s="58" t="s">
        <v>108</v>
      </c>
      <c r="J2682" s="287" t="s">
        <v>109</v>
      </c>
      <c r="K2682" s="60" t="s">
        <v>110</v>
      </c>
    </row>
    <row r="2683" spans="8:15">
      <c r="H2683" s="71">
        <v>719</v>
      </c>
      <c r="I2683" s="73">
        <f>+O2663+O2665+O2667+O2669</f>
        <v>250000</v>
      </c>
      <c r="J2683" s="74">
        <f>+K2646</f>
        <v>29450000</v>
      </c>
      <c r="K2683" s="195">
        <f>+I2683+J2683</f>
        <v>29700000</v>
      </c>
    </row>
    <row r="2684" spans="8:15">
      <c r="H2684" s="72">
        <v>721</v>
      </c>
      <c r="I2684" s="80">
        <f>+O2664+O2666+O2668+O2670+O2672</f>
        <v>66000</v>
      </c>
      <c r="J2684" s="74">
        <f>+K2647</f>
        <v>93167134</v>
      </c>
      <c r="K2684" s="195">
        <f>+I2684+J2684</f>
        <v>93233134</v>
      </c>
    </row>
    <row r="2685" spans="8:15">
      <c r="H2685" s="72">
        <v>722</v>
      </c>
      <c r="I2685" s="80"/>
      <c r="J2685" s="74">
        <f>+K2648</f>
        <v>2000000</v>
      </c>
      <c r="K2685" s="195">
        <f>+I2685+J2685</f>
        <v>2000000</v>
      </c>
    </row>
    <row r="2686" spans="8:15" ht="15.75">
      <c r="H2686" s="72">
        <v>723</v>
      </c>
      <c r="I2686" s="80"/>
      <c r="J2686" s="74">
        <f>+K2649</f>
        <v>0</v>
      </c>
      <c r="K2686" s="195">
        <f>+I2686+J2686</f>
        <v>0</v>
      </c>
      <c r="M2686" s="193" t="s">
        <v>289</v>
      </c>
      <c r="N2686" s="175"/>
    </row>
    <row r="2687" spans="8:15" ht="16.5" thickBot="1">
      <c r="H2687" s="164" t="s">
        <v>1077</v>
      </c>
      <c r="I2687" s="165"/>
      <c r="J2687" s="74">
        <f>+K2650</f>
        <v>797500</v>
      </c>
      <c r="K2687" s="196">
        <f>+I2687+J2687</f>
        <v>797500</v>
      </c>
      <c r="M2687" s="52"/>
    </row>
    <row r="2688" spans="8:15" ht="16.5" thickBot="1">
      <c r="H2688" s="169"/>
      <c r="I2688" s="197">
        <f>SUM(I2683:I2687)</f>
        <v>316000</v>
      </c>
      <c r="J2688" s="197">
        <f>SUM(J2683:J2687)</f>
        <v>125414634</v>
      </c>
      <c r="K2688" s="198">
        <f>SUM(K2683:K2687)</f>
        <v>125730634</v>
      </c>
    </row>
    <row r="2689" spans="8:15" ht="16.5">
      <c r="H2689" s="49" t="s">
        <v>88</v>
      </c>
      <c r="I2689" s="50"/>
    </row>
    <row r="2690" spans="8:15">
      <c r="H2690" s="51" t="s">
        <v>89</v>
      </c>
    </row>
    <row r="2691" spans="8:15">
      <c r="H2691" s="51" t="s">
        <v>90</v>
      </c>
    </row>
    <row r="2692" spans="8:15">
      <c r="H2692" s="51" t="s">
        <v>91</v>
      </c>
    </row>
    <row r="2693" spans="8:15" ht="10.5" customHeight="1">
      <c r="H2693" s="50"/>
      <c r="I2693" s="50"/>
    </row>
    <row r="2694" spans="8:15" ht="15.75">
      <c r="H2694" s="260" t="s">
        <v>1157</v>
      </c>
      <c r="N2694" s="52"/>
    </row>
    <row r="2695" spans="8:15" ht="15.75">
      <c r="H2695" s="53" t="s">
        <v>535</v>
      </c>
      <c r="N2695" s="53"/>
    </row>
    <row r="2696" spans="8:15" ht="16.5">
      <c r="H2696" s="894" t="s">
        <v>1078</v>
      </c>
      <c r="I2696" s="894"/>
      <c r="J2696" s="894"/>
      <c r="K2696" s="894"/>
      <c r="L2696" s="894"/>
      <c r="M2696" s="894"/>
      <c r="N2696" s="894"/>
      <c r="O2696" s="894"/>
    </row>
    <row r="2697" spans="8:15" ht="15.75" thickBot="1"/>
    <row r="2698" spans="8:15">
      <c r="H2698" s="895" t="s">
        <v>94</v>
      </c>
      <c r="I2698" s="897" t="s">
        <v>95</v>
      </c>
      <c r="J2698" s="897" t="s">
        <v>96</v>
      </c>
      <c r="K2698" s="897" t="s">
        <v>3</v>
      </c>
      <c r="L2698" s="897" t="s">
        <v>97</v>
      </c>
      <c r="M2698" s="897" t="s">
        <v>98</v>
      </c>
      <c r="N2698" s="897" t="s">
        <v>99</v>
      </c>
      <c r="O2698" s="899"/>
    </row>
    <row r="2699" spans="8:15" ht="15.75" thickBot="1">
      <c r="H2699" s="896"/>
      <c r="I2699" s="898"/>
      <c r="J2699" s="898"/>
      <c r="K2699" s="898"/>
      <c r="L2699" s="898"/>
      <c r="M2699" s="898"/>
      <c r="N2699" s="240" t="s">
        <v>100</v>
      </c>
      <c r="O2699" s="182" t="s">
        <v>101</v>
      </c>
    </row>
    <row r="2700" spans="8:15">
      <c r="H2700" s="881">
        <v>286</v>
      </c>
      <c r="I2700" s="875">
        <v>42655</v>
      </c>
      <c r="J2700" s="877" t="s">
        <v>472</v>
      </c>
      <c r="K2700" s="879" t="s">
        <v>1160</v>
      </c>
      <c r="L2700" s="881" t="s">
        <v>148</v>
      </c>
      <c r="M2700" s="883">
        <v>208000</v>
      </c>
      <c r="N2700" s="55">
        <v>719</v>
      </c>
      <c r="O2700" s="78">
        <v>160000</v>
      </c>
    </row>
    <row r="2701" spans="8:15" ht="15.75" thickBot="1">
      <c r="H2701" s="882"/>
      <c r="I2701" s="876"/>
      <c r="J2701" s="878"/>
      <c r="K2701" s="880"/>
      <c r="L2701" s="882"/>
      <c r="M2701" s="884"/>
      <c r="N2701" s="56">
        <v>721</v>
      </c>
      <c r="O2701" s="79">
        <f>+M2700-O2700</f>
        <v>48000</v>
      </c>
    </row>
    <row r="2702" spans="8:15">
      <c r="H2702" s="881">
        <v>287</v>
      </c>
      <c r="I2702" s="875">
        <v>42655</v>
      </c>
      <c r="J2702" s="877" t="s">
        <v>472</v>
      </c>
      <c r="K2702" s="879" t="s">
        <v>1133</v>
      </c>
      <c r="L2702" s="881" t="s">
        <v>148</v>
      </c>
      <c r="M2702" s="883">
        <v>390000</v>
      </c>
      <c r="N2702" s="55">
        <v>719</v>
      </c>
      <c r="O2702" s="78">
        <v>300000</v>
      </c>
    </row>
    <row r="2703" spans="8:15" ht="15.75" thickBot="1">
      <c r="H2703" s="882"/>
      <c r="I2703" s="876"/>
      <c r="J2703" s="878"/>
      <c r="K2703" s="880"/>
      <c r="L2703" s="882"/>
      <c r="M2703" s="884"/>
      <c r="N2703" s="56">
        <v>721</v>
      </c>
      <c r="O2703" s="79">
        <f>+M2702-O2702</f>
        <v>90000</v>
      </c>
    </row>
    <row r="2704" spans="8:15">
      <c r="H2704" s="881">
        <v>288</v>
      </c>
      <c r="I2704" s="875">
        <v>42655</v>
      </c>
      <c r="J2704" s="877" t="s">
        <v>472</v>
      </c>
      <c r="K2704" s="879" t="s">
        <v>1135</v>
      </c>
      <c r="L2704" s="881" t="s">
        <v>148</v>
      </c>
      <c r="M2704" s="883">
        <v>286000</v>
      </c>
      <c r="N2704" s="55">
        <v>719</v>
      </c>
      <c r="O2704" s="78">
        <v>220000</v>
      </c>
    </row>
    <row r="2705" spans="8:15" ht="15.75" thickBot="1">
      <c r="H2705" s="882"/>
      <c r="I2705" s="876"/>
      <c r="J2705" s="878"/>
      <c r="K2705" s="880"/>
      <c r="L2705" s="882"/>
      <c r="M2705" s="884"/>
      <c r="N2705" s="56">
        <v>721</v>
      </c>
      <c r="O2705" s="79">
        <f>+M2704-O2704</f>
        <v>66000</v>
      </c>
    </row>
    <row r="2706" spans="8:15">
      <c r="H2706" s="881">
        <v>289</v>
      </c>
      <c r="I2706" s="875">
        <v>42655</v>
      </c>
      <c r="J2706" s="877" t="s">
        <v>472</v>
      </c>
      <c r="K2706" s="879" t="s">
        <v>1128</v>
      </c>
      <c r="L2706" s="881" t="s">
        <v>148</v>
      </c>
      <c r="M2706" s="883">
        <v>100000</v>
      </c>
      <c r="N2706" s="55">
        <v>719</v>
      </c>
      <c r="O2706" s="78">
        <v>100000</v>
      </c>
    </row>
    <row r="2707" spans="8:15" ht="15.75" thickBot="1">
      <c r="H2707" s="882"/>
      <c r="I2707" s="876"/>
      <c r="J2707" s="878"/>
      <c r="K2707" s="880"/>
      <c r="L2707" s="882"/>
      <c r="M2707" s="884"/>
      <c r="N2707" s="56">
        <v>721</v>
      </c>
      <c r="O2707" s="79">
        <f>+M2706-O2706</f>
        <v>0</v>
      </c>
    </row>
    <row r="2708" spans="8:15">
      <c r="H2708" s="881"/>
      <c r="I2708" s="875"/>
      <c r="J2708" s="877"/>
      <c r="K2708" s="879"/>
      <c r="L2708" s="881"/>
      <c r="M2708" s="883"/>
      <c r="N2708" s="55">
        <v>719</v>
      </c>
      <c r="O2708" s="78"/>
    </row>
    <row r="2709" spans="8:15" ht="15.75" thickBot="1">
      <c r="H2709" s="882"/>
      <c r="I2709" s="876"/>
      <c r="J2709" s="878"/>
      <c r="K2709" s="880"/>
      <c r="L2709" s="882"/>
      <c r="M2709" s="884"/>
      <c r="N2709" s="56">
        <v>721</v>
      </c>
      <c r="O2709" s="79">
        <f>+M2708-O2708</f>
        <v>0</v>
      </c>
    </row>
    <row r="2710" spans="8:15" ht="16.5" thickBot="1">
      <c r="H2710" s="901" t="s">
        <v>102</v>
      </c>
      <c r="I2710" s="902"/>
      <c r="J2710" s="902"/>
      <c r="K2710" s="902"/>
      <c r="L2710" s="903"/>
      <c r="M2710" s="81">
        <f>SUM(M2700:M2709)</f>
        <v>984000</v>
      </c>
    </row>
    <row r="2711" spans="8:15" ht="16.5" thickBot="1">
      <c r="H2711" s="885" t="s">
        <v>103</v>
      </c>
      <c r="I2711" s="886"/>
      <c r="J2711" s="886"/>
      <c r="K2711" s="886"/>
      <c r="L2711" s="887"/>
      <c r="M2711" s="69">
        <f>+M2675</f>
        <v>109208097</v>
      </c>
      <c r="N2711" s="241" t="s">
        <v>561</v>
      </c>
      <c r="O2711" s="242">
        <f>183+395+650+498</f>
        <v>1726</v>
      </c>
    </row>
    <row r="2712" spans="8:15" ht="16.5" thickBot="1">
      <c r="H2712" s="888" t="s">
        <v>104</v>
      </c>
      <c r="I2712" s="889"/>
      <c r="J2712" s="889"/>
      <c r="K2712" s="889"/>
      <c r="L2712" s="890"/>
      <c r="M2712" s="183">
        <f>SUM(M2710:M2711)</f>
        <v>110192097</v>
      </c>
    </row>
    <row r="2713" spans="8:15">
      <c r="H2713" s="61"/>
      <c r="I2713" s="61"/>
      <c r="J2713" s="61"/>
      <c r="K2713" s="61"/>
      <c r="L2713" s="61"/>
    </row>
    <row r="2714" spans="8:15">
      <c r="H2714" s="51" t="s">
        <v>1161</v>
      </c>
    </row>
    <row r="2715" spans="8:15" ht="12.75" customHeight="1">
      <c r="M2715" s="139"/>
    </row>
    <row r="2716" spans="8:15">
      <c r="H2716" s="50" t="s">
        <v>105</v>
      </c>
      <c r="K2716" s="146"/>
      <c r="M2716" s="139"/>
    </row>
    <row r="2717" spans="8:15" ht="14.25" customHeight="1" thickBot="1"/>
    <row r="2718" spans="8:15" ht="15.75" thickBot="1">
      <c r="H2718" s="891" t="s">
        <v>106</v>
      </c>
      <c r="I2718" s="892"/>
      <c r="J2718" s="892"/>
      <c r="K2718" s="893"/>
      <c r="M2718" s="50" t="s">
        <v>288</v>
      </c>
    </row>
    <row r="2719" spans="8:15" ht="30.75" thickBot="1">
      <c r="H2719" s="57" t="s">
        <v>100</v>
      </c>
      <c r="I2719" s="58" t="s">
        <v>108</v>
      </c>
      <c r="J2719" s="287" t="s">
        <v>109</v>
      </c>
      <c r="K2719" s="60" t="s">
        <v>110</v>
      </c>
    </row>
    <row r="2720" spans="8:15">
      <c r="H2720" s="71">
        <v>719</v>
      </c>
      <c r="I2720" s="73">
        <f>+O2700+O2702+O2704+O2706</f>
        <v>780000</v>
      </c>
      <c r="J2720" s="74">
        <f>+K2683</f>
        <v>29700000</v>
      </c>
      <c r="K2720" s="195">
        <f>+I2720+J2720</f>
        <v>30480000</v>
      </c>
    </row>
    <row r="2721" spans="8:15">
      <c r="H2721" s="72">
        <v>721</v>
      </c>
      <c r="I2721" s="80">
        <f>+O2701+O2703+O2705+O2707+O2709</f>
        <v>204000</v>
      </c>
      <c r="J2721" s="74">
        <f>+K2684</f>
        <v>93233134</v>
      </c>
      <c r="K2721" s="195">
        <f>+I2721+J2721</f>
        <v>93437134</v>
      </c>
    </row>
    <row r="2722" spans="8:15">
      <c r="H2722" s="72">
        <v>722</v>
      </c>
      <c r="I2722" s="80"/>
      <c r="J2722" s="74">
        <f>+K2685</f>
        <v>2000000</v>
      </c>
      <c r="K2722" s="195">
        <f>+I2722+J2722</f>
        <v>2000000</v>
      </c>
    </row>
    <row r="2723" spans="8:15" ht="15.75">
      <c r="H2723" s="72">
        <v>723</v>
      </c>
      <c r="I2723" s="80"/>
      <c r="J2723" s="74">
        <f>+K2686</f>
        <v>0</v>
      </c>
      <c r="K2723" s="195">
        <f>+I2723+J2723</f>
        <v>0</v>
      </c>
      <c r="M2723" s="193" t="s">
        <v>289</v>
      </c>
      <c r="N2723" s="175"/>
    </row>
    <row r="2724" spans="8:15" ht="16.5" thickBot="1">
      <c r="H2724" s="164" t="s">
        <v>1077</v>
      </c>
      <c r="I2724" s="165"/>
      <c r="J2724" s="74">
        <f>+K2687</f>
        <v>797500</v>
      </c>
      <c r="K2724" s="196">
        <f>+I2724+J2724</f>
        <v>797500</v>
      </c>
      <c r="M2724" s="52"/>
    </row>
    <row r="2725" spans="8:15" ht="16.5" thickBot="1">
      <c r="H2725" s="169"/>
      <c r="I2725" s="197">
        <f>SUM(I2720:I2724)</f>
        <v>984000</v>
      </c>
      <c r="J2725" s="197">
        <f>SUM(J2720:J2724)</f>
        <v>125730634</v>
      </c>
      <c r="K2725" s="198">
        <f>SUM(K2720:K2724)</f>
        <v>126714634</v>
      </c>
    </row>
    <row r="2726" spans="8:15" ht="16.5">
      <c r="H2726" s="49" t="s">
        <v>88</v>
      </c>
      <c r="I2726" s="50"/>
    </row>
    <row r="2727" spans="8:15">
      <c r="H2727" s="51" t="s">
        <v>89</v>
      </c>
    </row>
    <row r="2728" spans="8:15">
      <c r="H2728" s="51" t="s">
        <v>90</v>
      </c>
    </row>
    <row r="2729" spans="8:15">
      <c r="H2729" s="51" t="s">
        <v>91</v>
      </c>
    </row>
    <row r="2730" spans="8:15" ht="11.25" customHeight="1">
      <c r="H2730" s="50"/>
      <c r="I2730" s="50"/>
    </row>
    <row r="2731" spans="8:15" ht="15.75">
      <c r="H2731" s="260" t="s">
        <v>1162</v>
      </c>
      <c r="N2731" s="52"/>
    </row>
    <row r="2732" spans="8:15" ht="15.75">
      <c r="H2732" s="53" t="s">
        <v>535</v>
      </c>
      <c r="N2732" s="53"/>
    </row>
    <row r="2733" spans="8:15" ht="16.5">
      <c r="H2733" s="894" t="s">
        <v>1078</v>
      </c>
      <c r="I2733" s="894"/>
      <c r="J2733" s="894"/>
      <c r="K2733" s="894"/>
      <c r="L2733" s="894"/>
      <c r="M2733" s="894"/>
      <c r="N2733" s="894"/>
      <c r="O2733" s="894"/>
    </row>
    <row r="2734" spans="8:15" ht="13.5" customHeight="1" thickBot="1"/>
    <row r="2735" spans="8:15">
      <c r="H2735" s="895" t="s">
        <v>94</v>
      </c>
      <c r="I2735" s="897" t="s">
        <v>95</v>
      </c>
      <c r="J2735" s="897" t="s">
        <v>96</v>
      </c>
      <c r="K2735" s="897" t="s">
        <v>3</v>
      </c>
      <c r="L2735" s="897" t="s">
        <v>97</v>
      </c>
      <c r="M2735" s="897" t="s">
        <v>98</v>
      </c>
      <c r="N2735" s="897" t="s">
        <v>99</v>
      </c>
      <c r="O2735" s="899"/>
    </row>
    <row r="2736" spans="8:15" ht="15.75" thickBot="1">
      <c r="H2736" s="896"/>
      <c r="I2736" s="898"/>
      <c r="J2736" s="898"/>
      <c r="K2736" s="898"/>
      <c r="L2736" s="898"/>
      <c r="M2736" s="898"/>
      <c r="N2736" s="240" t="s">
        <v>100</v>
      </c>
      <c r="O2736" s="182" t="s">
        <v>101</v>
      </c>
    </row>
    <row r="2737" spans="8:15">
      <c r="H2737" s="881">
        <v>290</v>
      </c>
      <c r="I2737" s="875">
        <v>42655</v>
      </c>
      <c r="J2737" s="877" t="s">
        <v>1139</v>
      </c>
      <c r="K2737" s="879" t="s">
        <v>1146</v>
      </c>
      <c r="L2737" s="881" t="s">
        <v>148</v>
      </c>
      <c r="M2737" s="883">
        <v>52000</v>
      </c>
      <c r="N2737" s="55">
        <v>719</v>
      </c>
      <c r="O2737" s="78">
        <v>40000</v>
      </c>
    </row>
    <row r="2738" spans="8:15" ht="13.5" customHeight="1" thickBot="1">
      <c r="H2738" s="882"/>
      <c r="I2738" s="876"/>
      <c r="J2738" s="878"/>
      <c r="K2738" s="880"/>
      <c r="L2738" s="882"/>
      <c r="M2738" s="884"/>
      <c r="N2738" s="56">
        <v>721</v>
      </c>
      <c r="O2738" s="79">
        <f>+M2737-O2737</f>
        <v>12000</v>
      </c>
    </row>
    <row r="2739" spans="8:15">
      <c r="H2739" s="881">
        <v>291</v>
      </c>
      <c r="I2739" s="875">
        <v>42655</v>
      </c>
      <c r="J2739" s="877" t="s">
        <v>1139</v>
      </c>
      <c r="K2739" s="879" t="s">
        <v>1150</v>
      </c>
      <c r="L2739" s="881" t="s">
        <v>148</v>
      </c>
      <c r="M2739" s="883">
        <v>78000</v>
      </c>
      <c r="N2739" s="55">
        <v>719</v>
      </c>
      <c r="O2739" s="78">
        <v>60000</v>
      </c>
    </row>
    <row r="2740" spans="8:15" ht="15.75" thickBot="1">
      <c r="H2740" s="882"/>
      <c r="I2740" s="876"/>
      <c r="J2740" s="878"/>
      <c r="K2740" s="880"/>
      <c r="L2740" s="882"/>
      <c r="M2740" s="884"/>
      <c r="N2740" s="56">
        <v>721</v>
      </c>
      <c r="O2740" s="79">
        <f>+M2739-O2739</f>
        <v>18000</v>
      </c>
    </row>
    <row r="2741" spans="8:15" ht="14.25" customHeight="1">
      <c r="H2741" s="881">
        <v>292</v>
      </c>
      <c r="I2741" s="875">
        <v>42655</v>
      </c>
      <c r="J2741" s="877" t="s">
        <v>1139</v>
      </c>
      <c r="K2741" s="879" t="s">
        <v>1141</v>
      </c>
      <c r="L2741" s="881" t="s">
        <v>148</v>
      </c>
      <c r="M2741" s="883">
        <v>46000</v>
      </c>
      <c r="N2741" s="55">
        <v>719</v>
      </c>
      <c r="O2741" s="78">
        <v>40000</v>
      </c>
    </row>
    <row r="2742" spans="8:15" ht="14.25" customHeight="1" thickBot="1">
      <c r="H2742" s="882"/>
      <c r="I2742" s="876"/>
      <c r="J2742" s="878"/>
      <c r="K2742" s="880"/>
      <c r="L2742" s="882"/>
      <c r="M2742" s="884"/>
      <c r="N2742" s="56">
        <v>721</v>
      </c>
      <c r="O2742" s="79">
        <f>+M2741-O2741</f>
        <v>6000</v>
      </c>
    </row>
    <row r="2743" spans="8:15">
      <c r="H2743" s="881">
        <v>293</v>
      </c>
      <c r="I2743" s="875">
        <v>42655</v>
      </c>
      <c r="J2743" s="877" t="s">
        <v>31</v>
      </c>
      <c r="K2743" s="879" t="s">
        <v>1155</v>
      </c>
      <c r="L2743" s="881" t="s">
        <v>148</v>
      </c>
      <c r="M2743" s="883">
        <v>1326000</v>
      </c>
      <c r="N2743" s="55">
        <v>719</v>
      </c>
      <c r="O2743" s="78">
        <v>1020000</v>
      </c>
    </row>
    <row r="2744" spans="8:15" ht="15.75" thickBot="1">
      <c r="H2744" s="882"/>
      <c r="I2744" s="876"/>
      <c r="J2744" s="878"/>
      <c r="K2744" s="880"/>
      <c r="L2744" s="882"/>
      <c r="M2744" s="884"/>
      <c r="N2744" s="56">
        <v>721</v>
      </c>
      <c r="O2744" s="79">
        <f>+M2743-O2743</f>
        <v>306000</v>
      </c>
    </row>
    <row r="2745" spans="8:15" ht="13.5" customHeight="1">
      <c r="H2745" s="881"/>
      <c r="I2745" s="875"/>
      <c r="J2745" s="877"/>
      <c r="K2745" s="879"/>
      <c r="L2745" s="881"/>
      <c r="M2745" s="883"/>
      <c r="N2745" s="55">
        <v>719</v>
      </c>
      <c r="O2745" s="78"/>
    </row>
    <row r="2746" spans="8:15" ht="13.5" customHeight="1" thickBot="1">
      <c r="H2746" s="882"/>
      <c r="I2746" s="876"/>
      <c r="J2746" s="878"/>
      <c r="K2746" s="880"/>
      <c r="L2746" s="882"/>
      <c r="M2746" s="884"/>
      <c r="N2746" s="56">
        <v>721</v>
      </c>
      <c r="O2746" s="79">
        <f>+M2745-O2745</f>
        <v>0</v>
      </c>
    </row>
    <row r="2747" spans="8:15" ht="16.5" thickBot="1">
      <c r="H2747" s="901" t="s">
        <v>102</v>
      </c>
      <c r="I2747" s="902"/>
      <c r="J2747" s="902"/>
      <c r="K2747" s="902"/>
      <c r="L2747" s="903"/>
      <c r="M2747" s="81">
        <f>SUM(M2737:M2746)</f>
        <v>1502000</v>
      </c>
    </row>
    <row r="2748" spans="8:15" ht="16.5" thickBot="1">
      <c r="H2748" s="885" t="s">
        <v>103</v>
      </c>
      <c r="I2748" s="886"/>
      <c r="J2748" s="886"/>
      <c r="K2748" s="886"/>
      <c r="L2748" s="887"/>
      <c r="M2748" s="69">
        <f>+M2712</f>
        <v>110192097</v>
      </c>
      <c r="N2748" s="241" t="s">
        <v>561</v>
      </c>
      <c r="O2748" s="242">
        <v>1556</v>
      </c>
    </row>
    <row r="2749" spans="8:15" ht="16.5" thickBot="1">
      <c r="H2749" s="888" t="s">
        <v>104</v>
      </c>
      <c r="I2749" s="889"/>
      <c r="J2749" s="889"/>
      <c r="K2749" s="889"/>
      <c r="L2749" s="890"/>
      <c r="M2749" s="183">
        <f>SUM(M2747:M2748)</f>
        <v>111694097</v>
      </c>
    </row>
    <row r="2750" spans="8:15" ht="12.75" customHeight="1">
      <c r="H2750" s="61"/>
      <c r="I2750" s="61"/>
      <c r="J2750" s="61"/>
      <c r="K2750" s="61"/>
      <c r="L2750" s="61"/>
    </row>
    <row r="2751" spans="8:15">
      <c r="H2751" s="51" t="s">
        <v>1163</v>
      </c>
    </row>
    <row r="2752" spans="8:15" ht="14.25" customHeight="1">
      <c r="M2752" s="139"/>
    </row>
    <row r="2753" spans="8:14">
      <c r="H2753" s="50" t="s">
        <v>105</v>
      </c>
      <c r="K2753" s="146"/>
      <c r="M2753" s="139"/>
    </row>
    <row r="2754" spans="8:14" ht="13.5" customHeight="1" thickBot="1"/>
    <row r="2755" spans="8:14" ht="15.75" thickBot="1">
      <c r="H2755" s="891" t="s">
        <v>106</v>
      </c>
      <c r="I2755" s="892"/>
      <c r="J2755" s="892"/>
      <c r="K2755" s="893"/>
      <c r="M2755" s="50" t="s">
        <v>288</v>
      </c>
    </row>
    <row r="2756" spans="8:14" ht="30.75" thickBot="1">
      <c r="H2756" s="57" t="s">
        <v>100</v>
      </c>
      <c r="I2756" s="58" t="s">
        <v>108</v>
      </c>
      <c r="J2756" s="287" t="s">
        <v>109</v>
      </c>
      <c r="K2756" s="60" t="s">
        <v>110</v>
      </c>
    </row>
    <row r="2757" spans="8:14">
      <c r="H2757" s="71">
        <v>719</v>
      </c>
      <c r="I2757" s="73">
        <f>+O2737+O2739+O2741+O2743</f>
        <v>1160000</v>
      </c>
      <c r="J2757" s="74">
        <f>+K2720</f>
        <v>30480000</v>
      </c>
      <c r="K2757" s="195">
        <f>+I2757+J2757</f>
        <v>31640000</v>
      </c>
    </row>
    <row r="2758" spans="8:14">
      <c r="H2758" s="72">
        <v>721</v>
      </c>
      <c r="I2758" s="80">
        <f>+O2738+O2740+O2742+O2744+O2746</f>
        <v>342000</v>
      </c>
      <c r="J2758" s="74">
        <f>+K2721</f>
        <v>93437134</v>
      </c>
      <c r="K2758" s="195">
        <f>+I2758+J2758</f>
        <v>93779134</v>
      </c>
    </row>
    <row r="2759" spans="8:14">
      <c r="H2759" s="72">
        <v>722</v>
      </c>
      <c r="I2759" s="80"/>
      <c r="J2759" s="74">
        <f>+K2722</f>
        <v>2000000</v>
      </c>
      <c r="K2759" s="195">
        <f>+I2759+J2759</f>
        <v>2000000</v>
      </c>
    </row>
    <row r="2760" spans="8:14" ht="15.75">
      <c r="H2760" s="72">
        <v>723</v>
      </c>
      <c r="I2760" s="80"/>
      <c r="J2760" s="74">
        <f>+K2723</f>
        <v>0</v>
      </c>
      <c r="K2760" s="195">
        <f>+I2760+J2760</f>
        <v>0</v>
      </c>
      <c r="M2760" s="193" t="s">
        <v>289</v>
      </c>
      <c r="N2760" s="175"/>
    </row>
    <row r="2761" spans="8:14" ht="16.5" thickBot="1">
      <c r="H2761" s="164" t="s">
        <v>1077</v>
      </c>
      <c r="I2761" s="165"/>
      <c r="J2761" s="74">
        <f>+K2724</f>
        <v>797500</v>
      </c>
      <c r="K2761" s="196">
        <f>+I2761+J2761</f>
        <v>797500</v>
      </c>
      <c r="M2761" s="52"/>
    </row>
    <row r="2762" spans="8:14" ht="16.5" thickBot="1">
      <c r="H2762" s="169"/>
      <c r="I2762" s="197">
        <f>SUM(I2757:I2761)</f>
        <v>1502000</v>
      </c>
      <c r="J2762" s="197">
        <f>SUM(J2757:J2761)</f>
        <v>126714634</v>
      </c>
      <c r="K2762" s="198">
        <f>SUM(K2757:K2761)</f>
        <v>128216634</v>
      </c>
    </row>
    <row r="2763" spans="8:14" ht="16.5">
      <c r="H2763" s="49" t="s">
        <v>88</v>
      </c>
      <c r="I2763" s="50"/>
    </row>
    <row r="2764" spans="8:14">
      <c r="H2764" s="51" t="s">
        <v>89</v>
      </c>
    </row>
    <row r="2765" spans="8:14">
      <c r="H2765" s="51" t="s">
        <v>90</v>
      </c>
    </row>
    <row r="2766" spans="8:14">
      <c r="H2766" s="51" t="s">
        <v>91</v>
      </c>
    </row>
    <row r="2767" spans="8:14" ht="11.25" customHeight="1">
      <c r="H2767" s="50"/>
      <c r="I2767" s="50"/>
    </row>
    <row r="2768" spans="8:14" ht="15.75">
      <c r="H2768" s="260" t="s">
        <v>1164</v>
      </c>
      <c r="N2768" s="52"/>
    </row>
    <row r="2769" spans="8:15" ht="15.75">
      <c r="H2769" s="53" t="s">
        <v>535</v>
      </c>
      <c r="N2769" s="53"/>
    </row>
    <row r="2770" spans="8:15" ht="16.5">
      <c r="H2770" s="894" t="s">
        <v>1078</v>
      </c>
      <c r="I2770" s="894"/>
      <c r="J2770" s="894"/>
      <c r="K2770" s="894"/>
      <c r="L2770" s="894"/>
      <c r="M2770" s="894"/>
      <c r="N2770" s="894"/>
      <c r="O2770" s="894"/>
    </row>
    <row r="2771" spans="8:15" ht="15.75" thickBot="1"/>
    <row r="2772" spans="8:15">
      <c r="H2772" s="895" t="s">
        <v>94</v>
      </c>
      <c r="I2772" s="897" t="s">
        <v>95</v>
      </c>
      <c r="J2772" s="897" t="s">
        <v>96</v>
      </c>
      <c r="K2772" s="897" t="s">
        <v>3</v>
      </c>
      <c r="L2772" s="897" t="s">
        <v>97</v>
      </c>
      <c r="M2772" s="897" t="s">
        <v>98</v>
      </c>
      <c r="N2772" s="897" t="s">
        <v>99</v>
      </c>
      <c r="O2772" s="899"/>
    </row>
    <row r="2773" spans="8:15" ht="15.75" thickBot="1">
      <c r="H2773" s="896"/>
      <c r="I2773" s="898"/>
      <c r="J2773" s="898"/>
      <c r="K2773" s="898"/>
      <c r="L2773" s="898"/>
      <c r="M2773" s="898"/>
      <c r="N2773" s="240" t="s">
        <v>100</v>
      </c>
      <c r="O2773" s="182" t="s">
        <v>101</v>
      </c>
    </row>
    <row r="2774" spans="8:15">
      <c r="H2774" s="881">
        <v>294</v>
      </c>
      <c r="I2774" s="875">
        <v>42657</v>
      </c>
      <c r="J2774" s="877" t="s">
        <v>1014</v>
      </c>
      <c r="K2774" s="879" t="s">
        <v>1167</v>
      </c>
      <c r="L2774" s="881" t="s">
        <v>115</v>
      </c>
      <c r="M2774" s="883">
        <v>110000</v>
      </c>
      <c r="N2774" s="55">
        <v>719</v>
      </c>
      <c r="O2774" s="78">
        <v>110000</v>
      </c>
    </row>
    <row r="2775" spans="8:15" ht="15.75" thickBot="1">
      <c r="H2775" s="882"/>
      <c r="I2775" s="876"/>
      <c r="J2775" s="878"/>
      <c r="K2775" s="880"/>
      <c r="L2775" s="882"/>
      <c r="M2775" s="884"/>
      <c r="N2775" s="56">
        <v>721</v>
      </c>
      <c r="O2775" s="79">
        <f>+M2774-O2774</f>
        <v>0</v>
      </c>
    </row>
    <row r="2776" spans="8:15" ht="15" customHeight="1">
      <c r="H2776" s="881">
        <v>295</v>
      </c>
      <c r="I2776" s="875">
        <v>42657</v>
      </c>
      <c r="J2776" s="877" t="s">
        <v>28</v>
      </c>
      <c r="K2776" s="879" t="s">
        <v>1166</v>
      </c>
      <c r="L2776" s="881" t="s">
        <v>115</v>
      </c>
      <c r="M2776" s="883">
        <v>70000</v>
      </c>
      <c r="N2776" s="55">
        <v>719</v>
      </c>
      <c r="O2776" s="78">
        <v>70000</v>
      </c>
    </row>
    <row r="2777" spans="8:15" ht="14.25" customHeight="1" thickBot="1">
      <c r="H2777" s="882"/>
      <c r="I2777" s="876"/>
      <c r="J2777" s="878"/>
      <c r="K2777" s="880"/>
      <c r="L2777" s="882"/>
      <c r="M2777" s="884"/>
      <c r="N2777" s="56">
        <v>721</v>
      </c>
      <c r="O2777" s="79">
        <f>+M2776-O2776</f>
        <v>0</v>
      </c>
    </row>
    <row r="2778" spans="8:15" ht="14.25" customHeight="1">
      <c r="H2778" s="881">
        <v>296</v>
      </c>
      <c r="I2778" s="875">
        <v>42657</v>
      </c>
      <c r="J2778" s="877" t="s">
        <v>120</v>
      </c>
      <c r="K2778" s="879" t="s">
        <v>1165</v>
      </c>
      <c r="L2778" s="881" t="s">
        <v>115</v>
      </c>
      <c r="M2778" s="883">
        <v>200000</v>
      </c>
      <c r="N2778" s="55">
        <v>719</v>
      </c>
      <c r="O2778" s="78">
        <v>200000</v>
      </c>
    </row>
    <row r="2779" spans="8:15" ht="15.75" customHeight="1" thickBot="1">
      <c r="H2779" s="882"/>
      <c r="I2779" s="876"/>
      <c r="J2779" s="878"/>
      <c r="K2779" s="880"/>
      <c r="L2779" s="882"/>
      <c r="M2779" s="884"/>
      <c r="N2779" s="56">
        <v>721</v>
      </c>
      <c r="O2779" s="79">
        <f>+M2778-O2778</f>
        <v>0</v>
      </c>
    </row>
    <row r="2780" spans="8:15">
      <c r="H2780" s="881"/>
      <c r="I2780" s="875"/>
      <c r="J2780" s="877"/>
      <c r="K2780" s="879"/>
      <c r="L2780" s="881"/>
      <c r="M2780" s="883"/>
      <c r="N2780" s="55">
        <v>719</v>
      </c>
      <c r="O2780" s="78">
        <v>0</v>
      </c>
    </row>
    <row r="2781" spans="8:15" ht="13.5" customHeight="1" thickBot="1">
      <c r="H2781" s="882"/>
      <c r="I2781" s="876"/>
      <c r="J2781" s="878"/>
      <c r="K2781" s="880"/>
      <c r="L2781" s="882"/>
      <c r="M2781" s="884"/>
      <c r="N2781" s="56">
        <v>721</v>
      </c>
      <c r="O2781" s="79">
        <f>+M2780-O2780</f>
        <v>0</v>
      </c>
    </row>
    <row r="2782" spans="8:15">
      <c r="H2782" s="881"/>
      <c r="I2782" s="875"/>
      <c r="J2782" s="877"/>
      <c r="K2782" s="879"/>
      <c r="L2782" s="881"/>
      <c r="M2782" s="883"/>
      <c r="N2782" s="55">
        <v>719</v>
      </c>
      <c r="O2782" s="78"/>
    </row>
    <row r="2783" spans="8:15" ht="14.25" customHeight="1" thickBot="1">
      <c r="H2783" s="882"/>
      <c r="I2783" s="876"/>
      <c r="J2783" s="878"/>
      <c r="K2783" s="880"/>
      <c r="L2783" s="882"/>
      <c r="M2783" s="884"/>
      <c r="N2783" s="56">
        <v>721</v>
      </c>
      <c r="O2783" s="79">
        <f>+M2782-O2782</f>
        <v>0</v>
      </c>
    </row>
    <row r="2784" spans="8:15" ht="16.5" thickBot="1">
      <c r="H2784" s="901" t="s">
        <v>102</v>
      </c>
      <c r="I2784" s="902"/>
      <c r="J2784" s="902"/>
      <c r="K2784" s="902"/>
      <c r="L2784" s="903"/>
      <c r="M2784" s="81">
        <f>SUM(M2774:M2783)</f>
        <v>380000</v>
      </c>
    </row>
    <row r="2785" spans="8:15" ht="16.5" thickBot="1">
      <c r="H2785" s="885" t="s">
        <v>103</v>
      </c>
      <c r="I2785" s="886"/>
      <c r="J2785" s="886"/>
      <c r="K2785" s="886"/>
      <c r="L2785" s="887"/>
      <c r="M2785" s="69">
        <f>+M2749</f>
        <v>111694097</v>
      </c>
      <c r="N2785" s="241" t="s">
        <v>561</v>
      </c>
      <c r="O2785" s="242">
        <f>328+189+267</f>
        <v>784</v>
      </c>
    </row>
    <row r="2786" spans="8:15" ht="16.5" thickBot="1">
      <c r="H2786" s="888" t="s">
        <v>104</v>
      </c>
      <c r="I2786" s="889"/>
      <c r="J2786" s="889"/>
      <c r="K2786" s="889"/>
      <c r="L2786" s="890"/>
      <c r="M2786" s="183">
        <f>SUM(M2784:M2785)</f>
        <v>112074097</v>
      </c>
    </row>
    <row r="2787" spans="8:15">
      <c r="H2787" s="61"/>
      <c r="I2787" s="61"/>
      <c r="J2787" s="61"/>
      <c r="K2787" s="61"/>
      <c r="L2787" s="61"/>
    </row>
    <row r="2788" spans="8:15">
      <c r="H2788" s="51" t="s">
        <v>1168</v>
      </c>
    </row>
    <row r="2789" spans="8:15" ht="12.75" customHeight="1">
      <c r="M2789" s="139"/>
    </row>
    <row r="2790" spans="8:15">
      <c r="H2790" s="50" t="s">
        <v>105</v>
      </c>
      <c r="K2790" s="146"/>
      <c r="M2790" s="139"/>
    </row>
    <row r="2791" spans="8:15" ht="13.5" customHeight="1" thickBot="1"/>
    <row r="2792" spans="8:15" ht="15.75" thickBot="1">
      <c r="H2792" s="891" t="s">
        <v>106</v>
      </c>
      <c r="I2792" s="892"/>
      <c r="J2792" s="892"/>
      <c r="K2792" s="893"/>
      <c r="M2792" s="50" t="s">
        <v>288</v>
      </c>
    </row>
    <row r="2793" spans="8:15" ht="30.75" thickBot="1">
      <c r="H2793" s="57" t="s">
        <v>100</v>
      </c>
      <c r="I2793" s="58" t="s">
        <v>108</v>
      </c>
      <c r="J2793" s="287" t="s">
        <v>109</v>
      </c>
      <c r="K2793" s="60" t="s">
        <v>110</v>
      </c>
    </row>
    <row r="2794" spans="8:15">
      <c r="H2794" s="71">
        <v>719</v>
      </c>
      <c r="I2794" s="73">
        <f>+O2774+O2776+O2778+O2780</f>
        <v>380000</v>
      </c>
      <c r="J2794" s="74">
        <f>+K2757</f>
        <v>31640000</v>
      </c>
      <c r="K2794" s="195">
        <f>+I2794+J2794</f>
        <v>32020000</v>
      </c>
    </row>
    <row r="2795" spans="8:15">
      <c r="H2795" s="72">
        <v>721</v>
      </c>
      <c r="I2795" s="80">
        <f>+O2775+O2777+O2779+O2781+O2783</f>
        <v>0</v>
      </c>
      <c r="J2795" s="74">
        <f>+K2758</f>
        <v>93779134</v>
      </c>
      <c r="K2795" s="195">
        <f>+I2795+J2795</f>
        <v>93779134</v>
      </c>
    </row>
    <row r="2796" spans="8:15">
      <c r="H2796" s="72">
        <v>722</v>
      </c>
      <c r="I2796" s="80"/>
      <c r="J2796" s="74">
        <f>+K2759</f>
        <v>2000000</v>
      </c>
      <c r="K2796" s="195">
        <f>+I2796+J2796</f>
        <v>2000000</v>
      </c>
    </row>
    <row r="2797" spans="8:15" ht="15.75">
      <c r="H2797" s="72">
        <v>723</v>
      </c>
      <c r="I2797" s="80"/>
      <c r="J2797" s="74">
        <f>+K2760</f>
        <v>0</v>
      </c>
      <c r="K2797" s="195">
        <f>+I2797+J2797</f>
        <v>0</v>
      </c>
      <c r="M2797" s="193" t="s">
        <v>289</v>
      </c>
      <c r="N2797" s="175"/>
    </row>
    <row r="2798" spans="8:15" ht="16.5" thickBot="1">
      <c r="H2798" s="164" t="s">
        <v>1077</v>
      </c>
      <c r="I2798" s="165"/>
      <c r="J2798" s="74">
        <f>+K2761</f>
        <v>797500</v>
      </c>
      <c r="K2798" s="196">
        <f>+I2798+J2798</f>
        <v>797500</v>
      </c>
      <c r="M2798" s="52"/>
    </row>
    <row r="2799" spans="8:15" ht="16.5" thickBot="1">
      <c r="H2799" s="169"/>
      <c r="I2799" s="197">
        <f>SUM(I2794:I2798)</f>
        <v>380000</v>
      </c>
      <c r="J2799" s="197">
        <f>SUM(J2794:J2798)</f>
        <v>128216634</v>
      </c>
      <c r="K2799" s="198">
        <f>SUM(K2794:K2798)</f>
        <v>128596634</v>
      </c>
    </row>
    <row r="2800" spans="8:15" ht="16.5">
      <c r="H2800" s="49" t="s">
        <v>88</v>
      </c>
      <c r="I2800" s="50"/>
    </row>
    <row r="2801" spans="8:15">
      <c r="H2801" s="51" t="s">
        <v>89</v>
      </c>
    </row>
    <row r="2802" spans="8:15">
      <c r="H2802" s="51" t="s">
        <v>90</v>
      </c>
    </row>
    <row r="2803" spans="8:15">
      <c r="H2803" s="51" t="s">
        <v>91</v>
      </c>
    </row>
    <row r="2804" spans="8:15" ht="10.5" customHeight="1">
      <c r="H2804" s="50"/>
      <c r="I2804" s="50"/>
    </row>
    <row r="2805" spans="8:15" ht="15.75">
      <c r="H2805" s="260" t="s">
        <v>1169</v>
      </c>
      <c r="N2805" s="52"/>
    </row>
    <row r="2806" spans="8:15" ht="15.75">
      <c r="H2806" s="53" t="s">
        <v>535</v>
      </c>
      <c r="N2806" s="53"/>
    </row>
    <row r="2807" spans="8:15" ht="16.5">
      <c r="H2807" s="894" t="s">
        <v>1205</v>
      </c>
      <c r="I2807" s="894"/>
      <c r="J2807" s="894"/>
      <c r="K2807" s="894"/>
      <c r="L2807" s="894"/>
      <c r="M2807" s="894"/>
      <c r="N2807" s="894"/>
      <c r="O2807" s="894"/>
    </row>
    <row r="2808" spans="8:15" ht="15.75" thickBot="1"/>
    <row r="2809" spans="8:15">
      <c r="H2809" s="895" t="s">
        <v>94</v>
      </c>
      <c r="I2809" s="897" t="s">
        <v>95</v>
      </c>
      <c r="J2809" s="897" t="s">
        <v>96</v>
      </c>
      <c r="K2809" s="897" t="s">
        <v>3</v>
      </c>
      <c r="L2809" s="897" t="s">
        <v>97</v>
      </c>
      <c r="M2809" s="897" t="s">
        <v>98</v>
      </c>
      <c r="N2809" s="897" t="s">
        <v>99</v>
      </c>
      <c r="O2809" s="899"/>
    </row>
    <row r="2810" spans="8:15" ht="15.75" thickBot="1">
      <c r="H2810" s="896"/>
      <c r="I2810" s="898"/>
      <c r="J2810" s="898"/>
      <c r="K2810" s="898"/>
      <c r="L2810" s="898"/>
      <c r="M2810" s="898"/>
      <c r="N2810" s="240" t="s">
        <v>100</v>
      </c>
      <c r="O2810" s="182" t="s">
        <v>101</v>
      </c>
    </row>
    <row r="2811" spans="8:15" ht="14.25" customHeight="1">
      <c r="H2811" s="881">
        <v>297</v>
      </c>
      <c r="I2811" s="875">
        <v>42660</v>
      </c>
      <c r="J2811" s="877" t="s">
        <v>350</v>
      </c>
      <c r="K2811" s="879" t="s">
        <v>921</v>
      </c>
      <c r="L2811" s="881" t="s">
        <v>148</v>
      </c>
      <c r="M2811" s="883">
        <v>260000</v>
      </c>
      <c r="N2811" s="55">
        <v>722</v>
      </c>
      <c r="O2811" s="78">
        <v>260000</v>
      </c>
    </row>
    <row r="2812" spans="8:15" ht="14.25" customHeight="1" thickBot="1">
      <c r="H2812" s="882"/>
      <c r="I2812" s="876"/>
      <c r="J2812" s="878"/>
      <c r="K2812" s="880"/>
      <c r="L2812" s="882"/>
      <c r="M2812" s="884"/>
      <c r="N2812" s="56">
        <v>721</v>
      </c>
      <c r="O2812" s="351">
        <f>+M2811-O2811</f>
        <v>0</v>
      </c>
    </row>
    <row r="2813" spans="8:15" ht="14.25" customHeight="1">
      <c r="H2813" s="881">
        <v>298</v>
      </c>
      <c r="I2813" s="875">
        <v>42660</v>
      </c>
      <c r="J2813" s="877" t="s">
        <v>1091</v>
      </c>
      <c r="K2813" s="879" t="s">
        <v>921</v>
      </c>
      <c r="L2813" s="881" t="s">
        <v>148</v>
      </c>
      <c r="M2813" s="883">
        <v>600000</v>
      </c>
      <c r="N2813" s="55">
        <v>722</v>
      </c>
      <c r="O2813" s="78">
        <v>600000</v>
      </c>
    </row>
    <row r="2814" spans="8:15" ht="13.5" customHeight="1" thickBot="1">
      <c r="H2814" s="882"/>
      <c r="I2814" s="876"/>
      <c r="J2814" s="878"/>
      <c r="K2814" s="880"/>
      <c r="L2814" s="882"/>
      <c r="M2814" s="884"/>
      <c r="N2814" s="56">
        <v>721</v>
      </c>
      <c r="O2814" s="352">
        <f>+M2813-O2813</f>
        <v>0</v>
      </c>
    </row>
    <row r="2815" spans="8:15" ht="15" customHeight="1">
      <c r="H2815" s="881">
        <v>299</v>
      </c>
      <c r="I2815" s="875">
        <v>42660</v>
      </c>
      <c r="J2815" s="877" t="s">
        <v>120</v>
      </c>
      <c r="K2815" s="879" t="s">
        <v>921</v>
      </c>
      <c r="L2815" s="881" t="s">
        <v>148</v>
      </c>
      <c r="M2815" s="883">
        <v>560000</v>
      </c>
      <c r="N2815" s="55">
        <v>722</v>
      </c>
      <c r="O2815" s="78">
        <v>560000</v>
      </c>
    </row>
    <row r="2816" spans="8:15" ht="13.5" customHeight="1" thickBot="1">
      <c r="H2816" s="882"/>
      <c r="I2816" s="876"/>
      <c r="J2816" s="878"/>
      <c r="K2816" s="880"/>
      <c r="L2816" s="882"/>
      <c r="M2816" s="884"/>
      <c r="N2816" s="56">
        <v>721</v>
      </c>
      <c r="O2816" s="352">
        <f>+M2815-O2815</f>
        <v>0</v>
      </c>
    </row>
    <row r="2817" spans="8:15" ht="15" customHeight="1">
      <c r="H2817" s="881">
        <v>300</v>
      </c>
      <c r="I2817" s="875">
        <v>42660</v>
      </c>
      <c r="J2817" s="877" t="s">
        <v>1171</v>
      </c>
      <c r="K2817" s="879" t="s">
        <v>921</v>
      </c>
      <c r="L2817" s="881" t="s">
        <v>148</v>
      </c>
      <c r="M2817" s="883">
        <v>1000000</v>
      </c>
      <c r="N2817" s="55">
        <v>722</v>
      </c>
      <c r="O2817" s="78">
        <v>1000000</v>
      </c>
    </row>
    <row r="2818" spans="8:15" ht="13.5" customHeight="1" thickBot="1">
      <c r="H2818" s="882"/>
      <c r="I2818" s="876"/>
      <c r="J2818" s="878"/>
      <c r="K2818" s="880"/>
      <c r="L2818" s="882"/>
      <c r="M2818" s="884"/>
      <c r="N2818" s="56">
        <v>721</v>
      </c>
      <c r="O2818" s="79">
        <f>+M2817-O2817</f>
        <v>0</v>
      </c>
    </row>
    <row r="2819" spans="8:15" ht="15" customHeight="1">
      <c r="H2819" s="881">
        <v>301</v>
      </c>
      <c r="I2819" s="875">
        <v>42660</v>
      </c>
      <c r="J2819" s="877" t="s">
        <v>40</v>
      </c>
      <c r="K2819" s="879" t="s">
        <v>921</v>
      </c>
      <c r="L2819" s="881" t="s">
        <v>148</v>
      </c>
      <c r="M2819" s="883">
        <v>200000</v>
      </c>
      <c r="N2819" s="55">
        <v>722</v>
      </c>
      <c r="O2819" s="78">
        <v>200000</v>
      </c>
    </row>
    <row r="2820" spans="8:15" ht="13.5" customHeight="1" thickBot="1">
      <c r="H2820" s="882"/>
      <c r="I2820" s="876"/>
      <c r="J2820" s="878"/>
      <c r="K2820" s="880"/>
      <c r="L2820" s="882"/>
      <c r="M2820" s="884"/>
      <c r="N2820" s="56">
        <v>721</v>
      </c>
      <c r="O2820" s="79">
        <f>+M2819-O2819</f>
        <v>0</v>
      </c>
    </row>
    <row r="2821" spans="8:15" ht="15" customHeight="1">
      <c r="H2821" s="881">
        <v>302</v>
      </c>
      <c r="I2821" s="875">
        <v>42660</v>
      </c>
      <c r="J2821" s="877" t="s">
        <v>1172</v>
      </c>
      <c r="K2821" s="879" t="s">
        <v>921</v>
      </c>
      <c r="L2821" s="881" t="s">
        <v>148</v>
      </c>
      <c r="M2821" s="883">
        <v>220000</v>
      </c>
      <c r="N2821" s="55">
        <v>722</v>
      </c>
      <c r="O2821" s="78">
        <v>220000</v>
      </c>
    </row>
    <row r="2822" spans="8:15" ht="13.5" customHeight="1" thickBot="1">
      <c r="H2822" s="882"/>
      <c r="I2822" s="876"/>
      <c r="J2822" s="878"/>
      <c r="K2822" s="880"/>
      <c r="L2822" s="882"/>
      <c r="M2822" s="884"/>
      <c r="N2822" s="56">
        <v>721</v>
      </c>
      <c r="O2822" s="79">
        <f>+M2821-O2821</f>
        <v>0</v>
      </c>
    </row>
    <row r="2823" spans="8:15" ht="15" customHeight="1" thickBot="1">
      <c r="H2823" s="901" t="s">
        <v>102</v>
      </c>
      <c r="I2823" s="902"/>
      <c r="J2823" s="902"/>
      <c r="K2823" s="902"/>
      <c r="L2823" s="903"/>
      <c r="M2823" s="81">
        <f>SUM(M2811:M2822)</f>
        <v>2840000</v>
      </c>
    </row>
    <row r="2824" spans="8:15" ht="16.5" thickBot="1">
      <c r="H2824" s="885" t="s">
        <v>103</v>
      </c>
      <c r="I2824" s="886"/>
      <c r="J2824" s="886"/>
      <c r="K2824" s="886"/>
      <c r="L2824" s="887"/>
      <c r="M2824" s="69">
        <f>+M2786</f>
        <v>112074097</v>
      </c>
      <c r="N2824" s="241" t="s">
        <v>561</v>
      </c>
      <c r="O2824" s="242"/>
    </row>
    <row r="2825" spans="8:15" ht="16.5" thickBot="1">
      <c r="H2825" s="888" t="s">
        <v>104</v>
      </c>
      <c r="I2825" s="889"/>
      <c r="J2825" s="889"/>
      <c r="K2825" s="889"/>
      <c r="L2825" s="890"/>
      <c r="M2825" s="183">
        <f>SUM(M2823:M2824)</f>
        <v>114914097</v>
      </c>
    </row>
    <row r="2826" spans="8:15" ht="12.75" customHeight="1">
      <c r="H2826" s="61"/>
      <c r="I2826" s="61"/>
      <c r="J2826" s="61"/>
      <c r="K2826" s="61"/>
      <c r="L2826" s="61"/>
    </row>
    <row r="2827" spans="8:15">
      <c r="H2827" s="51" t="s">
        <v>1173</v>
      </c>
    </row>
    <row r="2828" spans="8:15" ht="10.5" customHeight="1">
      <c r="M2828" s="139"/>
    </row>
    <row r="2829" spans="8:15">
      <c r="H2829" s="50" t="s">
        <v>105</v>
      </c>
      <c r="K2829" s="146"/>
      <c r="M2829" s="139"/>
    </row>
    <row r="2830" spans="8:15" ht="9" customHeight="1" thickBot="1"/>
    <row r="2831" spans="8:15" ht="15.75" thickBot="1">
      <c r="H2831" s="891" t="s">
        <v>106</v>
      </c>
      <c r="I2831" s="892"/>
      <c r="J2831" s="892"/>
      <c r="K2831" s="893"/>
      <c r="M2831" s="50" t="s">
        <v>288</v>
      </c>
    </row>
    <row r="2832" spans="8:15" ht="29.25" customHeight="1" thickBot="1">
      <c r="H2832" s="57" t="s">
        <v>100</v>
      </c>
      <c r="I2832" s="58" t="s">
        <v>108</v>
      </c>
      <c r="J2832" s="287" t="s">
        <v>109</v>
      </c>
      <c r="K2832" s="60" t="s">
        <v>110</v>
      </c>
    </row>
    <row r="2833" spans="8:15" ht="14.25" customHeight="1">
      <c r="H2833" s="71">
        <v>719</v>
      </c>
      <c r="I2833" s="73"/>
      <c r="J2833" s="74">
        <f>+K2794</f>
        <v>32020000</v>
      </c>
      <c r="K2833" s="195">
        <f>+I2833+J2833</f>
        <v>32020000</v>
      </c>
    </row>
    <row r="2834" spans="8:15">
      <c r="H2834" s="72">
        <v>721</v>
      </c>
      <c r="I2834" s="80">
        <f>+O2812+O2814+O2816+O2818+O2822+O2820</f>
        <v>0</v>
      </c>
      <c r="J2834" s="74">
        <f>+K2795</f>
        <v>93779134</v>
      </c>
      <c r="K2834" s="195">
        <f>+I2834+J2834</f>
        <v>93779134</v>
      </c>
    </row>
    <row r="2835" spans="8:15">
      <c r="H2835" s="72">
        <v>722</v>
      </c>
      <c r="I2835" s="80">
        <f>+O2811+O2813+O2815+O2817+O2819+O2821</f>
        <v>2840000</v>
      </c>
      <c r="J2835" s="74">
        <f>+K2796</f>
        <v>2000000</v>
      </c>
      <c r="K2835" s="195">
        <f>+I2835+J2835</f>
        <v>4840000</v>
      </c>
    </row>
    <row r="2836" spans="8:15" ht="15" customHeight="1">
      <c r="H2836" s="72">
        <v>723</v>
      </c>
      <c r="I2836" s="80"/>
      <c r="J2836" s="74">
        <f>+K2797</f>
        <v>0</v>
      </c>
      <c r="K2836" s="195">
        <f>+I2836+J2836</f>
        <v>0</v>
      </c>
      <c r="M2836" s="193" t="s">
        <v>289</v>
      </c>
      <c r="N2836" s="175"/>
    </row>
    <row r="2837" spans="8:15" ht="14.25" customHeight="1" thickBot="1">
      <c r="H2837" s="164" t="s">
        <v>1077</v>
      </c>
      <c r="I2837" s="165"/>
      <c r="J2837" s="74">
        <f>+K2798</f>
        <v>797500</v>
      </c>
      <c r="K2837" s="196">
        <f>+I2837+J2837</f>
        <v>797500</v>
      </c>
      <c r="M2837" s="52"/>
    </row>
    <row r="2838" spans="8:15" ht="16.5" thickBot="1">
      <c r="H2838" s="169"/>
      <c r="I2838" s="197">
        <f>SUM(I2833:I2837)</f>
        <v>2840000</v>
      </c>
      <c r="J2838" s="197">
        <f>SUM(J2833:J2837)</f>
        <v>128596634</v>
      </c>
      <c r="K2838" s="198">
        <f>SUM(K2833:K2837)</f>
        <v>131436634</v>
      </c>
    </row>
    <row r="2839" spans="8:15" ht="16.5">
      <c r="H2839" s="49" t="s">
        <v>88</v>
      </c>
      <c r="I2839" s="50"/>
    </row>
    <row r="2840" spans="8:15">
      <c r="H2840" s="51" t="s">
        <v>89</v>
      </c>
    </row>
    <row r="2841" spans="8:15">
      <c r="H2841" s="51" t="s">
        <v>90</v>
      </c>
    </row>
    <row r="2842" spans="8:15">
      <c r="H2842" s="51" t="s">
        <v>91</v>
      </c>
    </row>
    <row r="2843" spans="8:15" ht="10.5" customHeight="1">
      <c r="H2843" s="50"/>
      <c r="I2843" s="50"/>
    </row>
    <row r="2844" spans="8:15" ht="15.75">
      <c r="H2844" s="260" t="s">
        <v>1170</v>
      </c>
      <c r="N2844" s="52"/>
    </row>
    <row r="2845" spans="8:15" ht="15.75">
      <c r="H2845" s="53" t="s">
        <v>535</v>
      </c>
      <c r="N2845" s="53"/>
    </row>
    <row r="2846" spans="8:15" ht="16.5">
      <c r="H2846" s="894" t="s">
        <v>1205</v>
      </c>
      <c r="I2846" s="894"/>
      <c r="J2846" s="894"/>
      <c r="K2846" s="894"/>
      <c r="L2846" s="894"/>
      <c r="M2846" s="894"/>
      <c r="N2846" s="894"/>
      <c r="O2846" s="894"/>
    </row>
    <row r="2847" spans="8:15" ht="12.75" customHeight="1" thickBot="1"/>
    <row r="2848" spans="8:15">
      <c r="H2848" s="895" t="s">
        <v>94</v>
      </c>
      <c r="I2848" s="897" t="s">
        <v>95</v>
      </c>
      <c r="J2848" s="897" t="s">
        <v>96</v>
      </c>
      <c r="K2848" s="897" t="s">
        <v>3</v>
      </c>
      <c r="L2848" s="897" t="s">
        <v>97</v>
      </c>
      <c r="M2848" s="897" t="s">
        <v>98</v>
      </c>
      <c r="N2848" s="897" t="s">
        <v>99</v>
      </c>
      <c r="O2848" s="899"/>
    </row>
    <row r="2849" spans="8:15" ht="15.75" thickBot="1">
      <c r="H2849" s="896"/>
      <c r="I2849" s="898"/>
      <c r="J2849" s="898"/>
      <c r="K2849" s="898"/>
      <c r="L2849" s="898"/>
      <c r="M2849" s="898"/>
      <c r="N2849" s="240" t="s">
        <v>100</v>
      </c>
      <c r="O2849" s="182" t="s">
        <v>101</v>
      </c>
    </row>
    <row r="2850" spans="8:15" ht="14.25" customHeight="1">
      <c r="H2850" s="881">
        <v>303</v>
      </c>
      <c r="I2850" s="875">
        <v>42660</v>
      </c>
      <c r="J2850" s="877" t="s">
        <v>1174</v>
      </c>
      <c r="K2850" s="879" t="s">
        <v>921</v>
      </c>
      <c r="L2850" s="881" t="s">
        <v>148</v>
      </c>
      <c r="M2850" s="883">
        <v>180000</v>
      </c>
      <c r="N2850" s="55">
        <v>722</v>
      </c>
      <c r="O2850" s="78">
        <v>180000</v>
      </c>
    </row>
    <row r="2851" spans="8:15" ht="12.75" customHeight="1" thickBot="1">
      <c r="H2851" s="882"/>
      <c r="I2851" s="876"/>
      <c r="J2851" s="878"/>
      <c r="K2851" s="880"/>
      <c r="L2851" s="882"/>
      <c r="M2851" s="884"/>
      <c r="N2851" s="56">
        <v>721</v>
      </c>
      <c r="O2851" s="351">
        <f>+M2850-O2850</f>
        <v>0</v>
      </c>
    </row>
    <row r="2852" spans="8:15">
      <c r="H2852" s="881">
        <v>304</v>
      </c>
      <c r="I2852" s="875">
        <v>42660</v>
      </c>
      <c r="J2852" s="877" t="s">
        <v>1175</v>
      </c>
      <c r="K2852" s="879" t="s">
        <v>921</v>
      </c>
      <c r="L2852" s="881" t="s">
        <v>148</v>
      </c>
      <c r="M2852" s="883">
        <v>160000</v>
      </c>
      <c r="N2852" s="55">
        <v>722</v>
      </c>
      <c r="O2852" s="78">
        <v>160000</v>
      </c>
    </row>
    <row r="2853" spans="8:15" ht="13.5" customHeight="1" thickBot="1">
      <c r="H2853" s="882"/>
      <c r="I2853" s="876"/>
      <c r="J2853" s="878"/>
      <c r="K2853" s="880"/>
      <c r="L2853" s="882"/>
      <c r="M2853" s="884"/>
      <c r="N2853" s="56">
        <v>721</v>
      </c>
      <c r="O2853" s="352">
        <f>+M2852-O2852</f>
        <v>0</v>
      </c>
    </row>
    <row r="2854" spans="8:15" ht="13.5" customHeight="1">
      <c r="H2854" s="881">
        <v>305</v>
      </c>
      <c r="I2854" s="875">
        <v>42660</v>
      </c>
      <c r="J2854" s="877" t="s">
        <v>1177</v>
      </c>
      <c r="K2854" s="879" t="s">
        <v>921</v>
      </c>
      <c r="L2854" s="881" t="s">
        <v>148</v>
      </c>
      <c r="M2854" s="883">
        <v>220000</v>
      </c>
      <c r="N2854" s="55">
        <v>722</v>
      </c>
      <c r="O2854" s="78">
        <v>220000</v>
      </c>
    </row>
    <row r="2855" spans="8:15" ht="12.75" customHeight="1" thickBot="1">
      <c r="H2855" s="882"/>
      <c r="I2855" s="876"/>
      <c r="J2855" s="878"/>
      <c r="K2855" s="880"/>
      <c r="L2855" s="882"/>
      <c r="M2855" s="884"/>
      <c r="N2855" s="56">
        <v>721</v>
      </c>
      <c r="O2855" s="352">
        <f>+M2854-O2854</f>
        <v>0</v>
      </c>
    </row>
    <row r="2856" spans="8:15">
      <c r="H2856" s="881">
        <v>306</v>
      </c>
      <c r="I2856" s="875">
        <v>42660</v>
      </c>
      <c r="J2856" s="877" t="s">
        <v>1176</v>
      </c>
      <c r="K2856" s="879" t="s">
        <v>921</v>
      </c>
      <c r="L2856" s="881" t="s">
        <v>148</v>
      </c>
      <c r="M2856" s="883">
        <v>40000</v>
      </c>
      <c r="N2856" s="55">
        <v>722</v>
      </c>
      <c r="O2856" s="78">
        <v>40000</v>
      </c>
    </row>
    <row r="2857" spans="8:15" ht="12" customHeight="1" thickBot="1">
      <c r="H2857" s="882"/>
      <c r="I2857" s="876"/>
      <c r="J2857" s="878"/>
      <c r="K2857" s="880"/>
      <c r="L2857" s="882"/>
      <c r="M2857" s="884"/>
      <c r="N2857" s="56">
        <v>721</v>
      </c>
      <c r="O2857" s="79">
        <f>+M2856-O2856</f>
        <v>0</v>
      </c>
    </row>
    <row r="2858" spans="8:15">
      <c r="H2858" s="881">
        <v>307</v>
      </c>
      <c r="I2858" s="875">
        <v>42660</v>
      </c>
      <c r="J2858" s="877" t="s">
        <v>738</v>
      </c>
      <c r="K2858" s="879" t="s">
        <v>921</v>
      </c>
      <c r="L2858" s="881" t="s">
        <v>148</v>
      </c>
      <c r="M2858" s="883">
        <v>20000</v>
      </c>
      <c r="N2858" s="55">
        <v>722</v>
      </c>
      <c r="O2858" s="78">
        <v>20000</v>
      </c>
    </row>
    <row r="2859" spans="8:15" ht="14.25" customHeight="1" thickBot="1">
      <c r="H2859" s="882"/>
      <c r="I2859" s="876"/>
      <c r="J2859" s="878"/>
      <c r="K2859" s="880"/>
      <c r="L2859" s="882"/>
      <c r="M2859" s="884"/>
      <c r="N2859" s="56">
        <v>721</v>
      </c>
      <c r="O2859" s="79">
        <f>+M2858-O2858</f>
        <v>0</v>
      </c>
    </row>
    <row r="2860" spans="8:15" ht="14.25" customHeight="1">
      <c r="H2860" s="881">
        <v>308</v>
      </c>
      <c r="I2860" s="875">
        <v>42660</v>
      </c>
      <c r="J2860" s="877" t="s">
        <v>1178</v>
      </c>
      <c r="K2860" s="879" t="s">
        <v>921</v>
      </c>
      <c r="L2860" s="881" t="s">
        <v>148</v>
      </c>
      <c r="M2860" s="883">
        <v>120000</v>
      </c>
      <c r="N2860" s="55">
        <v>722</v>
      </c>
      <c r="O2860" s="78">
        <v>120000</v>
      </c>
    </row>
    <row r="2861" spans="8:15" ht="13.5" customHeight="1" thickBot="1">
      <c r="H2861" s="882"/>
      <c r="I2861" s="876"/>
      <c r="J2861" s="878"/>
      <c r="K2861" s="880"/>
      <c r="L2861" s="882"/>
      <c r="M2861" s="884"/>
      <c r="N2861" s="56">
        <v>721</v>
      </c>
      <c r="O2861" s="79">
        <f>+M2860-O2860</f>
        <v>0</v>
      </c>
    </row>
    <row r="2862" spans="8:15" ht="16.5" thickBot="1">
      <c r="H2862" s="901" t="s">
        <v>102</v>
      </c>
      <c r="I2862" s="902"/>
      <c r="J2862" s="902"/>
      <c r="K2862" s="902"/>
      <c r="L2862" s="903"/>
      <c r="M2862" s="81">
        <f>SUM(M2850:M2861)</f>
        <v>740000</v>
      </c>
    </row>
    <row r="2863" spans="8:15" ht="16.5" thickBot="1">
      <c r="H2863" s="885" t="s">
        <v>103</v>
      </c>
      <c r="I2863" s="886"/>
      <c r="J2863" s="886"/>
      <c r="K2863" s="886"/>
      <c r="L2863" s="887"/>
      <c r="M2863" s="69">
        <f>+M2825</f>
        <v>114914097</v>
      </c>
      <c r="N2863" s="241" t="s">
        <v>561</v>
      </c>
      <c r="O2863" s="242"/>
    </row>
    <row r="2864" spans="8:15" ht="14.25" customHeight="1" thickBot="1">
      <c r="H2864" s="888" t="s">
        <v>104</v>
      </c>
      <c r="I2864" s="889"/>
      <c r="J2864" s="889"/>
      <c r="K2864" s="889"/>
      <c r="L2864" s="890"/>
      <c r="M2864" s="183">
        <f>SUM(M2862:M2863)</f>
        <v>115654097</v>
      </c>
    </row>
    <row r="2865" spans="8:14" ht="12.75" customHeight="1">
      <c r="H2865" s="61"/>
      <c r="I2865" s="61"/>
      <c r="J2865" s="61"/>
      <c r="K2865" s="61"/>
      <c r="L2865" s="61"/>
    </row>
    <row r="2866" spans="8:14">
      <c r="H2866" s="51" t="s">
        <v>1179</v>
      </c>
    </row>
    <row r="2867" spans="8:14" ht="10.5" customHeight="1">
      <c r="M2867" s="139"/>
    </row>
    <row r="2868" spans="8:14">
      <c r="H2868" s="50" t="s">
        <v>105</v>
      </c>
      <c r="K2868" s="146"/>
      <c r="M2868" s="139"/>
    </row>
    <row r="2869" spans="8:14" ht="12" customHeight="1" thickBot="1"/>
    <row r="2870" spans="8:14" ht="15.75" thickBot="1">
      <c r="H2870" s="891" t="s">
        <v>106</v>
      </c>
      <c r="I2870" s="892"/>
      <c r="J2870" s="892"/>
      <c r="K2870" s="893"/>
      <c r="M2870" s="50" t="s">
        <v>288</v>
      </c>
    </row>
    <row r="2871" spans="8:14" ht="30.75" thickBot="1">
      <c r="H2871" s="57" t="s">
        <v>100</v>
      </c>
      <c r="I2871" s="58" t="s">
        <v>108</v>
      </c>
      <c r="J2871" s="287" t="s">
        <v>109</v>
      </c>
      <c r="K2871" s="60" t="s">
        <v>110</v>
      </c>
    </row>
    <row r="2872" spans="8:14">
      <c r="H2872" s="71">
        <v>719</v>
      </c>
      <c r="I2872" s="73"/>
      <c r="J2872" s="74">
        <f>+K2833</f>
        <v>32020000</v>
      </c>
      <c r="K2872" s="195">
        <f>+I2872+J2872</f>
        <v>32020000</v>
      </c>
    </row>
    <row r="2873" spans="8:14">
      <c r="H2873" s="72">
        <v>721</v>
      </c>
      <c r="I2873" s="80">
        <f>+O2851+O2853+O2855+O2857+O2861+O2859</f>
        <v>0</v>
      </c>
      <c r="J2873" s="74">
        <f>+K2834</f>
        <v>93779134</v>
      </c>
      <c r="K2873" s="195">
        <f>+I2873+J2873</f>
        <v>93779134</v>
      </c>
    </row>
    <row r="2874" spans="8:14">
      <c r="H2874" s="72">
        <v>722</v>
      </c>
      <c r="I2874" s="80">
        <f>+O2850+O2852+O2854+O2856+O2858+O2860</f>
        <v>740000</v>
      </c>
      <c r="J2874" s="74">
        <f>+K2835</f>
        <v>4840000</v>
      </c>
      <c r="K2874" s="195">
        <f>+I2874+J2874</f>
        <v>5580000</v>
      </c>
    </row>
    <row r="2875" spans="8:14" ht="15.75">
      <c r="H2875" s="72">
        <v>723</v>
      </c>
      <c r="I2875" s="80"/>
      <c r="J2875" s="74">
        <f>+K2836</f>
        <v>0</v>
      </c>
      <c r="K2875" s="195">
        <f>+I2875+J2875</f>
        <v>0</v>
      </c>
      <c r="M2875" s="193" t="s">
        <v>289</v>
      </c>
      <c r="N2875" s="175"/>
    </row>
    <row r="2876" spans="8:14" ht="16.5" thickBot="1">
      <c r="H2876" s="164" t="s">
        <v>1077</v>
      </c>
      <c r="I2876" s="165"/>
      <c r="J2876" s="74">
        <f>+K2837</f>
        <v>797500</v>
      </c>
      <c r="K2876" s="196">
        <f>+I2876+J2876</f>
        <v>797500</v>
      </c>
      <c r="M2876" s="52"/>
    </row>
    <row r="2877" spans="8:14" ht="16.5" thickBot="1">
      <c r="H2877" s="169"/>
      <c r="I2877" s="197">
        <f>SUM(I2872:I2876)</f>
        <v>740000</v>
      </c>
      <c r="J2877" s="197">
        <f>SUM(J2872:J2876)</f>
        <v>131436634</v>
      </c>
      <c r="K2877" s="198">
        <f>SUM(K2872:K2876)</f>
        <v>132176634</v>
      </c>
    </row>
    <row r="2878" spans="8:14" ht="16.5">
      <c r="H2878" s="49" t="s">
        <v>88</v>
      </c>
      <c r="I2878" s="50"/>
    </row>
    <row r="2879" spans="8:14">
      <c r="H2879" s="51" t="s">
        <v>89</v>
      </c>
    </row>
    <row r="2880" spans="8:14">
      <c r="H2880" s="51" t="s">
        <v>90</v>
      </c>
    </row>
    <row r="2881" spans="8:15">
      <c r="H2881" s="51" t="s">
        <v>91</v>
      </c>
    </row>
    <row r="2882" spans="8:15" ht="9.75" customHeight="1">
      <c r="H2882" s="50"/>
      <c r="I2882" s="50"/>
    </row>
    <row r="2883" spans="8:15" ht="15.75">
      <c r="H2883" s="260" t="s">
        <v>1186</v>
      </c>
      <c r="N2883" s="52"/>
    </row>
    <row r="2884" spans="8:15" ht="15.75">
      <c r="H2884" s="53" t="s">
        <v>535</v>
      </c>
      <c r="N2884" s="53"/>
    </row>
    <row r="2885" spans="8:15" ht="16.5">
      <c r="H2885" s="894" t="s">
        <v>1190</v>
      </c>
      <c r="I2885" s="894"/>
      <c r="J2885" s="894"/>
      <c r="K2885" s="894"/>
      <c r="L2885" s="894"/>
      <c r="M2885" s="894"/>
      <c r="N2885" s="894"/>
      <c r="O2885" s="894"/>
    </row>
    <row r="2886" spans="8:15" ht="15.75" thickBot="1"/>
    <row r="2887" spans="8:15">
      <c r="H2887" s="895" t="s">
        <v>94</v>
      </c>
      <c r="I2887" s="897" t="s">
        <v>95</v>
      </c>
      <c r="J2887" s="897" t="s">
        <v>96</v>
      </c>
      <c r="K2887" s="897" t="s">
        <v>3</v>
      </c>
      <c r="L2887" s="897" t="s">
        <v>97</v>
      </c>
      <c r="M2887" s="897" t="s">
        <v>98</v>
      </c>
      <c r="N2887" s="897" t="s">
        <v>99</v>
      </c>
      <c r="O2887" s="899"/>
    </row>
    <row r="2888" spans="8:15" ht="15.75" thickBot="1">
      <c r="H2888" s="896"/>
      <c r="I2888" s="898"/>
      <c r="J2888" s="898"/>
      <c r="K2888" s="898"/>
      <c r="L2888" s="898"/>
      <c r="M2888" s="898"/>
      <c r="N2888" s="240" t="s">
        <v>100</v>
      </c>
      <c r="O2888" s="182" t="s">
        <v>101</v>
      </c>
    </row>
    <row r="2889" spans="8:15">
      <c r="H2889" s="881">
        <v>309</v>
      </c>
      <c r="I2889" s="875">
        <v>42674</v>
      </c>
      <c r="J2889" s="877" t="s">
        <v>738</v>
      </c>
      <c r="K2889" s="879" t="s">
        <v>1184</v>
      </c>
      <c r="L2889" s="881" t="s">
        <v>148</v>
      </c>
      <c r="M2889" s="883">
        <v>2672700</v>
      </c>
      <c r="N2889" s="55">
        <v>722</v>
      </c>
      <c r="O2889" s="78">
        <v>0</v>
      </c>
    </row>
    <row r="2890" spans="8:15" ht="15.75" thickBot="1">
      <c r="H2890" s="882"/>
      <c r="I2890" s="876"/>
      <c r="J2890" s="878"/>
      <c r="K2890" s="880"/>
      <c r="L2890" s="882"/>
      <c r="M2890" s="884"/>
      <c r="N2890" s="56">
        <v>721</v>
      </c>
      <c r="O2890" s="351">
        <f>+M2889-O2889</f>
        <v>2672700</v>
      </c>
    </row>
    <row r="2891" spans="8:15" ht="15" customHeight="1">
      <c r="H2891" s="881">
        <v>310</v>
      </c>
      <c r="I2891" s="875">
        <v>42674</v>
      </c>
      <c r="J2891" s="877" t="s">
        <v>738</v>
      </c>
      <c r="K2891" s="879" t="s">
        <v>1185</v>
      </c>
      <c r="L2891" s="881" t="s">
        <v>148</v>
      </c>
      <c r="M2891" s="883">
        <v>28216212</v>
      </c>
      <c r="N2891" s="55">
        <v>722</v>
      </c>
      <c r="O2891" s="78"/>
    </row>
    <row r="2892" spans="8:15" ht="15.75" customHeight="1" thickBot="1">
      <c r="H2892" s="882"/>
      <c r="I2892" s="876"/>
      <c r="J2892" s="878"/>
      <c r="K2892" s="880"/>
      <c r="L2892" s="882"/>
      <c r="M2892" s="884"/>
      <c r="N2892" s="56">
        <v>721</v>
      </c>
      <c r="O2892" s="352">
        <f>+M2891-O2891</f>
        <v>28216212</v>
      </c>
    </row>
    <row r="2893" spans="8:15" ht="15" customHeight="1">
      <c r="H2893" s="881">
        <v>311</v>
      </c>
      <c r="I2893" s="875">
        <v>42674</v>
      </c>
      <c r="J2893" s="877" t="s">
        <v>738</v>
      </c>
      <c r="K2893" s="879" t="s">
        <v>1187</v>
      </c>
      <c r="L2893" s="881" t="s">
        <v>148</v>
      </c>
      <c r="M2893" s="883">
        <v>16677173</v>
      </c>
      <c r="N2893" s="55">
        <v>722</v>
      </c>
      <c r="O2893" s="78"/>
    </row>
    <row r="2894" spans="8:15" ht="15.75" customHeight="1" thickBot="1">
      <c r="H2894" s="882"/>
      <c r="I2894" s="876"/>
      <c r="J2894" s="878"/>
      <c r="K2894" s="880"/>
      <c r="L2894" s="882"/>
      <c r="M2894" s="884"/>
      <c r="N2894" s="56">
        <v>721</v>
      </c>
      <c r="O2894" s="352">
        <f>+M2893-O2893</f>
        <v>16677173</v>
      </c>
    </row>
    <row r="2895" spans="8:15" ht="15" customHeight="1">
      <c r="H2895" s="881">
        <v>312</v>
      </c>
      <c r="I2895" s="875">
        <v>42675</v>
      </c>
      <c r="J2895" s="877" t="s">
        <v>738</v>
      </c>
      <c r="K2895" s="879" t="s">
        <v>1188</v>
      </c>
      <c r="L2895" s="881" t="s">
        <v>148</v>
      </c>
      <c r="M2895" s="883">
        <v>24662327</v>
      </c>
      <c r="N2895" s="55">
        <v>722</v>
      </c>
      <c r="O2895" s="78"/>
    </row>
    <row r="2896" spans="8:15" ht="13.5" customHeight="1" thickBot="1">
      <c r="H2896" s="882"/>
      <c r="I2896" s="876"/>
      <c r="J2896" s="878"/>
      <c r="K2896" s="880"/>
      <c r="L2896" s="882"/>
      <c r="M2896" s="884"/>
      <c r="N2896" s="56">
        <v>721</v>
      </c>
      <c r="O2896" s="79">
        <f>+M2895-O2895</f>
        <v>24662327</v>
      </c>
    </row>
    <row r="2897" spans="8:15">
      <c r="H2897" s="881"/>
      <c r="I2897" s="875"/>
      <c r="J2897" s="877"/>
      <c r="K2897" s="879"/>
      <c r="L2897" s="881"/>
      <c r="M2897" s="883"/>
      <c r="N2897" s="55">
        <v>722</v>
      </c>
      <c r="O2897" s="78"/>
    </row>
    <row r="2898" spans="8:15" ht="13.5" customHeight="1" thickBot="1">
      <c r="H2898" s="882"/>
      <c r="I2898" s="876"/>
      <c r="J2898" s="878"/>
      <c r="K2898" s="880"/>
      <c r="L2898" s="882"/>
      <c r="M2898" s="884"/>
      <c r="N2898" s="56">
        <v>721</v>
      </c>
      <c r="O2898" s="79">
        <f>+M2897-O2897</f>
        <v>0</v>
      </c>
    </row>
    <row r="2899" spans="8:15" ht="16.5" thickBot="1">
      <c r="H2899" s="901" t="s">
        <v>102</v>
      </c>
      <c r="I2899" s="902"/>
      <c r="J2899" s="902"/>
      <c r="K2899" s="902"/>
      <c r="L2899" s="903"/>
      <c r="M2899" s="81">
        <f>SUM(M2889:M2898)</f>
        <v>72228412</v>
      </c>
    </row>
    <row r="2900" spans="8:15" ht="16.5" thickBot="1">
      <c r="H2900" s="885" t="s">
        <v>103</v>
      </c>
      <c r="I2900" s="886"/>
      <c r="J2900" s="886"/>
      <c r="K2900" s="886"/>
      <c r="L2900" s="887"/>
      <c r="M2900" s="69">
        <f>+M2864</f>
        <v>115654097</v>
      </c>
      <c r="N2900" s="241" t="s">
        <v>561</v>
      </c>
      <c r="O2900" s="242"/>
    </row>
    <row r="2901" spans="8:15" ht="16.5" thickBot="1">
      <c r="H2901" s="888" t="s">
        <v>104</v>
      </c>
      <c r="I2901" s="889"/>
      <c r="J2901" s="889"/>
      <c r="K2901" s="889"/>
      <c r="L2901" s="890"/>
      <c r="M2901" s="183">
        <f>SUM(M2899:M2900)</f>
        <v>187882509</v>
      </c>
    </row>
    <row r="2902" spans="8:15">
      <c r="H2902" s="61"/>
      <c r="I2902" s="61"/>
      <c r="J2902" s="61"/>
      <c r="K2902" s="61"/>
      <c r="L2902" s="61"/>
    </row>
    <row r="2903" spans="8:15">
      <c r="H2903" s="51" t="s">
        <v>1189</v>
      </c>
    </row>
    <row r="2904" spans="8:15">
      <c r="M2904" s="139"/>
    </row>
    <row r="2905" spans="8:15">
      <c r="H2905" s="50" t="s">
        <v>105</v>
      </c>
      <c r="K2905" s="146"/>
      <c r="M2905" s="139"/>
    </row>
    <row r="2906" spans="8:15" ht="13.5" customHeight="1" thickBot="1"/>
    <row r="2907" spans="8:15" ht="15.75" thickBot="1">
      <c r="H2907" s="891" t="s">
        <v>106</v>
      </c>
      <c r="I2907" s="892"/>
      <c r="J2907" s="892"/>
      <c r="K2907" s="893"/>
      <c r="M2907" s="50" t="s">
        <v>1126</v>
      </c>
    </row>
    <row r="2908" spans="8:15" ht="30.75" thickBot="1">
      <c r="H2908" s="57" t="s">
        <v>100</v>
      </c>
      <c r="I2908" s="58" t="s">
        <v>108</v>
      </c>
      <c r="J2908" s="287" t="s">
        <v>109</v>
      </c>
      <c r="K2908" s="60" t="s">
        <v>110</v>
      </c>
    </row>
    <row r="2909" spans="8:15">
      <c r="H2909" s="71">
        <v>719</v>
      </c>
      <c r="I2909" s="73"/>
      <c r="J2909" s="74">
        <f>+K2872</f>
        <v>32020000</v>
      </c>
      <c r="K2909" s="195">
        <f>+I2909+J2909</f>
        <v>32020000</v>
      </c>
    </row>
    <row r="2910" spans="8:15">
      <c r="H2910" s="72">
        <v>721</v>
      </c>
      <c r="I2910" s="80">
        <f>+O2890+O2892+O2894+O2896+O2898</f>
        <v>72228412</v>
      </c>
      <c r="J2910" s="74">
        <f>+K2873</f>
        <v>93779134</v>
      </c>
      <c r="K2910" s="195">
        <f>+I2910+J2910</f>
        <v>166007546</v>
      </c>
    </row>
    <row r="2911" spans="8:15">
      <c r="H2911" s="72">
        <v>722</v>
      </c>
      <c r="I2911" s="80">
        <f>+O2889+O2891+O2893+O2895+O2897</f>
        <v>0</v>
      </c>
      <c r="J2911" s="74">
        <f>+K2874</f>
        <v>5580000</v>
      </c>
      <c r="K2911" s="195">
        <f>+I2911+J2911</f>
        <v>5580000</v>
      </c>
    </row>
    <row r="2912" spans="8:15" ht="15.75">
      <c r="H2912" s="72">
        <v>723</v>
      </c>
      <c r="I2912" s="80"/>
      <c r="J2912" s="74">
        <f>+K2875</f>
        <v>0</v>
      </c>
      <c r="K2912" s="195">
        <f>+I2912+J2912</f>
        <v>0</v>
      </c>
      <c r="M2912" s="193" t="s">
        <v>1028</v>
      </c>
      <c r="N2912" s="175"/>
    </row>
    <row r="2913" spans="8:15" ht="16.5" thickBot="1">
      <c r="H2913" s="164" t="s">
        <v>1077</v>
      </c>
      <c r="I2913" s="165"/>
      <c r="J2913" s="74">
        <f>+K2876</f>
        <v>797500</v>
      </c>
      <c r="K2913" s="196">
        <f>+I2913+J2913</f>
        <v>797500</v>
      </c>
      <c r="M2913" s="52"/>
    </row>
    <row r="2914" spans="8:15" ht="16.5" thickBot="1">
      <c r="H2914" s="169"/>
      <c r="I2914" s="197">
        <f>SUM(I2909:I2913)</f>
        <v>72228412</v>
      </c>
      <c r="J2914" s="197">
        <f>SUM(J2909:J2913)</f>
        <v>132176634</v>
      </c>
      <c r="K2914" s="198">
        <f>SUM(K2909:K2913)</f>
        <v>204405046</v>
      </c>
    </row>
    <row r="2915" spans="8:15" ht="16.5">
      <c r="H2915" s="49" t="s">
        <v>88</v>
      </c>
      <c r="I2915" s="50"/>
    </row>
    <row r="2916" spans="8:15">
      <c r="H2916" s="51" t="s">
        <v>89</v>
      </c>
    </row>
    <row r="2917" spans="8:15">
      <c r="H2917" s="51" t="s">
        <v>90</v>
      </c>
    </row>
    <row r="2918" spans="8:15">
      <c r="H2918" s="51" t="s">
        <v>91</v>
      </c>
    </row>
    <row r="2919" spans="8:15" ht="10.5" customHeight="1">
      <c r="H2919" s="50"/>
      <c r="I2919" s="50"/>
    </row>
    <row r="2920" spans="8:15" ht="15.75">
      <c r="H2920" s="260" t="s">
        <v>1191</v>
      </c>
      <c r="N2920" s="52"/>
    </row>
    <row r="2921" spans="8:15" ht="15.75">
      <c r="H2921" s="53" t="s">
        <v>535</v>
      </c>
      <c r="N2921" s="53"/>
    </row>
    <row r="2922" spans="8:15" ht="16.5">
      <c r="H2922" s="894" t="s">
        <v>909</v>
      </c>
      <c r="I2922" s="894"/>
      <c r="J2922" s="894"/>
      <c r="K2922" s="894"/>
      <c r="L2922" s="894"/>
      <c r="M2922" s="894"/>
      <c r="N2922" s="894"/>
      <c r="O2922" s="894"/>
    </row>
    <row r="2923" spans="8:15" ht="15.75" thickBot="1"/>
    <row r="2924" spans="8:15">
      <c r="H2924" s="895" t="s">
        <v>94</v>
      </c>
      <c r="I2924" s="897" t="s">
        <v>95</v>
      </c>
      <c r="J2924" s="897" t="s">
        <v>96</v>
      </c>
      <c r="K2924" s="897" t="s">
        <v>3</v>
      </c>
      <c r="L2924" s="897" t="s">
        <v>97</v>
      </c>
      <c r="M2924" s="897" t="s">
        <v>98</v>
      </c>
      <c r="N2924" s="897" t="s">
        <v>99</v>
      </c>
      <c r="O2924" s="899"/>
    </row>
    <row r="2925" spans="8:15" ht="15.75" thickBot="1">
      <c r="H2925" s="896"/>
      <c r="I2925" s="898"/>
      <c r="J2925" s="898"/>
      <c r="K2925" s="898"/>
      <c r="L2925" s="898"/>
      <c r="M2925" s="898"/>
      <c r="N2925" s="240" t="s">
        <v>100</v>
      </c>
      <c r="O2925" s="182" t="s">
        <v>101</v>
      </c>
    </row>
    <row r="2926" spans="8:15">
      <c r="H2926" s="881">
        <v>313</v>
      </c>
      <c r="I2926" s="875">
        <v>42657</v>
      </c>
      <c r="J2926" s="877" t="s">
        <v>1014</v>
      </c>
      <c r="K2926" s="879" t="s">
        <v>1192</v>
      </c>
      <c r="L2926" s="881" t="s">
        <v>115</v>
      </c>
      <c r="M2926" s="883">
        <v>70000</v>
      </c>
      <c r="N2926" s="55">
        <v>719</v>
      </c>
      <c r="O2926" s="78">
        <v>70000</v>
      </c>
    </row>
    <row r="2927" spans="8:15" ht="15.75" thickBot="1">
      <c r="H2927" s="882"/>
      <c r="I2927" s="876"/>
      <c r="J2927" s="878"/>
      <c r="K2927" s="880"/>
      <c r="L2927" s="882"/>
      <c r="M2927" s="884"/>
      <c r="N2927" s="56">
        <v>721</v>
      </c>
      <c r="O2927" s="79">
        <f>+M2926-O2926</f>
        <v>0</v>
      </c>
    </row>
    <row r="2928" spans="8:15">
      <c r="H2928" s="881">
        <v>314</v>
      </c>
      <c r="I2928" s="875">
        <v>42657</v>
      </c>
      <c r="J2928" s="877" t="s">
        <v>28</v>
      </c>
      <c r="K2928" s="879" t="s">
        <v>1193</v>
      </c>
      <c r="L2928" s="881" t="s">
        <v>115</v>
      </c>
      <c r="M2928" s="883">
        <v>30000</v>
      </c>
      <c r="N2928" s="55">
        <v>719</v>
      </c>
      <c r="O2928" s="78">
        <v>30000</v>
      </c>
    </row>
    <row r="2929" spans="8:15" ht="15.75" thickBot="1">
      <c r="H2929" s="882"/>
      <c r="I2929" s="876"/>
      <c r="J2929" s="878"/>
      <c r="K2929" s="880"/>
      <c r="L2929" s="882"/>
      <c r="M2929" s="884"/>
      <c r="N2929" s="56">
        <v>721</v>
      </c>
      <c r="O2929" s="79">
        <f>+M2928-O2928</f>
        <v>0</v>
      </c>
    </row>
    <row r="2930" spans="8:15">
      <c r="H2930" s="881">
        <v>315</v>
      </c>
      <c r="I2930" s="875">
        <v>42657</v>
      </c>
      <c r="J2930" s="877" t="s">
        <v>120</v>
      </c>
      <c r="K2930" s="879" t="s">
        <v>1165</v>
      </c>
      <c r="L2930" s="881" t="s">
        <v>115</v>
      </c>
      <c r="M2930" s="883">
        <v>50000</v>
      </c>
      <c r="N2930" s="55">
        <v>719</v>
      </c>
      <c r="O2930" s="78">
        <v>50000</v>
      </c>
    </row>
    <row r="2931" spans="8:15" ht="15.75" thickBot="1">
      <c r="H2931" s="882"/>
      <c r="I2931" s="876"/>
      <c r="J2931" s="878"/>
      <c r="K2931" s="880"/>
      <c r="L2931" s="882"/>
      <c r="M2931" s="884"/>
      <c r="N2931" s="56">
        <v>721</v>
      </c>
      <c r="O2931" s="79">
        <f>+M2930-O2930</f>
        <v>0</v>
      </c>
    </row>
    <row r="2932" spans="8:15">
      <c r="H2932" s="881"/>
      <c r="I2932" s="875"/>
      <c r="J2932" s="877"/>
      <c r="K2932" s="879"/>
      <c r="L2932" s="881"/>
      <c r="M2932" s="883"/>
      <c r="N2932" s="55">
        <v>719</v>
      </c>
      <c r="O2932" s="78">
        <v>0</v>
      </c>
    </row>
    <row r="2933" spans="8:15" ht="14.25" customHeight="1" thickBot="1">
      <c r="H2933" s="882"/>
      <c r="I2933" s="876"/>
      <c r="J2933" s="878"/>
      <c r="K2933" s="880"/>
      <c r="L2933" s="882"/>
      <c r="M2933" s="884"/>
      <c r="N2933" s="56">
        <v>721</v>
      </c>
      <c r="O2933" s="79">
        <f>+M2932-O2932</f>
        <v>0</v>
      </c>
    </row>
    <row r="2934" spans="8:15" ht="13.5" customHeight="1">
      <c r="H2934" s="881"/>
      <c r="I2934" s="875"/>
      <c r="J2934" s="877"/>
      <c r="K2934" s="879"/>
      <c r="L2934" s="881"/>
      <c r="M2934" s="883"/>
      <c r="N2934" s="55">
        <v>719</v>
      </c>
      <c r="O2934" s="78"/>
    </row>
    <row r="2935" spans="8:15" ht="12.75" customHeight="1" thickBot="1">
      <c r="H2935" s="882"/>
      <c r="I2935" s="876"/>
      <c r="J2935" s="878"/>
      <c r="K2935" s="880"/>
      <c r="L2935" s="882"/>
      <c r="M2935" s="884"/>
      <c r="N2935" s="56">
        <v>721</v>
      </c>
      <c r="O2935" s="79">
        <f>+M2934-O2934</f>
        <v>0</v>
      </c>
    </row>
    <row r="2936" spans="8:15" ht="16.5" thickBot="1">
      <c r="H2936" s="901" t="s">
        <v>102</v>
      </c>
      <c r="I2936" s="902"/>
      <c r="J2936" s="902"/>
      <c r="K2936" s="902"/>
      <c r="L2936" s="903"/>
      <c r="M2936" s="81">
        <f>SUM(M2926:M2935)</f>
        <v>150000</v>
      </c>
    </row>
    <row r="2937" spans="8:15" ht="16.5" thickBot="1">
      <c r="H2937" s="885" t="s">
        <v>103</v>
      </c>
      <c r="I2937" s="886"/>
      <c r="J2937" s="886"/>
      <c r="K2937" s="886"/>
      <c r="L2937" s="887"/>
      <c r="M2937" s="69">
        <f>+M2901</f>
        <v>187882509</v>
      </c>
      <c r="N2937" s="241" t="s">
        <v>561</v>
      </c>
      <c r="O2937" s="242">
        <f>76+80+291</f>
        <v>447</v>
      </c>
    </row>
    <row r="2938" spans="8:15" ht="16.5" thickBot="1">
      <c r="H2938" s="888" t="s">
        <v>104</v>
      </c>
      <c r="I2938" s="889"/>
      <c r="J2938" s="889"/>
      <c r="K2938" s="889"/>
      <c r="L2938" s="890"/>
      <c r="M2938" s="183">
        <f>SUM(M2936:M2937)</f>
        <v>188032509</v>
      </c>
    </row>
    <row r="2939" spans="8:15">
      <c r="H2939" s="61"/>
      <c r="I2939" s="61"/>
      <c r="J2939" s="61"/>
      <c r="K2939" s="61"/>
      <c r="L2939" s="61"/>
    </row>
    <row r="2940" spans="8:15">
      <c r="H2940" s="51" t="s">
        <v>1194</v>
      </c>
    </row>
    <row r="2941" spans="8:15">
      <c r="M2941" s="139"/>
    </row>
    <row r="2942" spans="8:15">
      <c r="H2942" s="50" t="s">
        <v>105</v>
      </c>
      <c r="K2942" s="146"/>
      <c r="M2942" s="139"/>
    </row>
    <row r="2943" spans="8:15" ht="12.75" customHeight="1" thickBot="1"/>
    <row r="2944" spans="8:15" ht="15.75" thickBot="1">
      <c r="H2944" s="891" t="s">
        <v>106</v>
      </c>
      <c r="I2944" s="892"/>
      <c r="J2944" s="892"/>
      <c r="K2944" s="893"/>
      <c r="M2944" s="50" t="s">
        <v>1126</v>
      </c>
    </row>
    <row r="2945" spans="8:15" ht="30.75" thickBot="1">
      <c r="H2945" s="57" t="s">
        <v>100</v>
      </c>
      <c r="I2945" s="58" t="s">
        <v>108</v>
      </c>
      <c r="J2945" s="287" t="s">
        <v>109</v>
      </c>
      <c r="K2945" s="60" t="s">
        <v>110</v>
      </c>
    </row>
    <row r="2946" spans="8:15">
      <c r="H2946" s="71">
        <v>719</v>
      </c>
      <c r="I2946" s="73">
        <f>+O2926+O2928+O2930+O2932</f>
        <v>150000</v>
      </c>
      <c r="J2946" s="74">
        <f>+K2909</f>
        <v>32020000</v>
      </c>
      <c r="K2946" s="195">
        <f>+I2946+J2946</f>
        <v>32170000</v>
      </c>
    </row>
    <row r="2947" spans="8:15">
      <c r="H2947" s="72">
        <v>721</v>
      </c>
      <c r="I2947" s="80">
        <f>+O2927+O2929+O2931+O2933+O2935</f>
        <v>0</v>
      </c>
      <c r="J2947" s="74">
        <f>+K2910</f>
        <v>166007546</v>
      </c>
      <c r="K2947" s="195">
        <f>+I2947+J2947</f>
        <v>166007546</v>
      </c>
    </row>
    <row r="2948" spans="8:15">
      <c r="H2948" s="72">
        <v>722</v>
      </c>
      <c r="I2948" s="80"/>
      <c r="J2948" s="74">
        <f>+K2911</f>
        <v>5580000</v>
      </c>
      <c r="K2948" s="195">
        <f>+I2948+J2948</f>
        <v>5580000</v>
      </c>
    </row>
    <row r="2949" spans="8:15" ht="15.75">
      <c r="H2949" s="72">
        <v>723</v>
      </c>
      <c r="I2949" s="80"/>
      <c r="J2949" s="74">
        <f>+K2912</f>
        <v>0</v>
      </c>
      <c r="K2949" s="195">
        <f>+I2949+J2949</f>
        <v>0</v>
      </c>
      <c r="M2949" s="193" t="s">
        <v>1028</v>
      </c>
      <c r="N2949" s="175"/>
    </row>
    <row r="2950" spans="8:15" ht="16.5" thickBot="1">
      <c r="H2950" s="164" t="s">
        <v>1077</v>
      </c>
      <c r="I2950" s="165"/>
      <c r="J2950" s="74">
        <f>+K2913</f>
        <v>797500</v>
      </c>
      <c r="K2950" s="196">
        <f>+I2950+J2950</f>
        <v>797500</v>
      </c>
      <c r="M2950" s="52"/>
    </row>
    <row r="2951" spans="8:15" ht="16.5" thickBot="1">
      <c r="H2951" s="169"/>
      <c r="I2951" s="197">
        <f>SUM(I2946:I2950)</f>
        <v>150000</v>
      </c>
      <c r="J2951" s="197">
        <f>SUM(J2946:J2950)</f>
        <v>204405046</v>
      </c>
      <c r="K2951" s="198">
        <f>SUM(K2946:K2950)</f>
        <v>204555046</v>
      </c>
    </row>
    <row r="2952" spans="8:15" ht="16.5">
      <c r="H2952" s="49" t="s">
        <v>88</v>
      </c>
      <c r="I2952" s="50"/>
    </row>
    <row r="2953" spans="8:15">
      <c r="H2953" s="51" t="s">
        <v>89</v>
      </c>
    </row>
    <row r="2954" spans="8:15">
      <c r="H2954" s="51" t="s">
        <v>90</v>
      </c>
    </row>
    <row r="2955" spans="8:15">
      <c r="H2955" s="51" t="s">
        <v>91</v>
      </c>
    </row>
    <row r="2956" spans="8:15" ht="9.75" customHeight="1">
      <c r="H2956" s="50"/>
      <c r="I2956" s="50"/>
    </row>
    <row r="2957" spans="8:15" ht="15.75">
      <c r="H2957" s="260" t="s">
        <v>1197</v>
      </c>
      <c r="N2957" s="52"/>
    </row>
    <row r="2958" spans="8:15" ht="15.75">
      <c r="H2958" s="53" t="s">
        <v>535</v>
      </c>
      <c r="N2958" s="53"/>
    </row>
    <row r="2959" spans="8:15" ht="16.5">
      <c r="H2959" s="894" t="s">
        <v>909</v>
      </c>
      <c r="I2959" s="894"/>
      <c r="J2959" s="894"/>
      <c r="K2959" s="894"/>
      <c r="L2959" s="894"/>
      <c r="M2959" s="894"/>
      <c r="N2959" s="894"/>
      <c r="O2959" s="894"/>
    </row>
    <row r="2960" spans="8:15" ht="15.75" thickBot="1"/>
    <row r="2961" spans="8:15">
      <c r="H2961" s="895" t="s">
        <v>94</v>
      </c>
      <c r="I2961" s="897" t="s">
        <v>95</v>
      </c>
      <c r="J2961" s="897" t="s">
        <v>96</v>
      </c>
      <c r="K2961" s="897" t="s">
        <v>3</v>
      </c>
      <c r="L2961" s="897" t="s">
        <v>97</v>
      </c>
      <c r="M2961" s="897" t="s">
        <v>98</v>
      </c>
      <c r="N2961" s="897" t="s">
        <v>99</v>
      </c>
      <c r="O2961" s="899"/>
    </row>
    <row r="2962" spans="8:15" ht="15.75" thickBot="1">
      <c r="H2962" s="896"/>
      <c r="I2962" s="898"/>
      <c r="J2962" s="898"/>
      <c r="K2962" s="898"/>
      <c r="L2962" s="898"/>
      <c r="M2962" s="898"/>
      <c r="N2962" s="240" t="s">
        <v>100</v>
      </c>
      <c r="O2962" s="182" t="s">
        <v>101</v>
      </c>
    </row>
    <row r="2963" spans="8:15">
      <c r="H2963" s="881">
        <v>316</v>
      </c>
      <c r="I2963" s="875">
        <v>42684</v>
      </c>
      <c r="J2963" s="877" t="s">
        <v>267</v>
      </c>
      <c r="K2963" s="879" t="s">
        <v>1195</v>
      </c>
      <c r="L2963" s="881" t="s">
        <v>148</v>
      </c>
      <c r="M2963" s="883">
        <v>130000</v>
      </c>
      <c r="N2963" s="55">
        <v>719</v>
      </c>
      <c r="O2963" s="78">
        <v>100000</v>
      </c>
    </row>
    <row r="2964" spans="8:15" ht="15.75" thickBot="1">
      <c r="H2964" s="882"/>
      <c r="I2964" s="876"/>
      <c r="J2964" s="878"/>
      <c r="K2964" s="880"/>
      <c r="L2964" s="882"/>
      <c r="M2964" s="884"/>
      <c r="N2964" s="56">
        <v>721</v>
      </c>
      <c r="O2964" s="79">
        <f>+M2963-O2963</f>
        <v>30000</v>
      </c>
    </row>
    <row r="2965" spans="8:15" ht="15" customHeight="1">
      <c r="H2965" s="881">
        <v>317</v>
      </c>
      <c r="I2965" s="875">
        <v>42684</v>
      </c>
      <c r="J2965" s="877" t="s">
        <v>28</v>
      </c>
      <c r="K2965" s="879" t="s">
        <v>1196</v>
      </c>
      <c r="L2965" s="881" t="s">
        <v>148</v>
      </c>
      <c r="M2965" s="883">
        <v>559000</v>
      </c>
      <c r="N2965" s="55">
        <v>719</v>
      </c>
      <c r="O2965" s="78">
        <v>430000</v>
      </c>
    </row>
    <row r="2966" spans="8:15" ht="15.75" customHeight="1" thickBot="1">
      <c r="H2966" s="882"/>
      <c r="I2966" s="876"/>
      <c r="J2966" s="878"/>
      <c r="K2966" s="880"/>
      <c r="L2966" s="882"/>
      <c r="M2966" s="884"/>
      <c r="N2966" s="56">
        <v>721</v>
      </c>
      <c r="O2966" s="79">
        <f>+M2965-O2965</f>
        <v>129000</v>
      </c>
    </row>
    <row r="2967" spans="8:15" ht="15" customHeight="1">
      <c r="H2967" s="881">
        <v>318</v>
      </c>
      <c r="I2967" s="875">
        <v>42684</v>
      </c>
      <c r="J2967" s="877" t="s">
        <v>111</v>
      </c>
      <c r="K2967" s="879" t="s">
        <v>1198</v>
      </c>
      <c r="L2967" s="881" t="s">
        <v>148</v>
      </c>
      <c r="M2967" s="883">
        <v>104000</v>
      </c>
      <c r="N2967" s="55">
        <v>719</v>
      </c>
      <c r="O2967" s="78">
        <v>80000</v>
      </c>
    </row>
    <row r="2968" spans="8:15" ht="15.75" customHeight="1" thickBot="1">
      <c r="H2968" s="882"/>
      <c r="I2968" s="876"/>
      <c r="J2968" s="878"/>
      <c r="K2968" s="880"/>
      <c r="L2968" s="882"/>
      <c r="M2968" s="884"/>
      <c r="N2968" s="56">
        <v>721</v>
      </c>
      <c r="O2968" s="79">
        <f>+M2967-O2967</f>
        <v>24000</v>
      </c>
    </row>
    <row r="2969" spans="8:15" ht="15" customHeight="1">
      <c r="H2969" s="881">
        <v>319</v>
      </c>
      <c r="I2969" s="875">
        <v>42684</v>
      </c>
      <c r="J2969" s="877" t="s">
        <v>1014</v>
      </c>
      <c r="K2969" s="879" t="s">
        <v>1196</v>
      </c>
      <c r="L2969" s="881" t="s">
        <v>148</v>
      </c>
      <c r="M2969" s="883">
        <v>1105000</v>
      </c>
      <c r="N2969" s="55">
        <v>719</v>
      </c>
      <c r="O2969" s="78">
        <v>850000</v>
      </c>
    </row>
    <row r="2970" spans="8:15" ht="15.75" customHeight="1" thickBot="1">
      <c r="H2970" s="882"/>
      <c r="I2970" s="876"/>
      <c r="J2970" s="878"/>
      <c r="K2970" s="880"/>
      <c r="L2970" s="882"/>
      <c r="M2970" s="884"/>
      <c r="N2970" s="56">
        <v>721</v>
      </c>
      <c r="O2970" s="79">
        <f>+M2969-O2969</f>
        <v>255000</v>
      </c>
    </row>
    <row r="2971" spans="8:15">
      <c r="H2971" s="881"/>
      <c r="I2971" s="875"/>
      <c r="J2971" s="877"/>
      <c r="K2971" s="879"/>
      <c r="L2971" s="881"/>
      <c r="M2971" s="883"/>
      <c r="N2971" s="55">
        <v>719</v>
      </c>
      <c r="O2971" s="78"/>
    </row>
    <row r="2972" spans="8:15" ht="15.75" thickBot="1">
      <c r="H2972" s="882"/>
      <c r="I2972" s="876"/>
      <c r="J2972" s="878"/>
      <c r="K2972" s="880"/>
      <c r="L2972" s="882"/>
      <c r="M2972" s="884"/>
      <c r="N2972" s="56">
        <v>721</v>
      </c>
      <c r="O2972" s="79">
        <f>+M2971-O2971</f>
        <v>0</v>
      </c>
    </row>
    <row r="2973" spans="8:15" ht="16.5" thickBot="1">
      <c r="H2973" s="901" t="s">
        <v>102</v>
      </c>
      <c r="I2973" s="902"/>
      <c r="J2973" s="902"/>
      <c r="K2973" s="902"/>
      <c r="L2973" s="903"/>
      <c r="M2973" s="81">
        <f>SUM(M2963:M2972)</f>
        <v>1898000</v>
      </c>
    </row>
    <row r="2974" spans="8:15" ht="16.5" thickBot="1">
      <c r="H2974" s="885" t="s">
        <v>103</v>
      </c>
      <c r="I2974" s="886"/>
      <c r="J2974" s="886"/>
      <c r="K2974" s="886"/>
      <c r="L2974" s="887"/>
      <c r="M2974" s="69">
        <f>+M2938</f>
        <v>188032509</v>
      </c>
      <c r="N2974" s="241" t="s">
        <v>561</v>
      </c>
      <c r="O2974" s="242">
        <f>1061+35+841+56</f>
        <v>1993</v>
      </c>
    </row>
    <row r="2975" spans="8:15" ht="16.5" thickBot="1">
      <c r="H2975" s="888" t="s">
        <v>104</v>
      </c>
      <c r="I2975" s="889"/>
      <c r="J2975" s="889"/>
      <c r="K2975" s="889"/>
      <c r="L2975" s="890"/>
      <c r="M2975" s="183">
        <f>SUM(M2973:M2974)</f>
        <v>189930509</v>
      </c>
    </row>
    <row r="2976" spans="8:15">
      <c r="H2976" s="61"/>
      <c r="I2976" s="61"/>
      <c r="J2976" s="61"/>
      <c r="K2976" s="61"/>
      <c r="L2976" s="61"/>
    </row>
    <row r="2977" spans="8:14">
      <c r="H2977" s="51" t="s">
        <v>1199</v>
      </c>
    </row>
    <row r="2978" spans="8:14">
      <c r="M2978" s="139"/>
    </row>
    <row r="2979" spans="8:14">
      <c r="H2979" s="50" t="s">
        <v>105</v>
      </c>
      <c r="K2979" s="146"/>
      <c r="M2979" s="139"/>
    </row>
    <row r="2980" spans="8:14" ht="10.5" customHeight="1" thickBot="1"/>
    <row r="2981" spans="8:14" ht="15.75" thickBot="1">
      <c r="H2981" s="891" t="s">
        <v>106</v>
      </c>
      <c r="I2981" s="892"/>
      <c r="J2981" s="892"/>
      <c r="K2981" s="893"/>
      <c r="M2981" s="50" t="s">
        <v>1126</v>
      </c>
    </row>
    <row r="2982" spans="8:14" ht="30.75" thickBot="1">
      <c r="H2982" s="57" t="s">
        <v>100</v>
      </c>
      <c r="I2982" s="58" t="s">
        <v>108</v>
      </c>
      <c r="J2982" s="287" t="s">
        <v>109</v>
      </c>
      <c r="K2982" s="60" t="s">
        <v>110</v>
      </c>
    </row>
    <row r="2983" spans="8:14">
      <c r="H2983" s="71">
        <v>719</v>
      </c>
      <c r="I2983" s="73">
        <f>+O2963+O2965+O2967+O2969</f>
        <v>1460000</v>
      </c>
      <c r="J2983" s="74">
        <f>+K2946</f>
        <v>32170000</v>
      </c>
      <c r="K2983" s="195">
        <f>+I2983+J2983</f>
        <v>33630000</v>
      </c>
    </row>
    <row r="2984" spans="8:14">
      <c r="H2984" s="72">
        <v>721</v>
      </c>
      <c r="I2984" s="80">
        <f>+O2964+O2966+O2968+O2970+O2972</f>
        <v>438000</v>
      </c>
      <c r="J2984" s="74">
        <f>+K2947</f>
        <v>166007546</v>
      </c>
      <c r="K2984" s="195">
        <f>+I2984+J2984</f>
        <v>166445546</v>
      </c>
    </row>
    <row r="2985" spans="8:14">
      <c r="H2985" s="72">
        <v>722</v>
      </c>
      <c r="I2985" s="80"/>
      <c r="J2985" s="74">
        <f>+K2948</f>
        <v>5580000</v>
      </c>
      <c r="K2985" s="195">
        <f>+I2985+J2985</f>
        <v>5580000</v>
      </c>
    </row>
    <row r="2986" spans="8:14" ht="15.75">
      <c r="H2986" s="72">
        <v>723</v>
      </c>
      <c r="I2986" s="80"/>
      <c r="J2986" s="74">
        <f>+K2949</f>
        <v>0</v>
      </c>
      <c r="K2986" s="195">
        <f>+I2986+J2986</f>
        <v>0</v>
      </c>
      <c r="M2986" s="193" t="s">
        <v>1028</v>
      </c>
      <c r="N2986" s="175"/>
    </row>
    <row r="2987" spans="8:14" ht="16.5" thickBot="1">
      <c r="H2987" s="164" t="s">
        <v>1077</v>
      </c>
      <c r="I2987" s="165"/>
      <c r="J2987" s="74">
        <f>+K2950</f>
        <v>797500</v>
      </c>
      <c r="K2987" s="196">
        <f>+I2987+J2987</f>
        <v>797500</v>
      </c>
      <c r="M2987" s="52"/>
    </row>
    <row r="2988" spans="8:14" ht="16.5" thickBot="1">
      <c r="H2988" s="169"/>
      <c r="I2988" s="197">
        <f>SUM(I2983:I2987)</f>
        <v>1898000</v>
      </c>
      <c r="J2988" s="197">
        <f>SUM(J2983:J2987)</f>
        <v>204555046</v>
      </c>
      <c r="K2988" s="198">
        <f>SUM(K2983:K2987)</f>
        <v>206453046</v>
      </c>
    </row>
    <row r="2989" spans="8:14" ht="16.5">
      <c r="H2989" s="49" t="s">
        <v>88</v>
      </c>
      <c r="I2989" s="50"/>
    </row>
    <row r="2990" spans="8:14">
      <c r="H2990" s="51" t="s">
        <v>89</v>
      </c>
    </row>
    <row r="2991" spans="8:14">
      <c r="H2991" s="51" t="s">
        <v>90</v>
      </c>
    </row>
    <row r="2992" spans="8:14">
      <c r="H2992" s="51" t="s">
        <v>91</v>
      </c>
    </row>
    <row r="2993" spans="8:15" ht="12" customHeight="1">
      <c r="H2993" s="50"/>
      <c r="I2993" s="50"/>
    </row>
    <row r="2994" spans="8:15" ht="15.75">
      <c r="H2994" s="260" t="s">
        <v>1200</v>
      </c>
      <c r="N2994" s="52"/>
    </row>
    <row r="2995" spans="8:15" ht="15.75">
      <c r="H2995" s="53" t="s">
        <v>535</v>
      </c>
      <c r="N2995" s="53"/>
    </row>
    <row r="2996" spans="8:15" ht="16.5">
      <c r="H2996" s="894" t="s">
        <v>909</v>
      </c>
      <c r="I2996" s="894"/>
      <c r="J2996" s="894"/>
      <c r="K2996" s="894"/>
      <c r="L2996" s="894"/>
      <c r="M2996" s="894"/>
      <c r="N2996" s="894"/>
      <c r="O2996" s="894"/>
    </row>
    <row r="2997" spans="8:15" ht="15.75" thickBot="1"/>
    <row r="2998" spans="8:15">
      <c r="H2998" s="895" t="s">
        <v>94</v>
      </c>
      <c r="I2998" s="897" t="s">
        <v>95</v>
      </c>
      <c r="J2998" s="897" t="s">
        <v>96</v>
      </c>
      <c r="K2998" s="897" t="s">
        <v>3</v>
      </c>
      <c r="L2998" s="897" t="s">
        <v>97</v>
      </c>
      <c r="M2998" s="897" t="s">
        <v>98</v>
      </c>
      <c r="N2998" s="897" t="s">
        <v>99</v>
      </c>
      <c r="O2998" s="899"/>
    </row>
    <row r="2999" spans="8:15" ht="15.75" thickBot="1">
      <c r="H2999" s="896"/>
      <c r="I2999" s="898"/>
      <c r="J2999" s="898"/>
      <c r="K2999" s="898"/>
      <c r="L2999" s="898"/>
      <c r="M2999" s="898"/>
      <c r="N2999" s="240" t="s">
        <v>100</v>
      </c>
      <c r="O2999" s="182" t="s">
        <v>101</v>
      </c>
    </row>
    <row r="3000" spans="8:15">
      <c r="H3000" s="881">
        <v>320</v>
      </c>
      <c r="I3000" s="875">
        <v>42684</v>
      </c>
      <c r="J3000" s="877" t="s">
        <v>267</v>
      </c>
      <c r="K3000" s="879" t="s">
        <v>1201</v>
      </c>
      <c r="L3000" s="881" t="s">
        <v>148</v>
      </c>
      <c r="M3000" s="883">
        <v>52000</v>
      </c>
      <c r="N3000" s="55">
        <v>719</v>
      </c>
      <c r="O3000" s="78">
        <v>40000</v>
      </c>
    </row>
    <row r="3001" spans="8:15" ht="15.75" thickBot="1">
      <c r="H3001" s="882"/>
      <c r="I3001" s="876"/>
      <c r="J3001" s="878"/>
      <c r="K3001" s="880"/>
      <c r="L3001" s="882"/>
      <c r="M3001" s="884"/>
      <c r="N3001" s="56">
        <v>721</v>
      </c>
      <c r="O3001" s="79">
        <f>+M3000-O3000</f>
        <v>12000</v>
      </c>
    </row>
    <row r="3002" spans="8:15">
      <c r="H3002" s="881">
        <v>321</v>
      </c>
      <c r="I3002" s="875">
        <v>42684</v>
      </c>
      <c r="J3002" s="877" t="s">
        <v>28</v>
      </c>
      <c r="K3002" s="879" t="s">
        <v>1202</v>
      </c>
      <c r="L3002" s="881" t="s">
        <v>148</v>
      </c>
      <c r="M3002" s="883">
        <v>442000</v>
      </c>
      <c r="N3002" s="55">
        <v>719</v>
      </c>
      <c r="O3002" s="78">
        <v>340000</v>
      </c>
    </row>
    <row r="3003" spans="8:15" ht="15.75" thickBot="1">
      <c r="H3003" s="882"/>
      <c r="I3003" s="876"/>
      <c r="J3003" s="878"/>
      <c r="K3003" s="880"/>
      <c r="L3003" s="882"/>
      <c r="M3003" s="884"/>
      <c r="N3003" s="56">
        <v>721</v>
      </c>
      <c r="O3003" s="79">
        <f>+M3002-O3002</f>
        <v>102000</v>
      </c>
    </row>
    <row r="3004" spans="8:15">
      <c r="H3004" s="881">
        <v>322</v>
      </c>
      <c r="I3004" s="875">
        <v>42684</v>
      </c>
      <c r="J3004" s="877" t="s">
        <v>111</v>
      </c>
      <c r="K3004" s="879" t="s">
        <v>1203</v>
      </c>
      <c r="L3004" s="881" t="s">
        <v>148</v>
      </c>
      <c r="M3004" s="883">
        <v>104000</v>
      </c>
      <c r="N3004" s="55">
        <v>719</v>
      </c>
      <c r="O3004" s="78">
        <v>80000</v>
      </c>
    </row>
    <row r="3005" spans="8:15" ht="15.75" thickBot="1">
      <c r="H3005" s="882"/>
      <c r="I3005" s="876"/>
      <c r="J3005" s="878"/>
      <c r="K3005" s="880"/>
      <c r="L3005" s="882"/>
      <c r="M3005" s="884"/>
      <c r="N3005" s="56">
        <v>721</v>
      </c>
      <c r="O3005" s="79">
        <f>+M3004-O3004</f>
        <v>24000</v>
      </c>
    </row>
    <row r="3006" spans="8:15">
      <c r="H3006" s="881">
        <v>323</v>
      </c>
      <c r="I3006" s="875">
        <v>42684</v>
      </c>
      <c r="J3006" s="877" t="s">
        <v>1014</v>
      </c>
      <c r="K3006" s="879" t="s">
        <v>1202</v>
      </c>
      <c r="L3006" s="881" t="s">
        <v>148</v>
      </c>
      <c r="M3006" s="883">
        <v>1053000</v>
      </c>
      <c r="N3006" s="55">
        <v>719</v>
      </c>
      <c r="O3006" s="78">
        <v>810000</v>
      </c>
    </row>
    <row r="3007" spans="8:15" ht="15.75" thickBot="1">
      <c r="H3007" s="882"/>
      <c r="I3007" s="876"/>
      <c r="J3007" s="878"/>
      <c r="K3007" s="880"/>
      <c r="L3007" s="882"/>
      <c r="M3007" s="884"/>
      <c r="N3007" s="56">
        <v>721</v>
      </c>
      <c r="O3007" s="79">
        <f>+M3006-O3006</f>
        <v>243000</v>
      </c>
    </row>
    <row r="3008" spans="8:15">
      <c r="H3008" s="881"/>
      <c r="I3008" s="875"/>
      <c r="J3008" s="877"/>
      <c r="K3008" s="879"/>
      <c r="L3008" s="881"/>
      <c r="M3008" s="883"/>
      <c r="N3008" s="55">
        <v>719</v>
      </c>
      <c r="O3008" s="78"/>
    </row>
    <row r="3009" spans="8:15" ht="15.75" thickBot="1">
      <c r="H3009" s="882"/>
      <c r="I3009" s="876"/>
      <c r="J3009" s="878"/>
      <c r="K3009" s="880"/>
      <c r="L3009" s="882"/>
      <c r="M3009" s="884"/>
      <c r="N3009" s="56">
        <v>721</v>
      </c>
      <c r="O3009" s="79">
        <f>+M3008-O3008</f>
        <v>0</v>
      </c>
    </row>
    <row r="3010" spans="8:15" ht="16.5" thickBot="1">
      <c r="H3010" s="901" t="s">
        <v>102</v>
      </c>
      <c r="I3010" s="902"/>
      <c r="J3010" s="902"/>
      <c r="K3010" s="902"/>
      <c r="L3010" s="903"/>
      <c r="M3010" s="81">
        <f>SUM(M3000:M3009)</f>
        <v>1651000</v>
      </c>
    </row>
    <row r="3011" spans="8:15" ht="16.5" thickBot="1">
      <c r="H3011" s="885" t="s">
        <v>103</v>
      </c>
      <c r="I3011" s="886"/>
      <c r="J3011" s="886"/>
      <c r="K3011" s="886"/>
      <c r="L3011" s="887"/>
      <c r="M3011" s="69">
        <f>+M2975</f>
        <v>189930509</v>
      </c>
      <c r="N3011" s="241" t="s">
        <v>561</v>
      </c>
      <c r="O3011" s="242">
        <f>1174+29+720+29</f>
        <v>1952</v>
      </c>
    </row>
    <row r="3012" spans="8:15" ht="16.5" thickBot="1">
      <c r="H3012" s="888" t="s">
        <v>104</v>
      </c>
      <c r="I3012" s="889"/>
      <c r="J3012" s="889"/>
      <c r="K3012" s="889"/>
      <c r="L3012" s="890"/>
      <c r="M3012" s="183">
        <f>SUM(M3010:M3011)</f>
        <v>191581509</v>
      </c>
    </row>
    <row r="3013" spans="8:15" ht="11.25" customHeight="1">
      <c r="H3013" s="61"/>
      <c r="I3013" s="61"/>
      <c r="J3013" s="61"/>
      <c r="K3013" s="61"/>
      <c r="L3013" s="61"/>
    </row>
    <row r="3014" spans="8:15">
      <c r="H3014" s="51" t="s">
        <v>1204</v>
      </c>
    </row>
    <row r="3015" spans="8:15">
      <c r="M3015" s="139"/>
    </row>
    <row r="3016" spans="8:15">
      <c r="H3016" s="50" t="s">
        <v>105</v>
      </c>
      <c r="K3016" s="146"/>
      <c r="M3016" s="139"/>
    </row>
    <row r="3017" spans="8:15" ht="14.25" customHeight="1" thickBot="1"/>
    <row r="3018" spans="8:15" ht="15.75" thickBot="1">
      <c r="H3018" s="891" t="s">
        <v>106</v>
      </c>
      <c r="I3018" s="892"/>
      <c r="J3018" s="892"/>
      <c r="K3018" s="893"/>
      <c r="M3018" s="50" t="s">
        <v>1126</v>
      </c>
    </row>
    <row r="3019" spans="8:15" ht="30.75" thickBot="1">
      <c r="H3019" s="57" t="s">
        <v>100</v>
      </c>
      <c r="I3019" s="58" t="s">
        <v>108</v>
      </c>
      <c r="J3019" s="287" t="s">
        <v>109</v>
      </c>
      <c r="K3019" s="60" t="s">
        <v>110</v>
      </c>
    </row>
    <row r="3020" spans="8:15">
      <c r="H3020" s="71">
        <v>719</v>
      </c>
      <c r="I3020" s="73">
        <f>+O3000+O3002+O3004+O3006</f>
        <v>1270000</v>
      </c>
      <c r="J3020" s="74">
        <f>+K2983</f>
        <v>33630000</v>
      </c>
      <c r="K3020" s="195">
        <f>+I3020+J3020</f>
        <v>34900000</v>
      </c>
    </row>
    <row r="3021" spans="8:15">
      <c r="H3021" s="72">
        <v>721</v>
      </c>
      <c r="I3021" s="80">
        <f>+O3001+O3003+O3005+O3007+O3009</f>
        <v>381000</v>
      </c>
      <c r="J3021" s="74">
        <f>+K2984</f>
        <v>166445546</v>
      </c>
      <c r="K3021" s="195">
        <f>+I3021+J3021</f>
        <v>166826546</v>
      </c>
    </row>
    <row r="3022" spans="8:15">
      <c r="H3022" s="72">
        <v>722</v>
      </c>
      <c r="I3022" s="80"/>
      <c r="J3022" s="74">
        <f>+K2985</f>
        <v>5580000</v>
      </c>
      <c r="K3022" s="195">
        <f>+I3022+J3022</f>
        <v>5580000</v>
      </c>
    </row>
    <row r="3023" spans="8:15" ht="15.75">
      <c r="H3023" s="72">
        <v>723</v>
      </c>
      <c r="I3023" s="80"/>
      <c r="J3023" s="74">
        <f>+K2986</f>
        <v>0</v>
      </c>
      <c r="K3023" s="195">
        <f>+I3023+J3023</f>
        <v>0</v>
      </c>
      <c r="M3023" s="193" t="s">
        <v>1028</v>
      </c>
      <c r="N3023" s="175"/>
    </row>
    <row r="3024" spans="8:15" ht="16.5" thickBot="1">
      <c r="H3024" s="164" t="s">
        <v>1077</v>
      </c>
      <c r="I3024" s="165"/>
      <c r="J3024" s="74">
        <f>+K2987</f>
        <v>797500</v>
      </c>
      <c r="K3024" s="196">
        <f>+I3024+J3024</f>
        <v>797500</v>
      </c>
      <c r="M3024" s="52"/>
    </row>
    <row r="3025" spans="8:15" ht="16.5" thickBot="1">
      <c r="H3025" s="169"/>
      <c r="I3025" s="197">
        <f>SUM(I3020:I3024)</f>
        <v>1651000</v>
      </c>
      <c r="J3025" s="197">
        <f>SUM(J3020:J3024)</f>
        <v>206453046</v>
      </c>
      <c r="K3025" s="198">
        <f>SUM(K3020:K3024)</f>
        <v>208104046</v>
      </c>
    </row>
    <row r="3026" spans="8:15" ht="16.5">
      <c r="H3026" s="49" t="s">
        <v>88</v>
      </c>
      <c r="I3026" s="50"/>
    </row>
    <row r="3027" spans="8:15">
      <c r="H3027" s="51" t="s">
        <v>89</v>
      </c>
    </row>
    <row r="3028" spans="8:15">
      <c r="H3028" s="51" t="s">
        <v>90</v>
      </c>
    </row>
    <row r="3029" spans="8:15">
      <c r="H3029" s="51" t="s">
        <v>91</v>
      </c>
    </row>
    <row r="3030" spans="8:15" ht="12" customHeight="1">
      <c r="H3030" s="50"/>
      <c r="I3030" s="50"/>
    </row>
    <row r="3031" spans="8:15" ht="15.75">
      <c r="H3031" s="260" t="s">
        <v>1206</v>
      </c>
      <c r="N3031" s="52"/>
    </row>
    <row r="3032" spans="8:15" ht="15.75">
      <c r="H3032" s="53" t="s">
        <v>535</v>
      </c>
      <c r="N3032" s="53"/>
    </row>
    <row r="3033" spans="8:15" ht="16.5">
      <c r="H3033" s="894" t="s">
        <v>909</v>
      </c>
      <c r="I3033" s="894"/>
      <c r="J3033" s="894"/>
      <c r="K3033" s="894"/>
      <c r="L3033" s="894"/>
      <c r="M3033" s="894"/>
      <c r="N3033" s="894"/>
      <c r="O3033" s="894"/>
    </row>
    <row r="3034" spans="8:15" ht="15.75" thickBot="1"/>
    <row r="3035" spans="8:15">
      <c r="H3035" s="895" t="s">
        <v>94</v>
      </c>
      <c r="I3035" s="897" t="s">
        <v>95</v>
      </c>
      <c r="J3035" s="897" t="s">
        <v>96</v>
      </c>
      <c r="K3035" s="897" t="s">
        <v>3</v>
      </c>
      <c r="L3035" s="897" t="s">
        <v>97</v>
      </c>
      <c r="M3035" s="897" t="s">
        <v>98</v>
      </c>
      <c r="N3035" s="897" t="s">
        <v>99</v>
      </c>
      <c r="O3035" s="899"/>
    </row>
    <row r="3036" spans="8:15" ht="15.75" thickBot="1">
      <c r="H3036" s="896"/>
      <c r="I3036" s="898"/>
      <c r="J3036" s="898"/>
      <c r="K3036" s="898"/>
      <c r="L3036" s="898"/>
      <c r="M3036" s="898"/>
      <c r="N3036" s="240" t="s">
        <v>100</v>
      </c>
      <c r="O3036" s="182" t="s">
        <v>101</v>
      </c>
    </row>
    <row r="3037" spans="8:15">
      <c r="H3037" s="881">
        <v>324</v>
      </c>
      <c r="I3037" s="875">
        <v>42692</v>
      </c>
      <c r="J3037" s="877" t="s">
        <v>1014</v>
      </c>
      <c r="K3037" s="879" t="s">
        <v>1207</v>
      </c>
      <c r="L3037" s="881" t="s">
        <v>115</v>
      </c>
      <c r="M3037" s="883">
        <v>70000</v>
      </c>
      <c r="N3037" s="55">
        <v>719</v>
      </c>
      <c r="O3037" s="78">
        <v>70000</v>
      </c>
    </row>
    <row r="3038" spans="8:15" ht="15.75" thickBot="1">
      <c r="H3038" s="882"/>
      <c r="I3038" s="876"/>
      <c r="J3038" s="878"/>
      <c r="K3038" s="880"/>
      <c r="L3038" s="882"/>
      <c r="M3038" s="884"/>
      <c r="N3038" s="56">
        <v>721</v>
      </c>
      <c r="O3038" s="79">
        <f>+M3037-O3037</f>
        <v>0</v>
      </c>
    </row>
    <row r="3039" spans="8:15" ht="15" customHeight="1">
      <c r="H3039" s="881">
        <v>325</v>
      </c>
      <c r="I3039" s="875">
        <v>42692</v>
      </c>
      <c r="J3039" s="877" t="s">
        <v>28</v>
      </c>
      <c r="K3039" s="879" t="s">
        <v>1208</v>
      </c>
      <c r="L3039" s="881" t="s">
        <v>115</v>
      </c>
      <c r="M3039" s="883">
        <v>80000</v>
      </c>
      <c r="N3039" s="55">
        <v>719</v>
      </c>
      <c r="O3039" s="78">
        <v>80000</v>
      </c>
    </row>
    <row r="3040" spans="8:15" ht="15.75" customHeight="1" thickBot="1">
      <c r="H3040" s="882"/>
      <c r="I3040" s="876"/>
      <c r="J3040" s="878"/>
      <c r="K3040" s="880"/>
      <c r="L3040" s="882"/>
      <c r="M3040" s="884"/>
      <c r="N3040" s="56">
        <v>721</v>
      </c>
      <c r="O3040" s="79">
        <f>+M3039-O3039</f>
        <v>0</v>
      </c>
    </row>
    <row r="3041" spans="8:15" ht="15" customHeight="1">
      <c r="H3041" s="881">
        <v>326</v>
      </c>
      <c r="I3041" s="875">
        <v>42692</v>
      </c>
      <c r="J3041" s="877" t="s">
        <v>120</v>
      </c>
      <c r="K3041" s="879" t="s">
        <v>1209</v>
      </c>
      <c r="L3041" s="881" t="s">
        <v>115</v>
      </c>
      <c r="M3041" s="883">
        <v>110000</v>
      </c>
      <c r="N3041" s="55">
        <v>719</v>
      </c>
      <c r="O3041" s="78">
        <v>110000</v>
      </c>
    </row>
    <row r="3042" spans="8:15" ht="15.75" customHeight="1" thickBot="1">
      <c r="H3042" s="882"/>
      <c r="I3042" s="876"/>
      <c r="J3042" s="878"/>
      <c r="K3042" s="880"/>
      <c r="L3042" s="882"/>
      <c r="M3042" s="884"/>
      <c r="N3042" s="56">
        <v>721</v>
      </c>
      <c r="O3042" s="79">
        <f>+M3041-O3041</f>
        <v>0</v>
      </c>
    </row>
    <row r="3043" spans="8:15">
      <c r="H3043" s="881"/>
      <c r="I3043" s="875"/>
      <c r="J3043" s="877"/>
      <c r="K3043" s="879"/>
      <c r="L3043" s="881"/>
      <c r="M3043" s="883"/>
      <c r="N3043" s="55">
        <v>719</v>
      </c>
      <c r="O3043" s="78">
        <v>0</v>
      </c>
    </row>
    <row r="3044" spans="8:15" ht="15.75" thickBot="1">
      <c r="H3044" s="882"/>
      <c r="I3044" s="876"/>
      <c r="J3044" s="878"/>
      <c r="K3044" s="880"/>
      <c r="L3044" s="882"/>
      <c r="M3044" s="884"/>
      <c r="N3044" s="56">
        <v>721</v>
      </c>
      <c r="O3044" s="79">
        <f>+M3043-O3043</f>
        <v>0</v>
      </c>
    </row>
    <row r="3045" spans="8:15">
      <c r="H3045" s="881"/>
      <c r="I3045" s="875"/>
      <c r="J3045" s="877"/>
      <c r="K3045" s="879"/>
      <c r="L3045" s="881"/>
      <c r="M3045" s="883"/>
      <c r="N3045" s="55">
        <v>719</v>
      </c>
      <c r="O3045" s="78"/>
    </row>
    <row r="3046" spans="8:15" ht="15.75" thickBot="1">
      <c r="H3046" s="882"/>
      <c r="I3046" s="876"/>
      <c r="J3046" s="878"/>
      <c r="K3046" s="880"/>
      <c r="L3046" s="882"/>
      <c r="M3046" s="884"/>
      <c r="N3046" s="56">
        <v>721</v>
      </c>
      <c r="O3046" s="79">
        <f>+M3045-O3045</f>
        <v>0</v>
      </c>
    </row>
    <row r="3047" spans="8:15" ht="16.5" thickBot="1">
      <c r="H3047" s="901" t="s">
        <v>102</v>
      </c>
      <c r="I3047" s="902"/>
      <c r="J3047" s="902"/>
      <c r="K3047" s="902"/>
      <c r="L3047" s="903"/>
      <c r="M3047" s="81">
        <f>SUM(M3037:M3046)</f>
        <v>260000</v>
      </c>
    </row>
    <row r="3048" spans="8:15" ht="16.5" thickBot="1">
      <c r="H3048" s="885" t="s">
        <v>103</v>
      </c>
      <c r="I3048" s="886"/>
      <c r="J3048" s="886"/>
      <c r="K3048" s="886"/>
      <c r="L3048" s="887"/>
      <c r="M3048" s="69">
        <f>+M3012</f>
        <v>191581509</v>
      </c>
      <c r="N3048" s="241" t="s">
        <v>561</v>
      </c>
      <c r="O3048" s="242">
        <f>235+115+352</f>
        <v>702</v>
      </c>
    </row>
    <row r="3049" spans="8:15" ht="16.5" thickBot="1">
      <c r="H3049" s="888" t="s">
        <v>104</v>
      </c>
      <c r="I3049" s="889"/>
      <c r="J3049" s="889"/>
      <c r="K3049" s="889"/>
      <c r="L3049" s="890"/>
      <c r="M3049" s="183">
        <f>SUM(M3047:M3048)</f>
        <v>191841509</v>
      </c>
    </row>
    <row r="3050" spans="8:15">
      <c r="H3050" s="61"/>
      <c r="I3050" s="61"/>
      <c r="J3050" s="61"/>
      <c r="K3050" s="61"/>
      <c r="L3050" s="61"/>
    </row>
    <row r="3051" spans="8:15">
      <c r="H3051" s="51" t="s">
        <v>1210</v>
      </c>
    </row>
    <row r="3052" spans="8:15" ht="11.25" customHeight="1">
      <c r="M3052" s="139"/>
    </row>
    <row r="3053" spans="8:15">
      <c r="H3053" s="50" t="s">
        <v>105</v>
      </c>
      <c r="K3053" s="146"/>
      <c r="M3053" s="139"/>
    </row>
    <row r="3054" spans="8:15" ht="13.5" customHeight="1" thickBot="1"/>
    <row r="3055" spans="8:15" ht="15.75" thickBot="1">
      <c r="H3055" s="891" t="s">
        <v>106</v>
      </c>
      <c r="I3055" s="892"/>
      <c r="J3055" s="892"/>
      <c r="K3055" s="893"/>
      <c r="M3055" s="50" t="s">
        <v>1126</v>
      </c>
    </row>
    <row r="3056" spans="8:15" ht="30.75" thickBot="1">
      <c r="H3056" s="57" t="s">
        <v>100</v>
      </c>
      <c r="I3056" s="58" t="s">
        <v>108</v>
      </c>
      <c r="J3056" s="287" t="s">
        <v>109</v>
      </c>
      <c r="K3056" s="60" t="s">
        <v>110</v>
      </c>
    </row>
    <row r="3057" spans="8:15">
      <c r="H3057" s="71">
        <v>719</v>
      </c>
      <c r="I3057" s="73">
        <f>+O3037+O3039+O3041+O3043</f>
        <v>260000</v>
      </c>
      <c r="J3057" s="74">
        <f>+K3020</f>
        <v>34900000</v>
      </c>
      <c r="K3057" s="195">
        <f>+I3057+J3057</f>
        <v>35160000</v>
      </c>
    </row>
    <row r="3058" spans="8:15">
      <c r="H3058" s="72">
        <v>721</v>
      </c>
      <c r="I3058" s="80">
        <f>+O3038+O3040+O3042+O3044+O3046</f>
        <v>0</v>
      </c>
      <c r="J3058" s="74">
        <f>+K3021</f>
        <v>166826546</v>
      </c>
      <c r="K3058" s="195">
        <f>+I3058+J3058</f>
        <v>166826546</v>
      </c>
    </row>
    <row r="3059" spans="8:15">
      <c r="H3059" s="72">
        <v>722</v>
      </c>
      <c r="I3059" s="80"/>
      <c r="J3059" s="74">
        <f>+K3022</f>
        <v>5580000</v>
      </c>
      <c r="K3059" s="195">
        <f>+I3059+J3059</f>
        <v>5580000</v>
      </c>
    </row>
    <row r="3060" spans="8:15" ht="15.75">
      <c r="H3060" s="72">
        <v>723</v>
      </c>
      <c r="I3060" s="80"/>
      <c r="J3060" s="74">
        <f>+K3023</f>
        <v>0</v>
      </c>
      <c r="K3060" s="195">
        <f>+I3060+J3060</f>
        <v>0</v>
      </c>
      <c r="M3060" s="193" t="s">
        <v>1028</v>
      </c>
      <c r="N3060" s="175"/>
    </row>
    <row r="3061" spans="8:15" ht="16.5" thickBot="1">
      <c r="H3061" s="164" t="s">
        <v>1077</v>
      </c>
      <c r="I3061" s="165"/>
      <c r="J3061" s="74">
        <f>+K3024</f>
        <v>797500</v>
      </c>
      <c r="K3061" s="196">
        <f>+I3061+J3061</f>
        <v>797500</v>
      </c>
      <c r="M3061" s="52"/>
    </row>
    <row r="3062" spans="8:15" ht="16.5" thickBot="1">
      <c r="H3062" s="169"/>
      <c r="I3062" s="197">
        <f>SUM(I3057:I3061)</f>
        <v>260000</v>
      </c>
      <c r="J3062" s="197">
        <f>SUM(J3057:J3061)</f>
        <v>208104046</v>
      </c>
      <c r="K3062" s="198">
        <f>SUM(K3057:K3061)</f>
        <v>208364046</v>
      </c>
    </row>
    <row r="3063" spans="8:15" ht="16.5">
      <c r="H3063" s="49" t="s">
        <v>88</v>
      </c>
      <c r="I3063" s="50"/>
    </row>
    <row r="3064" spans="8:15">
      <c r="H3064" s="51" t="s">
        <v>89</v>
      </c>
    </row>
    <row r="3065" spans="8:15">
      <c r="H3065" s="51" t="s">
        <v>90</v>
      </c>
    </row>
    <row r="3066" spans="8:15">
      <c r="H3066" s="51" t="s">
        <v>91</v>
      </c>
    </row>
    <row r="3067" spans="8:15" ht="11.25" customHeight="1">
      <c r="H3067" s="50"/>
      <c r="I3067" s="50"/>
    </row>
    <row r="3068" spans="8:15" ht="15.75">
      <c r="H3068" s="260" t="s">
        <v>1217</v>
      </c>
      <c r="N3068" s="52"/>
    </row>
    <row r="3069" spans="8:15" ht="15.75">
      <c r="H3069" s="53" t="s">
        <v>535</v>
      </c>
      <c r="N3069" s="53"/>
    </row>
    <row r="3070" spans="8:15" ht="16.5">
      <c r="H3070" s="894" t="s">
        <v>909</v>
      </c>
      <c r="I3070" s="894"/>
      <c r="J3070" s="894"/>
      <c r="K3070" s="894"/>
      <c r="L3070" s="894"/>
      <c r="M3070" s="894"/>
      <c r="N3070" s="894"/>
      <c r="O3070" s="894"/>
    </row>
    <row r="3071" spans="8:15" ht="15.75" thickBot="1"/>
    <row r="3072" spans="8:15">
      <c r="H3072" s="895" t="s">
        <v>94</v>
      </c>
      <c r="I3072" s="897" t="s">
        <v>95</v>
      </c>
      <c r="J3072" s="897" t="s">
        <v>96</v>
      </c>
      <c r="K3072" s="897" t="s">
        <v>3</v>
      </c>
      <c r="L3072" s="897" t="s">
        <v>97</v>
      </c>
      <c r="M3072" s="897" t="s">
        <v>98</v>
      </c>
      <c r="N3072" s="897" t="s">
        <v>99</v>
      </c>
      <c r="O3072" s="899"/>
    </row>
    <row r="3073" spans="8:15" ht="15.75" thickBot="1">
      <c r="H3073" s="896"/>
      <c r="I3073" s="898"/>
      <c r="J3073" s="898"/>
      <c r="K3073" s="898"/>
      <c r="L3073" s="898"/>
      <c r="M3073" s="898"/>
      <c r="N3073" s="240" t="s">
        <v>100</v>
      </c>
      <c r="O3073" s="182" t="s">
        <v>101</v>
      </c>
    </row>
    <row r="3074" spans="8:15">
      <c r="H3074" s="881">
        <v>327</v>
      </c>
      <c r="I3074" s="875">
        <v>42703</v>
      </c>
      <c r="J3074" s="877" t="s">
        <v>1014</v>
      </c>
      <c r="K3074" s="879" t="s">
        <v>1218</v>
      </c>
      <c r="L3074" s="881" t="s">
        <v>115</v>
      </c>
      <c r="M3074" s="883">
        <v>50000</v>
      </c>
      <c r="N3074" s="55">
        <v>719</v>
      </c>
      <c r="O3074" s="78">
        <v>50000</v>
      </c>
    </row>
    <row r="3075" spans="8:15" ht="15.75" thickBot="1">
      <c r="H3075" s="882"/>
      <c r="I3075" s="876"/>
      <c r="J3075" s="878"/>
      <c r="K3075" s="880"/>
      <c r="L3075" s="882"/>
      <c r="M3075" s="884"/>
      <c r="N3075" s="56">
        <v>721</v>
      </c>
      <c r="O3075" s="79">
        <f>+M3074-O3074</f>
        <v>0</v>
      </c>
    </row>
    <row r="3076" spans="8:15" ht="15" customHeight="1">
      <c r="H3076" s="881">
        <v>328</v>
      </c>
      <c r="I3076" s="875">
        <v>42703</v>
      </c>
      <c r="J3076" s="877" t="s">
        <v>28</v>
      </c>
      <c r="K3076" s="879" t="s">
        <v>1218</v>
      </c>
      <c r="L3076" s="881" t="s">
        <v>115</v>
      </c>
      <c r="M3076" s="883">
        <v>50000</v>
      </c>
      <c r="N3076" s="55">
        <v>719</v>
      </c>
      <c r="O3076" s="78">
        <v>50000</v>
      </c>
    </row>
    <row r="3077" spans="8:15" ht="15.75" customHeight="1" thickBot="1">
      <c r="H3077" s="882"/>
      <c r="I3077" s="876"/>
      <c r="J3077" s="878"/>
      <c r="K3077" s="880"/>
      <c r="L3077" s="882"/>
      <c r="M3077" s="884"/>
      <c r="N3077" s="56">
        <v>721</v>
      </c>
      <c r="O3077" s="79">
        <f>+M3076-O3076</f>
        <v>0</v>
      </c>
    </row>
    <row r="3078" spans="8:15" ht="15" customHeight="1">
      <c r="H3078" s="881">
        <v>329</v>
      </c>
      <c r="I3078" s="875">
        <v>42703</v>
      </c>
      <c r="J3078" s="877" t="s">
        <v>120</v>
      </c>
      <c r="K3078" s="879" t="s">
        <v>1219</v>
      </c>
      <c r="L3078" s="881" t="s">
        <v>115</v>
      </c>
      <c r="M3078" s="883">
        <v>30000</v>
      </c>
      <c r="N3078" s="55">
        <v>719</v>
      </c>
      <c r="O3078" s="78">
        <v>30000</v>
      </c>
    </row>
    <row r="3079" spans="8:15" ht="15.75" customHeight="1" thickBot="1">
      <c r="H3079" s="882"/>
      <c r="I3079" s="876"/>
      <c r="J3079" s="878"/>
      <c r="K3079" s="880"/>
      <c r="L3079" s="882"/>
      <c r="M3079" s="884"/>
      <c r="N3079" s="56">
        <v>721</v>
      </c>
      <c r="O3079" s="79">
        <f>+M3078-O3078</f>
        <v>0</v>
      </c>
    </row>
    <row r="3080" spans="8:15">
      <c r="H3080" s="881">
        <v>330</v>
      </c>
      <c r="I3080" s="875">
        <v>42703</v>
      </c>
      <c r="J3080" s="877" t="s">
        <v>674</v>
      </c>
      <c r="K3080" s="879" t="s">
        <v>1221</v>
      </c>
      <c r="L3080" s="881" t="s">
        <v>148</v>
      </c>
      <c r="M3080" s="883">
        <v>1350000</v>
      </c>
      <c r="N3080" s="55">
        <v>719</v>
      </c>
      <c r="O3080" s="78">
        <v>0</v>
      </c>
    </row>
    <row r="3081" spans="8:15" ht="15.75" thickBot="1">
      <c r="H3081" s="882"/>
      <c r="I3081" s="876"/>
      <c r="J3081" s="878"/>
      <c r="K3081" s="880"/>
      <c r="L3081" s="882"/>
      <c r="M3081" s="884"/>
      <c r="N3081" s="56">
        <v>723</v>
      </c>
      <c r="O3081" s="79">
        <f>+M3080-O3080</f>
        <v>1350000</v>
      </c>
    </row>
    <row r="3082" spans="8:15">
      <c r="H3082" s="881"/>
      <c r="I3082" s="875"/>
      <c r="J3082" s="877"/>
      <c r="K3082" s="879"/>
      <c r="L3082" s="881"/>
      <c r="M3082" s="883"/>
      <c r="N3082" s="55">
        <v>719</v>
      </c>
      <c r="O3082" s="78"/>
    </row>
    <row r="3083" spans="8:15" ht="15.75" thickBot="1">
      <c r="H3083" s="882"/>
      <c r="I3083" s="876"/>
      <c r="J3083" s="878"/>
      <c r="K3083" s="880"/>
      <c r="L3083" s="882"/>
      <c r="M3083" s="884"/>
      <c r="N3083" s="56">
        <v>721</v>
      </c>
      <c r="O3083" s="79">
        <f>+M3082-O3082</f>
        <v>0</v>
      </c>
    </row>
    <row r="3084" spans="8:15" ht="16.5" thickBot="1">
      <c r="H3084" s="901" t="s">
        <v>102</v>
      </c>
      <c r="I3084" s="902"/>
      <c r="J3084" s="902"/>
      <c r="K3084" s="902"/>
      <c r="L3084" s="903"/>
      <c r="M3084" s="81">
        <f>SUM(M3074:M3083)</f>
        <v>1480000</v>
      </c>
    </row>
    <row r="3085" spans="8:15" ht="16.5" thickBot="1">
      <c r="H3085" s="885" t="s">
        <v>103</v>
      </c>
      <c r="I3085" s="886"/>
      <c r="J3085" s="886"/>
      <c r="K3085" s="886"/>
      <c r="L3085" s="887"/>
      <c r="M3085" s="69">
        <f>+M3049</f>
        <v>191841509</v>
      </c>
      <c r="N3085" s="241" t="s">
        <v>561</v>
      </c>
      <c r="O3085" s="242">
        <f>48+92+184</f>
        <v>324</v>
      </c>
    </row>
    <row r="3086" spans="8:15" ht="16.5" thickBot="1">
      <c r="H3086" s="888" t="s">
        <v>104</v>
      </c>
      <c r="I3086" s="889"/>
      <c r="J3086" s="889"/>
      <c r="K3086" s="889"/>
      <c r="L3086" s="890"/>
      <c r="M3086" s="183">
        <f>SUM(M3084:M3085)</f>
        <v>193321509</v>
      </c>
    </row>
    <row r="3087" spans="8:15" ht="12" customHeight="1">
      <c r="H3087" s="61"/>
      <c r="I3087" s="61"/>
      <c r="J3087" s="61"/>
      <c r="K3087" s="61"/>
      <c r="L3087" s="61"/>
    </row>
    <row r="3088" spans="8:15">
      <c r="H3088" s="51" t="s">
        <v>1220</v>
      </c>
    </row>
    <row r="3089" spans="8:14" ht="12" customHeight="1">
      <c r="M3089" s="139"/>
    </row>
    <row r="3090" spans="8:14">
      <c r="H3090" s="50" t="s">
        <v>105</v>
      </c>
      <c r="K3090" s="146"/>
      <c r="M3090" s="139"/>
    </row>
    <row r="3091" spans="8:14" ht="12.75" customHeight="1" thickBot="1"/>
    <row r="3092" spans="8:14" ht="15.75" thickBot="1">
      <c r="H3092" s="891" t="s">
        <v>106</v>
      </c>
      <c r="I3092" s="892"/>
      <c r="J3092" s="892"/>
      <c r="K3092" s="893"/>
      <c r="M3092" s="50" t="s">
        <v>288</v>
      </c>
    </row>
    <row r="3093" spans="8:14" ht="30.75" thickBot="1">
      <c r="H3093" s="57" t="s">
        <v>100</v>
      </c>
      <c r="I3093" s="58" t="s">
        <v>108</v>
      </c>
      <c r="J3093" s="287" t="s">
        <v>109</v>
      </c>
      <c r="K3093" s="60" t="s">
        <v>110</v>
      </c>
    </row>
    <row r="3094" spans="8:14">
      <c r="H3094" s="71">
        <v>719</v>
      </c>
      <c r="I3094" s="73">
        <f>+O3074+O3076+O3078+O3080</f>
        <v>130000</v>
      </c>
      <c r="J3094" s="74">
        <f>+K3057</f>
        <v>35160000</v>
      </c>
      <c r="K3094" s="195">
        <f>+I3094+J3094</f>
        <v>35290000</v>
      </c>
    </row>
    <row r="3095" spans="8:14">
      <c r="H3095" s="72">
        <v>721</v>
      </c>
      <c r="I3095" s="80"/>
      <c r="J3095" s="74">
        <f>+K3058</f>
        <v>166826546</v>
      </c>
      <c r="K3095" s="195">
        <f>+I3095+J3095</f>
        <v>166826546</v>
      </c>
    </row>
    <row r="3096" spans="8:14">
      <c r="H3096" s="72">
        <v>722</v>
      </c>
      <c r="I3096" s="80"/>
      <c r="J3096" s="74">
        <f>+K3059</f>
        <v>5580000</v>
      </c>
      <c r="K3096" s="195">
        <f>+I3096+J3096</f>
        <v>5580000</v>
      </c>
    </row>
    <row r="3097" spans="8:14" ht="15.75">
      <c r="H3097" s="72">
        <v>723</v>
      </c>
      <c r="I3097" s="80">
        <f>+O3081</f>
        <v>1350000</v>
      </c>
      <c r="J3097" s="74">
        <f>+K3060</f>
        <v>0</v>
      </c>
      <c r="K3097" s="195">
        <f>+I3097+J3097</f>
        <v>1350000</v>
      </c>
      <c r="M3097" s="193" t="s">
        <v>289</v>
      </c>
      <c r="N3097" s="175"/>
    </row>
    <row r="3098" spans="8:14" ht="16.5" thickBot="1">
      <c r="H3098" s="164" t="s">
        <v>1077</v>
      </c>
      <c r="I3098" s="165"/>
      <c r="J3098" s="74">
        <f>+K3061</f>
        <v>797500</v>
      </c>
      <c r="K3098" s="196">
        <f>+I3098+J3098</f>
        <v>797500</v>
      </c>
      <c r="M3098" s="52"/>
    </row>
    <row r="3099" spans="8:14" ht="16.5" thickBot="1">
      <c r="H3099" s="169"/>
      <c r="I3099" s="197">
        <f>SUM(I3094:I3098)</f>
        <v>1480000</v>
      </c>
      <c r="J3099" s="197">
        <f>SUM(J3094:J3098)</f>
        <v>208364046</v>
      </c>
      <c r="K3099" s="198">
        <f>SUM(K3094:K3098)</f>
        <v>209844046</v>
      </c>
    </row>
    <row r="3100" spans="8:14" ht="16.5">
      <c r="H3100" s="49" t="s">
        <v>88</v>
      </c>
      <c r="I3100" s="50"/>
    </row>
    <row r="3101" spans="8:14">
      <c r="H3101" s="51" t="s">
        <v>89</v>
      </c>
    </row>
    <row r="3102" spans="8:14">
      <c r="H3102" s="51" t="s">
        <v>90</v>
      </c>
    </row>
    <row r="3103" spans="8:14">
      <c r="H3103" s="51" t="s">
        <v>91</v>
      </c>
    </row>
    <row r="3104" spans="8:14" ht="12" customHeight="1">
      <c r="H3104" s="50"/>
      <c r="I3104" s="50"/>
    </row>
    <row r="3105" spans="8:15" ht="15.75">
      <c r="H3105" s="260" t="s">
        <v>1222</v>
      </c>
      <c r="N3105" s="52"/>
    </row>
    <row r="3106" spans="8:15" ht="15.75">
      <c r="H3106" s="53" t="s">
        <v>535</v>
      </c>
      <c r="N3106" s="53"/>
    </row>
    <row r="3107" spans="8:15" ht="16.5">
      <c r="H3107" s="894" t="s">
        <v>170</v>
      </c>
      <c r="I3107" s="894"/>
      <c r="J3107" s="894"/>
      <c r="K3107" s="894"/>
      <c r="L3107" s="894"/>
      <c r="M3107" s="894"/>
      <c r="N3107" s="894"/>
      <c r="O3107" s="894"/>
    </row>
    <row r="3108" spans="8:15" ht="15.75" thickBot="1"/>
    <row r="3109" spans="8:15">
      <c r="H3109" s="895" t="s">
        <v>94</v>
      </c>
      <c r="I3109" s="897" t="s">
        <v>95</v>
      </c>
      <c r="J3109" s="897" t="s">
        <v>96</v>
      </c>
      <c r="K3109" s="897" t="s">
        <v>3</v>
      </c>
      <c r="L3109" s="897" t="s">
        <v>97</v>
      </c>
      <c r="M3109" s="897" t="s">
        <v>98</v>
      </c>
      <c r="N3109" s="897" t="s">
        <v>99</v>
      </c>
      <c r="O3109" s="899"/>
    </row>
    <row r="3110" spans="8:15" ht="15.75" thickBot="1">
      <c r="H3110" s="896"/>
      <c r="I3110" s="898"/>
      <c r="J3110" s="898"/>
      <c r="K3110" s="898"/>
      <c r="L3110" s="898"/>
      <c r="M3110" s="898"/>
      <c r="N3110" s="240" t="s">
        <v>100</v>
      </c>
      <c r="O3110" s="182" t="s">
        <v>101</v>
      </c>
    </row>
    <row r="3111" spans="8:15">
      <c r="H3111" s="881">
        <v>331</v>
      </c>
      <c r="I3111" s="875">
        <v>42704</v>
      </c>
      <c r="J3111" s="877" t="s">
        <v>1014</v>
      </c>
      <c r="K3111" s="879" t="s">
        <v>1224</v>
      </c>
      <c r="L3111" s="881" t="s">
        <v>115</v>
      </c>
      <c r="M3111" s="883">
        <v>70000</v>
      </c>
      <c r="N3111" s="55">
        <v>719</v>
      </c>
      <c r="O3111" s="78">
        <v>70000</v>
      </c>
    </row>
    <row r="3112" spans="8:15" ht="15.75" thickBot="1">
      <c r="H3112" s="882"/>
      <c r="I3112" s="876"/>
      <c r="J3112" s="878"/>
      <c r="K3112" s="880"/>
      <c r="L3112" s="882"/>
      <c r="M3112" s="884"/>
      <c r="N3112" s="56">
        <v>721</v>
      </c>
      <c r="O3112" s="79">
        <f>+M3111-O3111</f>
        <v>0</v>
      </c>
    </row>
    <row r="3113" spans="8:15" ht="15" customHeight="1">
      <c r="H3113" s="881">
        <v>332</v>
      </c>
      <c r="I3113" s="875">
        <v>42704</v>
      </c>
      <c r="J3113" s="877" t="s">
        <v>28</v>
      </c>
      <c r="K3113" s="879" t="s">
        <v>1224</v>
      </c>
      <c r="L3113" s="881" t="s">
        <v>115</v>
      </c>
      <c r="M3113" s="883">
        <v>70000</v>
      </c>
      <c r="N3113" s="55">
        <v>719</v>
      </c>
      <c r="O3113" s="78">
        <v>70000</v>
      </c>
    </row>
    <row r="3114" spans="8:15" ht="15.75" customHeight="1" thickBot="1">
      <c r="H3114" s="882"/>
      <c r="I3114" s="876"/>
      <c r="J3114" s="878"/>
      <c r="K3114" s="880"/>
      <c r="L3114" s="882"/>
      <c r="M3114" s="884"/>
      <c r="N3114" s="56">
        <v>721</v>
      </c>
      <c r="O3114" s="79">
        <f>+M3113-O3113</f>
        <v>0</v>
      </c>
    </row>
    <row r="3115" spans="8:15" ht="15" customHeight="1">
      <c r="H3115" s="881">
        <v>333</v>
      </c>
      <c r="I3115" s="875">
        <v>42704</v>
      </c>
      <c r="J3115" s="877" t="s">
        <v>120</v>
      </c>
      <c r="K3115" s="879" t="s">
        <v>1224</v>
      </c>
      <c r="L3115" s="881" t="s">
        <v>115</v>
      </c>
      <c r="M3115" s="883">
        <v>110000</v>
      </c>
      <c r="N3115" s="55">
        <v>719</v>
      </c>
      <c r="O3115" s="78">
        <v>110000</v>
      </c>
    </row>
    <row r="3116" spans="8:15" ht="15.75" customHeight="1" thickBot="1">
      <c r="H3116" s="882"/>
      <c r="I3116" s="876"/>
      <c r="J3116" s="878"/>
      <c r="K3116" s="880"/>
      <c r="L3116" s="882"/>
      <c r="M3116" s="884"/>
      <c r="N3116" s="56">
        <v>721</v>
      </c>
      <c r="O3116" s="79">
        <f>+M3115-O3115</f>
        <v>0</v>
      </c>
    </row>
    <row r="3117" spans="8:15" ht="15" customHeight="1">
      <c r="H3117" s="881"/>
      <c r="I3117" s="875"/>
      <c r="J3117" s="877"/>
      <c r="K3117" s="879"/>
      <c r="L3117" s="881"/>
      <c r="M3117" s="883"/>
      <c r="N3117" s="55"/>
      <c r="O3117" s="78"/>
    </row>
    <row r="3118" spans="8:15" ht="15.75" customHeight="1" thickBot="1">
      <c r="H3118" s="882"/>
      <c r="I3118" s="876"/>
      <c r="J3118" s="878"/>
      <c r="K3118" s="880"/>
      <c r="L3118" s="882"/>
      <c r="M3118" s="884"/>
      <c r="N3118" s="56"/>
      <c r="O3118" s="79"/>
    </row>
    <row r="3119" spans="8:15" ht="14.25" customHeight="1">
      <c r="H3119" s="881"/>
      <c r="I3119" s="875"/>
      <c r="J3119" s="877"/>
      <c r="K3119" s="879"/>
      <c r="L3119" s="881"/>
      <c r="M3119" s="883"/>
      <c r="N3119" s="55">
        <v>719</v>
      </c>
      <c r="O3119" s="78"/>
    </row>
    <row r="3120" spans="8:15" ht="13.5" customHeight="1" thickBot="1">
      <c r="H3120" s="882"/>
      <c r="I3120" s="876"/>
      <c r="J3120" s="878"/>
      <c r="K3120" s="880"/>
      <c r="L3120" s="882"/>
      <c r="M3120" s="884"/>
      <c r="N3120" s="56">
        <v>721</v>
      </c>
      <c r="O3120" s="79">
        <f>+M3119-O3119</f>
        <v>0</v>
      </c>
    </row>
    <row r="3121" spans="8:15" ht="16.5" thickBot="1">
      <c r="H3121" s="901" t="s">
        <v>102</v>
      </c>
      <c r="I3121" s="902"/>
      <c r="J3121" s="902"/>
      <c r="K3121" s="902"/>
      <c r="L3121" s="903"/>
      <c r="M3121" s="81">
        <f>SUM(M3111:M3120)</f>
        <v>250000</v>
      </c>
    </row>
    <row r="3122" spans="8:15" ht="16.5" thickBot="1">
      <c r="H3122" s="885" t="s">
        <v>103</v>
      </c>
      <c r="I3122" s="886"/>
      <c r="J3122" s="886"/>
      <c r="K3122" s="886"/>
      <c r="L3122" s="887"/>
      <c r="M3122" s="69">
        <f>+M3086</f>
        <v>193321509</v>
      </c>
      <c r="N3122" s="241" t="s">
        <v>561</v>
      </c>
      <c r="O3122" s="242">
        <f>158+308+108</f>
        <v>574</v>
      </c>
    </row>
    <row r="3123" spans="8:15" ht="16.5" thickBot="1">
      <c r="H3123" s="888" t="s">
        <v>104</v>
      </c>
      <c r="I3123" s="889"/>
      <c r="J3123" s="889"/>
      <c r="K3123" s="889"/>
      <c r="L3123" s="890"/>
      <c r="M3123" s="183">
        <f>SUM(M3121:M3122)</f>
        <v>193571509</v>
      </c>
    </row>
    <row r="3124" spans="8:15">
      <c r="H3124" s="61"/>
      <c r="I3124" s="61"/>
      <c r="J3124" s="61"/>
      <c r="K3124" s="61"/>
      <c r="L3124" s="61"/>
    </row>
    <row r="3125" spans="8:15">
      <c r="H3125" s="51" t="s">
        <v>1228</v>
      </c>
    </row>
    <row r="3126" spans="8:15" ht="12.75" customHeight="1">
      <c r="M3126" s="139"/>
    </row>
    <row r="3127" spans="8:15">
      <c r="H3127" s="50" t="s">
        <v>105</v>
      </c>
      <c r="K3127" s="146"/>
      <c r="M3127" s="139"/>
    </row>
    <row r="3128" spans="8:15" ht="12.75" customHeight="1" thickBot="1"/>
    <row r="3129" spans="8:15" ht="15.75" thickBot="1">
      <c r="H3129" s="891" t="s">
        <v>106</v>
      </c>
      <c r="I3129" s="892"/>
      <c r="J3129" s="892"/>
      <c r="K3129" s="893"/>
      <c r="M3129" s="50" t="s">
        <v>288</v>
      </c>
    </row>
    <row r="3130" spans="8:15" ht="30.75" thickBot="1">
      <c r="H3130" s="57" t="s">
        <v>100</v>
      </c>
      <c r="I3130" s="58" t="s">
        <v>108</v>
      </c>
      <c r="J3130" s="287" t="s">
        <v>109</v>
      </c>
      <c r="K3130" s="60" t="s">
        <v>110</v>
      </c>
    </row>
    <row r="3131" spans="8:15">
      <c r="H3131" s="71">
        <v>719</v>
      </c>
      <c r="I3131" s="73">
        <f>+O3111+O3113+O3115+O3117</f>
        <v>250000</v>
      </c>
      <c r="J3131" s="74">
        <f>+K3094</f>
        <v>35290000</v>
      </c>
      <c r="K3131" s="195">
        <f>+I3131+J3131</f>
        <v>35540000</v>
      </c>
    </row>
    <row r="3132" spans="8:15">
      <c r="H3132" s="72">
        <v>721</v>
      </c>
      <c r="I3132" s="80"/>
      <c r="J3132" s="74">
        <f>+K3095</f>
        <v>166826546</v>
      </c>
      <c r="K3132" s="195">
        <f>+I3132+J3132</f>
        <v>166826546</v>
      </c>
    </row>
    <row r="3133" spans="8:15">
      <c r="H3133" s="72">
        <v>722</v>
      </c>
      <c r="I3133" s="80"/>
      <c r="J3133" s="74">
        <f>+K3096</f>
        <v>5580000</v>
      </c>
      <c r="K3133" s="195">
        <f>+I3133+J3133</f>
        <v>5580000</v>
      </c>
    </row>
    <row r="3134" spans="8:15" ht="15.75">
      <c r="H3134" s="72">
        <v>723</v>
      </c>
      <c r="I3134" s="80">
        <f>+O3118</f>
        <v>0</v>
      </c>
      <c r="J3134" s="74">
        <f>+K3097</f>
        <v>1350000</v>
      </c>
      <c r="K3134" s="195">
        <f>+I3134+J3134</f>
        <v>1350000</v>
      </c>
      <c r="M3134" s="193" t="s">
        <v>289</v>
      </c>
      <c r="N3134" s="175"/>
    </row>
    <row r="3135" spans="8:15" ht="16.5" thickBot="1">
      <c r="H3135" s="164" t="s">
        <v>1077</v>
      </c>
      <c r="I3135" s="165"/>
      <c r="J3135" s="74">
        <f>+K3098</f>
        <v>797500</v>
      </c>
      <c r="K3135" s="196">
        <f>+I3135+J3135</f>
        <v>797500</v>
      </c>
      <c r="M3135" s="52"/>
    </row>
    <row r="3136" spans="8:15" ht="16.5" thickBot="1">
      <c r="H3136" s="169"/>
      <c r="I3136" s="197">
        <f>SUM(I3131:I3135)</f>
        <v>250000</v>
      </c>
      <c r="J3136" s="197">
        <f>SUM(J3131:J3135)</f>
        <v>209844046</v>
      </c>
      <c r="K3136" s="198">
        <f>SUM(K3131:K3135)</f>
        <v>210094046</v>
      </c>
    </row>
    <row r="3137" spans="8:15" ht="16.5">
      <c r="H3137" s="49" t="s">
        <v>88</v>
      </c>
      <c r="I3137" s="50"/>
    </row>
    <row r="3138" spans="8:15">
      <c r="H3138" s="51" t="s">
        <v>89</v>
      </c>
    </row>
    <row r="3139" spans="8:15">
      <c r="H3139" s="51" t="s">
        <v>90</v>
      </c>
    </row>
    <row r="3140" spans="8:15">
      <c r="H3140" s="51" t="s">
        <v>91</v>
      </c>
    </row>
    <row r="3141" spans="8:15" ht="12" customHeight="1">
      <c r="H3141" s="50"/>
      <c r="I3141" s="50"/>
    </row>
    <row r="3142" spans="8:15" ht="15.75">
      <c r="H3142" s="260" t="s">
        <v>1227</v>
      </c>
      <c r="N3142" s="52"/>
    </row>
    <row r="3143" spans="8:15" ht="15.75">
      <c r="H3143" s="53" t="s">
        <v>535</v>
      </c>
      <c r="N3143" s="53"/>
    </row>
    <row r="3144" spans="8:15" ht="16.5">
      <c r="H3144" s="894" t="s">
        <v>1226</v>
      </c>
      <c r="I3144" s="894"/>
      <c r="J3144" s="894"/>
      <c r="K3144" s="894"/>
      <c r="L3144" s="894"/>
      <c r="M3144" s="894"/>
      <c r="N3144" s="894"/>
      <c r="O3144" s="894"/>
    </row>
    <row r="3145" spans="8:15" ht="15.75" thickBot="1"/>
    <row r="3146" spans="8:15">
      <c r="H3146" s="895" t="s">
        <v>94</v>
      </c>
      <c r="I3146" s="897" t="s">
        <v>95</v>
      </c>
      <c r="J3146" s="897" t="s">
        <v>96</v>
      </c>
      <c r="K3146" s="897" t="s">
        <v>3</v>
      </c>
      <c r="L3146" s="897" t="s">
        <v>97</v>
      </c>
      <c r="M3146" s="897" t="s">
        <v>98</v>
      </c>
      <c r="N3146" s="897" t="s">
        <v>99</v>
      </c>
      <c r="O3146" s="899"/>
    </row>
    <row r="3147" spans="8:15" ht="15.75" thickBot="1">
      <c r="H3147" s="896"/>
      <c r="I3147" s="898"/>
      <c r="J3147" s="898"/>
      <c r="K3147" s="898"/>
      <c r="L3147" s="898"/>
      <c r="M3147" s="898"/>
      <c r="N3147" s="240" t="s">
        <v>100</v>
      </c>
      <c r="O3147" s="182" t="s">
        <v>101</v>
      </c>
    </row>
    <row r="3148" spans="8:15">
      <c r="H3148" s="881">
        <v>334</v>
      </c>
      <c r="I3148" s="875">
        <v>42704</v>
      </c>
      <c r="J3148" s="877" t="s">
        <v>267</v>
      </c>
      <c r="K3148" s="879" t="s">
        <v>1233</v>
      </c>
      <c r="L3148" s="881" t="s">
        <v>148</v>
      </c>
      <c r="M3148" s="883">
        <v>65000</v>
      </c>
      <c r="N3148" s="55">
        <v>719</v>
      </c>
      <c r="O3148" s="78">
        <v>50000</v>
      </c>
    </row>
    <row r="3149" spans="8:15" ht="15.75" thickBot="1">
      <c r="H3149" s="882"/>
      <c r="I3149" s="876"/>
      <c r="J3149" s="878"/>
      <c r="K3149" s="880"/>
      <c r="L3149" s="882"/>
      <c r="M3149" s="884"/>
      <c r="N3149" s="56">
        <v>721</v>
      </c>
      <c r="O3149" s="79">
        <f>+M3148-O3148</f>
        <v>15000</v>
      </c>
    </row>
    <row r="3150" spans="8:15" ht="15" customHeight="1">
      <c r="H3150" s="881">
        <v>335</v>
      </c>
      <c r="I3150" s="875">
        <v>42704</v>
      </c>
      <c r="J3150" s="877" t="s">
        <v>28</v>
      </c>
      <c r="K3150" s="879" t="s">
        <v>1234</v>
      </c>
      <c r="L3150" s="881" t="s">
        <v>148</v>
      </c>
      <c r="M3150" s="883">
        <v>390000</v>
      </c>
      <c r="N3150" s="55">
        <v>719</v>
      </c>
      <c r="O3150" s="78">
        <v>300000</v>
      </c>
    </row>
    <row r="3151" spans="8:15" ht="15.75" customHeight="1" thickBot="1">
      <c r="H3151" s="882"/>
      <c r="I3151" s="876"/>
      <c r="J3151" s="878"/>
      <c r="K3151" s="880"/>
      <c r="L3151" s="882"/>
      <c r="M3151" s="884"/>
      <c r="N3151" s="56">
        <v>721</v>
      </c>
      <c r="O3151" s="79">
        <f>+M3150-O3150</f>
        <v>90000</v>
      </c>
    </row>
    <row r="3152" spans="8:15" ht="15" customHeight="1">
      <c r="H3152" s="881">
        <v>336</v>
      </c>
      <c r="I3152" s="875">
        <v>42704</v>
      </c>
      <c r="J3152" s="877" t="s">
        <v>111</v>
      </c>
      <c r="K3152" s="879" t="s">
        <v>1232</v>
      </c>
      <c r="L3152" s="881" t="s">
        <v>148</v>
      </c>
      <c r="M3152" s="883">
        <v>104000</v>
      </c>
      <c r="N3152" s="55">
        <v>719</v>
      </c>
      <c r="O3152" s="78">
        <v>80000</v>
      </c>
    </row>
    <row r="3153" spans="8:15" ht="15.75" customHeight="1" thickBot="1">
      <c r="H3153" s="882"/>
      <c r="I3153" s="876"/>
      <c r="J3153" s="878"/>
      <c r="K3153" s="880"/>
      <c r="L3153" s="882"/>
      <c r="M3153" s="884"/>
      <c r="N3153" s="56">
        <v>721</v>
      </c>
      <c r="O3153" s="79">
        <f>+M3152-O3152</f>
        <v>24000</v>
      </c>
    </row>
    <row r="3154" spans="8:15" ht="15" customHeight="1">
      <c r="H3154" s="881">
        <v>337</v>
      </c>
      <c r="I3154" s="875">
        <v>42704</v>
      </c>
      <c r="J3154" s="877" t="s">
        <v>1014</v>
      </c>
      <c r="K3154" s="879" t="s">
        <v>1231</v>
      </c>
      <c r="L3154" s="881" t="s">
        <v>148</v>
      </c>
      <c r="M3154" s="883">
        <v>676000</v>
      </c>
      <c r="N3154" s="55">
        <v>719</v>
      </c>
      <c r="O3154" s="78">
        <v>520000</v>
      </c>
    </row>
    <row r="3155" spans="8:15" ht="15.75" customHeight="1" thickBot="1">
      <c r="H3155" s="882"/>
      <c r="I3155" s="876"/>
      <c r="J3155" s="878"/>
      <c r="K3155" s="880"/>
      <c r="L3155" s="882"/>
      <c r="M3155" s="884"/>
      <c r="N3155" s="56">
        <v>721</v>
      </c>
      <c r="O3155" s="79">
        <f>+M3154-O3154</f>
        <v>156000</v>
      </c>
    </row>
    <row r="3156" spans="8:15" ht="15" customHeight="1">
      <c r="H3156" s="881">
        <v>338</v>
      </c>
      <c r="I3156" s="875">
        <v>42704</v>
      </c>
      <c r="J3156" s="877" t="s">
        <v>1223</v>
      </c>
      <c r="K3156" s="879" t="s">
        <v>1225</v>
      </c>
      <c r="L3156" s="881" t="s">
        <v>148</v>
      </c>
      <c r="M3156" s="883">
        <v>6240000</v>
      </c>
      <c r="N3156" s="55">
        <v>719</v>
      </c>
      <c r="O3156" s="78">
        <v>0</v>
      </c>
    </row>
    <row r="3157" spans="8:15" ht="15.75" customHeight="1" thickBot="1">
      <c r="H3157" s="882"/>
      <c r="I3157" s="876"/>
      <c r="J3157" s="878"/>
      <c r="K3157" s="880"/>
      <c r="L3157" s="882"/>
      <c r="M3157" s="884"/>
      <c r="N3157" s="56">
        <v>723</v>
      </c>
      <c r="O3157" s="79">
        <f>+M3156-O3156</f>
        <v>6240000</v>
      </c>
    </row>
    <row r="3158" spans="8:15" ht="16.5" thickBot="1">
      <c r="H3158" s="901" t="s">
        <v>102</v>
      </c>
      <c r="I3158" s="902"/>
      <c r="J3158" s="902"/>
      <c r="K3158" s="902"/>
      <c r="L3158" s="903"/>
      <c r="M3158" s="81">
        <f>SUM(M3148:M3157)</f>
        <v>7475000</v>
      </c>
    </row>
    <row r="3159" spans="8:15" ht="16.5" thickBot="1">
      <c r="H3159" s="885" t="s">
        <v>103</v>
      </c>
      <c r="I3159" s="886"/>
      <c r="J3159" s="886"/>
      <c r="K3159" s="886"/>
      <c r="L3159" s="887"/>
      <c r="M3159" s="69">
        <f>+M3123</f>
        <v>193571509</v>
      </c>
      <c r="N3159" s="241" t="s">
        <v>561</v>
      </c>
      <c r="O3159" s="242">
        <f>33+37+514+915</f>
        <v>1499</v>
      </c>
    </row>
    <row r="3160" spans="8:15" ht="16.5" thickBot="1">
      <c r="H3160" s="888" t="s">
        <v>104</v>
      </c>
      <c r="I3160" s="889"/>
      <c r="J3160" s="889"/>
      <c r="K3160" s="889"/>
      <c r="L3160" s="890"/>
      <c r="M3160" s="183">
        <f>SUM(M3158:M3159)</f>
        <v>201046509</v>
      </c>
    </row>
    <row r="3161" spans="8:15" ht="12.75" customHeight="1">
      <c r="H3161" s="61"/>
      <c r="I3161" s="61"/>
      <c r="J3161" s="61"/>
      <c r="K3161" s="61"/>
      <c r="L3161" s="61"/>
    </row>
    <row r="3162" spans="8:15">
      <c r="H3162" s="51" t="s">
        <v>1230</v>
      </c>
    </row>
    <row r="3163" spans="8:15" ht="13.5" customHeight="1">
      <c r="M3163" s="139"/>
    </row>
    <row r="3164" spans="8:15">
      <c r="H3164" s="50" t="s">
        <v>105</v>
      </c>
      <c r="K3164" s="146"/>
      <c r="M3164" s="139"/>
    </row>
    <row r="3165" spans="8:15" ht="13.5" customHeight="1" thickBot="1"/>
    <row r="3166" spans="8:15" ht="15.75" thickBot="1">
      <c r="H3166" s="891" t="s">
        <v>106</v>
      </c>
      <c r="I3166" s="892"/>
      <c r="J3166" s="892"/>
      <c r="K3166" s="893"/>
      <c r="M3166" s="50" t="s">
        <v>288</v>
      </c>
    </row>
    <row r="3167" spans="8:15" ht="30.75" thickBot="1">
      <c r="H3167" s="57" t="s">
        <v>100</v>
      </c>
      <c r="I3167" s="58" t="s">
        <v>108</v>
      </c>
      <c r="J3167" s="287" t="s">
        <v>109</v>
      </c>
      <c r="K3167" s="60" t="s">
        <v>110</v>
      </c>
    </row>
    <row r="3168" spans="8:15">
      <c r="H3168" s="71">
        <v>719</v>
      </c>
      <c r="I3168" s="73">
        <f>+O3148+O3150+O3152+O3154</f>
        <v>950000</v>
      </c>
      <c r="J3168" s="74">
        <f>+K3131</f>
        <v>35540000</v>
      </c>
      <c r="K3168" s="195">
        <f>+I3168+J3168</f>
        <v>36490000</v>
      </c>
    </row>
    <row r="3169" spans="8:15">
      <c r="H3169" s="72">
        <v>721</v>
      </c>
      <c r="I3169" s="80">
        <f>+O3155+O3153+O3151+O3149</f>
        <v>285000</v>
      </c>
      <c r="J3169" s="74">
        <f>+K3132</f>
        <v>166826546</v>
      </c>
      <c r="K3169" s="195">
        <f>+I3169+J3169</f>
        <v>167111546</v>
      </c>
    </row>
    <row r="3170" spans="8:15">
      <c r="H3170" s="72">
        <v>722</v>
      </c>
      <c r="I3170" s="80"/>
      <c r="J3170" s="74">
        <f>+K3133</f>
        <v>5580000</v>
      </c>
      <c r="K3170" s="195">
        <f>+I3170+J3170</f>
        <v>5580000</v>
      </c>
    </row>
    <row r="3171" spans="8:15" ht="15.75">
      <c r="H3171" s="72">
        <v>723</v>
      </c>
      <c r="I3171" s="80">
        <f>+O3157</f>
        <v>6240000</v>
      </c>
      <c r="J3171" s="74">
        <f>+K3134</f>
        <v>1350000</v>
      </c>
      <c r="K3171" s="195">
        <f>+I3171+J3171</f>
        <v>7590000</v>
      </c>
      <c r="M3171" s="193" t="s">
        <v>289</v>
      </c>
      <c r="N3171" s="175"/>
    </row>
    <row r="3172" spans="8:15" ht="16.5" thickBot="1">
      <c r="H3172" s="164" t="s">
        <v>1077</v>
      </c>
      <c r="I3172" s="165"/>
      <c r="J3172" s="74">
        <f>+K3135</f>
        <v>797500</v>
      </c>
      <c r="K3172" s="196">
        <f>+I3172+J3172</f>
        <v>797500</v>
      </c>
      <c r="M3172" s="52"/>
    </row>
    <row r="3173" spans="8:15" ht="16.5" thickBot="1">
      <c r="H3173" s="169"/>
      <c r="I3173" s="197">
        <f>SUM(I3168:I3172)</f>
        <v>7475000</v>
      </c>
      <c r="J3173" s="197">
        <f>SUM(J3168:J3172)</f>
        <v>210094046</v>
      </c>
      <c r="K3173" s="198">
        <f>SUM(K3168:K3172)</f>
        <v>217569046</v>
      </c>
    </row>
    <row r="3174" spans="8:15" ht="16.5">
      <c r="H3174" s="49" t="s">
        <v>88</v>
      </c>
      <c r="I3174" s="50"/>
    </row>
    <row r="3175" spans="8:15">
      <c r="H3175" s="51" t="s">
        <v>89</v>
      </c>
      <c r="K3175" s="139"/>
    </row>
    <row r="3176" spans="8:15">
      <c r="H3176" s="51" t="s">
        <v>90</v>
      </c>
    </row>
    <row r="3177" spans="8:15">
      <c r="H3177" s="51" t="s">
        <v>91</v>
      </c>
    </row>
    <row r="3178" spans="8:15" ht="9.75" customHeight="1">
      <c r="H3178" s="50"/>
      <c r="I3178" s="50"/>
    </row>
    <row r="3179" spans="8:15" ht="15.75">
      <c r="H3179" s="260" t="s">
        <v>1238</v>
      </c>
      <c r="N3179" s="52"/>
    </row>
    <row r="3180" spans="8:15" ht="15.75">
      <c r="H3180" s="53" t="s">
        <v>535</v>
      </c>
      <c r="N3180" s="53"/>
    </row>
    <row r="3181" spans="8:15" ht="16.5">
      <c r="H3181" s="894" t="s">
        <v>1243</v>
      </c>
      <c r="I3181" s="894"/>
      <c r="J3181" s="894"/>
      <c r="K3181" s="894"/>
      <c r="L3181" s="894"/>
      <c r="M3181" s="894"/>
      <c r="N3181" s="894"/>
      <c r="O3181" s="894"/>
    </row>
    <row r="3182" spans="8:15" ht="13.5" customHeight="1" thickBot="1"/>
    <row r="3183" spans="8:15">
      <c r="H3183" s="895" t="s">
        <v>94</v>
      </c>
      <c r="I3183" s="897" t="s">
        <v>95</v>
      </c>
      <c r="J3183" s="897" t="s">
        <v>96</v>
      </c>
      <c r="K3183" s="897" t="s">
        <v>3</v>
      </c>
      <c r="L3183" s="897" t="s">
        <v>97</v>
      </c>
      <c r="M3183" s="897" t="s">
        <v>98</v>
      </c>
      <c r="N3183" s="897" t="s">
        <v>99</v>
      </c>
      <c r="O3183" s="899"/>
    </row>
    <row r="3184" spans="8:15" ht="15.75" thickBot="1">
      <c r="H3184" s="896"/>
      <c r="I3184" s="898"/>
      <c r="J3184" s="898"/>
      <c r="K3184" s="898"/>
      <c r="L3184" s="898"/>
      <c r="M3184" s="898"/>
      <c r="N3184" s="240" t="s">
        <v>100</v>
      </c>
      <c r="O3184" s="182" t="s">
        <v>101</v>
      </c>
    </row>
    <row r="3185" spans="8:15" ht="13.5" customHeight="1">
      <c r="H3185" s="881">
        <v>339</v>
      </c>
      <c r="I3185" s="875">
        <v>42712</v>
      </c>
      <c r="J3185" s="877" t="s">
        <v>1014</v>
      </c>
      <c r="K3185" s="879" t="s">
        <v>1239</v>
      </c>
      <c r="L3185" s="881" t="s">
        <v>115</v>
      </c>
      <c r="M3185" s="883">
        <v>80000</v>
      </c>
      <c r="N3185" s="55">
        <v>719</v>
      </c>
      <c r="O3185" s="78">
        <v>80000</v>
      </c>
    </row>
    <row r="3186" spans="8:15" ht="13.5" customHeight="1" thickBot="1">
      <c r="H3186" s="882"/>
      <c r="I3186" s="876"/>
      <c r="J3186" s="878"/>
      <c r="K3186" s="880"/>
      <c r="L3186" s="882"/>
      <c r="M3186" s="884"/>
      <c r="N3186" s="56">
        <v>721</v>
      </c>
      <c r="O3186" s="79">
        <f>+M3185-O3185</f>
        <v>0</v>
      </c>
    </row>
    <row r="3187" spans="8:15" ht="14.25" customHeight="1">
      <c r="H3187" s="881">
        <v>340</v>
      </c>
      <c r="I3187" s="875">
        <v>42712</v>
      </c>
      <c r="J3187" s="877" t="s">
        <v>120</v>
      </c>
      <c r="K3187" s="879" t="s">
        <v>1239</v>
      </c>
      <c r="L3187" s="881" t="s">
        <v>115</v>
      </c>
      <c r="M3187" s="883">
        <v>140000</v>
      </c>
      <c r="N3187" s="55">
        <v>719</v>
      </c>
      <c r="O3187" s="78">
        <v>140000</v>
      </c>
    </row>
    <row r="3188" spans="8:15" ht="14.25" customHeight="1" thickBot="1">
      <c r="H3188" s="882"/>
      <c r="I3188" s="876"/>
      <c r="J3188" s="878"/>
      <c r="K3188" s="880"/>
      <c r="L3188" s="882"/>
      <c r="M3188" s="884"/>
      <c r="N3188" s="56">
        <v>721</v>
      </c>
      <c r="O3188" s="79">
        <f>+M3187-O3187</f>
        <v>0</v>
      </c>
    </row>
    <row r="3189" spans="8:15" ht="12.75" customHeight="1">
      <c r="H3189" s="881">
        <v>341</v>
      </c>
      <c r="I3189" s="875">
        <v>42712</v>
      </c>
      <c r="J3189" s="877" t="s">
        <v>28</v>
      </c>
      <c r="K3189" s="879" t="s">
        <v>1239</v>
      </c>
      <c r="L3189" s="881" t="s">
        <v>115</v>
      </c>
      <c r="M3189" s="883">
        <v>60000</v>
      </c>
      <c r="N3189" s="55">
        <v>719</v>
      </c>
      <c r="O3189" s="78">
        <v>60000</v>
      </c>
    </row>
    <row r="3190" spans="8:15" ht="13.5" customHeight="1" thickBot="1">
      <c r="H3190" s="882"/>
      <c r="I3190" s="876"/>
      <c r="J3190" s="878"/>
      <c r="K3190" s="880"/>
      <c r="L3190" s="882"/>
      <c r="M3190" s="884"/>
      <c r="N3190" s="56">
        <v>721</v>
      </c>
      <c r="O3190" s="79">
        <f>+M3189-O3189</f>
        <v>0</v>
      </c>
    </row>
    <row r="3191" spans="8:15" ht="13.5" customHeight="1">
      <c r="H3191" s="881">
        <v>342</v>
      </c>
      <c r="I3191" s="875">
        <v>42712</v>
      </c>
      <c r="J3191" s="877" t="s">
        <v>1174</v>
      </c>
      <c r="K3191" s="879" t="s">
        <v>1240</v>
      </c>
      <c r="L3191" s="881" t="s">
        <v>148</v>
      </c>
      <c r="M3191" s="883">
        <v>6287553</v>
      </c>
      <c r="N3191" s="55">
        <v>719</v>
      </c>
      <c r="O3191" s="78"/>
    </row>
    <row r="3192" spans="8:15" ht="15.75" customHeight="1" thickBot="1">
      <c r="H3192" s="882"/>
      <c r="I3192" s="876"/>
      <c r="J3192" s="878"/>
      <c r="K3192" s="880"/>
      <c r="L3192" s="882"/>
      <c r="M3192" s="884"/>
      <c r="N3192" s="56">
        <v>723</v>
      </c>
      <c r="O3192" s="79">
        <f>+M3191-O3191</f>
        <v>6287553</v>
      </c>
    </row>
    <row r="3193" spans="8:15" ht="14.25" customHeight="1">
      <c r="H3193" s="881">
        <v>343</v>
      </c>
      <c r="I3193" s="875">
        <v>42712</v>
      </c>
      <c r="J3193" s="877" t="s">
        <v>738</v>
      </c>
      <c r="K3193" s="879" t="s">
        <v>1244</v>
      </c>
      <c r="L3193" s="881" t="s">
        <v>148</v>
      </c>
      <c r="M3193" s="883">
        <v>5345430</v>
      </c>
      <c r="N3193" s="55">
        <v>719</v>
      </c>
      <c r="O3193" s="78">
        <v>0</v>
      </c>
    </row>
    <row r="3194" spans="8:15" ht="14.25" customHeight="1" thickBot="1">
      <c r="H3194" s="882"/>
      <c r="I3194" s="876"/>
      <c r="J3194" s="878"/>
      <c r="K3194" s="880"/>
      <c r="L3194" s="882"/>
      <c r="M3194" s="884"/>
      <c r="N3194" s="56">
        <v>721</v>
      </c>
      <c r="O3194" s="351">
        <f>+M3193-O3193</f>
        <v>5345430</v>
      </c>
    </row>
    <row r="3195" spans="8:15" ht="13.5" customHeight="1">
      <c r="H3195" s="881">
        <v>344</v>
      </c>
      <c r="I3195" s="875">
        <v>42712</v>
      </c>
      <c r="J3195" s="877" t="s">
        <v>738</v>
      </c>
      <c r="K3195" s="879" t="s">
        <v>1245</v>
      </c>
      <c r="L3195" s="881" t="s">
        <v>148</v>
      </c>
      <c r="M3195" s="883">
        <v>64517844</v>
      </c>
      <c r="N3195" s="55">
        <v>719</v>
      </c>
      <c r="O3195" s="78">
        <v>0</v>
      </c>
    </row>
    <row r="3196" spans="8:15" ht="13.5" customHeight="1" thickBot="1">
      <c r="H3196" s="882"/>
      <c r="I3196" s="876"/>
      <c r="J3196" s="878"/>
      <c r="K3196" s="880"/>
      <c r="L3196" s="882"/>
      <c r="M3196" s="884"/>
      <c r="N3196" s="56">
        <v>721</v>
      </c>
      <c r="O3196" s="351">
        <f>+M3195-O3195</f>
        <v>64517844</v>
      </c>
    </row>
    <row r="3197" spans="8:15" ht="16.5" thickBot="1">
      <c r="H3197" s="901" t="s">
        <v>102</v>
      </c>
      <c r="I3197" s="902"/>
      <c r="J3197" s="902"/>
      <c r="K3197" s="902"/>
      <c r="L3197" s="903"/>
      <c r="M3197" s="81">
        <f>SUM(M3185:M3196)</f>
        <v>76430827</v>
      </c>
    </row>
    <row r="3198" spans="8:15" ht="16.5" thickBot="1">
      <c r="H3198" s="885" t="s">
        <v>103</v>
      </c>
      <c r="I3198" s="886"/>
      <c r="J3198" s="886"/>
      <c r="K3198" s="886"/>
      <c r="L3198" s="887"/>
      <c r="M3198" s="69">
        <f>+M3160</f>
        <v>201046509</v>
      </c>
      <c r="N3198" s="241" t="s">
        <v>561</v>
      </c>
      <c r="O3198" s="242">
        <f>95+174+227</f>
        <v>496</v>
      </c>
    </row>
    <row r="3199" spans="8:15" ht="16.5" thickBot="1">
      <c r="H3199" s="888" t="s">
        <v>104</v>
      </c>
      <c r="I3199" s="889"/>
      <c r="J3199" s="889"/>
      <c r="K3199" s="889"/>
      <c r="L3199" s="890"/>
      <c r="M3199" s="183">
        <f>SUM(M3197:M3198)</f>
        <v>277477336</v>
      </c>
    </row>
    <row r="3200" spans="8:15" ht="13.5" customHeight="1">
      <c r="H3200" s="61"/>
      <c r="I3200" s="61"/>
      <c r="J3200" s="61"/>
      <c r="K3200" s="61"/>
      <c r="L3200" s="61"/>
    </row>
    <row r="3201" spans="8:14">
      <c r="H3201" s="51" t="s">
        <v>1246</v>
      </c>
    </row>
    <row r="3202" spans="8:14" ht="11.25" customHeight="1">
      <c r="M3202" s="139"/>
    </row>
    <row r="3203" spans="8:14">
      <c r="H3203" s="50" t="s">
        <v>105</v>
      </c>
      <c r="K3203" s="146"/>
      <c r="M3203" s="139"/>
    </row>
    <row r="3204" spans="8:14" ht="11.25" customHeight="1" thickBot="1"/>
    <row r="3205" spans="8:14" ht="15.75" thickBot="1">
      <c r="H3205" s="891" t="s">
        <v>106</v>
      </c>
      <c r="I3205" s="892"/>
      <c r="J3205" s="892"/>
      <c r="K3205" s="893"/>
      <c r="M3205" s="50" t="s">
        <v>1126</v>
      </c>
    </row>
    <row r="3206" spans="8:14" ht="30.75" thickBot="1">
      <c r="H3206" s="57" t="s">
        <v>100</v>
      </c>
      <c r="I3206" s="58" t="s">
        <v>108</v>
      </c>
      <c r="J3206" s="287" t="s">
        <v>109</v>
      </c>
      <c r="K3206" s="60" t="s">
        <v>110</v>
      </c>
    </row>
    <row r="3207" spans="8:14">
      <c r="H3207" s="71">
        <v>719</v>
      </c>
      <c r="I3207" s="73">
        <f>+O3185+O3189+O3191+O3187</f>
        <v>280000</v>
      </c>
      <c r="J3207" s="74">
        <f>+K3168</f>
        <v>36490000</v>
      </c>
      <c r="K3207" s="195">
        <f>+I3207+J3207</f>
        <v>36770000</v>
      </c>
    </row>
    <row r="3208" spans="8:14">
      <c r="H3208" s="72">
        <v>721</v>
      </c>
      <c r="I3208" s="80">
        <f>+O3196</f>
        <v>64517844</v>
      </c>
      <c r="J3208" s="74">
        <f>+K3169</f>
        <v>167111546</v>
      </c>
      <c r="K3208" s="195">
        <f>+I3208+J3208</f>
        <v>231629390</v>
      </c>
    </row>
    <row r="3209" spans="8:14" ht="13.5" customHeight="1">
      <c r="H3209" s="72">
        <v>722</v>
      </c>
      <c r="I3209" s="80"/>
      <c r="J3209" s="74">
        <f>+K3170</f>
        <v>5580000</v>
      </c>
      <c r="K3209" s="195">
        <f>+I3209+J3209</f>
        <v>5580000</v>
      </c>
    </row>
    <row r="3210" spans="8:14" ht="14.25" customHeight="1">
      <c r="H3210" s="72">
        <v>723</v>
      </c>
      <c r="I3210" s="80">
        <f>+O3192+O3194</f>
        <v>11632983</v>
      </c>
      <c r="J3210" s="74">
        <f>+K3171</f>
        <v>7590000</v>
      </c>
      <c r="K3210" s="195">
        <f>+I3210+J3210</f>
        <v>19222983</v>
      </c>
      <c r="L3210" s="139"/>
      <c r="M3210" s="193" t="s">
        <v>1125</v>
      </c>
      <c r="N3210" s="175"/>
    </row>
    <row r="3211" spans="8:14" ht="15" customHeight="1" thickBot="1">
      <c r="H3211" s="164" t="s">
        <v>1077</v>
      </c>
      <c r="I3211" s="165"/>
      <c r="J3211" s="74">
        <f>+K3172</f>
        <v>797500</v>
      </c>
      <c r="K3211" s="196">
        <f>+I3211+J3211</f>
        <v>797500</v>
      </c>
      <c r="M3211" s="52"/>
    </row>
    <row r="3212" spans="8:14" ht="16.5" thickBot="1">
      <c r="H3212" s="169"/>
      <c r="I3212" s="197">
        <f>SUM(I3207:I3211)</f>
        <v>76430827</v>
      </c>
      <c r="J3212" s="197">
        <f>SUM(J3207:J3211)</f>
        <v>217569046</v>
      </c>
      <c r="K3212" s="198">
        <f>SUM(K3207:K3211)</f>
        <v>293999873</v>
      </c>
    </row>
    <row r="3213" spans="8:14" ht="16.5">
      <c r="H3213" s="49" t="s">
        <v>88</v>
      </c>
      <c r="I3213" s="50"/>
    </row>
    <row r="3214" spans="8:14">
      <c r="H3214" s="51" t="s">
        <v>89</v>
      </c>
    </row>
    <row r="3215" spans="8:14">
      <c r="H3215" s="51" t="s">
        <v>90</v>
      </c>
    </row>
    <row r="3216" spans="8:14">
      <c r="H3216" s="51" t="s">
        <v>91</v>
      </c>
    </row>
    <row r="3217" spans="8:17" ht="17.25" customHeight="1">
      <c r="H3217" s="50"/>
      <c r="I3217" s="50"/>
    </row>
    <row r="3218" spans="8:17" ht="15.75">
      <c r="H3218" s="260" t="s">
        <v>1242</v>
      </c>
      <c r="N3218" s="52"/>
    </row>
    <row r="3219" spans="8:17" ht="18" customHeight="1">
      <c r="H3219" s="53" t="s">
        <v>535</v>
      </c>
      <c r="N3219" s="53"/>
    </row>
    <row r="3220" spans="8:17" ht="16.5">
      <c r="H3220" s="894" t="s">
        <v>1278</v>
      </c>
      <c r="I3220" s="894"/>
      <c r="J3220" s="894"/>
      <c r="K3220" s="894"/>
      <c r="L3220" s="894"/>
      <c r="M3220" s="894"/>
      <c r="N3220" s="894"/>
      <c r="O3220" s="894"/>
    </row>
    <row r="3221" spans="8:17" ht="15.75" thickBot="1"/>
    <row r="3222" spans="8:17">
      <c r="H3222" s="895" t="s">
        <v>94</v>
      </c>
      <c r="I3222" s="897" t="s">
        <v>95</v>
      </c>
      <c r="J3222" s="897" t="s">
        <v>96</v>
      </c>
      <c r="K3222" s="897" t="s">
        <v>3</v>
      </c>
      <c r="L3222" s="897" t="s">
        <v>97</v>
      </c>
      <c r="M3222" s="897" t="s">
        <v>98</v>
      </c>
      <c r="N3222" s="897" t="s">
        <v>99</v>
      </c>
      <c r="O3222" s="899"/>
    </row>
    <row r="3223" spans="8:17" ht="15.75" thickBot="1">
      <c r="H3223" s="896"/>
      <c r="I3223" s="898"/>
      <c r="J3223" s="898"/>
      <c r="K3223" s="898"/>
      <c r="L3223" s="898"/>
      <c r="M3223" s="898"/>
      <c r="N3223" s="240" t="s">
        <v>100</v>
      </c>
      <c r="O3223" s="182" t="s">
        <v>101</v>
      </c>
    </row>
    <row r="3224" spans="8:17">
      <c r="H3224" s="881">
        <v>345</v>
      </c>
      <c r="I3224" s="875">
        <v>42725</v>
      </c>
      <c r="J3224" s="877" t="s">
        <v>1014</v>
      </c>
      <c r="K3224" s="879" t="s">
        <v>1260</v>
      </c>
      <c r="L3224" s="881" t="s">
        <v>115</v>
      </c>
      <c r="M3224" s="883">
        <v>160000</v>
      </c>
      <c r="N3224" s="55">
        <v>719</v>
      </c>
      <c r="O3224" s="78">
        <v>160000</v>
      </c>
    </row>
    <row r="3225" spans="8:17" ht="15.75" thickBot="1">
      <c r="H3225" s="882"/>
      <c r="I3225" s="876"/>
      <c r="J3225" s="878"/>
      <c r="K3225" s="880"/>
      <c r="L3225" s="882"/>
      <c r="M3225" s="884"/>
      <c r="N3225" s="56">
        <v>721</v>
      </c>
      <c r="O3225" s="351">
        <f>+M3224-O3224</f>
        <v>0</v>
      </c>
    </row>
    <row r="3226" spans="8:17" ht="15" customHeight="1">
      <c r="H3226" s="881">
        <f>+H3224+1</f>
        <v>346</v>
      </c>
      <c r="I3226" s="875">
        <v>42725</v>
      </c>
      <c r="J3226" s="877" t="s">
        <v>28</v>
      </c>
      <c r="K3226" s="879" t="s">
        <v>1276</v>
      </c>
      <c r="L3226" s="881" t="s">
        <v>115</v>
      </c>
      <c r="M3226" s="883">
        <v>60000</v>
      </c>
      <c r="N3226" s="55">
        <v>722</v>
      </c>
      <c r="O3226" s="78">
        <v>60000</v>
      </c>
    </row>
    <row r="3227" spans="8:17" ht="15.75" customHeight="1" thickBot="1">
      <c r="H3227" s="882"/>
      <c r="I3227" s="876"/>
      <c r="J3227" s="878"/>
      <c r="K3227" s="880"/>
      <c r="L3227" s="882"/>
      <c r="M3227" s="884"/>
      <c r="N3227" s="56">
        <v>721</v>
      </c>
      <c r="O3227" s="352">
        <f>+M3226-O3226</f>
        <v>0</v>
      </c>
    </row>
    <row r="3228" spans="8:17" ht="15" customHeight="1">
      <c r="H3228" s="881">
        <f>+H3226+1</f>
        <v>347</v>
      </c>
      <c r="I3228" s="875">
        <v>42725</v>
      </c>
      <c r="J3228" s="877" t="s">
        <v>120</v>
      </c>
      <c r="K3228" s="879" t="s">
        <v>1276</v>
      </c>
      <c r="L3228" s="881" t="s">
        <v>115</v>
      </c>
      <c r="M3228" s="883">
        <v>140000</v>
      </c>
      <c r="N3228" s="55">
        <v>722</v>
      </c>
      <c r="O3228" s="78">
        <v>140000</v>
      </c>
      <c r="Q3228" s="875"/>
    </row>
    <row r="3229" spans="8:17" ht="15.75" customHeight="1" thickBot="1">
      <c r="H3229" s="882"/>
      <c r="I3229" s="876"/>
      <c r="J3229" s="878"/>
      <c r="K3229" s="880"/>
      <c r="L3229" s="882"/>
      <c r="M3229" s="884"/>
      <c r="N3229" s="56">
        <v>721</v>
      </c>
      <c r="O3229" s="352">
        <f>+M3228-O3228</f>
        <v>0</v>
      </c>
      <c r="Q3229" s="876"/>
    </row>
    <row r="3230" spans="8:17" ht="15" customHeight="1">
      <c r="H3230" s="881"/>
      <c r="I3230" s="875"/>
      <c r="J3230" s="877"/>
      <c r="K3230" s="879"/>
      <c r="L3230" s="881"/>
      <c r="M3230" s="883"/>
      <c r="N3230" s="55">
        <v>722</v>
      </c>
      <c r="O3230" s="78"/>
    </row>
    <row r="3231" spans="8:17" ht="15.75" customHeight="1" thickBot="1">
      <c r="H3231" s="882"/>
      <c r="I3231" s="876"/>
      <c r="J3231" s="878"/>
      <c r="K3231" s="880"/>
      <c r="L3231" s="882"/>
      <c r="M3231" s="884"/>
      <c r="N3231" s="56">
        <v>721</v>
      </c>
      <c r="O3231" s="79">
        <f>+M3230-O3230</f>
        <v>0</v>
      </c>
    </row>
    <row r="3232" spans="8:17" ht="16.5" thickBot="1">
      <c r="H3232" s="901" t="s">
        <v>102</v>
      </c>
      <c r="I3232" s="902"/>
      <c r="J3232" s="902"/>
      <c r="K3232" s="902"/>
      <c r="L3232" s="903"/>
      <c r="M3232" s="81">
        <f>SUM(M3224:M3231)</f>
        <v>360000</v>
      </c>
    </row>
    <row r="3233" spans="8:15" ht="16.5" thickBot="1">
      <c r="H3233" s="885" t="s">
        <v>103</v>
      </c>
      <c r="I3233" s="886"/>
      <c r="J3233" s="886"/>
      <c r="K3233" s="886"/>
      <c r="L3233" s="887"/>
      <c r="M3233" s="69">
        <f>+M3199</f>
        <v>277477336</v>
      </c>
      <c r="N3233" s="241" t="s">
        <v>561</v>
      </c>
      <c r="O3233" s="242">
        <f>108+107+310</f>
        <v>525</v>
      </c>
    </row>
    <row r="3234" spans="8:15" ht="16.5" thickBot="1">
      <c r="H3234" s="888" t="s">
        <v>104</v>
      </c>
      <c r="I3234" s="889"/>
      <c r="J3234" s="889"/>
      <c r="K3234" s="889"/>
      <c r="L3234" s="890"/>
      <c r="M3234" s="183">
        <f>SUM(M3232:M3233)</f>
        <v>277837336</v>
      </c>
    </row>
    <row r="3235" spans="8:15">
      <c r="H3235" s="61"/>
      <c r="I3235" s="61"/>
      <c r="J3235" s="61"/>
      <c r="K3235" s="61"/>
      <c r="L3235" s="61"/>
    </row>
    <row r="3236" spans="8:15">
      <c r="H3236" s="51" t="s">
        <v>1261</v>
      </c>
    </row>
    <row r="3237" spans="8:15" ht="19.5" customHeight="1">
      <c r="M3237" s="139"/>
    </row>
    <row r="3238" spans="8:15">
      <c r="H3238" s="50" t="s">
        <v>105</v>
      </c>
      <c r="K3238" s="146"/>
      <c r="M3238" s="139"/>
    </row>
    <row r="3239" spans="8:15" ht="15.75" thickBot="1"/>
    <row r="3240" spans="8:15" ht="15.75" thickBot="1">
      <c r="H3240" s="891" t="s">
        <v>106</v>
      </c>
      <c r="I3240" s="892"/>
      <c r="J3240" s="892"/>
      <c r="K3240" s="893"/>
      <c r="M3240" s="50" t="s">
        <v>288</v>
      </c>
    </row>
    <row r="3241" spans="8:15" ht="30.75" thickBot="1">
      <c r="H3241" s="57" t="s">
        <v>100</v>
      </c>
      <c r="I3241" s="58" t="s">
        <v>108</v>
      </c>
      <c r="J3241" s="287" t="s">
        <v>109</v>
      </c>
      <c r="K3241" s="60" t="s">
        <v>110</v>
      </c>
    </row>
    <row r="3242" spans="8:15">
      <c r="H3242" s="71">
        <v>719</v>
      </c>
      <c r="I3242" s="73">
        <f>+O3224+O3226+O3228+O3230</f>
        <v>360000</v>
      </c>
      <c r="J3242" s="74">
        <f>+K3207</f>
        <v>36770000</v>
      </c>
      <c r="K3242" s="195">
        <f>+I3242+J3242</f>
        <v>37130000</v>
      </c>
    </row>
    <row r="3243" spans="8:15">
      <c r="H3243" s="72">
        <v>721</v>
      </c>
      <c r="I3243" s="80"/>
      <c r="J3243" s="74">
        <f>+K3208</f>
        <v>231629390</v>
      </c>
      <c r="K3243" s="195">
        <f>+I3243+J3243</f>
        <v>231629390</v>
      </c>
    </row>
    <row r="3244" spans="8:15">
      <c r="H3244" s="72">
        <v>722</v>
      </c>
      <c r="I3244" s="80"/>
      <c r="J3244" s="74">
        <f>+K3209</f>
        <v>5580000</v>
      </c>
      <c r="K3244" s="195">
        <f>+I3244+J3244</f>
        <v>5580000</v>
      </c>
    </row>
    <row r="3245" spans="8:15" ht="15.75">
      <c r="H3245" s="72">
        <v>723</v>
      </c>
      <c r="I3245" s="80"/>
      <c r="J3245" s="74">
        <f>+K3210</f>
        <v>19222983</v>
      </c>
      <c r="K3245" s="195">
        <f>+I3245+J3245</f>
        <v>19222983</v>
      </c>
      <c r="M3245" s="193" t="s">
        <v>289</v>
      </c>
      <c r="N3245" s="175"/>
    </row>
    <row r="3246" spans="8:15" ht="16.5" thickBot="1">
      <c r="H3246" s="164" t="s">
        <v>1077</v>
      </c>
      <c r="I3246" s="165"/>
      <c r="J3246" s="74">
        <f>+K3211</f>
        <v>797500</v>
      </c>
      <c r="K3246" s="196">
        <f>+I3246+J3246</f>
        <v>797500</v>
      </c>
      <c r="M3246" s="52"/>
    </row>
    <row r="3247" spans="8:15" ht="16.5" thickBot="1">
      <c r="H3247" s="169"/>
      <c r="I3247" s="197">
        <f>SUM(I3242:I3246)</f>
        <v>360000</v>
      </c>
      <c r="J3247" s="197">
        <f>SUM(J3242:J3246)</f>
        <v>293999873</v>
      </c>
      <c r="K3247" s="198">
        <f>SUM(K3242:K3246)</f>
        <v>294359873</v>
      </c>
    </row>
    <row r="3248" spans="8:15" ht="16.5">
      <c r="H3248" s="49" t="s">
        <v>88</v>
      </c>
      <c r="I3248" s="50"/>
    </row>
    <row r="3249" spans="8:15">
      <c r="H3249" s="51" t="s">
        <v>89</v>
      </c>
    </row>
    <row r="3250" spans="8:15">
      <c r="H3250" s="51" t="s">
        <v>90</v>
      </c>
    </row>
    <row r="3251" spans="8:15">
      <c r="H3251" s="51" t="s">
        <v>91</v>
      </c>
    </row>
    <row r="3252" spans="8:15" ht="14.25" customHeight="1">
      <c r="H3252" s="50"/>
      <c r="I3252" s="50"/>
    </row>
    <row r="3253" spans="8:15" ht="15.75">
      <c r="H3253" s="260" t="s">
        <v>1264</v>
      </c>
      <c r="N3253" s="52"/>
    </row>
    <row r="3254" spans="8:15" ht="15.75">
      <c r="H3254" s="53" t="s">
        <v>535</v>
      </c>
      <c r="N3254" s="53"/>
    </row>
    <row r="3255" spans="8:15" ht="16.5">
      <c r="H3255" s="894" t="s">
        <v>1278</v>
      </c>
      <c r="I3255" s="894"/>
      <c r="J3255" s="894"/>
      <c r="K3255" s="894"/>
      <c r="L3255" s="894"/>
      <c r="M3255" s="894"/>
      <c r="N3255" s="894"/>
      <c r="O3255" s="894"/>
    </row>
    <row r="3256" spans="8:15" ht="15.75" thickBot="1"/>
    <row r="3257" spans="8:15">
      <c r="H3257" s="895" t="s">
        <v>94</v>
      </c>
      <c r="I3257" s="897" t="s">
        <v>95</v>
      </c>
      <c r="J3257" s="897" t="s">
        <v>96</v>
      </c>
      <c r="K3257" s="897" t="s">
        <v>3</v>
      </c>
      <c r="L3257" s="897" t="s">
        <v>97</v>
      </c>
      <c r="M3257" s="897" t="s">
        <v>98</v>
      </c>
      <c r="N3257" s="897" t="s">
        <v>99</v>
      </c>
      <c r="O3257" s="899"/>
    </row>
    <row r="3258" spans="8:15" ht="15.75" thickBot="1">
      <c r="H3258" s="896"/>
      <c r="I3258" s="898"/>
      <c r="J3258" s="898"/>
      <c r="K3258" s="898"/>
      <c r="L3258" s="898"/>
      <c r="M3258" s="898"/>
      <c r="N3258" s="240" t="s">
        <v>100</v>
      </c>
      <c r="O3258" s="182" t="s">
        <v>101</v>
      </c>
    </row>
    <row r="3259" spans="8:15">
      <c r="H3259" s="881">
        <v>348</v>
      </c>
      <c r="I3259" s="875">
        <v>42725</v>
      </c>
      <c r="J3259" s="877" t="s">
        <v>1014</v>
      </c>
      <c r="K3259" s="879" t="s">
        <v>1263</v>
      </c>
      <c r="L3259" s="881" t="s">
        <v>115</v>
      </c>
      <c r="M3259" s="883">
        <v>140000</v>
      </c>
      <c r="N3259" s="55">
        <v>719</v>
      </c>
      <c r="O3259" s="78">
        <v>140000</v>
      </c>
    </row>
    <row r="3260" spans="8:15" ht="15.75" thickBot="1">
      <c r="H3260" s="882"/>
      <c r="I3260" s="876"/>
      <c r="J3260" s="878"/>
      <c r="K3260" s="880"/>
      <c r="L3260" s="882"/>
      <c r="M3260" s="884"/>
      <c r="N3260" s="56">
        <v>721</v>
      </c>
      <c r="O3260" s="351">
        <f>+M3259-O3259</f>
        <v>0</v>
      </c>
    </row>
    <row r="3261" spans="8:15">
      <c r="H3261" s="881">
        <f>+H3259+1</f>
        <v>349</v>
      </c>
      <c r="I3261" s="875">
        <v>42725</v>
      </c>
      <c r="J3261" s="877" t="s">
        <v>28</v>
      </c>
      <c r="K3261" s="879" t="s">
        <v>1266</v>
      </c>
      <c r="L3261" s="881" t="s">
        <v>115</v>
      </c>
      <c r="M3261" s="883">
        <v>50000</v>
      </c>
      <c r="N3261" s="55">
        <v>722</v>
      </c>
      <c r="O3261" s="78">
        <v>50000</v>
      </c>
    </row>
    <row r="3262" spans="8:15" ht="15.75" thickBot="1">
      <c r="H3262" s="882"/>
      <c r="I3262" s="876"/>
      <c r="J3262" s="878"/>
      <c r="K3262" s="880"/>
      <c r="L3262" s="882"/>
      <c r="M3262" s="884"/>
      <c r="N3262" s="56">
        <v>721</v>
      </c>
      <c r="O3262" s="352"/>
    </row>
    <row r="3263" spans="8:15">
      <c r="H3263" s="881">
        <f>+H3261+1</f>
        <v>350</v>
      </c>
      <c r="I3263" s="875">
        <v>42725</v>
      </c>
      <c r="J3263" s="877" t="s">
        <v>120</v>
      </c>
      <c r="K3263" s="879" t="s">
        <v>1262</v>
      </c>
      <c r="L3263" s="881" t="s">
        <v>115</v>
      </c>
      <c r="M3263" s="883">
        <v>140000</v>
      </c>
      <c r="N3263" s="55">
        <v>722</v>
      </c>
      <c r="O3263" s="78">
        <v>140000</v>
      </c>
    </row>
    <row r="3264" spans="8:15" ht="15.75" thickBot="1">
      <c r="H3264" s="882"/>
      <c r="I3264" s="876"/>
      <c r="J3264" s="878"/>
      <c r="K3264" s="880"/>
      <c r="L3264" s="882"/>
      <c r="M3264" s="884"/>
      <c r="N3264" s="56">
        <v>721</v>
      </c>
      <c r="O3264" s="352">
        <f>+M3263-O3263</f>
        <v>0</v>
      </c>
    </row>
    <row r="3265" spans="8:15">
      <c r="H3265" s="881"/>
      <c r="I3265" s="875"/>
      <c r="J3265" s="877"/>
      <c r="K3265" s="879"/>
      <c r="L3265" s="881"/>
      <c r="M3265" s="883"/>
      <c r="N3265" s="55">
        <v>722</v>
      </c>
      <c r="O3265" s="78"/>
    </row>
    <row r="3266" spans="8:15" ht="15.75" thickBot="1">
      <c r="H3266" s="882"/>
      <c r="I3266" s="876"/>
      <c r="J3266" s="878"/>
      <c r="K3266" s="880"/>
      <c r="L3266" s="882"/>
      <c r="M3266" s="884"/>
      <c r="N3266" s="56">
        <v>721</v>
      </c>
      <c r="O3266" s="79">
        <f>+M3265-O3265</f>
        <v>0</v>
      </c>
    </row>
    <row r="3267" spans="8:15" ht="16.5" thickBot="1">
      <c r="H3267" s="901" t="s">
        <v>102</v>
      </c>
      <c r="I3267" s="902"/>
      <c r="J3267" s="902"/>
      <c r="K3267" s="902"/>
      <c r="L3267" s="903"/>
      <c r="M3267" s="81">
        <f>SUM(M3259:M3266)</f>
        <v>330000</v>
      </c>
    </row>
    <row r="3268" spans="8:15" ht="16.5" thickBot="1">
      <c r="H3268" s="885" t="s">
        <v>103</v>
      </c>
      <c r="I3268" s="886"/>
      <c r="J3268" s="886"/>
      <c r="K3268" s="886"/>
      <c r="L3268" s="887"/>
      <c r="M3268" s="69">
        <f>+M3234</f>
        <v>277837336</v>
      </c>
      <c r="N3268" s="241" t="s">
        <v>561</v>
      </c>
      <c r="O3268" s="242">
        <f>404+83+122</f>
        <v>609</v>
      </c>
    </row>
    <row r="3269" spans="8:15" ht="16.5" thickBot="1">
      <c r="H3269" s="888" t="s">
        <v>104</v>
      </c>
      <c r="I3269" s="889"/>
      <c r="J3269" s="889"/>
      <c r="K3269" s="889"/>
      <c r="L3269" s="890"/>
      <c r="M3269" s="183">
        <f>SUM(M3267:M3268)</f>
        <v>278167336</v>
      </c>
    </row>
    <row r="3270" spans="8:15">
      <c r="H3270" s="61"/>
      <c r="I3270" s="61"/>
      <c r="J3270" s="61"/>
      <c r="K3270" s="61"/>
      <c r="L3270" s="61"/>
    </row>
    <row r="3271" spans="8:15">
      <c r="H3271" s="51" t="s">
        <v>1265</v>
      </c>
    </row>
    <row r="3272" spans="8:15">
      <c r="M3272" s="139"/>
    </row>
    <row r="3273" spans="8:15">
      <c r="H3273" s="50" t="s">
        <v>105</v>
      </c>
      <c r="K3273" s="146"/>
      <c r="M3273" s="139"/>
    </row>
    <row r="3274" spans="8:15" ht="15.75" thickBot="1"/>
    <row r="3275" spans="8:15" ht="15.75" thickBot="1">
      <c r="H3275" s="891" t="s">
        <v>106</v>
      </c>
      <c r="I3275" s="892"/>
      <c r="J3275" s="892"/>
      <c r="K3275" s="893"/>
      <c r="M3275" s="50" t="s">
        <v>288</v>
      </c>
    </row>
    <row r="3276" spans="8:15" ht="30.75" thickBot="1">
      <c r="H3276" s="57" t="s">
        <v>100</v>
      </c>
      <c r="I3276" s="58" t="s">
        <v>108</v>
      </c>
      <c r="J3276" s="287" t="s">
        <v>109</v>
      </c>
      <c r="K3276" s="60" t="s">
        <v>110</v>
      </c>
    </row>
    <row r="3277" spans="8:15">
      <c r="H3277" s="71">
        <v>719</v>
      </c>
      <c r="I3277" s="73">
        <f>+O3259+O3261+O3263+O3265</f>
        <v>330000</v>
      </c>
      <c r="J3277" s="74">
        <f>+K3242</f>
        <v>37130000</v>
      </c>
      <c r="K3277" s="195">
        <f>+I3277+J3277</f>
        <v>37460000</v>
      </c>
    </row>
    <row r="3278" spans="8:15">
      <c r="H3278" s="72">
        <v>721</v>
      </c>
      <c r="I3278" s="80"/>
      <c r="J3278" s="74">
        <f>+K3243</f>
        <v>231629390</v>
      </c>
      <c r="K3278" s="195">
        <f>+I3278+J3278</f>
        <v>231629390</v>
      </c>
    </row>
    <row r="3279" spans="8:15">
      <c r="H3279" s="72">
        <v>722</v>
      </c>
      <c r="I3279" s="80"/>
      <c r="J3279" s="74">
        <f>+K3244</f>
        <v>5580000</v>
      </c>
      <c r="K3279" s="195">
        <f>+I3279+J3279</f>
        <v>5580000</v>
      </c>
    </row>
    <row r="3280" spans="8:15" ht="15.75">
      <c r="H3280" s="72">
        <v>723</v>
      </c>
      <c r="I3280" s="80"/>
      <c r="J3280" s="74">
        <f>+K3245</f>
        <v>19222983</v>
      </c>
      <c r="K3280" s="195">
        <f>+I3280+J3280</f>
        <v>19222983</v>
      </c>
      <c r="M3280" s="193" t="s">
        <v>289</v>
      </c>
      <c r="N3280" s="175"/>
    </row>
    <row r="3281" spans="8:15" ht="16.5" thickBot="1">
      <c r="H3281" s="164" t="s">
        <v>1077</v>
      </c>
      <c r="I3281" s="165"/>
      <c r="J3281" s="74">
        <f>+K3246</f>
        <v>797500</v>
      </c>
      <c r="K3281" s="196">
        <f>+I3281+J3281</f>
        <v>797500</v>
      </c>
      <c r="M3281" s="52"/>
    </row>
    <row r="3282" spans="8:15" ht="16.5" thickBot="1">
      <c r="H3282" s="169"/>
      <c r="I3282" s="197">
        <f>SUM(I3277:I3281)</f>
        <v>330000</v>
      </c>
      <c r="J3282" s="197">
        <f>SUM(J3277:J3281)</f>
        <v>294359873</v>
      </c>
      <c r="K3282" s="198">
        <f>SUM(K3277:K3281)</f>
        <v>294689873</v>
      </c>
    </row>
    <row r="3284" spans="8:15" ht="16.5">
      <c r="H3284" s="49" t="s">
        <v>88</v>
      </c>
      <c r="I3284" s="50"/>
    </row>
    <row r="3285" spans="8:15">
      <c r="H3285" s="51" t="s">
        <v>89</v>
      </c>
    </row>
    <row r="3286" spans="8:15">
      <c r="H3286" s="51" t="s">
        <v>90</v>
      </c>
    </row>
    <row r="3287" spans="8:15">
      <c r="H3287" s="51" t="s">
        <v>91</v>
      </c>
    </row>
    <row r="3288" spans="8:15">
      <c r="H3288" s="50"/>
      <c r="I3288" s="50"/>
    </row>
    <row r="3289" spans="8:15" ht="15.75">
      <c r="H3289" s="260" t="s">
        <v>1272</v>
      </c>
      <c r="N3289" s="52"/>
    </row>
    <row r="3290" spans="8:15" ht="15.75">
      <c r="H3290" s="53" t="s">
        <v>535</v>
      </c>
      <c r="N3290" s="53"/>
    </row>
    <row r="3291" spans="8:15" ht="16.5">
      <c r="H3291" s="894" t="s">
        <v>1277</v>
      </c>
      <c r="I3291" s="894"/>
      <c r="J3291" s="894"/>
      <c r="K3291" s="894"/>
      <c r="L3291" s="894"/>
      <c r="M3291" s="894"/>
      <c r="N3291" s="894"/>
      <c r="O3291" s="894"/>
    </row>
    <row r="3292" spans="8:15" ht="15.75" thickBot="1"/>
    <row r="3293" spans="8:15">
      <c r="H3293" s="895" t="s">
        <v>94</v>
      </c>
      <c r="I3293" s="897" t="s">
        <v>95</v>
      </c>
      <c r="J3293" s="897" t="s">
        <v>96</v>
      </c>
      <c r="K3293" s="897" t="s">
        <v>3</v>
      </c>
      <c r="L3293" s="897" t="s">
        <v>97</v>
      </c>
      <c r="M3293" s="897" t="s">
        <v>98</v>
      </c>
      <c r="N3293" s="897" t="s">
        <v>99</v>
      </c>
      <c r="O3293" s="899"/>
    </row>
    <row r="3294" spans="8:15" ht="15.75" thickBot="1">
      <c r="H3294" s="896"/>
      <c r="I3294" s="898"/>
      <c r="J3294" s="898"/>
      <c r="K3294" s="898"/>
      <c r="L3294" s="898"/>
      <c r="M3294" s="898"/>
      <c r="N3294" s="240" t="s">
        <v>100</v>
      </c>
      <c r="O3294" s="182" t="s">
        <v>101</v>
      </c>
    </row>
    <row r="3295" spans="8:15" ht="15" customHeight="1">
      <c r="H3295" s="881">
        <v>351</v>
      </c>
      <c r="I3295" s="875">
        <v>42732</v>
      </c>
      <c r="J3295" s="877" t="s">
        <v>1267</v>
      </c>
      <c r="K3295" s="879" t="s">
        <v>1270</v>
      </c>
      <c r="L3295" s="881" t="s">
        <v>115</v>
      </c>
      <c r="M3295" s="883">
        <v>14718204</v>
      </c>
      <c r="N3295" s="55">
        <v>719</v>
      </c>
      <c r="O3295" s="78">
        <v>0</v>
      </c>
    </row>
    <row r="3296" spans="8:15" ht="15.75" thickBot="1">
      <c r="H3296" s="882"/>
      <c r="I3296" s="876"/>
      <c r="J3296" s="900"/>
      <c r="K3296" s="880"/>
      <c r="L3296" s="882"/>
      <c r="M3296" s="884"/>
      <c r="N3296" s="56">
        <v>721</v>
      </c>
      <c r="O3296" s="351">
        <f>+M3295-O3295</f>
        <v>14718204</v>
      </c>
    </row>
    <row r="3297" spans="8:15" ht="15" customHeight="1">
      <c r="H3297" s="881">
        <f>+H3295+1</f>
        <v>352</v>
      </c>
      <c r="I3297" s="875">
        <v>42732</v>
      </c>
      <c r="J3297" s="900"/>
      <c r="K3297" s="879" t="s">
        <v>1271</v>
      </c>
      <c r="L3297" s="881" t="s">
        <v>115</v>
      </c>
      <c r="M3297" s="883">
        <v>3962065</v>
      </c>
      <c r="N3297" s="55">
        <v>722</v>
      </c>
      <c r="O3297" s="78">
        <v>0</v>
      </c>
    </row>
    <row r="3298" spans="8:15" ht="15.75" customHeight="1" thickBot="1">
      <c r="H3298" s="882"/>
      <c r="I3298" s="876"/>
      <c r="J3298" s="878"/>
      <c r="K3298" s="880"/>
      <c r="L3298" s="882"/>
      <c r="M3298" s="884"/>
      <c r="N3298" s="56">
        <v>721</v>
      </c>
      <c r="O3298" s="352">
        <f>+M3297-O3297</f>
        <v>3962065</v>
      </c>
    </row>
    <row r="3299" spans="8:15" ht="15" customHeight="1">
      <c r="H3299" s="881">
        <f>+H3297+1</f>
        <v>353</v>
      </c>
      <c r="I3299" s="875">
        <v>42732</v>
      </c>
      <c r="J3299" s="877" t="s">
        <v>1014</v>
      </c>
      <c r="K3299" s="879" t="s">
        <v>1273</v>
      </c>
      <c r="L3299" s="881" t="s">
        <v>115</v>
      </c>
      <c r="M3299" s="883">
        <v>90000</v>
      </c>
      <c r="N3299" s="55">
        <v>722</v>
      </c>
      <c r="O3299" s="78">
        <v>90000</v>
      </c>
    </row>
    <row r="3300" spans="8:15" ht="15.75" customHeight="1" thickBot="1">
      <c r="H3300" s="882"/>
      <c r="I3300" s="876"/>
      <c r="J3300" s="878"/>
      <c r="K3300" s="880"/>
      <c r="L3300" s="882"/>
      <c r="M3300" s="884"/>
      <c r="N3300" s="56">
        <v>721</v>
      </c>
      <c r="O3300" s="352">
        <f>+M3299-O3299</f>
        <v>0</v>
      </c>
    </row>
    <row r="3301" spans="8:15" ht="15" customHeight="1">
      <c r="H3301" s="881">
        <f>+H3299+1</f>
        <v>354</v>
      </c>
      <c r="I3301" s="875">
        <v>42732</v>
      </c>
      <c r="J3301" s="877" t="s">
        <v>120</v>
      </c>
      <c r="K3301" s="879" t="s">
        <v>1274</v>
      </c>
      <c r="L3301" s="881" t="s">
        <v>115</v>
      </c>
      <c r="M3301" s="883">
        <v>60000</v>
      </c>
      <c r="N3301" s="55">
        <v>722</v>
      </c>
      <c r="O3301" s="78">
        <v>60000</v>
      </c>
    </row>
    <row r="3302" spans="8:15" ht="15.75" customHeight="1" thickBot="1">
      <c r="H3302" s="882"/>
      <c r="I3302" s="876"/>
      <c r="J3302" s="878"/>
      <c r="K3302" s="880"/>
      <c r="L3302" s="882"/>
      <c r="M3302" s="884"/>
      <c r="N3302" s="56">
        <v>721</v>
      </c>
      <c r="O3302" s="79">
        <f>+M3301-O3301</f>
        <v>0</v>
      </c>
    </row>
    <row r="3303" spans="8:15" ht="16.5" thickBot="1">
      <c r="H3303" s="901" t="s">
        <v>102</v>
      </c>
      <c r="I3303" s="902"/>
      <c r="J3303" s="902"/>
      <c r="K3303" s="902"/>
      <c r="L3303" s="903"/>
      <c r="M3303" s="81">
        <f>SUM(M3295:M3302)</f>
        <v>18830269</v>
      </c>
    </row>
    <row r="3304" spans="8:15" ht="16.5" thickBot="1">
      <c r="H3304" s="885" t="s">
        <v>103</v>
      </c>
      <c r="I3304" s="886"/>
      <c r="J3304" s="886"/>
      <c r="K3304" s="886"/>
      <c r="L3304" s="887"/>
      <c r="M3304" s="69">
        <f>+M3269</f>
        <v>278167336</v>
      </c>
      <c r="N3304" s="241" t="s">
        <v>561</v>
      </c>
      <c r="O3304" s="242">
        <f>38+294</f>
        <v>332</v>
      </c>
    </row>
    <row r="3305" spans="8:15" ht="16.5" thickBot="1">
      <c r="H3305" s="888" t="s">
        <v>104</v>
      </c>
      <c r="I3305" s="889"/>
      <c r="J3305" s="889"/>
      <c r="K3305" s="889"/>
      <c r="L3305" s="890"/>
      <c r="M3305" s="183">
        <f>SUM(M3303:M3304)</f>
        <v>296997605</v>
      </c>
    </row>
    <row r="3306" spans="8:15">
      <c r="H3306" s="61"/>
      <c r="I3306" s="61"/>
      <c r="J3306" s="61"/>
      <c r="K3306" s="61"/>
      <c r="L3306" s="61"/>
    </row>
    <row r="3307" spans="8:15">
      <c r="H3307" s="51" t="s">
        <v>1275</v>
      </c>
    </row>
    <row r="3308" spans="8:15">
      <c r="M3308" s="139"/>
    </row>
    <row r="3309" spans="8:15">
      <c r="H3309" s="50" t="s">
        <v>105</v>
      </c>
      <c r="K3309" s="146"/>
      <c r="M3309" s="139"/>
    </row>
    <row r="3310" spans="8:15" ht="15.75" thickBot="1"/>
    <row r="3311" spans="8:15" ht="15.75" thickBot="1">
      <c r="H3311" s="891" t="s">
        <v>106</v>
      </c>
      <c r="I3311" s="892"/>
      <c r="J3311" s="892"/>
      <c r="K3311" s="893"/>
      <c r="M3311" s="50" t="s">
        <v>288</v>
      </c>
    </row>
    <row r="3312" spans="8:15" ht="30.75" thickBot="1">
      <c r="H3312" s="57" t="s">
        <v>100</v>
      </c>
      <c r="I3312" s="58" t="s">
        <v>108</v>
      </c>
      <c r="J3312" s="287" t="s">
        <v>109</v>
      </c>
      <c r="K3312" s="60" t="s">
        <v>110</v>
      </c>
    </row>
    <row r="3313" spans="8:15">
      <c r="H3313" s="71">
        <v>719</v>
      </c>
      <c r="I3313" s="73">
        <f>+O3295+O3297+O3299+O3301</f>
        <v>150000</v>
      </c>
      <c r="J3313" s="74">
        <f>+K3277</f>
        <v>37460000</v>
      </c>
      <c r="K3313" s="195">
        <f>+I3313+J3313</f>
        <v>37610000</v>
      </c>
    </row>
    <row r="3314" spans="8:15">
      <c r="H3314" s="72">
        <v>721</v>
      </c>
      <c r="I3314" s="80">
        <f>+O3296+O3298</f>
        <v>18680269</v>
      </c>
      <c r="J3314" s="74">
        <f>+K3278</f>
        <v>231629390</v>
      </c>
      <c r="K3314" s="195">
        <f>+I3314+J3314</f>
        <v>250309659</v>
      </c>
    </row>
    <row r="3315" spans="8:15">
      <c r="H3315" s="72">
        <v>722</v>
      </c>
      <c r="I3315" s="80"/>
      <c r="J3315" s="74">
        <f>+K3279</f>
        <v>5580000</v>
      </c>
      <c r="K3315" s="195">
        <f>+I3315+J3315</f>
        <v>5580000</v>
      </c>
    </row>
    <row r="3316" spans="8:15" ht="15.75">
      <c r="H3316" s="72">
        <v>723</v>
      </c>
      <c r="I3316" s="80"/>
      <c r="J3316" s="74">
        <f>+K3280</f>
        <v>19222983</v>
      </c>
      <c r="K3316" s="195">
        <f>+I3316+J3316</f>
        <v>19222983</v>
      </c>
      <c r="M3316" s="193" t="s">
        <v>289</v>
      </c>
      <c r="N3316" s="175"/>
    </row>
    <row r="3317" spans="8:15" ht="16.5" thickBot="1">
      <c r="H3317" s="164" t="s">
        <v>1077</v>
      </c>
      <c r="I3317" s="165"/>
      <c r="J3317" s="74">
        <f>+K3281</f>
        <v>797500</v>
      </c>
      <c r="K3317" s="196">
        <f>+I3317+J3317</f>
        <v>797500</v>
      </c>
      <c r="M3317" s="52"/>
    </row>
    <row r="3318" spans="8:15" ht="16.5" thickBot="1">
      <c r="H3318" s="169"/>
      <c r="I3318" s="197">
        <f>SUM(I3313:I3317)</f>
        <v>18830269</v>
      </c>
      <c r="J3318" s="197">
        <f>SUM(J3313:J3317)</f>
        <v>294689873</v>
      </c>
      <c r="K3318" s="198">
        <f>SUM(K3313:K3317)</f>
        <v>313520142</v>
      </c>
    </row>
    <row r="3319" spans="8:15" ht="16.5">
      <c r="H3319" s="49" t="s">
        <v>88</v>
      </c>
      <c r="I3319" s="50"/>
    </row>
    <row r="3320" spans="8:15">
      <c r="H3320" s="51" t="s">
        <v>89</v>
      </c>
    </row>
    <row r="3321" spans="8:15">
      <c r="H3321" s="51" t="s">
        <v>90</v>
      </c>
    </row>
    <row r="3322" spans="8:15">
      <c r="H3322" s="51" t="s">
        <v>91</v>
      </c>
    </row>
    <row r="3323" spans="8:15" ht="12" customHeight="1">
      <c r="H3323" s="50"/>
      <c r="I3323" s="50"/>
    </row>
    <row r="3324" spans="8:15" ht="15.75">
      <c r="H3324" s="260" t="s">
        <v>1279</v>
      </c>
      <c r="N3324" s="52"/>
    </row>
    <row r="3325" spans="8:15" ht="15.75">
      <c r="H3325" s="53" t="s">
        <v>535</v>
      </c>
      <c r="N3325" s="53"/>
    </row>
    <row r="3326" spans="8:15" ht="14.25" customHeight="1">
      <c r="H3326" s="894" t="s">
        <v>1288</v>
      </c>
      <c r="I3326" s="894"/>
      <c r="J3326" s="894"/>
      <c r="K3326" s="894"/>
      <c r="L3326" s="894"/>
      <c r="M3326" s="894"/>
      <c r="N3326" s="894"/>
      <c r="O3326" s="894"/>
    </row>
    <row r="3327" spans="8:15" ht="12.75" customHeight="1" thickBot="1"/>
    <row r="3328" spans="8:15">
      <c r="H3328" s="895" t="s">
        <v>94</v>
      </c>
      <c r="I3328" s="897" t="s">
        <v>95</v>
      </c>
      <c r="J3328" s="897" t="s">
        <v>96</v>
      </c>
      <c r="K3328" s="897" t="s">
        <v>3</v>
      </c>
      <c r="L3328" s="897" t="s">
        <v>97</v>
      </c>
      <c r="M3328" s="897" t="s">
        <v>98</v>
      </c>
      <c r="N3328" s="897" t="s">
        <v>99</v>
      </c>
      <c r="O3328" s="899"/>
    </row>
    <row r="3329" spans="8:15" ht="15.75" thickBot="1">
      <c r="H3329" s="896"/>
      <c r="I3329" s="898"/>
      <c r="J3329" s="898"/>
      <c r="K3329" s="898"/>
      <c r="L3329" s="898"/>
      <c r="M3329" s="898"/>
      <c r="N3329" s="240" t="s">
        <v>100</v>
      </c>
      <c r="O3329" s="182" t="s">
        <v>101</v>
      </c>
    </row>
    <row r="3330" spans="8:15" ht="12.75" customHeight="1">
      <c r="H3330" s="881">
        <v>355</v>
      </c>
      <c r="I3330" s="875">
        <v>42734</v>
      </c>
      <c r="J3330" s="877" t="s">
        <v>1280</v>
      </c>
      <c r="K3330" s="904">
        <v>42569</v>
      </c>
      <c r="L3330" s="881" t="s">
        <v>148</v>
      </c>
      <c r="M3330" s="883">
        <v>100000</v>
      </c>
      <c r="N3330" s="55">
        <v>719</v>
      </c>
      <c r="O3330" s="78">
        <v>0</v>
      </c>
    </row>
    <row r="3331" spans="8:15" ht="15.75" thickBot="1">
      <c r="H3331" s="882"/>
      <c r="I3331" s="876"/>
      <c r="J3331" s="878"/>
      <c r="K3331" s="880"/>
      <c r="L3331" s="882"/>
      <c r="M3331" s="884"/>
      <c r="N3331" s="56">
        <v>722</v>
      </c>
      <c r="O3331" s="351">
        <f>+M3330-O3330</f>
        <v>100000</v>
      </c>
    </row>
    <row r="3332" spans="8:15" ht="12" customHeight="1">
      <c r="H3332" s="881">
        <f>+H3330+1</f>
        <v>356</v>
      </c>
      <c r="I3332" s="875">
        <v>42734</v>
      </c>
      <c r="J3332" s="877" t="s">
        <v>1281</v>
      </c>
      <c r="K3332" s="904">
        <v>42569</v>
      </c>
      <c r="L3332" s="881" t="s">
        <v>148</v>
      </c>
      <c r="M3332" s="883">
        <v>100000</v>
      </c>
      <c r="N3332" s="55">
        <v>719</v>
      </c>
      <c r="O3332" s="78">
        <v>0</v>
      </c>
    </row>
    <row r="3333" spans="8:15" ht="15.75" customHeight="1" thickBot="1">
      <c r="H3333" s="882"/>
      <c r="I3333" s="876"/>
      <c r="J3333" s="878"/>
      <c r="K3333" s="880"/>
      <c r="L3333" s="882"/>
      <c r="M3333" s="884"/>
      <c r="N3333" s="56">
        <v>722</v>
      </c>
      <c r="O3333" s="352">
        <f>+M3332-O3332</f>
        <v>100000</v>
      </c>
    </row>
    <row r="3334" spans="8:15" ht="12.75" customHeight="1">
      <c r="H3334" s="881">
        <f>+H3332+1</f>
        <v>357</v>
      </c>
      <c r="I3334" s="875">
        <v>42734</v>
      </c>
      <c r="J3334" s="877" t="s">
        <v>1282</v>
      </c>
      <c r="K3334" s="904">
        <v>42569</v>
      </c>
      <c r="L3334" s="881" t="s">
        <v>148</v>
      </c>
      <c r="M3334" s="883">
        <v>100000</v>
      </c>
      <c r="N3334" s="55">
        <v>719</v>
      </c>
      <c r="O3334" s="78"/>
    </row>
    <row r="3335" spans="8:15" ht="15.75" customHeight="1" thickBot="1">
      <c r="H3335" s="882"/>
      <c r="I3335" s="876"/>
      <c r="J3335" s="878"/>
      <c r="K3335" s="880"/>
      <c r="L3335" s="882"/>
      <c r="M3335" s="884"/>
      <c r="N3335" s="56">
        <v>722</v>
      </c>
      <c r="O3335" s="352">
        <f>+M3334-O3334</f>
        <v>100000</v>
      </c>
    </row>
    <row r="3336" spans="8:15" ht="16.5" customHeight="1">
      <c r="H3336" s="881">
        <f>+H3334+1</f>
        <v>358</v>
      </c>
      <c r="I3336" s="875">
        <v>42734</v>
      </c>
      <c r="J3336" s="877" t="s">
        <v>1284</v>
      </c>
      <c r="K3336" s="904">
        <v>42569</v>
      </c>
      <c r="L3336" s="881" t="s">
        <v>148</v>
      </c>
      <c r="M3336" s="883">
        <v>100000</v>
      </c>
      <c r="N3336" s="55">
        <v>719</v>
      </c>
      <c r="O3336" s="78"/>
    </row>
    <row r="3337" spans="8:15" ht="15" customHeight="1" thickBot="1">
      <c r="H3337" s="882"/>
      <c r="I3337" s="876"/>
      <c r="J3337" s="878"/>
      <c r="K3337" s="907"/>
      <c r="L3337" s="882"/>
      <c r="M3337" s="884"/>
      <c r="N3337" s="56">
        <v>722</v>
      </c>
      <c r="O3337" s="352">
        <f>+M3336-O3336</f>
        <v>100000</v>
      </c>
    </row>
    <row r="3338" spans="8:15" ht="12.75" customHeight="1">
      <c r="H3338" s="881">
        <f>+H3336+1</f>
        <v>359</v>
      </c>
      <c r="I3338" s="875">
        <v>42734</v>
      </c>
      <c r="J3338" s="905" t="s">
        <v>1285</v>
      </c>
      <c r="K3338" s="904">
        <v>42570</v>
      </c>
      <c r="L3338" s="881" t="s">
        <v>148</v>
      </c>
      <c r="M3338" s="883">
        <v>100000</v>
      </c>
      <c r="N3338" s="55">
        <v>719</v>
      </c>
      <c r="O3338" s="78"/>
    </row>
    <row r="3339" spans="8:15" ht="14.25" customHeight="1" thickBot="1">
      <c r="H3339" s="882"/>
      <c r="I3339" s="876"/>
      <c r="J3339" s="906"/>
      <c r="K3339" s="907"/>
      <c r="L3339" s="882"/>
      <c r="M3339" s="884"/>
      <c r="N3339" s="56">
        <v>722</v>
      </c>
      <c r="O3339" s="352">
        <f>+M3338-O3338</f>
        <v>100000</v>
      </c>
    </row>
    <row r="3340" spans="8:15" ht="15" customHeight="1">
      <c r="H3340" s="881">
        <f>+H3338+1</f>
        <v>360</v>
      </c>
      <c r="I3340" s="875">
        <v>42734</v>
      </c>
      <c r="J3340" s="905" t="s">
        <v>1285</v>
      </c>
      <c r="K3340" s="904">
        <v>42570</v>
      </c>
      <c r="L3340" s="881" t="s">
        <v>148</v>
      </c>
      <c r="M3340" s="883">
        <v>100000</v>
      </c>
      <c r="N3340" s="55">
        <v>719</v>
      </c>
      <c r="O3340" s="78"/>
    </row>
    <row r="3341" spans="8:15" ht="15.75" customHeight="1" thickBot="1">
      <c r="H3341" s="882"/>
      <c r="I3341" s="876"/>
      <c r="J3341" s="906"/>
      <c r="K3341" s="907"/>
      <c r="L3341" s="882"/>
      <c r="M3341" s="884"/>
      <c r="N3341" s="56">
        <v>722</v>
      </c>
      <c r="O3341" s="79">
        <f>+M3340-O3340</f>
        <v>100000</v>
      </c>
    </row>
    <row r="3342" spans="8:15" ht="16.5" thickBot="1">
      <c r="H3342" s="901" t="s">
        <v>102</v>
      </c>
      <c r="I3342" s="902"/>
      <c r="J3342" s="902"/>
      <c r="K3342" s="902"/>
      <c r="L3342" s="903"/>
      <c r="M3342" s="81">
        <f>SUM(M3330:M3341)</f>
        <v>600000</v>
      </c>
    </row>
    <row r="3343" spans="8:15" ht="16.5" thickBot="1">
      <c r="H3343" s="885" t="s">
        <v>103</v>
      </c>
      <c r="I3343" s="886"/>
      <c r="J3343" s="886"/>
      <c r="K3343" s="886"/>
      <c r="L3343" s="887"/>
      <c r="M3343" s="69">
        <f>+M3305</f>
        <v>296997605</v>
      </c>
      <c r="N3343" s="241" t="s">
        <v>561</v>
      </c>
      <c r="O3343" s="242"/>
    </row>
    <row r="3344" spans="8:15" ht="16.5" thickBot="1">
      <c r="H3344" s="888" t="s">
        <v>104</v>
      </c>
      <c r="I3344" s="889"/>
      <c r="J3344" s="889"/>
      <c r="K3344" s="889"/>
      <c r="L3344" s="890"/>
      <c r="M3344" s="183">
        <f>SUM(M3342:M3343)</f>
        <v>297597605</v>
      </c>
    </row>
    <row r="3345" spans="8:14">
      <c r="H3345" s="61"/>
      <c r="I3345" s="61"/>
      <c r="J3345" s="61"/>
      <c r="K3345" s="61"/>
      <c r="L3345" s="61"/>
    </row>
    <row r="3346" spans="8:14">
      <c r="H3346" s="51" t="s">
        <v>1286</v>
      </c>
    </row>
    <row r="3347" spans="8:14" ht="11.25" customHeight="1">
      <c r="M3347" s="139"/>
    </row>
    <row r="3348" spans="8:14">
      <c r="H3348" s="50" t="s">
        <v>105</v>
      </c>
      <c r="K3348" s="146"/>
      <c r="M3348" s="139"/>
    </row>
    <row r="3349" spans="8:14" ht="13.5" customHeight="1" thickBot="1"/>
    <row r="3350" spans="8:14" ht="15.75" thickBot="1">
      <c r="H3350" s="891" t="s">
        <v>106</v>
      </c>
      <c r="I3350" s="892"/>
      <c r="J3350" s="892"/>
      <c r="K3350" s="893"/>
      <c r="M3350" s="50" t="s">
        <v>288</v>
      </c>
    </row>
    <row r="3351" spans="8:14" ht="30.75" thickBot="1">
      <c r="H3351" s="57" t="s">
        <v>100</v>
      </c>
      <c r="I3351" s="58" t="s">
        <v>108</v>
      </c>
      <c r="J3351" s="287" t="s">
        <v>109</v>
      </c>
      <c r="K3351" s="60" t="s">
        <v>110</v>
      </c>
    </row>
    <row r="3352" spans="8:14">
      <c r="H3352" s="71">
        <v>719</v>
      </c>
      <c r="I3352" s="73">
        <f>+O3330+O3332+O3338+O3340</f>
        <v>0</v>
      </c>
      <c r="J3352" s="74">
        <f>+K3313</f>
        <v>37610000</v>
      </c>
      <c r="K3352" s="195">
        <f>+I3352+J3352</f>
        <v>37610000</v>
      </c>
    </row>
    <row r="3353" spans="8:14">
      <c r="H3353" s="72">
        <v>721</v>
      </c>
      <c r="I3353" s="80"/>
      <c r="J3353" s="74">
        <f>+K3314</f>
        <v>250309659</v>
      </c>
      <c r="K3353" s="195">
        <f>+I3353+J3353</f>
        <v>250309659</v>
      </c>
    </row>
    <row r="3354" spans="8:14">
      <c r="H3354" s="72">
        <v>722</v>
      </c>
      <c r="I3354" s="80">
        <f>+O3341+O3339+O3335+O3333+O3331+O3337</f>
        <v>600000</v>
      </c>
      <c r="J3354" s="74">
        <f>+K3315</f>
        <v>5580000</v>
      </c>
      <c r="K3354" s="195">
        <f>+I3354+J3354</f>
        <v>6180000</v>
      </c>
    </row>
    <row r="3355" spans="8:14" ht="15.75">
      <c r="H3355" s="72">
        <v>723</v>
      </c>
      <c r="I3355" s="80"/>
      <c r="J3355" s="74">
        <f>+K3316</f>
        <v>19222983</v>
      </c>
      <c r="K3355" s="195">
        <f>+I3355+J3355</f>
        <v>19222983</v>
      </c>
      <c r="M3355" s="193" t="s">
        <v>289</v>
      </c>
      <c r="N3355" s="175"/>
    </row>
    <row r="3356" spans="8:14" ht="16.5" thickBot="1">
      <c r="H3356" s="164" t="s">
        <v>1077</v>
      </c>
      <c r="I3356" s="165"/>
      <c r="J3356" s="74">
        <f>+K3317</f>
        <v>797500</v>
      </c>
      <c r="K3356" s="196">
        <f>+I3356+J3356</f>
        <v>797500</v>
      </c>
      <c r="M3356" s="52"/>
    </row>
    <row r="3357" spans="8:14" ht="16.5" thickBot="1">
      <c r="H3357" s="169"/>
      <c r="I3357" s="197">
        <f>SUM(I3352:I3356)</f>
        <v>600000</v>
      </c>
      <c r="J3357" s="197">
        <f>SUM(J3352:J3356)</f>
        <v>313520142</v>
      </c>
      <c r="K3357" s="198">
        <f>SUM(K3352:K3356)</f>
        <v>314120142</v>
      </c>
    </row>
    <row r="3358" spans="8:14" ht="16.5">
      <c r="H3358" s="49" t="s">
        <v>88</v>
      </c>
      <c r="I3358" s="50"/>
    </row>
    <row r="3359" spans="8:14">
      <c r="H3359" s="51" t="s">
        <v>89</v>
      </c>
    </row>
    <row r="3360" spans="8:14">
      <c r="H3360" s="51" t="s">
        <v>90</v>
      </c>
    </row>
    <row r="3361" spans="8:15">
      <c r="H3361" s="51" t="s">
        <v>91</v>
      </c>
    </row>
    <row r="3362" spans="8:15">
      <c r="H3362" s="50"/>
      <c r="I3362" s="50"/>
    </row>
    <row r="3363" spans="8:15" ht="15.75">
      <c r="H3363" s="260" t="s">
        <v>1283</v>
      </c>
      <c r="N3363" s="52"/>
    </row>
    <row r="3364" spans="8:15" ht="15.75">
      <c r="H3364" s="53" t="s">
        <v>535</v>
      </c>
      <c r="N3364" s="53"/>
    </row>
    <row r="3365" spans="8:15" ht="16.5">
      <c r="H3365" s="894" t="s">
        <v>1288</v>
      </c>
      <c r="I3365" s="894"/>
      <c r="J3365" s="894"/>
      <c r="K3365" s="894"/>
      <c r="L3365" s="894"/>
      <c r="M3365" s="894"/>
      <c r="N3365" s="894"/>
      <c r="O3365" s="894"/>
    </row>
    <row r="3366" spans="8:15" ht="15.75" thickBot="1"/>
    <row r="3367" spans="8:15">
      <c r="H3367" s="895" t="s">
        <v>94</v>
      </c>
      <c r="I3367" s="897" t="s">
        <v>95</v>
      </c>
      <c r="J3367" s="897" t="s">
        <v>96</v>
      </c>
      <c r="K3367" s="897" t="s">
        <v>3</v>
      </c>
      <c r="L3367" s="897" t="s">
        <v>97</v>
      </c>
      <c r="M3367" s="897" t="s">
        <v>98</v>
      </c>
      <c r="N3367" s="897" t="s">
        <v>99</v>
      </c>
      <c r="O3367" s="899"/>
    </row>
    <row r="3368" spans="8:15" ht="15.75" thickBot="1">
      <c r="H3368" s="896"/>
      <c r="I3368" s="898"/>
      <c r="J3368" s="898"/>
      <c r="K3368" s="898"/>
      <c r="L3368" s="898"/>
      <c r="M3368" s="898"/>
      <c r="N3368" s="240" t="s">
        <v>100</v>
      </c>
      <c r="O3368" s="182" t="s">
        <v>101</v>
      </c>
    </row>
    <row r="3369" spans="8:15" ht="15" customHeight="1">
      <c r="H3369" s="873" t="s">
        <v>552</v>
      </c>
      <c r="I3369" s="875">
        <v>42735</v>
      </c>
      <c r="J3369" s="877" t="s">
        <v>790</v>
      </c>
      <c r="K3369" s="879" t="s">
        <v>1293</v>
      </c>
      <c r="L3369" s="881" t="s">
        <v>165</v>
      </c>
      <c r="M3369" s="883">
        <v>-401330</v>
      </c>
      <c r="N3369" s="55">
        <v>719</v>
      </c>
      <c r="O3369" s="78"/>
    </row>
    <row r="3370" spans="8:15" ht="15.75" thickBot="1">
      <c r="H3370" s="874"/>
      <c r="I3370" s="876"/>
      <c r="J3370" s="878"/>
      <c r="K3370" s="880"/>
      <c r="L3370" s="882"/>
      <c r="M3370" s="884"/>
      <c r="N3370" s="56">
        <v>723</v>
      </c>
      <c r="O3370" s="351">
        <f>+M3369-O3369</f>
        <v>-401330</v>
      </c>
    </row>
    <row r="3371" spans="8:15" ht="15" customHeight="1">
      <c r="H3371" s="873" t="s">
        <v>553</v>
      </c>
      <c r="I3371" s="875">
        <v>42735</v>
      </c>
      <c r="J3371" s="877" t="s">
        <v>791</v>
      </c>
      <c r="K3371" s="879" t="s">
        <v>1294</v>
      </c>
      <c r="L3371" s="881" t="s">
        <v>165</v>
      </c>
      <c r="M3371" s="883">
        <v>-164000</v>
      </c>
      <c r="N3371" s="55">
        <v>719</v>
      </c>
      <c r="O3371" s="78"/>
    </row>
    <row r="3372" spans="8:15" ht="15.75" customHeight="1" thickBot="1">
      <c r="H3372" s="874"/>
      <c r="I3372" s="876"/>
      <c r="J3372" s="878"/>
      <c r="K3372" s="880"/>
      <c r="L3372" s="882"/>
      <c r="M3372" s="884"/>
      <c r="N3372" s="56">
        <v>723</v>
      </c>
      <c r="O3372" s="352">
        <f>+M3371-O3371</f>
        <v>-164000</v>
      </c>
    </row>
    <row r="3373" spans="8:15" ht="15" customHeight="1">
      <c r="H3373" s="873"/>
      <c r="I3373" s="875"/>
      <c r="J3373" s="877"/>
      <c r="K3373" s="879"/>
      <c r="L3373" s="881"/>
      <c r="M3373" s="883"/>
      <c r="N3373" s="55">
        <v>719</v>
      </c>
      <c r="O3373" s="78"/>
    </row>
    <row r="3374" spans="8:15" ht="15.75" customHeight="1" thickBot="1">
      <c r="H3374" s="874"/>
      <c r="I3374" s="876"/>
      <c r="J3374" s="878"/>
      <c r="K3374" s="880"/>
      <c r="L3374" s="882"/>
      <c r="M3374" s="884"/>
      <c r="N3374" s="56">
        <v>722</v>
      </c>
      <c r="O3374" s="352"/>
    </row>
    <row r="3375" spans="8:15" ht="15" customHeight="1">
      <c r="H3375" s="873"/>
      <c r="I3375" s="875"/>
      <c r="J3375" s="877"/>
      <c r="K3375" s="879"/>
      <c r="L3375" s="881"/>
      <c r="M3375" s="883"/>
      <c r="N3375" s="55">
        <v>719</v>
      </c>
      <c r="O3375" s="78"/>
    </row>
    <row r="3376" spans="8:15" ht="15.75" customHeight="1" thickBot="1">
      <c r="H3376" s="874"/>
      <c r="I3376" s="876"/>
      <c r="J3376" s="878"/>
      <c r="K3376" s="880"/>
      <c r="L3376" s="882"/>
      <c r="M3376" s="884"/>
      <c r="N3376" s="56">
        <v>722</v>
      </c>
      <c r="O3376" s="79">
        <f>+M3375-O3375</f>
        <v>0</v>
      </c>
    </row>
    <row r="3377" spans="8:15" ht="16.5" thickBot="1">
      <c r="H3377" s="901" t="s">
        <v>102</v>
      </c>
      <c r="I3377" s="902"/>
      <c r="J3377" s="902"/>
      <c r="K3377" s="902"/>
      <c r="L3377" s="903"/>
      <c r="M3377" s="81">
        <f>SUM(M3369:M3376)</f>
        <v>-565330</v>
      </c>
    </row>
    <row r="3378" spans="8:15" ht="16.5" thickBot="1">
      <c r="H3378" s="885" t="s">
        <v>103</v>
      </c>
      <c r="I3378" s="886"/>
      <c r="J3378" s="886"/>
      <c r="K3378" s="886"/>
      <c r="L3378" s="887"/>
      <c r="M3378" s="69">
        <f>+M3344</f>
        <v>297597605</v>
      </c>
      <c r="N3378" s="241" t="s">
        <v>561</v>
      </c>
      <c r="O3378" s="242"/>
    </row>
    <row r="3379" spans="8:15" ht="16.5" thickBot="1">
      <c r="H3379" s="888" t="s">
        <v>104</v>
      </c>
      <c r="I3379" s="889"/>
      <c r="J3379" s="889"/>
      <c r="K3379" s="889"/>
      <c r="L3379" s="890"/>
      <c r="M3379" s="183">
        <f>SUM(M3377:M3378)</f>
        <v>297032275</v>
      </c>
    </row>
    <row r="3380" spans="8:15">
      <c r="H3380" s="61"/>
      <c r="I3380" s="61"/>
      <c r="J3380" s="61"/>
      <c r="K3380" s="61"/>
      <c r="L3380" s="61"/>
    </row>
    <row r="3381" spans="8:15">
      <c r="H3381" s="51" t="s">
        <v>1287</v>
      </c>
    </row>
    <row r="3382" spans="8:15">
      <c r="M3382" s="139"/>
    </row>
    <row r="3383" spans="8:15">
      <c r="H3383" s="50" t="s">
        <v>105</v>
      </c>
      <c r="K3383" s="146"/>
      <c r="M3383" s="139"/>
    </row>
    <row r="3384" spans="8:15" ht="15.75" thickBot="1"/>
    <row r="3385" spans="8:15" ht="15.75" thickBot="1">
      <c r="H3385" s="891" t="s">
        <v>106</v>
      </c>
      <c r="I3385" s="892"/>
      <c r="J3385" s="892"/>
      <c r="K3385" s="893"/>
      <c r="M3385" s="50" t="s">
        <v>288</v>
      </c>
    </row>
    <row r="3386" spans="8:15" ht="30.75" thickBot="1">
      <c r="H3386" s="57" t="s">
        <v>100</v>
      </c>
      <c r="I3386" s="58" t="s">
        <v>108</v>
      </c>
      <c r="J3386" s="287" t="s">
        <v>109</v>
      </c>
      <c r="K3386" s="60" t="s">
        <v>110</v>
      </c>
    </row>
    <row r="3387" spans="8:15">
      <c r="H3387" s="71">
        <v>719</v>
      </c>
      <c r="I3387" s="73">
        <f>+O3369+O3371+O3375</f>
        <v>0</v>
      </c>
      <c r="J3387" s="74">
        <f>+K3352</f>
        <v>37610000</v>
      </c>
      <c r="K3387" s="195">
        <f>+I3387+J3387</f>
        <v>37610000</v>
      </c>
    </row>
    <row r="3388" spans="8:15">
      <c r="H3388" s="72">
        <v>721</v>
      </c>
      <c r="I3388" s="80"/>
      <c r="J3388" s="74">
        <f>+K3353</f>
        <v>250309659</v>
      </c>
      <c r="K3388" s="195">
        <f>+I3388+J3388</f>
        <v>250309659</v>
      </c>
    </row>
    <row r="3389" spans="8:15">
      <c r="H3389" s="72">
        <v>722</v>
      </c>
      <c r="I3389" s="80"/>
      <c r="J3389" s="74">
        <f>+K3354</f>
        <v>6180000</v>
      </c>
      <c r="K3389" s="195">
        <f>+I3389+J3389</f>
        <v>6180000</v>
      </c>
    </row>
    <row r="3390" spans="8:15" ht="15.75">
      <c r="H3390" s="72">
        <v>723</v>
      </c>
      <c r="I3390" s="80">
        <f>+O3372+O3370</f>
        <v>-565330</v>
      </c>
      <c r="J3390" s="74">
        <f>+K3355</f>
        <v>19222983</v>
      </c>
      <c r="K3390" s="195">
        <f>+I3390+J3390</f>
        <v>18657653</v>
      </c>
      <c r="M3390" s="193" t="s">
        <v>289</v>
      </c>
      <c r="N3390" s="175"/>
    </row>
    <row r="3391" spans="8:15" ht="16.5" thickBot="1">
      <c r="H3391" s="164" t="s">
        <v>1077</v>
      </c>
      <c r="I3391" s="165"/>
      <c r="J3391" s="74">
        <f>+K3356</f>
        <v>797500</v>
      </c>
      <c r="K3391" s="196">
        <f>+I3391+J3391</f>
        <v>797500</v>
      </c>
      <c r="M3391" s="52"/>
    </row>
    <row r="3392" spans="8:15" ht="16.5" thickBot="1">
      <c r="H3392" s="169"/>
      <c r="I3392" s="197">
        <f>SUM(I3387:I3391)</f>
        <v>-565330</v>
      </c>
      <c r="J3392" s="197">
        <f>SUM(J3387:J3391)</f>
        <v>314120142</v>
      </c>
      <c r="K3392" s="198">
        <f>SUM(K3387:K3391)</f>
        <v>313554812</v>
      </c>
    </row>
    <row r="3393" spans="8:15" ht="15.75">
      <c r="H3393" s="397"/>
      <c r="I3393" s="398"/>
      <c r="J3393" s="398"/>
      <c r="K3393" s="399"/>
    </row>
    <row r="3394" spans="8:15" ht="16.5">
      <c r="H3394" s="49" t="s">
        <v>88</v>
      </c>
      <c r="I3394" s="50"/>
    </row>
    <row r="3395" spans="8:15">
      <c r="H3395" s="51" t="s">
        <v>89</v>
      </c>
    </row>
    <row r="3396" spans="8:15">
      <c r="H3396" s="51" t="s">
        <v>90</v>
      </c>
    </row>
    <row r="3397" spans="8:15">
      <c r="H3397" s="51" t="s">
        <v>91</v>
      </c>
    </row>
    <row r="3398" spans="8:15" ht="14.25" customHeight="1">
      <c r="H3398" s="50"/>
      <c r="I3398" s="50"/>
    </row>
    <row r="3399" spans="8:15" ht="15.75">
      <c r="H3399" s="260" t="s">
        <v>1289</v>
      </c>
      <c r="N3399" s="52"/>
    </row>
    <row r="3400" spans="8:15" ht="15.75">
      <c r="H3400" s="53" t="s">
        <v>535</v>
      </c>
      <c r="N3400" s="53"/>
    </row>
    <row r="3401" spans="8:15" ht="16.5">
      <c r="H3401" s="894" t="s">
        <v>1278</v>
      </c>
      <c r="I3401" s="894"/>
      <c r="J3401" s="894"/>
      <c r="K3401" s="894"/>
      <c r="L3401" s="894"/>
      <c r="M3401" s="894"/>
      <c r="N3401" s="894"/>
      <c r="O3401" s="894"/>
    </row>
    <row r="3402" spans="8:15" ht="15.75" thickBot="1"/>
    <row r="3403" spans="8:15">
      <c r="H3403" s="895" t="s">
        <v>94</v>
      </c>
      <c r="I3403" s="897" t="s">
        <v>95</v>
      </c>
      <c r="J3403" s="897" t="s">
        <v>96</v>
      </c>
      <c r="K3403" s="897" t="s">
        <v>3</v>
      </c>
      <c r="L3403" s="897" t="s">
        <v>97</v>
      </c>
      <c r="M3403" s="897" t="s">
        <v>98</v>
      </c>
      <c r="N3403" s="897" t="s">
        <v>99</v>
      </c>
      <c r="O3403" s="899"/>
    </row>
    <row r="3404" spans="8:15" ht="15.75" thickBot="1">
      <c r="H3404" s="896"/>
      <c r="I3404" s="898"/>
      <c r="J3404" s="898"/>
      <c r="K3404" s="898"/>
      <c r="L3404" s="898"/>
      <c r="M3404" s="898"/>
      <c r="N3404" s="240" t="s">
        <v>100</v>
      </c>
      <c r="O3404" s="182" t="s">
        <v>101</v>
      </c>
    </row>
    <row r="3405" spans="8:15" ht="15" customHeight="1">
      <c r="H3405" s="873" t="s">
        <v>1290</v>
      </c>
      <c r="I3405" s="875">
        <v>42734</v>
      </c>
      <c r="J3405" s="877" t="s">
        <v>1014</v>
      </c>
      <c r="K3405" s="879" t="s">
        <v>1293</v>
      </c>
      <c r="L3405" s="881" t="s">
        <v>115</v>
      </c>
      <c r="M3405" s="883">
        <v>50000</v>
      </c>
      <c r="N3405" s="55">
        <v>719</v>
      </c>
      <c r="O3405" s="78">
        <v>50000</v>
      </c>
    </row>
    <row r="3406" spans="8:15" ht="15.75" customHeight="1" thickBot="1">
      <c r="H3406" s="874"/>
      <c r="I3406" s="876"/>
      <c r="J3406" s="878"/>
      <c r="K3406" s="880"/>
      <c r="L3406" s="882"/>
      <c r="M3406" s="884"/>
      <c r="N3406" s="56">
        <v>723</v>
      </c>
      <c r="O3406" s="351">
        <f>+M3405-O3405</f>
        <v>0</v>
      </c>
    </row>
    <row r="3407" spans="8:15" ht="15" customHeight="1">
      <c r="H3407" s="873" t="s">
        <v>1291</v>
      </c>
      <c r="I3407" s="875">
        <v>42734</v>
      </c>
      <c r="J3407" s="877" t="s">
        <v>28</v>
      </c>
      <c r="K3407" s="879" t="s">
        <v>1294</v>
      </c>
      <c r="L3407" s="881" t="s">
        <v>115</v>
      </c>
      <c r="M3407" s="883">
        <v>50000</v>
      </c>
      <c r="N3407" s="55">
        <v>719</v>
      </c>
      <c r="O3407" s="78">
        <v>50000</v>
      </c>
    </row>
    <row r="3408" spans="8:15" ht="15.75" customHeight="1" thickBot="1">
      <c r="H3408" s="874"/>
      <c r="I3408" s="876"/>
      <c r="J3408" s="878"/>
      <c r="K3408" s="880"/>
      <c r="L3408" s="882"/>
      <c r="M3408" s="884"/>
      <c r="N3408" s="56">
        <v>723</v>
      </c>
      <c r="O3408" s="352">
        <f>+M3407-O3407</f>
        <v>0</v>
      </c>
    </row>
    <row r="3409" spans="8:15" ht="15" customHeight="1">
      <c r="H3409" s="873" t="s">
        <v>1292</v>
      </c>
      <c r="I3409" s="875">
        <v>42734</v>
      </c>
      <c r="J3409" s="877" t="s">
        <v>120</v>
      </c>
      <c r="K3409" s="879" t="s">
        <v>1294</v>
      </c>
      <c r="L3409" s="881" t="s">
        <v>115</v>
      </c>
      <c r="M3409" s="883">
        <v>140000</v>
      </c>
      <c r="N3409" s="55">
        <v>719</v>
      </c>
      <c r="O3409" s="78">
        <v>140000</v>
      </c>
    </row>
    <row r="3410" spans="8:15" ht="15.75" customHeight="1" thickBot="1">
      <c r="H3410" s="874"/>
      <c r="I3410" s="876"/>
      <c r="J3410" s="878"/>
      <c r="K3410" s="880"/>
      <c r="L3410" s="882"/>
      <c r="M3410" s="884"/>
      <c r="N3410" s="56">
        <v>722</v>
      </c>
      <c r="O3410" s="352">
        <f>+M3409-O3409</f>
        <v>0</v>
      </c>
    </row>
    <row r="3411" spans="8:15">
      <c r="H3411" s="881"/>
      <c r="I3411" s="875"/>
      <c r="J3411" s="877"/>
      <c r="K3411" s="904"/>
      <c r="L3411" s="881"/>
      <c r="M3411" s="883"/>
      <c r="N3411" s="55">
        <v>719</v>
      </c>
      <c r="O3411" s="78"/>
    </row>
    <row r="3412" spans="8:15" ht="15.75" thickBot="1">
      <c r="H3412" s="882"/>
      <c r="I3412" s="876"/>
      <c r="J3412" s="878"/>
      <c r="K3412" s="880"/>
      <c r="L3412" s="882"/>
      <c r="M3412" s="884"/>
      <c r="N3412" s="56">
        <v>722</v>
      </c>
      <c r="O3412" s="79">
        <f>+M3411-O3411</f>
        <v>0</v>
      </c>
    </row>
    <row r="3413" spans="8:15" ht="16.5" thickBot="1">
      <c r="H3413" s="901" t="s">
        <v>102</v>
      </c>
      <c r="I3413" s="902"/>
      <c r="J3413" s="902"/>
      <c r="K3413" s="902"/>
      <c r="L3413" s="903"/>
      <c r="M3413" s="81">
        <f>SUM(M3405:M3412)</f>
        <v>240000</v>
      </c>
    </row>
    <row r="3414" spans="8:15" ht="16.5" thickBot="1">
      <c r="H3414" s="885" t="s">
        <v>103</v>
      </c>
      <c r="I3414" s="886"/>
      <c r="J3414" s="886"/>
      <c r="K3414" s="886"/>
      <c r="L3414" s="887"/>
      <c r="M3414" s="69">
        <f>+M3379</f>
        <v>297032275</v>
      </c>
      <c r="N3414" s="241" t="s">
        <v>561</v>
      </c>
      <c r="O3414" s="242">
        <v>349</v>
      </c>
    </row>
    <row r="3415" spans="8:15" ht="16.5" thickBot="1">
      <c r="H3415" s="888" t="s">
        <v>104</v>
      </c>
      <c r="I3415" s="889"/>
      <c r="J3415" s="889"/>
      <c r="K3415" s="889"/>
      <c r="L3415" s="890"/>
      <c r="M3415" s="183">
        <f>SUM(M3413:M3414)</f>
        <v>297272275</v>
      </c>
    </row>
    <row r="3416" spans="8:15">
      <c r="H3416" s="61"/>
      <c r="I3416" s="61"/>
      <c r="J3416" s="61"/>
      <c r="K3416" s="61"/>
      <c r="L3416" s="61"/>
    </row>
    <row r="3417" spans="8:15">
      <c r="H3417" s="51" t="s">
        <v>1295</v>
      </c>
    </row>
    <row r="3418" spans="8:15">
      <c r="M3418" s="139"/>
    </row>
    <row r="3419" spans="8:15" ht="19.5" customHeight="1">
      <c r="H3419" s="50" t="s">
        <v>105</v>
      </c>
      <c r="K3419" s="146"/>
      <c r="M3419" s="139"/>
    </row>
    <row r="3420" spans="8:15" ht="18" customHeight="1" thickBot="1"/>
    <row r="3421" spans="8:15" ht="15.75" thickBot="1">
      <c r="H3421" s="891" t="s">
        <v>106</v>
      </c>
      <c r="I3421" s="892"/>
      <c r="J3421" s="892"/>
      <c r="K3421" s="893"/>
      <c r="M3421" s="50" t="s">
        <v>288</v>
      </c>
    </row>
    <row r="3422" spans="8:15" ht="30.75" thickBot="1">
      <c r="H3422" s="57" t="s">
        <v>100</v>
      </c>
      <c r="I3422" s="58" t="s">
        <v>108</v>
      </c>
      <c r="J3422" s="287" t="s">
        <v>109</v>
      </c>
      <c r="K3422" s="60" t="s">
        <v>110</v>
      </c>
    </row>
    <row r="3423" spans="8:15">
      <c r="H3423" s="71">
        <v>719</v>
      </c>
      <c r="I3423" s="73">
        <f>+O3405+O3407+O3411+O3409</f>
        <v>240000</v>
      </c>
      <c r="J3423" s="74">
        <f>+K3387</f>
        <v>37610000</v>
      </c>
      <c r="K3423" s="195">
        <f>+I3423+J3423</f>
        <v>37850000</v>
      </c>
    </row>
    <row r="3424" spans="8:15">
      <c r="H3424" s="72">
        <v>721</v>
      </c>
      <c r="I3424" s="80"/>
      <c r="J3424" s="74">
        <f>+K3388</f>
        <v>250309659</v>
      </c>
      <c r="K3424" s="195">
        <f>+I3424+J3424</f>
        <v>250309659</v>
      </c>
    </row>
    <row r="3425" spans="8:15">
      <c r="H3425" s="72">
        <v>722</v>
      </c>
      <c r="I3425" s="80"/>
      <c r="J3425" s="74">
        <f>+K3389</f>
        <v>6180000</v>
      </c>
      <c r="K3425" s="195">
        <f>+I3425+J3425</f>
        <v>6180000</v>
      </c>
    </row>
    <row r="3426" spans="8:15" ht="15.75">
      <c r="H3426" s="72">
        <v>723</v>
      </c>
      <c r="I3426" s="80">
        <f>+O3408+O3406</f>
        <v>0</v>
      </c>
      <c r="J3426" s="74">
        <f>+K3390</f>
        <v>18657653</v>
      </c>
      <c r="K3426" s="195">
        <f>+I3426+J3426</f>
        <v>18657653</v>
      </c>
      <c r="M3426" s="193" t="s">
        <v>289</v>
      </c>
      <c r="N3426" s="175"/>
    </row>
    <row r="3427" spans="8:15" ht="16.5" thickBot="1">
      <c r="H3427" s="164" t="s">
        <v>1077</v>
      </c>
      <c r="I3427" s="165"/>
      <c r="J3427" s="74">
        <f>+K3391</f>
        <v>797500</v>
      </c>
      <c r="K3427" s="196">
        <f>+I3427+J3427</f>
        <v>797500</v>
      </c>
      <c r="M3427" s="52"/>
    </row>
    <row r="3428" spans="8:15" ht="16.5" thickBot="1">
      <c r="H3428" s="169"/>
      <c r="I3428" s="197">
        <f>SUM(I3423:I3427)</f>
        <v>240000</v>
      </c>
      <c r="J3428" s="197">
        <f>SUM(J3423:J3427)</f>
        <v>313554812</v>
      </c>
      <c r="K3428" s="198">
        <f>SUM(K3423:K3427)</f>
        <v>313794812</v>
      </c>
    </row>
    <row r="3429" spans="8:15" ht="15.75">
      <c r="H3429" s="397"/>
      <c r="I3429" s="398"/>
      <c r="J3429" s="398"/>
      <c r="K3429" s="399"/>
    </row>
    <row r="3430" spans="8:15" ht="16.5">
      <c r="H3430" s="49" t="s">
        <v>88</v>
      </c>
      <c r="I3430" s="50"/>
    </row>
    <row r="3431" spans="8:15">
      <c r="H3431" s="50" t="s">
        <v>89</v>
      </c>
    </row>
    <row r="3432" spans="8:15">
      <c r="H3432" s="51" t="s">
        <v>90</v>
      </c>
    </row>
    <row r="3433" spans="8:15">
      <c r="H3433" s="51" t="s">
        <v>91</v>
      </c>
    </row>
    <row r="3434" spans="8:15" ht="9" customHeight="1">
      <c r="H3434" s="50"/>
      <c r="I3434" s="50"/>
    </row>
    <row r="3435" spans="8:15" ht="15.75">
      <c r="H3435" s="260" t="s">
        <v>1296</v>
      </c>
      <c r="N3435" s="52"/>
    </row>
    <row r="3436" spans="8:15" ht="15.75">
      <c r="H3436" s="53" t="s">
        <v>535</v>
      </c>
      <c r="N3436" s="53"/>
    </row>
    <row r="3437" spans="8:15" ht="15.75" customHeight="1">
      <c r="H3437" s="894" t="s">
        <v>1302</v>
      </c>
      <c r="I3437" s="894"/>
      <c r="J3437" s="894"/>
      <c r="K3437" s="894"/>
      <c r="L3437" s="894"/>
      <c r="M3437" s="894"/>
      <c r="N3437" s="894"/>
      <c r="O3437" s="894"/>
    </row>
    <row r="3438" spans="8:15" ht="12.75" customHeight="1" thickBot="1"/>
    <row r="3439" spans="8:15">
      <c r="H3439" s="895" t="s">
        <v>94</v>
      </c>
      <c r="I3439" s="897" t="s">
        <v>95</v>
      </c>
      <c r="J3439" s="897" t="s">
        <v>96</v>
      </c>
      <c r="K3439" s="897" t="s">
        <v>3</v>
      </c>
      <c r="L3439" s="897" t="s">
        <v>97</v>
      </c>
      <c r="M3439" s="897" t="s">
        <v>98</v>
      </c>
      <c r="N3439" s="897" t="s">
        <v>99</v>
      </c>
      <c r="O3439" s="899"/>
    </row>
    <row r="3440" spans="8:15" ht="15.75" thickBot="1">
      <c r="H3440" s="896"/>
      <c r="I3440" s="898"/>
      <c r="J3440" s="898"/>
      <c r="K3440" s="898"/>
      <c r="L3440" s="898"/>
      <c r="M3440" s="898"/>
      <c r="N3440" s="240" t="s">
        <v>100</v>
      </c>
      <c r="O3440" s="182" t="s">
        <v>101</v>
      </c>
    </row>
    <row r="3441" spans="8:15" ht="13.5" customHeight="1">
      <c r="H3441" s="873" t="s">
        <v>1297</v>
      </c>
      <c r="I3441" s="875">
        <v>42734</v>
      </c>
      <c r="J3441" s="400" t="s">
        <v>1267</v>
      </c>
      <c r="K3441" s="879" t="s">
        <v>1221</v>
      </c>
      <c r="L3441" s="881" t="s">
        <v>145</v>
      </c>
      <c r="M3441" s="883">
        <v>14718204</v>
      </c>
      <c r="N3441" s="55">
        <v>719</v>
      </c>
      <c r="O3441" s="78">
        <v>0</v>
      </c>
    </row>
    <row r="3442" spans="8:15" ht="14.25" customHeight="1" thickBot="1">
      <c r="H3442" s="874"/>
      <c r="I3442" s="876"/>
      <c r="J3442" s="402"/>
      <c r="K3442" s="880"/>
      <c r="L3442" s="882"/>
      <c r="M3442" s="884"/>
      <c r="N3442" s="56">
        <v>721</v>
      </c>
      <c r="O3442" s="351">
        <f>+M3441-O3441</f>
        <v>14718204</v>
      </c>
    </row>
    <row r="3443" spans="8:15" ht="13.5" customHeight="1">
      <c r="H3443" s="873" t="s">
        <v>1298</v>
      </c>
      <c r="I3443" s="875">
        <v>42734</v>
      </c>
      <c r="J3443" s="402"/>
      <c r="K3443" s="879" t="s">
        <v>1304</v>
      </c>
      <c r="L3443" s="881" t="s">
        <v>145</v>
      </c>
      <c r="M3443" s="883">
        <v>4941638</v>
      </c>
      <c r="N3443" s="55">
        <v>719</v>
      </c>
      <c r="O3443" s="78">
        <v>0</v>
      </c>
    </row>
    <row r="3444" spans="8:15" ht="15" customHeight="1" thickBot="1">
      <c r="H3444" s="874"/>
      <c r="I3444" s="876"/>
      <c r="J3444" s="402"/>
      <c r="K3444" s="880"/>
      <c r="L3444" s="882"/>
      <c r="M3444" s="884"/>
      <c r="N3444" s="56">
        <v>721</v>
      </c>
      <c r="O3444" s="352">
        <f>+M3443-O3443</f>
        <v>4941638</v>
      </c>
    </row>
    <row r="3445" spans="8:15" ht="15" customHeight="1">
      <c r="H3445" s="873" t="s">
        <v>1299</v>
      </c>
      <c r="I3445" s="875">
        <v>42734</v>
      </c>
      <c r="J3445" s="402"/>
      <c r="K3445" s="879" t="s">
        <v>1305</v>
      </c>
      <c r="L3445" s="881" t="s">
        <v>145</v>
      </c>
      <c r="M3445" s="883">
        <v>3962065</v>
      </c>
      <c r="N3445" s="55">
        <v>719</v>
      </c>
      <c r="O3445" s="78">
        <v>0</v>
      </c>
    </row>
    <row r="3446" spans="8:15" ht="15.75" customHeight="1" thickBot="1">
      <c r="H3446" s="874"/>
      <c r="I3446" s="876"/>
      <c r="J3446" s="402"/>
      <c r="K3446" s="880"/>
      <c r="L3446" s="882"/>
      <c r="M3446" s="884"/>
      <c r="N3446" s="56">
        <v>721</v>
      </c>
      <c r="O3446" s="352">
        <f>+M3445-O3445</f>
        <v>3962065</v>
      </c>
    </row>
    <row r="3447" spans="8:15" ht="14.25" customHeight="1">
      <c r="H3447" s="873" t="s">
        <v>1300</v>
      </c>
      <c r="I3447" s="875">
        <v>42734</v>
      </c>
      <c r="J3447" s="402"/>
      <c r="K3447" s="879" t="s">
        <v>1303</v>
      </c>
      <c r="L3447" s="881" t="s">
        <v>145</v>
      </c>
      <c r="M3447" s="883">
        <v>2449488</v>
      </c>
      <c r="N3447" s="55">
        <v>719</v>
      </c>
      <c r="O3447" s="78">
        <v>0</v>
      </c>
    </row>
    <row r="3448" spans="8:15" ht="14.25" customHeight="1" thickBot="1">
      <c r="H3448" s="874"/>
      <c r="I3448" s="876"/>
      <c r="J3448" s="402"/>
      <c r="K3448" s="880"/>
      <c r="L3448" s="882"/>
      <c r="M3448" s="884"/>
      <c r="N3448" s="56">
        <v>721</v>
      </c>
      <c r="O3448" s="352">
        <f>+M3447-O3447</f>
        <v>2449488</v>
      </c>
    </row>
    <row r="3449" spans="8:15" ht="13.5" customHeight="1">
      <c r="H3449" s="873" t="s">
        <v>1308</v>
      </c>
      <c r="I3449" s="875">
        <v>42734</v>
      </c>
      <c r="J3449" s="402"/>
      <c r="K3449" s="879" t="s">
        <v>1306</v>
      </c>
      <c r="L3449" s="881" t="s">
        <v>145</v>
      </c>
      <c r="M3449" s="883">
        <v>4151192</v>
      </c>
      <c r="N3449" s="55">
        <v>719</v>
      </c>
      <c r="O3449" s="78">
        <v>0</v>
      </c>
    </row>
    <row r="3450" spans="8:15" ht="15.75" customHeight="1" thickBot="1">
      <c r="H3450" s="874"/>
      <c r="I3450" s="876"/>
      <c r="J3450" s="402"/>
      <c r="K3450" s="880"/>
      <c r="L3450" s="882"/>
      <c r="M3450" s="884"/>
      <c r="N3450" s="56">
        <v>721</v>
      </c>
      <c r="O3450" s="352">
        <f>+M3449-O3449</f>
        <v>4151192</v>
      </c>
    </row>
    <row r="3451" spans="8:15" ht="12.75" customHeight="1">
      <c r="H3451" s="873" t="s">
        <v>1309</v>
      </c>
      <c r="I3451" s="875">
        <v>42734</v>
      </c>
      <c r="J3451" s="402"/>
      <c r="K3451" s="879" t="s">
        <v>1307</v>
      </c>
      <c r="L3451" s="881" t="s">
        <v>145</v>
      </c>
      <c r="M3451" s="883">
        <v>1734563</v>
      </c>
      <c r="N3451" s="55">
        <v>719</v>
      </c>
      <c r="O3451" s="78"/>
    </row>
    <row r="3452" spans="8:15" ht="12.75" customHeight="1" thickBot="1">
      <c r="H3452" s="874"/>
      <c r="I3452" s="876"/>
      <c r="J3452" s="401"/>
      <c r="K3452" s="880"/>
      <c r="L3452" s="882"/>
      <c r="M3452" s="884"/>
      <c r="N3452" s="56">
        <v>721</v>
      </c>
      <c r="O3452" s="79">
        <f>+M3451-O3451</f>
        <v>1734563</v>
      </c>
    </row>
    <row r="3453" spans="8:15" ht="16.5" thickBot="1">
      <c r="H3453" s="901" t="s">
        <v>102</v>
      </c>
      <c r="I3453" s="902"/>
      <c r="J3453" s="902"/>
      <c r="K3453" s="902"/>
      <c r="L3453" s="903"/>
      <c r="M3453" s="81">
        <f>SUM(M3441:M3452)</f>
        <v>31957150</v>
      </c>
    </row>
    <row r="3454" spans="8:15" ht="16.5" thickBot="1">
      <c r="H3454" s="885" t="s">
        <v>103</v>
      </c>
      <c r="I3454" s="886"/>
      <c r="J3454" s="886"/>
      <c r="K3454" s="886"/>
      <c r="L3454" s="887"/>
      <c r="M3454" s="69">
        <f>+M3415</f>
        <v>297272275</v>
      </c>
      <c r="N3454" s="241" t="s">
        <v>561</v>
      </c>
      <c r="O3454" s="242"/>
    </row>
    <row r="3455" spans="8:15" ht="16.5" thickBot="1">
      <c r="H3455" s="888" t="s">
        <v>104</v>
      </c>
      <c r="I3455" s="889"/>
      <c r="J3455" s="889"/>
      <c r="K3455" s="889"/>
      <c r="L3455" s="890"/>
      <c r="M3455" s="183">
        <f>SUM(M3453:M3454)</f>
        <v>329229425</v>
      </c>
    </row>
    <row r="3456" spans="8:15" ht="12.75" customHeight="1">
      <c r="H3456" s="61"/>
      <c r="I3456" s="61"/>
      <c r="J3456" s="61"/>
      <c r="K3456" s="61"/>
      <c r="L3456" s="61"/>
    </row>
    <row r="3457" spans="8:14">
      <c r="H3457" s="51" t="s">
        <v>1310</v>
      </c>
    </row>
    <row r="3458" spans="8:14" ht="8.25" customHeight="1">
      <c r="M3458" s="139"/>
    </row>
    <row r="3459" spans="8:14">
      <c r="H3459" s="50" t="s">
        <v>105</v>
      </c>
      <c r="K3459" s="146"/>
      <c r="M3459" s="139"/>
    </row>
    <row r="3460" spans="8:14" ht="9" customHeight="1" thickBot="1"/>
    <row r="3461" spans="8:14" ht="15.75" thickBot="1">
      <c r="H3461" s="891" t="s">
        <v>106</v>
      </c>
      <c r="I3461" s="892"/>
      <c r="J3461" s="892"/>
      <c r="K3461" s="893"/>
      <c r="M3461" s="50" t="s">
        <v>1126</v>
      </c>
    </row>
    <row r="3462" spans="8:14" ht="30.75" thickBot="1">
      <c r="H3462" s="57" t="s">
        <v>100</v>
      </c>
      <c r="I3462" s="58" t="s">
        <v>108</v>
      </c>
      <c r="J3462" s="287" t="s">
        <v>109</v>
      </c>
      <c r="K3462" s="60" t="s">
        <v>110</v>
      </c>
    </row>
    <row r="3463" spans="8:14">
      <c r="H3463" s="71">
        <v>719</v>
      </c>
      <c r="I3463" s="73">
        <f>+O3445+O3447+O3451+O3449</f>
        <v>0</v>
      </c>
      <c r="J3463" s="74">
        <f>+K3423</f>
        <v>37850000</v>
      </c>
      <c r="K3463" s="195">
        <f>+I3463+J3463</f>
        <v>37850000</v>
      </c>
    </row>
    <row r="3464" spans="8:14">
      <c r="H3464" s="72">
        <v>721</v>
      </c>
      <c r="I3464" s="80">
        <f>+O3452+O3450+O3448+O3446+O3444+O3442</f>
        <v>31957150</v>
      </c>
      <c r="J3464" s="74">
        <f>+K3424</f>
        <v>250309659</v>
      </c>
      <c r="K3464" s="195">
        <f>+I3464+J3464</f>
        <v>282266809</v>
      </c>
    </row>
    <row r="3465" spans="8:14">
      <c r="H3465" s="72">
        <v>722</v>
      </c>
      <c r="I3465" s="80"/>
      <c r="J3465" s="74">
        <f>+K3425</f>
        <v>6180000</v>
      </c>
      <c r="K3465" s="195">
        <f>+I3465+J3465</f>
        <v>6180000</v>
      </c>
    </row>
    <row r="3466" spans="8:14" ht="15.75">
      <c r="H3466" s="72">
        <v>723</v>
      </c>
      <c r="I3466" s="80"/>
      <c r="J3466" s="74">
        <f>+K3426</f>
        <v>18657653</v>
      </c>
      <c r="K3466" s="195">
        <f>+I3466+J3466</f>
        <v>18657653</v>
      </c>
      <c r="M3466" s="193" t="s">
        <v>1125</v>
      </c>
      <c r="N3466" s="175"/>
    </row>
    <row r="3467" spans="8:14" ht="16.5" thickBot="1">
      <c r="H3467" s="164" t="s">
        <v>1077</v>
      </c>
      <c r="I3467" s="165"/>
      <c r="J3467" s="74">
        <f>+K3427</f>
        <v>797500</v>
      </c>
      <c r="K3467" s="196">
        <f>+I3467+J3467</f>
        <v>797500</v>
      </c>
      <c r="M3467" s="52"/>
    </row>
    <row r="3468" spans="8:14" ht="16.5" thickBot="1">
      <c r="H3468" s="169"/>
      <c r="I3468" s="197">
        <f>SUM(I3463:I3467)</f>
        <v>31957150</v>
      </c>
      <c r="J3468" s="197">
        <f>SUM(J3463:J3467)</f>
        <v>313794812</v>
      </c>
      <c r="K3468" s="198">
        <f>SUM(K3463:K3467)</f>
        <v>345751962</v>
      </c>
    </row>
    <row r="3469" spans="8:14" ht="16.5">
      <c r="H3469" s="49" t="s">
        <v>88</v>
      </c>
      <c r="I3469" s="50"/>
    </row>
    <row r="3470" spans="8:14">
      <c r="H3470" s="51" t="s">
        <v>89</v>
      </c>
    </row>
    <row r="3471" spans="8:14">
      <c r="H3471" s="51" t="s">
        <v>90</v>
      </c>
    </row>
    <row r="3472" spans="8:14">
      <c r="H3472" s="51" t="s">
        <v>91</v>
      </c>
    </row>
    <row r="3473" spans="8:15">
      <c r="H3473" s="50"/>
      <c r="I3473" s="50"/>
    </row>
    <row r="3474" spans="8:15" ht="15.75">
      <c r="H3474" s="260" t="s">
        <v>1312</v>
      </c>
      <c r="N3474" s="52"/>
    </row>
    <row r="3475" spans="8:15" ht="15.75">
      <c r="H3475" s="53" t="s">
        <v>535</v>
      </c>
      <c r="N3475" s="53"/>
    </row>
    <row r="3476" spans="8:15" ht="16.5">
      <c r="H3476" s="894" t="s">
        <v>1316</v>
      </c>
      <c r="I3476" s="894"/>
      <c r="J3476" s="894"/>
      <c r="K3476" s="894"/>
      <c r="L3476" s="894"/>
      <c r="M3476" s="894"/>
      <c r="N3476" s="894"/>
      <c r="O3476" s="894"/>
    </row>
    <row r="3477" spans="8:15" ht="15.75" thickBot="1"/>
    <row r="3478" spans="8:15">
      <c r="H3478" s="895" t="s">
        <v>94</v>
      </c>
      <c r="I3478" s="897" t="s">
        <v>95</v>
      </c>
      <c r="J3478" s="897" t="s">
        <v>96</v>
      </c>
      <c r="K3478" s="897" t="s">
        <v>3</v>
      </c>
      <c r="L3478" s="897" t="s">
        <v>97</v>
      </c>
      <c r="M3478" s="897" t="s">
        <v>98</v>
      </c>
      <c r="N3478" s="897" t="s">
        <v>99</v>
      </c>
      <c r="O3478" s="899"/>
    </row>
    <row r="3479" spans="8:15" ht="15.75" thickBot="1">
      <c r="H3479" s="896"/>
      <c r="I3479" s="898"/>
      <c r="J3479" s="898"/>
      <c r="K3479" s="898"/>
      <c r="L3479" s="898"/>
      <c r="M3479" s="898"/>
      <c r="N3479" s="240" t="s">
        <v>100</v>
      </c>
      <c r="O3479" s="182" t="s">
        <v>101</v>
      </c>
    </row>
    <row r="3480" spans="8:15">
      <c r="H3480" s="873" t="s">
        <v>1311</v>
      </c>
      <c r="I3480" s="875">
        <v>42734</v>
      </c>
      <c r="J3480" s="877" t="s">
        <v>1315</v>
      </c>
      <c r="K3480" s="879" t="s">
        <v>1301</v>
      </c>
      <c r="L3480" s="881" t="s">
        <v>148</v>
      </c>
      <c r="M3480" s="883">
        <v>1817700</v>
      </c>
      <c r="N3480" s="55">
        <v>719</v>
      </c>
      <c r="O3480" s="78"/>
    </row>
    <row r="3481" spans="8:15" ht="15.75" thickBot="1">
      <c r="H3481" s="874"/>
      <c r="I3481" s="876"/>
      <c r="J3481" s="878"/>
      <c r="K3481" s="880"/>
      <c r="L3481" s="882"/>
      <c r="M3481" s="884"/>
      <c r="N3481" s="56">
        <v>723</v>
      </c>
      <c r="O3481" s="351">
        <f>+M3480-O3480</f>
        <v>1817700</v>
      </c>
    </row>
    <row r="3482" spans="8:15">
      <c r="H3482" s="873"/>
      <c r="I3482" s="875"/>
      <c r="J3482" s="877"/>
      <c r="K3482" s="879"/>
      <c r="L3482" s="881"/>
      <c r="M3482" s="883"/>
      <c r="N3482" s="55">
        <v>719</v>
      </c>
      <c r="O3482" s="78"/>
    </row>
    <row r="3483" spans="8:15" ht="15.75" thickBot="1">
      <c r="H3483" s="874"/>
      <c r="I3483" s="876"/>
      <c r="J3483" s="878"/>
      <c r="K3483" s="880"/>
      <c r="L3483" s="882"/>
      <c r="M3483" s="884"/>
      <c r="N3483" s="56">
        <v>723</v>
      </c>
      <c r="O3483" s="352">
        <f>+M3482-O3482</f>
        <v>0</v>
      </c>
    </row>
    <row r="3484" spans="8:15">
      <c r="H3484" s="873"/>
      <c r="I3484" s="875"/>
      <c r="J3484" s="877"/>
      <c r="K3484" s="879"/>
      <c r="L3484" s="881"/>
      <c r="M3484" s="883"/>
      <c r="N3484" s="55">
        <v>719</v>
      </c>
      <c r="O3484" s="78"/>
    </row>
    <row r="3485" spans="8:15" ht="15.75" thickBot="1">
      <c r="H3485" s="874"/>
      <c r="I3485" s="876"/>
      <c r="J3485" s="878"/>
      <c r="K3485" s="880"/>
      <c r="L3485" s="882"/>
      <c r="M3485" s="884"/>
      <c r="N3485" s="56">
        <v>722</v>
      </c>
      <c r="O3485" s="352">
        <f>+M3484-O3484</f>
        <v>0</v>
      </c>
    </row>
    <row r="3486" spans="8:15">
      <c r="H3486" s="881"/>
      <c r="I3486" s="875"/>
      <c r="J3486" s="877"/>
      <c r="K3486" s="904"/>
      <c r="L3486" s="881"/>
      <c r="M3486" s="883"/>
      <c r="N3486" s="55">
        <v>719</v>
      </c>
      <c r="O3486" s="78"/>
    </row>
    <row r="3487" spans="8:15" ht="15.75" thickBot="1">
      <c r="H3487" s="882"/>
      <c r="I3487" s="876"/>
      <c r="J3487" s="878"/>
      <c r="K3487" s="880"/>
      <c r="L3487" s="882"/>
      <c r="M3487" s="884"/>
      <c r="N3487" s="56">
        <v>722</v>
      </c>
      <c r="O3487" s="79">
        <f>+M3486-O3486</f>
        <v>0</v>
      </c>
    </row>
    <row r="3488" spans="8:15" ht="16.5" thickBot="1">
      <c r="H3488" s="901" t="s">
        <v>102</v>
      </c>
      <c r="I3488" s="902"/>
      <c r="J3488" s="902"/>
      <c r="K3488" s="902"/>
      <c r="L3488" s="903"/>
      <c r="M3488" s="81">
        <f>SUM(M3480:M3487)</f>
        <v>1817700</v>
      </c>
    </row>
    <row r="3489" spans="8:15" ht="16.5" thickBot="1">
      <c r="H3489" s="885" t="s">
        <v>103</v>
      </c>
      <c r="I3489" s="886"/>
      <c r="J3489" s="886"/>
      <c r="K3489" s="886"/>
      <c r="L3489" s="887"/>
      <c r="M3489" s="69">
        <f>+M3455</f>
        <v>329229425</v>
      </c>
      <c r="N3489" s="241" t="s">
        <v>561</v>
      </c>
      <c r="O3489" s="242"/>
    </row>
    <row r="3490" spans="8:15" ht="16.5" thickBot="1">
      <c r="H3490" s="888" t="s">
        <v>104</v>
      </c>
      <c r="I3490" s="889"/>
      <c r="J3490" s="889"/>
      <c r="K3490" s="889"/>
      <c r="L3490" s="890"/>
      <c r="M3490" s="183">
        <f>SUM(M3488:M3489)</f>
        <v>331047125</v>
      </c>
    </row>
    <row r="3491" spans="8:15">
      <c r="H3491" s="61"/>
      <c r="I3491" s="61"/>
      <c r="J3491" s="61"/>
      <c r="K3491" s="61"/>
      <c r="L3491" s="61"/>
    </row>
    <row r="3492" spans="8:15">
      <c r="H3492" s="51" t="s">
        <v>1314</v>
      </c>
    </row>
    <row r="3493" spans="8:15">
      <c r="M3493" s="139"/>
    </row>
    <row r="3494" spans="8:15">
      <c r="H3494" s="50" t="s">
        <v>105</v>
      </c>
      <c r="K3494" s="146"/>
      <c r="M3494" s="139"/>
    </row>
    <row r="3495" spans="8:15" ht="15.75" thickBot="1"/>
    <row r="3496" spans="8:15" ht="15.75" thickBot="1">
      <c r="H3496" s="891" t="s">
        <v>106</v>
      </c>
      <c r="I3496" s="892"/>
      <c r="J3496" s="892"/>
      <c r="K3496" s="893"/>
      <c r="M3496" s="50" t="s">
        <v>1313</v>
      </c>
    </row>
    <row r="3497" spans="8:15" ht="30.75" thickBot="1">
      <c r="H3497" s="57" t="s">
        <v>100</v>
      </c>
      <c r="I3497" s="58" t="s">
        <v>108</v>
      </c>
      <c r="J3497" s="287" t="s">
        <v>109</v>
      </c>
      <c r="K3497" s="60" t="s">
        <v>110</v>
      </c>
    </row>
    <row r="3498" spans="8:15">
      <c r="H3498" s="71">
        <v>719</v>
      </c>
      <c r="I3498" s="73"/>
      <c r="J3498" s="74">
        <f>+K3463</f>
        <v>37850000</v>
      </c>
      <c r="K3498" s="195">
        <f>+I3498+J3498</f>
        <v>37850000</v>
      </c>
    </row>
    <row r="3499" spans="8:15">
      <c r="H3499" s="72">
        <v>721</v>
      </c>
      <c r="I3499" s="80"/>
      <c r="J3499" s="74">
        <f>+K3464</f>
        <v>282266809</v>
      </c>
      <c r="K3499" s="195">
        <f>+I3499+J3499</f>
        <v>282266809</v>
      </c>
    </row>
    <row r="3500" spans="8:15">
      <c r="H3500" s="72">
        <v>722</v>
      </c>
      <c r="I3500" s="80"/>
      <c r="J3500" s="74">
        <f>+K3465</f>
        <v>6180000</v>
      </c>
      <c r="K3500" s="195">
        <f>+I3500+J3500</f>
        <v>6180000</v>
      </c>
    </row>
    <row r="3501" spans="8:15" ht="15.75">
      <c r="H3501" s="72">
        <v>723</v>
      </c>
      <c r="I3501" s="80">
        <f>+O3481</f>
        <v>1817700</v>
      </c>
      <c r="J3501" s="74">
        <f>+K3466</f>
        <v>18657653</v>
      </c>
      <c r="K3501" s="195">
        <f>+I3501+J3501</f>
        <v>20475353</v>
      </c>
      <c r="M3501" s="193" t="s">
        <v>1125</v>
      </c>
      <c r="N3501" s="175"/>
    </row>
    <row r="3502" spans="8:15" ht="16.5" thickBot="1">
      <c r="H3502" s="164" t="s">
        <v>1077</v>
      </c>
      <c r="I3502" s="165"/>
      <c r="J3502" s="74">
        <f>+K3467</f>
        <v>797500</v>
      </c>
      <c r="K3502" s="196">
        <f>+I3502+J3502</f>
        <v>797500</v>
      </c>
      <c r="M3502" s="52"/>
    </row>
    <row r="3503" spans="8:15" ht="16.5" thickBot="1">
      <c r="H3503" s="169"/>
      <c r="I3503" s="197">
        <f>SUM(I3498:I3502)</f>
        <v>1817700</v>
      </c>
      <c r="J3503" s="197">
        <f>SUM(J3498:J3502)</f>
        <v>345751962</v>
      </c>
      <c r="K3503" s="198">
        <f>SUM(K3498:K3502)</f>
        <v>347569662</v>
      </c>
    </row>
    <row r="3504" spans="8:15" ht="15.75">
      <c r="H3504" s="397"/>
      <c r="I3504" s="398"/>
      <c r="J3504" s="398"/>
      <c r="K3504" s="399"/>
    </row>
    <row r="3505" spans="8:15" ht="16.5">
      <c r="H3505" s="49" t="s">
        <v>88</v>
      </c>
      <c r="I3505" s="50"/>
    </row>
    <row r="3506" spans="8:15">
      <c r="H3506" s="51" t="s">
        <v>89</v>
      </c>
    </row>
    <row r="3507" spans="8:15">
      <c r="H3507" s="51" t="s">
        <v>90</v>
      </c>
    </row>
    <row r="3508" spans="8:15">
      <c r="H3508" s="51" t="s">
        <v>91</v>
      </c>
    </row>
    <row r="3509" spans="8:15">
      <c r="H3509" s="50"/>
      <c r="I3509" s="50"/>
    </row>
    <row r="3510" spans="8:15" ht="15.75">
      <c r="H3510" s="260" t="s">
        <v>1320</v>
      </c>
      <c r="N3510" s="52"/>
    </row>
    <row r="3511" spans="8:15" ht="15.75">
      <c r="H3511" s="53" t="s">
        <v>535</v>
      </c>
      <c r="N3511" s="53"/>
    </row>
    <row r="3512" spans="8:15" ht="16.5">
      <c r="H3512" s="894" t="s">
        <v>1317</v>
      </c>
      <c r="I3512" s="894"/>
      <c r="J3512" s="894"/>
      <c r="K3512" s="894"/>
      <c r="L3512" s="894"/>
      <c r="M3512" s="894"/>
      <c r="N3512" s="894"/>
      <c r="O3512" s="894"/>
    </row>
    <row r="3513" spans="8:15" ht="15.75" thickBot="1"/>
    <row r="3514" spans="8:15">
      <c r="H3514" s="895" t="s">
        <v>94</v>
      </c>
      <c r="I3514" s="897" t="s">
        <v>95</v>
      </c>
      <c r="J3514" s="897" t="s">
        <v>96</v>
      </c>
      <c r="K3514" s="897" t="s">
        <v>3</v>
      </c>
      <c r="L3514" s="897" t="s">
        <v>97</v>
      </c>
      <c r="M3514" s="897" t="s">
        <v>98</v>
      </c>
      <c r="N3514" s="897" t="s">
        <v>99</v>
      </c>
      <c r="O3514" s="899"/>
    </row>
    <row r="3515" spans="8:15" ht="15.75" thickBot="1">
      <c r="H3515" s="896"/>
      <c r="I3515" s="898"/>
      <c r="J3515" s="898"/>
      <c r="K3515" s="898"/>
      <c r="L3515" s="898"/>
      <c r="M3515" s="898"/>
      <c r="N3515" s="240" t="s">
        <v>100</v>
      </c>
      <c r="O3515" s="182" t="s">
        <v>101</v>
      </c>
    </row>
    <row r="3516" spans="8:15" ht="15" customHeight="1">
      <c r="H3516" s="873" t="s">
        <v>554</v>
      </c>
      <c r="I3516" s="875">
        <v>42735</v>
      </c>
      <c r="J3516" s="877" t="s">
        <v>1267</v>
      </c>
      <c r="K3516" s="879" t="s">
        <v>1221</v>
      </c>
      <c r="L3516" s="881" t="s">
        <v>145</v>
      </c>
      <c r="M3516" s="883">
        <v>-14718204</v>
      </c>
      <c r="N3516" s="55">
        <v>719</v>
      </c>
      <c r="O3516" s="78"/>
    </row>
    <row r="3517" spans="8:15" ht="15.75" customHeight="1" thickBot="1">
      <c r="H3517" s="874"/>
      <c r="I3517" s="876"/>
      <c r="J3517" s="900"/>
      <c r="K3517" s="880"/>
      <c r="L3517" s="882"/>
      <c r="M3517" s="884"/>
      <c r="N3517" s="56">
        <v>721</v>
      </c>
      <c r="O3517" s="351">
        <f>+M3516-O3516</f>
        <v>-14718204</v>
      </c>
    </row>
    <row r="3518" spans="8:15" ht="15" customHeight="1">
      <c r="H3518" s="873" t="s">
        <v>1318</v>
      </c>
      <c r="I3518" s="875">
        <v>42735</v>
      </c>
      <c r="J3518" s="900"/>
      <c r="K3518" s="879" t="s">
        <v>1305</v>
      </c>
      <c r="L3518" s="881" t="s">
        <v>145</v>
      </c>
      <c r="M3518" s="883">
        <v>-3962065</v>
      </c>
      <c r="N3518" s="55">
        <v>719</v>
      </c>
      <c r="O3518" s="78"/>
    </row>
    <row r="3519" spans="8:15" ht="15.75" customHeight="1" thickBot="1">
      <c r="H3519" s="874"/>
      <c r="I3519" s="876"/>
      <c r="J3519" s="878"/>
      <c r="K3519" s="880"/>
      <c r="L3519" s="882"/>
      <c r="M3519" s="884"/>
      <c r="N3519" s="56">
        <v>721</v>
      </c>
      <c r="O3519" s="352">
        <f>+M3518-O3518</f>
        <v>-3962065</v>
      </c>
    </row>
    <row r="3520" spans="8:15" ht="15.75" customHeight="1">
      <c r="H3520" s="462"/>
      <c r="I3520" s="252"/>
      <c r="J3520" s="253"/>
      <c r="K3520" s="463"/>
      <c r="L3520" s="251"/>
      <c r="M3520" s="254"/>
      <c r="N3520" s="255"/>
      <c r="O3520" s="464"/>
    </row>
    <row r="3521" spans="8:15" ht="15.75" customHeight="1">
      <c r="H3521" s="462"/>
      <c r="I3521" s="252"/>
      <c r="J3521" s="253"/>
      <c r="K3521" s="463"/>
      <c r="L3521" s="251"/>
      <c r="M3521" s="254"/>
      <c r="N3521" s="255"/>
      <c r="O3521" s="464"/>
    </row>
    <row r="3522" spans="8:15" ht="15.75" customHeight="1">
      <c r="H3522" s="462"/>
      <c r="I3522" s="252"/>
      <c r="J3522" s="253"/>
      <c r="K3522" s="463"/>
      <c r="L3522" s="251"/>
      <c r="M3522" s="254"/>
      <c r="N3522" s="255"/>
      <c r="O3522" s="464"/>
    </row>
    <row r="3523" spans="8:15" ht="15.75" customHeight="1" thickBot="1">
      <c r="H3523" s="462"/>
      <c r="I3523" s="252"/>
      <c r="J3523" s="253"/>
      <c r="K3523" s="463"/>
      <c r="L3523" s="251"/>
      <c r="M3523" s="254"/>
      <c r="N3523" s="255"/>
      <c r="O3523" s="464"/>
    </row>
    <row r="3524" spans="8:15" ht="15" customHeight="1">
      <c r="H3524" s="873"/>
      <c r="I3524" s="875"/>
      <c r="J3524" s="877"/>
      <c r="K3524" s="879"/>
      <c r="L3524" s="881"/>
      <c r="M3524" s="883"/>
      <c r="N3524" s="55">
        <v>719</v>
      </c>
      <c r="O3524" s="78"/>
    </row>
    <row r="3525" spans="8:15" ht="15.75" customHeight="1" thickBot="1">
      <c r="H3525" s="874"/>
      <c r="I3525" s="876"/>
      <c r="J3525" s="878"/>
      <c r="K3525" s="880"/>
      <c r="L3525" s="882"/>
      <c r="M3525" s="884"/>
      <c r="N3525" s="56">
        <v>722</v>
      </c>
      <c r="O3525" s="352"/>
    </row>
    <row r="3526" spans="8:15" ht="15" customHeight="1">
      <c r="H3526" s="873"/>
      <c r="I3526" s="875"/>
      <c r="J3526" s="877"/>
      <c r="K3526" s="879"/>
      <c r="L3526" s="881"/>
      <c r="M3526" s="883"/>
      <c r="N3526" s="55">
        <v>719</v>
      </c>
      <c r="O3526" s="78"/>
    </row>
    <row r="3527" spans="8:15" ht="15.75" customHeight="1" thickBot="1">
      <c r="H3527" s="874"/>
      <c r="I3527" s="876"/>
      <c r="J3527" s="878"/>
      <c r="K3527" s="880"/>
      <c r="L3527" s="882"/>
      <c r="M3527" s="884"/>
      <c r="N3527" s="56">
        <v>722</v>
      </c>
      <c r="O3527" s="79">
        <f>+M3526-O3526</f>
        <v>0</v>
      </c>
    </row>
    <row r="3528" spans="8:15" ht="16.5" thickBot="1">
      <c r="H3528" s="901" t="s">
        <v>102</v>
      </c>
      <c r="I3528" s="902"/>
      <c r="J3528" s="902"/>
      <c r="K3528" s="902"/>
      <c r="L3528" s="903"/>
      <c r="M3528" s="81">
        <f>SUM(M3516:M3527)</f>
        <v>-18680269</v>
      </c>
    </row>
    <row r="3529" spans="8:15" ht="16.5" thickBot="1">
      <c r="H3529" s="885" t="s">
        <v>103</v>
      </c>
      <c r="I3529" s="886"/>
      <c r="J3529" s="886"/>
      <c r="K3529" s="886"/>
      <c r="L3529" s="887"/>
      <c r="M3529" s="69">
        <f>+M3490</f>
        <v>331047125</v>
      </c>
      <c r="N3529" s="241" t="s">
        <v>561</v>
      </c>
      <c r="O3529" s="242"/>
    </row>
    <row r="3530" spans="8:15" ht="16.5" thickBot="1">
      <c r="H3530" s="888" t="s">
        <v>104</v>
      </c>
      <c r="I3530" s="889"/>
      <c r="J3530" s="889"/>
      <c r="K3530" s="889"/>
      <c r="L3530" s="890"/>
      <c r="M3530" s="183">
        <f>SUM(M3528:M3529)</f>
        <v>312366856</v>
      </c>
    </row>
    <row r="3531" spans="8:15">
      <c r="H3531" s="61"/>
      <c r="I3531" s="61"/>
      <c r="J3531" s="61"/>
      <c r="K3531" s="61"/>
      <c r="L3531" s="61"/>
    </row>
    <row r="3532" spans="8:15">
      <c r="H3532" s="51" t="s">
        <v>1319</v>
      </c>
    </row>
    <row r="3533" spans="8:15">
      <c r="M3533" s="139"/>
    </row>
    <row r="3534" spans="8:15">
      <c r="H3534" s="50" t="s">
        <v>105</v>
      </c>
      <c r="K3534" s="146"/>
      <c r="M3534" s="139"/>
    </row>
    <row r="3535" spans="8:15" ht="15.75" thickBot="1"/>
    <row r="3536" spans="8:15" ht="15.75" thickBot="1">
      <c r="H3536" s="891" t="s">
        <v>106</v>
      </c>
      <c r="I3536" s="892"/>
      <c r="J3536" s="892"/>
      <c r="K3536" s="893"/>
      <c r="M3536" s="50" t="s">
        <v>288</v>
      </c>
    </row>
    <row r="3537" spans="8:15" ht="30.75" thickBot="1">
      <c r="H3537" s="57" t="s">
        <v>100</v>
      </c>
      <c r="I3537" s="58" t="s">
        <v>108</v>
      </c>
      <c r="J3537" s="287" t="s">
        <v>109</v>
      </c>
      <c r="K3537" s="60" t="s">
        <v>110</v>
      </c>
    </row>
    <row r="3538" spans="8:15">
      <c r="H3538" s="71">
        <v>719</v>
      </c>
      <c r="I3538" s="73">
        <f>+O3516+O3518+O3526</f>
        <v>0</v>
      </c>
      <c r="J3538" s="74">
        <f>+K3498</f>
        <v>37850000</v>
      </c>
      <c r="K3538" s="195">
        <f>+I3538+J3538</f>
        <v>37850000</v>
      </c>
    </row>
    <row r="3539" spans="8:15">
      <c r="H3539" s="72">
        <v>721</v>
      </c>
      <c r="I3539" s="80">
        <f>+O3517+O3519</f>
        <v>-18680269</v>
      </c>
      <c r="J3539" s="74">
        <f>+K3499</f>
        <v>282266809</v>
      </c>
      <c r="K3539" s="195">
        <f>+I3539+J3539</f>
        <v>263586540</v>
      </c>
    </row>
    <row r="3540" spans="8:15" ht="15.75">
      <c r="H3540" s="72">
        <v>722</v>
      </c>
      <c r="I3540" s="80"/>
      <c r="J3540" s="74">
        <f>+K3500</f>
        <v>6180000</v>
      </c>
      <c r="K3540" s="195">
        <f>+I3540+J3540</f>
        <v>6180000</v>
      </c>
      <c r="M3540" s="193" t="s">
        <v>1125</v>
      </c>
    </row>
    <row r="3541" spans="8:15" ht="15.75">
      <c r="H3541" s="72">
        <v>723</v>
      </c>
      <c r="I3541" s="80"/>
      <c r="J3541" s="74">
        <f>+K3501</f>
        <v>20475353</v>
      </c>
      <c r="K3541" s="195">
        <f>+I3541+J3541</f>
        <v>20475353</v>
      </c>
      <c r="M3541" s="193"/>
      <c r="N3541" s="175"/>
    </row>
    <row r="3542" spans="8:15" ht="16.5" thickBot="1">
      <c r="H3542" s="164" t="s">
        <v>1077</v>
      </c>
      <c r="I3542" s="165"/>
      <c r="J3542" s="74">
        <f>+K3502</f>
        <v>797500</v>
      </c>
      <c r="K3542" s="196">
        <f>+I3542+J3542</f>
        <v>797500</v>
      </c>
      <c r="M3542" s="52"/>
    </row>
    <row r="3543" spans="8:15" ht="16.5" thickBot="1">
      <c r="H3543" s="169"/>
      <c r="I3543" s="197">
        <f>SUM(I3538:I3542)</f>
        <v>-18680269</v>
      </c>
      <c r="J3543" s="197">
        <f>SUM(J3538:J3542)</f>
        <v>347569662</v>
      </c>
      <c r="K3543" s="198">
        <f>SUM(K3538:K3542)</f>
        <v>328889393</v>
      </c>
    </row>
    <row r="3544" spans="8:15" ht="15.75">
      <c r="H3544" s="397"/>
      <c r="I3544" s="398"/>
      <c r="J3544" s="398"/>
      <c r="K3544" s="399"/>
    </row>
    <row r="3545" spans="8:15" ht="16.5">
      <c r="H3545" s="49" t="s">
        <v>88</v>
      </c>
      <c r="I3545" s="50"/>
    </row>
    <row r="3546" spans="8:15">
      <c r="H3546" s="51" t="s">
        <v>89</v>
      </c>
    </row>
    <row r="3547" spans="8:15">
      <c r="H3547" s="51" t="s">
        <v>90</v>
      </c>
    </row>
    <row r="3548" spans="8:15">
      <c r="H3548" s="51" t="s">
        <v>91</v>
      </c>
    </row>
    <row r="3549" spans="8:15">
      <c r="H3549" s="50"/>
      <c r="I3549" s="50"/>
    </row>
    <row r="3550" spans="8:15" ht="15.75">
      <c r="H3550" s="260" t="s">
        <v>1322</v>
      </c>
      <c r="N3550" s="52"/>
    </row>
    <row r="3551" spans="8:15" ht="15.75">
      <c r="H3551" s="53" t="s">
        <v>535</v>
      </c>
      <c r="N3551" s="53"/>
    </row>
    <row r="3552" spans="8:15" ht="16.5">
      <c r="H3552" s="894" t="s">
        <v>1328</v>
      </c>
      <c r="I3552" s="894"/>
      <c r="J3552" s="894"/>
      <c r="K3552" s="894"/>
      <c r="L3552" s="894"/>
      <c r="M3552" s="894"/>
      <c r="N3552" s="894"/>
      <c r="O3552" s="894"/>
    </row>
    <row r="3553" spans="8:15" ht="15.75" thickBot="1"/>
    <row r="3554" spans="8:15">
      <c r="H3554" s="895" t="s">
        <v>94</v>
      </c>
      <c r="I3554" s="897" t="s">
        <v>95</v>
      </c>
      <c r="J3554" s="897" t="s">
        <v>96</v>
      </c>
      <c r="K3554" s="897" t="s">
        <v>3</v>
      </c>
      <c r="L3554" s="897" t="s">
        <v>97</v>
      </c>
      <c r="M3554" s="897" t="s">
        <v>98</v>
      </c>
      <c r="N3554" s="897" t="s">
        <v>99</v>
      </c>
      <c r="O3554" s="899"/>
    </row>
    <row r="3555" spans="8:15" ht="15.75" thickBot="1">
      <c r="H3555" s="896"/>
      <c r="I3555" s="898"/>
      <c r="J3555" s="898"/>
      <c r="K3555" s="898"/>
      <c r="L3555" s="898"/>
      <c r="M3555" s="898"/>
      <c r="N3555" s="240" t="s">
        <v>100</v>
      </c>
      <c r="O3555" s="182" t="s">
        <v>101</v>
      </c>
    </row>
    <row r="3556" spans="8:15">
      <c r="H3556" s="873" t="s">
        <v>1323</v>
      </c>
      <c r="I3556" s="875">
        <v>42735</v>
      </c>
      <c r="J3556" s="877" t="s">
        <v>1267</v>
      </c>
      <c r="K3556" s="879" t="s">
        <v>1325</v>
      </c>
      <c r="L3556" s="881" t="s">
        <v>145</v>
      </c>
      <c r="M3556" s="883">
        <v>3379917</v>
      </c>
      <c r="N3556" s="55">
        <v>719</v>
      </c>
      <c r="O3556" s="78"/>
    </row>
    <row r="3557" spans="8:15" ht="15.75" thickBot="1">
      <c r="H3557" s="874"/>
      <c r="I3557" s="876"/>
      <c r="J3557" s="900"/>
      <c r="K3557" s="880"/>
      <c r="L3557" s="882"/>
      <c r="M3557" s="884"/>
      <c r="N3557" s="56">
        <v>721</v>
      </c>
      <c r="O3557" s="351">
        <f>+M3556-O3556</f>
        <v>3379917</v>
      </c>
    </row>
    <row r="3558" spans="8:15">
      <c r="H3558" s="873" t="s">
        <v>1324</v>
      </c>
      <c r="I3558" s="875">
        <v>42735</v>
      </c>
      <c r="J3558" s="900"/>
      <c r="K3558" s="879" t="s">
        <v>1326</v>
      </c>
      <c r="L3558" s="881" t="s">
        <v>145</v>
      </c>
      <c r="M3558" s="883">
        <v>1673382</v>
      </c>
      <c r="N3558" s="55">
        <v>719</v>
      </c>
      <c r="O3558" s="78"/>
    </row>
    <row r="3559" spans="8:15" ht="15.75" thickBot="1">
      <c r="H3559" s="874"/>
      <c r="I3559" s="876"/>
      <c r="J3559" s="878"/>
      <c r="K3559" s="880"/>
      <c r="L3559" s="882"/>
      <c r="M3559" s="884"/>
      <c r="N3559" s="56">
        <v>721</v>
      </c>
      <c r="O3559" s="352">
        <f>+M3558-O3558</f>
        <v>1673382</v>
      </c>
    </row>
    <row r="3560" spans="8:15" ht="16.5">
      <c r="H3560" s="462"/>
      <c r="I3560" s="252"/>
      <c r="J3560" s="253"/>
      <c r="K3560" s="463"/>
      <c r="L3560" s="251"/>
      <c r="M3560" s="254"/>
      <c r="N3560" s="255"/>
      <c r="O3560" s="464"/>
    </row>
    <row r="3561" spans="8:15" ht="16.5">
      <c r="H3561" s="462"/>
      <c r="I3561" s="252"/>
      <c r="J3561" s="253"/>
      <c r="K3561" s="463"/>
      <c r="L3561" s="251"/>
      <c r="M3561" s="254"/>
      <c r="N3561" s="255"/>
      <c r="O3561" s="464"/>
    </row>
    <row r="3562" spans="8:15" ht="16.5">
      <c r="H3562" s="462"/>
      <c r="I3562" s="252"/>
      <c r="J3562" s="253"/>
      <c r="K3562" s="463"/>
      <c r="L3562" s="251"/>
      <c r="M3562" s="254"/>
      <c r="N3562" s="255"/>
      <c r="O3562" s="464"/>
    </row>
    <row r="3563" spans="8:15" ht="16.5">
      <c r="H3563" s="462"/>
      <c r="I3563" s="252"/>
      <c r="J3563" s="253"/>
      <c r="K3563" s="463"/>
      <c r="L3563" s="251"/>
      <c r="M3563" s="254"/>
      <c r="N3563" s="255"/>
      <c r="O3563" s="464"/>
    </row>
    <row r="3564" spans="8:15" ht="16.5">
      <c r="H3564" s="462"/>
      <c r="I3564" s="252"/>
      <c r="J3564" s="253"/>
      <c r="K3564" s="463"/>
      <c r="L3564" s="251"/>
      <c r="M3564" s="254"/>
      <c r="N3564" s="255"/>
      <c r="O3564" s="464"/>
    </row>
    <row r="3565" spans="8:15" ht="16.5">
      <c r="H3565" s="462"/>
      <c r="I3565" s="252"/>
      <c r="J3565" s="253"/>
      <c r="K3565" s="463"/>
      <c r="L3565" s="251"/>
      <c r="M3565" s="254"/>
      <c r="N3565" s="255"/>
      <c r="O3565" s="464"/>
    </row>
    <row r="3566" spans="8:15" ht="16.5">
      <c r="H3566" s="462"/>
      <c r="I3566" s="252"/>
      <c r="J3566" s="253"/>
      <c r="K3566" s="463"/>
      <c r="L3566" s="251"/>
      <c r="M3566" s="254"/>
      <c r="N3566" s="255"/>
      <c r="O3566" s="464"/>
    </row>
    <row r="3567" spans="8:15" ht="16.5">
      <c r="H3567" s="462"/>
      <c r="I3567" s="252"/>
      <c r="J3567" s="253"/>
      <c r="K3567" s="463"/>
      <c r="L3567" s="251"/>
      <c r="M3567" s="254"/>
      <c r="N3567" s="255"/>
      <c r="O3567" s="464"/>
    </row>
    <row r="3568" spans="8:15" ht="16.5">
      <c r="H3568" s="462"/>
      <c r="I3568" s="252"/>
      <c r="J3568" s="253"/>
      <c r="K3568" s="463"/>
      <c r="L3568" s="251"/>
      <c r="M3568" s="254"/>
      <c r="N3568" s="255"/>
      <c r="O3568" s="464"/>
    </row>
    <row r="3569" spans="8:15" ht="16.5">
      <c r="H3569" s="462"/>
      <c r="I3569" s="252"/>
      <c r="J3569" s="253"/>
      <c r="K3569" s="463"/>
      <c r="L3569" s="251"/>
      <c r="M3569" s="254"/>
      <c r="N3569" s="255"/>
      <c r="O3569" s="464"/>
    </row>
    <row r="3570" spans="8:15" ht="16.5">
      <c r="H3570" s="462"/>
      <c r="I3570" s="252"/>
      <c r="J3570" s="253"/>
      <c r="K3570" s="463"/>
      <c r="L3570" s="251"/>
      <c r="M3570" s="254"/>
      <c r="N3570" s="255"/>
      <c r="O3570" s="464"/>
    </row>
    <row r="3571" spans="8:15" ht="17.25" thickBot="1">
      <c r="H3571" s="462"/>
      <c r="I3571" s="252"/>
      <c r="J3571" s="253"/>
      <c r="K3571" s="463"/>
      <c r="L3571" s="251"/>
      <c r="M3571" s="254"/>
      <c r="N3571" s="255"/>
      <c r="O3571" s="464"/>
    </row>
    <row r="3572" spans="8:15" ht="15" customHeight="1">
      <c r="H3572" s="873"/>
      <c r="I3572" s="875"/>
      <c r="J3572" s="877"/>
      <c r="K3572" s="879"/>
      <c r="L3572" s="881"/>
      <c r="M3572" s="883"/>
      <c r="N3572" s="55">
        <v>719</v>
      </c>
      <c r="O3572" s="78"/>
    </row>
    <row r="3573" spans="8:15" ht="15.75" customHeight="1" thickBot="1">
      <c r="H3573" s="874"/>
      <c r="I3573" s="876"/>
      <c r="J3573" s="878"/>
      <c r="K3573" s="880"/>
      <c r="L3573" s="882"/>
      <c r="M3573" s="884"/>
      <c r="N3573" s="56">
        <v>722</v>
      </c>
      <c r="O3573" s="352"/>
    </row>
    <row r="3574" spans="8:15" ht="15" customHeight="1">
      <c r="H3574" s="873"/>
      <c r="I3574" s="875"/>
      <c r="J3574" s="877"/>
      <c r="K3574" s="879"/>
      <c r="L3574" s="881"/>
      <c r="M3574" s="883"/>
      <c r="N3574" s="55">
        <v>719</v>
      </c>
      <c r="O3574" s="78"/>
    </row>
    <row r="3575" spans="8:15" ht="15.75" customHeight="1" thickBot="1">
      <c r="H3575" s="874"/>
      <c r="I3575" s="876"/>
      <c r="J3575" s="878"/>
      <c r="K3575" s="880"/>
      <c r="L3575" s="882"/>
      <c r="M3575" s="884"/>
      <c r="N3575" s="56">
        <v>722</v>
      </c>
      <c r="O3575" s="79">
        <f>+M3574-O3574</f>
        <v>0</v>
      </c>
    </row>
    <row r="3576" spans="8:15" ht="16.5" thickBot="1">
      <c r="H3576" s="901" t="s">
        <v>102</v>
      </c>
      <c r="I3576" s="902"/>
      <c r="J3576" s="902"/>
      <c r="K3576" s="902"/>
      <c r="L3576" s="903"/>
      <c r="M3576" s="81">
        <f>SUM(M3556:M3575)</f>
        <v>5053299</v>
      </c>
    </row>
    <row r="3577" spans="8:15" ht="16.5" thickBot="1">
      <c r="H3577" s="885" t="s">
        <v>103</v>
      </c>
      <c r="I3577" s="886"/>
      <c r="J3577" s="886"/>
      <c r="K3577" s="886"/>
      <c r="L3577" s="887"/>
      <c r="M3577" s="69">
        <f>+M3530</f>
        <v>312366856</v>
      </c>
      <c r="N3577" s="241" t="s">
        <v>561</v>
      </c>
      <c r="O3577" s="242"/>
    </row>
    <row r="3578" spans="8:15" ht="16.5" thickBot="1">
      <c r="H3578" s="888" t="s">
        <v>104</v>
      </c>
      <c r="I3578" s="889"/>
      <c r="J3578" s="889"/>
      <c r="K3578" s="889"/>
      <c r="L3578" s="890"/>
      <c r="M3578" s="183">
        <f>SUM(M3576:M3577)</f>
        <v>317420155</v>
      </c>
    </row>
    <row r="3579" spans="8:15">
      <c r="H3579" s="61"/>
      <c r="I3579" s="61"/>
      <c r="J3579" s="61"/>
      <c r="K3579" s="61"/>
      <c r="L3579" s="61"/>
    </row>
    <row r="3580" spans="8:15">
      <c r="H3580" s="51" t="s">
        <v>1327</v>
      </c>
    </row>
    <row r="3581" spans="8:15">
      <c r="M3581" s="139"/>
    </row>
    <row r="3582" spans="8:15">
      <c r="H3582" s="50" t="s">
        <v>105</v>
      </c>
      <c r="K3582" s="146"/>
      <c r="M3582" s="139"/>
    </row>
    <row r="3583" spans="8:15" ht="15.75" thickBot="1"/>
    <row r="3584" spans="8:15" ht="15.75" thickBot="1">
      <c r="H3584" s="891" t="s">
        <v>106</v>
      </c>
      <c r="I3584" s="892"/>
      <c r="J3584" s="892"/>
      <c r="K3584" s="893"/>
      <c r="M3584" s="50" t="s">
        <v>288</v>
      </c>
    </row>
    <row r="3585" spans="8:15" ht="30.75" thickBot="1">
      <c r="H3585" s="57" t="s">
        <v>100</v>
      </c>
      <c r="I3585" s="58" t="s">
        <v>108</v>
      </c>
      <c r="J3585" s="287" t="s">
        <v>109</v>
      </c>
      <c r="K3585" s="60" t="s">
        <v>110</v>
      </c>
    </row>
    <row r="3586" spans="8:15">
      <c r="H3586" s="71">
        <v>719</v>
      </c>
      <c r="I3586" s="73">
        <f>+O3556+O3558+O3574</f>
        <v>0</v>
      </c>
      <c r="J3586" s="74">
        <f>+K3538</f>
        <v>37850000</v>
      </c>
      <c r="K3586" s="195">
        <f>+I3586+J3586</f>
        <v>37850000</v>
      </c>
    </row>
    <row r="3587" spans="8:15">
      <c r="H3587" s="72">
        <v>721</v>
      </c>
      <c r="I3587" s="80">
        <f>+O3557+O3559</f>
        <v>5053299</v>
      </c>
      <c r="J3587" s="74">
        <f>+K3539</f>
        <v>263586540</v>
      </c>
      <c r="K3587" s="195">
        <f>+I3587+J3587</f>
        <v>268639839</v>
      </c>
    </row>
    <row r="3588" spans="8:15" ht="15.75">
      <c r="H3588" s="72">
        <v>722</v>
      </c>
      <c r="I3588" s="80"/>
      <c r="J3588" s="74">
        <f>+K3540</f>
        <v>6180000</v>
      </c>
      <c r="K3588" s="195">
        <f>+I3588+J3588</f>
        <v>6180000</v>
      </c>
      <c r="M3588" s="193" t="s">
        <v>23</v>
      </c>
    </row>
    <row r="3589" spans="8:15" ht="15.75">
      <c r="H3589" s="72">
        <v>723</v>
      </c>
      <c r="I3589" s="80"/>
      <c r="J3589" s="74">
        <f>+K3541</f>
        <v>20475353</v>
      </c>
      <c r="K3589" s="195">
        <f>+I3589+J3589</f>
        <v>20475353</v>
      </c>
      <c r="M3589" s="193"/>
      <c r="N3589" s="175"/>
    </row>
    <row r="3590" spans="8:15" ht="16.5" thickBot="1">
      <c r="H3590" s="164" t="s">
        <v>1077</v>
      </c>
      <c r="I3590" s="165"/>
      <c r="J3590" s="74">
        <f>+K3542</f>
        <v>797500</v>
      </c>
      <c r="K3590" s="196">
        <f>+I3590+J3590</f>
        <v>797500</v>
      </c>
      <c r="M3590" s="52"/>
    </row>
    <row r="3591" spans="8:15" ht="16.5" thickBot="1">
      <c r="H3591" s="169"/>
      <c r="I3591" s="197">
        <f>SUM(I3586:I3590)</f>
        <v>5053299</v>
      </c>
      <c r="J3591" s="197">
        <f>SUM(J3586:J3590)</f>
        <v>328889393</v>
      </c>
      <c r="K3591" s="198">
        <f>SUM(K3586:K3590)</f>
        <v>333942692</v>
      </c>
    </row>
    <row r="3592" spans="8:15" ht="16.5">
      <c r="H3592" s="49" t="s">
        <v>88</v>
      </c>
      <c r="I3592" s="50"/>
    </row>
    <row r="3593" spans="8:15">
      <c r="H3593" s="51" t="s">
        <v>89</v>
      </c>
    </row>
    <row r="3594" spans="8:15">
      <c r="H3594" s="51" t="s">
        <v>90</v>
      </c>
    </row>
    <row r="3595" spans="8:15">
      <c r="H3595" s="51" t="s">
        <v>91</v>
      </c>
    </row>
    <row r="3596" spans="8:15" ht="10.5" customHeight="1">
      <c r="H3596" s="50"/>
      <c r="I3596" s="50"/>
    </row>
    <row r="3597" spans="8:15" ht="15.75">
      <c r="H3597" s="260" t="s">
        <v>1699</v>
      </c>
      <c r="N3597" s="52"/>
    </row>
    <row r="3598" spans="8:15" ht="15.75">
      <c r="H3598" s="53" t="s">
        <v>1623</v>
      </c>
      <c r="N3598" s="53"/>
    </row>
    <row r="3599" spans="8:15" ht="16.5">
      <c r="H3599" s="894" t="s">
        <v>1700</v>
      </c>
      <c r="I3599" s="894"/>
      <c r="J3599" s="894"/>
      <c r="K3599" s="894"/>
      <c r="L3599" s="894"/>
      <c r="M3599" s="894"/>
      <c r="N3599" s="894"/>
      <c r="O3599" s="894"/>
    </row>
    <row r="3600" spans="8:15" ht="15.75" thickBot="1"/>
    <row r="3601" spans="8:15">
      <c r="H3601" s="895" t="s">
        <v>94</v>
      </c>
      <c r="I3601" s="897" t="s">
        <v>95</v>
      </c>
      <c r="J3601" s="897" t="s">
        <v>96</v>
      </c>
      <c r="K3601" s="897" t="s">
        <v>3</v>
      </c>
      <c r="L3601" s="897" t="s">
        <v>97</v>
      </c>
      <c r="M3601" s="897" t="s">
        <v>98</v>
      </c>
      <c r="N3601" s="897" t="s">
        <v>99</v>
      </c>
      <c r="O3601" s="899"/>
    </row>
    <row r="3602" spans="8:15" ht="15.75" thickBot="1">
      <c r="H3602" s="896"/>
      <c r="I3602" s="898"/>
      <c r="J3602" s="898"/>
      <c r="K3602" s="898"/>
      <c r="L3602" s="898"/>
      <c r="M3602" s="898"/>
      <c r="N3602" s="240" t="s">
        <v>100</v>
      </c>
      <c r="O3602" s="182" t="s">
        <v>101</v>
      </c>
    </row>
    <row r="3603" spans="8:15">
      <c r="H3603" s="873" t="s">
        <v>1698</v>
      </c>
      <c r="I3603" s="875">
        <v>43464</v>
      </c>
      <c r="J3603" s="877" t="s">
        <v>815</v>
      </c>
      <c r="K3603" s="879" t="s">
        <v>1697</v>
      </c>
      <c r="L3603" s="881" t="s">
        <v>115</v>
      </c>
      <c r="M3603" s="883">
        <v>681500</v>
      </c>
      <c r="N3603" s="55">
        <v>719</v>
      </c>
      <c r="O3603" s="78">
        <v>517000</v>
      </c>
    </row>
    <row r="3604" spans="8:15" ht="15.75" thickBot="1">
      <c r="H3604" s="874"/>
      <c r="I3604" s="876"/>
      <c r="J3604" s="900"/>
      <c r="K3604" s="880"/>
      <c r="L3604" s="882"/>
      <c r="M3604" s="884"/>
      <c r="N3604" s="56">
        <v>721</v>
      </c>
      <c r="O3604" s="351">
        <f>+M3603-O3603</f>
        <v>164500</v>
      </c>
    </row>
    <row r="3605" spans="8:15" ht="15" customHeight="1">
      <c r="H3605" s="873"/>
      <c r="I3605" s="875"/>
      <c r="J3605" s="877"/>
      <c r="K3605" s="879"/>
      <c r="L3605" s="881"/>
      <c r="M3605" s="883"/>
      <c r="N3605" s="55">
        <v>719</v>
      </c>
      <c r="O3605" s="78"/>
    </row>
    <row r="3606" spans="8:15" ht="15.75" customHeight="1" thickBot="1">
      <c r="H3606" s="874"/>
      <c r="I3606" s="876"/>
      <c r="J3606" s="878"/>
      <c r="K3606" s="880"/>
      <c r="L3606" s="882"/>
      <c r="M3606" s="884"/>
      <c r="N3606" s="56">
        <v>722</v>
      </c>
      <c r="O3606" s="352">
        <f>+M3605-O3605</f>
        <v>0</v>
      </c>
    </row>
    <row r="3607" spans="8:15">
      <c r="H3607" s="873"/>
      <c r="I3607" s="875"/>
      <c r="J3607" s="877"/>
      <c r="K3607" s="879"/>
      <c r="L3607" s="881"/>
      <c r="M3607" s="883"/>
      <c r="N3607" s="55">
        <v>719</v>
      </c>
      <c r="O3607" s="78"/>
    </row>
    <row r="3608" spans="8:15" ht="15.75" thickBot="1">
      <c r="H3608" s="874"/>
      <c r="I3608" s="876"/>
      <c r="J3608" s="878"/>
      <c r="K3608" s="880"/>
      <c r="L3608" s="882"/>
      <c r="M3608" s="884"/>
      <c r="N3608" s="56">
        <v>722</v>
      </c>
      <c r="O3608" s="79">
        <f>+M3607-O3607</f>
        <v>0</v>
      </c>
    </row>
    <row r="3609" spans="8:15" ht="16.5" thickBot="1">
      <c r="H3609" s="901" t="s">
        <v>102</v>
      </c>
      <c r="I3609" s="902"/>
      <c r="J3609" s="902"/>
      <c r="K3609" s="902"/>
      <c r="L3609" s="903"/>
      <c r="M3609" s="81">
        <f>SUM(M3603:M3608)</f>
        <v>681500</v>
      </c>
    </row>
    <row r="3610" spans="8:15" ht="16.5" thickBot="1">
      <c r="H3610" s="885" t="s">
        <v>103</v>
      </c>
      <c r="I3610" s="886"/>
      <c r="J3610" s="886"/>
      <c r="K3610" s="886"/>
      <c r="L3610" s="887"/>
      <c r="M3610" s="69">
        <v>514609750</v>
      </c>
      <c r="N3610" s="241" t="s">
        <v>561</v>
      </c>
      <c r="O3610" s="242">
        <v>904</v>
      </c>
    </row>
    <row r="3611" spans="8:15" ht="16.5" thickBot="1">
      <c r="H3611" s="888" t="s">
        <v>104</v>
      </c>
      <c r="I3611" s="889"/>
      <c r="J3611" s="889"/>
      <c r="K3611" s="889"/>
      <c r="L3611" s="890"/>
      <c r="M3611" s="183">
        <f>SUM(M3609:M3610)</f>
        <v>515291250</v>
      </c>
    </row>
    <row r="3612" spans="8:15">
      <c r="H3612" s="61"/>
      <c r="I3612" s="61"/>
      <c r="J3612" s="61"/>
      <c r="K3612" s="61"/>
      <c r="L3612" s="61"/>
    </row>
    <row r="3613" spans="8:15">
      <c r="H3613" s="51" t="s">
        <v>1701</v>
      </c>
    </row>
    <row r="3614" spans="8:15" ht="9.75" customHeight="1">
      <c r="M3614" s="139"/>
    </row>
    <row r="3615" spans="8:15">
      <c r="H3615" s="50" t="s">
        <v>105</v>
      </c>
      <c r="K3615" s="146"/>
      <c r="M3615" s="139"/>
    </row>
    <row r="3616" spans="8:15" ht="11.25" customHeight="1" thickBot="1"/>
    <row r="3617" spans="8:17" ht="15.75" thickBot="1">
      <c r="H3617" s="891" t="s">
        <v>106</v>
      </c>
      <c r="I3617" s="892"/>
      <c r="J3617" s="892"/>
      <c r="K3617" s="893"/>
      <c r="M3617" s="50" t="s">
        <v>288</v>
      </c>
    </row>
    <row r="3618" spans="8:17" ht="30.75" thickBot="1">
      <c r="H3618" s="57" t="s">
        <v>100</v>
      </c>
      <c r="I3618" s="58" t="s">
        <v>108</v>
      </c>
      <c r="J3618" s="287" t="s">
        <v>109</v>
      </c>
      <c r="K3618" s="60" t="s">
        <v>110</v>
      </c>
    </row>
    <row r="3619" spans="8:17">
      <c r="H3619" s="71">
        <v>719</v>
      </c>
      <c r="I3619" s="73">
        <f>+O3603+O3605+O3607</f>
        <v>517000</v>
      </c>
      <c r="J3619" s="74">
        <v>27970000</v>
      </c>
      <c r="K3619" s="195">
        <f>+I3619+J3619</f>
        <v>28487000</v>
      </c>
    </row>
    <row r="3620" spans="8:17">
      <c r="H3620" s="72">
        <v>721</v>
      </c>
      <c r="I3620" s="80">
        <f>+O3604</f>
        <v>164500</v>
      </c>
      <c r="J3620" s="74">
        <v>90116743</v>
      </c>
      <c r="K3620" s="195">
        <f>+I3620+J3620</f>
        <v>90281243</v>
      </c>
    </row>
    <row r="3621" spans="8:17" ht="15.75">
      <c r="H3621" s="72">
        <v>722</v>
      </c>
      <c r="I3621" s="80">
        <f>+O3606</f>
        <v>0</v>
      </c>
      <c r="J3621" s="74">
        <v>30732180</v>
      </c>
      <c r="K3621" s="195">
        <f>+I3621+J3621</f>
        <v>30732180</v>
      </c>
      <c r="M3621" s="872" t="s">
        <v>1696</v>
      </c>
      <c r="N3621" s="872"/>
    </row>
    <row r="3622" spans="8:17" ht="16.5" thickBot="1">
      <c r="H3622" s="72">
        <v>723</v>
      </c>
      <c r="I3622" s="80"/>
      <c r="J3622" s="74">
        <v>365790827</v>
      </c>
      <c r="K3622" s="195">
        <f>+I3622+J3622</f>
        <v>365790827</v>
      </c>
      <c r="M3622" s="193"/>
      <c r="N3622" s="175"/>
    </row>
    <row r="3623" spans="8:17" ht="16.5" hidden="1" thickBot="1">
      <c r="H3623" s="164" t="s">
        <v>1077</v>
      </c>
      <c r="I3623" s="165"/>
      <c r="J3623" s="74"/>
      <c r="K3623" s="196">
        <f>+I3623+J3623</f>
        <v>0</v>
      </c>
      <c r="M3623" s="52"/>
    </row>
    <row r="3624" spans="8:17" ht="16.5" thickBot="1">
      <c r="H3624" s="169"/>
      <c r="I3624" s="197">
        <f>SUM(I3619:I3623)</f>
        <v>681500</v>
      </c>
      <c r="J3624" s="197">
        <f>SUM(J3619:J3623)</f>
        <v>514609750</v>
      </c>
      <c r="K3624" s="198">
        <f>SUM(K3619:K3623)</f>
        <v>515291250</v>
      </c>
    </row>
    <row r="3625" spans="8:17">
      <c r="Q3625" s="139">
        <f>+J3619+J3620+J3621+J3622</f>
        <v>514609750</v>
      </c>
    </row>
  </sheetData>
  <mergeCells count="5625">
    <mergeCell ref="F12:F13"/>
    <mergeCell ref="H12:H13"/>
    <mergeCell ref="I12:I13"/>
    <mergeCell ref="J12:J13"/>
    <mergeCell ref="K12:K13"/>
    <mergeCell ref="L12:L13"/>
    <mergeCell ref="J10:J11"/>
    <mergeCell ref="K10:K11"/>
    <mergeCell ref="L10:L11"/>
    <mergeCell ref="N10:O10"/>
    <mergeCell ref="A12:A13"/>
    <mergeCell ref="B12:B13"/>
    <mergeCell ref="C12:C13"/>
    <mergeCell ref="D12:D13"/>
    <mergeCell ref="E12:E13"/>
    <mergeCell ref="A8:G8"/>
    <mergeCell ref="H8:O8"/>
    <mergeCell ref="A10:A11"/>
    <mergeCell ref="B10:B11"/>
    <mergeCell ref="C10:C11"/>
    <mergeCell ref="D10:D11"/>
    <mergeCell ref="E10:E11"/>
    <mergeCell ref="F10:F11"/>
    <mergeCell ref="H10:H11"/>
    <mergeCell ref="I10:I11"/>
    <mergeCell ref="M12:M13"/>
    <mergeCell ref="M10:M11"/>
    <mergeCell ref="H18:H19"/>
    <mergeCell ref="I18:I19"/>
    <mergeCell ref="J18:J19"/>
    <mergeCell ref="K18:K19"/>
    <mergeCell ref="L18:L19"/>
    <mergeCell ref="M18:M19"/>
    <mergeCell ref="A18:A19"/>
    <mergeCell ref="B18:B19"/>
    <mergeCell ref="C18:C19"/>
    <mergeCell ref="D18:D19"/>
    <mergeCell ref="E18:E19"/>
    <mergeCell ref="F18:F19"/>
    <mergeCell ref="K14:K15"/>
    <mergeCell ref="L14:L15"/>
    <mergeCell ref="M14:M15"/>
    <mergeCell ref="H16:H17"/>
    <mergeCell ref="I16:I17"/>
    <mergeCell ref="J16:J17"/>
    <mergeCell ref="K16:K17"/>
    <mergeCell ref="L16:L17"/>
    <mergeCell ref="M16:M17"/>
    <mergeCell ref="A14:A15"/>
    <mergeCell ref="B14:B15"/>
    <mergeCell ref="C14:C15"/>
    <mergeCell ref="D14:D15"/>
    <mergeCell ref="E14:E15"/>
    <mergeCell ref="F14:F15"/>
    <mergeCell ref="H14:H15"/>
    <mergeCell ref="I14:I15"/>
    <mergeCell ref="J14:J15"/>
    <mergeCell ref="A22:E22"/>
    <mergeCell ref="H22:L22"/>
    <mergeCell ref="A23:E23"/>
    <mergeCell ref="H23:L23"/>
    <mergeCell ref="A24:E24"/>
    <mergeCell ref="H24:L24"/>
    <mergeCell ref="H20:H21"/>
    <mergeCell ref="I20:I21"/>
    <mergeCell ref="J20:J21"/>
    <mergeCell ref="K20:K21"/>
    <mergeCell ref="L20:L21"/>
    <mergeCell ref="M20:M21"/>
    <mergeCell ref="A20:A21"/>
    <mergeCell ref="B20:B21"/>
    <mergeCell ref="C20:C21"/>
    <mergeCell ref="D20:D21"/>
    <mergeCell ref="E20:E21"/>
    <mergeCell ref="F20:F21"/>
    <mergeCell ref="N47:O47"/>
    <mergeCell ref="A49:A50"/>
    <mergeCell ref="B49:B50"/>
    <mergeCell ref="C49:C50"/>
    <mergeCell ref="D49:D50"/>
    <mergeCell ref="E49:E50"/>
    <mergeCell ref="F49:F50"/>
    <mergeCell ref="H49:H50"/>
    <mergeCell ref="I49:I50"/>
    <mergeCell ref="F47:F48"/>
    <mergeCell ref="H47:H48"/>
    <mergeCell ref="I47:I48"/>
    <mergeCell ref="J47:J48"/>
    <mergeCell ref="K47:K48"/>
    <mergeCell ref="L47:L48"/>
    <mergeCell ref="A30:D30"/>
    <mergeCell ref="H30:K30"/>
    <mergeCell ref="M35:O35"/>
    <mergeCell ref="A45:G45"/>
    <mergeCell ref="H45:O45"/>
    <mergeCell ref="A47:A48"/>
    <mergeCell ref="B47:B48"/>
    <mergeCell ref="C47:C48"/>
    <mergeCell ref="D47:D48"/>
    <mergeCell ref="E47:E48"/>
    <mergeCell ref="H51:H52"/>
    <mergeCell ref="I51:I52"/>
    <mergeCell ref="J51:J52"/>
    <mergeCell ref="K51:K52"/>
    <mergeCell ref="L51:L52"/>
    <mergeCell ref="M51:M52"/>
    <mergeCell ref="J49:J50"/>
    <mergeCell ref="K49:K50"/>
    <mergeCell ref="L49:L50"/>
    <mergeCell ref="M49:M50"/>
    <mergeCell ref="A51:A52"/>
    <mergeCell ref="B51:B52"/>
    <mergeCell ref="C51:C52"/>
    <mergeCell ref="D51:D52"/>
    <mergeCell ref="E51:E52"/>
    <mergeCell ref="F51:F52"/>
    <mergeCell ref="M47:M48"/>
    <mergeCell ref="H55:H56"/>
    <mergeCell ref="I55:I56"/>
    <mergeCell ref="J55:J56"/>
    <mergeCell ref="K55:K56"/>
    <mergeCell ref="L55:L56"/>
    <mergeCell ref="M55:M56"/>
    <mergeCell ref="A55:A56"/>
    <mergeCell ref="B55:B56"/>
    <mergeCell ref="C55:C56"/>
    <mergeCell ref="D55:D56"/>
    <mergeCell ref="E55:E56"/>
    <mergeCell ref="F55:F56"/>
    <mergeCell ref="H53:H54"/>
    <mergeCell ref="I53:I54"/>
    <mergeCell ref="J53:J54"/>
    <mergeCell ref="K53:K54"/>
    <mergeCell ref="L53:L54"/>
    <mergeCell ref="M53:M54"/>
    <mergeCell ref="A67:D67"/>
    <mergeCell ref="H67:K67"/>
    <mergeCell ref="M72:O72"/>
    <mergeCell ref="A82:G82"/>
    <mergeCell ref="H82:O82"/>
    <mergeCell ref="A84:A85"/>
    <mergeCell ref="B84:B85"/>
    <mergeCell ref="C84:C85"/>
    <mergeCell ref="D84:D85"/>
    <mergeCell ref="E84:E85"/>
    <mergeCell ref="A59:E59"/>
    <mergeCell ref="H59:L59"/>
    <mergeCell ref="A60:E60"/>
    <mergeCell ref="H60:L60"/>
    <mergeCell ref="A61:E61"/>
    <mergeCell ref="H61:L61"/>
    <mergeCell ref="H57:H58"/>
    <mergeCell ref="I57:I58"/>
    <mergeCell ref="J57:J58"/>
    <mergeCell ref="K57:K58"/>
    <mergeCell ref="L57:L58"/>
    <mergeCell ref="M57:M58"/>
    <mergeCell ref="A57:A58"/>
    <mergeCell ref="B57:B58"/>
    <mergeCell ref="C57:C58"/>
    <mergeCell ref="D57:D58"/>
    <mergeCell ref="E57:E58"/>
    <mergeCell ref="F57:F58"/>
    <mergeCell ref="J86:J87"/>
    <mergeCell ref="K86:K87"/>
    <mergeCell ref="L86:L87"/>
    <mergeCell ref="M86:M87"/>
    <mergeCell ref="A88:A89"/>
    <mergeCell ref="B88:B89"/>
    <mergeCell ref="C88:C89"/>
    <mergeCell ref="D88:D89"/>
    <mergeCell ref="E88:E89"/>
    <mergeCell ref="F88:F89"/>
    <mergeCell ref="M84:M85"/>
    <mergeCell ref="N84:O84"/>
    <mergeCell ref="A86:A87"/>
    <mergeCell ref="B86:B87"/>
    <mergeCell ref="C86:C87"/>
    <mergeCell ref="D86:D87"/>
    <mergeCell ref="E86:E87"/>
    <mergeCell ref="F86:F87"/>
    <mergeCell ref="H86:H87"/>
    <mergeCell ref="I86:I87"/>
    <mergeCell ref="F84:F85"/>
    <mergeCell ref="H84:H85"/>
    <mergeCell ref="I84:I85"/>
    <mergeCell ref="J84:J85"/>
    <mergeCell ref="K84:K85"/>
    <mergeCell ref="L84:L85"/>
    <mergeCell ref="H90:H91"/>
    <mergeCell ref="I90:I91"/>
    <mergeCell ref="J90:J91"/>
    <mergeCell ref="K90:K91"/>
    <mergeCell ref="L90:L91"/>
    <mergeCell ref="M90:M91"/>
    <mergeCell ref="A90:A91"/>
    <mergeCell ref="B90:B91"/>
    <mergeCell ref="C90:C91"/>
    <mergeCell ref="D90:D91"/>
    <mergeCell ref="E90:E91"/>
    <mergeCell ref="F90:F91"/>
    <mergeCell ref="H88:H89"/>
    <mergeCell ref="I88:I89"/>
    <mergeCell ref="J88:J89"/>
    <mergeCell ref="K88:K89"/>
    <mergeCell ref="L88:L89"/>
    <mergeCell ref="M88:M89"/>
    <mergeCell ref="H94:H95"/>
    <mergeCell ref="I94:I95"/>
    <mergeCell ref="J94:J95"/>
    <mergeCell ref="K94:K95"/>
    <mergeCell ref="L94:L95"/>
    <mergeCell ref="M94:M95"/>
    <mergeCell ref="A94:A95"/>
    <mergeCell ref="B94:B95"/>
    <mergeCell ref="C94:C95"/>
    <mergeCell ref="D94:D95"/>
    <mergeCell ref="E94:E95"/>
    <mergeCell ref="F94:F95"/>
    <mergeCell ref="H92:H93"/>
    <mergeCell ref="I92:I93"/>
    <mergeCell ref="J92:J93"/>
    <mergeCell ref="K92:K93"/>
    <mergeCell ref="L92:L93"/>
    <mergeCell ref="M92:M93"/>
    <mergeCell ref="B121:B122"/>
    <mergeCell ref="C121:C122"/>
    <mergeCell ref="D121:D122"/>
    <mergeCell ref="E121:E122"/>
    <mergeCell ref="F121:F122"/>
    <mergeCell ref="A104:D104"/>
    <mergeCell ref="H104:K104"/>
    <mergeCell ref="M104:O104"/>
    <mergeCell ref="M109:O109"/>
    <mergeCell ref="A119:G119"/>
    <mergeCell ref="H119:O119"/>
    <mergeCell ref="A96:E96"/>
    <mergeCell ref="H96:L96"/>
    <mergeCell ref="A97:E97"/>
    <mergeCell ref="H97:L97"/>
    <mergeCell ref="A98:E98"/>
    <mergeCell ref="H98:L98"/>
    <mergeCell ref="A127:A128"/>
    <mergeCell ref="B127:B128"/>
    <mergeCell ref="C127:C128"/>
    <mergeCell ref="D127:D128"/>
    <mergeCell ref="E127:E128"/>
    <mergeCell ref="K123:K124"/>
    <mergeCell ref="L123:L124"/>
    <mergeCell ref="M123:M124"/>
    <mergeCell ref="A125:A126"/>
    <mergeCell ref="B125:B126"/>
    <mergeCell ref="C125:C126"/>
    <mergeCell ref="D125:D126"/>
    <mergeCell ref="E125:E126"/>
    <mergeCell ref="F125:F126"/>
    <mergeCell ref="H125:H126"/>
    <mergeCell ref="N121:O121"/>
    <mergeCell ref="A123:A124"/>
    <mergeCell ref="B123:B124"/>
    <mergeCell ref="C123:C124"/>
    <mergeCell ref="D123:D124"/>
    <mergeCell ref="E123:E124"/>
    <mergeCell ref="F123:F124"/>
    <mergeCell ref="H123:H124"/>
    <mergeCell ref="I123:I124"/>
    <mergeCell ref="J123:J124"/>
    <mergeCell ref="H121:H122"/>
    <mergeCell ref="I121:I122"/>
    <mergeCell ref="J121:J122"/>
    <mergeCell ref="K121:K122"/>
    <mergeCell ref="L121:L122"/>
    <mergeCell ref="M121:M122"/>
    <mergeCell ref="A121:A122"/>
    <mergeCell ref="M127:M128"/>
    <mergeCell ref="H129:H130"/>
    <mergeCell ref="I129:I130"/>
    <mergeCell ref="J129:J130"/>
    <mergeCell ref="K129:K130"/>
    <mergeCell ref="L129:L130"/>
    <mergeCell ref="M129:M130"/>
    <mergeCell ref="F127:F128"/>
    <mergeCell ref="H127:H128"/>
    <mergeCell ref="I127:I128"/>
    <mergeCell ref="J127:J128"/>
    <mergeCell ref="K127:K128"/>
    <mergeCell ref="L127:L128"/>
    <mergeCell ref="I125:I126"/>
    <mergeCell ref="J125:J126"/>
    <mergeCell ref="K125:K126"/>
    <mergeCell ref="L125:L126"/>
    <mergeCell ref="M125:M126"/>
    <mergeCell ref="A141:D141"/>
    <mergeCell ref="H141:K141"/>
    <mergeCell ref="M141:O141"/>
    <mergeCell ref="M146:O146"/>
    <mergeCell ref="A156:G156"/>
    <mergeCell ref="H156:O156"/>
    <mergeCell ref="A133:E133"/>
    <mergeCell ref="H133:L133"/>
    <mergeCell ref="A134:E134"/>
    <mergeCell ref="H134:L134"/>
    <mergeCell ref="A135:E135"/>
    <mergeCell ref="H135:L135"/>
    <mergeCell ref="H131:H132"/>
    <mergeCell ref="I131:I132"/>
    <mergeCell ref="J131:J132"/>
    <mergeCell ref="K131:K132"/>
    <mergeCell ref="L131:L132"/>
    <mergeCell ref="M131:M132"/>
    <mergeCell ref="A131:A132"/>
    <mergeCell ref="B131:B132"/>
    <mergeCell ref="C131:C132"/>
    <mergeCell ref="D131:D132"/>
    <mergeCell ref="E131:E132"/>
    <mergeCell ref="F131:F132"/>
    <mergeCell ref="K160:K161"/>
    <mergeCell ref="L160:L161"/>
    <mergeCell ref="M160:M161"/>
    <mergeCell ref="H162:H163"/>
    <mergeCell ref="I162:I163"/>
    <mergeCell ref="J162:J163"/>
    <mergeCell ref="K162:K163"/>
    <mergeCell ref="L162:L163"/>
    <mergeCell ref="M162:M163"/>
    <mergeCell ref="N158:O158"/>
    <mergeCell ref="A160:A161"/>
    <mergeCell ref="B160:B161"/>
    <mergeCell ref="C160:C161"/>
    <mergeCell ref="D160:D161"/>
    <mergeCell ref="E160:E161"/>
    <mergeCell ref="F160:F161"/>
    <mergeCell ref="H160:H161"/>
    <mergeCell ref="I160:I161"/>
    <mergeCell ref="J160:J161"/>
    <mergeCell ref="H158:H159"/>
    <mergeCell ref="I158:I159"/>
    <mergeCell ref="J158:J159"/>
    <mergeCell ref="K158:K159"/>
    <mergeCell ref="L158:L159"/>
    <mergeCell ref="M158:M159"/>
    <mergeCell ref="A158:A159"/>
    <mergeCell ref="B158:B159"/>
    <mergeCell ref="C158:C159"/>
    <mergeCell ref="D158:D159"/>
    <mergeCell ref="E158:E159"/>
    <mergeCell ref="F158:F159"/>
    <mergeCell ref="H166:H167"/>
    <mergeCell ref="I166:I167"/>
    <mergeCell ref="J166:J167"/>
    <mergeCell ref="K166:K167"/>
    <mergeCell ref="L166:L167"/>
    <mergeCell ref="M166:M167"/>
    <mergeCell ref="H164:H165"/>
    <mergeCell ref="I164:I165"/>
    <mergeCell ref="J164:J165"/>
    <mergeCell ref="K164:K165"/>
    <mergeCell ref="L164:L165"/>
    <mergeCell ref="M164:M165"/>
    <mergeCell ref="A164:A165"/>
    <mergeCell ref="B164:B165"/>
    <mergeCell ref="C164:C165"/>
    <mergeCell ref="D164:D165"/>
    <mergeCell ref="E164:E165"/>
    <mergeCell ref="F164:F165"/>
    <mergeCell ref="A178:D178"/>
    <mergeCell ref="H178:K178"/>
    <mergeCell ref="M178:O178"/>
    <mergeCell ref="M182:O182"/>
    <mergeCell ref="A193:G193"/>
    <mergeCell ref="H193:O193"/>
    <mergeCell ref="A170:E170"/>
    <mergeCell ref="H170:L170"/>
    <mergeCell ref="A171:E171"/>
    <mergeCell ref="H171:L171"/>
    <mergeCell ref="A172:E172"/>
    <mergeCell ref="H172:L172"/>
    <mergeCell ref="H168:H169"/>
    <mergeCell ref="I168:I169"/>
    <mergeCell ref="J168:J169"/>
    <mergeCell ref="K168:K169"/>
    <mergeCell ref="L168:L169"/>
    <mergeCell ref="M168:M169"/>
    <mergeCell ref="A168:A169"/>
    <mergeCell ref="B168:B169"/>
    <mergeCell ref="C168:C169"/>
    <mergeCell ref="D168:D169"/>
    <mergeCell ref="E168:E169"/>
    <mergeCell ref="F168:F169"/>
    <mergeCell ref="N195:O195"/>
    <mergeCell ref="A197:A198"/>
    <mergeCell ref="B197:B198"/>
    <mergeCell ref="C197:C198"/>
    <mergeCell ref="D197:D198"/>
    <mergeCell ref="E197:E198"/>
    <mergeCell ref="F197:F198"/>
    <mergeCell ref="H197:H198"/>
    <mergeCell ref="I197:I198"/>
    <mergeCell ref="J197:J198"/>
    <mergeCell ref="H195:H196"/>
    <mergeCell ref="I195:I196"/>
    <mergeCell ref="J195:J196"/>
    <mergeCell ref="K195:K196"/>
    <mergeCell ref="L195:L196"/>
    <mergeCell ref="M195:M196"/>
    <mergeCell ref="A195:A196"/>
    <mergeCell ref="B195:B196"/>
    <mergeCell ref="C195:C196"/>
    <mergeCell ref="D195:D196"/>
    <mergeCell ref="E195:E196"/>
    <mergeCell ref="F195:F196"/>
    <mergeCell ref="I199:I200"/>
    <mergeCell ref="J199:J200"/>
    <mergeCell ref="K199:K200"/>
    <mergeCell ref="L199:L200"/>
    <mergeCell ref="M199:M200"/>
    <mergeCell ref="A201:A202"/>
    <mergeCell ref="B201:B202"/>
    <mergeCell ref="C201:C202"/>
    <mergeCell ref="D201:D202"/>
    <mergeCell ref="E201:E202"/>
    <mergeCell ref="K197:K198"/>
    <mergeCell ref="L197:L198"/>
    <mergeCell ref="M197:M198"/>
    <mergeCell ref="A199:A200"/>
    <mergeCell ref="B199:B200"/>
    <mergeCell ref="C199:C200"/>
    <mergeCell ref="D199:D200"/>
    <mergeCell ref="E199:E200"/>
    <mergeCell ref="F199:F200"/>
    <mergeCell ref="H199:H200"/>
    <mergeCell ref="J203:J204"/>
    <mergeCell ref="K203:K204"/>
    <mergeCell ref="L203:L204"/>
    <mergeCell ref="M203:M204"/>
    <mergeCell ref="M201:M202"/>
    <mergeCell ref="Q202:Q203"/>
    <mergeCell ref="A203:A204"/>
    <mergeCell ref="B203:B204"/>
    <mergeCell ref="C203:C204"/>
    <mergeCell ref="D203:D204"/>
    <mergeCell ref="E203:E204"/>
    <mergeCell ref="F203:F204"/>
    <mergeCell ref="H203:H204"/>
    <mergeCell ref="I203:I204"/>
    <mergeCell ref="F201:F202"/>
    <mergeCell ref="H201:H202"/>
    <mergeCell ref="I201:I202"/>
    <mergeCell ref="J201:J202"/>
    <mergeCell ref="K201:K202"/>
    <mergeCell ref="L201:L202"/>
    <mergeCell ref="A215:D215"/>
    <mergeCell ref="H215:K215"/>
    <mergeCell ref="M215:O215"/>
    <mergeCell ref="M220:O220"/>
    <mergeCell ref="A230:G230"/>
    <mergeCell ref="H230:O230"/>
    <mergeCell ref="A207:E207"/>
    <mergeCell ref="H207:L207"/>
    <mergeCell ref="A208:E208"/>
    <mergeCell ref="H208:L208"/>
    <mergeCell ref="A209:E209"/>
    <mergeCell ref="H209:L209"/>
    <mergeCell ref="H205:H206"/>
    <mergeCell ref="I205:I206"/>
    <mergeCell ref="J205:J206"/>
    <mergeCell ref="K205:K206"/>
    <mergeCell ref="L205:L206"/>
    <mergeCell ref="M205:M206"/>
    <mergeCell ref="A205:A206"/>
    <mergeCell ref="B205:B206"/>
    <mergeCell ref="C205:C206"/>
    <mergeCell ref="D205:D206"/>
    <mergeCell ref="E205:E206"/>
    <mergeCell ref="F205:F206"/>
    <mergeCell ref="N232:O232"/>
    <mergeCell ref="A234:A235"/>
    <mergeCell ref="B234:B235"/>
    <mergeCell ref="C234:C235"/>
    <mergeCell ref="D234:D235"/>
    <mergeCell ref="E234:E235"/>
    <mergeCell ref="F234:F235"/>
    <mergeCell ref="H234:H235"/>
    <mergeCell ref="I234:I235"/>
    <mergeCell ref="J234:J235"/>
    <mergeCell ref="H232:H233"/>
    <mergeCell ref="I232:I233"/>
    <mergeCell ref="J232:J233"/>
    <mergeCell ref="K232:K233"/>
    <mergeCell ref="L232:L233"/>
    <mergeCell ref="M232:M233"/>
    <mergeCell ref="A232:A233"/>
    <mergeCell ref="B232:B233"/>
    <mergeCell ref="C232:C233"/>
    <mergeCell ref="D232:D233"/>
    <mergeCell ref="E232:E233"/>
    <mergeCell ref="F232:F233"/>
    <mergeCell ref="I236:I237"/>
    <mergeCell ref="J236:J237"/>
    <mergeCell ref="K236:K237"/>
    <mergeCell ref="L236:L237"/>
    <mergeCell ref="M236:M237"/>
    <mergeCell ref="A238:A239"/>
    <mergeCell ref="B238:B239"/>
    <mergeCell ref="C238:C239"/>
    <mergeCell ref="D238:D239"/>
    <mergeCell ref="E238:E239"/>
    <mergeCell ref="K234:K235"/>
    <mergeCell ref="L234:L235"/>
    <mergeCell ref="M234:M235"/>
    <mergeCell ref="A236:A237"/>
    <mergeCell ref="B236:B237"/>
    <mergeCell ref="C236:C237"/>
    <mergeCell ref="D236:D237"/>
    <mergeCell ref="E236:E237"/>
    <mergeCell ref="F236:F237"/>
    <mergeCell ref="H236:H237"/>
    <mergeCell ref="H242:H243"/>
    <mergeCell ref="I242:I243"/>
    <mergeCell ref="J242:J243"/>
    <mergeCell ref="K242:K243"/>
    <mergeCell ref="L242:L243"/>
    <mergeCell ref="M242:M243"/>
    <mergeCell ref="A242:A243"/>
    <mergeCell ref="B242:B243"/>
    <mergeCell ref="C242:C243"/>
    <mergeCell ref="D242:D243"/>
    <mergeCell ref="E242:E243"/>
    <mergeCell ref="F242:F243"/>
    <mergeCell ref="M238:M239"/>
    <mergeCell ref="H240:H241"/>
    <mergeCell ref="I240:I241"/>
    <mergeCell ref="J240:J241"/>
    <mergeCell ref="K240:K241"/>
    <mergeCell ref="L240:L241"/>
    <mergeCell ref="M240:M241"/>
    <mergeCell ref="F238:F239"/>
    <mergeCell ref="H238:H239"/>
    <mergeCell ref="I238:I239"/>
    <mergeCell ref="J238:J239"/>
    <mergeCell ref="K238:K239"/>
    <mergeCell ref="L238:L239"/>
    <mergeCell ref="A254:D254"/>
    <mergeCell ref="H254:K254"/>
    <mergeCell ref="M254:O254"/>
    <mergeCell ref="M259:O259"/>
    <mergeCell ref="A269:G269"/>
    <mergeCell ref="H269:O269"/>
    <mergeCell ref="A246:E246"/>
    <mergeCell ref="H246:L246"/>
    <mergeCell ref="A247:E247"/>
    <mergeCell ref="H247:L247"/>
    <mergeCell ref="A248:E248"/>
    <mergeCell ref="H248:L248"/>
    <mergeCell ref="H244:H245"/>
    <mergeCell ref="I244:I245"/>
    <mergeCell ref="J244:J245"/>
    <mergeCell ref="K244:K245"/>
    <mergeCell ref="L244:L245"/>
    <mergeCell ref="M244:M245"/>
    <mergeCell ref="A244:A245"/>
    <mergeCell ref="B244:B245"/>
    <mergeCell ref="C244:C245"/>
    <mergeCell ref="D244:D245"/>
    <mergeCell ref="E244:E245"/>
    <mergeCell ref="F244:F245"/>
    <mergeCell ref="N271:O271"/>
    <mergeCell ref="A273:A274"/>
    <mergeCell ref="B273:B274"/>
    <mergeCell ref="C273:C274"/>
    <mergeCell ref="D273:D274"/>
    <mergeCell ref="E273:E274"/>
    <mergeCell ref="F273:F274"/>
    <mergeCell ref="H273:H274"/>
    <mergeCell ref="I273:I274"/>
    <mergeCell ref="J273:J274"/>
    <mergeCell ref="H271:H272"/>
    <mergeCell ref="I271:I272"/>
    <mergeCell ref="J271:J272"/>
    <mergeCell ref="K271:K272"/>
    <mergeCell ref="L271:L272"/>
    <mergeCell ref="M271:M272"/>
    <mergeCell ref="A271:A272"/>
    <mergeCell ref="B271:B272"/>
    <mergeCell ref="C271:C272"/>
    <mergeCell ref="D271:D272"/>
    <mergeCell ref="E271:E272"/>
    <mergeCell ref="F271:F272"/>
    <mergeCell ref="I275:I276"/>
    <mergeCell ref="J275:J276"/>
    <mergeCell ref="K275:K276"/>
    <mergeCell ref="L275:L276"/>
    <mergeCell ref="M275:M276"/>
    <mergeCell ref="A277:A278"/>
    <mergeCell ref="B277:B278"/>
    <mergeCell ref="C277:C278"/>
    <mergeCell ref="D277:D278"/>
    <mergeCell ref="E277:E278"/>
    <mergeCell ref="K273:K274"/>
    <mergeCell ref="L273:L274"/>
    <mergeCell ref="M273:M274"/>
    <mergeCell ref="A275:A276"/>
    <mergeCell ref="B275:B276"/>
    <mergeCell ref="C275:C276"/>
    <mergeCell ref="D275:D276"/>
    <mergeCell ref="E275:E276"/>
    <mergeCell ref="F275:F276"/>
    <mergeCell ref="H275:H276"/>
    <mergeCell ref="K279:K280"/>
    <mergeCell ref="L279:L280"/>
    <mergeCell ref="M279:M280"/>
    <mergeCell ref="H281:H282"/>
    <mergeCell ref="I281:I282"/>
    <mergeCell ref="J281:J282"/>
    <mergeCell ref="K281:K282"/>
    <mergeCell ref="L281:L282"/>
    <mergeCell ref="M281:M282"/>
    <mergeCell ref="M277:M278"/>
    <mergeCell ref="A279:A280"/>
    <mergeCell ref="B279:B280"/>
    <mergeCell ref="C279:C280"/>
    <mergeCell ref="D279:D280"/>
    <mergeCell ref="E279:E280"/>
    <mergeCell ref="F279:F280"/>
    <mergeCell ref="H279:H280"/>
    <mergeCell ref="I279:I280"/>
    <mergeCell ref="J279:J280"/>
    <mergeCell ref="F277:F278"/>
    <mergeCell ref="H277:H278"/>
    <mergeCell ref="I277:I278"/>
    <mergeCell ref="J277:J278"/>
    <mergeCell ref="K277:K278"/>
    <mergeCell ref="L277:L278"/>
    <mergeCell ref="A293:D293"/>
    <mergeCell ref="H293:K293"/>
    <mergeCell ref="M293:O293"/>
    <mergeCell ref="M298:O298"/>
    <mergeCell ref="A308:G308"/>
    <mergeCell ref="H308:O308"/>
    <mergeCell ref="A285:E285"/>
    <mergeCell ref="H285:L285"/>
    <mergeCell ref="A286:E286"/>
    <mergeCell ref="H286:L286"/>
    <mergeCell ref="A287:E287"/>
    <mergeCell ref="H287:L287"/>
    <mergeCell ref="H283:H284"/>
    <mergeCell ref="I283:I284"/>
    <mergeCell ref="J283:J284"/>
    <mergeCell ref="K283:K284"/>
    <mergeCell ref="L283:L284"/>
    <mergeCell ref="M283:M284"/>
    <mergeCell ref="A283:A284"/>
    <mergeCell ref="B283:B284"/>
    <mergeCell ref="C283:C284"/>
    <mergeCell ref="D283:D284"/>
    <mergeCell ref="E283:E284"/>
    <mergeCell ref="F283:F284"/>
    <mergeCell ref="N310:O310"/>
    <mergeCell ref="A312:A313"/>
    <mergeCell ref="B312:B313"/>
    <mergeCell ref="C312:C313"/>
    <mergeCell ref="D312:D313"/>
    <mergeCell ref="E312:E313"/>
    <mergeCell ref="F312:F313"/>
    <mergeCell ref="H312:H313"/>
    <mergeCell ref="I312:I313"/>
    <mergeCell ref="J312:J313"/>
    <mergeCell ref="H310:H311"/>
    <mergeCell ref="I310:I311"/>
    <mergeCell ref="J310:J311"/>
    <mergeCell ref="K310:K311"/>
    <mergeCell ref="L310:L311"/>
    <mergeCell ref="M310:M311"/>
    <mergeCell ref="A310:A311"/>
    <mergeCell ref="B310:B311"/>
    <mergeCell ref="C310:C311"/>
    <mergeCell ref="D310:D311"/>
    <mergeCell ref="E310:E311"/>
    <mergeCell ref="F310:F311"/>
    <mergeCell ref="I314:I315"/>
    <mergeCell ref="J314:J315"/>
    <mergeCell ref="K314:K315"/>
    <mergeCell ref="L314:L315"/>
    <mergeCell ref="M314:M315"/>
    <mergeCell ref="A316:A317"/>
    <mergeCell ref="B316:B317"/>
    <mergeCell ref="C316:C317"/>
    <mergeCell ref="D316:D317"/>
    <mergeCell ref="E316:E317"/>
    <mergeCell ref="K312:K313"/>
    <mergeCell ref="L312:L313"/>
    <mergeCell ref="M312:M313"/>
    <mergeCell ref="A314:A315"/>
    <mergeCell ref="B314:B315"/>
    <mergeCell ref="C314:C315"/>
    <mergeCell ref="D314:D315"/>
    <mergeCell ref="E314:E315"/>
    <mergeCell ref="F314:F315"/>
    <mergeCell ref="H314:H315"/>
    <mergeCell ref="K318:K319"/>
    <mergeCell ref="L318:L319"/>
    <mergeCell ref="M318:M319"/>
    <mergeCell ref="H320:H321"/>
    <mergeCell ref="I320:I321"/>
    <mergeCell ref="J320:J321"/>
    <mergeCell ref="K320:K321"/>
    <mergeCell ref="L320:L321"/>
    <mergeCell ref="M320:M321"/>
    <mergeCell ref="M316:M317"/>
    <mergeCell ref="A318:A319"/>
    <mergeCell ref="B318:B319"/>
    <mergeCell ref="C318:C319"/>
    <mergeCell ref="D318:D319"/>
    <mergeCell ref="E318:E319"/>
    <mergeCell ref="F318:F319"/>
    <mergeCell ref="H318:H319"/>
    <mergeCell ref="I318:I319"/>
    <mergeCell ref="J318:J319"/>
    <mergeCell ref="F316:F317"/>
    <mergeCell ref="H316:H317"/>
    <mergeCell ref="I316:I317"/>
    <mergeCell ref="J316:J317"/>
    <mergeCell ref="K316:K317"/>
    <mergeCell ref="L316:L317"/>
    <mergeCell ref="A332:D332"/>
    <mergeCell ref="H332:K332"/>
    <mergeCell ref="M332:O332"/>
    <mergeCell ref="M336:O336"/>
    <mergeCell ref="M337:O337"/>
    <mergeCell ref="A347:G347"/>
    <mergeCell ref="H347:O347"/>
    <mergeCell ref="A324:E324"/>
    <mergeCell ref="H324:L324"/>
    <mergeCell ref="A325:E325"/>
    <mergeCell ref="H325:L325"/>
    <mergeCell ref="A326:E326"/>
    <mergeCell ref="H326:L326"/>
    <mergeCell ref="H322:H323"/>
    <mergeCell ref="I322:I323"/>
    <mergeCell ref="J322:J323"/>
    <mergeCell ref="K322:K323"/>
    <mergeCell ref="L322:L323"/>
    <mergeCell ref="M322:M323"/>
    <mergeCell ref="K351:K352"/>
    <mergeCell ref="L351:L352"/>
    <mergeCell ref="M351:M352"/>
    <mergeCell ref="H353:H354"/>
    <mergeCell ref="I353:I354"/>
    <mergeCell ref="J353:J354"/>
    <mergeCell ref="K353:K354"/>
    <mergeCell ref="L353:L354"/>
    <mergeCell ref="M353:M354"/>
    <mergeCell ref="N349:O349"/>
    <mergeCell ref="A351:A352"/>
    <mergeCell ref="B351:B352"/>
    <mergeCell ref="C351:C352"/>
    <mergeCell ref="D351:D352"/>
    <mergeCell ref="E351:E352"/>
    <mergeCell ref="F351:F352"/>
    <mergeCell ref="H351:H352"/>
    <mergeCell ref="I351:I352"/>
    <mergeCell ref="J351:J352"/>
    <mergeCell ref="H349:H350"/>
    <mergeCell ref="I349:I350"/>
    <mergeCell ref="J349:J350"/>
    <mergeCell ref="K349:K350"/>
    <mergeCell ref="L349:L350"/>
    <mergeCell ref="M349:M350"/>
    <mergeCell ref="A349:A350"/>
    <mergeCell ref="B349:B350"/>
    <mergeCell ref="C349:C350"/>
    <mergeCell ref="D349:D350"/>
    <mergeCell ref="E349:E350"/>
    <mergeCell ref="F349:F350"/>
    <mergeCell ref="H357:H358"/>
    <mergeCell ref="I357:I358"/>
    <mergeCell ref="J357:J358"/>
    <mergeCell ref="K357:K358"/>
    <mergeCell ref="L357:L358"/>
    <mergeCell ref="M357:M358"/>
    <mergeCell ref="H355:H356"/>
    <mergeCell ref="I355:I356"/>
    <mergeCell ref="J355:J356"/>
    <mergeCell ref="K355:K356"/>
    <mergeCell ref="L355:L356"/>
    <mergeCell ref="M355:M356"/>
    <mergeCell ref="A355:A356"/>
    <mergeCell ref="B355:B356"/>
    <mergeCell ref="C355:C356"/>
    <mergeCell ref="D355:D356"/>
    <mergeCell ref="E355:E356"/>
    <mergeCell ref="F355:F356"/>
    <mergeCell ref="A369:D369"/>
    <mergeCell ref="H369:K369"/>
    <mergeCell ref="M369:O369"/>
    <mergeCell ref="M374:O374"/>
    <mergeCell ref="A384:G384"/>
    <mergeCell ref="H384:O384"/>
    <mergeCell ref="A361:E361"/>
    <mergeCell ref="H361:L361"/>
    <mergeCell ref="A362:E362"/>
    <mergeCell ref="H362:L362"/>
    <mergeCell ref="A363:E363"/>
    <mergeCell ref="H363:L363"/>
    <mergeCell ref="H359:H360"/>
    <mergeCell ref="I359:I360"/>
    <mergeCell ref="J359:J360"/>
    <mergeCell ref="K359:K360"/>
    <mergeCell ref="L359:L360"/>
    <mergeCell ref="M359:M360"/>
    <mergeCell ref="A359:A360"/>
    <mergeCell ref="B359:B360"/>
    <mergeCell ref="C359:C360"/>
    <mergeCell ref="D359:D360"/>
    <mergeCell ref="E359:E360"/>
    <mergeCell ref="F359:F360"/>
    <mergeCell ref="K388:K389"/>
    <mergeCell ref="L388:L389"/>
    <mergeCell ref="M388:M389"/>
    <mergeCell ref="H390:H391"/>
    <mergeCell ref="I390:I391"/>
    <mergeCell ref="J390:J391"/>
    <mergeCell ref="K390:K391"/>
    <mergeCell ref="L390:L391"/>
    <mergeCell ref="M390:M391"/>
    <mergeCell ref="N386:O386"/>
    <mergeCell ref="A388:A389"/>
    <mergeCell ref="B388:B389"/>
    <mergeCell ref="C388:C389"/>
    <mergeCell ref="D388:D389"/>
    <mergeCell ref="E388:E389"/>
    <mergeCell ref="F388:F389"/>
    <mergeCell ref="H388:H389"/>
    <mergeCell ref="I388:I389"/>
    <mergeCell ref="J388:J389"/>
    <mergeCell ref="H386:H387"/>
    <mergeCell ref="I386:I387"/>
    <mergeCell ref="J386:J387"/>
    <mergeCell ref="K386:K387"/>
    <mergeCell ref="L386:L387"/>
    <mergeCell ref="M386:M387"/>
    <mergeCell ref="A386:A387"/>
    <mergeCell ref="B386:B387"/>
    <mergeCell ref="C386:C387"/>
    <mergeCell ref="D386:D387"/>
    <mergeCell ref="E386:E387"/>
    <mergeCell ref="F386:F387"/>
    <mergeCell ref="H394:H395"/>
    <mergeCell ref="I394:I395"/>
    <mergeCell ref="J394:J395"/>
    <mergeCell ref="K394:K395"/>
    <mergeCell ref="L394:L395"/>
    <mergeCell ref="M394:M395"/>
    <mergeCell ref="A394:A395"/>
    <mergeCell ref="B394:B395"/>
    <mergeCell ref="C394:C395"/>
    <mergeCell ref="D394:D395"/>
    <mergeCell ref="E394:E395"/>
    <mergeCell ref="F394:F395"/>
    <mergeCell ref="H392:H393"/>
    <mergeCell ref="I392:I393"/>
    <mergeCell ref="J392:J393"/>
    <mergeCell ref="K392:K393"/>
    <mergeCell ref="L392:L393"/>
    <mergeCell ref="M392:M393"/>
    <mergeCell ref="H398:H399"/>
    <mergeCell ref="I398:I399"/>
    <mergeCell ref="J398:J399"/>
    <mergeCell ref="K398:K399"/>
    <mergeCell ref="L398:L399"/>
    <mergeCell ref="M398:M399"/>
    <mergeCell ref="A398:A399"/>
    <mergeCell ref="B398:B399"/>
    <mergeCell ref="C398:C399"/>
    <mergeCell ref="D398:D399"/>
    <mergeCell ref="E398:E399"/>
    <mergeCell ref="F398:F399"/>
    <mergeCell ref="H396:H397"/>
    <mergeCell ref="I396:I397"/>
    <mergeCell ref="J396:J397"/>
    <mergeCell ref="K396:K397"/>
    <mergeCell ref="L396:L397"/>
    <mergeCell ref="M396:M397"/>
    <mergeCell ref="A396:A397"/>
    <mergeCell ref="B396:B397"/>
    <mergeCell ref="C396:C397"/>
    <mergeCell ref="D396:D397"/>
    <mergeCell ref="E396:E397"/>
    <mergeCell ref="F396:F397"/>
    <mergeCell ref="A410:D410"/>
    <mergeCell ref="H410:K410"/>
    <mergeCell ref="M410:O410"/>
    <mergeCell ref="M415:O415"/>
    <mergeCell ref="A426:G426"/>
    <mergeCell ref="H426:O426"/>
    <mergeCell ref="A402:E402"/>
    <mergeCell ref="H402:L402"/>
    <mergeCell ref="A403:E403"/>
    <mergeCell ref="H403:L403"/>
    <mergeCell ref="A404:E404"/>
    <mergeCell ref="H404:L404"/>
    <mergeCell ref="H400:H401"/>
    <mergeCell ref="I400:I401"/>
    <mergeCell ref="J400:J401"/>
    <mergeCell ref="K400:K401"/>
    <mergeCell ref="L400:L401"/>
    <mergeCell ref="M400:M401"/>
    <mergeCell ref="A400:A401"/>
    <mergeCell ref="B400:B401"/>
    <mergeCell ref="C400:C401"/>
    <mergeCell ref="D400:D401"/>
    <mergeCell ref="E400:E401"/>
    <mergeCell ref="F400:F401"/>
    <mergeCell ref="K430:K431"/>
    <mergeCell ref="L430:L431"/>
    <mergeCell ref="M430:M431"/>
    <mergeCell ref="A432:A433"/>
    <mergeCell ref="B432:B433"/>
    <mergeCell ref="C432:C433"/>
    <mergeCell ref="D432:D433"/>
    <mergeCell ref="E432:E433"/>
    <mergeCell ref="F432:F433"/>
    <mergeCell ref="H432:H433"/>
    <mergeCell ref="N428:O428"/>
    <mergeCell ref="A430:A431"/>
    <mergeCell ref="B430:B431"/>
    <mergeCell ref="C430:C431"/>
    <mergeCell ref="D430:D431"/>
    <mergeCell ref="E430:E431"/>
    <mergeCell ref="F430:F431"/>
    <mergeCell ref="H430:H431"/>
    <mergeCell ref="I430:I431"/>
    <mergeCell ref="J430:J431"/>
    <mergeCell ref="H428:H429"/>
    <mergeCell ref="I428:I429"/>
    <mergeCell ref="J428:J429"/>
    <mergeCell ref="K428:K429"/>
    <mergeCell ref="L428:L429"/>
    <mergeCell ref="M428:M429"/>
    <mergeCell ref="A428:A429"/>
    <mergeCell ref="B428:B429"/>
    <mergeCell ref="C428:C429"/>
    <mergeCell ref="D428:D429"/>
    <mergeCell ref="E428:E429"/>
    <mergeCell ref="F428:F429"/>
    <mergeCell ref="M434:M435"/>
    <mergeCell ref="A436:A437"/>
    <mergeCell ref="B436:B437"/>
    <mergeCell ref="C436:C437"/>
    <mergeCell ref="D436:D437"/>
    <mergeCell ref="E436:E437"/>
    <mergeCell ref="F436:F437"/>
    <mergeCell ref="H436:H437"/>
    <mergeCell ref="I436:I437"/>
    <mergeCell ref="J436:J437"/>
    <mergeCell ref="I432:I433"/>
    <mergeCell ref="J432:J433"/>
    <mergeCell ref="K432:K433"/>
    <mergeCell ref="L432:L433"/>
    <mergeCell ref="M432:M433"/>
    <mergeCell ref="H434:H435"/>
    <mergeCell ref="I434:I435"/>
    <mergeCell ref="J434:J435"/>
    <mergeCell ref="K434:K435"/>
    <mergeCell ref="L434:L435"/>
    <mergeCell ref="A441:E441"/>
    <mergeCell ref="H441:L441"/>
    <mergeCell ref="A442:E442"/>
    <mergeCell ref="H442:L442"/>
    <mergeCell ref="A448:D448"/>
    <mergeCell ref="H448:K448"/>
    <mergeCell ref="I438:I439"/>
    <mergeCell ref="J438:J439"/>
    <mergeCell ref="K438:K439"/>
    <mergeCell ref="L438:L439"/>
    <mergeCell ref="M438:M439"/>
    <mergeCell ref="A440:E440"/>
    <mergeCell ref="H440:L440"/>
    <mergeCell ref="K436:K437"/>
    <mergeCell ref="L436:L437"/>
    <mergeCell ref="M436:M437"/>
    <mergeCell ref="A438:A439"/>
    <mergeCell ref="B438:B439"/>
    <mergeCell ref="C438:C439"/>
    <mergeCell ref="D438:D439"/>
    <mergeCell ref="E438:E439"/>
    <mergeCell ref="F438:F439"/>
    <mergeCell ref="H438:H439"/>
    <mergeCell ref="N466:O466"/>
    <mergeCell ref="A468:A469"/>
    <mergeCell ref="B468:B469"/>
    <mergeCell ref="C468:C469"/>
    <mergeCell ref="D468:D469"/>
    <mergeCell ref="E468:E469"/>
    <mergeCell ref="F468:F469"/>
    <mergeCell ref="H468:H469"/>
    <mergeCell ref="I468:I469"/>
    <mergeCell ref="J468:J469"/>
    <mergeCell ref="H466:H467"/>
    <mergeCell ref="I466:I467"/>
    <mergeCell ref="J466:J467"/>
    <mergeCell ref="K466:K467"/>
    <mergeCell ref="L466:L467"/>
    <mergeCell ref="M466:M467"/>
    <mergeCell ref="M448:O448"/>
    <mergeCell ref="M453:O453"/>
    <mergeCell ref="A464:G464"/>
    <mergeCell ref="H464:O464"/>
    <mergeCell ref="A466:A467"/>
    <mergeCell ref="B466:B467"/>
    <mergeCell ref="C466:C467"/>
    <mergeCell ref="D466:D467"/>
    <mergeCell ref="E466:E467"/>
    <mergeCell ref="F466:F467"/>
    <mergeCell ref="I470:I471"/>
    <mergeCell ref="J470:J471"/>
    <mergeCell ref="K470:K471"/>
    <mergeCell ref="L470:L471"/>
    <mergeCell ref="M470:M471"/>
    <mergeCell ref="H472:H473"/>
    <mergeCell ref="I472:I473"/>
    <mergeCell ref="J472:J473"/>
    <mergeCell ref="K472:K473"/>
    <mergeCell ref="L472:L473"/>
    <mergeCell ref="K468:K469"/>
    <mergeCell ref="L468:L469"/>
    <mergeCell ref="M468:M469"/>
    <mergeCell ref="A470:A471"/>
    <mergeCell ref="B470:B471"/>
    <mergeCell ref="C470:C471"/>
    <mergeCell ref="D470:D471"/>
    <mergeCell ref="E470:E471"/>
    <mergeCell ref="F470:F471"/>
    <mergeCell ref="H470:H471"/>
    <mergeCell ref="K474:K475"/>
    <mergeCell ref="L474:L475"/>
    <mergeCell ref="M474:M475"/>
    <mergeCell ref="A476:A477"/>
    <mergeCell ref="B476:B477"/>
    <mergeCell ref="C476:C477"/>
    <mergeCell ref="D476:D477"/>
    <mergeCell ref="E476:E477"/>
    <mergeCell ref="F476:F477"/>
    <mergeCell ref="H476:H477"/>
    <mergeCell ref="M472:M473"/>
    <mergeCell ref="A474:A475"/>
    <mergeCell ref="B474:B475"/>
    <mergeCell ref="C474:C475"/>
    <mergeCell ref="D474:D475"/>
    <mergeCell ref="E474:E475"/>
    <mergeCell ref="F474:F475"/>
    <mergeCell ref="H474:H475"/>
    <mergeCell ref="I474:I475"/>
    <mergeCell ref="J474:J475"/>
    <mergeCell ref="M486:O486"/>
    <mergeCell ref="M491:O491"/>
    <mergeCell ref="A501:G501"/>
    <mergeCell ref="H501:O501"/>
    <mergeCell ref="A503:A504"/>
    <mergeCell ref="B503:B504"/>
    <mergeCell ref="C503:C504"/>
    <mergeCell ref="D503:D504"/>
    <mergeCell ref="E503:E504"/>
    <mergeCell ref="F503:F504"/>
    <mergeCell ref="A479:E479"/>
    <mergeCell ref="H479:L479"/>
    <mergeCell ref="A480:E480"/>
    <mergeCell ref="H480:L480"/>
    <mergeCell ref="A486:D486"/>
    <mergeCell ref="H486:K486"/>
    <mergeCell ref="I476:I477"/>
    <mergeCell ref="J476:J477"/>
    <mergeCell ref="K476:K477"/>
    <mergeCell ref="L476:L477"/>
    <mergeCell ref="M476:M477"/>
    <mergeCell ref="A478:E478"/>
    <mergeCell ref="H478:L478"/>
    <mergeCell ref="K505:K506"/>
    <mergeCell ref="L505:L506"/>
    <mergeCell ref="M505:M506"/>
    <mergeCell ref="H507:H508"/>
    <mergeCell ref="I507:I508"/>
    <mergeCell ref="J507:J508"/>
    <mergeCell ref="K507:K508"/>
    <mergeCell ref="L507:L508"/>
    <mergeCell ref="M507:M508"/>
    <mergeCell ref="N503:O503"/>
    <mergeCell ref="A505:A506"/>
    <mergeCell ref="B505:B506"/>
    <mergeCell ref="C505:C506"/>
    <mergeCell ref="D505:D506"/>
    <mergeCell ref="E505:E506"/>
    <mergeCell ref="F505:F506"/>
    <mergeCell ref="H505:H506"/>
    <mergeCell ref="I505:I506"/>
    <mergeCell ref="J505:J506"/>
    <mergeCell ref="H503:H504"/>
    <mergeCell ref="I503:I504"/>
    <mergeCell ref="J503:J504"/>
    <mergeCell ref="K503:K504"/>
    <mergeCell ref="L503:L504"/>
    <mergeCell ref="M503:M504"/>
    <mergeCell ref="H511:H512"/>
    <mergeCell ref="I511:I512"/>
    <mergeCell ref="J511:J512"/>
    <mergeCell ref="K511:K512"/>
    <mergeCell ref="L511:L512"/>
    <mergeCell ref="M511:M512"/>
    <mergeCell ref="A511:A512"/>
    <mergeCell ref="B511:B512"/>
    <mergeCell ref="C511:C512"/>
    <mergeCell ref="D511:D512"/>
    <mergeCell ref="E511:E512"/>
    <mergeCell ref="F511:F512"/>
    <mergeCell ref="H509:H510"/>
    <mergeCell ref="I509:I510"/>
    <mergeCell ref="J509:J510"/>
    <mergeCell ref="K509:K510"/>
    <mergeCell ref="L509:L510"/>
    <mergeCell ref="M509:M510"/>
    <mergeCell ref="A523:D523"/>
    <mergeCell ref="H523:K523"/>
    <mergeCell ref="M523:O523"/>
    <mergeCell ref="M528:O528"/>
    <mergeCell ref="A538:G538"/>
    <mergeCell ref="H538:O538"/>
    <mergeCell ref="A515:E515"/>
    <mergeCell ref="H515:L515"/>
    <mergeCell ref="A516:E516"/>
    <mergeCell ref="H516:L516"/>
    <mergeCell ref="A517:E517"/>
    <mergeCell ref="H517:L517"/>
    <mergeCell ref="H513:H514"/>
    <mergeCell ref="I513:I514"/>
    <mergeCell ref="J513:J514"/>
    <mergeCell ref="K513:K514"/>
    <mergeCell ref="L513:L514"/>
    <mergeCell ref="M513:M514"/>
    <mergeCell ref="A513:A514"/>
    <mergeCell ref="B513:B514"/>
    <mergeCell ref="C513:C514"/>
    <mergeCell ref="D513:D514"/>
    <mergeCell ref="E513:E514"/>
    <mergeCell ref="F513:F514"/>
    <mergeCell ref="K542:K543"/>
    <mergeCell ref="L542:L543"/>
    <mergeCell ref="M542:M543"/>
    <mergeCell ref="H544:H545"/>
    <mergeCell ref="I544:I545"/>
    <mergeCell ref="J544:J545"/>
    <mergeCell ref="K544:K545"/>
    <mergeCell ref="L544:L545"/>
    <mergeCell ref="M544:M545"/>
    <mergeCell ref="N540:O540"/>
    <mergeCell ref="A542:A543"/>
    <mergeCell ref="B542:B543"/>
    <mergeCell ref="C542:C543"/>
    <mergeCell ref="D542:D543"/>
    <mergeCell ref="E542:E543"/>
    <mergeCell ref="F542:F543"/>
    <mergeCell ref="H542:H543"/>
    <mergeCell ref="I542:I543"/>
    <mergeCell ref="J542:J543"/>
    <mergeCell ref="H540:H541"/>
    <mergeCell ref="I540:I541"/>
    <mergeCell ref="J540:J541"/>
    <mergeCell ref="K540:K541"/>
    <mergeCell ref="L540:L541"/>
    <mergeCell ref="M540:M541"/>
    <mergeCell ref="A540:A541"/>
    <mergeCell ref="B540:B541"/>
    <mergeCell ref="C540:C541"/>
    <mergeCell ref="D540:D541"/>
    <mergeCell ref="E540:E541"/>
    <mergeCell ref="F540:F541"/>
    <mergeCell ref="H548:H549"/>
    <mergeCell ref="I548:I549"/>
    <mergeCell ref="J548:J549"/>
    <mergeCell ref="K548:K549"/>
    <mergeCell ref="L548:L549"/>
    <mergeCell ref="M548:M549"/>
    <mergeCell ref="H546:H547"/>
    <mergeCell ref="I546:I547"/>
    <mergeCell ref="J546:J547"/>
    <mergeCell ref="K546:K547"/>
    <mergeCell ref="L546:L547"/>
    <mergeCell ref="M546:M547"/>
    <mergeCell ref="A546:A547"/>
    <mergeCell ref="B546:B547"/>
    <mergeCell ref="C546:C547"/>
    <mergeCell ref="D546:D547"/>
    <mergeCell ref="E546:E547"/>
    <mergeCell ref="F546:F547"/>
    <mergeCell ref="A560:D560"/>
    <mergeCell ref="H560:K560"/>
    <mergeCell ref="M560:O560"/>
    <mergeCell ref="M565:O565"/>
    <mergeCell ref="A575:G575"/>
    <mergeCell ref="H575:O575"/>
    <mergeCell ref="A552:E552"/>
    <mergeCell ref="H552:L552"/>
    <mergeCell ref="A553:E553"/>
    <mergeCell ref="H553:L553"/>
    <mergeCell ref="A554:E554"/>
    <mergeCell ref="H554:L554"/>
    <mergeCell ref="H550:H551"/>
    <mergeCell ref="I550:I551"/>
    <mergeCell ref="J550:J551"/>
    <mergeCell ref="K550:K551"/>
    <mergeCell ref="L550:L551"/>
    <mergeCell ref="M550:M551"/>
    <mergeCell ref="A550:A551"/>
    <mergeCell ref="B550:B551"/>
    <mergeCell ref="C550:C551"/>
    <mergeCell ref="D550:D551"/>
    <mergeCell ref="E550:E551"/>
    <mergeCell ref="F550:F551"/>
    <mergeCell ref="K579:K580"/>
    <mergeCell ref="L579:L580"/>
    <mergeCell ref="M579:M580"/>
    <mergeCell ref="A581:A582"/>
    <mergeCell ref="B581:B582"/>
    <mergeCell ref="C581:C582"/>
    <mergeCell ref="D581:D582"/>
    <mergeCell ref="E581:E582"/>
    <mergeCell ref="F581:F582"/>
    <mergeCell ref="H581:H582"/>
    <mergeCell ref="N577:O577"/>
    <mergeCell ref="A579:A580"/>
    <mergeCell ref="B579:B580"/>
    <mergeCell ref="C579:C580"/>
    <mergeCell ref="D579:D580"/>
    <mergeCell ref="E579:E580"/>
    <mergeCell ref="F579:F580"/>
    <mergeCell ref="H579:H580"/>
    <mergeCell ref="I579:I580"/>
    <mergeCell ref="J579:J580"/>
    <mergeCell ref="H577:H578"/>
    <mergeCell ref="I577:I578"/>
    <mergeCell ref="J577:J578"/>
    <mergeCell ref="K577:K578"/>
    <mergeCell ref="L577:L578"/>
    <mergeCell ref="M577:M578"/>
    <mergeCell ref="A577:A578"/>
    <mergeCell ref="B577:B578"/>
    <mergeCell ref="C577:C578"/>
    <mergeCell ref="D577:D578"/>
    <mergeCell ref="E577:E578"/>
    <mergeCell ref="F577:F578"/>
    <mergeCell ref="M583:M584"/>
    <mergeCell ref="H585:H586"/>
    <mergeCell ref="I585:I586"/>
    <mergeCell ref="J585:J586"/>
    <mergeCell ref="K585:K586"/>
    <mergeCell ref="L585:L586"/>
    <mergeCell ref="M585:M586"/>
    <mergeCell ref="I581:I582"/>
    <mergeCell ref="J581:J582"/>
    <mergeCell ref="K581:K582"/>
    <mergeCell ref="L581:L582"/>
    <mergeCell ref="M581:M582"/>
    <mergeCell ref="H583:H584"/>
    <mergeCell ref="I583:I584"/>
    <mergeCell ref="J583:J584"/>
    <mergeCell ref="K583:K584"/>
    <mergeCell ref="L583:L584"/>
    <mergeCell ref="A597:D597"/>
    <mergeCell ref="H597:K597"/>
    <mergeCell ref="M597:O597"/>
    <mergeCell ref="M602:O602"/>
    <mergeCell ref="A612:G612"/>
    <mergeCell ref="H612:O612"/>
    <mergeCell ref="A589:E589"/>
    <mergeCell ref="H589:L589"/>
    <mergeCell ref="A590:E590"/>
    <mergeCell ref="H590:L590"/>
    <mergeCell ref="A591:E591"/>
    <mergeCell ref="H591:L591"/>
    <mergeCell ref="H587:H588"/>
    <mergeCell ref="I587:I588"/>
    <mergeCell ref="J587:J588"/>
    <mergeCell ref="K587:K588"/>
    <mergeCell ref="L587:L588"/>
    <mergeCell ref="M587:M588"/>
    <mergeCell ref="A587:A588"/>
    <mergeCell ref="B587:B588"/>
    <mergeCell ref="C587:C588"/>
    <mergeCell ref="D587:D588"/>
    <mergeCell ref="E587:E588"/>
    <mergeCell ref="F587:F588"/>
    <mergeCell ref="N614:O614"/>
    <mergeCell ref="A616:A617"/>
    <mergeCell ref="B616:B617"/>
    <mergeCell ref="C616:C617"/>
    <mergeCell ref="D616:D617"/>
    <mergeCell ref="E616:E617"/>
    <mergeCell ref="F616:F617"/>
    <mergeCell ref="H616:H617"/>
    <mergeCell ref="I616:I617"/>
    <mergeCell ref="J616:J617"/>
    <mergeCell ref="H614:H615"/>
    <mergeCell ref="I614:I615"/>
    <mergeCell ref="J614:J615"/>
    <mergeCell ref="K614:K615"/>
    <mergeCell ref="L614:L615"/>
    <mergeCell ref="M614:M615"/>
    <mergeCell ref="A614:A615"/>
    <mergeCell ref="B614:B615"/>
    <mergeCell ref="C614:C615"/>
    <mergeCell ref="D614:D615"/>
    <mergeCell ref="E614:E615"/>
    <mergeCell ref="F614:F615"/>
    <mergeCell ref="H620:H621"/>
    <mergeCell ref="I620:I621"/>
    <mergeCell ref="J620:J621"/>
    <mergeCell ref="K620:K621"/>
    <mergeCell ref="L620:L621"/>
    <mergeCell ref="M620:M621"/>
    <mergeCell ref="A620:A621"/>
    <mergeCell ref="B620:B621"/>
    <mergeCell ref="C620:C621"/>
    <mergeCell ref="D620:D621"/>
    <mergeCell ref="E620:E621"/>
    <mergeCell ref="F620:F621"/>
    <mergeCell ref="K616:K617"/>
    <mergeCell ref="L616:L617"/>
    <mergeCell ref="M616:M617"/>
    <mergeCell ref="H618:H619"/>
    <mergeCell ref="I618:I619"/>
    <mergeCell ref="J618:J619"/>
    <mergeCell ref="K618:K619"/>
    <mergeCell ref="L618:L619"/>
    <mergeCell ref="M618:M619"/>
    <mergeCell ref="A632:D632"/>
    <mergeCell ref="H632:K632"/>
    <mergeCell ref="M632:O632"/>
    <mergeCell ref="M637:O637"/>
    <mergeCell ref="A647:G647"/>
    <mergeCell ref="H647:O647"/>
    <mergeCell ref="A624:E624"/>
    <mergeCell ref="H624:L624"/>
    <mergeCell ref="A625:E625"/>
    <mergeCell ref="H625:L625"/>
    <mergeCell ref="A626:E626"/>
    <mergeCell ref="H626:L626"/>
    <mergeCell ref="H622:H623"/>
    <mergeCell ref="I622:I623"/>
    <mergeCell ref="J622:J623"/>
    <mergeCell ref="K622:K623"/>
    <mergeCell ref="L622:L623"/>
    <mergeCell ref="M622:M623"/>
    <mergeCell ref="N649:O649"/>
    <mergeCell ref="A651:A652"/>
    <mergeCell ref="B651:B652"/>
    <mergeCell ref="C651:C652"/>
    <mergeCell ref="D651:D652"/>
    <mergeCell ref="E651:E652"/>
    <mergeCell ref="F651:F652"/>
    <mergeCell ref="H651:H652"/>
    <mergeCell ref="I651:I652"/>
    <mergeCell ref="J651:J652"/>
    <mergeCell ref="H649:H650"/>
    <mergeCell ref="I649:I650"/>
    <mergeCell ref="J649:J650"/>
    <mergeCell ref="K649:K650"/>
    <mergeCell ref="L649:L650"/>
    <mergeCell ref="M649:M650"/>
    <mergeCell ref="A649:A650"/>
    <mergeCell ref="B649:B650"/>
    <mergeCell ref="C649:C650"/>
    <mergeCell ref="D649:D650"/>
    <mergeCell ref="E649:E650"/>
    <mergeCell ref="F649:F650"/>
    <mergeCell ref="H655:H656"/>
    <mergeCell ref="I655:I656"/>
    <mergeCell ref="J655:J656"/>
    <mergeCell ref="K655:K656"/>
    <mergeCell ref="L655:L656"/>
    <mergeCell ref="M655:M656"/>
    <mergeCell ref="A655:A656"/>
    <mergeCell ref="B655:B656"/>
    <mergeCell ref="C655:C656"/>
    <mergeCell ref="D655:D656"/>
    <mergeCell ref="E655:E656"/>
    <mergeCell ref="F655:F656"/>
    <mergeCell ref="K651:K652"/>
    <mergeCell ref="L651:L652"/>
    <mergeCell ref="M651:M652"/>
    <mergeCell ref="H653:H654"/>
    <mergeCell ref="I653:I654"/>
    <mergeCell ref="J653:J654"/>
    <mergeCell ref="K653:K654"/>
    <mergeCell ref="L653:L654"/>
    <mergeCell ref="M653:M654"/>
    <mergeCell ref="H659:H660"/>
    <mergeCell ref="I659:I660"/>
    <mergeCell ref="J659:J660"/>
    <mergeCell ref="K659:K660"/>
    <mergeCell ref="L659:L660"/>
    <mergeCell ref="M659:M660"/>
    <mergeCell ref="H657:H658"/>
    <mergeCell ref="I657:I658"/>
    <mergeCell ref="J657:J658"/>
    <mergeCell ref="K657:K658"/>
    <mergeCell ref="L657:L658"/>
    <mergeCell ref="M657:M658"/>
    <mergeCell ref="A657:A658"/>
    <mergeCell ref="B657:B658"/>
    <mergeCell ref="C657:C658"/>
    <mergeCell ref="D657:D658"/>
    <mergeCell ref="E657:E658"/>
    <mergeCell ref="F657:F658"/>
    <mergeCell ref="B686:B687"/>
    <mergeCell ref="C686:C687"/>
    <mergeCell ref="D686:D687"/>
    <mergeCell ref="E686:E687"/>
    <mergeCell ref="F686:F687"/>
    <mergeCell ref="A669:D669"/>
    <mergeCell ref="H669:K669"/>
    <mergeCell ref="M670:O670"/>
    <mergeCell ref="M674:O674"/>
    <mergeCell ref="M675:O675"/>
    <mergeCell ref="A684:G684"/>
    <mergeCell ref="H684:O684"/>
    <mergeCell ref="A661:E661"/>
    <mergeCell ref="H661:L661"/>
    <mergeCell ref="A662:E662"/>
    <mergeCell ref="H662:L662"/>
    <mergeCell ref="A663:E663"/>
    <mergeCell ref="H663:L663"/>
    <mergeCell ref="A692:A693"/>
    <mergeCell ref="B692:B693"/>
    <mergeCell ref="C692:C693"/>
    <mergeCell ref="D692:D693"/>
    <mergeCell ref="E692:E693"/>
    <mergeCell ref="K688:K689"/>
    <mergeCell ref="L688:L689"/>
    <mergeCell ref="M688:M689"/>
    <mergeCell ref="A690:A691"/>
    <mergeCell ref="B690:B691"/>
    <mergeCell ref="C690:C691"/>
    <mergeCell ref="D690:D691"/>
    <mergeCell ref="E690:E691"/>
    <mergeCell ref="F690:F691"/>
    <mergeCell ref="H690:H691"/>
    <mergeCell ref="N686:O686"/>
    <mergeCell ref="A688:A689"/>
    <mergeCell ref="B688:B689"/>
    <mergeCell ref="C688:C689"/>
    <mergeCell ref="D688:D689"/>
    <mergeCell ref="E688:E689"/>
    <mergeCell ref="F688:F689"/>
    <mergeCell ref="H688:H689"/>
    <mergeCell ref="I688:I689"/>
    <mergeCell ref="J688:J689"/>
    <mergeCell ref="H686:H687"/>
    <mergeCell ref="I686:I687"/>
    <mergeCell ref="J686:J687"/>
    <mergeCell ref="K686:K687"/>
    <mergeCell ref="L686:L687"/>
    <mergeCell ref="M686:M687"/>
    <mergeCell ref="A686:A687"/>
    <mergeCell ref="M692:M693"/>
    <mergeCell ref="H694:H695"/>
    <mergeCell ref="I694:I695"/>
    <mergeCell ref="J694:J695"/>
    <mergeCell ref="K694:K695"/>
    <mergeCell ref="L694:L695"/>
    <mergeCell ref="M694:M695"/>
    <mergeCell ref="F692:F693"/>
    <mergeCell ref="H692:H693"/>
    <mergeCell ref="I692:I693"/>
    <mergeCell ref="J692:J693"/>
    <mergeCell ref="K692:K693"/>
    <mergeCell ref="L692:L693"/>
    <mergeCell ref="I690:I691"/>
    <mergeCell ref="J690:J691"/>
    <mergeCell ref="K690:K691"/>
    <mergeCell ref="L690:L691"/>
    <mergeCell ref="M690:M691"/>
    <mergeCell ref="A706:D706"/>
    <mergeCell ref="H706:K706"/>
    <mergeCell ref="M706:O706"/>
    <mergeCell ref="M709:O709"/>
    <mergeCell ref="M711:O711"/>
    <mergeCell ref="A721:G721"/>
    <mergeCell ref="H721:O721"/>
    <mergeCell ref="A698:E698"/>
    <mergeCell ref="H698:L698"/>
    <mergeCell ref="A699:E699"/>
    <mergeCell ref="H699:L699"/>
    <mergeCell ref="A700:E700"/>
    <mergeCell ref="H700:L700"/>
    <mergeCell ref="H696:H697"/>
    <mergeCell ref="I696:I697"/>
    <mergeCell ref="J696:J697"/>
    <mergeCell ref="K696:K697"/>
    <mergeCell ref="L696:L697"/>
    <mergeCell ref="M696:M697"/>
    <mergeCell ref="A696:A697"/>
    <mergeCell ref="B696:B697"/>
    <mergeCell ref="C696:C697"/>
    <mergeCell ref="D696:D697"/>
    <mergeCell ref="E696:E697"/>
    <mergeCell ref="F696:F697"/>
    <mergeCell ref="K725:K726"/>
    <mergeCell ref="L725:L726"/>
    <mergeCell ref="M725:M726"/>
    <mergeCell ref="A727:A728"/>
    <mergeCell ref="B727:B728"/>
    <mergeCell ref="C727:C728"/>
    <mergeCell ref="D727:D728"/>
    <mergeCell ref="E727:E728"/>
    <mergeCell ref="F727:F728"/>
    <mergeCell ref="H727:H728"/>
    <mergeCell ref="N723:O723"/>
    <mergeCell ref="A725:A726"/>
    <mergeCell ref="B725:B726"/>
    <mergeCell ref="C725:C726"/>
    <mergeCell ref="D725:D726"/>
    <mergeCell ref="E725:E726"/>
    <mergeCell ref="F725:F726"/>
    <mergeCell ref="H725:H726"/>
    <mergeCell ref="I725:I726"/>
    <mergeCell ref="J725:J726"/>
    <mergeCell ref="H723:H724"/>
    <mergeCell ref="I723:I724"/>
    <mergeCell ref="J723:J724"/>
    <mergeCell ref="K723:K724"/>
    <mergeCell ref="L723:L724"/>
    <mergeCell ref="M723:M724"/>
    <mergeCell ref="A723:A724"/>
    <mergeCell ref="B723:B724"/>
    <mergeCell ref="C723:C724"/>
    <mergeCell ref="D723:D724"/>
    <mergeCell ref="E723:E724"/>
    <mergeCell ref="F723:F724"/>
    <mergeCell ref="M733:M734"/>
    <mergeCell ref="A733:A734"/>
    <mergeCell ref="B733:B734"/>
    <mergeCell ref="C733:C734"/>
    <mergeCell ref="D733:D734"/>
    <mergeCell ref="E733:E734"/>
    <mergeCell ref="F733:F734"/>
    <mergeCell ref="M729:M730"/>
    <mergeCell ref="H731:H732"/>
    <mergeCell ref="I731:I732"/>
    <mergeCell ref="J731:J732"/>
    <mergeCell ref="K731:K732"/>
    <mergeCell ref="L731:L732"/>
    <mergeCell ref="M731:M732"/>
    <mergeCell ref="I727:I728"/>
    <mergeCell ref="J727:J728"/>
    <mergeCell ref="K727:K728"/>
    <mergeCell ref="L727:L728"/>
    <mergeCell ref="M727:M728"/>
    <mergeCell ref="H729:H730"/>
    <mergeCell ref="I729:I730"/>
    <mergeCell ref="J729:J730"/>
    <mergeCell ref="K729:K730"/>
    <mergeCell ref="L729:L730"/>
    <mergeCell ref="H735:L735"/>
    <mergeCell ref="H736:L736"/>
    <mergeCell ref="A737:E737"/>
    <mergeCell ref="H737:L737"/>
    <mergeCell ref="A738:E738"/>
    <mergeCell ref="A739:E739"/>
    <mergeCell ref="A735:A736"/>
    <mergeCell ref="B735:B736"/>
    <mergeCell ref="C735:C736"/>
    <mergeCell ref="D735:D736"/>
    <mergeCell ref="E735:E736"/>
    <mergeCell ref="F735:F736"/>
    <mergeCell ref="H733:H734"/>
    <mergeCell ref="I733:I734"/>
    <mergeCell ref="J733:J734"/>
    <mergeCell ref="K733:K734"/>
    <mergeCell ref="L733:L734"/>
    <mergeCell ref="L760:L761"/>
    <mergeCell ref="M760:M761"/>
    <mergeCell ref="N760:O760"/>
    <mergeCell ref="A762:A763"/>
    <mergeCell ref="B762:B763"/>
    <mergeCell ref="C762:C763"/>
    <mergeCell ref="D762:D763"/>
    <mergeCell ref="E762:E763"/>
    <mergeCell ref="F762:F763"/>
    <mergeCell ref="H762:H763"/>
    <mergeCell ref="H743:K743"/>
    <mergeCell ref="M743:O743"/>
    <mergeCell ref="A745:D745"/>
    <mergeCell ref="M748:O748"/>
    <mergeCell ref="H758:O758"/>
    <mergeCell ref="A760:G760"/>
    <mergeCell ref="H760:H761"/>
    <mergeCell ref="I760:I761"/>
    <mergeCell ref="J760:J761"/>
    <mergeCell ref="K760:K761"/>
    <mergeCell ref="M764:M765"/>
    <mergeCell ref="A766:A767"/>
    <mergeCell ref="B766:B767"/>
    <mergeCell ref="C766:C767"/>
    <mergeCell ref="D766:D767"/>
    <mergeCell ref="E766:E767"/>
    <mergeCell ref="F766:F767"/>
    <mergeCell ref="H766:H767"/>
    <mergeCell ref="I766:I767"/>
    <mergeCell ref="J766:J767"/>
    <mergeCell ref="I762:I763"/>
    <mergeCell ref="J762:J763"/>
    <mergeCell ref="K762:K763"/>
    <mergeCell ref="L762:L763"/>
    <mergeCell ref="M762:M763"/>
    <mergeCell ref="H764:H765"/>
    <mergeCell ref="I764:I765"/>
    <mergeCell ref="J764:J765"/>
    <mergeCell ref="K764:K765"/>
    <mergeCell ref="L764:L765"/>
    <mergeCell ref="I768:I769"/>
    <mergeCell ref="J768:J769"/>
    <mergeCell ref="K768:K769"/>
    <mergeCell ref="L768:L769"/>
    <mergeCell ref="M768:M769"/>
    <mergeCell ref="A770:A771"/>
    <mergeCell ref="B770:B771"/>
    <mergeCell ref="C770:C771"/>
    <mergeCell ref="D770:D771"/>
    <mergeCell ref="E770:E771"/>
    <mergeCell ref="K766:K767"/>
    <mergeCell ref="L766:L767"/>
    <mergeCell ref="M766:M767"/>
    <mergeCell ref="A768:A769"/>
    <mergeCell ref="B768:B769"/>
    <mergeCell ref="C768:C769"/>
    <mergeCell ref="D768:D769"/>
    <mergeCell ref="E768:E769"/>
    <mergeCell ref="F768:F769"/>
    <mergeCell ref="H768:H769"/>
    <mergeCell ref="A774:E774"/>
    <mergeCell ref="H774:L774"/>
    <mergeCell ref="A775:E775"/>
    <mergeCell ref="A776:E776"/>
    <mergeCell ref="H780:K780"/>
    <mergeCell ref="M780:O780"/>
    <mergeCell ref="M770:M771"/>
    <mergeCell ref="A772:A773"/>
    <mergeCell ref="B772:B773"/>
    <mergeCell ref="C772:C773"/>
    <mergeCell ref="D772:D773"/>
    <mergeCell ref="E772:E773"/>
    <mergeCell ref="F772:F773"/>
    <mergeCell ref="H772:L772"/>
    <mergeCell ref="H773:L773"/>
    <mergeCell ref="F770:F771"/>
    <mergeCell ref="H770:H771"/>
    <mergeCell ref="I770:I771"/>
    <mergeCell ref="J770:J771"/>
    <mergeCell ref="K770:K771"/>
    <mergeCell ref="L770:L771"/>
    <mergeCell ref="N797:O797"/>
    <mergeCell ref="A799:A800"/>
    <mergeCell ref="B799:B800"/>
    <mergeCell ref="C799:C800"/>
    <mergeCell ref="D799:D800"/>
    <mergeCell ref="E799:E800"/>
    <mergeCell ref="F799:F800"/>
    <mergeCell ref="H799:H800"/>
    <mergeCell ref="I799:I800"/>
    <mergeCell ref="J799:J800"/>
    <mergeCell ref="A782:D782"/>
    <mergeCell ref="M785:O785"/>
    <mergeCell ref="H795:O795"/>
    <mergeCell ref="A797:G797"/>
    <mergeCell ref="H797:H798"/>
    <mergeCell ref="I797:I798"/>
    <mergeCell ref="J797:J798"/>
    <mergeCell ref="K797:K798"/>
    <mergeCell ref="L797:L798"/>
    <mergeCell ref="M797:M798"/>
    <mergeCell ref="I801:I802"/>
    <mergeCell ref="J801:J802"/>
    <mergeCell ref="K801:K802"/>
    <mergeCell ref="L801:L802"/>
    <mergeCell ref="M801:M802"/>
    <mergeCell ref="H803:H804"/>
    <mergeCell ref="I803:I804"/>
    <mergeCell ref="J803:J804"/>
    <mergeCell ref="K803:K804"/>
    <mergeCell ref="L803:L804"/>
    <mergeCell ref="K799:K800"/>
    <mergeCell ref="L799:L800"/>
    <mergeCell ref="M799:M800"/>
    <mergeCell ref="A801:A802"/>
    <mergeCell ref="B801:B802"/>
    <mergeCell ref="C801:C802"/>
    <mergeCell ref="D801:D802"/>
    <mergeCell ref="E801:E802"/>
    <mergeCell ref="F801:F802"/>
    <mergeCell ref="H801:H802"/>
    <mergeCell ref="H808:L808"/>
    <mergeCell ref="A809:E809"/>
    <mergeCell ref="H809:L809"/>
    <mergeCell ref="A810:E810"/>
    <mergeCell ref="A811:E811"/>
    <mergeCell ref="H815:K815"/>
    <mergeCell ref="K805:K806"/>
    <mergeCell ref="L805:L806"/>
    <mergeCell ref="M805:M806"/>
    <mergeCell ref="A807:A808"/>
    <mergeCell ref="B807:B808"/>
    <mergeCell ref="C807:C808"/>
    <mergeCell ref="D807:D808"/>
    <mergeCell ref="E807:E808"/>
    <mergeCell ref="F807:F808"/>
    <mergeCell ref="H807:L807"/>
    <mergeCell ref="M803:M804"/>
    <mergeCell ref="A805:A806"/>
    <mergeCell ref="B805:B806"/>
    <mergeCell ref="C805:C806"/>
    <mergeCell ref="D805:D806"/>
    <mergeCell ref="E805:E806"/>
    <mergeCell ref="F805:F806"/>
    <mergeCell ref="H805:H806"/>
    <mergeCell ref="I805:I806"/>
    <mergeCell ref="J805:J806"/>
    <mergeCell ref="N832:O832"/>
    <mergeCell ref="A834:A835"/>
    <mergeCell ref="B834:B835"/>
    <mergeCell ref="C834:C835"/>
    <mergeCell ref="D834:D835"/>
    <mergeCell ref="E834:E835"/>
    <mergeCell ref="F834:F835"/>
    <mergeCell ref="H834:H835"/>
    <mergeCell ref="I834:I835"/>
    <mergeCell ref="M815:O815"/>
    <mergeCell ref="A817:D817"/>
    <mergeCell ref="M820:O820"/>
    <mergeCell ref="H830:O830"/>
    <mergeCell ref="A832:G832"/>
    <mergeCell ref="H832:H833"/>
    <mergeCell ref="I832:I833"/>
    <mergeCell ref="J832:J833"/>
    <mergeCell ref="K832:K833"/>
    <mergeCell ref="L832:L833"/>
    <mergeCell ref="H836:H837"/>
    <mergeCell ref="I836:I837"/>
    <mergeCell ref="J836:J837"/>
    <mergeCell ref="K836:K837"/>
    <mergeCell ref="L836:L837"/>
    <mergeCell ref="M836:M837"/>
    <mergeCell ref="J834:J835"/>
    <mergeCell ref="K834:K835"/>
    <mergeCell ref="L834:L835"/>
    <mergeCell ref="M834:M835"/>
    <mergeCell ref="A836:A837"/>
    <mergeCell ref="B836:B837"/>
    <mergeCell ref="C836:C837"/>
    <mergeCell ref="D836:D837"/>
    <mergeCell ref="E836:E837"/>
    <mergeCell ref="F836:F837"/>
    <mergeCell ref="M832:M833"/>
    <mergeCell ref="M842:M843"/>
    <mergeCell ref="A842:A843"/>
    <mergeCell ref="B842:B843"/>
    <mergeCell ref="C842:C843"/>
    <mergeCell ref="D842:D843"/>
    <mergeCell ref="E842:E843"/>
    <mergeCell ref="F842:F843"/>
    <mergeCell ref="H840:H841"/>
    <mergeCell ref="I840:I841"/>
    <mergeCell ref="J840:J841"/>
    <mergeCell ref="K840:K841"/>
    <mergeCell ref="L840:L841"/>
    <mergeCell ref="M840:M841"/>
    <mergeCell ref="H838:H839"/>
    <mergeCell ref="I838:I839"/>
    <mergeCell ref="J838:J839"/>
    <mergeCell ref="K838:K839"/>
    <mergeCell ref="L838:L839"/>
    <mergeCell ref="M838:M839"/>
    <mergeCell ref="A838:A839"/>
    <mergeCell ref="B838:B839"/>
    <mergeCell ref="C838:C839"/>
    <mergeCell ref="D838:D839"/>
    <mergeCell ref="E838:E839"/>
    <mergeCell ref="F838:F839"/>
    <mergeCell ref="H844:L844"/>
    <mergeCell ref="H845:L845"/>
    <mergeCell ref="A846:E846"/>
    <mergeCell ref="H846:L846"/>
    <mergeCell ref="A847:E847"/>
    <mergeCell ref="A848:E848"/>
    <mergeCell ref="A844:A845"/>
    <mergeCell ref="B844:B845"/>
    <mergeCell ref="C844:C845"/>
    <mergeCell ref="D844:D845"/>
    <mergeCell ref="E844:E845"/>
    <mergeCell ref="F844:F845"/>
    <mergeCell ref="H842:H843"/>
    <mergeCell ref="I842:I843"/>
    <mergeCell ref="J842:J843"/>
    <mergeCell ref="K842:K843"/>
    <mergeCell ref="L842:L843"/>
    <mergeCell ref="N869:O869"/>
    <mergeCell ref="A871:A872"/>
    <mergeCell ref="B871:B872"/>
    <mergeCell ref="C871:C872"/>
    <mergeCell ref="D871:D872"/>
    <mergeCell ref="E871:E872"/>
    <mergeCell ref="F871:F872"/>
    <mergeCell ref="H871:H872"/>
    <mergeCell ref="I871:I872"/>
    <mergeCell ref="A869:G869"/>
    <mergeCell ref="H869:H870"/>
    <mergeCell ref="I869:I870"/>
    <mergeCell ref="J869:J870"/>
    <mergeCell ref="K869:K870"/>
    <mergeCell ref="L869:L870"/>
    <mergeCell ref="H852:K852"/>
    <mergeCell ref="A854:D854"/>
    <mergeCell ref="M854:O854"/>
    <mergeCell ref="M858:O858"/>
    <mergeCell ref="M859:O859"/>
    <mergeCell ref="H867:O867"/>
    <mergeCell ref="H873:H874"/>
    <mergeCell ref="I873:I874"/>
    <mergeCell ref="J873:J874"/>
    <mergeCell ref="K873:K874"/>
    <mergeCell ref="L873:L874"/>
    <mergeCell ref="M873:M874"/>
    <mergeCell ref="J871:J872"/>
    <mergeCell ref="K871:K872"/>
    <mergeCell ref="L871:L872"/>
    <mergeCell ref="M871:M872"/>
    <mergeCell ref="A873:A874"/>
    <mergeCell ref="B873:B874"/>
    <mergeCell ref="C873:C874"/>
    <mergeCell ref="D873:D874"/>
    <mergeCell ref="E873:E874"/>
    <mergeCell ref="F873:F874"/>
    <mergeCell ref="M869:M870"/>
    <mergeCell ref="H877:H878"/>
    <mergeCell ref="I877:I878"/>
    <mergeCell ref="J877:J878"/>
    <mergeCell ref="K877:K878"/>
    <mergeCell ref="L877:L878"/>
    <mergeCell ref="M877:M878"/>
    <mergeCell ref="A877:A878"/>
    <mergeCell ref="B877:B878"/>
    <mergeCell ref="C877:C878"/>
    <mergeCell ref="D877:D878"/>
    <mergeCell ref="E877:E878"/>
    <mergeCell ref="F877:F878"/>
    <mergeCell ref="H875:H876"/>
    <mergeCell ref="I875:I876"/>
    <mergeCell ref="J875:J876"/>
    <mergeCell ref="K875:K876"/>
    <mergeCell ref="L875:L876"/>
    <mergeCell ref="M875:M876"/>
    <mergeCell ref="A875:A876"/>
    <mergeCell ref="B875:B876"/>
    <mergeCell ref="C875:C876"/>
    <mergeCell ref="D875:D876"/>
    <mergeCell ref="E875:E876"/>
    <mergeCell ref="F875:F876"/>
    <mergeCell ref="H881:H882"/>
    <mergeCell ref="I881:I882"/>
    <mergeCell ref="J881:J882"/>
    <mergeCell ref="K881:K882"/>
    <mergeCell ref="L881:L882"/>
    <mergeCell ref="M881:M882"/>
    <mergeCell ref="A881:A882"/>
    <mergeCell ref="B881:B882"/>
    <mergeCell ref="C881:C882"/>
    <mergeCell ref="D881:D882"/>
    <mergeCell ref="E881:E882"/>
    <mergeCell ref="F881:F882"/>
    <mergeCell ref="H879:H880"/>
    <mergeCell ref="I879:I880"/>
    <mergeCell ref="J879:J880"/>
    <mergeCell ref="K879:K880"/>
    <mergeCell ref="L879:L880"/>
    <mergeCell ref="M879:M880"/>
    <mergeCell ref="H891:K891"/>
    <mergeCell ref="M891:O891"/>
    <mergeCell ref="A893:D893"/>
    <mergeCell ref="M893:O893"/>
    <mergeCell ref="M894:O894"/>
    <mergeCell ref="M895:O895"/>
    <mergeCell ref="H883:L883"/>
    <mergeCell ref="H884:L884"/>
    <mergeCell ref="A885:E885"/>
    <mergeCell ref="H885:L885"/>
    <mergeCell ref="A886:E886"/>
    <mergeCell ref="A887:E887"/>
    <mergeCell ref="A883:A884"/>
    <mergeCell ref="B883:B884"/>
    <mergeCell ref="C883:C884"/>
    <mergeCell ref="D883:D884"/>
    <mergeCell ref="E883:E884"/>
    <mergeCell ref="F883:F884"/>
    <mergeCell ref="H910:H911"/>
    <mergeCell ref="I910:I911"/>
    <mergeCell ref="J910:J911"/>
    <mergeCell ref="K910:K911"/>
    <mergeCell ref="L910:L911"/>
    <mergeCell ref="M910:M911"/>
    <mergeCell ref="A910:A911"/>
    <mergeCell ref="B910:B911"/>
    <mergeCell ref="C910:C911"/>
    <mergeCell ref="D910:D911"/>
    <mergeCell ref="E910:E911"/>
    <mergeCell ref="F910:F911"/>
    <mergeCell ref="M896:O896"/>
    <mergeCell ref="H906:O906"/>
    <mergeCell ref="A908:G908"/>
    <mergeCell ref="H908:H909"/>
    <mergeCell ref="I908:I909"/>
    <mergeCell ref="J908:J909"/>
    <mergeCell ref="K908:K909"/>
    <mergeCell ref="L908:L909"/>
    <mergeCell ref="M908:M909"/>
    <mergeCell ref="N908:O908"/>
    <mergeCell ref="H914:H915"/>
    <mergeCell ref="I914:I915"/>
    <mergeCell ref="J914:J915"/>
    <mergeCell ref="K914:K915"/>
    <mergeCell ref="L914:L915"/>
    <mergeCell ref="M914:M915"/>
    <mergeCell ref="A914:A915"/>
    <mergeCell ref="B914:B915"/>
    <mergeCell ref="C914:C915"/>
    <mergeCell ref="D914:D915"/>
    <mergeCell ref="E914:E915"/>
    <mergeCell ref="F914:F915"/>
    <mergeCell ref="H912:H913"/>
    <mergeCell ref="I912:I913"/>
    <mergeCell ref="J912:J913"/>
    <mergeCell ref="K912:K913"/>
    <mergeCell ref="L912:L913"/>
    <mergeCell ref="M912:M913"/>
    <mergeCell ref="A912:A913"/>
    <mergeCell ref="B912:B913"/>
    <mergeCell ref="C912:C913"/>
    <mergeCell ref="D912:D913"/>
    <mergeCell ref="E912:E913"/>
    <mergeCell ref="F912:F913"/>
    <mergeCell ref="H918:H919"/>
    <mergeCell ref="I918:I919"/>
    <mergeCell ref="J918:J919"/>
    <mergeCell ref="K918:K919"/>
    <mergeCell ref="L918:L919"/>
    <mergeCell ref="M918:M919"/>
    <mergeCell ref="A918:A919"/>
    <mergeCell ref="B918:B919"/>
    <mergeCell ref="C918:C919"/>
    <mergeCell ref="D918:D919"/>
    <mergeCell ref="E918:E919"/>
    <mergeCell ref="F918:F919"/>
    <mergeCell ref="H916:H917"/>
    <mergeCell ref="I916:I917"/>
    <mergeCell ref="J916:J917"/>
    <mergeCell ref="K916:K917"/>
    <mergeCell ref="L916:L917"/>
    <mergeCell ref="M916:M917"/>
    <mergeCell ref="A916:A917"/>
    <mergeCell ref="B916:B917"/>
    <mergeCell ref="C916:C917"/>
    <mergeCell ref="D916:D917"/>
    <mergeCell ref="E916:E917"/>
    <mergeCell ref="F916:F917"/>
    <mergeCell ref="H928:K928"/>
    <mergeCell ref="M928:O928"/>
    <mergeCell ref="A930:D930"/>
    <mergeCell ref="M933:O933"/>
    <mergeCell ref="H943:O943"/>
    <mergeCell ref="A945:G945"/>
    <mergeCell ref="H945:H946"/>
    <mergeCell ref="I945:I946"/>
    <mergeCell ref="J945:J946"/>
    <mergeCell ref="K945:K946"/>
    <mergeCell ref="H920:L920"/>
    <mergeCell ref="H921:L921"/>
    <mergeCell ref="A922:E922"/>
    <mergeCell ref="H922:L922"/>
    <mergeCell ref="A923:E923"/>
    <mergeCell ref="A924:E924"/>
    <mergeCell ref="A920:A921"/>
    <mergeCell ref="B920:B921"/>
    <mergeCell ref="C920:C921"/>
    <mergeCell ref="D920:D921"/>
    <mergeCell ref="E920:E921"/>
    <mergeCell ref="F920:F921"/>
    <mergeCell ref="I947:I948"/>
    <mergeCell ref="J947:J948"/>
    <mergeCell ref="K947:K948"/>
    <mergeCell ref="L947:L948"/>
    <mergeCell ref="M947:M948"/>
    <mergeCell ref="A949:A950"/>
    <mergeCell ref="B949:B950"/>
    <mergeCell ref="C949:C950"/>
    <mergeCell ref="D949:D950"/>
    <mergeCell ref="E949:E950"/>
    <mergeCell ref="L945:L946"/>
    <mergeCell ref="M945:M946"/>
    <mergeCell ref="N945:O945"/>
    <mergeCell ref="A947:A948"/>
    <mergeCell ref="B947:B948"/>
    <mergeCell ref="C947:C948"/>
    <mergeCell ref="D947:D948"/>
    <mergeCell ref="E947:E948"/>
    <mergeCell ref="F947:F948"/>
    <mergeCell ref="H947:H948"/>
    <mergeCell ref="K951:K952"/>
    <mergeCell ref="L951:L952"/>
    <mergeCell ref="M951:M952"/>
    <mergeCell ref="H953:H954"/>
    <mergeCell ref="I953:I954"/>
    <mergeCell ref="J953:J954"/>
    <mergeCell ref="K953:K954"/>
    <mergeCell ref="L953:L954"/>
    <mergeCell ref="M953:M954"/>
    <mergeCell ref="M949:M950"/>
    <mergeCell ref="A951:A952"/>
    <mergeCell ref="B951:B952"/>
    <mergeCell ref="C951:C952"/>
    <mergeCell ref="D951:D952"/>
    <mergeCell ref="E951:E952"/>
    <mergeCell ref="F951:F952"/>
    <mergeCell ref="H951:H952"/>
    <mergeCell ref="I951:I952"/>
    <mergeCell ref="J951:J952"/>
    <mergeCell ref="F949:F950"/>
    <mergeCell ref="H949:H950"/>
    <mergeCell ref="I949:I950"/>
    <mergeCell ref="J949:J950"/>
    <mergeCell ref="K949:K950"/>
    <mergeCell ref="L949:L950"/>
    <mergeCell ref="H957:H958"/>
    <mergeCell ref="I957:I958"/>
    <mergeCell ref="J957:J958"/>
    <mergeCell ref="K957:K958"/>
    <mergeCell ref="L957:L958"/>
    <mergeCell ref="M957:M958"/>
    <mergeCell ref="A957:A958"/>
    <mergeCell ref="B957:B958"/>
    <mergeCell ref="C957:C958"/>
    <mergeCell ref="D957:D958"/>
    <mergeCell ref="E957:E958"/>
    <mergeCell ref="F957:F958"/>
    <mergeCell ref="H955:H956"/>
    <mergeCell ref="I955:I956"/>
    <mergeCell ref="J955:J956"/>
    <mergeCell ref="K955:K956"/>
    <mergeCell ref="L955:L956"/>
    <mergeCell ref="M955:M956"/>
    <mergeCell ref="A955:A956"/>
    <mergeCell ref="B955:B956"/>
    <mergeCell ref="C955:C956"/>
    <mergeCell ref="D955:D956"/>
    <mergeCell ref="E955:E956"/>
    <mergeCell ref="F955:F956"/>
    <mergeCell ref="H967:K967"/>
    <mergeCell ref="A969:D969"/>
    <mergeCell ref="M972:O972"/>
    <mergeCell ref="H982:O982"/>
    <mergeCell ref="A984:G984"/>
    <mergeCell ref="H984:H985"/>
    <mergeCell ref="I984:I985"/>
    <mergeCell ref="J984:J985"/>
    <mergeCell ref="K984:K985"/>
    <mergeCell ref="L984:L985"/>
    <mergeCell ref="H959:L959"/>
    <mergeCell ref="H960:L960"/>
    <mergeCell ref="A961:E961"/>
    <mergeCell ref="H961:L961"/>
    <mergeCell ref="A962:E962"/>
    <mergeCell ref="A963:E963"/>
    <mergeCell ref="A959:A960"/>
    <mergeCell ref="B959:B960"/>
    <mergeCell ref="C959:C960"/>
    <mergeCell ref="D959:D960"/>
    <mergeCell ref="E959:E960"/>
    <mergeCell ref="F959:F960"/>
    <mergeCell ref="J986:J987"/>
    <mergeCell ref="K986:K987"/>
    <mergeCell ref="L986:L987"/>
    <mergeCell ref="M986:M987"/>
    <mergeCell ref="A988:A989"/>
    <mergeCell ref="B988:B989"/>
    <mergeCell ref="C988:C989"/>
    <mergeCell ref="D988:D989"/>
    <mergeCell ref="E988:E989"/>
    <mergeCell ref="F988:F989"/>
    <mergeCell ref="M984:M985"/>
    <mergeCell ref="N984:O984"/>
    <mergeCell ref="A986:A987"/>
    <mergeCell ref="B986:B987"/>
    <mergeCell ref="C986:C987"/>
    <mergeCell ref="D986:D987"/>
    <mergeCell ref="E986:E987"/>
    <mergeCell ref="F986:F987"/>
    <mergeCell ref="H986:H987"/>
    <mergeCell ref="I986:I987"/>
    <mergeCell ref="H990:H991"/>
    <mergeCell ref="I990:I991"/>
    <mergeCell ref="J990:J991"/>
    <mergeCell ref="K990:K991"/>
    <mergeCell ref="L990:L991"/>
    <mergeCell ref="M990:M991"/>
    <mergeCell ref="A990:A991"/>
    <mergeCell ref="B990:B991"/>
    <mergeCell ref="C990:C991"/>
    <mergeCell ref="D990:D991"/>
    <mergeCell ref="E990:E991"/>
    <mergeCell ref="F990:F991"/>
    <mergeCell ref="H988:H989"/>
    <mergeCell ref="I988:I989"/>
    <mergeCell ref="J988:J989"/>
    <mergeCell ref="K988:K989"/>
    <mergeCell ref="L988:L989"/>
    <mergeCell ref="M988:M989"/>
    <mergeCell ref="M996:M997"/>
    <mergeCell ref="A996:A997"/>
    <mergeCell ref="B996:B997"/>
    <mergeCell ref="C996:C997"/>
    <mergeCell ref="D996:D997"/>
    <mergeCell ref="E996:E997"/>
    <mergeCell ref="F996:F997"/>
    <mergeCell ref="H994:H995"/>
    <mergeCell ref="I994:I995"/>
    <mergeCell ref="J994:J995"/>
    <mergeCell ref="K994:K995"/>
    <mergeCell ref="L994:L995"/>
    <mergeCell ref="M994:M995"/>
    <mergeCell ref="H992:H993"/>
    <mergeCell ref="I992:I993"/>
    <mergeCell ref="J992:J993"/>
    <mergeCell ref="K992:K993"/>
    <mergeCell ref="L992:L993"/>
    <mergeCell ref="M992:M993"/>
    <mergeCell ref="H998:L998"/>
    <mergeCell ref="H999:L999"/>
    <mergeCell ref="A1000:E1000"/>
    <mergeCell ref="H1000:L1000"/>
    <mergeCell ref="A1001:E1001"/>
    <mergeCell ref="A1002:E1002"/>
    <mergeCell ref="A998:A999"/>
    <mergeCell ref="B998:B999"/>
    <mergeCell ref="C998:C999"/>
    <mergeCell ref="D998:D999"/>
    <mergeCell ref="E998:E999"/>
    <mergeCell ref="F998:F999"/>
    <mergeCell ref="H996:H997"/>
    <mergeCell ref="I996:I997"/>
    <mergeCell ref="J996:J997"/>
    <mergeCell ref="K996:K997"/>
    <mergeCell ref="L996:L997"/>
    <mergeCell ref="N1023:O1023"/>
    <mergeCell ref="A1025:A1026"/>
    <mergeCell ref="B1025:B1026"/>
    <mergeCell ref="C1025:C1026"/>
    <mergeCell ref="D1025:D1026"/>
    <mergeCell ref="E1025:E1026"/>
    <mergeCell ref="F1025:F1026"/>
    <mergeCell ref="H1025:H1026"/>
    <mergeCell ref="I1025:I1026"/>
    <mergeCell ref="H1006:K1006"/>
    <mergeCell ref="A1008:D1008"/>
    <mergeCell ref="M1011:O1011"/>
    <mergeCell ref="H1021:O1021"/>
    <mergeCell ref="A1023:G1023"/>
    <mergeCell ref="H1023:H1024"/>
    <mergeCell ref="I1023:I1024"/>
    <mergeCell ref="J1023:J1024"/>
    <mergeCell ref="K1023:K1024"/>
    <mergeCell ref="L1023:L1024"/>
    <mergeCell ref="H1027:H1028"/>
    <mergeCell ref="I1027:I1028"/>
    <mergeCell ref="J1027:J1028"/>
    <mergeCell ref="K1027:K1028"/>
    <mergeCell ref="L1027:L1028"/>
    <mergeCell ref="M1027:M1028"/>
    <mergeCell ref="J1025:J1026"/>
    <mergeCell ref="K1025:K1026"/>
    <mergeCell ref="L1025:L1026"/>
    <mergeCell ref="M1025:M1026"/>
    <mergeCell ref="A1027:A1028"/>
    <mergeCell ref="B1027:B1028"/>
    <mergeCell ref="C1027:C1028"/>
    <mergeCell ref="D1027:D1028"/>
    <mergeCell ref="E1027:E1028"/>
    <mergeCell ref="F1027:F1028"/>
    <mergeCell ref="M1023:M1024"/>
    <mergeCell ref="H1031:H1032"/>
    <mergeCell ref="I1031:I1032"/>
    <mergeCell ref="J1031:J1032"/>
    <mergeCell ref="K1031:K1032"/>
    <mergeCell ref="L1031:L1032"/>
    <mergeCell ref="M1031:M1032"/>
    <mergeCell ref="A1031:A1032"/>
    <mergeCell ref="B1031:B1032"/>
    <mergeCell ref="C1031:C1032"/>
    <mergeCell ref="D1031:D1032"/>
    <mergeCell ref="E1031:E1032"/>
    <mergeCell ref="F1031:F1032"/>
    <mergeCell ref="H1029:H1030"/>
    <mergeCell ref="I1029:I1030"/>
    <mergeCell ref="J1029:J1030"/>
    <mergeCell ref="K1029:K1030"/>
    <mergeCell ref="L1029:L1030"/>
    <mergeCell ref="M1029:M1030"/>
    <mergeCell ref="A1029:A1030"/>
    <mergeCell ref="B1029:B1030"/>
    <mergeCell ref="C1029:C1030"/>
    <mergeCell ref="D1029:D1030"/>
    <mergeCell ref="E1029:E1030"/>
    <mergeCell ref="F1029:F1030"/>
    <mergeCell ref="H1041:K1041"/>
    <mergeCell ref="A1043:D1043"/>
    <mergeCell ref="M1046:O1046"/>
    <mergeCell ref="A1056:G1056"/>
    <mergeCell ref="H1056:O1056"/>
    <mergeCell ref="A1058:A1059"/>
    <mergeCell ref="B1058:B1059"/>
    <mergeCell ref="C1058:C1059"/>
    <mergeCell ref="D1058:D1059"/>
    <mergeCell ref="E1058:E1059"/>
    <mergeCell ref="H1033:L1033"/>
    <mergeCell ref="H1034:L1034"/>
    <mergeCell ref="A1035:E1035"/>
    <mergeCell ref="H1035:L1035"/>
    <mergeCell ref="A1036:E1036"/>
    <mergeCell ref="A1037:E1037"/>
    <mergeCell ref="A1033:A1034"/>
    <mergeCell ref="B1033:B1034"/>
    <mergeCell ref="C1033:C1034"/>
    <mergeCell ref="D1033:D1034"/>
    <mergeCell ref="E1033:E1034"/>
    <mergeCell ref="F1033:F1034"/>
    <mergeCell ref="J1060:J1061"/>
    <mergeCell ref="K1060:K1061"/>
    <mergeCell ref="L1060:L1061"/>
    <mergeCell ref="M1060:M1061"/>
    <mergeCell ref="A1062:A1063"/>
    <mergeCell ref="B1062:B1063"/>
    <mergeCell ref="C1062:C1063"/>
    <mergeCell ref="D1062:D1063"/>
    <mergeCell ref="E1062:E1063"/>
    <mergeCell ref="F1062:F1063"/>
    <mergeCell ref="M1058:M1059"/>
    <mergeCell ref="N1058:O1058"/>
    <mergeCell ref="A1060:A1061"/>
    <mergeCell ref="B1060:B1061"/>
    <mergeCell ref="C1060:C1061"/>
    <mergeCell ref="D1060:D1061"/>
    <mergeCell ref="E1060:E1061"/>
    <mergeCell ref="F1060:F1061"/>
    <mergeCell ref="H1060:H1061"/>
    <mergeCell ref="I1060:I1061"/>
    <mergeCell ref="F1058:F1059"/>
    <mergeCell ref="H1058:H1059"/>
    <mergeCell ref="I1058:I1059"/>
    <mergeCell ref="J1058:J1059"/>
    <mergeCell ref="K1058:K1059"/>
    <mergeCell ref="L1058:L1059"/>
    <mergeCell ref="H1066:H1067"/>
    <mergeCell ref="I1066:I1067"/>
    <mergeCell ref="J1066:J1067"/>
    <mergeCell ref="K1066:K1067"/>
    <mergeCell ref="L1066:L1067"/>
    <mergeCell ref="M1066:M1067"/>
    <mergeCell ref="A1066:A1067"/>
    <mergeCell ref="B1066:B1067"/>
    <mergeCell ref="C1066:C1067"/>
    <mergeCell ref="D1066:D1067"/>
    <mergeCell ref="E1066:E1067"/>
    <mergeCell ref="F1066:F1067"/>
    <mergeCell ref="H1062:H1063"/>
    <mergeCell ref="I1062:I1063"/>
    <mergeCell ref="J1062:J1063"/>
    <mergeCell ref="K1062:K1063"/>
    <mergeCell ref="L1062:L1063"/>
    <mergeCell ref="M1062:M1063"/>
    <mergeCell ref="H1064:H1065"/>
    <mergeCell ref="I1064:I1065"/>
    <mergeCell ref="J1064:J1065"/>
    <mergeCell ref="K1064:K1065"/>
    <mergeCell ref="L1064:L1065"/>
    <mergeCell ref="M1064:M1065"/>
    <mergeCell ref="A1070:E1070"/>
    <mergeCell ref="H1070:L1070"/>
    <mergeCell ref="A1071:E1071"/>
    <mergeCell ref="H1071:L1071"/>
    <mergeCell ref="A1072:E1072"/>
    <mergeCell ref="H1072:L1072"/>
    <mergeCell ref="H1068:H1069"/>
    <mergeCell ref="I1068:I1069"/>
    <mergeCell ref="J1068:J1069"/>
    <mergeCell ref="K1068:K1069"/>
    <mergeCell ref="L1068:L1069"/>
    <mergeCell ref="M1068:M1069"/>
    <mergeCell ref="A1068:A1069"/>
    <mergeCell ref="B1068:B1069"/>
    <mergeCell ref="C1068:C1069"/>
    <mergeCell ref="D1068:D1069"/>
    <mergeCell ref="E1068:E1069"/>
    <mergeCell ref="F1068:F1069"/>
    <mergeCell ref="M1095:M1096"/>
    <mergeCell ref="N1095:O1095"/>
    <mergeCell ref="A1097:A1098"/>
    <mergeCell ref="B1097:B1098"/>
    <mergeCell ref="C1097:C1098"/>
    <mergeCell ref="D1097:D1098"/>
    <mergeCell ref="E1097:E1098"/>
    <mergeCell ref="F1097:F1098"/>
    <mergeCell ref="H1097:H1098"/>
    <mergeCell ref="I1097:I1098"/>
    <mergeCell ref="F1095:F1096"/>
    <mergeCell ref="H1095:H1096"/>
    <mergeCell ref="I1095:I1096"/>
    <mergeCell ref="J1095:J1096"/>
    <mergeCell ref="K1095:K1096"/>
    <mergeCell ref="L1095:L1096"/>
    <mergeCell ref="A1078:D1078"/>
    <mergeCell ref="H1078:K1078"/>
    <mergeCell ref="M1083:O1083"/>
    <mergeCell ref="A1093:G1093"/>
    <mergeCell ref="H1093:O1093"/>
    <mergeCell ref="A1095:A1096"/>
    <mergeCell ref="B1095:B1096"/>
    <mergeCell ref="C1095:C1096"/>
    <mergeCell ref="D1095:D1096"/>
    <mergeCell ref="E1095:E1096"/>
    <mergeCell ref="A1101:A1102"/>
    <mergeCell ref="B1101:B1102"/>
    <mergeCell ref="C1101:C1102"/>
    <mergeCell ref="D1101:D1102"/>
    <mergeCell ref="E1101:E1102"/>
    <mergeCell ref="F1101:F1102"/>
    <mergeCell ref="H1099:H1100"/>
    <mergeCell ref="I1099:I1100"/>
    <mergeCell ref="J1099:J1100"/>
    <mergeCell ref="K1099:K1100"/>
    <mergeCell ref="L1099:L1100"/>
    <mergeCell ref="M1099:M1100"/>
    <mergeCell ref="J1097:J1098"/>
    <mergeCell ref="K1097:K1098"/>
    <mergeCell ref="L1097:L1098"/>
    <mergeCell ref="M1097:M1098"/>
    <mergeCell ref="A1099:A1100"/>
    <mergeCell ref="B1099:B1100"/>
    <mergeCell ref="C1099:C1100"/>
    <mergeCell ref="D1099:D1100"/>
    <mergeCell ref="E1099:E1100"/>
    <mergeCell ref="F1099:F1100"/>
    <mergeCell ref="H1105:H1106"/>
    <mergeCell ref="I1105:I1106"/>
    <mergeCell ref="J1105:J1106"/>
    <mergeCell ref="K1105:K1106"/>
    <mergeCell ref="L1105:L1106"/>
    <mergeCell ref="M1105:M1106"/>
    <mergeCell ref="H1103:H1104"/>
    <mergeCell ref="I1103:I1104"/>
    <mergeCell ref="J1103:J1104"/>
    <mergeCell ref="K1103:K1104"/>
    <mergeCell ref="L1103:L1104"/>
    <mergeCell ref="M1103:M1104"/>
    <mergeCell ref="H1101:H1102"/>
    <mergeCell ref="I1101:I1102"/>
    <mergeCell ref="J1101:J1102"/>
    <mergeCell ref="K1101:K1102"/>
    <mergeCell ref="L1101:L1102"/>
    <mergeCell ref="M1101:M1102"/>
    <mergeCell ref="A1115:D1115"/>
    <mergeCell ref="H1115:K1115"/>
    <mergeCell ref="M1115:O1115"/>
    <mergeCell ref="M1120:O1120"/>
    <mergeCell ref="A1130:G1130"/>
    <mergeCell ref="H1130:O1130"/>
    <mergeCell ref="A1107:E1107"/>
    <mergeCell ref="H1107:L1107"/>
    <mergeCell ref="A1108:E1108"/>
    <mergeCell ref="H1108:L1108"/>
    <mergeCell ref="A1109:E1109"/>
    <mergeCell ref="H1109:L1109"/>
    <mergeCell ref="N1132:O1132"/>
    <mergeCell ref="A1134:A1135"/>
    <mergeCell ref="B1134:B1135"/>
    <mergeCell ref="C1134:C1135"/>
    <mergeCell ref="D1134:D1135"/>
    <mergeCell ref="E1134:E1135"/>
    <mergeCell ref="F1134:F1135"/>
    <mergeCell ref="H1134:H1135"/>
    <mergeCell ref="I1134:I1135"/>
    <mergeCell ref="J1134:J1135"/>
    <mergeCell ref="H1132:H1133"/>
    <mergeCell ref="I1132:I1133"/>
    <mergeCell ref="J1132:J1133"/>
    <mergeCell ref="K1132:K1133"/>
    <mergeCell ref="L1132:L1133"/>
    <mergeCell ref="M1132:M1133"/>
    <mergeCell ref="A1132:A1133"/>
    <mergeCell ref="B1132:B1133"/>
    <mergeCell ref="C1132:C1133"/>
    <mergeCell ref="D1132:D1133"/>
    <mergeCell ref="E1132:E1133"/>
    <mergeCell ref="F1132:F1133"/>
    <mergeCell ref="I1136:I1137"/>
    <mergeCell ref="J1136:J1137"/>
    <mergeCell ref="K1136:K1137"/>
    <mergeCell ref="L1136:L1137"/>
    <mergeCell ref="M1136:M1137"/>
    <mergeCell ref="A1138:A1139"/>
    <mergeCell ref="B1138:B1139"/>
    <mergeCell ref="C1138:C1139"/>
    <mergeCell ref="D1138:D1139"/>
    <mergeCell ref="E1138:E1139"/>
    <mergeCell ref="K1134:K1135"/>
    <mergeCell ref="L1134:L1135"/>
    <mergeCell ref="M1134:M1135"/>
    <mergeCell ref="A1136:A1137"/>
    <mergeCell ref="B1136:B1137"/>
    <mergeCell ref="C1136:C1137"/>
    <mergeCell ref="D1136:D1137"/>
    <mergeCell ref="E1136:E1137"/>
    <mergeCell ref="F1136:F1137"/>
    <mergeCell ref="H1136:H1137"/>
    <mergeCell ref="K1140:K1141"/>
    <mergeCell ref="L1140:L1141"/>
    <mergeCell ref="M1140:M1141"/>
    <mergeCell ref="A1142:A1143"/>
    <mergeCell ref="B1142:B1143"/>
    <mergeCell ref="C1142:C1143"/>
    <mergeCell ref="D1142:D1143"/>
    <mergeCell ref="E1142:E1143"/>
    <mergeCell ref="F1142:F1143"/>
    <mergeCell ref="H1142:H1143"/>
    <mergeCell ref="M1138:M1139"/>
    <mergeCell ref="A1140:A1141"/>
    <mergeCell ref="B1140:B1141"/>
    <mergeCell ref="C1140:C1141"/>
    <mergeCell ref="D1140:D1141"/>
    <mergeCell ref="E1140:E1141"/>
    <mergeCell ref="F1140:F1141"/>
    <mergeCell ref="H1140:H1141"/>
    <mergeCell ref="I1140:I1141"/>
    <mergeCell ref="J1140:J1141"/>
    <mergeCell ref="F1138:F1139"/>
    <mergeCell ref="H1138:H1139"/>
    <mergeCell ref="I1138:I1139"/>
    <mergeCell ref="J1138:J1139"/>
    <mergeCell ref="K1138:K1139"/>
    <mergeCell ref="L1138:L1139"/>
    <mergeCell ref="M1152:O1152"/>
    <mergeCell ref="M1156:O1156"/>
    <mergeCell ref="A1167:G1167"/>
    <mergeCell ref="H1167:O1167"/>
    <mergeCell ref="A1169:A1170"/>
    <mergeCell ref="B1169:B1170"/>
    <mergeCell ref="C1169:C1170"/>
    <mergeCell ref="D1169:D1170"/>
    <mergeCell ref="E1169:E1170"/>
    <mergeCell ref="F1169:F1170"/>
    <mergeCell ref="A1145:E1145"/>
    <mergeCell ref="H1145:L1145"/>
    <mergeCell ref="A1146:E1146"/>
    <mergeCell ref="H1146:L1146"/>
    <mergeCell ref="A1152:D1152"/>
    <mergeCell ref="H1152:K1152"/>
    <mergeCell ref="I1142:I1143"/>
    <mergeCell ref="J1142:J1143"/>
    <mergeCell ref="K1142:K1143"/>
    <mergeCell ref="L1142:L1143"/>
    <mergeCell ref="M1142:M1143"/>
    <mergeCell ref="A1144:E1144"/>
    <mergeCell ref="H1144:L1144"/>
    <mergeCell ref="K1171:K1172"/>
    <mergeCell ref="L1171:L1172"/>
    <mergeCell ref="M1171:M1172"/>
    <mergeCell ref="A1173:A1174"/>
    <mergeCell ref="B1173:B1174"/>
    <mergeCell ref="C1173:C1174"/>
    <mergeCell ref="D1173:D1174"/>
    <mergeCell ref="E1173:E1174"/>
    <mergeCell ref="F1173:F1174"/>
    <mergeCell ref="H1173:H1174"/>
    <mergeCell ref="N1169:O1169"/>
    <mergeCell ref="A1171:A1172"/>
    <mergeCell ref="B1171:B1172"/>
    <mergeCell ref="C1171:C1172"/>
    <mergeCell ref="D1171:D1172"/>
    <mergeCell ref="E1171:E1172"/>
    <mergeCell ref="F1171:F1172"/>
    <mergeCell ref="H1171:H1172"/>
    <mergeCell ref="I1171:I1172"/>
    <mergeCell ref="J1171:J1172"/>
    <mergeCell ref="H1169:H1170"/>
    <mergeCell ref="I1169:I1170"/>
    <mergeCell ref="J1169:J1170"/>
    <mergeCell ref="K1169:K1170"/>
    <mergeCell ref="L1169:L1170"/>
    <mergeCell ref="M1169:M1170"/>
    <mergeCell ref="M1175:M1176"/>
    <mergeCell ref="A1177:A1178"/>
    <mergeCell ref="B1177:B1178"/>
    <mergeCell ref="C1177:C1178"/>
    <mergeCell ref="D1177:D1178"/>
    <mergeCell ref="E1177:E1178"/>
    <mergeCell ref="F1177:F1178"/>
    <mergeCell ref="H1177:H1178"/>
    <mergeCell ref="I1177:I1178"/>
    <mergeCell ref="J1177:J1178"/>
    <mergeCell ref="F1175:F1176"/>
    <mergeCell ref="H1175:H1176"/>
    <mergeCell ref="I1175:I1176"/>
    <mergeCell ref="J1175:J1176"/>
    <mergeCell ref="K1175:K1176"/>
    <mergeCell ref="L1175:L1176"/>
    <mergeCell ref="I1173:I1174"/>
    <mergeCell ref="J1173:J1174"/>
    <mergeCell ref="K1173:K1174"/>
    <mergeCell ref="L1173:L1174"/>
    <mergeCell ref="M1173:M1174"/>
    <mergeCell ref="A1175:A1176"/>
    <mergeCell ref="B1175:B1176"/>
    <mergeCell ref="C1175:C1176"/>
    <mergeCell ref="D1175:D1176"/>
    <mergeCell ref="E1175:E1176"/>
    <mergeCell ref="A1182:E1182"/>
    <mergeCell ref="H1182:L1182"/>
    <mergeCell ref="A1183:E1183"/>
    <mergeCell ref="H1183:L1183"/>
    <mergeCell ref="A1189:D1189"/>
    <mergeCell ref="H1189:K1189"/>
    <mergeCell ref="I1179:I1180"/>
    <mergeCell ref="J1179:J1180"/>
    <mergeCell ref="K1179:K1180"/>
    <mergeCell ref="L1179:L1180"/>
    <mergeCell ref="M1179:M1180"/>
    <mergeCell ref="A1181:E1181"/>
    <mergeCell ref="H1181:L1181"/>
    <mergeCell ref="K1177:K1178"/>
    <mergeCell ref="L1177:L1178"/>
    <mergeCell ref="M1177:M1178"/>
    <mergeCell ref="A1179:A1180"/>
    <mergeCell ref="B1179:B1180"/>
    <mergeCell ref="C1179:C1180"/>
    <mergeCell ref="D1179:D1180"/>
    <mergeCell ref="E1179:E1180"/>
    <mergeCell ref="F1179:F1180"/>
    <mergeCell ref="H1179:H1180"/>
    <mergeCell ref="N1206:O1206"/>
    <mergeCell ref="A1208:A1209"/>
    <mergeCell ref="B1208:B1209"/>
    <mergeCell ref="C1208:C1209"/>
    <mergeCell ref="D1208:D1209"/>
    <mergeCell ref="E1208:E1209"/>
    <mergeCell ref="F1208:F1209"/>
    <mergeCell ref="H1208:H1209"/>
    <mergeCell ref="I1208:I1209"/>
    <mergeCell ref="J1208:J1209"/>
    <mergeCell ref="H1206:H1207"/>
    <mergeCell ref="I1206:I1207"/>
    <mergeCell ref="J1206:J1207"/>
    <mergeCell ref="K1206:K1207"/>
    <mergeCell ref="L1206:L1207"/>
    <mergeCell ref="M1206:M1207"/>
    <mergeCell ref="M1189:O1189"/>
    <mergeCell ref="M1193:O1193"/>
    <mergeCell ref="A1204:G1204"/>
    <mergeCell ref="H1204:O1204"/>
    <mergeCell ref="A1206:A1207"/>
    <mergeCell ref="B1206:B1207"/>
    <mergeCell ref="C1206:C1207"/>
    <mergeCell ref="D1206:D1207"/>
    <mergeCell ref="E1206:E1207"/>
    <mergeCell ref="F1206:F1207"/>
    <mergeCell ref="I1210:I1211"/>
    <mergeCell ref="J1210:J1211"/>
    <mergeCell ref="K1210:K1211"/>
    <mergeCell ref="L1210:L1211"/>
    <mergeCell ref="M1210:M1211"/>
    <mergeCell ref="A1212:A1213"/>
    <mergeCell ref="B1212:B1213"/>
    <mergeCell ref="C1212:C1213"/>
    <mergeCell ref="D1212:D1213"/>
    <mergeCell ref="E1212:E1213"/>
    <mergeCell ref="K1208:K1209"/>
    <mergeCell ref="L1208:L1209"/>
    <mergeCell ref="M1208:M1209"/>
    <mergeCell ref="A1210:A1211"/>
    <mergeCell ref="B1210:B1211"/>
    <mergeCell ref="C1210:C1211"/>
    <mergeCell ref="D1210:D1211"/>
    <mergeCell ref="E1210:E1211"/>
    <mergeCell ref="F1210:F1211"/>
    <mergeCell ref="H1210:H1211"/>
    <mergeCell ref="K1214:K1215"/>
    <mergeCell ref="L1214:L1215"/>
    <mergeCell ref="H1214:H1215"/>
    <mergeCell ref="I1214:I1215"/>
    <mergeCell ref="J1214:J1215"/>
    <mergeCell ref="M1214:M1215"/>
    <mergeCell ref="M1212:M1213"/>
    <mergeCell ref="F1212:F1213"/>
    <mergeCell ref="H1212:H1213"/>
    <mergeCell ref="I1212:I1213"/>
    <mergeCell ref="J1212:J1213"/>
    <mergeCell ref="K1212:K1213"/>
    <mergeCell ref="L1212:L1213"/>
    <mergeCell ref="A1226:D1226"/>
    <mergeCell ref="H1226:K1226"/>
    <mergeCell ref="M1226:O1226"/>
    <mergeCell ref="M1231:O1231"/>
    <mergeCell ref="A1241:G1241"/>
    <mergeCell ref="H1241:O1241"/>
    <mergeCell ref="A1218:E1218"/>
    <mergeCell ref="H1218:L1218"/>
    <mergeCell ref="A1219:E1219"/>
    <mergeCell ref="H1219:L1219"/>
    <mergeCell ref="A1220:E1220"/>
    <mergeCell ref="H1220:L1220"/>
    <mergeCell ref="H1216:H1217"/>
    <mergeCell ref="I1216:I1217"/>
    <mergeCell ref="J1216:J1217"/>
    <mergeCell ref="K1216:K1217"/>
    <mergeCell ref="L1216:L1217"/>
    <mergeCell ref="M1216:M1217"/>
    <mergeCell ref="A1216:A1217"/>
    <mergeCell ref="B1216:B1217"/>
    <mergeCell ref="C1216:C1217"/>
    <mergeCell ref="D1216:D1217"/>
    <mergeCell ref="E1216:E1217"/>
    <mergeCell ref="F1216:F1217"/>
    <mergeCell ref="K1245:K1246"/>
    <mergeCell ref="L1245:L1246"/>
    <mergeCell ref="M1245:M1246"/>
    <mergeCell ref="A1247:A1248"/>
    <mergeCell ref="B1247:B1248"/>
    <mergeCell ref="C1247:C1248"/>
    <mergeCell ref="D1247:D1248"/>
    <mergeCell ref="E1247:E1248"/>
    <mergeCell ref="F1247:F1248"/>
    <mergeCell ref="H1247:H1248"/>
    <mergeCell ref="N1243:O1243"/>
    <mergeCell ref="A1245:A1246"/>
    <mergeCell ref="B1245:B1246"/>
    <mergeCell ref="C1245:C1246"/>
    <mergeCell ref="D1245:D1246"/>
    <mergeCell ref="E1245:E1246"/>
    <mergeCell ref="F1245:F1246"/>
    <mergeCell ref="H1245:H1246"/>
    <mergeCell ref="I1245:I1246"/>
    <mergeCell ref="J1245:J1246"/>
    <mergeCell ref="H1243:H1244"/>
    <mergeCell ref="I1243:I1244"/>
    <mergeCell ref="J1243:J1244"/>
    <mergeCell ref="K1243:K1244"/>
    <mergeCell ref="L1243:L1244"/>
    <mergeCell ref="M1243:M1244"/>
    <mergeCell ref="A1243:A1244"/>
    <mergeCell ref="B1243:B1244"/>
    <mergeCell ref="C1243:C1244"/>
    <mergeCell ref="D1243:D1244"/>
    <mergeCell ref="E1243:E1244"/>
    <mergeCell ref="F1243:F1244"/>
    <mergeCell ref="M1249:M1250"/>
    <mergeCell ref="A1251:A1252"/>
    <mergeCell ref="B1251:B1252"/>
    <mergeCell ref="C1251:C1252"/>
    <mergeCell ref="D1251:D1252"/>
    <mergeCell ref="E1251:E1252"/>
    <mergeCell ref="F1251:F1252"/>
    <mergeCell ref="H1251:H1252"/>
    <mergeCell ref="I1251:I1252"/>
    <mergeCell ref="J1251:J1252"/>
    <mergeCell ref="F1249:F1250"/>
    <mergeCell ref="H1249:H1250"/>
    <mergeCell ref="I1249:I1250"/>
    <mergeCell ref="J1249:J1250"/>
    <mergeCell ref="K1249:K1250"/>
    <mergeCell ref="L1249:L1250"/>
    <mergeCell ref="I1247:I1248"/>
    <mergeCell ref="J1247:J1248"/>
    <mergeCell ref="K1247:K1248"/>
    <mergeCell ref="L1247:L1248"/>
    <mergeCell ref="M1247:M1248"/>
    <mergeCell ref="A1249:A1250"/>
    <mergeCell ref="B1249:B1250"/>
    <mergeCell ref="C1249:C1250"/>
    <mergeCell ref="D1249:D1250"/>
    <mergeCell ref="E1249:E1250"/>
    <mergeCell ref="A1256:E1256"/>
    <mergeCell ref="H1256:L1256"/>
    <mergeCell ref="A1257:E1257"/>
    <mergeCell ref="H1257:L1257"/>
    <mergeCell ref="A1263:D1263"/>
    <mergeCell ref="H1263:K1263"/>
    <mergeCell ref="I1253:I1254"/>
    <mergeCell ref="J1253:J1254"/>
    <mergeCell ref="K1253:K1254"/>
    <mergeCell ref="L1253:L1254"/>
    <mergeCell ref="M1253:M1254"/>
    <mergeCell ref="A1255:E1255"/>
    <mergeCell ref="H1255:L1255"/>
    <mergeCell ref="K1251:K1252"/>
    <mergeCell ref="L1251:L1252"/>
    <mergeCell ref="M1251:M1252"/>
    <mergeCell ref="A1253:A1254"/>
    <mergeCell ref="B1253:B1254"/>
    <mergeCell ref="C1253:C1254"/>
    <mergeCell ref="D1253:D1254"/>
    <mergeCell ref="E1253:E1254"/>
    <mergeCell ref="F1253:F1254"/>
    <mergeCell ref="H1253:H1254"/>
    <mergeCell ref="N1280:O1280"/>
    <mergeCell ref="A1282:A1283"/>
    <mergeCell ref="B1282:B1283"/>
    <mergeCell ref="C1282:C1283"/>
    <mergeCell ref="D1282:D1283"/>
    <mergeCell ref="E1282:E1283"/>
    <mergeCell ref="F1282:F1283"/>
    <mergeCell ref="H1282:H1283"/>
    <mergeCell ref="I1282:I1283"/>
    <mergeCell ref="F1280:F1281"/>
    <mergeCell ref="H1280:H1281"/>
    <mergeCell ref="I1280:I1281"/>
    <mergeCell ref="J1280:J1281"/>
    <mergeCell ref="K1280:K1281"/>
    <mergeCell ref="L1280:L1281"/>
    <mergeCell ref="M1263:O1263"/>
    <mergeCell ref="M1267:O1267"/>
    <mergeCell ref="M1268:O1268"/>
    <mergeCell ref="A1278:G1278"/>
    <mergeCell ref="H1278:O1278"/>
    <mergeCell ref="A1280:A1281"/>
    <mergeCell ref="B1280:B1281"/>
    <mergeCell ref="C1280:C1281"/>
    <mergeCell ref="D1280:D1281"/>
    <mergeCell ref="E1280:E1281"/>
    <mergeCell ref="H1284:H1285"/>
    <mergeCell ref="I1284:I1285"/>
    <mergeCell ref="J1284:J1285"/>
    <mergeCell ref="K1284:K1285"/>
    <mergeCell ref="L1284:L1285"/>
    <mergeCell ref="M1284:M1285"/>
    <mergeCell ref="J1282:J1283"/>
    <mergeCell ref="K1282:K1283"/>
    <mergeCell ref="L1282:L1283"/>
    <mergeCell ref="M1282:M1283"/>
    <mergeCell ref="A1284:A1285"/>
    <mergeCell ref="B1284:B1285"/>
    <mergeCell ref="C1284:C1285"/>
    <mergeCell ref="D1284:D1285"/>
    <mergeCell ref="E1284:E1285"/>
    <mergeCell ref="F1284:F1285"/>
    <mergeCell ref="M1280:M1281"/>
    <mergeCell ref="H1288:H1289"/>
    <mergeCell ref="I1288:I1289"/>
    <mergeCell ref="J1288:J1289"/>
    <mergeCell ref="K1288:K1289"/>
    <mergeCell ref="L1288:L1289"/>
    <mergeCell ref="M1288:M1289"/>
    <mergeCell ref="A1288:A1289"/>
    <mergeCell ref="B1288:B1289"/>
    <mergeCell ref="C1288:C1289"/>
    <mergeCell ref="D1288:D1289"/>
    <mergeCell ref="E1288:E1289"/>
    <mergeCell ref="F1288:F1289"/>
    <mergeCell ref="H1286:H1287"/>
    <mergeCell ref="I1286:I1287"/>
    <mergeCell ref="J1286:J1287"/>
    <mergeCell ref="K1286:K1287"/>
    <mergeCell ref="L1286:L1287"/>
    <mergeCell ref="M1286:M1287"/>
    <mergeCell ref="A1286:A1287"/>
    <mergeCell ref="B1286:B1287"/>
    <mergeCell ref="C1286:C1287"/>
    <mergeCell ref="D1286:D1287"/>
    <mergeCell ref="E1286:E1287"/>
    <mergeCell ref="F1286:F1287"/>
    <mergeCell ref="A1292:E1292"/>
    <mergeCell ref="H1292:L1292"/>
    <mergeCell ref="A1293:E1293"/>
    <mergeCell ref="H1293:L1293"/>
    <mergeCell ref="A1294:E1294"/>
    <mergeCell ref="H1294:L1294"/>
    <mergeCell ref="H1290:H1291"/>
    <mergeCell ref="I1290:I1291"/>
    <mergeCell ref="J1290:J1291"/>
    <mergeCell ref="K1290:K1291"/>
    <mergeCell ref="L1290:L1291"/>
    <mergeCell ref="M1290:M1291"/>
    <mergeCell ref="A1290:A1291"/>
    <mergeCell ref="B1290:B1291"/>
    <mergeCell ref="C1290:C1291"/>
    <mergeCell ref="D1290:D1291"/>
    <mergeCell ref="E1290:E1291"/>
    <mergeCell ref="F1290:F1291"/>
    <mergeCell ref="N1317:O1317"/>
    <mergeCell ref="A1319:A1320"/>
    <mergeCell ref="B1319:B1320"/>
    <mergeCell ref="C1319:C1320"/>
    <mergeCell ref="D1319:D1320"/>
    <mergeCell ref="E1319:E1320"/>
    <mergeCell ref="F1319:F1320"/>
    <mergeCell ref="H1319:H1320"/>
    <mergeCell ref="I1319:I1320"/>
    <mergeCell ref="F1317:F1318"/>
    <mergeCell ref="H1317:H1318"/>
    <mergeCell ref="I1317:I1318"/>
    <mergeCell ref="J1317:J1318"/>
    <mergeCell ref="K1317:K1318"/>
    <mergeCell ref="L1317:L1318"/>
    <mergeCell ref="A1300:D1300"/>
    <mergeCell ref="H1300:K1300"/>
    <mergeCell ref="M1305:O1305"/>
    <mergeCell ref="A1315:G1315"/>
    <mergeCell ref="H1315:O1315"/>
    <mergeCell ref="A1317:A1318"/>
    <mergeCell ref="B1317:B1318"/>
    <mergeCell ref="C1317:C1318"/>
    <mergeCell ref="D1317:D1318"/>
    <mergeCell ref="E1317:E1318"/>
    <mergeCell ref="H1321:H1322"/>
    <mergeCell ref="I1321:I1322"/>
    <mergeCell ref="J1321:J1322"/>
    <mergeCell ref="K1321:K1322"/>
    <mergeCell ref="L1321:L1322"/>
    <mergeCell ref="M1321:M1322"/>
    <mergeCell ref="J1319:J1320"/>
    <mergeCell ref="K1319:K1320"/>
    <mergeCell ref="L1319:L1320"/>
    <mergeCell ref="M1319:M1320"/>
    <mergeCell ref="A1321:A1322"/>
    <mergeCell ref="B1321:B1322"/>
    <mergeCell ref="C1321:C1322"/>
    <mergeCell ref="D1321:D1322"/>
    <mergeCell ref="E1321:E1322"/>
    <mergeCell ref="F1321:F1322"/>
    <mergeCell ref="M1317:M1318"/>
    <mergeCell ref="H1325:H1326"/>
    <mergeCell ref="I1325:I1326"/>
    <mergeCell ref="J1325:J1326"/>
    <mergeCell ref="K1325:K1326"/>
    <mergeCell ref="L1325:L1326"/>
    <mergeCell ref="M1325:M1326"/>
    <mergeCell ref="A1325:A1326"/>
    <mergeCell ref="B1325:B1326"/>
    <mergeCell ref="C1325:C1326"/>
    <mergeCell ref="D1325:D1326"/>
    <mergeCell ref="E1325:E1326"/>
    <mergeCell ref="F1325:F1326"/>
    <mergeCell ref="H1323:H1324"/>
    <mergeCell ref="I1323:I1324"/>
    <mergeCell ref="J1323:J1324"/>
    <mergeCell ref="K1323:K1324"/>
    <mergeCell ref="L1323:L1324"/>
    <mergeCell ref="M1323:M1324"/>
    <mergeCell ref="A1323:A1324"/>
    <mergeCell ref="B1323:B1324"/>
    <mergeCell ref="C1323:C1324"/>
    <mergeCell ref="D1323:D1324"/>
    <mergeCell ref="E1323:E1324"/>
    <mergeCell ref="F1323:F1324"/>
    <mergeCell ref="A1337:D1337"/>
    <mergeCell ref="H1337:K1337"/>
    <mergeCell ref="M1342:O1342"/>
    <mergeCell ref="A1352:G1352"/>
    <mergeCell ref="H1352:O1352"/>
    <mergeCell ref="A1354:A1355"/>
    <mergeCell ref="B1354:B1355"/>
    <mergeCell ref="C1354:C1355"/>
    <mergeCell ref="D1354:D1355"/>
    <mergeCell ref="E1354:E1355"/>
    <mergeCell ref="A1329:E1329"/>
    <mergeCell ref="H1329:L1329"/>
    <mergeCell ref="A1330:E1330"/>
    <mergeCell ref="H1330:L1330"/>
    <mergeCell ref="A1331:E1331"/>
    <mergeCell ref="H1331:L1331"/>
    <mergeCell ref="H1327:H1328"/>
    <mergeCell ref="I1327:I1328"/>
    <mergeCell ref="J1327:J1328"/>
    <mergeCell ref="K1327:K1328"/>
    <mergeCell ref="L1327:L1328"/>
    <mergeCell ref="M1327:M1328"/>
    <mergeCell ref="A1327:A1328"/>
    <mergeCell ref="B1327:B1328"/>
    <mergeCell ref="C1327:C1328"/>
    <mergeCell ref="D1327:D1328"/>
    <mergeCell ref="E1327:E1328"/>
    <mergeCell ref="F1327:F1328"/>
    <mergeCell ref="J1356:J1357"/>
    <mergeCell ref="K1356:K1357"/>
    <mergeCell ref="L1356:L1357"/>
    <mergeCell ref="M1356:M1357"/>
    <mergeCell ref="A1358:A1359"/>
    <mergeCell ref="B1358:B1359"/>
    <mergeCell ref="C1358:C1359"/>
    <mergeCell ref="D1358:D1359"/>
    <mergeCell ref="E1358:E1359"/>
    <mergeCell ref="F1358:F1359"/>
    <mergeCell ref="M1354:M1355"/>
    <mergeCell ref="N1354:O1354"/>
    <mergeCell ref="A1356:A1357"/>
    <mergeCell ref="B1356:B1357"/>
    <mergeCell ref="C1356:C1357"/>
    <mergeCell ref="D1356:D1357"/>
    <mergeCell ref="E1356:E1357"/>
    <mergeCell ref="F1356:F1357"/>
    <mergeCell ref="H1356:H1357"/>
    <mergeCell ref="I1356:I1357"/>
    <mergeCell ref="F1354:F1355"/>
    <mergeCell ref="H1354:H1355"/>
    <mergeCell ref="I1354:I1355"/>
    <mergeCell ref="J1354:J1355"/>
    <mergeCell ref="K1354:K1355"/>
    <mergeCell ref="L1354:L1355"/>
    <mergeCell ref="H1360:H1361"/>
    <mergeCell ref="I1360:I1361"/>
    <mergeCell ref="J1360:J1361"/>
    <mergeCell ref="K1360:K1361"/>
    <mergeCell ref="L1360:L1361"/>
    <mergeCell ref="M1360:M1361"/>
    <mergeCell ref="A1360:A1361"/>
    <mergeCell ref="B1360:B1361"/>
    <mergeCell ref="C1360:C1361"/>
    <mergeCell ref="D1360:D1361"/>
    <mergeCell ref="E1360:E1361"/>
    <mergeCell ref="F1360:F1361"/>
    <mergeCell ref="H1358:H1359"/>
    <mergeCell ref="I1358:I1359"/>
    <mergeCell ref="J1358:J1359"/>
    <mergeCell ref="K1358:K1359"/>
    <mergeCell ref="L1358:L1359"/>
    <mergeCell ref="M1358:M1359"/>
    <mergeCell ref="H1364:H1365"/>
    <mergeCell ref="I1364:I1365"/>
    <mergeCell ref="J1364:J1365"/>
    <mergeCell ref="K1364:K1365"/>
    <mergeCell ref="L1364:L1365"/>
    <mergeCell ref="M1364:M1365"/>
    <mergeCell ref="A1364:A1365"/>
    <mergeCell ref="B1364:B1365"/>
    <mergeCell ref="C1364:C1365"/>
    <mergeCell ref="D1364:D1365"/>
    <mergeCell ref="E1364:E1365"/>
    <mergeCell ref="F1364:F1365"/>
    <mergeCell ref="H1362:H1363"/>
    <mergeCell ref="I1362:I1363"/>
    <mergeCell ref="J1362:J1363"/>
    <mergeCell ref="K1362:K1363"/>
    <mergeCell ref="L1362:L1363"/>
    <mergeCell ref="M1362:M1363"/>
    <mergeCell ref="A1362:A1363"/>
    <mergeCell ref="B1362:B1363"/>
    <mergeCell ref="C1362:C1363"/>
    <mergeCell ref="D1362:D1363"/>
    <mergeCell ref="E1362:E1363"/>
    <mergeCell ref="F1362:F1363"/>
    <mergeCell ref="H1374:K1374"/>
    <mergeCell ref="A1376:D1376"/>
    <mergeCell ref="M1379:O1379"/>
    <mergeCell ref="H1389:O1389"/>
    <mergeCell ref="A1391:G1391"/>
    <mergeCell ref="H1391:H1392"/>
    <mergeCell ref="I1391:I1392"/>
    <mergeCell ref="J1391:J1392"/>
    <mergeCell ref="K1391:K1392"/>
    <mergeCell ref="L1391:L1392"/>
    <mergeCell ref="H1366:L1366"/>
    <mergeCell ref="H1367:L1367"/>
    <mergeCell ref="A1368:E1368"/>
    <mergeCell ref="H1368:L1368"/>
    <mergeCell ref="A1369:E1369"/>
    <mergeCell ref="A1370:E1370"/>
    <mergeCell ref="A1366:A1367"/>
    <mergeCell ref="B1366:B1367"/>
    <mergeCell ref="C1366:C1367"/>
    <mergeCell ref="D1366:D1367"/>
    <mergeCell ref="E1366:E1367"/>
    <mergeCell ref="F1366:F1367"/>
    <mergeCell ref="J1393:J1394"/>
    <mergeCell ref="K1393:K1394"/>
    <mergeCell ref="L1393:L1394"/>
    <mergeCell ref="M1393:M1394"/>
    <mergeCell ref="A1395:A1396"/>
    <mergeCell ref="B1395:B1396"/>
    <mergeCell ref="C1395:C1396"/>
    <mergeCell ref="D1395:D1396"/>
    <mergeCell ref="E1395:E1396"/>
    <mergeCell ref="F1395:F1396"/>
    <mergeCell ref="M1391:M1392"/>
    <mergeCell ref="N1391:O1391"/>
    <mergeCell ref="A1393:A1394"/>
    <mergeCell ref="B1393:B1394"/>
    <mergeCell ref="C1393:C1394"/>
    <mergeCell ref="D1393:D1394"/>
    <mergeCell ref="E1393:E1394"/>
    <mergeCell ref="F1393:F1394"/>
    <mergeCell ref="H1393:H1394"/>
    <mergeCell ref="I1393:I1394"/>
    <mergeCell ref="H1397:H1398"/>
    <mergeCell ref="I1397:I1398"/>
    <mergeCell ref="J1397:J1398"/>
    <mergeCell ref="K1397:K1398"/>
    <mergeCell ref="L1397:L1398"/>
    <mergeCell ref="M1397:M1398"/>
    <mergeCell ref="A1397:A1398"/>
    <mergeCell ref="B1397:B1398"/>
    <mergeCell ref="C1397:C1398"/>
    <mergeCell ref="D1397:D1398"/>
    <mergeCell ref="E1397:E1398"/>
    <mergeCell ref="F1397:F1398"/>
    <mergeCell ref="H1395:H1396"/>
    <mergeCell ref="I1395:I1396"/>
    <mergeCell ref="J1395:J1396"/>
    <mergeCell ref="K1395:K1396"/>
    <mergeCell ref="L1395:L1396"/>
    <mergeCell ref="M1395:M1396"/>
    <mergeCell ref="H1401:H1402"/>
    <mergeCell ref="I1401:I1402"/>
    <mergeCell ref="J1401:J1402"/>
    <mergeCell ref="K1401:K1402"/>
    <mergeCell ref="L1401:L1402"/>
    <mergeCell ref="M1401:M1402"/>
    <mergeCell ref="A1401:A1402"/>
    <mergeCell ref="B1401:B1402"/>
    <mergeCell ref="C1401:C1402"/>
    <mergeCell ref="D1401:D1402"/>
    <mergeCell ref="E1401:E1402"/>
    <mergeCell ref="F1401:F1402"/>
    <mergeCell ref="H1399:H1400"/>
    <mergeCell ref="I1399:I1400"/>
    <mergeCell ref="J1399:J1400"/>
    <mergeCell ref="K1399:K1400"/>
    <mergeCell ref="L1399:L1400"/>
    <mergeCell ref="M1399:M1400"/>
    <mergeCell ref="A1399:A1400"/>
    <mergeCell ref="B1399:B1400"/>
    <mergeCell ref="C1399:C1400"/>
    <mergeCell ref="D1399:D1400"/>
    <mergeCell ref="E1399:E1400"/>
    <mergeCell ref="F1399:F1400"/>
    <mergeCell ref="H1411:K1411"/>
    <mergeCell ref="A1413:D1413"/>
    <mergeCell ref="M1416:O1416"/>
    <mergeCell ref="H1426:O1426"/>
    <mergeCell ref="A1428:G1428"/>
    <mergeCell ref="H1428:H1429"/>
    <mergeCell ref="I1428:I1429"/>
    <mergeCell ref="J1428:J1429"/>
    <mergeCell ref="K1428:K1429"/>
    <mergeCell ref="L1428:L1429"/>
    <mergeCell ref="H1403:L1403"/>
    <mergeCell ref="H1404:L1404"/>
    <mergeCell ref="A1405:E1405"/>
    <mergeCell ref="H1405:L1405"/>
    <mergeCell ref="A1406:E1406"/>
    <mergeCell ref="A1407:E1407"/>
    <mergeCell ref="A1403:A1404"/>
    <mergeCell ref="B1403:B1404"/>
    <mergeCell ref="C1403:C1404"/>
    <mergeCell ref="D1403:D1404"/>
    <mergeCell ref="E1403:E1404"/>
    <mergeCell ref="F1403:F1404"/>
    <mergeCell ref="J1430:J1431"/>
    <mergeCell ref="K1430:K1431"/>
    <mergeCell ref="L1430:L1431"/>
    <mergeCell ref="M1430:M1431"/>
    <mergeCell ref="A1432:A1433"/>
    <mergeCell ref="B1432:B1433"/>
    <mergeCell ref="C1432:C1433"/>
    <mergeCell ref="D1432:D1433"/>
    <mergeCell ref="E1432:E1433"/>
    <mergeCell ref="F1432:F1433"/>
    <mergeCell ref="M1428:M1429"/>
    <mergeCell ref="N1428:O1428"/>
    <mergeCell ref="A1430:A1431"/>
    <mergeCell ref="B1430:B1431"/>
    <mergeCell ref="C1430:C1431"/>
    <mergeCell ref="D1430:D1431"/>
    <mergeCell ref="E1430:E1431"/>
    <mergeCell ref="F1430:F1431"/>
    <mergeCell ref="H1430:H1431"/>
    <mergeCell ref="I1430:I1431"/>
    <mergeCell ref="H1434:H1435"/>
    <mergeCell ref="I1434:I1435"/>
    <mergeCell ref="J1434:J1435"/>
    <mergeCell ref="K1434:K1435"/>
    <mergeCell ref="L1434:L1435"/>
    <mergeCell ref="M1434:M1435"/>
    <mergeCell ref="A1434:A1435"/>
    <mergeCell ref="B1434:B1435"/>
    <mergeCell ref="C1434:C1435"/>
    <mergeCell ref="D1434:D1435"/>
    <mergeCell ref="E1434:E1435"/>
    <mergeCell ref="F1434:F1435"/>
    <mergeCell ref="H1432:H1433"/>
    <mergeCell ref="I1432:I1433"/>
    <mergeCell ref="J1432:J1433"/>
    <mergeCell ref="K1432:K1433"/>
    <mergeCell ref="L1432:L1433"/>
    <mergeCell ref="M1432:M1433"/>
    <mergeCell ref="M1438:M1439"/>
    <mergeCell ref="A1438:A1439"/>
    <mergeCell ref="B1438:B1439"/>
    <mergeCell ref="C1438:C1439"/>
    <mergeCell ref="D1438:D1439"/>
    <mergeCell ref="E1438:E1439"/>
    <mergeCell ref="F1438:F1439"/>
    <mergeCell ref="H1436:H1437"/>
    <mergeCell ref="I1436:I1437"/>
    <mergeCell ref="J1436:J1437"/>
    <mergeCell ref="K1436:K1437"/>
    <mergeCell ref="L1436:L1437"/>
    <mergeCell ref="M1436:M1437"/>
    <mergeCell ref="A1436:A1437"/>
    <mergeCell ref="B1436:B1437"/>
    <mergeCell ref="C1436:C1437"/>
    <mergeCell ref="D1436:D1437"/>
    <mergeCell ref="E1436:E1437"/>
    <mergeCell ref="F1436:F1437"/>
    <mergeCell ref="H1440:L1440"/>
    <mergeCell ref="H1441:L1441"/>
    <mergeCell ref="A1442:E1442"/>
    <mergeCell ref="H1442:L1442"/>
    <mergeCell ref="A1443:E1443"/>
    <mergeCell ref="A1444:E1444"/>
    <mergeCell ref="A1440:A1441"/>
    <mergeCell ref="B1440:B1441"/>
    <mergeCell ref="C1440:C1441"/>
    <mergeCell ref="D1440:D1441"/>
    <mergeCell ref="E1440:E1441"/>
    <mergeCell ref="F1440:F1441"/>
    <mergeCell ref="H1438:H1439"/>
    <mergeCell ref="I1438:I1439"/>
    <mergeCell ref="J1438:J1439"/>
    <mergeCell ref="K1438:K1439"/>
    <mergeCell ref="L1438:L1439"/>
    <mergeCell ref="M1465:M1466"/>
    <mergeCell ref="N1465:O1465"/>
    <mergeCell ref="A1466:A1467"/>
    <mergeCell ref="B1466:B1467"/>
    <mergeCell ref="C1466:C1467"/>
    <mergeCell ref="D1466:D1467"/>
    <mergeCell ref="E1466:E1467"/>
    <mergeCell ref="F1466:F1467"/>
    <mergeCell ref="H1467:H1468"/>
    <mergeCell ref="I1467:I1468"/>
    <mergeCell ref="H1448:K1448"/>
    <mergeCell ref="A1450:D1450"/>
    <mergeCell ref="M1453:O1453"/>
    <mergeCell ref="H1463:O1463"/>
    <mergeCell ref="A1464:G1464"/>
    <mergeCell ref="H1465:H1466"/>
    <mergeCell ref="I1465:I1466"/>
    <mergeCell ref="J1465:J1466"/>
    <mergeCell ref="K1465:K1466"/>
    <mergeCell ref="L1465:L1466"/>
    <mergeCell ref="B1470:B1471"/>
    <mergeCell ref="C1470:C1471"/>
    <mergeCell ref="D1470:D1471"/>
    <mergeCell ref="E1470:E1471"/>
    <mergeCell ref="F1470:F1471"/>
    <mergeCell ref="H1469:H1470"/>
    <mergeCell ref="I1469:I1470"/>
    <mergeCell ref="J1469:J1470"/>
    <mergeCell ref="K1469:K1470"/>
    <mergeCell ref="L1469:L1470"/>
    <mergeCell ref="M1469:M1470"/>
    <mergeCell ref="J1467:J1468"/>
    <mergeCell ref="K1467:K1468"/>
    <mergeCell ref="L1467:L1468"/>
    <mergeCell ref="M1467:M1468"/>
    <mergeCell ref="A1468:A1469"/>
    <mergeCell ref="B1468:B1469"/>
    <mergeCell ref="C1468:C1469"/>
    <mergeCell ref="D1468:D1469"/>
    <mergeCell ref="E1468:E1469"/>
    <mergeCell ref="F1468:F1469"/>
    <mergeCell ref="M1477:M1478"/>
    <mergeCell ref="A1476:A1477"/>
    <mergeCell ref="B1476:B1477"/>
    <mergeCell ref="C1476:C1477"/>
    <mergeCell ref="D1476:D1477"/>
    <mergeCell ref="E1476:E1477"/>
    <mergeCell ref="F1476:F1477"/>
    <mergeCell ref="H1475:H1476"/>
    <mergeCell ref="I1475:I1476"/>
    <mergeCell ref="J1475:J1476"/>
    <mergeCell ref="K1475:K1476"/>
    <mergeCell ref="L1475:L1476"/>
    <mergeCell ref="M1475:M1476"/>
    <mergeCell ref="H1473:H1474"/>
    <mergeCell ref="I1473:I1474"/>
    <mergeCell ref="J1473:J1474"/>
    <mergeCell ref="K1473:K1474"/>
    <mergeCell ref="L1473:L1474"/>
    <mergeCell ref="M1473:M1474"/>
    <mergeCell ref="A1472:A1475"/>
    <mergeCell ref="B1472:B1475"/>
    <mergeCell ref="C1472:C1475"/>
    <mergeCell ref="D1472:D1475"/>
    <mergeCell ref="E1472:E1475"/>
    <mergeCell ref="F1472:F1475"/>
    <mergeCell ref="H1471:H1472"/>
    <mergeCell ref="I1471:I1472"/>
    <mergeCell ref="J1471:J1472"/>
    <mergeCell ref="K1471:K1472"/>
    <mergeCell ref="L1471:L1472"/>
    <mergeCell ref="M1471:M1472"/>
    <mergeCell ref="A1470:A1471"/>
    <mergeCell ref="H1479:L1479"/>
    <mergeCell ref="A1480:E1480"/>
    <mergeCell ref="H1480:L1480"/>
    <mergeCell ref="A1481:E1481"/>
    <mergeCell ref="H1481:L1481"/>
    <mergeCell ref="A1482:E1482"/>
    <mergeCell ref="A1478:A1479"/>
    <mergeCell ref="B1478:B1479"/>
    <mergeCell ref="C1478:C1479"/>
    <mergeCell ref="D1478:D1479"/>
    <mergeCell ref="E1478:E1479"/>
    <mergeCell ref="F1478:F1479"/>
    <mergeCell ref="H1477:H1478"/>
    <mergeCell ref="I1477:I1478"/>
    <mergeCell ref="J1477:J1478"/>
    <mergeCell ref="K1477:K1478"/>
    <mergeCell ref="L1477:L1478"/>
    <mergeCell ref="N1504:O1504"/>
    <mergeCell ref="H1506:H1507"/>
    <mergeCell ref="I1506:I1507"/>
    <mergeCell ref="J1506:J1507"/>
    <mergeCell ref="K1506:K1507"/>
    <mergeCell ref="L1506:L1507"/>
    <mergeCell ref="M1506:M1507"/>
    <mergeCell ref="H1487:K1487"/>
    <mergeCell ref="A1488:D1488"/>
    <mergeCell ref="M1492:O1492"/>
    <mergeCell ref="H1502:O1502"/>
    <mergeCell ref="H1504:H1505"/>
    <mergeCell ref="I1504:I1505"/>
    <mergeCell ref="J1504:J1505"/>
    <mergeCell ref="K1504:K1505"/>
    <mergeCell ref="L1504:L1505"/>
    <mergeCell ref="M1504:M1505"/>
    <mergeCell ref="H1512:H1513"/>
    <mergeCell ref="I1512:I1513"/>
    <mergeCell ref="J1512:J1513"/>
    <mergeCell ref="K1512:K1513"/>
    <mergeCell ref="L1512:L1513"/>
    <mergeCell ref="M1512:M1513"/>
    <mergeCell ref="H1510:H1511"/>
    <mergeCell ref="I1510:I1511"/>
    <mergeCell ref="J1510:J1511"/>
    <mergeCell ref="K1510:K1511"/>
    <mergeCell ref="L1510:L1511"/>
    <mergeCell ref="M1510:M1511"/>
    <mergeCell ref="H1508:H1509"/>
    <mergeCell ref="I1508:I1509"/>
    <mergeCell ref="J1508:J1509"/>
    <mergeCell ref="K1508:K1509"/>
    <mergeCell ref="L1508:L1509"/>
    <mergeCell ref="M1508:M1509"/>
    <mergeCell ref="H1518:L1518"/>
    <mergeCell ref="H1519:L1519"/>
    <mergeCell ref="H1520:L1520"/>
    <mergeCell ref="H1526:K1526"/>
    <mergeCell ref="M1531:O1531"/>
    <mergeCell ref="H1541:O1541"/>
    <mergeCell ref="H1516:H1517"/>
    <mergeCell ref="I1516:I1517"/>
    <mergeCell ref="J1516:J1517"/>
    <mergeCell ref="K1516:K1517"/>
    <mergeCell ref="L1516:L1517"/>
    <mergeCell ref="M1516:M1517"/>
    <mergeCell ref="H1514:H1515"/>
    <mergeCell ref="I1514:I1515"/>
    <mergeCell ref="J1514:J1515"/>
    <mergeCell ref="K1514:K1515"/>
    <mergeCell ref="L1514:L1515"/>
    <mergeCell ref="M1514:M1515"/>
    <mergeCell ref="H1549:H1550"/>
    <mergeCell ref="I1549:I1550"/>
    <mergeCell ref="J1549:J1550"/>
    <mergeCell ref="K1549:K1550"/>
    <mergeCell ref="L1549:L1550"/>
    <mergeCell ref="M1549:M1550"/>
    <mergeCell ref="H1547:H1548"/>
    <mergeCell ref="I1547:I1548"/>
    <mergeCell ref="J1547:J1548"/>
    <mergeCell ref="K1547:K1548"/>
    <mergeCell ref="L1547:L1548"/>
    <mergeCell ref="M1547:M1548"/>
    <mergeCell ref="N1543:O1543"/>
    <mergeCell ref="H1545:H1546"/>
    <mergeCell ref="I1545:I1546"/>
    <mergeCell ref="J1545:J1546"/>
    <mergeCell ref="K1545:K1546"/>
    <mergeCell ref="L1545:L1546"/>
    <mergeCell ref="M1545:M1546"/>
    <mergeCell ref="H1543:H1544"/>
    <mergeCell ref="I1543:I1544"/>
    <mergeCell ref="J1543:J1544"/>
    <mergeCell ref="K1543:K1544"/>
    <mergeCell ref="L1543:L1544"/>
    <mergeCell ref="M1543:M1544"/>
    <mergeCell ref="H1555:L1555"/>
    <mergeCell ref="H1556:L1556"/>
    <mergeCell ref="H1557:L1557"/>
    <mergeCell ref="H1563:K1563"/>
    <mergeCell ref="H1578:O1578"/>
    <mergeCell ref="H1580:H1581"/>
    <mergeCell ref="I1580:I1581"/>
    <mergeCell ref="J1580:J1581"/>
    <mergeCell ref="K1580:K1581"/>
    <mergeCell ref="L1580:L1581"/>
    <mergeCell ref="H1553:H1554"/>
    <mergeCell ref="I1553:I1554"/>
    <mergeCell ref="J1553:J1554"/>
    <mergeCell ref="K1553:K1554"/>
    <mergeCell ref="L1553:L1554"/>
    <mergeCell ref="M1553:M1554"/>
    <mergeCell ref="H1551:H1552"/>
    <mergeCell ref="I1551:I1552"/>
    <mergeCell ref="J1551:J1552"/>
    <mergeCell ref="K1551:K1552"/>
    <mergeCell ref="L1551:L1552"/>
    <mergeCell ref="M1551:M1552"/>
    <mergeCell ref="H1586:H1587"/>
    <mergeCell ref="I1586:I1587"/>
    <mergeCell ref="J1586:J1587"/>
    <mergeCell ref="K1586:K1587"/>
    <mergeCell ref="L1586:L1587"/>
    <mergeCell ref="M1586:M1587"/>
    <mergeCell ref="H1584:H1585"/>
    <mergeCell ref="I1584:I1585"/>
    <mergeCell ref="J1584:J1585"/>
    <mergeCell ref="K1584:K1585"/>
    <mergeCell ref="L1584:L1585"/>
    <mergeCell ref="M1584:M1585"/>
    <mergeCell ref="M1580:M1581"/>
    <mergeCell ref="N1580:O1580"/>
    <mergeCell ref="H1582:H1583"/>
    <mergeCell ref="I1582:I1583"/>
    <mergeCell ref="J1582:J1583"/>
    <mergeCell ref="K1582:K1583"/>
    <mergeCell ref="L1582:L1583"/>
    <mergeCell ref="M1582:M1583"/>
    <mergeCell ref="H1592:L1592"/>
    <mergeCell ref="H1593:L1593"/>
    <mergeCell ref="H1594:L1594"/>
    <mergeCell ref="H1600:K1600"/>
    <mergeCell ref="H1615:O1615"/>
    <mergeCell ref="H1617:H1618"/>
    <mergeCell ref="I1617:I1618"/>
    <mergeCell ref="J1617:J1618"/>
    <mergeCell ref="K1617:K1618"/>
    <mergeCell ref="L1617:L1618"/>
    <mergeCell ref="H1590:H1591"/>
    <mergeCell ref="I1590:I1591"/>
    <mergeCell ref="J1590:J1591"/>
    <mergeCell ref="K1590:K1591"/>
    <mergeCell ref="L1590:L1591"/>
    <mergeCell ref="M1590:M1591"/>
    <mergeCell ref="H1588:H1589"/>
    <mergeCell ref="I1588:I1589"/>
    <mergeCell ref="J1588:J1589"/>
    <mergeCell ref="K1588:K1589"/>
    <mergeCell ref="L1588:L1589"/>
    <mergeCell ref="M1588:M1589"/>
    <mergeCell ref="H1623:H1624"/>
    <mergeCell ref="I1623:I1624"/>
    <mergeCell ref="J1623:J1624"/>
    <mergeCell ref="K1623:K1624"/>
    <mergeCell ref="L1623:L1624"/>
    <mergeCell ref="M1623:M1624"/>
    <mergeCell ref="H1621:H1622"/>
    <mergeCell ref="I1621:I1622"/>
    <mergeCell ref="J1621:J1622"/>
    <mergeCell ref="K1621:K1622"/>
    <mergeCell ref="L1621:L1622"/>
    <mergeCell ref="M1621:M1622"/>
    <mergeCell ref="M1617:M1618"/>
    <mergeCell ref="N1617:O1617"/>
    <mergeCell ref="H1619:H1620"/>
    <mergeCell ref="I1619:I1620"/>
    <mergeCell ref="J1619:J1620"/>
    <mergeCell ref="K1619:K1620"/>
    <mergeCell ref="L1619:L1620"/>
    <mergeCell ref="M1619:M1620"/>
    <mergeCell ref="H1629:L1629"/>
    <mergeCell ref="H1630:L1630"/>
    <mergeCell ref="H1631:L1631"/>
    <mergeCell ref="H1637:K1637"/>
    <mergeCell ref="H1652:O1652"/>
    <mergeCell ref="H1654:H1655"/>
    <mergeCell ref="I1654:I1655"/>
    <mergeCell ref="J1654:J1655"/>
    <mergeCell ref="K1654:K1655"/>
    <mergeCell ref="L1654:L1655"/>
    <mergeCell ref="H1627:H1628"/>
    <mergeCell ref="I1627:I1628"/>
    <mergeCell ref="J1627:J1628"/>
    <mergeCell ref="K1627:K1628"/>
    <mergeCell ref="L1627:L1628"/>
    <mergeCell ref="M1627:M1628"/>
    <mergeCell ref="H1625:H1626"/>
    <mergeCell ref="I1625:I1626"/>
    <mergeCell ref="J1625:J1626"/>
    <mergeCell ref="K1625:K1626"/>
    <mergeCell ref="L1625:L1626"/>
    <mergeCell ref="M1625:M1626"/>
    <mergeCell ref="H1660:H1661"/>
    <mergeCell ref="I1660:I1661"/>
    <mergeCell ref="J1660:J1661"/>
    <mergeCell ref="K1660:K1661"/>
    <mergeCell ref="L1660:L1661"/>
    <mergeCell ref="M1660:M1661"/>
    <mergeCell ref="H1658:H1659"/>
    <mergeCell ref="I1658:I1659"/>
    <mergeCell ref="J1658:J1659"/>
    <mergeCell ref="K1658:K1659"/>
    <mergeCell ref="L1658:L1659"/>
    <mergeCell ref="M1658:M1659"/>
    <mergeCell ref="M1654:M1655"/>
    <mergeCell ref="N1654:O1654"/>
    <mergeCell ref="H1656:H1657"/>
    <mergeCell ref="I1656:I1657"/>
    <mergeCell ref="J1656:J1657"/>
    <mergeCell ref="K1656:K1657"/>
    <mergeCell ref="L1656:L1657"/>
    <mergeCell ref="M1656:M1657"/>
    <mergeCell ref="H1666:L1666"/>
    <mergeCell ref="H1667:L1667"/>
    <mergeCell ref="H1668:L1668"/>
    <mergeCell ref="H1674:K1674"/>
    <mergeCell ref="H1689:O1689"/>
    <mergeCell ref="H1691:H1692"/>
    <mergeCell ref="I1691:I1692"/>
    <mergeCell ref="J1691:J1692"/>
    <mergeCell ref="K1691:K1692"/>
    <mergeCell ref="L1691:L1692"/>
    <mergeCell ref="H1664:H1665"/>
    <mergeCell ref="I1664:I1665"/>
    <mergeCell ref="J1664:J1665"/>
    <mergeCell ref="K1664:K1665"/>
    <mergeCell ref="L1664:L1665"/>
    <mergeCell ref="M1664:M1665"/>
    <mergeCell ref="H1662:H1663"/>
    <mergeCell ref="I1662:I1663"/>
    <mergeCell ref="J1662:J1663"/>
    <mergeCell ref="K1662:K1663"/>
    <mergeCell ref="L1662:L1663"/>
    <mergeCell ref="M1662:M1663"/>
    <mergeCell ref="H1697:H1698"/>
    <mergeCell ref="I1697:I1698"/>
    <mergeCell ref="J1697:J1698"/>
    <mergeCell ref="K1697:K1698"/>
    <mergeCell ref="L1697:L1698"/>
    <mergeCell ref="M1697:M1698"/>
    <mergeCell ref="H1695:H1696"/>
    <mergeCell ref="I1695:I1696"/>
    <mergeCell ref="J1695:J1696"/>
    <mergeCell ref="K1695:K1696"/>
    <mergeCell ref="L1695:L1696"/>
    <mergeCell ref="M1695:M1696"/>
    <mergeCell ref="M1691:M1692"/>
    <mergeCell ref="N1691:O1691"/>
    <mergeCell ref="H1693:H1694"/>
    <mergeCell ref="I1693:I1694"/>
    <mergeCell ref="J1693:J1694"/>
    <mergeCell ref="K1693:K1694"/>
    <mergeCell ref="L1693:L1694"/>
    <mergeCell ref="M1693:M1694"/>
    <mergeCell ref="H1703:L1703"/>
    <mergeCell ref="H1704:L1704"/>
    <mergeCell ref="H1705:L1705"/>
    <mergeCell ref="H1711:K1711"/>
    <mergeCell ref="H1726:O1726"/>
    <mergeCell ref="H1728:H1729"/>
    <mergeCell ref="I1728:I1729"/>
    <mergeCell ref="J1728:J1729"/>
    <mergeCell ref="K1728:K1729"/>
    <mergeCell ref="L1728:L1729"/>
    <mergeCell ref="H1701:H1702"/>
    <mergeCell ref="I1701:I1702"/>
    <mergeCell ref="J1701:J1702"/>
    <mergeCell ref="K1701:K1702"/>
    <mergeCell ref="L1701:L1702"/>
    <mergeCell ref="M1701:M1702"/>
    <mergeCell ref="H1699:H1700"/>
    <mergeCell ref="I1699:I1700"/>
    <mergeCell ref="J1699:J1700"/>
    <mergeCell ref="K1699:K1700"/>
    <mergeCell ref="L1699:L1700"/>
    <mergeCell ref="M1699:M1700"/>
    <mergeCell ref="H1734:H1735"/>
    <mergeCell ref="I1734:I1735"/>
    <mergeCell ref="J1734:J1735"/>
    <mergeCell ref="K1734:K1735"/>
    <mergeCell ref="L1734:L1735"/>
    <mergeCell ref="M1734:M1735"/>
    <mergeCell ref="H1732:H1733"/>
    <mergeCell ref="I1732:I1733"/>
    <mergeCell ref="J1732:J1733"/>
    <mergeCell ref="K1732:K1733"/>
    <mergeCell ref="L1732:L1733"/>
    <mergeCell ref="M1732:M1733"/>
    <mergeCell ref="M1728:M1729"/>
    <mergeCell ref="N1728:O1728"/>
    <mergeCell ref="H1730:H1731"/>
    <mergeCell ref="I1730:I1731"/>
    <mergeCell ref="J1730:J1731"/>
    <mergeCell ref="K1730:K1731"/>
    <mergeCell ref="L1730:L1731"/>
    <mergeCell ref="M1730:M1731"/>
    <mergeCell ref="H1740:H1741"/>
    <mergeCell ref="I1740:I1741"/>
    <mergeCell ref="J1740:J1741"/>
    <mergeCell ref="K1740:K1741"/>
    <mergeCell ref="L1740:L1741"/>
    <mergeCell ref="M1740:M1741"/>
    <mergeCell ref="H1738:H1739"/>
    <mergeCell ref="I1738:I1739"/>
    <mergeCell ref="J1738:J1739"/>
    <mergeCell ref="K1738:K1739"/>
    <mergeCell ref="L1738:L1739"/>
    <mergeCell ref="M1738:M1739"/>
    <mergeCell ref="H1736:H1737"/>
    <mergeCell ref="I1736:I1737"/>
    <mergeCell ref="J1736:J1737"/>
    <mergeCell ref="K1736:K1737"/>
    <mergeCell ref="L1736:L1737"/>
    <mergeCell ref="M1736:M1737"/>
    <mergeCell ref="H1771:H1772"/>
    <mergeCell ref="I1771:I1772"/>
    <mergeCell ref="J1771:J1772"/>
    <mergeCell ref="K1771:K1772"/>
    <mergeCell ref="L1771:L1772"/>
    <mergeCell ref="M1771:M1772"/>
    <mergeCell ref="M1767:M1768"/>
    <mergeCell ref="N1767:O1767"/>
    <mergeCell ref="H1769:H1770"/>
    <mergeCell ref="I1769:I1770"/>
    <mergeCell ref="J1769:J1770"/>
    <mergeCell ref="K1769:K1770"/>
    <mergeCell ref="L1769:L1770"/>
    <mergeCell ref="M1769:M1770"/>
    <mergeCell ref="H1742:L1742"/>
    <mergeCell ref="H1743:L1743"/>
    <mergeCell ref="H1744:L1744"/>
    <mergeCell ref="H1750:K1750"/>
    <mergeCell ref="H1765:O1765"/>
    <mergeCell ref="H1767:H1768"/>
    <mergeCell ref="I1767:I1768"/>
    <mergeCell ref="J1767:J1768"/>
    <mergeCell ref="K1767:K1768"/>
    <mergeCell ref="L1767:L1768"/>
    <mergeCell ref="H1777:H1778"/>
    <mergeCell ref="I1777:I1778"/>
    <mergeCell ref="J1777:J1778"/>
    <mergeCell ref="K1777:K1778"/>
    <mergeCell ref="L1777:L1778"/>
    <mergeCell ref="M1777:M1778"/>
    <mergeCell ref="H1775:H1776"/>
    <mergeCell ref="I1775:I1776"/>
    <mergeCell ref="J1775:J1776"/>
    <mergeCell ref="K1775:K1776"/>
    <mergeCell ref="L1775:L1776"/>
    <mergeCell ref="M1775:M1776"/>
    <mergeCell ref="H1773:H1774"/>
    <mergeCell ref="I1773:I1774"/>
    <mergeCell ref="J1773:J1774"/>
    <mergeCell ref="K1773:K1774"/>
    <mergeCell ref="L1773:L1774"/>
    <mergeCell ref="M1773:M1774"/>
    <mergeCell ref="H1808:H1809"/>
    <mergeCell ref="I1808:I1809"/>
    <mergeCell ref="J1808:J1809"/>
    <mergeCell ref="K1808:K1809"/>
    <mergeCell ref="L1808:L1809"/>
    <mergeCell ref="M1808:M1809"/>
    <mergeCell ref="M1804:M1805"/>
    <mergeCell ref="N1804:O1804"/>
    <mergeCell ref="H1806:H1807"/>
    <mergeCell ref="I1806:I1807"/>
    <mergeCell ref="J1806:J1807"/>
    <mergeCell ref="K1806:K1807"/>
    <mergeCell ref="L1806:L1807"/>
    <mergeCell ref="M1806:M1807"/>
    <mergeCell ref="H1779:L1779"/>
    <mergeCell ref="H1780:L1780"/>
    <mergeCell ref="H1781:L1781"/>
    <mergeCell ref="H1787:K1787"/>
    <mergeCell ref="H1802:O1802"/>
    <mergeCell ref="H1804:H1805"/>
    <mergeCell ref="I1804:I1805"/>
    <mergeCell ref="J1804:J1805"/>
    <mergeCell ref="K1804:K1805"/>
    <mergeCell ref="L1804:L1805"/>
    <mergeCell ref="H1814:H1815"/>
    <mergeCell ref="I1814:I1815"/>
    <mergeCell ref="J1814:J1815"/>
    <mergeCell ref="K1814:K1815"/>
    <mergeCell ref="L1814:L1815"/>
    <mergeCell ref="M1814:M1815"/>
    <mergeCell ref="H1812:H1813"/>
    <mergeCell ref="I1812:I1813"/>
    <mergeCell ref="J1812:J1813"/>
    <mergeCell ref="K1812:K1813"/>
    <mergeCell ref="L1812:L1813"/>
    <mergeCell ref="M1812:M1813"/>
    <mergeCell ref="H1810:H1811"/>
    <mergeCell ref="I1810:I1811"/>
    <mergeCell ref="J1810:J1811"/>
    <mergeCell ref="K1810:K1811"/>
    <mergeCell ref="L1810:L1811"/>
    <mergeCell ref="M1810:M1811"/>
    <mergeCell ref="H1845:H1846"/>
    <mergeCell ref="I1845:I1846"/>
    <mergeCell ref="J1845:J1846"/>
    <mergeCell ref="K1845:K1846"/>
    <mergeCell ref="L1845:L1846"/>
    <mergeCell ref="M1845:M1846"/>
    <mergeCell ref="M1841:M1842"/>
    <mergeCell ref="N1841:O1841"/>
    <mergeCell ref="H1843:H1844"/>
    <mergeCell ref="I1843:I1844"/>
    <mergeCell ref="J1843:J1844"/>
    <mergeCell ref="K1843:K1844"/>
    <mergeCell ref="L1843:L1844"/>
    <mergeCell ref="M1843:M1844"/>
    <mergeCell ref="H1816:L1816"/>
    <mergeCell ref="H1817:L1817"/>
    <mergeCell ref="H1818:L1818"/>
    <mergeCell ref="H1824:K1824"/>
    <mergeCell ref="H1839:O1839"/>
    <mergeCell ref="H1841:H1842"/>
    <mergeCell ref="I1841:I1842"/>
    <mergeCell ref="J1841:J1842"/>
    <mergeCell ref="K1841:K1842"/>
    <mergeCell ref="L1841:L1842"/>
    <mergeCell ref="H1851:H1852"/>
    <mergeCell ref="I1851:I1852"/>
    <mergeCell ref="J1851:J1852"/>
    <mergeCell ref="K1851:K1852"/>
    <mergeCell ref="L1851:L1852"/>
    <mergeCell ref="M1851:M1852"/>
    <mergeCell ref="H1849:H1850"/>
    <mergeCell ref="I1849:I1850"/>
    <mergeCell ref="J1849:J1850"/>
    <mergeCell ref="K1849:K1850"/>
    <mergeCell ref="L1849:L1850"/>
    <mergeCell ref="M1849:M1850"/>
    <mergeCell ref="H1847:H1848"/>
    <mergeCell ref="I1847:I1848"/>
    <mergeCell ref="J1847:J1848"/>
    <mergeCell ref="K1847:K1848"/>
    <mergeCell ref="L1847:L1848"/>
    <mergeCell ref="M1847:M1848"/>
    <mergeCell ref="H1882:H1883"/>
    <mergeCell ref="I1882:I1883"/>
    <mergeCell ref="J1882:J1883"/>
    <mergeCell ref="K1882:K1883"/>
    <mergeCell ref="L1882:L1883"/>
    <mergeCell ref="M1882:M1883"/>
    <mergeCell ref="M1878:M1879"/>
    <mergeCell ref="N1878:O1878"/>
    <mergeCell ref="H1880:H1881"/>
    <mergeCell ref="I1880:I1881"/>
    <mergeCell ref="J1880:J1881"/>
    <mergeCell ref="K1880:K1881"/>
    <mergeCell ref="L1880:L1881"/>
    <mergeCell ref="M1880:M1881"/>
    <mergeCell ref="H1853:L1853"/>
    <mergeCell ref="H1854:L1854"/>
    <mergeCell ref="H1855:L1855"/>
    <mergeCell ref="H1861:K1861"/>
    <mergeCell ref="H1876:O1876"/>
    <mergeCell ref="H1878:H1879"/>
    <mergeCell ref="I1878:I1879"/>
    <mergeCell ref="J1878:J1879"/>
    <mergeCell ref="K1878:K1879"/>
    <mergeCell ref="L1878:L1879"/>
    <mergeCell ref="H1888:H1889"/>
    <mergeCell ref="I1888:I1889"/>
    <mergeCell ref="J1888:J1889"/>
    <mergeCell ref="K1888:K1889"/>
    <mergeCell ref="L1888:L1889"/>
    <mergeCell ref="M1888:M1889"/>
    <mergeCell ref="H1886:H1887"/>
    <mergeCell ref="I1886:I1887"/>
    <mergeCell ref="J1886:J1887"/>
    <mergeCell ref="K1886:K1887"/>
    <mergeCell ref="L1886:L1887"/>
    <mergeCell ref="M1886:M1887"/>
    <mergeCell ref="H1884:H1885"/>
    <mergeCell ref="I1884:I1885"/>
    <mergeCell ref="J1884:J1885"/>
    <mergeCell ref="K1884:K1885"/>
    <mergeCell ref="L1884:L1885"/>
    <mergeCell ref="M1884:M1885"/>
    <mergeCell ref="H1919:H1920"/>
    <mergeCell ref="I1919:I1920"/>
    <mergeCell ref="J1919:J1920"/>
    <mergeCell ref="K1919:K1920"/>
    <mergeCell ref="L1919:L1920"/>
    <mergeCell ref="M1919:M1920"/>
    <mergeCell ref="M1915:M1916"/>
    <mergeCell ref="N1915:O1915"/>
    <mergeCell ref="H1917:H1918"/>
    <mergeCell ref="I1917:I1918"/>
    <mergeCell ref="J1917:J1918"/>
    <mergeCell ref="K1917:K1918"/>
    <mergeCell ref="L1917:L1918"/>
    <mergeCell ref="M1917:M1918"/>
    <mergeCell ref="H1890:L1890"/>
    <mergeCell ref="H1891:L1891"/>
    <mergeCell ref="H1892:L1892"/>
    <mergeCell ref="H1898:K1898"/>
    <mergeCell ref="H1913:O1913"/>
    <mergeCell ref="H1915:H1916"/>
    <mergeCell ref="I1915:I1916"/>
    <mergeCell ref="J1915:J1916"/>
    <mergeCell ref="K1915:K1916"/>
    <mergeCell ref="L1915:L1916"/>
    <mergeCell ref="H1925:H1926"/>
    <mergeCell ref="I1925:I1926"/>
    <mergeCell ref="J1925:J1926"/>
    <mergeCell ref="K1925:K1926"/>
    <mergeCell ref="L1925:L1926"/>
    <mergeCell ref="M1925:M1926"/>
    <mergeCell ref="H1923:H1924"/>
    <mergeCell ref="I1923:I1924"/>
    <mergeCell ref="J1923:J1924"/>
    <mergeCell ref="K1923:K1924"/>
    <mergeCell ref="L1923:L1924"/>
    <mergeCell ref="M1923:M1924"/>
    <mergeCell ref="H1921:H1922"/>
    <mergeCell ref="I1921:I1922"/>
    <mergeCell ref="J1921:J1922"/>
    <mergeCell ref="K1921:K1922"/>
    <mergeCell ref="L1921:L1922"/>
    <mergeCell ref="M1921:M1922"/>
    <mergeCell ref="H1956:H1957"/>
    <mergeCell ref="I1956:I1957"/>
    <mergeCell ref="J1956:J1957"/>
    <mergeCell ref="K1956:K1957"/>
    <mergeCell ref="L1956:L1957"/>
    <mergeCell ref="M1956:M1957"/>
    <mergeCell ref="M1952:M1953"/>
    <mergeCell ref="N1952:O1952"/>
    <mergeCell ref="H1954:H1955"/>
    <mergeCell ref="I1954:I1955"/>
    <mergeCell ref="J1954:J1955"/>
    <mergeCell ref="K1954:K1955"/>
    <mergeCell ref="L1954:L1955"/>
    <mergeCell ref="M1954:M1955"/>
    <mergeCell ref="H1927:L1927"/>
    <mergeCell ref="H1928:L1928"/>
    <mergeCell ref="H1929:L1929"/>
    <mergeCell ref="H1935:K1935"/>
    <mergeCell ref="H1950:O1950"/>
    <mergeCell ref="H1952:H1953"/>
    <mergeCell ref="I1952:I1953"/>
    <mergeCell ref="J1952:J1953"/>
    <mergeCell ref="K1952:K1953"/>
    <mergeCell ref="L1952:L1953"/>
    <mergeCell ref="H1962:H1963"/>
    <mergeCell ref="I1962:I1963"/>
    <mergeCell ref="J1962:J1963"/>
    <mergeCell ref="K1962:K1963"/>
    <mergeCell ref="L1962:L1963"/>
    <mergeCell ref="M1962:M1963"/>
    <mergeCell ref="H1960:H1961"/>
    <mergeCell ref="I1960:I1961"/>
    <mergeCell ref="J1960:J1961"/>
    <mergeCell ref="K1960:K1961"/>
    <mergeCell ref="L1960:L1961"/>
    <mergeCell ref="M1960:M1961"/>
    <mergeCell ref="H1958:H1959"/>
    <mergeCell ref="I1958:I1959"/>
    <mergeCell ref="J1958:J1959"/>
    <mergeCell ref="K1958:K1959"/>
    <mergeCell ref="L1958:L1959"/>
    <mergeCell ref="M1958:M1959"/>
    <mergeCell ref="H1993:H1994"/>
    <mergeCell ref="I1993:I1994"/>
    <mergeCell ref="J1993:J1994"/>
    <mergeCell ref="K1993:K1994"/>
    <mergeCell ref="L1993:L1994"/>
    <mergeCell ref="M1993:M1994"/>
    <mergeCell ref="M1989:M1990"/>
    <mergeCell ref="N1989:O1989"/>
    <mergeCell ref="H1991:H1992"/>
    <mergeCell ref="I1991:I1992"/>
    <mergeCell ref="J1991:J1992"/>
    <mergeCell ref="K1991:K1992"/>
    <mergeCell ref="L1991:L1992"/>
    <mergeCell ref="M1991:M1992"/>
    <mergeCell ref="H1964:L1964"/>
    <mergeCell ref="H1965:L1965"/>
    <mergeCell ref="H1966:L1966"/>
    <mergeCell ref="H1972:K1972"/>
    <mergeCell ref="H1987:O1987"/>
    <mergeCell ref="H1989:H1990"/>
    <mergeCell ref="I1989:I1990"/>
    <mergeCell ref="J1989:J1990"/>
    <mergeCell ref="K1989:K1990"/>
    <mergeCell ref="L1989:L1990"/>
    <mergeCell ref="H1999:H2000"/>
    <mergeCell ref="I1999:I2000"/>
    <mergeCell ref="J1999:J2000"/>
    <mergeCell ref="K1999:K2000"/>
    <mergeCell ref="L1999:L2000"/>
    <mergeCell ref="M1999:M2000"/>
    <mergeCell ref="H1997:H1998"/>
    <mergeCell ref="I1997:I1998"/>
    <mergeCell ref="J1997:J1998"/>
    <mergeCell ref="K1997:K1998"/>
    <mergeCell ref="L1997:L1998"/>
    <mergeCell ref="M1997:M1998"/>
    <mergeCell ref="H1995:H1996"/>
    <mergeCell ref="I1995:I1996"/>
    <mergeCell ref="J1995:J1996"/>
    <mergeCell ref="K1995:K1996"/>
    <mergeCell ref="L1995:L1996"/>
    <mergeCell ref="M1995:M1996"/>
    <mergeCell ref="H2030:H2031"/>
    <mergeCell ref="I2030:I2031"/>
    <mergeCell ref="J2030:J2031"/>
    <mergeCell ref="K2030:K2031"/>
    <mergeCell ref="L2030:L2031"/>
    <mergeCell ref="M2030:M2031"/>
    <mergeCell ref="M2026:M2027"/>
    <mergeCell ref="N2026:O2026"/>
    <mergeCell ref="H2028:H2029"/>
    <mergeCell ref="I2028:I2029"/>
    <mergeCell ref="J2028:J2029"/>
    <mergeCell ref="K2028:K2029"/>
    <mergeCell ref="L2028:L2029"/>
    <mergeCell ref="M2028:M2029"/>
    <mergeCell ref="H2001:L2001"/>
    <mergeCell ref="H2002:L2002"/>
    <mergeCell ref="H2003:L2003"/>
    <mergeCell ref="H2009:K2009"/>
    <mergeCell ref="H2024:O2024"/>
    <mergeCell ref="H2026:H2027"/>
    <mergeCell ref="I2026:I2027"/>
    <mergeCell ref="J2026:J2027"/>
    <mergeCell ref="K2026:K2027"/>
    <mergeCell ref="L2026:L2027"/>
    <mergeCell ref="H2036:H2037"/>
    <mergeCell ref="I2036:I2037"/>
    <mergeCell ref="J2036:J2037"/>
    <mergeCell ref="K2036:K2037"/>
    <mergeCell ref="L2036:L2037"/>
    <mergeCell ref="M2036:M2037"/>
    <mergeCell ref="H2034:H2035"/>
    <mergeCell ref="I2034:I2035"/>
    <mergeCell ref="J2034:J2035"/>
    <mergeCell ref="K2034:K2035"/>
    <mergeCell ref="L2034:L2035"/>
    <mergeCell ref="M2034:M2035"/>
    <mergeCell ref="H2032:H2033"/>
    <mergeCell ref="I2032:I2033"/>
    <mergeCell ref="J2032:J2033"/>
    <mergeCell ref="K2032:K2033"/>
    <mergeCell ref="L2032:L2033"/>
    <mergeCell ref="M2032:M2033"/>
    <mergeCell ref="H2067:H2068"/>
    <mergeCell ref="I2067:I2068"/>
    <mergeCell ref="J2067:J2068"/>
    <mergeCell ref="K2067:K2068"/>
    <mergeCell ref="L2067:L2068"/>
    <mergeCell ref="M2067:M2068"/>
    <mergeCell ref="M2063:M2064"/>
    <mergeCell ref="N2063:O2063"/>
    <mergeCell ref="H2065:H2066"/>
    <mergeCell ref="I2065:I2066"/>
    <mergeCell ref="J2065:J2066"/>
    <mergeCell ref="K2065:K2066"/>
    <mergeCell ref="L2065:L2066"/>
    <mergeCell ref="M2065:M2066"/>
    <mergeCell ref="H2038:L2038"/>
    <mergeCell ref="H2039:L2039"/>
    <mergeCell ref="H2040:L2040"/>
    <mergeCell ref="H2046:K2046"/>
    <mergeCell ref="H2061:O2061"/>
    <mergeCell ref="H2063:H2064"/>
    <mergeCell ref="I2063:I2064"/>
    <mergeCell ref="J2063:J2064"/>
    <mergeCell ref="K2063:K2064"/>
    <mergeCell ref="L2063:L2064"/>
    <mergeCell ref="H2073:H2074"/>
    <mergeCell ref="I2073:I2074"/>
    <mergeCell ref="J2073:J2074"/>
    <mergeCell ref="K2073:K2074"/>
    <mergeCell ref="L2073:L2074"/>
    <mergeCell ref="M2073:M2074"/>
    <mergeCell ref="H2071:H2072"/>
    <mergeCell ref="I2071:I2072"/>
    <mergeCell ref="J2071:J2072"/>
    <mergeCell ref="K2071:K2072"/>
    <mergeCell ref="L2071:L2072"/>
    <mergeCell ref="M2071:M2072"/>
    <mergeCell ref="H2069:H2070"/>
    <mergeCell ref="I2069:I2070"/>
    <mergeCell ref="J2069:J2070"/>
    <mergeCell ref="K2069:K2070"/>
    <mergeCell ref="L2069:L2070"/>
    <mergeCell ref="M2069:M2070"/>
    <mergeCell ref="H2104:H2105"/>
    <mergeCell ref="I2104:I2105"/>
    <mergeCell ref="J2104:J2105"/>
    <mergeCell ref="K2104:K2105"/>
    <mergeCell ref="L2104:L2105"/>
    <mergeCell ref="M2104:M2105"/>
    <mergeCell ref="M2100:M2101"/>
    <mergeCell ref="N2100:O2100"/>
    <mergeCell ref="H2102:H2103"/>
    <mergeCell ref="I2102:I2103"/>
    <mergeCell ref="J2102:J2103"/>
    <mergeCell ref="K2102:K2103"/>
    <mergeCell ref="L2102:L2103"/>
    <mergeCell ref="M2102:M2103"/>
    <mergeCell ref="H2075:L2075"/>
    <mergeCell ref="H2076:L2076"/>
    <mergeCell ref="H2077:L2077"/>
    <mergeCell ref="H2083:K2083"/>
    <mergeCell ref="H2098:O2098"/>
    <mergeCell ref="H2100:H2101"/>
    <mergeCell ref="I2100:I2101"/>
    <mergeCell ref="J2100:J2101"/>
    <mergeCell ref="K2100:K2101"/>
    <mergeCell ref="L2100:L2101"/>
    <mergeCell ref="H2110:H2111"/>
    <mergeCell ref="I2110:I2111"/>
    <mergeCell ref="J2110:J2111"/>
    <mergeCell ref="K2110:K2111"/>
    <mergeCell ref="L2110:L2111"/>
    <mergeCell ref="M2110:M2111"/>
    <mergeCell ref="H2108:H2109"/>
    <mergeCell ref="I2108:I2109"/>
    <mergeCell ref="J2108:J2109"/>
    <mergeCell ref="K2108:K2109"/>
    <mergeCell ref="L2108:L2109"/>
    <mergeCell ref="M2108:M2109"/>
    <mergeCell ref="H2106:H2107"/>
    <mergeCell ref="I2106:I2107"/>
    <mergeCell ref="J2106:J2107"/>
    <mergeCell ref="K2106:K2107"/>
    <mergeCell ref="L2106:L2107"/>
    <mergeCell ref="M2106:M2107"/>
    <mergeCell ref="H2141:H2142"/>
    <mergeCell ref="I2141:I2142"/>
    <mergeCell ref="J2141:J2142"/>
    <mergeCell ref="K2141:K2142"/>
    <mergeCell ref="L2141:L2142"/>
    <mergeCell ref="M2141:M2142"/>
    <mergeCell ref="M2137:M2138"/>
    <mergeCell ref="N2137:O2137"/>
    <mergeCell ref="H2139:H2140"/>
    <mergeCell ref="I2139:I2140"/>
    <mergeCell ref="J2139:J2140"/>
    <mergeCell ref="K2139:K2140"/>
    <mergeCell ref="L2139:L2140"/>
    <mergeCell ref="M2139:M2140"/>
    <mergeCell ref="H2112:L2112"/>
    <mergeCell ref="H2113:L2113"/>
    <mergeCell ref="H2114:L2114"/>
    <mergeCell ref="H2120:K2120"/>
    <mergeCell ref="H2135:O2135"/>
    <mergeCell ref="H2137:H2138"/>
    <mergeCell ref="I2137:I2138"/>
    <mergeCell ref="J2137:J2138"/>
    <mergeCell ref="K2137:K2138"/>
    <mergeCell ref="L2137:L2138"/>
    <mergeCell ref="H2147:H2148"/>
    <mergeCell ref="I2147:I2148"/>
    <mergeCell ref="J2147:J2148"/>
    <mergeCell ref="K2147:K2148"/>
    <mergeCell ref="L2147:L2148"/>
    <mergeCell ref="M2147:M2148"/>
    <mergeCell ref="H2145:H2146"/>
    <mergeCell ref="I2145:I2146"/>
    <mergeCell ref="J2145:J2146"/>
    <mergeCell ref="K2145:K2146"/>
    <mergeCell ref="L2145:L2146"/>
    <mergeCell ref="M2145:M2146"/>
    <mergeCell ref="H2143:H2144"/>
    <mergeCell ref="I2143:I2144"/>
    <mergeCell ref="J2143:J2144"/>
    <mergeCell ref="K2143:K2144"/>
    <mergeCell ref="L2143:L2144"/>
    <mergeCell ref="M2143:M2144"/>
    <mergeCell ref="M2174:M2175"/>
    <mergeCell ref="N2174:O2174"/>
    <mergeCell ref="H2176:H2177"/>
    <mergeCell ref="I2176:I2177"/>
    <mergeCell ref="J2176:J2177"/>
    <mergeCell ref="K2176:K2177"/>
    <mergeCell ref="L2176:L2177"/>
    <mergeCell ref="M2176:M2177"/>
    <mergeCell ref="H2149:L2149"/>
    <mergeCell ref="H2150:L2150"/>
    <mergeCell ref="H2151:L2151"/>
    <mergeCell ref="H2157:K2157"/>
    <mergeCell ref="H2172:O2172"/>
    <mergeCell ref="H2174:H2175"/>
    <mergeCell ref="I2174:I2175"/>
    <mergeCell ref="J2174:J2175"/>
    <mergeCell ref="K2174:K2175"/>
    <mergeCell ref="L2174:L2175"/>
    <mergeCell ref="H2182:H2183"/>
    <mergeCell ref="I2182:I2183"/>
    <mergeCell ref="J2182:J2183"/>
    <mergeCell ref="K2182:K2183"/>
    <mergeCell ref="L2182:L2183"/>
    <mergeCell ref="M2182:M2183"/>
    <mergeCell ref="H2180:H2181"/>
    <mergeCell ref="I2180:I2181"/>
    <mergeCell ref="J2180:J2181"/>
    <mergeCell ref="K2180:K2181"/>
    <mergeCell ref="L2180:L2181"/>
    <mergeCell ref="M2180:M2181"/>
    <mergeCell ref="H2178:H2179"/>
    <mergeCell ref="I2178:I2179"/>
    <mergeCell ref="J2178:J2179"/>
    <mergeCell ref="K2178:K2179"/>
    <mergeCell ref="L2178:L2179"/>
    <mergeCell ref="M2178:M2179"/>
    <mergeCell ref="H2188:L2188"/>
    <mergeCell ref="H2189:L2189"/>
    <mergeCell ref="H2190:L2190"/>
    <mergeCell ref="H2196:K2196"/>
    <mergeCell ref="H2211:O2211"/>
    <mergeCell ref="H2213:H2214"/>
    <mergeCell ref="I2213:I2214"/>
    <mergeCell ref="J2213:J2214"/>
    <mergeCell ref="K2213:K2214"/>
    <mergeCell ref="L2213:L2214"/>
    <mergeCell ref="H2186:H2187"/>
    <mergeCell ref="I2186:I2187"/>
    <mergeCell ref="J2186:J2187"/>
    <mergeCell ref="K2186:K2187"/>
    <mergeCell ref="L2186:L2187"/>
    <mergeCell ref="M2186:M2187"/>
    <mergeCell ref="H2184:H2185"/>
    <mergeCell ref="I2184:I2185"/>
    <mergeCell ref="J2184:J2185"/>
    <mergeCell ref="K2184:K2185"/>
    <mergeCell ref="L2184:L2185"/>
    <mergeCell ref="M2184:M2185"/>
    <mergeCell ref="H2219:H2220"/>
    <mergeCell ref="I2219:I2220"/>
    <mergeCell ref="J2219:J2220"/>
    <mergeCell ref="K2219:K2220"/>
    <mergeCell ref="L2219:L2220"/>
    <mergeCell ref="M2219:M2220"/>
    <mergeCell ref="H2217:H2218"/>
    <mergeCell ref="I2217:I2218"/>
    <mergeCell ref="J2217:J2218"/>
    <mergeCell ref="K2217:K2218"/>
    <mergeCell ref="L2217:L2218"/>
    <mergeCell ref="M2217:M2218"/>
    <mergeCell ref="M2213:M2214"/>
    <mergeCell ref="N2213:O2213"/>
    <mergeCell ref="H2215:H2216"/>
    <mergeCell ref="I2215:I2216"/>
    <mergeCell ref="J2215:J2216"/>
    <mergeCell ref="K2215:K2216"/>
    <mergeCell ref="L2215:L2216"/>
    <mergeCell ref="M2215:M2216"/>
    <mergeCell ref="H2225:L2225"/>
    <mergeCell ref="H2226:L2226"/>
    <mergeCell ref="H2227:L2227"/>
    <mergeCell ref="H2233:K2233"/>
    <mergeCell ref="H2248:O2248"/>
    <mergeCell ref="H2250:H2251"/>
    <mergeCell ref="I2250:I2251"/>
    <mergeCell ref="J2250:J2251"/>
    <mergeCell ref="K2250:K2251"/>
    <mergeCell ref="L2250:L2251"/>
    <mergeCell ref="H2223:H2224"/>
    <mergeCell ref="I2223:I2224"/>
    <mergeCell ref="J2223:J2224"/>
    <mergeCell ref="K2223:K2224"/>
    <mergeCell ref="L2223:L2224"/>
    <mergeCell ref="M2223:M2224"/>
    <mergeCell ref="H2221:H2222"/>
    <mergeCell ref="I2221:I2222"/>
    <mergeCell ref="J2221:J2222"/>
    <mergeCell ref="K2221:K2222"/>
    <mergeCell ref="L2221:L2222"/>
    <mergeCell ref="M2221:M2222"/>
    <mergeCell ref="H2256:H2257"/>
    <mergeCell ref="I2256:I2257"/>
    <mergeCell ref="J2256:J2257"/>
    <mergeCell ref="K2256:K2257"/>
    <mergeCell ref="L2256:L2257"/>
    <mergeCell ref="M2256:M2257"/>
    <mergeCell ref="H2254:H2255"/>
    <mergeCell ref="I2254:I2255"/>
    <mergeCell ref="J2254:J2255"/>
    <mergeCell ref="K2254:K2255"/>
    <mergeCell ref="L2254:L2255"/>
    <mergeCell ref="M2254:M2255"/>
    <mergeCell ref="M2250:M2251"/>
    <mergeCell ref="N2250:O2250"/>
    <mergeCell ref="H2252:H2253"/>
    <mergeCell ref="I2252:I2253"/>
    <mergeCell ref="J2252:J2253"/>
    <mergeCell ref="K2252:K2253"/>
    <mergeCell ref="L2252:L2253"/>
    <mergeCell ref="M2252:M2253"/>
    <mergeCell ref="H2262:L2262"/>
    <mergeCell ref="H2263:L2263"/>
    <mergeCell ref="H2264:L2264"/>
    <mergeCell ref="H2270:K2270"/>
    <mergeCell ref="H2285:O2285"/>
    <mergeCell ref="H2287:H2288"/>
    <mergeCell ref="I2287:I2288"/>
    <mergeCell ref="J2287:J2288"/>
    <mergeCell ref="K2287:K2288"/>
    <mergeCell ref="L2287:L2288"/>
    <mergeCell ref="H2260:H2261"/>
    <mergeCell ref="I2260:I2261"/>
    <mergeCell ref="J2260:J2261"/>
    <mergeCell ref="K2260:K2261"/>
    <mergeCell ref="L2260:L2261"/>
    <mergeCell ref="M2260:M2261"/>
    <mergeCell ref="H2258:H2259"/>
    <mergeCell ref="I2258:I2259"/>
    <mergeCell ref="J2258:J2259"/>
    <mergeCell ref="K2258:K2259"/>
    <mergeCell ref="L2258:L2259"/>
    <mergeCell ref="M2258:M2259"/>
    <mergeCell ref="H2293:H2294"/>
    <mergeCell ref="I2293:I2294"/>
    <mergeCell ref="J2293:J2294"/>
    <mergeCell ref="K2293:K2294"/>
    <mergeCell ref="L2293:L2294"/>
    <mergeCell ref="M2293:M2294"/>
    <mergeCell ref="H2291:H2292"/>
    <mergeCell ref="I2291:I2292"/>
    <mergeCell ref="J2291:J2292"/>
    <mergeCell ref="K2291:K2292"/>
    <mergeCell ref="L2291:L2292"/>
    <mergeCell ref="M2291:M2292"/>
    <mergeCell ref="M2287:M2288"/>
    <mergeCell ref="N2287:O2287"/>
    <mergeCell ref="H2289:H2290"/>
    <mergeCell ref="I2289:I2290"/>
    <mergeCell ref="J2289:J2290"/>
    <mergeCell ref="K2289:K2290"/>
    <mergeCell ref="L2289:L2290"/>
    <mergeCell ref="M2289:M2290"/>
    <mergeCell ref="H2299:L2299"/>
    <mergeCell ref="H2300:L2300"/>
    <mergeCell ref="H2301:L2301"/>
    <mergeCell ref="H2307:K2307"/>
    <mergeCell ref="H2322:O2322"/>
    <mergeCell ref="H2324:H2325"/>
    <mergeCell ref="I2324:I2325"/>
    <mergeCell ref="J2324:J2325"/>
    <mergeCell ref="K2324:K2325"/>
    <mergeCell ref="L2324:L2325"/>
    <mergeCell ref="H2297:H2298"/>
    <mergeCell ref="I2297:I2298"/>
    <mergeCell ref="J2297:J2298"/>
    <mergeCell ref="K2297:K2298"/>
    <mergeCell ref="L2297:L2298"/>
    <mergeCell ref="M2297:M2298"/>
    <mergeCell ref="H2295:H2296"/>
    <mergeCell ref="I2295:I2296"/>
    <mergeCell ref="J2295:J2296"/>
    <mergeCell ref="K2295:K2296"/>
    <mergeCell ref="L2295:L2296"/>
    <mergeCell ref="M2295:M2296"/>
    <mergeCell ref="H2330:H2331"/>
    <mergeCell ref="I2330:I2331"/>
    <mergeCell ref="J2330:J2331"/>
    <mergeCell ref="K2330:K2331"/>
    <mergeCell ref="L2330:L2331"/>
    <mergeCell ref="M2330:M2331"/>
    <mergeCell ref="H2328:H2329"/>
    <mergeCell ref="I2328:I2329"/>
    <mergeCell ref="J2328:J2329"/>
    <mergeCell ref="K2328:K2329"/>
    <mergeCell ref="L2328:L2329"/>
    <mergeCell ref="M2328:M2329"/>
    <mergeCell ref="M2324:M2325"/>
    <mergeCell ref="N2324:O2324"/>
    <mergeCell ref="H2326:H2327"/>
    <mergeCell ref="I2326:I2327"/>
    <mergeCell ref="J2326:J2327"/>
    <mergeCell ref="K2326:K2327"/>
    <mergeCell ref="L2326:L2327"/>
    <mergeCell ref="M2326:M2327"/>
    <mergeCell ref="H2336:L2336"/>
    <mergeCell ref="H2337:L2337"/>
    <mergeCell ref="H2338:L2338"/>
    <mergeCell ref="H2344:K2344"/>
    <mergeCell ref="H2359:O2359"/>
    <mergeCell ref="H2361:H2362"/>
    <mergeCell ref="I2361:I2362"/>
    <mergeCell ref="J2361:J2362"/>
    <mergeCell ref="K2361:K2362"/>
    <mergeCell ref="L2361:L2362"/>
    <mergeCell ref="H2334:H2335"/>
    <mergeCell ref="I2334:I2335"/>
    <mergeCell ref="J2334:J2335"/>
    <mergeCell ref="K2334:K2335"/>
    <mergeCell ref="L2334:L2335"/>
    <mergeCell ref="M2334:M2335"/>
    <mergeCell ref="H2332:H2333"/>
    <mergeCell ref="I2332:I2333"/>
    <mergeCell ref="J2332:J2333"/>
    <mergeCell ref="K2332:K2333"/>
    <mergeCell ref="L2332:L2333"/>
    <mergeCell ref="M2332:M2333"/>
    <mergeCell ref="H2367:H2368"/>
    <mergeCell ref="I2367:I2368"/>
    <mergeCell ref="J2367:J2368"/>
    <mergeCell ref="K2367:K2368"/>
    <mergeCell ref="L2367:L2368"/>
    <mergeCell ref="M2367:M2368"/>
    <mergeCell ref="H2365:H2366"/>
    <mergeCell ref="I2365:I2366"/>
    <mergeCell ref="J2365:J2366"/>
    <mergeCell ref="K2365:K2366"/>
    <mergeCell ref="L2365:L2366"/>
    <mergeCell ref="M2365:M2366"/>
    <mergeCell ref="M2361:M2362"/>
    <mergeCell ref="N2361:O2361"/>
    <mergeCell ref="H2363:H2364"/>
    <mergeCell ref="I2363:I2364"/>
    <mergeCell ref="J2363:J2364"/>
    <mergeCell ref="K2363:K2364"/>
    <mergeCell ref="L2363:L2364"/>
    <mergeCell ref="M2363:M2364"/>
    <mergeCell ref="H2373:L2373"/>
    <mergeCell ref="H2374:L2374"/>
    <mergeCell ref="H2375:L2375"/>
    <mergeCell ref="H2381:K2381"/>
    <mergeCell ref="H2396:O2396"/>
    <mergeCell ref="H2398:H2399"/>
    <mergeCell ref="I2398:I2399"/>
    <mergeCell ref="J2398:J2399"/>
    <mergeCell ref="K2398:K2399"/>
    <mergeCell ref="L2398:L2399"/>
    <mergeCell ref="H2371:H2372"/>
    <mergeCell ref="I2371:I2372"/>
    <mergeCell ref="J2371:J2372"/>
    <mergeCell ref="K2371:K2372"/>
    <mergeCell ref="L2371:L2372"/>
    <mergeCell ref="M2371:M2372"/>
    <mergeCell ref="H2369:H2370"/>
    <mergeCell ref="I2369:I2370"/>
    <mergeCell ref="J2369:J2370"/>
    <mergeCell ref="K2369:K2370"/>
    <mergeCell ref="L2369:L2370"/>
    <mergeCell ref="M2369:M2370"/>
    <mergeCell ref="H2404:H2405"/>
    <mergeCell ref="I2404:I2405"/>
    <mergeCell ref="J2404:J2405"/>
    <mergeCell ref="K2404:K2405"/>
    <mergeCell ref="L2404:L2405"/>
    <mergeCell ref="M2404:M2405"/>
    <mergeCell ref="H2402:H2403"/>
    <mergeCell ref="I2402:I2403"/>
    <mergeCell ref="J2402:J2403"/>
    <mergeCell ref="K2402:K2403"/>
    <mergeCell ref="L2402:L2403"/>
    <mergeCell ref="M2402:M2403"/>
    <mergeCell ref="M2398:M2399"/>
    <mergeCell ref="N2398:O2398"/>
    <mergeCell ref="H2400:H2401"/>
    <mergeCell ref="I2400:I2401"/>
    <mergeCell ref="J2400:J2401"/>
    <mergeCell ref="K2400:K2401"/>
    <mergeCell ref="L2400:L2401"/>
    <mergeCell ref="M2400:M2401"/>
    <mergeCell ref="H2410:L2410"/>
    <mergeCell ref="H2411:L2411"/>
    <mergeCell ref="H2412:L2412"/>
    <mergeCell ref="H2418:K2418"/>
    <mergeCell ref="H2433:O2433"/>
    <mergeCell ref="H2435:H2436"/>
    <mergeCell ref="I2435:I2436"/>
    <mergeCell ref="J2435:J2436"/>
    <mergeCell ref="K2435:K2436"/>
    <mergeCell ref="L2435:L2436"/>
    <mergeCell ref="H2408:H2409"/>
    <mergeCell ref="I2408:I2409"/>
    <mergeCell ref="J2408:J2409"/>
    <mergeCell ref="K2408:K2409"/>
    <mergeCell ref="L2408:L2409"/>
    <mergeCell ref="M2408:M2409"/>
    <mergeCell ref="H2406:H2407"/>
    <mergeCell ref="I2406:I2407"/>
    <mergeCell ref="J2406:J2407"/>
    <mergeCell ref="K2406:K2407"/>
    <mergeCell ref="L2406:L2407"/>
    <mergeCell ref="M2406:M2407"/>
    <mergeCell ref="H2441:H2442"/>
    <mergeCell ref="I2441:I2442"/>
    <mergeCell ref="J2441:J2442"/>
    <mergeCell ref="K2441:K2442"/>
    <mergeCell ref="L2441:L2442"/>
    <mergeCell ref="M2441:M2442"/>
    <mergeCell ref="H2439:H2440"/>
    <mergeCell ref="I2439:I2440"/>
    <mergeCell ref="J2439:J2440"/>
    <mergeCell ref="K2439:K2440"/>
    <mergeCell ref="L2439:L2440"/>
    <mergeCell ref="M2439:M2440"/>
    <mergeCell ref="M2435:M2436"/>
    <mergeCell ref="N2435:O2435"/>
    <mergeCell ref="H2437:H2438"/>
    <mergeCell ref="I2437:I2438"/>
    <mergeCell ref="J2437:J2438"/>
    <mergeCell ref="K2437:K2438"/>
    <mergeCell ref="L2437:L2438"/>
    <mergeCell ref="M2437:M2438"/>
    <mergeCell ref="H2447:L2447"/>
    <mergeCell ref="H2448:L2448"/>
    <mergeCell ref="H2449:L2449"/>
    <mergeCell ref="H2455:K2455"/>
    <mergeCell ref="H2470:O2470"/>
    <mergeCell ref="H2472:H2473"/>
    <mergeCell ref="I2472:I2473"/>
    <mergeCell ref="J2472:J2473"/>
    <mergeCell ref="K2472:K2473"/>
    <mergeCell ref="L2472:L2473"/>
    <mergeCell ref="H2445:H2446"/>
    <mergeCell ref="I2445:I2446"/>
    <mergeCell ref="J2445:J2446"/>
    <mergeCell ref="K2445:K2446"/>
    <mergeCell ref="L2445:L2446"/>
    <mergeCell ref="M2445:M2446"/>
    <mergeCell ref="H2443:H2444"/>
    <mergeCell ref="I2443:I2444"/>
    <mergeCell ref="J2443:J2444"/>
    <mergeCell ref="K2443:K2444"/>
    <mergeCell ref="L2443:L2444"/>
    <mergeCell ref="M2443:M2444"/>
    <mergeCell ref="H2478:H2479"/>
    <mergeCell ref="I2478:I2479"/>
    <mergeCell ref="J2478:J2479"/>
    <mergeCell ref="K2478:K2479"/>
    <mergeCell ref="L2478:L2479"/>
    <mergeCell ref="M2478:M2479"/>
    <mergeCell ref="H2476:H2477"/>
    <mergeCell ref="I2476:I2477"/>
    <mergeCell ref="J2476:J2477"/>
    <mergeCell ref="K2476:K2477"/>
    <mergeCell ref="L2476:L2477"/>
    <mergeCell ref="M2476:M2477"/>
    <mergeCell ref="M2472:M2473"/>
    <mergeCell ref="N2472:O2472"/>
    <mergeCell ref="H2474:H2475"/>
    <mergeCell ref="I2474:I2475"/>
    <mergeCell ref="J2474:J2475"/>
    <mergeCell ref="K2474:K2475"/>
    <mergeCell ref="L2474:L2475"/>
    <mergeCell ref="M2474:M2475"/>
    <mergeCell ref="H2484:H2485"/>
    <mergeCell ref="I2484:I2485"/>
    <mergeCell ref="J2484:J2485"/>
    <mergeCell ref="K2484:K2485"/>
    <mergeCell ref="L2484:L2485"/>
    <mergeCell ref="M2484:M2485"/>
    <mergeCell ref="H2482:H2483"/>
    <mergeCell ref="I2482:I2483"/>
    <mergeCell ref="J2482:J2483"/>
    <mergeCell ref="K2482:K2483"/>
    <mergeCell ref="L2482:L2483"/>
    <mergeCell ref="M2482:M2483"/>
    <mergeCell ref="H2480:H2481"/>
    <mergeCell ref="I2480:I2481"/>
    <mergeCell ref="J2480:J2481"/>
    <mergeCell ref="K2480:K2481"/>
    <mergeCell ref="L2480:L2481"/>
    <mergeCell ref="M2480:M2481"/>
    <mergeCell ref="H2515:H2516"/>
    <mergeCell ref="I2515:I2516"/>
    <mergeCell ref="J2515:J2516"/>
    <mergeCell ref="K2515:K2516"/>
    <mergeCell ref="L2515:L2516"/>
    <mergeCell ref="M2515:M2516"/>
    <mergeCell ref="M2511:M2512"/>
    <mergeCell ref="N2511:O2511"/>
    <mergeCell ref="H2513:H2514"/>
    <mergeCell ref="I2513:I2514"/>
    <mergeCell ref="J2513:J2514"/>
    <mergeCell ref="K2513:K2514"/>
    <mergeCell ref="L2513:L2514"/>
    <mergeCell ref="M2513:M2514"/>
    <mergeCell ref="H2486:L2486"/>
    <mergeCell ref="H2487:L2487"/>
    <mergeCell ref="H2488:L2488"/>
    <mergeCell ref="H2494:K2494"/>
    <mergeCell ref="H2509:O2509"/>
    <mergeCell ref="H2511:H2512"/>
    <mergeCell ref="I2511:I2512"/>
    <mergeCell ref="J2511:J2512"/>
    <mergeCell ref="K2511:K2512"/>
    <mergeCell ref="L2511:L2512"/>
    <mergeCell ref="H2521:H2522"/>
    <mergeCell ref="I2521:I2522"/>
    <mergeCell ref="J2521:J2522"/>
    <mergeCell ref="K2521:K2522"/>
    <mergeCell ref="L2521:L2522"/>
    <mergeCell ref="M2521:M2522"/>
    <mergeCell ref="H2519:H2520"/>
    <mergeCell ref="I2519:I2520"/>
    <mergeCell ref="J2519:J2520"/>
    <mergeCell ref="K2519:K2520"/>
    <mergeCell ref="L2519:L2520"/>
    <mergeCell ref="M2519:M2520"/>
    <mergeCell ref="H2517:H2518"/>
    <mergeCell ref="I2517:I2518"/>
    <mergeCell ref="J2517:J2518"/>
    <mergeCell ref="K2517:K2518"/>
    <mergeCell ref="L2517:L2518"/>
    <mergeCell ref="M2517:M2518"/>
    <mergeCell ref="H2552:H2553"/>
    <mergeCell ref="I2552:I2553"/>
    <mergeCell ref="J2552:J2553"/>
    <mergeCell ref="K2552:K2553"/>
    <mergeCell ref="L2552:L2553"/>
    <mergeCell ref="M2552:M2553"/>
    <mergeCell ref="M2548:M2549"/>
    <mergeCell ref="N2548:O2548"/>
    <mergeCell ref="H2550:H2551"/>
    <mergeCell ref="I2550:I2551"/>
    <mergeCell ref="J2550:J2551"/>
    <mergeCell ref="K2550:K2551"/>
    <mergeCell ref="L2550:L2551"/>
    <mergeCell ref="M2550:M2551"/>
    <mergeCell ref="H2523:L2523"/>
    <mergeCell ref="H2524:L2524"/>
    <mergeCell ref="H2525:L2525"/>
    <mergeCell ref="H2531:K2531"/>
    <mergeCell ref="H2546:O2546"/>
    <mergeCell ref="H2548:H2549"/>
    <mergeCell ref="I2548:I2549"/>
    <mergeCell ref="J2548:J2549"/>
    <mergeCell ref="K2548:K2549"/>
    <mergeCell ref="L2548:L2549"/>
    <mergeCell ref="H2558:H2559"/>
    <mergeCell ref="I2558:I2559"/>
    <mergeCell ref="J2558:J2559"/>
    <mergeCell ref="K2558:K2559"/>
    <mergeCell ref="L2558:L2559"/>
    <mergeCell ref="M2558:M2559"/>
    <mergeCell ref="H2556:H2557"/>
    <mergeCell ref="I2556:I2557"/>
    <mergeCell ref="J2556:J2557"/>
    <mergeCell ref="K2556:K2557"/>
    <mergeCell ref="L2556:L2557"/>
    <mergeCell ref="M2556:M2557"/>
    <mergeCell ref="H2554:H2555"/>
    <mergeCell ref="I2554:I2555"/>
    <mergeCell ref="J2554:J2555"/>
    <mergeCell ref="K2554:K2555"/>
    <mergeCell ref="L2554:L2555"/>
    <mergeCell ref="M2554:M2555"/>
    <mergeCell ref="H2589:H2590"/>
    <mergeCell ref="I2589:I2590"/>
    <mergeCell ref="J2589:J2590"/>
    <mergeCell ref="K2589:K2590"/>
    <mergeCell ref="L2589:L2590"/>
    <mergeCell ref="M2589:M2590"/>
    <mergeCell ref="M2585:M2586"/>
    <mergeCell ref="N2585:O2585"/>
    <mergeCell ref="H2587:H2588"/>
    <mergeCell ref="I2587:I2588"/>
    <mergeCell ref="J2587:J2588"/>
    <mergeCell ref="K2587:K2588"/>
    <mergeCell ref="L2587:L2588"/>
    <mergeCell ref="M2587:M2588"/>
    <mergeCell ref="H2560:L2560"/>
    <mergeCell ref="H2561:L2561"/>
    <mergeCell ref="H2562:L2562"/>
    <mergeCell ref="H2568:K2568"/>
    <mergeCell ref="H2583:O2583"/>
    <mergeCell ref="H2585:H2586"/>
    <mergeCell ref="I2585:I2586"/>
    <mergeCell ref="J2585:J2586"/>
    <mergeCell ref="K2585:K2586"/>
    <mergeCell ref="L2585:L2586"/>
    <mergeCell ref="H2595:H2596"/>
    <mergeCell ref="I2595:I2596"/>
    <mergeCell ref="J2595:J2596"/>
    <mergeCell ref="K2595:K2596"/>
    <mergeCell ref="L2595:L2596"/>
    <mergeCell ref="M2595:M2596"/>
    <mergeCell ref="H2593:H2594"/>
    <mergeCell ref="I2593:I2594"/>
    <mergeCell ref="J2593:J2594"/>
    <mergeCell ref="K2593:K2594"/>
    <mergeCell ref="L2593:L2594"/>
    <mergeCell ref="M2593:M2594"/>
    <mergeCell ref="H2591:H2592"/>
    <mergeCell ref="I2591:I2592"/>
    <mergeCell ref="J2591:J2592"/>
    <mergeCell ref="K2591:K2592"/>
    <mergeCell ref="L2591:L2592"/>
    <mergeCell ref="M2591:M2592"/>
    <mergeCell ref="H2624:H2625"/>
    <mergeCell ref="I2624:I2625"/>
    <mergeCell ref="J2624:J2625"/>
    <mergeCell ref="K2624:K2625"/>
    <mergeCell ref="L2624:L2625"/>
    <mergeCell ref="M2624:M2625"/>
    <mergeCell ref="H2620:O2620"/>
    <mergeCell ref="H2622:H2623"/>
    <mergeCell ref="I2622:I2623"/>
    <mergeCell ref="J2622:J2623"/>
    <mergeCell ref="K2622:K2623"/>
    <mergeCell ref="L2622:L2623"/>
    <mergeCell ref="M2622:M2623"/>
    <mergeCell ref="N2622:O2622"/>
    <mergeCell ref="H2597:L2597"/>
    <mergeCell ref="H2598:L2598"/>
    <mergeCell ref="H2599:L2599"/>
    <mergeCell ref="H2605:K2605"/>
    <mergeCell ref="M2605:O2605"/>
    <mergeCell ref="M2610:O2610"/>
    <mergeCell ref="H2630:H2631"/>
    <mergeCell ref="I2630:I2631"/>
    <mergeCell ref="J2630:J2631"/>
    <mergeCell ref="K2630:K2631"/>
    <mergeCell ref="L2630:L2631"/>
    <mergeCell ref="M2630:M2631"/>
    <mergeCell ref="H2628:H2629"/>
    <mergeCell ref="I2628:I2629"/>
    <mergeCell ref="J2628:J2629"/>
    <mergeCell ref="K2628:K2629"/>
    <mergeCell ref="L2628:L2629"/>
    <mergeCell ref="M2628:M2629"/>
    <mergeCell ref="H2626:H2627"/>
    <mergeCell ref="I2626:I2627"/>
    <mergeCell ref="J2626:J2627"/>
    <mergeCell ref="K2626:K2627"/>
    <mergeCell ref="L2626:L2627"/>
    <mergeCell ref="M2626:M2627"/>
    <mergeCell ref="H2636:L2636"/>
    <mergeCell ref="H2637:L2637"/>
    <mergeCell ref="H2638:L2638"/>
    <mergeCell ref="H2644:K2644"/>
    <mergeCell ref="H2659:O2659"/>
    <mergeCell ref="H2661:H2662"/>
    <mergeCell ref="I2661:I2662"/>
    <mergeCell ref="J2661:J2662"/>
    <mergeCell ref="K2661:K2662"/>
    <mergeCell ref="L2661:L2662"/>
    <mergeCell ref="H2634:H2635"/>
    <mergeCell ref="I2634:I2635"/>
    <mergeCell ref="J2634:J2635"/>
    <mergeCell ref="K2634:K2635"/>
    <mergeCell ref="L2634:L2635"/>
    <mergeCell ref="M2634:M2635"/>
    <mergeCell ref="H2632:H2633"/>
    <mergeCell ref="I2632:I2633"/>
    <mergeCell ref="J2632:J2633"/>
    <mergeCell ref="K2632:K2633"/>
    <mergeCell ref="L2632:L2633"/>
    <mergeCell ref="M2632:M2633"/>
    <mergeCell ref="H2667:H2668"/>
    <mergeCell ref="I2667:I2668"/>
    <mergeCell ref="J2667:J2668"/>
    <mergeCell ref="K2667:K2668"/>
    <mergeCell ref="L2667:L2668"/>
    <mergeCell ref="M2667:M2668"/>
    <mergeCell ref="H2665:H2666"/>
    <mergeCell ref="I2665:I2666"/>
    <mergeCell ref="J2665:J2666"/>
    <mergeCell ref="K2665:K2666"/>
    <mergeCell ref="L2665:L2666"/>
    <mergeCell ref="M2665:M2666"/>
    <mergeCell ref="M2661:M2662"/>
    <mergeCell ref="N2661:O2661"/>
    <mergeCell ref="H2663:H2664"/>
    <mergeCell ref="I2663:I2664"/>
    <mergeCell ref="J2663:J2664"/>
    <mergeCell ref="K2663:K2664"/>
    <mergeCell ref="L2663:L2664"/>
    <mergeCell ref="M2663:M2664"/>
    <mergeCell ref="H2673:L2673"/>
    <mergeCell ref="H2674:L2674"/>
    <mergeCell ref="H2675:L2675"/>
    <mergeCell ref="H2681:K2681"/>
    <mergeCell ref="H2696:O2696"/>
    <mergeCell ref="H2698:H2699"/>
    <mergeCell ref="I2698:I2699"/>
    <mergeCell ref="J2698:J2699"/>
    <mergeCell ref="K2698:K2699"/>
    <mergeCell ref="L2698:L2699"/>
    <mergeCell ref="H2671:H2672"/>
    <mergeCell ref="I2671:I2672"/>
    <mergeCell ref="J2671:J2672"/>
    <mergeCell ref="K2671:K2672"/>
    <mergeCell ref="L2671:L2672"/>
    <mergeCell ref="M2671:M2672"/>
    <mergeCell ref="H2669:H2670"/>
    <mergeCell ref="I2669:I2670"/>
    <mergeCell ref="J2669:J2670"/>
    <mergeCell ref="K2669:K2670"/>
    <mergeCell ref="L2669:L2670"/>
    <mergeCell ref="M2669:M2670"/>
    <mergeCell ref="H2704:H2705"/>
    <mergeCell ref="I2704:I2705"/>
    <mergeCell ref="J2704:J2705"/>
    <mergeCell ref="K2704:K2705"/>
    <mergeCell ref="L2704:L2705"/>
    <mergeCell ref="M2704:M2705"/>
    <mergeCell ref="H2702:H2703"/>
    <mergeCell ref="I2702:I2703"/>
    <mergeCell ref="J2702:J2703"/>
    <mergeCell ref="K2702:K2703"/>
    <mergeCell ref="L2702:L2703"/>
    <mergeCell ref="M2702:M2703"/>
    <mergeCell ref="M2698:M2699"/>
    <mergeCell ref="N2698:O2698"/>
    <mergeCell ref="H2700:H2701"/>
    <mergeCell ref="I2700:I2701"/>
    <mergeCell ref="J2700:J2701"/>
    <mergeCell ref="K2700:K2701"/>
    <mergeCell ref="L2700:L2701"/>
    <mergeCell ref="M2700:M2701"/>
    <mergeCell ref="H2710:L2710"/>
    <mergeCell ref="H2711:L2711"/>
    <mergeCell ref="H2712:L2712"/>
    <mergeCell ref="H2718:K2718"/>
    <mergeCell ref="H2733:O2733"/>
    <mergeCell ref="H2735:H2736"/>
    <mergeCell ref="I2735:I2736"/>
    <mergeCell ref="J2735:J2736"/>
    <mergeCell ref="K2735:K2736"/>
    <mergeCell ref="L2735:L2736"/>
    <mergeCell ref="H2708:H2709"/>
    <mergeCell ref="I2708:I2709"/>
    <mergeCell ref="J2708:J2709"/>
    <mergeCell ref="K2708:K2709"/>
    <mergeCell ref="L2708:L2709"/>
    <mergeCell ref="M2708:M2709"/>
    <mergeCell ref="H2706:H2707"/>
    <mergeCell ref="I2706:I2707"/>
    <mergeCell ref="J2706:J2707"/>
    <mergeCell ref="K2706:K2707"/>
    <mergeCell ref="L2706:L2707"/>
    <mergeCell ref="M2706:M2707"/>
    <mergeCell ref="H2741:H2742"/>
    <mergeCell ref="I2741:I2742"/>
    <mergeCell ref="J2741:J2742"/>
    <mergeCell ref="K2741:K2742"/>
    <mergeCell ref="L2741:L2742"/>
    <mergeCell ref="M2741:M2742"/>
    <mergeCell ref="H2739:H2740"/>
    <mergeCell ref="I2739:I2740"/>
    <mergeCell ref="J2739:J2740"/>
    <mergeCell ref="K2739:K2740"/>
    <mergeCell ref="L2739:L2740"/>
    <mergeCell ref="M2739:M2740"/>
    <mergeCell ref="M2735:M2736"/>
    <mergeCell ref="N2735:O2735"/>
    <mergeCell ref="H2737:H2738"/>
    <mergeCell ref="I2737:I2738"/>
    <mergeCell ref="J2737:J2738"/>
    <mergeCell ref="K2737:K2738"/>
    <mergeCell ref="L2737:L2738"/>
    <mergeCell ref="M2737:M2738"/>
    <mergeCell ref="H2747:L2747"/>
    <mergeCell ref="H2748:L2748"/>
    <mergeCell ref="H2749:L2749"/>
    <mergeCell ref="H2755:K2755"/>
    <mergeCell ref="H2770:O2770"/>
    <mergeCell ref="H2772:H2773"/>
    <mergeCell ref="I2772:I2773"/>
    <mergeCell ref="J2772:J2773"/>
    <mergeCell ref="K2772:K2773"/>
    <mergeCell ref="L2772:L2773"/>
    <mergeCell ref="H2745:H2746"/>
    <mergeCell ref="I2745:I2746"/>
    <mergeCell ref="J2745:J2746"/>
    <mergeCell ref="K2745:K2746"/>
    <mergeCell ref="L2745:L2746"/>
    <mergeCell ref="M2745:M2746"/>
    <mergeCell ref="H2743:H2744"/>
    <mergeCell ref="I2743:I2744"/>
    <mergeCell ref="J2743:J2744"/>
    <mergeCell ref="K2743:K2744"/>
    <mergeCell ref="L2743:L2744"/>
    <mergeCell ref="M2743:M2744"/>
    <mergeCell ref="H2778:H2779"/>
    <mergeCell ref="I2778:I2779"/>
    <mergeCell ref="J2778:J2779"/>
    <mergeCell ref="K2778:K2779"/>
    <mergeCell ref="L2778:L2779"/>
    <mergeCell ref="M2778:M2779"/>
    <mergeCell ref="H2776:H2777"/>
    <mergeCell ref="I2776:I2777"/>
    <mergeCell ref="J2776:J2777"/>
    <mergeCell ref="K2776:K2777"/>
    <mergeCell ref="L2776:L2777"/>
    <mergeCell ref="M2776:M2777"/>
    <mergeCell ref="M2772:M2773"/>
    <mergeCell ref="N2772:O2772"/>
    <mergeCell ref="H2774:H2775"/>
    <mergeCell ref="I2774:I2775"/>
    <mergeCell ref="J2774:J2775"/>
    <mergeCell ref="K2774:K2775"/>
    <mergeCell ref="L2774:L2775"/>
    <mergeCell ref="M2774:M2775"/>
    <mergeCell ref="H2784:L2784"/>
    <mergeCell ref="H2785:L2785"/>
    <mergeCell ref="H2786:L2786"/>
    <mergeCell ref="H2792:K2792"/>
    <mergeCell ref="H2807:O2807"/>
    <mergeCell ref="H2809:H2810"/>
    <mergeCell ref="I2809:I2810"/>
    <mergeCell ref="J2809:J2810"/>
    <mergeCell ref="K2809:K2810"/>
    <mergeCell ref="L2809:L2810"/>
    <mergeCell ref="H2782:H2783"/>
    <mergeCell ref="I2782:I2783"/>
    <mergeCell ref="J2782:J2783"/>
    <mergeCell ref="K2782:K2783"/>
    <mergeCell ref="L2782:L2783"/>
    <mergeCell ref="M2782:M2783"/>
    <mergeCell ref="H2780:H2781"/>
    <mergeCell ref="I2780:I2781"/>
    <mergeCell ref="J2780:J2781"/>
    <mergeCell ref="K2780:K2781"/>
    <mergeCell ref="L2780:L2781"/>
    <mergeCell ref="M2780:M2781"/>
    <mergeCell ref="H2815:H2816"/>
    <mergeCell ref="I2815:I2816"/>
    <mergeCell ref="J2815:J2816"/>
    <mergeCell ref="K2815:K2816"/>
    <mergeCell ref="L2815:L2816"/>
    <mergeCell ref="M2815:M2816"/>
    <mergeCell ref="H2813:H2814"/>
    <mergeCell ref="I2813:I2814"/>
    <mergeCell ref="J2813:J2814"/>
    <mergeCell ref="K2813:K2814"/>
    <mergeCell ref="L2813:L2814"/>
    <mergeCell ref="M2813:M2814"/>
    <mergeCell ref="M2809:M2810"/>
    <mergeCell ref="N2809:O2809"/>
    <mergeCell ref="H2811:H2812"/>
    <mergeCell ref="I2811:I2812"/>
    <mergeCell ref="J2811:J2812"/>
    <mergeCell ref="K2811:K2812"/>
    <mergeCell ref="L2811:L2812"/>
    <mergeCell ref="M2811:M2812"/>
    <mergeCell ref="H2821:H2822"/>
    <mergeCell ref="I2821:I2822"/>
    <mergeCell ref="J2821:J2822"/>
    <mergeCell ref="K2821:K2822"/>
    <mergeCell ref="L2821:L2822"/>
    <mergeCell ref="M2821:M2822"/>
    <mergeCell ref="H2819:H2820"/>
    <mergeCell ref="I2819:I2820"/>
    <mergeCell ref="J2819:J2820"/>
    <mergeCell ref="K2819:K2820"/>
    <mergeCell ref="L2819:L2820"/>
    <mergeCell ref="M2819:M2820"/>
    <mergeCell ref="H2817:H2818"/>
    <mergeCell ref="I2817:I2818"/>
    <mergeCell ref="J2817:J2818"/>
    <mergeCell ref="K2817:K2818"/>
    <mergeCell ref="L2817:L2818"/>
    <mergeCell ref="M2817:M2818"/>
    <mergeCell ref="M2848:M2849"/>
    <mergeCell ref="N2848:O2848"/>
    <mergeCell ref="H2850:H2851"/>
    <mergeCell ref="I2850:I2851"/>
    <mergeCell ref="J2850:J2851"/>
    <mergeCell ref="K2850:K2851"/>
    <mergeCell ref="L2850:L2851"/>
    <mergeCell ref="M2850:M2851"/>
    <mergeCell ref="H2823:L2823"/>
    <mergeCell ref="H2824:L2824"/>
    <mergeCell ref="H2825:L2825"/>
    <mergeCell ref="H2831:K2831"/>
    <mergeCell ref="H2846:O2846"/>
    <mergeCell ref="H2848:H2849"/>
    <mergeCell ref="I2848:I2849"/>
    <mergeCell ref="J2848:J2849"/>
    <mergeCell ref="K2848:K2849"/>
    <mergeCell ref="L2848:L2849"/>
    <mergeCell ref="H2856:H2857"/>
    <mergeCell ref="I2856:I2857"/>
    <mergeCell ref="J2856:J2857"/>
    <mergeCell ref="K2856:K2857"/>
    <mergeCell ref="L2856:L2857"/>
    <mergeCell ref="M2856:M2857"/>
    <mergeCell ref="H2854:H2855"/>
    <mergeCell ref="I2854:I2855"/>
    <mergeCell ref="J2854:J2855"/>
    <mergeCell ref="K2854:K2855"/>
    <mergeCell ref="L2854:L2855"/>
    <mergeCell ref="M2854:M2855"/>
    <mergeCell ref="H2852:H2853"/>
    <mergeCell ref="I2852:I2853"/>
    <mergeCell ref="J2852:J2853"/>
    <mergeCell ref="K2852:K2853"/>
    <mergeCell ref="L2852:L2853"/>
    <mergeCell ref="M2852:M2853"/>
    <mergeCell ref="H2862:L2862"/>
    <mergeCell ref="H2863:L2863"/>
    <mergeCell ref="H2864:L2864"/>
    <mergeCell ref="H2870:K2870"/>
    <mergeCell ref="H2885:O2885"/>
    <mergeCell ref="H2887:H2888"/>
    <mergeCell ref="I2887:I2888"/>
    <mergeCell ref="J2887:J2888"/>
    <mergeCell ref="K2887:K2888"/>
    <mergeCell ref="L2887:L2888"/>
    <mergeCell ref="H2860:H2861"/>
    <mergeCell ref="I2860:I2861"/>
    <mergeCell ref="J2860:J2861"/>
    <mergeCell ref="K2860:K2861"/>
    <mergeCell ref="L2860:L2861"/>
    <mergeCell ref="M2860:M2861"/>
    <mergeCell ref="H2858:H2859"/>
    <mergeCell ref="I2858:I2859"/>
    <mergeCell ref="J2858:J2859"/>
    <mergeCell ref="K2858:K2859"/>
    <mergeCell ref="L2858:L2859"/>
    <mergeCell ref="M2858:M2859"/>
    <mergeCell ref="H2893:H2894"/>
    <mergeCell ref="I2893:I2894"/>
    <mergeCell ref="J2893:J2894"/>
    <mergeCell ref="K2893:K2894"/>
    <mergeCell ref="L2893:L2894"/>
    <mergeCell ref="M2893:M2894"/>
    <mergeCell ref="H2891:H2892"/>
    <mergeCell ref="I2891:I2892"/>
    <mergeCell ref="J2891:J2892"/>
    <mergeCell ref="K2891:K2892"/>
    <mergeCell ref="L2891:L2892"/>
    <mergeCell ref="M2891:M2892"/>
    <mergeCell ref="M2887:M2888"/>
    <mergeCell ref="N2887:O2887"/>
    <mergeCell ref="H2889:H2890"/>
    <mergeCell ref="I2889:I2890"/>
    <mergeCell ref="J2889:J2890"/>
    <mergeCell ref="K2889:K2890"/>
    <mergeCell ref="L2889:L2890"/>
    <mergeCell ref="M2889:M2890"/>
    <mergeCell ref="H2899:L2899"/>
    <mergeCell ref="H2900:L2900"/>
    <mergeCell ref="H2901:L2901"/>
    <mergeCell ref="H2907:K2907"/>
    <mergeCell ref="H2922:O2922"/>
    <mergeCell ref="H2924:H2925"/>
    <mergeCell ref="I2924:I2925"/>
    <mergeCell ref="J2924:J2925"/>
    <mergeCell ref="K2924:K2925"/>
    <mergeCell ref="L2924:L2925"/>
    <mergeCell ref="H2897:H2898"/>
    <mergeCell ref="I2897:I2898"/>
    <mergeCell ref="J2897:J2898"/>
    <mergeCell ref="K2897:K2898"/>
    <mergeCell ref="L2897:L2898"/>
    <mergeCell ref="M2897:M2898"/>
    <mergeCell ref="H2895:H2896"/>
    <mergeCell ref="I2895:I2896"/>
    <mergeCell ref="J2895:J2896"/>
    <mergeCell ref="K2895:K2896"/>
    <mergeCell ref="L2895:L2896"/>
    <mergeCell ref="M2895:M2896"/>
    <mergeCell ref="H2930:H2931"/>
    <mergeCell ref="I2930:I2931"/>
    <mergeCell ref="J2930:J2931"/>
    <mergeCell ref="K2930:K2931"/>
    <mergeCell ref="L2930:L2931"/>
    <mergeCell ref="M2930:M2931"/>
    <mergeCell ref="H2928:H2929"/>
    <mergeCell ref="I2928:I2929"/>
    <mergeCell ref="J2928:J2929"/>
    <mergeCell ref="K2928:K2929"/>
    <mergeCell ref="L2928:L2929"/>
    <mergeCell ref="M2928:M2929"/>
    <mergeCell ref="M2924:M2925"/>
    <mergeCell ref="N2924:O2924"/>
    <mergeCell ref="H2926:H2927"/>
    <mergeCell ref="I2926:I2927"/>
    <mergeCell ref="J2926:J2927"/>
    <mergeCell ref="K2926:K2927"/>
    <mergeCell ref="L2926:L2927"/>
    <mergeCell ref="M2926:M2927"/>
    <mergeCell ref="H2936:L2936"/>
    <mergeCell ref="H2937:L2937"/>
    <mergeCell ref="H2938:L2938"/>
    <mergeCell ref="H2944:K2944"/>
    <mergeCell ref="H2959:O2959"/>
    <mergeCell ref="H2961:H2962"/>
    <mergeCell ref="I2961:I2962"/>
    <mergeCell ref="J2961:J2962"/>
    <mergeCell ref="K2961:K2962"/>
    <mergeCell ref="L2961:L2962"/>
    <mergeCell ref="H2934:H2935"/>
    <mergeCell ref="I2934:I2935"/>
    <mergeCell ref="J2934:J2935"/>
    <mergeCell ref="K2934:K2935"/>
    <mergeCell ref="L2934:L2935"/>
    <mergeCell ref="M2934:M2935"/>
    <mergeCell ref="H2932:H2933"/>
    <mergeCell ref="I2932:I2933"/>
    <mergeCell ref="J2932:J2933"/>
    <mergeCell ref="K2932:K2933"/>
    <mergeCell ref="L2932:L2933"/>
    <mergeCell ref="M2932:M2933"/>
    <mergeCell ref="H2967:H2968"/>
    <mergeCell ref="I2967:I2968"/>
    <mergeCell ref="J2967:J2968"/>
    <mergeCell ref="K2967:K2968"/>
    <mergeCell ref="L2967:L2968"/>
    <mergeCell ref="M2967:M2968"/>
    <mergeCell ref="H2965:H2966"/>
    <mergeCell ref="I2965:I2966"/>
    <mergeCell ref="J2965:J2966"/>
    <mergeCell ref="K2965:K2966"/>
    <mergeCell ref="L2965:L2966"/>
    <mergeCell ref="M2965:M2966"/>
    <mergeCell ref="M2961:M2962"/>
    <mergeCell ref="N2961:O2961"/>
    <mergeCell ref="H2963:H2964"/>
    <mergeCell ref="I2963:I2964"/>
    <mergeCell ref="J2963:J2964"/>
    <mergeCell ref="K2963:K2964"/>
    <mergeCell ref="L2963:L2964"/>
    <mergeCell ref="M2963:M2964"/>
    <mergeCell ref="H2973:L2973"/>
    <mergeCell ref="H2974:L2974"/>
    <mergeCell ref="H2975:L2975"/>
    <mergeCell ref="H2981:K2981"/>
    <mergeCell ref="H2996:O2996"/>
    <mergeCell ref="H2998:H2999"/>
    <mergeCell ref="I2998:I2999"/>
    <mergeCell ref="J2998:J2999"/>
    <mergeCell ref="K2998:K2999"/>
    <mergeCell ref="L2998:L2999"/>
    <mergeCell ref="H2971:H2972"/>
    <mergeCell ref="I2971:I2972"/>
    <mergeCell ref="J2971:J2972"/>
    <mergeCell ref="K2971:K2972"/>
    <mergeCell ref="L2971:L2972"/>
    <mergeCell ref="M2971:M2972"/>
    <mergeCell ref="H2969:H2970"/>
    <mergeCell ref="I2969:I2970"/>
    <mergeCell ref="J2969:J2970"/>
    <mergeCell ref="K2969:K2970"/>
    <mergeCell ref="L2969:L2970"/>
    <mergeCell ref="M2969:M2970"/>
    <mergeCell ref="H3004:H3005"/>
    <mergeCell ref="I3004:I3005"/>
    <mergeCell ref="J3004:J3005"/>
    <mergeCell ref="K3004:K3005"/>
    <mergeCell ref="L3004:L3005"/>
    <mergeCell ref="M3004:M3005"/>
    <mergeCell ref="H3002:H3003"/>
    <mergeCell ref="I3002:I3003"/>
    <mergeCell ref="J3002:J3003"/>
    <mergeCell ref="K3002:K3003"/>
    <mergeCell ref="L3002:L3003"/>
    <mergeCell ref="M3002:M3003"/>
    <mergeCell ref="M2998:M2999"/>
    <mergeCell ref="N2998:O2998"/>
    <mergeCell ref="H3000:H3001"/>
    <mergeCell ref="I3000:I3001"/>
    <mergeCell ref="J3000:J3001"/>
    <mergeCell ref="K3000:K3001"/>
    <mergeCell ref="L3000:L3001"/>
    <mergeCell ref="M3000:M3001"/>
    <mergeCell ref="H3010:L3010"/>
    <mergeCell ref="H3011:L3011"/>
    <mergeCell ref="H3012:L3012"/>
    <mergeCell ref="H3018:K3018"/>
    <mergeCell ref="H3033:O3033"/>
    <mergeCell ref="H3035:H3036"/>
    <mergeCell ref="I3035:I3036"/>
    <mergeCell ref="J3035:J3036"/>
    <mergeCell ref="K3035:K3036"/>
    <mergeCell ref="L3035:L3036"/>
    <mergeCell ref="H3008:H3009"/>
    <mergeCell ref="I3008:I3009"/>
    <mergeCell ref="J3008:J3009"/>
    <mergeCell ref="K3008:K3009"/>
    <mergeCell ref="L3008:L3009"/>
    <mergeCell ref="M3008:M3009"/>
    <mergeCell ref="H3006:H3007"/>
    <mergeCell ref="I3006:I3007"/>
    <mergeCell ref="J3006:J3007"/>
    <mergeCell ref="K3006:K3007"/>
    <mergeCell ref="L3006:L3007"/>
    <mergeCell ref="M3006:M3007"/>
    <mergeCell ref="H3041:H3042"/>
    <mergeCell ref="I3041:I3042"/>
    <mergeCell ref="J3041:J3042"/>
    <mergeCell ref="K3041:K3042"/>
    <mergeCell ref="L3041:L3042"/>
    <mergeCell ref="M3041:M3042"/>
    <mergeCell ref="H3039:H3040"/>
    <mergeCell ref="I3039:I3040"/>
    <mergeCell ref="J3039:J3040"/>
    <mergeCell ref="K3039:K3040"/>
    <mergeCell ref="L3039:L3040"/>
    <mergeCell ref="M3039:M3040"/>
    <mergeCell ref="M3035:M3036"/>
    <mergeCell ref="N3035:O3035"/>
    <mergeCell ref="H3037:H3038"/>
    <mergeCell ref="I3037:I3038"/>
    <mergeCell ref="J3037:J3038"/>
    <mergeCell ref="K3037:K3038"/>
    <mergeCell ref="L3037:L3038"/>
    <mergeCell ref="M3037:M3038"/>
    <mergeCell ref="H3047:L3047"/>
    <mergeCell ref="H3048:L3048"/>
    <mergeCell ref="H3049:L3049"/>
    <mergeCell ref="H3055:K3055"/>
    <mergeCell ref="H3070:O3070"/>
    <mergeCell ref="H3072:H3073"/>
    <mergeCell ref="I3072:I3073"/>
    <mergeCell ref="J3072:J3073"/>
    <mergeCell ref="K3072:K3073"/>
    <mergeCell ref="L3072:L3073"/>
    <mergeCell ref="H3045:H3046"/>
    <mergeCell ref="I3045:I3046"/>
    <mergeCell ref="J3045:J3046"/>
    <mergeCell ref="K3045:K3046"/>
    <mergeCell ref="L3045:L3046"/>
    <mergeCell ref="M3045:M3046"/>
    <mergeCell ref="H3043:H3044"/>
    <mergeCell ref="I3043:I3044"/>
    <mergeCell ref="J3043:J3044"/>
    <mergeCell ref="K3043:K3044"/>
    <mergeCell ref="L3043:L3044"/>
    <mergeCell ref="M3043:M3044"/>
    <mergeCell ref="H3078:H3079"/>
    <mergeCell ref="I3078:I3079"/>
    <mergeCell ref="J3078:J3079"/>
    <mergeCell ref="K3078:K3079"/>
    <mergeCell ref="L3078:L3079"/>
    <mergeCell ref="M3078:M3079"/>
    <mergeCell ref="H3076:H3077"/>
    <mergeCell ref="I3076:I3077"/>
    <mergeCell ref="J3076:J3077"/>
    <mergeCell ref="K3076:K3077"/>
    <mergeCell ref="L3076:L3077"/>
    <mergeCell ref="M3076:M3077"/>
    <mergeCell ref="M3072:M3073"/>
    <mergeCell ref="N3072:O3072"/>
    <mergeCell ref="H3074:H3075"/>
    <mergeCell ref="I3074:I3075"/>
    <mergeCell ref="J3074:J3075"/>
    <mergeCell ref="K3074:K3075"/>
    <mergeCell ref="L3074:L3075"/>
    <mergeCell ref="M3074:M3075"/>
    <mergeCell ref="H3084:L3084"/>
    <mergeCell ref="H3085:L3085"/>
    <mergeCell ref="H3086:L3086"/>
    <mergeCell ref="H3092:K3092"/>
    <mergeCell ref="H3107:O3107"/>
    <mergeCell ref="H3109:H3110"/>
    <mergeCell ref="I3109:I3110"/>
    <mergeCell ref="J3109:J3110"/>
    <mergeCell ref="K3109:K3110"/>
    <mergeCell ref="L3109:L3110"/>
    <mergeCell ref="H3082:H3083"/>
    <mergeCell ref="I3082:I3083"/>
    <mergeCell ref="J3082:J3083"/>
    <mergeCell ref="K3082:K3083"/>
    <mergeCell ref="L3082:L3083"/>
    <mergeCell ref="M3082:M3083"/>
    <mergeCell ref="H3080:H3081"/>
    <mergeCell ref="I3080:I3081"/>
    <mergeCell ref="J3080:J3081"/>
    <mergeCell ref="K3080:K3081"/>
    <mergeCell ref="L3080:L3081"/>
    <mergeCell ref="M3080:M3081"/>
    <mergeCell ref="H3115:H3116"/>
    <mergeCell ref="I3115:I3116"/>
    <mergeCell ref="J3115:J3116"/>
    <mergeCell ref="K3115:K3116"/>
    <mergeCell ref="L3115:L3116"/>
    <mergeCell ref="M3115:M3116"/>
    <mergeCell ref="H3113:H3114"/>
    <mergeCell ref="I3113:I3114"/>
    <mergeCell ref="J3113:J3114"/>
    <mergeCell ref="K3113:K3114"/>
    <mergeCell ref="L3113:L3114"/>
    <mergeCell ref="M3113:M3114"/>
    <mergeCell ref="M3109:M3110"/>
    <mergeCell ref="N3109:O3109"/>
    <mergeCell ref="H3111:H3112"/>
    <mergeCell ref="I3111:I3112"/>
    <mergeCell ref="J3111:J3112"/>
    <mergeCell ref="K3111:K3112"/>
    <mergeCell ref="L3111:L3112"/>
    <mergeCell ref="M3111:M3112"/>
    <mergeCell ref="H3121:L3121"/>
    <mergeCell ref="H3122:L3122"/>
    <mergeCell ref="H3123:L3123"/>
    <mergeCell ref="H3129:K3129"/>
    <mergeCell ref="H3144:O3144"/>
    <mergeCell ref="H3146:H3147"/>
    <mergeCell ref="I3146:I3147"/>
    <mergeCell ref="J3146:J3147"/>
    <mergeCell ref="K3146:K3147"/>
    <mergeCell ref="L3146:L3147"/>
    <mergeCell ref="H3119:H3120"/>
    <mergeCell ref="I3119:I3120"/>
    <mergeCell ref="J3119:J3120"/>
    <mergeCell ref="K3119:K3120"/>
    <mergeCell ref="L3119:L3120"/>
    <mergeCell ref="M3119:M3120"/>
    <mergeCell ref="H3117:H3118"/>
    <mergeCell ref="I3117:I3118"/>
    <mergeCell ref="J3117:J3118"/>
    <mergeCell ref="K3117:K3118"/>
    <mergeCell ref="L3117:L3118"/>
    <mergeCell ref="M3117:M3118"/>
    <mergeCell ref="H3152:H3153"/>
    <mergeCell ref="I3152:I3153"/>
    <mergeCell ref="J3152:J3153"/>
    <mergeCell ref="K3152:K3153"/>
    <mergeCell ref="L3152:L3153"/>
    <mergeCell ref="M3152:M3153"/>
    <mergeCell ref="H3150:H3151"/>
    <mergeCell ref="I3150:I3151"/>
    <mergeCell ref="J3150:J3151"/>
    <mergeCell ref="K3150:K3151"/>
    <mergeCell ref="L3150:L3151"/>
    <mergeCell ref="M3150:M3151"/>
    <mergeCell ref="M3146:M3147"/>
    <mergeCell ref="N3146:O3146"/>
    <mergeCell ref="H3148:H3149"/>
    <mergeCell ref="I3148:I3149"/>
    <mergeCell ref="J3148:J3149"/>
    <mergeCell ref="K3148:K3149"/>
    <mergeCell ref="L3148:L3149"/>
    <mergeCell ref="M3148:M3149"/>
    <mergeCell ref="H3158:L3158"/>
    <mergeCell ref="H3159:L3159"/>
    <mergeCell ref="H3160:L3160"/>
    <mergeCell ref="H3166:K3166"/>
    <mergeCell ref="H3181:O3181"/>
    <mergeCell ref="H3183:H3184"/>
    <mergeCell ref="I3183:I3184"/>
    <mergeCell ref="J3183:J3184"/>
    <mergeCell ref="K3183:K3184"/>
    <mergeCell ref="L3183:L3184"/>
    <mergeCell ref="H3156:H3157"/>
    <mergeCell ref="I3156:I3157"/>
    <mergeCell ref="J3156:J3157"/>
    <mergeCell ref="K3156:K3157"/>
    <mergeCell ref="L3156:L3157"/>
    <mergeCell ref="M3156:M3157"/>
    <mergeCell ref="H3154:H3155"/>
    <mergeCell ref="I3154:I3155"/>
    <mergeCell ref="J3154:J3155"/>
    <mergeCell ref="K3154:K3155"/>
    <mergeCell ref="L3154:L3155"/>
    <mergeCell ref="M3154:M3155"/>
    <mergeCell ref="H3189:H3190"/>
    <mergeCell ref="I3189:I3190"/>
    <mergeCell ref="J3189:J3190"/>
    <mergeCell ref="K3189:K3190"/>
    <mergeCell ref="L3189:L3190"/>
    <mergeCell ref="M3189:M3190"/>
    <mergeCell ref="H3187:H3188"/>
    <mergeCell ref="I3187:I3188"/>
    <mergeCell ref="J3187:J3188"/>
    <mergeCell ref="K3187:K3188"/>
    <mergeCell ref="L3187:L3188"/>
    <mergeCell ref="M3187:M3188"/>
    <mergeCell ref="M3183:M3184"/>
    <mergeCell ref="N3183:O3183"/>
    <mergeCell ref="H3185:H3186"/>
    <mergeCell ref="I3185:I3186"/>
    <mergeCell ref="J3185:J3186"/>
    <mergeCell ref="K3185:K3186"/>
    <mergeCell ref="L3185:L3186"/>
    <mergeCell ref="M3185:M3186"/>
    <mergeCell ref="H3195:H3196"/>
    <mergeCell ref="I3195:I3196"/>
    <mergeCell ref="J3195:J3196"/>
    <mergeCell ref="K3195:K3196"/>
    <mergeCell ref="L3195:L3196"/>
    <mergeCell ref="M3195:M3196"/>
    <mergeCell ref="H3193:H3194"/>
    <mergeCell ref="I3193:I3194"/>
    <mergeCell ref="J3193:J3194"/>
    <mergeCell ref="K3193:K3194"/>
    <mergeCell ref="L3193:L3194"/>
    <mergeCell ref="M3193:M3194"/>
    <mergeCell ref="H3191:H3192"/>
    <mergeCell ref="I3191:I3192"/>
    <mergeCell ref="J3191:J3192"/>
    <mergeCell ref="K3191:K3192"/>
    <mergeCell ref="L3191:L3192"/>
    <mergeCell ref="M3191:M3192"/>
    <mergeCell ref="M3222:M3223"/>
    <mergeCell ref="N3222:O3222"/>
    <mergeCell ref="H3224:H3225"/>
    <mergeCell ref="I3224:I3225"/>
    <mergeCell ref="J3224:J3225"/>
    <mergeCell ref="K3224:K3225"/>
    <mergeCell ref="L3224:L3225"/>
    <mergeCell ref="M3224:M3225"/>
    <mergeCell ref="H3197:L3197"/>
    <mergeCell ref="H3198:L3198"/>
    <mergeCell ref="H3199:L3199"/>
    <mergeCell ref="H3205:K3205"/>
    <mergeCell ref="H3220:O3220"/>
    <mergeCell ref="H3222:H3223"/>
    <mergeCell ref="I3222:I3223"/>
    <mergeCell ref="J3222:J3223"/>
    <mergeCell ref="K3222:K3223"/>
    <mergeCell ref="L3222:L3223"/>
    <mergeCell ref="Q3228:Q3229"/>
    <mergeCell ref="H3230:H3231"/>
    <mergeCell ref="I3230:I3231"/>
    <mergeCell ref="J3230:J3231"/>
    <mergeCell ref="K3230:K3231"/>
    <mergeCell ref="L3230:L3231"/>
    <mergeCell ref="M3230:M3231"/>
    <mergeCell ref="H3228:H3229"/>
    <mergeCell ref="I3228:I3229"/>
    <mergeCell ref="J3228:J3229"/>
    <mergeCell ref="K3228:K3229"/>
    <mergeCell ref="L3228:L3229"/>
    <mergeCell ref="M3228:M3229"/>
    <mergeCell ref="H3226:H3227"/>
    <mergeCell ref="I3226:I3227"/>
    <mergeCell ref="J3226:J3227"/>
    <mergeCell ref="K3226:K3227"/>
    <mergeCell ref="L3226:L3227"/>
    <mergeCell ref="M3226:M3227"/>
    <mergeCell ref="M3257:M3258"/>
    <mergeCell ref="N3257:O3257"/>
    <mergeCell ref="H3259:H3260"/>
    <mergeCell ref="I3259:I3260"/>
    <mergeCell ref="J3259:J3260"/>
    <mergeCell ref="K3259:K3260"/>
    <mergeCell ref="L3259:L3260"/>
    <mergeCell ref="M3259:M3260"/>
    <mergeCell ref="H3232:L3232"/>
    <mergeCell ref="H3233:L3233"/>
    <mergeCell ref="H3234:L3234"/>
    <mergeCell ref="H3240:K3240"/>
    <mergeCell ref="H3255:O3255"/>
    <mergeCell ref="H3257:H3258"/>
    <mergeCell ref="I3257:I3258"/>
    <mergeCell ref="J3257:J3258"/>
    <mergeCell ref="K3257:K3258"/>
    <mergeCell ref="L3257:L3258"/>
    <mergeCell ref="H3265:H3266"/>
    <mergeCell ref="I3265:I3266"/>
    <mergeCell ref="J3265:J3266"/>
    <mergeCell ref="K3265:K3266"/>
    <mergeCell ref="L3265:L3266"/>
    <mergeCell ref="M3265:M3266"/>
    <mergeCell ref="H3263:H3264"/>
    <mergeCell ref="I3263:I3264"/>
    <mergeCell ref="J3263:J3264"/>
    <mergeCell ref="K3263:K3264"/>
    <mergeCell ref="L3263:L3264"/>
    <mergeCell ref="M3263:M3264"/>
    <mergeCell ref="H3261:H3262"/>
    <mergeCell ref="I3261:I3262"/>
    <mergeCell ref="J3261:J3262"/>
    <mergeCell ref="K3261:K3262"/>
    <mergeCell ref="L3261:L3262"/>
    <mergeCell ref="M3261:M3262"/>
    <mergeCell ref="M3293:M3294"/>
    <mergeCell ref="N3293:O3293"/>
    <mergeCell ref="H3295:H3296"/>
    <mergeCell ref="I3295:I3296"/>
    <mergeCell ref="J3295:J3298"/>
    <mergeCell ref="K3295:K3296"/>
    <mergeCell ref="L3295:L3296"/>
    <mergeCell ref="M3295:M3296"/>
    <mergeCell ref="H3297:H3298"/>
    <mergeCell ref="I3297:I3298"/>
    <mergeCell ref="H3267:L3267"/>
    <mergeCell ref="H3268:L3268"/>
    <mergeCell ref="H3269:L3269"/>
    <mergeCell ref="H3275:K3275"/>
    <mergeCell ref="H3291:O3291"/>
    <mergeCell ref="H3293:H3294"/>
    <mergeCell ref="I3293:I3294"/>
    <mergeCell ref="J3293:J3294"/>
    <mergeCell ref="K3293:K3294"/>
    <mergeCell ref="L3293:L3294"/>
    <mergeCell ref="H3303:L3303"/>
    <mergeCell ref="H3304:L3304"/>
    <mergeCell ref="H3305:L3305"/>
    <mergeCell ref="H3311:K3311"/>
    <mergeCell ref="H3326:O3326"/>
    <mergeCell ref="H3328:H3329"/>
    <mergeCell ref="I3328:I3329"/>
    <mergeCell ref="J3328:J3329"/>
    <mergeCell ref="K3328:K3329"/>
    <mergeCell ref="L3328:L3329"/>
    <mergeCell ref="H3301:H3302"/>
    <mergeCell ref="I3301:I3302"/>
    <mergeCell ref="J3301:J3302"/>
    <mergeCell ref="K3301:K3302"/>
    <mergeCell ref="L3301:L3302"/>
    <mergeCell ref="M3301:M3302"/>
    <mergeCell ref="K3297:K3298"/>
    <mergeCell ref="L3297:L3298"/>
    <mergeCell ref="M3297:M3298"/>
    <mergeCell ref="H3299:H3300"/>
    <mergeCell ref="I3299:I3300"/>
    <mergeCell ref="J3299:J3300"/>
    <mergeCell ref="K3299:K3300"/>
    <mergeCell ref="L3299:L3300"/>
    <mergeCell ref="M3299:M3300"/>
    <mergeCell ref="H3334:H3335"/>
    <mergeCell ref="I3334:I3335"/>
    <mergeCell ref="J3334:J3335"/>
    <mergeCell ref="K3334:K3335"/>
    <mergeCell ref="L3334:L3335"/>
    <mergeCell ref="M3334:M3335"/>
    <mergeCell ref="H3332:H3333"/>
    <mergeCell ref="I3332:I3333"/>
    <mergeCell ref="J3332:J3333"/>
    <mergeCell ref="K3332:K3333"/>
    <mergeCell ref="L3332:L3333"/>
    <mergeCell ref="M3332:M3333"/>
    <mergeCell ref="M3328:M3329"/>
    <mergeCell ref="N3328:O3328"/>
    <mergeCell ref="H3330:H3331"/>
    <mergeCell ref="I3330:I3331"/>
    <mergeCell ref="J3330:J3331"/>
    <mergeCell ref="K3330:K3331"/>
    <mergeCell ref="L3330:L3331"/>
    <mergeCell ref="M3330:M3331"/>
    <mergeCell ref="H3340:H3341"/>
    <mergeCell ref="I3340:I3341"/>
    <mergeCell ref="J3340:J3341"/>
    <mergeCell ref="K3340:K3341"/>
    <mergeCell ref="L3340:L3341"/>
    <mergeCell ref="M3340:M3341"/>
    <mergeCell ref="H3338:H3339"/>
    <mergeCell ref="I3338:I3339"/>
    <mergeCell ref="J3338:J3339"/>
    <mergeCell ref="K3338:K3339"/>
    <mergeCell ref="L3338:L3339"/>
    <mergeCell ref="M3338:M3339"/>
    <mergeCell ref="H3336:H3337"/>
    <mergeCell ref="I3336:I3337"/>
    <mergeCell ref="J3336:J3337"/>
    <mergeCell ref="K3336:K3337"/>
    <mergeCell ref="L3336:L3337"/>
    <mergeCell ref="M3336:M3337"/>
    <mergeCell ref="M3367:M3368"/>
    <mergeCell ref="N3367:O3367"/>
    <mergeCell ref="H3369:H3370"/>
    <mergeCell ref="I3369:I3370"/>
    <mergeCell ref="J3369:J3370"/>
    <mergeCell ref="K3369:K3370"/>
    <mergeCell ref="L3369:L3370"/>
    <mergeCell ref="M3369:M3370"/>
    <mergeCell ref="H3342:L3342"/>
    <mergeCell ref="H3343:L3343"/>
    <mergeCell ref="H3344:L3344"/>
    <mergeCell ref="H3350:K3350"/>
    <mergeCell ref="H3365:O3365"/>
    <mergeCell ref="H3367:H3368"/>
    <mergeCell ref="I3367:I3368"/>
    <mergeCell ref="J3367:J3368"/>
    <mergeCell ref="K3367:K3368"/>
    <mergeCell ref="L3367:L3368"/>
    <mergeCell ref="H3375:H3376"/>
    <mergeCell ref="I3375:I3376"/>
    <mergeCell ref="J3375:J3376"/>
    <mergeCell ref="K3375:K3376"/>
    <mergeCell ref="L3375:L3376"/>
    <mergeCell ref="M3375:M3376"/>
    <mergeCell ref="H3373:H3374"/>
    <mergeCell ref="I3373:I3374"/>
    <mergeCell ref="J3373:J3374"/>
    <mergeCell ref="K3373:K3374"/>
    <mergeCell ref="L3373:L3374"/>
    <mergeCell ref="M3373:M3374"/>
    <mergeCell ref="H3371:H3372"/>
    <mergeCell ref="I3371:I3372"/>
    <mergeCell ref="J3371:J3372"/>
    <mergeCell ref="K3371:K3372"/>
    <mergeCell ref="L3371:L3372"/>
    <mergeCell ref="M3371:M3372"/>
    <mergeCell ref="M3403:M3404"/>
    <mergeCell ref="N3403:O3403"/>
    <mergeCell ref="H3405:H3406"/>
    <mergeCell ref="I3405:I3406"/>
    <mergeCell ref="J3405:J3406"/>
    <mergeCell ref="K3405:K3406"/>
    <mergeCell ref="L3405:L3406"/>
    <mergeCell ref="M3405:M3406"/>
    <mergeCell ref="H3377:L3377"/>
    <mergeCell ref="H3378:L3378"/>
    <mergeCell ref="H3379:L3379"/>
    <mergeCell ref="H3385:K3385"/>
    <mergeCell ref="H3401:O3401"/>
    <mergeCell ref="H3403:H3404"/>
    <mergeCell ref="I3403:I3404"/>
    <mergeCell ref="J3403:J3404"/>
    <mergeCell ref="K3403:K3404"/>
    <mergeCell ref="L3403:L3404"/>
    <mergeCell ref="H3411:H3412"/>
    <mergeCell ref="I3411:I3412"/>
    <mergeCell ref="J3411:J3412"/>
    <mergeCell ref="K3411:K3412"/>
    <mergeCell ref="L3411:L3412"/>
    <mergeCell ref="M3411:M3412"/>
    <mergeCell ref="H3409:H3410"/>
    <mergeCell ref="I3409:I3410"/>
    <mergeCell ref="J3409:J3410"/>
    <mergeCell ref="K3409:K3410"/>
    <mergeCell ref="L3409:L3410"/>
    <mergeCell ref="M3409:M3410"/>
    <mergeCell ref="H3407:H3408"/>
    <mergeCell ref="I3407:I3408"/>
    <mergeCell ref="J3407:J3408"/>
    <mergeCell ref="K3407:K3408"/>
    <mergeCell ref="L3407:L3408"/>
    <mergeCell ref="M3407:M3408"/>
    <mergeCell ref="M3439:M3440"/>
    <mergeCell ref="N3439:O3439"/>
    <mergeCell ref="H3441:H3442"/>
    <mergeCell ref="I3441:I3442"/>
    <mergeCell ref="K3441:K3442"/>
    <mergeCell ref="L3441:L3442"/>
    <mergeCell ref="M3441:M3442"/>
    <mergeCell ref="H3413:L3413"/>
    <mergeCell ref="H3414:L3414"/>
    <mergeCell ref="H3415:L3415"/>
    <mergeCell ref="H3421:K3421"/>
    <mergeCell ref="H3437:O3437"/>
    <mergeCell ref="H3439:H3440"/>
    <mergeCell ref="I3439:I3440"/>
    <mergeCell ref="J3439:J3440"/>
    <mergeCell ref="K3439:K3440"/>
    <mergeCell ref="L3439:L3440"/>
    <mergeCell ref="H3451:H3452"/>
    <mergeCell ref="I3451:I3452"/>
    <mergeCell ref="K3451:K3452"/>
    <mergeCell ref="L3451:L3452"/>
    <mergeCell ref="M3451:M3452"/>
    <mergeCell ref="H3453:L3453"/>
    <mergeCell ref="H3447:H3448"/>
    <mergeCell ref="I3447:I3448"/>
    <mergeCell ref="K3447:K3448"/>
    <mergeCell ref="L3447:L3448"/>
    <mergeCell ref="M3447:M3448"/>
    <mergeCell ref="H3449:H3450"/>
    <mergeCell ref="I3449:I3450"/>
    <mergeCell ref="K3449:K3450"/>
    <mergeCell ref="L3449:L3450"/>
    <mergeCell ref="M3449:M3450"/>
    <mergeCell ref="H3443:H3444"/>
    <mergeCell ref="I3443:I3444"/>
    <mergeCell ref="K3443:K3444"/>
    <mergeCell ref="L3443:L3444"/>
    <mergeCell ref="M3443:M3444"/>
    <mergeCell ref="H3445:H3446"/>
    <mergeCell ref="I3445:I3446"/>
    <mergeCell ref="K3445:K3446"/>
    <mergeCell ref="L3445:L3446"/>
    <mergeCell ref="M3445:M3446"/>
    <mergeCell ref="H3482:H3483"/>
    <mergeCell ref="I3482:I3483"/>
    <mergeCell ref="J3482:J3483"/>
    <mergeCell ref="K3482:K3483"/>
    <mergeCell ref="L3482:L3483"/>
    <mergeCell ref="M3482:M3483"/>
    <mergeCell ref="N3478:O3478"/>
    <mergeCell ref="H3480:H3481"/>
    <mergeCell ref="I3480:I3481"/>
    <mergeCell ref="J3480:J3481"/>
    <mergeCell ref="K3480:K3481"/>
    <mergeCell ref="L3480:L3481"/>
    <mergeCell ref="M3480:M3481"/>
    <mergeCell ref="H3454:L3454"/>
    <mergeCell ref="H3455:L3455"/>
    <mergeCell ref="H3461:K3461"/>
    <mergeCell ref="H3476:O3476"/>
    <mergeCell ref="H3478:H3479"/>
    <mergeCell ref="I3478:I3479"/>
    <mergeCell ref="J3478:J3479"/>
    <mergeCell ref="K3478:K3479"/>
    <mergeCell ref="L3478:L3479"/>
    <mergeCell ref="M3478:M3479"/>
    <mergeCell ref="H3488:L3488"/>
    <mergeCell ref="H3489:L3489"/>
    <mergeCell ref="H3490:L3490"/>
    <mergeCell ref="H3496:K3496"/>
    <mergeCell ref="H3512:O3512"/>
    <mergeCell ref="H3514:H3515"/>
    <mergeCell ref="I3514:I3515"/>
    <mergeCell ref="J3514:J3515"/>
    <mergeCell ref="K3514:K3515"/>
    <mergeCell ref="L3514:L3515"/>
    <mergeCell ref="H3486:H3487"/>
    <mergeCell ref="I3486:I3487"/>
    <mergeCell ref="J3486:J3487"/>
    <mergeCell ref="K3486:K3487"/>
    <mergeCell ref="L3486:L3487"/>
    <mergeCell ref="M3486:M3487"/>
    <mergeCell ref="H3484:H3485"/>
    <mergeCell ref="I3484:I3485"/>
    <mergeCell ref="J3484:J3485"/>
    <mergeCell ref="K3484:K3485"/>
    <mergeCell ref="L3484:L3485"/>
    <mergeCell ref="M3484:M3485"/>
    <mergeCell ref="H3526:H3527"/>
    <mergeCell ref="I3526:I3527"/>
    <mergeCell ref="J3526:J3527"/>
    <mergeCell ref="K3526:K3527"/>
    <mergeCell ref="L3526:L3527"/>
    <mergeCell ref="M3526:M3527"/>
    <mergeCell ref="K3518:K3519"/>
    <mergeCell ref="L3518:L3519"/>
    <mergeCell ref="M3518:M3519"/>
    <mergeCell ref="H3524:H3525"/>
    <mergeCell ref="I3524:I3525"/>
    <mergeCell ref="J3524:J3525"/>
    <mergeCell ref="K3524:K3525"/>
    <mergeCell ref="L3524:L3525"/>
    <mergeCell ref="M3524:M3525"/>
    <mergeCell ref="M3514:M3515"/>
    <mergeCell ref="N3514:O3514"/>
    <mergeCell ref="H3516:H3517"/>
    <mergeCell ref="I3516:I3517"/>
    <mergeCell ref="J3516:J3519"/>
    <mergeCell ref="K3516:K3517"/>
    <mergeCell ref="L3516:L3517"/>
    <mergeCell ref="M3516:M3517"/>
    <mergeCell ref="H3518:H3519"/>
    <mergeCell ref="I3518:I3519"/>
    <mergeCell ref="M3554:M3555"/>
    <mergeCell ref="N3554:O3554"/>
    <mergeCell ref="H3556:H3557"/>
    <mergeCell ref="I3556:I3557"/>
    <mergeCell ref="J3556:J3559"/>
    <mergeCell ref="K3556:K3557"/>
    <mergeCell ref="L3556:L3557"/>
    <mergeCell ref="M3556:M3557"/>
    <mergeCell ref="H3558:H3559"/>
    <mergeCell ref="I3558:I3559"/>
    <mergeCell ref="H3528:L3528"/>
    <mergeCell ref="H3529:L3529"/>
    <mergeCell ref="H3530:L3530"/>
    <mergeCell ref="H3536:K3536"/>
    <mergeCell ref="H3552:O3552"/>
    <mergeCell ref="H3554:H3555"/>
    <mergeCell ref="I3554:I3555"/>
    <mergeCell ref="J3554:J3555"/>
    <mergeCell ref="K3554:K3555"/>
    <mergeCell ref="L3554:L3555"/>
    <mergeCell ref="K3558:K3559"/>
    <mergeCell ref="L3558:L3559"/>
    <mergeCell ref="M3558:M3559"/>
    <mergeCell ref="I3572:I3573"/>
    <mergeCell ref="J3572:J3573"/>
    <mergeCell ref="K3572:K3573"/>
    <mergeCell ref="L3572:L3573"/>
    <mergeCell ref="M3572:M3573"/>
    <mergeCell ref="M3601:M3602"/>
    <mergeCell ref="H3603:H3604"/>
    <mergeCell ref="I3603:I3604"/>
    <mergeCell ref="J3603:J3604"/>
    <mergeCell ref="K3603:K3604"/>
    <mergeCell ref="L3603:L3604"/>
    <mergeCell ref="M3603:M3604"/>
    <mergeCell ref="H3576:L3576"/>
    <mergeCell ref="H3609:L3609"/>
    <mergeCell ref="H3610:L3610"/>
    <mergeCell ref="H3611:L3611"/>
    <mergeCell ref="H3617:K3617"/>
    <mergeCell ref="L3601:L3602"/>
    <mergeCell ref="H3574:H3575"/>
    <mergeCell ref="I3574:I3575"/>
    <mergeCell ref="J3574:J3575"/>
    <mergeCell ref="K3574:K3575"/>
    <mergeCell ref="L3574:L3575"/>
    <mergeCell ref="M3574:M3575"/>
    <mergeCell ref="H3572:H3573"/>
    <mergeCell ref="M3621:N3621"/>
    <mergeCell ref="H3607:H3608"/>
    <mergeCell ref="I3607:I3608"/>
    <mergeCell ref="J3607:J3608"/>
    <mergeCell ref="K3607:K3608"/>
    <mergeCell ref="L3607:L3608"/>
    <mergeCell ref="M3607:M3608"/>
    <mergeCell ref="H3605:H3606"/>
    <mergeCell ref="I3605:I3606"/>
    <mergeCell ref="J3605:J3606"/>
    <mergeCell ref="K3605:K3606"/>
    <mergeCell ref="L3605:L3606"/>
    <mergeCell ref="M3605:M3606"/>
    <mergeCell ref="H3577:L3577"/>
    <mergeCell ref="H3578:L3578"/>
    <mergeCell ref="H3584:K3584"/>
    <mergeCell ref="H3599:O3599"/>
    <mergeCell ref="H3601:H3602"/>
    <mergeCell ref="I3601:I3602"/>
    <mergeCell ref="J3601:J3602"/>
    <mergeCell ref="K3601:K3602"/>
    <mergeCell ref="N3601:O3601"/>
  </mergeCells>
  <phoneticPr fontId="93" type="noConversion"/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29"/>
  <sheetViews>
    <sheetView topLeftCell="G1031" workbookViewId="0">
      <selection activeCell="H1070" sqref="H1070:L1070"/>
    </sheetView>
  </sheetViews>
  <sheetFormatPr baseColWidth="10" defaultRowHeight="15"/>
  <cols>
    <col min="1" max="1" width="13.28515625" style="51" hidden="1" customWidth="1"/>
    <col min="2" max="2" width="21.140625" style="51" hidden="1" customWidth="1"/>
    <col min="3" max="3" width="19.7109375" style="51" hidden="1" customWidth="1"/>
    <col min="4" max="4" width="19.140625" style="51" hidden="1" customWidth="1"/>
    <col min="5" max="5" width="18.28515625" style="51" hidden="1" customWidth="1"/>
    <col min="6" max="6" width="22.140625" style="51" hidden="1" customWidth="1"/>
    <col min="7" max="7" width="0.28515625" style="51" customWidth="1"/>
    <col min="8" max="8" width="12.5703125" style="51" customWidth="1"/>
    <col min="9" max="9" width="20.85546875" style="51" customWidth="1"/>
    <col min="10" max="10" width="16.5703125" style="51" customWidth="1"/>
    <col min="11" max="11" width="22.5703125" style="51" customWidth="1"/>
    <col min="12" max="12" width="14.5703125" style="51" customWidth="1"/>
    <col min="13" max="13" width="22.140625" style="51" customWidth="1"/>
    <col min="14" max="14" width="5.85546875" style="51" customWidth="1"/>
    <col min="15" max="15" width="15.42578125" style="51" customWidth="1"/>
    <col min="16" max="16" width="11.42578125" style="51"/>
    <col min="17" max="17" width="14.140625" style="51" bestFit="1" customWidth="1"/>
    <col min="18" max="18" width="12.85546875" style="51" customWidth="1"/>
    <col min="19" max="16384" width="11.42578125" style="51"/>
  </cols>
  <sheetData>
    <row r="1" spans="1:15" ht="14.25" customHeight="1">
      <c r="A1" s="49" t="s">
        <v>88</v>
      </c>
      <c r="B1" s="50"/>
      <c r="H1" s="49" t="s">
        <v>88</v>
      </c>
      <c r="I1" s="50"/>
    </row>
    <row r="2" spans="1:15">
      <c r="A2" s="51" t="s">
        <v>89</v>
      </c>
      <c r="H2" s="51" t="s">
        <v>89</v>
      </c>
    </row>
    <row r="3" spans="1:15">
      <c r="A3" s="51" t="s">
        <v>90</v>
      </c>
      <c r="H3" s="51" t="s">
        <v>90</v>
      </c>
    </row>
    <row r="4" spans="1:15">
      <c r="A4" s="51" t="s">
        <v>91</v>
      </c>
      <c r="H4" s="51" t="s">
        <v>91</v>
      </c>
    </row>
    <row r="5" spans="1:15" ht="5.25" customHeight="1">
      <c r="A5" s="50"/>
      <c r="B5" s="50"/>
      <c r="H5" s="50"/>
      <c r="I5" s="50"/>
    </row>
    <row r="6" spans="1:15" ht="16.5">
      <c r="A6" s="52" t="s">
        <v>172</v>
      </c>
      <c r="G6" s="52"/>
      <c r="H6" s="52" t="s">
        <v>534</v>
      </c>
      <c r="N6" s="52"/>
    </row>
    <row r="7" spans="1:15" ht="15.75">
      <c r="A7" s="53" t="s">
        <v>92</v>
      </c>
      <c r="G7" s="53"/>
      <c r="H7" s="53" t="s">
        <v>2443</v>
      </c>
      <c r="N7" s="53"/>
    </row>
    <row r="8" spans="1:15" ht="13.5" customHeight="1">
      <c r="A8" s="894" t="s">
        <v>93</v>
      </c>
      <c r="B8" s="894"/>
      <c r="C8" s="894"/>
      <c r="D8" s="894"/>
      <c r="E8" s="894"/>
      <c r="F8" s="894"/>
      <c r="G8" s="894"/>
      <c r="H8" s="894" t="s">
        <v>903</v>
      </c>
      <c r="I8" s="894"/>
      <c r="J8" s="894"/>
      <c r="K8" s="894"/>
      <c r="L8" s="894"/>
      <c r="M8" s="894"/>
      <c r="N8" s="894"/>
      <c r="O8" s="894"/>
    </row>
    <row r="9" spans="1:15" ht="7.5" customHeight="1" thickBot="1"/>
    <row r="10" spans="1:15">
      <c r="A10" s="895" t="s">
        <v>94</v>
      </c>
      <c r="B10" s="897" t="s">
        <v>95</v>
      </c>
      <c r="C10" s="897" t="s">
        <v>96</v>
      </c>
      <c r="D10" s="897" t="s">
        <v>3</v>
      </c>
      <c r="E10" s="897" t="s">
        <v>97</v>
      </c>
      <c r="F10" s="897" t="s">
        <v>98</v>
      </c>
      <c r="G10" s="500" t="s">
        <v>99</v>
      </c>
      <c r="H10" s="895" t="s">
        <v>94</v>
      </c>
      <c r="I10" s="897" t="s">
        <v>95</v>
      </c>
      <c r="J10" s="897" t="s">
        <v>96</v>
      </c>
      <c r="K10" s="897" t="s">
        <v>3</v>
      </c>
      <c r="L10" s="897" t="s">
        <v>97</v>
      </c>
      <c r="M10" s="897" t="s">
        <v>98</v>
      </c>
      <c r="N10" s="897" t="s">
        <v>99</v>
      </c>
      <c r="O10" s="899"/>
    </row>
    <row r="11" spans="1:15" ht="15.75" thickBot="1">
      <c r="A11" s="896"/>
      <c r="B11" s="898"/>
      <c r="C11" s="898"/>
      <c r="D11" s="898"/>
      <c r="E11" s="898"/>
      <c r="F11" s="898"/>
      <c r="G11" s="240" t="s">
        <v>100</v>
      </c>
      <c r="H11" s="896"/>
      <c r="I11" s="898"/>
      <c r="J11" s="898"/>
      <c r="K11" s="898"/>
      <c r="L11" s="898"/>
      <c r="M11" s="898"/>
      <c r="N11" s="240" t="s">
        <v>100</v>
      </c>
      <c r="O11" s="182" t="s">
        <v>101</v>
      </c>
    </row>
    <row r="12" spans="1:15" ht="12" customHeight="1">
      <c r="A12" s="881">
        <v>237</v>
      </c>
      <c r="B12" s="875">
        <v>42228</v>
      </c>
      <c r="C12" s="942" t="s">
        <v>31</v>
      </c>
      <c r="D12" s="881" t="s">
        <v>174</v>
      </c>
      <c r="E12" s="881" t="s">
        <v>115</v>
      </c>
      <c r="F12" s="883">
        <v>120000</v>
      </c>
      <c r="G12" s="55">
        <v>719</v>
      </c>
      <c r="H12" s="873" t="s">
        <v>545</v>
      </c>
      <c r="I12" s="875">
        <v>45359</v>
      </c>
      <c r="J12" s="877" t="s">
        <v>1079</v>
      </c>
      <c r="K12" s="881" t="s">
        <v>2445</v>
      </c>
      <c r="L12" s="881" t="s">
        <v>148</v>
      </c>
      <c r="M12" s="883">
        <v>46252500</v>
      </c>
      <c r="N12" s="55">
        <v>719</v>
      </c>
      <c r="O12" s="78"/>
    </row>
    <row r="13" spans="1:15" ht="14.25" customHeight="1" thickBot="1">
      <c r="A13" s="882"/>
      <c r="B13" s="934"/>
      <c r="C13" s="943"/>
      <c r="D13" s="882"/>
      <c r="E13" s="882"/>
      <c r="F13" s="884"/>
      <c r="G13" s="56">
        <v>721</v>
      </c>
      <c r="H13" s="874"/>
      <c r="I13" s="876"/>
      <c r="J13" s="878"/>
      <c r="K13" s="882"/>
      <c r="L13" s="882"/>
      <c r="M13" s="884"/>
      <c r="N13" s="56">
        <v>723</v>
      </c>
      <c r="O13" s="79">
        <f>+M12-O12</f>
        <v>46252500</v>
      </c>
    </row>
    <row r="14" spans="1:15" ht="12.75" customHeight="1">
      <c r="A14" s="881">
        <f>+A12+1</f>
        <v>238</v>
      </c>
      <c r="B14" s="875">
        <v>42228</v>
      </c>
      <c r="C14" s="935" t="s">
        <v>28</v>
      </c>
      <c r="D14" s="881" t="s">
        <v>175</v>
      </c>
      <c r="E14" s="881" t="s">
        <v>115</v>
      </c>
      <c r="F14" s="883">
        <v>90000</v>
      </c>
      <c r="G14" s="55">
        <v>719</v>
      </c>
      <c r="H14" s="873" t="s">
        <v>547</v>
      </c>
      <c r="I14" s="875">
        <v>45359</v>
      </c>
      <c r="J14" s="877" t="s">
        <v>1921</v>
      </c>
      <c r="K14" s="881" t="s">
        <v>2445</v>
      </c>
      <c r="L14" s="881" t="s">
        <v>148</v>
      </c>
      <c r="M14" s="883">
        <v>14875000</v>
      </c>
      <c r="N14" s="55">
        <v>719</v>
      </c>
      <c r="O14" s="78"/>
    </row>
    <row r="15" spans="1:15" ht="14.25" customHeight="1" thickBot="1">
      <c r="A15" s="882"/>
      <c r="B15" s="876"/>
      <c r="C15" s="936"/>
      <c r="D15" s="882"/>
      <c r="E15" s="882"/>
      <c r="F15" s="884"/>
      <c r="G15" s="56">
        <v>721</v>
      </c>
      <c r="H15" s="874"/>
      <c r="I15" s="876"/>
      <c r="J15" s="878"/>
      <c r="K15" s="882"/>
      <c r="L15" s="882"/>
      <c r="M15" s="884"/>
      <c r="N15" s="56">
        <v>723</v>
      </c>
      <c r="O15" s="79">
        <f>+M14-O14</f>
        <v>14875000</v>
      </c>
    </row>
    <row r="16" spans="1:15" ht="14.25" customHeight="1">
      <c r="A16" s="251"/>
      <c r="B16" s="252"/>
      <c r="C16" s="472"/>
      <c r="D16" s="251"/>
      <c r="E16" s="251"/>
      <c r="F16" s="254"/>
      <c r="G16" s="255"/>
      <c r="H16" s="873" t="s">
        <v>548</v>
      </c>
      <c r="I16" s="875">
        <v>45359</v>
      </c>
      <c r="J16" s="877" t="s">
        <v>1868</v>
      </c>
      <c r="K16" s="881" t="s">
        <v>2445</v>
      </c>
      <c r="L16" s="881" t="s">
        <v>148</v>
      </c>
      <c r="M16" s="883">
        <v>27916900</v>
      </c>
      <c r="N16" s="55">
        <v>719</v>
      </c>
      <c r="O16" s="78"/>
    </row>
    <row r="17" spans="1:15" ht="14.25" customHeight="1" thickBot="1">
      <c r="A17" s="251"/>
      <c r="B17" s="252"/>
      <c r="C17" s="472"/>
      <c r="D17" s="251"/>
      <c r="E17" s="251"/>
      <c r="F17" s="254"/>
      <c r="G17" s="255"/>
      <c r="H17" s="874"/>
      <c r="I17" s="876"/>
      <c r="J17" s="878"/>
      <c r="K17" s="882"/>
      <c r="L17" s="882"/>
      <c r="M17" s="884"/>
      <c r="N17" s="56">
        <v>723</v>
      </c>
      <c r="O17" s="79">
        <f>+M16-O16</f>
        <v>27916900</v>
      </c>
    </row>
    <row r="18" spans="1:15" ht="12.75" customHeight="1">
      <c r="A18" s="881"/>
      <c r="B18" s="875"/>
      <c r="C18" s="935"/>
      <c r="D18" s="881"/>
      <c r="E18" s="881"/>
      <c r="F18" s="883"/>
      <c r="G18" s="55">
        <v>719</v>
      </c>
      <c r="H18" s="873" t="s">
        <v>549</v>
      </c>
      <c r="I18" s="875">
        <v>45359</v>
      </c>
      <c r="J18" s="877" t="s">
        <v>267</v>
      </c>
      <c r="K18" s="881" t="s">
        <v>2445</v>
      </c>
      <c r="L18" s="881" t="s">
        <v>148</v>
      </c>
      <c r="M18" s="883">
        <v>33195000</v>
      </c>
      <c r="N18" s="55">
        <v>719</v>
      </c>
      <c r="O18" s="78"/>
    </row>
    <row r="19" spans="1:15" ht="12.75" customHeight="1" thickBot="1">
      <c r="A19" s="882"/>
      <c r="B19" s="934"/>
      <c r="C19" s="936"/>
      <c r="D19" s="882"/>
      <c r="E19" s="882"/>
      <c r="F19" s="884"/>
      <c r="G19" s="56">
        <v>721</v>
      </c>
      <c r="H19" s="874"/>
      <c r="I19" s="876"/>
      <c r="J19" s="878"/>
      <c r="K19" s="882"/>
      <c r="L19" s="882"/>
      <c r="M19" s="884"/>
      <c r="N19" s="56">
        <v>723</v>
      </c>
      <c r="O19" s="79">
        <f>+M18-O18</f>
        <v>33195000</v>
      </c>
    </row>
    <row r="20" spans="1:15" ht="11.25" customHeight="1">
      <c r="A20" s="881"/>
      <c r="B20" s="875"/>
      <c r="C20" s="935"/>
      <c r="D20" s="877"/>
      <c r="E20" s="881"/>
      <c r="F20" s="883"/>
      <c r="G20" s="55">
        <v>719</v>
      </c>
      <c r="H20" s="873" t="s">
        <v>550</v>
      </c>
      <c r="I20" s="875">
        <v>45359</v>
      </c>
      <c r="J20" s="881" t="s">
        <v>2058</v>
      </c>
      <c r="K20" s="881" t="s">
        <v>2474</v>
      </c>
      <c r="L20" s="881" t="s">
        <v>148</v>
      </c>
      <c r="M20" s="883">
        <v>1800000</v>
      </c>
      <c r="N20" s="55">
        <v>719</v>
      </c>
      <c r="O20" s="78"/>
    </row>
    <row r="21" spans="1:15" ht="12.75" customHeight="1" thickBot="1">
      <c r="A21" s="882"/>
      <c r="B21" s="934"/>
      <c r="C21" s="936"/>
      <c r="D21" s="878"/>
      <c r="E21" s="882"/>
      <c r="F21" s="884"/>
      <c r="G21" s="56">
        <v>721</v>
      </c>
      <c r="H21" s="874"/>
      <c r="I21" s="876"/>
      <c r="J21" s="882"/>
      <c r="K21" s="882"/>
      <c r="L21" s="882"/>
      <c r="M21" s="884"/>
      <c r="N21" s="56">
        <v>723</v>
      </c>
      <c r="O21" s="79">
        <f>+M20-O20</f>
        <v>1800000</v>
      </c>
    </row>
    <row r="22" spans="1:15" ht="18" customHeight="1" thickBot="1">
      <c r="A22" s="901" t="s">
        <v>102</v>
      </c>
      <c r="B22" s="902"/>
      <c r="C22" s="902"/>
      <c r="D22" s="902"/>
      <c r="E22" s="903"/>
      <c r="F22" s="81">
        <f>SUM(F12:F21)</f>
        <v>210000</v>
      </c>
      <c r="H22" s="901" t="s">
        <v>102</v>
      </c>
      <c r="I22" s="902"/>
      <c r="J22" s="902"/>
      <c r="K22" s="902"/>
      <c r="L22" s="903"/>
      <c r="M22" s="81">
        <f>SUM(M12:M21)</f>
        <v>124039400</v>
      </c>
    </row>
    <row r="23" spans="1:15" ht="15.75" customHeight="1" thickBot="1">
      <c r="A23" s="885" t="s">
        <v>103</v>
      </c>
      <c r="B23" s="886"/>
      <c r="C23" s="886"/>
      <c r="D23" s="886"/>
      <c r="E23" s="887"/>
      <c r="F23" s="69">
        <f>+C37</f>
        <v>610857841</v>
      </c>
      <c r="H23" s="885" t="s">
        <v>103</v>
      </c>
      <c r="I23" s="886"/>
      <c r="J23" s="886"/>
      <c r="K23" s="886"/>
      <c r="L23" s="887"/>
      <c r="M23" s="69">
        <v>0</v>
      </c>
      <c r="N23" s="241" t="s">
        <v>561</v>
      </c>
      <c r="O23" s="242"/>
    </row>
    <row r="24" spans="1:15" ht="16.5" thickBot="1">
      <c r="A24" s="888" t="s">
        <v>104</v>
      </c>
      <c r="B24" s="889"/>
      <c r="C24" s="889"/>
      <c r="D24" s="889"/>
      <c r="E24" s="890"/>
      <c r="F24" s="183">
        <f>SUM(F22:F23)</f>
        <v>611067841</v>
      </c>
      <c r="H24" s="888" t="s">
        <v>104</v>
      </c>
      <c r="I24" s="889"/>
      <c r="J24" s="889"/>
      <c r="K24" s="889"/>
      <c r="L24" s="890"/>
      <c r="M24" s="183">
        <f>SUM(M22:M23)</f>
        <v>124039400</v>
      </c>
    </row>
    <row r="25" spans="1:15" ht="6" customHeight="1">
      <c r="A25" s="61"/>
      <c r="B25" s="61"/>
      <c r="C25" s="61"/>
      <c r="D25" s="61"/>
      <c r="E25" s="61"/>
      <c r="H25" s="61"/>
      <c r="I25" s="61"/>
      <c r="J25" s="61"/>
      <c r="K25" s="61"/>
      <c r="L25" s="61"/>
    </row>
    <row r="26" spans="1:15" ht="16.5" customHeight="1">
      <c r="A26" s="51" t="s">
        <v>176</v>
      </c>
      <c r="H26" s="51" t="s">
        <v>2488</v>
      </c>
    </row>
    <row r="27" spans="1:15" ht="5.25" customHeight="1">
      <c r="F27" s="139"/>
      <c r="M27" s="139"/>
    </row>
    <row r="28" spans="1:15" ht="15" customHeight="1">
      <c r="A28" s="50" t="s">
        <v>105</v>
      </c>
      <c r="D28" s="146"/>
      <c r="F28" s="139"/>
      <c r="H28" s="50" t="s">
        <v>105</v>
      </c>
      <c r="K28" s="146"/>
      <c r="M28" s="139"/>
    </row>
    <row r="29" spans="1:15" ht="9.75" customHeight="1" thickBot="1"/>
    <row r="30" spans="1:15" ht="15.75" thickBot="1">
      <c r="A30" s="891" t="s">
        <v>106</v>
      </c>
      <c r="B30" s="892"/>
      <c r="C30" s="892"/>
      <c r="D30" s="893"/>
      <c r="F30" s="50" t="s">
        <v>107</v>
      </c>
      <c r="H30" s="891" t="s">
        <v>106</v>
      </c>
      <c r="I30" s="892"/>
      <c r="J30" s="892"/>
      <c r="K30" s="893"/>
      <c r="M30" s="50" t="s">
        <v>288</v>
      </c>
    </row>
    <row r="31" spans="1:15" ht="34.5" customHeight="1" thickBot="1">
      <c r="A31" s="57" t="s">
        <v>100</v>
      </c>
      <c r="B31" s="58" t="s">
        <v>108</v>
      </c>
      <c r="C31" s="59" t="s">
        <v>109</v>
      </c>
      <c r="D31" s="60" t="s">
        <v>110</v>
      </c>
      <c r="H31" s="57" t="s">
        <v>100</v>
      </c>
      <c r="I31" s="58" t="s">
        <v>108</v>
      </c>
      <c r="J31" s="264" t="s">
        <v>109</v>
      </c>
      <c r="K31" s="60" t="s">
        <v>110</v>
      </c>
    </row>
    <row r="32" spans="1:15" ht="13.5" customHeight="1">
      <c r="A32" s="71">
        <v>719</v>
      </c>
      <c r="B32" s="73">
        <v>210000</v>
      </c>
      <c r="C32" s="74">
        <v>28120000</v>
      </c>
      <c r="D32" s="76">
        <f>+B32+C32</f>
        <v>28330000</v>
      </c>
      <c r="H32" s="71">
        <v>719</v>
      </c>
      <c r="I32" s="73">
        <f>+O12+O14+O18+O20</f>
        <v>0</v>
      </c>
      <c r="J32" s="74">
        <f>+M23</f>
        <v>0</v>
      </c>
      <c r="K32" s="195">
        <f>+I32+J32</f>
        <v>0</v>
      </c>
    </row>
    <row r="33" spans="1:15" ht="13.5" customHeight="1">
      <c r="A33" s="72">
        <v>721</v>
      </c>
      <c r="B33" s="80"/>
      <c r="C33" s="75">
        <v>36156092</v>
      </c>
      <c r="D33" s="76">
        <f>+B33+C33</f>
        <v>36156092</v>
      </c>
      <c r="H33" s="72">
        <v>721</v>
      </c>
      <c r="I33" s="80"/>
      <c r="J33" s="74">
        <v>0</v>
      </c>
      <c r="K33" s="195">
        <f>+I33+J33</f>
        <v>0</v>
      </c>
    </row>
    <row r="34" spans="1:15" ht="12.75" customHeight="1">
      <c r="A34" s="72">
        <v>722</v>
      </c>
      <c r="B34" s="80"/>
      <c r="C34" s="75">
        <v>224787287</v>
      </c>
      <c r="D34" s="76">
        <f>+B34+C34</f>
        <v>224787287</v>
      </c>
      <c r="H34" s="72">
        <v>722</v>
      </c>
      <c r="I34" s="80"/>
      <c r="J34" s="74">
        <v>0</v>
      </c>
      <c r="K34" s="195">
        <f>+I34+J34</f>
        <v>0</v>
      </c>
    </row>
    <row r="35" spans="1:15" ht="13.5" customHeight="1" thickBot="1">
      <c r="A35" s="72">
        <v>723</v>
      </c>
      <c r="B35" s="80"/>
      <c r="C35" s="75">
        <v>319828837</v>
      </c>
      <c r="D35" s="76">
        <f>+B35+C35</f>
        <v>319828837</v>
      </c>
      <c r="F35" s="174" t="s">
        <v>23</v>
      </c>
      <c r="G35" s="175"/>
      <c r="H35" s="72">
        <v>723</v>
      </c>
      <c r="I35" s="80">
        <f>+O13+O15+O19+O21+O17</f>
        <v>124039400</v>
      </c>
      <c r="J35" s="74">
        <v>0</v>
      </c>
      <c r="K35" s="195">
        <f>+I35+J35</f>
        <v>124039400</v>
      </c>
      <c r="M35" s="918" t="s">
        <v>2347</v>
      </c>
      <c r="N35" s="608"/>
      <c r="O35" s="608"/>
    </row>
    <row r="36" spans="1:15" ht="14.25" hidden="1" customHeight="1">
      <c r="A36" s="164" t="s">
        <v>181</v>
      </c>
      <c r="B36" s="165"/>
      <c r="C36" s="166">
        <v>1965625</v>
      </c>
      <c r="D36" s="168">
        <f>+B36+C36</f>
        <v>1965625</v>
      </c>
      <c r="F36" s="52"/>
      <c r="H36" s="164" t="s">
        <v>181</v>
      </c>
      <c r="I36" s="165"/>
      <c r="J36" s="74">
        <v>0</v>
      </c>
      <c r="K36" s="196">
        <f>+I36+J36</f>
        <v>0</v>
      </c>
      <c r="M36" s="52"/>
    </row>
    <row r="37" spans="1:15" ht="16.5" thickBot="1">
      <c r="A37" s="169"/>
      <c r="B37" s="170">
        <f>SUM(B32:B36)</f>
        <v>210000</v>
      </c>
      <c r="C37" s="171">
        <f>SUM(C32:C36)</f>
        <v>610857841</v>
      </c>
      <c r="D37" s="172">
        <f>SUM(D32:D36)</f>
        <v>611067841</v>
      </c>
      <c r="H37" s="169"/>
      <c r="I37" s="197">
        <f>SUM(I32:I36)</f>
        <v>124039400</v>
      </c>
      <c r="J37" s="197">
        <f>SUM(J32:J36)</f>
        <v>0</v>
      </c>
      <c r="K37" s="198">
        <f>SUM(K32:K36)</f>
        <v>124039400</v>
      </c>
    </row>
    <row r="38" spans="1:15" ht="16.5">
      <c r="A38" s="49" t="s">
        <v>88</v>
      </c>
      <c r="B38" s="50"/>
      <c r="H38" s="49" t="s">
        <v>88</v>
      </c>
      <c r="I38" s="50"/>
    </row>
    <row r="39" spans="1:15" ht="13.5" customHeight="1">
      <c r="A39" s="51" t="s">
        <v>89</v>
      </c>
      <c r="H39" s="51" t="s">
        <v>89</v>
      </c>
    </row>
    <row r="40" spans="1:15" ht="14.25" customHeight="1">
      <c r="A40" s="51" t="s">
        <v>90</v>
      </c>
      <c r="H40" s="51" t="s">
        <v>90</v>
      </c>
    </row>
    <row r="41" spans="1:15" ht="14.25" customHeight="1">
      <c r="A41" s="51" t="s">
        <v>91</v>
      </c>
      <c r="H41" s="51" t="s">
        <v>91</v>
      </c>
    </row>
    <row r="42" spans="1:15" ht="6" customHeight="1">
      <c r="A42" s="50"/>
      <c r="B42" s="50"/>
      <c r="H42" s="50"/>
      <c r="I42" s="50"/>
    </row>
    <row r="43" spans="1:15" ht="16.5" customHeight="1">
      <c r="A43" s="52" t="s">
        <v>222</v>
      </c>
      <c r="G43" s="52"/>
      <c r="H43" s="52" t="s">
        <v>536</v>
      </c>
      <c r="N43" s="52"/>
    </row>
    <row r="44" spans="1:15" ht="15.75" customHeight="1">
      <c r="A44" s="53" t="s">
        <v>92</v>
      </c>
      <c r="G44" s="53"/>
      <c r="H44" s="53" t="s">
        <v>2443</v>
      </c>
      <c r="N44" s="53"/>
    </row>
    <row r="45" spans="1:15" ht="15.75" customHeight="1">
      <c r="A45" s="894" t="s">
        <v>93</v>
      </c>
      <c r="B45" s="894"/>
      <c r="C45" s="894"/>
      <c r="D45" s="894"/>
      <c r="E45" s="894"/>
      <c r="F45" s="894"/>
      <c r="G45" s="894"/>
      <c r="H45" s="894" t="s">
        <v>903</v>
      </c>
      <c r="I45" s="894"/>
      <c r="J45" s="894"/>
      <c r="K45" s="894"/>
      <c r="L45" s="894"/>
      <c r="M45" s="894"/>
      <c r="N45" s="894"/>
      <c r="O45" s="894"/>
    </row>
    <row r="46" spans="1:15" ht="12" customHeight="1" thickBot="1"/>
    <row r="47" spans="1:15">
      <c r="A47" s="895" t="s">
        <v>94</v>
      </c>
      <c r="B47" s="897" t="s">
        <v>95</v>
      </c>
      <c r="C47" s="897" t="s">
        <v>96</v>
      </c>
      <c r="D47" s="897" t="s">
        <v>3</v>
      </c>
      <c r="E47" s="897" t="s">
        <v>97</v>
      </c>
      <c r="F47" s="897" t="s">
        <v>98</v>
      </c>
      <c r="G47" s="500" t="s">
        <v>99</v>
      </c>
      <c r="H47" s="895" t="s">
        <v>94</v>
      </c>
      <c r="I47" s="897" t="s">
        <v>95</v>
      </c>
      <c r="J47" s="897" t="s">
        <v>96</v>
      </c>
      <c r="K47" s="897" t="s">
        <v>3</v>
      </c>
      <c r="L47" s="897" t="s">
        <v>97</v>
      </c>
      <c r="M47" s="897" t="s">
        <v>98</v>
      </c>
      <c r="N47" s="897" t="s">
        <v>99</v>
      </c>
      <c r="O47" s="899"/>
    </row>
    <row r="48" spans="1:15" ht="15.75" thickBot="1">
      <c r="A48" s="896"/>
      <c r="B48" s="898"/>
      <c r="C48" s="898"/>
      <c r="D48" s="898"/>
      <c r="E48" s="898"/>
      <c r="F48" s="898"/>
      <c r="G48" s="240" t="s">
        <v>100</v>
      </c>
      <c r="H48" s="896"/>
      <c r="I48" s="898"/>
      <c r="J48" s="898"/>
      <c r="K48" s="898"/>
      <c r="L48" s="898"/>
      <c r="M48" s="898"/>
      <c r="N48" s="240" t="s">
        <v>100</v>
      </c>
      <c r="O48" s="182" t="s">
        <v>101</v>
      </c>
    </row>
    <row r="49" spans="1:15" ht="13.5" customHeight="1">
      <c r="A49" s="881">
        <f>+A14+1</f>
        <v>239</v>
      </c>
      <c r="B49" s="875">
        <v>42240</v>
      </c>
      <c r="C49" s="935" t="s">
        <v>28</v>
      </c>
      <c r="D49" s="881" t="s">
        <v>223</v>
      </c>
      <c r="E49" s="881" t="s">
        <v>115</v>
      </c>
      <c r="F49" s="883">
        <v>60000</v>
      </c>
      <c r="G49" s="55">
        <v>719</v>
      </c>
      <c r="H49" s="873" t="s">
        <v>551</v>
      </c>
      <c r="I49" s="875">
        <v>45359</v>
      </c>
      <c r="J49" s="877" t="s">
        <v>2446</v>
      </c>
      <c r="K49" s="881" t="s">
        <v>2445</v>
      </c>
      <c r="L49" s="881" t="s">
        <v>148</v>
      </c>
      <c r="M49" s="883">
        <v>6000000</v>
      </c>
      <c r="N49" s="55">
        <v>719</v>
      </c>
      <c r="O49" s="78"/>
    </row>
    <row r="50" spans="1:15" ht="12.75" customHeight="1" thickBot="1">
      <c r="A50" s="882"/>
      <c r="B50" s="934"/>
      <c r="C50" s="936"/>
      <c r="D50" s="882"/>
      <c r="E50" s="882"/>
      <c r="F50" s="884"/>
      <c r="G50" s="56">
        <v>721</v>
      </c>
      <c r="H50" s="874"/>
      <c r="I50" s="876"/>
      <c r="J50" s="878"/>
      <c r="K50" s="882"/>
      <c r="L50" s="882"/>
      <c r="M50" s="884"/>
      <c r="N50" s="56">
        <v>723</v>
      </c>
      <c r="O50" s="79">
        <f>+M49-O49</f>
        <v>6000000</v>
      </c>
    </row>
    <row r="51" spans="1:15" ht="12" customHeight="1">
      <c r="A51" s="881">
        <f>+A49+1</f>
        <v>240</v>
      </c>
      <c r="B51" s="875">
        <v>42240</v>
      </c>
      <c r="C51" s="942" t="s">
        <v>31</v>
      </c>
      <c r="D51" s="881" t="s">
        <v>224</v>
      </c>
      <c r="E51" s="881" t="s">
        <v>115</v>
      </c>
      <c r="F51" s="883">
        <v>140000</v>
      </c>
      <c r="G51" s="55">
        <v>719</v>
      </c>
      <c r="H51" s="873" t="s">
        <v>552</v>
      </c>
      <c r="I51" s="875">
        <v>45359</v>
      </c>
      <c r="J51" s="877" t="s">
        <v>2481</v>
      </c>
      <c r="K51" s="881" t="s">
        <v>2445</v>
      </c>
      <c r="L51" s="881" t="s">
        <v>148</v>
      </c>
      <c r="M51" s="883">
        <v>1500000</v>
      </c>
      <c r="N51" s="55">
        <v>719</v>
      </c>
      <c r="O51" s="78"/>
    </row>
    <row r="52" spans="1:15" ht="15" customHeight="1" thickBot="1">
      <c r="A52" s="882"/>
      <c r="B52" s="934"/>
      <c r="C52" s="943"/>
      <c r="D52" s="882"/>
      <c r="E52" s="882"/>
      <c r="F52" s="884"/>
      <c r="G52" s="56">
        <v>721</v>
      </c>
      <c r="H52" s="874"/>
      <c r="I52" s="876"/>
      <c r="J52" s="878"/>
      <c r="K52" s="882"/>
      <c r="L52" s="882"/>
      <c r="M52" s="884"/>
      <c r="N52" s="56">
        <v>723</v>
      </c>
      <c r="O52" s="79">
        <f>+M51-O51</f>
        <v>1500000</v>
      </c>
    </row>
    <row r="53" spans="1:15" ht="13.5" customHeight="1">
      <c r="A53" s="251"/>
      <c r="B53" s="452"/>
      <c r="C53" s="465"/>
      <c r="D53" s="251"/>
      <c r="E53" s="251"/>
      <c r="F53" s="254"/>
      <c r="G53" s="255"/>
      <c r="H53" s="873" t="s">
        <v>553</v>
      </c>
      <c r="I53" s="875">
        <v>45359</v>
      </c>
      <c r="J53" s="910" t="s">
        <v>695</v>
      </c>
      <c r="K53" s="881" t="s">
        <v>2445</v>
      </c>
      <c r="L53" s="881" t="s">
        <v>148</v>
      </c>
      <c r="M53" s="883">
        <v>7139940</v>
      </c>
      <c r="N53" s="55">
        <v>719</v>
      </c>
      <c r="O53" s="78"/>
    </row>
    <row r="54" spans="1:15" ht="12.75" customHeight="1" thickBot="1">
      <c r="A54" s="251"/>
      <c r="B54" s="452"/>
      <c r="C54" s="465"/>
      <c r="D54" s="251"/>
      <c r="E54" s="251"/>
      <c r="F54" s="254"/>
      <c r="G54" s="255"/>
      <c r="H54" s="874"/>
      <c r="I54" s="876"/>
      <c r="J54" s="911"/>
      <c r="K54" s="882"/>
      <c r="L54" s="882"/>
      <c r="M54" s="884"/>
      <c r="N54" s="56">
        <v>723</v>
      </c>
      <c r="O54" s="79">
        <f>+M53-O53</f>
        <v>7139940</v>
      </c>
    </row>
    <row r="55" spans="1:15" ht="12" customHeight="1">
      <c r="A55" s="881">
        <f>+A51+1</f>
        <v>241</v>
      </c>
      <c r="B55" s="875">
        <v>42240</v>
      </c>
      <c r="C55" s="942" t="s">
        <v>32</v>
      </c>
      <c r="D55" s="881" t="s">
        <v>225</v>
      </c>
      <c r="E55" s="881" t="s">
        <v>115</v>
      </c>
      <c r="F55" s="883">
        <v>50000</v>
      </c>
      <c r="G55" s="55">
        <v>719</v>
      </c>
      <c r="H55" s="873" t="s">
        <v>554</v>
      </c>
      <c r="I55" s="875">
        <v>45359</v>
      </c>
      <c r="J55" s="944" t="s">
        <v>2039</v>
      </c>
      <c r="K55" s="881" t="s">
        <v>2445</v>
      </c>
      <c r="L55" s="948" t="s">
        <v>148</v>
      </c>
      <c r="M55" s="946">
        <v>1463000</v>
      </c>
      <c r="N55" s="55">
        <v>719</v>
      </c>
      <c r="O55" s="78"/>
    </row>
    <row r="56" spans="1:15" ht="15" customHeight="1" thickBot="1">
      <c r="A56" s="882"/>
      <c r="B56" s="934"/>
      <c r="C56" s="943"/>
      <c r="D56" s="882"/>
      <c r="E56" s="882"/>
      <c r="F56" s="884"/>
      <c r="G56" s="56">
        <v>721</v>
      </c>
      <c r="H56" s="874"/>
      <c r="I56" s="876"/>
      <c r="J56" s="945"/>
      <c r="K56" s="882"/>
      <c r="L56" s="949"/>
      <c r="M56" s="947"/>
      <c r="N56" s="56">
        <v>723</v>
      </c>
      <c r="O56" s="79">
        <f>+M55-O55</f>
        <v>1463000</v>
      </c>
    </row>
    <row r="57" spans="1:15" ht="12" customHeight="1">
      <c r="A57" s="881"/>
      <c r="B57" s="875"/>
      <c r="C57" s="935"/>
      <c r="D57" s="877"/>
      <c r="E57" s="881"/>
      <c r="F57" s="883"/>
      <c r="G57" s="55">
        <v>719</v>
      </c>
      <c r="H57" s="873" t="s">
        <v>1318</v>
      </c>
      <c r="I57" s="875">
        <v>45359</v>
      </c>
      <c r="J57" s="910" t="s">
        <v>2142</v>
      </c>
      <c r="K57" s="881" t="s">
        <v>2445</v>
      </c>
      <c r="L57" s="881" t="s">
        <v>148</v>
      </c>
      <c r="M57" s="883">
        <v>5100000</v>
      </c>
      <c r="N57" s="55">
        <v>719</v>
      </c>
      <c r="O57" s="78"/>
    </row>
    <row r="58" spans="1:15" ht="12.75" customHeight="1" thickBot="1">
      <c r="A58" s="882"/>
      <c r="B58" s="934"/>
      <c r="C58" s="936"/>
      <c r="D58" s="878"/>
      <c r="E58" s="882"/>
      <c r="F58" s="884"/>
      <c r="G58" s="56">
        <v>721</v>
      </c>
      <c r="H58" s="874"/>
      <c r="I58" s="876"/>
      <c r="J58" s="911"/>
      <c r="K58" s="882"/>
      <c r="L58" s="882"/>
      <c r="M58" s="884"/>
      <c r="N58" s="56">
        <v>723</v>
      </c>
      <c r="O58" s="79">
        <f>+M57</f>
        <v>5100000</v>
      </c>
    </row>
    <row r="59" spans="1:15" ht="15.75" customHeight="1" thickBot="1">
      <c r="A59" s="901" t="s">
        <v>102</v>
      </c>
      <c r="B59" s="902"/>
      <c r="C59" s="902"/>
      <c r="D59" s="902"/>
      <c r="E59" s="903"/>
      <c r="F59" s="81">
        <f>SUM(F49:F58)</f>
        <v>250000</v>
      </c>
      <c r="H59" s="901" t="s">
        <v>102</v>
      </c>
      <c r="I59" s="902"/>
      <c r="J59" s="902"/>
      <c r="K59" s="902"/>
      <c r="L59" s="903"/>
      <c r="M59" s="81">
        <f>SUM(M49:M58)</f>
        <v>21202940</v>
      </c>
    </row>
    <row r="60" spans="1:15" ht="16.5" thickBot="1">
      <c r="A60" s="885" t="s">
        <v>103</v>
      </c>
      <c r="B60" s="886"/>
      <c r="C60" s="886"/>
      <c r="D60" s="886"/>
      <c r="E60" s="887"/>
      <c r="F60" s="69">
        <f>+C74</f>
        <v>611067841</v>
      </c>
      <c r="H60" s="885" t="s">
        <v>103</v>
      </c>
      <c r="I60" s="886"/>
      <c r="J60" s="886"/>
      <c r="K60" s="886"/>
      <c r="L60" s="887"/>
      <c r="M60" s="69">
        <f>+M24</f>
        <v>124039400</v>
      </c>
      <c r="N60" s="241" t="s">
        <v>561</v>
      </c>
      <c r="O60" s="242"/>
    </row>
    <row r="61" spans="1:15" ht="15" customHeight="1" thickBot="1">
      <c r="A61" s="888" t="s">
        <v>104</v>
      </c>
      <c r="B61" s="889"/>
      <c r="C61" s="889"/>
      <c r="D61" s="889"/>
      <c r="E61" s="890"/>
      <c r="F61" s="183">
        <f>SUM(F59:F60)</f>
        <v>611317841</v>
      </c>
      <c r="H61" s="888" t="s">
        <v>104</v>
      </c>
      <c r="I61" s="889"/>
      <c r="J61" s="889"/>
      <c r="K61" s="889"/>
      <c r="L61" s="890"/>
      <c r="M61" s="183">
        <f>SUM(M59:M60)</f>
        <v>145242340</v>
      </c>
    </row>
    <row r="62" spans="1:15" ht="8.25" customHeight="1">
      <c r="A62" s="61"/>
      <c r="B62" s="61"/>
      <c r="C62" s="61"/>
      <c r="D62" s="61"/>
      <c r="E62" s="61"/>
      <c r="H62" s="61"/>
      <c r="I62" s="61"/>
      <c r="J62" s="61"/>
      <c r="K62" s="61"/>
      <c r="L62" s="61"/>
    </row>
    <row r="63" spans="1:15">
      <c r="A63" s="51" t="s">
        <v>226</v>
      </c>
      <c r="H63" s="51" t="s">
        <v>2490</v>
      </c>
    </row>
    <row r="64" spans="1:15" ht="7.5" customHeight="1">
      <c r="F64" s="139"/>
      <c r="M64" s="139"/>
    </row>
    <row r="65" spans="1:15">
      <c r="A65" s="50" t="s">
        <v>105</v>
      </c>
      <c r="D65" s="146"/>
      <c r="F65" s="139"/>
      <c r="H65" s="50" t="s">
        <v>105</v>
      </c>
      <c r="K65" s="146"/>
      <c r="M65" s="139"/>
    </row>
    <row r="66" spans="1:15" ht="7.5" customHeight="1" thickBot="1"/>
    <row r="67" spans="1:15" ht="15.75" thickBot="1">
      <c r="A67" s="891" t="s">
        <v>106</v>
      </c>
      <c r="B67" s="892"/>
      <c r="C67" s="892"/>
      <c r="D67" s="893"/>
      <c r="F67" s="50" t="s">
        <v>107</v>
      </c>
      <c r="H67" s="891" t="s">
        <v>106</v>
      </c>
      <c r="I67" s="892"/>
      <c r="J67" s="892"/>
      <c r="K67" s="893"/>
      <c r="M67" s="50" t="s">
        <v>288</v>
      </c>
    </row>
    <row r="68" spans="1:15" ht="28.5" customHeight="1" thickBot="1">
      <c r="A68" s="57" t="s">
        <v>100</v>
      </c>
      <c r="B68" s="58" t="s">
        <v>108</v>
      </c>
      <c r="C68" s="59" t="s">
        <v>109</v>
      </c>
      <c r="D68" s="60" t="s">
        <v>110</v>
      </c>
      <c r="H68" s="57" t="s">
        <v>100</v>
      </c>
      <c r="I68" s="58" t="s">
        <v>108</v>
      </c>
      <c r="J68" s="473" t="s">
        <v>109</v>
      </c>
      <c r="K68" s="60" t="s">
        <v>110</v>
      </c>
    </row>
    <row r="69" spans="1:15" ht="14.25" customHeight="1">
      <c r="A69" s="71">
        <v>719</v>
      </c>
      <c r="B69" s="73" t="e">
        <f>+#REF!+#REF!+#REF!</f>
        <v>#REF!</v>
      </c>
      <c r="C69" s="74">
        <f>+D32</f>
        <v>28330000</v>
      </c>
      <c r="D69" s="76" t="e">
        <f>+B69+C69</f>
        <v>#REF!</v>
      </c>
      <c r="H69" s="71">
        <v>719</v>
      </c>
      <c r="I69" s="73">
        <f>+O49+O51+O55</f>
        <v>0</v>
      </c>
      <c r="J69" s="74">
        <f>+K32</f>
        <v>0</v>
      </c>
      <c r="K69" s="195">
        <f>+I69+J69</f>
        <v>0</v>
      </c>
    </row>
    <row r="70" spans="1:15" ht="13.5" customHeight="1">
      <c r="A70" s="72">
        <v>721</v>
      </c>
      <c r="B70" s="80"/>
      <c r="C70" s="74">
        <f>+D33</f>
        <v>36156092</v>
      </c>
      <c r="D70" s="76">
        <f>+B70+C70</f>
        <v>36156092</v>
      </c>
      <c r="H70" s="72">
        <v>721</v>
      </c>
      <c r="I70" s="80"/>
      <c r="J70" s="74">
        <f>+K33</f>
        <v>0</v>
      </c>
      <c r="K70" s="195">
        <f>+I70+J70</f>
        <v>0</v>
      </c>
    </row>
    <row r="71" spans="1:15" ht="12.75" customHeight="1">
      <c r="A71" s="72">
        <v>722</v>
      </c>
      <c r="B71" s="80"/>
      <c r="C71" s="74">
        <f>+D34</f>
        <v>224787287</v>
      </c>
      <c r="D71" s="76">
        <f>+B71+C71</f>
        <v>224787287</v>
      </c>
      <c r="H71" s="72">
        <v>722</v>
      </c>
      <c r="I71" s="80"/>
      <c r="J71" s="74">
        <f>+K34</f>
        <v>0</v>
      </c>
      <c r="K71" s="195">
        <f>+I71+J71</f>
        <v>0</v>
      </c>
    </row>
    <row r="72" spans="1:15" ht="14.25" customHeight="1" thickBot="1">
      <c r="A72" s="72">
        <v>723</v>
      </c>
      <c r="B72" s="80"/>
      <c r="C72" s="74">
        <f>+D35</f>
        <v>319828837</v>
      </c>
      <c r="D72" s="76">
        <f>+B72+C72</f>
        <v>319828837</v>
      </c>
      <c r="F72" s="174" t="s">
        <v>23</v>
      </c>
      <c r="G72" s="175"/>
      <c r="H72" s="72">
        <v>723</v>
      </c>
      <c r="I72" s="80">
        <f>+M59</f>
        <v>21202940</v>
      </c>
      <c r="J72" s="74">
        <f>+K35</f>
        <v>124039400</v>
      </c>
      <c r="K72" s="195">
        <f>+I72+J72</f>
        <v>145242340</v>
      </c>
      <c r="M72" s="918" t="s">
        <v>2347</v>
      </c>
      <c r="N72" s="608"/>
      <c r="O72" s="608"/>
    </row>
    <row r="73" spans="1:15" ht="14.25" hidden="1" customHeight="1">
      <c r="A73" s="164" t="s">
        <v>181</v>
      </c>
      <c r="B73" s="165"/>
      <c r="C73" s="74">
        <f>+D36</f>
        <v>1965625</v>
      </c>
      <c r="D73" s="168">
        <f>+B73+C73</f>
        <v>1965625</v>
      </c>
      <c r="F73" s="52"/>
      <c r="H73" s="164" t="s">
        <v>181</v>
      </c>
      <c r="I73" s="165"/>
      <c r="J73" s="74">
        <f>+K36</f>
        <v>0</v>
      </c>
      <c r="K73" s="196">
        <f>+I73+J73</f>
        <v>0</v>
      </c>
      <c r="M73" s="52"/>
    </row>
    <row r="74" spans="1:15" ht="16.5" thickBot="1">
      <c r="A74" s="169"/>
      <c r="B74" s="170" t="e">
        <f>SUM(B69:B73)</f>
        <v>#REF!</v>
      </c>
      <c r="C74" s="171">
        <f>SUM(C69:C73)</f>
        <v>611067841</v>
      </c>
      <c r="D74" s="172" t="e">
        <f>SUM(D69:D73)</f>
        <v>#REF!</v>
      </c>
      <c r="H74" s="169"/>
      <c r="I74" s="197">
        <f>SUM(I69:I73)</f>
        <v>21202940</v>
      </c>
      <c r="J74" s="197">
        <f>SUM(J69:J73)</f>
        <v>124039400</v>
      </c>
      <c r="K74" s="198">
        <f>SUM(K69:K73)</f>
        <v>145242340</v>
      </c>
    </row>
    <row r="75" spans="1:15" ht="16.5">
      <c r="A75" s="49" t="s">
        <v>88</v>
      </c>
      <c r="B75" s="50"/>
      <c r="H75" s="49" t="s">
        <v>88</v>
      </c>
      <c r="I75" s="50"/>
    </row>
    <row r="76" spans="1:15" ht="14.25" customHeight="1">
      <c r="A76" s="51" t="s">
        <v>89</v>
      </c>
      <c r="H76" s="51" t="s">
        <v>89</v>
      </c>
    </row>
    <row r="77" spans="1:15" ht="12.75" customHeight="1">
      <c r="A77" s="51" t="s">
        <v>90</v>
      </c>
      <c r="H77" s="51" t="s">
        <v>90</v>
      </c>
    </row>
    <row r="78" spans="1:15" ht="15" customHeight="1">
      <c r="A78" s="51" t="s">
        <v>91</v>
      </c>
      <c r="H78" s="51" t="s">
        <v>91</v>
      </c>
    </row>
    <row r="79" spans="1:15" ht="3" customHeight="1">
      <c r="A79" s="50"/>
      <c r="B79" s="50"/>
      <c r="H79" s="50"/>
      <c r="I79" s="50"/>
    </row>
    <row r="80" spans="1:15" ht="13.5" customHeight="1">
      <c r="A80" s="52" t="s">
        <v>227</v>
      </c>
      <c r="B80" s="50"/>
      <c r="G80" s="52"/>
      <c r="H80" s="52" t="s">
        <v>539</v>
      </c>
      <c r="N80" s="52"/>
    </row>
    <row r="81" spans="1:15" ht="15.75" customHeight="1">
      <c r="A81" s="53" t="s">
        <v>92</v>
      </c>
      <c r="G81" s="53"/>
      <c r="H81" s="53" t="s">
        <v>2443</v>
      </c>
      <c r="N81" s="53"/>
    </row>
    <row r="82" spans="1:15" ht="15" customHeight="1">
      <c r="A82" s="894" t="s">
        <v>228</v>
      </c>
      <c r="B82" s="894"/>
      <c r="C82" s="894"/>
      <c r="D82" s="894"/>
      <c r="E82" s="894"/>
      <c r="F82" s="894"/>
      <c r="G82" s="894"/>
      <c r="H82" s="894" t="s">
        <v>903</v>
      </c>
      <c r="I82" s="894"/>
      <c r="J82" s="894"/>
      <c r="K82" s="894"/>
      <c r="L82" s="894"/>
      <c r="M82" s="894"/>
      <c r="N82" s="894"/>
      <c r="O82" s="894"/>
    </row>
    <row r="83" spans="1:15" ht="8.25" customHeight="1" thickBot="1"/>
    <row r="84" spans="1:15" ht="15" customHeight="1">
      <c r="A84" s="895" t="s">
        <v>94</v>
      </c>
      <c r="B84" s="897" t="s">
        <v>95</v>
      </c>
      <c r="C84" s="897" t="s">
        <v>96</v>
      </c>
      <c r="D84" s="897" t="s">
        <v>3</v>
      </c>
      <c r="E84" s="897" t="s">
        <v>97</v>
      </c>
      <c r="F84" s="897" t="s">
        <v>98</v>
      </c>
      <c r="G84" s="500" t="s">
        <v>99</v>
      </c>
      <c r="H84" s="895" t="s">
        <v>94</v>
      </c>
      <c r="I84" s="897" t="s">
        <v>95</v>
      </c>
      <c r="J84" s="897" t="s">
        <v>96</v>
      </c>
      <c r="K84" s="897" t="s">
        <v>3</v>
      </c>
      <c r="L84" s="897" t="s">
        <v>97</v>
      </c>
      <c r="M84" s="897" t="s">
        <v>98</v>
      </c>
      <c r="N84" s="897" t="s">
        <v>99</v>
      </c>
      <c r="O84" s="899"/>
    </row>
    <row r="85" spans="1:15" ht="15.75" customHeight="1" thickBot="1">
      <c r="A85" s="896"/>
      <c r="B85" s="898"/>
      <c r="C85" s="898"/>
      <c r="D85" s="898"/>
      <c r="E85" s="898"/>
      <c r="F85" s="898"/>
      <c r="G85" s="240" t="s">
        <v>100</v>
      </c>
      <c r="H85" s="896"/>
      <c r="I85" s="898"/>
      <c r="J85" s="898"/>
      <c r="K85" s="898"/>
      <c r="L85" s="898"/>
      <c r="M85" s="898"/>
      <c r="N85" s="240" t="s">
        <v>100</v>
      </c>
      <c r="O85" s="182" t="s">
        <v>101</v>
      </c>
    </row>
    <row r="86" spans="1:15" ht="13.5" customHeight="1">
      <c r="A86" s="881">
        <f>+A55+1</f>
        <v>242</v>
      </c>
      <c r="B86" s="875">
        <v>42242</v>
      </c>
      <c r="C86" s="877" t="s">
        <v>230</v>
      </c>
      <c r="D86" s="881" t="s">
        <v>244</v>
      </c>
      <c r="E86" s="881" t="s">
        <v>148</v>
      </c>
      <c r="F86" s="883">
        <v>182000</v>
      </c>
      <c r="G86" s="55">
        <v>719</v>
      </c>
      <c r="H86" s="873" t="s">
        <v>1875</v>
      </c>
      <c r="I86" s="875">
        <v>45359</v>
      </c>
      <c r="J86" s="950" t="s">
        <v>2486</v>
      </c>
      <c r="K86" s="881" t="s">
        <v>2445</v>
      </c>
      <c r="L86" s="948" t="s">
        <v>148</v>
      </c>
      <c r="M86" s="946">
        <v>1800000</v>
      </c>
      <c r="N86" s="55">
        <v>719</v>
      </c>
      <c r="O86" s="78"/>
    </row>
    <row r="87" spans="1:15" ht="21.75" customHeight="1" thickBot="1">
      <c r="A87" s="882"/>
      <c r="B87" s="934"/>
      <c r="C87" s="878"/>
      <c r="D87" s="882"/>
      <c r="E87" s="882"/>
      <c r="F87" s="884"/>
      <c r="G87" s="56">
        <v>721</v>
      </c>
      <c r="H87" s="882"/>
      <c r="I87" s="876"/>
      <c r="J87" s="951"/>
      <c r="K87" s="882"/>
      <c r="L87" s="949"/>
      <c r="M87" s="947"/>
      <c r="N87" s="56">
        <v>723</v>
      </c>
      <c r="O87" s="79">
        <f>+M86-O86</f>
        <v>1800000</v>
      </c>
    </row>
    <row r="88" spans="1:15" ht="12" customHeight="1">
      <c r="A88" s="881">
        <f>+A86+1</f>
        <v>243</v>
      </c>
      <c r="B88" s="875">
        <v>42242</v>
      </c>
      <c r="C88" s="881" t="s">
        <v>28</v>
      </c>
      <c r="D88" s="881" t="s">
        <v>229</v>
      </c>
      <c r="E88" s="881" t="s">
        <v>148</v>
      </c>
      <c r="F88" s="883">
        <v>336000</v>
      </c>
      <c r="G88" s="55">
        <v>719</v>
      </c>
      <c r="H88" s="873" t="s">
        <v>1703</v>
      </c>
      <c r="I88" s="875">
        <v>45359</v>
      </c>
      <c r="J88" s="877" t="s">
        <v>1958</v>
      </c>
      <c r="K88" s="881" t="s">
        <v>2445</v>
      </c>
      <c r="L88" s="881" t="s">
        <v>148</v>
      </c>
      <c r="M88" s="883">
        <v>2520000</v>
      </c>
      <c r="N88" s="492">
        <v>719</v>
      </c>
      <c r="O88" s="493"/>
    </row>
    <row r="89" spans="1:15" ht="14.25" customHeight="1" thickBot="1">
      <c r="A89" s="882"/>
      <c r="B89" s="934"/>
      <c r="C89" s="882"/>
      <c r="D89" s="882"/>
      <c r="E89" s="882"/>
      <c r="F89" s="884"/>
      <c r="G89" s="56">
        <v>721</v>
      </c>
      <c r="H89" s="882"/>
      <c r="I89" s="876"/>
      <c r="J89" s="878"/>
      <c r="K89" s="882"/>
      <c r="L89" s="882"/>
      <c r="M89" s="884"/>
      <c r="N89" s="494">
        <v>723</v>
      </c>
      <c r="O89" s="495">
        <f>+M88-O88</f>
        <v>2520000</v>
      </c>
    </row>
    <row r="90" spans="1:15" ht="11.25" customHeight="1">
      <c r="A90" s="881">
        <f>+A88+1</f>
        <v>244</v>
      </c>
      <c r="B90" s="875">
        <v>42242</v>
      </c>
      <c r="C90" s="877" t="s">
        <v>32</v>
      </c>
      <c r="D90" s="881" t="s">
        <v>229</v>
      </c>
      <c r="E90" s="881" t="s">
        <v>148</v>
      </c>
      <c r="F90" s="883">
        <v>56000</v>
      </c>
      <c r="G90" s="55">
        <v>719</v>
      </c>
      <c r="H90" s="873" t="s">
        <v>1704</v>
      </c>
      <c r="I90" s="875">
        <v>45359</v>
      </c>
      <c r="J90" s="910" t="s">
        <v>2231</v>
      </c>
      <c r="K90" s="881" t="s">
        <v>2445</v>
      </c>
      <c r="L90" s="881" t="s">
        <v>148</v>
      </c>
      <c r="M90" s="883">
        <v>2400000</v>
      </c>
      <c r="N90" s="492">
        <v>719</v>
      </c>
      <c r="O90" s="493"/>
    </row>
    <row r="91" spans="1:15" ht="14.25" customHeight="1" thickBot="1">
      <c r="A91" s="882"/>
      <c r="B91" s="934"/>
      <c r="C91" s="878"/>
      <c r="D91" s="882"/>
      <c r="E91" s="882"/>
      <c r="F91" s="884"/>
      <c r="G91" s="56">
        <v>721</v>
      </c>
      <c r="H91" s="882"/>
      <c r="I91" s="876"/>
      <c r="J91" s="911"/>
      <c r="K91" s="882"/>
      <c r="L91" s="882"/>
      <c r="M91" s="884"/>
      <c r="N91" s="494">
        <v>723</v>
      </c>
      <c r="O91" s="495">
        <f>+M90-O90</f>
        <v>2400000</v>
      </c>
    </row>
    <row r="92" spans="1:15" ht="12" customHeight="1">
      <c r="A92" s="251"/>
      <c r="B92" s="452"/>
      <c r="C92" s="253"/>
      <c r="D92" s="251"/>
      <c r="E92" s="251"/>
      <c r="F92" s="254"/>
      <c r="G92" s="255"/>
      <c r="H92" s="873" t="s">
        <v>1705</v>
      </c>
      <c r="I92" s="875">
        <v>45359</v>
      </c>
      <c r="J92" s="877" t="s">
        <v>2231</v>
      </c>
      <c r="K92" s="881" t="s">
        <v>2445</v>
      </c>
      <c r="L92" s="881" t="s">
        <v>148</v>
      </c>
      <c r="M92" s="883">
        <v>960000</v>
      </c>
      <c r="N92" s="55">
        <v>719</v>
      </c>
      <c r="O92" s="78"/>
    </row>
    <row r="93" spans="1:15" ht="14.25" customHeight="1" thickBot="1">
      <c r="A93" s="251"/>
      <c r="B93" s="452"/>
      <c r="C93" s="253"/>
      <c r="D93" s="251"/>
      <c r="E93" s="251"/>
      <c r="F93" s="254"/>
      <c r="G93" s="255"/>
      <c r="H93" s="882"/>
      <c r="I93" s="876"/>
      <c r="J93" s="878"/>
      <c r="K93" s="882"/>
      <c r="L93" s="882"/>
      <c r="M93" s="884"/>
      <c r="N93" s="56">
        <v>723</v>
      </c>
      <c r="O93" s="79">
        <f>+M92-O92</f>
        <v>960000</v>
      </c>
    </row>
    <row r="94" spans="1:15" ht="11.25" customHeight="1">
      <c r="A94" s="881" t="e">
        <f>+#REF!+1</f>
        <v>#REF!</v>
      </c>
      <c r="B94" s="875">
        <v>42242</v>
      </c>
      <c r="C94" s="881" t="s">
        <v>31</v>
      </c>
      <c r="D94" s="881" t="s">
        <v>229</v>
      </c>
      <c r="E94" s="881" t="s">
        <v>148</v>
      </c>
      <c r="F94" s="883">
        <v>588000</v>
      </c>
      <c r="G94" s="55">
        <v>719</v>
      </c>
      <c r="H94" s="873" t="s">
        <v>1876</v>
      </c>
      <c r="I94" s="875">
        <v>45359</v>
      </c>
      <c r="J94" s="877" t="s">
        <v>2444</v>
      </c>
      <c r="K94" s="881" t="s">
        <v>2445</v>
      </c>
      <c r="L94" s="881" t="s">
        <v>148</v>
      </c>
      <c r="M94" s="883">
        <v>2583132</v>
      </c>
      <c r="N94" s="55">
        <v>719</v>
      </c>
      <c r="O94" s="78"/>
    </row>
    <row r="95" spans="1:15" ht="14.25" customHeight="1" thickBot="1">
      <c r="A95" s="882"/>
      <c r="B95" s="934"/>
      <c r="C95" s="882"/>
      <c r="D95" s="882"/>
      <c r="E95" s="882"/>
      <c r="F95" s="884"/>
      <c r="G95" s="56">
        <v>721</v>
      </c>
      <c r="H95" s="882"/>
      <c r="I95" s="876"/>
      <c r="J95" s="878"/>
      <c r="K95" s="882"/>
      <c r="L95" s="882"/>
      <c r="M95" s="884"/>
      <c r="N95" s="56">
        <v>723</v>
      </c>
      <c r="O95" s="79">
        <f>+M94-O94</f>
        <v>2583132</v>
      </c>
    </row>
    <row r="96" spans="1:15" ht="16.5" thickBot="1">
      <c r="A96" s="901" t="s">
        <v>102</v>
      </c>
      <c r="B96" s="902"/>
      <c r="C96" s="902"/>
      <c r="D96" s="902"/>
      <c r="E96" s="903"/>
      <c r="F96" s="81">
        <f>SUM(F86:F95)</f>
        <v>1162000</v>
      </c>
      <c r="H96" s="901" t="s">
        <v>102</v>
      </c>
      <c r="I96" s="902"/>
      <c r="J96" s="902"/>
      <c r="K96" s="902"/>
      <c r="L96" s="903"/>
      <c r="M96" s="81">
        <f>+M86+M88+M90+M92+M94</f>
        <v>10263132</v>
      </c>
    </row>
    <row r="97" spans="1:15" ht="16.5" thickBot="1">
      <c r="A97" s="885" t="s">
        <v>103</v>
      </c>
      <c r="B97" s="886"/>
      <c r="C97" s="886"/>
      <c r="D97" s="886"/>
      <c r="E97" s="887"/>
      <c r="F97" s="184" t="e">
        <f>+C111</f>
        <v>#REF!</v>
      </c>
      <c r="H97" s="885" t="s">
        <v>103</v>
      </c>
      <c r="I97" s="886"/>
      <c r="J97" s="886"/>
      <c r="K97" s="886"/>
      <c r="L97" s="887"/>
      <c r="M97" s="69">
        <f>+M61</f>
        <v>145242340</v>
      </c>
      <c r="N97" s="241" t="s">
        <v>561</v>
      </c>
      <c r="O97" s="242"/>
    </row>
    <row r="98" spans="1:15" ht="16.5" thickBot="1">
      <c r="A98" s="888" t="s">
        <v>104</v>
      </c>
      <c r="B98" s="889"/>
      <c r="C98" s="889"/>
      <c r="D98" s="889"/>
      <c r="E98" s="890"/>
      <c r="F98" s="183" t="e">
        <f>SUM(F96:F97)</f>
        <v>#REF!</v>
      </c>
      <c r="H98" s="888" t="s">
        <v>104</v>
      </c>
      <c r="I98" s="889"/>
      <c r="J98" s="889"/>
      <c r="K98" s="889"/>
      <c r="L98" s="890"/>
      <c r="M98" s="183">
        <f>SUM(M96:M97)</f>
        <v>155505472</v>
      </c>
    </row>
    <row r="99" spans="1:15" ht="14.25" customHeight="1">
      <c r="A99" s="61"/>
      <c r="B99" s="61"/>
      <c r="C99" s="61"/>
      <c r="D99" s="61"/>
      <c r="E99" s="61"/>
      <c r="H99" s="61"/>
      <c r="I99" s="61"/>
      <c r="J99" s="61"/>
      <c r="K99" s="61"/>
      <c r="L99" s="61"/>
    </row>
    <row r="100" spans="1:15">
      <c r="A100" s="51" t="s">
        <v>232</v>
      </c>
      <c r="H100" s="51" t="s">
        <v>2494</v>
      </c>
    </row>
    <row r="101" spans="1:15" ht="4.5" customHeight="1">
      <c r="F101" s="139"/>
      <c r="M101" s="139"/>
    </row>
    <row r="102" spans="1:15" ht="12" customHeight="1">
      <c r="A102" s="50" t="s">
        <v>105</v>
      </c>
      <c r="D102" s="146"/>
      <c r="H102" s="50" t="s">
        <v>105</v>
      </c>
      <c r="K102" s="146"/>
      <c r="M102" s="139"/>
    </row>
    <row r="103" spans="1:15" ht="6" customHeight="1" thickBot="1"/>
    <row r="104" spans="1:15" ht="17.25" thickBot="1">
      <c r="A104" s="891" t="s">
        <v>106</v>
      </c>
      <c r="B104" s="892"/>
      <c r="C104" s="892"/>
      <c r="D104" s="893"/>
      <c r="F104" s="50" t="s">
        <v>107</v>
      </c>
      <c r="H104" s="891" t="s">
        <v>106</v>
      </c>
      <c r="I104" s="892"/>
      <c r="J104" s="892"/>
      <c r="K104" s="893"/>
      <c r="M104" s="604" t="s">
        <v>288</v>
      </c>
      <c r="N104" s="604"/>
      <c r="O104" s="604"/>
    </row>
    <row r="105" spans="1:15" ht="28.5" customHeight="1" thickBot="1">
      <c r="A105" s="57" t="s">
        <v>100</v>
      </c>
      <c r="B105" s="58" t="s">
        <v>108</v>
      </c>
      <c r="C105" s="59" t="s">
        <v>109</v>
      </c>
      <c r="D105" s="60" t="s">
        <v>110</v>
      </c>
      <c r="H105" s="57" t="s">
        <v>100</v>
      </c>
      <c r="I105" s="58" t="s">
        <v>108</v>
      </c>
      <c r="J105" s="59" t="s">
        <v>109</v>
      </c>
      <c r="K105" s="60" t="s">
        <v>110</v>
      </c>
      <c r="M105" s="12"/>
      <c r="N105" s="12"/>
      <c r="O105" s="12"/>
    </row>
    <row r="106" spans="1:15" ht="12.75" customHeight="1">
      <c r="A106" s="71">
        <v>719</v>
      </c>
      <c r="B106" s="73" t="e">
        <f>+#REF!+#REF!+#REF!+#REF!+#REF!</f>
        <v>#REF!</v>
      </c>
      <c r="C106" s="74" t="e">
        <f>+D69</f>
        <v>#REF!</v>
      </c>
      <c r="D106" s="76" t="e">
        <f>+B106+C106</f>
        <v>#REF!</v>
      </c>
      <c r="H106" s="71">
        <v>719</v>
      </c>
      <c r="I106" s="73"/>
      <c r="J106" s="74"/>
      <c r="K106" s="195">
        <f>+I106+J106</f>
        <v>0</v>
      </c>
      <c r="M106" s="12"/>
      <c r="N106" s="12"/>
      <c r="O106" s="12"/>
    </row>
    <row r="107" spans="1:15" ht="13.5" customHeight="1">
      <c r="A107" s="72">
        <v>721</v>
      </c>
      <c r="B107" s="80" t="e">
        <f>+#REF!+#REF!+#REF!+#REF!+#REF!</f>
        <v>#REF!</v>
      </c>
      <c r="C107" s="74">
        <f>+D70</f>
        <v>36156092</v>
      </c>
      <c r="D107" s="76" t="e">
        <f>+B107+C107</f>
        <v>#REF!</v>
      </c>
      <c r="H107" s="72">
        <v>721</v>
      </c>
      <c r="I107" s="80"/>
      <c r="J107" s="74"/>
      <c r="K107" s="195">
        <f>+I107+J107</f>
        <v>0</v>
      </c>
      <c r="M107" s="12"/>
      <c r="N107" s="12"/>
      <c r="O107" s="12"/>
    </row>
    <row r="108" spans="1:15" ht="12.75" customHeight="1">
      <c r="A108" s="72">
        <v>722</v>
      </c>
      <c r="B108" s="80"/>
      <c r="C108" s="74">
        <f>+D71</f>
        <v>224787287</v>
      </c>
      <c r="D108" s="76">
        <f>+B108+C108</f>
        <v>224787287</v>
      </c>
      <c r="H108" s="72">
        <v>722</v>
      </c>
      <c r="I108" s="80">
        <v>0</v>
      </c>
      <c r="J108" s="74">
        <f>+K71</f>
        <v>0</v>
      </c>
      <c r="K108" s="195">
        <f>+I108+J108</f>
        <v>0</v>
      </c>
      <c r="M108" s="12"/>
      <c r="N108" s="12"/>
      <c r="O108" s="12"/>
    </row>
    <row r="109" spans="1:15" ht="17.25" customHeight="1" thickBot="1">
      <c r="A109" s="72">
        <v>723</v>
      </c>
      <c r="B109" s="80"/>
      <c r="C109" s="74">
        <f>+D72</f>
        <v>319828837</v>
      </c>
      <c r="D109" s="76">
        <f>+B109+C109</f>
        <v>319828837</v>
      </c>
      <c r="F109" s="174" t="s">
        <v>23</v>
      </c>
      <c r="H109" s="72">
        <v>723</v>
      </c>
      <c r="I109" s="80">
        <f>+M96</f>
        <v>10263132</v>
      </c>
      <c r="J109" s="74">
        <f>+K72</f>
        <v>145242340</v>
      </c>
      <c r="K109" s="195">
        <f>+I109+J109</f>
        <v>155505472</v>
      </c>
      <c r="M109" s="918" t="s">
        <v>2347</v>
      </c>
      <c r="N109" s="608"/>
      <c r="O109" s="608"/>
    </row>
    <row r="110" spans="1:15" ht="13.5" hidden="1" customHeight="1">
      <c r="A110" s="164" t="s">
        <v>181</v>
      </c>
      <c r="B110" s="165"/>
      <c r="C110" s="74">
        <f>+D73</f>
        <v>1965625</v>
      </c>
      <c r="D110" s="168">
        <f>+B110+C110</f>
        <v>1965625</v>
      </c>
      <c r="F110" s="52"/>
      <c r="H110" s="164" t="s">
        <v>181</v>
      </c>
      <c r="I110" s="165"/>
      <c r="J110" s="74">
        <f>+K73</f>
        <v>0</v>
      </c>
      <c r="K110" s="196">
        <f>+I110+J110</f>
        <v>0</v>
      </c>
      <c r="M110" s="191"/>
      <c r="N110" s="12"/>
      <c r="O110" s="12"/>
    </row>
    <row r="111" spans="1:15" ht="15" customHeight="1" thickBot="1">
      <c r="A111" s="169"/>
      <c r="B111" s="170" t="e">
        <f>SUM(B106:B110)</f>
        <v>#REF!</v>
      </c>
      <c r="C111" s="171" t="e">
        <f>SUM(C106:C110)</f>
        <v>#REF!</v>
      </c>
      <c r="D111" s="172" t="e">
        <f>SUM(D106:D110)</f>
        <v>#REF!</v>
      </c>
      <c r="H111" s="169"/>
      <c r="I111" s="197">
        <f>SUM(I106:I110)</f>
        <v>10263132</v>
      </c>
      <c r="J111" s="197">
        <f>SUM(J106:J110)</f>
        <v>145242340</v>
      </c>
      <c r="K111" s="198">
        <f>SUM(K106:K110)</f>
        <v>155505472</v>
      </c>
    </row>
    <row r="112" spans="1:15" ht="16.5">
      <c r="A112" s="49" t="s">
        <v>88</v>
      </c>
      <c r="B112" s="50"/>
      <c r="H112" s="49" t="s">
        <v>88</v>
      </c>
      <c r="I112" s="50"/>
    </row>
    <row r="113" spans="1:15" ht="11.25" customHeight="1">
      <c r="A113" s="51" t="s">
        <v>89</v>
      </c>
      <c r="H113" s="51" t="s">
        <v>89</v>
      </c>
    </row>
    <row r="114" spans="1:15" ht="11.25" customHeight="1">
      <c r="A114" s="51" t="s">
        <v>90</v>
      </c>
      <c r="H114" s="51" t="s">
        <v>90</v>
      </c>
    </row>
    <row r="115" spans="1:15" ht="12.75" customHeight="1">
      <c r="A115" s="51" t="s">
        <v>91</v>
      </c>
      <c r="H115" s="51" t="s">
        <v>91</v>
      </c>
    </row>
    <row r="116" spans="1:15" ht="5.25" customHeight="1">
      <c r="A116" s="50"/>
      <c r="B116" s="50"/>
      <c r="H116" s="50"/>
      <c r="I116" s="50"/>
    </row>
    <row r="117" spans="1:15" ht="15.75" customHeight="1">
      <c r="A117" s="52" t="s">
        <v>233</v>
      </c>
      <c r="B117" s="50"/>
      <c r="G117" s="52"/>
      <c r="H117" s="52" t="s">
        <v>540</v>
      </c>
      <c r="N117" s="52"/>
    </row>
    <row r="118" spans="1:15" ht="15.75">
      <c r="A118" s="53" t="s">
        <v>92</v>
      </c>
      <c r="G118" s="53"/>
      <c r="H118" s="53" t="s">
        <v>2443</v>
      </c>
      <c r="N118" s="53"/>
    </row>
    <row r="119" spans="1:15" ht="15.75" customHeight="1">
      <c r="A119" s="894" t="s">
        <v>228</v>
      </c>
      <c r="B119" s="894"/>
      <c r="C119" s="894"/>
      <c r="D119" s="894"/>
      <c r="E119" s="894"/>
      <c r="F119" s="894"/>
      <c r="G119" s="894"/>
      <c r="H119" s="894" t="s">
        <v>903</v>
      </c>
      <c r="I119" s="894"/>
      <c r="J119" s="894"/>
      <c r="K119" s="894"/>
      <c r="L119" s="894"/>
      <c r="M119" s="894"/>
      <c r="N119" s="894"/>
      <c r="O119" s="894"/>
    </row>
    <row r="120" spans="1:15" ht="6.75" customHeight="1" thickBot="1"/>
    <row r="121" spans="1:15" ht="15.75" customHeight="1">
      <c r="A121" s="895" t="s">
        <v>94</v>
      </c>
      <c r="B121" s="897" t="s">
        <v>95</v>
      </c>
      <c r="C121" s="897" t="s">
        <v>96</v>
      </c>
      <c r="D121" s="897" t="s">
        <v>3</v>
      </c>
      <c r="E121" s="897" t="s">
        <v>97</v>
      </c>
      <c r="F121" s="897" t="s">
        <v>98</v>
      </c>
      <c r="G121" s="500" t="s">
        <v>99</v>
      </c>
      <c r="H121" s="895" t="s">
        <v>94</v>
      </c>
      <c r="I121" s="897" t="s">
        <v>95</v>
      </c>
      <c r="J121" s="897" t="s">
        <v>96</v>
      </c>
      <c r="K121" s="897" t="s">
        <v>3</v>
      </c>
      <c r="L121" s="897" t="s">
        <v>97</v>
      </c>
      <c r="M121" s="897" t="s">
        <v>98</v>
      </c>
      <c r="N121" s="897" t="s">
        <v>99</v>
      </c>
      <c r="O121" s="899"/>
    </row>
    <row r="122" spans="1:15" ht="15" customHeight="1" thickBot="1">
      <c r="A122" s="896"/>
      <c r="B122" s="898"/>
      <c r="C122" s="898"/>
      <c r="D122" s="898"/>
      <c r="E122" s="898"/>
      <c r="F122" s="898"/>
      <c r="G122" s="240" t="s">
        <v>100</v>
      </c>
      <c r="H122" s="896"/>
      <c r="I122" s="898"/>
      <c r="J122" s="898"/>
      <c r="K122" s="898"/>
      <c r="L122" s="898"/>
      <c r="M122" s="898"/>
      <c r="N122" s="240" t="s">
        <v>100</v>
      </c>
      <c r="O122" s="182" t="s">
        <v>101</v>
      </c>
    </row>
    <row r="123" spans="1:15" ht="14.25" customHeight="1">
      <c r="A123" s="881" t="e">
        <f>+A94+1</f>
        <v>#REF!</v>
      </c>
      <c r="B123" s="875">
        <v>42242</v>
      </c>
      <c r="C123" s="942" t="s">
        <v>230</v>
      </c>
      <c r="D123" s="881" t="s">
        <v>234</v>
      </c>
      <c r="E123" s="881" t="s">
        <v>148</v>
      </c>
      <c r="F123" s="883">
        <v>196000</v>
      </c>
      <c r="G123" s="55">
        <v>719</v>
      </c>
      <c r="H123" s="873" t="s">
        <v>2274</v>
      </c>
      <c r="I123" s="875">
        <v>45359</v>
      </c>
      <c r="J123" s="910" t="s">
        <v>1984</v>
      </c>
      <c r="K123" s="881" t="s">
        <v>2445</v>
      </c>
      <c r="L123" s="881" t="s">
        <v>148</v>
      </c>
      <c r="M123" s="883">
        <v>7623000</v>
      </c>
      <c r="N123" s="55">
        <v>719</v>
      </c>
      <c r="O123" s="78"/>
    </row>
    <row r="124" spans="1:15" ht="13.5" customHeight="1" thickBot="1">
      <c r="A124" s="882"/>
      <c r="B124" s="934"/>
      <c r="C124" s="943"/>
      <c r="D124" s="882"/>
      <c r="E124" s="882"/>
      <c r="F124" s="884"/>
      <c r="G124" s="56">
        <v>721</v>
      </c>
      <c r="H124" s="882"/>
      <c r="I124" s="876"/>
      <c r="J124" s="911"/>
      <c r="K124" s="882"/>
      <c r="L124" s="882"/>
      <c r="M124" s="884"/>
      <c r="N124" s="56">
        <v>723</v>
      </c>
      <c r="O124" s="79">
        <f>+M123-O123</f>
        <v>7623000</v>
      </c>
    </row>
    <row r="125" spans="1:15" ht="11.25" customHeight="1">
      <c r="A125" s="881" t="e">
        <f>+A123+1</f>
        <v>#REF!</v>
      </c>
      <c r="B125" s="875">
        <v>42242</v>
      </c>
      <c r="C125" s="935" t="s">
        <v>28</v>
      </c>
      <c r="D125" s="881" t="s">
        <v>234</v>
      </c>
      <c r="E125" s="881" t="s">
        <v>148</v>
      </c>
      <c r="F125" s="883">
        <v>364000</v>
      </c>
      <c r="G125" s="55">
        <v>719</v>
      </c>
      <c r="H125" s="873" t="s">
        <v>2275</v>
      </c>
      <c r="I125" s="875">
        <v>45359</v>
      </c>
      <c r="J125" s="910" t="s">
        <v>1984</v>
      </c>
      <c r="K125" s="881" t="s">
        <v>2445</v>
      </c>
      <c r="L125" s="881" t="s">
        <v>148</v>
      </c>
      <c r="M125" s="883">
        <v>5400000</v>
      </c>
      <c r="N125" s="55">
        <v>719</v>
      </c>
      <c r="O125" s="78"/>
    </row>
    <row r="126" spans="1:15" ht="13.5" customHeight="1" thickBot="1">
      <c r="A126" s="882"/>
      <c r="B126" s="934"/>
      <c r="C126" s="936"/>
      <c r="D126" s="882"/>
      <c r="E126" s="882"/>
      <c r="F126" s="884"/>
      <c r="G126" s="56">
        <v>721</v>
      </c>
      <c r="H126" s="882"/>
      <c r="I126" s="876"/>
      <c r="J126" s="911"/>
      <c r="K126" s="882"/>
      <c r="L126" s="882"/>
      <c r="M126" s="884"/>
      <c r="N126" s="56">
        <v>723</v>
      </c>
      <c r="O126" s="79">
        <f>+M125-O125</f>
        <v>5400000</v>
      </c>
    </row>
    <row r="127" spans="1:15" ht="13.5" customHeight="1">
      <c r="A127" s="881" t="e">
        <f>+A125+1</f>
        <v>#REF!</v>
      </c>
      <c r="B127" s="875">
        <v>42242</v>
      </c>
      <c r="C127" s="942" t="s">
        <v>32</v>
      </c>
      <c r="D127" s="881" t="s">
        <v>235</v>
      </c>
      <c r="E127" s="881" t="s">
        <v>148</v>
      </c>
      <c r="F127" s="883">
        <v>70000</v>
      </c>
      <c r="G127" s="55">
        <v>719</v>
      </c>
      <c r="H127" s="873" t="s">
        <v>2276</v>
      </c>
      <c r="I127" s="875">
        <v>45359</v>
      </c>
      <c r="J127" s="910" t="s">
        <v>1984</v>
      </c>
      <c r="K127" s="881" t="s">
        <v>2445</v>
      </c>
      <c r="L127" s="881" t="s">
        <v>148</v>
      </c>
      <c r="M127" s="883">
        <v>3300000</v>
      </c>
      <c r="N127" s="55">
        <v>719</v>
      </c>
      <c r="O127" s="78"/>
    </row>
    <row r="128" spans="1:15" ht="12.75" customHeight="1" thickBot="1">
      <c r="A128" s="882"/>
      <c r="B128" s="934"/>
      <c r="C128" s="943"/>
      <c r="D128" s="882"/>
      <c r="E128" s="882"/>
      <c r="F128" s="884"/>
      <c r="G128" s="56">
        <v>721</v>
      </c>
      <c r="H128" s="882"/>
      <c r="I128" s="876"/>
      <c r="J128" s="911"/>
      <c r="K128" s="882"/>
      <c r="L128" s="882"/>
      <c r="M128" s="884"/>
      <c r="N128" s="56">
        <v>723</v>
      </c>
      <c r="O128" s="79">
        <f>+M127-O127</f>
        <v>3300000</v>
      </c>
    </row>
    <row r="129" spans="1:15" ht="12.75" customHeight="1">
      <c r="A129" s="251"/>
      <c r="B129" s="452"/>
      <c r="C129" s="465"/>
      <c r="D129" s="251"/>
      <c r="E129" s="251"/>
      <c r="F129" s="254"/>
      <c r="G129" s="255"/>
      <c r="H129" s="873" t="s">
        <v>2277</v>
      </c>
      <c r="I129" s="875">
        <v>45359</v>
      </c>
      <c r="J129" s="877" t="s">
        <v>678</v>
      </c>
      <c r="K129" s="881" t="s">
        <v>2474</v>
      </c>
      <c r="L129" s="881" t="s">
        <v>148</v>
      </c>
      <c r="M129" s="883">
        <v>1260000</v>
      </c>
      <c r="N129" s="55">
        <v>719</v>
      </c>
      <c r="O129" s="78"/>
    </row>
    <row r="130" spans="1:15" ht="12.75" customHeight="1" thickBot="1">
      <c r="A130" s="251"/>
      <c r="B130" s="452"/>
      <c r="C130" s="465"/>
      <c r="D130" s="251"/>
      <c r="E130" s="251"/>
      <c r="F130" s="254"/>
      <c r="G130" s="255"/>
      <c r="H130" s="882"/>
      <c r="I130" s="876"/>
      <c r="J130" s="878"/>
      <c r="K130" s="882"/>
      <c r="L130" s="882"/>
      <c r="M130" s="884"/>
      <c r="N130" s="56">
        <v>723</v>
      </c>
      <c r="O130" s="79">
        <f>+M129-O129</f>
        <v>1260000</v>
      </c>
    </row>
    <row r="131" spans="1:15" ht="11.25" customHeight="1">
      <c r="A131" s="881" t="e">
        <f>+A127+1</f>
        <v>#REF!</v>
      </c>
      <c r="B131" s="875">
        <v>42242</v>
      </c>
      <c r="C131" s="935" t="s">
        <v>169</v>
      </c>
      <c r="D131" s="881" t="s">
        <v>236</v>
      </c>
      <c r="E131" s="881" t="s">
        <v>148</v>
      </c>
      <c r="F131" s="883">
        <v>56000</v>
      </c>
      <c r="G131" s="55">
        <v>719</v>
      </c>
      <c r="H131" s="873" t="s">
        <v>2278</v>
      </c>
      <c r="I131" s="875">
        <v>45359</v>
      </c>
      <c r="J131" s="877" t="s">
        <v>250</v>
      </c>
      <c r="K131" s="881" t="s">
        <v>2474</v>
      </c>
      <c r="L131" s="881" t="s">
        <v>148</v>
      </c>
      <c r="M131" s="883">
        <v>1500000</v>
      </c>
      <c r="N131" s="55">
        <v>719</v>
      </c>
      <c r="O131" s="78"/>
    </row>
    <row r="132" spans="1:15" ht="14.25" customHeight="1" thickBot="1">
      <c r="A132" s="882"/>
      <c r="B132" s="934"/>
      <c r="C132" s="936"/>
      <c r="D132" s="882"/>
      <c r="E132" s="882"/>
      <c r="F132" s="884"/>
      <c r="G132" s="56">
        <v>721</v>
      </c>
      <c r="H132" s="882"/>
      <c r="I132" s="876"/>
      <c r="J132" s="878"/>
      <c r="K132" s="882"/>
      <c r="L132" s="882"/>
      <c r="M132" s="884"/>
      <c r="N132" s="56">
        <v>723</v>
      </c>
      <c r="O132" s="79">
        <f>+M131</f>
        <v>1500000</v>
      </c>
    </row>
    <row r="133" spans="1:15" ht="16.5" thickBot="1">
      <c r="A133" s="901" t="s">
        <v>102</v>
      </c>
      <c r="B133" s="902"/>
      <c r="C133" s="902"/>
      <c r="D133" s="902"/>
      <c r="E133" s="903"/>
      <c r="F133" s="81">
        <f>SUM(F123:F132)</f>
        <v>686000</v>
      </c>
      <c r="H133" s="901" t="s">
        <v>102</v>
      </c>
      <c r="I133" s="902"/>
      <c r="J133" s="902"/>
      <c r="K133" s="902"/>
      <c r="L133" s="903"/>
      <c r="M133" s="81">
        <f>SUM(M123:M132)</f>
        <v>19083000</v>
      </c>
    </row>
    <row r="134" spans="1:15" ht="16.5" thickBot="1">
      <c r="A134" s="885" t="s">
        <v>103</v>
      </c>
      <c r="B134" s="886"/>
      <c r="C134" s="886"/>
      <c r="D134" s="886"/>
      <c r="E134" s="887"/>
      <c r="F134" s="184" t="e">
        <f>+F98</f>
        <v>#REF!</v>
      </c>
      <c r="H134" s="885" t="s">
        <v>103</v>
      </c>
      <c r="I134" s="886"/>
      <c r="J134" s="886"/>
      <c r="K134" s="886"/>
      <c r="L134" s="887"/>
      <c r="M134" s="239">
        <f>+M98</f>
        <v>155505472</v>
      </c>
      <c r="N134" s="241" t="s">
        <v>561</v>
      </c>
      <c r="O134" s="242"/>
    </row>
    <row r="135" spans="1:15" ht="15" customHeight="1" thickBot="1">
      <c r="A135" s="888" t="s">
        <v>104</v>
      </c>
      <c r="B135" s="889"/>
      <c r="C135" s="889"/>
      <c r="D135" s="889"/>
      <c r="E135" s="890"/>
      <c r="F135" s="183" t="e">
        <f>SUM(F133:F134)</f>
        <v>#REF!</v>
      </c>
      <c r="H135" s="888" t="s">
        <v>104</v>
      </c>
      <c r="I135" s="889"/>
      <c r="J135" s="889"/>
      <c r="K135" s="889"/>
      <c r="L135" s="890"/>
      <c r="M135" s="183">
        <f>SUM(M133:M134)</f>
        <v>174588472</v>
      </c>
    </row>
    <row r="136" spans="1:15" ht="4.5" customHeight="1">
      <c r="A136" s="61"/>
      <c r="B136" s="61"/>
      <c r="C136" s="61"/>
      <c r="D136" s="61"/>
      <c r="E136" s="61"/>
      <c r="H136" s="61"/>
      <c r="I136" s="61"/>
      <c r="J136" s="61"/>
      <c r="K136" s="61"/>
      <c r="L136" s="61"/>
    </row>
    <row r="137" spans="1:15" ht="15" customHeight="1">
      <c r="A137" s="51" t="s">
        <v>238</v>
      </c>
      <c r="H137" s="51" t="s">
        <v>2489</v>
      </c>
    </row>
    <row r="138" spans="1:15" ht="9.75" customHeight="1">
      <c r="F138" s="139"/>
      <c r="M138" s="139"/>
    </row>
    <row r="139" spans="1:15">
      <c r="A139" s="50" t="s">
        <v>105</v>
      </c>
      <c r="D139" s="146"/>
      <c r="H139" s="50" t="s">
        <v>105</v>
      </c>
      <c r="K139" s="146"/>
      <c r="M139" s="139"/>
    </row>
    <row r="140" spans="1:15" ht="4.5" customHeight="1" thickBot="1"/>
    <row r="141" spans="1:15" ht="17.25" thickBot="1">
      <c r="A141" s="891" t="s">
        <v>106</v>
      </c>
      <c r="B141" s="892"/>
      <c r="C141" s="892"/>
      <c r="D141" s="893"/>
      <c r="F141" s="50" t="s">
        <v>107</v>
      </c>
      <c r="H141" s="891" t="s">
        <v>106</v>
      </c>
      <c r="I141" s="892"/>
      <c r="J141" s="892"/>
      <c r="K141" s="893"/>
      <c r="M141" s="604" t="s">
        <v>288</v>
      </c>
      <c r="N141" s="604"/>
      <c r="O141" s="604"/>
    </row>
    <row r="142" spans="1:15" ht="46.5" thickBot="1">
      <c r="A142" s="57" t="s">
        <v>100</v>
      </c>
      <c r="B142" s="58" t="s">
        <v>108</v>
      </c>
      <c r="C142" s="59" t="s">
        <v>109</v>
      </c>
      <c r="D142" s="60" t="s">
        <v>110</v>
      </c>
      <c r="H142" s="57" t="s">
        <v>100</v>
      </c>
      <c r="I142" s="58" t="s">
        <v>108</v>
      </c>
      <c r="J142" s="59" t="s">
        <v>109</v>
      </c>
      <c r="K142" s="60" t="s">
        <v>110</v>
      </c>
      <c r="M142" s="12"/>
      <c r="N142" s="12"/>
      <c r="O142" s="12"/>
    </row>
    <row r="143" spans="1:15" ht="15" customHeight="1">
      <c r="A143" s="71">
        <v>719</v>
      </c>
      <c r="B143" s="73" t="e">
        <f>+#REF!+#REF!+#REF!+#REF!+#REF!</f>
        <v>#REF!</v>
      </c>
      <c r="C143" s="74" t="e">
        <f>+D106</f>
        <v>#REF!</v>
      </c>
      <c r="D143" s="76" t="e">
        <f>+B143+C143</f>
        <v>#REF!</v>
      </c>
      <c r="H143" s="71">
        <v>719</v>
      </c>
      <c r="I143" s="73"/>
      <c r="J143" s="74">
        <f>+K106</f>
        <v>0</v>
      </c>
      <c r="K143" s="195">
        <f>+I143+J143</f>
        <v>0</v>
      </c>
      <c r="M143" s="12"/>
      <c r="N143" s="12"/>
      <c r="O143" s="12"/>
    </row>
    <row r="144" spans="1:15" ht="12.75" customHeight="1">
      <c r="A144" s="72">
        <v>721</v>
      </c>
      <c r="B144" s="80" t="e">
        <f>+#REF!+#REF!+#REF!+#REF!+#REF!</f>
        <v>#REF!</v>
      </c>
      <c r="C144" s="74" t="e">
        <f>+D107</f>
        <v>#REF!</v>
      </c>
      <c r="D144" s="76" t="e">
        <f>+B144+C144</f>
        <v>#REF!</v>
      </c>
      <c r="H144" s="72">
        <v>721</v>
      </c>
      <c r="I144" s="80"/>
      <c r="J144" s="74">
        <f>+K107</f>
        <v>0</v>
      </c>
      <c r="K144" s="195">
        <f>+I144+J144</f>
        <v>0</v>
      </c>
      <c r="M144" s="12"/>
      <c r="N144" s="12"/>
      <c r="O144" s="12"/>
    </row>
    <row r="145" spans="1:15" ht="13.5" customHeight="1">
      <c r="A145" s="72">
        <v>722</v>
      </c>
      <c r="B145" s="80"/>
      <c r="C145" s="74">
        <f>+D108</f>
        <v>224787287</v>
      </c>
      <c r="D145" s="76">
        <f>+B145+C145</f>
        <v>224787287</v>
      </c>
      <c r="H145" s="72">
        <v>722</v>
      </c>
      <c r="I145" s="80"/>
      <c r="J145" s="74">
        <f>+K108</f>
        <v>0</v>
      </c>
      <c r="K145" s="195">
        <f>+I145+J145</f>
        <v>0</v>
      </c>
      <c r="M145" s="12"/>
      <c r="N145" s="12"/>
      <c r="O145" s="12"/>
    </row>
    <row r="146" spans="1:15" ht="13.5" customHeight="1" thickBot="1">
      <c r="A146" s="72">
        <v>723</v>
      </c>
      <c r="B146" s="80"/>
      <c r="C146" s="74">
        <f>+D109</f>
        <v>319828837</v>
      </c>
      <c r="D146" s="76">
        <f>+B146+C146</f>
        <v>319828837</v>
      </c>
      <c r="F146" s="174" t="s">
        <v>23</v>
      </c>
      <c r="H146" s="72">
        <v>723</v>
      </c>
      <c r="I146" s="80">
        <f>+O124+O126+O128+O132+O130</f>
        <v>19083000</v>
      </c>
      <c r="J146" s="74">
        <f>+K109</f>
        <v>155505472</v>
      </c>
      <c r="K146" s="195">
        <f>+I146+J146</f>
        <v>174588472</v>
      </c>
      <c r="M146" s="918" t="s">
        <v>2347</v>
      </c>
      <c r="N146" s="608"/>
      <c r="O146" s="608"/>
    </row>
    <row r="147" spans="1:15" ht="13.5" hidden="1" customHeight="1">
      <c r="A147" s="164" t="s">
        <v>181</v>
      </c>
      <c r="B147" s="165"/>
      <c r="C147" s="74">
        <f>+D110</f>
        <v>1965625</v>
      </c>
      <c r="D147" s="168">
        <f>+B147+C147</f>
        <v>1965625</v>
      </c>
      <c r="F147" s="52"/>
      <c r="H147" s="164" t="s">
        <v>181</v>
      </c>
      <c r="I147" s="165"/>
      <c r="J147" s="74">
        <f>+K110</f>
        <v>0</v>
      </c>
      <c r="K147" s="196">
        <f>+I147+J147</f>
        <v>0</v>
      </c>
      <c r="M147" s="52"/>
    </row>
    <row r="148" spans="1:15" ht="15.75" customHeight="1" thickBot="1">
      <c r="A148" s="169"/>
      <c r="B148" s="170" t="e">
        <f>SUM(B143:B147)</f>
        <v>#REF!</v>
      </c>
      <c r="C148" s="171" t="e">
        <f>SUM(C143:C147)</f>
        <v>#REF!</v>
      </c>
      <c r="D148" s="172" t="e">
        <f>SUM(D143:D147)</f>
        <v>#REF!</v>
      </c>
      <c r="H148" s="169"/>
      <c r="I148" s="197">
        <f>SUM(I143:I147)</f>
        <v>19083000</v>
      </c>
      <c r="J148" s="197">
        <f>SUM(J143:J147)</f>
        <v>155505472</v>
      </c>
      <c r="K148" s="198">
        <f>SUM(K143:K147)</f>
        <v>174588472</v>
      </c>
    </row>
    <row r="149" spans="1:15" ht="16.5">
      <c r="A149" s="49" t="s">
        <v>88</v>
      </c>
      <c r="B149" s="50"/>
      <c r="H149" s="49" t="s">
        <v>88</v>
      </c>
      <c r="I149" s="50"/>
    </row>
    <row r="150" spans="1:15" ht="13.5" customHeight="1">
      <c r="A150" s="51" t="s">
        <v>89</v>
      </c>
      <c r="H150" s="51" t="s">
        <v>89</v>
      </c>
    </row>
    <row r="151" spans="1:15" ht="12.75" customHeight="1">
      <c r="A151" s="51" t="s">
        <v>90</v>
      </c>
      <c r="H151" s="51" t="s">
        <v>90</v>
      </c>
    </row>
    <row r="152" spans="1:15">
      <c r="A152" s="51" t="s">
        <v>91</v>
      </c>
      <c r="H152" s="51" t="s">
        <v>91</v>
      </c>
    </row>
    <row r="153" spans="1:15" ht="1.5" customHeight="1">
      <c r="A153" s="50"/>
      <c r="B153" s="50"/>
      <c r="H153" s="50"/>
      <c r="I153" s="50"/>
    </row>
    <row r="154" spans="1:15" ht="15.75" customHeight="1">
      <c r="A154" s="52" t="s">
        <v>237</v>
      </c>
      <c r="B154" s="50"/>
      <c r="G154" s="52"/>
      <c r="H154" s="52" t="s">
        <v>564</v>
      </c>
      <c r="N154" s="52"/>
    </row>
    <row r="155" spans="1:15" ht="15" customHeight="1">
      <c r="A155" s="53" t="s">
        <v>92</v>
      </c>
      <c r="G155" s="53"/>
      <c r="H155" s="53" t="s">
        <v>2443</v>
      </c>
      <c r="N155" s="53"/>
    </row>
    <row r="156" spans="1:15" ht="14.25" customHeight="1">
      <c r="A156" s="894" t="s">
        <v>228</v>
      </c>
      <c r="B156" s="894"/>
      <c r="C156" s="894"/>
      <c r="D156" s="894"/>
      <c r="E156" s="894"/>
      <c r="F156" s="894"/>
      <c r="G156" s="894"/>
      <c r="H156" s="894" t="s">
        <v>212</v>
      </c>
      <c r="I156" s="894"/>
      <c r="J156" s="894"/>
      <c r="K156" s="894"/>
      <c r="L156" s="894"/>
      <c r="M156" s="894"/>
      <c r="N156" s="894"/>
      <c r="O156" s="894"/>
    </row>
    <row r="157" spans="1:15" ht="3.75" customHeight="1" thickBot="1"/>
    <row r="158" spans="1:15" ht="15.75" customHeight="1">
      <c r="A158" s="895" t="s">
        <v>94</v>
      </c>
      <c r="B158" s="897" t="s">
        <v>95</v>
      </c>
      <c r="C158" s="897" t="s">
        <v>96</v>
      </c>
      <c r="D158" s="897" t="s">
        <v>3</v>
      </c>
      <c r="E158" s="897" t="s">
        <v>97</v>
      </c>
      <c r="F158" s="897" t="s">
        <v>98</v>
      </c>
      <c r="G158" s="500" t="s">
        <v>99</v>
      </c>
      <c r="H158" s="895" t="s">
        <v>94</v>
      </c>
      <c r="I158" s="897" t="s">
        <v>95</v>
      </c>
      <c r="J158" s="897" t="s">
        <v>96</v>
      </c>
      <c r="K158" s="897" t="s">
        <v>3</v>
      </c>
      <c r="L158" s="897" t="s">
        <v>97</v>
      </c>
      <c r="M158" s="897" t="s">
        <v>98</v>
      </c>
      <c r="N158" s="897" t="s">
        <v>99</v>
      </c>
      <c r="O158" s="899"/>
    </row>
    <row r="159" spans="1:15" ht="15" customHeight="1" thickBot="1">
      <c r="A159" s="896"/>
      <c r="B159" s="898"/>
      <c r="C159" s="898"/>
      <c r="D159" s="898"/>
      <c r="E159" s="898"/>
      <c r="F159" s="898"/>
      <c r="G159" s="240" t="s">
        <v>100</v>
      </c>
      <c r="H159" s="896"/>
      <c r="I159" s="898"/>
      <c r="J159" s="898"/>
      <c r="K159" s="898"/>
      <c r="L159" s="898"/>
      <c r="M159" s="898"/>
      <c r="N159" s="240" t="s">
        <v>100</v>
      </c>
      <c r="O159" s="182" t="s">
        <v>101</v>
      </c>
    </row>
    <row r="160" spans="1:15" ht="12" customHeight="1">
      <c r="A160" s="881" t="e">
        <f>+#REF!+1</f>
        <v>#REF!</v>
      </c>
      <c r="B160" s="875">
        <v>42242</v>
      </c>
      <c r="C160" s="942" t="s">
        <v>230</v>
      </c>
      <c r="D160" s="881" t="s">
        <v>242</v>
      </c>
      <c r="E160" s="881" t="s">
        <v>148</v>
      </c>
      <c r="F160" s="883">
        <v>182000</v>
      </c>
      <c r="G160" s="55">
        <v>719</v>
      </c>
      <c r="H160" s="873" t="s">
        <v>2282</v>
      </c>
      <c r="I160" s="875">
        <v>45365</v>
      </c>
      <c r="J160" s="877" t="s">
        <v>2497</v>
      </c>
      <c r="K160" s="881" t="s">
        <v>2498</v>
      </c>
      <c r="L160" s="881" t="s">
        <v>775</v>
      </c>
      <c r="M160" s="883">
        <v>81000</v>
      </c>
      <c r="N160" s="55">
        <v>719</v>
      </c>
      <c r="O160" s="78">
        <v>60000</v>
      </c>
    </row>
    <row r="161" spans="1:15" ht="15" customHeight="1" thickBot="1">
      <c r="A161" s="882"/>
      <c r="B161" s="934"/>
      <c r="C161" s="943"/>
      <c r="D161" s="882"/>
      <c r="E161" s="882"/>
      <c r="F161" s="884"/>
      <c r="G161" s="56">
        <v>721</v>
      </c>
      <c r="H161" s="882"/>
      <c r="I161" s="876"/>
      <c r="J161" s="878"/>
      <c r="K161" s="882"/>
      <c r="L161" s="882"/>
      <c r="M161" s="884"/>
      <c r="N161" s="56">
        <v>723</v>
      </c>
      <c r="O161" s="79">
        <f>+M160-O160</f>
        <v>21000</v>
      </c>
    </row>
    <row r="162" spans="1:15" ht="13.5" customHeight="1">
      <c r="A162" s="251"/>
      <c r="B162" s="452"/>
      <c r="C162" s="465"/>
      <c r="D162" s="251"/>
      <c r="E162" s="251"/>
      <c r="F162" s="254"/>
      <c r="G162" s="255"/>
      <c r="H162" s="873" t="s">
        <v>2283</v>
      </c>
      <c r="I162" s="875">
        <v>45365</v>
      </c>
      <c r="J162" s="877" t="s">
        <v>1091</v>
      </c>
      <c r="K162" s="881" t="s">
        <v>2499</v>
      </c>
      <c r="L162" s="881" t="s">
        <v>148</v>
      </c>
      <c r="M162" s="883">
        <v>540000</v>
      </c>
      <c r="N162" s="55">
        <v>719</v>
      </c>
      <c r="O162" s="78">
        <v>400000</v>
      </c>
    </row>
    <row r="163" spans="1:15" ht="15" customHeight="1" thickBot="1">
      <c r="A163" s="251"/>
      <c r="B163" s="452"/>
      <c r="C163" s="465"/>
      <c r="D163" s="251"/>
      <c r="E163" s="251"/>
      <c r="F163" s="254"/>
      <c r="G163" s="255"/>
      <c r="H163" s="882"/>
      <c r="I163" s="876"/>
      <c r="J163" s="878"/>
      <c r="K163" s="882"/>
      <c r="L163" s="882"/>
      <c r="M163" s="884"/>
      <c r="N163" s="56">
        <v>723</v>
      </c>
      <c r="O163" s="79">
        <f>+M162-O162</f>
        <v>140000</v>
      </c>
    </row>
    <row r="164" spans="1:15" ht="14.25" customHeight="1">
      <c r="A164" s="881" t="e">
        <f>+A160+1</f>
        <v>#REF!</v>
      </c>
      <c r="B164" s="875">
        <v>42242</v>
      </c>
      <c r="C164" s="935" t="s">
        <v>28</v>
      </c>
      <c r="D164" s="881" t="s">
        <v>240</v>
      </c>
      <c r="E164" s="881" t="s">
        <v>148</v>
      </c>
      <c r="F164" s="883">
        <v>364000</v>
      </c>
      <c r="G164" s="55">
        <v>719</v>
      </c>
      <c r="H164" s="873" t="s">
        <v>2284</v>
      </c>
      <c r="I164" s="875">
        <v>45365</v>
      </c>
      <c r="J164" s="877" t="s">
        <v>1091</v>
      </c>
      <c r="K164" s="881" t="s">
        <v>2500</v>
      </c>
      <c r="L164" s="881" t="s">
        <v>148</v>
      </c>
      <c r="M164" s="883">
        <v>1053000</v>
      </c>
      <c r="N164" s="55">
        <v>719</v>
      </c>
      <c r="O164" s="78">
        <v>780000</v>
      </c>
    </row>
    <row r="165" spans="1:15" ht="13.5" customHeight="1" thickBot="1">
      <c r="A165" s="882"/>
      <c r="B165" s="934"/>
      <c r="C165" s="936"/>
      <c r="D165" s="882"/>
      <c r="E165" s="882"/>
      <c r="F165" s="884"/>
      <c r="G165" s="56">
        <v>721</v>
      </c>
      <c r="H165" s="882"/>
      <c r="I165" s="876"/>
      <c r="J165" s="878"/>
      <c r="K165" s="882"/>
      <c r="L165" s="882"/>
      <c r="M165" s="884"/>
      <c r="N165" s="56">
        <v>723</v>
      </c>
      <c r="O165" s="79">
        <f>+M164-O164</f>
        <v>273000</v>
      </c>
    </row>
    <row r="166" spans="1:15" ht="13.5" customHeight="1">
      <c r="A166" s="251"/>
      <c r="B166" s="452"/>
      <c r="C166" s="472"/>
      <c r="D166" s="251"/>
      <c r="E166" s="251"/>
      <c r="F166" s="254"/>
      <c r="G166" s="255"/>
      <c r="H166" s="873" t="s">
        <v>2285</v>
      </c>
      <c r="I166" s="875">
        <v>45365</v>
      </c>
      <c r="J166" s="877" t="s">
        <v>1091</v>
      </c>
      <c r="K166" s="881" t="s">
        <v>2501</v>
      </c>
      <c r="L166" s="881" t="s">
        <v>148</v>
      </c>
      <c r="M166" s="883">
        <v>1066500</v>
      </c>
      <c r="N166" s="55">
        <v>719</v>
      </c>
      <c r="O166" s="78">
        <v>790000</v>
      </c>
    </row>
    <row r="167" spans="1:15" ht="13.5" customHeight="1" thickBot="1">
      <c r="A167" s="251"/>
      <c r="B167" s="452"/>
      <c r="C167" s="472"/>
      <c r="D167" s="251"/>
      <c r="E167" s="251"/>
      <c r="F167" s="254"/>
      <c r="G167" s="255"/>
      <c r="H167" s="882"/>
      <c r="I167" s="876"/>
      <c r="J167" s="878"/>
      <c r="K167" s="882"/>
      <c r="L167" s="882"/>
      <c r="M167" s="884"/>
      <c r="N167" s="56">
        <v>723</v>
      </c>
      <c r="O167" s="79">
        <f>+M166-O166</f>
        <v>276500</v>
      </c>
    </row>
    <row r="168" spans="1:15" ht="12" customHeight="1">
      <c r="A168" s="881" t="e">
        <f>+A164+1</f>
        <v>#REF!</v>
      </c>
      <c r="B168" s="875">
        <v>42242</v>
      </c>
      <c r="C168" s="942" t="s">
        <v>32</v>
      </c>
      <c r="D168" s="881" t="s">
        <v>241</v>
      </c>
      <c r="E168" s="881" t="s">
        <v>148</v>
      </c>
      <c r="F168" s="883">
        <v>84000</v>
      </c>
      <c r="G168" s="55">
        <v>719</v>
      </c>
      <c r="H168" s="873" t="s">
        <v>2286</v>
      </c>
      <c r="I168" s="875">
        <v>45365</v>
      </c>
      <c r="J168" s="877" t="s">
        <v>120</v>
      </c>
      <c r="K168" s="881" t="s">
        <v>2502</v>
      </c>
      <c r="L168" s="881" t="s">
        <v>775</v>
      </c>
      <c r="M168" s="883">
        <v>729000</v>
      </c>
      <c r="N168" s="55">
        <v>719</v>
      </c>
      <c r="O168" s="78">
        <v>540000</v>
      </c>
    </row>
    <row r="169" spans="1:15" ht="12.75" customHeight="1" thickBot="1">
      <c r="A169" s="882"/>
      <c r="B169" s="934"/>
      <c r="C169" s="943"/>
      <c r="D169" s="882"/>
      <c r="E169" s="882"/>
      <c r="F169" s="884"/>
      <c r="G169" s="56">
        <v>721</v>
      </c>
      <c r="H169" s="882"/>
      <c r="I169" s="876"/>
      <c r="J169" s="878"/>
      <c r="K169" s="882"/>
      <c r="L169" s="882"/>
      <c r="M169" s="884"/>
      <c r="N169" s="56">
        <v>723</v>
      </c>
      <c r="O169" s="79">
        <f>+M168-O168</f>
        <v>189000</v>
      </c>
    </row>
    <row r="170" spans="1:15" ht="17.25" customHeight="1" thickBot="1">
      <c r="A170" s="901" t="s">
        <v>102</v>
      </c>
      <c r="B170" s="902"/>
      <c r="C170" s="902"/>
      <c r="D170" s="902"/>
      <c r="E170" s="903"/>
      <c r="F170" s="81">
        <f>SUM(F160:F169)</f>
        <v>630000</v>
      </c>
      <c r="H170" s="901" t="s">
        <v>102</v>
      </c>
      <c r="I170" s="902"/>
      <c r="J170" s="902"/>
      <c r="K170" s="902"/>
      <c r="L170" s="903"/>
      <c r="M170" s="81">
        <f>SUM(M160:M169)</f>
        <v>3469500</v>
      </c>
    </row>
    <row r="171" spans="1:15" ht="16.5" thickBot="1">
      <c r="A171" s="885" t="s">
        <v>103</v>
      </c>
      <c r="B171" s="886"/>
      <c r="C171" s="886"/>
      <c r="D171" s="886"/>
      <c r="E171" s="887"/>
      <c r="F171" s="69" t="e">
        <f>+F135</f>
        <v>#REF!</v>
      </c>
      <c r="H171" s="885" t="s">
        <v>103</v>
      </c>
      <c r="I171" s="886"/>
      <c r="J171" s="886"/>
      <c r="K171" s="886"/>
      <c r="L171" s="887"/>
      <c r="M171" s="239">
        <f>+M135</f>
        <v>174588472</v>
      </c>
      <c r="N171" s="241" t="s">
        <v>561</v>
      </c>
      <c r="O171" s="242"/>
    </row>
    <row r="172" spans="1:15" ht="15.75" customHeight="1" thickBot="1">
      <c r="A172" s="888" t="s">
        <v>104</v>
      </c>
      <c r="B172" s="889"/>
      <c r="C172" s="889"/>
      <c r="D172" s="889"/>
      <c r="E172" s="890"/>
      <c r="F172" s="70" t="e">
        <f>SUM(F170:F171)</f>
        <v>#REF!</v>
      </c>
      <c r="H172" s="888" t="s">
        <v>104</v>
      </c>
      <c r="I172" s="889"/>
      <c r="J172" s="889"/>
      <c r="K172" s="889"/>
      <c r="L172" s="890"/>
      <c r="M172" s="183">
        <f>SUM(M170:M171)</f>
        <v>178057972</v>
      </c>
    </row>
    <row r="173" spans="1:15" ht="6.75" customHeight="1">
      <c r="A173" s="61"/>
      <c r="B173" s="61"/>
      <c r="C173" s="61"/>
      <c r="D173" s="61"/>
      <c r="E173" s="61"/>
      <c r="H173" s="61"/>
      <c r="I173" s="61"/>
      <c r="J173" s="61"/>
      <c r="K173" s="61"/>
      <c r="L173" s="61"/>
    </row>
    <row r="174" spans="1:15" ht="13.5" customHeight="1">
      <c r="A174" s="51" t="s">
        <v>243</v>
      </c>
      <c r="H174" s="51" t="s">
        <v>2504</v>
      </c>
    </row>
    <row r="175" spans="1:15" ht="3" customHeight="1">
      <c r="F175" s="139"/>
      <c r="M175" s="139"/>
    </row>
    <row r="176" spans="1:15" ht="15.75" customHeight="1">
      <c r="A176" s="50" t="s">
        <v>105</v>
      </c>
      <c r="D176" s="146"/>
      <c r="H176" s="453" t="s">
        <v>105</v>
      </c>
      <c r="K176" s="146"/>
      <c r="M176" s="139"/>
    </row>
    <row r="177" spans="1:15" ht="6" customHeight="1" thickBot="1"/>
    <row r="178" spans="1:15" ht="17.25" thickBot="1">
      <c r="A178" s="891" t="s">
        <v>106</v>
      </c>
      <c r="B178" s="892"/>
      <c r="C178" s="892"/>
      <c r="D178" s="893"/>
      <c r="F178" s="50" t="s">
        <v>107</v>
      </c>
      <c r="H178" s="891" t="s">
        <v>106</v>
      </c>
      <c r="I178" s="892"/>
      <c r="J178" s="892"/>
      <c r="K178" s="893"/>
      <c r="M178" s="604" t="s">
        <v>288</v>
      </c>
      <c r="N178" s="604"/>
      <c r="O178" s="604"/>
    </row>
    <row r="179" spans="1:15" ht="46.5" thickBot="1">
      <c r="A179" s="57" t="s">
        <v>100</v>
      </c>
      <c r="B179" s="58" t="s">
        <v>108</v>
      </c>
      <c r="C179" s="59" t="s">
        <v>109</v>
      </c>
      <c r="D179" s="60" t="s">
        <v>110</v>
      </c>
      <c r="H179" s="57" t="s">
        <v>100</v>
      </c>
      <c r="I179" s="58" t="s">
        <v>108</v>
      </c>
      <c r="J179" s="59" t="s">
        <v>109</v>
      </c>
      <c r="K179" s="60" t="s">
        <v>110</v>
      </c>
      <c r="M179" s="12"/>
      <c r="N179" s="12"/>
      <c r="O179" s="12"/>
    </row>
    <row r="180" spans="1:15" ht="12.75" customHeight="1">
      <c r="A180" s="71">
        <v>719</v>
      </c>
      <c r="B180" s="73" t="e">
        <f>+#REF!+#REF!+#REF!+#REF!+#REF!</f>
        <v>#REF!</v>
      </c>
      <c r="C180" s="74" t="e">
        <f>+D143</f>
        <v>#REF!</v>
      </c>
      <c r="D180" s="76" t="e">
        <f>+B180+C180</f>
        <v>#REF!</v>
      </c>
      <c r="H180" s="71">
        <v>719</v>
      </c>
      <c r="I180" s="73">
        <f>+O160+O162+O164+O166+O168</f>
        <v>2570000</v>
      </c>
      <c r="J180" s="74">
        <f>+K143</f>
        <v>0</v>
      </c>
      <c r="K180" s="195">
        <f>+I180+J180</f>
        <v>2570000</v>
      </c>
      <c r="M180" s="12"/>
      <c r="N180" s="12"/>
      <c r="O180" s="12"/>
    </row>
    <row r="181" spans="1:15" ht="12" customHeight="1">
      <c r="A181" s="72">
        <v>721</v>
      </c>
      <c r="B181" s="80" t="e">
        <f>+#REF!+#REF!+#REF!+#REF!+#REF!</f>
        <v>#REF!</v>
      </c>
      <c r="C181" s="74" t="e">
        <f>+D144</f>
        <v>#REF!</v>
      </c>
      <c r="D181" s="76" t="e">
        <f>+B181+C181</f>
        <v>#REF!</v>
      </c>
      <c r="H181" s="72">
        <v>721</v>
      </c>
      <c r="I181" s="80">
        <f>+O161+O163+O165+O167+O169</f>
        <v>899500</v>
      </c>
      <c r="J181" s="74">
        <f>+K144</f>
        <v>0</v>
      </c>
      <c r="K181" s="195">
        <f>+I181+J181</f>
        <v>899500</v>
      </c>
      <c r="M181" s="12"/>
      <c r="N181" s="12"/>
      <c r="O181" s="12"/>
    </row>
    <row r="182" spans="1:15" ht="14.25" customHeight="1">
      <c r="A182" s="72">
        <v>722</v>
      </c>
      <c r="B182" s="80"/>
      <c r="C182" s="74">
        <f>+D145</f>
        <v>224787287</v>
      </c>
      <c r="D182" s="76">
        <f>+B182+C182</f>
        <v>224787287</v>
      </c>
      <c r="H182" s="72">
        <v>722</v>
      </c>
      <c r="I182" s="80"/>
      <c r="J182" s="74">
        <f>+K145</f>
        <v>0</v>
      </c>
      <c r="K182" s="195">
        <f>+I182+J182</f>
        <v>0</v>
      </c>
      <c r="M182" s="918" t="s">
        <v>2347</v>
      </c>
      <c r="N182" s="608"/>
      <c r="O182" s="608"/>
    </row>
    <row r="183" spans="1:15" ht="14.25" customHeight="1" thickBot="1">
      <c r="A183" s="72">
        <v>723</v>
      </c>
      <c r="B183" s="80"/>
      <c r="C183" s="74">
        <f>+D146</f>
        <v>319828837</v>
      </c>
      <c r="D183" s="76">
        <f>+B183+C183</f>
        <v>319828837</v>
      </c>
      <c r="F183" s="174" t="s">
        <v>23</v>
      </c>
      <c r="H183" s="72">
        <v>723</v>
      </c>
      <c r="I183" s="80"/>
      <c r="J183" s="74">
        <f>+K146</f>
        <v>174588472</v>
      </c>
      <c r="K183" s="195">
        <f>+I183+J183</f>
        <v>174588472</v>
      </c>
      <c r="M183" s="193"/>
      <c r="N183" s="175"/>
    </row>
    <row r="184" spans="1:15" ht="12.75" hidden="1" customHeight="1">
      <c r="A184" s="164" t="s">
        <v>181</v>
      </c>
      <c r="B184" s="165"/>
      <c r="C184" s="74">
        <f>+D147</f>
        <v>1965625</v>
      </c>
      <c r="D184" s="168">
        <f>+B184+C184</f>
        <v>1965625</v>
      </c>
      <c r="F184" s="52"/>
      <c r="H184" s="164" t="s">
        <v>181</v>
      </c>
      <c r="I184" s="165"/>
      <c r="J184" s="74">
        <f>+K147</f>
        <v>0</v>
      </c>
      <c r="K184" s="196">
        <f>+I184+J184</f>
        <v>0</v>
      </c>
      <c r="M184" s="52"/>
    </row>
    <row r="185" spans="1:15" ht="16.5" thickBot="1">
      <c r="A185" s="169"/>
      <c r="B185" s="170" t="e">
        <f>SUM(B180:B184)</f>
        <v>#REF!</v>
      </c>
      <c r="C185" s="171" t="e">
        <f>SUM(C180:C184)</f>
        <v>#REF!</v>
      </c>
      <c r="D185" s="172" t="e">
        <f>SUM(D180:D184)</f>
        <v>#REF!</v>
      </c>
      <c r="H185" s="169"/>
      <c r="I185" s="197">
        <f>SUM(I180:I184)</f>
        <v>3469500</v>
      </c>
      <c r="J185" s="197">
        <f>SUM(J180:J184)</f>
        <v>174588472</v>
      </c>
      <c r="K185" s="198">
        <f>SUM(K180:K184)</f>
        <v>178057972</v>
      </c>
    </row>
    <row r="186" spans="1:15" ht="16.5">
      <c r="A186" s="49" t="s">
        <v>88</v>
      </c>
      <c r="B186" s="50"/>
      <c r="H186" s="49" t="s">
        <v>88</v>
      </c>
      <c r="I186" s="50"/>
    </row>
    <row r="187" spans="1:15" ht="11.25" customHeight="1">
      <c r="A187" s="51" t="s">
        <v>89</v>
      </c>
      <c r="H187" s="51" t="s">
        <v>89</v>
      </c>
    </row>
    <row r="188" spans="1:15" ht="12.75" customHeight="1">
      <c r="A188" s="51" t="s">
        <v>90</v>
      </c>
      <c r="H188" s="51" t="s">
        <v>90</v>
      </c>
    </row>
    <row r="189" spans="1:15" ht="12.75" customHeight="1">
      <c r="A189" s="51" t="s">
        <v>91</v>
      </c>
      <c r="H189" s="51" t="s">
        <v>91</v>
      </c>
    </row>
    <row r="190" spans="1:15" ht="3.75" customHeight="1">
      <c r="A190" s="50"/>
      <c r="B190" s="50"/>
      <c r="H190" s="50"/>
      <c r="I190" s="50"/>
    </row>
    <row r="191" spans="1:15" ht="15" customHeight="1">
      <c r="A191" s="52" t="s">
        <v>245</v>
      </c>
      <c r="G191" s="52"/>
      <c r="H191" s="52" t="s">
        <v>571</v>
      </c>
      <c r="N191" s="52"/>
    </row>
    <row r="192" spans="1:15" ht="15.75">
      <c r="A192" s="53" t="s">
        <v>92</v>
      </c>
      <c r="G192" s="53"/>
      <c r="H192" s="53" t="s">
        <v>2443</v>
      </c>
      <c r="N192" s="53"/>
    </row>
    <row r="193" spans="1:17" ht="14.25" customHeight="1">
      <c r="A193" s="894" t="s">
        <v>255</v>
      </c>
      <c r="B193" s="894"/>
      <c r="C193" s="894"/>
      <c r="D193" s="894"/>
      <c r="E193" s="894"/>
      <c r="F193" s="894"/>
      <c r="G193" s="894"/>
      <c r="H193" s="894" t="s">
        <v>212</v>
      </c>
      <c r="I193" s="894"/>
      <c r="J193" s="894"/>
      <c r="K193" s="894"/>
      <c r="L193" s="894"/>
      <c r="M193" s="894"/>
      <c r="N193" s="894"/>
      <c r="O193" s="894"/>
    </row>
    <row r="194" spans="1:17" ht="4.5" customHeight="1" thickBot="1"/>
    <row r="195" spans="1:17">
      <c r="A195" s="895" t="s">
        <v>94</v>
      </c>
      <c r="B195" s="897" t="s">
        <v>95</v>
      </c>
      <c r="C195" s="897" t="s">
        <v>96</v>
      </c>
      <c r="D195" s="897" t="s">
        <v>3</v>
      </c>
      <c r="E195" s="897" t="s">
        <v>97</v>
      </c>
      <c r="F195" s="897" t="s">
        <v>98</v>
      </c>
      <c r="G195" s="500" t="s">
        <v>99</v>
      </c>
      <c r="H195" s="895" t="s">
        <v>94</v>
      </c>
      <c r="I195" s="897" t="s">
        <v>95</v>
      </c>
      <c r="J195" s="897" t="s">
        <v>96</v>
      </c>
      <c r="K195" s="897" t="s">
        <v>3</v>
      </c>
      <c r="L195" s="897" t="s">
        <v>97</v>
      </c>
      <c r="M195" s="897" t="s">
        <v>98</v>
      </c>
      <c r="N195" s="897" t="s">
        <v>99</v>
      </c>
      <c r="O195" s="899"/>
    </row>
    <row r="196" spans="1:17" ht="15.75" thickBot="1">
      <c r="A196" s="896"/>
      <c r="B196" s="898"/>
      <c r="C196" s="898"/>
      <c r="D196" s="898"/>
      <c r="E196" s="898"/>
      <c r="F196" s="898"/>
      <c r="G196" s="240" t="s">
        <v>100</v>
      </c>
      <c r="H196" s="896"/>
      <c r="I196" s="898"/>
      <c r="J196" s="898"/>
      <c r="K196" s="898"/>
      <c r="L196" s="898"/>
      <c r="M196" s="898"/>
      <c r="N196" s="240" t="s">
        <v>100</v>
      </c>
      <c r="O196" s="182" t="s">
        <v>101</v>
      </c>
    </row>
    <row r="197" spans="1:17" ht="12.75" customHeight="1">
      <c r="A197" s="881" t="e">
        <f>+#REF!+1</f>
        <v>#REF!</v>
      </c>
      <c r="B197" s="875">
        <v>42243</v>
      </c>
      <c r="C197" s="942" t="s">
        <v>31</v>
      </c>
      <c r="D197" s="881" t="s">
        <v>246</v>
      </c>
      <c r="E197" s="881" t="s">
        <v>115</v>
      </c>
      <c r="F197" s="883">
        <v>120000</v>
      </c>
      <c r="G197" s="55">
        <v>719</v>
      </c>
      <c r="H197" s="873" t="s">
        <v>2291</v>
      </c>
      <c r="I197" s="875">
        <v>45365</v>
      </c>
      <c r="J197" s="877" t="s">
        <v>2505</v>
      </c>
      <c r="K197" s="881" t="s">
        <v>2445</v>
      </c>
      <c r="L197" s="881" t="s">
        <v>1908</v>
      </c>
      <c r="M197" s="883">
        <v>1121040</v>
      </c>
      <c r="N197" s="55">
        <v>719</v>
      </c>
      <c r="O197" s="78"/>
    </row>
    <row r="198" spans="1:17" ht="12.75" customHeight="1" thickBot="1">
      <c r="A198" s="882"/>
      <c r="B198" s="934"/>
      <c r="C198" s="943"/>
      <c r="D198" s="882"/>
      <c r="E198" s="882"/>
      <c r="F198" s="884"/>
      <c r="G198" s="56">
        <v>721</v>
      </c>
      <c r="H198" s="874"/>
      <c r="I198" s="876"/>
      <c r="J198" s="878"/>
      <c r="K198" s="882"/>
      <c r="L198" s="882"/>
      <c r="M198" s="884"/>
      <c r="N198" s="56">
        <v>723</v>
      </c>
      <c r="O198" s="79">
        <f>+M197</f>
        <v>1121040</v>
      </c>
    </row>
    <row r="199" spans="1:17" ht="12.75" customHeight="1">
      <c r="A199" s="881" t="e">
        <f>+A197+1</f>
        <v>#REF!</v>
      </c>
      <c r="B199" s="875">
        <v>42243</v>
      </c>
      <c r="C199" s="935" t="s">
        <v>28</v>
      </c>
      <c r="D199" s="881" t="s">
        <v>247</v>
      </c>
      <c r="E199" s="881" t="s">
        <v>115</v>
      </c>
      <c r="F199" s="883">
        <v>50000</v>
      </c>
      <c r="G199" s="55">
        <v>719</v>
      </c>
      <c r="H199" s="873" t="s">
        <v>2292</v>
      </c>
      <c r="I199" s="875">
        <v>45365</v>
      </c>
      <c r="J199" s="944" t="s">
        <v>1896</v>
      </c>
      <c r="K199" s="881" t="s">
        <v>2445</v>
      </c>
      <c r="L199" s="881" t="s">
        <v>145</v>
      </c>
      <c r="M199" s="946">
        <v>2200000</v>
      </c>
      <c r="N199" s="55">
        <v>719</v>
      </c>
      <c r="O199" s="78"/>
    </row>
    <row r="200" spans="1:17" ht="12.75" customHeight="1" thickBot="1">
      <c r="A200" s="882"/>
      <c r="B200" s="934"/>
      <c r="C200" s="936"/>
      <c r="D200" s="882"/>
      <c r="E200" s="882"/>
      <c r="F200" s="884"/>
      <c r="G200" s="56">
        <v>721</v>
      </c>
      <c r="H200" s="874"/>
      <c r="I200" s="876"/>
      <c r="J200" s="945"/>
      <c r="K200" s="882"/>
      <c r="L200" s="882"/>
      <c r="M200" s="947"/>
      <c r="N200" s="56">
        <v>723</v>
      </c>
      <c r="O200" s="79">
        <f>+M199</f>
        <v>2200000</v>
      </c>
    </row>
    <row r="201" spans="1:17" ht="12" customHeight="1" thickBot="1">
      <c r="A201" s="881" t="e">
        <f>+A199+1</f>
        <v>#REF!</v>
      </c>
      <c r="B201" s="875">
        <v>42243</v>
      </c>
      <c r="C201" s="877" t="s">
        <v>250</v>
      </c>
      <c r="D201" s="877" t="s">
        <v>248</v>
      </c>
      <c r="E201" s="881" t="s">
        <v>145</v>
      </c>
      <c r="F201" s="883">
        <v>4280256</v>
      </c>
      <c r="G201" s="55">
        <v>719</v>
      </c>
      <c r="H201" s="873" t="s">
        <v>2293</v>
      </c>
      <c r="I201" s="875">
        <v>45365</v>
      </c>
      <c r="J201" s="877" t="s">
        <v>2496</v>
      </c>
      <c r="K201" s="881" t="s">
        <v>2445</v>
      </c>
      <c r="L201" s="881" t="s">
        <v>145</v>
      </c>
      <c r="M201" s="883">
        <v>1200000</v>
      </c>
      <c r="N201" s="55">
        <v>719</v>
      </c>
      <c r="O201" s="78"/>
      <c r="P201" s="51" t="s">
        <v>2146</v>
      </c>
    </row>
    <row r="202" spans="1:17" ht="12.75" customHeight="1" thickBot="1">
      <c r="A202" s="882"/>
      <c r="B202" s="934"/>
      <c r="C202" s="878"/>
      <c r="D202" s="878"/>
      <c r="E202" s="882"/>
      <c r="F202" s="884"/>
      <c r="G202" s="56">
        <v>722</v>
      </c>
      <c r="H202" s="874"/>
      <c r="I202" s="876"/>
      <c r="J202" s="878"/>
      <c r="K202" s="882"/>
      <c r="L202" s="882"/>
      <c r="M202" s="884"/>
      <c r="N202" s="56">
        <v>723</v>
      </c>
      <c r="O202" s="79">
        <f>+M201</f>
        <v>1200000</v>
      </c>
      <c r="Q202" s="877"/>
    </row>
    <row r="203" spans="1:17" ht="12" customHeight="1" thickBot="1">
      <c r="A203" s="881" t="e">
        <f>+A201+1</f>
        <v>#REF!</v>
      </c>
      <c r="B203" s="875">
        <v>42243</v>
      </c>
      <c r="C203" s="877" t="s">
        <v>249</v>
      </c>
      <c r="D203" s="877" t="s">
        <v>248</v>
      </c>
      <c r="E203" s="881" t="s">
        <v>145</v>
      </c>
      <c r="F203" s="883">
        <v>2140128</v>
      </c>
      <c r="G203" s="55">
        <v>719</v>
      </c>
      <c r="H203" s="873" t="s">
        <v>2294</v>
      </c>
      <c r="I203" s="875">
        <v>45365</v>
      </c>
      <c r="J203" s="877" t="s">
        <v>2296</v>
      </c>
      <c r="K203" s="881" t="s">
        <v>2445</v>
      </c>
      <c r="L203" s="881" t="s">
        <v>145</v>
      </c>
      <c r="M203" s="883">
        <v>3600000</v>
      </c>
      <c r="N203" s="55">
        <v>719</v>
      </c>
      <c r="O203" s="78"/>
      <c r="Q203" s="878"/>
    </row>
    <row r="204" spans="1:17" ht="15" customHeight="1" thickBot="1">
      <c r="A204" s="882"/>
      <c r="B204" s="934"/>
      <c r="C204" s="878"/>
      <c r="D204" s="878"/>
      <c r="E204" s="882"/>
      <c r="F204" s="884"/>
      <c r="G204" s="56">
        <v>722</v>
      </c>
      <c r="H204" s="874"/>
      <c r="I204" s="876"/>
      <c r="J204" s="878"/>
      <c r="K204" s="882"/>
      <c r="L204" s="882"/>
      <c r="M204" s="884"/>
      <c r="N204" s="56">
        <v>723</v>
      </c>
      <c r="O204" s="79">
        <f>+M203</f>
        <v>3600000</v>
      </c>
    </row>
    <row r="205" spans="1:17" ht="15" customHeight="1">
      <c r="A205" s="251"/>
      <c r="B205" s="452"/>
      <c r="C205" s="253"/>
      <c r="D205" s="253"/>
      <c r="E205" s="251"/>
      <c r="F205" s="254"/>
      <c r="G205" s="255"/>
      <c r="H205" s="873" t="s">
        <v>2295</v>
      </c>
      <c r="I205" s="875">
        <v>45365</v>
      </c>
      <c r="J205" s="944" t="s">
        <v>1896</v>
      </c>
      <c r="K205" s="881" t="s">
        <v>2445</v>
      </c>
      <c r="L205" s="881" t="s">
        <v>148</v>
      </c>
      <c r="M205" s="883">
        <v>600000</v>
      </c>
      <c r="N205" s="55">
        <v>719</v>
      </c>
      <c r="O205" s="78"/>
    </row>
    <row r="206" spans="1:17" ht="15" customHeight="1" thickBot="1">
      <c r="A206" s="251"/>
      <c r="B206" s="452"/>
      <c r="C206" s="253"/>
      <c r="D206" s="253"/>
      <c r="E206" s="251"/>
      <c r="F206" s="254"/>
      <c r="G206" s="255"/>
      <c r="H206" s="874"/>
      <c r="I206" s="876"/>
      <c r="J206" s="945"/>
      <c r="K206" s="882"/>
      <c r="L206" s="882"/>
      <c r="M206" s="884"/>
      <c r="N206" s="56">
        <v>723</v>
      </c>
      <c r="O206" s="79">
        <f>+M205</f>
        <v>600000</v>
      </c>
    </row>
    <row r="207" spans="1:17" ht="10.5" customHeight="1">
      <c r="A207" s="881"/>
      <c r="B207" s="875"/>
      <c r="C207" s="935"/>
      <c r="D207" s="877"/>
      <c r="E207" s="881"/>
      <c r="F207" s="883"/>
      <c r="G207" s="55">
        <v>719</v>
      </c>
      <c r="H207" s="873" t="s">
        <v>2301</v>
      </c>
      <c r="I207" s="875">
        <v>45365</v>
      </c>
      <c r="J207" s="944" t="s">
        <v>1897</v>
      </c>
      <c r="K207" s="881" t="s">
        <v>2445</v>
      </c>
      <c r="L207" s="881" t="s">
        <v>115</v>
      </c>
      <c r="M207" s="883">
        <v>2519800</v>
      </c>
      <c r="N207" s="55">
        <v>719</v>
      </c>
      <c r="O207" s="78"/>
    </row>
    <row r="208" spans="1:17" ht="14.25" customHeight="1" thickBot="1">
      <c r="A208" s="882"/>
      <c r="B208" s="934"/>
      <c r="C208" s="936"/>
      <c r="D208" s="878"/>
      <c r="E208" s="882"/>
      <c r="F208" s="884"/>
      <c r="G208" s="56">
        <v>721</v>
      </c>
      <c r="H208" s="874"/>
      <c r="I208" s="876"/>
      <c r="J208" s="945"/>
      <c r="K208" s="882"/>
      <c r="L208" s="882"/>
      <c r="M208" s="884"/>
      <c r="N208" s="56">
        <v>723</v>
      </c>
      <c r="O208" s="79">
        <f>+M207</f>
        <v>2519800</v>
      </c>
    </row>
    <row r="209" spans="1:15" ht="15" customHeight="1" thickBot="1">
      <c r="A209" s="901" t="s">
        <v>102</v>
      </c>
      <c r="B209" s="902"/>
      <c r="C209" s="902"/>
      <c r="D209" s="902"/>
      <c r="E209" s="903"/>
      <c r="F209" s="81">
        <f>SUM(F197:F208)</f>
        <v>6590384</v>
      </c>
      <c r="H209" s="901" t="s">
        <v>102</v>
      </c>
      <c r="I209" s="902"/>
      <c r="J209" s="902"/>
      <c r="K209" s="902"/>
      <c r="L209" s="903"/>
      <c r="M209" s="81">
        <f>SUM(M197:M208)</f>
        <v>11240840</v>
      </c>
    </row>
    <row r="210" spans="1:15" ht="15.75" customHeight="1" thickBot="1">
      <c r="A210" s="885" t="s">
        <v>103</v>
      </c>
      <c r="B210" s="886"/>
      <c r="C210" s="886"/>
      <c r="D210" s="886"/>
      <c r="E210" s="887"/>
      <c r="F210" s="69" t="e">
        <f>+F172</f>
        <v>#REF!</v>
      </c>
      <c r="H210" s="885" t="s">
        <v>103</v>
      </c>
      <c r="I210" s="886"/>
      <c r="J210" s="886"/>
      <c r="K210" s="886"/>
      <c r="L210" s="887"/>
      <c r="M210" s="239">
        <f>+M172</f>
        <v>178057972</v>
      </c>
      <c r="N210" s="241" t="s">
        <v>561</v>
      </c>
      <c r="O210" s="242"/>
    </row>
    <row r="211" spans="1:15" ht="14.25" customHeight="1" thickBot="1">
      <c r="A211" s="888" t="s">
        <v>104</v>
      </c>
      <c r="B211" s="889"/>
      <c r="C211" s="889"/>
      <c r="D211" s="889"/>
      <c r="E211" s="890"/>
      <c r="F211" s="183" t="e">
        <f>SUM(F209:F210)</f>
        <v>#REF!</v>
      </c>
      <c r="H211" s="888" t="s">
        <v>104</v>
      </c>
      <c r="I211" s="889"/>
      <c r="J211" s="889"/>
      <c r="K211" s="889"/>
      <c r="L211" s="890"/>
      <c r="M211" s="183">
        <f>SUM(M209:M210)</f>
        <v>189298812</v>
      </c>
    </row>
    <row r="212" spans="1:15" ht="7.5" customHeight="1">
      <c r="A212" s="61"/>
      <c r="B212" s="61"/>
      <c r="C212" s="61"/>
      <c r="D212" s="61"/>
      <c r="E212" s="61"/>
      <c r="H212" s="61"/>
      <c r="I212" s="61"/>
      <c r="J212" s="61"/>
      <c r="K212" s="61"/>
      <c r="L212" s="61"/>
    </row>
    <row r="213" spans="1:15">
      <c r="A213" s="51" t="s">
        <v>254</v>
      </c>
      <c r="H213" s="51" t="s">
        <v>2522</v>
      </c>
    </row>
    <row r="214" spans="1:15" ht="4.5" customHeight="1">
      <c r="F214" s="139"/>
      <c r="M214" s="139"/>
    </row>
    <row r="215" spans="1:15" ht="12.75" customHeight="1">
      <c r="A215" s="50" t="s">
        <v>105</v>
      </c>
      <c r="D215" s="146"/>
      <c r="F215" s="139"/>
      <c r="H215" s="50" t="s">
        <v>105</v>
      </c>
      <c r="K215" s="146"/>
      <c r="M215" s="139"/>
    </row>
    <row r="216" spans="1:15" ht="5.25" customHeight="1" thickBot="1"/>
    <row r="217" spans="1:15" ht="17.25" thickBot="1">
      <c r="A217" s="891" t="s">
        <v>106</v>
      </c>
      <c r="B217" s="892"/>
      <c r="C217" s="892"/>
      <c r="D217" s="893"/>
      <c r="F217" s="50" t="s">
        <v>107</v>
      </c>
      <c r="H217" s="891" t="s">
        <v>106</v>
      </c>
      <c r="I217" s="892"/>
      <c r="J217" s="892"/>
      <c r="K217" s="893"/>
      <c r="M217" s="604" t="s">
        <v>288</v>
      </c>
      <c r="N217" s="604"/>
      <c r="O217" s="604"/>
    </row>
    <row r="218" spans="1:15" ht="30" customHeight="1" thickBot="1">
      <c r="A218" s="57" t="s">
        <v>100</v>
      </c>
      <c r="B218" s="58" t="s">
        <v>108</v>
      </c>
      <c r="C218" s="59" t="s">
        <v>109</v>
      </c>
      <c r="D218" s="60" t="s">
        <v>110</v>
      </c>
      <c r="H218" s="57" t="s">
        <v>100</v>
      </c>
      <c r="I218" s="58" t="s">
        <v>108</v>
      </c>
      <c r="J218" s="473" t="s">
        <v>109</v>
      </c>
      <c r="K218" s="60" t="s">
        <v>110</v>
      </c>
      <c r="M218" s="12"/>
      <c r="N218" s="12"/>
      <c r="O218" s="12"/>
    </row>
    <row r="219" spans="1:15" ht="14.25" customHeight="1">
      <c r="A219" s="71">
        <v>719</v>
      </c>
      <c r="B219" s="73" t="e">
        <f>+#REF!+#REF!</f>
        <v>#REF!</v>
      </c>
      <c r="C219" s="74" t="e">
        <f>+D180</f>
        <v>#REF!</v>
      </c>
      <c r="D219" s="76" t="e">
        <f>+B219+C219</f>
        <v>#REF!</v>
      </c>
      <c r="H219" s="71">
        <v>719</v>
      </c>
      <c r="I219" s="73"/>
      <c r="J219" s="74">
        <f>+K180</f>
        <v>2570000</v>
      </c>
      <c r="K219" s="195">
        <f>+I219+J219</f>
        <v>2570000</v>
      </c>
      <c r="M219" s="12"/>
      <c r="N219" s="12"/>
      <c r="O219" s="12"/>
    </row>
    <row r="220" spans="1:15" ht="15" customHeight="1">
      <c r="A220" s="72">
        <v>721</v>
      </c>
      <c r="B220" s="80"/>
      <c r="C220" s="74" t="e">
        <f>+D181</f>
        <v>#REF!</v>
      </c>
      <c r="D220" s="76" t="e">
        <f>+B220+C220</f>
        <v>#REF!</v>
      </c>
      <c r="H220" s="72">
        <v>721</v>
      </c>
      <c r="I220" s="80"/>
      <c r="J220" s="74">
        <f>+K181</f>
        <v>899500</v>
      </c>
      <c r="K220" s="195">
        <f>+I220+J220</f>
        <v>899500</v>
      </c>
      <c r="M220" s="12"/>
      <c r="N220" s="12"/>
      <c r="O220" s="12"/>
    </row>
    <row r="221" spans="1:15" ht="12.75" customHeight="1">
      <c r="A221" s="72">
        <v>722</v>
      </c>
      <c r="B221" s="80" t="e">
        <f>+#REF!+#REF!</f>
        <v>#REF!</v>
      </c>
      <c r="C221" s="74">
        <f>+D182</f>
        <v>224787287</v>
      </c>
      <c r="D221" s="76" t="e">
        <f>+B221+C221</f>
        <v>#REF!</v>
      </c>
      <c r="H221" s="72">
        <v>722</v>
      </c>
      <c r="I221" s="80"/>
      <c r="J221" s="74">
        <f>+K182</f>
        <v>0</v>
      </c>
      <c r="K221" s="195">
        <f>+I221+J221</f>
        <v>0</v>
      </c>
      <c r="M221" s="12"/>
      <c r="N221" s="12"/>
      <c r="O221" s="12"/>
    </row>
    <row r="222" spans="1:15" ht="13.5" customHeight="1" thickBot="1">
      <c r="A222" s="72">
        <v>723</v>
      </c>
      <c r="B222" s="80"/>
      <c r="C222" s="74">
        <f>+D183</f>
        <v>319828837</v>
      </c>
      <c r="D222" s="76">
        <f>+B222+C222</f>
        <v>319828837</v>
      </c>
      <c r="F222" s="174" t="s">
        <v>23</v>
      </c>
      <c r="G222" s="175"/>
      <c r="H222" s="72">
        <v>723</v>
      </c>
      <c r="I222" s="80">
        <f>+O198+O200+O202+O204+O206+O208</f>
        <v>11240840</v>
      </c>
      <c r="J222" s="74">
        <f>+K183</f>
        <v>174588472</v>
      </c>
      <c r="K222" s="195">
        <f>+I222+J222</f>
        <v>185829312</v>
      </c>
      <c r="M222" s="918" t="s">
        <v>2347</v>
      </c>
      <c r="N222" s="608"/>
      <c r="O222" s="608"/>
    </row>
    <row r="223" spans="1:15" ht="13.5" hidden="1" customHeight="1">
      <c r="A223" s="164" t="s">
        <v>181</v>
      </c>
      <c r="B223" s="165"/>
      <c r="C223" s="74">
        <f>+D184</f>
        <v>1965625</v>
      </c>
      <c r="D223" s="168">
        <f>+B223+C223</f>
        <v>1965625</v>
      </c>
      <c r="F223" s="52"/>
      <c r="H223" s="164" t="s">
        <v>181</v>
      </c>
      <c r="I223" s="165"/>
      <c r="J223" s="74">
        <f>+K184</f>
        <v>0</v>
      </c>
      <c r="K223" s="196">
        <f>+I223+J223</f>
        <v>0</v>
      </c>
      <c r="M223" s="52"/>
    </row>
    <row r="224" spans="1:15" ht="15" customHeight="1" thickBot="1">
      <c r="A224" s="169"/>
      <c r="B224" s="170" t="e">
        <f>SUM(B219:B223)</f>
        <v>#REF!</v>
      </c>
      <c r="C224" s="171" t="e">
        <f>SUM(C219:C223)</f>
        <v>#REF!</v>
      </c>
      <c r="D224" s="172" t="e">
        <f>SUM(D219:D223)</f>
        <v>#REF!</v>
      </c>
      <c r="H224" s="169"/>
      <c r="I224" s="197">
        <f>SUM(I219:I223)</f>
        <v>11240840</v>
      </c>
      <c r="J224" s="197">
        <f>SUM(J219:J223)</f>
        <v>178057972</v>
      </c>
      <c r="K224" s="198">
        <f>SUM(K219:K223)</f>
        <v>189298812</v>
      </c>
    </row>
    <row r="225" spans="1:15" ht="15.75" customHeight="1">
      <c r="A225" s="49" t="s">
        <v>88</v>
      </c>
      <c r="B225" s="50"/>
      <c r="H225" s="49" t="s">
        <v>88</v>
      </c>
      <c r="I225" s="50"/>
    </row>
    <row r="226" spans="1:15" ht="12" customHeight="1">
      <c r="A226" s="51" t="s">
        <v>89</v>
      </c>
      <c r="H226" s="51" t="s">
        <v>89</v>
      </c>
    </row>
    <row r="227" spans="1:15" ht="12" customHeight="1">
      <c r="A227" s="51" t="s">
        <v>90</v>
      </c>
      <c r="H227" s="51" t="s">
        <v>90</v>
      </c>
    </row>
    <row r="228" spans="1:15" ht="11.25" customHeight="1">
      <c r="A228" s="51" t="s">
        <v>91</v>
      </c>
      <c r="H228" s="51" t="s">
        <v>91</v>
      </c>
    </row>
    <row r="229" spans="1:15" ht="4.5" customHeight="1">
      <c r="A229" s="50"/>
      <c r="B229" s="50"/>
      <c r="H229" s="50"/>
      <c r="I229" s="50"/>
    </row>
    <row r="230" spans="1:15" ht="12.75" customHeight="1">
      <c r="A230" s="52" t="s">
        <v>256</v>
      </c>
      <c r="G230" s="52"/>
      <c r="H230" s="52" t="s">
        <v>1641</v>
      </c>
      <c r="I230" s="243"/>
      <c r="N230" s="52"/>
    </row>
    <row r="231" spans="1:15" ht="15.75">
      <c r="A231" s="53" t="s">
        <v>92</v>
      </c>
      <c r="G231" s="53"/>
      <c r="H231" s="53" t="s">
        <v>2443</v>
      </c>
      <c r="N231" s="53"/>
    </row>
    <row r="232" spans="1:15" ht="13.5" customHeight="1">
      <c r="A232" s="894" t="s">
        <v>261</v>
      </c>
      <c r="B232" s="894"/>
      <c r="C232" s="894"/>
      <c r="D232" s="894"/>
      <c r="E232" s="894"/>
      <c r="F232" s="894"/>
      <c r="G232" s="894"/>
      <c r="H232" s="894" t="s">
        <v>212</v>
      </c>
      <c r="I232" s="894"/>
      <c r="J232" s="894"/>
      <c r="K232" s="894"/>
      <c r="L232" s="894"/>
      <c r="M232" s="894"/>
      <c r="N232" s="894"/>
      <c r="O232" s="894"/>
    </row>
    <row r="233" spans="1:15" ht="8.25" customHeight="1" thickBot="1"/>
    <row r="234" spans="1:15">
      <c r="A234" s="895" t="s">
        <v>94</v>
      </c>
      <c r="B234" s="897" t="s">
        <v>95</v>
      </c>
      <c r="C234" s="897" t="s">
        <v>96</v>
      </c>
      <c r="D234" s="897" t="s">
        <v>3</v>
      </c>
      <c r="E234" s="897" t="s">
        <v>97</v>
      </c>
      <c r="F234" s="897" t="s">
        <v>98</v>
      </c>
      <c r="G234" s="500" t="s">
        <v>99</v>
      </c>
      <c r="H234" s="895" t="s">
        <v>94</v>
      </c>
      <c r="I234" s="897" t="s">
        <v>95</v>
      </c>
      <c r="J234" s="897" t="s">
        <v>96</v>
      </c>
      <c r="K234" s="897" t="s">
        <v>3</v>
      </c>
      <c r="L234" s="897" t="s">
        <v>97</v>
      </c>
      <c r="M234" s="897" t="s">
        <v>98</v>
      </c>
      <c r="N234" s="897" t="s">
        <v>99</v>
      </c>
      <c r="O234" s="899"/>
    </row>
    <row r="235" spans="1:15" ht="15.75" thickBot="1">
      <c r="A235" s="896"/>
      <c r="B235" s="898"/>
      <c r="C235" s="898"/>
      <c r="D235" s="898"/>
      <c r="E235" s="898"/>
      <c r="F235" s="898"/>
      <c r="G235" s="240" t="s">
        <v>100</v>
      </c>
      <c r="H235" s="896"/>
      <c r="I235" s="898"/>
      <c r="J235" s="898"/>
      <c r="K235" s="898"/>
      <c r="L235" s="898"/>
      <c r="M235" s="898"/>
      <c r="N235" s="240" t="s">
        <v>100</v>
      </c>
      <c r="O235" s="182" t="s">
        <v>101</v>
      </c>
    </row>
    <row r="236" spans="1:15" ht="13.5" customHeight="1">
      <c r="A236" s="881" t="e">
        <f>+A203+1</f>
        <v>#REF!</v>
      </c>
      <c r="B236" s="875">
        <v>42252</v>
      </c>
      <c r="C236" s="942" t="s">
        <v>31</v>
      </c>
      <c r="D236" s="881" t="s">
        <v>257</v>
      </c>
      <c r="E236" s="881" t="s">
        <v>115</v>
      </c>
      <c r="F236" s="883">
        <v>90000</v>
      </c>
      <c r="G236" s="55">
        <v>719</v>
      </c>
      <c r="H236" s="873" t="s">
        <v>2302</v>
      </c>
      <c r="I236" s="875">
        <v>45365</v>
      </c>
      <c r="J236" s="877" t="s">
        <v>1897</v>
      </c>
      <c r="K236" s="881" t="s">
        <v>2445</v>
      </c>
      <c r="L236" s="881" t="s">
        <v>115</v>
      </c>
      <c r="M236" s="883">
        <v>5000000</v>
      </c>
      <c r="N236" s="55">
        <v>719</v>
      </c>
      <c r="O236" s="78"/>
    </row>
    <row r="237" spans="1:15" ht="14.25" customHeight="1" thickBot="1">
      <c r="A237" s="882"/>
      <c r="B237" s="934"/>
      <c r="C237" s="943"/>
      <c r="D237" s="882"/>
      <c r="E237" s="882"/>
      <c r="F237" s="884"/>
      <c r="G237" s="56">
        <v>721</v>
      </c>
      <c r="H237" s="882"/>
      <c r="I237" s="876"/>
      <c r="J237" s="878"/>
      <c r="K237" s="882"/>
      <c r="L237" s="882"/>
      <c r="M237" s="884"/>
      <c r="N237" s="56">
        <v>723</v>
      </c>
      <c r="O237" s="79">
        <f>+M236</f>
        <v>5000000</v>
      </c>
    </row>
    <row r="238" spans="1:15" ht="12.75" customHeight="1">
      <c r="A238" s="881" t="e">
        <f>+A236+1</f>
        <v>#REF!</v>
      </c>
      <c r="B238" s="875">
        <v>42252</v>
      </c>
      <c r="C238" s="935" t="s">
        <v>28</v>
      </c>
      <c r="D238" s="881" t="s">
        <v>258</v>
      </c>
      <c r="E238" s="881" t="s">
        <v>115</v>
      </c>
      <c r="F238" s="883">
        <v>40000</v>
      </c>
      <c r="G238" s="55">
        <v>719</v>
      </c>
      <c r="H238" s="873" t="s">
        <v>2303</v>
      </c>
      <c r="I238" s="875">
        <v>45365</v>
      </c>
      <c r="J238" s="881" t="s">
        <v>780</v>
      </c>
      <c r="K238" s="881" t="s">
        <v>2445</v>
      </c>
      <c r="L238" s="881" t="s">
        <v>115</v>
      </c>
      <c r="M238" s="883">
        <v>6764500</v>
      </c>
      <c r="N238" s="55">
        <v>719</v>
      </c>
      <c r="O238" s="78"/>
    </row>
    <row r="239" spans="1:15" ht="13.5" customHeight="1" thickBot="1">
      <c r="A239" s="882"/>
      <c r="B239" s="934"/>
      <c r="C239" s="936"/>
      <c r="D239" s="882"/>
      <c r="E239" s="882"/>
      <c r="F239" s="884"/>
      <c r="G239" s="56">
        <v>721</v>
      </c>
      <c r="H239" s="882"/>
      <c r="I239" s="876"/>
      <c r="J239" s="882"/>
      <c r="K239" s="882"/>
      <c r="L239" s="882"/>
      <c r="M239" s="884"/>
      <c r="N239" s="56">
        <v>723</v>
      </c>
      <c r="O239" s="79">
        <f>+M238</f>
        <v>6764500</v>
      </c>
    </row>
    <row r="240" spans="1:15" ht="12.75" customHeight="1">
      <c r="A240" s="881" t="e">
        <f>+A238+1</f>
        <v>#REF!</v>
      </c>
      <c r="B240" s="875">
        <v>42252</v>
      </c>
      <c r="C240" s="877" t="s">
        <v>32</v>
      </c>
      <c r="D240" s="881" t="s">
        <v>259</v>
      </c>
      <c r="E240" s="881" t="s">
        <v>115</v>
      </c>
      <c r="F240" s="883">
        <v>80000</v>
      </c>
      <c r="G240" s="55">
        <v>719</v>
      </c>
      <c r="H240" s="873" t="s">
        <v>2304</v>
      </c>
      <c r="I240" s="875">
        <v>45365</v>
      </c>
      <c r="J240" s="910" t="s">
        <v>1899</v>
      </c>
      <c r="K240" s="881" t="s">
        <v>2445</v>
      </c>
      <c r="L240" s="881" t="s">
        <v>115</v>
      </c>
      <c r="M240" s="883">
        <v>4000000</v>
      </c>
      <c r="N240" s="55">
        <v>719</v>
      </c>
      <c r="O240" s="78"/>
    </row>
    <row r="241" spans="1:15" ht="13.5" customHeight="1" thickBot="1">
      <c r="A241" s="882"/>
      <c r="B241" s="934"/>
      <c r="C241" s="878"/>
      <c r="D241" s="882"/>
      <c r="E241" s="882"/>
      <c r="F241" s="884"/>
      <c r="G241" s="56">
        <v>721</v>
      </c>
      <c r="H241" s="882"/>
      <c r="I241" s="876"/>
      <c r="J241" s="911"/>
      <c r="K241" s="882"/>
      <c r="L241" s="882"/>
      <c r="M241" s="884"/>
      <c r="N241" s="56">
        <v>723</v>
      </c>
      <c r="O241" s="79">
        <f>+M240-O240</f>
        <v>4000000</v>
      </c>
    </row>
    <row r="242" spans="1:15" ht="13.5" customHeight="1">
      <c r="A242" s="251"/>
      <c r="B242" s="452"/>
      <c r="C242" s="253"/>
      <c r="D242" s="251"/>
      <c r="E242" s="251"/>
      <c r="F242" s="254"/>
      <c r="G242" s="255"/>
      <c r="H242" s="873" t="s">
        <v>2305</v>
      </c>
      <c r="I242" s="875">
        <v>45365</v>
      </c>
      <c r="J242" s="910" t="s">
        <v>1984</v>
      </c>
      <c r="K242" s="881" t="s">
        <v>2445</v>
      </c>
      <c r="L242" s="881" t="s">
        <v>115</v>
      </c>
      <c r="M242" s="883">
        <v>1392800</v>
      </c>
      <c r="N242" s="55">
        <v>719</v>
      </c>
      <c r="O242" s="78"/>
    </row>
    <row r="243" spans="1:15" ht="13.5" customHeight="1" thickBot="1">
      <c r="A243" s="251"/>
      <c r="B243" s="452"/>
      <c r="C243" s="253"/>
      <c r="D243" s="251"/>
      <c r="E243" s="251"/>
      <c r="F243" s="254"/>
      <c r="G243" s="255"/>
      <c r="H243" s="882"/>
      <c r="I243" s="876"/>
      <c r="J243" s="911"/>
      <c r="K243" s="882"/>
      <c r="L243" s="882"/>
      <c r="M243" s="884"/>
      <c r="N243" s="56">
        <v>723</v>
      </c>
      <c r="O243" s="79">
        <f>+M242-O242</f>
        <v>1392800</v>
      </c>
    </row>
    <row r="244" spans="1:15" ht="13.5" customHeight="1">
      <c r="A244" s="881"/>
      <c r="B244" s="875"/>
      <c r="C244" s="877"/>
      <c r="D244" s="877"/>
      <c r="E244" s="881"/>
      <c r="F244" s="883"/>
      <c r="G244" s="55">
        <v>719</v>
      </c>
      <c r="H244" s="873" t="s">
        <v>2306</v>
      </c>
      <c r="I244" s="875">
        <v>45365</v>
      </c>
      <c r="J244" s="877" t="s">
        <v>2266</v>
      </c>
      <c r="K244" s="881" t="s">
        <v>2445</v>
      </c>
      <c r="L244" s="881" t="s">
        <v>165</v>
      </c>
      <c r="M244" s="883">
        <v>1500000</v>
      </c>
      <c r="N244" s="55">
        <v>719</v>
      </c>
      <c r="O244" s="78"/>
    </row>
    <row r="245" spans="1:15" ht="12.75" customHeight="1" thickBot="1">
      <c r="A245" s="882"/>
      <c r="B245" s="934"/>
      <c r="C245" s="878"/>
      <c r="D245" s="878"/>
      <c r="E245" s="882"/>
      <c r="F245" s="884"/>
      <c r="G245" s="56">
        <v>721</v>
      </c>
      <c r="H245" s="882"/>
      <c r="I245" s="876"/>
      <c r="J245" s="878"/>
      <c r="K245" s="882"/>
      <c r="L245" s="882"/>
      <c r="M245" s="884"/>
      <c r="N245" s="56">
        <v>723</v>
      </c>
      <c r="O245" s="79">
        <f>+M244-O244</f>
        <v>1500000</v>
      </c>
    </row>
    <row r="246" spans="1:15" ht="12.75" customHeight="1">
      <c r="A246" s="881"/>
      <c r="B246" s="875"/>
      <c r="C246" s="935"/>
      <c r="D246" s="877"/>
      <c r="E246" s="881"/>
      <c r="F246" s="883"/>
      <c r="G246" s="55">
        <v>719</v>
      </c>
      <c r="H246" s="873" t="s">
        <v>2312</v>
      </c>
      <c r="I246" s="875">
        <v>45365</v>
      </c>
      <c r="J246" s="877" t="s">
        <v>2165</v>
      </c>
      <c r="K246" s="881" t="s">
        <v>2445</v>
      </c>
      <c r="L246" s="881" t="s">
        <v>115</v>
      </c>
      <c r="M246" s="883">
        <v>750000</v>
      </c>
      <c r="N246" s="55">
        <v>719</v>
      </c>
      <c r="O246" s="78"/>
    </row>
    <row r="247" spans="1:15" ht="13.5" customHeight="1" thickBot="1">
      <c r="A247" s="882"/>
      <c r="B247" s="934"/>
      <c r="C247" s="936"/>
      <c r="D247" s="878"/>
      <c r="E247" s="882"/>
      <c r="F247" s="884"/>
      <c r="G247" s="56">
        <v>721</v>
      </c>
      <c r="H247" s="882"/>
      <c r="I247" s="876"/>
      <c r="J247" s="878"/>
      <c r="K247" s="882"/>
      <c r="L247" s="882"/>
      <c r="M247" s="884"/>
      <c r="N247" s="56">
        <v>723</v>
      </c>
      <c r="O247" s="79">
        <f>+M246-O246</f>
        <v>750000</v>
      </c>
    </row>
    <row r="248" spans="1:15" ht="16.5" thickBot="1">
      <c r="A248" s="901" t="s">
        <v>102</v>
      </c>
      <c r="B248" s="902"/>
      <c r="C248" s="902"/>
      <c r="D248" s="902"/>
      <c r="E248" s="903"/>
      <c r="F248" s="81">
        <f>SUM(F236:F247)</f>
        <v>210000</v>
      </c>
      <c r="H248" s="901" t="s">
        <v>102</v>
      </c>
      <c r="I248" s="902"/>
      <c r="J248" s="902"/>
      <c r="K248" s="902"/>
      <c r="L248" s="903"/>
      <c r="M248" s="81">
        <f>SUM(M236:M247)</f>
        <v>19407300</v>
      </c>
    </row>
    <row r="249" spans="1:15" ht="14.25" customHeight="1" thickBot="1">
      <c r="A249" s="885" t="s">
        <v>103</v>
      </c>
      <c r="B249" s="886"/>
      <c r="C249" s="886"/>
      <c r="D249" s="886"/>
      <c r="E249" s="887"/>
      <c r="F249" s="69" t="e">
        <f>+F211</f>
        <v>#REF!</v>
      </c>
      <c r="H249" s="885" t="s">
        <v>103</v>
      </c>
      <c r="I249" s="886"/>
      <c r="J249" s="886"/>
      <c r="K249" s="886"/>
      <c r="L249" s="887"/>
      <c r="M249" s="239">
        <f>+M211</f>
        <v>189298812</v>
      </c>
      <c r="N249" s="241" t="s">
        <v>561</v>
      </c>
      <c r="O249" s="242"/>
    </row>
    <row r="250" spans="1:15" ht="15" customHeight="1" thickBot="1">
      <c r="A250" s="888" t="s">
        <v>104</v>
      </c>
      <c r="B250" s="889"/>
      <c r="C250" s="889"/>
      <c r="D250" s="889"/>
      <c r="E250" s="890"/>
      <c r="F250" s="183" t="e">
        <f>SUM(F248:F249)</f>
        <v>#REF!</v>
      </c>
      <c r="H250" s="888" t="s">
        <v>104</v>
      </c>
      <c r="I250" s="889"/>
      <c r="J250" s="889"/>
      <c r="K250" s="889"/>
      <c r="L250" s="890"/>
      <c r="M250" s="183">
        <f>SUM(M248:M249)</f>
        <v>208706112</v>
      </c>
    </row>
    <row r="251" spans="1:15" ht="7.5" customHeight="1">
      <c r="A251" s="61"/>
      <c r="B251" s="61"/>
      <c r="C251" s="61"/>
      <c r="D251" s="61"/>
      <c r="E251" s="61"/>
      <c r="H251" s="61"/>
      <c r="I251" s="61"/>
      <c r="J251" s="61"/>
      <c r="K251" s="61"/>
      <c r="L251" s="61"/>
    </row>
    <row r="252" spans="1:15">
      <c r="A252" s="51" t="s">
        <v>260</v>
      </c>
      <c r="H252" s="51" t="s">
        <v>2547</v>
      </c>
    </row>
    <row r="253" spans="1:15" ht="3.75" customHeight="1">
      <c r="F253" s="139"/>
      <c r="M253" s="139"/>
    </row>
    <row r="254" spans="1:15" ht="13.5" customHeight="1">
      <c r="A254" s="50" t="s">
        <v>105</v>
      </c>
      <c r="D254" s="146"/>
      <c r="F254" s="139"/>
      <c r="H254" s="50" t="s">
        <v>105</v>
      </c>
      <c r="K254" s="146"/>
      <c r="M254" s="139"/>
    </row>
    <row r="255" spans="1:15" ht="6.75" customHeight="1" thickBot="1"/>
    <row r="256" spans="1:15" ht="17.25" thickBot="1">
      <c r="A256" s="891" t="s">
        <v>106</v>
      </c>
      <c r="B256" s="892"/>
      <c r="C256" s="892"/>
      <c r="D256" s="893"/>
      <c r="F256" s="50" t="s">
        <v>263</v>
      </c>
      <c r="H256" s="891" t="s">
        <v>106</v>
      </c>
      <c r="I256" s="892"/>
      <c r="J256" s="892"/>
      <c r="K256" s="893"/>
      <c r="M256" s="604" t="s">
        <v>288</v>
      </c>
      <c r="N256" s="604"/>
      <c r="O256" s="604"/>
    </row>
    <row r="257" spans="1:15" ht="28.5" customHeight="1" thickBot="1">
      <c r="A257" s="57" t="s">
        <v>100</v>
      </c>
      <c r="B257" s="58" t="s">
        <v>108</v>
      </c>
      <c r="C257" s="59" t="s">
        <v>109</v>
      </c>
      <c r="D257" s="60" t="s">
        <v>110</v>
      </c>
      <c r="H257" s="57" t="s">
        <v>100</v>
      </c>
      <c r="I257" s="58" t="s">
        <v>108</v>
      </c>
      <c r="J257" s="263" t="s">
        <v>109</v>
      </c>
      <c r="K257" s="60" t="s">
        <v>110</v>
      </c>
      <c r="M257" s="12"/>
      <c r="N257" s="12"/>
      <c r="O257" s="12"/>
    </row>
    <row r="258" spans="1:15" ht="13.5" customHeight="1">
      <c r="A258" s="71">
        <v>719</v>
      </c>
      <c r="B258" s="73" t="e">
        <f>+#REF!+#REF!+#REF!</f>
        <v>#REF!</v>
      </c>
      <c r="C258" s="74" t="e">
        <f>+D219</f>
        <v>#REF!</v>
      </c>
      <c r="D258" s="76" t="e">
        <f>+B258+C258</f>
        <v>#REF!</v>
      </c>
      <c r="H258" s="71">
        <v>719</v>
      </c>
      <c r="I258" s="73">
        <f>+O236+O238+O240+O244+O246</f>
        <v>0</v>
      </c>
      <c r="J258" s="74">
        <f>+K219</f>
        <v>2570000</v>
      </c>
      <c r="K258" s="195">
        <f>+I258+J258</f>
        <v>2570000</v>
      </c>
      <c r="M258" s="12"/>
      <c r="N258" s="12"/>
      <c r="O258" s="12"/>
    </row>
    <row r="259" spans="1:15" ht="14.25" customHeight="1">
      <c r="A259" s="72">
        <v>721</v>
      </c>
      <c r="B259" s="80"/>
      <c r="C259" s="74" t="e">
        <f>+D220</f>
        <v>#REF!</v>
      </c>
      <c r="D259" s="76" t="e">
        <f>+B259+C259</f>
        <v>#REF!</v>
      </c>
      <c r="H259" s="72">
        <v>721</v>
      </c>
      <c r="I259" s="80">
        <v>0</v>
      </c>
      <c r="J259" s="74">
        <f>+K220</f>
        <v>899500</v>
      </c>
      <c r="K259" s="195">
        <f>+I259+J259</f>
        <v>899500</v>
      </c>
      <c r="M259" s="12"/>
      <c r="N259" s="12"/>
      <c r="O259" s="12"/>
    </row>
    <row r="260" spans="1:15" ht="12.75" customHeight="1">
      <c r="A260" s="72">
        <v>722</v>
      </c>
      <c r="B260" s="80"/>
      <c r="C260" s="74" t="e">
        <f>+D221</f>
        <v>#REF!</v>
      </c>
      <c r="D260" s="76" t="e">
        <f>+B260+C260</f>
        <v>#REF!</v>
      </c>
      <c r="H260" s="72">
        <v>722</v>
      </c>
      <c r="I260" s="80"/>
      <c r="J260" s="74">
        <f>+K221</f>
        <v>0</v>
      </c>
      <c r="K260" s="195">
        <f>+I260+J260</f>
        <v>0</v>
      </c>
      <c r="M260" s="12"/>
      <c r="N260" s="12"/>
      <c r="O260" s="12"/>
    </row>
    <row r="261" spans="1:15" ht="12.75" customHeight="1" thickBot="1">
      <c r="A261" s="72">
        <v>723</v>
      </c>
      <c r="B261" s="80"/>
      <c r="C261" s="74">
        <f>+D222</f>
        <v>319828837</v>
      </c>
      <c r="D261" s="76">
        <f>+B261+C261</f>
        <v>319828837</v>
      </c>
      <c r="F261" s="174" t="s">
        <v>262</v>
      </c>
      <c r="G261" s="175"/>
      <c r="H261" s="72">
        <v>723</v>
      </c>
      <c r="I261" s="80">
        <f>+O237+O239+O241+O245+O247+O243</f>
        <v>19407300</v>
      </c>
      <c r="J261" s="74">
        <f>+K222</f>
        <v>185829312</v>
      </c>
      <c r="K261" s="195">
        <f>+I261+J261</f>
        <v>205236612</v>
      </c>
      <c r="M261" s="918" t="s">
        <v>2347</v>
      </c>
      <c r="N261" s="608"/>
      <c r="O261" s="608"/>
    </row>
    <row r="262" spans="1:15" ht="13.5" hidden="1" customHeight="1">
      <c r="A262" s="164" t="s">
        <v>181</v>
      </c>
      <c r="B262" s="165"/>
      <c r="C262" s="74">
        <f>+D223</f>
        <v>1965625</v>
      </c>
      <c r="D262" s="168">
        <f>+B262+C262</f>
        <v>1965625</v>
      </c>
      <c r="F262" s="52"/>
      <c r="H262" s="164" t="s">
        <v>181</v>
      </c>
      <c r="I262" s="165"/>
      <c r="J262" s="74">
        <f>+K223</f>
        <v>0</v>
      </c>
      <c r="K262" s="196">
        <f>+I262+J262</f>
        <v>0</v>
      </c>
      <c r="M262" s="52"/>
    </row>
    <row r="263" spans="1:15" ht="15" customHeight="1" thickBot="1">
      <c r="A263" s="169"/>
      <c r="B263" s="170" t="e">
        <f>SUM(B258:B262)</f>
        <v>#REF!</v>
      </c>
      <c r="C263" s="171" t="e">
        <f>SUM(C258:C262)</f>
        <v>#REF!</v>
      </c>
      <c r="D263" s="172" t="e">
        <f>SUM(D258:D262)</f>
        <v>#REF!</v>
      </c>
      <c r="H263" s="169"/>
      <c r="I263" s="197">
        <f>SUM(I258:I262)</f>
        <v>19407300</v>
      </c>
      <c r="J263" s="197">
        <f>SUM(J258:J262)</f>
        <v>189298812</v>
      </c>
      <c r="K263" s="198">
        <f>SUM(K258:K262)</f>
        <v>208706112</v>
      </c>
    </row>
    <row r="264" spans="1:15" ht="15" customHeight="1">
      <c r="A264" s="49" t="s">
        <v>88</v>
      </c>
      <c r="B264" s="50"/>
      <c r="H264" s="49" t="s">
        <v>88</v>
      </c>
      <c r="I264" s="50"/>
    </row>
    <row r="265" spans="1:15" ht="12.75" customHeight="1">
      <c r="A265" s="51" t="s">
        <v>89</v>
      </c>
      <c r="H265" s="51" t="s">
        <v>89</v>
      </c>
    </row>
    <row r="266" spans="1:15" ht="13.5" customHeight="1">
      <c r="A266" s="51" t="s">
        <v>90</v>
      </c>
      <c r="H266" s="51" t="s">
        <v>90</v>
      </c>
    </row>
    <row r="267" spans="1:15" ht="13.5" customHeight="1">
      <c r="A267" s="51" t="s">
        <v>91</v>
      </c>
      <c r="H267" s="51" t="s">
        <v>91</v>
      </c>
    </row>
    <row r="268" spans="1:15" ht="3" customHeight="1">
      <c r="A268" s="50"/>
      <c r="B268" s="50"/>
      <c r="H268" s="50"/>
      <c r="I268" s="50"/>
    </row>
    <row r="269" spans="1:15" ht="14.25" customHeight="1">
      <c r="A269" s="52" t="s">
        <v>264</v>
      </c>
      <c r="G269" s="52"/>
      <c r="H269" s="52" t="s">
        <v>1731</v>
      </c>
      <c r="I269" s="244"/>
      <c r="N269" s="52"/>
    </row>
    <row r="270" spans="1:15" ht="15.75">
      <c r="A270" s="53" t="s">
        <v>92</v>
      </c>
      <c r="G270" s="53"/>
      <c r="H270" s="53" t="s">
        <v>2443</v>
      </c>
      <c r="N270" s="53"/>
    </row>
    <row r="271" spans="1:15" ht="14.25" customHeight="1">
      <c r="A271" s="894" t="s">
        <v>261</v>
      </c>
      <c r="B271" s="894"/>
      <c r="C271" s="894"/>
      <c r="D271" s="894"/>
      <c r="E271" s="894"/>
      <c r="F271" s="894"/>
      <c r="G271" s="894"/>
      <c r="H271" s="894" t="s">
        <v>212</v>
      </c>
      <c r="I271" s="894"/>
      <c r="J271" s="894"/>
      <c r="K271" s="894"/>
      <c r="L271" s="894"/>
      <c r="M271" s="894"/>
      <c r="N271" s="894"/>
      <c r="O271" s="894"/>
    </row>
    <row r="272" spans="1:15" ht="3.75" customHeight="1" thickBot="1"/>
    <row r="273" spans="1:17">
      <c r="A273" s="895" t="s">
        <v>94</v>
      </c>
      <c r="B273" s="897" t="s">
        <v>95</v>
      </c>
      <c r="C273" s="897" t="s">
        <v>96</v>
      </c>
      <c r="D273" s="897" t="s">
        <v>3</v>
      </c>
      <c r="E273" s="897" t="s">
        <v>97</v>
      </c>
      <c r="F273" s="897" t="s">
        <v>98</v>
      </c>
      <c r="G273" s="500" t="s">
        <v>99</v>
      </c>
      <c r="H273" s="895" t="s">
        <v>94</v>
      </c>
      <c r="I273" s="897" t="s">
        <v>95</v>
      </c>
      <c r="J273" s="897" t="s">
        <v>96</v>
      </c>
      <c r="K273" s="897" t="s">
        <v>3</v>
      </c>
      <c r="L273" s="897" t="s">
        <v>97</v>
      </c>
      <c r="M273" s="897" t="s">
        <v>98</v>
      </c>
      <c r="N273" s="897" t="s">
        <v>99</v>
      </c>
      <c r="O273" s="899"/>
    </row>
    <row r="274" spans="1:17" ht="15.75" thickBot="1">
      <c r="A274" s="896"/>
      <c r="B274" s="898"/>
      <c r="C274" s="898"/>
      <c r="D274" s="898"/>
      <c r="E274" s="898"/>
      <c r="F274" s="898"/>
      <c r="G274" s="240" t="s">
        <v>100</v>
      </c>
      <c r="H274" s="896"/>
      <c r="I274" s="898"/>
      <c r="J274" s="898"/>
      <c r="K274" s="898"/>
      <c r="L274" s="898"/>
      <c r="M274" s="898"/>
      <c r="N274" s="240" t="s">
        <v>100</v>
      </c>
      <c r="O274" s="182" t="s">
        <v>101</v>
      </c>
    </row>
    <row r="275" spans="1:17" ht="11.25" customHeight="1">
      <c r="A275" s="881" t="e">
        <f>+A240+1</f>
        <v>#REF!</v>
      </c>
      <c r="B275" s="875">
        <v>42254</v>
      </c>
      <c r="C275" s="877" t="s">
        <v>267</v>
      </c>
      <c r="D275" s="881" t="s">
        <v>266</v>
      </c>
      <c r="E275" s="881" t="s">
        <v>148</v>
      </c>
      <c r="F275" s="883">
        <v>252000</v>
      </c>
      <c r="G275" s="55">
        <v>719</v>
      </c>
      <c r="H275" s="873" t="s">
        <v>2313</v>
      </c>
      <c r="I275" s="875">
        <v>45365</v>
      </c>
      <c r="J275" s="627" t="s">
        <v>2310</v>
      </c>
      <c r="K275" s="881" t="s">
        <v>2445</v>
      </c>
      <c r="L275" s="881" t="s">
        <v>115</v>
      </c>
      <c r="M275" s="883">
        <v>3000000</v>
      </c>
      <c r="N275" s="55">
        <v>719</v>
      </c>
      <c r="O275" s="78"/>
    </row>
    <row r="276" spans="1:17" ht="14.25" customHeight="1" thickBot="1">
      <c r="A276" s="882"/>
      <c r="B276" s="934"/>
      <c r="C276" s="878"/>
      <c r="D276" s="882"/>
      <c r="E276" s="882"/>
      <c r="F276" s="884"/>
      <c r="G276" s="56">
        <v>721</v>
      </c>
      <c r="H276" s="882"/>
      <c r="I276" s="876"/>
      <c r="J276" s="629"/>
      <c r="K276" s="882"/>
      <c r="L276" s="882"/>
      <c r="M276" s="884"/>
      <c r="N276" s="56">
        <v>723</v>
      </c>
      <c r="O276" s="352">
        <f>+M275</f>
        <v>3000000</v>
      </c>
    </row>
    <row r="277" spans="1:17" ht="12" customHeight="1">
      <c r="A277" s="881" t="e">
        <f>+A275+1</f>
        <v>#REF!</v>
      </c>
      <c r="B277" s="875">
        <v>42254</v>
      </c>
      <c r="C277" s="881" t="s">
        <v>28</v>
      </c>
      <c r="D277" s="881" t="s">
        <v>258</v>
      </c>
      <c r="E277" s="881" t="s">
        <v>148</v>
      </c>
      <c r="F277" s="883">
        <v>560000</v>
      </c>
      <c r="G277" s="55">
        <v>719</v>
      </c>
      <c r="H277" s="873" t="s">
        <v>2314</v>
      </c>
      <c r="I277" s="875">
        <v>45365</v>
      </c>
      <c r="J277" s="877" t="s">
        <v>2311</v>
      </c>
      <c r="K277" s="881" t="s">
        <v>2445</v>
      </c>
      <c r="L277" s="881" t="s">
        <v>115</v>
      </c>
      <c r="M277" s="883">
        <v>1200000</v>
      </c>
      <c r="N277" s="55">
        <v>719</v>
      </c>
      <c r="O277" s="258"/>
    </row>
    <row r="278" spans="1:17" ht="11.25" customHeight="1" thickBot="1">
      <c r="A278" s="882"/>
      <c r="B278" s="934"/>
      <c r="C278" s="882"/>
      <c r="D278" s="882"/>
      <c r="E278" s="882"/>
      <c r="F278" s="884"/>
      <c r="G278" s="56">
        <v>721</v>
      </c>
      <c r="H278" s="882"/>
      <c r="I278" s="876"/>
      <c r="J278" s="878"/>
      <c r="K278" s="882"/>
      <c r="L278" s="882"/>
      <c r="M278" s="884"/>
      <c r="N278" s="56">
        <v>723</v>
      </c>
      <c r="O278" s="352">
        <f>+M277</f>
        <v>1200000</v>
      </c>
    </row>
    <row r="279" spans="1:17" ht="12.75" customHeight="1">
      <c r="A279" s="881" t="e">
        <f>+A277+1</f>
        <v>#REF!</v>
      </c>
      <c r="B279" s="875">
        <v>42254</v>
      </c>
      <c r="C279" s="877" t="s">
        <v>32</v>
      </c>
      <c r="D279" s="881" t="s">
        <v>265</v>
      </c>
      <c r="E279" s="881" t="s">
        <v>148</v>
      </c>
      <c r="F279" s="883">
        <v>154000</v>
      </c>
      <c r="G279" s="55">
        <v>719</v>
      </c>
      <c r="H279" s="873" t="s">
        <v>2315</v>
      </c>
      <c r="I279" s="875">
        <v>45365</v>
      </c>
      <c r="J279" s="877" t="s">
        <v>1897</v>
      </c>
      <c r="K279" s="881" t="s">
        <v>2445</v>
      </c>
      <c r="L279" s="881" t="s">
        <v>115</v>
      </c>
      <c r="M279" s="883">
        <v>3600000</v>
      </c>
      <c r="N279" s="55">
        <v>719</v>
      </c>
      <c r="O279" s="258"/>
      <c r="Q279" s="51" t="s">
        <v>2146</v>
      </c>
    </row>
    <row r="280" spans="1:17" ht="15.75" customHeight="1" thickBot="1">
      <c r="A280" s="882"/>
      <c r="B280" s="934"/>
      <c r="C280" s="878"/>
      <c r="D280" s="882"/>
      <c r="E280" s="882"/>
      <c r="F280" s="884"/>
      <c r="G280" s="56">
        <v>721</v>
      </c>
      <c r="H280" s="882"/>
      <c r="I280" s="876"/>
      <c r="J280" s="878"/>
      <c r="K280" s="882"/>
      <c r="L280" s="882"/>
      <c r="M280" s="884"/>
      <c r="N280" s="56">
        <v>723</v>
      </c>
      <c r="O280" s="352">
        <f>+M279</f>
        <v>3600000</v>
      </c>
    </row>
    <row r="281" spans="1:17" ht="12" customHeight="1">
      <c r="A281" s="881" t="e">
        <f>+A279+1</f>
        <v>#REF!</v>
      </c>
      <c r="B281" s="875">
        <v>42254</v>
      </c>
      <c r="C281" s="877" t="s">
        <v>31</v>
      </c>
      <c r="D281" s="881" t="s">
        <v>265</v>
      </c>
      <c r="E281" s="881" t="s">
        <v>148</v>
      </c>
      <c r="F281" s="883">
        <v>1078000</v>
      </c>
      <c r="G281" s="55">
        <v>719</v>
      </c>
      <c r="H281" s="873" t="s">
        <v>2316</v>
      </c>
      <c r="I281" s="875">
        <v>45365</v>
      </c>
      <c r="J281" s="910" t="s">
        <v>1984</v>
      </c>
      <c r="K281" s="881" t="s">
        <v>2445</v>
      </c>
      <c r="L281" s="881" t="s">
        <v>115</v>
      </c>
      <c r="M281" s="883">
        <v>2400000</v>
      </c>
      <c r="N281" s="55">
        <v>719</v>
      </c>
      <c r="O281" s="258"/>
    </row>
    <row r="282" spans="1:17" ht="12" customHeight="1" thickBot="1">
      <c r="A282" s="882"/>
      <c r="B282" s="934"/>
      <c r="C282" s="878"/>
      <c r="D282" s="882"/>
      <c r="E282" s="882"/>
      <c r="F282" s="884"/>
      <c r="G282" s="56">
        <v>721</v>
      </c>
      <c r="H282" s="882"/>
      <c r="I282" s="876"/>
      <c r="J282" s="911"/>
      <c r="K282" s="882"/>
      <c r="L282" s="882"/>
      <c r="M282" s="884"/>
      <c r="N282" s="56">
        <v>723</v>
      </c>
      <c r="O282" s="352">
        <f>+M281</f>
        <v>2400000</v>
      </c>
    </row>
    <row r="283" spans="1:17" ht="12" customHeight="1">
      <c r="A283" s="251"/>
      <c r="B283" s="452"/>
      <c r="C283" s="253"/>
      <c r="D283" s="251"/>
      <c r="E283" s="251"/>
      <c r="F283" s="254"/>
      <c r="G283" s="255"/>
      <c r="H283" s="873" t="s">
        <v>2317</v>
      </c>
      <c r="I283" s="875">
        <v>45365</v>
      </c>
      <c r="J283" s="910" t="s">
        <v>1984</v>
      </c>
      <c r="K283" s="881" t="s">
        <v>2445</v>
      </c>
      <c r="L283" s="881" t="s">
        <v>115</v>
      </c>
      <c r="M283" s="883">
        <v>3600000</v>
      </c>
      <c r="N283" s="55">
        <v>719</v>
      </c>
      <c r="O283" s="258"/>
    </row>
    <row r="284" spans="1:17" ht="14.25" customHeight="1" thickBot="1">
      <c r="A284" s="251"/>
      <c r="B284" s="452"/>
      <c r="C284" s="253"/>
      <c r="D284" s="251"/>
      <c r="E284" s="251"/>
      <c r="F284" s="254"/>
      <c r="G284" s="255"/>
      <c r="H284" s="882"/>
      <c r="I284" s="876"/>
      <c r="J284" s="911"/>
      <c r="K284" s="882"/>
      <c r="L284" s="882"/>
      <c r="M284" s="884"/>
      <c r="N284" s="56">
        <v>723</v>
      </c>
      <c r="O284" s="352">
        <f>+M283</f>
        <v>3600000</v>
      </c>
    </row>
    <row r="285" spans="1:17" ht="11.25" customHeight="1">
      <c r="A285" s="881" t="e">
        <f>+A281+1</f>
        <v>#REF!</v>
      </c>
      <c r="B285" s="875">
        <v>42254</v>
      </c>
      <c r="C285" s="877" t="s">
        <v>111</v>
      </c>
      <c r="D285" s="881" t="s">
        <v>268</v>
      </c>
      <c r="E285" s="881" t="s">
        <v>148</v>
      </c>
      <c r="F285" s="883">
        <v>112000</v>
      </c>
      <c r="G285" s="55">
        <v>719</v>
      </c>
      <c r="H285" s="873" t="s">
        <v>2324</v>
      </c>
      <c r="I285" s="875">
        <v>45365</v>
      </c>
      <c r="J285" s="910" t="s">
        <v>2508</v>
      </c>
      <c r="K285" s="881" t="s">
        <v>2445</v>
      </c>
      <c r="L285" s="881" t="s">
        <v>115</v>
      </c>
      <c r="M285" s="883">
        <v>420000</v>
      </c>
      <c r="N285" s="496">
        <v>719</v>
      </c>
      <c r="O285" s="258"/>
    </row>
    <row r="286" spans="1:17" ht="15.75" customHeight="1" thickBot="1">
      <c r="A286" s="882"/>
      <c r="B286" s="934"/>
      <c r="C286" s="878"/>
      <c r="D286" s="882"/>
      <c r="E286" s="882"/>
      <c r="F286" s="884"/>
      <c r="G286" s="56">
        <v>721</v>
      </c>
      <c r="H286" s="882"/>
      <c r="I286" s="876"/>
      <c r="J286" s="911"/>
      <c r="K286" s="882"/>
      <c r="L286" s="882"/>
      <c r="M286" s="884"/>
      <c r="N286" s="56">
        <v>723</v>
      </c>
      <c r="O286" s="352">
        <f>+M285-O285</f>
        <v>420000</v>
      </c>
    </row>
    <row r="287" spans="1:17" ht="13.5" customHeight="1" thickBot="1">
      <c r="A287" s="901" t="s">
        <v>102</v>
      </c>
      <c r="B287" s="902"/>
      <c r="C287" s="902"/>
      <c r="D287" s="902"/>
      <c r="E287" s="903"/>
      <c r="F287" s="81">
        <f>SUM(F275:F286)</f>
        <v>2156000</v>
      </c>
      <c r="H287" s="901" t="s">
        <v>102</v>
      </c>
      <c r="I287" s="902"/>
      <c r="J287" s="902"/>
      <c r="K287" s="902"/>
      <c r="L287" s="903"/>
      <c r="M287" s="81">
        <f>SUM(M275:M286)</f>
        <v>14220000</v>
      </c>
    </row>
    <row r="288" spans="1:17" ht="14.25" customHeight="1" thickBot="1">
      <c r="A288" s="885" t="s">
        <v>103</v>
      </c>
      <c r="B288" s="886"/>
      <c r="C288" s="886"/>
      <c r="D288" s="886"/>
      <c r="E288" s="887"/>
      <c r="F288" s="69" t="e">
        <f>+F250</f>
        <v>#REF!</v>
      </c>
      <c r="H288" s="885" t="s">
        <v>103</v>
      </c>
      <c r="I288" s="886"/>
      <c r="J288" s="886"/>
      <c r="K288" s="886"/>
      <c r="L288" s="887"/>
      <c r="M288" s="239">
        <f>+M250</f>
        <v>208706112</v>
      </c>
      <c r="N288" s="241" t="s">
        <v>561</v>
      </c>
      <c r="O288" s="242"/>
    </row>
    <row r="289" spans="1:15" ht="15.75" customHeight="1" thickBot="1">
      <c r="A289" s="888" t="s">
        <v>104</v>
      </c>
      <c r="B289" s="889"/>
      <c r="C289" s="889"/>
      <c r="D289" s="889"/>
      <c r="E289" s="890"/>
      <c r="F289" s="183" t="e">
        <f>SUM(F287:F288)</f>
        <v>#REF!</v>
      </c>
      <c r="H289" s="888" t="s">
        <v>104</v>
      </c>
      <c r="I289" s="889"/>
      <c r="J289" s="889"/>
      <c r="K289" s="889"/>
      <c r="L289" s="890"/>
      <c r="M289" s="183">
        <f>SUM(M287:M288)</f>
        <v>222926112</v>
      </c>
    </row>
    <row r="290" spans="1:15" ht="6.75" customHeight="1">
      <c r="A290" s="61"/>
      <c r="B290" s="61"/>
      <c r="C290" s="61"/>
      <c r="D290" s="61"/>
      <c r="E290" s="61"/>
      <c r="H290" s="61"/>
      <c r="I290" s="61"/>
      <c r="J290" s="61"/>
      <c r="K290" s="61"/>
      <c r="L290" s="61"/>
    </row>
    <row r="291" spans="1:15">
      <c r="A291" s="51" t="s">
        <v>269</v>
      </c>
      <c r="H291" s="51" t="s">
        <v>2545</v>
      </c>
    </row>
    <row r="292" spans="1:15" ht="3.75" customHeight="1">
      <c r="F292" s="139"/>
      <c r="M292" s="139"/>
    </row>
    <row r="293" spans="1:15" ht="12.75" customHeight="1">
      <c r="A293" s="50" t="s">
        <v>105</v>
      </c>
      <c r="D293" s="146"/>
      <c r="F293" s="139"/>
      <c r="H293" s="50" t="s">
        <v>105</v>
      </c>
      <c r="K293" s="146"/>
      <c r="M293" s="139"/>
    </row>
    <row r="294" spans="1:15" ht="3.75" customHeight="1" thickBot="1"/>
    <row r="295" spans="1:15" ht="17.25" thickBot="1">
      <c r="A295" s="891" t="s">
        <v>106</v>
      </c>
      <c r="B295" s="892"/>
      <c r="C295" s="892"/>
      <c r="D295" s="893"/>
      <c r="F295" s="50" t="s">
        <v>270</v>
      </c>
      <c r="H295" s="891" t="s">
        <v>106</v>
      </c>
      <c r="I295" s="892"/>
      <c r="J295" s="892"/>
      <c r="K295" s="893"/>
      <c r="M295" s="604" t="s">
        <v>288</v>
      </c>
      <c r="N295" s="604"/>
      <c r="O295" s="604"/>
    </row>
    <row r="296" spans="1:15" ht="46.5" thickBot="1">
      <c r="A296" s="57" t="s">
        <v>100</v>
      </c>
      <c r="B296" s="58" t="s">
        <v>108</v>
      </c>
      <c r="C296" s="59" t="s">
        <v>109</v>
      </c>
      <c r="D296" s="60" t="s">
        <v>110</v>
      </c>
      <c r="H296" s="57" t="s">
        <v>100</v>
      </c>
      <c r="I296" s="58" t="s">
        <v>108</v>
      </c>
      <c r="J296" s="59" t="s">
        <v>109</v>
      </c>
      <c r="K296" s="60" t="s">
        <v>110</v>
      </c>
      <c r="M296" s="12"/>
    </row>
    <row r="297" spans="1:15" ht="11.25" customHeight="1">
      <c r="A297" s="71">
        <v>719</v>
      </c>
      <c r="B297" s="73" t="e">
        <f>+#REF!+#REF!+#REF!+#REF!+#REF!</f>
        <v>#REF!</v>
      </c>
      <c r="C297" s="74" t="e">
        <f>+D258</f>
        <v>#REF!</v>
      </c>
      <c r="D297" s="76" t="e">
        <f>+B297+C297</f>
        <v>#REF!</v>
      </c>
      <c r="H297" s="71">
        <v>719</v>
      </c>
      <c r="I297" s="73">
        <f>+O275+O277+O279+O281+O285</f>
        <v>0</v>
      </c>
      <c r="J297" s="74">
        <f>+K258</f>
        <v>2570000</v>
      </c>
      <c r="K297" s="195">
        <f>+I297+J297</f>
        <v>2570000</v>
      </c>
      <c r="M297" s="12"/>
    </row>
    <row r="298" spans="1:15" ht="12" customHeight="1">
      <c r="A298" s="72">
        <v>721</v>
      </c>
      <c r="B298" s="80" t="e">
        <f>+#REF!+#REF!+#REF!+#REF!+#REF!</f>
        <v>#REF!</v>
      </c>
      <c r="C298" s="74" t="e">
        <f>+D259</f>
        <v>#REF!</v>
      </c>
      <c r="D298" s="76" t="e">
        <f>+B298+C298</f>
        <v>#REF!</v>
      </c>
      <c r="H298" s="72">
        <v>721</v>
      </c>
      <c r="I298" s="80"/>
      <c r="J298" s="74">
        <f>+K259</f>
        <v>899500</v>
      </c>
      <c r="K298" s="195">
        <f>+I298+J298</f>
        <v>899500</v>
      </c>
      <c r="M298" s="12"/>
    </row>
    <row r="299" spans="1:15" ht="12.75" hidden="1" customHeight="1">
      <c r="A299" s="72">
        <v>722</v>
      </c>
      <c r="B299" s="80"/>
      <c r="C299" s="74" t="e">
        <f>+D260</f>
        <v>#REF!</v>
      </c>
      <c r="D299" s="76" t="e">
        <f>+B299+C299</f>
        <v>#REF!</v>
      </c>
      <c r="H299" s="72">
        <v>722</v>
      </c>
      <c r="I299" s="80"/>
      <c r="J299" s="74">
        <f>+K260</f>
        <v>0</v>
      </c>
      <c r="K299" s="195">
        <f>+I299+J299</f>
        <v>0</v>
      </c>
      <c r="M299" s="12"/>
    </row>
    <row r="300" spans="1:15" ht="15" customHeight="1" thickBot="1">
      <c r="A300" s="72">
        <v>723</v>
      </c>
      <c r="B300" s="80"/>
      <c r="C300" s="74">
        <f>+D261</f>
        <v>319828837</v>
      </c>
      <c r="D300" s="76">
        <f>+B300+C300</f>
        <v>319828837</v>
      </c>
      <c r="F300" s="174" t="s">
        <v>262</v>
      </c>
      <c r="G300" s="175"/>
      <c r="H300" s="72">
        <v>723</v>
      </c>
      <c r="I300" s="80">
        <f>+M287</f>
        <v>14220000</v>
      </c>
      <c r="J300" s="74">
        <f>+K261</f>
        <v>205236612</v>
      </c>
      <c r="K300" s="195">
        <f>+I300+J300</f>
        <v>219456612</v>
      </c>
      <c r="M300" s="918" t="s">
        <v>2347</v>
      </c>
      <c r="N300" s="608"/>
      <c r="O300" s="608"/>
    </row>
    <row r="301" spans="1:15" ht="14.25" hidden="1" customHeight="1">
      <c r="A301" s="164" t="s">
        <v>181</v>
      </c>
      <c r="B301" s="165"/>
      <c r="C301" s="74">
        <f>+D262</f>
        <v>1965625</v>
      </c>
      <c r="D301" s="168">
        <f>+B301+C301</f>
        <v>1965625</v>
      </c>
      <c r="F301" s="52"/>
      <c r="H301" s="164" t="s">
        <v>181</v>
      </c>
      <c r="I301" s="165"/>
      <c r="J301" s="74">
        <f>+K262</f>
        <v>0</v>
      </c>
      <c r="K301" s="196">
        <f>+I301+J301</f>
        <v>0</v>
      </c>
      <c r="M301" s="52"/>
    </row>
    <row r="302" spans="1:15" ht="16.5" thickBot="1">
      <c r="A302" s="169"/>
      <c r="B302" s="170" t="e">
        <f>SUM(B297:B301)</f>
        <v>#REF!</v>
      </c>
      <c r="C302" s="171" t="e">
        <f>SUM(C297:C301)</f>
        <v>#REF!</v>
      </c>
      <c r="D302" s="172" t="e">
        <f>SUM(D297:D301)</f>
        <v>#REF!</v>
      </c>
      <c r="H302" s="169"/>
      <c r="I302" s="197">
        <f>SUM(I297:I301)</f>
        <v>14220000</v>
      </c>
      <c r="J302" s="197">
        <f>SUM(J297:J301)</f>
        <v>208706112</v>
      </c>
      <c r="K302" s="198">
        <f>SUM(K297:K301)</f>
        <v>222926112</v>
      </c>
    </row>
    <row r="303" spans="1:15" ht="14.25" customHeight="1">
      <c r="A303" s="49" t="s">
        <v>88</v>
      </c>
      <c r="B303" s="50"/>
      <c r="H303" s="49" t="s">
        <v>88</v>
      </c>
      <c r="I303" s="50"/>
    </row>
    <row r="304" spans="1:15" ht="12.75" customHeight="1">
      <c r="A304" s="51" t="s">
        <v>89</v>
      </c>
      <c r="H304" s="51" t="s">
        <v>89</v>
      </c>
    </row>
    <row r="305" spans="1:15" ht="12.75" customHeight="1">
      <c r="A305" s="51" t="s">
        <v>90</v>
      </c>
      <c r="H305" s="51" t="s">
        <v>90</v>
      </c>
    </row>
    <row r="306" spans="1:15">
      <c r="A306" s="51" t="s">
        <v>91</v>
      </c>
      <c r="H306" s="51" t="s">
        <v>91</v>
      </c>
    </row>
    <row r="307" spans="1:15" ht="3.75" customHeight="1">
      <c r="A307" s="50"/>
      <c r="B307" s="50"/>
      <c r="H307" s="50"/>
      <c r="I307" s="50"/>
    </row>
    <row r="308" spans="1:15" ht="13.5" customHeight="1">
      <c r="A308" s="52" t="s">
        <v>271</v>
      </c>
      <c r="G308" s="52"/>
      <c r="H308" s="52" t="s">
        <v>573</v>
      </c>
      <c r="N308" s="52"/>
    </row>
    <row r="309" spans="1:15" ht="14.25" customHeight="1">
      <c r="A309" s="53" t="s">
        <v>92</v>
      </c>
      <c r="G309" s="53"/>
      <c r="H309" s="53" t="s">
        <v>2443</v>
      </c>
      <c r="N309" s="53"/>
    </row>
    <row r="310" spans="1:15" ht="15" customHeight="1">
      <c r="A310" s="894" t="s">
        <v>261</v>
      </c>
      <c r="B310" s="894"/>
      <c r="C310" s="894"/>
      <c r="D310" s="894"/>
      <c r="E310" s="894"/>
      <c r="F310" s="894"/>
      <c r="G310" s="894"/>
      <c r="H310" s="894" t="s">
        <v>2576</v>
      </c>
      <c r="I310" s="894"/>
      <c r="J310" s="894"/>
      <c r="K310" s="894"/>
      <c r="L310" s="894"/>
      <c r="M310" s="894"/>
      <c r="N310" s="894"/>
      <c r="O310" s="894"/>
    </row>
    <row r="311" spans="1:15" ht="6" customHeight="1" thickBot="1"/>
    <row r="312" spans="1:15">
      <c r="A312" s="895" t="s">
        <v>94</v>
      </c>
      <c r="B312" s="897" t="s">
        <v>95</v>
      </c>
      <c r="C312" s="897" t="s">
        <v>96</v>
      </c>
      <c r="D312" s="897" t="s">
        <v>3</v>
      </c>
      <c r="E312" s="897" t="s">
        <v>97</v>
      </c>
      <c r="F312" s="897" t="s">
        <v>98</v>
      </c>
      <c r="G312" s="500" t="s">
        <v>99</v>
      </c>
      <c r="H312" s="895" t="s">
        <v>94</v>
      </c>
      <c r="I312" s="897" t="s">
        <v>95</v>
      </c>
      <c r="J312" s="897" t="s">
        <v>96</v>
      </c>
      <c r="K312" s="897" t="s">
        <v>3</v>
      </c>
      <c r="L312" s="897" t="s">
        <v>97</v>
      </c>
      <c r="M312" s="897" t="s">
        <v>98</v>
      </c>
      <c r="N312" s="897" t="s">
        <v>99</v>
      </c>
      <c r="O312" s="899"/>
    </row>
    <row r="313" spans="1:15" ht="15.75" thickBot="1">
      <c r="A313" s="896"/>
      <c r="B313" s="898"/>
      <c r="C313" s="898"/>
      <c r="D313" s="898"/>
      <c r="E313" s="898"/>
      <c r="F313" s="898"/>
      <c r="G313" s="240" t="s">
        <v>100</v>
      </c>
      <c r="H313" s="896"/>
      <c r="I313" s="898"/>
      <c r="J313" s="898"/>
      <c r="K313" s="898"/>
      <c r="L313" s="898"/>
      <c r="M313" s="898"/>
      <c r="N313" s="240" t="s">
        <v>100</v>
      </c>
      <c r="O313" s="182" t="s">
        <v>101</v>
      </c>
    </row>
    <row r="314" spans="1:15" ht="12.75" customHeight="1">
      <c r="A314" s="881" t="e">
        <f>+A285+1</f>
        <v>#REF!</v>
      </c>
      <c r="B314" s="875">
        <v>42261</v>
      </c>
      <c r="C314" s="877" t="s">
        <v>267</v>
      </c>
      <c r="D314" s="881" t="s">
        <v>273</v>
      </c>
      <c r="E314" s="881" t="s">
        <v>148</v>
      </c>
      <c r="F314" s="883">
        <v>154000</v>
      </c>
      <c r="G314" s="55">
        <v>719</v>
      </c>
      <c r="H314" s="873" t="s">
        <v>2325</v>
      </c>
      <c r="I314" s="875">
        <v>45372</v>
      </c>
      <c r="J314" s="877" t="s">
        <v>2507</v>
      </c>
      <c r="K314" s="881" t="s">
        <v>2445</v>
      </c>
      <c r="L314" s="881" t="s">
        <v>1908</v>
      </c>
      <c r="M314" s="883">
        <v>718800</v>
      </c>
      <c r="N314" s="55">
        <v>719</v>
      </c>
      <c r="O314" s="78">
        <v>0</v>
      </c>
    </row>
    <row r="315" spans="1:15" ht="12" customHeight="1" thickBot="1">
      <c r="A315" s="882"/>
      <c r="B315" s="934"/>
      <c r="C315" s="878"/>
      <c r="D315" s="882"/>
      <c r="E315" s="882"/>
      <c r="F315" s="884"/>
      <c r="G315" s="56">
        <v>721</v>
      </c>
      <c r="H315" s="882"/>
      <c r="I315" s="876"/>
      <c r="J315" s="878"/>
      <c r="K315" s="882"/>
      <c r="L315" s="882"/>
      <c r="M315" s="884"/>
      <c r="N315" s="56">
        <v>723</v>
      </c>
      <c r="O315" s="79">
        <f>+M314-O314</f>
        <v>718800</v>
      </c>
    </row>
    <row r="316" spans="1:15" ht="12.75" customHeight="1">
      <c r="A316" s="881" t="e">
        <f>+A314+1</f>
        <v>#REF!</v>
      </c>
      <c r="B316" s="875">
        <v>42261</v>
      </c>
      <c r="C316" s="881" t="s">
        <v>28</v>
      </c>
      <c r="D316" s="881" t="s">
        <v>274</v>
      </c>
      <c r="E316" s="881" t="s">
        <v>148</v>
      </c>
      <c r="F316" s="883">
        <v>238000</v>
      </c>
      <c r="G316" s="55">
        <v>719</v>
      </c>
      <c r="H316" s="873" t="s">
        <v>2326</v>
      </c>
      <c r="I316" s="875">
        <v>45372</v>
      </c>
      <c r="J316" s="877" t="s">
        <v>806</v>
      </c>
      <c r="K316" s="881" t="s">
        <v>2445</v>
      </c>
      <c r="L316" s="881" t="s">
        <v>165</v>
      </c>
      <c r="M316" s="883">
        <v>1600000</v>
      </c>
      <c r="N316" s="55">
        <v>719</v>
      </c>
      <c r="O316" s="78"/>
    </row>
    <row r="317" spans="1:15" ht="14.25" customHeight="1" thickBot="1">
      <c r="A317" s="882"/>
      <c r="B317" s="934"/>
      <c r="C317" s="882"/>
      <c r="D317" s="882"/>
      <c r="E317" s="882"/>
      <c r="F317" s="884"/>
      <c r="G317" s="56">
        <v>721</v>
      </c>
      <c r="H317" s="882"/>
      <c r="I317" s="876"/>
      <c r="J317" s="878"/>
      <c r="K317" s="882"/>
      <c r="L317" s="882"/>
      <c r="M317" s="884"/>
      <c r="N317" s="56">
        <v>723</v>
      </c>
      <c r="O317" s="79">
        <f>+M316-O316</f>
        <v>1600000</v>
      </c>
    </row>
    <row r="318" spans="1:15" ht="12" customHeight="1">
      <c r="A318" s="881" t="e">
        <f>+A316+1</f>
        <v>#REF!</v>
      </c>
      <c r="B318" s="875">
        <v>42261</v>
      </c>
      <c r="C318" s="877" t="s">
        <v>32</v>
      </c>
      <c r="D318" s="881" t="s">
        <v>275</v>
      </c>
      <c r="E318" s="881" t="s">
        <v>148</v>
      </c>
      <c r="F318" s="883">
        <v>98000</v>
      </c>
      <c r="G318" s="55">
        <v>719</v>
      </c>
      <c r="H318" s="873" t="s">
        <v>2327</v>
      </c>
      <c r="I318" s="875">
        <v>45372</v>
      </c>
      <c r="J318" s="877" t="s">
        <v>1079</v>
      </c>
      <c r="K318" s="881" t="s">
        <v>2445</v>
      </c>
      <c r="L318" s="879" t="s">
        <v>1675</v>
      </c>
      <c r="M318" s="883">
        <v>46252500</v>
      </c>
      <c r="N318" s="55">
        <v>719</v>
      </c>
      <c r="O318" s="78"/>
    </row>
    <row r="319" spans="1:15" ht="13.5" customHeight="1" thickBot="1">
      <c r="A319" s="882"/>
      <c r="B319" s="934"/>
      <c r="C319" s="878"/>
      <c r="D319" s="882"/>
      <c r="E319" s="882"/>
      <c r="F319" s="884"/>
      <c r="G319" s="56">
        <v>721</v>
      </c>
      <c r="H319" s="882"/>
      <c r="I319" s="876"/>
      <c r="J319" s="878"/>
      <c r="K319" s="882"/>
      <c r="L319" s="880"/>
      <c r="M319" s="884"/>
      <c r="N319" s="56">
        <v>723</v>
      </c>
      <c r="O319" s="79">
        <f>+M318-O318</f>
        <v>46252500</v>
      </c>
    </row>
    <row r="320" spans="1:15" ht="12.75" customHeight="1">
      <c r="A320" s="881" t="e">
        <f>+A318+1</f>
        <v>#REF!</v>
      </c>
      <c r="B320" s="875">
        <v>42261</v>
      </c>
      <c r="C320" s="877" t="s">
        <v>111</v>
      </c>
      <c r="D320" s="881" t="s">
        <v>273</v>
      </c>
      <c r="E320" s="881" t="s">
        <v>148</v>
      </c>
      <c r="F320" s="883">
        <v>42000</v>
      </c>
      <c r="G320" s="55">
        <v>719</v>
      </c>
      <c r="H320" s="873" t="s">
        <v>2328</v>
      </c>
      <c r="I320" s="875">
        <v>45372</v>
      </c>
      <c r="J320" s="910" t="s">
        <v>2506</v>
      </c>
      <c r="K320" s="881" t="s">
        <v>2445</v>
      </c>
      <c r="L320" s="881" t="s">
        <v>1908</v>
      </c>
      <c r="M320" s="883">
        <v>1500000</v>
      </c>
      <c r="N320" s="55">
        <v>719</v>
      </c>
      <c r="O320" s="78"/>
    </row>
    <row r="321" spans="1:15" ht="13.5" customHeight="1" thickBot="1">
      <c r="A321" s="882"/>
      <c r="B321" s="934"/>
      <c r="C321" s="878"/>
      <c r="D321" s="882"/>
      <c r="E321" s="882"/>
      <c r="F321" s="884"/>
      <c r="G321" s="56">
        <v>721</v>
      </c>
      <c r="H321" s="882"/>
      <c r="I321" s="876"/>
      <c r="J321" s="911"/>
      <c r="K321" s="882"/>
      <c r="L321" s="882"/>
      <c r="M321" s="884"/>
      <c r="N321" s="56">
        <v>723</v>
      </c>
      <c r="O321" s="79">
        <f>+M320-O320</f>
        <v>1500000</v>
      </c>
    </row>
    <row r="322" spans="1:15" ht="13.5" customHeight="1">
      <c r="A322" s="251"/>
      <c r="B322" s="452"/>
      <c r="C322" s="253"/>
      <c r="D322" s="251"/>
      <c r="E322" s="251"/>
      <c r="F322" s="254"/>
      <c r="G322" s="255"/>
      <c r="H322" s="873" t="s">
        <v>2333</v>
      </c>
      <c r="I322" s="875">
        <v>45372</v>
      </c>
      <c r="J322" s="877" t="s">
        <v>2332</v>
      </c>
      <c r="K322" s="881" t="s">
        <v>2445</v>
      </c>
      <c r="L322" s="881" t="s">
        <v>165</v>
      </c>
      <c r="M322" s="883">
        <v>600000</v>
      </c>
      <c r="N322" s="55">
        <v>719</v>
      </c>
      <c r="O322" s="78"/>
    </row>
    <row r="323" spans="1:15" ht="13.5" customHeight="1" thickBot="1">
      <c r="A323" s="251"/>
      <c r="B323" s="452"/>
      <c r="C323" s="253"/>
      <c r="D323" s="251"/>
      <c r="E323" s="251"/>
      <c r="F323" s="254"/>
      <c r="G323" s="255"/>
      <c r="H323" s="882"/>
      <c r="I323" s="876"/>
      <c r="J323" s="878"/>
      <c r="K323" s="882"/>
      <c r="L323" s="882"/>
      <c r="M323" s="884"/>
      <c r="N323" s="56">
        <v>723</v>
      </c>
      <c r="O323" s="79">
        <f>+M322-O322</f>
        <v>600000</v>
      </c>
    </row>
    <row r="324" spans="1:15" ht="13.5" customHeight="1">
      <c r="A324" s="251"/>
      <c r="B324" s="452"/>
      <c r="C324" s="253"/>
      <c r="D324" s="251"/>
      <c r="E324" s="251"/>
      <c r="F324" s="254"/>
      <c r="G324" s="255"/>
      <c r="H324" s="873" t="s">
        <v>2524</v>
      </c>
      <c r="I324" s="875">
        <v>45372</v>
      </c>
      <c r="J324" s="910" t="s">
        <v>1538</v>
      </c>
      <c r="K324" s="881" t="s">
        <v>2575</v>
      </c>
      <c r="L324" s="879" t="s">
        <v>1675</v>
      </c>
      <c r="M324" s="883">
        <v>7158550</v>
      </c>
      <c r="N324" s="55">
        <v>719</v>
      </c>
      <c r="O324" s="78"/>
    </row>
    <row r="325" spans="1:15" ht="13.5" customHeight="1" thickBot="1">
      <c r="A325" s="251"/>
      <c r="B325" s="452"/>
      <c r="C325" s="253"/>
      <c r="D325" s="251"/>
      <c r="E325" s="251"/>
      <c r="F325" s="254"/>
      <c r="G325" s="255"/>
      <c r="H325" s="882"/>
      <c r="I325" s="876"/>
      <c r="J325" s="911"/>
      <c r="K325" s="882"/>
      <c r="L325" s="880"/>
      <c r="M325" s="884"/>
      <c r="N325" s="56">
        <v>723</v>
      </c>
      <c r="O325" s="79">
        <f>+M324-O324</f>
        <v>7158550</v>
      </c>
    </row>
    <row r="326" spans="1:15" ht="14.25" customHeight="1" thickBot="1">
      <c r="A326" s="901" t="s">
        <v>102</v>
      </c>
      <c r="B326" s="902"/>
      <c r="C326" s="902"/>
      <c r="D326" s="902"/>
      <c r="E326" s="903"/>
      <c r="F326" s="81">
        <f>SUM(F314:F325)</f>
        <v>532000</v>
      </c>
      <c r="H326" s="901" t="s">
        <v>102</v>
      </c>
      <c r="I326" s="902"/>
      <c r="J326" s="902"/>
      <c r="K326" s="902"/>
      <c r="L326" s="903"/>
      <c r="M326" s="81">
        <f>SUM(M314:M325)</f>
        <v>57829850</v>
      </c>
    </row>
    <row r="327" spans="1:15" ht="14.25" customHeight="1" thickBot="1">
      <c r="A327" s="885" t="s">
        <v>103</v>
      </c>
      <c r="B327" s="886"/>
      <c r="C327" s="886"/>
      <c r="D327" s="886"/>
      <c r="E327" s="887"/>
      <c r="F327" s="69" t="e">
        <f>+F289</f>
        <v>#REF!</v>
      </c>
      <c r="H327" s="885" t="s">
        <v>103</v>
      </c>
      <c r="I327" s="886"/>
      <c r="J327" s="886"/>
      <c r="K327" s="886"/>
      <c r="L327" s="887"/>
      <c r="M327" s="239">
        <f>+M289</f>
        <v>222926112</v>
      </c>
      <c r="N327" s="241" t="s">
        <v>561</v>
      </c>
      <c r="O327" s="242"/>
    </row>
    <row r="328" spans="1:15" ht="13.5" customHeight="1" thickBot="1">
      <c r="A328" s="888" t="s">
        <v>104</v>
      </c>
      <c r="B328" s="889"/>
      <c r="C328" s="889"/>
      <c r="D328" s="889"/>
      <c r="E328" s="890"/>
      <c r="F328" s="183" t="e">
        <f>SUM(F326:F327)</f>
        <v>#REF!</v>
      </c>
      <c r="H328" s="888" t="s">
        <v>104</v>
      </c>
      <c r="I328" s="889"/>
      <c r="J328" s="889"/>
      <c r="K328" s="889"/>
      <c r="L328" s="890"/>
      <c r="M328" s="183">
        <f>SUM(M326:M327)</f>
        <v>280755962</v>
      </c>
    </row>
    <row r="329" spans="1:15" ht="6" customHeight="1">
      <c r="A329" s="61"/>
      <c r="B329" s="61"/>
      <c r="C329" s="61"/>
      <c r="D329" s="61"/>
      <c r="E329" s="61"/>
      <c r="H329" s="61"/>
      <c r="I329" s="61"/>
      <c r="J329" s="61"/>
      <c r="K329" s="61"/>
      <c r="L329" s="61"/>
    </row>
    <row r="330" spans="1:15">
      <c r="A330" s="51" t="s">
        <v>276</v>
      </c>
      <c r="H330" s="51" t="s">
        <v>2583</v>
      </c>
    </row>
    <row r="331" spans="1:15" ht="6" customHeight="1">
      <c r="F331" s="139"/>
      <c r="M331" s="139"/>
    </row>
    <row r="332" spans="1:15" ht="12.75" customHeight="1">
      <c r="A332" s="50" t="s">
        <v>105</v>
      </c>
      <c r="D332" s="146"/>
      <c r="F332" s="139"/>
      <c r="H332" s="50" t="s">
        <v>105</v>
      </c>
      <c r="K332" s="146"/>
      <c r="M332" s="139"/>
    </row>
    <row r="333" spans="1:15" ht="5.25" customHeight="1" thickBot="1"/>
    <row r="334" spans="1:15" ht="17.25" thickBot="1">
      <c r="A334" s="891" t="s">
        <v>106</v>
      </c>
      <c r="B334" s="892"/>
      <c r="C334" s="892"/>
      <c r="D334" s="893"/>
      <c r="F334" s="50" t="s">
        <v>270</v>
      </c>
      <c r="H334" s="891" t="s">
        <v>106</v>
      </c>
      <c r="I334" s="892"/>
      <c r="J334" s="892"/>
      <c r="K334" s="893"/>
      <c r="M334" s="604" t="s">
        <v>288</v>
      </c>
      <c r="N334" s="604"/>
      <c r="O334" s="604"/>
    </row>
    <row r="335" spans="1:15" ht="45.75" thickBot="1">
      <c r="A335" s="57" t="s">
        <v>100</v>
      </c>
      <c r="B335" s="58" t="s">
        <v>108</v>
      </c>
      <c r="C335" s="59" t="s">
        <v>109</v>
      </c>
      <c r="D335" s="60" t="s">
        <v>110</v>
      </c>
      <c r="H335" s="57" t="s">
        <v>100</v>
      </c>
      <c r="I335" s="58" t="s">
        <v>108</v>
      </c>
      <c r="J335" s="59" t="s">
        <v>109</v>
      </c>
      <c r="K335" s="60" t="s">
        <v>110</v>
      </c>
    </row>
    <row r="336" spans="1:15" ht="12" customHeight="1">
      <c r="A336" s="71">
        <v>719</v>
      </c>
      <c r="B336" s="73" t="e">
        <f>+#REF!+#REF!+#REF!+#REF!+#REF!</f>
        <v>#REF!</v>
      </c>
      <c r="C336" s="74" t="e">
        <f>+D297</f>
        <v>#REF!</v>
      </c>
      <c r="D336" s="76" t="e">
        <f>+B336+C336</f>
        <v>#REF!</v>
      </c>
      <c r="H336" s="71">
        <v>719</v>
      </c>
      <c r="I336" s="73">
        <f>+O318+O320+O324</f>
        <v>0</v>
      </c>
      <c r="J336" s="74">
        <f>+K297</f>
        <v>2570000</v>
      </c>
      <c r="K336" s="195">
        <f>+I336+J336</f>
        <v>2570000</v>
      </c>
    </row>
    <row r="337" spans="1:16" ht="13.5" customHeight="1">
      <c r="A337" s="72">
        <v>721</v>
      </c>
      <c r="B337" s="80" t="e">
        <f>+#REF!+#REF!+#REF!+#REF!+#REF!</f>
        <v>#REF!</v>
      </c>
      <c r="C337" s="74" t="e">
        <f>+D298</f>
        <v>#REF!</v>
      </c>
      <c r="D337" s="76" t="e">
        <f>+B337+C337</f>
        <v>#REF!</v>
      </c>
      <c r="H337" s="72">
        <v>721</v>
      </c>
      <c r="I337" s="80"/>
      <c r="J337" s="74">
        <f>+K298</f>
        <v>899500</v>
      </c>
      <c r="K337" s="195">
        <f>+I337+J337</f>
        <v>899500</v>
      </c>
    </row>
    <row r="338" spans="1:16" ht="14.25" hidden="1" customHeight="1">
      <c r="A338" s="72">
        <v>722</v>
      </c>
      <c r="B338" s="80"/>
      <c r="C338" s="74" t="e">
        <f>+D299</f>
        <v>#REF!</v>
      </c>
      <c r="D338" s="76" t="e">
        <f>+B338+C338</f>
        <v>#REF!</v>
      </c>
      <c r="H338" s="72">
        <v>722</v>
      </c>
      <c r="I338" s="80"/>
      <c r="J338" s="74">
        <f>+K299</f>
        <v>0</v>
      </c>
      <c r="K338" s="195">
        <f>+I338+J338</f>
        <v>0</v>
      </c>
      <c r="M338" s="918" t="s">
        <v>2347</v>
      </c>
      <c r="N338" s="608"/>
      <c r="O338" s="608"/>
    </row>
    <row r="339" spans="1:16" ht="15" customHeight="1" thickBot="1">
      <c r="A339" s="72">
        <v>723</v>
      </c>
      <c r="B339" s="80"/>
      <c r="C339" s="74">
        <f>+D300</f>
        <v>319828837</v>
      </c>
      <c r="D339" s="76">
        <f>+B339+C339</f>
        <v>319828837</v>
      </c>
      <c r="F339" s="174" t="s">
        <v>262</v>
      </c>
      <c r="G339" s="175"/>
      <c r="H339" s="72">
        <v>723</v>
      </c>
      <c r="I339" s="80">
        <f>+O315+O317+O319+O321+O323+O325</f>
        <v>57829850</v>
      </c>
      <c r="J339" s="74">
        <f>+K300</f>
        <v>219456612</v>
      </c>
      <c r="K339" s="475">
        <f>+I339+J339</f>
        <v>277286462</v>
      </c>
      <c r="M339" s="609"/>
      <c r="N339" s="609"/>
      <c r="O339" s="609"/>
      <c r="P339" s="259"/>
    </row>
    <row r="340" spans="1:16" ht="13.5" hidden="1" customHeight="1">
      <c r="A340" s="164" t="s">
        <v>181</v>
      </c>
      <c r="B340" s="165"/>
      <c r="C340" s="74">
        <f>+D301</f>
        <v>1965625</v>
      </c>
      <c r="D340" s="168">
        <f>+B340+C340</f>
        <v>1965625</v>
      </c>
      <c r="F340" s="52"/>
      <c r="H340" s="164" t="s">
        <v>181</v>
      </c>
      <c r="I340" s="165"/>
      <c r="J340" s="74">
        <f>+K301</f>
        <v>0</v>
      </c>
      <c r="K340" s="196">
        <f>+I340+J340</f>
        <v>0</v>
      </c>
      <c r="M340" s="52"/>
    </row>
    <row r="341" spans="1:16" ht="16.5" customHeight="1" thickBot="1">
      <c r="A341" s="169"/>
      <c r="B341" s="170" t="e">
        <f>SUM(B336:B340)</f>
        <v>#REF!</v>
      </c>
      <c r="C341" s="171" t="e">
        <f>SUM(C336:C340)</f>
        <v>#REF!</v>
      </c>
      <c r="D341" s="172" t="e">
        <f>SUM(D336:D340)</f>
        <v>#REF!</v>
      </c>
      <c r="H341" s="169"/>
      <c r="I341" s="197">
        <f>SUM(I336:I340)</f>
        <v>57829850</v>
      </c>
      <c r="J341" s="197">
        <f>SUM(J336:J340)</f>
        <v>222926112</v>
      </c>
      <c r="K341" s="198">
        <f>SUM(K336:K340)</f>
        <v>280755962</v>
      </c>
    </row>
    <row r="342" spans="1:16" ht="15.75" customHeight="1">
      <c r="A342" s="49" t="s">
        <v>88</v>
      </c>
      <c r="B342" s="50"/>
      <c r="H342" s="49" t="s">
        <v>88</v>
      </c>
      <c r="I342" s="50"/>
    </row>
    <row r="343" spans="1:16" ht="13.5" customHeight="1">
      <c r="A343" s="51" t="s">
        <v>89</v>
      </c>
      <c r="H343" s="51" t="s">
        <v>89</v>
      </c>
    </row>
    <row r="344" spans="1:16" ht="13.5" customHeight="1">
      <c r="A344" s="51" t="s">
        <v>90</v>
      </c>
      <c r="H344" s="51" t="s">
        <v>90</v>
      </c>
    </row>
    <row r="345" spans="1:16">
      <c r="A345" s="51" t="s">
        <v>91</v>
      </c>
      <c r="H345" s="51" t="s">
        <v>91</v>
      </c>
    </row>
    <row r="346" spans="1:16" ht="2.25" customHeight="1">
      <c r="A346" s="50"/>
      <c r="B346" s="50"/>
      <c r="H346" s="50"/>
      <c r="I346" s="50"/>
    </row>
    <row r="347" spans="1:16" ht="14.25" customHeight="1">
      <c r="A347" s="52" t="s">
        <v>277</v>
      </c>
      <c r="G347" s="52"/>
      <c r="H347" s="52" t="s">
        <v>590</v>
      </c>
      <c r="N347" s="52"/>
    </row>
    <row r="348" spans="1:16" ht="14.25" customHeight="1">
      <c r="A348" s="53" t="s">
        <v>92</v>
      </c>
      <c r="G348" s="53"/>
      <c r="H348" s="53" t="s">
        <v>2443</v>
      </c>
      <c r="N348" s="53"/>
    </row>
    <row r="349" spans="1:16" ht="15" customHeight="1">
      <c r="A349" s="894" t="s">
        <v>278</v>
      </c>
      <c r="B349" s="894"/>
      <c r="C349" s="894"/>
      <c r="D349" s="894"/>
      <c r="E349" s="894"/>
      <c r="F349" s="894"/>
      <c r="G349" s="894"/>
      <c r="H349" s="894" t="s">
        <v>2553</v>
      </c>
      <c r="I349" s="894"/>
      <c r="J349" s="894"/>
      <c r="K349" s="894"/>
      <c r="L349" s="894"/>
      <c r="M349" s="894"/>
      <c r="N349" s="894"/>
      <c r="O349" s="894"/>
    </row>
    <row r="350" spans="1:16" ht="9.75" customHeight="1" thickBot="1"/>
    <row r="351" spans="1:16" ht="16.5">
      <c r="A351" s="895" t="s">
        <v>94</v>
      </c>
      <c r="B351" s="897" t="s">
        <v>95</v>
      </c>
      <c r="C351" s="897" t="s">
        <v>96</v>
      </c>
      <c r="D351" s="897" t="s">
        <v>3</v>
      </c>
      <c r="E351" s="897" t="s">
        <v>97</v>
      </c>
      <c r="F351" s="897" t="s">
        <v>98</v>
      </c>
      <c r="G351" s="500" t="s">
        <v>99</v>
      </c>
      <c r="H351" s="939" t="s">
        <v>94</v>
      </c>
      <c r="I351" s="937" t="s">
        <v>95</v>
      </c>
      <c r="J351" s="937" t="s">
        <v>96</v>
      </c>
      <c r="K351" s="937" t="s">
        <v>3</v>
      </c>
      <c r="L351" s="937" t="s">
        <v>97</v>
      </c>
      <c r="M351" s="937" t="s">
        <v>98</v>
      </c>
      <c r="N351" s="937" t="s">
        <v>99</v>
      </c>
      <c r="O351" s="938"/>
    </row>
    <row r="352" spans="1:16" ht="17.25" thickBot="1">
      <c r="A352" s="896"/>
      <c r="B352" s="898"/>
      <c r="C352" s="898"/>
      <c r="D352" s="898"/>
      <c r="E352" s="898"/>
      <c r="F352" s="898"/>
      <c r="G352" s="240" t="s">
        <v>100</v>
      </c>
      <c r="H352" s="940"/>
      <c r="I352" s="941"/>
      <c r="J352" s="941"/>
      <c r="K352" s="941"/>
      <c r="L352" s="941"/>
      <c r="M352" s="941"/>
      <c r="N352" s="497" t="s">
        <v>100</v>
      </c>
      <c r="O352" s="498" t="s">
        <v>101</v>
      </c>
    </row>
    <row r="353" spans="1:15" ht="10.5" customHeight="1">
      <c r="A353" s="881" t="e">
        <f>+#REF!+1</f>
        <v>#REF!</v>
      </c>
      <c r="B353" s="875">
        <v>42261</v>
      </c>
      <c r="C353" s="877" t="s">
        <v>267</v>
      </c>
      <c r="D353" s="881" t="s">
        <v>284</v>
      </c>
      <c r="E353" s="881" t="s">
        <v>115</v>
      </c>
      <c r="F353" s="883">
        <v>130000</v>
      </c>
      <c r="G353" s="55">
        <v>719</v>
      </c>
      <c r="H353" s="873" t="s">
        <v>545</v>
      </c>
      <c r="I353" s="875">
        <v>45386</v>
      </c>
      <c r="J353" s="877" t="s">
        <v>2231</v>
      </c>
      <c r="K353" s="881" t="s">
        <v>2445</v>
      </c>
      <c r="L353" s="881" t="s">
        <v>148</v>
      </c>
      <c r="M353" s="883">
        <v>-5100000</v>
      </c>
      <c r="N353" s="55">
        <v>719</v>
      </c>
      <c r="O353" s="78"/>
    </row>
    <row r="354" spans="1:15" ht="12.75" customHeight="1" thickBot="1">
      <c r="A354" s="882"/>
      <c r="B354" s="934"/>
      <c r="C354" s="878"/>
      <c r="D354" s="882"/>
      <c r="E354" s="882"/>
      <c r="F354" s="884"/>
      <c r="G354" s="56">
        <v>721</v>
      </c>
      <c r="H354" s="882"/>
      <c r="I354" s="876"/>
      <c r="J354" s="878"/>
      <c r="K354" s="882"/>
      <c r="L354" s="882"/>
      <c r="M354" s="884"/>
      <c r="N354" s="56">
        <v>723</v>
      </c>
      <c r="O354" s="79">
        <f>+M353-O353</f>
        <v>-5100000</v>
      </c>
    </row>
    <row r="355" spans="1:15" ht="11.25" customHeight="1">
      <c r="A355" s="251"/>
      <c r="B355" s="452"/>
      <c r="C355" s="253"/>
      <c r="D355" s="251"/>
      <c r="E355" s="251"/>
      <c r="F355" s="254"/>
      <c r="G355" s="255"/>
      <c r="H355" s="873" t="s">
        <v>547</v>
      </c>
      <c r="I355" s="875">
        <v>45118</v>
      </c>
      <c r="J355" s="877" t="s">
        <v>2231</v>
      </c>
      <c r="K355" s="881" t="s">
        <v>2445</v>
      </c>
      <c r="L355" s="881" t="s">
        <v>148</v>
      </c>
      <c r="M355" s="883">
        <v>-960000</v>
      </c>
      <c r="N355" s="55">
        <v>719</v>
      </c>
      <c r="O355" s="78"/>
    </row>
    <row r="356" spans="1:15" ht="12.75" customHeight="1" thickBot="1">
      <c r="A356" s="251"/>
      <c r="B356" s="452"/>
      <c r="C356" s="253"/>
      <c r="D356" s="251"/>
      <c r="E356" s="251"/>
      <c r="F356" s="254"/>
      <c r="G356" s="255"/>
      <c r="H356" s="882"/>
      <c r="I356" s="876"/>
      <c r="J356" s="878"/>
      <c r="K356" s="882"/>
      <c r="L356" s="882"/>
      <c r="M356" s="884"/>
      <c r="N356" s="56">
        <v>723</v>
      </c>
      <c r="O356" s="79">
        <f>+M355</f>
        <v>-960000</v>
      </c>
    </row>
    <row r="357" spans="1:15" ht="13.5" customHeight="1">
      <c r="A357" s="881" t="e">
        <f>+A353+1</f>
        <v>#REF!</v>
      </c>
      <c r="B357" s="875">
        <v>42261</v>
      </c>
      <c r="C357" s="881" t="s">
        <v>28</v>
      </c>
      <c r="D357" s="881" t="s">
        <v>283</v>
      </c>
      <c r="E357" s="881" t="s">
        <v>115</v>
      </c>
      <c r="F357" s="883">
        <v>70000</v>
      </c>
      <c r="G357" s="55">
        <v>719</v>
      </c>
      <c r="H357" s="873" t="s">
        <v>2550</v>
      </c>
      <c r="I357" s="875">
        <v>45118</v>
      </c>
      <c r="J357" s="877" t="s">
        <v>1079</v>
      </c>
      <c r="K357" s="881" t="s">
        <v>2561</v>
      </c>
      <c r="L357" s="881" t="s">
        <v>148</v>
      </c>
      <c r="M357" s="883">
        <v>688500</v>
      </c>
      <c r="N357" s="55">
        <v>719</v>
      </c>
      <c r="O357" s="78">
        <v>510000</v>
      </c>
    </row>
    <row r="358" spans="1:15" ht="12.75" customHeight="1" thickBot="1">
      <c r="A358" s="882"/>
      <c r="B358" s="876"/>
      <c r="C358" s="882"/>
      <c r="D358" s="882"/>
      <c r="E358" s="882"/>
      <c r="F358" s="884"/>
      <c r="G358" s="56">
        <v>721</v>
      </c>
      <c r="H358" s="882"/>
      <c r="I358" s="876"/>
      <c r="J358" s="878"/>
      <c r="K358" s="882"/>
      <c r="L358" s="882"/>
      <c r="M358" s="884"/>
      <c r="N358" s="56">
        <v>721</v>
      </c>
      <c r="O358" s="79">
        <f>+M357-O357</f>
        <v>178500</v>
      </c>
    </row>
    <row r="359" spans="1:15" ht="12.75" customHeight="1">
      <c r="A359" s="251"/>
      <c r="B359" s="252"/>
      <c r="C359" s="251"/>
      <c r="D359" s="251"/>
      <c r="E359" s="251"/>
      <c r="F359" s="254"/>
      <c r="G359" s="255"/>
      <c r="H359" s="873" t="s">
        <v>2551</v>
      </c>
      <c r="I359" s="875">
        <v>45118</v>
      </c>
      <c r="J359" s="877" t="s">
        <v>1079</v>
      </c>
      <c r="K359" s="881" t="s">
        <v>2563</v>
      </c>
      <c r="L359" s="881" t="s">
        <v>148</v>
      </c>
      <c r="M359" s="883">
        <v>702000</v>
      </c>
      <c r="N359" s="55">
        <v>719</v>
      </c>
      <c r="O359" s="78">
        <v>520000</v>
      </c>
    </row>
    <row r="360" spans="1:15" ht="12.75" customHeight="1" thickBot="1">
      <c r="A360" s="251"/>
      <c r="B360" s="252"/>
      <c r="C360" s="251"/>
      <c r="D360" s="251"/>
      <c r="E360" s="251"/>
      <c r="F360" s="254"/>
      <c r="G360" s="255"/>
      <c r="H360" s="882"/>
      <c r="I360" s="876"/>
      <c r="J360" s="878"/>
      <c r="K360" s="882"/>
      <c r="L360" s="882"/>
      <c r="M360" s="884"/>
      <c r="N360" s="56">
        <v>721</v>
      </c>
      <c r="O360" s="79">
        <f>+M359-O359</f>
        <v>182000</v>
      </c>
    </row>
    <row r="361" spans="1:15" ht="12.75" customHeight="1">
      <c r="A361" s="881" t="e">
        <f>+#REF!+1</f>
        <v>#REF!</v>
      </c>
      <c r="B361" s="875">
        <v>42261</v>
      </c>
      <c r="C361" s="910" t="s">
        <v>282</v>
      </c>
      <c r="D361" s="881" t="s">
        <v>279</v>
      </c>
      <c r="E361" s="881" t="s">
        <v>165</v>
      </c>
      <c r="F361" s="883">
        <v>300000</v>
      </c>
      <c r="G361" s="55">
        <v>719</v>
      </c>
      <c r="H361" s="873" t="s">
        <v>2552</v>
      </c>
      <c r="I361" s="875">
        <v>45118</v>
      </c>
      <c r="J361" s="877" t="s">
        <v>2408</v>
      </c>
      <c r="K361" s="881" t="s">
        <v>2562</v>
      </c>
      <c r="L361" s="881" t="s">
        <v>115</v>
      </c>
      <c r="M361" s="883">
        <v>675000</v>
      </c>
      <c r="N361" s="55">
        <v>719</v>
      </c>
      <c r="O361" s="78">
        <v>500000</v>
      </c>
    </row>
    <row r="362" spans="1:15" ht="13.5" customHeight="1" thickBot="1">
      <c r="A362" s="882"/>
      <c r="B362" s="876"/>
      <c r="C362" s="911"/>
      <c r="D362" s="882"/>
      <c r="E362" s="882"/>
      <c r="F362" s="884"/>
      <c r="G362" s="56">
        <v>723</v>
      </c>
      <c r="H362" s="882"/>
      <c r="I362" s="876"/>
      <c r="J362" s="878"/>
      <c r="K362" s="882"/>
      <c r="L362" s="882"/>
      <c r="M362" s="884"/>
      <c r="N362" s="56">
        <v>721</v>
      </c>
      <c r="O362" s="79">
        <f>+M361-O361</f>
        <v>175000</v>
      </c>
    </row>
    <row r="363" spans="1:15" ht="14.25" customHeight="1" thickBot="1">
      <c r="A363" s="901" t="s">
        <v>102</v>
      </c>
      <c r="B363" s="902"/>
      <c r="C363" s="902"/>
      <c r="D363" s="902"/>
      <c r="E363" s="903"/>
      <c r="F363" s="81">
        <f>SUM(F353:F362)</f>
        <v>500000</v>
      </c>
      <c r="H363" s="901" t="s">
        <v>102</v>
      </c>
      <c r="I363" s="902"/>
      <c r="J363" s="902"/>
      <c r="K363" s="902"/>
      <c r="L363" s="903"/>
      <c r="M363" s="81">
        <f>SUM(M353:M362)</f>
        <v>-3994500</v>
      </c>
    </row>
    <row r="364" spans="1:15" ht="15" customHeight="1" thickBot="1">
      <c r="A364" s="885" t="s">
        <v>103</v>
      </c>
      <c r="B364" s="886"/>
      <c r="C364" s="886"/>
      <c r="D364" s="886"/>
      <c r="E364" s="887"/>
      <c r="F364" s="69" t="e">
        <f>+F328</f>
        <v>#REF!</v>
      </c>
      <c r="H364" s="885" t="s">
        <v>103</v>
      </c>
      <c r="I364" s="886"/>
      <c r="J364" s="886"/>
      <c r="K364" s="886"/>
      <c r="L364" s="887"/>
      <c r="M364" s="239">
        <f>+K341</f>
        <v>280755962</v>
      </c>
      <c r="N364" s="241" t="s">
        <v>561</v>
      </c>
      <c r="O364" s="242">
        <v>3170</v>
      </c>
    </row>
    <row r="365" spans="1:15" ht="16.5" customHeight="1" thickBot="1">
      <c r="A365" s="888" t="s">
        <v>104</v>
      </c>
      <c r="B365" s="889"/>
      <c r="C365" s="889"/>
      <c r="D365" s="889"/>
      <c r="E365" s="890"/>
      <c r="F365" s="183" t="e">
        <f>SUM(F363:F364)</f>
        <v>#REF!</v>
      </c>
      <c r="H365" s="888" t="s">
        <v>104</v>
      </c>
      <c r="I365" s="889"/>
      <c r="J365" s="889"/>
      <c r="K365" s="889"/>
      <c r="L365" s="890"/>
      <c r="M365" s="183">
        <f>SUM(M363:M364)</f>
        <v>276761462</v>
      </c>
    </row>
    <row r="366" spans="1:15" ht="5.25" customHeight="1">
      <c r="A366" s="61"/>
      <c r="B366" s="61"/>
      <c r="C366" s="61"/>
      <c r="D366" s="61"/>
      <c r="E366" s="61"/>
      <c r="H366" s="61"/>
      <c r="I366" s="61"/>
      <c r="J366" s="61"/>
      <c r="K366" s="61"/>
      <c r="L366" s="61"/>
    </row>
    <row r="367" spans="1:15">
      <c r="A367" s="51" t="s">
        <v>285</v>
      </c>
      <c r="H367" s="51" t="s">
        <v>2564</v>
      </c>
    </row>
    <row r="368" spans="1:15" ht="11.25" customHeight="1">
      <c r="F368" s="139"/>
      <c r="M368" s="139"/>
    </row>
    <row r="369" spans="1:15" ht="12.75" customHeight="1">
      <c r="A369" s="50" t="s">
        <v>105</v>
      </c>
      <c r="D369" s="146"/>
      <c r="F369" s="139"/>
      <c r="H369" s="50" t="s">
        <v>105</v>
      </c>
      <c r="K369" s="146"/>
      <c r="M369" s="139" t="s">
        <v>631</v>
      </c>
    </row>
    <row r="370" spans="1:15" ht="9.75" customHeight="1" thickBot="1"/>
    <row r="371" spans="1:15" ht="17.25" thickBot="1">
      <c r="A371" s="891" t="s">
        <v>106</v>
      </c>
      <c r="B371" s="892"/>
      <c r="C371" s="892"/>
      <c r="D371" s="893"/>
      <c r="F371" s="50" t="s">
        <v>270</v>
      </c>
      <c r="H371" s="891" t="s">
        <v>106</v>
      </c>
      <c r="I371" s="892"/>
      <c r="J371" s="892"/>
      <c r="K371" s="893"/>
      <c r="M371" s="604" t="s">
        <v>288</v>
      </c>
      <c r="N371" s="604"/>
      <c r="O371" s="604"/>
    </row>
    <row r="372" spans="1:15" ht="42.75" customHeight="1" thickBot="1">
      <c r="A372" s="57" t="s">
        <v>100</v>
      </c>
      <c r="B372" s="58" t="s">
        <v>108</v>
      </c>
      <c r="C372" s="59" t="s">
        <v>109</v>
      </c>
      <c r="D372" s="60" t="s">
        <v>110</v>
      </c>
      <c r="H372" s="57" t="s">
        <v>100</v>
      </c>
      <c r="I372" s="58" t="s">
        <v>108</v>
      </c>
      <c r="J372" s="59" t="s">
        <v>109</v>
      </c>
      <c r="K372" s="60" t="s">
        <v>110</v>
      </c>
    </row>
    <row r="373" spans="1:15" ht="13.5" customHeight="1">
      <c r="A373" s="71">
        <v>719</v>
      </c>
      <c r="B373" s="73" t="e">
        <f>+#REF!+#REF!+#REF!+#REF!+#REF!</f>
        <v>#REF!</v>
      </c>
      <c r="C373" s="74" t="e">
        <f>+D336</f>
        <v>#REF!</v>
      </c>
      <c r="D373" s="76" t="e">
        <f>+B373+C373</f>
        <v>#REF!</v>
      </c>
      <c r="H373" s="71">
        <v>719</v>
      </c>
      <c r="I373" s="73">
        <f>+O357+O359+O361</f>
        <v>1530000</v>
      </c>
      <c r="J373" s="74">
        <f>+K336</f>
        <v>2570000</v>
      </c>
      <c r="K373" s="195">
        <f>+I373+J373</f>
        <v>4100000</v>
      </c>
      <c r="L373" s="139"/>
    </row>
    <row r="374" spans="1:15" ht="13.5" customHeight="1">
      <c r="A374" s="72">
        <v>721</v>
      </c>
      <c r="B374" s="80"/>
      <c r="C374" s="74" t="e">
        <f>+D337</f>
        <v>#REF!</v>
      </c>
      <c r="D374" s="76" t="e">
        <f>+B374+C374</f>
        <v>#REF!</v>
      </c>
      <c r="H374" s="72">
        <v>721</v>
      </c>
      <c r="I374" s="80">
        <f>+O358+O360+O362</f>
        <v>535500</v>
      </c>
      <c r="J374" s="74">
        <f>+K337</f>
        <v>899500</v>
      </c>
      <c r="K374" s="195">
        <f>+I374+J374</f>
        <v>1435000</v>
      </c>
    </row>
    <row r="375" spans="1:15" ht="13.5" customHeight="1">
      <c r="A375" s="72">
        <v>722</v>
      </c>
      <c r="B375" s="80"/>
      <c r="C375" s="74" t="e">
        <f>+D338</f>
        <v>#REF!</v>
      </c>
      <c r="D375" s="76" t="e">
        <f>+B375+C375</f>
        <v>#REF!</v>
      </c>
      <c r="H375" s="72">
        <v>722</v>
      </c>
      <c r="I375" s="80"/>
      <c r="J375" s="74">
        <f>+K338</f>
        <v>0</v>
      </c>
      <c r="K375" s="195">
        <f>+I375+J375</f>
        <v>0</v>
      </c>
    </row>
    <row r="376" spans="1:15" ht="13.5" customHeight="1" thickBot="1">
      <c r="A376" s="72">
        <v>723</v>
      </c>
      <c r="B376" s="80" t="e">
        <f>+#REF!+#REF!</f>
        <v>#REF!</v>
      </c>
      <c r="C376" s="74">
        <f>+D339</f>
        <v>319828837</v>
      </c>
      <c r="D376" s="76" t="e">
        <f>+B376+C376</f>
        <v>#REF!</v>
      </c>
      <c r="F376" s="174" t="s">
        <v>262</v>
      </c>
      <c r="G376" s="175"/>
      <c r="H376" s="72">
        <v>723</v>
      </c>
      <c r="I376" s="80">
        <f>+O354+O356</f>
        <v>-6060000</v>
      </c>
      <c r="J376" s="74">
        <f>+K339</f>
        <v>277286462</v>
      </c>
      <c r="K376" s="195">
        <f>+I376+J376</f>
        <v>271226462</v>
      </c>
      <c r="M376" s="918" t="s">
        <v>2347</v>
      </c>
      <c r="N376" s="608"/>
      <c r="O376" s="608"/>
    </row>
    <row r="377" spans="1:15" ht="11.25" hidden="1" customHeight="1">
      <c r="A377" s="164" t="s">
        <v>181</v>
      </c>
      <c r="B377" s="165"/>
      <c r="C377" s="74">
        <f>+D340</f>
        <v>1965625</v>
      </c>
      <c r="D377" s="168">
        <f>+B377+C377</f>
        <v>1965625</v>
      </c>
      <c r="F377" s="52"/>
      <c r="H377" s="164" t="s">
        <v>181</v>
      </c>
      <c r="I377" s="165"/>
      <c r="J377" s="74">
        <f>+K340</f>
        <v>0</v>
      </c>
      <c r="K377" s="196">
        <f>+I377+J377</f>
        <v>0</v>
      </c>
      <c r="M377" s="52"/>
    </row>
    <row r="378" spans="1:15" ht="16.5" thickBot="1">
      <c r="A378" s="169"/>
      <c r="B378" s="170" t="e">
        <f>SUM(B373:B377)</f>
        <v>#REF!</v>
      </c>
      <c r="C378" s="171" t="e">
        <f>SUM(C373:C377)</f>
        <v>#REF!</v>
      </c>
      <c r="D378" s="172" t="e">
        <f>SUM(D373:D377)</f>
        <v>#REF!</v>
      </c>
      <c r="H378" s="169"/>
      <c r="I378" s="197">
        <f>SUM(I373:I377)</f>
        <v>-3994500</v>
      </c>
      <c r="J378" s="197">
        <f>SUM(J373:J377)</f>
        <v>280755962</v>
      </c>
      <c r="K378" s="198">
        <f>SUM(K373:K377)</f>
        <v>276761462</v>
      </c>
    </row>
    <row r="379" spans="1:15" ht="14.25" customHeight="1">
      <c r="A379" s="49" t="s">
        <v>88</v>
      </c>
      <c r="B379" s="50"/>
      <c r="H379" s="49" t="s">
        <v>88</v>
      </c>
      <c r="I379" s="50"/>
    </row>
    <row r="380" spans="1:15" ht="15.75" customHeight="1">
      <c r="A380" s="51" t="s">
        <v>89</v>
      </c>
      <c r="H380" s="51" t="s">
        <v>89</v>
      </c>
    </row>
    <row r="381" spans="1:15" ht="15.75" customHeight="1">
      <c r="A381" s="51" t="s">
        <v>90</v>
      </c>
      <c r="H381" s="51" t="s">
        <v>90</v>
      </c>
    </row>
    <row r="382" spans="1:15" ht="17.25" customHeight="1">
      <c r="A382" s="51" t="s">
        <v>91</v>
      </c>
      <c r="H382" s="51" t="s">
        <v>91</v>
      </c>
    </row>
    <row r="383" spans="1:15" ht="3.75" customHeight="1">
      <c r="A383" s="50"/>
      <c r="B383" s="50"/>
      <c r="H383" s="50"/>
      <c r="I383" s="50"/>
    </row>
    <row r="384" spans="1:15" ht="14.25" customHeight="1">
      <c r="A384" s="52" t="s">
        <v>287</v>
      </c>
      <c r="G384" s="52"/>
      <c r="H384" s="52" t="s">
        <v>606</v>
      </c>
      <c r="N384" s="52"/>
    </row>
    <row r="385" spans="1:15" ht="15.75">
      <c r="A385" s="53" t="s">
        <v>92</v>
      </c>
      <c r="G385" s="53"/>
      <c r="H385" s="53" t="s">
        <v>2443</v>
      </c>
      <c r="N385" s="53"/>
    </row>
    <row r="386" spans="1:15" ht="14.25" customHeight="1">
      <c r="A386" s="894" t="s">
        <v>261</v>
      </c>
      <c r="B386" s="894"/>
      <c r="C386" s="894"/>
      <c r="D386" s="894"/>
      <c r="E386" s="894"/>
      <c r="F386" s="894"/>
      <c r="G386" s="894"/>
      <c r="H386" s="894" t="s">
        <v>2572</v>
      </c>
      <c r="I386" s="894"/>
      <c r="J386" s="894"/>
      <c r="K386" s="894"/>
      <c r="L386" s="894"/>
      <c r="M386" s="894"/>
      <c r="N386" s="894"/>
      <c r="O386" s="894"/>
    </row>
    <row r="387" spans="1:15" ht="4.5" customHeight="1" thickBot="1"/>
    <row r="388" spans="1:15">
      <c r="A388" s="895" t="s">
        <v>94</v>
      </c>
      <c r="B388" s="897" t="s">
        <v>95</v>
      </c>
      <c r="C388" s="897" t="s">
        <v>96</v>
      </c>
      <c r="D388" s="897" t="s">
        <v>3</v>
      </c>
      <c r="E388" s="897" t="s">
        <v>97</v>
      </c>
      <c r="F388" s="897" t="s">
        <v>98</v>
      </c>
      <c r="G388" s="500" t="s">
        <v>99</v>
      </c>
      <c r="H388" s="895" t="s">
        <v>94</v>
      </c>
      <c r="I388" s="897" t="s">
        <v>95</v>
      </c>
      <c r="J388" s="897" t="s">
        <v>96</v>
      </c>
      <c r="K388" s="897" t="s">
        <v>3</v>
      </c>
      <c r="L388" s="897" t="s">
        <v>97</v>
      </c>
      <c r="M388" s="897" t="s">
        <v>98</v>
      </c>
      <c r="N388" s="897" t="s">
        <v>99</v>
      </c>
      <c r="O388" s="899"/>
    </row>
    <row r="389" spans="1:15" ht="15.75" thickBot="1">
      <c r="A389" s="896"/>
      <c r="B389" s="898"/>
      <c r="C389" s="898"/>
      <c r="D389" s="898"/>
      <c r="E389" s="898"/>
      <c r="F389" s="898"/>
      <c r="G389" s="240" t="s">
        <v>100</v>
      </c>
      <c r="H389" s="896"/>
      <c r="I389" s="898"/>
      <c r="J389" s="898"/>
      <c r="K389" s="898"/>
      <c r="L389" s="898"/>
      <c r="M389" s="898"/>
      <c r="N389" s="240" t="s">
        <v>100</v>
      </c>
      <c r="O389" s="182" t="s">
        <v>101</v>
      </c>
    </row>
    <row r="390" spans="1:15" ht="11.25" customHeight="1">
      <c r="A390" s="881" t="e">
        <f>+A361+1</f>
        <v>#REF!</v>
      </c>
      <c r="B390" s="875">
        <v>42264</v>
      </c>
      <c r="C390" s="877" t="s">
        <v>267</v>
      </c>
      <c r="D390" s="881" t="s">
        <v>290</v>
      </c>
      <c r="E390" s="881" t="s">
        <v>148</v>
      </c>
      <c r="F390" s="883">
        <v>168000</v>
      </c>
      <c r="G390" s="55">
        <v>719</v>
      </c>
      <c r="H390" s="873" t="s">
        <v>646</v>
      </c>
      <c r="I390" s="875">
        <v>45406</v>
      </c>
      <c r="J390" s="877" t="s">
        <v>1091</v>
      </c>
      <c r="K390" s="881" t="s">
        <v>2445</v>
      </c>
      <c r="L390" s="881" t="s">
        <v>148</v>
      </c>
      <c r="M390" s="883">
        <v>3900000</v>
      </c>
      <c r="N390" s="55">
        <v>719</v>
      </c>
      <c r="O390" s="78"/>
    </row>
    <row r="391" spans="1:15" ht="14.25" customHeight="1" thickBot="1">
      <c r="A391" s="882"/>
      <c r="B391" s="934"/>
      <c r="C391" s="878"/>
      <c r="D391" s="882"/>
      <c r="E391" s="882"/>
      <c r="F391" s="884"/>
      <c r="G391" s="56">
        <v>721</v>
      </c>
      <c r="H391" s="882"/>
      <c r="I391" s="876"/>
      <c r="J391" s="878"/>
      <c r="K391" s="882"/>
      <c r="L391" s="882"/>
      <c r="M391" s="884"/>
      <c r="N391" s="56">
        <v>723</v>
      </c>
      <c r="O391" s="79">
        <f>+M390-O390</f>
        <v>3900000</v>
      </c>
    </row>
    <row r="392" spans="1:15" ht="9" customHeight="1">
      <c r="A392" s="251"/>
      <c r="B392" s="452"/>
      <c r="C392" s="253"/>
      <c r="D392" s="251"/>
      <c r="E392" s="251"/>
      <c r="F392" s="254"/>
      <c r="G392" s="255"/>
      <c r="H392" s="873" t="s">
        <v>647</v>
      </c>
      <c r="I392" s="875">
        <v>45406</v>
      </c>
      <c r="J392" s="877" t="s">
        <v>672</v>
      </c>
      <c r="K392" s="881" t="s">
        <v>2445</v>
      </c>
      <c r="L392" s="881" t="s">
        <v>148</v>
      </c>
      <c r="M392" s="883">
        <v>21521960</v>
      </c>
      <c r="N392" s="55">
        <v>719</v>
      </c>
      <c r="O392" s="78"/>
    </row>
    <row r="393" spans="1:15" ht="14.25" customHeight="1" thickBot="1">
      <c r="A393" s="251"/>
      <c r="B393" s="452"/>
      <c r="C393" s="253"/>
      <c r="D393" s="251"/>
      <c r="E393" s="251"/>
      <c r="F393" s="254"/>
      <c r="G393" s="255"/>
      <c r="H393" s="882"/>
      <c r="I393" s="876"/>
      <c r="J393" s="878"/>
      <c r="K393" s="882"/>
      <c r="L393" s="882"/>
      <c r="M393" s="884"/>
      <c r="N393" s="56">
        <v>723</v>
      </c>
      <c r="O393" s="79">
        <f>+M392-O392</f>
        <v>21521960</v>
      </c>
    </row>
    <row r="394" spans="1:15" ht="14.25" customHeight="1">
      <c r="A394" s="251"/>
      <c r="B394" s="452"/>
      <c r="C394" s="253"/>
      <c r="D394" s="251"/>
      <c r="E394" s="251"/>
      <c r="F394" s="254"/>
      <c r="G394" s="255"/>
      <c r="H394" s="873" t="s">
        <v>648</v>
      </c>
      <c r="I394" s="875">
        <v>45406</v>
      </c>
      <c r="J394" s="877" t="s">
        <v>2568</v>
      </c>
      <c r="K394" s="881" t="s">
        <v>2445</v>
      </c>
      <c r="L394" s="881" t="s">
        <v>148</v>
      </c>
      <c r="M394" s="883">
        <v>7875000</v>
      </c>
      <c r="N394" s="55">
        <v>719</v>
      </c>
      <c r="O394" s="78"/>
    </row>
    <row r="395" spans="1:15" ht="14.25" customHeight="1" thickBot="1">
      <c r="A395" s="251"/>
      <c r="B395" s="452"/>
      <c r="C395" s="253"/>
      <c r="D395" s="251"/>
      <c r="E395" s="251"/>
      <c r="F395" s="254"/>
      <c r="G395" s="255"/>
      <c r="H395" s="882"/>
      <c r="I395" s="876"/>
      <c r="J395" s="878"/>
      <c r="K395" s="882"/>
      <c r="L395" s="882"/>
      <c r="M395" s="884"/>
      <c r="N395" s="56">
        <v>723</v>
      </c>
      <c r="O395" s="79">
        <f>+M394-O394</f>
        <v>7875000</v>
      </c>
    </row>
    <row r="396" spans="1:15" ht="10.5" customHeight="1">
      <c r="A396" s="881" t="e">
        <f>+A390+1</f>
        <v>#REF!</v>
      </c>
      <c r="B396" s="875">
        <v>42264</v>
      </c>
      <c r="C396" s="881" t="s">
        <v>28</v>
      </c>
      <c r="D396" s="881" t="s">
        <v>292</v>
      </c>
      <c r="E396" s="881" t="s">
        <v>148</v>
      </c>
      <c r="F396" s="883">
        <v>238000</v>
      </c>
      <c r="G396" s="55">
        <v>719</v>
      </c>
      <c r="H396" s="873" t="s">
        <v>649</v>
      </c>
      <c r="I396" s="875">
        <v>45406</v>
      </c>
      <c r="J396" s="877" t="s">
        <v>1538</v>
      </c>
      <c r="K396" s="881" t="s">
        <v>2569</v>
      </c>
      <c r="L396" s="881" t="s">
        <v>148</v>
      </c>
      <c r="M396" s="883">
        <v>1299300</v>
      </c>
      <c r="N396" s="55">
        <v>719</v>
      </c>
      <c r="O396" s="78"/>
    </row>
    <row r="397" spans="1:15" ht="14.25" customHeight="1" thickBot="1">
      <c r="A397" s="882"/>
      <c r="B397" s="934"/>
      <c r="C397" s="882"/>
      <c r="D397" s="882"/>
      <c r="E397" s="882"/>
      <c r="F397" s="884"/>
      <c r="G397" s="56">
        <v>721</v>
      </c>
      <c r="H397" s="882"/>
      <c r="I397" s="876"/>
      <c r="J397" s="878"/>
      <c r="K397" s="882"/>
      <c r="L397" s="882"/>
      <c r="M397" s="884"/>
      <c r="N397" s="56">
        <v>723</v>
      </c>
      <c r="O397" s="79">
        <f>+M396-O396</f>
        <v>1299300</v>
      </c>
    </row>
    <row r="398" spans="1:15" ht="12.75" customHeight="1">
      <c r="A398" s="881" t="e">
        <f>+A396+1</f>
        <v>#REF!</v>
      </c>
      <c r="B398" s="875">
        <v>42264</v>
      </c>
      <c r="C398" s="877" t="s">
        <v>32</v>
      </c>
      <c r="D398" s="881" t="s">
        <v>292</v>
      </c>
      <c r="E398" s="881" t="s">
        <v>148</v>
      </c>
      <c r="F398" s="883">
        <v>126000</v>
      </c>
      <c r="G398" s="55">
        <v>719</v>
      </c>
      <c r="H398" s="873" t="s">
        <v>650</v>
      </c>
      <c r="I398" s="875">
        <v>45406</v>
      </c>
      <c r="J398" s="877" t="s">
        <v>1984</v>
      </c>
      <c r="K398" s="881" t="s">
        <v>2570</v>
      </c>
      <c r="L398" s="881" t="s">
        <v>148</v>
      </c>
      <c r="M398" s="883">
        <v>418500</v>
      </c>
      <c r="N398" s="55">
        <v>719</v>
      </c>
      <c r="O398" s="78">
        <v>310000</v>
      </c>
    </row>
    <row r="399" spans="1:15" ht="12.75" customHeight="1" thickBot="1">
      <c r="A399" s="882"/>
      <c r="B399" s="934"/>
      <c r="C399" s="878"/>
      <c r="D399" s="882"/>
      <c r="E399" s="882"/>
      <c r="F399" s="884"/>
      <c r="G399" s="56">
        <v>721</v>
      </c>
      <c r="H399" s="882"/>
      <c r="I399" s="876"/>
      <c r="J399" s="878"/>
      <c r="K399" s="882"/>
      <c r="L399" s="882"/>
      <c r="M399" s="884"/>
      <c r="N399" s="56">
        <v>721</v>
      </c>
      <c r="O399" s="79">
        <f>+M398-O398</f>
        <v>108500</v>
      </c>
    </row>
    <row r="400" spans="1:15" ht="13.5" hidden="1" customHeight="1">
      <c r="A400" s="881" t="e">
        <f>+A398+1</f>
        <v>#REF!</v>
      </c>
      <c r="B400" s="875">
        <v>42264</v>
      </c>
      <c r="C400" s="877" t="s">
        <v>111</v>
      </c>
      <c r="D400" s="881" t="s">
        <v>291</v>
      </c>
      <c r="E400" s="881" t="s">
        <v>148</v>
      </c>
      <c r="F400" s="883">
        <v>84000</v>
      </c>
      <c r="G400" s="55">
        <v>719</v>
      </c>
      <c r="H400" s="873" t="s">
        <v>1433</v>
      </c>
      <c r="I400" s="875">
        <v>43935</v>
      </c>
      <c r="J400" s="877" t="s">
        <v>1091</v>
      </c>
      <c r="K400" s="881" t="s">
        <v>1918</v>
      </c>
      <c r="L400" s="881" t="s">
        <v>148</v>
      </c>
      <c r="M400" s="883">
        <v>870000</v>
      </c>
      <c r="N400" s="55">
        <v>719</v>
      </c>
      <c r="O400" s="78">
        <v>870000</v>
      </c>
    </row>
    <row r="401" spans="1:15" ht="13.5" hidden="1" customHeight="1">
      <c r="A401" s="882"/>
      <c r="B401" s="934"/>
      <c r="C401" s="878"/>
      <c r="D401" s="882"/>
      <c r="E401" s="882"/>
      <c r="F401" s="884"/>
      <c r="G401" s="56">
        <v>721</v>
      </c>
      <c r="H401" s="882"/>
      <c r="I401" s="876"/>
      <c r="J401" s="878"/>
      <c r="K401" s="882"/>
      <c r="L401" s="882"/>
      <c r="M401" s="884"/>
      <c r="N401" s="56">
        <v>723</v>
      </c>
      <c r="O401" s="79">
        <f>+M400-O400</f>
        <v>0</v>
      </c>
    </row>
    <row r="402" spans="1:15" ht="13.5" hidden="1" customHeight="1">
      <c r="A402" s="881" t="e">
        <f>+A400+1</f>
        <v>#REF!</v>
      </c>
      <c r="B402" s="875">
        <v>42264</v>
      </c>
      <c r="C402" s="877" t="s">
        <v>272</v>
      </c>
      <c r="D402" s="881" t="s">
        <v>290</v>
      </c>
      <c r="E402" s="881" t="s">
        <v>148</v>
      </c>
      <c r="F402" s="883">
        <v>532000</v>
      </c>
      <c r="G402" s="55">
        <v>719</v>
      </c>
      <c r="H402" s="873" t="s">
        <v>1458</v>
      </c>
      <c r="I402" s="875">
        <v>43935</v>
      </c>
      <c r="J402" s="877" t="s">
        <v>1931</v>
      </c>
      <c r="K402" s="881" t="s">
        <v>1887</v>
      </c>
      <c r="L402" s="881" t="s">
        <v>148</v>
      </c>
      <c r="M402" s="883">
        <v>-1800000</v>
      </c>
      <c r="N402" s="55">
        <v>719</v>
      </c>
      <c r="O402" s="78"/>
    </row>
    <row r="403" spans="1:15" ht="14.25" hidden="1" customHeight="1">
      <c r="A403" s="882"/>
      <c r="B403" s="934"/>
      <c r="C403" s="878"/>
      <c r="D403" s="882"/>
      <c r="E403" s="882"/>
      <c r="F403" s="884"/>
      <c r="G403" s="56">
        <v>721</v>
      </c>
      <c r="H403" s="882"/>
      <c r="I403" s="876"/>
      <c r="J403" s="878"/>
      <c r="K403" s="882"/>
      <c r="L403" s="882"/>
      <c r="M403" s="884"/>
      <c r="N403" s="56">
        <v>723</v>
      </c>
      <c r="O403" s="79">
        <f>+M402-O402</f>
        <v>-1800000</v>
      </c>
    </row>
    <row r="404" spans="1:15" ht="14.25" customHeight="1" thickBot="1">
      <c r="A404" s="901" t="s">
        <v>102</v>
      </c>
      <c r="B404" s="902"/>
      <c r="C404" s="902"/>
      <c r="D404" s="902"/>
      <c r="E404" s="903"/>
      <c r="F404" s="81">
        <f>SUM(F390:F403)</f>
        <v>1148000</v>
      </c>
      <c r="H404" s="901" t="s">
        <v>102</v>
      </c>
      <c r="I404" s="902"/>
      <c r="J404" s="902"/>
      <c r="K404" s="902"/>
      <c r="L404" s="903"/>
      <c r="M404" s="81">
        <f>SUM(M390:M399)</f>
        <v>35014760</v>
      </c>
    </row>
    <row r="405" spans="1:15" ht="13.5" customHeight="1" thickBot="1">
      <c r="A405" s="885" t="s">
        <v>103</v>
      </c>
      <c r="B405" s="886"/>
      <c r="C405" s="886"/>
      <c r="D405" s="886"/>
      <c r="E405" s="887"/>
      <c r="F405" s="69" t="e">
        <f>+F365</f>
        <v>#REF!</v>
      </c>
      <c r="H405" s="885" t="s">
        <v>103</v>
      </c>
      <c r="I405" s="886"/>
      <c r="J405" s="886"/>
      <c r="K405" s="886"/>
      <c r="L405" s="887"/>
      <c r="M405" s="239">
        <f>+M365</f>
        <v>276761462</v>
      </c>
      <c r="N405" s="241" t="s">
        <v>561</v>
      </c>
      <c r="O405" s="242"/>
    </row>
    <row r="406" spans="1:15" ht="14.25" customHeight="1" thickBot="1">
      <c r="A406" s="888" t="s">
        <v>104</v>
      </c>
      <c r="B406" s="889"/>
      <c r="C406" s="889"/>
      <c r="D406" s="889"/>
      <c r="E406" s="890"/>
      <c r="F406" s="183" t="e">
        <f>SUM(F404:F405)</f>
        <v>#REF!</v>
      </c>
      <c r="H406" s="888" t="s">
        <v>104</v>
      </c>
      <c r="I406" s="889"/>
      <c r="J406" s="889"/>
      <c r="K406" s="889"/>
      <c r="L406" s="890"/>
      <c r="M406" s="183">
        <f>SUM(M404:M405)</f>
        <v>311776222</v>
      </c>
    </row>
    <row r="407" spans="1:15" ht="6.75" customHeight="1">
      <c r="A407" s="61"/>
      <c r="B407" s="61"/>
      <c r="C407" s="61"/>
      <c r="D407" s="61"/>
      <c r="E407" s="61"/>
      <c r="H407" s="61"/>
      <c r="I407" s="61"/>
      <c r="J407" s="61"/>
      <c r="K407" s="61"/>
      <c r="L407" s="61"/>
    </row>
    <row r="408" spans="1:15">
      <c r="A408" s="51" t="s">
        <v>294</v>
      </c>
      <c r="H408" s="51" t="s">
        <v>2581</v>
      </c>
    </row>
    <row r="409" spans="1:15" ht="6" customHeight="1">
      <c r="F409" s="139"/>
      <c r="M409" s="139"/>
    </row>
    <row r="410" spans="1:15">
      <c r="A410" s="50" t="s">
        <v>105</v>
      </c>
      <c r="D410" s="146"/>
      <c r="F410" s="139"/>
      <c r="H410" s="50" t="s">
        <v>105</v>
      </c>
      <c r="K410" s="146"/>
      <c r="M410" s="139"/>
    </row>
    <row r="411" spans="1:15" ht="3.75" customHeight="1" thickBot="1"/>
    <row r="412" spans="1:15" ht="17.25" thickBot="1">
      <c r="A412" s="891" t="s">
        <v>106</v>
      </c>
      <c r="B412" s="892"/>
      <c r="C412" s="892"/>
      <c r="D412" s="893"/>
      <c r="F412" s="50" t="s">
        <v>288</v>
      </c>
      <c r="H412" s="891" t="s">
        <v>106</v>
      </c>
      <c r="I412" s="892"/>
      <c r="J412" s="892"/>
      <c r="K412" s="893"/>
      <c r="M412" s="604" t="s">
        <v>2571</v>
      </c>
      <c r="N412" s="604"/>
      <c r="O412" s="604"/>
    </row>
    <row r="413" spans="1:15" ht="45.75" thickBot="1">
      <c r="A413" s="57" t="s">
        <v>100</v>
      </c>
      <c r="B413" s="58" t="s">
        <v>108</v>
      </c>
      <c r="C413" s="59" t="s">
        <v>109</v>
      </c>
      <c r="D413" s="60" t="s">
        <v>110</v>
      </c>
      <c r="H413" s="57" t="s">
        <v>100</v>
      </c>
      <c r="I413" s="58" t="s">
        <v>108</v>
      </c>
      <c r="J413" s="59" t="s">
        <v>109</v>
      </c>
      <c r="K413" s="60" t="s">
        <v>110</v>
      </c>
    </row>
    <row r="414" spans="1:15" ht="12.75" customHeight="1">
      <c r="A414" s="71">
        <v>719</v>
      </c>
      <c r="B414" s="73" t="e">
        <f>+#REF!+#REF!+#REF!+#REF!+#REF!</f>
        <v>#REF!</v>
      </c>
      <c r="C414" s="74" t="e">
        <f>+D373</f>
        <v>#REF!</v>
      </c>
      <c r="D414" s="76" t="e">
        <f>+B414+C414</f>
        <v>#REF!</v>
      </c>
      <c r="H414" s="71">
        <v>719</v>
      </c>
      <c r="I414" s="73">
        <f>+O398</f>
        <v>310000</v>
      </c>
      <c r="J414" s="74">
        <f>+K373</f>
        <v>4100000</v>
      </c>
      <c r="K414" s="195">
        <f>+I414+J414</f>
        <v>4410000</v>
      </c>
    </row>
    <row r="415" spans="1:15" ht="13.5" customHeight="1">
      <c r="A415" s="72">
        <v>721</v>
      </c>
      <c r="B415" s="80" t="e">
        <f>+#REF!+#REF!+#REF!+#REF!+#REF!</f>
        <v>#REF!</v>
      </c>
      <c r="C415" s="74" t="e">
        <f>+D374</f>
        <v>#REF!</v>
      </c>
      <c r="D415" s="76" t="e">
        <f>+B415+C415</f>
        <v>#REF!</v>
      </c>
      <c r="H415" s="72">
        <v>721</v>
      </c>
      <c r="I415" s="80">
        <f>+O399</f>
        <v>108500</v>
      </c>
      <c r="J415" s="74">
        <f>+K374</f>
        <v>1435000</v>
      </c>
      <c r="K415" s="195">
        <f>+I415+J415</f>
        <v>1543500</v>
      </c>
    </row>
    <row r="416" spans="1:15" ht="13.5" customHeight="1">
      <c r="A416" s="72">
        <v>722</v>
      </c>
      <c r="B416" s="80"/>
      <c r="C416" s="74" t="e">
        <f>+D375</f>
        <v>#REF!</v>
      </c>
      <c r="D416" s="76" t="e">
        <f>+B416+C416</f>
        <v>#REF!</v>
      </c>
      <c r="H416" s="72">
        <v>722</v>
      </c>
      <c r="I416" s="80"/>
      <c r="J416" s="74">
        <f>+K375</f>
        <v>0</v>
      </c>
      <c r="K416" s="195">
        <f>+I416+J416</f>
        <v>0</v>
      </c>
    </row>
    <row r="417" spans="1:15" ht="13.5" customHeight="1" thickBot="1">
      <c r="A417" s="72">
        <v>723</v>
      </c>
      <c r="B417" s="80"/>
      <c r="C417" s="74" t="e">
        <f>+D376</f>
        <v>#REF!</v>
      </c>
      <c r="D417" s="76" t="e">
        <f>+B417+C417</f>
        <v>#REF!</v>
      </c>
      <c r="F417" s="193" t="s">
        <v>289</v>
      </c>
      <c r="G417" s="175"/>
      <c r="H417" s="72">
        <v>723</v>
      </c>
      <c r="I417" s="80">
        <f>+O397+O395+O393+O391</f>
        <v>34596260</v>
      </c>
      <c r="J417" s="74">
        <f>+K376</f>
        <v>271226462</v>
      </c>
      <c r="K417" s="195">
        <f>+I417+J417</f>
        <v>305822722</v>
      </c>
      <c r="M417" s="918" t="s">
        <v>2347</v>
      </c>
      <c r="N417" s="608"/>
      <c r="O417" s="608"/>
    </row>
    <row r="418" spans="1:15" ht="13.5" hidden="1" customHeight="1" thickBot="1">
      <c r="A418" s="164" t="s">
        <v>181</v>
      </c>
      <c r="B418" s="165"/>
      <c r="C418" s="74">
        <f>+D377</f>
        <v>1965625</v>
      </c>
      <c r="D418" s="168">
        <f>+B418+C418</f>
        <v>1965625</v>
      </c>
      <c r="F418" s="52"/>
      <c r="H418" s="164" t="s">
        <v>181</v>
      </c>
      <c r="I418" s="165"/>
      <c r="J418" s="74">
        <f>+K377</f>
        <v>0</v>
      </c>
      <c r="K418" s="196">
        <f>+I418+J418</f>
        <v>0</v>
      </c>
      <c r="M418" s="52"/>
    </row>
    <row r="419" spans="1:15" ht="16.5" thickBot="1">
      <c r="A419" s="169"/>
      <c r="B419" s="170" t="e">
        <f>SUM(B414:B418)</f>
        <v>#REF!</v>
      </c>
      <c r="C419" s="171" t="e">
        <f>SUM(C414:C418)</f>
        <v>#REF!</v>
      </c>
      <c r="D419" s="172" t="e">
        <f>SUM(D414:D418)</f>
        <v>#REF!</v>
      </c>
      <c r="H419" s="169"/>
      <c r="I419" s="197">
        <f>SUM(I414:I418)</f>
        <v>35014760</v>
      </c>
      <c r="J419" s="197">
        <f>SUM(J414:J418)</f>
        <v>276761462</v>
      </c>
      <c r="K419" s="198">
        <f>SUM(K414:K418)</f>
        <v>311776222</v>
      </c>
    </row>
    <row r="420" spans="1:15" ht="14.25" customHeight="1">
      <c r="A420" s="49" t="s">
        <v>88</v>
      </c>
      <c r="B420" s="50"/>
      <c r="H420" s="49" t="s">
        <v>88</v>
      </c>
      <c r="I420" s="50"/>
    </row>
    <row r="421" spans="1:15" ht="12.75" customHeight="1">
      <c r="A421" s="51" t="s">
        <v>89</v>
      </c>
      <c r="H421" s="51" t="s">
        <v>89</v>
      </c>
    </row>
    <row r="422" spans="1:15" ht="13.5" customHeight="1">
      <c r="A422" s="51" t="s">
        <v>90</v>
      </c>
      <c r="H422" s="51" t="s">
        <v>90</v>
      </c>
    </row>
    <row r="423" spans="1:15" ht="12.75" customHeight="1">
      <c r="A423" s="51" t="s">
        <v>91</v>
      </c>
      <c r="H423" s="51" t="s">
        <v>91</v>
      </c>
    </row>
    <row r="424" spans="1:15" ht="12" customHeight="1">
      <c r="A424" s="50"/>
      <c r="B424" s="50"/>
      <c r="H424" s="50"/>
      <c r="I424" s="50"/>
    </row>
    <row r="425" spans="1:15" ht="13.5" customHeight="1">
      <c r="A425" s="52" t="s">
        <v>295</v>
      </c>
      <c r="G425" s="52"/>
      <c r="H425" s="52" t="s">
        <v>635</v>
      </c>
      <c r="N425" s="52"/>
    </row>
    <row r="426" spans="1:15" ht="14.25" customHeight="1">
      <c r="A426" s="53" t="s">
        <v>92</v>
      </c>
      <c r="G426" s="53"/>
      <c r="H426" s="53" t="s">
        <v>2443</v>
      </c>
      <c r="N426" s="53"/>
    </row>
    <row r="427" spans="1:15" ht="14.25" customHeight="1">
      <c r="A427" s="894" t="s">
        <v>261</v>
      </c>
      <c r="B427" s="894"/>
      <c r="C427" s="894"/>
      <c r="D427" s="894"/>
      <c r="E427" s="894"/>
      <c r="F427" s="894"/>
      <c r="G427" s="894"/>
      <c r="H427" s="894" t="s">
        <v>228</v>
      </c>
      <c r="I427" s="894"/>
      <c r="J427" s="894"/>
      <c r="K427" s="894"/>
      <c r="L427" s="894"/>
      <c r="M427" s="894"/>
      <c r="N427" s="894"/>
      <c r="O427" s="894"/>
    </row>
    <row r="428" spans="1:15" ht="3.75" customHeight="1" thickBot="1"/>
    <row r="429" spans="1:15">
      <c r="A429" s="895" t="s">
        <v>94</v>
      </c>
      <c r="B429" s="897" t="s">
        <v>95</v>
      </c>
      <c r="C429" s="897" t="s">
        <v>96</v>
      </c>
      <c r="D429" s="897" t="s">
        <v>3</v>
      </c>
      <c r="E429" s="897" t="s">
        <v>97</v>
      </c>
      <c r="F429" s="897" t="s">
        <v>98</v>
      </c>
      <c r="G429" s="500" t="s">
        <v>99</v>
      </c>
      <c r="H429" s="895" t="s">
        <v>94</v>
      </c>
      <c r="I429" s="897" t="s">
        <v>95</v>
      </c>
      <c r="J429" s="897" t="s">
        <v>96</v>
      </c>
      <c r="K429" s="897" t="s">
        <v>3</v>
      </c>
      <c r="L429" s="897" t="s">
        <v>97</v>
      </c>
      <c r="M429" s="897" t="s">
        <v>98</v>
      </c>
      <c r="N429" s="897" t="s">
        <v>99</v>
      </c>
      <c r="O429" s="899"/>
    </row>
    <row r="430" spans="1:15" ht="15.75" thickBot="1">
      <c r="A430" s="896"/>
      <c r="B430" s="898"/>
      <c r="C430" s="898"/>
      <c r="D430" s="898"/>
      <c r="E430" s="898"/>
      <c r="F430" s="898"/>
      <c r="G430" s="240" t="s">
        <v>100</v>
      </c>
      <c r="H430" s="896"/>
      <c r="I430" s="898"/>
      <c r="J430" s="898"/>
      <c r="K430" s="898"/>
      <c r="L430" s="898"/>
      <c r="M430" s="898"/>
      <c r="N430" s="240" t="s">
        <v>100</v>
      </c>
      <c r="O430" s="182" t="s">
        <v>101</v>
      </c>
    </row>
    <row r="431" spans="1:15" ht="12.75" customHeight="1">
      <c r="A431" s="881" t="e">
        <f>+A402+1</f>
        <v>#REF!</v>
      </c>
      <c r="B431" s="875">
        <v>42275</v>
      </c>
      <c r="C431" s="877" t="s">
        <v>267</v>
      </c>
      <c r="D431" s="881" t="s">
        <v>296</v>
      </c>
      <c r="E431" s="935" t="s">
        <v>31</v>
      </c>
      <c r="F431" s="883">
        <v>100000</v>
      </c>
      <c r="G431" s="55">
        <v>719</v>
      </c>
      <c r="H431" s="873" t="s">
        <v>651</v>
      </c>
      <c r="I431" s="875">
        <v>45425</v>
      </c>
      <c r="J431" s="877" t="s">
        <v>1079</v>
      </c>
      <c r="K431" s="881" t="s">
        <v>2577</v>
      </c>
      <c r="L431" s="881" t="s">
        <v>148</v>
      </c>
      <c r="M431" s="883">
        <v>1647000</v>
      </c>
      <c r="N431" s="55">
        <v>719</v>
      </c>
      <c r="O431" s="78">
        <v>1220000</v>
      </c>
    </row>
    <row r="432" spans="1:15" ht="14.25" customHeight="1" thickBot="1">
      <c r="A432" s="882"/>
      <c r="B432" s="934"/>
      <c r="C432" s="878"/>
      <c r="D432" s="882"/>
      <c r="E432" s="936"/>
      <c r="F432" s="884"/>
      <c r="G432" s="56">
        <v>721</v>
      </c>
      <c r="H432" s="882"/>
      <c r="I432" s="876"/>
      <c r="J432" s="878"/>
      <c r="K432" s="882"/>
      <c r="L432" s="882"/>
      <c r="M432" s="884"/>
      <c r="N432" s="56">
        <v>721</v>
      </c>
      <c r="O432" s="79">
        <f>+M431-O431</f>
        <v>427000</v>
      </c>
    </row>
    <row r="433" spans="1:15" ht="13.5" customHeight="1">
      <c r="A433" s="881" t="e">
        <f>+A431+1</f>
        <v>#REF!</v>
      </c>
      <c r="B433" s="875">
        <v>42275</v>
      </c>
      <c r="C433" s="881" t="s">
        <v>28</v>
      </c>
      <c r="D433" s="881" t="s">
        <v>297</v>
      </c>
      <c r="E433" s="935" t="s">
        <v>28</v>
      </c>
      <c r="F433" s="883">
        <v>50000</v>
      </c>
      <c r="G433" s="55">
        <v>719</v>
      </c>
      <c r="H433" s="873" t="s">
        <v>652</v>
      </c>
      <c r="I433" s="875">
        <v>45425</v>
      </c>
      <c r="J433" s="877" t="s">
        <v>1079</v>
      </c>
      <c r="K433" s="881" t="s">
        <v>2578</v>
      </c>
      <c r="L433" s="881" t="s">
        <v>148</v>
      </c>
      <c r="M433" s="883">
        <v>499500</v>
      </c>
      <c r="N433" s="55">
        <v>719</v>
      </c>
      <c r="O433" s="78">
        <v>370000</v>
      </c>
    </row>
    <row r="434" spans="1:15" ht="14.25" customHeight="1" thickBot="1">
      <c r="A434" s="882"/>
      <c r="B434" s="934"/>
      <c r="C434" s="882"/>
      <c r="D434" s="882"/>
      <c r="E434" s="936"/>
      <c r="F434" s="884"/>
      <c r="G434" s="56">
        <v>721</v>
      </c>
      <c r="H434" s="882"/>
      <c r="I434" s="876"/>
      <c r="J434" s="878"/>
      <c r="K434" s="882"/>
      <c r="L434" s="882"/>
      <c r="M434" s="884"/>
      <c r="N434" s="56">
        <v>721</v>
      </c>
      <c r="O434" s="79">
        <f>+M433-O433</f>
        <v>129500</v>
      </c>
    </row>
    <row r="435" spans="1:15" ht="14.25" customHeight="1">
      <c r="A435" s="251"/>
      <c r="B435" s="452"/>
      <c r="C435" s="251"/>
      <c r="D435" s="251"/>
      <c r="E435" s="472"/>
      <c r="F435" s="254"/>
      <c r="G435" s="255"/>
      <c r="H435" s="873" t="s">
        <v>653</v>
      </c>
      <c r="I435" s="875">
        <v>45425</v>
      </c>
      <c r="J435" s="877" t="s">
        <v>815</v>
      </c>
      <c r="K435" s="881" t="s">
        <v>2579</v>
      </c>
      <c r="L435" s="881" t="s">
        <v>115</v>
      </c>
      <c r="M435" s="883">
        <f>931500+1107000</f>
        <v>2038500</v>
      </c>
      <c r="N435" s="55">
        <v>719</v>
      </c>
      <c r="O435" s="78">
        <v>1510000</v>
      </c>
    </row>
    <row r="436" spans="1:15" ht="14.25" customHeight="1" thickBot="1">
      <c r="A436" s="251"/>
      <c r="B436" s="452"/>
      <c r="C436" s="251"/>
      <c r="D436" s="251"/>
      <c r="E436" s="472"/>
      <c r="F436" s="254"/>
      <c r="G436" s="255"/>
      <c r="H436" s="882"/>
      <c r="I436" s="876"/>
      <c r="J436" s="878"/>
      <c r="K436" s="882"/>
      <c r="L436" s="882"/>
      <c r="M436" s="884"/>
      <c r="N436" s="56">
        <v>721</v>
      </c>
      <c r="O436" s="79">
        <f>+M435-O435</f>
        <v>528500</v>
      </c>
    </row>
    <row r="437" spans="1:15" ht="14.25" customHeight="1">
      <c r="A437" s="881" t="e">
        <f>+A433+1</f>
        <v>#REF!</v>
      </c>
      <c r="B437" s="875">
        <v>42275</v>
      </c>
      <c r="C437" s="877" t="s">
        <v>32</v>
      </c>
      <c r="D437" s="881" t="s">
        <v>297</v>
      </c>
      <c r="E437" s="877" t="s">
        <v>32</v>
      </c>
      <c r="F437" s="883">
        <v>30000</v>
      </c>
      <c r="G437" s="55">
        <v>719</v>
      </c>
      <c r="H437" s="873" t="s">
        <v>654</v>
      </c>
      <c r="I437" s="875">
        <v>45425</v>
      </c>
      <c r="J437" s="877" t="s">
        <v>2408</v>
      </c>
      <c r="K437" s="881" t="s">
        <v>2580</v>
      </c>
      <c r="L437" s="881" t="s">
        <v>115</v>
      </c>
      <c r="M437" s="883">
        <f>297000+378000</f>
        <v>675000</v>
      </c>
      <c r="N437" s="55">
        <v>719</v>
      </c>
      <c r="O437" s="78">
        <v>500000</v>
      </c>
    </row>
    <row r="438" spans="1:15" ht="12.75" customHeight="1" thickBot="1">
      <c r="A438" s="882"/>
      <c r="B438" s="934"/>
      <c r="C438" s="878"/>
      <c r="D438" s="882"/>
      <c r="E438" s="878"/>
      <c r="F438" s="884"/>
      <c r="G438" s="56">
        <v>721</v>
      </c>
      <c r="H438" s="882"/>
      <c r="I438" s="876"/>
      <c r="J438" s="878"/>
      <c r="K438" s="882"/>
      <c r="L438" s="882"/>
      <c r="M438" s="884"/>
      <c r="N438" s="56">
        <v>721</v>
      </c>
      <c r="O438" s="79">
        <f>+M437-O437</f>
        <v>175000</v>
      </c>
    </row>
    <row r="439" spans="1:15" ht="13.5" customHeight="1">
      <c r="A439" s="881"/>
      <c r="B439" s="875"/>
      <c r="C439" s="877"/>
      <c r="D439" s="881"/>
      <c r="E439" s="881"/>
      <c r="F439" s="883"/>
      <c r="G439" s="55">
        <v>719</v>
      </c>
      <c r="H439" s="873" t="s">
        <v>655</v>
      </c>
      <c r="I439" s="875">
        <v>45425</v>
      </c>
      <c r="J439" s="877" t="s">
        <v>2582</v>
      </c>
      <c r="K439" s="881" t="s">
        <v>2580</v>
      </c>
      <c r="L439" s="881" t="s">
        <v>148</v>
      </c>
      <c r="M439" s="883">
        <v>243000</v>
      </c>
      <c r="N439" s="55">
        <v>719</v>
      </c>
      <c r="O439" s="78">
        <v>180000</v>
      </c>
    </row>
    <row r="440" spans="1:15" ht="13.5" customHeight="1" thickBot="1">
      <c r="A440" s="882"/>
      <c r="B440" s="934"/>
      <c r="C440" s="878"/>
      <c r="D440" s="882"/>
      <c r="E440" s="882"/>
      <c r="F440" s="884"/>
      <c r="G440" s="56">
        <v>721</v>
      </c>
      <c r="H440" s="882"/>
      <c r="I440" s="876"/>
      <c r="J440" s="878"/>
      <c r="K440" s="882"/>
      <c r="L440" s="882"/>
      <c r="M440" s="884"/>
      <c r="N440" s="56">
        <v>721</v>
      </c>
      <c r="O440" s="79">
        <f>+M439-O439</f>
        <v>63000</v>
      </c>
    </row>
    <row r="441" spans="1:15" ht="13.5" customHeight="1" thickBot="1">
      <c r="A441" s="901" t="s">
        <v>102</v>
      </c>
      <c r="B441" s="902"/>
      <c r="C441" s="902"/>
      <c r="D441" s="902"/>
      <c r="E441" s="903"/>
      <c r="F441" s="81">
        <f>SUM(F431:F440)</f>
        <v>180000</v>
      </c>
      <c r="H441" s="901" t="s">
        <v>102</v>
      </c>
      <c r="I441" s="902"/>
      <c r="J441" s="902"/>
      <c r="K441" s="902"/>
      <c r="L441" s="903"/>
      <c r="M441" s="81">
        <f>SUM(M431:M440)</f>
        <v>5103000</v>
      </c>
    </row>
    <row r="442" spans="1:15" ht="13.5" customHeight="1" thickBot="1">
      <c r="A442" s="885" t="s">
        <v>103</v>
      </c>
      <c r="B442" s="886"/>
      <c r="C442" s="886"/>
      <c r="D442" s="886"/>
      <c r="E442" s="887"/>
      <c r="F442" s="69" t="e">
        <f>+F406</f>
        <v>#REF!</v>
      </c>
      <c r="H442" s="885" t="s">
        <v>103</v>
      </c>
      <c r="I442" s="886"/>
      <c r="J442" s="886"/>
      <c r="K442" s="886"/>
      <c r="L442" s="887"/>
      <c r="M442" s="239">
        <f>+M406</f>
        <v>311776222</v>
      </c>
      <c r="N442" s="241" t="s">
        <v>561</v>
      </c>
      <c r="O442" s="242"/>
    </row>
    <row r="443" spans="1:15" ht="14.25" customHeight="1" thickBot="1">
      <c r="A443" s="888" t="s">
        <v>104</v>
      </c>
      <c r="B443" s="889"/>
      <c r="C443" s="889"/>
      <c r="D443" s="889"/>
      <c r="E443" s="890"/>
      <c r="F443" s="183" t="e">
        <f>SUM(F441:F442)</f>
        <v>#REF!</v>
      </c>
      <c r="H443" s="888" t="s">
        <v>104</v>
      </c>
      <c r="I443" s="889"/>
      <c r="J443" s="889"/>
      <c r="K443" s="889"/>
      <c r="L443" s="890"/>
      <c r="M443" s="183">
        <f>SUM(M441:M442)</f>
        <v>316879222</v>
      </c>
    </row>
    <row r="444" spans="1:15" ht="5.25" customHeight="1">
      <c r="A444" s="61"/>
      <c r="B444" s="61"/>
      <c r="C444" s="61"/>
      <c r="D444" s="61"/>
      <c r="E444" s="61"/>
      <c r="H444" s="61"/>
      <c r="I444" s="61"/>
      <c r="J444" s="61"/>
      <c r="K444" s="61"/>
      <c r="L444" s="61"/>
    </row>
    <row r="445" spans="1:15">
      <c r="A445" s="51" t="s">
        <v>298</v>
      </c>
      <c r="H445" s="51" t="s">
        <v>2586</v>
      </c>
    </row>
    <row r="446" spans="1:15" ht="6" customHeight="1">
      <c r="F446" s="139"/>
      <c r="M446" s="139"/>
    </row>
    <row r="447" spans="1:15">
      <c r="A447" s="50" t="s">
        <v>105</v>
      </c>
      <c r="D447" s="146"/>
      <c r="F447" s="139"/>
      <c r="H447" s="50" t="s">
        <v>105</v>
      </c>
      <c r="K447" s="146"/>
      <c r="M447" s="139"/>
    </row>
    <row r="448" spans="1:15" ht="7.5" customHeight="1" thickBot="1"/>
    <row r="449" spans="1:15" ht="17.25" thickBot="1">
      <c r="A449" s="891" t="s">
        <v>106</v>
      </c>
      <c r="B449" s="892"/>
      <c r="C449" s="892"/>
      <c r="D449" s="893"/>
      <c r="F449" s="50" t="s">
        <v>288</v>
      </c>
      <c r="H449" s="891" t="s">
        <v>106</v>
      </c>
      <c r="I449" s="892"/>
      <c r="J449" s="892"/>
      <c r="K449" s="893"/>
      <c r="M449" s="605" t="s">
        <v>288</v>
      </c>
      <c r="N449" s="605"/>
      <c r="O449" s="605"/>
    </row>
    <row r="450" spans="1:15" ht="45.75" thickBot="1">
      <c r="A450" s="57" t="s">
        <v>100</v>
      </c>
      <c r="B450" s="58" t="s">
        <v>108</v>
      </c>
      <c r="C450" s="59" t="s">
        <v>109</v>
      </c>
      <c r="D450" s="60" t="s">
        <v>110</v>
      </c>
      <c r="H450" s="57" t="s">
        <v>100</v>
      </c>
      <c r="I450" s="58" t="s">
        <v>108</v>
      </c>
      <c r="J450" s="59" t="s">
        <v>109</v>
      </c>
      <c r="K450" s="60" t="s">
        <v>110</v>
      </c>
      <c r="M450" s="202"/>
      <c r="N450" s="202"/>
      <c r="O450" s="202"/>
    </row>
    <row r="451" spans="1:15" ht="15" customHeight="1">
      <c r="A451" s="71">
        <v>719</v>
      </c>
      <c r="B451" s="73" t="e">
        <f>+#REF!+#REF!+#REF!+#REF!+#REF!</f>
        <v>#REF!</v>
      </c>
      <c r="C451" s="74" t="e">
        <f>+D414</f>
        <v>#REF!</v>
      </c>
      <c r="D451" s="76" t="e">
        <f>+B451+C451</f>
        <v>#REF!</v>
      </c>
      <c r="H451" s="71">
        <v>719</v>
      </c>
      <c r="I451" s="73">
        <f>+O431+O433+O435+O437+O439</f>
        <v>3780000</v>
      </c>
      <c r="J451" s="74">
        <f>+K414</f>
        <v>4410000</v>
      </c>
      <c r="K451" s="195">
        <f>+I451+J451</f>
        <v>8190000</v>
      </c>
      <c r="M451" s="202"/>
      <c r="N451" s="202"/>
      <c r="O451" s="202"/>
    </row>
    <row r="452" spans="1:15" ht="13.5" customHeight="1">
      <c r="A452" s="72">
        <v>721</v>
      </c>
      <c r="B452" s="80" t="e">
        <f>+#REF!+#REF!+#REF!+#REF!+#REF!</f>
        <v>#REF!</v>
      </c>
      <c r="C452" s="74" t="e">
        <f>+D415</f>
        <v>#REF!</v>
      </c>
      <c r="D452" s="76" t="e">
        <f>+B452+C452</f>
        <v>#REF!</v>
      </c>
      <c r="H452" s="72">
        <v>721</v>
      </c>
      <c r="I452" s="80">
        <f>+O432+O434+O436+O438+O440</f>
        <v>1323000</v>
      </c>
      <c r="J452" s="74">
        <f>+K415</f>
        <v>1543500</v>
      </c>
      <c r="K452" s="195">
        <f>+I452+J452</f>
        <v>2866500</v>
      </c>
      <c r="M452" s="202"/>
      <c r="N452" s="202"/>
      <c r="O452" s="202"/>
    </row>
    <row r="453" spans="1:15" ht="12.75" customHeight="1">
      <c r="A453" s="72">
        <v>722</v>
      </c>
      <c r="B453" s="80"/>
      <c r="C453" s="74" t="e">
        <f>+D416</f>
        <v>#REF!</v>
      </c>
      <c r="D453" s="76" t="e">
        <f>+B453+C453</f>
        <v>#REF!</v>
      </c>
      <c r="H453" s="72">
        <v>722</v>
      </c>
      <c r="I453" s="80"/>
      <c r="J453" s="74">
        <f>+K416</f>
        <v>0</v>
      </c>
      <c r="K453" s="195">
        <f>+I453+J453</f>
        <v>0</v>
      </c>
      <c r="M453" s="202"/>
      <c r="N453" s="202"/>
      <c r="O453" s="202"/>
    </row>
    <row r="454" spans="1:15" ht="14.25" customHeight="1" thickBot="1">
      <c r="A454" s="72">
        <v>723</v>
      </c>
      <c r="B454" s="80"/>
      <c r="C454" s="74" t="e">
        <f>+D417</f>
        <v>#REF!</v>
      </c>
      <c r="D454" s="76" t="e">
        <f>+B454+C454</f>
        <v>#REF!</v>
      </c>
      <c r="F454" s="193" t="s">
        <v>289</v>
      </c>
      <c r="G454" s="175"/>
      <c r="H454" s="72">
        <v>723</v>
      </c>
      <c r="I454" s="80"/>
      <c r="J454" s="74">
        <f>+K417</f>
        <v>305822722</v>
      </c>
      <c r="K454" s="195">
        <f>+I454+J454</f>
        <v>305822722</v>
      </c>
      <c r="M454" s="918" t="s">
        <v>2347</v>
      </c>
      <c r="N454" s="608"/>
      <c r="O454" s="608"/>
    </row>
    <row r="455" spans="1:15" ht="15.75" hidden="1" customHeight="1">
      <c r="A455" s="164" t="s">
        <v>181</v>
      </c>
      <c r="B455" s="165"/>
      <c r="C455" s="74">
        <f>+D418</f>
        <v>1965625</v>
      </c>
      <c r="D455" s="168">
        <f>+B455+C455</f>
        <v>1965625</v>
      </c>
      <c r="F455" s="52"/>
      <c r="H455" s="164" t="s">
        <v>181</v>
      </c>
      <c r="I455" s="165"/>
      <c r="J455" s="74">
        <f>+K418</f>
        <v>0</v>
      </c>
      <c r="K455" s="196">
        <f>+I455+J455</f>
        <v>0</v>
      </c>
      <c r="M455" s="52"/>
    </row>
    <row r="456" spans="1:15" ht="15" customHeight="1" thickBot="1">
      <c r="A456" s="169"/>
      <c r="B456" s="170" t="e">
        <f>SUM(B451:B455)</f>
        <v>#REF!</v>
      </c>
      <c r="C456" s="171" t="e">
        <f>SUM(C451:C455)</f>
        <v>#REF!</v>
      </c>
      <c r="D456" s="172" t="e">
        <f>SUM(D451:D455)</f>
        <v>#REF!</v>
      </c>
      <c r="H456" s="169"/>
      <c r="I456" s="197">
        <f>SUM(I451:I455)</f>
        <v>5103000</v>
      </c>
      <c r="J456" s="197">
        <f>SUM(J451:J455)</f>
        <v>311776222</v>
      </c>
      <c r="K456" s="198">
        <f>SUM(K451:K455)</f>
        <v>316879222</v>
      </c>
    </row>
    <row r="457" spans="1:15" ht="13.5" customHeight="1">
      <c r="A457" s="49" t="s">
        <v>88</v>
      </c>
      <c r="B457" s="50"/>
      <c r="H457" s="49" t="s">
        <v>88</v>
      </c>
      <c r="I457" s="50"/>
    </row>
    <row r="458" spans="1:15" ht="12.75" customHeight="1">
      <c r="A458" s="51" t="s">
        <v>89</v>
      </c>
      <c r="H458" s="51" t="s">
        <v>89</v>
      </c>
    </row>
    <row r="459" spans="1:15" ht="13.5" customHeight="1">
      <c r="A459" s="51" t="s">
        <v>90</v>
      </c>
      <c r="H459" s="51" t="s">
        <v>90</v>
      </c>
    </row>
    <row r="460" spans="1:15" ht="12.75" customHeight="1">
      <c r="A460" s="51" t="s">
        <v>91</v>
      </c>
      <c r="H460" s="51" t="s">
        <v>91</v>
      </c>
    </row>
    <row r="461" spans="1:15" ht="3.75" customHeight="1">
      <c r="A461" s="50"/>
      <c r="B461" s="50"/>
      <c r="H461" s="50"/>
      <c r="I461" s="50"/>
    </row>
    <row r="462" spans="1:15" ht="12.75" customHeight="1">
      <c r="A462" s="52" t="s">
        <v>299</v>
      </c>
      <c r="G462" s="52"/>
      <c r="H462" s="52" t="s">
        <v>636</v>
      </c>
      <c r="N462" s="52"/>
    </row>
    <row r="463" spans="1:15" ht="15.75">
      <c r="A463" s="53" t="s">
        <v>92</v>
      </c>
      <c r="G463" s="53"/>
      <c r="H463" s="53" t="s">
        <v>2443</v>
      </c>
      <c r="N463" s="53"/>
    </row>
    <row r="464" spans="1:15" ht="13.5" customHeight="1">
      <c r="A464" s="894" t="s">
        <v>261</v>
      </c>
      <c r="B464" s="894"/>
      <c r="C464" s="894"/>
      <c r="D464" s="894"/>
      <c r="E464" s="894"/>
      <c r="F464" s="894"/>
      <c r="G464" s="894"/>
      <c r="H464" s="894" t="s">
        <v>2592</v>
      </c>
      <c r="I464" s="894"/>
      <c r="J464" s="894"/>
      <c r="K464" s="894"/>
      <c r="L464" s="894"/>
      <c r="M464" s="894"/>
      <c r="N464" s="894"/>
      <c r="O464" s="894"/>
    </row>
    <row r="465" spans="1:15" ht="9" customHeight="1" thickBot="1"/>
    <row r="466" spans="1:15">
      <c r="A466" s="895" t="s">
        <v>94</v>
      </c>
      <c r="B466" s="897" t="s">
        <v>95</v>
      </c>
      <c r="C466" s="897" t="s">
        <v>96</v>
      </c>
      <c r="D466" s="897" t="s">
        <v>3</v>
      </c>
      <c r="E466" s="897" t="s">
        <v>97</v>
      </c>
      <c r="F466" s="897" t="s">
        <v>98</v>
      </c>
      <c r="G466" s="500" t="s">
        <v>99</v>
      </c>
      <c r="H466" s="895" t="s">
        <v>94</v>
      </c>
      <c r="I466" s="897" t="s">
        <v>95</v>
      </c>
      <c r="J466" s="897" t="s">
        <v>96</v>
      </c>
      <c r="K466" s="897" t="s">
        <v>3</v>
      </c>
      <c r="L466" s="897" t="s">
        <v>97</v>
      </c>
      <c r="M466" s="897" t="s">
        <v>98</v>
      </c>
      <c r="N466" s="897" t="s">
        <v>99</v>
      </c>
      <c r="O466" s="899"/>
    </row>
    <row r="467" spans="1:15" ht="15.75" thickBot="1">
      <c r="A467" s="896"/>
      <c r="B467" s="898"/>
      <c r="C467" s="898"/>
      <c r="D467" s="898"/>
      <c r="E467" s="898"/>
      <c r="F467" s="898"/>
      <c r="G467" s="240" t="s">
        <v>100</v>
      </c>
      <c r="H467" s="896"/>
      <c r="I467" s="898"/>
      <c r="J467" s="898"/>
      <c r="K467" s="898"/>
      <c r="L467" s="898"/>
      <c r="M467" s="898"/>
      <c r="N467" s="240" t="s">
        <v>100</v>
      </c>
      <c r="O467" s="182" t="s">
        <v>101</v>
      </c>
    </row>
    <row r="468" spans="1:15" ht="14.25" customHeight="1">
      <c r="A468" s="881" t="e">
        <f>+A437+1</f>
        <v>#REF!</v>
      </c>
      <c r="B468" s="875">
        <v>42278</v>
      </c>
      <c r="C468" s="877" t="s">
        <v>267</v>
      </c>
      <c r="D468" s="881" t="s">
        <v>300</v>
      </c>
      <c r="E468" s="881" t="s">
        <v>148</v>
      </c>
      <c r="F468" s="883">
        <v>196000</v>
      </c>
      <c r="G468" s="55">
        <v>719</v>
      </c>
      <c r="H468" s="873" t="s">
        <v>548</v>
      </c>
      <c r="I468" s="875">
        <v>45449</v>
      </c>
      <c r="J468" s="877" t="s">
        <v>2587</v>
      </c>
      <c r="K468" s="881" t="s">
        <v>2588</v>
      </c>
      <c r="L468" s="881" t="s">
        <v>1908</v>
      </c>
      <c r="M468" s="883">
        <v>-479200</v>
      </c>
      <c r="N468" s="55">
        <v>719</v>
      </c>
      <c r="O468" s="78"/>
    </row>
    <row r="469" spans="1:15" ht="13.5" customHeight="1" thickBot="1">
      <c r="A469" s="882"/>
      <c r="B469" s="934"/>
      <c r="C469" s="878"/>
      <c r="D469" s="882"/>
      <c r="E469" s="882"/>
      <c r="F469" s="884"/>
      <c r="G469" s="56">
        <v>721</v>
      </c>
      <c r="H469" s="882"/>
      <c r="I469" s="876"/>
      <c r="J469" s="878"/>
      <c r="K469" s="882"/>
      <c r="L469" s="882"/>
      <c r="M469" s="884"/>
      <c r="N469" s="56">
        <v>723</v>
      </c>
      <c r="O469" s="79">
        <f>+M468-O468</f>
        <v>-479200</v>
      </c>
    </row>
    <row r="470" spans="1:15" ht="12.75" customHeight="1">
      <c r="A470" s="881" t="e">
        <f>+A468+1</f>
        <v>#REF!</v>
      </c>
      <c r="B470" s="875">
        <v>42278</v>
      </c>
      <c r="C470" s="881" t="s">
        <v>28</v>
      </c>
      <c r="D470" s="881" t="s">
        <v>301</v>
      </c>
      <c r="E470" s="881" t="s">
        <v>148</v>
      </c>
      <c r="F470" s="883">
        <v>224000</v>
      </c>
      <c r="G470" s="55">
        <v>719</v>
      </c>
      <c r="H470" s="873" t="s">
        <v>549</v>
      </c>
      <c r="I470" s="875">
        <v>45449</v>
      </c>
      <c r="J470" s="877" t="s">
        <v>780</v>
      </c>
      <c r="K470" s="881" t="s">
        <v>2589</v>
      </c>
      <c r="L470" s="881" t="s">
        <v>775</v>
      </c>
      <c r="M470" s="883">
        <v>-2254830</v>
      </c>
      <c r="N470" s="55">
        <v>719</v>
      </c>
      <c r="O470" s="78"/>
    </row>
    <row r="471" spans="1:15" ht="13.5" customHeight="1" thickBot="1">
      <c r="A471" s="882"/>
      <c r="B471" s="934"/>
      <c r="C471" s="882"/>
      <c r="D471" s="882"/>
      <c r="E471" s="882"/>
      <c r="F471" s="884"/>
      <c r="G471" s="56">
        <v>721</v>
      </c>
      <c r="H471" s="882"/>
      <c r="I471" s="876"/>
      <c r="J471" s="878"/>
      <c r="K471" s="882"/>
      <c r="L471" s="882"/>
      <c r="M471" s="884"/>
      <c r="N471" s="56">
        <v>723</v>
      </c>
      <c r="O471" s="79">
        <f>+M470-O470</f>
        <v>-2254830</v>
      </c>
    </row>
    <row r="472" spans="1:15" ht="13.5" customHeight="1">
      <c r="A472" s="251"/>
      <c r="B472" s="452"/>
      <c r="C472" s="251"/>
      <c r="D472" s="251"/>
      <c r="E472" s="251"/>
      <c r="F472" s="254"/>
      <c r="G472" s="255"/>
      <c r="H472" s="873" t="s">
        <v>656</v>
      </c>
      <c r="I472" s="875">
        <v>45449</v>
      </c>
      <c r="J472" s="877" t="s">
        <v>2590</v>
      </c>
      <c r="K472" s="881" t="s">
        <v>2445</v>
      </c>
      <c r="L472" s="881" t="s">
        <v>148</v>
      </c>
      <c r="M472" s="883">
        <v>25661698</v>
      </c>
      <c r="N472" s="55">
        <v>727</v>
      </c>
      <c r="O472" s="78"/>
    </row>
    <row r="473" spans="1:15" ht="13.5" customHeight="1" thickBot="1">
      <c r="A473" s="251"/>
      <c r="B473" s="452"/>
      <c r="C473" s="251"/>
      <c r="D473" s="251"/>
      <c r="E473" s="251"/>
      <c r="F473" s="254"/>
      <c r="G473" s="255"/>
      <c r="H473" s="882"/>
      <c r="I473" s="876"/>
      <c r="J473" s="878"/>
      <c r="K473" s="882"/>
      <c r="L473" s="882"/>
      <c r="M473" s="884"/>
      <c r="N473" s="56">
        <v>723</v>
      </c>
      <c r="O473" s="79">
        <f>+M472-O472</f>
        <v>25661698</v>
      </c>
    </row>
    <row r="474" spans="1:15" ht="13.5" customHeight="1">
      <c r="A474" s="881" t="e">
        <f>+A470+1</f>
        <v>#REF!</v>
      </c>
      <c r="B474" s="875">
        <v>42278</v>
      </c>
      <c r="C474" s="877" t="s">
        <v>32</v>
      </c>
      <c r="D474" s="881" t="s">
        <v>301</v>
      </c>
      <c r="E474" s="881" t="s">
        <v>148</v>
      </c>
      <c r="F474" s="883">
        <v>112000</v>
      </c>
      <c r="G474" s="55">
        <v>719</v>
      </c>
      <c r="H474" s="873" t="s">
        <v>657</v>
      </c>
      <c r="I474" s="875">
        <v>45449</v>
      </c>
      <c r="J474" s="877" t="s">
        <v>1538</v>
      </c>
      <c r="K474" s="881" t="s">
        <v>2502</v>
      </c>
      <c r="L474" s="881" t="s">
        <v>148</v>
      </c>
      <c r="M474" s="883">
        <v>1295500</v>
      </c>
      <c r="N474" s="55">
        <v>719</v>
      </c>
      <c r="O474" s="78">
        <v>0</v>
      </c>
    </row>
    <row r="475" spans="1:15" ht="13.5" customHeight="1" thickBot="1">
      <c r="A475" s="882"/>
      <c r="B475" s="934"/>
      <c r="C475" s="878"/>
      <c r="D475" s="882"/>
      <c r="E475" s="882"/>
      <c r="F475" s="884"/>
      <c r="G475" s="56">
        <v>721</v>
      </c>
      <c r="H475" s="882"/>
      <c r="I475" s="876"/>
      <c r="J475" s="878"/>
      <c r="K475" s="882"/>
      <c r="L475" s="882"/>
      <c r="M475" s="884"/>
      <c r="N475" s="56">
        <v>723</v>
      </c>
      <c r="O475" s="79">
        <f>+M474-O474</f>
        <v>1295500</v>
      </c>
    </row>
    <row r="476" spans="1:15" ht="12.75" customHeight="1">
      <c r="A476" s="881" t="e">
        <f>+A474+1</f>
        <v>#REF!</v>
      </c>
      <c r="B476" s="875">
        <v>42278</v>
      </c>
      <c r="C476" s="877" t="s">
        <v>111</v>
      </c>
      <c r="D476" s="881" t="s">
        <v>302</v>
      </c>
      <c r="E476" s="881" t="s">
        <v>148</v>
      </c>
      <c r="F476" s="883">
        <v>84000</v>
      </c>
      <c r="G476" s="55">
        <v>719</v>
      </c>
      <c r="H476" s="873" t="s">
        <v>658</v>
      </c>
      <c r="I476" s="875">
        <v>45449</v>
      </c>
      <c r="J476" s="877" t="s">
        <v>1538</v>
      </c>
      <c r="K476" s="881" t="s">
        <v>2591</v>
      </c>
      <c r="L476" s="881" t="s">
        <v>148</v>
      </c>
      <c r="M476" s="883">
        <v>1013200</v>
      </c>
      <c r="N476" s="55">
        <v>710</v>
      </c>
      <c r="O476" s="78"/>
    </row>
    <row r="477" spans="1:15" ht="14.25" customHeight="1" thickBot="1">
      <c r="A477" s="882"/>
      <c r="B477" s="934"/>
      <c r="C477" s="878"/>
      <c r="D477" s="882"/>
      <c r="E477" s="882"/>
      <c r="F477" s="884"/>
      <c r="G477" s="56">
        <v>721</v>
      </c>
      <c r="H477" s="882"/>
      <c r="I477" s="876"/>
      <c r="J477" s="878"/>
      <c r="K477" s="882"/>
      <c r="L477" s="882"/>
      <c r="M477" s="884"/>
      <c r="N477" s="56">
        <v>723</v>
      </c>
      <c r="O477" s="79">
        <f>+M476-O476</f>
        <v>1013200</v>
      </c>
    </row>
    <row r="478" spans="1:15" ht="16.5" thickBot="1">
      <c r="A478" s="901" t="s">
        <v>102</v>
      </c>
      <c r="B478" s="902"/>
      <c r="C478" s="902"/>
      <c r="D478" s="902"/>
      <c r="E478" s="903"/>
      <c r="F478" s="81">
        <f>SUM(F468:F477)</f>
        <v>616000</v>
      </c>
      <c r="H478" s="901" t="s">
        <v>102</v>
      </c>
      <c r="I478" s="902"/>
      <c r="J478" s="902"/>
      <c r="K478" s="902"/>
      <c r="L478" s="903"/>
      <c r="M478" s="81">
        <f>SUM(M468:M477)</f>
        <v>25236368</v>
      </c>
    </row>
    <row r="479" spans="1:15" ht="16.5" thickBot="1">
      <c r="A479" s="885" t="s">
        <v>103</v>
      </c>
      <c r="B479" s="886"/>
      <c r="C479" s="886"/>
      <c r="D479" s="886"/>
      <c r="E479" s="887"/>
      <c r="F479" s="69" t="e">
        <f>+F443</f>
        <v>#REF!</v>
      </c>
      <c r="H479" s="885" t="s">
        <v>103</v>
      </c>
      <c r="I479" s="886"/>
      <c r="J479" s="886"/>
      <c r="K479" s="886"/>
      <c r="L479" s="887"/>
      <c r="M479" s="239">
        <f>+M443</f>
        <v>316879222</v>
      </c>
      <c r="N479" s="241" t="s">
        <v>561</v>
      </c>
      <c r="O479" s="242"/>
    </row>
    <row r="480" spans="1:15" ht="16.5" thickBot="1">
      <c r="A480" s="888" t="s">
        <v>104</v>
      </c>
      <c r="B480" s="889"/>
      <c r="C480" s="889"/>
      <c r="D480" s="889"/>
      <c r="E480" s="890"/>
      <c r="F480" s="183" t="e">
        <f>SUM(F478:F479)</f>
        <v>#REF!</v>
      </c>
      <c r="H480" s="888" t="s">
        <v>104</v>
      </c>
      <c r="I480" s="889"/>
      <c r="J480" s="889"/>
      <c r="K480" s="889"/>
      <c r="L480" s="890"/>
      <c r="M480" s="183">
        <f>SUM(M478:M479)</f>
        <v>342115590</v>
      </c>
    </row>
    <row r="481" spans="1:15" ht="9" customHeight="1">
      <c r="A481" s="61"/>
      <c r="B481" s="61"/>
      <c r="C481" s="61"/>
      <c r="D481" s="61"/>
      <c r="E481" s="61"/>
      <c r="H481" s="61"/>
      <c r="I481" s="61"/>
      <c r="J481" s="61"/>
      <c r="K481" s="61"/>
      <c r="L481" s="61"/>
    </row>
    <row r="482" spans="1:15">
      <c r="A482" s="51" t="s">
        <v>303</v>
      </c>
      <c r="H482" s="51" t="s">
        <v>2608</v>
      </c>
    </row>
    <row r="483" spans="1:15" ht="7.5" customHeight="1">
      <c r="F483" s="139"/>
      <c r="M483" s="139"/>
    </row>
    <row r="484" spans="1:15">
      <c r="A484" s="50" t="s">
        <v>105</v>
      </c>
      <c r="D484" s="146"/>
      <c r="F484" s="139"/>
      <c r="H484" s="50" t="s">
        <v>105</v>
      </c>
      <c r="K484" s="146"/>
      <c r="M484" s="139"/>
    </row>
    <row r="485" spans="1:15" ht="11.25" customHeight="1" thickBot="1"/>
    <row r="486" spans="1:15" ht="17.25" thickBot="1">
      <c r="A486" s="891" t="s">
        <v>106</v>
      </c>
      <c r="B486" s="892"/>
      <c r="C486" s="892"/>
      <c r="D486" s="893"/>
      <c r="F486" s="50" t="s">
        <v>288</v>
      </c>
      <c r="H486" s="891" t="s">
        <v>106</v>
      </c>
      <c r="I486" s="892"/>
      <c r="J486" s="892"/>
      <c r="K486" s="893"/>
      <c r="M486" s="605" t="s">
        <v>288</v>
      </c>
      <c r="N486" s="605"/>
      <c r="O486" s="605"/>
    </row>
    <row r="487" spans="1:15" ht="28.5" customHeight="1" thickBot="1">
      <c r="A487" s="57" t="s">
        <v>100</v>
      </c>
      <c r="B487" s="58" t="s">
        <v>108</v>
      </c>
      <c r="C487" s="59" t="s">
        <v>109</v>
      </c>
      <c r="D487" s="60" t="s">
        <v>110</v>
      </c>
      <c r="H487" s="57" t="s">
        <v>100</v>
      </c>
      <c r="I487" s="58" t="s">
        <v>108</v>
      </c>
      <c r="J487" s="59" t="s">
        <v>109</v>
      </c>
      <c r="K487" s="60" t="s">
        <v>110</v>
      </c>
      <c r="M487" s="202"/>
      <c r="N487" s="202"/>
      <c r="O487" s="202"/>
    </row>
    <row r="488" spans="1:15" ht="15" customHeight="1">
      <c r="A488" s="71">
        <v>719</v>
      </c>
      <c r="B488" s="73" t="e">
        <f>+#REF!+#REF!+#REF!+#REF!+#REF!</f>
        <v>#REF!</v>
      </c>
      <c r="C488" s="74" t="e">
        <f>+D451</f>
        <v>#REF!</v>
      </c>
      <c r="D488" s="195" t="e">
        <f>+B488+C488</f>
        <v>#REF!</v>
      </c>
      <c r="H488" s="71">
        <v>719</v>
      </c>
      <c r="I488" s="73">
        <f>+O468+O470</f>
        <v>0</v>
      </c>
      <c r="J488" s="74">
        <f>+K451</f>
        <v>8190000</v>
      </c>
      <c r="K488" s="195">
        <f>+I488+J488</f>
        <v>8190000</v>
      </c>
      <c r="M488" s="202"/>
      <c r="N488" s="202"/>
      <c r="O488" s="202"/>
    </row>
    <row r="489" spans="1:15" ht="13.5" customHeight="1">
      <c r="A489" s="72">
        <v>721</v>
      </c>
      <c r="B489" s="80" t="e">
        <f>+#REF!+#REF!+#REF!+#REF!+#REF!</f>
        <v>#REF!</v>
      </c>
      <c r="C489" s="74" t="e">
        <f>+D452</f>
        <v>#REF!</v>
      </c>
      <c r="D489" s="195" t="e">
        <f>+B489+C489</f>
        <v>#REF!</v>
      </c>
      <c r="H489" s="72">
        <v>721</v>
      </c>
      <c r="I489" s="80"/>
      <c r="J489" s="74">
        <f>+K452</f>
        <v>2866500</v>
      </c>
      <c r="K489" s="195">
        <f>+I489+J489</f>
        <v>2866500</v>
      </c>
      <c r="M489" s="202"/>
      <c r="N489" s="202"/>
      <c r="O489" s="202"/>
    </row>
    <row r="490" spans="1:15" ht="15" customHeight="1">
      <c r="A490" s="72">
        <v>722</v>
      </c>
      <c r="B490" s="80"/>
      <c r="C490" s="74" t="e">
        <f>+D453</f>
        <v>#REF!</v>
      </c>
      <c r="D490" s="195" t="e">
        <f>+B490+C490</f>
        <v>#REF!</v>
      </c>
      <c r="H490" s="72">
        <v>722</v>
      </c>
      <c r="I490" s="80"/>
      <c r="J490" s="74">
        <f>+K453</f>
        <v>0</v>
      </c>
      <c r="K490" s="195">
        <f>+I490+J490</f>
        <v>0</v>
      </c>
      <c r="M490" s="202"/>
      <c r="N490" s="202"/>
      <c r="O490" s="202"/>
    </row>
    <row r="491" spans="1:15" ht="14.25" customHeight="1" thickBot="1">
      <c r="A491" s="72">
        <v>723</v>
      </c>
      <c r="B491" s="80"/>
      <c r="C491" s="74" t="e">
        <f>+D454</f>
        <v>#REF!</v>
      </c>
      <c r="D491" s="195" t="e">
        <f>+B491+C491</f>
        <v>#REF!</v>
      </c>
      <c r="F491" s="193" t="s">
        <v>289</v>
      </c>
      <c r="G491" s="175"/>
      <c r="H491" s="72">
        <v>723</v>
      </c>
      <c r="I491" s="80">
        <f>+O469+O471+O473+O475+O477</f>
        <v>25236368</v>
      </c>
      <c r="J491" s="74">
        <f>+K454</f>
        <v>305822722</v>
      </c>
      <c r="K491" s="195">
        <f>+I491+J491</f>
        <v>331059090</v>
      </c>
      <c r="M491" s="918" t="s">
        <v>2347</v>
      </c>
      <c r="N491" s="608"/>
      <c r="O491" s="608"/>
    </row>
    <row r="492" spans="1:15" ht="15" hidden="1" customHeight="1" thickBot="1">
      <c r="A492" s="164" t="s">
        <v>181</v>
      </c>
      <c r="B492" s="165"/>
      <c r="C492" s="74">
        <f>+D455</f>
        <v>1965625</v>
      </c>
      <c r="D492" s="196">
        <f>+B492+C492</f>
        <v>1965625</v>
      </c>
      <c r="F492" s="52"/>
      <c r="H492" s="164" t="s">
        <v>181</v>
      </c>
      <c r="I492" s="165"/>
      <c r="J492" s="74">
        <f>+K455</f>
        <v>0</v>
      </c>
      <c r="K492" s="196">
        <f>+I492+J492</f>
        <v>0</v>
      </c>
      <c r="M492" s="52"/>
    </row>
    <row r="493" spans="1:15" ht="15" customHeight="1" thickBot="1">
      <c r="A493" s="169"/>
      <c r="B493" s="170" t="e">
        <f>SUM(B488:B492)</f>
        <v>#REF!</v>
      </c>
      <c r="C493" s="171" t="e">
        <f>SUM(C488:C492)</f>
        <v>#REF!</v>
      </c>
      <c r="D493" s="172" t="e">
        <f>SUM(D488:D492)</f>
        <v>#REF!</v>
      </c>
      <c r="H493" s="169"/>
      <c r="I493" s="197">
        <f>SUM(I488:I492)</f>
        <v>25236368</v>
      </c>
      <c r="J493" s="197">
        <f>SUM(J488:J492)</f>
        <v>316879222</v>
      </c>
      <c r="K493" s="198">
        <f>SUM(K488:K492)</f>
        <v>342115590</v>
      </c>
    </row>
    <row r="494" spans="1:15" ht="16.5">
      <c r="A494" s="49" t="s">
        <v>88</v>
      </c>
      <c r="B494" s="50"/>
      <c r="H494" s="49" t="s">
        <v>88</v>
      </c>
      <c r="I494" s="50"/>
    </row>
    <row r="495" spans="1:15" ht="13.5" customHeight="1">
      <c r="A495" s="51" t="s">
        <v>89</v>
      </c>
      <c r="H495" s="51" t="s">
        <v>89</v>
      </c>
    </row>
    <row r="496" spans="1:15">
      <c r="A496" s="51" t="s">
        <v>90</v>
      </c>
      <c r="H496" s="51" t="s">
        <v>90</v>
      </c>
    </row>
    <row r="497" spans="1:15">
      <c r="A497" s="51" t="s">
        <v>91</v>
      </c>
      <c r="H497" s="51" t="s">
        <v>91</v>
      </c>
    </row>
    <row r="498" spans="1:15" ht="5.25" customHeight="1">
      <c r="A498" s="50"/>
      <c r="B498" s="50"/>
      <c r="H498" s="50"/>
      <c r="I498" s="50"/>
    </row>
    <row r="499" spans="1:15" ht="13.5" customHeight="1">
      <c r="A499" s="52" t="s">
        <v>307</v>
      </c>
      <c r="G499" s="52"/>
      <c r="H499" s="52" t="s">
        <v>637</v>
      </c>
      <c r="N499" s="52"/>
    </row>
    <row r="500" spans="1:15" ht="15.75">
      <c r="A500" s="53" t="s">
        <v>92</v>
      </c>
      <c r="G500" s="53"/>
      <c r="H500" s="53" t="s">
        <v>2443</v>
      </c>
      <c r="N500" s="53"/>
    </row>
    <row r="501" spans="1:15" ht="16.5">
      <c r="A501" s="894" t="s">
        <v>261</v>
      </c>
      <c r="B501" s="894"/>
      <c r="C501" s="894"/>
      <c r="D501" s="894"/>
      <c r="E501" s="894"/>
      <c r="F501" s="894"/>
      <c r="G501" s="894"/>
      <c r="H501" s="894" t="s">
        <v>1278</v>
      </c>
      <c r="I501" s="894"/>
      <c r="J501" s="894"/>
      <c r="K501" s="894"/>
      <c r="L501" s="894"/>
      <c r="M501" s="894"/>
      <c r="N501" s="894"/>
      <c r="O501" s="894"/>
    </row>
    <row r="502" spans="1:15" ht="8.25" customHeight="1" thickBot="1"/>
    <row r="503" spans="1:15">
      <c r="A503" s="895" t="s">
        <v>94</v>
      </c>
      <c r="B503" s="897" t="s">
        <v>95</v>
      </c>
      <c r="C503" s="897" t="s">
        <v>96</v>
      </c>
      <c r="D503" s="897" t="s">
        <v>3</v>
      </c>
      <c r="E503" s="897" t="s">
        <v>97</v>
      </c>
      <c r="F503" s="897" t="s">
        <v>98</v>
      </c>
      <c r="G503" s="500" t="s">
        <v>99</v>
      </c>
      <c r="H503" s="895" t="s">
        <v>94</v>
      </c>
      <c r="I503" s="897" t="s">
        <v>95</v>
      </c>
      <c r="J503" s="897" t="s">
        <v>96</v>
      </c>
      <c r="K503" s="897" t="s">
        <v>3</v>
      </c>
      <c r="L503" s="897" t="s">
        <v>97</v>
      </c>
      <c r="M503" s="897" t="s">
        <v>98</v>
      </c>
      <c r="N503" s="897" t="s">
        <v>99</v>
      </c>
      <c r="O503" s="899"/>
    </row>
    <row r="504" spans="1:15" ht="15.75" thickBot="1">
      <c r="A504" s="896"/>
      <c r="B504" s="898"/>
      <c r="C504" s="898"/>
      <c r="D504" s="898"/>
      <c r="E504" s="898"/>
      <c r="F504" s="898"/>
      <c r="G504" s="240" t="s">
        <v>100</v>
      </c>
      <c r="H504" s="896"/>
      <c r="I504" s="898"/>
      <c r="J504" s="898"/>
      <c r="K504" s="898"/>
      <c r="L504" s="898"/>
      <c r="M504" s="898"/>
      <c r="N504" s="240" t="s">
        <v>100</v>
      </c>
      <c r="O504" s="182" t="s">
        <v>101</v>
      </c>
    </row>
    <row r="505" spans="1:15" ht="13.5" customHeight="1">
      <c r="A505" s="881" t="e">
        <f>+#REF!+1</f>
        <v>#REF!</v>
      </c>
      <c r="B505" s="875">
        <v>42278</v>
      </c>
      <c r="C505" s="877" t="s">
        <v>272</v>
      </c>
      <c r="D505" s="881" t="s">
        <v>305</v>
      </c>
      <c r="E505" s="881" t="s">
        <v>148</v>
      </c>
      <c r="F505" s="883">
        <v>100000</v>
      </c>
      <c r="G505" s="55">
        <v>719</v>
      </c>
      <c r="H505" s="873" t="s">
        <v>659</v>
      </c>
      <c r="I505" s="875">
        <v>45449</v>
      </c>
      <c r="J505" s="877" t="s">
        <v>2408</v>
      </c>
      <c r="K505" s="879" t="s">
        <v>2593</v>
      </c>
      <c r="L505" s="881" t="s">
        <v>148</v>
      </c>
      <c r="M505" s="883">
        <v>648000</v>
      </c>
      <c r="N505" s="55">
        <v>719</v>
      </c>
      <c r="O505" s="78">
        <v>480000</v>
      </c>
    </row>
    <row r="506" spans="1:15" ht="12.75" customHeight="1" thickBot="1">
      <c r="A506" s="882"/>
      <c r="B506" s="934"/>
      <c r="C506" s="878"/>
      <c r="D506" s="882"/>
      <c r="E506" s="882"/>
      <c r="F506" s="884"/>
      <c r="G506" s="56">
        <v>721</v>
      </c>
      <c r="H506" s="882"/>
      <c r="I506" s="876"/>
      <c r="J506" s="878"/>
      <c r="K506" s="880"/>
      <c r="L506" s="882"/>
      <c r="M506" s="884"/>
      <c r="N506" s="461">
        <v>721</v>
      </c>
      <c r="O506" s="352">
        <f>+M505-O505</f>
        <v>168000</v>
      </c>
    </row>
    <row r="507" spans="1:15" ht="12.75" customHeight="1">
      <c r="A507" s="251"/>
      <c r="B507" s="452"/>
      <c r="C507" s="253"/>
      <c r="D507" s="251"/>
      <c r="E507" s="251"/>
      <c r="F507" s="254"/>
      <c r="G507" s="255"/>
      <c r="H507" s="873" t="s">
        <v>660</v>
      </c>
      <c r="I507" s="875">
        <v>45450</v>
      </c>
      <c r="J507" s="877" t="s">
        <v>1091</v>
      </c>
      <c r="K507" s="879" t="s">
        <v>2594</v>
      </c>
      <c r="L507" s="881" t="s">
        <v>148</v>
      </c>
      <c r="M507" s="883">
        <v>675000</v>
      </c>
      <c r="N507" s="55">
        <v>719</v>
      </c>
      <c r="O507" s="78">
        <v>500000</v>
      </c>
    </row>
    <row r="508" spans="1:15" ht="12.75" customHeight="1" thickBot="1">
      <c r="A508" s="251"/>
      <c r="B508" s="452"/>
      <c r="C508" s="253"/>
      <c r="D508" s="251"/>
      <c r="E508" s="251"/>
      <c r="F508" s="254"/>
      <c r="G508" s="255"/>
      <c r="H508" s="882"/>
      <c r="I508" s="876"/>
      <c r="J508" s="878"/>
      <c r="K508" s="880"/>
      <c r="L508" s="882"/>
      <c r="M508" s="884"/>
      <c r="N508" s="461">
        <v>723</v>
      </c>
      <c r="O508" s="352">
        <f>+M507-O507</f>
        <v>175000</v>
      </c>
    </row>
    <row r="509" spans="1:15" ht="12.75" customHeight="1">
      <c r="A509" s="251"/>
      <c r="B509" s="452"/>
      <c r="C509" s="253"/>
      <c r="D509" s="251"/>
      <c r="E509" s="251"/>
      <c r="F509" s="254"/>
      <c r="G509" s="255"/>
      <c r="H509" s="873" t="s">
        <v>661</v>
      </c>
      <c r="I509" s="875">
        <v>45449</v>
      </c>
      <c r="J509" s="877" t="s">
        <v>1091</v>
      </c>
      <c r="K509" s="881" t="s">
        <v>2596</v>
      </c>
      <c r="L509" s="881" t="s">
        <v>148</v>
      </c>
      <c r="M509" s="883">
        <v>688500</v>
      </c>
      <c r="N509" s="55">
        <v>719</v>
      </c>
      <c r="O509" s="78">
        <v>510000</v>
      </c>
    </row>
    <row r="510" spans="1:15" ht="12.75" customHeight="1" thickBot="1">
      <c r="A510" s="251"/>
      <c r="B510" s="452"/>
      <c r="C510" s="253"/>
      <c r="D510" s="251"/>
      <c r="E510" s="251"/>
      <c r="F510" s="254"/>
      <c r="G510" s="255"/>
      <c r="H510" s="882"/>
      <c r="I510" s="876"/>
      <c r="J510" s="878"/>
      <c r="K510" s="882"/>
      <c r="L510" s="882"/>
      <c r="M510" s="884"/>
      <c r="N510" s="461">
        <v>721</v>
      </c>
      <c r="O510" s="79">
        <f>+M509-O509</f>
        <v>178500</v>
      </c>
    </row>
    <row r="511" spans="1:15" ht="12" customHeight="1">
      <c r="A511" s="881" t="e">
        <f>+A505+1</f>
        <v>#REF!</v>
      </c>
      <c r="B511" s="875">
        <v>42278</v>
      </c>
      <c r="C511" s="881" t="s">
        <v>28</v>
      </c>
      <c r="D511" s="881" t="s">
        <v>304</v>
      </c>
      <c r="E511" s="881" t="s">
        <v>115</v>
      </c>
      <c r="F511" s="883">
        <v>80000</v>
      </c>
      <c r="G511" s="55">
        <v>719</v>
      </c>
      <c r="H511" s="873" t="s">
        <v>662</v>
      </c>
      <c r="I511" s="875">
        <v>45449</v>
      </c>
      <c r="J511" s="877" t="s">
        <v>120</v>
      </c>
      <c r="K511" s="881" t="s">
        <v>2591</v>
      </c>
      <c r="L511" s="881" t="s">
        <v>115</v>
      </c>
      <c r="M511" s="883">
        <v>850500</v>
      </c>
      <c r="N511" s="55">
        <v>719</v>
      </c>
      <c r="O511" s="78">
        <v>630000</v>
      </c>
    </row>
    <row r="512" spans="1:15" ht="14.25" customHeight="1" thickBot="1">
      <c r="A512" s="882"/>
      <c r="B512" s="934"/>
      <c r="C512" s="882"/>
      <c r="D512" s="882"/>
      <c r="E512" s="882"/>
      <c r="F512" s="884"/>
      <c r="G512" s="56">
        <v>721</v>
      </c>
      <c r="H512" s="882"/>
      <c r="I512" s="876"/>
      <c r="J512" s="878"/>
      <c r="K512" s="882"/>
      <c r="L512" s="882"/>
      <c r="M512" s="884"/>
      <c r="N512" s="461">
        <v>721</v>
      </c>
      <c r="O512" s="79">
        <f>+M511-O511</f>
        <v>220500</v>
      </c>
    </row>
    <row r="513" spans="1:15" ht="12.75" customHeight="1">
      <c r="A513" s="881"/>
      <c r="B513" s="875"/>
      <c r="C513" s="877"/>
      <c r="D513" s="881"/>
      <c r="E513" s="881"/>
      <c r="F513" s="883"/>
      <c r="G513" s="55">
        <v>719</v>
      </c>
      <c r="H513" s="873" t="s">
        <v>663</v>
      </c>
      <c r="I513" s="875">
        <v>45449</v>
      </c>
      <c r="J513" s="877" t="s">
        <v>1984</v>
      </c>
      <c r="K513" s="881" t="s">
        <v>2595</v>
      </c>
      <c r="L513" s="881" t="s">
        <v>148</v>
      </c>
      <c r="M513" s="883">
        <v>351000</v>
      </c>
      <c r="N513" s="55">
        <v>719</v>
      </c>
      <c r="O513" s="78">
        <v>260000</v>
      </c>
    </row>
    <row r="514" spans="1:15" ht="14.25" customHeight="1" thickBot="1">
      <c r="A514" s="882"/>
      <c r="B514" s="934"/>
      <c r="C514" s="878"/>
      <c r="D514" s="882"/>
      <c r="E514" s="882"/>
      <c r="F514" s="884"/>
      <c r="G514" s="56">
        <v>721</v>
      </c>
      <c r="H514" s="882"/>
      <c r="I514" s="876"/>
      <c r="J514" s="878"/>
      <c r="K514" s="882"/>
      <c r="L514" s="882"/>
      <c r="M514" s="884"/>
      <c r="N514" s="461">
        <v>723</v>
      </c>
      <c r="O514" s="79">
        <f>+M513-O513</f>
        <v>91000</v>
      </c>
    </row>
    <row r="515" spans="1:15" ht="16.5" thickBot="1">
      <c r="A515" s="901" t="s">
        <v>102</v>
      </c>
      <c r="B515" s="902"/>
      <c r="C515" s="902"/>
      <c r="D515" s="902"/>
      <c r="E515" s="903"/>
      <c r="F515" s="81">
        <f>SUM(F505:F514)</f>
        <v>180000</v>
      </c>
      <c r="H515" s="901" t="s">
        <v>102</v>
      </c>
      <c r="I515" s="902"/>
      <c r="J515" s="902"/>
      <c r="K515" s="902"/>
      <c r="L515" s="903"/>
      <c r="M515" s="81">
        <f>SUM(M505:M514)</f>
        <v>3213000</v>
      </c>
    </row>
    <row r="516" spans="1:15" ht="16.5" thickBot="1">
      <c r="A516" s="885" t="s">
        <v>103</v>
      </c>
      <c r="B516" s="886"/>
      <c r="C516" s="886"/>
      <c r="D516" s="886"/>
      <c r="E516" s="887"/>
      <c r="F516" s="69" t="e">
        <f>+F480</f>
        <v>#REF!</v>
      </c>
      <c r="H516" s="885" t="s">
        <v>103</v>
      </c>
      <c r="I516" s="886"/>
      <c r="J516" s="886"/>
      <c r="K516" s="886"/>
      <c r="L516" s="887"/>
      <c r="M516" s="239">
        <f>+M480</f>
        <v>342115590</v>
      </c>
      <c r="N516" s="241" t="s">
        <v>561</v>
      </c>
      <c r="O516" s="242">
        <f>367+1058+303+1514+353</f>
        <v>3595</v>
      </c>
    </row>
    <row r="517" spans="1:15" ht="16.5" thickBot="1">
      <c r="A517" s="888" t="s">
        <v>104</v>
      </c>
      <c r="B517" s="889"/>
      <c r="C517" s="889"/>
      <c r="D517" s="889"/>
      <c r="E517" s="890"/>
      <c r="F517" s="183" t="e">
        <f>SUM(F515:F516)</f>
        <v>#REF!</v>
      </c>
      <c r="H517" s="888" t="s">
        <v>104</v>
      </c>
      <c r="I517" s="889"/>
      <c r="J517" s="889"/>
      <c r="K517" s="889"/>
      <c r="L517" s="890"/>
      <c r="M517" s="183">
        <f>SUM(M515:M516)</f>
        <v>345328590</v>
      </c>
    </row>
    <row r="518" spans="1:15" ht="9.75" customHeight="1">
      <c r="A518" s="61"/>
      <c r="B518" s="61"/>
      <c r="C518" s="61"/>
      <c r="D518" s="61"/>
      <c r="E518" s="61"/>
      <c r="H518" s="61"/>
      <c r="I518" s="61"/>
      <c r="J518" s="61"/>
      <c r="K518" s="61"/>
      <c r="L518" s="61"/>
    </row>
    <row r="519" spans="1:15">
      <c r="A519" s="51" t="s">
        <v>306</v>
      </c>
      <c r="H519" s="51" t="s">
        <v>2597</v>
      </c>
    </row>
    <row r="520" spans="1:15" ht="5.25" customHeight="1">
      <c r="F520" s="139"/>
      <c r="M520" s="139"/>
    </row>
    <row r="521" spans="1:15">
      <c r="A521" s="50" t="s">
        <v>105</v>
      </c>
      <c r="D521" s="146"/>
      <c r="F521" s="139"/>
      <c r="H521" s="50" t="s">
        <v>105</v>
      </c>
      <c r="K521" s="146"/>
      <c r="M521" s="139"/>
    </row>
    <row r="522" spans="1:15" ht="9" customHeight="1" thickBot="1"/>
    <row r="523" spans="1:15" ht="16.5" customHeight="1" thickBot="1">
      <c r="A523" s="891" t="s">
        <v>106</v>
      </c>
      <c r="B523" s="892"/>
      <c r="C523" s="892"/>
      <c r="D523" s="893"/>
      <c r="F523" s="50" t="s">
        <v>288</v>
      </c>
      <c r="H523" s="891" t="s">
        <v>106</v>
      </c>
      <c r="I523" s="892"/>
      <c r="J523" s="892"/>
      <c r="K523" s="893"/>
      <c r="M523" s="605" t="s">
        <v>288</v>
      </c>
      <c r="N523" s="605"/>
      <c r="O523" s="605"/>
    </row>
    <row r="524" spans="1:15" ht="27" customHeight="1" thickBot="1">
      <c r="A524" s="57" t="s">
        <v>100</v>
      </c>
      <c r="B524" s="58" t="s">
        <v>108</v>
      </c>
      <c r="C524" s="59" t="s">
        <v>109</v>
      </c>
      <c r="D524" s="60" t="s">
        <v>110</v>
      </c>
      <c r="H524" s="57" t="s">
        <v>100</v>
      </c>
      <c r="I524" s="58" t="s">
        <v>108</v>
      </c>
      <c r="J524" s="59" t="s">
        <v>109</v>
      </c>
      <c r="K524" s="60" t="s">
        <v>110</v>
      </c>
      <c r="M524" s="202"/>
      <c r="N524" s="202"/>
      <c r="O524" s="202"/>
    </row>
    <row r="525" spans="1:15" ht="12" customHeight="1">
      <c r="A525" s="71">
        <v>719</v>
      </c>
      <c r="B525" s="73" t="e">
        <f>+#REF!+#REF!+#REF!+#REF!+#REF!</f>
        <v>#REF!</v>
      </c>
      <c r="C525" s="74" t="e">
        <f>+D488</f>
        <v>#REF!</v>
      </c>
      <c r="D525" s="195" t="e">
        <f>+B525+C525</f>
        <v>#REF!</v>
      </c>
      <c r="H525" s="71">
        <v>719</v>
      </c>
      <c r="I525" s="73">
        <f>+O505+O507+O509+O511+O513</f>
        <v>2380000</v>
      </c>
      <c r="J525" s="74">
        <f>+K488</f>
        <v>8190000</v>
      </c>
      <c r="K525" s="195">
        <f>+I525+J525</f>
        <v>10570000</v>
      </c>
      <c r="M525" s="202"/>
      <c r="N525" s="202"/>
      <c r="O525" s="202"/>
    </row>
    <row r="526" spans="1:15" ht="12" customHeight="1">
      <c r="A526" s="72">
        <v>721</v>
      </c>
      <c r="B526" s="80" t="e">
        <f>+#REF!+#REF!+#REF!+#REF!+#REF!</f>
        <v>#REF!</v>
      </c>
      <c r="C526" s="74" t="e">
        <f>+D489</f>
        <v>#REF!</v>
      </c>
      <c r="D526" s="195" t="e">
        <f>+B526+C526</f>
        <v>#REF!</v>
      </c>
      <c r="H526" s="72">
        <v>721</v>
      </c>
      <c r="I526" s="80">
        <f>+O506+O508+O510+O512+O514</f>
        <v>833000</v>
      </c>
      <c r="J526" s="74">
        <f>+K489</f>
        <v>2866500</v>
      </c>
      <c r="K526" s="195">
        <f>+I526+J526</f>
        <v>3699500</v>
      </c>
      <c r="M526" s="202"/>
      <c r="N526" s="202"/>
      <c r="O526" s="202"/>
    </row>
    <row r="527" spans="1:15" ht="14.25" customHeight="1">
      <c r="A527" s="72">
        <v>722</v>
      </c>
      <c r="B527" s="80"/>
      <c r="C527" s="74" t="e">
        <f>+D490</f>
        <v>#REF!</v>
      </c>
      <c r="D527" s="195" t="e">
        <f>+B527+C527</f>
        <v>#REF!</v>
      </c>
      <c r="H527" s="72">
        <v>722</v>
      </c>
      <c r="I527" s="80"/>
      <c r="J527" s="74">
        <f>+K490</f>
        <v>0</v>
      </c>
      <c r="K527" s="195">
        <f>+I527+J527</f>
        <v>0</v>
      </c>
      <c r="M527" s="202"/>
      <c r="N527" s="202"/>
      <c r="O527" s="202"/>
    </row>
    <row r="528" spans="1:15" ht="13.5" customHeight="1" thickBot="1">
      <c r="A528" s="72">
        <v>723</v>
      </c>
      <c r="B528" s="80"/>
      <c r="C528" s="74" t="e">
        <f>+D491</f>
        <v>#REF!</v>
      </c>
      <c r="D528" s="195" t="e">
        <f>+B528+C528</f>
        <v>#REF!</v>
      </c>
      <c r="F528" s="193" t="s">
        <v>289</v>
      </c>
      <c r="G528" s="175"/>
      <c r="H528" s="72">
        <v>723</v>
      </c>
      <c r="I528" s="80"/>
      <c r="J528" s="74">
        <f>+K491</f>
        <v>331059090</v>
      </c>
      <c r="K528" s="195">
        <f>+I528+J528</f>
        <v>331059090</v>
      </c>
      <c r="M528" s="918" t="s">
        <v>2347</v>
      </c>
      <c r="N528" s="608"/>
      <c r="O528" s="608"/>
    </row>
    <row r="529" spans="1:15" ht="13.5" hidden="1" customHeight="1" thickBot="1">
      <c r="A529" s="164" t="s">
        <v>181</v>
      </c>
      <c r="B529" s="165"/>
      <c r="C529" s="74">
        <f>+D492</f>
        <v>1965625</v>
      </c>
      <c r="D529" s="196">
        <f>+B529+C529</f>
        <v>1965625</v>
      </c>
      <c r="F529" s="52"/>
      <c r="H529" s="164" t="s">
        <v>181</v>
      </c>
      <c r="I529" s="165"/>
      <c r="J529" s="74">
        <f>+K492</f>
        <v>0</v>
      </c>
      <c r="K529" s="196">
        <f>+I529+J529</f>
        <v>0</v>
      </c>
      <c r="M529" s="52"/>
    </row>
    <row r="530" spans="1:15" ht="15.75" customHeight="1" thickBot="1">
      <c r="A530" s="169"/>
      <c r="B530" s="170" t="e">
        <f>SUM(B525:B529)</f>
        <v>#REF!</v>
      </c>
      <c r="C530" s="171" t="e">
        <f>SUM(C525:C529)</f>
        <v>#REF!</v>
      </c>
      <c r="D530" s="172" t="e">
        <f>SUM(D525:D529)</f>
        <v>#REF!</v>
      </c>
      <c r="H530" s="169"/>
      <c r="I530" s="197">
        <f>SUM(I525:I529)</f>
        <v>3213000</v>
      </c>
      <c r="J530" s="197">
        <f>SUM(J525:J529)</f>
        <v>342115590</v>
      </c>
      <c r="K530" s="198">
        <f>SUM(K525:K529)</f>
        <v>345328590</v>
      </c>
    </row>
    <row r="531" spans="1:15" ht="15" customHeight="1">
      <c r="A531" s="49" t="s">
        <v>88</v>
      </c>
      <c r="B531" s="50"/>
      <c r="H531" s="511" t="s">
        <v>88</v>
      </c>
      <c r="I531" s="453"/>
      <c r="J531" s="262"/>
    </row>
    <row r="532" spans="1:15">
      <c r="A532" s="51" t="s">
        <v>89</v>
      </c>
      <c r="H532" s="262" t="s">
        <v>89</v>
      </c>
      <c r="I532" s="262"/>
      <c r="J532" s="262"/>
    </row>
    <row r="533" spans="1:15">
      <c r="A533" s="51" t="s">
        <v>90</v>
      </c>
      <c r="H533" s="262" t="s">
        <v>90</v>
      </c>
      <c r="I533" s="262"/>
      <c r="J533" s="262"/>
    </row>
    <row r="534" spans="1:15">
      <c r="A534" s="51" t="s">
        <v>91</v>
      </c>
      <c r="H534" s="262" t="s">
        <v>91</v>
      </c>
      <c r="I534" s="262"/>
      <c r="J534" s="262"/>
    </row>
    <row r="535" spans="1:15" ht="6.75" customHeight="1">
      <c r="A535" s="50"/>
      <c r="B535" s="50"/>
      <c r="H535" s="50"/>
      <c r="I535" s="50"/>
      <c r="K535" s="515"/>
    </row>
    <row r="536" spans="1:15" ht="15" customHeight="1">
      <c r="A536" s="52" t="s">
        <v>308</v>
      </c>
      <c r="G536" s="52"/>
      <c r="H536" s="52" t="s">
        <v>638</v>
      </c>
      <c r="N536" s="52"/>
    </row>
    <row r="537" spans="1:15" ht="13.5" customHeight="1">
      <c r="A537" s="53" t="s">
        <v>92</v>
      </c>
      <c r="G537" s="53"/>
      <c r="H537" s="53" t="s">
        <v>2443</v>
      </c>
      <c r="N537" s="53"/>
    </row>
    <row r="538" spans="1:15" ht="15" customHeight="1">
      <c r="A538" s="894" t="s">
        <v>261</v>
      </c>
      <c r="B538" s="894"/>
      <c r="C538" s="894"/>
      <c r="D538" s="894"/>
      <c r="E538" s="894"/>
      <c r="F538" s="894"/>
      <c r="G538" s="894"/>
      <c r="H538" s="894" t="s">
        <v>2615</v>
      </c>
      <c r="I538" s="894"/>
      <c r="J538" s="894"/>
      <c r="K538" s="894"/>
      <c r="L538" s="894"/>
      <c r="M538" s="894"/>
      <c r="N538" s="894"/>
      <c r="O538" s="894"/>
    </row>
    <row r="539" spans="1:15" ht="8.25" customHeight="1" thickBot="1"/>
    <row r="540" spans="1:15">
      <c r="A540" s="895" t="s">
        <v>94</v>
      </c>
      <c r="B540" s="897" t="s">
        <v>95</v>
      </c>
      <c r="C540" s="897" t="s">
        <v>96</v>
      </c>
      <c r="D540" s="897" t="s">
        <v>3</v>
      </c>
      <c r="E540" s="897" t="s">
        <v>97</v>
      </c>
      <c r="F540" s="897" t="s">
        <v>98</v>
      </c>
      <c r="G540" s="500" t="s">
        <v>99</v>
      </c>
      <c r="H540" s="895" t="s">
        <v>94</v>
      </c>
      <c r="I540" s="897" t="s">
        <v>95</v>
      </c>
      <c r="J540" s="897" t="s">
        <v>96</v>
      </c>
      <c r="K540" s="897" t="s">
        <v>3</v>
      </c>
      <c r="L540" s="897" t="s">
        <v>97</v>
      </c>
      <c r="M540" s="897" t="s">
        <v>98</v>
      </c>
      <c r="N540" s="897" t="s">
        <v>99</v>
      </c>
      <c r="O540" s="899"/>
    </row>
    <row r="541" spans="1:15" ht="15.75" thickBot="1">
      <c r="A541" s="896"/>
      <c r="B541" s="898"/>
      <c r="C541" s="898"/>
      <c r="D541" s="898"/>
      <c r="E541" s="898"/>
      <c r="F541" s="898"/>
      <c r="G541" s="240" t="s">
        <v>100</v>
      </c>
      <c r="H541" s="896"/>
      <c r="I541" s="898"/>
      <c r="J541" s="898"/>
      <c r="K541" s="898"/>
      <c r="L541" s="898"/>
      <c r="M541" s="898"/>
      <c r="N541" s="240" t="s">
        <v>100</v>
      </c>
      <c r="O541" s="182" t="s">
        <v>101</v>
      </c>
    </row>
    <row r="542" spans="1:15" ht="12" customHeight="1">
      <c r="A542" s="881" t="e">
        <f>+#REF!+1</f>
        <v>#REF!</v>
      </c>
      <c r="B542" s="875">
        <v>42286</v>
      </c>
      <c r="C542" s="877" t="s">
        <v>267</v>
      </c>
      <c r="D542" s="881" t="s">
        <v>310</v>
      </c>
      <c r="E542" s="881" t="s">
        <v>148</v>
      </c>
      <c r="F542" s="883">
        <v>224000</v>
      </c>
      <c r="G542" s="55">
        <v>719</v>
      </c>
      <c r="H542" s="873" t="s">
        <v>664</v>
      </c>
      <c r="I542" s="875">
        <v>45485</v>
      </c>
      <c r="J542" s="877" t="s">
        <v>2610</v>
      </c>
      <c r="K542" s="881" t="s">
        <v>2611</v>
      </c>
      <c r="L542" s="881" t="s">
        <v>148</v>
      </c>
      <c r="M542" s="883">
        <v>1470000</v>
      </c>
      <c r="N542" s="55">
        <v>719</v>
      </c>
      <c r="O542" s="78"/>
    </row>
    <row r="543" spans="1:15" ht="17.25" customHeight="1" thickBot="1">
      <c r="A543" s="882"/>
      <c r="B543" s="934"/>
      <c r="C543" s="878"/>
      <c r="D543" s="882"/>
      <c r="E543" s="882"/>
      <c r="F543" s="884"/>
      <c r="G543" s="56">
        <v>721</v>
      </c>
      <c r="H543" s="882"/>
      <c r="I543" s="876"/>
      <c r="J543" s="878"/>
      <c r="K543" s="882"/>
      <c r="L543" s="882"/>
      <c r="M543" s="884"/>
      <c r="N543" s="56">
        <v>723</v>
      </c>
      <c r="O543" s="79">
        <f>+M542-O542</f>
        <v>1470000</v>
      </c>
    </row>
    <row r="544" spans="1:15" ht="13.5" customHeight="1">
      <c r="A544" s="251"/>
      <c r="B544" s="452"/>
      <c r="C544" s="253"/>
      <c r="D544" s="251"/>
      <c r="E544" s="251"/>
      <c r="F544" s="254"/>
      <c r="G544" s="255"/>
      <c r="H544" s="873" t="s">
        <v>665</v>
      </c>
      <c r="I544" s="875">
        <v>45485</v>
      </c>
      <c r="J544" s="877" t="s">
        <v>2610</v>
      </c>
      <c r="K544" s="881" t="s">
        <v>2611</v>
      </c>
      <c r="L544" s="881" t="s">
        <v>115</v>
      </c>
      <c r="M544" s="883">
        <v>612600</v>
      </c>
      <c r="N544" s="55">
        <v>719</v>
      </c>
      <c r="O544" s="78"/>
    </row>
    <row r="545" spans="1:15" ht="13.5" customHeight="1" thickBot="1">
      <c r="A545" s="251"/>
      <c r="B545" s="452"/>
      <c r="C545" s="253"/>
      <c r="D545" s="251"/>
      <c r="E545" s="251"/>
      <c r="F545" s="254"/>
      <c r="G545" s="255"/>
      <c r="H545" s="882"/>
      <c r="I545" s="876"/>
      <c r="J545" s="878"/>
      <c r="K545" s="882"/>
      <c r="L545" s="882"/>
      <c r="M545" s="884"/>
      <c r="N545" s="56">
        <v>723</v>
      </c>
      <c r="O545" s="79">
        <f>+M544-O544</f>
        <v>612600</v>
      </c>
    </row>
    <row r="546" spans="1:15" ht="13.5" customHeight="1">
      <c r="A546" s="881" t="e">
        <f>+A542+1</f>
        <v>#REF!</v>
      </c>
      <c r="B546" s="875">
        <v>42286</v>
      </c>
      <c r="C546" s="881" t="s">
        <v>28</v>
      </c>
      <c r="D546" s="881" t="s">
        <v>310</v>
      </c>
      <c r="E546" s="881" t="s">
        <v>148</v>
      </c>
      <c r="F546" s="883">
        <v>392000</v>
      </c>
      <c r="G546" s="55">
        <v>719</v>
      </c>
      <c r="H546" s="873" t="s">
        <v>666</v>
      </c>
      <c r="I546" s="875">
        <v>45485</v>
      </c>
      <c r="J546" s="877" t="s">
        <v>2610</v>
      </c>
      <c r="K546" s="881" t="s">
        <v>2611</v>
      </c>
      <c r="L546" s="881" t="s">
        <v>214</v>
      </c>
      <c r="M546" s="883">
        <v>420000</v>
      </c>
      <c r="N546" s="55">
        <v>719</v>
      </c>
      <c r="O546" s="78"/>
    </row>
    <row r="547" spans="1:15" ht="13.5" customHeight="1" thickBot="1">
      <c r="A547" s="882"/>
      <c r="B547" s="934"/>
      <c r="C547" s="882"/>
      <c r="D547" s="882"/>
      <c r="E547" s="882"/>
      <c r="F547" s="884"/>
      <c r="G547" s="56">
        <v>721</v>
      </c>
      <c r="H547" s="882"/>
      <c r="I547" s="876"/>
      <c r="J547" s="878"/>
      <c r="K547" s="882"/>
      <c r="L547" s="882"/>
      <c r="M547" s="884"/>
      <c r="N547" s="56">
        <v>723</v>
      </c>
      <c r="O547" s="79">
        <f>+M546-O546</f>
        <v>420000</v>
      </c>
    </row>
    <row r="548" spans="1:15" ht="13.5" customHeight="1">
      <c r="A548" s="251"/>
      <c r="B548" s="452"/>
      <c r="C548" s="251"/>
      <c r="D548" s="251"/>
      <c r="E548" s="251"/>
      <c r="F548" s="254"/>
      <c r="G548" s="255"/>
      <c r="H548" s="873" t="s">
        <v>667</v>
      </c>
      <c r="I548" s="875">
        <v>45485</v>
      </c>
      <c r="J548" s="877" t="s">
        <v>815</v>
      </c>
      <c r="K548" s="881" t="s">
        <v>2535</v>
      </c>
      <c r="L548" s="881" t="s">
        <v>214</v>
      </c>
      <c r="M548" s="883">
        <v>1256700</v>
      </c>
      <c r="N548" s="55">
        <v>719</v>
      </c>
      <c r="O548" s="78"/>
    </row>
    <row r="549" spans="1:15" ht="13.5" customHeight="1" thickBot="1">
      <c r="A549" s="251"/>
      <c r="B549" s="452"/>
      <c r="C549" s="251"/>
      <c r="D549" s="251"/>
      <c r="E549" s="251"/>
      <c r="F549" s="254"/>
      <c r="G549" s="255"/>
      <c r="H549" s="882"/>
      <c r="I549" s="876"/>
      <c r="J549" s="878"/>
      <c r="K549" s="882"/>
      <c r="L549" s="882"/>
      <c r="M549" s="884"/>
      <c r="N549" s="56">
        <v>723</v>
      </c>
      <c r="O549" s="79">
        <f>+M548-O548</f>
        <v>1256700</v>
      </c>
    </row>
    <row r="550" spans="1:15" ht="12" customHeight="1">
      <c r="A550" s="881" t="e">
        <f>+#REF!+1</f>
        <v>#REF!</v>
      </c>
      <c r="B550" s="875">
        <v>42286</v>
      </c>
      <c r="C550" s="877" t="s">
        <v>111</v>
      </c>
      <c r="D550" s="881" t="s">
        <v>311</v>
      </c>
      <c r="E550" s="881" t="s">
        <v>148</v>
      </c>
      <c r="F550" s="883">
        <v>84000</v>
      </c>
      <c r="G550" s="55">
        <v>719</v>
      </c>
      <c r="H550" s="873" t="s">
        <v>668</v>
      </c>
      <c r="I550" s="875">
        <v>45485</v>
      </c>
      <c r="J550" s="877" t="s">
        <v>2612</v>
      </c>
      <c r="K550" s="881" t="s">
        <v>2535</v>
      </c>
      <c r="L550" s="881" t="s">
        <v>214</v>
      </c>
      <c r="M550" s="883">
        <v>1500000</v>
      </c>
      <c r="N550" s="55">
        <v>721</v>
      </c>
      <c r="O550" s="78"/>
    </row>
    <row r="551" spans="1:15" ht="16.5" customHeight="1" thickBot="1">
      <c r="A551" s="882"/>
      <c r="B551" s="934"/>
      <c r="C551" s="878"/>
      <c r="D551" s="882"/>
      <c r="E551" s="882"/>
      <c r="F551" s="884"/>
      <c r="G551" s="56">
        <v>721</v>
      </c>
      <c r="H551" s="882"/>
      <c r="I551" s="876"/>
      <c r="J551" s="878"/>
      <c r="K551" s="882"/>
      <c r="L551" s="882"/>
      <c r="M551" s="884"/>
      <c r="N551" s="56">
        <v>723</v>
      </c>
      <c r="O551" s="79">
        <f>+M550-O550</f>
        <v>1500000</v>
      </c>
    </row>
    <row r="552" spans="1:15" ht="16.5" thickBot="1">
      <c r="A552" s="901" t="s">
        <v>102</v>
      </c>
      <c r="B552" s="902"/>
      <c r="C552" s="902"/>
      <c r="D552" s="902"/>
      <c r="E552" s="903"/>
      <c r="F552" s="81">
        <f>SUM(F542:F551)</f>
        <v>700000</v>
      </c>
      <c r="H552" s="901" t="s">
        <v>102</v>
      </c>
      <c r="I552" s="902"/>
      <c r="J552" s="902"/>
      <c r="K552" s="902"/>
      <c r="L552" s="903"/>
      <c r="M552" s="81">
        <f>SUM(M542:M551)</f>
        <v>5259300</v>
      </c>
    </row>
    <row r="553" spans="1:15" ht="16.5" thickBot="1">
      <c r="A553" s="885" t="s">
        <v>103</v>
      </c>
      <c r="B553" s="886"/>
      <c r="C553" s="886"/>
      <c r="D553" s="886"/>
      <c r="E553" s="887"/>
      <c r="F553" s="69" t="e">
        <f>+F517</f>
        <v>#REF!</v>
      </c>
      <c r="H553" s="885" t="s">
        <v>103</v>
      </c>
      <c r="I553" s="886"/>
      <c r="J553" s="886"/>
      <c r="K553" s="886"/>
      <c r="L553" s="887"/>
      <c r="M553" s="239">
        <f>+M517</f>
        <v>345328590</v>
      </c>
      <c r="N553" s="241" t="s">
        <v>561</v>
      </c>
      <c r="O553" s="242"/>
    </row>
    <row r="554" spans="1:15" ht="16.5" thickBot="1">
      <c r="A554" s="888" t="s">
        <v>104</v>
      </c>
      <c r="B554" s="889"/>
      <c r="C554" s="889"/>
      <c r="D554" s="889"/>
      <c r="E554" s="890"/>
      <c r="F554" s="183" t="e">
        <f>SUM(F552:F553)</f>
        <v>#REF!</v>
      </c>
      <c r="H554" s="888" t="s">
        <v>104</v>
      </c>
      <c r="I554" s="889"/>
      <c r="J554" s="889"/>
      <c r="K554" s="889"/>
      <c r="L554" s="890"/>
      <c r="M554" s="183">
        <f>SUM(M552:M553)</f>
        <v>350587890</v>
      </c>
    </row>
    <row r="555" spans="1:15" ht="6.75" customHeight="1">
      <c r="A555" s="61"/>
      <c r="B555" s="61"/>
      <c r="C555" s="61"/>
      <c r="D555" s="61"/>
      <c r="E555" s="61"/>
      <c r="H555" s="61"/>
      <c r="I555" s="61"/>
      <c r="J555" s="61"/>
      <c r="K555" s="61"/>
      <c r="L555" s="61"/>
    </row>
    <row r="556" spans="1:15">
      <c r="A556" s="51" t="s">
        <v>312</v>
      </c>
      <c r="H556" s="51" t="s">
        <v>2651</v>
      </c>
    </row>
    <row r="557" spans="1:15" ht="5.25" customHeight="1">
      <c r="F557" s="139"/>
      <c r="M557" s="139"/>
    </row>
    <row r="558" spans="1:15">
      <c r="A558" s="50" t="s">
        <v>105</v>
      </c>
      <c r="D558" s="146"/>
      <c r="F558" s="139"/>
      <c r="H558" s="50" t="s">
        <v>105</v>
      </c>
      <c r="K558" s="146"/>
      <c r="M558" s="139"/>
    </row>
    <row r="559" spans="1:15" ht="6.75" customHeight="1" thickBot="1"/>
    <row r="560" spans="1:15" ht="17.25" thickBot="1">
      <c r="A560" s="891" t="s">
        <v>106</v>
      </c>
      <c r="B560" s="892"/>
      <c r="C560" s="892"/>
      <c r="D560" s="893"/>
      <c r="F560" s="50" t="s">
        <v>288</v>
      </c>
      <c r="H560" s="891" t="s">
        <v>106</v>
      </c>
      <c r="I560" s="892"/>
      <c r="J560" s="892"/>
      <c r="K560" s="893"/>
      <c r="M560" s="605" t="s">
        <v>288</v>
      </c>
      <c r="N560" s="605"/>
      <c r="O560" s="605"/>
    </row>
    <row r="561" spans="1:15" ht="28.5" customHeight="1" thickBot="1">
      <c r="A561" s="57" t="s">
        <v>100</v>
      </c>
      <c r="B561" s="58" t="s">
        <v>108</v>
      </c>
      <c r="C561" s="59" t="s">
        <v>109</v>
      </c>
      <c r="D561" s="60" t="s">
        <v>110</v>
      </c>
      <c r="H561" s="57" t="s">
        <v>100</v>
      </c>
      <c r="I561" s="58" t="s">
        <v>108</v>
      </c>
      <c r="J561" s="59" t="s">
        <v>109</v>
      </c>
      <c r="K561" s="60" t="s">
        <v>110</v>
      </c>
      <c r="M561" s="202"/>
      <c r="N561" s="202"/>
      <c r="O561" s="202"/>
    </row>
    <row r="562" spans="1:15" ht="12.75" customHeight="1">
      <c r="A562" s="71">
        <v>719</v>
      </c>
      <c r="B562" s="73" t="e">
        <f>+#REF!+#REF!+#REF!+#REF!+#REF!</f>
        <v>#REF!</v>
      </c>
      <c r="C562" s="74" t="e">
        <f>+D525</f>
        <v>#REF!</v>
      </c>
      <c r="D562" s="195" t="e">
        <f>+B562+C562</f>
        <v>#REF!</v>
      </c>
      <c r="H562" s="71">
        <v>719</v>
      </c>
      <c r="I562" s="73"/>
      <c r="J562" s="74">
        <f>+K525</f>
        <v>10570000</v>
      </c>
      <c r="K562" s="195">
        <f>+I562+J562</f>
        <v>10570000</v>
      </c>
      <c r="M562" s="202"/>
      <c r="N562" s="202"/>
      <c r="O562" s="202"/>
    </row>
    <row r="563" spans="1:15" ht="15" customHeight="1">
      <c r="A563" s="72">
        <v>721</v>
      </c>
      <c r="B563" s="80" t="e">
        <f>+#REF!+#REF!+#REF!+#REF!+#REF!</f>
        <v>#REF!</v>
      </c>
      <c r="C563" s="74" t="e">
        <f>+D526</f>
        <v>#REF!</v>
      </c>
      <c r="D563" s="195" t="e">
        <f>+B563+C563</f>
        <v>#REF!</v>
      </c>
      <c r="H563" s="72">
        <v>721</v>
      </c>
      <c r="I563" s="80"/>
      <c r="J563" s="74">
        <f>+K526</f>
        <v>3699500</v>
      </c>
      <c r="K563" s="195">
        <f>+I563+J563</f>
        <v>3699500</v>
      </c>
      <c r="M563" s="202"/>
      <c r="N563" s="202"/>
      <c r="O563" s="202"/>
    </row>
    <row r="564" spans="1:15" ht="11.25" customHeight="1">
      <c r="A564" s="72">
        <v>722</v>
      </c>
      <c r="B564" s="80"/>
      <c r="C564" s="74" t="e">
        <f>+D527</f>
        <v>#REF!</v>
      </c>
      <c r="D564" s="195" t="e">
        <f>+B564+C564</f>
        <v>#REF!</v>
      </c>
      <c r="H564" s="72">
        <v>722</v>
      </c>
      <c r="I564" s="80"/>
      <c r="J564" s="74">
        <f>+K527</f>
        <v>0</v>
      </c>
      <c r="K564" s="195">
        <f>+I564+J564</f>
        <v>0</v>
      </c>
      <c r="M564" s="202"/>
      <c r="N564" s="202"/>
      <c r="O564" s="202"/>
    </row>
    <row r="565" spans="1:15" ht="14.25" customHeight="1" thickBot="1">
      <c r="A565" s="72">
        <v>723</v>
      </c>
      <c r="B565" s="80"/>
      <c r="C565" s="74" t="e">
        <f>+D528</f>
        <v>#REF!</v>
      </c>
      <c r="D565" s="195" t="e">
        <f>+B565+C565</f>
        <v>#REF!</v>
      </c>
      <c r="F565" s="193" t="s">
        <v>289</v>
      </c>
      <c r="G565" s="175"/>
      <c r="H565" s="72">
        <v>723</v>
      </c>
      <c r="I565" s="80">
        <f>+O543+O545+O547+O551+O549</f>
        <v>5259300</v>
      </c>
      <c r="J565" s="74">
        <f>+K528</f>
        <v>331059090</v>
      </c>
      <c r="K565" s="195">
        <f>+I565+J565</f>
        <v>336318390</v>
      </c>
      <c r="M565" s="918" t="s">
        <v>2347</v>
      </c>
      <c r="N565" s="608"/>
      <c r="O565" s="608"/>
    </row>
    <row r="566" spans="1:15" ht="12.75" hidden="1" customHeight="1">
      <c r="A566" s="482"/>
      <c r="B566" s="483"/>
      <c r="C566" s="199"/>
      <c r="D566" s="196"/>
      <c r="F566" s="193"/>
      <c r="G566" s="175"/>
      <c r="H566" s="164" t="s">
        <v>181</v>
      </c>
      <c r="I566" s="484"/>
      <c r="J566" s="485">
        <f>+K529</f>
        <v>0</v>
      </c>
      <c r="K566" s="486">
        <f>+I566+J566</f>
        <v>0</v>
      </c>
      <c r="M566" s="189"/>
      <c r="N566" s="222"/>
      <c r="O566" s="222"/>
    </row>
    <row r="567" spans="1:15" ht="16.5" customHeight="1" thickBot="1">
      <c r="A567" s="169"/>
      <c r="B567" s="170" t="e">
        <f>SUM(B562:B565)</f>
        <v>#REF!</v>
      </c>
      <c r="C567" s="171" t="e">
        <f>SUM(C562:C565)</f>
        <v>#REF!</v>
      </c>
      <c r="D567" s="172" t="e">
        <f>SUM(D562:D565)</f>
        <v>#REF!</v>
      </c>
      <c r="H567" s="169"/>
      <c r="I567" s="470">
        <f>SUM(I562:I565)</f>
        <v>5259300</v>
      </c>
      <c r="J567" s="470">
        <f>SUM(J562:J566)</f>
        <v>345328590</v>
      </c>
      <c r="K567" s="487">
        <f>SUM(K562:K566)</f>
        <v>350587890</v>
      </c>
    </row>
    <row r="568" spans="1:15" ht="16.5">
      <c r="A568" s="49" t="s">
        <v>88</v>
      </c>
      <c r="B568" s="50"/>
      <c r="H568" s="49" t="s">
        <v>88</v>
      </c>
      <c r="I568" s="50"/>
    </row>
    <row r="569" spans="1:15">
      <c r="A569" s="51" t="s">
        <v>89</v>
      </c>
      <c r="H569" s="51" t="s">
        <v>89</v>
      </c>
    </row>
    <row r="570" spans="1:15">
      <c r="A570" s="51" t="s">
        <v>90</v>
      </c>
      <c r="H570" s="51" t="s">
        <v>90</v>
      </c>
    </row>
    <row r="571" spans="1:15">
      <c r="A571" s="51" t="s">
        <v>91</v>
      </c>
      <c r="H571" s="51" t="s">
        <v>91</v>
      </c>
    </row>
    <row r="572" spans="1:15" ht="5.25" customHeight="1">
      <c r="A572" s="50"/>
      <c r="B572" s="50"/>
      <c r="H572" s="50"/>
      <c r="I572" s="50"/>
    </row>
    <row r="573" spans="1:15" ht="16.5">
      <c r="A573" s="52" t="s">
        <v>309</v>
      </c>
      <c r="G573" s="52"/>
      <c r="H573" s="52" t="s">
        <v>639</v>
      </c>
      <c r="N573" s="52"/>
    </row>
    <row r="574" spans="1:15" ht="15.75">
      <c r="A574" s="53" t="s">
        <v>92</v>
      </c>
      <c r="G574" s="53"/>
      <c r="H574" s="53" t="s">
        <v>2443</v>
      </c>
      <c r="N574" s="53"/>
    </row>
    <row r="575" spans="1:15" ht="15" customHeight="1">
      <c r="A575" s="894" t="s">
        <v>261</v>
      </c>
      <c r="B575" s="894"/>
      <c r="C575" s="894"/>
      <c r="D575" s="894"/>
      <c r="E575" s="894"/>
      <c r="F575" s="894"/>
      <c r="G575" s="894"/>
      <c r="H575" s="894" t="s">
        <v>1278</v>
      </c>
      <c r="I575" s="894"/>
      <c r="J575" s="894"/>
      <c r="K575" s="894"/>
      <c r="L575" s="894"/>
      <c r="M575" s="894"/>
      <c r="N575" s="894"/>
      <c r="O575" s="894"/>
    </row>
    <row r="576" spans="1:15" ht="9.75" customHeight="1" thickBot="1"/>
    <row r="577" spans="1:15">
      <c r="A577" s="895" t="s">
        <v>94</v>
      </c>
      <c r="B577" s="897" t="s">
        <v>95</v>
      </c>
      <c r="C577" s="897" t="s">
        <v>96</v>
      </c>
      <c r="D577" s="897" t="s">
        <v>3</v>
      </c>
      <c r="E577" s="897" t="s">
        <v>97</v>
      </c>
      <c r="F577" s="897" t="s">
        <v>98</v>
      </c>
      <c r="G577" s="500" t="s">
        <v>99</v>
      </c>
      <c r="H577" s="895" t="s">
        <v>94</v>
      </c>
      <c r="I577" s="897" t="s">
        <v>95</v>
      </c>
      <c r="J577" s="897" t="s">
        <v>96</v>
      </c>
      <c r="K577" s="897" t="s">
        <v>3</v>
      </c>
      <c r="L577" s="897" t="s">
        <v>97</v>
      </c>
      <c r="M577" s="897" t="s">
        <v>98</v>
      </c>
      <c r="N577" s="897" t="s">
        <v>99</v>
      </c>
      <c r="O577" s="899"/>
    </row>
    <row r="578" spans="1:15" ht="15.75" thickBot="1">
      <c r="A578" s="896"/>
      <c r="B578" s="898"/>
      <c r="C578" s="898"/>
      <c r="D578" s="898"/>
      <c r="E578" s="898"/>
      <c r="F578" s="898"/>
      <c r="G578" s="240" t="s">
        <v>100</v>
      </c>
      <c r="H578" s="896"/>
      <c r="I578" s="898"/>
      <c r="J578" s="898"/>
      <c r="K578" s="898"/>
      <c r="L578" s="898"/>
      <c r="M578" s="898"/>
      <c r="N578" s="240" t="s">
        <v>100</v>
      </c>
      <c r="O578" s="182" t="s">
        <v>101</v>
      </c>
    </row>
    <row r="579" spans="1:15" ht="13.5" customHeight="1">
      <c r="A579" s="881" t="e">
        <f>+#REF!+1</f>
        <v>#REF!</v>
      </c>
      <c r="B579" s="875">
        <v>42286</v>
      </c>
      <c r="C579" s="877" t="s">
        <v>272</v>
      </c>
      <c r="D579" s="881" t="s">
        <v>313</v>
      </c>
      <c r="E579" s="881" t="s">
        <v>115</v>
      </c>
      <c r="F579" s="883">
        <v>50000</v>
      </c>
      <c r="G579" s="55">
        <v>719</v>
      </c>
      <c r="H579" s="873" t="s">
        <v>669</v>
      </c>
      <c r="I579" s="875">
        <v>45485</v>
      </c>
      <c r="J579" s="877" t="s">
        <v>1538</v>
      </c>
      <c r="K579" s="881" t="s">
        <v>2613</v>
      </c>
      <c r="L579" s="881" t="s">
        <v>148</v>
      </c>
      <c r="M579" s="883">
        <v>1313500</v>
      </c>
      <c r="N579" s="55">
        <v>719</v>
      </c>
      <c r="O579" s="78">
        <v>0</v>
      </c>
    </row>
    <row r="580" spans="1:15" ht="12.75" customHeight="1" thickBot="1">
      <c r="A580" s="882"/>
      <c r="B580" s="876"/>
      <c r="C580" s="878"/>
      <c r="D580" s="882"/>
      <c r="E580" s="882"/>
      <c r="F580" s="884"/>
      <c r="G580" s="56">
        <v>721</v>
      </c>
      <c r="H580" s="882"/>
      <c r="I580" s="876"/>
      <c r="J580" s="878"/>
      <c r="K580" s="882"/>
      <c r="L580" s="882"/>
      <c r="M580" s="884"/>
      <c r="N580" s="56">
        <v>723</v>
      </c>
      <c r="O580" s="79">
        <f>+M579-O579</f>
        <v>1313500</v>
      </c>
    </row>
    <row r="581" spans="1:15" ht="12.75" customHeight="1">
      <c r="A581" s="881" t="e">
        <f>+A579+1</f>
        <v>#REF!</v>
      </c>
      <c r="B581" s="875">
        <v>42286</v>
      </c>
      <c r="C581" s="881" t="s">
        <v>28</v>
      </c>
      <c r="D581" s="881" t="s">
        <v>314</v>
      </c>
      <c r="E581" s="881" t="s">
        <v>115</v>
      </c>
      <c r="F581" s="883">
        <v>20000</v>
      </c>
      <c r="G581" s="55">
        <v>719</v>
      </c>
      <c r="H581" s="873" t="s">
        <v>670</v>
      </c>
      <c r="I581" s="875">
        <v>45485</v>
      </c>
      <c r="J581" s="877" t="s">
        <v>1538</v>
      </c>
      <c r="K581" s="881" t="s">
        <v>2614</v>
      </c>
      <c r="L581" s="881" t="s">
        <v>148</v>
      </c>
      <c r="M581" s="883">
        <v>2331100</v>
      </c>
      <c r="N581" s="55">
        <v>719</v>
      </c>
      <c r="O581" s="78"/>
    </row>
    <row r="582" spans="1:15" ht="12.75" customHeight="1" thickBot="1">
      <c r="A582" s="882"/>
      <c r="B582" s="876"/>
      <c r="C582" s="882"/>
      <c r="D582" s="882"/>
      <c r="E582" s="882"/>
      <c r="F582" s="884"/>
      <c r="G582" s="56">
        <v>721</v>
      </c>
      <c r="H582" s="882"/>
      <c r="I582" s="876"/>
      <c r="J582" s="878"/>
      <c r="K582" s="882"/>
      <c r="L582" s="882"/>
      <c r="M582" s="884"/>
      <c r="N582" s="56">
        <v>723</v>
      </c>
      <c r="O582" s="79">
        <f>+M581-O581</f>
        <v>2331100</v>
      </c>
    </row>
    <row r="583" spans="1:15" ht="12.75" customHeight="1">
      <c r="A583" s="251"/>
      <c r="B583" s="252"/>
      <c r="C583" s="251"/>
      <c r="D583" s="251"/>
      <c r="E583" s="251"/>
      <c r="F583" s="254"/>
      <c r="G583" s="255"/>
      <c r="H583" s="873" t="s">
        <v>717</v>
      </c>
      <c r="I583" s="875">
        <v>45485</v>
      </c>
      <c r="J583" s="877" t="s">
        <v>815</v>
      </c>
      <c r="K583" s="881" t="s">
        <v>2616</v>
      </c>
      <c r="L583" s="881" t="s">
        <v>214</v>
      </c>
      <c r="M583" s="883">
        <v>730000</v>
      </c>
      <c r="N583" s="55">
        <v>719</v>
      </c>
      <c r="O583" s="78">
        <v>730000</v>
      </c>
    </row>
    <row r="584" spans="1:15" ht="12.75" customHeight="1" thickBot="1">
      <c r="A584" s="251"/>
      <c r="B584" s="252"/>
      <c r="C584" s="251"/>
      <c r="D584" s="251"/>
      <c r="E584" s="251"/>
      <c r="F584" s="254"/>
      <c r="G584" s="255"/>
      <c r="H584" s="882"/>
      <c r="I584" s="876"/>
      <c r="J584" s="878"/>
      <c r="K584" s="882"/>
      <c r="L584" s="882"/>
      <c r="M584" s="884"/>
      <c r="N584" s="56">
        <v>721</v>
      </c>
      <c r="O584" s="79"/>
    </row>
    <row r="585" spans="1:15" ht="12.75" customHeight="1">
      <c r="A585" s="251"/>
      <c r="B585" s="252"/>
      <c r="C585" s="251"/>
      <c r="D585" s="251"/>
      <c r="E585" s="251"/>
      <c r="F585" s="254"/>
      <c r="G585" s="255"/>
      <c r="H585" s="873" t="s">
        <v>718</v>
      </c>
      <c r="I585" s="875">
        <v>45485</v>
      </c>
      <c r="J585" s="877" t="s">
        <v>1079</v>
      </c>
      <c r="K585" s="881" t="s">
        <v>2617</v>
      </c>
      <c r="L585" s="881" t="s">
        <v>148</v>
      </c>
      <c r="M585" s="883">
        <v>702000</v>
      </c>
      <c r="N585" s="55">
        <v>719</v>
      </c>
      <c r="O585" s="78">
        <v>520000</v>
      </c>
    </row>
    <row r="586" spans="1:15" ht="12.75" customHeight="1" thickBot="1">
      <c r="A586" s="251"/>
      <c r="B586" s="252"/>
      <c r="C586" s="251"/>
      <c r="D586" s="251"/>
      <c r="E586" s="251"/>
      <c r="F586" s="254"/>
      <c r="G586" s="255"/>
      <c r="H586" s="882"/>
      <c r="I586" s="876"/>
      <c r="J586" s="878"/>
      <c r="K586" s="882"/>
      <c r="L586" s="882"/>
      <c r="M586" s="884"/>
      <c r="N586" s="56">
        <v>721</v>
      </c>
      <c r="O586" s="79">
        <f>+M585-O585</f>
        <v>182000</v>
      </c>
    </row>
    <row r="587" spans="1:15" ht="13.5" customHeight="1">
      <c r="A587" s="881" t="e">
        <f>+#REF!+1</f>
        <v>#REF!</v>
      </c>
      <c r="B587" s="875">
        <v>42286</v>
      </c>
      <c r="C587" s="877" t="s">
        <v>120</v>
      </c>
      <c r="D587" s="881" t="s">
        <v>316</v>
      </c>
      <c r="E587" s="881" t="s">
        <v>115</v>
      </c>
      <c r="F587" s="883">
        <v>10000</v>
      </c>
      <c r="G587" s="55">
        <v>719</v>
      </c>
      <c r="H587" s="873" t="s">
        <v>719</v>
      </c>
      <c r="I587" s="875">
        <v>45485</v>
      </c>
      <c r="J587" s="877" t="s">
        <v>1079</v>
      </c>
      <c r="K587" s="881" t="s">
        <v>2618</v>
      </c>
      <c r="L587" s="881" t="s">
        <v>148</v>
      </c>
      <c r="M587" s="883">
        <v>702000</v>
      </c>
      <c r="N587" s="55">
        <v>722</v>
      </c>
      <c r="O587" s="78">
        <v>520000</v>
      </c>
    </row>
    <row r="588" spans="1:15" ht="12.75" customHeight="1" thickBot="1">
      <c r="A588" s="882"/>
      <c r="B588" s="876"/>
      <c r="C588" s="878"/>
      <c r="D588" s="882"/>
      <c r="E588" s="882"/>
      <c r="F588" s="884"/>
      <c r="G588" s="56">
        <v>721</v>
      </c>
      <c r="H588" s="882"/>
      <c r="I588" s="876"/>
      <c r="J588" s="878"/>
      <c r="K588" s="882"/>
      <c r="L588" s="882"/>
      <c r="M588" s="884"/>
      <c r="N588" s="56">
        <v>721</v>
      </c>
      <c r="O588" s="79">
        <f>+M587-O587</f>
        <v>182000</v>
      </c>
    </row>
    <row r="589" spans="1:15" ht="16.5" thickBot="1">
      <c r="A589" s="901" t="s">
        <v>102</v>
      </c>
      <c r="B589" s="902"/>
      <c r="C589" s="902"/>
      <c r="D589" s="902"/>
      <c r="E589" s="903"/>
      <c r="F589" s="81">
        <f>SUM(F579:F588)</f>
        <v>80000</v>
      </c>
      <c r="H589" s="901" t="s">
        <v>102</v>
      </c>
      <c r="I589" s="902"/>
      <c r="J589" s="902"/>
      <c r="K589" s="902"/>
      <c r="L589" s="903"/>
      <c r="M589" s="81">
        <f>SUM(M579:M588)</f>
        <v>5778600</v>
      </c>
    </row>
    <row r="590" spans="1:15" ht="16.5" thickBot="1">
      <c r="A590" s="885" t="s">
        <v>103</v>
      </c>
      <c r="B590" s="886"/>
      <c r="C590" s="886"/>
      <c r="D590" s="886"/>
      <c r="E590" s="887"/>
      <c r="F590" s="69" t="e">
        <f>+F554</f>
        <v>#REF!</v>
      </c>
      <c r="H590" s="885" t="s">
        <v>103</v>
      </c>
      <c r="I590" s="886"/>
      <c r="J590" s="886"/>
      <c r="K590" s="886"/>
      <c r="L590" s="887"/>
      <c r="M590" s="239">
        <f>+M554</f>
        <v>350587890</v>
      </c>
      <c r="N590" s="241" t="s">
        <v>561</v>
      </c>
      <c r="O590" s="242">
        <f>353+380+836</f>
        <v>1569</v>
      </c>
    </row>
    <row r="591" spans="1:15" ht="14.25" customHeight="1" thickBot="1">
      <c r="A591" s="888" t="s">
        <v>104</v>
      </c>
      <c r="B591" s="889"/>
      <c r="C591" s="889"/>
      <c r="D591" s="889"/>
      <c r="E591" s="890"/>
      <c r="F591" s="183" t="e">
        <f>SUM(F589:F590)</f>
        <v>#REF!</v>
      </c>
      <c r="H591" s="888" t="s">
        <v>104</v>
      </c>
      <c r="I591" s="889"/>
      <c r="J591" s="889"/>
      <c r="K591" s="889"/>
      <c r="L591" s="890"/>
      <c r="M591" s="183">
        <f>SUM(M589:M590)</f>
        <v>356366490</v>
      </c>
    </row>
    <row r="592" spans="1:15" ht="9.75" customHeight="1">
      <c r="A592" s="61"/>
      <c r="B592" s="61"/>
      <c r="C592" s="61"/>
      <c r="D592" s="61"/>
      <c r="E592" s="61"/>
      <c r="H592" s="61"/>
      <c r="I592" s="61"/>
      <c r="J592" s="61"/>
      <c r="K592" s="61"/>
      <c r="L592" s="61"/>
    </row>
    <row r="593" spans="1:15">
      <c r="A593" s="51" t="s">
        <v>317</v>
      </c>
      <c r="H593" s="51" t="s">
        <v>2619</v>
      </c>
    </row>
    <row r="594" spans="1:15" ht="6" customHeight="1">
      <c r="F594" s="139"/>
      <c r="M594" s="139"/>
    </row>
    <row r="595" spans="1:15">
      <c r="A595" s="50" t="s">
        <v>105</v>
      </c>
      <c r="D595" s="146"/>
      <c r="F595" s="139"/>
      <c r="H595" s="50" t="s">
        <v>105</v>
      </c>
      <c r="K595" s="146"/>
      <c r="M595" s="139"/>
    </row>
    <row r="596" spans="1:15" ht="7.5" customHeight="1" thickBot="1"/>
    <row r="597" spans="1:15" ht="17.25" thickBot="1">
      <c r="A597" s="891" t="s">
        <v>106</v>
      </c>
      <c r="B597" s="892"/>
      <c r="C597" s="892"/>
      <c r="D597" s="893"/>
      <c r="F597" s="50" t="s">
        <v>288</v>
      </c>
      <c r="H597" s="891" t="s">
        <v>106</v>
      </c>
      <c r="I597" s="892"/>
      <c r="J597" s="892"/>
      <c r="K597" s="893"/>
      <c r="M597" s="605" t="s">
        <v>288</v>
      </c>
      <c r="N597" s="605"/>
      <c r="O597" s="605"/>
    </row>
    <row r="598" spans="1:15" ht="29.25" customHeight="1" thickBot="1">
      <c r="A598" s="57" t="s">
        <v>100</v>
      </c>
      <c r="B598" s="58" t="s">
        <v>108</v>
      </c>
      <c r="C598" s="59" t="s">
        <v>109</v>
      </c>
      <c r="D598" s="60" t="s">
        <v>110</v>
      </c>
      <c r="H598" s="57" t="s">
        <v>100</v>
      </c>
      <c r="I598" s="58" t="s">
        <v>108</v>
      </c>
      <c r="J598" s="59" t="s">
        <v>109</v>
      </c>
      <c r="K598" s="60" t="s">
        <v>110</v>
      </c>
      <c r="M598" s="202"/>
      <c r="N598" s="202"/>
      <c r="O598" s="202"/>
    </row>
    <row r="599" spans="1:15" ht="15" customHeight="1">
      <c r="A599" s="71">
        <v>719</v>
      </c>
      <c r="B599" s="73" t="e">
        <f>+#REF!+#REF!+#REF!+#REF!+#REF!</f>
        <v>#REF!</v>
      </c>
      <c r="C599" s="74" t="e">
        <f>+D562</f>
        <v>#REF!</v>
      </c>
      <c r="D599" s="195" t="e">
        <f>+B599+C599</f>
        <v>#REF!</v>
      </c>
      <c r="H599" s="71">
        <v>719</v>
      </c>
      <c r="I599" s="512">
        <f>+O583+O585+O587</f>
        <v>1770000</v>
      </c>
      <c r="J599" s="74">
        <f>+K562</f>
        <v>10570000</v>
      </c>
      <c r="K599" s="195">
        <f>+I599+J599</f>
        <v>12340000</v>
      </c>
      <c r="M599" s="202"/>
      <c r="N599" s="202"/>
      <c r="O599" s="202"/>
    </row>
    <row r="600" spans="1:15" ht="12.75" customHeight="1">
      <c r="A600" s="72">
        <v>721</v>
      </c>
      <c r="B600" s="80" t="e">
        <f>+#REF!+#REF!+#REF!+#REF!+#REF!</f>
        <v>#REF!</v>
      </c>
      <c r="C600" s="74" t="e">
        <f>+D563</f>
        <v>#REF!</v>
      </c>
      <c r="D600" s="195" t="e">
        <f>+B600+C600</f>
        <v>#REF!</v>
      </c>
      <c r="H600" s="72">
        <v>721</v>
      </c>
      <c r="I600" s="80">
        <f>+O586+O588</f>
        <v>364000</v>
      </c>
      <c r="J600" s="74">
        <f>+K563</f>
        <v>3699500</v>
      </c>
      <c r="K600" s="195">
        <f>+I600+J600</f>
        <v>4063500</v>
      </c>
      <c r="M600" s="202"/>
      <c r="N600" s="202"/>
      <c r="O600" s="202"/>
    </row>
    <row r="601" spans="1:15" ht="12.75" customHeight="1">
      <c r="A601" s="72">
        <v>722</v>
      </c>
      <c r="B601" s="80"/>
      <c r="C601" s="74" t="e">
        <f>+D564</f>
        <v>#REF!</v>
      </c>
      <c r="D601" s="195" t="e">
        <f>+B601+C601</f>
        <v>#REF!</v>
      </c>
      <c r="H601" s="72">
        <v>722</v>
      </c>
      <c r="I601" s="80"/>
      <c r="J601" s="74">
        <f>+K564</f>
        <v>0</v>
      </c>
      <c r="K601" s="195">
        <f>+I601+J601</f>
        <v>0</v>
      </c>
      <c r="M601" s="202"/>
      <c r="N601" s="202"/>
      <c r="O601" s="202"/>
    </row>
    <row r="602" spans="1:15" ht="14.25" customHeight="1" thickBot="1">
      <c r="A602" s="72">
        <v>723</v>
      </c>
      <c r="B602" s="80"/>
      <c r="C602" s="74" t="e">
        <f>+D565</f>
        <v>#REF!</v>
      </c>
      <c r="D602" s="195" t="e">
        <f>+B602+C602</f>
        <v>#REF!</v>
      </c>
      <c r="F602" s="193" t="s">
        <v>289</v>
      </c>
      <c r="G602" s="175"/>
      <c r="H602" s="72">
        <v>723</v>
      </c>
      <c r="I602" s="80">
        <f>+O580+O582</f>
        <v>3644600</v>
      </c>
      <c r="J602" s="74">
        <f>+K565</f>
        <v>336318390</v>
      </c>
      <c r="K602" s="195">
        <f>+I602+J602</f>
        <v>339962990</v>
      </c>
      <c r="M602" s="918" t="s">
        <v>2347</v>
      </c>
      <c r="N602" s="608"/>
      <c r="O602" s="608"/>
    </row>
    <row r="603" spans="1:15" ht="15" hidden="1" customHeight="1">
      <c r="A603" s="482"/>
      <c r="B603" s="484"/>
      <c r="C603" s="488"/>
      <c r="D603" s="486"/>
      <c r="F603" s="193"/>
      <c r="G603" s="175"/>
      <c r="H603" s="164" t="s">
        <v>181</v>
      </c>
      <c r="I603" s="484"/>
      <c r="J603" s="485">
        <f>+J566</f>
        <v>0</v>
      </c>
      <c r="K603" s="486">
        <f>+I603+J603</f>
        <v>0</v>
      </c>
      <c r="M603" s="189"/>
      <c r="N603" s="222"/>
      <c r="O603" s="222"/>
    </row>
    <row r="604" spans="1:15" ht="18" customHeight="1" thickBot="1">
      <c r="A604" s="169"/>
      <c r="B604" s="197" t="e">
        <f>SUM(B599:B602)</f>
        <v>#REF!</v>
      </c>
      <c r="C604" s="200" t="e">
        <f>+D567</f>
        <v>#REF!</v>
      </c>
      <c r="D604" s="198" t="e">
        <f>SUM(D599:D602)</f>
        <v>#REF!</v>
      </c>
      <c r="H604" s="169"/>
      <c r="I604" s="470">
        <f>SUM(I599:I602)</f>
        <v>5778600</v>
      </c>
      <c r="J604" s="470">
        <f>SUM(J599:J603)</f>
        <v>350587890</v>
      </c>
      <c r="K604" s="198">
        <f>SUM(K599:K603)</f>
        <v>356366490</v>
      </c>
    </row>
    <row r="605" spans="1:15" ht="16.5">
      <c r="A605" s="49" t="s">
        <v>88</v>
      </c>
      <c r="B605" s="50"/>
      <c r="H605" s="49" t="s">
        <v>88</v>
      </c>
      <c r="I605" s="50"/>
    </row>
    <row r="606" spans="1:15">
      <c r="A606" s="51" t="s">
        <v>89</v>
      </c>
      <c r="H606" s="51" t="s">
        <v>89</v>
      </c>
    </row>
    <row r="607" spans="1:15">
      <c r="A607" s="51" t="s">
        <v>90</v>
      </c>
      <c r="H607" s="51" t="s">
        <v>90</v>
      </c>
    </row>
    <row r="608" spans="1:15">
      <c r="A608" s="51" t="s">
        <v>91</v>
      </c>
      <c r="H608" s="51" t="s">
        <v>91</v>
      </c>
    </row>
    <row r="609" spans="1:17" ht="6.75" customHeight="1">
      <c r="A609" s="50"/>
      <c r="B609" s="50"/>
      <c r="H609" s="50"/>
      <c r="I609" s="50"/>
    </row>
    <row r="610" spans="1:17" ht="14.25" customHeight="1">
      <c r="A610" s="52" t="s">
        <v>318</v>
      </c>
      <c r="G610" s="52"/>
      <c r="H610" s="52" t="s">
        <v>640</v>
      </c>
      <c r="N610" s="52"/>
    </row>
    <row r="611" spans="1:17" ht="15.75">
      <c r="A611" s="53" t="s">
        <v>92</v>
      </c>
      <c r="G611" s="53"/>
      <c r="H611" s="53" t="s">
        <v>2443</v>
      </c>
      <c r="N611" s="53"/>
    </row>
    <row r="612" spans="1:17" ht="16.5">
      <c r="A612" s="894" t="s">
        <v>261</v>
      </c>
      <c r="B612" s="894"/>
      <c r="C612" s="894"/>
      <c r="D612" s="894"/>
      <c r="E612" s="894"/>
      <c r="F612" s="894"/>
      <c r="G612" s="894"/>
      <c r="H612" s="894" t="s">
        <v>228</v>
      </c>
      <c r="I612" s="894"/>
      <c r="J612" s="894"/>
      <c r="K612" s="894"/>
      <c r="L612" s="894"/>
      <c r="M612" s="894"/>
      <c r="N612" s="894"/>
      <c r="O612" s="894"/>
    </row>
    <row r="613" spans="1:17" ht="14.25" customHeight="1" thickBot="1"/>
    <row r="614" spans="1:17">
      <c r="A614" s="895" t="s">
        <v>94</v>
      </c>
      <c r="B614" s="897" t="s">
        <v>95</v>
      </c>
      <c r="C614" s="897" t="s">
        <v>96</v>
      </c>
      <c r="D614" s="897" t="s">
        <v>3</v>
      </c>
      <c r="E614" s="897" t="s">
        <v>97</v>
      </c>
      <c r="F614" s="897" t="s">
        <v>98</v>
      </c>
      <c r="G614" s="500" t="s">
        <v>99</v>
      </c>
      <c r="H614" s="895" t="s">
        <v>94</v>
      </c>
      <c r="I614" s="897" t="s">
        <v>95</v>
      </c>
      <c r="J614" s="897" t="s">
        <v>96</v>
      </c>
      <c r="K614" s="897" t="s">
        <v>3</v>
      </c>
      <c r="L614" s="897" t="s">
        <v>97</v>
      </c>
      <c r="M614" s="897" t="s">
        <v>98</v>
      </c>
      <c r="N614" s="897" t="s">
        <v>99</v>
      </c>
      <c r="O614" s="899"/>
    </row>
    <row r="615" spans="1:17" ht="15.75" thickBot="1">
      <c r="A615" s="896"/>
      <c r="B615" s="898"/>
      <c r="C615" s="898"/>
      <c r="D615" s="898"/>
      <c r="E615" s="898"/>
      <c r="F615" s="898"/>
      <c r="G615" s="240" t="s">
        <v>100</v>
      </c>
      <c r="H615" s="896"/>
      <c r="I615" s="898"/>
      <c r="J615" s="898"/>
      <c r="K615" s="898"/>
      <c r="L615" s="898"/>
      <c r="M615" s="898"/>
      <c r="N615" s="240" t="s">
        <v>100</v>
      </c>
      <c r="O615" s="182" t="s">
        <v>101</v>
      </c>
    </row>
    <row r="616" spans="1:17" ht="14.25" customHeight="1">
      <c r="A616" s="881" t="e">
        <f>+A587+1</f>
        <v>#REF!</v>
      </c>
      <c r="B616" s="875">
        <v>42286</v>
      </c>
      <c r="C616" s="877" t="s">
        <v>267</v>
      </c>
      <c r="D616" s="881" t="s">
        <v>320</v>
      </c>
      <c r="E616" s="881" t="s">
        <v>148</v>
      </c>
      <c r="F616" s="883">
        <v>70000</v>
      </c>
      <c r="G616" s="55">
        <v>719</v>
      </c>
      <c r="H616" s="873" t="s">
        <v>720</v>
      </c>
      <c r="I616" s="875">
        <v>45485</v>
      </c>
      <c r="J616" s="877" t="s">
        <v>815</v>
      </c>
      <c r="K616" s="881" t="s">
        <v>2614</v>
      </c>
      <c r="L616" s="881" t="s">
        <v>214</v>
      </c>
      <c r="M616" s="883">
        <v>680000</v>
      </c>
      <c r="N616" s="55">
        <v>719</v>
      </c>
      <c r="O616" s="258">
        <f>+M616</f>
        <v>680000</v>
      </c>
      <c r="Q616" s="51">
        <f>178500+192500+171500+287000</f>
        <v>829500</v>
      </c>
    </row>
    <row r="617" spans="1:17" ht="12" customHeight="1" thickBot="1">
      <c r="A617" s="882"/>
      <c r="B617" s="934"/>
      <c r="C617" s="878"/>
      <c r="D617" s="882"/>
      <c r="E617" s="882"/>
      <c r="F617" s="884"/>
      <c r="G617" s="56">
        <v>721</v>
      </c>
      <c r="H617" s="882"/>
      <c r="I617" s="876"/>
      <c r="J617" s="878"/>
      <c r="K617" s="882"/>
      <c r="L617" s="882"/>
      <c r="M617" s="884"/>
      <c r="N617" s="56">
        <v>721</v>
      </c>
      <c r="O617" s="352">
        <v>0</v>
      </c>
    </row>
    <row r="618" spans="1:17" ht="13.5" customHeight="1">
      <c r="A618" s="251"/>
      <c r="B618" s="452"/>
      <c r="C618" s="253"/>
      <c r="D618" s="251"/>
      <c r="E618" s="251"/>
      <c r="F618" s="254"/>
      <c r="G618" s="255"/>
      <c r="H618" s="873" t="s">
        <v>721</v>
      </c>
      <c r="I618" s="875">
        <v>45485</v>
      </c>
      <c r="J618" s="877" t="s">
        <v>1079</v>
      </c>
      <c r="K618" s="881" t="s">
        <v>2622</v>
      </c>
      <c r="L618" s="881" t="s">
        <v>148</v>
      </c>
      <c r="M618" s="883">
        <v>729000</v>
      </c>
      <c r="N618" s="55">
        <v>719</v>
      </c>
      <c r="O618" s="258">
        <v>540000</v>
      </c>
    </row>
    <row r="619" spans="1:17" ht="12.75" customHeight="1" thickBot="1">
      <c r="A619" s="251"/>
      <c r="B619" s="452"/>
      <c r="C619" s="253"/>
      <c r="D619" s="251"/>
      <c r="E619" s="251"/>
      <c r="F619" s="254"/>
      <c r="G619" s="255"/>
      <c r="H619" s="882"/>
      <c r="I619" s="876"/>
      <c r="J619" s="878"/>
      <c r="K619" s="882"/>
      <c r="L619" s="882"/>
      <c r="M619" s="884"/>
      <c r="N619" s="56">
        <v>721</v>
      </c>
      <c r="O619" s="352">
        <f>+M618-O618</f>
        <v>189000</v>
      </c>
    </row>
    <row r="620" spans="1:17" ht="13.5" customHeight="1">
      <c r="A620" s="881" t="e">
        <f>+A616+1</f>
        <v>#REF!</v>
      </c>
      <c r="B620" s="875">
        <v>42286</v>
      </c>
      <c r="C620" s="881" t="s">
        <v>28</v>
      </c>
      <c r="D620" s="881" t="s">
        <v>321</v>
      </c>
      <c r="E620" s="881" t="s">
        <v>148</v>
      </c>
      <c r="F620" s="883">
        <v>182000</v>
      </c>
      <c r="G620" s="55">
        <v>719</v>
      </c>
      <c r="H620" s="873" t="s">
        <v>732</v>
      </c>
      <c r="I620" s="875">
        <v>45485</v>
      </c>
      <c r="J620" s="877" t="s">
        <v>1079</v>
      </c>
      <c r="K620" s="881" t="s">
        <v>2623</v>
      </c>
      <c r="L620" s="881" t="s">
        <v>148</v>
      </c>
      <c r="M620" s="883">
        <v>729000</v>
      </c>
      <c r="N620" s="55">
        <v>719</v>
      </c>
      <c r="O620" s="258">
        <v>540000</v>
      </c>
    </row>
    <row r="621" spans="1:17" ht="12.75" customHeight="1" thickBot="1">
      <c r="A621" s="882"/>
      <c r="B621" s="934"/>
      <c r="C621" s="882"/>
      <c r="D621" s="882"/>
      <c r="E621" s="882"/>
      <c r="F621" s="884"/>
      <c r="G621" s="56">
        <v>721</v>
      </c>
      <c r="H621" s="882"/>
      <c r="I621" s="876"/>
      <c r="J621" s="878"/>
      <c r="K621" s="882"/>
      <c r="L621" s="882"/>
      <c r="M621" s="884"/>
      <c r="N621" s="56">
        <v>721</v>
      </c>
      <c r="O621" s="352">
        <f>+M620-O620</f>
        <v>189000</v>
      </c>
    </row>
    <row r="622" spans="1:17" ht="12" customHeight="1">
      <c r="A622" s="251"/>
      <c r="B622" s="452"/>
      <c r="C622" s="251"/>
      <c r="D622" s="251"/>
      <c r="E622" s="251"/>
      <c r="F622" s="254"/>
      <c r="G622" s="255"/>
      <c r="H622" s="873" t="s">
        <v>733</v>
      </c>
      <c r="I622" s="875">
        <v>45485</v>
      </c>
      <c r="J622" s="910" t="s">
        <v>2620</v>
      </c>
      <c r="K622" s="881" t="s">
        <v>2621</v>
      </c>
      <c r="L622" s="881" t="s">
        <v>214</v>
      </c>
      <c r="M622" s="883">
        <v>80000</v>
      </c>
      <c r="N622" s="55">
        <v>719</v>
      </c>
      <c r="O622" s="258">
        <f>+M622</f>
        <v>80000</v>
      </c>
    </row>
    <row r="623" spans="1:17" ht="12" customHeight="1" thickBot="1">
      <c r="A623" s="251"/>
      <c r="B623" s="452"/>
      <c r="C623" s="251"/>
      <c r="D623" s="251"/>
      <c r="E623" s="251"/>
      <c r="F623" s="254"/>
      <c r="G623" s="255"/>
      <c r="H623" s="882"/>
      <c r="I623" s="876"/>
      <c r="J623" s="911"/>
      <c r="K623" s="882"/>
      <c r="L623" s="882"/>
      <c r="M623" s="884"/>
      <c r="N623" s="56">
        <v>721</v>
      </c>
      <c r="O623" s="352">
        <f>+M622-O622</f>
        <v>0</v>
      </c>
    </row>
    <row r="624" spans="1:17" ht="16.5" thickBot="1">
      <c r="A624" s="901" t="s">
        <v>102</v>
      </c>
      <c r="B624" s="902"/>
      <c r="C624" s="902"/>
      <c r="D624" s="902"/>
      <c r="E624" s="903"/>
      <c r="F624" s="81">
        <f>SUM(F616:F623)</f>
        <v>252000</v>
      </c>
      <c r="H624" s="901" t="s">
        <v>102</v>
      </c>
      <c r="I624" s="902"/>
      <c r="J624" s="902"/>
      <c r="K624" s="902"/>
      <c r="L624" s="903"/>
      <c r="M624" s="81">
        <f>SUM(M616:M623)</f>
        <v>2218000</v>
      </c>
    </row>
    <row r="625" spans="1:15" ht="16.5" thickBot="1">
      <c r="A625" s="885" t="s">
        <v>103</v>
      </c>
      <c r="B625" s="886"/>
      <c r="C625" s="886"/>
      <c r="D625" s="886"/>
      <c r="E625" s="887"/>
      <c r="F625" s="69" t="e">
        <f>+F591</f>
        <v>#REF!</v>
      </c>
      <c r="H625" s="885" t="s">
        <v>103</v>
      </c>
      <c r="I625" s="886"/>
      <c r="J625" s="886"/>
      <c r="K625" s="886"/>
      <c r="L625" s="887"/>
      <c r="M625" s="239">
        <f>+M591</f>
        <v>356366490</v>
      </c>
      <c r="N625" s="241" t="s">
        <v>561</v>
      </c>
      <c r="O625" s="242">
        <f>634+69+364+346</f>
        <v>1413</v>
      </c>
    </row>
    <row r="626" spans="1:15" ht="16.5" thickBot="1">
      <c r="A626" s="888" t="s">
        <v>104</v>
      </c>
      <c r="B626" s="889"/>
      <c r="C626" s="889"/>
      <c r="D626" s="889"/>
      <c r="E626" s="890"/>
      <c r="F626" s="183" t="e">
        <f>SUM(F624:F625)</f>
        <v>#REF!</v>
      </c>
      <c r="H626" s="888" t="s">
        <v>104</v>
      </c>
      <c r="I626" s="889"/>
      <c r="J626" s="889"/>
      <c r="K626" s="889"/>
      <c r="L626" s="890"/>
      <c r="M626" s="183">
        <f>SUM(M624:M625)</f>
        <v>358584490</v>
      </c>
    </row>
    <row r="627" spans="1:15" ht="8.25" customHeight="1">
      <c r="A627" s="61"/>
      <c r="B627" s="61"/>
      <c r="C627" s="61"/>
      <c r="D627" s="61"/>
      <c r="E627" s="61"/>
      <c r="H627" s="61"/>
      <c r="I627" s="61"/>
      <c r="J627" s="61"/>
      <c r="K627" s="61"/>
      <c r="L627" s="61"/>
    </row>
    <row r="628" spans="1:15">
      <c r="A628" s="51" t="s">
        <v>323</v>
      </c>
      <c r="H628" s="51" t="s">
        <v>2624</v>
      </c>
    </row>
    <row r="629" spans="1:15" ht="5.25" customHeight="1">
      <c r="F629" s="139"/>
      <c r="M629" s="139"/>
    </row>
    <row r="630" spans="1:15">
      <c r="A630" s="50" t="s">
        <v>105</v>
      </c>
      <c r="D630" s="146"/>
      <c r="F630" s="139"/>
      <c r="H630" s="50" t="s">
        <v>105</v>
      </c>
      <c r="K630" s="146"/>
      <c r="M630" s="139"/>
    </row>
    <row r="631" spans="1:15" ht="9" customHeight="1" thickBot="1"/>
    <row r="632" spans="1:15" ht="17.25" thickBot="1">
      <c r="A632" s="891" t="s">
        <v>106</v>
      </c>
      <c r="B632" s="892"/>
      <c r="C632" s="892"/>
      <c r="D632" s="893"/>
      <c r="F632" s="50" t="s">
        <v>288</v>
      </c>
      <c r="H632" s="891" t="s">
        <v>106</v>
      </c>
      <c r="I632" s="892"/>
      <c r="J632" s="892"/>
      <c r="K632" s="893"/>
      <c r="M632" s="605" t="s">
        <v>288</v>
      </c>
      <c r="N632" s="605"/>
      <c r="O632" s="605"/>
    </row>
    <row r="633" spans="1:15" ht="28.5" customHeight="1" thickBot="1">
      <c r="A633" s="57" t="s">
        <v>100</v>
      </c>
      <c r="B633" s="58" t="s">
        <v>108</v>
      </c>
      <c r="C633" s="59" t="s">
        <v>109</v>
      </c>
      <c r="D633" s="60" t="s">
        <v>110</v>
      </c>
      <c r="H633" s="57" t="s">
        <v>100</v>
      </c>
      <c r="I633" s="58" t="s">
        <v>108</v>
      </c>
      <c r="J633" s="59" t="s">
        <v>109</v>
      </c>
      <c r="K633" s="60" t="s">
        <v>110</v>
      </c>
      <c r="M633" s="202"/>
      <c r="N633" s="202"/>
      <c r="O633" s="202"/>
    </row>
    <row r="634" spans="1:15" ht="12.75" customHeight="1">
      <c r="A634" s="71">
        <v>719</v>
      </c>
      <c r="B634" s="73" t="e">
        <f>+#REF!+#REF!+#REF!+#REF!+#REF!</f>
        <v>#REF!</v>
      </c>
      <c r="C634" s="74" t="e">
        <f>+D599</f>
        <v>#REF!</v>
      </c>
      <c r="D634" s="195" t="e">
        <f>+B634+C634</f>
        <v>#REF!</v>
      </c>
      <c r="H634" s="71">
        <v>719</v>
      </c>
      <c r="I634" s="73">
        <f>+O616+O618+O620+O622</f>
        <v>1840000</v>
      </c>
      <c r="J634" s="74">
        <f>+K599</f>
        <v>12340000</v>
      </c>
      <c r="K634" s="195">
        <f>+I634+J634</f>
        <v>14180000</v>
      </c>
      <c r="M634" s="202"/>
      <c r="N634" s="202"/>
      <c r="O634" s="202"/>
    </row>
    <row r="635" spans="1:15" ht="12.75" customHeight="1">
      <c r="A635" s="72">
        <v>721</v>
      </c>
      <c r="B635" s="80" t="e">
        <f>+#REF!+#REF!+#REF!+#REF!+#REF!</f>
        <v>#REF!</v>
      </c>
      <c r="C635" s="74" t="e">
        <f>+D600</f>
        <v>#REF!</v>
      </c>
      <c r="D635" s="195" t="e">
        <f>+B635+C635</f>
        <v>#REF!</v>
      </c>
      <c r="H635" s="72">
        <v>721</v>
      </c>
      <c r="I635" s="80">
        <f>+O621+O619</f>
        <v>378000</v>
      </c>
      <c r="J635" s="74">
        <f>+K600</f>
        <v>4063500</v>
      </c>
      <c r="K635" s="195">
        <f>+I635+J635</f>
        <v>4441500</v>
      </c>
      <c r="M635" s="202"/>
      <c r="N635" s="202"/>
      <c r="O635" s="202"/>
    </row>
    <row r="636" spans="1:15" ht="12" customHeight="1">
      <c r="A636" s="72">
        <v>722</v>
      </c>
      <c r="B636" s="80"/>
      <c r="C636" s="74" t="e">
        <f>+D601</f>
        <v>#REF!</v>
      </c>
      <c r="D636" s="195" t="e">
        <f>+B636+C636</f>
        <v>#REF!</v>
      </c>
      <c r="H636" s="72">
        <v>722</v>
      </c>
      <c r="I636" s="80"/>
      <c r="J636" s="74">
        <f>+K601</f>
        <v>0</v>
      </c>
      <c r="K636" s="195">
        <f>+I636+J636</f>
        <v>0</v>
      </c>
      <c r="M636" s="202"/>
      <c r="N636" s="202"/>
      <c r="O636" s="202"/>
    </row>
    <row r="637" spans="1:15" ht="13.5" customHeight="1">
      <c r="A637" s="72">
        <v>723</v>
      </c>
      <c r="B637" s="80"/>
      <c r="C637" s="74" t="e">
        <f>+D602</f>
        <v>#REF!</v>
      </c>
      <c r="D637" s="195" t="e">
        <f>+B637+C637</f>
        <v>#REF!</v>
      </c>
      <c r="F637" s="193" t="s">
        <v>289</v>
      </c>
      <c r="G637" s="175"/>
      <c r="H637" s="72">
        <v>723</v>
      </c>
      <c r="I637" s="80"/>
      <c r="J637" s="74">
        <f>+K602</f>
        <v>339962990</v>
      </c>
      <c r="K637" s="195">
        <f>+I637+J637</f>
        <v>339962990</v>
      </c>
      <c r="M637" s="918" t="s">
        <v>2347</v>
      </c>
      <c r="N637" s="608"/>
      <c r="O637" s="608"/>
    </row>
    <row r="638" spans="1:15" ht="12.75" customHeight="1" thickBot="1">
      <c r="A638" s="482"/>
      <c r="B638" s="483"/>
      <c r="C638" s="199"/>
      <c r="D638" s="196"/>
      <c r="F638" s="193"/>
      <c r="G638" s="175"/>
      <c r="H638" s="482" t="str">
        <f>+H603</f>
        <v>710-718</v>
      </c>
      <c r="I638" s="484"/>
      <c r="J638" s="485">
        <f>+K603</f>
        <v>0</v>
      </c>
      <c r="K638" s="195">
        <f>+I638+J638</f>
        <v>0</v>
      </c>
      <c r="M638" s="189"/>
      <c r="N638" s="222"/>
      <c r="O638" s="222"/>
    </row>
    <row r="639" spans="1:15" ht="16.5" thickBot="1">
      <c r="A639" s="169"/>
      <c r="B639" s="170" t="e">
        <f>SUM(B634:B637)</f>
        <v>#REF!</v>
      </c>
      <c r="C639" s="171" t="e">
        <f>SUM(C634:C637)</f>
        <v>#REF!</v>
      </c>
      <c r="D639" s="172" t="e">
        <f>SUM(D634:D637)</f>
        <v>#REF!</v>
      </c>
      <c r="H639" s="169"/>
      <c r="I639" s="197">
        <f>SUM(I634:I637)</f>
        <v>2218000</v>
      </c>
      <c r="J639" s="197">
        <f>SUM(J634:J638)</f>
        <v>356366490</v>
      </c>
      <c r="K639" s="198">
        <f>SUM(K634:K638)</f>
        <v>358584490</v>
      </c>
    </row>
    <row r="640" spans="1:15" ht="16.5">
      <c r="A640" s="49" t="s">
        <v>88</v>
      </c>
      <c r="B640" s="50"/>
      <c r="H640" s="49" t="s">
        <v>88</v>
      </c>
      <c r="I640" s="50"/>
    </row>
    <row r="641" spans="1:15" ht="12.75" customHeight="1">
      <c r="A641" s="51" t="s">
        <v>89</v>
      </c>
      <c r="H641" s="51" t="s">
        <v>89</v>
      </c>
    </row>
    <row r="642" spans="1:15" ht="13.5" customHeight="1">
      <c r="A642" s="51" t="s">
        <v>90</v>
      </c>
      <c r="H642" s="51" t="s">
        <v>90</v>
      </c>
    </row>
    <row r="643" spans="1:15" ht="12.75" customHeight="1">
      <c r="A643" s="51" t="s">
        <v>91</v>
      </c>
      <c r="H643" s="51" t="s">
        <v>91</v>
      </c>
    </row>
    <row r="644" spans="1:15" ht="6" customHeight="1">
      <c r="A644" s="50"/>
      <c r="B644" s="50"/>
      <c r="H644" s="50"/>
      <c r="I644" s="50"/>
    </row>
    <row r="645" spans="1:15" ht="13.5" customHeight="1">
      <c r="A645" s="52" t="s">
        <v>344</v>
      </c>
      <c r="G645" s="52"/>
      <c r="H645" s="52" t="s">
        <v>725</v>
      </c>
      <c r="N645" s="52"/>
    </row>
    <row r="646" spans="1:15" ht="14.25" customHeight="1">
      <c r="A646" s="53" t="s">
        <v>92</v>
      </c>
      <c r="G646" s="53"/>
      <c r="H646" s="53" t="s">
        <v>2443</v>
      </c>
      <c r="N646" s="53"/>
    </row>
    <row r="647" spans="1:15" ht="15" customHeight="1">
      <c r="A647" s="894" t="s">
        <v>347</v>
      </c>
      <c r="B647" s="894"/>
      <c r="C647" s="894"/>
      <c r="D647" s="894"/>
      <c r="E647" s="894"/>
      <c r="F647" s="894"/>
      <c r="G647" s="894"/>
      <c r="H647" s="894" t="s">
        <v>2244</v>
      </c>
      <c r="I647" s="894"/>
      <c r="J647" s="894"/>
      <c r="K647" s="894"/>
      <c r="L647" s="894"/>
      <c r="M647" s="894"/>
      <c r="N647" s="894"/>
      <c r="O647" s="894"/>
    </row>
    <row r="648" spans="1:15" ht="6" customHeight="1" thickBot="1"/>
    <row r="649" spans="1:15">
      <c r="A649" s="895" t="s">
        <v>94</v>
      </c>
      <c r="B649" s="897" t="s">
        <v>95</v>
      </c>
      <c r="C649" s="897" t="s">
        <v>96</v>
      </c>
      <c r="D649" s="897" t="s">
        <v>3</v>
      </c>
      <c r="E649" s="897" t="s">
        <v>97</v>
      </c>
      <c r="F649" s="897" t="s">
        <v>98</v>
      </c>
      <c r="G649" s="500" t="s">
        <v>99</v>
      </c>
      <c r="H649" s="895" t="s">
        <v>94</v>
      </c>
      <c r="I649" s="897" t="s">
        <v>95</v>
      </c>
      <c r="J649" s="897" t="s">
        <v>96</v>
      </c>
      <c r="K649" s="897" t="s">
        <v>3</v>
      </c>
      <c r="L649" s="897" t="s">
        <v>97</v>
      </c>
      <c r="M649" s="897" t="s">
        <v>98</v>
      </c>
      <c r="N649" s="897" t="s">
        <v>99</v>
      </c>
      <c r="O649" s="899"/>
    </row>
    <row r="650" spans="1:15" ht="15.75" thickBot="1">
      <c r="A650" s="896"/>
      <c r="B650" s="898"/>
      <c r="C650" s="898"/>
      <c r="D650" s="898"/>
      <c r="E650" s="898"/>
      <c r="F650" s="898"/>
      <c r="G650" s="240" t="s">
        <v>100</v>
      </c>
      <c r="H650" s="896"/>
      <c r="I650" s="898"/>
      <c r="J650" s="898"/>
      <c r="K650" s="898"/>
      <c r="L650" s="898"/>
      <c r="M650" s="898"/>
      <c r="N650" s="240" t="s">
        <v>100</v>
      </c>
      <c r="O650" s="182" t="s">
        <v>101</v>
      </c>
    </row>
    <row r="651" spans="1:15" ht="12.75" customHeight="1">
      <c r="A651" s="881" t="e">
        <f>+#REF!+1</f>
        <v>#REF!</v>
      </c>
      <c r="B651" s="875">
        <v>42293</v>
      </c>
      <c r="C651" s="877" t="s">
        <v>325</v>
      </c>
      <c r="D651" s="877" t="s">
        <v>324</v>
      </c>
      <c r="E651" s="881" t="s">
        <v>145</v>
      </c>
      <c r="F651" s="883">
        <v>20276705</v>
      </c>
      <c r="G651" s="55">
        <v>719</v>
      </c>
      <c r="H651" s="873" t="s">
        <v>734</v>
      </c>
      <c r="I651" s="875">
        <v>45509</v>
      </c>
      <c r="J651" s="877" t="s">
        <v>1079</v>
      </c>
      <c r="K651" s="881" t="s">
        <v>2654</v>
      </c>
      <c r="L651" s="881" t="s">
        <v>148</v>
      </c>
      <c r="M651" s="883">
        <v>675000</v>
      </c>
      <c r="N651" s="55">
        <v>719</v>
      </c>
      <c r="O651" s="258">
        <v>500000</v>
      </c>
    </row>
    <row r="652" spans="1:15" ht="14.25" customHeight="1" thickBot="1">
      <c r="A652" s="882"/>
      <c r="B652" s="876"/>
      <c r="C652" s="878"/>
      <c r="D652" s="878"/>
      <c r="E652" s="882"/>
      <c r="F652" s="884"/>
      <c r="G652" s="56">
        <v>721</v>
      </c>
      <c r="H652" s="882"/>
      <c r="I652" s="876"/>
      <c r="J652" s="878"/>
      <c r="K652" s="882"/>
      <c r="L652" s="882"/>
      <c r="M652" s="884"/>
      <c r="N652" s="56">
        <v>721</v>
      </c>
      <c r="O652" s="79">
        <f>+M651-O651</f>
        <v>175000</v>
      </c>
    </row>
    <row r="653" spans="1:15" ht="14.25" customHeight="1">
      <c r="A653" s="251"/>
      <c r="B653" s="252"/>
      <c r="C653" s="253"/>
      <c r="D653" s="253"/>
      <c r="E653" s="251"/>
      <c r="F653" s="254"/>
      <c r="G653" s="255"/>
      <c r="H653" s="873" t="s">
        <v>735</v>
      </c>
      <c r="I653" s="875">
        <v>45509</v>
      </c>
      <c r="J653" s="877" t="s">
        <v>815</v>
      </c>
      <c r="K653" s="881" t="s">
        <v>2614</v>
      </c>
      <c r="L653" s="881" t="s">
        <v>115</v>
      </c>
      <c r="M653" s="883">
        <v>1134000</v>
      </c>
      <c r="N653" s="55">
        <v>719</v>
      </c>
      <c r="O653" s="258">
        <v>840000</v>
      </c>
    </row>
    <row r="654" spans="1:15" ht="14.25" customHeight="1" thickBot="1">
      <c r="A654" s="251"/>
      <c r="B654" s="252"/>
      <c r="C654" s="253"/>
      <c r="D654" s="253"/>
      <c r="E654" s="251"/>
      <c r="F654" s="254"/>
      <c r="G654" s="255"/>
      <c r="H654" s="882"/>
      <c r="I654" s="876"/>
      <c r="J654" s="878"/>
      <c r="K654" s="882"/>
      <c r="L654" s="882"/>
      <c r="M654" s="884"/>
      <c r="N654" s="56">
        <v>721</v>
      </c>
      <c r="O654" s="79">
        <f>+M653-O653</f>
        <v>294000</v>
      </c>
    </row>
    <row r="655" spans="1:15" ht="12.75" customHeight="1">
      <c r="A655" s="881" t="e">
        <f>+A651+1</f>
        <v>#REF!</v>
      </c>
      <c r="B655" s="875">
        <v>42293</v>
      </c>
      <c r="C655" s="877" t="s">
        <v>345</v>
      </c>
      <c r="D655" s="877" t="s">
        <v>346</v>
      </c>
      <c r="E655" s="881" t="s">
        <v>165</v>
      </c>
      <c r="F655" s="883">
        <v>200000</v>
      </c>
      <c r="G655" s="55">
        <v>719</v>
      </c>
      <c r="H655" s="873" t="s">
        <v>736</v>
      </c>
      <c r="I655" s="875">
        <v>45509</v>
      </c>
      <c r="J655" s="877" t="s">
        <v>815</v>
      </c>
      <c r="K655" s="881" t="s">
        <v>2613</v>
      </c>
      <c r="L655" s="881" t="s">
        <v>115</v>
      </c>
      <c r="M655" s="883">
        <v>945000</v>
      </c>
      <c r="N655" s="55">
        <v>719</v>
      </c>
      <c r="O655" s="258">
        <v>700000</v>
      </c>
    </row>
    <row r="656" spans="1:15" ht="13.5" customHeight="1" thickBot="1">
      <c r="A656" s="882"/>
      <c r="B656" s="876"/>
      <c r="C656" s="878"/>
      <c r="D656" s="878"/>
      <c r="E656" s="882"/>
      <c r="F656" s="884"/>
      <c r="G656" s="56">
        <v>723</v>
      </c>
      <c r="H656" s="882"/>
      <c r="I656" s="876"/>
      <c r="J656" s="878"/>
      <c r="K656" s="882"/>
      <c r="L656" s="882"/>
      <c r="M656" s="884"/>
      <c r="N656" s="56">
        <v>721</v>
      </c>
      <c r="O656" s="79">
        <f>+M655-O655</f>
        <v>245000</v>
      </c>
    </row>
    <row r="657" spans="1:15" ht="12.75" customHeight="1">
      <c r="A657" s="881"/>
      <c r="B657" s="875"/>
      <c r="C657" s="877"/>
      <c r="D657" s="881"/>
      <c r="E657" s="881"/>
      <c r="F657" s="883"/>
      <c r="G657" s="55">
        <v>719</v>
      </c>
      <c r="H657" s="873" t="s">
        <v>737</v>
      </c>
      <c r="I657" s="875">
        <v>45509</v>
      </c>
      <c r="J657" s="877" t="s">
        <v>2408</v>
      </c>
      <c r="K657" s="881" t="s">
        <v>2655</v>
      </c>
      <c r="L657" s="881" t="s">
        <v>115</v>
      </c>
      <c r="M657" s="883">
        <v>634500</v>
      </c>
      <c r="N657" s="55">
        <v>719</v>
      </c>
      <c r="O657" s="258">
        <v>470000</v>
      </c>
    </row>
    <row r="658" spans="1:15" ht="12.75" customHeight="1" thickBot="1">
      <c r="A658" s="882"/>
      <c r="B658" s="876"/>
      <c r="C658" s="878"/>
      <c r="D658" s="882"/>
      <c r="E658" s="882"/>
      <c r="F658" s="884"/>
      <c r="G658" s="56">
        <v>721</v>
      </c>
      <c r="H658" s="882"/>
      <c r="I658" s="876"/>
      <c r="J658" s="878"/>
      <c r="K658" s="882"/>
      <c r="L658" s="882"/>
      <c r="M658" s="884"/>
      <c r="N658" s="56">
        <v>721</v>
      </c>
      <c r="O658" s="79">
        <f>+M657-O657</f>
        <v>164500</v>
      </c>
    </row>
    <row r="659" spans="1:15" ht="12.75" customHeight="1">
      <c r="A659" s="251"/>
      <c r="B659" s="252"/>
      <c r="C659" s="253"/>
      <c r="D659" s="251"/>
      <c r="E659" s="251"/>
      <c r="F659" s="254"/>
      <c r="G659" s="255"/>
      <c r="H659" s="873" t="s">
        <v>744</v>
      </c>
      <c r="I659" s="875">
        <v>45509</v>
      </c>
      <c r="J659" s="877" t="s">
        <v>2408</v>
      </c>
      <c r="K659" s="881" t="s">
        <v>2656</v>
      </c>
      <c r="L659" s="881" t="s">
        <v>115</v>
      </c>
      <c r="M659" s="883">
        <v>769500</v>
      </c>
      <c r="N659" s="55">
        <v>719</v>
      </c>
      <c r="O659" s="258">
        <v>570000</v>
      </c>
    </row>
    <row r="660" spans="1:15" ht="15" customHeight="1" thickBot="1">
      <c r="A660" s="251"/>
      <c r="B660" s="252"/>
      <c r="C660" s="253"/>
      <c r="D660" s="251"/>
      <c r="E660" s="251"/>
      <c r="F660" s="254"/>
      <c r="G660" s="255"/>
      <c r="H660" s="882"/>
      <c r="I660" s="876"/>
      <c r="J660" s="878"/>
      <c r="K660" s="882"/>
      <c r="L660" s="882"/>
      <c r="M660" s="884"/>
      <c r="N660" s="56">
        <v>721</v>
      </c>
      <c r="O660" s="79">
        <f>+M659-O659</f>
        <v>199500</v>
      </c>
    </row>
    <row r="661" spans="1:15" ht="16.5" thickBot="1">
      <c r="A661" s="901" t="s">
        <v>102</v>
      </c>
      <c r="B661" s="902"/>
      <c r="C661" s="902"/>
      <c r="D661" s="902"/>
      <c r="E661" s="903"/>
      <c r="F661" s="81">
        <f>SUM(F651:F660)</f>
        <v>20476705</v>
      </c>
      <c r="H661" s="901" t="s">
        <v>102</v>
      </c>
      <c r="I661" s="902"/>
      <c r="J661" s="902"/>
      <c r="K661" s="902"/>
      <c r="L661" s="903"/>
      <c r="M661" s="81">
        <f>SUM(M651:M660)</f>
        <v>4158000</v>
      </c>
    </row>
    <row r="662" spans="1:15" ht="16.5" thickBot="1">
      <c r="A662" s="885" t="s">
        <v>103</v>
      </c>
      <c r="B662" s="886"/>
      <c r="C662" s="886"/>
      <c r="D662" s="886"/>
      <c r="E662" s="887"/>
      <c r="F662" s="69" t="e">
        <f>+F626</f>
        <v>#REF!</v>
      </c>
      <c r="H662" s="885" t="s">
        <v>103</v>
      </c>
      <c r="I662" s="886"/>
      <c r="J662" s="886"/>
      <c r="K662" s="886"/>
      <c r="L662" s="887"/>
      <c r="M662" s="239">
        <f>+M626</f>
        <v>358584490</v>
      </c>
      <c r="N662" s="241" t="s">
        <v>561</v>
      </c>
      <c r="O662" s="242">
        <f>814+792+1512+2044+381</f>
        <v>5543</v>
      </c>
    </row>
    <row r="663" spans="1:15" ht="16.5" thickBot="1">
      <c r="A663" s="888" t="s">
        <v>104</v>
      </c>
      <c r="B663" s="889"/>
      <c r="C663" s="889"/>
      <c r="D663" s="889"/>
      <c r="E663" s="890"/>
      <c r="F663" s="183" t="e">
        <f>SUM(F661:F662)</f>
        <v>#REF!</v>
      </c>
      <c r="H663" s="888" t="s">
        <v>104</v>
      </c>
      <c r="I663" s="889"/>
      <c r="J663" s="889"/>
      <c r="K663" s="889"/>
      <c r="L663" s="890"/>
      <c r="M663" s="183">
        <f>SUM(M661:M662)</f>
        <v>362742490</v>
      </c>
    </row>
    <row r="664" spans="1:15" ht="7.5" customHeight="1">
      <c r="A664" s="61"/>
      <c r="B664" s="61"/>
      <c r="C664" s="61"/>
      <c r="D664" s="61"/>
      <c r="E664" s="61"/>
      <c r="H664" s="61"/>
      <c r="I664" s="61"/>
      <c r="J664" s="61"/>
      <c r="K664" s="61"/>
      <c r="L664" s="61"/>
    </row>
    <row r="665" spans="1:15">
      <c r="A665" s="51" t="s">
        <v>349</v>
      </c>
      <c r="H665" s="51" t="s">
        <v>2657</v>
      </c>
    </row>
    <row r="666" spans="1:15" ht="5.25" customHeight="1">
      <c r="F666" s="139"/>
      <c r="M666" s="139"/>
    </row>
    <row r="667" spans="1:15">
      <c r="A667" s="50" t="s">
        <v>105</v>
      </c>
      <c r="D667" s="146"/>
      <c r="F667" s="139"/>
      <c r="H667" s="50" t="s">
        <v>105</v>
      </c>
      <c r="K667" s="146"/>
      <c r="M667" s="139"/>
    </row>
    <row r="668" spans="1:15" ht="5.25" customHeight="1" thickBot="1"/>
    <row r="669" spans="1:15" ht="15.75" thickBot="1">
      <c r="A669" s="891" t="s">
        <v>106</v>
      </c>
      <c r="B669" s="892"/>
      <c r="C669" s="892"/>
      <c r="D669" s="893"/>
      <c r="F669" s="50" t="s">
        <v>270</v>
      </c>
      <c r="H669" s="891" t="s">
        <v>106</v>
      </c>
      <c r="I669" s="892"/>
      <c r="J669" s="892"/>
      <c r="K669" s="893"/>
    </row>
    <row r="670" spans="1:15" ht="42.75" customHeight="1" thickBot="1">
      <c r="A670" s="57" t="s">
        <v>100</v>
      </c>
      <c r="B670" s="58" t="s">
        <v>108</v>
      </c>
      <c r="C670" s="59" t="s">
        <v>109</v>
      </c>
      <c r="D670" s="60" t="s">
        <v>110</v>
      </c>
      <c r="H670" s="57" t="s">
        <v>100</v>
      </c>
      <c r="I670" s="58" t="s">
        <v>108</v>
      </c>
      <c r="J670" s="59" t="s">
        <v>109</v>
      </c>
      <c r="K670" s="60" t="s">
        <v>110</v>
      </c>
      <c r="M670" s="605" t="s">
        <v>288</v>
      </c>
      <c r="N670" s="605"/>
      <c r="O670" s="605"/>
    </row>
    <row r="671" spans="1:15" ht="13.5" customHeight="1">
      <c r="A671" s="71">
        <v>719</v>
      </c>
      <c r="B671" s="73" t="e">
        <f>+#REF!+#REF!+#REF!+#REF!+#REF!</f>
        <v>#REF!</v>
      </c>
      <c r="C671" s="74" t="e">
        <f>+D634</f>
        <v>#REF!</v>
      </c>
      <c r="D671" s="195" t="e">
        <f>+B671+C671</f>
        <v>#REF!</v>
      </c>
      <c r="H671" s="71">
        <v>719</v>
      </c>
      <c r="I671" s="73">
        <f>+O651+O653+O655+O657+O659</f>
        <v>3080000</v>
      </c>
      <c r="J671" s="74">
        <f>+K634</f>
        <v>14180000</v>
      </c>
      <c r="K671" s="195">
        <f>+I671+J671</f>
        <v>17260000</v>
      </c>
      <c r="M671" s="202"/>
      <c r="N671" s="202"/>
      <c r="O671" s="202"/>
    </row>
    <row r="672" spans="1:15" ht="12.75" customHeight="1">
      <c r="A672" s="72">
        <v>721</v>
      </c>
      <c r="B672" s="80" t="e">
        <f>+#REF!</f>
        <v>#REF!</v>
      </c>
      <c r="C672" s="74" t="e">
        <f>+D635</f>
        <v>#REF!</v>
      </c>
      <c r="D672" s="195" t="e">
        <f>+B672+C672</f>
        <v>#REF!</v>
      </c>
      <c r="H672" s="72">
        <v>721</v>
      </c>
      <c r="I672" s="80">
        <f>+O652+O654+O656+O658+O660</f>
        <v>1078000</v>
      </c>
      <c r="J672" s="74">
        <f>+K635</f>
        <v>4441500</v>
      </c>
      <c r="K672" s="195">
        <f>+I672+J672</f>
        <v>5519500</v>
      </c>
      <c r="M672" s="202"/>
      <c r="N672" s="202"/>
      <c r="O672" s="202"/>
    </row>
    <row r="673" spans="1:15" ht="11.25" customHeight="1">
      <c r="A673" s="72">
        <v>722</v>
      </c>
      <c r="B673" s="80"/>
      <c r="C673" s="74" t="e">
        <f>+D636</f>
        <v>#REF!</v>
      </c>
      <c r="D673" s="195" t="e">
        <f>+B673+C673</f>
        <v>#REF!</v>
      </c>
      <c r="H673" s="72">
        <v>722</v>
      </c>
      <c r="I673" s="80"/>
      <c r="J673" s="74">
        <f>+K636</f>
        <v>0</v>
      </c>
      <c r="K673" s="195">
        <f>+I673+J673</f>
        <v>0</v>
      </c>
      <c r="M673" s="202"/>
      <c r="N673" s="202"/>
      <c r="O673" s="202"/>
    </row>
    <row r="674" spans="1:15" ht="15" customHeight="1" thickBot="1">
      <c r="A674" s="72">
        <v>723</v>
      </c>
      <c r="B674" s="80" t="e">
        <f>+#REF!</f>
        <v>#REF!</v>
      </c>
      <c r="C674" s="74" t="e">
        <f>+D637</f>
        <v>#REF!</v>
      </c>
      <c r="D674" s="195" t="e">
        <f>+B674+C674</f>
        <v>#REF!</v>
      </c>
      <c r="F674" s="193" t="s">
        <v>348</v>
      </c>
      <c r="G674" s="175"/>
      <c r="H674" s="72">
        <v>723</v>
      </c>
      <c r="I674" s="80"/>
      <c r="J674" s="74">
        <f>+K637</f>
        <v>339962990</v>
      </c>
      <c r="K674" s="195">
        <f>+I674+J674</f>
        <v>339962990</v>
      </c>
      <c r="M674" s="918"/>
      <c r="N674" s="608"/>
      <c r="O674" s="608"/>
    </row>
    <row r="675" spans="1:15" ht="16.5" hidden="1" thickBot="1">
      <c r="A675" s="164" t="s">
        <v>181</v>
      </c>
      <c r="B675" s="165"/>
      <c r="C675" s="74" t="e">
        <f>+#REF!</f>
        <v>#REF!</v>
      </c>
      <c r="D675" s="196" t="e">
        <f>+B675+C675</f>
        <v>#REF!</v>
      </c>
      <c r="F675" s="52"/>
      <c r="H675" s="164" t="s">
        <v>181</v>
      </c>
      <c r="I675" s="165"/>
      <c r="J675" s="74">
        <f>+J638</f>
        <v>0</v>
      </c>
      <c r="K675" s="195">
        <f>+I675+J675</f>
        <v>0</v>
      </c>
      <c r="M675" s="918" t="s">
        <v>2147</v>
      </c>
      <c r="N675" s="608"/>
      <c r="O675" s="608"/>
    </row>
    <row r="676" spans="1:15" ht="16.5" thickBot="1">
      <c r="A676" s="169"/>
      <c r="B676" s="170" t="e">
        <f>SUM(B671:B675)</f>
        <v>#REF!</v>
      </c>
      <c r="C676" s="171" t="e">
        <f>SUM(C671:C675)</f>
        <v>#REF!</v>
      </c>
      <c r="D676" s="172" t="e">
        <f>SUM(D671:D675)</f>
        <v>#REF!</v>
      </c>
      <c r="H676" s="169"/>
      <c r="I676" s="197">
        <f>SUM(I671:I675)</f>
        <v>4158000</v>
      </c>
      <c r="J676" s="197">
        <f>SUM(J671:J675)</f>
        <v>358584490</v>
      </c>
      <c r="K676" s="198">
        <f>SUM(K671:K675)</f>
        <v>362742490</v>
      </c>
    </row>
    <row r="677" spans="1:15" ht="16.5">
      <c r="A677" s="49" t="s">
        <v>88</v>
      </c>
      <c r="B677" s="50"/>
      <c r="H677" s="49" t="s">
        <v>88</v>
      </c>
      <c r="I677" s="50"/>
    </row>
    <row r="678" spans="1:15" ht="13.5" customHeight="1">
      <c r="A678" s="51" t="s">
        <v>89</v>
      </c>
      <c r="H678" s="51" t="s">
        <v>89</v>
      </c>
    </row>
    <row r="679" spans="1:15" ht="13.5" customHeight="1">
      <c r="A679" s="51" t="s">
        <v>90</v>
      </c>
      <c r="H679" s="51" t="s">
        <v>90</v>
      </c>
    </row>
    <row r="680" spans="1:15" ht="14.25" customHeight="1">
      <c r="A680" s="51" t="s">
        <v>91</v>
      </c>
      <c r="H680" s="51" t="s">
        <v>91</v>
      </c>
    </row>
    <row r="681" spans="1:15" ht="7.5" customHeight="1">
      <c r="A681" s="50"/>
      <c r="B681" s="50"/>
      <c r="H681" s="50"/>
      <c r="I681" s="50"/>
    </row>
    <row r="682" spans="1:15" ht="16.5">
      <c r="A682" s="52" t="s">
        <v>351</v>
      </c>
      <c r="G682" s="52"/>
      <c r="H682" s="52" t="s">
        <v>731</v>
      </c>
      <c r="N682" s="52"/>
    </row>
    <row r="683" spans="1:15" ht="15.75">
      <c r="A683" s="53" t="s">
        <v>92</v>
      </c>
      <c r="G683" s="53"/>
      <c r="H683" s="53" t="s">
        <v>2443</v>
      </c>
      <c r="N683" s="53"/>
    </row>
    <row r="684" spans="1:15" ht="15" customHeight="1">
      <c r="A684" s="894" t="s">
        <v>93</v>
      </c>
      <c r="B684" s="894"/>
      <c r="C684" s="894"/>
      <c r="D684" s="894"/>
      <c r="E684" s="894"/>
      <c r="F684" s="894"/>
      <c r="G684" s="894"/>
      <c r="H684" s="933" t="s">
        <v>2253</v>
      </c>
      <c r="I684" s="933"/>
      <c r="J684" s="933"/>
      <c r="K684" s="933"/>
      <c r="L684" s="933"/>
      <c r="M684" s="933"/>
      <c r="N684" s="933"/>
      <c r="O684" s="933"/>
    </row>
    <row r="685" spans="1:15" ht="7.5" customHeight="1" thickBot="1"/>
    <row r="686" spans="1:15">
      <c r="A686" s="895" t="s">
        <v>94</v>
      </c>
      <c r="B686" s="897" t="s">
        <v>95</v>
      </c>
      <c r="C686" s="897" t="s">
        <v>96</v>
      </c>
      <c r="D686" s="897" t="s">
        <v>3</v>
      </c>
      <c r="E686" s="897" t="s">
        <v>97</v>
      </c>
      <c r="F686" s="897" t="s">
        <v>98</v>
      </c>
      <c r="G686" s="500" t="s">
        <v>99</v>
      </c>
      <c r="H686" s="895" t="s">
        <v>94</v>
      </c>
      <c r="I686" s="897" t="s">
        <v>95</v>
      </c>
      <c r="J686" s="897" t="s">
        <v>96</v>
      </c>
      <c r="K686" s="897" t="s">
        <v>3</v>
      </c>
      <c r="L686" s="897" t="s">
        <v>97</v>
      </c>
      <c r="M686" s="897" t="s">
        <v>98</v>
      </c>
      <c r="N686" s="897" t="s">
        <v>99</v>
      </c>
      <c r="O686" s="899"/>
    </row>
    <row r="687" spans="1:15" ht="15.75" thickBot="1">
      <c r="A687" s="896"/>
      <c r="B687" s="898"/>
      <c r="C687" s="898"/>
      <c r="D687" s="898"/>
      <c r="E687" s="898"/>
      <c r="F687" s="898"/>
      <c r="G687" s="240" t="s">
        <v>100</v>
      </c>
      <c r="H687" s="896"/>
      <c r="I687" s="898"/>
      <c r="J687" s="898"/>
      <c r="K687" s="898"/>
      <c r="L687" s="898"/>
      <c r="M687" s="898"/>
      <c r="N687" s="240" t="s">
        <v>100</v>
      </c>
      <c r="O687" s="182" t="s">
        <v>101</v>
      </c>
    </row>
    <row r="688" spans="1:15" ht="14.25" customHeight="1">
      <c r="A688" s="881" t="e">
        <f>+A655+1</f>
        <v>#REF!</v>
      </c>
      <c r="B688" s="875">
        <v>42296</v>
      </c>
      <c r="C688" s="877" t="s">
        <v>267</v>
      </c>
      <c r="D688" s="881" t="s">
        <v>359</v>
      </c>
      <c r="E688" s="881" t="s">
        <v>148</v>
      </c>
      <c r="F688" s="883">
        <v>154000</v>
      </c>
      <c r="G688" s="55">
        <v>719</v>
      </c>
      <c r="H688" s="873" t="s">
        <v>745</v>
      </c>
      <c r="I688" s="875">
        <v>45517</v>
      </c>
      <c r="J688" s="877" t="s">
        <v>1079</v>
      </c>
      <c r="K688" s="881" t="s">
        <v>2658</v>
      </c>
      <c r="L688" s="881" t="s">
        <v>148</v>
      </c>
      <c r="M688" s="883">
        <v>500000</v>
      </c>
      <c r="N688" s="55">
        <v>719</v>
      </c>
      <c r="O688" s="78">
        <v>500000</v>
      </c>
    </row>
    <row r="689" spans="1:16" ht="13.5" customHeight="1" thickBot="1">
      <c r="A689" s="882"/>
      <c r="B689" s="876"/>
      <c r="C689" s="878"/>
      <c r="D689" s="882"/>
      <c r="E689" s="882"/>
      <c r="F689" s="884"/>
      <c r="G689" s="56">
        <v>721</v>
      </c>
      <c r="H689" s="882"/>
      <c r="I689" s="876"/>
      <c r="J689" s="878"/>
      <c r="K689" s="882"/>
      <c r="L689" s="882"/>
      <c r="M689" s="884"/>
      <c r="N689" s="56">
        <v>721</v>
      </c>
      <c r="O689" s="79">
        <f>+M688-O688</f>
        <v>0</v>
      </c>
      <c r="P689" s="139"/>
    </row>
    <row r="690" spans="1:16" ht="12.75" customHeight="1">
      <c r="A690" s="881" t="e">
        <f>+A688+1</f>
        <v>#REF!</v>
      </c>
      <c r="B690" s="875">
        <v>42296</v>
      </c>
      <c r="C690" s="881" t="s">
        <v>28</v>
      </c>
      <c r="D690" s="881" t="s">
        <v>357</v>
      </c>
      <c r="E690" s="881" t="s">
        <v>148</v>
      </c>
      <c r="F690" s="883">
        <v>280000</v>
      </c>
      <c r="G690" s="55">
        <v>719</v>
      </c>
      <c r="H690" s="873" t="s">
        <v>757</v>
      </c>
      <c r="I690" s="875">
        <v>45517</v>
      </c>
      <c r="J690" s="877" t="s">
        <v>1079</v>
      </c>
      <c r="K690" s="881" t="s">
        <v>2659</v>
      </c>
      <c r="L690" s="881" t="s">
        <v>148</v>
      </c>
      <c r="M690" s="883">
        <v>520000</v>
      </c>
      <c r="N690" s="55">
        <v>719</v>
      </c>
      <c r="O690" s="78">
        <v>520000</v>
      </c>
    </row>
    <row r="691" spans="1:16" ht="12.75" customHeight="1" thickBot="1">
      <c r="A691" s="882"/>
      <c r="B691" s="876"/>
      <c r="C691" s="882"/>
      <c r="D691" s="882"/>
      <c r="E691" s="882"/>
      <c r="F691" s="884"/>
      <c r="G691" s="56">
        <v>721</v>
      </c>
      <c r="H691" s="882"/>
      <c r="I691" s="876"/>
      <c r="J691" s="878"/>
      <c r="K691" s="882"/>
      <c r="L691" s="882"/>
      <c r="M691" s="884"/>
      <c r="N691" s="56">
        <v>721</v>
      </c>
      <c r="O691" s="79">
        <f>+M690-O690</f>
        <v>0</v>
      </c>
      <c r="P691" s="139"/>
    </row>
    <row r="692" spans="1:16" ht="12" customHeight="1">
      <c r="A692" s="881" t="e">
        <f>+A690+1</f>
        <v>#REF!</v>
      </c>
      <c r="B692" s="875">
        <v>42296</v>
      </c>
      <c r="C692" s="877" t="s">
        <v>32</v>
      </c>
      <c r="D692" s="881" t="s">
        <v>357</v>
      </c>
      <c r="E692" s="881" t="s">
        <v>148</v>
      </c>
      <c r="F692" s="883">
        <v>98000</v>
      </c>
      <c r="G692" s="55">
        <v>719</v>
      </c>
      <c r="H692" s="873" t="s">
        <v>758</v>
      </c>
      <c r="I692" s="875">
        <v>45517</v>
      </c>
      <c r="J692" s="877" t="s">
        <v>120</v>
      </c>
      <c r="K692" s="881" t="s">
        <v>2660</v>
      </c>
      <c r="L692" s="881" t="s">
        <v>214</v>
      </c>
      <c r="M692" s="883">
        <v>840000</v>
      </c>
      <c r="N692" s="55">
        <v>719</v>
      </c>
      <c r="O692" s="78">
        <v>840000</v>
      </c>
    </row>
    <row r="693" spans="1:16" ht="14.25" customHeight="1" thickBot="1">
      <c r="A693" s="882"/>
      <c r="B693" s="876"/>
      <c r="C693" s="878"/>
      <c r="D693" s="882"/>
      <c r="E693" s="882"/>
      <c r="F693" s="884"/>
      <c r="G693" s="56">
        <v>721</v>
      </c>
      <c r="H693" s="882"/>
      <c r="I693" s="876"/>
      <c r="J693" s="878"/>
      <c r="K693" s="882"/>
      <c r="L693" s="882"/>
      <c r="M693" s="884"/>
      <c r="N693" s="56">
        <v>721</v>
      </c>
      <c r="O693" s="79">
        <f>+M692-O692</f>
        <v>0</v>
      </c>
    </row>
    <row r="694" spans="1:16" ht="14.25" customHeight="1">
      <c r="A694" s="251"/>
      <c r="B694" s="252"/>
      <c r="C694" s="253"/>
      <c r="D694" s="251"/>
      <c r="E694" s="251"/>
      <c r="F694" s="254"/>
      <c r="G694" s="255"/>
      <c r="H694" s="873" t="s">
        <v>759</v>
      </c>
      <c r="I694" s="875">
        <v>45517</v>
      </c>
      <c r="J694" s="877" t="s">
        <v>2662</v>
      </c>
      <c r="K694" s="881" t="s">
        <v>2445</v>
      </c>
      <c r="L694" s="881" t="s">
        <v>1946</v>
      </c>
      <c r="M694" s="883">
        <v>480000</v>
      </c>
      <c r="N694" s="55">
        <v>719</v>
      </c>
      <c r="O694" s="78">
        <v>0</v>
      </c>
    </row>
    <row r="695" spans="1:16" ht="14.25" customHeight="1" thickBot="1">
      <c r="A695" s="251"/>
      <c r="B695" s="252"/>
      <c r="C695" s="253"/>
      <c r="D695" s="251"/>
      <c r="E695" s="251"/>
      <c r="F695" s="254"/>
      <c r="G695" s="255"/>
      <c r="H695" s="882"/>
      <c r="I695" s="876"/>
      <c r="J695" s="878"/>
      <c r="K695" s="882"/>
      <c r="L695" s="882"/>
      <c r="M695" s="884"/>
      <c r="N695" s="56">
        <v>723</v>
      </c>
      <c r="O695" s="79">
        <f>+M694-O694</f>
        <v>480000</v>
      </c>
    </row>
    <row r="696" spans="1:16" ht="11.25" customHeight="1">
      <c r="A696" s="881" t="e">
        <f>+#REF!+1</f>
        <v>#REF!</v>
      </c>
      <c r="B696" s="875">
        <v>42296</v>
      </c>
      <c r="C696" s="877" t="s">
        <v>272</v>
      </c>
      <c r="D696" s="881" t="s">
        <v>357</v>
      </c>
      <c r="E696" s="881" t="s">
        <v>148</v>
      </c>
      <c r="F696" s="883">
        <v>616000</v>
      </c>
      <c r="G696" s="55">
        <v>719</v>
      </c>
      <c r="H696" s="873" t="s">
        <v>764</v>
      </c>
      <c r="I696" s="875">
        <v>45517</v>
      </c>
      <c r="J696" s="877" t="s">
        <v>1538</v>
      </c>
      <c r="K696" s="881" t="s">
        <v>2660</v>
      </c>
      <c r="L696" s="881" t="s">
        <v>148</v>
      </c>
      <c r="M696" s="883">
        <v>1553100</v>
      </c>
      <c r="N696" s="55">
        <v>719</v>
      </c>
      <c r="O696" s="78">
        <v>0</v>
      </c>
    </row>
    <row r="697" spans="1:16" ht="15.75" customHeight="1" thickBot="1">
      <c r="A697" s="882"/>
      <c r="B697" s="876"/>
      <c r="C697" s="878"/>
      <c r="D697" s="882"/>
      <c r="E697" s="882"/>
      <c r="F697" s="884"/>
      <c r="G697" s="56">
        <v>721</v>
      </c>
      <c r="H697" s="882"/>
      <c r="I697" s="876"/>
      <c r="J697" s="878"/>
      <c r="K697" s="882"/>
      <c r="L697" s="882"/>
      <c r="M697" s="884"/>
      <c r="N697" s="56">
        <v>723</v>
      </c>
      <c r="O697" s="79">
        <f>+M696-O696</f>
        <v>1553100</v>
      </c>
    </row>
    <row r="698" spans="1:16" ht="16.5" thickBot="1">
      <c r="A698" s="901" t="s">
        <v>102</v>
      </c>
      <c r="B698" s="902"/>
      <c r="C698" s="902"/>
      <c r="D698" s="902"/>
      <c r="E698" s="903"/>
      <c r="F698" s="81">
        <f>SUM(F688:F697)</f>
        <v>1148000</v>
      </c>
      <c r="H698" s="901" t="s">
        <v>102</v>
      </c>
      <c r="I698" s="902"/>
      <c r="J698" s="902"/>
      <c r="K698" s="902"/>
      <c r="L698" s="903"/>
      <c r="M698" s="81">
        <f>SUM(M688:M697)</f>
        <v>3893100</v>
      </c>
    </row>
    <row r="699" spans="1:16" ht="16.5" thickBot="1">
      <c r="A699" s="885" t="s">
        <v>103</v>
      </c>
      <c r="B699" s="886"/>
      <c r="C699" s="886"/>
      <c r="D699" s="886"/>
      <c r="E699" s="887"/>
      <c r="F699" s="69" t="e">
        <f>+F663</f>
        <v>#REF!</v>
      </c>
      <c r="H699" s="885" t="s">
        <v>103</v>
      </c>
      <c r="I699" s="886"/>
      <c r="J699" s="886"/>
      <c r="K699" s="886"/>
      <c r="L699" s="887"/>
      <c r="M699" s="239">
        <f>+M663</f>
        <v>362742490</v>
      </c>
      <c r="N699" s="241" t="s">
        <v>561</v>
      </c>
      <c r="O699" s="242">
        <f>747+391+385</f>
        <v>1523</v>
      </c>
    </row>
    <row r="700" spans="1:16" ht="16.5" thickBot="1">
      <c r="A700" s="888" t="s">
        <v>104</v>
      </c>
      <c r="B700" s="889"/>
      <c r="C700" s="889"/>
      <c r="D700" s="889"/>
      <c r="E700" s="890"/>
      <c r="F700" s="183" t="e">
        <f>SUM(F698:F699)</f>
        <v>#REF!</v>
      </c>
      <c r="H700" s="888" t="s">
        <v>104</v>
      </c>
      <c r="I700" s="889"/>
      <c r="J700" s="889"/>
      <c r="K700" s="889"/>
      <c r="L700" s="890"/>
      <c r="M700" s="183">
        <f>SUM(M698:M699)</f>
        <v>366635590</v>
      </c>
    </row>
    <row r="701" spans="1:16" ht="8.25" customHeight="1">
      <c r="A701" s="61"/>
      <c r="B701" s="61"/>
      <c r="C701" s="61"/>
      <c r="D701" s="61"/>
      <c r="E701" s="61"/>
      <c r="H701" s="61"/>
      <c r="I701" s="61"/>
      <c r="J701" s="61"/>
      <c r="K701" s="61"/>
      <c r="L701" s="61"/>
    </row>
    <row r="702" spans="1:16">
      <c r="A702" s="51" t="s">
        <v>353</v>
      </c>
      <c r="H702" s="51" t="s">
        <v>2672</v>
      </c>
    </row>
    <row r="703" spans="1:16" ht="6.75" customHeight="1">
      <c r="F703" s="139"/>
      <c r="M703" s="139"/>
    </row>
    <row r="704" spans="1:16">
      <c r="A704" s="50" t="s">
        <v>105</v>
      </c>
      <c r="D704" s="146"/>
      <c r="F704" s="139"/>
      <c r="H704" s="50" t="s">
        <v>105</v>
      </c>
      <c r="K704" s="146"/>
      <c r="M704" s="139"/>
    </row>
    <row r="705" spans="1:20" ht="9" customHeight="1" thickBot="1"/>
    <row r="706" spans="1:20" ht="15.75" customHeight="1" thickBot="1">
      <c r="A706" s="891" t="s">
        <v>106</v>
      </c>
      <c r="B706" s="892"/>
      <c r="C706" s="892"/>
      <c r="D706" s="893"/>
      <c r="F706" s="50" t="s">
        <v>270</v>
      </c>
      <c r="H706" s="891" t="s">
        <v>106</v>
      </c>
      <c r="I706" s="892"/>
      <c r="J706" s="892"/>
      <c r="K706" s="893"/>
      <c r="M706" s="605" t="s">
        <v>288</v>
      </c>
      <c r="N706" s="605"/>
      <c r="O706" s="605"/>
    </row>
    <row r="707" spans="1:20" ht="28.5" customHeight="1" thickBot="1">
      <c r="A707" s="57" t="s">
        <v>100</v>
      </c>
      <c r="B707" s="58" t="s">
        <v>108</v>
      </c>
      <c r="C707" s="59" t="s">
        <v>109</v>
      </c>
      <c r="D707" s="60" t="s">
        <v>110</v>
      </c>
      <c r="H707" s="57" t="s">
        <v>100</v>
      </c>
      <c r="I707" s="58" t="s">
        <v>108</v>
      </c>
      <c r="J707" s="59" t="s">
        <v>109</v>
      </c>
      <c r="K707" s="60" t="s">
        <v>110</v>
      </c>
      <c r="M707" s="202"/>
      <c r="N707" s="202"/>
      <c r="O707" s="202"/>
    </row>
    <row r="708" spans="1:20" ht="14.25" customHeight="1">
      <c r="A708" s="71">
        <v>719</v>
      </c>
      <c r="B708" s="73" t="e">
        <f>+#REF!+#REF!+#REF!+#REF!+#REF!</f>
        <v>#REF!</v>
      </c>
      <c r="C708" s="74" t="e">
        <f>+D671</f>
        <v>#REF!</v>
      </c>
      <c r="D708" s="195" t="e">
        <f>+B708+C708</f>
        <v>#REF!</v>
      </c>
      <c r="H708" s="71">
        <v>719</v>
      </c>
      <c r="I708" s="73">
        <f>+O688+O690+O692</f>
        <v>1860000</v>
      </c>
      <c r="J708" s="74">
        <f>+K671</f>
        <v>17260000</v>
      </c>
      <c r="K708" s="195">
        <f>+I708+J708</f>
        <v>19120000</v>
      </c>
      <c r="M708" s="202"/>
      <c r="N708" s="202"/>
      <c r="O708" s="202"/>
    </row>
    <row r="709" spans="1:20" ht="12.75" customHeight="1">
      <c r="A709" s="72">
        <v>721</v>
      </c>
      <c r="B709" s="80" t="e">
        <f>+#REF!+#REF!+#REF!+#REF!+#REF!</f>
        <v>#REF!</v>
      </c>
      <c r="C709" s="74" t="e">
        <f>+D672</f>
        <v>#REF!</v>
      </c>
      <c r="D709" s="195" t="e">
        <f>+B709+C709</f>
        <v>#REF!</v>
      </c>
      <c r="H709" s="72">
        <v>721</v>
      </c>
      <c r="I709" s="80"/>
      <c r="J709" s="74">
        <f>+K672</f>
        <v>5519500</v>
      </c>
      <c r="K709" s="195">
        <f>+I709+J709</f>
        <v>5519500</v>
      </c>
      <c r="M709" s="918"/>
      <c r="N709" s="608"/>
      <c r="O709" s="608"/>
    </row>
    <row r="710" spans="1:20" ht="12.75" customHeight="1">
      <c r="A710" s="72">
        <v>722</v>
      </c>
      <c r="B710" s="80"/>
      <c r="C710" s="74" t="e">
        <f>+D673</f>
        <v>#REF!</v>
      </c>
      <c r="D710" s="195" t="e">
        <f>+B710+C710</f>
        <v>#REF!</v>
      </c>
      <c r="H710" s="72">
        <v>722</v>
      </c>
      <c r="I710" s="80"/>
      <c r="J710" s="74">
        <f>+K673</f>
        <v>0</v>
      </c>
      <c r="K710" s="195">
        <f>+I710+J710</f>
        <v>0</v>
      </c>
      <c r="M710" s="202"/>
      <c r="N710" s="202"/>
      <c r="O710" s="202"/>
    </row>
    <row r="711" spans="1:20" ht="13.5" customHeight="1" thickBot="1">
      <c r="A711" s="72">
        <v>723</v>
      </c>
      <c r="B711" s="80"/>
      <c r="C711" s="74" t="e">
        <f>+D674</f>
        <v>#REF!</v>
      </c>
      <c r="D711" s="195" t="e">
        <f>+B711+C711</f>
        <v>#REF!</v>
      </c>
      <c r="F711" s="193" t="s">
        <v>348</v>
      </c>
      <c r="G711" s="175"/>
      <c r="H711" s="72">
        <v>723</v>
      </c>
      <c r="I711" s="80">
        <f>+O695+O697</f>
        <v>2033100</v>
      </c>
      <c r="J711" s="74">
        <f>+K674</f>
        <v>339962990</v>
      </c>
      <c r="K711" s="195">
        <f>+I711+J711</f>
        <v>341996090</v>
      </c>
      <c r="M711" s="918"/>
      <c r="N711" s="608"/>
      <c r="O711" s="608"/>
    </row>
    <row r="712" spans="1:20" ht="12.75" hidden="1" customHeight="1">
      <c r="A712" s="164" t="s">
        <v>181</v>
      </c>
      <c r="B712" s="165"/>
      <c r="C712" s="74" t="e">
        <f>+D675</f>
        <v>#REF!</v>
      </c>
      <c r="D712" s="196" t="e">
        <f>+B712+C712</f>
        <v>#REF!</v>
      </c>
      <c r="F712" s="52"/>
      <c r="H712" s="164" t="s">
        <v>181</v>
      </c>
      <c r="I712" s="165"/>
      <c r="J712" s="74">
        <f>+K675</f>
        <v>0</v>
      </c>
      <c r="K712" s="196">
        <f>+I712+J712</f>
        <v>0</v>
      </c>
      <c r="M712" s="52"/>
    </row>
    <row r="713" spans="1:20" ht="16.5" thickBot="1">
      <c r="A713" s="169"/>
      <c r="B713" s="170" t="e">
        <f>SUM(B708:B712)</f>
        <v>#REF!</v>
      </c>
      <c r="C713" s="171" t="e">
        <f>SUM(C708:C712)</f>
        <v>#REF!</v>
      </c>
      <c r="D713" s="172" t="e">
        <f>SUM(D708:D712)</f>
        <v>#REF!</v>
      </c>
      <c r="H713" s="169"/>
      <c r="I713" s="197">
        <f>SUM(I708:I712)</f>
        <v>3893100</v>
      </c>
      <c r="J713" s="197">
        <f>SUM(J708:J712)</f>
        <v>362742490</v>
      </c>
      <c r="K713" s="198">
        <f>SUM(K708:K712)</f>
        <v>366635590</v>
      </c>
    </row>
    <row r="714" spans="1:20" ht="16.5">
      <c r="A714" s="49" t="s">
        <v>88</v>
      </c>
      <c r="B714" s="50"/>
      <c r="H714" s="49" t="s">
        <v>88</v>
      </c>
      <c r="I714" s="50"/>
    </row>
    <row r="715" spans="1:20">
      <c r="A715" s="51" t="s">
        <v>89</v>
      </c>
      <c r="H715" s="51" t="s">
        <v>89</v>
      </c>
    </row>
    <row r="716" spans="1:20">
      <c r="A716" s="51" t="s">
        <v>90</v>
      </c>
      <c r="H716" s="51" t="s">
        <v>90</v>
      </c>
    </row>
    <row r="717" spans="1:20" ht="16.5">
      <c r="A717" s="51" t="s">
        <v>91</v>
      </c>
      <c r="H717" s="51" t="s">
        <v>91</v>
      </c>
      <c r="T717" s="505"/>
    </row>
    <row r="718" spans="1:20" ht="4.5" customHeight="1">
      <c r="A718" s="50"/>
      <c r="B718" s="50"/>
      <c r="H718" s="50"/>
      <c r="I718" s="50"/>
    </row>
    <row r="719" spans="1:20" ht="16.5">
      <c r="A719" s="52" t="s">
        <v>352</v>
      </c>
      <c r="G719" s="52"/>
      <c r="H719" s="260" t="s">
        <v>743</v>
      </c>
      <c r="I719" s="262"/>
      <c r="N719" s="52"/>
    </row>
    <row r="720" spans="1:20" ht="16.5">
      <c r="A720" s="53" t="s">
        <v>92</v>
      </c>
      <c r="G720" s="53"/>
      <c r="H720" s="261" t="s">
        <v>2443</v>
      </c>
      <c r="I720" s="262"/>
      <c r="N720" s="53"/>
      <c r="T720" s="506"/>
    </row>
    <row r="721" spans="1:15" ht="17.25" customHeight="1">
      <c r="A721" s="894" t="s">
        <v>93</v>
      </c>
      <c r="B721" s="894"/>
      <c r="C721" s="894"/>
      <c r="D721" s="894"/>
      <c r="E721" s="894"/>
      <c r="F721" s="894"/>
      <c r="G721" s="894"/>
      <c r="H721" s="894" t="s">
        <v>2429</v>
      </c>
      <c r="I721" s="894"/>
      <c r="J721" s="894"/>
      <c r="K721" s="894"/>
      <c r="L721" s="894"/>
      <c r="M721" s="894"/>
      <c r="N721" s="894"/>
      <c r="O721" s="894"/>
    </row>
    <row r="722" spans="1:15" ht="8.25" customHeight="1" thickBot="1"/>
    <row r="723" spans="1:15">
      <c r="A723" s="895" t="s">
        <v>94</v>
      </c>
      <c r="B723" s="897" t="s">
        <v>95</v>
      </c>
      <c r="C723" s="897" t="s">
        <v>96</v>
      </c>
      <c r="D723" s="897" t="s">
        <v>3</v>
      </c>
      <c r="E723" s="897" t="s">
        <v>97</v>
      </c>
      <c r="F723" s="897" t="s">
        <v>98</v>
      </c>
      <c r="G723" s="500" t="s">
        <v>99</v>
      </c>
      <c r="H723" s="895" t="s">
        <v>94</v>
      </c>
      <c r="I723" s="897" t="s">
        <v>95</v>
      </c>
      <c r="J723" s="897" t="s">
        <v>96</v>
      </c>
      <c r="K723" s="897" t="s">
        <v>3</v>
      </c>
      <c r="L723" s="897" t="s">
        <v>97</v>
      </c>
      <c r="M723" s="897" t="s">
        <v>98</v>
      </c>
      <c r="N723" s="897" t="s">
        <v>99</v>
      </c>
      <c r="O723" s="899"/>
    </row>
    <row r="724" spans="1:15" ht="15.75" thickBot="1">
      <c r="A724" s="896"/>
      <c r="B724" s="898"/>
      <c r="C724" s="898"/>
      <c r="D724" s="898"/>
      <c r="E724" s="898"/>
      <c r="F724" s="898"/>
      <c r="G724" s="240" t="s">
        <v>100</v>
      </c>
      <c r="H724" s="896"/>
      <c r="I724" s="898"/>
      <c r="J724" s="898"/>
      <c r="K724" s="898"/>
      <c r="L724" s="898"/>
      <c r="M724" s="898"/>
      <c r="N724" s="240" t="s">
        <v>100</v>
      </c>
      <c r="O724" s="182" t="s">
        <v>101</v>
      </c>
    </row>
    <row r="725" spans="1:15" ht="14.25" customHeight="1">
      <c r="A725" s="881" t="e">
        <f>+A696+1</f>
        <v>#REF!</v>
      </c>
      <c r="B725" s="875">
        <v>42296</v>
      </c>
      <c r="C725" s="877" t="s">
        <v>272</v>
      </c>
      <c r="D725" s="881" t="s">
        <v>356</v>
      </c>
      <c r="E725" s="881" t="s">
        <v>115</v>
      </c>
      <c r="F725" s="883">
        <v>100000</v>
      </c>
      <c r="G725" s="55">
        <v>719</v>
      </c>
      <c r="H725" s="873" t="s">
        <v>765</v>
      </c>
      <c r="I725" s="875">
        <v>45527</v>
      </c>
      <c r="J725" s="877" t="s">
        <v>1764</v>
      </c>
      <c r="K725" s="881" t="s">
        <v>2366</v>
      </c>
      <c r="L725" s="881" t="s">
        <v>115</v>
      </c>
      <c r="M725" s="883">
        <v>1189600</v>
      </c>
      <c r="N725" s="55">
        <v>719</v>
      </c>
      <c r="O725" s="78">
        <v>0</v>
      </c>
    </row>
    <row r="726" spans="1:15" ht="13.5" customHeight="1" thickBot="1">
      <c r="A726" s="882"/>
      <c r="B726" s="876"/>
      <c r="C726" s="878"/>
      <c r="D726" s="882"/>
      <c r="E726" s="882"/>
      <c r="F726" s="884"/>
      <c r="G726" s="56">
        <v>721</v>
      </c>
      <c r="H726" s="882"/>
      <c r="I726" s="876"/>
      <c r="J726" s="878"/>
      <c r="K726" s="882"/>
      <c r="L726" s="882"/>
      <c r="M726" s="884"/>
      <c r="N726" s="56">
        <v>723</v>
      </c>
      <c r="O726" s="79">
        <f>+M725-O725</f>
        <v>1189600</v>
      </c>
    </row>
    <row r="727" spans="1:15" ht="13.5" customHeight="1">
      <c r="A727" s="881" t="e">
        <f>+A725+1</f>
        <v>#REF!</v>
      </c>
      <c r="B727" s="875">
        <v>42296</v>
      </c>
      <c r="C727" s="881" t="s">
        <v>28</v>
      </c>
      <c r="D727" s="881" t="s">
        <v>355</v>
      </c>
      <c r="E727" s="881" t="s">
        <v>115</v>
      </c>
      <c r="F727" s="883">
        <v>50000</v>
      </c>
      <c r="G727" s="55">
        <v>719</v>
      </c>
      <c r="H727" s="873" t="s">
        <v>766</v>
      </c>
      <c r="I727" s="875">
        <v>45527</v>
      </c>
      <c r="J727" s="877" t="s">
        <v>1764</v>
      </c>
      <c r="K727" s="881" t="s">
        <v>2445</v>
      </c>
      <c r="L727" s="881" t="s">
        <v>115</v>
      </c>
      <c r="M727" s="883">
        <v>2379200</v>
      </c>
      <c r="N727" s="55">
        <v>719</v>
      </c>
      <c r="O727" s="78">
        <v>0</v>
      </c>
    </row>
    <row r="728" spans="1:15" ht="12.75" customHeight="1" thickBot="1">
      <c r="A728" s="882"/>
      <c r="B728" s="876"/>
      <c r="C728" s="882"/>
      <c r="D728" s="882"/>
      <c r="E728" s="882"/>
      <c r="F728" s="884"/>
      <c r="G728" s="56">
        <v>721</v>
      </c>
      <c r="H728" s="882"/>
      <c r="I728" s="876"/>
      <c r="J728" s="878"/>
      <c r="K728" s="882"/>
      <c r="L728" s="882"/>
      <c r="M728" s="884"/>
      <c r="N728" s="56">
        <v>723</v>
      </c>
      <c r="O728" s="79">
        <f>+M727-O727</f>
        <v>2379200</v>
      </c>
    </row>
    <row r="729" spans="1:15" ht="11.25" customHeight="1">
      <c r="A729" s="251"/>
      <c r="B729" s="252"/>
      <c r="C729" s="251"/>
      <c r="D729" s="251"/>
      <c r="E729" s="251"/>
      <c r="F729" s="254"/>
      <c r="G729" s="255"/>
      <c r="H729" s="873" t="s">
        <v>550</v>
      </c>
      <c r="I729" s="875">
        <v>45527</v>
      </c>
      <c r="J729" s="910" t="s">
        <v>1984</v>
      </c>
      <c r="K729" s="881" t="s">
        <v>2667</v>
      </c>
      <c r="L729" s="881" t="s">
        <v>148</v>
      </c>
      <c r="M729" s="883">
        <v>-63000</v>
      </c>
      <c r="N729" s="55">
        <v>719</v>
      </c>
      <c r="O729" s="78">
        <v>0</v>
      </c>
    </row>
    <row r="730" spans="1:15" ht="12.75" customHeight="1" thickBot="1">
      <c r="A730" s="251"/>
      <c r="B730" s="252"/>
      <c r="C730" s="251"/>
      <c r="D730" s="251"/>
      <c r="E730" s="251"/>
      <c r="F730" s="254"/>
      <c r="G730" s="255"/>
      <c r="H730" s="882"/>
      <c r="I730" s="876"/>
      <c r="J730" s="911"/>
      <c r="K730" s="882"/>
      <c r="L730" s="882"/>
      <c r="M730" s="884"/>
      <c r="N730" s="56">
        <v>721</v>
      </c>
      <c r="O730" s="79">
        <f>+M729-O729</f>
        <v>-63000</v>
      </c>
    </row>
    <row r="731" spans="1:15" ht="12.75" customHeight="1">
      <c r="A731" s="251"/>
      <c r="B731" s="252"/>
      <c r="C731" s="251"/>
      <c r="D731" s="251"/>
      <c r="E731" s="251"/>
      <c r="F731" s="254"/>
      <c r="G731" s="255"/>
      <c r="H731" s="873" t="s">
        <v>551</v>
      </c>
      <c r="I731" s="875">
        <v>45527</v>
      </c>
      <c r="J731" s="910" t="s">
        <v>2408</v>
      </c>
      <c r="K731" s="881" t="s">
        <v>2445</v>
      </c>
      <c r="L731" s="881" t="s">
        <v>148</v>
      </c>
      <c r="M731" s="883">
        <v>-168000</v>
      </c>
      <c r="N731" s="55">
        <v>719</v>
      </c>
      <c r="O731" s="78">
        <v>0</v>
      </c>
    </row>
    <row r="732" spans="1:15" ht="12.75" customHeight="1" thickBot="1">
      <c r="A732" s="251"/>
      <c r="B732" s="252"/>
      <c r="C732" s="251"/>
      <c r="D732" s="251"/>
      <c r="E732" s="251"/>
      <c r="F732" s="254"/>
      <c r="G732" s="255"/>
      <c r="H732" s="882"/>
      <c r="I732" s="876"/>
      <c r="J732" s="911"/>
      <c r="K732" s="882"/>
      <c r="L732" s="882"/>
      <c r="M732" s="884"/>
      <c r="N732" s="56">
        <v>721</v>
      </c>
      <c r="O732" s="79">
        <f>+M731-O731</f>
        <v>-168000</v>
      </c>
    </row>
    <row r="733" spans="1:15" ht="15" customHeight="1">
      <c r="A733" s="881" t="e">
        <f>+#REF!+1</f>
        <v>#REF!</v>
      </c>
      <c r="B733" s="875">
        <v>42296</v>
      </c>
      <c r="C733" s="877" t="s">
        <v>272</v>
      </c>
      <c r="D733" s="881" t="s">
        <v>427</v>
      </c>
      <c r="E733" s="881" t="s">
        <v>115</v>
      </c>
      <c r="F733" s="883">
        <v>90000</v>
      </c>
      <c r="G733" s="55">
        <v>719</v>
      </c>
      <c r="H733" s="873" t="s">
        <v>767</v>
      </c>
      <c r="I733" s="875">
        <v>45527</v>
      </c>
      <c r="J733" s="877" t="s">
        <v>120</v>
      </c>
      <c r="K733" s="881" t="s">
        <v>2660</v>
      </c>
      <c r="L733" s="881" t="s">
        <v>115</v>
      </c>
      <c r="M733" s="883">
        <v>1242000</v>
      </c>
      <c r="N733" s="55">
        <v>719</v>
      </c>
      <c r="O733" s="78">
        <v>920000</v>
      </c>
    </row>
    <row r="734" spans="1:15" ht="13.5" customHeight="1" thickBot="1">
      <c r="A734" s="882"/>
      <c r="B734" s="876"/>
      <c r="C734" s="878"/>
      <c r="D734" s="882"/>
      <c r="E734" s="882"/>
      <c r="F734" s="884"/>
      <c r="G734" s="56">
        <v>721</v>
      </c>
      <c r="H734" s="882"/>
      <c r="I734" s="876"/>
      <c r="J734" s="878"/>
      <c r="K734" s="882"/>
      <c r="L734" s="882"/>
      <c r="M734" s="884"/>
      <c r="N734" s="56">
        <v>721</v>
      </c>
      <c r="O734" s="79">
        <f>+M733-O733</f>
        <v>322000</v>
      </c>
    </row>
    <row r="735" spans="1:15" ht="15" customHeight="1" thickBot="1">
      <c r="A735" s="881" t="e">
        <f>+A733+1</f>
        <v>#REF!</v>
      </c>
      <c r="B735" s="875">
        <v>42296</v>
      </c>
      <c r="C735" s="881" t="s">
        <v>28</v>
      </c>
      <c r="D735" s="881" t="s">
        <v>355</v>
      </c>
      <c r="E735" s="881" t="s">
        <v>115</v>
      </c>
      <c r="F735" s="883">
        <v>50000</v>
      </c>
      <c r="G735" s="55">
        <v>719</v>
      </c>
      <c r="H735" s="901" t="s">
        <v>102</v>
      </c>
      <c r="I735" s="902"/>
      <c r="J735" s="902"/>
      <c r="K735" s="902"/>
      <c r="L735" s="903"/>
      <c r="M735" s="81">
        <f>SUM(M725:M734)</f>
        <v>4579800</v>
      </c>
    </row>
    <row r="736" spans="1:15" ht="12.75" customHeight="1" thickBot="1">
      <c r="A736" s="882"/>
      <c r="B736" s="876"/>
      <c r="C736" s="882"/>
      <c r="D736" s="882"/>
      <c r="E736" s="882"/>
      <c r="F736" s="884"/>
      <c r="G736" s="56">
        <v>721</v>
      </c>
      <c r="H736" s="885" t="s">
        <v>103</v>
      </c>
      <c r="I736" s="886"/>
      <c r="J736" s="886"/>
      <c r="K736" s="886"/>
      <c r="L736" s="887"/>
      <c r="M736" s="239">
        <f>+M700</f>
        <v>366635590</v>
      </c>
      <c r="N736" s="241" t="s">
        <v>561</v>
      </c>
      <c r="O736" s="242">
        <v>2338</v>
      </c>
    </row>
    <row r="737" spans="1:15" ht="16.5" thickBot="1">
      <c r="A737" s="901" t="s">
        <v>102</v>
      </c>
      <c r="B737" s="902"/>
      <c r="C737" s="902"/>
      <c r="D737" s="902"/>
      <c r="E737" s="903"/>
      <c r="F737" s="81">
        <f>SUM(F725:F736)</f>
        <v>290000</v>
      </c>
      <c r="H737" s="888" t="s">
        <v>104</v>
      </c>
      <c r="I737" s="889"/>
      <c r="J737" s="889"/>
      <c r="K737" s="889"/>
      <c r="L737" s="890"/>
      <c r="M737" s="183">
        <f>SUM(M735:M736)</f>
        <v>371215390</v>
      </c>
    </row>
    <row r="738" spans="1:15" ht="8.25" customHeight="1" thickBot="1">
      <c r="A738" s="885" t="s">
        <v>103</v>
      </c>
      <c r="B738" s="886"/>
      <c r="C738" s="886"/>
      <c r="D738" s="886"/>
      <c r="E738" s="887"/>
      <c r="F738" s="69" t="e">
        <f>+F700</f>
        <v>#REF!</v>
      </c>
      <c r="H738" s="61"/>
      <c r="I738" s="61"/>
      <c r="J738" s="61"/>
      <c r="K738" s="61"/>
      <c r="L738" s="61"/>
    </row>
    <row r="739" spans="1:15" ht="18" customHeight="1" thickBot="1">
      <c r="A739" s="888" t="s">
        <v>104</v>
      </c>
      <c r="B739" s="889"/>
      <c r="C739" s="889"/>
      <c r="D739" s="889"/>
      <c r="E739" s="890"/>
      <c r="F739" s="183" t="e">
        <f>SUM(F737:F738)</f>
        <v>#REF!</v>
      </c>
      <c r="H739" s="51" t="s">
        <v>2682</v>
      </c>
    </row>
    <row r="740" spans="1:15" ht="6" customHeight="1">
      <c r="A740" s="61"/>
      <c r="B740" s="61"/>
      <c r="C740" s="61"/>
      <c r="D740" s="61"/>
      <c r="E740" s="61"/>
      <c r="M740" s="139"/>
    </row>
    <row r="741" spans="1:15">
      <c r="A741" s="51" t="s">
        <v>428</v>
      </c>
      <c r="H741" s="50" t="s">
        <v>105</v>
      </c>
      <c r="K741" s="146"/>
      <c r="M741" s="139"/>
    </row>
    <row r="742" spans="1:15" ht="6" customHeight="1" thickBot="1">
      <c r="F742" s="139"/>
    </row>
    <row r="743" spans="1:15" ht="17.25" thickBot="1">
      <c r="A743" s="50" t="s">
        <v>105</v>
      </c>
      <c r="D743" s="146"/>
      <c r="F743" s="139"/>
      <c r="H743" s="891" t="s">
        <v>106</v>
      </c>
      <c r="I743" s="892"/>
      <c r="J743" s="892"/>
      <c r="K743" s="893"/>
      <c r="M743" s="605" t="s">
        <v>288</v>
      </c>
      <c r="N743" s="605"/>
      <c r="O743" s="605"/>
    </row>
    <row r="744" spans="1:15" ht="26.25" customHeight="1" thickBot="1">
      <c r="H744" s="57" t="s">
        <v>100</v>
      </c>
      <c r="I744" s="58" t="s">
        <v>108</v>
      </c>
      <c r="J744" s="59" t="s">
        <v>109</v>
      </c>
      <c r="K744" s="60" t="s">
        <v>110</v>
      </c>
      <c r="M744" s="202"/>
      <c r="N744" s="202"/>
      <c r="O744" s="202"/>
    </row>
    <row r="745" spans="1:15" ht="15" customHeight="1" thickBot="1">
      <c r="A745" s="891" t="s">
        <v>106</v>
      </c>
      <c r="B745" s="892"/>
      <c r="C745" s="892"/>
      <c r="D745" s="893"/>
      <c r="F745" s="50" t="s">
        <v>288</v>
      </c>
      <c r="H745" s="71">
        <v>719</v>
      </c>
      <c r="I745" s="73">
        <f>+O733</f>
        <v>920000</v>
      </c>
      <c r="J745" s="74">
        <f>+K708</f>
        <v>19120000</v>
      </c>
      <c r="K745" s="195">
        <f>+I745+J745</f>
        <v>20040000</v>
      </c>
      <c r="M745" s="202"/>
      <c r="N745" s="202"/>
      <c r="O745" s="202"/>
    </row>
    <row r="746" spans="1:15" ht="14.25" customHeight="1" thickBot="1">
      <c r="A746" s="57" t="s">
        <v>100</v>
      </c>
      <c r="B746" s="58" t="s">
        <v>108</v>
      </c>
      <c r="C746" s="59" t="s">
        <v>109</v>
      </c>
      <c r="D746" s="60" t="s">
        <v>110</v>
      </c>
      <c r="H746" s="72">
        <v>721</v>
      </c>
      <c r="I746" s="257">
        <f>+O734+O732+O730</f>
        <v>91000</v>
      </c>
      <c r="J746" s="74">
        <f>+K709</f>
        <v>5519500</v>
      </c>
      <c r="K746" s="195">
        <f>+I746+J746</f>
        <v>5610500</v>
      </c>
      <c r="M746" s="202"/>
      <c r="N746" s="202"/>
      <c r="O746" s="202"/>
    </row>
    <row r="747" spans="1:15" ht="12" customHeight="1">
      <c r="A747" s="71">
        <v>719</v>
      </c>
      <c r="B747" s="73" t="e">
        <f>+#REF!+#REF!+#REF!+#REF!+#REF!+#REF!</f>
        <v>#REF!</v>
      </c>
      <c r="C747" s="74" t="e">
        <f>+D708</f>
        <v>#REF!</v>
      </c>
      <c r="D747" s="195" t="e">
        <f>+B747+C747</f>
        <v>#REF!</v>
      </c>
      <c r="H747" s="72">
        <v>722</v>
      </c>
      <c r="I747" s="257"/>
      <c r="J747" s="74">
        <f>+K710</f>
        <v>0</v>
      </c>
      <c r="K747" s="195">
        <f>+I747+J747</f>
        <v>0</v>
      </c>
      <c r="M747" s="202"/>
      <c r="N747" s="202"/>
      <c r="O747" s="202"/>
    </row>
    <row r="748" spans="1:15" ht="14.25" customHeight="1" thickBot="1">
      <c r="A748" s="72">
        <v>721</v>
      </c>
      <c r="B748" s="80" t="e">
        <f>+#REF!</f>
        <v>#REF!</v>
      </c>
      <c r="C748" s="74" t="e">
        <f>+D709</f>
        <v>#REF!</v>
      </c>
      <c r="D748" s="195" t="e">
        <f>+B748+C748</f>
        <v>#REF!</v>
      </c>
      <c r="H748" s="72">
        <v>723</v>
      </c>
      <c r="I748" s="257">
        <f>+O726+O728</f>
        <v>3568800</v>
      </c>
      <c r="J748" s="74">
        <f>+K711</f>
        <v>341996090</v>
      </c>
      <c r="K748" s="195">
        <f>+I748+J748</f>
        <v>345564890</v>
      </c>
      <c r="M748" s="918"/>
      <c r="N748" s="608"/>
      <c r="O748" s="608"/>
    </row>
    <row r="749" spans="1:15" ht="15" hidden="1" customHeight="1">
      <c r="A749" s="72">
        <v>722</v>
      </c>
      <c r="B749" s="80"/>
      <c r="C749" s="74" t="e">
        <f>+D710</f>
        <v>#REF!</v>
      </c>
      <c r="D749" s="195" t="e">
        <f>+B749+C749</f>
        <v>#REF!</v>
      </c>
      <c r="H749" s="164" t="s">
        <v>181</v>
      </c>
      <c r="I749" s="165"/>
      <c r="J749" s="74">
        <f>+K712</f>
        <v>0</v>
      </c>
      <c r="K749" s="196">
        <f>+I749+J749</f>
        <v>0</v>
      </c>
      <c r="M749" s="52"/>
    </row>
    <row r="750" spans="1:15" ht="16.5" thickBot="1">
      <c r="A750" s="72">
        <v>723</v>
      </c>
      <c r="B750" s="80" t="e">
        <f>+#REF!</f>
        <v>#REF!</v>
      </c>
      <c r="C750" s="74" t="e">
        <f>+D711</f>
        <v>#REF!</v>
      </c>
      <c r="D750" s="195" t="e">
        <f>+B750+C750</f>
        <v>#REF!</v>
      </c>
      <c r="F750" s="193" t="s">
        <v>23</v>
      </c>
      <c r="G750" s="175"/>
      <c r="H750" s="169"/>
      <c r="I750" s="197">
        <f>SUM(I745:I749)</f>
        <v>4579800</v>
      </c>
      <c r="J750" s="197">
        <f>SUM(J745:J749)</f>
        <v>366635590</v>
      </c>
      <c r="K750" s="198">
        <f>SUM(K745:K749)</f>
        <v>371215390</v>
      </c>
    </row>
    <row r="751" spans="1:15" ht="17.25" thickBot="1">
      <c r="A751" s="164" t="s">
        <v>181</v>
      </c>
      <c r="B751" s="165"/>
      <c r="C751" s="74" t="e">
        <f>+D712</f>
        <v>#REF!</v>
      </c>
      <c r="D751" s="196" t="e">
        <f>+B751+C751</f>
        <v>#REF!</v>
      </c>
      <c r="F751" s="52"/>
      <c r="H751" s="49" t="s">
        <v>88</v>
      </c>
      <c r="I751" s="50"/>
    </row>
    <row r="752" spans="1:15" ht="15" customHeight="1" thickBot="1">
      <c r="A752" s="169"/>
      <c r="B752" s="170" t="e">
        <f>SUM(B747:B751)</f>
        <v>#REF!</v>
      </c>
      <c r="C752" s="171" t="e">
        <f>SUM(C747:C751)</f>
        <v>#REF!</v>
      </c>
      <c r="D752" s="172" t="e">
        <f>SUM(D747:D751)</f>
        <v>#REF!</v>
      </c>
      <c r="H752" s="51" t="s">
        <v>89</v>
      </c>
      <c r="K752" s="139"/>
    </row>
    <row r="753" spans="1:15" ht="13.5" customHeight="1">
      <c r="A753" s="49" t="s">
        <v>88</v>
      </c>
      <c r="B753" s="50"/>
      <c r="H753" s="51" t="s">
        <v>90</v>
      </c>
    </row>
    <row r="754" spans="1:15" ht="13.5" customHeight="1">
      <c r="A754" s="51" t="s">
        <v>89</v>
      </c>
      <c r="H754" s="51" t="s">
        <v>91</v>
      </c>
    </row>
    <row r="755" spans="1:15" ht="3" customHeight="1">
      <c r="A755" s="51" t="s">
        <v>90</v>
      </c>
      <c r="H755" s="50"/>
      <c r="I755" s="50"/>
    </row>
    <row r="756" spans="1:15" ht="16.5">
      <c r="A756" s="51" t="s">
        <v>91</v>
      </c>
      <c r="H756" s="260" t="s">
        <v>761</v>
      </c>
      <c r="I756" s="262"/>
      <c r="N756" s="52"/>
    </row>
    <row r="757" spans="1:15" ht="15.75" customHeight="1">
      <c r="A757" s="50"/>
      <c r="B757" s="50"/>
      <c r="H757" s="261" t="s">
        <v>2443</v>
      </c>
      <c r="I757" s="262"/>
      <c r="N757" s="53"/>
    </row>
    <row r="758" spans="1:15" ht="14.25" customHeight="1">
      <c r="A758" s="52" t="s">
        <v>431</v>
      </c>
      <c r="G758" s="52"/>
      <c r="H758" s="894" t="s">
        <v>2688</v>
      </c>
      <c r="I758" s="894"/>
      <c r="J758" s="894"/>
      <c r="K758" s="894"/>
      <c r="L758" s="894"/>
      <c r="M758" s="894"/>
      <c r="N758" s="894"/>
      <c r="O758" s="894"/>
    </row>
    <row r="759" spans="1:15" ht="9.75" customHeight="1" thickBot="1">
      <c r="A759" s="53" t="s">
        <v>92</v>
      </c>
      <c r="G759" s="53"/>
    </row>
    <row r="760" spans="1:15" ht="16.5">
      <c r="A760" s="894" t="s">
        <v>93</v>
      </c>
      <c r="B760" s="894"/>
      <c r="C760" s="894"/>
      <c r="D760" s="894"/>
      <c r="E760" s="894"/>
      <c r="F760" s="894"/>
      <c r="G760" s="894"/>
      <c r="H760" s="895" t="s">
        <v>94</v>
      </c>
      <c r="I760" s="897" t="s">
        <v>95</v>
      </c>
      <c r="J760" s="897" t="s">
        <v>96</v>
      </c>
      <c r="K760" s="897" t="s">
        <v>3</v>
      </c>
      <c r="L760" s="897" t="s">
        <v>97</v>
      </c>
      <c r="M760" s="897" t="s">
        <v>98</v>
      </c>
      <c r="N760" s="897" t="s">
        <v>99</v>
      </c>
      <c r="O760" s="899"/>
    </row>
    <row r="761" spans="1:15" ht="13.5" customHeight="1" thickBot="1">
      <c r="H761" s="896"/>
      <c r="I761" s="898"/>
      <c r="J761" s="898"/>
      <c r="K761" s="898"/>
      <c r="L761" s="898"/>
      <c r="M761" s="898"/>
      <c r="N761" s="240" t="s">
        <v>100</v>
      </c>
      <c r="O761" s="182" t="s">
        <v>101</v>
      </c>
    </row>
    <row r="762" spans="1:15" ht="13.5" customHeight="1">
      <c r="A762" s="895" t="s">
        <v>94</v>
      </c>
      <c r="B762" s="897" t="s">
        <v>95</v>
      </c>
      <c r="C762" s="897" t="s">
        <v>96</v>
      </c>
      <c r="D762" s="897" t="s">
        <v>3</v>
      </c>
      <c r="E762" s="897" t="s">
        <v>97</v>
      </c>
      <c r="F762" s="897" t="s">
        <v>98</v>
      </c>
      <c r="G762" s="500" t="s">
        <v>99</v>
      </c>
      <c r="H762" s="873" t="s">
        <v>768</v>
      </c>
      <c r="I762" s="875">
        <v>45554</v>
      </c>
      <c r="J762" s="877" t="s">
        <v>815</v>
      </c>
      <c r="K762" s="879" t="s">
        <v>2684</v>
      </c>
      <c r="L762" s="881" t="s">
        <v>775</v>
      </c>
      <c r="M762" s="883">
        <v>15118800</v>
      </c>
      <c r="N762" s="55">
        <v>719</v>
      </c>
      <c r="O762" s="78">
        <v>0</v>
      </c>
    </row>
    <row r="763" spans="1:15" ht="13.5" customHeight="1" thickBot="1">
      <c r="A763" s="896"/>
      <c r="B763" s="898"/>
      <c r="C763" s="898"/>
      <c r="D763" s="898"/>
      <c r="E763" s="898"/>
      <c r="F763" s="898"/>
      <c r="G763" s="240" t="s">
        <v>100</v>
      </c>
      <c r="H763" s="882"/>
      <c r="I763" s="876"/>
      <c r="J763" s="878"/>
      <c r="K763" s="880"/>
      <c r="L763" s="882"/>
      <c r="M763" s="884"/>
      <c r="N763" s="56">
        <v>723</v>
      </c>
      <c r="O763" s="79">
        <f>+M762-O762</f>
        <v>15118800</v>
      </c>
    </row>
    <row r="764" spans="1:15" ht="13.5" customHeight="1">
      <c r="A764" s="478"/>
      <c r="B764" s="479"/>
      <c r="C764" s="479"/>
      <c r="D764" s="479"/>
      <c r="E764" s="479"/>
      <c r="F764" s="479"/>
      <c r="G764" s="479"/>
      <c r="H764" s="873" t="s">
        <v>769</v>
      </c>
      <c r="I764" s="875">
        <v>45554</v>
      </c>
      <c r="J764" s="877" t="s">
        <v>2683</v>
      </c>
      <c r="K764" s="881" t="s">
        <v>2445</v>
      </c>
      <c r="L764" s="881" t="s">
        <v>148</v>
      </c>
      <c r="M764" s="883">
        <v>942000</v>
      </c>
      <c r="N764" s="55">
        <v>719</v>
      </c>
      <c r="O764" s="78"/>
    </row>
    <row r="765" spans="1:15" ht="13.5" customHeight="1" thickBot="1">
      <c r="A765" s="478"/>
      <c r="B765" s="479"/>
      <c r="C765" s="479"/>
      <c r="D765" s="479"/>
      <c r="E765" s="479"/>
      <c r="F765" s="479"/>
      <c r="G765" s="479"/>
      <c r="H765" s="882"/>
      <c r="I765" s="876"/>
      <c r="J765" s="878"/>
      <c r="K765" s="882"/>
      <c r="L765" s="882"/>
      <c r="M765" s="884"/>
      <c r="N765" s="56">
        <v>723</v>
      </c>
      <c r="O765" s="79">
        <f>+M764-O764</f>
        <v>942000</v>
      </c>
    </row>
    <row r="766" spans="1:15" ht="12.75" customHeight="1">
      <c r="A766" s="881" t="e">
        <f>+A735+1</f>
        <v>#REF!</v>
      </c>
      <c r="B766" s="875">
        <v>42306</v>
      </c>
      <c r="C766" s="877" t="s">
        <v>267</v>
      </c>
      <c r="D766" s="881" t="s">
        <v>436</v>
      </c>
      <c r="E766" s="881" t="s">
        <v>148</v>
      </c>
      <c r="F766" s="883">
        <v>112000</v>
      </c>
      <c r="G766" s="55">
        <v>719</v>
      </c>
      <c r="H766" s="873" t="s">
        <v>770</v>
      </c>
      <c r="I766" s="875">
        <v>45554</v>
      </c>
      <c r="J766" s="877" t="s">
        <v>889</v>
      </c>
      <c r="K766" s="881" t="s">
        <v>2445</v>
      </c>
      <c r="L766" s="881" t="s">
        <v>145</v>
      </c>
      <c r="M766" s="883">
        <v>1950000</v>
      </c>
      <c r="N766" s="55">
        <v>719</v>
      </c>
      <c r="O766" s="78">
        <v>0</v>
      </c>
    </row>
    <row r="767" spans="1:15" ht="13.5" customHeight="1" thickBot="1">
      <c r="A767" s="882"/>
      <c r="B767" s="876"/>
      <c r="C767" s="878"/>
      <c r="D767" s="882"/>
      <c r="E767" s="882"/>
      <c r="F767" s="884"/>
      <c r="G767" s="56">
        <v>721</v>
      </c>
      <c r="H767" s="882"/>
      <c r="I767" s="876"/>
      <c r="J767" s="878"/>
      <c r="K767" s="882"/>
      <c r="L767" s="882"/>
      <c r="M767" s="884"/>
      <c r="N767" s="56">
        <v>723</v>
      </c>
      <c r="O767" s="79">
        <f>+M766-O766</f>
        <v>1950000</v>
      </c>
    </row>
    <row r="768" spans="1:15" ht="13.5" customHeight="1">
      <c r="A768" s="881" t="e">
        <f>+A766+1</f>
        <v>#REF!</v>
      </c>
      <c r="B768" s="875">
        <v>42306</v>
      </c>
      <c r="C768" s="881" t="s">
        <v>28</v>
      </c>
      <c r="D768" s="881" t="s">
        <v>437</v>
      </c>
      <c r="E768" s="881" t="s">
        <v>148</v>
      </c>
      <c r="F768" s="883">
        <v>210000</v>
      </c>
      <c r="G768" s="55">
        <v>719</v>
      </c>
      <c r="H768" s="873" t="s">
        <v>771</v>
      </c>
      <c r="I768" s="875">
        <v>45554</v>
      </c>
      <c r="J768" s="877" t="s">
        <v>815</v>
      </c>
      <c r="K768" s="881" t="s">
        <v>2685</v>
      </c>
      <c r="L768" s="881" t="s">
        <v>214</v>
      </c>
      <c r="M768" s="883">
        <v>760000</v>
      </c>
      <c r="N768" s="55">
        <v>719</v>
      </c>
      <c r="O768" s="78">
        <v>760000</v>
      </c>
    </row>
    <row r="769" spans="1:15" ht="13.5" customHeight="1" thickBot="1">
      <c r="A769" s="882"/>
      <c r="B769" s="876"/>
      <c r="C769" s="882"/>
      <c r="D769" s="882"/>
      <c r="E769" s="882"/>
      <c r="F769" s="884"/>
      <c r="G769" s="56">
        <v>721</v>
      </c>
      <c r="H769" s="882"/>
      <c r="I769" s="876"/>
      <c r="J769" s="878"/>
      <c r="K769" s="882"/>
      <c r="L769" s="882"/>
      <c r="M769" s="884"/>
      <c r="N769" s="56">
        <v>721</v>
      </c>
      <c r="O769" s="79">
        <f>+M768-O768</f>
        <v>0</v>
      </c>
    </row>
    <row r="770" spans="1:15" ht="15" customHeight="1">
      <c r="A770" s="881" t="e">
        <f>+#REF!+1</f>
        <v>#REF!</v>
      </c>
      <c r="B770" s="875">
        <v>42306</v>
      </c>
      <c r="C770" s="877" t="s">
        <v>111</v>
      </c>
      <c r="D770" s="881" t="s">
        <v>439</v>
      </c>
      <c r="E770" s="881" t="s">
        <v>148</v>
      </c>
      <c r="F770" s="883">
        <v>56000</v>
      </c>
      <c r="G770" s="55">
        <v>719</v>
      </c>
      <c r="H770" s="873" t="s">
        <v>772</v>
      </c>
      <c r="I770" s="875">
        <v>45540</v>
      </c>
      <c r="J770" s="877" t="s">
        <v>1781</v>
      </c>
      <c r="K770" s="881" t="s">
        <v>2691</v>
      </c>
      <c r="L770" s="881" t="s">
        <v>775</v>
      </c>
      <c r="M770" s="883">
        <v>2519800</v>
      </c>
      <c r="N770" s="55">
        <v>719</v>
      </c>
      <c r="O770" s="78">
        <v>0</v>
      </c>
    </row>
    <row r="771" spans="1:15" ht="13.5" customHeight="1" thickBot="1">
      <c r="A771" s="882"/>
      <c r="B771" s="876"/>
      <c r="C771" s="878"/>
      <c r="D771" s="882"/>
      <c r="E771" s="882"/>
      <c r="F771" s="884"/>
      <c r="G771" s="56">
        <v>721</v>
      </c>
      <c r="H771" s="882"/>
      <c r="I771" s="876"/>
      <c r="J771" s="878"/>
      <c r="K771" s="882"/>
      <c r="L771" s="882"/>
      <c r="M771" s="884"/>
      <c r="N771" s="56">
        <v>723</v>
      </c>
      <c r="O771" s="352">
        <f>+M770-O770</f>
        <v>2519800</v>
      </c>
    </row>
    <row r="772" spans="1:15" ht="15" customHeight="1" thickBot="1">
      <c r="A772" s="881" t="e">
        <f>+A770+1</f>
        <v>#REF!</v>
      </c>
      <c r="B772" s="875">
        <v>42306</v>
      </c>
      <c r="C772" s="877" t="s">
        <v>272</v>
      </c>
      <c r="D772" s="881" t="s">
        <v>437</v>
      </c>
      <c r="E772" s="881" t="s">
        <v>115</v>
      </c>
      <c r="F772" s="931">
        <v>714000</v>
      </c>
      <c r="G772" s="55">
        <v>719</v>
      </c>
      <c r="H772" s="901" t="s">
        <v>102</v>
      </c>
      <c r="I772" s="902"/>
      <c r="J772" s="902"/>
      <c r="K772" s="902"/>
      <c r="L772" s="903"/>
      <c r="M772" s="81">
        <f>SUM(M762:M771)</f>
        <v>21290600</v>
      </c>
    </row>
    <row r="773" spans="1:15" ht="15.75" customHeight="1" thickBot="1">
      <c r="A773" s="882"/>
      <c r="B773" s="876"/>
      <c r="C773" s="878"/>
      <c r="D773" s="882"/>
      <c r="E773" s="882"/>
      <c r="F773" s="932"/>
      <c r="G773" s="56">
        <v>721</v>
      </c>
      <c r="H773" s="885" t="s">
        <v>103</v>
      </c>
      <c r="I773" s="886"/>
      <c r="J773" s="886"/>
      <c r="K773" s="886"/>
      <c r="L773" s="887"/>
      <c r="M773" s="239">
        <f>+M737</f>
        <v>371215390</v>
      </c>
      <c r="N773" s="241" t="s">
        <v>561</v>
      </c>
      <c r="O773" s="242">
        <v>963</v>
      </c>
    </row>
    <row r="774" spans="1:15" ht="16.5" thickBot="1">
      <c r="A774" s="901" t="s">
        <v>102</v>
      </c>
      <c r="B774" s="902"/>
      <c r="C774" s="902"/>
      <c r="D774" s="902"/>
      <c r="E774" s="903"/>
      <c r="F774" s="81">
        <f>SUM(F766:F773)</f>
        <v>1092000</v>
      </c>
      <c r="H774" s="888" t="s">
        <v>104</v>
      </c>
      <c r="I774" s="889"/>
      <c r="J774" s="889"/>
      <c r="K774" s="889"/>
      <c r="L774" s="890"/>
      <c r="M774" s="183">
        <f>SUM(M772:M773)</f>
        <v>392505990</v>
      </c>
    </row>
    <row r="775" spans="1:15" ht="8.25" customHeight="1" thickBot="1">
      <c r="A775" s="885" t="s">
        <v>103</v>
      </c>
      <c r="B775" s="886"/>
      <c r="C775" s="886"/>
      <c r="D775" s="886"/>
      <c r="E775" s="887"/>
      <c r="F775" s="69" t="e">
        <f>+F739</f>
        <v>#REF!</v>
      </c>
      <c r="H775" s="61"/>
      <c r="I775" s="61"/>
      <c r="J775" s="61"/>
      <c r="K775" s="61"/>
      <c r="L775" s="61"/>
    </row>
    <row r="776" spans="1:15" ht="16.5" thickBot="1">
      <c r="A776" s="888" t="s">
        <v>104</v>
      </c>
      <c r="B776" s="889"/>
      <c r="C776" s="889"/>
      <c r="D776" s="889"/>
      <c r="E776" s="890"/>
      <c r="F776" s="183" t="e">
        <f>SUM(F774:F775)</f>
        <v>#REF!</v>
      </c>
      <c r="H776" s="51" t="s">
        <v>2697</v>
      </c>
    </row>
    <row r="777" spans="1:15" ht="6.75" customHeight="1">
      <c r="A777" s="61"/>
      <c r="B777" s="61"/>
      <c r="C777" s="61"/>
      <c r="D777" s="61"/>
      <c r="E777" s="61"/>
      <c r="M777" s="139"/>
    </row>
    <row r="778" spans="1:15">
      <c r="A778" s="51" t="s">
        <v>440</v>
      </c>
      <c r="H778" s="50" t="s">
        <v>105</v>
      </c>
      <c r="K778" s="146"/>
      <c r="M778" s="139"/>
    </row>
    <row r="779" spans="1:15" ht="6.75" customHeight="1" thickBot="1">
      <c r="F779" s="139"/>
    </row>
    <row r="780" spans="1:15" ht="17.25" thickBot="1">
      <c r="A780" s="50" t="s">
        <v>105</v>
      </c>
      <c r="D780" s="146"/>
      <c r="F780" s="139"/>
      <c r="H780" s="891" t="s">
        <v>106</v>
      </c>
      <c r="I780" s="892"/>
      <c r="J780" s="892"/>
      <c r="K780" s="893"/>
      <c r="M780" s="605" t="s">
        <v>288</v>
      </c>
      <c r="N780" s="605"/>
      <c r="O780" s="605"/>
    </row>
    <row r="781" spans="1:15" ht="29.25" customHeight="1" thickBot="1">
      <c r="H781" s="57" t="s">
        <v>100</v>
      </c>
      <c r="I781" s="58" t="s">
        <v>108</v>
      </c>
      <c r="J781" s="263" t="s">
        <v>109</v>
      </c>
      <c r="K781" s="60" t="s">
        <v>110</v>
      </c>
      <c r="M781" s="202"/>
      <c r="N781" s="202"/>
      <c r="O781" s="202"/>
    </row>
    <row r="782" spans="1:15" ht="13.5" customHeight="1" thickBot="1">
      <c r="A782" s="891" t="s">
        <v>106</v>
      </c>
      <c r="B782" s="892"/>
      <c r="C782" s="892"/>
      <c r="D782" s="893"/>
      <c r="F782" s="50" t="s">
        <v>288</v>
      </c>
      <c r="H782" s="71">
        <v>719</v>
      </c>
      <c r="I782" s="73">
        <f>+O768</f>
        <v>760000</v>
      </c>
      <c r="J782" s="74">
        <f>+K745</f>
        <v>20040000</v>
      </c>
      <c r="K782" s="195">
        <f>+I782+J782</f>
        <v>20800000</v>
      </c>
      <c r="M782" s="202"/>
      <c r="N782" s="202"/>
      <c r="O782" s="202"/>
    </row>
    <row r="783" spans="1:15" ht="13.5" customHeight="1" thickBot="1">
      <c r="A783" s="57" t="s">
        <v>100</v>
      </c>
      <c r="B783" s="58" t="s">
        <v>108</v>
      </c>
      <c r="C783" s="59" t="s">
        <v>109</v>
      </c>
      <c r="D783" s="60" t="s">
        <v>110</v>
      </c>
      <c r="H783" s="72">
        <v>721</v>
      </c>
      <c r="I783" s="257"/>
      <c r="J783" s="74">
        <f>+K746</f>
        <v>5610500</v>
      </c>
      <c r="K783" s="195">
        <f>+I783+J783</f>
        <v>5610500</v>
      </c>
      <c r="M783" s="202"/>
      <c r="N783" s="202"/>
      <c r="O783" s="202"/>
    </row>
    <row r="784" spans="1:15" ht="12" customHeight="1">
      <c r="A784" s="71">
        <v>719</v>
      </c>
      <c r="B784" s="73" t="e">
        <f>+#REF!+#REF!+#REF!+#REF!+#REF!</f>
        <v>#REF!</v>
      </c>
      <c r="C784" s="74" t="e">
        <f>+D747</f>
        <v>#REF!</v>
      </c>
      <c r="D784" s="195" t="e">
        <f>+B784+C784</f>
        <v>#REF!</v>
      </c>
      <c r="H784" s="72">
        <v>722</v>
      </c>
      <c r="I784" s="257"/>
      <c r="J784" s="74">
        <f>+K747</f>
        <v>0</v>
      </c>
      <c r="K784" s="195">
        <f>+I784+J784</f>
        <v>0</v>
      </c>
      <c r="M784" s="202"/>
      <c r="N784" s="202"/>
      <c r="O784" s="202"/>
    </row>
    <row r="785" spans="1:15" ht="12.75" customHeight="1" thickBot="1">
      <c r="A785" s="72">
        <v>721</v>
      </c>
      <c r="B785" s="80" t="e">
        <f>+#REF!+#REF!+#REF!+#REF!+#REF!</f>
        <v>#REF!</v>
      </c>
      <c r="C785" s="74" t="e">
        <f>+D748</f>
        <v>#REF!</v>
      </c>
      <c r="D785" s="195" t="e">
        <f>+B785+C785</f>
        <v>#REF!</v>
      </c>
      <c r="H785" s="72">
        <v>723</v>
      </c>
      <c r="I785" s="257">
        <f>+O763+O765+O767+O771</f>
        <v>20530600</v>
      </c>
      <c r="J785" s="74">
        <f>+K748</f>
        <v>345564890</v>
      </c>
      <c r="K785" s="195">
        <f>+I785+J785</f>
        <v>366095490</v>
      </c>
      <c r="M785" s="918"/>
      <c r="N785" s="608"/>
      <c r="O785" s="608"/>
    </row>
    <row r="786" spans="1:15" ht="12.75" hidden="1" customHeight="1">
      <c r="A786" s="72">
        <v>722</v>
      </c>
      <c r="B786" s="80"/>
      <c r="C786" s="74" t="e">
        <f>+D749</f>
        <v>#REF!</v>
      </c>
      <c r="D786" s="195" t="e">
        <f>+B786+C786</f>
        <v>#REF!</v>
      </c>
      <c r="H786" s="164" t="s">
        <v>181</v>
      </c>
      <c r="I786" s="165"/>
      <c r="J786" s="74">
        <f>+K749</f>
        <v>0</v>
      </c>
      <c r="K786" s="196">
        <f>+I786+J786</f>
        <v>0</v>
      </c>
      <c r="M786" s="52"/>
    </row>
    <row r="787" spans="1:15" ht="16.5" thickBot="1">
      <c r="A787" s="72">
        <v>723</v>
      </c>
      <c r="B787" s="80"/>
      <c r="C787" s="74" t="e">
        <f>+D750</f>
        <v>#REF!</v>
      </c>
      <c r="D787" s="195" t="e">
        <f>+B787+C787</f>
        <v>#REF!</v>
      </c>
      <c r="F787" s="174" t="s">
        <v>23</v>
      </c>
      <c r="G787" s="175"/>
      <c r="H787" s="169"/>
      <c r="I787" s="197">
        <f>SUM(I782:I786)</f>
        <v>21290600</v>
      </c>
      <c r="J787" s="197">
        <f>SUM(J782:J786)</f>
        <v>371215390</v>
      </c>
      <c r="K787" s="198">
        <f>SUM(K782:K786)</f>
        <v>392505990</v>
      </c>
    </row>
    <row r="788" spans="1:15" ht="17.25" thickBot="1">
      <c r="A788" s="164" t="s">
        <v>181</v>
      </c>
      <c r="B788" s="165"/>
      <c r="C788" s="74" t="e">
        <f>+D751</f>
        <v>#REF!</v>
      </c>
      <c r="D788" s="196" t="e">
        <f>+B788+C788</f>
        <v>#REF!</v>
      </c>
      <c r="F788" s="52"/>
      <c r="H788" s="49" t="s">
        <v>88</v>
      </c>
      <c r="I788" s="50"/>
    </row>
    <row r="789" spans="1:15" ht="16.5" thickBot="1">
      <c r="A789" s="169"/>
      <c r="B789" s="170" t="e">
        <f>SUM(B784:B788)</f>
        <v>#REF!</v>
      </c>
      <c r="C789" s="171" t="e">
        <f>SUM(C784:C788)</f>
        <v>#REF!</v>
      </c>
      <c r="D789" s="172" t="e">
        <f>SUM(D784:D788)</f>
        <v>#REF!</v>
      </c>
      <c r="H789" s="51" t="s">
        <v>89</v>
      </c>
    </row>
    <row r="790" spans="1:15" ht="16.5">
      <c r="A790" s="49" t="s">
        <v>88</v>
      </c>
      <c r="B790" s="50"/>
      <c r="H790" s="51" t="s">
        <v>90</v>
      </c>
    </row>
    <row r="791" spans="1:15">
      <c r="A791" s="51" t="s">
        <v>89</v>
      </c>
      <c r="H791" s="51" t="s">
        <v>91</v>
      </c>
    </row>
    <row r="792" spans="1:15" ht="3" customHeight="1">
      <c r="A792" s="51" t="s">
        <v>90</v>
      </c>
      <c r="H792" s="50"/>
      <c r="I792" s="50"/>
    </row>
    <row r="793" spans="1:15" ht="16.5">
      <c r="A793" s="51" t="s">
        <v>91</v>
      </c>
      <c r="H793" s="260" t="s">
        <v>762</v>
      </c>
      <c r="I793" s="262"/>
      <c r="N793" s="52"/>
    </row>
    <row r="794" spans="1:15" ht="15" customHeight="1">
      <c r="A794" s="50"/>
      <c r="B794" s="50"/>
      <c r="H794" s="261" t="s">
        <v>2443</v>
      </c>
      <c r="I794" s="262"/>
      <c r="N794" s="53"/>
    </row>
    <row r="795" spans="1:15" ht="16.5">
      <c r="A795" s="52" t="s">
        <v>432</v>
      </c>
      <c r="G795" s="52"/>
      <c r="H795" s="894" t="s">
        <v>2692</v>
      </c>
      <c r="I795" s="894"/>
      <c r="J795" s="894"/>
      <c r="K795" s="894"/>
      <c r="L795" s="894"/>
      <c r="M795" s="894"/>
      <c r="N795" s="894"/>
      <c r="O795" s="894"/>
    </row>
    <row r="796" spans="1:15" ht="16.5" customHeight="1" thickBot="1">
      <c r="A796" s="53" t="s">
        <v>92</v>
      </c>
      <c r="G796" s="53"/>
    </row>
    <row r="797" spans="1:15" ht="16.5">
      <c r="A797" s="894" t="s">
        <v>93</v>
      </c>
      <c r="B797" s="894"/>
      <c r="C797" s="894"/>
      <c r="D797" s="894"/>
      <c r="E797" s="894"/>
      <c r="F797" s="894"/>
      <c r="G797" s="894"/>
      <c r="H797" s="895" t="s">
        <v>94</v>
      </c>
      <c r="I797" s="897" t="s">
        <v>95</v>
      </c>
      <c r="J797" s="897" t="s">
        <v>96</v>
      </c>
      <c r="K797" s="897" t="s">
        <v>3</v>
      </c>
      <c r="L797" s="897" t="s">
        <v>97</v>
      </c>
      <c r="M797" s="897" t="s">
        <v>98</v>
      </c>
      <c r="N797" s="897" t="s">
        <v>99</v>
      </c>
      <c r="O797" s="899"/>
    </row>
    <row r="798" spans="1:15" ht="13.5" customHeight="1" thickBot="1">
      <c r="H798" s="896"/>
      <c r="I798" s="898"/>
      <c r="J798" s="898"/>
      <c r="K798" s="898"/>
      <c r="L798" s="898"/>
      <c r="M798" s="898"/>
      <c r="N798" s="240" t="s">
        <v>100</v>
      </c>
      <c r="O798" s="182" t="s">
        <v>101</v>
      </c>
    </row>
    <row r="799" spans="1:15" ht="13.5" customHeight="1">
      <c r="A799" s="895" t="s">
        <v>94</v>
      </c>
      <c r="B799" s="897" t="s">
        <v>95</v>
      </c>
      <c r="C799" s="897" t="s">
        <v>96</v>
      </c>
      <c r="D799" s="897" t="s">
        <v>3</v>
      </c>
      <c r="E799" s="897" t="s">
        <v>97</v>
      </c>
      <c r="F799" s="897" t="s">
        <v>98</v>
      </c>
      <c r="G799" s="500" t="s">
        <v>99</v>
      </c>
      <c r="H799" s="873" t="s">
        <v>773</v>
      </c>
      <c r="I799" s="875">
        <v>45540</v>
      </c>
      <c r="J799" s="877" t="s">
        <v>1079</v>
      </c>
      <c r="K799" s="881" t="s">
        <v>2687</v>
      </c>
      <c r="L799" s="881" t="s">
        <v>148</v>
      </c>
      <c r="M799" s="883">
        <v>530000</v>
      </c>
      <c r="N799" s="55">
        <v>719</v>
      </c>
      <c r="O799" s="78">
        <v>530000</v>
      </c>
    </row>
    <row r="800" spans="1:15" ht="14.25" customHeight="1" thickBot="1">
      <c r="A800" s="896"/>
      <c r="B800" s="898"/>
      <c r="C800" s="898"/>
      <c r="D800" s="898"/>
      <c r="E800" s="898"/>
      <c r="F800" s="898"/>
      <c r="G800" s="240" t="s">
        <v>100</v>
      </c>
      <c r="H800" s="882"/>
      <c r="I800" s="876"/>
      <c r="J800" s="878"/>
      <c r="K800" s="882"/>
      <c r="L800" s="882"/>
      <c r="M800" s="884"/>
      <c r="N800" s="56">
        <v>721</v>
      </c>
      <c r="O800" s="352">
        <f>+M799-O799</f>
        <v>0</v>
      </c>
    </row>
    <row r="801" spans="1:15" ht="12.75" customHeight="1">
      <c r="A801" s="881" t="e">
        <f>+A772+1</f>
        <v>#REF!</v>
      </c>
      <c r="B801" s="875">
        <v>42306</v>
      </c>
      <c r="C801" s="877" t="s">
        <v>272</v>
      </c>
      <c r="D801" s="881" t="s">
        <v>433</v>
      </c>
      <c r="E801" s="881" t="s">
        <v>115</v>
      </c>
      <c r="F801" s="883">
        <v>40000</v>
      </c>
      <c r="G801" s="55">
        <v>719</v>
      </c>
      <c r="H801" s="873" t="s">
        <v>774</v>
      </c>
      <c r="I801" s="875">
        <v>45540</v>
      </c>
      <c r="J801" s="877" t="s">
        <v>1984</v>
      </c>
      <c r="K801" s="881" t="s">
        <v>2686</v>
      </c>
      <c r="L801" s="881" t="s">
        <v>775</v>
      </c>
      <c r="M801" s="883">
        <v>742500</v>
      </c>
      <c r="N801" s="55">
        <v>719</v>
      </c>
      <c r="O801" s="78">
        <v>550000</v>
      </c>
    </row>
    <row r="802" spans="1:15" ht="14.25" customHeight="1" thickBot="1">
      <c r="A802" s="882"/>
      <c r="B802" s="876"/>
      <c r="C802" s="878"/>
      <c r="D802" s="882"/>
      <c r="E802" s="882"/>
      <c r="F802" s="884"/>
      <c r="G802" s="56">
        <v>721</v>
      </c>
      <c r="H802" s="882"/>
      <c r="I802" s="876"/>
      <c r="J802" s="878"/>
      <c r="K802" s="882"/>
      <c r="L802" s="882"/>
      <c r="M802" s="884"/>
      <c r="N802" s="56">
        <v>721</v>
      </c>
      <c r="O802" s="352">
        <f>+M801-O801</f>
        <v>192500</v>
      </c>
    </row>
    <row r="803" spans="1:15" ht="14.25" customHeight="1">
      <c r="A803" s="251"/>
      <c r="B803" s="252"/>
      <c r="C803" s="251"/>
      <c r="D803" s="251"/>
      <c r="E803" s="251"/>
      <c r="F803" s="254"/>
      <c r="G803" s="255"/>
      <c r="H803" s="873"/>
      <c r="I803" s="875"/>
      <c r="J803" s="877"/>
      <c r="K803" s="881"/>
      <c r="L803" s="881"/>
      <c r="M803" s="883"/>
      <c r="N803" s="55">
        <v>719</v>
      </c>
      <c r="O803" s="78">
        <v>0</v>
      </c>
    </row>
    <row r="804" spans="1:15" ht="14.25" customHeight="1" thickBot="1">
      <c r="A804" s="251"/>
      <c r="B804" s="252"/>
      <c r="C804" s="251"/>
      <c r="D804" s="251"/>
      <c r="E804" s="251"/>
      <c r="F804" s="254"/>
      <c r="G804" s="255"/>
      <c r="H804" s="874"/>
      <c r="I804" s="876"/>
      <c r="J804" s="878"/>
      <c r="K804" s="882"/>
      <c r="L804" s="882"/>
      <c r="M804" s="884"/>
      <c r="N804" s="56">
        <v>723</v>
      </c>
      <c r="O804" s="352"/>
    </row>
    <row r="805" spans="1:15" ht="12" customHeight="1">
      <c r="A805" s="881"/>
      <c r="B805" s="875"/>
      <c r="C805" s="877"/>
      <c r="D805" s="881"/>
      <c r="E805" s="881"/>
      <c r="F805" s="883"/>
      <c r="G805" s="55">
        <v>719</v>
      </c>
      <c r="H805" s="873"/>
      <c r="I805" s="875"/>
      <c r="J805" s="877"/>
      <c r="K805" s="881"/>
      <c r="L805" s="881"/>
      <c r="M805" s="883"/>
      <c r="N805" s="55">
        <v>719</v>
      </c>
      <c r="O805" s="78">
        <v>0</v>
      </c>
    </row>
    <row r="806" spans="1:15" ht="12.75" customHeight="1" thickBot="1">
      <c r="A806" s="882"/>
      <c r="B806" s="876"/>
      <c r="C806" s="878"/>
      <c r="D806" s="882"/>
      <c r="E806" s="882"/>
      <c r="F806" s="884"/>
      <c r="G806" s="56">
        <v>721</v>
      </c>
      <c r="H806" s="874"/>
      <c r="I806" s="876"/>
      <c r="J806" s="878"/>
      <c r="K806" s="882"/>
      <c r="L806" s="882"/>
      <c r="M806" s="884"/>
      <c r="N806" s="56">
        <v>721</v>
      </c>
      <c r="O806" s="352">
        <f>+M805-O805</f>
        <v>0</v>
      </c>
    </row>
    <row r="807" spans="1:15" ht="15" customHeight="1" thickBot="1">
      <c r="A807" s="881"/>
      <c r="B807" s="875"/>
      <c r="C807" s="881"/>
      <c r="D807" s="881"/>
      <c r="E807" s="881"/>
      <c r="F807" s="883"/>
      <c r="G807" s="55">
        <v>719</v>
      </c>
      <c r="H807" s="901" t="s">
        <v>102</v>
      </c>
      <c r="I807" s="902"/>
      <c r="J807" s="902"/>
      <c r="K807" s="902"/>
      <c r="L807" s="903"/>
      <c r="M807" s="81">
        <f>SUM(M799:M806)</f>
        <v>1272500</v>
      </c>
    </row>
    <row r="808" spans="1:15" ht="15.75" customHeight="1" thickBot="1">
      <c r="A808" s="882"/>
      <c r="B808" s="876"/>
      <c r="C808" s="882"/>
      <c r="D808" s="882"/>
      <c r="E808" s="882"/>
      <c r="F808" s="884"/>
      <c r="G808" s="56">
        <v>721</v>
      </c>
      <c r="H808" s="885" t="s">
        <v>103</v>
      </c>
      <c r="I808" s="886"/>
      <c r="J808" s="886"/>
      <c r="K808" s="886"/>
      <c r="L808" s="887"/>
      <c r="M808" s="239">
        <f>+M774</f>
        <v>392505990</v>
      </c>
      <c r="N808" s="241" t="s">
        <v>561</v>
      </c>
      <c r="O808" s="242">
        <f>352+1162</f>
        <v>1514</v>
      </c>
    </row>
    <row r="809" spans="1:15" ht="16.5" thickBot="1">
      <c r="A809" s="901" t="s">
        <v>102</v>
      </c>
      <c r="B809" s="902"/>
      <c r="C809" s="902"/>
      <c r="D809" s="902"/>
      <c r="E809" s="903"/>
      <c r="F809" s="81">
        <f>SUM(F801:F808)</f>
        <v>40000</v>
      </c>
      <c r="H809" s="888" t="s">
        <v>104</v>
      </c>
      <c r="I809" s="889"/>
      <c r="J809" s="889"/>
      <c r="K809" s="889"/>
      <c r="L809" s="890"/>
      <c r="M809" s="183">
        <f>SUM(M807:M808)</f>
        <v>393778490</v>
      </c>
    </row>
    <row r="810" spans="1:15" ht="8.25" customHeight="1" thickBot="1">
      <c r="A810" s="885" t="s">
        <v>103</v>
      </c>
      <c r="B810" s="886"/>
      <c r="C810" s="886"/>
      <c r="D810" s="886"/>
      <c r="E810" s="887"/>
      <c r="F810" s="69" t="e">
        <f>+F776</f>
        <v>#REF!</v>
      </c>
      <c r="H810" s="61"/>
      <c r="I810" s="61"/>
      <c r="J810" s="61"/>
      <c r="K810" s="61"/>
      <c r="L810" s="61"/>
    </row>
    <row r="811" spans="1:15" ht="16.5" thickBot="1">
      <c r="A811" s="888" t="s">
        <v>104</v>
      </c>
      <c r="B811" s="889"/>
      <c r="C811" s="889"/>
      <c r="D811" s="889"/>
      <c r="E811" s="890"/>
      <c r="F811" s="183" t="e">
        <f>SUM(F809:F810)</f>
        <v>#REF!</v>
      </c>
      <c r="H811" s="51" t="s">
        <v>2694</v>
      </c>
    </row>
    <row r="812" spans="1:15" ht="8.25" customHeight="1">
      <c r="A812" s="61"/>
      <c r="B812" s="61"/>
      <c r="C812" s="61"/>
      <c r="D812" s="61"/>
      <c r="E812" s="61"/>
      <c r="M812" s="139"/>
    </row>
    <row r="813" spans="1:15">
      <c r="A813" s="51" t="s">
        <v>441</v>
      </c>
      <c r="H813" s="50" t="s">
        <v>105</v>
      </c>
      <c r="K813" s="146"/>
      <c r="M813" s="139"/>
    </row>
    <row r="814" spans="1:15" ht="9" customHeight="1" thickBot="1">
      <c r="F814" s="139"/>
    </row>
    <row r="815" spans="1:15" ht="17.25" thickBot="1">
      <c r="A815" s="50" t="s">
        <v>105</v>
      </c>
      <c r="D815" s="146"/>
      <c r="F815" s="139"/>
      <c r="H815" s="891" t="s">
        <v>106</v>
      </c>
      <c r="I815" s="892"/>
      <c r="J815" s="892"/>
      <c r="K815" s="893"/>
      <c r="M815" s="605" t="s">
        <v>288</v>
      </c>
      <c r="N815" s="605"/>
      <c r="O815" s="605"/>
    </row>
    <row r="816" spans="1:15" ht="27" customHeight="1" thickBot="1">
      <c r="H816" s="57" t="s">
        <v>100</v>
      </c>
      <c r="I816" s="58" t="s">
        <v>108</v>
      </c>
      <c r="J816" s="264" t="s">
        <v>109</v>
      </c>
      <c r="K816" s="60" t="s">
        <v>110</v>
      </c>
      <c r="M816" s="202"/>
      <c r="N816" s="202"/>
      <c r="O816" s="202"/>
    </row>
    <row r="817" spans="1:15" ht="13.5" customHeight="1" thickBot="1">
      <c r="A817" s="891" t="s">
        <v>106</v>
      </c>
      <c r="B817" s="892"/>
      <c r="C817" s="892"/>
      <c r="D817" s="893"/>
      <c r="F817" s="50" t="s">
        <v>288</v>
      </c>
      <c r="H817" s="71">
        <v>719</v>
      </c>
      <c r="I817" s="73">
        <f>+O799+O801</f>
        <v>1080000</v>
      </c>
      <c r="J817" s="74">
        <f>+K782</f>
        <v>20800000</v>
      </c>
      <c r="K817" s="195">
        <f>+I817+J817</f>
        <v>21880000</v>
      </c>
      <c r="M817" s="202"/>
      <c r="N817" s="202"/>
      <c r="O817" s="202"/>
    </row>
    <row r="818" spans="1:15" ht="15" customHeight="1" thickBot="1">
      <c r="A818" s="57" t="s">
        <v>100</v>
      </c>
      <c r="B818" s="58" t="s">
        <v>108</v>
      </c>
      <c r="C818" s="59" t="s">
        <v>109</v>
      </c>
      <c r="D818" s="60" t="s">
        <v>110</v>
      </c>
      <c r="H818" s="72">
        <v>721</v>
      </c>
      <c r="I818" s="257">
        <f>+O802</f>
        <v>192500</v>
      </c>
      <c r="J818" s="74">
        <f>+K783</f>
        <v>5610500</v>
      </c>
      <c r="K818" s="195">
        <f>+I818+J818</f>
        <v>5803000</v>
      </c>
      <c r="M818" s="202"/>
      <c r="N818" s="202"/>
      <c r="O818" s="202"/>
    </row>
    <row r="819" spans="1:15" ht="12" customHeight="1">
      <c r="A819" s="71">
        <v>719</v>
      </c>
      <c r="B819" s="73" t="e">
        <f>+#REF!+#REF!+#REF!+#REF!+#REF!</f>
        <v>#REF!</v>
      </c>
      <c r="C819" s="74" t="e">
        <f>+D784</f>
        <v>#REF!</v>
      </c>
      <c r="D819" s="195" t="e">
        <f>+B819+C819</f>
        <v>#REF!</v>
      </c>
      <c r="H819" s="72">
        <v>722</v>
      </c>
      <c r="I819" s="257"/>
      <c r="J819" s="74">
        <f>+K784</f>
        <v>0</v>
      </c>
      <c r="K819" s="195">
        <f>+I819+J819</f>
        <v>0</v>
      </c>
      <c r="M819" s="202"/>
      <c r="N819" s="202"/>
      <c r="O819" s="202"/>
    </row>
    <row r="820" spans="1:15" ht="13.5" customHeight="1" thickBot="1">
      <c r="A820" s="72">
        <v>721</v>
      </c>
      <c r="B820" s="80" t="e">
        <f>+#REF!</f>
        <v>#REF!</v>
      </c>
      <c r="C820" s="74" t="e">
        <f>+D785</f>
        <v>#REF!</v>
      </c>
      <c r="D820" s="195" t="e">
        <f>+B820+C820</f>
        <v>#REF!</v>
      </c>
      <c r="H820" s="72">
        <v>723</v>
      </c>
      <c r="I820" s="257"/>
      <c r="J820" s="74">
        <f>+K785</f>
        <v>366095490</v>
      </c>
      <c r="K820" s="195">
        <f>+I820+J820</f>
        <v>366095490</v>
      </c>
      <c r="M820" s="918"/>
      <c r="N820" s="608"/>
      <c r="O820" s="608"/>
    </row>
    <row r="821" spans="1:15" ht="13.5" hidden="1" customHeight="1">
      <c r="A821" s="72">
        <v>722</v>
      </c>
      <c r="B821" s="80"/>
      <c r="C821" s="74" t="e">
        <f>+D786</f>
        <v>#REF!</v>
      </c>
      <c r="D821" s="195" t="e">
        <f>+B821+C821</f>
        <v>#REF!</v>
      </c>
      <c r="H821" s="164" t="s">
        <v>181</v>
      </c>
      <c r="I821" s="165"/>
      <c r="J821" s="74">
        <f>+K786</f>
        <v>0</v>
      </c>
      <c r="K821" s="196">
        <f>+I821+J821</f>
        <v>0</v>
      </c>
      <c r="M821" s="52"/>
    </row>
    <row r="822" spans="1:15" ht="16.5" thickBot="1">
      <c r="A822" s="72">
        <v>723</v>
      </c>
      <c r="B822" s="80" t="e">
        <f>+#REF!</f>
        <v>#REF!</v>
      </c>
      <c r="C822" s="74" t="e">
        <f>+D787</f>
        <v>#REF!</v>
      </c>
      <c r="D822" s="195" t="e">
        <f>+B822+C822</f>
        <v>#REF!</v>
      </c>
      <c r="F822" s="174" t="s">
        <v>23</v>
      </c>
      <c r="G822" s="175"/>
      <c r="H822" s="169"/>
      <c r="I822" s="197">
        <f>SUM(I817:I821)</f>
        <v>1272500</v>
      </c>
      <c r="J822" s="197">
        <f>SUM(J817:J821)</f>
        <v>392505990</v>
      </c>
      <c r="K822" s="198">
        <f>SUM(K817:K821)</f>
        <v>393778490</v>
      </c>
    </row>
    <row r="823" spans="1:15" ht="17.25" thickBot="1">
      <c r="A823" s="164" t="s">
        <v>181</v>
      </c>
      <c r="B823" s="165"/>
      <c r="C823" s="74" t="e">
        <f>+D788</f>
        <v>#REF!</v>
      </c>
      <c r="D823" s="196" t="e">
        <f>+B823+C823</f>
        <v>#REF!</v>
      </c>
      <c r="F823" s="52"/>
      <c r="H823" s="49" t="s">
        <v>88</v>
      </c>
      <c r="I823" s="50"/>
    </row>
    <row r="824" spans="1:15" ht="15" customHeight="1" thickBot="1">
      <c r="A824" s="169"/>
      <c r="B824" s="170" t="e">
        <f>SUM(B819:B823)</f>
        <v>#REF!</v>
      </c>
      <c r="C824" s="171" t="e">
        <f>SUM(C819:C823)</f>
        <v>#REF!</v>
      </c>
      <c r="D824" s="172" t="e">
        <f>SUM(D819:D823)</f>
        <v>#REF!</v>
      </c>
      <c r="H824" s="51" t="s">
        <v>89</v>
      </c>
    </row>
    <row r="825" spans="1:15" ht="15" customHeight="1">
      <c r="A825" s="49" t="s">
        <v>88</v>
      </c>
      <c r="B825" s="50"/>
      <c r="H825" s="51" t="s">
        <v>90</v>
      </c>
    </row>
    <row r="826" spans="1:15">
      <c r="A826" s="51" t="s">
        <v>89</v>
      </c>
      <c r="H826" s="51" t="s">
        <v>91</v>
      </c>
    </row>
    <row r="827" spans="1:15" ht="4.5" customHeight="1">
      <c r="A827" s="51" t="s">
        <v>90</v>
      </c>
      <c r="H827" s="50"/>
      <c r="I827" s="50"/>
    </row>
    <row r="828" spans="1:15" ht="15" customHeight="1">
      <c r="A828" s="51" t="s">
        <v>91</v>
      </c>
      <c r="H828" s="260" t="s">
        <v>763</v>
      </c>
      <c r="I828" s="262"/>
      <c r="N828" s="52"/>
    </row>
    <row r="829" spans="1:15" ht="14.25" customHeight="1">
      <c r="A829" s="50"/>
      <c r="B829" s="50"/>
      <c r="H829" s="261" t="s">
        <v>2443</v>
      </c>
      <c r="I829" s="262"/>
      <c r="N829" s="53"/>
    </row>
    <row r="830" spans="1:15" ht="17.25" thickBot="1">
      <c r="A830" s="52" t="s">
        <v>442</v>
      </c>
      <c r="G830" s="52"/>
      <c r="H830" s="894" t="s">
        <v>2702</v>
      </c>
      <c r="I830" s="894"/>
      <c r="J830" s="894"/>
      <c r="K830" s="894"/>
      <c r="L830" s="894"/>
      <c r="M830" s="894"/>
      <c r="N830" s="894"/>
      <c r="O830" s="894"/>
    </row>
    <row r="831" spans="1:15" ht="9" customHeight="1" thickBot="1">
      <c r="A831" s="53" t="s">
        <v>92</v>
      </c>
      <c r="G831" s="53"/>
    </row>
    <row r="832" spans="1:15" ht="16.5">
      <c r="A832" s="894" t="s">
        <v>93</v>
      </c>
      <c r="B832" s="894"/>
      <c r="C832" s="894"/>
      <c r="D832" s="894"/>
      <c r="E832" s="894"/>
      <c r="F832" s="894"/>
      <c r="G832" s="894"/>
      <c r="H832" s="895" t="s">
        <v>2703</v>
      </c>
      <c r="I832" s="897" t="s">
        <v>95</v>
      </c>
      <c r="J832" s="897" t="s">
        <v>96</v>
      </c>
      <c r="K832" s="897" t="s">
        <v>3</v>
      </c>
      <c r="L832" s="897" t="s">
        <v>97</v>
      </c>
      <c r="M832" s="897" t="s">
        <v>98</v>
      </c>
      <c r="N832" s="897" t="s">
        <v>99</v>
      </c>
      <c r="O832" s="899"/>
    </row>
    <row r="833" spans="1:15" ht="15.75" thickBot="1">
      <c r="H833" s="896"/>
      <c r="I833" s="898"/>
      <c r="J833" s="898"/>
      <c r="K833" s="898"/>
      <c r="L833" s="898"/>
      <c r="M833" s="898"/>
      <c r="N833" s="240" t="s">
        <v>100</v>
      </c>
      <c r="O833" s="182" t="s">
        <v>101</v>
      </c>
    </row>
    <row r="834" spans="1:15" ht="14.25" customHeight="1">
      <c r="A834" s="881" t="e">
        <f>+#REF!+1</f>
        <v>#REF!</v>
      </c>
      <c r="B834" s="875">
        <v>42317</v>
      </c>
      <c r="C834" s="877" t="s">
        <v>267</v>
      </c>
      <c r="D834" s="881" t="s">
        <v>444</v>
      </c>
      <c r="E834" s="881" t="s">
        <v>148</v>
      </c>
      <c r="F834" s="883">
        <v>252000</v>
      </c>
      <c r="G834" s="55">
        <v>719</v>
      </c>
      <c r="H834" s="873" t="s">
        <v>2403</v>
      </c>
      <c r="I834" s="875">
        <v>45567</v>
      </c>
      <c r="J834" s="910" t="s">
        <v>2408</v>
      </c>
      <c r="K834" s="879" t="s">
        <v>2698</v>
      </c>
      <c r="L834" s="881" t="s">
        <v>115</v>
      </c>
      <c r="M834" s="883">
        <v>702000</v>
      </c>
      <c r="N834" s="55">
        <v>719</v>
      </c>
      <c r="O834" s="78">
        <v>520000</v>
      </c>
    </row>
    <row r="835" spans="1:15" ht="12.75" customHeight="1" thickBot="1">
      <c r="A835" s="882"/>
      <c r="B835" s="876"/>
      <c r="C835" s="878"/>
      <c r="D835" s="882"/>
      <c r="E835" s="882"/>
      <c r="F835" s="884"/>
      <c r="G835" s="56">
        <v>721</v>
      </c>
      <c r="H835" s="874"/>
      <c r="I835" s="876"/>
      <c r="J835" s="911"/>
      <c r="K835" s="880"/>
      <c r="L835" s="882"/>
      <c r="M835" s="884"/>
      <c r="N835" s="56">
        <v>721</v>
      </c>
      <c r="O835" s="79">
        <f>+M834-O834</f>
        <v>182000</v>
      </c>
    </row>
    <row r="836" spans="1:15" ht="12.75" customHeight="1">
      <c r="A836" s="881" t="e">
        <f>+A834+1</f>
        <v>#REF!</v>
      </c>
      <c r="B836" s="875">
        <v>42317</v>
      </c>
      <c r="C836" s="881" t="s">
        <v>28</v>
      </c>
      <c r="D836" s="881" t="s">
        <v>445</v>
      </c>
      <c r="E836" s="881" t="s">
        <v>148</v>
      </c>
      <c r="F836" s="883">
        <v>574000</v>
      </c>
      <c r="G836" s="55">
        <v>719</v>
      </c>
      <c r="H836" s="873" t="s">
        <v>1843</v>
      </c>
      <c r="I836" s="875">
        <v>45567</v>
      </c>
      <c r="J836" s="877" t="s">
        <v>815</v>
      </c>
      <c r="K836" s="881" t="s">
        <v>2700</v>
      </c>
      <c r="L836" s="881" t="s">
        <v>115</v>
      </c>
      <c r="M836" s="883">
        <v>1201500</v>
      </c>
      <c r="N836" s="55">
        <v>719</v>
      </c>
      <c r="O836" s="78">
        <v>890000</v>
      </c>
    </row>
    <row r="837" spans="1:15" ht="12.75" customHeight="1" thickBot="1">
      <c r="A837" s="882"/>
      <c r="B837" s="876"/>
      <c r="C837" s="882"/>
      <c r="D837" s="882"/>
      <c r="E837" s="882"/>
      <c r="F837" s="884"/>
      <c r="G837" s="56">
        <v>721</v>
      </c>
      <c r="H837" s="874"/>
      <c r="I837" s="876"/>
      <c r="J837" s="878"/>
      <c r="K837" s="882"/>
      <c r="L837" s="882"/>
      <c r="M837" s="884"/>
      <c r="N837" s="56">
        <v>721</v>
      </c>
      <c r="O837" s="79">
        <f>+M836-O836</f>
        <v>311500</v>
      </c>
    </row>
    <row r="838" spans="1:15" ht="12.75" customHeight="1">
      <c r="A838" s="881" t="e">
        <f>+A836+1</f>
        <v>#REF!</v>
      </c>
      <c r="B838" s="875">
        <v>42317</v>
      </c>
      <c r="C838" s="877" t="s">
        <v>32</v>
      </c>
      <c r="D838" s="881" t="s">
        <v>446</v>
      </c>
      <c r="E838" s="881" t="s">
        <v>148</v>
      </c>
      <c r="F838" s="883">
        <v>28000</v>
      </c>
      <c r="G838" s="55">
        <v>719</v>
      </c>
      <c r="H838" s="873" t="s">
        <v>2404</v>
      </c>
      <c r="I838" s="875">
        <v>45567</v>
      </c>
      <c r="J838" s="877" t="s">
        <v>1079</v>
      </c>
      <c r="K838" s="881" t="s">
        <v>2699</v>
      </c>
      <c r="L838" s="881" t="s">
        <v>148</v>
      </c>
      <c r="M838" s="883">
        <v>1010000</v>
      </c>
      <c r="N838" s="55">
        <v>719</v>
      </c>
      <c r="O838" s="78">
        <v>1010000</v>
      </c>
    </row>
    <row r="839" spans="1:15" ht="13.5" customHeight="1" thickBot="1">
      <c r="A839" s="882"/>
      <c r="B839" s="876"/>
      <c r="C839" s="878"/>
      <c r="D839" s="882"/>
      <c r="E839" s="882"/>
      <c r="F839" s="884"/>
      <c r="G839" s="56">
        <v>721</v>
      </c>
      <c r="H839" s="874"/>
      <c r="I839" s="876"/>
      <c r="J839" s="878"/>
      <c r="K839" s="882"/>
      <c r="L839" s="882"/>
      <c r="M839" s="884"/>
      <c r="N839" s="56">
        <v>721</v>
      </c>
      <c r="O839" s="79">
        <f>+M838-O838</f>
        <v>0</v>
      </c>
    </row>
    <row r="840" spans="1:15" ht="13.5" customHeight="1">
      <c r="A840" s="251"/>
      <c r="B840" s="252"/>
      <c r="C840" s="253"/>
      <c r="D840" s="251"/>
      <c r="E840" s="251"/>
      <c r="F840" s="254"/>
      <c r="G840" s="255"/>
      <c r="H840" s="873" t="s">
        <v>2405</v>
      </c>
      <c r="I840" s="875">
        <v>45567</v>
      </c>
      <c r="J840" s="877" t="s">
        <v>1538</v>
      </c>
      <c r="K840" s="881" t="s">
        <v>2700</v>
      </c>
      <c r="L840" s="881" t="s">
        <v>148</v>
      </c>
      <c r="M840" s="883">
        <v>1332600</v>
      </c>
      <c r="N840" s="55">
        <v>719</v>
      </c>
      <c r="O840" s="78"/>
    </row>
    <row r="841" spans="1:15" ht="13.5" customHeight="1" thickBot="1">
      <c r="A841" s="251"/>
      <c r="B841" s="252"/>
      <c r="C841" s="253"/>
      <c r="D841" s="251"/>
      <c r="E841" s="251"/>
      <c r="F841" s="254"/>
      <c r="G841" s="255"/>
      <c r="H841" s="874"/>
      <c r="I841" s="876"/>
      <c r="J841" s="878"/>
      <c r="K841" s="882"/>
      <c r="L841" s="882"/>
      <c r="M841" s="884"/>
      <c r="N841" s="56">
        <v>723</v>
      </c>
      <c r="O841" s="79">
        <f>+M840</f>
        <v>1332600</v>
      </c>
    </row>
    <row r="842" spans="1:15" ht="12" customHeight="1">
      <c r="A842" s="881" t="e">
        <f>+A838+1</f>
        <v>#REF!</v>
      </c>
      <c r="B842" s="875">
        <v>42317</v>
      </c>
      <c r="C842" s="877" t="s">
        <v>111</v>
      </c>
      <c r="D842" s="881" t="s">
        <v>447</v>
      </c>
      <c r="E842" s="881" t="s">
        <v>148</v>
      </c>
      <c r="F842" s="883">
        <v>140000</v>
      </c>
      <c r="G842" s="55">
        <v>719</v>
      </c>
      <c r="H842" s="873"/>
      <c r="I842" s="875"/>
      <c r="J842" s="877"/>
      <c r="K842" s="881"/>
      <c r="L842" s="881"/>
      <c r="M842" s="883"/>
      <c r="N842" s="55">
        <v>719</v>
      </c>
      <c r="O842" s="78"/>
    </row>
    <row r="843" spans="1:15" ht="12.75" customHeight="1" thickBot="1">
      <c r="A843" s="882"/>
      <c r="B843" s="876"/>
      <c r="C843" s="878"/>
      <c r="D843" s="882"/>
      <c r="E843" s="882"/>
      <c r="F843" s="884"/>
      <c r="G843" s="56">
        <v>721</v>
      </c>
      <c r="H843" s="874"/>
      <c r="I843" s="876"/>
      <c r="J843" s="878"/>
      <c r="K843" s="882"/>
      <c r="L843" s="882"/>
      <c r="M843" s="884"/>
      <c r="N843" s="56">
        <v>723</v>
      </c>
      <c r="O843" s="79">
        <f>+M842</f>
        <v>0</v>
      </c>
    </row>
    <row r="844" spans="1:15" ht="15" customHeight="1" thickBot="1">
      <c r="A844" s="881" t="e">
        <f>+A842+1</f>
        <v>#REF!</v>
      </c>
      <c r="B844" s="875">
        <v>42317</v>
      </c>
      <c r="C844" s="877" t="s">
        <v>272</v>
      </c>
      <c r="D844" s="881" t="s">
        <v>444</v>
      </c>
      <c r="E844" s="881" t="s">
        <v>148</v>
      </c>
      <c r="F844" s="883">
        <v>756000</v>
      </c>
      <c r="G844" s="55">
        <v>719</v>
      </c>
      <c r="H844" s="901" t="s">
        <v>102</v>
      </c>
      <c r="I844" s="902"/>
      <c r="J844" s="902"/>
      <c r="K844" s="902"/>
      <c r="L844" s="903"/>
      <c r="M844" s="81">
        <f>SUM(M834:M843)</f>
        <v>4246100</v>
      </c>
    </row>
    <row r="845" spans="1:15" ht="15.75" customHeight="1" thickBot="1">
      <c r="A845" s="882"/>
      <c r="B845" s="876"/>
      <c r="C845" s="878"/>
      <c r="D845" s="882"/>
      <c r="E845" s="882"/>
      <c r="F845" s="884"/>
      <c r="G845" s="56">
        <v>721</v>
      </c>
      <c r="H845" s="885" t="s">
        <v>103</v>
      </c>
      <c r="I845" s="886"/>
      <c r="J845" s="886"/>
      <c r="K845" s="886"/>
      <c r="L845" s="887"/>
      <c r="M845" s="239">
        <f>+M809</f>
        <v>393778490</v>
      </c>
      <c r="N845" s="241" t="s">
        <v>561</v>
      </c>
      <c r="O845" s="242"/>
    </row>
    <row r="846" spans="1:15" ht="16.5" thickBot="1">
      <c r="A846" s="901" t="s">
        <v>102</v>
      </c>
      <c r="B846" s="902"/>
      <c r="C846" s="902"/>
      <c r="D846" s="902"/>
      <c r="E846" s="903"/>
      <c r="F846" s="81">
        <f>SUM(F834:F845)</f>
        <v>1750000</v>
      </c>
      <c r="H846" s="888" t="s">
        <v>104</v>
      </c>
      <c r="I846" s="889"/>
      <c r="J846" s="889"/>
      <c r="K846" s="889"/>
      <c r="L846" s="890"/>
      <c r="M846" s="183">
        <f>SUM(M844:M845)</f>
        <v>398024590</v>
      </c>
    </row>
    <row r="847" spans="1:15" ht="6.75" customHeight="1" thickBot="1">
      <c r="A847" s="885" t="s">
        <v>103</v>
      </c>
      <c r="B847" s="886"/>
      <c r="C847" s="886"/>
      <c r="D847" s="886"/>
      <c r="E847" s="887"/>
      <c r="F847" s="69" t="e">
        <f>+F811</f>
        <v>#REF!</v>
      </c>
      <c r="H847" s="61"/>
      <c r="I847" s="61"/>
      <c r="J847" s="61"/>
      <c r="K847" s="61"/>
      <c r="L847" s="61"/>
    </row>
    <row r="848" spans="1:15" ht="16.5" thickBot="1">
      <c r="A848" s="888" t="s">
        <v>104</v>
      </c>
      <c r="B848" s="889"/>
      <c r="C848" s="889"/>
      <c r="D848" s="889"/>
      <c r="E848" s="890"/>
      <c r="F848" s="183" t="e">
        <f>SUM(F846:F847)</f>
        <v>#REF!</v>
      </c>
      <c r="H848" s="51" t="s">
        <v>2701</v>
      </c>
    </row>
    <row r="849" spans="1:15" ht="6" customHeight="1">
      <c r="A849" s="61"/>
      <c r="B849" s="61"/>
      <c r="C849" s="61"/>
      <c r="D849" s="61"/>
      <c r="E849" s="61"/>
      <c r="M849" s="139"/>
    </row>
    <row r="850" spans="1:15">
      <c r="A850" s="51" t="s">
        <v>448</v>
      </c>
      <c r="H850" s="50" t="s">
        <v>105</v>
      </c>
      <c r="K850" s="146"/>
      <c r="M850" s="139"/>
    </row>
    <row r="851" spans="1:15" ht="7.5" customHeight="1" thickBot="1">
      <c r="F851" s="139"/>
    </row>
    <row r="852" spans="1:15" ht="15.75" thickBot="1">
      <c r="A852" s="50" t="s">
        <v>105</v>
      </c>
      <c r="D852" s="146"/>
      <c r="F852" s="139"/>
      <c r="H852" s="891" t="s">
        <v>106</v>
      </c>
      <c r="I852" s="892"/>
      <c r="J852" s="892"/>
      <c r="K852" s="893"/>
    </row>
    <row r="853" spans="1:15" ht="28.5" customHeight="1" thickBot="1">
      <c r="H853" s="57" t="s">
        <v>100</v>
      </c>
      <c r="I853" s="58" t="s">
        <v>108</v>
      </c>
      <c r="J853" s="263" t="s">
        <v>109</v>
      </c>
      <c r="K853" s="60" t="s">
        <v>110</v>
      </c>
      <c r="M853" s="202"/>
      <c r="N853" s="202"/>
      <c r="O853" s="202"/>
    </row>
    <row r="854" spans="1:15" ht="15" customHeight="1" thickBot="1">
      <c r="A854" s="891" t="s">
        <v>106</v>
      </c>
      <c r="B854" s="892"/>
      <c r="C854" s="892"/>
      <c r="D854" s="893"/>
      <c r="F854" s="50" t="s">
        <v>288</v>
      </c>
      <c r="H854" s="71">
        <v>719</v>
      </c>
      <c r="I854" s="73">
        <f>+O834+O836+O838</f>
        <v>2420000</v>
      </c>
      <c r="J854" s="74">
        <f>+K817</f>
        <v>21880000</v>
      </c>
      <c r="K854" s="195">
        <f>+I854+J854</f>
        <v>24300000</v>
      </c>
      <c r="M854" s="605" t="s">
        <v>288</v>
      </c>
      <c r="N854" s="605"/>
      <c r="O854" s="605"/>
    </row>
    <row r="855" spans="1:15" ht="14.25" customHeight="1" thickBot="1">
      <c r="A855" s="57" t="s">
        <v>100</v>
      </c>
      <c r="B855" s="58" t="s">
        <v>108</v>
      </c>
      <c r="C855" s="59" t="s">
        <v>109</v>
      </c>
      <c r="D855" s="60" t="s">
        <v>110</v>
      </c>
      <c r="H855" s="72">
        <v>721</v>
      </c>
      <c r="I855" s="257">
        <f>+O835+O837</f>
        <v>493500</v>
      </c>
      <c r="J855" s="74">
        <f>+K818</f>
        <v>5803000</v>
      </c>
      <c r="K855" s="195">
        <f>+I855+J855</f>
        <v>6296500</v>
      </c>
      <c r="M855" s="202"/>
      <c r="N855" s="202"/>
      <c r="O855" s="202"/>
    </row>
    <row r="856" spans="1:15" ht="14.25" customHeight="1">
      <c r="A856" s="71">
        <v>719</v>
      </c>
      <c r="B856" s="73" t="e">
        <f>+#REF!+#REF!+#REF!+#REF!+#REF!</f>
        <v>#REF!</v>
      </c>
      <c r="C856" s="74" t="e">
        <f>+D819</f>
        <v>#REF!</v>
      </c>
      <c r="D856" s="195" t="e">
        <f>+B856+C856</f>
        <v>#REF!</v>
      </c>
      <c r="H856" s="72">
        <v>722</v>
      </c>
      <c r="I856" s="257"/>
      <c r="J856" s="74">
        <f>+K819</f>
        <v>0</v>
      </c>
      <c r="K856" s="195">
        <f>+I856+J856</f>
        <v>0</v>
      </c>
      <c r="M856" s="288"/>
      <c r="N856" s="288"/>
      <c r="O856" s="288"/>
    </row>
    <row r="857" spans="1:15" ht="14.25" customHeight="1" thickBot="1">
      <c r="A857" s="72">
        <v>721</v>
      </c>
      <c r="B857" s="80" t="e">
        <f>+#REF!+#REF!+#REF!+#REF!+#REF!</f>
        <v>#REF!</v>
      </c>
      <c r="C857" s="74" t="e">
        <f>+D820</f>
        <v>#REF!</v>
      </c>
      <c r="D857" s="195" t="e">
        <f>+B857+C857</f>
        <v>#REF!</v>
      </c>
      <c r="H857" s="72">
        <v>723</v>
      </c>
      <c r="I857" s="257">
        <f>+O841</f>
        <v>1332600</v>
      </c>
      <c r="J857" s="74">
        <f>+K820</f>
        <v>366095490</v>
      </c>
      <c r="K857" s="195">
        <f>+I857+J857</f>
        <v>367428090</v>
      </c>
      <c r="M857" s="288"/>
      <c r="N857" s="288"/>
      <c r="O857" s="288"/>
    </row>
    <row r="858" spans="1:15" ht="15" hidden="1" customHeight="1">
      <c r="A858" s="72">
        <v>722</v>
      </c>
      <c r="B858" s="80"/>
      <c r="C858" s="74" t="e">
        <f>+D821</f>
        <v>#REF!</v>
      </c>
      <c r="D858" s="195" t="e">
        <f>+B858+C858</f>
        <v>#REF!</v>
      </c>
      <c r="H858" s="164" t="s">
        <v>181</v>
      </c>
      <c r="I858" s="165"/>
      <c r="J858" s="74">
        <f>+K821</f>
        <v>0</v>
      </c>
      <c r="K858" s="196">
        <f>+I858+J858</f>
        <v>0</v>
      </c>
      <c r="M858" s="918"/>
      <c r="N858" s="918"/>
      <c r="O858" s="918"/>
    </row>
    <row r="859" spans="1:15" ht="16.5" thickBot="1">
      <c r="A859" s="72">
        <v>723</v>
      </c>
      <c r="B859" s="80"/>
      <c r="C859" s="74" t="e">
        <f>+D822</f>
        <v>#REF!</v>
      </c>
      <c r="D859" s="195" t="e">
        <f>+B859+C859</f>
        <v>#REF!</v>
      </c>
      <c r="F859" s="174" t="s">
        <v>23</v>
      </c>
      <c r="G859" s="175"/>
      <c r="H859" s="169"/>
      <c r="I859" s="197">
        <f>SUM(I854:I858)</f>
        <v>4246100</v>
      </c>
      <c r="J859" s="197">
        <f>SUM(J854:J858)</f>
        <v>393778490</v>
      </c>
      <c r="K859" s="198">
        <f>SUM(K854:K858)</f>
        <v>398024590</v>
      </c>
      <c r="M859" s="918"/>
      <c r="N859" s="918"/>
      <c r="O859" s="918"/>
    </row>
    <row r="860" spans="1:15" ht="17.25" thickBot="1">
      <c r="A860" s="164" t="s">
        <v>181</v>
      </c>
      <c r="B860" s="165"/>
      <c r="C860" s="74" t="e">
        <f>+D823</f>
        <v>#REF!</v>
      </c>
      <c r="D860" s="196" t="e">
        <f>+B860+C860</f>
        <v>#REF!</v>
      </c>
      <c r="F860" s="52"/>
      <c r="H860" s="49" t="s">
        <v>88</v>
      </c>
      <c r="I860" s="50"/>
    </row>
    <row r="861" spans="1:15" ht="16.5" thickBot="1">
      <c r="A861" s="169"/>
      <c r="B861" s="170" t="e">
        <f>SUM(B856:B860)</f>
        <v>#REF!</v>
      </c>
      <c r="C861" s="171" t="e">
        <f>SUM(C856:C860)</f>
        <v>#REF!</v>
      </c>
      <c r="D861" s="172" t="e">
        <f>SUM(D856:D860)</f>
        <v>#REF!</v>
      </c>
      <c r="H861" s="51" t="s">
        <v>89</v>
      </c>
    </row>
    <row r="862" spans="1:15" ht="16.5">
      <c r="A862" s="49" t="s">
        <v>88</v>
      </c>
      <c r="B862" s="50"/>
      <c r="H862" s="51" t="s">
        <v>90</v>
      </c>
    </row>
    <row r="863" spans="1:15">
      <c r="A863" s="51" t="s">
        <v>89</v>
      </c>
      <c r="H863" s="51" t="s">
        <v>91</v>
      </c>
    </row>
    <row r="864" spans="1:15" ht="4.5" customHeight="1">
      <c r="A864" s="51" t="s">
        <v>90</v>
      </c>
      <c r="H864" s="50"/>
      <c r="I864" s="50"/>
    </row>
    <row r="865" spans="1:15" ht="15" customHeight="1">
      <c r="A865" s="51" t="s">
        <v>91</v>
      </c>
      <c r="H865" s="260" t="s">
        <v>789</v>
      </c>
      <c r="I865" s="262"/>
      <c r="N865" s="52"/>
    </row>
    <row r="866" spans="1:15" ht="14.25" customHeight="1">
      <c r="A866" s="50"/>
      <c r="B866" s="50"/>
      <c r="H866" s="261" t="s">
        <v>2443</v>
      </c>
      <c r="I866" s="262"/>
      <c r="N866" s="53"/>
    </row>
    <row r="867" spans="1:15" ht="16.5">
      <c r="A867" s="52" t="s">
        <v>443</v>
      </c>
      <c r="G867" s="52"/>
      <c r="H867" s="894" t="s">
        <v>228</v>
      </c>
      <c r="I867" s="894"/>
      <c r="J867" s="894"/>
      <c r="K867" s="894"/>
      <c r="L867" s="894"/>
      <c r="M867" s="894"/>
      <c r="N867" s="894"/>
      <c r="O867" s="894"/>
    </row>
    <row r="868" spans="1:15" ht="9.75" customHeight="1" thickBot="1">
      <c r="A868" s="53" t="s">
        <v>92</v>
      </c>
      <c r="G868" s="53"/>
    </row>
    <row r="869" spans="1:15" ht="16.5">
      <c r="A869" s="894" t="s">
        <v>93</v>
      </c>
      <c r="B869" s="894"/>
      <c r="C869" s="894"/>
      <c r="D869" s="894"/>
      <c r="E869" s="894"/>
      <c r="F869" s="894"/>
      <c r="G869" s="894"/>
      <c r="H869" s="895" t="s">
        <v>94</v>
      </c>
      <c r="I869" s="897" t="s">
        <v>95</v>
      </c>
      <c r="J869" s="897" t="s">
        <v>96</v>
      </c>
      <c r="K869" s="897" t="s">
        <v>3</v>
      </c>
      <c r="L869" s="897" t="s">
        <v>97</v>
      </c>
      <c r="M869" s="897" t="s">
        <v>98</v>
      </c>
      <c r="N869" s="897" t="s">
        <v>99</v>
      </c>
      <c r="O869" s="899"/>
    </row>
    <row r="870" spans="1:15" ht="12.75" customHeight="1" thickBot="1">
      <c r="H870" s="896"/>
      <c r="I870" s="898"/>
      <c r="J870" s="898"/>
      <c r="K870" s="898"/>
      <c r="L870" s="898"/>
      <c r="M870" s="898"/>
      <c r="N870" s="240" t="s">
        <v>100</v>
      </c>
      <c r="O870" s="182" t="s">
        <v>101</v>
      </c>
    </row>
    <row r="871" spans="1:15" ht="14.25" customHeight="1">
      <c r="A871" s="895" t="s">
        <v>94</v>
      </c>
      <c r="B871" s="897" t="s">
        <v>95</v>
      </c>
      <c r="C871" s="897" t="s">
        <v>96</v>
      </c>
      <c r="D871" s="897" t="s">
        <v>3</v>
      </c>
      <c r="E871" s="897" t="s">
        <v>97</v>
      </c>
      <c r="F871" s="897" t="s">
        <v>98</v>
      </c>
      <c r="G871" s="500" t="s">
        <v>99</v>
      </c>
      <c r="H871" s="928">
        <v>109</v>
      </c>
      <c r="I871" s="875">
        <v>45594</v>
      </c>
      <c r="J871" s="877" t="s">
        <v>1984</v>
      </c>
      <c r="K871" s="881" t="s">
        <v>2704</v>
      </c>
      <c r="L871" s="881" t="s">
        <v>148</v>
      </c>
      <c r="M871" s="883">
        <v>500000</v>
      </c>
      <c r="N871" s="55">
        <v>719</v>
      </c>
      <c r="O871" s="78">
        <f>+M871</f>
        <v>500000</v>
      </c>
    </row>
    <row r="872" spans="1:15" ht="11.25" customHeight="1" thickBot="1">
      <c r="A872" s="896"/>
      <c r="B872" s="898"/>
      <c r="C872" s="898"/>
      <c r="D872" s="898"/>
      <c r="E872" s="898"/>
      <c r="F872" s="898"/>
      <c r="G872" s="240" t="s">
        <v>100</v>
      </c>
      <c r="H872" s="929"/>
      <c r="I872" s="876"/>
      <c r="J872" s="878"/>
      <c r="K872" s="882"/>
      <c r="L872" s="882"/>
      <c r="M872" s="884"/>
      <c r="N872" s="56">
        <v>721</v>
      </c>
      <c r="O872" s="79">
        <v>0</v>
      </c>
    </row>
    <row r="873" spans="1:15" ht="12" customHeight="1">
      <c r="A873" s="881" t="e">
        <f>+A844+1</f>
        <v>#REF!</v>
      </c>
      <c r="B873" s="875">
        <v>42317</v>
      </c>
      <c r="C873" s="877" t="s">
        <v>272</v>
      </c>
      <c r="D873" s="881" t="s">
        <v>449</v>
      </c>
      <c r="E873" s="881" t="s">
        <v>115</v>
      </c>
      <c r="F873" s="883">
        <v>210000</v>
      </c>
      <c r="G873" s="55">
        <v>719</v>
      </c>
      <c r="H873" s="928">
        <f>+H871+1</f>
        <v>110</v>
      </c>
      <c r="I873" s="875">
        <v>45594</v>
      </c>
      <c r="J873" s="877" t="s">
        <v>1984</v>
      </c>
      <c r="K873" s="926" t="s">
        <v>2705</v>
      </c>
      <c r="L873" s="881" t="s">
        <v>148</v>
      </c>
      <c r="M873" s="883">
        <v>520000</v>
      </c>
      <c r="N873" s="55">
        <v>719</v>
      </c>
      <c r="O873" s="78">
        <f>+M873</f>
        <v>520000</v>
      </c>
    </row>
    <row r="874" spans="1:15" ht="12" customHeight="1" thickBot="1">
      <c r="A874" s="882"/>
      <c r="B874" s="876"/>
      <c r="C874" s="878"/>
      <c r="D874" s="882"/>
      <c r="E874" s="882"/>
      <c r="F874" s="884"/>
      <c r="G874" s="56">
        <v>721</v>
      </c>
      <c r="H874" s="929"/>
      <c r="I874" s="876"/>
      <c r="J874" s="878"/>
      <c r="K874" s="927"/>
      <c r="L874" s="882"/>
      <c r="M874" s="884"/>
      <c r="N874" s="56">
        <v>721</v>
      </c>
      <c r="O874" s="79"/>
    </row>
    <row r="875" spans="1:15" ht="13.5" customHeight="1">
      <c r="A875" s="881" t="e">
        <f>+A873+1</f>
        <v>#REF!</v>
      </c>
      <c r="B875" s="875">
        <v>42317</v>
      </c>
      <c r="C875" s="881" t="s">
        <v>28</v>
      </c>
      <c r="D875" s="881" t="s">
        <v>450</v>
      </c>
      <c r="E875" s="881" t="s">
        <v>115</v>
      </c>
      <c r="F875" s="883">
        <v>20000</v>
      </c>
      <c r="G875" s="55">
        <v>719</v>
      </c>
      <c r="H875" s="928">
        <f>+H873+1</f>
        <v>111</v>
      </c>
      <c r="I875" s="875">
        <v>45594</v>
      </c>
      <c r="J875" s="877" t="s">
        <v>1079</v>
      </c>
      <c r="K875" s="881" t="s">
        <v>2706</v>
      </c>
      <c r="L875" s="881" t="s">
        <v>148</v>
      </c>
      <c r="M875" s="883">
        <v>520000</v>
      </c>
      <c r="N875" s="55">
        <v>719</v>
      </c>
      <c r="O875" s="78">
        <f>+M875</f>
        <v>520000</v>
      </c>
    </row>
    <row r="876" spans="1:15" ht="12.75" customHeight="1" thickBot="1">
      <c r="A876" s="882"/>
      <c r="B876" s="876"/>
      <c r="C876" s="882"/>
      <c r="D876" s="882"/>
      <c r="E876" s="882"/>
      <c r="F876" s="884"/>
      <c r="G876" s="56">
        <v>721</v>
      </c>
      <c r="H876" s="929"/>
      <c r="I876" s="876"/>
      <c r="J876" s="878"/>
      <c r="K876" s="882"/>
      <c r="L876" s="882"/>
      <c r="M876" s="884"/>
      <c r="N876" s="56">
        <v>721</v>
      </c>
      <c r="O876" s="79"/>
    </row>
    <row r="877" spans="1:15" ht="13.5" customHeight="1">
      <c r="A877" s="881" t="e">
        <f>+A875+1</f>
        <v>#REF!</v>
      </c>
      <c r="B877" s="875">
        <v>42317</v>
      </c>
      <c r="C877" s="877" t="s">
        <v>32</v>
      </c>
      <c r="D877" s="881" t="s">
        <v>451</v>
      </c>
      <c r="E877" s="881" t="s">
        <v>115</v>
      </c>
      <c r="F877" s="883">
        <v>30000</v>
      </c>
      <c r="G877" s="55">
        <v>719</v>
      </c>
      <c r="H877" s="928">
        <f>+H875+1</f>
        <v>112</v>
      </c>
      <c r="I877" s="875">
        <v>45594</v>
      </c>
      <c r="J877" s="877" t="s">
        <v>1079</v>
      </c>
      <c r="K877" s="881" t="s">
        <v>2707</v>
      </c>
      <c r="L877" s="881" t="s">
        <v>148</v>
      </c>
      <c r="M877" s="883">
        <v>510000</v>
      </c>
      <c r="N877" s="55">
        <v>719</v>
      </c>
      <c r="O877" s="78">
        <f>+M877</f>
        <v>510000</v>
      </c>
    </row>
    <row r="878" spans="1:15" ht="12" customHeight="1" thickBot="1">
      <c r="A878" s="882"/>
      <c r="B878" s="876"/>
      <c r="C878" s="878"/>
      <c r="D878" s="882"/>
      <c r="E878" s="882"/>
      <c r="F878" s="884"/>
      <c r="G878" s="56">
        <v>721</v>
      </c>
      <c r="H878" s="929"/>
      <c r="I878" s="876"/>
      <c r="J878" s="878"/>
      <c r="K878" s="882"/>
      <c r="L878" s="882"/>
      <c r="M878" s="884"/>
      <c r="N878" s="56">
        <v>721</v>
      </c>
      <c r="O878" s="79"/>
    </row>
    <row r="879" spans="1:15" ht="13.5" customHeight="1">
      <c r="A879" s="251"/>
      <c r="B879" s="252"/>
      <c r="C879" s="253"/>
      <c r="D879" s="251"/>
      <c r="E879" s="251"/>
      <c r="F879" s="254"/>
      <c r="G879" s="255"/>
      <c r="H879" s="928">
        <f>+H877+1</f>
        <v>113</v>
      </c>
      <c r="I879" s="875">
        <v>45594</v>
      </c>
      <c r="J879" s="877" t="s">
        <v>1079</v>
      </c>
      <c r="K879" s="881" t="s">
        <v>2708</v>
      </c>
      <c r="L879" s="881" t="s">
        <v>148</v>
      </c>
      <c r="M879" s="883">
        <v>500000</v>
      </c>
      <c r="N879" s="55">
        <v>719</v>
      </c>
      <c r="O879" s="78">
        <f>+M879-O880</f>
        <v>500000</v>
      </c>
    </row>
    <row r="880" spans="1:15" ht="10.5" customHeight="1" thickBot="1">
      <c r="A880" s="251"/>
      <c r="B880" s="252"/>
      <c r="C880" s="253"/>
      <c r="D880" s="251"/>
      <c r="E880" s="251"/>
      <c r="F880" s="254"/>
      <c r="G880" s="255"/>
      <c r="H880" s="929"/>
      <c r="I880" s="876"/>
      <c r="J880" s="878"/>
      <c r="K880" s="882"/>
      <c r="L880" s="882"/>
      <c r="M880" s="884"/>
      <c r="N880" s="56">
        <v>721</v>
      </c>
      <c r="O880" s="79"/>
    </row>
    <row r="881" spans="1:15" ht="12" customHeight="1">
      <c r="A881" s="881" t="e">
        <f>+A877+1</f>
        <v>#REF!</v>
      </c>
      <c r="B881" s="875">
        <v>42317</v>
      </c>
      <c r="C881" s="881" t="s">
        <v>28</v>
      </c>
      <c r="D881" s="881" t="s">
        <v>452</v>
      </c>
      <c r="E881" s="881" t="s">
        <v>115</v>
      </c>
      <c r="F881" s="883">
        <v>30000</v>
      </c>
      <c r="G881" s="55">
        <v>719</v>
      </c>
      <c r="H881" s="928">
        <f>+H879+1</f>
        <v>114</v>
      </c>
      <c r="I881" s="875">
        <v>45594</v>
      </c>
      <c r="J881" s="877" t="s">
        <v>120</v>
      </c>
      <c r="K881" s="881" t="s">
        <v>2709</v>
      </c>
      <c r="L881" s="881" t="s">
        <v>115</v>
      </c>
      <c r="M881" s="883">
        <v>1107000</v>
      </c>
      <c r="N881" s="55">
        <v>719</v>
      </c>
      <c r="O881" s="78">
        <v>820000</v>
      </c>
    </row>
    <row r="882" spans="1:15" ht="12" customHeight="1" thickBot="1">
      <c r="A882" s="882"/>
      <c r="B882" s="876"/>
      <c r="C882" s="882"/>
      <c r="D882" s="882"/>
      <c r="E882" s="882"/>
      <c r="F882" s="884"/>
      <c r="G882" s="56">
        <v>721</v>
      </c>
      <c r="H882" s="929"/>
      <c r="I882" s="876"/>
      <c r="J882" s="878"/>
      <c r="K882" s="882"/>
      <c r="L882" s="882"/>
      <c r="M882" s="884"/>
      <c r="N882" s="56">
        <v>721</v>
      </c>
      <c r="O882" s="79">
        <f>+M881-O881</f>
        <v>287000</v>
      </c>
    </row>
    <row r="883" spans="1:15" ht="15" customHeight="1" thickBot="1">
      <c r="A883" s="881" t="e">
        <f>+A881+1</f>
        <v>#REF!</v>
      </c>
      <c r="B883" s="875">
        <v>42317</v>
      </c>
      <c r="C883" s="877" t="s">
        <v>272</v>
      </c>
      <c r="D883" s="881" t="s">
        <v>453</v>
      </c>
      <c r="E883" s="881" t="s">
        <v>115</v>
      </c>
      <c r="F883" s="883">
        <v>50000</v>
      </c>
      <c r="G883" s="55">
        <v>719</v>
      </c>
      <c r="H883" s="901" t="s">
        <v>102</v>
      </c>
      <c r="I883" s="902"/>
      <c r="J883" s="902"/>
      <c r="K883" s="902"/>
      <c r="L883" s="903"/>
      <c r="M883" s="81">
        <f>SUM(M871:M882)</f>
        <v>3657000</v>
      </c>
    </row>
    <row r="884" spans="1:15" ht="15.75" customHeight="1" thickBot="1">
      <c r="A884" s="882"/>
      <c r="B884" s="876"/>
      <c r="C884" s="878"/>
      <c r="D884" s="882"/>
      <c r="E884" s="882"/>
      <c r="F884" s="884"/>
      <c r="G884" s="56">
        <v>721</v>
      </c>
      <c r="H884" s="885" t="s">
        <v>103</v>
      </c>
      <c r="I884" s="886"/>
      <c r="J884" s="886"/>
      <c r="K884" s="886"/>
      <c r="L884" s="887"/>
      <c r="M884" s="239">
        <f>+M846</f>
        <v>398024590</v>
      </c>
      <c r="N884" s="241" t="s">
        <v>561</v>
      </c>
      <c r="O884" s="242">
        <v>5845</v>
      </c>
    </row>
    <row r="885" spans="1:15" ht="16.5" thickBot="1">
      <c r="A885" s="901" t="s">
        <v>102</v>
      </c>
      <c r="B885" s="902"/>
      <c r="C885" s="902"/>
      <c r="D885" s="902"/>
      <c r="E885" s="903"/>
      <c r="F885" s="81">
        <f>SUM(F873:F884)</f>
        <v>340000</v>
      </c>
      <c r="H885" s="888" t="s">
        <v>104</v>
      </c>
      <c r="I885" s="889"/>
      <c r="J885" s="889"/>
      <c r="K885" s="889"/>
      <c r="L885" s="890"/>
      <c r="M885" s="183">
        <f>SUM(M883:M884)</f>
        <v>401681590</v>
      </c>
    </row>
    <row r="886" spans="1:15" ht="5.25" customHeight="1" thickBot="1">
      <c r="A886" s="885" t="s">
        <v>103</v>
      </c>
      <c r="B886" s="886"/>
      <c r="C886" s="886"/>
      <c r="D886" s="886"/>
      <c r="E886" s="887"/>
      <c r="F886" s="69" t="e">
        <f>+F848</f>
        <v>#REF!</v>
      </c>
      <c r="H886" s="61"/>
      <c r="I886" s="61"/>
      <c r="J886" s="61"/>
      <c r="K886" s="61"/>
      <c r="L886" s="61"/>
    </row>
    <row r="887" spans="1:15" ht="16.5" thickBot="1">
      <c r="A887" s="888" t="s">
        <v>104</v>
      </c>
      <c r="B887" s="889"/>
      <c r="C887" s="889"/>
      <c r="D887" s="889"/>
      <c r="E887" s="890"/>
      <c r="F887" s="183" t="e">
        <f>SUM(F885:F886)</f>
        <v>#REF!</v>
      </c>
      <c r="H887" s="51" t="s">
        <v>2721</v>
      </c>
    </row>
    <row r="888" spans="1:15" ht="4.5" customHeight="1">
      <c r="A888" s="61"/>
      <c r="B888" s="61"/>
      <c r="C888" s="61"/>
      <c r="D888" s="61"/>
      <c r="E888" s="61"/>
      <c r="M888" s="139"/>
    </row>
    <row r="889" spans="1:15">
      <c r="A889" s="51" t="s">
        <v>454</v>
      </c>
      <c r="H889" s="50" t="s">
        <v>105</v>
      </c>
      <c r="K889" s="146"/>
      <c r="M889" s="139"/>
    </row>
    <row r="890" spans="1:15" ht="4.5" customHeight="1" thickBot="1">
      <c r="F890" s="139"/>
    </row>
    <row r="891" spans="1:15" ht="17.25" thickBot="1">
      <c r="A891" s="50" t="s">
        <v>105</v>
      </c>
      <c r="D891" s="146"/>
      <c r="F891" s="139"/>
      <c r="H891" s="891" t="s">
        <v>106</v>
      </c>
      <c r="I891" s="892"/>
      <c r="J891" s="892"/>
      <c r="K891" s="893"/>
      <c r="M891" s="605" t="s">
        <v>263</v>
      </c>
      <c r="N891" s="605"/>
      <c r="O891" s="605"/>
    </row>
    <row r="892" spans="1:15" s="532" customFormat="1" ht="27.75" thickBot="1">
      <c r="H892" s="533" t="s">
        <v>100</v>
      </c>
      <c r="I892" s="534" t="s">
        <v>108</v>
      </c>
      <c r="J892" s="535" t="s">
        <v>109</v>
      </c>
      <c r="K892" s="536" t="s">
        <v>110</v>
      </c>
      <c r="M892" s="537"/>
      <c r="N892" s="537"/>
      <c r="O892" s="537"/>
    </row>
    <row r="893" spans="1:15" ht="15.75" customHeight="1" thickBot="1">
      <c r="A893" s="891" t="s">
        <v>106</v>
      </c>
      <c r="B893" s="892"/>
      <c r="C893" s="892"/>
      <c r="D893" s="893"/>
      <c r="F893" s="50" t="s">
        <v>288</v>
      </c>
      <c r="H893" s="71">
        <v>719</v>
      </c>
      <c r="I893" s="73">
        <f>+O871+O873+O875+O877+O879</f>
        <v>2550000</v>
      </c>
      <c r="J893" s="74">
        <f>+K854</f>
        <v>24300000</v>
      </c>
      <c r="K893" s="195">
        <f>+I893+J893</f>
        <v>26850000</v>
      </c>
      <c r="M893" s="918"/>
      <c r="N893" s="918"/>
      <c r="O893" s="918"/>
    </row>
    <row r="894" spans="1:15" ht="12.75" customHeight="1" thickBot="1">
      <c r="A894" s="57" t="s">
        <v>100</v>
      </c>
      <c r="B894" s="58" t="s">
        <v>108</v>
      </c>
      <c r="C894" s="59" t="s">
        <v>109</v>
      </c>
      <c r="D894" s="60" t="s">
        <v>110</v>
      </c>
      <c r="H894" s="72">
        <v>721</v>
      </c>
      <c r="I894" s="257">
        <v>287000</v>
      </c>
      <c r="J894" s="74">
        <f>+K855</f>
        <v>6296500</v>
      </c>
      <c r="K894" s="195">
        <f>+I894+J894</f>
        <v>6583500</v>
      </c>
      <c r="M894" s="918"/>
      <c r="N894" s="918"/>
      <c r="O894" s="918"/>
    </row>
    <row r="895" spans="1:15" ht="14.25" hidden="1" customHeight="1">
      <c r="A895" s="71">
        <v>719</v>
      </c>
      <c r="B895" s="73" t="e">
        <f>+#REF!+#REF!+#REF!+#REF!+#REF!</f>
        <v>#REF!</v>
      </c>
      <c r="C895" s="74" t="e">
        <f>+D856</f>
        <v>#REF!</v>
      </c>
      <c r="D895" s="195" t="e">
        <f>+B895+C895</f>
        <v>#REF!</v>
      </c>
      <c r="H895" s="72">
        <v>722</v>
      </c>
      <c r="I895" s="257"/>
      <c r="J895" s="74">
        <f>+K856</f>
        <v>0</v>
      </c>
      <c r="K895" s="195">
        <f>+I895+J895</f>
        <v>0</v>
      </c>
      <c r="M895" s="918"/>
      <c r="N895" s="918"/>
      <c r="O895" s="918"/>
    </row>
    <row r="896" spans="1:15" ht="13.5" customHeight="1" thickBot="1">
      <c r="A896" s="72">
        <v>721</v>
      </c>
      <c r="B896" s="80" t="e">
        <f>+#REF!</f>
        <v>#REF!</v>
      </c>
      <c r="C896" s="74" t="e">
        <f>+D857</f>
        <v>#REF!</v>
      </c>
      <c r="D896" s="195" t="e">
        <f>+B896+C896</f>
        <v>#REF!</v>
      </c>
      <c r="H896" s="72">
        <v>723</v>
      </c>
      <c r="I896" s="257">
        <f>+O881</f>
        <v>820000</v>
      </c>
      <c r="J896" s="74">
        <f>+K857</f>
        <v>367428090</v>
      </c>
      <c r="K896" s="195">
        <f>+I896+J896</f>
        <v>368248090</v>
      </c>
      <c r="M896" s="930"/>
      <c r="N896" s="930"/>
      <c r="O896" s="930"/>
    </row>
    <row r="897" spans="1:15" ht="15" hidden="1" customHeight="1">
      <c r="A897" s="72">
        <v>722</v>
      </c>
      <c r="B897" s="80"/>
      <c r="C897" s="74" t="e">
        <f>+D858</f>
        <v>#REF!</v>
      </c>
      <c r="D897" s="195" t="e">
        <f>+B897+C897</f>
        <v>#REF!</v>
      </c>
      <c r="H897" s="164" t="s">
        <v>181</v>
      </c>
      <c r="I897" s="165"/>
      <c r="J897" s="74">
        <f>+K858</f>
        <v>0</v>
      </c>
      <c r="K897" s="196">
        <f>+I897+J897</f>
        <v>0</v>
      </c>
      <c r="M897" s="52"/>
    </row>
    <row r="898" spans="1:15" ht="16.5" thickBot="1">
      <c r="A898" s="72">
        <v>723</v>
      </c>
      <c r="B898" s="80" t="e">
        <f>+#REF!</f>
        <v>#REF!</v>
      </c>
      <c r="C898" s="74" t="e">
        <f>+D859</f>
        <v>#REF!</v>
      </c>
      <c r="D898" s="195" t="e">
        <f>+B898+C898</f>
        <v>#REF!</v>
      </c>
      <c r="F898" s="174" t="s">
        <v>23</v>
      </c>
      <c r="G898" s="175"/>
      <c r="H898" s="169"/>
      <c r="I898" s="197">
        <f>SUM(I893:I897)</f>
        <v>3657000</v>
      </c>
      <c r="J898" s="197">
        <f>SUM(J893:J897)</f>
        <v>398024590</v>
      </c>
      <c r="K898" s="198">
        <f>SUM(K893:K897)</f>
        <v>401681590</v>
      </c>
    </row>
    <row r="899" spans="1:15" ht="17.25" thickBot="1">
      <c r="A899" s="164" t="s">
        <v>181</v>
      </c>
      <c r="B899" s="165"/>
      <c r="C899" s="74" t="e">
        <f>+D860</f>
        <v>#REF!</v>
      </c>
      <c r="D899" s="196" t="e">
        <f>+B899+C899</f>
        <v>#REF!</v>
      </c>
      <c r="F899" s="52"/>
      <c r="H899" s="49" t="s">
        <v>88</v>
      </c>
      <c r="I899" s="50"/>
    </row>
    <row r="900" spans="1:15" ht="14.25" customHeight="1" thickBot="1">
      <c r="A900" s="169"/>
      <c r="B900" s="170" t="e">
        <f>SUM(B895:B899)</f>
        <v>#REF!</v>
      </c>
      <c r="C900" s="171" t="e">
        <f>SUM(C895:C899)</f>
        <v>#REF!</v>
      </c>
      <c r="D900" s="172" t="e">
        <f>SUM(D895:D899)</f>
        <v>#REF!</v>
      </c>
      <c r="H900" s="51" t="s">
        <v>89</v>
      </c>
    </row>
    <row r="901" spans="1:15" ht="14.25" customHeight="1">
      <c r="A901" s="49" t="s">
        <v>88</v>
      </c>
      <c r="B901" s="50"/>
      <c r="H901" s="51" t="s">
        <v>90</v>
      </c>
    </row>
    <row r="902" spans="1:15">
      <c r="A902" s="51" t="s">
        <v>89</v>
      </c>
      <c r="H902" s="51" t="s">
        <v>91</v>
      </c>
    </row>
    <row r="903" spans="1:15" ht="6" customHeight="1">
      <c r="A903" s="51" t="s">
        <v>90</v>
      </c>
      <c r="H903" s="50"/>
      <c r="I903" s="50"/>
    </row>
    <row r="904" spans="1:15" ht="15" customHeight="1">
      <c r="A904" s="51" t="s">
        <v>91</v>
      </c>
      <c r="H904" s="260" t="s">
        <v>795</v>
      </c>
      <c r="N904" s="52"/>
    </row>
    <row r="905" spans="1:15" ht="15" customHeight="1">
      <c r="A905" s="50"/>
      <c r="B905" s="50"/>
      <c r="H905" s="261" t="s">
        <v>2443</v>
      </c>
      <c r="N905" s="53"/>
    </row>
    <row r="906" spans="1:15" ht="15" customHeight="1">
      <c r="A906" s="52" t="s">
        <v>455</v>
      </c>
      <c r="G906" s="52"/>
      <c r="H906" s="894" t="s">
        <v>2724</v>
      </c>
      <c r="I906" s="894"/>
      <c r="J906" s="894"/>
      <c r="K906" s="894"/>
      <c r="L906" s="894"/>
      <c r="M906" s="894"/>
      <c r="N906" s="894"/>
      <c r="O906" s="894"/>
    </row>
    <row r="907" spans="1:15" ht="7.5" customHeight="1" thickBot="1">
      <c r="A907" s="53" t="s">
        <v>92</v>
      </c>
      <c r="G907" s="53"/>
    </row>
    <row r="908" spans="1:15" ht="16.5">
      <c r="A908" s="894" t="s">
        <v>93</v>
      </c>
      <c r="B908" s="894"/>
      <c r="C908" s="894"/>
      <c r="D908" s="894"/>
      <c r="E908" s="894"/>
      <c r="F908" s="894"/>
      <c r="G908" s="894"/>
      <c r="H908" s="895" t="s">
        <v>94</v>
      </c>
      <c r="I908" s="897" t="s">
        <v>95</v>
      </c>
      <c r="J908" s="897" t="s">
        <v>96</v>
      </c>
      <c r="K908" s="897" t="s">
        <v>3</v>
      </c>
      <c r="L908" s="897" t="s">
        <v>97</v>
      </c>
      <c r="M908" s="897" t="s">
        <v>98</v>
      </c>
      <c r="N908" s="897" t="s">
        <v>99</v>
      </c>
      <c r="O908" s="899"/>
    </row>
    <row r="909" spans="1:15" ht="15.75" thickBot="1">
      <c r="H909" s="896"/>
      <c r="I909" s="898"/>
      <c r="J909" s="898"/>
      <c r="K909" s="898"/>
      <c r="L909" s="898"/>
      <c r="M909" s="898"/>
      <c r="N909" s="240" t="s">
        <v>100</v>
      </c>
      <c r="O909" s="182" t="s">
        <v>101</v>
      </c>
    </row>
    <row r="910" spans="1:15" ht="15" customHeight="1">
      <c r="A910" s="895" t="s">
        <v>94</v>
      </c>
      <c r="B910" s="897" t="s">
        <v>95</v>
      </c>
      <c r="C910" s="897" t="s">
        <v>96</v>
      </c>
      <c r="D910" s="897" t="s">
        <v>3</v>
      </c>
      <c r="E910" s="897" t="s">
        <v>97</v>
      </c>
      <c r="F910" s="897" t="s">
        <v>98</v>
      </c>
      <c r="G910" s="500" t="s">
        <v>99</v>
      </c>
      <c r="H910" s="928">
        <f>+H881+1</f>
        <v>115</v>
      </c>
      <c r="I910" s="875">
        <v>45594</v>
      </c>
      <c r="J910" s="877" t="s">
        <v>1984</v>
      </c>
      <c r="K910" s="881" t="s">
        <v>2710</v>
      </c>
      <c r="L910" s="881" t="s">
        <v>115</v>
      </c>
      <c r="M910" s="883">
        <v>675000</v>
      </c>
      <c r="N910" s="55">
        <v>719</v>
      </c>
      <c r="O910" s="78">
        <v>500000</v>
      </c>
    </row>
    <row r="911" spans="1:15" ht="15.75" customHeight="1" thickBot="1">
      <c r="A911" s="896"/>
      <c r="B911" s="898"/>
      <c r="C911" s="898"/>
      <c r="D911" s="898"/>
      <c r="E911" s="898"/>
      <c r="F911" s="898"/>
      <c r="G911" s="240" t="s">
        <v>100</v>
      </c>
      <c r="H911" s="929"/>
      <c r="I911" s="876"/>
      <c r="J911" s="878"/>
      <c r="K911" s="882"/>
      <c r="L911" s="882"/>
      <c r="M911" s="884"/>
      <c r="N911" s="56">
        <v>721</v>
      </c>
      <c r="O911" s="79">
        <v>175000</v>
      </c>
    </row>
    <row r="912" spans="1:15" ht="15" customHeight="1">
      <c r="A912" s="881" t="e">
        <f>+A883+1</f>
        <v>#REF!</v>
      </c>
      <c r="B912" s="875">
        <v>42320</v>
      </c>
      <c r="C912" s="877" t="s">
        <v>272</v>
      </c>
      <c r="D912" s="881" t="s">
        <v>456</v>
      </c>
      <c r="E912" s="881" t="s">
        <v>115</v>
      </c>
      <c r="F912" s="883">
        <v>60000</v>
      </c>
      <c r="G912" s="55">
        <v>719</v>
      </c>
      <c r="H912" s="928">
        <f>+H910+1</f>
        <v>116</v>
      </c>
      <c r="I912" s="875">
        <v>45594</v>
      </c>
      <c r="J912" s="877" t="s">
        <v>120</v>
      </c>
      <c r="K912" s="881" t="s">
        <v>2711</v>
      </c>
      <c r="L912" s="881" t="s">
        <v>214</v>
      </c>
      <c r="M912" s="883">
        <v>650000</v>
      </c>
      <c r="N912" s="55">
        <v>719</v>
      </c>
      <c r="O912" s="78">
        <v>650000</v>
      </c>
    </row>
    <row r="913" spans="1:15" ht="12" customHeight="1" thickBot="1">
      <c r="A913" s="882"/>
      <c r="B913" s="876"/>
      <c r="C913" s="878"/>
      <c r="D913" s="882"/>
      <c r="E913" s="882"/>
      <c r="F913" s="884"/>
      <c r="G913" s="56">
        <v>721</v>
      </c>
      <c r="H913" s="929"/>
      <c r="I913" s="876"/>
      <c r="J913" s="878"/>
      <c r="K913" s="882"/>
      <c r="L913" s="882"/>
      <c r="M913" s="884"/>
      <c r="N913" s="56">
        <v>721</v>
      </c>
      <c r="O913" s="79"/>
    </row>
    <row r="914" spans="1:15" ht="15" customHeight="1">
      <c r="A914" s="881" t="e">
        <f>+A912+1</f>
        <v>#REF!</v>
      </c>
      <c r="B914" s="875">
        <v>42320</v>
      </c>
      <c r="C914" s="881" t="s">
        <v>28</v>
      </c>
      <c r="D914" s="881" t="s">
        <v>456</v>
      </c>
      <c r="E914" s="881" t="s">
        <v>115</v>
      </c>
      <c r="F914" s="883">
        <v>30000</v>
      </c>
      <c r="G914" s="55">
        <v>719</v>
      </c>
      <c r="H914" s="928">
        <f>+H912+1</f>
        <v>117</v>
      </c>
      <c r="I914" s="875">
        <v>45594</v>
      </c>
      <c r="J914" s="877" t="s">
        <v>1984</v>
      </c>
      <c r="K914" s="881" t="s">
        <v>2712</v>
      </c>
      <c r="L914" s="881" t="s">
        <v>148</v>
      </c>
      <c r="M914" s="883">
        <v>500000</v>
      </c>
      <c r="N914" s="55">
        <v>719</v>
      </c>
      <c r="O914" s="78">
        <f>+M914</f>
        <v>500000</v>
      </c>
    </row>
    <row r="915" spans="1:15" ht="13.5" customHeight="1" thickBot="1">
      <c r="A915" s="882"/>
      <c r="B915" s="876"/>
      <c r="C915" s="882"/>
      <c r="D915" s="882"/>
      <c r="E915" s="882"/>
      <c r="F915" s="884"/>
      <c r="G915" s="56">
        <v>721</v>
      </c>
      <c r="H915" s="929"/>
      <c r="I915" s="876"/>
      <c r="J915" s="878"/>
      <c r="K915" s="882"/>
      <c r="L915" s="882"/>
      <c r="M915" s="884"/>
      <c r="N915" s="56">
        <v>721</v>
      </c>
      <c r="O915" s="79"/>
    </row>
    <row r="916" spans="1:15" ht="12.75" customHeight="1">
      <c r="A916" s="881" t="e">
        <f>+A914+1</f>
        <v>#REF!</v>
      </c>
      <c r="B916" s="875">
        <v>42320</v>
      </c>
      <c r="C916" s="877" t="s">
        <v>32</v>
      </c>
      <c r="D916" s="881" t="s">
        <v>457</v>
      </c>
      <c r="E916" s="881" t="s">
        <v>115</v>
      </c>
      <c r="F916" s="883">
        <v>20000</v>
      </c>
      <c r="G916" s="55">
        <v>719</v>
      </c>
      <c r="H916" s="928">
        <v>118</v>
      </c>
      <c r="I916" s="875">
        <v>45594</v>
      </c>
      <c r="J916" s="877" t="s">
        <v>2713</v>
      </c>
      <c r="K916" s="881" t="s">
        <v>2709</v>
      </c>
      <c r="L916" s="881" t="s">
        <v>148</v>
      </c>
      <c r="M916" s="883">
        <v>3642650</v>
      </c>
      <c r="N916" s="55">
        <v>719</v>
      </c>
      <c r="O916" s="78"/>
    </row>
    <row r="917" spans="1:15" ht="13.5" customHeight="1" thickBot="1">
      <c r="A917" s="882"/>
      <c r="B917" s="876"/>
      <c r="C917" s="878"/>
      <c r="D917" s="882"/>
      <c r="E917" s="882"/>
      <c r="F917" s="884"/>
      <c r="G917" s="56">
        <v>721</v>
      </c>
      <c r="H917" s="929"/>
      <c r="I917" s="876"/>
      <c r="J917" s="878"/>
      <c r="K917" s="882"/>
      <c r="L917" s="882"/>
      <c r="M917" s="884"/>
      <c r="N917" s="56">
        <v>723</v>
      </c>
      <c r="O917" s="79">
        <v>3642650</v>
      </c>
    </row>
    <row r="918" spans="1:15" ht="12" customHeight="1">
      <c r="A918" s="881"/>
      <c r="B918" s="875"/>
      <c r="C918" s="881"/>
      <c r="D918" s="881"/>
      <c r="E918" s="881"/>
      <c r="F918" s="883"/>
      <c r="G918" s="55">
        <v>719</v>
      </c>
      <c r="H918" s="928">
        <v>119</v>
      </c>
      <c r="I918" s="875">
        <v>45594</v>
      </c>
      <c r="J918" s="877" t="s">
        <v>2713</v>
      </c>
      <c r="K918" s="881" t="s">
        <v>2714</v>
      </c>
      <c r="L918" s="881" t="s">
        <v>148</v>
      </c>
      <c r="M918" s="883">
        <v>1521250</v>
      </c>
      <c r="N918" s="55">
        <v>719</v>
      </c>
      <c r="O918" s="78"/>
    </row>
    <row r="919" spans="1:15" ht="12" customHeight="1" thickBot="1">
      <c r="A919" s="882"/>
      <c r="B919" s="876"/>
      <c r="C919" s="882"/>
      <c r="D919" s="882"/>
      <c r="E919" s="882"/>
      <c r="F919" s="884"/>
      <c r="G919" s="56">
        <v>721</v>
      </c>
      <c r="H919" s="929"/>
      <c r="I919" s="876"/>
      <c r="J919" s="878"/>
      <c r="K919" s="882"/>
      <c r="L919" s="882"/>
      <c r="M919" s="884"/>
      <c r="N919" s="56">
        <v>723</v>
      </c>
      <c r="O919" s="79">
        <v>1521250</v>
      </c>
    </row>
    <row r="920" spans="1:15" ht="16.5" thickBot="1">
      <c r="A920" s="881"/>
      <c r="B920" s="875"/>
      <c r="C920" s="877"/>
      <c r="D920" s="881"/>
      <c r="E920" s="881"/>
      <c r="F920" s="883"/>
      <c r="G920" s="55">
        <v>719</v>
      </c>
      <c r="H920" s="901" t="s">
        <v>102</v>
      </c>
      <c r="I920" s="902"/>
      <c r="J920" s="902"/>
      <c r="K920" s="902"/>
      <c r="L920" s="903"/>
      <c r="M920" s="81">
        <f>SUM(M910:M919)</f>
        <v>6988900</v>
      </c>
    </row>
    <row r="921" spans="1:15" ht="16.5" thickBot="1">
      <c r="A921" s="882"/>
      <c r="B921" s="876"/>
      <c r="C921" s="878"/>
      <c r="D921" s="882"/>
      <c r="E921" s="882"/>
      <c r="F921" s="884"/>
      <c r="G921" s="56">
        <v>721</v>
      </c>
      <c r="H921" s="885" t="s">
        <v>103</v>
      </c>
      <c r="I921" s="886"/>
      <c r="J921" s="886"/>
      <c r="K921" s="886"/>
      <c r="L921" s="887"/>
      <c r="M921" s="239">
        <f>+M885</f>
        <v>401681590</v>
      </c>
      <c r="N921" s="241" t="s">
        <v>561</v>
      </c>
      <c r="O921" s="242">
        <v>2848</v>
      </c>
    </row>
    <row r="922" spans="1:15" ht="15" customHeight="1" thickBot="1">
      <c r="A922" s="901" t="s">
        <v>102</v>
      </c>
      <c r="B922" s="902"/>
      <c r="C922" s="902"/>
      <c r="D922" s="902"/>
      <c r="E922" s="903"/>
      <c r="F922" s="81">
        <f>SUM(F912:F921)</f>
        <v>110000</v>
      </c>
      <c r="H922" s="888" t="s">
        <v>104</v>
      </c>
      <c r="I922" s="889"/>
      <c r="J922" s="889"/>
      <c r="K922" s="889"/>
      <c r="L922" s="890"/>
      <c r="M922" s="183">
        <f>SUM(M920:M921)</f>
        <v>408670490</v>
      </c>
    </row>
    <row r="923" spans="1:15" ht="5.25" customHeight="1" thickBot="1">
      <c r="A923" s="885" t="s">
        <v>103</v>
      </c>
      <c r="B923" s="886"/>
      <c r="C923" s="886"/>
      <c r="D923" s="886"/>
      <c r="E923" s="887"/>
      <c r="F923" s="69" t="e">
        <f>+F887</f>
        <v>#REF!</v>
      </c>
      <c r="H923" s="61"/>
      <c r="I923" s="61"/>
      <c r="J923" s="61"/>
      <c r="K923" s="61"/>
      <c r="L923" s="61"/>
    </row>
    <row r="924" spans="1:15" ht="16.5" thickBot="1">
      <c r="A924" s="888" t="s">
        <v>104</v>
      </c>
      <c r="B924" s="889"/>
      <c r="C924" s="889"/>
      <c r="D924" s="889"/>
      <c r="E924" s="890"/>
      <c r="F924" s="183" t="e">
        <f>SUM(F922:F923)</f>
        <v>#REF!</v>
      </c>
      <c r="H924" s="51" t="s">
        <v>2715</v>
      </c>
    </row>
    <row r="925" spans="1:15" ht="3" customHeight="1">
      <c r="A925" s="61"/>
      <c r="B925" s="61"/>
      <c r="C925" s="61"/>
      <c r="D925" s="61"/>
      <c r="E925" s="61"/>
      <c r="M925" s="139"/>
    </row>
    <row r="926" spans="1:15">
      <c r="A926" s="51" t="s">
        <v>458</v>
      </c>
      <c r="H926" s="50" t="s">
        <v>105</v>
      </c>
      <c r="K926" s="146"/>
      <c r="M926" s="139"/>
    </row>
    <row r="927" spans="1:15" ht="8.25" customHeight="1" thickBot="1">
      <c r="F927" s="139"/>
    </row>
    <row r="928" spans="1:15" ht="15.75" thickBot="1">
      <c r="A928" s="50" t="s">
        <v>105</v>
      </c>
      <c r="D928" s="146"/>
      <c r="F928" s="139"/>
      <c r="H928" s="891" t="s">
        <v>106</v>
      </c>
      <c r="I928" s="892"/>
      <c r="J928" s="892"/>
      <c r="K928" s="893"/>
      <c r="M928" s="925" t="s">
        <v>288</v>
      </c>
      <c r="N928" s="925"/>
      <c r="O928" s="925"/>
    </row>
    <row r="929" spans="1:15" s="532" customFormat="1" ht="28.5" customHeight="1" thickBot="1">
      <c r="H929" s="533" t="s">
        <v>100</v>
      </c>
      <c r="I929" s="534" t="s">
        <v>108</v>
      </c>
      <c r="J929" s="535" t="s">
        <v>109</v>
      </c>
      <c r="K929" s="536" t="s">
        <v>110</v>
      </c>
    </row>
    <row r="930" spans="1:15" ht="14.25" customHeight="1" thickBot="1">
      <c r="A930" s="891" t="s">
        <v>106</v>
      </c>
      <c r="B930" s="892"/>
      <c r="C930" s="892"/>
      <c r="D930" s="893"/>
      <c r="F930" s="50" t="s">
        <v>288</v>
      </c>
      <c r="H930" s="71">
        <v>719</v>
      </c>
      <c r="I930" s="73">
        <f>+O910+O912+O914+O916+O918</f>
        <v>1650000</v>
      </c>
      <c r="J930" s="74">
        <f>+K893</f>
        <v>26850000</v>
      </c>
      <c r="K930" s="195">
        <f>+I930+J930</f>
        <v>28500000</v>
      </c>
    </row>
    <row r="931" spans="1:15" ht="16.5" customHeight="1" thickBot="1">
      <c r="A931" s="57" t="s">
        <v>100</v>
      </c>
      <c r="B931" s="58" t="s">
        <v>108</v>
      </c>
      <c r="C931" s="59" t="s">
        <v>109</v>
      </c>
      <c r="D931" s="60" t="s">
        <v>110</v>
      </c>
      <c r="H931" s="72">
        <v>721</v>
      </c>
      <c r="I931" s="257">
        <v>175000</v>
      </c>
      <c r="J931" s="74">
        <f>+K894</f>
        <v>6583500</v>
      </c>
      <c r="K931" s="195">
        <f>+I931+J931</f>
        <v>6758500</v>
      </c>
    </row>
    <row r="932" spans="1:15" ht="13.5" hidden="1" customHeight="1">
      <c r="A932" s="71">
        <v>719</v>
      </c>
      <c r="B932" s="73" t="e">
        <f>+#REF!+#REF!+#REF!+#REF!+#REF!</f>
        <v>#REF!</v>
      </c>
      <c r="C932" s="74" t="e">
        <f>+D895</f>
        <v>#REF!</v>
      </c>
      <c r="D932" s="195" t="e">
        <f>+B932+C932</f>
        <v>#REF!</v>
      </c>
      <c r="H932" s="72">
        <v>722</v>
      </c>
      <c r="I932" s="257"/>
      <c r="J932" s="74">
        <f>+K895</f>
        <v>0</v>
      </c>
      <c r="K932" s="195">
        <f>+I932+J932</f>
        <v>0</v>
      </c>
    </row>
    <row r="933" spans="1:15" ht="16.5" thickBot="1">
      <c r="A933" s="72">
        <v>721</v>
      </c>
      <c r="B933" s="80" t="e">
        <f>+#REF!</f>
        <v>#REF!</v>
      </c>
      <c r="C933" s="74" t="e">
        <f>+D896</f>
        <v>#REF!</v>
      </c>
      <c r="D933" s="195" t="e">
        <f>+B933+C933</f>
        <v>#REF!</v>
      </c>
      <c r="H933" s="72">
        <v>723</v>
      </c>
      <c r="I933" s="257">
        <f>+M916+M918</f>
        <v>5163900</v>
      </c>
      <c r="J933" s="74">
        <f>+K896</f>
        <v>368248090</v>
      </c>
      <c r="K933" s="195">
        <f>+I933+J933</f>
        <v>373411990</v>
      </c>
      <c r="M933" s="918"/>
      <c r="N933" s="918"/>
      <c r="O933" s="918"/>
    </row>
    <row r="934" spans="1:15" ht="14.25" hidden="1" customHeight="1" thickBot="1">
      <c r="A934" s="72">
        <v>722</v>
      </c>
      <c r="B934" s="80"/>
      <c r="C934" s="74" t="e">
        <f>+D897</f>
        <v>#REF!</v>
      </c>
      <c r="D934" s="195" t="e">
        <f>+B934+C934</f>
        <v>#REF!</v>
      </c>
      <c r="H934" s="164" t="s">
        <v>181</v>
      </c>
      <c r="I934" s="165"/>
      <c r="J934" s="74">
        <f>+K897</f>
        <v>0</v>
      </c>
      <c r="K934" s="196">
        <f>+I934+J934</f>
        <v>0</v>
      </c>
      <c r="M934" s="52"/>
    </row>
    <row r="935" spans="1:15" ht="16.5" thickBot="1">
      <c r="A935" s="72">
        <v>723</v>
      </c>
      <c r="B935" s="80" t="e">
        <f>+#REF!</f>
        <v>#REF!</v>
      </c>
      <c r="C935" s="74" t="e">
        <f>+D898</f>
        <v>#REF!</v>
      </c>
      <c r="D935" s="195" t="e">
        <f>+B935+C935</f>
        <v>#REF!</v>
      </c>
      <c r="F935" s="174" t="s">
        <v>23</v>
      </c>
      <c r="G935" s="175"/>
      <c r="H935" s="169"/>
      <c r="I935" s="197">
        <f>SUM(I930:I934)</f>
        <v>6988900</v>
      </c>
      <c r="J935" s="197">
        <f>SUM(J930:J934)</f>
        <v>401681590</v>
      </c>
      <c r="K935" s="198">
        <f>SUM(K930:K934)</f>
        <v>408670490</v>
      </c>
    </row>
    <row r="936" spans="1:15" ht="17.25" thickBot="1">
      <c r="A936" s="164" t="s">
        <v>181</v>
      </c>
      <c r="B936" s="165"/>
      <c r="C936" s="74" t="e">
        <f>+D899</f>
        <v>#REF!</v>
      </c>
      <c r="D936" s="196" t="e">
        <f>+B936+C936</f>
        <v>#REF!</v>
      </c>
      <c r="F936" s="52"/>
      <c r="H936" s="49" t="s">
        <v>88</v>
      </c>
      <c r="I936" s="50"/>
    </row>
    <row r="937" spans="1:15" ht="15" customHeight="1" thickBot="1">
      <c r="A937" s="169"/>
      <c r="B937" s="170" t="e">
        <f>SUM(B932:B936)</f>
        <v>#REF!</v>
      </c>
      <c r="C937" s="171" t="e">
        <f>SUM(C932:C936)</f>
        <v>#REF!</v>
      </c>
      <c r="D937" s="172" t="e">
        <f>SUM(D932:D936)</f>
        <v>#REF!</v>
      </c>
      <c r="H937" s="51" t="s">
        <v>89</v>
      </c>
    </row>
    <row r="938" spans="1:15" ht="15" customHeight="1">
      <c r="A938" s="49" t="s">
        <v>88</v>
      </c>
      <c r="B938" s="50"/>
      <c r="H938" s="51" t="s">
        <v>90</v>
      </c>
    </row>
    <row r="939" spans="1:15" ht="12.75" customHeight="1">
      <c r="A939" s="51" t="s">
        <v>89</v>
      </c>
      <c r="H939" s="51" t="s">
        <v>91</v>
      </c>
    </row>
    <row r="940" spans="1:15" ht="3.75" customHeight="1">
      <c r="A940" s="51" t="s">
        <v>90</v>
      </c>
      <c r="H940" s="50"/>
      <c r="I940" s="50"/>
    </row>
    <row r="941" spans="1:15" ht="15.75" customHeight="1">
      <c r="A941" s="51" t="s">
        <v>91</v>
      </c>
      <c r="H941" s="52" t="s">
        <v>813</v>
      </c>
      <c r="N941" s="52"/>
    </row>
    <row r="942" spans="1:15" ht="13.5" customHeight="1">
      <c r="A942" s="50"/>
      <c r="B942" s="50"/>
      <c r="H942" s="53" t="s">
        <v>2443</v>
      </c>
      <c r="N942" s="53"/>
    </row>
    <row r="943" spans="1:15" ht="15" customHeight="1">
      <c r="A943" s="52" t="s">
        <v>460</v>
      </c>
      <c r="G943" s="52"/>
      <c r="H943" s="894" t="s">
        <v>261</v>
      </c>
      <c r="I943" s="894"/>
      <c r="J943" s="894"/>
      <c r="K943" s="894"/>
      <c r="L943" s="894"/>
      <c r="M943" s="894"/>
      <c r="N943" s="894"/>
      <c r="O943" s="894"/>
    </row>
    <row r="944" spans="1:15" ht="7.5" customHeight="1" thickBot="1">
      <c r="A944" s="53" t="s">
        <v>92</v>
      </c>
      <c r="G944" s="53"/>
    </row>
    <row r="945" spans="1:15" ht="16.5">
      <c r="A945" s="894" t="s">
        <v>462</v>
      </c>
      <c r="B945" s="894"/>
      <c r="C945" s="894"/>
      <c r="D945" s="894"/>
      <c r="E945" s="894"/>
      <c r="F945" s="894"/>
      <c r="G945" s="894"/>
      <c r="H945" s="895" t="s">
        <v>94</v>
      </c>
      <c r="I945" s="897" t="s">
        <v>95</v>
      </c>
      <c r="J945" s="897" t="s">
        <v>96</v>
      </c>
      <c r="K945" s="897" t="s">
        <v>3</v>
      </c>
      <c r="L945" s="897" t="s">
        <v>97</v>
      </c>
      <c r="M945" s="897" t="s">
        <v>98</v>
      </c>
      <c r="N945" s="897" t="s">
        <v>99</v>
      </c>
      <c r="O945" s="899"/>
    </row>
    <row r="946" spans="1:15" ht="15.75" thickBot="1">
      <c r="H946" s="896"/>
      <c r="I946" s="898"/>
      <c r="J946" s="898"/>
      <c r="K946" s="898"/>
      <c r="L946" s="898"/>
      <c r="M946" s="898"/>
      <c r="N946" s="240" t="s">
        <v>100</v>
      </c>
      <c r="O946" s="182" t="s">
        <v>101</v>
      </c>
    </row>
    <row r="947" spans="1:15" ht="12.75" customHeight="1">
      <c r="A947" s="895" t="s">
        <v>94</v>
      </c>
      <c r="B947" s="897" t="s">
        <v>95</v>
      </c>
      <c r="C947" s="897" t="s">
        <v>96</v>
      </c>
      <c r="D947" s="897" t="s">
        <v>3</v>
      </c>
      <c r="E947" s="897" t="s">
        <v>97</v>
      </c>
      <c r="F947" s="897" t="s">
        <v>98</v>
      </c>
      <c r="G947" s="500" t="s">
        <v>99</v>
      </c>
      <c r="H947" s="873" t="s">
        <v>1606</v>
      </c>
      <c r="I947" s="875">
        <v>45649</v>
      </c>
      <c r="J947" s="877" t="s">
        <v>120</v>
      </c>
      <c r="K947" s="881" t="s">
        <v>2727</v>
      </c>
      <c r="L947" s="881" t="s">
        <v>214</v>
      </c>
      <c r="M947" s="883">
        <v>490000</v>
      </c>
      <c r="N947" s="55">
        <v>719</v>
      </c>
      <c r="O947" s="78">
        <v>490000</v>
      </c>
    </row>
    <row r="948" spans="1:15" ht="13.5" customHeight="1" thickBot="1">
      <c r="A948" s="896"/>
      <c r="B948" s="898"/>
      <c r="C948" s="898"/>
      <c r="D948" s="898"/>
      <c r="E948" s="898"/>
      <c r="F948" s="898"/>
      <c r="G948" s="240" t="s">
        <v>100</v>
      </c>
      <c r="H948" s="882"/>
      <c r="I948" s="876"/>
      <c r="J948" s="878"/>
      <c r="K948" s="882"/>
      <c r="L948" s="882"/>
      <c r="M948" s="884"/>
      <c r="N948" s="56">
        <v>721</v>
      </c>
      <c r="O948" s="79"/>
    </row>
    <row r="949" spans="1:15" ht="12" customHeight="1">
      <c r="A949" s="881" t="e">
        <f>+A916+1</f>
        <v>#REF!</v>
      </c>
      <c r="B949" s="875">
        <v>42328</v>
      </c>
      <c r="C949" s="877" t="s">
        <v>469</v>
      </c>
      <c r="D949" s="881" t="s">
        <v>459</v>
      </c>
      <c r="E949" s="881" t="s">
        <v>148</v>
      </c>
      <c r="F949" s="883">
        <v>1764708</v>
      </c>
      <c r="G949" s="55">
        <v>723</v>
      </c>
      <c r="H949" s="873" t="s">
        <v>1519</v>
      </c>
      <c r="I949" s="875">
        <v>45649</v>
      </c>
      <c r="J949" s="877" t="s">
        <v>120</v>
      </c>
      <c r="K949" s="881" t="s">
        <v>2728</v>
      </c>
      <c r="L949" s="881" t="s">
        <v>214</v>
      </c>
      <c r="M949" s="883">
        <v>390000</v>
      </c>
      <c r="N949" s="55">
        <v>719</v>
      </c>
      <c r="O949" s="78">
        <f>+M949</f>
        <v>390000</v>
      </c>
    </row>
    <row r="950" spans="1:15" ht="13.5" customHeight="1" thickBot="1">
      <c r="A950" s="882"/>
      <c r="B950" s="876"/>
      <c r="C950" s="878"/>
      <c r="D950" s="882"/>
      <c r="E950" s="882"/>
      <c r="F950" s="884"/>
      <c r="G950" s="56">
        <v>721</v>
      </c>
      <c r="H950" s="882"/>
      <c r="I950" s="876"/>
      <c r="J950" s="878"/>
      <c r="K950" s="882"/>
      <c r="L950" s="882"/>
      <c r="M950" s="884"/>
      <c r="N950" s="56">
        <v>721</v>
      </c>
      <c r="O950" s="79">
        <f>+M949-O949</f>
        <v>0</v>
      </c>
    </row>
    <row r="951" spans="1:15" ht="15" customHeight="1">
      <c r="A951" s="881"/>
      <c r="B951" s="875"/>
      <c r="C951" s="881"/>
      <c r="D951" s="881"/>
      <c r="E951" s="881"/>
      <c r="F951" s="883"/>
      <c r="G951" s="55">
        <v>719</v>
      </c>
      <c r="H951" s="873" t="s">
        <v>1607</v>
      </c>
      <c r="I951" s="875">
        <v>45649</v>
      </c>
      <c r="J951" s="877" t="s">
        <v>120</v>
      </c>
      <c r="K951" s="881" t="s">
        <v>2729</v>
      </c>
      <c r="L951" s="881" t="s">
        <v>115</v>
      </c>
      <c r="M951" s="883">
        <v>1201500</v>
      </c>
      <c r="N951" s="55">
        <v>719</v>
      </c>
      <c r="O951" s="78">
        <v>890000</v>
      </c>
    </row>
    <row r="952" spans="1:15" ht="13.5" customHeight="1" thickBot="1">
      <c r="A952" s="882"/>
      <c r="B952" s="876"/>
      <c r="C952" s="882"/>
      <c r="D952" s="882"/>
      <c r="E952" s="882"/>
      <c r="F952" s="884"/>
      <c r="G952" s="56">
        <v>721</v>
      </c>
      <c r="H952" s="882"/>
      <c r="I952" s="876"/>
      <c r="J952" s="878"/>
      <c r="K952" s="882"/>
      <c r="L952" s="882"/>
      <c r="M952" s="884"/>
      <c r="N952" s="56">
        <v>721</v>
      </c>
      <c r="O952" s="79">
        <f>+M951-O951</f>
        <v>311500</v>
      </c>
    </row>
    <row r="953" spans="1:15" ht="14.25" customHeight="1">
      <c r="A953" s="251"/>
      <c r="B953" s="252"/>
      <c r="C953" s="251"/>
      <c r="D953" s="251"/>
      <c r="E953" s="251"/>
      <c r="F953" s="254"/>
      <c r="G953" s="255"/>
      <c r="H953" s="873" t="s">
        <v>2725</v>
      </c>
      <c r="I953" s="875">
        <v>45649</v>
      </c>
      <c r="J953" s="877" t="s">
        <v>120</v>
      </c>
      <c r="K953" s="881" t="s">
        <v>2729</v>
      </c>
      <c r="L953" s="881" t="s">
        <v>115</v>
      </c>
      <c r="M953" s="883">
        <v>1080000</v>
      </c>
      <c r="N953" s="55">
        <v>719</v>
      </c>
      <c r="O953" s="78">
        <v>800000</v>
      </c>
    </row>
    <row r="954" spans="1:15" ht="14.25" customHeight="1" thickBot="1">
      <c r="A954" s="251"/>
      <c r="B954" s="252"/>
      <c r="C954" s="251"/>
      <c r="D954" s="251"/>
      <c r="E954" s="251"/>
      <c r="F954" s="254"/>
      <c r="G954" s="255"/>
      <c r="H954" s="882"/>
      <c r="I954" s="876"/>
      <c r="J954" s="878"/>
      <c r="K954" s="882"/>
      <c r="L954" s="882"/>
      <c r="M954" s="884"/>
      <c r="N954" s="56">
        <v>721</v>
      </c>
      <c r="O954" s="79">
        <f>+M953-O953</f>
        <v>280000</v>
      </c>
    </row>
    <row r="955" spans="1:15" ht="15" customHeight="1">
      <c r="A955" s="881"/>
      <c r="B955" s="875"/>
      <c r="C955" s="877"/>
      <c r="D955" s="881"/>
      <c r="E955" s="881"/>
      <c r="F955" s="883"/>
      <c r="G955" s="55">
        <v>719</v>
      </c>
      <c r="H955" s="873" t="s">
        <v>2726</v>
      </c>
      <c r="I955" s="875">
        <v>45649</v>
      </c>
      <c r="J955" s="877" t="s">
        <v>1984</v>
      </c>
      <c r="K955" s="881" t="s">
        <v>2710</v>
      </c>
      <c r="L955" s="881" t="s">
        <v>148</v>
      </c>
      <c r="M955" s="883">
        <v>490000</v>
      </c>
      <c r="N955" s="55">
        <v>719</v>
      </c>
      <c r="O955" s="78">
        <v>490000</v>
      </c>
    </row>
    <row r="956" spans="1:15" ht="12" customHeight="1" thickBot="1">
      <c r="A956" s="882"/>
      <c r="B956" s="876"/>
      <c r="C956" s="878"/>
      <c r="D956" s="882"/>
      <c r="E956" s="882"/>
      <c r="F956" s="884"/>
      <c r="G956" s="56">
        <v>721</v>
      </c>
      <c r="H956" s="882"/>
      <c r="I956" s="876"/>
      <c r="J956" s="878"/>
      <c r="K956" s="882"/>
      <c r="L956" s="882"/>
      <c r="M956" s="884"/>
      <c r="N956" s="56">
        <v>721</v>
      </c>
      <c r="O956" s="79">
        <f>+M955-O955</f>
        <v>0</v>
      </c>
    </row>
    <row r="957" spans="1:15" ht="12" customHeight="1">
      <c r="A957" s="881"/>
      <c r="B957" s="875"/>
      <c r="C957" s="881"/>
      <c r="D957" s="881"/>
      <c r="E957" s="881"/>
      <c r="F957" s="883"/>
      <c r="G957" s="55">
        <v>719</v>
      </c>
      <c r="H957" s="873" t="s">
        <v>816</v>
      </c>
      <c r="I957" s="875">
        <v>45649</v>
      </c>
      <c r="J957" s="877" t="s">
        <v>1984</v>
      </c>
      <c r="K957" s="881" t="s">
        <v>2727</v>
      </c>
      <c r="L957" s="881" t="s">
        <v>115</v>
      </c>
      <c r="M957" s="883">
        <v>702000</v>
      </c>
      <c r="N957" s="55">
        <v>719</v>
      </c>
      <c r="O957" s="78">
        <v>520000</v>
      </c>
    </row>
    <row r="958" spans="1:15" ht="13.5" customHeight="1" thickBot="1">
      <c r="A958" s="882"/>
      <c r="B958" s="876"/>
      <c r="C958" s="882"/>
      <c r="D958" s="882"/>
      <c r="E958" s="882"/>
      <c r="F958" s="884"/>
      <c r="G958" s="56">
        <v>721</v>
      </c>
      <c r="H958" s="882"/>
      <c r="I958" s="876"/>
      <c r="J958" s="878"/>
      <c r="K958" s="882"/>
      <c r="L958" s="882"/>
      <c r="M958" s="884"/>
      <c r="N958" s="56">
        <v>721</v>
      </c>
      <c r="O958" s="79">
        <f>+M957-O957</f>
        <v>182000</v>
      </c>
    </row>
    <row r="959" spans="1:15" ht="16.5" thickBot="1">
      <c r="A959" s="881"/>
      <c r="B959" s="875"/>
      <c r="C959" s="877"/>
      <c r="D959" s="881"/>
      <c r="E959" s="881"/>
      <c r="F959" s="883"/>
      <c r="G959" s="55">
        <v>719</v>
      </c>
      <c r="H959" s="901" t="s">
        <v>102</v>
      </c>
      <c r="I959" s="902"/>
      <c r="J959" s="902"/>
      <c r="K959" s="902"/>
      <c r="L959" s="903"/>
      <c r="M959" s="81">
        <f>SUM(M947:M958)</f>
        <v>4353500</v>
      </c>
    </row>
    <row r="960" spans="1:15" ht="16.5" thickBot="1">
      <c r="A960" s="882"/>
      <c r="B960" s="876"/>
      <c r="C960" s="878"/>
      <c r="D960" s="882"/>
      <c r="E960" s="882"/>
      <c r="F960" s="884"/>
      <c r="G960" s="56">
        <v>721</v>
      </c>
      <c r="H960" s="885" t="s">
        <v>103</v>
      </c>
      <c r="I960" s="886"/>
      <c r="J960" s="886"/>
      <c r="K960" s="886"/>
      <c r="L960" s="887"/>
      <c r="M960" s="239">
        <f>+M922</f>
        <v>408670490</v>
      </c>
      <c r="N960" s="241" t="s">
        <v>561</v>
      </c>
      <c r="O960" s="242">
        <f>820+1021+1562+1886+624+640</f>
        <v>6553</v>
      </c>
    </row>
    <row r="961" spans="1:15" ht="16.5" thickBot="1">
      <c r="A961" s="901" t="s">
        <v>102</v>
      </c>
      <c r="B961" s="902"/>
      <c r="C961" s="902"/>
      <c r="D961" s="902"/>
      <c r="E961" s="903"/>
      <c r="F961" s="81">
        <f>SUM(F949:F960)</f>
        <v>1764708</v>
      </c>
      <c r="H961" s="888" t="s">
        <v>104</v>
      </c>
      <c r="I961" s="889"/>
      <c r="J961" s="889"/>
      <c r="K961" s="889"/>
      <c r="L961" s="890"/>
      <c r="M961" s="183">
        <f>SUM(M959:M960)</f>
        <v>413023990</v>
      </c>
    </row>
    <row r="962" spans="1:15" ht="6" customHeight="1" thickBot="1">
      <c r="A962" s="885" t="s">
        <v>103</v>
      </c>
      <c r="B962" s="886"/>
      <c r="C962" s="886"/>
      <c r="D962" s="886"/>
      <c r="E962" s="887"/>
      <c r="F962" s="69" t="e">
        <f>+F924</f>
        <v>#REF!</v>
      </c>
      <c r="H962" s="61"/>
      <c r="I962" s="61"/>
      <c r="J962" s="61"/>
      <c r="K962" s="61"/>
      <c r="L962" s="61"/>
    </row>
    <row r="963" spans="1:15" ht="16.5" thickBot="1">
      <c r="A963" s="888" t="s">
        <v>104</v>
      </c>
      <c r="B963" s="889"/>
      <c r="C963" s="889"/>
      <c r="D963" s="889"/>
      <c r="E963" s="890"/>
      <c r="F963" s="183" t="e">
        <f>SUM(F961:F962)</f>
        <v>#REF!</v>
      </c>
      <c r="H963" s="51" t="s">
        <v>2730</v>
      </c>
    </row>
    <row r="964" spans="1:15" ht="5.25" customHeight="1">
      <c r="A964" s="61"/>
      <c r="B964" s="61"/>
      <c r="C964" s="61"/>
      <c r="D964" s="61"/>
      <c r="E964" s="61"/>
      <c r="M964" s="139"/>
    </row>
    <row r="965" spans="1:15">
      <c r="A965" s="51" t="s">
        <v>461</v>
      </c>
      <c r="H965" s="50" t="s">
        <v>105</v>
      </c>
      <c r="K965" s="146"/>
      <c r="M965" s="139"/>
    </row>
    <row r="966" spans="1:15" ht="6.75" customHeight="1" thickBot="1">
      <c r="F966" s="139"/>
    </row>
    <row r="967" spans="1:15" ht="15.75" thickBot="1">
      <c r="A967" s="50" t="s">
        <v>105</v>
      </c>
      <c r="D967" s="146"/>
      <c r="F967" s="139"/>
      <c r="H967" s="891" t="s">
        <v>106</v>
      </c>
      <c r="I967" s="892"/>
      <c r="J967" s="892"/>
      <c r="K967" s="893"/>
      <c r="M967" s="50" t="s">
        <v>288</v>
      </c>
    </row>
    <row r="968" spans="1:15" ht="12.75" customHeight="1" thickBot="1">
      <c r="H968" s="57" t="s">
        <v>100</v>
      </c>
      <c r="I968" s="58"/>
      <c r="J968" s="59" t="s">
        <v>109</v>
      </c>
      <c r="K968" s="60" t="s">
        <v>110</v>
      </c>
    </row>
    <row r="969" spans="1:15" ht="13.5" customHeight="1" thickBot="1">
      <c r="A969" s="891" t="s">
        <v>106</v>
      </c>
      <c r="B969" s="892"/>
      <c r="C969" s="892"/>
      <c r="D969" s="893"/>
      <c r="F969" s="50" t="s">
        <v>288</v>
      </c>
      <c r="H969" s="71">
        <v>719</v>
      </c>
      <c r="I969" s="73">
        <f>+O947+O951+O955+O957+O953+O949</f>
        <v>3580000</v>
      </c>
      <c r="J969" s="74">
        <f>+K930</f>
        <v>28500000</v>
      </c>
      <c r="K969" s="195">
        <f>+I969+J969</f>
        <v>32080000</v>
      </c>
    </row>
    <row r="970" spans="1:15" ht="13.5" customHeight="1" thickBot="1">
      <c r="A970" s="57" t="s">
        <v>100</v>
      </c>
      <c r="B970" s="58" t="s">
        <v>108</v>
      </c>
      <c r="C970" s="59" t="s">
        <v>109</v>
      </c>
      <c r="D970" s="60" t="s">
        <v>110</v>
      </c>
      <c r="H970" s="72">
        <v>721</v>
      </c>
      <c r="I970" s="80">
        <f>+O948+O950+O952+O956+O958+O954</f>
        <v>773500</v>
      </c>
      <c r="J970" s="74">
        <f>+K931</f>
        <v>6758500</v>
      </c>
      <c r="K970" s="195">
        <f>+I970+J970</f>
        <v>7532000</v>
      </c>
    </row>
    <row r="971" spans="1:15" ht="12.75" hidden="1" customHeight="1">
      <c r="A971" s="71">
        <v>719</v>
      </c>
      <c r="B971" s="73">
        <f>0</f>
        <v>0</v>
      </c>
      <c r="C971" s="74" t="e">
        <f>+D932</f>
        <v>#REF!</v>
      </c>
      <c r="D971" s="195" t="e">
        <f>+B971+C971</f>
        <v>#REF!</v>
      </c>
      <c r="H971" s="72">
        <v>722</v>
      </c>
      <c r="I971" s="80"/>
      <c r="J971" s="74">
        <f>+K932</f>
        <v>0</v>
      </c>
      <c r="K971" s="195">
        <f>+I971+J971</f>
        <v>0</v>
      </c>
    </row>
    <row r="972" spans="1:15" ht="14.25" customHeight="1" thickBot="1">
      <c r="A972" s="72">
        <v>721</v>
      </c>
      <c r="B972" s="80" t="e">
        <f>+#REF!</f>
        <v>#REF!</v>
      </c>
      <c r="C972" s="74" t="e">
        <f>+D933</f>
        <v>#REF!</v>
      </c>
      <c r="D972" s="195" t="e">
        <f>+B972+C972</f>
        <v>#REF!</v>
      </c>
      <c r="H972" s="72">
        <v>723</v>
      </c>
      <c r="I972" s="80"/>
      <c r="J972" s="74">
        <f>+K933</f>
        <v>373411990</v>
      </c>
      <c r="K972" s="195">
        <f>+I972+J972</f>
        <v>373411990</v>
      </c>
      <c r="M972" s="918"/>
      <c r="N972" s="918"/>
      <c r="O972" s="918"/>
    </row>
    <row r="973" spans="1:15" ht="13.5" hidden="1" customHeight="1" thickBot="1">
      <c r="A973" s="72">
        <v>722</v>
      </c>
      <c r="B973" s="80"/>
      <c r="C973" s="74" t="e">
        <f>+D934</f>
        <v>#REF!</v>
      </c>
      <c r="D973" s="195" t="e">
        <f>+B973+C973</f>
        <v>#REF!</v>
      </c>
      <c r="H973" s="164" t="s">
        <v>181</v>
      </c>
      <c r="I973" s="165"/>
      <c r="J973" s="74">
        <f>+K934</f>
        <v>0</v>
      </c>
      <c r="K973" s="196">
        <f>+I973+J973</f>
        <v>0</v>
      </c>
      <c r="M973" s="52"/>
    </row>
    <row r="974" spans="1:15" ht="15" customHeight="1" thickBot="1">
      <c r="A974" s="72">
        <v>723</v>
      </c>
      <c r="B974" s="80" t="e">
        <f>+#REF!</f>
        <v>#REF!</v>
      </c>
      <c r="C974" s="74" t="e">
        <f>+D935</f>
        <v>#REF!</v>
      </c>
      <c r="D974" s="195" t="e">
        <f>+B974+C974</f>
        <v>#REF!</v>
      </c>
      <c r="F974" s="174" t="s">
        <v>23</v>
      </c>
      <c r="G974" s="175"/>
      <c r="H974" s="169"/>
      <c r="I974" s="197">
        <f>SUM(I969:I973)</f>
        <v>4353500</v>
      </c>
      <c r="J974" s="197">
        <f>SUM(J969:J973)</f>
        <v>408670490</v>
      </c>
      <c r="K974" s="198">
        <f>SUM(K969:K973)</f>
        <v>413023990</v>
      </c>
    </row>
    <row r="975" spans="1:15" ht="15" customHeight="1" thickBot="1">
      <c r="A975" s="164" t="s">
        <v>181</v>
      </c>
      <c r="B975" s="165"/>
      <c r="C975" s="74" t="e">
        <f>+D936</f>
        <v>#REF!</v>
      </c>
      <c r="D975" s="196" t="e">
        <f>+B975+C975</f>
        <v>#REF!</v>
      </c>
      <c r="F975" s="52"/>
      <c r="H975" s="49" t="s">
        <v>88</v>
      </c>
      <c r="I975" s="50"/>
    </row>
    <row r="976" spans="1:15" ht="14.25" customHeight="1" thickBot="1">
      <c r="A976" s="169"/>
      <c r="B976" s="170" t="e">
        <f>SUM(B971:B975)</f>
        <v>#REF!</v>
      </c>
      <c r="C976" s="171" t="e">
        <f>SUM(C971:C975)</f>
        <v>#REF!</v>
      </c>
      <c r="D976" s="172" t="e">
        <f>SUM(D971:D975)</f>
        <v>#REF!</v>
      </c>
      <c r="H976" s="51" t="s">
        <v>89</v>
      </c>
    </row>
    <row r="977" spans="1:15" ht="14.25" customHeight="1">
      <c r="A977" s="49" t="s">
        <v>88</v>
      </c>
      <c r="B977" s="50"/>
      <c r="H977" s="51" t="s">
        <v>90</v>
      </c>
    </row>
    <row r="978" spans="1:15">
      <c r="A978" s="51" t="s">
        <v>89</v>
      </c>
      <c r="H978" s="51" t="s">
        <v>91</v>
      </c>
    </row>
    <row r="979" spans="1:15" ht="5.25" customHeight="1">
      <c r="A979" s="51" t="s">
        <v>90</v>
      </c>
      <c r="H979" s="50"/>
      <c r="I979" s="50"/>
    </row>
    <row r="980" spans="1:15" ht="15" customHeight="1">
      <c r="A980" s="51" t="s">
        <v>91</v>
      </c>
      <c r="H980" s="52" t="s">
        <v>814</v>
      </c>
      <c r="N980" s="52"/>
    </row>
    <row r="981" spans="1:15" ht="15.75" customHeight="1">
      <c r="A981" s="50"/>
      <c r="B981" s="50"/>
      <c r="H981" s="53" t="s">
        <v>2443</v>
      </c>
      <c r="N981" s="53"/>
    </row>
    <row r="982" spans="1:15" ht="16.5">
      <c r="A982" s="52" t="s">
        <v>463</v>
      </c>
      <c r="G982" s="52"/>
      <c r="H982" s="894" t="s">
        <v>2735</v>
      </c>
      <c r="I982" s="894"/>
      <c r="J982" s="894"/>
      <c r="K982" s="894"/>
      <c r="L982" s="894"/>
      <c r="M982" s="894"/>
      <c r="N982" s="894"/>
      <c r="O982" s="894"/>
    </row>
    <row r="983" spans="1:15" ht="7.5" customHeight="1" thickBot="1">
      <c r="A983" s="53" t="s">
        <v>92</v>
      </c>
      <c r="G983" s="53"/>
    </row>
    <row r="984" spans="1:15" ht="16.5">
      <c r="A984" s="894" t="s">
        <v>462</v>
      </c>
      <c r="B984" s="894"/>
      <c r="C984" s="894"/>
      <c r="D984" s="894"/>
      <c r="E984" s="894"/>
      <c r="F984" s="894"/>
      <c r="G984" s="894"/>
      <c r="H984" s="895" t="s">
        <v>94</v>
      </c>
      <c r="I984" s="897" t="s">
        <v>95</v>
      </c>
      <c r="J984" s="897" t="s">
        <v>96</v>
      </c>
      <c r="K984" s="897" t="s">
        <v>3</v>
      </c>
      <c r="L984" s="897" t="s">
        <v>97</v>
      </c>
      <c r="M984" s="897" t="s">
        <v>98</v>
      </c>
      <c r="N984" s="897" t="s">
        <v>99</v>
      </c>
      <c r="O984" s="899"/>
    </row>
    <row r="985" spans="1:15" ht="15.75" thickBot="1">
      <c r="H985" s="896"/>
      <c r="I985" s="898"/>
      <c r="J985" s="898"/>
      <c r="K985" s="898"/>
      <c r="L985" s="898"/>
      <c r="M985" s="898"/>
      <c r="N985" s="240" t="s">
        <v>100</v>
      </c>
      <c r="O985" s="182" t="s">
        <v>101</v>
      </c>
    </row>
    <row r="986" spans="1:15" ht="12.75" customHeight="1">
      <c r="A986" s="895" t="s">
        <v>94</v>
      </c>
      <c r="B986" s="897" t="s">
        <v>95</v>
      </c>
      <c r="C986" s="897" t="s">
        <v>96</v>
      </c>
      <c r="D986" s="897" t="s">
        <v>3</v>
      </c>
      <c r="E986" s="897" t="s">
        <v>97</v>
      </c>
      <c r="F986" s="897" t="s">
        <v>98</v>
      </c>
      <c r="G986" s="500" t="s">
        <v>99</v>
      </c>
      <c r="H986" s="873" t="s">
        <v>1608</v>
      </c>
      <c r="I986" s="875">
        <v>45649</v>
      </c>
      <c r="J986" s="881" t="s">
        <v>1079</v>
      </c>
      <c r="K986" s="881" t="s">
        <v>2731</v>
      </c>
      <c r="L986" s="881" t="s">
        <v>148</v>
      </c>
      <c r="M986" s="883">
        <v>500000</v>
      </c>
      <c r="N986" s="55">
        <v>719</v>
      </c>
      <c r="O986" s="78">
        <v>500000</v>
      </c>
    </row>
    <row r="987" spans="1:15" ht="12.75" customHeight="1" thickBot="1">
      <c r="A987" s="896"/>
      <c r="B987" s="898"/>
      <c r="C987" s="898"/>
      <c r="D987" s="898"/>
      <c r="E987" s="898"/>
      <c r="F987" s="898"/>
      <c r="G987" s="240" t="s">
        <v>100</v>
      </c>
      <c r="H987" s="874"/>
      <c r="I987" s="876"/>
      <c r="J987" s="882"/>
      <c r="K987" s="882"/>
      <c r="L987" s="882"/>
      <c r="M987" s="884"/>
      <c r="N987" s="56">
        <v>721</v>
      </c>
      <c r="O987" s="79">
        <f>+M986-O986</f>
        <v>0</v>
      </c>
    </row>
    <row r="988" spans="1:15" ht="13.5" customHeight="1">
      <c r="A988" s="881" t="e">
        <f>+A949+1</f>
        <v>#REF!</v>
      </c>
      <c r="B988" s="875">
        <v>42332</v>
      </c>
      <c r="C988" s="877" t="s">
        <v>272</v>
      </c>
      <c r="D988" s="881" t="s">
        <v>467</v>
      </c>
      <c r="E988" s="881" t="s">
        <v>115</v>
      </c>
      <c r="F988" s="883">
        <v>120000</v>
      </c>
      <c r="G988" s="55">
        <v>719</v>
      </c>
      <c r="H988" s="881">
        <f>+H986+1</f>
        <v>127</v>
      </c>
      <c r="I988" s="875">
        <v>45649</v>
      </c>
      <c r="J988" s="881" t="s">
        <v>1079</v>
      </c>
      <c r="K988" s="881" t="s">
        <v>2732</v>
      </c>
      <c r="L988" s="881" t="s">
        <v>148</v>
      </c>
      <c r="M988" s="883">
        <v>500000</v>
      </c>
      <c r="N988" s="55">
        <v>719</v>
      </c>
      <c r="O988" s="78">
        <v>500000</v>
      </c>
    </row>
    <row r="989" spans="1:15" ht="13.5" customHeight="1" thickBot="1">
      <c r="A989" s="882"/>
      <c r="B989" s="876"/>
      <c r="C989" s="878"/>
      <c r="D989" s="882"/>
      <c r="E989" s="882"/>
      <c r="F989" s="884"/>
      <c r="G989" s="56">
        <v>721</v>
      </c>
      <c r="H989" s="882"/>
      <c r="I989" s="876"/>
      <c r="J989" s="882"/>
      <c r="K989" s="882"/>
      <c r="L989" s="882"/>
      <c r="M989" s="884"/>
      <c r="N989" s="56">
        <v>721</v>
      </c>
      <c r="O989" s="79">
        <f>+M988-O988</f>
        <v>0</v>
      </c>
    </row>
    <row r="990" spans="1:15" ht="15" customHeight="1">
      <c r="A990" s="881" t="e">
        <f>+A988+1</f>
        <v>#REF!</v>
      </c>
      <c r="B990" s="875">
        <v>42332</v>
      </c>
      <c r="C990" s="881" t="s">
        <v>28</v>
      </c>
      <c r="D990" s="881" t="s">
        <v>466</v>
      </c>
      <c r="E990" s="881" t="s">
        <v>115</v>
      </c>
      <c r="F990" s="883">
        <v>50000</v>
      </c>
      <c r="G990" s="55">
        <v>719</v>
      </c>
      <c r="H990" s="881">
        <f>+H988+1</f>
        <v>128</v>
      </c>
      <c r="I990" s="875">
        <v>45649</v>
      </c>
      <c r="J990" s="881" t="s">
        <v>1079</v>
      </c>
      <c r="K990" s="881" t="s">
        <v>2733</v>
      </c>
      <c r="L990" s="881" t="s">
        <v>148</v>
      </c>
      <c r="M990" s="883">
        <v>510000</v>
      </c>
      <c r="N990" s="55">
        <v>719</v>
      </c>
      <c r="O990" s="78">
        <v>510000</v>
      </c>
    </row>
    <row r="991" spans="1:15" ht="10.5" customHeight="1" thickBot="1">
      <c r="A991" s="882"/>
      <c r="B991" s="876"/>
      <c r="C991" s="882"/>
      <c r="D991" s="882"/>
      <c r="E991" s="882"/>
      <c r="F991" s="884"/>
      <c r="G991" s="56">
        <v>721</v>
      </c>
      <c r="H991" s="882"/>
      <c r="I991" s="876"/>
      <c r="J991" s="882"/>
      <c r="K991" s="882"/>
      <c r="L991" s="882"/>
      <c r="M991" s="884"/>
      <c r="N991" s="56">
        <v>721</v>
      </c>
      <c r="O991" s="79">
        <f>+M990-O990</f>
        <v>0</v>
      </c>
    </row>
    <row r="992" spans="1:15" ht="11.25" customHeight="1">
      <c r="A992" s="251"/>
      <c r="B992" s="252"/>
      <c r="C992" s="251"/>
      <c r="D992" s="251"/>
      <c r="E992" s="251"/>
      <c r="F992" s="254"/>
      <c r="G992" s="255"/>
      <c r="H992" s="881">
        <f>+H990+1</f>
        <v>129</v>
      </c>
      <c r="I992" s="875">
        <v>45649</v>
      </c>
      <c r="J992" s="881" t="s">
        <v>1079</v>
      </c>
      <c r="K992" s="881" t="s">
        <v>2734</v>
      </c>
      <c r="L992" s="881" t="s">
        <v>148</v>
      </c>
      <c r="M992" s="883">
        <v>520000</v>
      </c>
      <c r="N992" s="55">
        <v>719</v>
      </c>
      <c r="O992" s="78">
        <v>520000</v>
      </c>
    </row>
    <row r="993" spans="1:15" ht="12" customHeight="1" thickBot="1">
      <c r="A993" s="251"/>
      <c r="B993" s="252"/>
      <c r="C993" s="251"/>
      <c r="D993" s="251"/>
      <c r="E993" s="251"/>
      <c r="F993" s="254"/>
      <c r="G993" s="255"/>
      <c r="H993" s="882"/>
      <c r="I993" s="876"/>
      <c r="J993" s="882"/>
      <c r="K993" s="882"/>
      <c r="L993" s="882"/>
      <c r="M993" s="884"/>
      <c r="N993" s="56">
        <v>721</v>
      </c>
      <c r="O993" s="79">
        <f>+M992-O992</f>
        <v>0</v>
      </c>
    </row>
    <row r="994" spans="1:15" ht="12" customHeight="1">
      <c r="A994" s="251"/>
      <c r="B994" s="252"/>
      <c r="C994" s="251"/>
      <c r="D994" s="251"/>
      <c r="E994" s="251"/>
      <c r="F994" s="254"/>
      <c r="G994" s="255"/>
      <c r="H994" s="881">
        <f>+H992+1</f>
        <v>130</v>
      </c>
      <c r="I994" s="875">
        <v>45649</v>
      </c>
      <c r="J994" s="881" t="s">
        <v>2408</v>
      </c>
      <c r="K994" s="881" t="s">
        <v>2729</v>
      </c>
      <c r="L994" s="881" t="s">
        <v>115</v>
      </c>
      <c r="M994" s="883">
        <v>661500</v>
      </c>
      <c r="N994" s="55">
        <v>719</v>
      </c>
      <c r="O994" s="78">
        <v>490000</v>
      </c>
    </row>
    <row r="995" spans="1:15" ht="15.75" customHeight="1" thickBot="1">
      <c r="A995" s="251"/>
      <c r="B995" s="252"/>
      <c r="C995" s="251"/>
      <c r="D995" s="251"/>
      <c r="E995" s="251"/>
      <c r="F995" s="254"/>
      <c r="G995" s="255"/>
      <c r="H995" s="882"/>
      <c r="I995" s="876"/>
      <c r="J995" s="882"/>
      <c r="K995" s="882"/>
      <c r="L995" s="882"/>
      <c r="M995" s="884"/>
      <c r="N995" s="56">
        <v>721</v>
      </c>
      <c r="O995" s="79">
        <f>+M994-O994</f>
        <v>171500</v>
      </c>
    </row>
    <row r="996" spans="1:15" ht="13.5" customHeight="1">
      <c r="A996" s="881" t="e">
        <f>+A990+1</f>
        <v>#REF!</v>
      </c>
      <c r="B996" s="875">
        <v>42332</v>
      </c>
      <c r="C996" s="877" t="s">
        <v>32</v>
      </c>
      <c r="D996" s="881" t="s">
        <v>465</v>
      </c>
      <c r="E996" s="881" t="s">
        <v>115</v>
      </c>
      <c r="F996" s="883">
        <v>20000</v>
      </c>
      <c r="G996" s="55">
        <v>719</v>
      </c>
      <c r="H996" s="873" t="s">
        <v>2003</v>
      </c>
      <c r="I996" s="875">
        <v>45649</v>
      </c>
      <c r="J996" s="881" t="s">
        <v>1079</v>
      </c>
      <c r="K996" s="881" t="s">
        <v>2445</v>
      </c>
      <c r="L996" s="881" t="s">
        <v>148</v>
      </c>
      <c r="M996" s="883">
        <v>-46252500</v>
      </c>
      <c r="N996" s="55">
        <v>719</v>
      </c>
      <c r="O996" s="78"/>
    </row>
    <row r="997" spans="1:15" ht="16.5" customHeight="1" thickBot="1">
      <c r="A997" s="882"/>
      <c r="B997" s="876"/>
      <c r="C997" s="878"/>
      <c r="D997" s="882"/>
      <c r="E997" s="882"/>
      <c r="F997" s="884"/>
      <c r="G997" s="56">
        <v>721</v>
      </c>
      <c r="H997" s="874"/>
      <c r="I997" s="876"/>
      <c r="J997" s="882"/>
      <c r="K997" s="882"/>
      <c r="L997" s="882"/>
      <c r="M997" s="884"/>
      <c r="N997" s="56">
        <v>723</v>
      </c>
      <c r="O997" s="79">
        <f>+M996-O996</f>
        <v>-46252500</v>
      </c>
    </row>
    <row r="998" spans="1:15" ht="16.5" thickBot="1">
      <c r="A998" s="881"/>
      <c r="B998" s="875"/>
      <c r="C998" s="877"/>
      <c r="D998" s="881"/>
      <c r="E998" s="881"/>
      <c r="F998" s="883"/>
      <c r="G998" s="55">
        <v>719</v>
      </c>
      <c r="H998" s="901" t="s">
        <v>102</v>
      </c>
      <c r="I998" s="902"/>
      <c r="J998" s="902"/>
      <c r="K998" s="902"/>
      <c r="L998" s="903"/>
      <c r="M998" s="81">
        <f>SUM(M986:M997)</f>
        <v>-43561000</v>
      </c>
    </row>
    <row r="999" spans="1:15" ht="16.5" thickBot="1">
      <c r="A999" s="882"/>
      <c r="B999" s="876"/>
      <c r="C999" s="878"/>
      <c r="D999" s="882"/>
      <c r="E999" s="882"/>
      <c r="F999" s="884"/>
      <c r="G999" s="56">
        <v>721</v>
      </c>
      <c r="H999" s="885" t="s">
        <v>103</v>
      </c>
      <c r="I999" s="886"/>
      <c r="J999" s="886"/>
      <c r="K999" s="886"/>
      <c r="L999" s="887"/>
      <c r="M999" s="239">
        <f>+M961</f>
        <v>413023990</v>
      </c>
      <c r="N999" s="241" t="s">
        <v>561</v>
      </c>
      <c r="O999" s="242">
        <f>830+347+372+127+346</f>
        <v>2022</v>
      </c>
    </row>
    <row r="1000" spans="1:15" ht="16.5" thickBot="1">
      <c r="A1000" s="901" t="s">
        <v>102</v>
      </c>
      <c r="B1000" s="902"/>
      <c r="C1000" s="902"/>
      <c r="D1000" s="902"/>
      <c r="E1000" s="903"/>
      <c r="F1000" s="81">
        <f>SUM(F988:F999)</f>
        <v>190000</v>
      </c>
      <c r="H1000" s="888" t="s">
        <v>104</v>
      </c>
      <c r="I1000" s="889"/>
      <c r="J1000" s="889"/>
      <c r="K1000" s="889"/>
      <c r="L1000" s="890"/>
      <c r="M1000" s="183">
        <f>SUM(M998:M999)</f>
        <v>369462990</v>
      </c>
    </row>
    <row r="1001" spans="1:15" ht="5.25" customHeight="1" thickBot="1">
      <c r="A1001" s="885" t="s">
        <v>103</v>
      </c>
      <c r="B1001" s="886"/>
      <c r="C1001" s="886"/>
      <c r="D1001" s="886"/>
      <c r="E1001" s="887"/>
      <c r="F1001" s="69" t="e">
        <f>+F963</f>
        <v>#REF!</v>
      </c>
      <c r="H1001" s="61"/>
      <c r="I1001" s="61"/>
      <c r="J1001" s="61"/>
      <c r="K1001" s="61"/>
      <c r="L1001" s="61"/>
    </row>
    <row r="1002" spans="1:15" ht="16.5" thickBot="1">
      <c r="A1002" s="888" t="s">
        <v>104</v>
      </c>
      <c r="B1002" s="889"/>
      <c r="C1002" s="889"/>
      <c r="D1002" s="889"/>
      <c r="E1002" s="890"/>
      <c r="F1002" s="183" t="e">
        <f>SUM(F1000:F1001)</f>
        <v>#REF!</v>
      </c>
      <c r="H1002" s="51" t="s">
        <v>2736</v>
      </c>
    </row>
    <row r="1003" spans="1:15" ht="5.25" customHeight="1">
      <c r="A1003" s="61"/>
      <c r="B1003" s="61"/>
      <c r="C1003" s="61"/>
      <c r="D1003" s="61"/>
      <c r="E1003" s="61"/>
      <c r="M1003" s="139"/>
    </row>
    <row r="1004" spans="1:15">
      <c r="A1004" s="51" t="s">
        <v>468</v>
      </c>
      <c r="H1004" s="50" t="s">
        <v>105</v>
      </c>
      <c r="K1004" s="146"/>
      <c r="M1004" s="139"/>
    </row>
    <row r="1005" spans="1:15" ht="6" customHeight="1" thickBot="1">
      <c r="F1005" s="139"/>
    </row>
    <row r="1006" spans="1:15" ht="15.75" customHeight="1" thickBot="1">
      <c r="A1006" s="50" t="s">
        <v>105</v>
      </c>
      <c r="D1006" s="146"/>
      <c r="F1006" s="139"/>
      <c r="H1006" s="891" t="s">
        <v>106</v>
      </c>
      <c r="I1006" s="892"/>
      <c r="J1006" s="892"/>
      <c r="K1006" s="893"/>
      <c r="M1006" s="50" t="s">
        <v>288</v>
      </c>
    </row>
    <row r="1007" spans="1:15" ht="12" customHeight="1" thickBot="1">
      <c r="H1007" s="57" t="s">
        <v>100</v>
      </c>
      <c r="I1007" s="58" t="s">
        <v>108</v>
      </c>
      <c r="J1007" s="59" t="s">
        <v>109</v>
      </c>
      <c r="K1007" s="60" t="s">
        <v>110</v>
      </c>
    </row>
    <row r="1008" spans="1:15" ht="14.25" customHeight="1" thickBot="1">
      <c r="A1008" s="891" t="s">
        <v>106</v>
      </c>
      <c r="B1008" s="892"/>
      <c r="C1008" s="892"/>
      <c r="D1008" s="893"/>
      <c r="F1008" s="50" t="s">
        <v>288</v>
      </c>
      <c r="H1008" s="71">
        <v>719</v>
      </c>
      <c r="I1008" s="73">
        <f>+O986+O988+O990+O992+O994+O996</f>
        <v>2520000</v>
      </c>
      <c r="J1008" s="74">
        <f>+K969</f>
        <v>32080000</v>
      </c>
      <c r="K1008" s="195">
        <f>+I1008+J1008</f>
        <v>34600000</v>
      </c>
    </row>
    <row r="1009" spans="1:15" ht="14.25" customHeight="1" thickBot="1">
      <c r="A1009" s="57" t="s">
        <v>100</v>
      </c>
      <c r="B1009" s="58" t="s">
        <v>108</v>
      </c>
      <c r="C1009" s="59" t="s">
        <v>109</v>
      </c>
      <c r="D1009" s="60" t="s">
        <v>110</v>
      </c>
      <c r="H1009" s="72">
        <v>721</v>
      </c>
      <c r="I1009" s="80">
        <f>+O995</f>
        <v>171500</v>
      </c>
      <c r="J1009" s="74">
        <f>+K970</f>
        <v>7532000</v>
      </c>
      <c r="K1009" s="195">
        <f>+I1009+J1009</f>
        <v>7703500</v>
      </c>
    </row>
    <row r="1010" spans="1:15" ht="11.25" hidden="1" customHeight="1">
      <c r="A1010" s="71">
        <v>719</v>
      </c>
      <c r="B1010" s="73" t="e">
        <f>+#REF!+#REF!+#REF!+#REF!</f>
        <v>#REF!</v>
      </c>
      <c r="C1010" s="74" t="e">
        <f>+D971</f>
        <v>#REF!</v>
      </c>
      <c r="D1010" s="195" t="e">
        <f>+B1010+C1010</f>
        <v>#REF!</v>
      </c>
      <c r="H1010" s="72">
        <v>722</v>
      </c>
      <c r="I1010" s="80"/>
      <c r="J1010" s="74">
        <f>+K971</f>
        <v>0</v>
      </c>
      <c r="K1010" s="195">
        <f>+I1010+J1010</f>
        <v>0</v>
      </c>
    </row>
    <row r="1011" spans="1:15" ht="15.75" customHeight="1" thickBot="1">
      <c r="A1011" s="72">
        <v>721</v>
      </c>
      <c r="B1011" s="80" t="e">
        <f>+#REF!</f>
        <v>#REF!</v>
      </c>
      <c r="C1011" s="74" t="e">
        <f>+D972</f>
        <v>#REF!</v>
      </c>
      <c r="D1011" s="195" t="e">
        <f>+B1011+C1011</f>
        <v>#REF!</v>
      </c>
      <c r="H1011" s="72">
        <v>723</v>
      </c>
      <c r="I1011" s="80">
        <f>+O997</f>
        <v>-46252500</v>
      </c>
      <c r="J1011" s="74">
        <f>+K972</f>
        <v>373411990</v>
      </c>
      <c r="K1011" s="195">
        <f>+I1011+J1011</f>
        <v>327159490</v>
      </c>
      <c r="M1011" s="918"/>
      <c r="N1011" s="918"/>
      <c r="O1011" s="918"/>
    </row>
    <row r="1012" spans="1:15" ht="14.25" hidden="1" customHeight="1">
      <c r="A1012" s="72">
        <v>722</v>
      </c>
      <c r="B1012" s="80"/>
      <c r="C1012" s="74" t="e">
        <f>+D973</f>
        <v>#REF!</v>
      </c>
      <c r="D1012" s="195" t="e">
        <f>+B1012+C1012</f>
        <v>#REF!</v>
      </c>
      <c r="H1012" s="164" t="s">
        <v>181</v>
      </c>
      <c r="I1012" s="165"/>
      <c r="J1012" s="74">
        <f>+K973</f>
        <v>0</v>
      </c>
      <c r="K1012" s="196">
        <f>+I1012+J1012</f>
        <v>0</v>
      </c>
      <c r="M1012" s="52"/>
    </row>
    <row r="1013" spans="1:15" ht="16.5" customHeight="1" thickBot="1">
      <c r="A1013" s="72">
        <v>723</v>
      </c>
      <c r="B1013" s="80"/>
      <c r="C1013" s="74" t="e">
        <f>+D974</f>
        <v>#REF!</v>
      </c>
      <c r="D1013" s="195" t="e">
        <f>+B1013+C1013</f>
        <v>#REF!</v>
      </c>
      <c r="F1013" s="174" t="s">
        <v>23</v>
      </c>
      <c r="G1013" s="175"/>
      <c r="H1013" s="169"/>
      <c r="I1013" s="197">
        <f>SUM(I1008:I1012)</f>
        <v>-43561000</v>
      </c>
      <c r="J1013" s="197">
        <f>SUM(J1008:J1012)</f>
        <v>413023990</v>
      </c>
      <c r="K1013" s="198">
        <f>SUM(K1008:K1012)</f>
        <v>369462990</v>
      </c>
    </row>
    <row r="1014" spans="1:15" ht="16.5" customHeight="1" thickBot="1">
      <c r="A1014" s="164" t="s">
        <v>181</v>
      </c>
      <c r="B1014" s="165"/>
      <c r="C1014" s="74" t="e">
        <f>+D975</f>
        <v>#REF!</v>
      </c>
      <c r="D1014" s="196" t="e">
        <f>+B1014+C1014</f>
        <v>#REF!</v>
      </c>
      <c r="F1014" s="52"/>
      <c r="H1014" s="49" t="s">
        <v>88</v>
      </c>
      <c r="I1014" s="50"/>
    </row>
    <row r="1015" spans="1:15" ht="16.5" thickBot="1">
      <c r="A1015" s="169"/>
      <c r="B1015" s="170" t="e">
        <f>SUM(B1010:B1014)</f>
        <v>#REF!</v>
      </c>
      <c r="C1015" s="171" t="e">
        <f>SUM(C1010:C1014)</f>
        <v>#REF!</v>
      </c>
      <c r="D1015" s="172" t="e">
        <f>SUM(D1010:D1014)</f>
        <v>#REF!</v>
      </c>
      <c r="H1015" s="51" t="s">
        <v>89</v>
      </c>
    </row>
    <row r="1016" spans="1:15" ht="16.5">
      <c r="A1016" s="49" t="s">
        <v>88</v>
      </c>
      <c r="B1016" s="50"/>
      <c r="H1016" s="51" t="s">
        <v>90</v>
      </c>
    </row>
    <row r="1017" spans="1:15">
      <c r="A1017" s="51" t="s">
        <v>89</v>
      </c>
      <c r="H1017" s="51" t="s">
        <v>91</v>
      </c>
    </row>
    <row r="1018" spans="1:15" ht="6" customHeight="1">
      <c r="A1018" s="51" t="s">
        <v>90</v>
      </c>
      <c r="H1018" s="50"/>
      <c r="I1018" s="50"/>
    </row>
    <row r="1019" spans="1:15" ht="16.5">
      <c r="A1019" s="51" t="s">
        <v>91</v>
      </c>
      <c r="H1019" s="52" t="s">
        <v>836</v>
      </c>
      <c r="N1019" s="52"/>
    </row>
    <row r="1020" spans="1:15" ht="14.25" customHeight="1">
      <c r="A1020" s="50"/>
      <c r="B1020" s="50"/>
      <c r="H1020" s="53" t="s">
        <v>2443</v>
      </c>
      <c r="N1020" s="53"/>
    </row>
    <row r="1021" spans="1:15" ht="17.25" thickBot="1">
      <c r="A1021" s="52" t="s">
        <v>470</v>
      </c>
      <c r="G1021" s="52"/>
      <c r="H1021" s="894" t="s">
        <v>2741</v>
      </c>
      <c r="I1021" s="894"/>
      <c r="J1021" s="894"/>
      <c r="K1021" s="894"/>
      <c r="L1021" s="894"/>
      <c r="M1021" s="894"/>
      <c r="N1021" s="894"/>
      <c r="O1021" s="894"/>
    </row>
    <row r="1022" spans="1:15" ht="13.5" customHeight="1" thickBot="1">
      <c r="A1022" s="53" t="s">
        <v>92</v>
      </c>
      <c r="G1022" s="53"/>
    </row>
    <row r="1023" spans="1:15" ht="16.5">
      <c r="A1023" s="894" t="s">
        <v>462</v>
      </c>
      <c r="B1023" s="894"/>
      <c r="C1023" s="894"/>
      <c r="D1023" s="894"/>
      <c r="E1023" s="894"/>
      <c r="F1023" s="894"/>
      <c r="G1023" s="894"/>
      <c r="H1023" s="895" t="s">
        <v>94</v>
      </c>
      <c r="I1023" s="897" t="s">
        <v>95</v>
      </c>
      <c r="J1023" s="897" t="s">
        <v>96</v>
      </c>
      <c r="K1023" s="897" t="s">
        <v>3</v>
      </c>
      <c r="L1023" s="897" t="s">
        <v>97</v>
      </c>
      <c r="M1023" s="897" t="s">
        <v>98</v>
      </c>
      <c r="N1023" s="897" t="s">
        <v>99</v>
      </c>
      <c r="O1023" s="899"/>
    </row>
    <row r="1024" spans="1:15" ht="15.75" thickBot="1">
      <c r="H1024" s="896"/>
      <c r="I1024" s="898"/>
      <c r="J1024" s="898"/>
      <c r="K1024" s="898"/>
      <c r="L1024" s="898"/>
      <c r="M1024" s="898"/>
      <c r="N1024" s="240" t="s">
        <v>100</v>
      </c>
      <c r="O1024" s="182" t="s">
        <v>101</v>
      </c>
    </row>
    <row r="1025" spans="1:18" ht="14.25" customHeight="1">
      <c r="A1025" s="895" t="s">
        <v>94</v>
      </c>
      <c r="B1025" s="897" t="s">
        <v>95</v>
      </c>
      <c r="C1025" s="897" t="s">
        <v>96</v>
      </c>
      <c r="D1025" s="897" t="s">
        <v>3</v>
      </c>
      <c r="E1025" s="897" t="s">
        <v>97</v>
      </c>
      <c r="F1025" s="897" t="s">
        <v>98</v>
      </c>
      <c r="G1025" s="500" t="s">
        <v>99</v>
      </c>
      <c r="H1025" s="873" t="s">
        <v>837</v>
      </c>
      <c r="I1025" s="875">
        <v>45652</v>
      </c>
      <c r="J1025" s="910" t="s">
        <v>1650</v>
      </c>
      <c r="K1025" s="881" t="s">
        <v>2445</v>
      </c>
      <c r="L1025" s="881" t="s">
        <v>148</v>
      </c>
      <c r="M1025" s="883">
        <v>5000000</v>
      </c>
      <c r="N1025" s="55">
        <v>723</v>
      </c>
      <c r="O1025" s="78">
        <f>M1025</f>
        <v>5000000</v>
      </c>
    </row>
    <row r="1026" spans="1:18" ht="12" customHeight="1" thickBot="1">
      <c r="A1026" s="896"/>
      <c r="B1026" s="898"/>
      <c r="C1026" s="898"/>
      <c r="D1026" s="898"/>
      <c r="E1026" s="898"/>
      <c r="F1026" s="898"/>
      <c r="G1026" s="240" t="s">
        <v>100</v>
      </c>
      <c r="H1026" s="874"/>
      <c r="I1026" s="876"/>
      <c r="J1026" s="911"/>
      <c r="K1026" s="882"/>
      <c r="L1026" s="882"/>
      <c r="M1026" s="884"/>
      <c r="N1026" s="56">
        <v>721</v>
      </c>
      <c r="O1026" s="79">
        <v>0</v>
      </c>
    </row>
    <row r="1027" spans="1:18" ht="12.75" customHeight="1">
      <c r="A1027" s="881" t="e">
        <f>+A988+1</f>
        <v>#REF!</v>
      </c>
      <c r="B1027" s="875">
        <v>42345</v>
      </c>
      <c r="C1027" s="877" t="s">
        <v>267</v>
      </c>
      <c r="D1027" s="881" t="s">
        <v>475</v>
      </c>
      <c r="E1027" s="881" t="s">
        <v>148</v>
      </c>
      <c r="F1027" s="883">
        <v>420000</v>
      </c>
      <c r="G1027" s="55">
        <v>719</v>
      </c>
      <c r="H1027" s="873" t="s">
        <v>2743</v>
      </c>
      <c r="I1027" s="875">
        <v>45652</v>
      </c>
      <c r="J1027" s="910" t="s">
        <v>117</v>
      </c>
      <c r="K1027" s="881" t="s">
        <v>2445</v>
      </c>
      <c r="L1027" s="881" t="s">
        <v>775</v>
      </c>
      <c r="M1027" s="883">
        <v>870000</v>
      </c>
      <c r="N1027" s="55">
        <v>719</v>
      </c>
      <c r="O1027" s="78">
        <v>0</v>
      </c>
    </row>
    <row r="1028" spans="1:18" ht="13.5" customHeight="1" thickBot="1">
      <c r="A1028" s="882"/>
      <c r="B1028" s="876"/>
      <c r="C1028" s="878"/>
      <c r="D1028" s="882"/>
      <c r="E1028" s="882"/>
      <c r="F1028" s="884"/>
      <c r="G1028" s="56">
        <v>721</v>
      </c>
      <c r="H1028" s="874"/>
      <c r="I1028" s="876"/>
      <c r="J1028" s="911"/>
      <c r="K1028" s="882"/>
      <c r="L1028" s="882"/>
      <c r="M1028" s="884"/>
      <c r="N1028" s="56">
        <v>723</v>
      </c>
      <c r="O1028" s="79">
        <f>+M1027-O1027</f>
        <v>870000</v>
      </c>
    </row>
    <row r="1029" spans="1:18" ht="13.5" customHeight="1">
      <c r="A1029" s="881" t="e">
        <f>+A1027+1</f>
        <v>#REF!</v>
      </c>
      <c r="B1029" s="875">
        <v>42345</v>
      </c>
      <c r="C1029" s="881" t="s">
        <v>28</v>
      </c>
      <c r="D1029" s="881" t="s">
        <v>476</v>
      </c>
      <c r="E1029" s="881" t="s">
        <v>148</v>
      </c>
      <c r="F1029" s="883">
        <v>714000</v>
      </c>
      <c r="G1029" s="55">
        <v>719</v>
      </c>
      <c r="H1029" s="873" t="s">
        <v>2744</v>
      </c>
      <c r="I1029" s="875">
        <v>45652</v>
      </c>
      <c r="J1029" s="881" t="s">
        <v>2753</v>
      </c>
      <c r="K1029" s="881" t="s">
        <v>2445</v>
      </c>
      <c r="L1029" s="881" t="s">
        <v>165</v>
      </c>
      <c r="M1029" s="883">
        <v>1200000</v>
      </c>
      <c r="N1029" s="55">
        <v>719</v>
      </c>
      <c r="O1029" s="78">
        <v>0</v>
      </c>
    </row>
    <row r="1030" spans="1:18" ht="13.5" customHeight="1" thickBot="1">
      <c r="A1030" s="882"/>
      <c r="B1030" s="876"/>
      <c r="C1030" s="882"/>
      <c r="D1030" s="882"/>
      <c r="E1030" s="882"/>
      <c r="F1030" s="884"/>
      <c r="G1030" s="56">
        <v>721</v>
      </c>
      <c r="H1030" s="874"/>
      <c r="I1030" s="876"/>
      <c r="J1030" s="882"/>
      <c r="K1030" s="882"/>
      <c r="L1030" s="882"/>
      <c r="M1030" s="884"/>
      <c r="N1030" s="56">
        <v>723</v>
      </c>
      <c r="O1030" s="79">
        <f>+M1029-O1029</f>
        <v>1200000</v>
      </c>
    </row>
    <row r="1031" spans="1:18" ht="13.5" customHeight="1">
      <c r="A1031" s="881" t="e">
        <f>+A1029+1</f>
        <v>#REF!</v>
      </c>
      <c r="B1031" s="875">
        <v>42345</v>
      </c>
      <c r="C1031" s="877" t="s">
        <v>32</v>
      </c>
      <c r="D1031" s="881" t="s">
        <v>476</v>
      </c>
      <c r="E1031" s="881" t="s">
        <v>148</v>
      </c>
      <c r="F1031" s="883">
        <v>140000</v>
      </c>
      <c r="G1031" s="55">
        <v>719</v>
      </c>
      <c r="H1031" s="873" t="s">
        <v>2745</v>
      </c>
      <c r="I1031" s="875">
        <v>45652</v>
      </c>
      <c r="J1031" s="881" t="s">
        <v>2746</v>
      </c>
      <c r="K1031" s="881" t="s">
        <v>2445</v>
      </c>
      <c r="L1031" s="881" t="s">
        <v>775</v>
      </c>
      <c r="M1031" s="883">
        <v>1008000</v>
      </c>
      <c r="N1031" s="55">
        <v>719</v>
      </c>
      <c r="O1031" s="78">
        <v>0</v>
      </c>
    </row>
    <row r="1032" spans="1:18" ht="12.75" customHeight="1" thickBot="1">
      <c r="A1032" s="882"/>
      <c r="B1032" s="876"/>
      <c r="C1032" s="878"/>
      <c r="D1032" s="882"/>
      <c r="E1032" s="882"/>
      <c r="F1032" s="884"/>
      <c r="G1032" s="56">
        <v>721</v>
      </c>
      <c r="H1032" s="874"/>
      <c r="I1032" s="876"/>
      <c r="J1032" s="882"/>
      <c r="K1032" s="882"/>
      <c r="L1032" s="882"/>
      <c r="M1032" s="884"/>
      <c r="N1032" s="56">
        <v>723</v>
      </c>
      <c r="O1032" s="79">
        <f>+M1031-O1031</f>
        <v>1008000</v>
      </c>
    </row>
    <row r="1033" spans="1:18" ht="16.5" customHeight="1" thickBot="1">
      <c r="A1033" s="881" t="e">
        <f>+#REF!+1</f>
        <v>#REF!</v>
      </c>
      <c r="B1033" s="875">
        <v>42345</v>
      </c>
      <c r="C1033" s="877" t="s">
        <v>272</v>
      </c>
      <c r="D1033" s="881" t="s">
        <v>474</v>
      </c>
      <c r="E1033" s="881" t="s">
        <v>148</v>
      </c>
      <c r="F1033" s="883">
        <v>2058000</v>
      </c>
      <c r="G1033" s="55">
        <v>719</v>
      </c>
      <c r="H1033" s="901" t="s">
        <v>102</v>
      </c>
      <c r="I1033" s="902"/>
      <c r="J1033" s="902"/>
      <c r="K1033" s="902"/>
      <c r="L1033" s="903"/>
      <c r="M1033" s="81">
        <f>SUM(M1025:M1032)</f>
        <v>8078000</v>
      </c>
      <c r="R1033" s="51">
        <f>13500*88</f>
        <v>1188000</v>
      </c>
    </row>
    <row r="1034" spans="1:18" ht="16.5" customHeight="1" thickBot="1">
      <c r="A1034" s="882"/>
      <c r="B1034" s="876"/>
      <c r="C1034" s="878"/>
      <c r="D1034" s="882"/>
      <c r="E1034" s="882"/>
      <c r="F1034" s="884"/>
      <c r="G1034" s="56">
        <v>721</v>
      </c>
      <c r="H1034" s="885" t="s">
        <v>103</v>
      </c>
      <c r="I1034" s="886"/>
      <c r="J1034" s="886"/>
      <c r="K1034" s="886"/>
      <c r="L1034" s="887"/>
      <c r="M1034" s="69">
        <f>+M1000</f>
        <v>369462990</v>
      </c>
      <c r="N1034" s="241" t="s">
        <v>561</v>
      </c>
      <c r="O1034" s="242"/>
    </row>
    <row r="1035" spans="1:18" ht="16.5" thickBot="1">
      <c r="A1035" s="901" t="s">
        <v>102</v>
      </c>
      <c r="B1035" s="902"/>
      <c r="C1035" s="902"/>
      <c r="D1035" s="902"/>
      <c r="E1035" s="903"/>
      <c r="F1035" s="81">
        <f>SUM(F1027:F1034)</f>
        <v>3332000</v>
      </c>
      <c r="H1035" s="888" t="s">
        <v>104</v>
      </c>
      <c r="I1035" s="889"/>
      <c r="J1035" s="889"/>
      <c r="K1035" s="889"/>
      <c r="L1035" s="890"/>
      <c r="M1035" s="183">
        <f>SUM(M1033:M1034)</f>
        <v>377540990</v>
      </c>
    </row>
    <row r="1036" spans="1:18" ht="7.5" customHeight="1" thickBot="1">
      <c r="A1036" s="885" t="s">
        <v>103</v>
      </c>
      <c r="B1036" s="886"/>
      <c r="C1036" s="886"/>
      <c r="D1036" s="886"/>
      <c r="E1036" s="887"/>
      <c r="F1036" s="69" t="e">
        <f>+F1002</f>
        <v>#REF!</v>
      </c>
      <c r="H1036" s="61"/>
      <c r="I1036" s="61"/>
      <c r="J1036" s="61"/>
      <c r="K1036" s="61"/>
      <c r="L1036" s="61"/>
    </row>
    <row r="1037" spans="1:18" ht="16.5" thickBot="1">
      <c r="A1037" s="888" t="s">
        <v>104</v>
      </c>
      <c r="B1037" s="889"/>
      <c r="C1037" s="889"/>
      <c r="D1037" s="889"/>
      <c r="E1037" s="890"/>
      <c r="F1037" s="183" t="e">
        <f>SUM(F1035:F1036)</f>
        <v>#REF!</v>
      </c>
      <c r="H1037" s="51" t="s">
        <v>2752</v>
      </c>
    </row>
    <row r="1038" spans="1:18" ht="11.25" customHeight="1">
      <c r="A1038" s="61"/>
      <c r="B1038" s="61"/>
      <c r="C1038" s="61"/>
      <c r="D1038" s="61"/>
      <c r="E1038" s="61"/>
      <c r="M1038" s="139"/>
    </row>
    <row r="1039" spans="1:18" ht="15.75" customHeight="1">
      <c r="A1039" s="51" t="s">
        <v>477</v>
      </c>
      <c r="H1039" s="50" t="s">
        <v>105</v>
      </c>
      <c r="K1039" s="146"/>
      <c r="M1039" s="139"/>
    </row>
    <row r="1040" spans="1:18" ht="17.25" customHeight="1" thickBot="1">
      <c r="F1040" s="139"/>
    </row>
    <row r="1041" spans="1:15" ht="16.5" customHeight="1" thickBot="1">
      <c r="A1041" s="50" t="s">
        <v>105</v>
      </c>
      <c r="D1041" s="146"/>
      <c r="F1041" s="139"/>
      <c r="H1041" s="891" t="s">
        <v>106</v>
      </c>
      <c r="I1041" s="892"/>
      <c r="J1041" s="892"/>
      <c r="K1041" s="893"/>
      <c r="M1041" s="30" t="s">
        <v>288</v>
      </c>
    </row>
    <row r="1042" spans="1:15" ht="11.25" customHeight="1" thickBot="1">
      <c r="H1042" s="57" t="s">
        <v>100</v>
      </c>
      <c r="I1042" s="58" t="s">
        <v>108</v>
      </c>
      <c r="J1042" s="59" t="s">
        <v>109</v>
      </c>
      <c r="K1042" s="60" t="s">
        <v>110</v>
      </c>
    </row>
    <row r="1043" spans="1:15" ht="14.25" customHeight="1" thickBot="1">
      <c r="A1043" s="891" t="s">
        <v>106</v>
      </c>
      <c r="B1043" s="892"/>
      <c r="C1043" s="892"/>
      <c r="D1043" s="893"/>
      <c r="F1043" s="50" t="s">
        <v>288</v>
      </c>
      <c r="H1043" s="71">
        <v>719</v>
      </c>
      <c r="I1043" s="73"/>
      <c r="J1043" s="74">
        <f>+K1008</f>
        <v>34600000</v>
      </c>
      <c r="K1043" s="195">
        <f>+I1043+J1043</f>
        <v>34600000</v>
      </c>
    </row>
    <row r="1044" spans="1:15" ht="14.25" customHeight="1" thickBot="1">
      <c r="A1044" s="57" t="s">
        <v>100</v>
      </c>
      <c r="B1044" s="58" t="s">
        <v>108</v>
      </c>
      <c r="C1044" s="59" t="s">
        <v>109</v>
      </c>
      <c r="D1044" s="60" t="s">
        <v>110</v>
      </c>
      <c r="H1044" s="72">
        <v>721</v>
      </c>
      <c r="I1044" s="80"/>
      <c r="J1044" s="74">
        <f>+K1009</f>
        <v>7703500</v>
      </c>
      <c r="K1044" s="195">
        <f>+I1044+J1044</f>
        <v>7703500</v>
      </c>
    </row>
    <row r="1045" spans="1:15" ht="12.75" customHeight="1">
      <c r="A1045" s="71">
        <v>719</v>
      </c>
      <c r="B1045" s="73" t="e">
        <f>+#REF!+#REF!+#REF!+#REF!+#REF!</f>
        <v>#REF!</v>
      </c>
      <c r="C1045" s="74" t="e">
        <f>+D1010</f>
        <v>#REF!</v>
      </c>
      <c r="D1045" s="195" t="e">
        <f>+B1045+C1045</f>
        <v>#REF!</v>
      </c>
      <c r="H1045" s="72">
        <v>722</v>
      </c>
      <c r="I1045" s="80"/>
      <c r="J1045" s="74">
        <f>+K1010</f>
        <v>0</v>
      </c>
      <c r="K1045" s="195">
        <f>+I1045+J1045</f>
        <v>0</v>
      </c>
    </row>
    <row r="1046" spans="1:15" ht="16.5" thickBot="1">
      <c r="A1046" s="72">
        <v>721</v>
      </c>
      <c r="B1046" s="80" t="e">
        <f>+#REF!+#REF!+#REF!+#REF!+#REF!</f>
        <v>#REF!</v>
      </c>
      <c r="C1046" s="74" t="e">
        <f>+D1011</f>
        <v>#REF!</v>
      </c>
      <c r="D1046" s="195" t="e">
        <f>+B1046+C1046</f>
        <v>#REF!</v>
      </c>
      <c r="H1046" s="72">
        <v>723</v>
      </c>
      <c r="I1046" s="80">
        <f>+O1025+O1028+O1030+O1032</f>
        <v>8078000</v>
      </c>
      <c r="J1046" s="74">
        <f>+K1011</f>
        <v>327159490</v>
      </c>
      <c r="K1046" s="195">
        <f>+I1046+J1046</f>
        <v>335237490</v>
      </c>
      <c r="M1046" s="918"/>
      <c r="N1046" s="918"/>
      <c r="O1046" s="918"/>
    </row>
    <row r="1047" spans="1:15" ht="16.5" hidden="1" thickBot="1">
      <c r="A1047" s="72">
        <v>722</v>
      </c>
      <c r="B1047" s="80"/>
      <c r="C1047" s="74" t="e">
        <f>+D1012</f>
        <v>#REF!</v>
      </c>
      <c r="D1047" s="195" t="e">
        <f>+B1047+C1047</f>
        <v>#REF!</v>
      </c>
      <c r="H1047" s="164" t="s">
        <v>181</v>
      </c>
      <c r="I1047" s="165"/>
      <c r="J1047" s="74">
        <f>+K1012</f>
        <v>0</v>
      </c>
      <c r="K1047" s="196">
        <f>+I1047+J1047</f>
        <v>0</v>
      </c>
      <c r="M1047" s="52"/>
    </row>
    <row r="1048" spans="1:15" ht="16.5" thickBot="1">
      <c r="A1048" s="72">
        <v>723</v>
      </c>
      <c r="B1048" s="80"/>
      <c r="C1048" s="74" t="e">
        <f>+D1013</f>
        <v>#REF!</v>
      </c>
      <c r="D1048" s="195" t="e">
        <f>+B1048+C1048</f>
        <v>#REF!</v>
      </c>
      <c r="F1048" s="174" t="s">
        <v>23</v>
      </c>
      <c r="G1048" s="175"/>
      <c r="H1048" s="169"/>
      <c r="I1048" s="197">
        <f>SUM(I1043:I1047)</f>
        <v>8078000</v>
      </c>
      <c r="J1048" s="197">
        <f>SUM(J1043:J1047)</f>
        <v>369462990</v>
      </c>
      <c r="K1048" s="198">
        <f>SUM(K1043:K1047)</f>
        <v>377540990</v>
      </c>
    </row>
    <row r="1049" spans="1:15" ht="16.5">
      <c r="A1049" s="49" t="s">
        <v>88</v>
      </c>
      <c r="B1049" s="50"/>
      <c r="H1049" s="49" t="s">
        <v>88</v>
      </c>
      <c r="I1049" s="50"/>
    </row>
    <row r="1050" spans="1:15" ht="13.5" customHeight="1">
      <c r="A1050" s="51" t="s">
        <v>89</v>
      </c>
      <c r="H1050" s="51" t="s">
        <v>89</v>
      </c>
    </row>
    <row r="1051" spans="1:15" ht="14.25" customHeight="1">
      <c r="A1051" s="51" t="s">
        <v>90</v>
      </c>
      <c r="H1051" s="51" t="s">
        <v>90</v>
      </c>
    </row>
    <row r="1052" spans="1:15">
      <c r="A1052" s="51" t="s">
        <v>91</v>
      </c>
      <c r="H1052" s="51" t="s">
        <v>91</v>
      </c>
    </row>
    <row r="1053" spans="1:15" ht="3" customHeight="1">
      <c r="A1053" s="50"/>
      <c r="B1053" s="50"/>
      <c r="H1053" s="50"/>
      <c r="I1053" s="50"/>
    </row>
    <row r="1054" spans="1:15" ht="15" customHeight="1">
      <c r="A1054" s="52" t="s">
        <v>471</v>
      </c>
      <c r="G1054" s="52"/>
      <c r="H1054" s="260" t="s">
        <v>840</v>
      </c>
      <c r="N1054" s="52"/>
    </row>
    <row r="1055" spans="1:15" ht="16.5" thickBot="1">
      <c r="A1055" s="53" t="s">
        <v>92</v>
      </c>
      <c r="G1055" s="53"/>
      <c r="H1055" s="53" t="s">
        <v>2443</v>
      </c>
      <c r="N1055" s="53"/>
    </row>
    <row r="1056" spans="1:15" ht="15.75" customHeight="1">
      <c r="A1056" s="894" t="s">
        <v>462</v>
      </c>
      <c r="B1056" s="894"/>
      <c r="C1056" s="894"/>
      <c r="D1056" s="894"/>
      <c r="E1056" s="894"/>
      <c r="F1056" s="894"/>
      <c r="G1056" s="894"/>
      <c r="H1056" s="894" t="s">
        <v>2763</v>
      </c>
      <c r="I1056" s="894"/>
      <c r="J1056" s="894"/>
      <c r="K1056" s="894"/>
      <c r="L1056" s="894"/>
      <c r="M1056" s="894"/>
      <c r="N1056" s="894"/>
      <c r="O1056" s="894"/>
    </row>
    <row r="1057" spans="1:15" ht="4.5" customHeight="1" thickBot="1"/>
    <row r="1058" spans="1:15">
      <c r="A1058" s="895" t="s">
        <v>94</v>
      </c>
      <c r="B1058" s="897" t="s">
        <v>95</v>
      </c>
      <c r="C1058" s="897" t="s">
        <v>96</v>
      </c>
      <c r="D1058" s="897" t="s">
        <v>3</v>
      </c>
      <c r="E1058" s="897" t="s">
        <v>97</v>
      </c>
      <c r="F1058" s="897" t="s">
        <v>98</v>
      </c>
      <c r="G1058" s="500" t="s">
        <v>99</v>
      </c>
      <c r="H1058" s="895" t="s">
        <v>94</v>
      </c>
      <c r="I1058" s="897" t="s">
        <v>95</v>
      </c>
      <c r="J1058" s="897" t="s">
        <v>96</v>
      </c>
      <c r="K1058" s="897" t="s">
        <v>3</v>
      </c>
      <c r="L1058" s="897" t="s">
        <v>97</v>
      </c>
      <c r="M1058" s="897" t="s">
        <v>98</v>
      </c>
      <c r="N1058" s="897" t="s">
        <v>99</v>
      </c>
      <c r="O1058" s="899"/>
    </row>
    <row r="1059" spans="1:15" ht="15.75" thickBot="1">
      <c r="A1059" s="896"/>
      <c r="B1059" s="898"/>
      <c r="C1059" s="898"/>
      <c r="D1059" s="898"/>
      <c r="E1059" s="898"/>
      <c r="F1059" s="898"/>
      <c r="G1059" s="240" t="s">
        <v>100</v>
      </c>
      <c r="H1059" s="896"/>
      <c r="I1059" s="898"/>
      <c r="J1059" s="898"/>
      <c r="K1059" s="898"/>
      <c r="L1059" s="898"/>
      <c r="M1059" s="898"/>
      <c r="N1059" s="240" t="s">
        <v>100</v>
      </c>
      <c r="O1059" s="182" t="s">
        <v>101</v>
      </c>
    </row>
    <row r="1060" spans="1:15" ht="12.75" customHeight="1">
      <c r="A1060" s="881" t="e">
        <f>+A1033+1</f>
        <v>#REF!</v>
      </c>
      <c r="B1060" s="875">
        <v>42345</v>
      </c>
      <c r="C1060" s="877" t="s">
        <v>31</v>
      </c>
      <c r="D1060" s="881" t="s">
        <v>478</v>
      </c>
      <c r="E1060" s="881" t="s">
        <v>115</v>
      </c>
      <c r="F1060" s="883">
        <v>110000</v>
      </c>
      <c r="G1060" s="55">
        <v>719</v>
      </c>
      <c r="H1060" s="873" t="s">
        <v>2761</v>
      </c>
      <c r="I1060" s="875">
        <v>45657</v>
      </c>
      <c r="J1060" s="877" t="s">
        <v>1538</v>
      </c>
      <c r="K1060" s="881" t="s">
        <v>2755</v>
      </c>
      <c r="L1060" s="881" t="s">
        <v>148</v>
      </c>
      <c r="M1060" s="883">
        <v>926550</v>
      </c>
      <c r="N1060" s="55">
        <v>721</v>
      </c>
      <c r="O1060" s="78">
        <v>0</v>
      </c>
    </row>
    <row r="1061" spans="1:15" ht="13.5" customHeight="1" thickBot="1">
      <c r="A1061" s="882"/>
      <c r="B1061" s="876"/>
      <c r="C1061" s="878"/>
      <c r="D1061" s="882"/>
      <c r="E1061" s="882"/>
      <c r="F1061" s="884"/>
      <c r="G1061" s="56">
        <v>721</v>
      </c>
      <c r="H1061" s="874"/>
      <c r="I1061" s="876"/>
      <c r="J1061" s="878"/>
      <c r="K1061" s="882"/>
      <c r="L1061" s="882"/>
      <c r="M1061" s="884"/>
      <c r="N1061" s="56">
        <v>723</v>
      </c>
      <c r="O1061" s="79">
        <f>+M1060-O1060</f>
        <v>926550</v>
      </c>
    </row>
    <row r="1062" spans="1:15" ht="12.75" customHeight="1">
      <c r="A1062" s="881" t="e">
        <f>+A1060+1</f>
        <v>#REF!</v>
      </c>
      <c r="B1062" s="875">
        <v>42345</v>
      </c>
      <c r="C1062" s="881" t="s">
        <v>472</v>
      </c>
      <c r="D1062" s="881" t="s">
        <v>479</v>
      </c>
      <c r="E1062" s="881" t="s">
        <v>115</v>
      </c>
      <c r="F1062" s="883">
        <v>60000</v>
      </c>
      <c r="G1062" s="55">
        <v>719</v>
      </c>
      <c r="H1062" s="881">
        <f>+H1060+1</f>
        <v>136</v>
      </c>
      <c r="I1062" s="875">
        <v>45657</v>
      </c>
      <c r="J1062" s="877" t="s">
        <v>815</v>
      </c>
      <c r="K1062" s="881" t="s">
        <v>2755</v>
      </c>
      <c r="L1062" s="881" t="s">
        <v>775</v>
      </c>
      <c r="M1062" s="883">
        <v>1188000</v>
      </c>
      <c r="N1062" s="55">
        <v>719</v>
      </c>
      <c r="O1062" s="78">
        <v>880000</v>
      </c>
    </row>
    <row r="1063" spans="1:15" ht="15.75" customHeight="1" thickBot="1">
      <c r="A1063" s="882"/>
      <c r="B1063" s="876"/>
      <c r="C1063" s="882"/>
      <c r="D1063" s="882"/>
      <c r="E1063" s="882"/>
      <c r="F1063" s="884"/>
      <c r="G1063" s="56">
        <v>721</v>
      </c>
      <c r="H1063" s="882"/>
      <c r="I1063" s="876"/>
      <c r="J1063" s="878"/>
      <c r="K1063" s="882"/>
      <c r="L1063" s="882"/>
      <c r="M1063" s="884"/>
      <c r="N1063" s="56">
        <v>721</v>
      </c>
      <c r="O1063" s="79">
        <v>308000</v>
      </c>
    </row>
    <row r="1064" spans="1:15" ht="15" customHeight="1">
      <c r="A1064" s="881"/>
      <c r="B1064" s="875"/>
      <c r="C1064" s="877"/>
      <c r="D1064" s="881"/>
      <c r="E1064" s="881"/>
      <c r="F1064" s="883"/>
      <c r="G1064" s="55">
        <v>719</v>
      </c>
      <c r="H1064" s="881">
        <f>+H1062+1</f>
        <v>137</v>
      </c>
      <c r="I1064" s="875">
        <v>45657</v>
      </c>
      <c r="J1064" s="877" t="s">
        <v>2756</v>
      </c>
      <c r="K1064" s="881" t="s">
        <v>2757</v>
      </c>
      <c r="L1064" s="881" t="s">
        <v>775</v>
      </c>
      <c r="M1064" s="883">
        <v>702000</v>
      </c>
      <c r="N1064" s="55">
        <v>719</v>
      </c>
      <c r="O1064" s="78">
        <v>520000</v>
      </c>
    </row>
    <row r="1065" spans="1:15" ht="13.5" customHeight="1" thickBot="1">
      <c r="A1065" s="882"/>
      <c r="B1065" s="876"/>
      <c r="C1065" s="878"/>
      <c r="D1065" s="882"/>
      <c r="E1065" s="882"/>
      <c r="F1065" s="884"/>
      <c r="G1065" s="56">
        <v>721</v>
      </c>
      <c r="H1065" s="882"/>
      <c r="I1065" s="876"/>
      <c r="J1065" s="878"/>
      <c r="K1065" s="882"/>
      <c r="L1065" s="882"/>
      <c r="M1065" s="884"/>
      <c r="N1065" s="56">
        <v>721</v>
      </c>
      <c r="O1065" s="79">
        <f>+M1064-O1064</f>
        <v>182000</v>
      </c>
    </row>
    <row r="1066" spans="1:15" ht="12.75" customHeight="1">
      <c r="A1066" s="251"/>
      <c r="B1066" s="252"/>
      <c r="C1066" s="253"/>
      <c r="D1066" s="251"/>
      <c r="E1066" s="251"/>
      <c r="F1066" s="254"/>
      <c r="G1066" s="255"/>
      <c r="H1066" s="881">
        <f>+H1064+1</f>
        <v>138</v>
      </c>
      <c r="I1066" s="875">
        <v>45657</v>
      </c>
      <c r="J1066" s="877" t="s">
        <v>1079</v>
      </c>
      <c r="K1066" s="881" t="s">
        <v>2760</v>
      </c>
      <c r="L1066" s="881" t="s">
        <v>148</v>
      </c>
      <c r="M1066" s="883">
        <v>510000</v>
      </c>
      <c r="N1066" s="55">
        <v>719</v>
      </c>
      <c r="O1066" s="78">
        <v>510000</v>
      </c>
    </row>
    <row r="1067" spans="1:15" ht="13.5" customHeight="1" thickBot="1">
      <c r="A1067" s="251"/>
      <c r="B1067" s="252"/>
      <c r="C1067" s="253"/>
      <c r="D1067" s="251"/>
      <c r="E1067" s="251"/>
      <c r="F1067" s="254"/>
      <c r="G1067" s="255"/>
      <c r="H1067" s="882"/>
      <c r="I1067" s="876"/>
      <c r="J1067" s="878"/>
      <c r="K1067" s="882"/>
      <c r="L1067" s="882"/>
      <c r="M1067" s="884"/>
      <c r="N1067" s="56">
        <v>721</v>
      </c>
      <c r="O1067" s="79">
        <f>+M1066-O1066</f>
        <v>0</v>
      </c>
    </row>
    <row r="1068" spans="1:15" ht="12" customHeight="1">
      <c r="A1068" s="881"/>
      <c r="B1068" s="875"/>
      <c r="C1068" s="877"/>
      <c r="D1068" s="881"/>
      <c r="E1068" s="881"/>
      <c r="F1068" s="883"/>
      <c r="G1068" s="55">
        <v>719</v>
      </c>
      <c r="H1068" s="881">
        <f>+H1066+1</f>
        <v>139</v>
      </c>
      <c r="I1068" s="875">
        <v>45657</v>
      </c>
      <c r="J1068" s="877" t="s">
        <v>815</v>
      </c>
      <c r="K1068" s="881" t="s">
        <v>2757</v>
      </c>
      <c r="L1068" s="881" t="s">
        <v>214</v>
      </c>
      <c r="M1068" s="883">
        <v>400000</v>
      </c>
      <c r="N1068" s="55">
        <v>719</v>
      </c>
      <c r="O1068" s="78">
        <v>400000</v>
      </c>
    </row>
    <row r="1069" spans="1:15" ht="14.25" customHeight="1" thickBot="1">
      <c r="A1069" s="882"/>
      <c r="B1069" s="876"/>
      <c r="C1069" s="878"/>
      <c r="D1069" s="882"/>
      <c r="E1069" s="882"/>
      <c r="F1069" s="884"/>
      <c r="G1069" s="56">
        <v>721</v>
      </c>
      <c r="H1069" s="882"/>
      <c r="I1069" s="876"/>
      <c r="J1069" s="878"/>
      <c r="K1069" s="882"/>
      <c r="L1069" s="882"/>
      <c r="M1069" s="884"/>
      <c r="N1069" s="56">
        <v>721</v>
      </c>
      <c r="O1069" s="79">
        <f>+M1068-O1068</f>
        <v>0</v>
      </c>
    </row>
    <row r="1070" spans="1:15" ht="16.5" thickBot="1">
      <c r="A1070" s="901" t="s">
        <v>102</v>
      </c>
      <c r="B1070" s="902"/>
      <c r="C1070" s="902"/>
      <c r="D1070" s="902"/>
      <c r="E1070" s="903"/>
      <c r="F1070" s="81">
        <f>SUM(F1060:F1069)</f>
        <v>170000</v>
      </c>
      <c r="H1070" s="901" t="s">
        <v>102</v>
      </c>
      <c r="I1070" s="902"/>
      <c r="J1070" s="902"/>
      <c r="K1070" s="902"/>
      <c r="L1070" s="903"/>
      <c r="M1070" s="81">
        <f>SUM(M1060:M1069)</f>
        <v>3726550</v>
      </c>
    </row>
    <row r="1071" spans="1:15" ht="16.5" thickBot="1">
      <c r="A1071" s="885" t="s">
        <v>103</v>
      </c>
      <c r="B1071" s="886"/>
      <c r="C1071" s="886"/>
      <c r="D1071" s="886"/>
      <c r="E1071" s="887"/>
      <c r="F1071" s="69" t="e">
        <f>+F1037</f>
        <v>#REF!</v>
      </c>
      <c r="H1071" s="885" t="s">
        <v>103</v>
      </c>
      <c r="I1071" s="886"/>
      <c r="J1071" s="886"/>
      <c r="K1071" s="886"/>
      <c r="L1071" s="887"/>
      <c r="M1071" s="69">
        <f>+M1035</f>
        <v>377540990</v>
      </c>
      <c r="N1071" s="241" t="s">
        <v>561</v>
      </c>
      <c r="O1071" s="242">
        <v>4317</v>
      </c>
    </row>
    <row r="1072" spans="1:15" ht="16.5" thickBot="1">
      <c r="A1072" s="888" t="s">
        <v>104</v>
      </c>
      <c r="B1072" s="889"/>
      <c r="C1072" s="889"/>
      <c r="D1072" s="889"/>
      <c r="E1072" s="890"/>
      <c r="F1072" s="183" t="e">
        <f>SUM(F1070:F1071)</f>
        <v>#REF!</v>
      </c>
      <c r="H1072" s="888" t="s">
        <v>104</v>
      </c>
      <c r="I1072" s="889"/>
      <c r="J1072" s="889"/>
      <c r="K1072" s="889"/>
      <c r="L1072" s="890"/>
      <c r="M1072" s="183">
        <f>SUM(M1070:M1071)</f>
        <v>381267540</v>
      </c>
    </row>
    <row r="1073" spans="1:15" ht="5.25" customHeight="1">
      <c r="A1073" s="61"/>
      <c r="B1073" s="61"/>
      <c r="C1073" s="61"/>
      <c r="D1073" s="61"/>
      <c r="E1073" s="61"/>
      <c r="H1073" s="61"/>
      <c r="I1073" s="61"/>
      <c r="J1073" s="61"/>
      <c r="K1073" s="61"/>
      <c r="L1073" s="61"/>
    </row>
    <row r="1074" spans="1:15">
      <c r="A1074" s="51" t="s">
        <v>480</v>
      </c>
      <c r="H1074" s="51" t="s">
        <v>2762</v>
      </c>
    </row>
    <row r="1075" spans="1:15" ht="3" customHeight="1">
      <c r="F1075" s="139"/>
      <c r="M1075" s="139"/>
    </row>
    <row r="1076" spans="1:15">
      <c r="A1076" s="50" t="s">
        <v>105</v>
      </c>
      <c r="D1076" s="146"/>
      <c r="F1076" s="139"/>
      <c r="H1076" s="50" t="s">
        <v>105</v>
      </c>
      <c r="K1076" s="146"/>
      <c r="M1076" s="139"/>
    </row>
    <row r="1077" spans="1:15" ht="2.25" customHeight="1" thickBot="1"/>
    <row r="1078" spans="1:15" ht="15.75" thickBot="1">
      <c r="A1078" s="891" t="s">
        <v>106</v>
      </c>
      <c r="B1078" s="892"/>
      <c r="C1078" s="892"/>
      <c r="D1078" s="893"/>
      <c r="F1078" s="50" t="s">
        <v>288</v>
      </c>
      <c r="H1078" s="891" t="s">
        <v>106</v>
      </c>
      <c r="I1078" s="892"/>
      <c r="J1078" s="892"/>
      <c r="K1078" s="893"/>
      <c r="M1078" s="50" t="s">
        <v>288</v>
      </c>
    </row>
    <row r="1079" spans="1:15" ht="45.75" thickBot="1">
      <c r="A1079" s="57" t="s">
        <v>100</v>
      </c>
      <c r="B1079" s="58" t="s">
        <v>108</v>
      </c>
      <c r="C1079" s="59" t="s">
        <v>109</v>
      </c>
      <c r="D1079" s="60" t="s">
        <v>110</v>
      </c>
      <c r="H1079" s="57" t="s">
        <v>100</v>
      </c>
      <c r="I1079" s="58" t="s">
        <v>108</v>
      </c>
      <c r="J1079" s="59" t="s">
        <v>109</v>
      </c>
      <c r="K1079" s="60" t="s">
        <v>110</v>
      </c>
    </row>
    <row r="1080" spans="1:15" ht="13.5" customHeight="1">
      <c r="A1080" s="71">
        <v>719</v>
      </c>
      <c r="B1080" s="73" t="e">
        <f>+#REF!+#REF!+#REF!+#REF!</f>
        <v>#REF!</v>
      </c>
      <c r="C1080" s="74" t="e">
        <f>+D1045</f>
        <v>#REF!</v>
      </c>
      <c r="D1080" s="195" t="e">
        <f>+B1080+C1080</f>
        <v>#REF!</v>
      </c>
      <c r="H1080" s="71">
        <v>719</v>
      </c>
      <c r="I1080" s="73">
        <f>+O1062++O1064+O1066+O1068</f>
        <v>2310000</v>
      </c>
      <c r="J1080" s="74">
        <f>+K1043</f>
        <v>34600000</v>
      </c>
      <c r="K1080" s="195">
        <f>+I1080+J1080</f>
        <v>36910000</v>
      </c>
    </row>
    <row r="1081" spans="1:15" ht="13.5" customHeight="1">
      <c r="A1081" s="72">
        <v>721</v>
      </c>
      <c r="B1081" s="80" t="e">
        <f>+#REF!</f>
        <v>#REF!</v>
      </c>
      <c r="C1081" s="74" t="e">
        <f>+D1046</f>
        <v>#REF!</v>
      </c>
      <c r="D1081" s="195" t="e">
        <f>+B1081+C1081</f>
        <v>#REF!</v>
      </c>
      <c r="H1081" s="72">
        <v>721</v>
      </c>
      <c r="I1081" s="80">
        <f>+O1060+O1065+O1063</f>
        <v>490000</v>
      </c>
      <c r="J1081" s="74">
        <f>+K1044</f>
        <v>7703500</v>
      </c>
      <c r="K1081" s="195">
        <f>+I1081+J1081</f>
        <v>8193500</v>
      </c>
    </row>
    <row r="1082" spans="1:15" ht="12" customHeight="1">
      <c r="A1082" s="72">
        <v>722</v>
      </c>
      <c r="B1082" s="80"/>
      <c r="C1082" s="74" t="e">
        <f>+D1047</f>
        <v>#REF!</v>
      </c>
      <c r="D1082" s="195" t="e">
        <f>+B1082+C1082</f>
        <v>#REF!</v>
      </c>
      <c r="H1082" s="72">
        <v>722</v>
      </c>
      <c r="I1082" s="80"/>
      <c r="J1082" s="74">
        <f>+K1045</f>
        <v>0</v>
      </c>
      <c r="K1082" s="195">
        <f>+I1082+J1082</f>
        <v>0</v>
      </c>
    </row>
    <row r="1083" spans="1:15" ht="14.25" customHeight="1" thickBot="1">
      <c r="A1083" s="72">
        <v>723</v>
      </c>
      <c r="B1083" s="80"/>
      <c r="C1083" s="74" t="e">
        <f>+D1048</f>
        <v>#REF!</v>
      </c>
      <c r="D1083" s="195" t="e">
        <f>+B1083+C1083</f>
        <v>#REF!</v>
      </c>
      <c r="F1083" s="174" t="s">
        <v>23</v>
      </c>
      <c r="G1083" s="175"/>
      <c r="H1083" s="72">
        <v>723</v>
      </c>
      <c r="I1083" s="80">
        <f>+O1061</f>
        <v>926550</v>
      </c>
      <c r="J1083" s="74">
        <f>+K1046</f>
        <v>335237490</v>
      </c>
      <c r="K1083" s="195">
        <f>+I1083+J1083</f>
        <v>336164040</v>
      </c>
      <c r="M1083" s="918"/>
      <c r="N1083" s="918"/>
      <c r="O1083" s="918"/>
    </row>
    <row r="1084" spans="1:15" ht="13.5" hidden="1" customHeight="1" thickBot="1">
      <c r="A1084" s="164" t="s">
        <v>181</v>
      </c>
      <c r="B1084" s="165"/>
      <c r="C1084" s="74" t="e">
        <f>+#REF!</f>
        <v>#REF!</v>
      </c>
      <c r="D1084" s="196" t="e">
        <f>+B1084+C1084</f>
        <v>#REF!</v>
      </c>
      <c r="F1084" s="52"/>
      <c r="H1084" s="164" t="s">
        <v>181</v>
      </c>
      <c r="I1084" s="165"/>
      <c r="J1084" s="74">
        <f>+K1047</f>
        <v>0</v>
      </c>
      <c r="K1084" s="196">
        <f>+I1084+J1084</f>
        <v>0</v>
      </c>
      <c r="M1084" s="52"/>
    </row>
    <row r="1085" spans="1:15" ht="15" customHeight="1" thickBot="1">
      <c r="A1085" s="169"/>
      <c r="B1085" s="170" t="e">
        <f>SUM(B1080:B1084)</f>
        <v>#REF!</v>
      </c>
      <c r="C1085" s="171" t="e">
        <f>SUM(C1080:C1084)</f>
        <v>#REF!</v>
      </c>
      <c r="D1085" s="172" t="e">
        <f>SUM(D1080:D1084)</f>
        <v>#REF!</v>
      </c>
      <c r="H1085" s="169"/>
      <c r="I1085" s="197">
        <f>SUM(I1080:I1084)</f>
        <v>3726550</v>
      </c>
      <c r="J1085" s="197">
        <f>SUM(J1080:J1084)</f>
        <v>377540990</v>
      </c>
      <c r="K1085" s="198">
        <f>SUM(K1080:K1084)</f>
        <v>381267540</v>
      </c>
    </row>
    <row r="1086" spans="1:15" ht="16.5">
      <c r="A1086" s="49" t="s">
        <v>88</v>
      </c>
      <c r="B1086" s="50"/>
      <c r="H1086" s="49" t="s">
        <v>88</v>
      </c>
      <c r="I1086" s="50"/>
    </row>
    <row r="1087" spans="1:15">
      <c r="A1087" s="51" t="s">
        <v>89</v>
      </c>
      <c r="H1087" s="51" t="s">
        <v>89</v>
      </c>
    </row>
    <row r="1088" spans="1:15">
      <c r="A1088" s="51" t="s">
        <v>90</v>
      </c>
      <c r="H1088" s="51" t="s">
        <v>90</v>
      </c>
    </row>
    <row r="1089" spans="1:15">
      <c r="A1089" s="51" t="s">
        <v>91</v>
      </c>
      <c r="H1089" s="51" t="s">
        <v>91</v>
      </c>
    </row>
    <row r="1090" spans="1:15" ht="12.75" customHeight="1">
      <c r="A1090" s="50"/>
      <c r="B1090" s="50"/>
      <c r="H1090" s="50"/>
      <c r="I1090" s="50"/>
    </row>
    <row r="1091" spans="1:15" ht="16.5">
      <c r="A1091" s="52" t="s">
        <v>473</v>
      </c>
      <c r="G1091" s="52"/>
      <c r="H1091" s="260" t="s">
        <v>841</v>
      </c>
      <c r="N1091" s="52"/>
    </row>
    <row r="1092" spans="1:15" ht="15.75">
      <c r="A1092" s="53" t="s">
        <v>92</v>
      </c>
      <c r="G1092" s="53"/>
      <c r="H1092" s="53" t="s">
        <v>1702</v>
      </c>
      <c r="N1092" s="53"/>
    </row>
    <row r="1093" spans="1:15" ht="16.5">
      <c r="A1093" s="894" t="s">
        <v>462</v>
      </c>
      <c r="B1093" s="894"/>
      <c r="C1093" s="894"/>
      <c r="D1093" s="894"/>
      <c r="E1093" s="894"/>
      <c r="F1093" s="894"/>
      <c r="G1093" s="894"/>
      <c r="H1093" s="894" t="s">
        <v>261</v>
      </c>
      <c r="I1093" s="894"/>
      <c r="J1093" s="894"/>
      <c r="K1093" s="894"/>
      <c r="L1093" s="894"/>
      <c r="M1093" s="894"/>
      <c r="N1093" s="894"/>
      <c r="O1093" s="894"/>
    </row>
    <row r="1094" spans="1:15" ht="15.75" thickBot="1"/>
    <row r="1095" spans="1:15">
      <c r="A1095" s="895" t="s">
        <v>94</v>
      </c>
      <c r="B1095" s="897" t="s">
        <v>95</v>
      </c>
      <c r="C1095" s="897" t="s">
        <v>96</v>
      </c>
      <c r="D1095" s="897" t="s">
        <v>3</v>
      </c>
      <c r="E1095" s="897" t="s">
        <v>97</v>
      </c>
      <c r="F1095" s="897" t="s">
        <v>98</v>
      </c>
      <c r="G1095" s="500" t="s">
        <v>99</v>
      </c>
      <c r="H1095" s="895" t="s">
        <v>94</v>
      </c>
      <c r="I1095" s="897" t="s">
        <v>95</v>
      </c>
      <c r="J1095" s="897" t="s">
        <v>96</v>
      </c>
      <c r="K1095" s="897" t="s">
        <v>3</v>
      </c>
      <c r="L1095" s="897" t="s">
        <v>97</v>
      </c>
      <c r="M1095" s="897" t="s">
        <v>98</v>
      </c>
      <c r="N1095" s="897" t="s">
        <v>99</v>
      </c>
      <c r="O1095" s="899"/>
    </row>
    <row r="1096" spans="1:15" ht="15.75" thickBot="1">
      <c r="A1096" s="896"/>
      <c r="B1096" s="898"/>
      <c r="C1096" s="898"/>
      <c r="D1096" s="898"/>
      <c r="E1096" s="898"/>
      <c r="F1096" s="898"/>
      <c r="G1096" s="240" t="s">
        <v>100</v>
      </c>
      <c r="H1096" s="896"/>
      <c r="I1096" s="898"/>
      <c r="J1096" s="898"/>
      <c r="K1096" s="898"/>
      <c r="L1096" s="898"/>
      <c r="M1096" s="898"/>
      <c r="N1096" s="240" t="s">
        <v>100</v>
      </c>
      <c r="O1096" s="182" t="s">
        <v>101</v>
      </c>
    </row>
    <row r="1097" spans="1:15" ht="15" customHeight="1">
      <c r="A1097" s="881" t="e">
        <f>+A1062+1</f>
        <v>#REF!</v>
      </c>
      <c r="B1097" s="875">
        <v>42345</v>
      </c>
      <c r="C1097" s="877" t="s">
        <v>267</v>
      </c>
      <c r="D1097" s="881" t="s">
        <v>481</v>
      </c>
      <c r="E1097" s="881" t="s">
        <v>148</v>
      </c>
      <c r="F1097" s="883">
        <v>182000</v>
      </c>
      <c r="G1097" s="55">
        <v>719</v>
      </c>
      <c r="H1097" s="873" t="s">
        <v>1604</v>
      </c>
      <c r="I1097" s="875">
        <v>43817</v>
      </c>
      <c r="J1097" s="881" t="s">
        <v>815</v>
      </c>
      <c r="K1097" s="881" t="s">
        <v>1858</v>
      </c>
      <c r="L1097" s="881" t="s">
        <v>115</v>
      </c>
      <c r="M1097" s="883">
        <v>945000</v>
      </c>
      <c r="N1097" s="55">
        <v>719</v>
      </c>
      <c r="O1097" s="78">
        <v>700000</v>
      </c>
    </row>
    <row r="1098" spans="1:15" ht="13.5" customHeight="1" thickBot="1">
      <c r="A1098" s="882"/>
      <c r="B1098" s="876"/>
      <c r="C1098" s="878"/>
      <c r="D1098" s="882"/>
      <c r="E1098" s="882"/>
      <c r="F1098" s="884"/>
      <c r="G1098" s="56">
        <v>721</v>
      </c>
      <c r="H1098" s="874"/>
      <c r="I1098" s="876"/>
      <c r="J1098" s="882"/>
      <c r="K1098" s="882"/>
      <c r="L1098" s="882"/>
      <c r="M1098" s="884"/>
      <c r="N1098" s="56">
        <v>721</v>
      </c>
      <c r="O1098" s="79">
        <f>+M1097-O1097</f>
        <v>245000</v>
      </c>
    </row>
    <row r="1099" spans="1:15" ht="12.75" customHeight="1">
      <c r="A1099" s="881" t="e">
        <f>+A1097+1</f>
        <v>#REF!</v>
      </c>
      <c r="B1099" s="875">
        <v>42345</v>
      </c>
      <c r="C1099" s="881" t="s">
        <v>28</v>
      </c>
      <c r="D1099" s="881" t="s">
        <v>482</v>
      </c>
      <c r="E1099" s="881" t="s">
        <v>148</v>
      </c>
      <c r="F1099" s="883">
        <v>266000</v>
      </c>
      <c r="G1099" s="55">
        <v>719</v>
      </c>
      <c r="H1099" s="881">
        <f>+H1097+1</f>
        <v>115</v>
      </c>
      <c r="I1099" s="875">
        <v>43817</v>
      </c>
      <c r="J1099" s="910" t="s">
        <v>1864</v>
      </c>
      <c r="K1099" s="881" t="s">
        <v>1859</v>
      </c>
      <c r="L1099" s="881" t="s">
        <v>148</v>
      </c>
      <c r="M1099" s="883">
        <v>500000</v>
      </c>
      <c r="N1099" s="55">
        <v>719</v>
      </c>
      <c r="O1099" s="78">
        <v>500000</v>
      </c>
    </row>
    <row r="1100" spans="1:15" ht="13.5" customHeight="1" thickBot="1">
      <c r="A1100" s="882"/>
      <c r="B1100" s="876"/>
      <c r="C1100" s="882"/>
      <c r="D1100" s="882"/>
      <c r="E1100" s="882"/>
      <c r="F1100" s="884"/>
      <c r="G1100" s="56">
        <v>721</v>
      </c>
      <c r="H1100" s="882"/>
      <c r="I1100" s="876"/>
      <c r="J1100" s="911"/>
      <c r="K1100" s="882"/>
      <c r="L1100" s="882"/>
      <c r="M1100" s="884"/>
      <c r="N1100" s="56">
        <v>721</v>
      </c>
      <c r="O1100" s="79">
        <f>+M1099-O1099</f>
        <v>0</v>
      </c>
    </row>
    <row r="1101" spans="1:15" ht="13.5" customHeight="1">
      <c r="A1101" s="881" t="e">
        <f>+A1099+1</f>
        <v>#REF!</v>
      </c>
      <c r="B1101" s="875">
        <v>42345</v>
      </c>
      <c r="C1101" s="877" t="s">
        <v>32</v>
      </c>
      <c r="D1101" s="881" t="s">
        <v>481</v>
      </c>
      <c r="E1101" s="881" t="s">
        <v>148</v>
      </c>
      <c r="F1101" s="883">
        <v>70000</v>
      </c>
      <c r="G1101" s="55">
        <v>719</v>
      </c>
      <c r="H1101" s="881">
        <f>+H1099+1</f>
        <v>116</v>
      </c>
      <c r="I1101" s="875">
        <v>43817</v>
      </c>
      <c r="J1101" s="877" t="s">
        <v>111</v>
      </c>
      <c r="K1101" s="881" t="s">
        <v>1860</v>
      </c>
      <c r="L1101" s="881" t="s">
        <v>148</v>
      </c>
      <c r="M1101" s="883">
        <v>580000</v>
      </c>
      <c r="N1101" s="55">
        <v>719</v>
      </c>
      <c r="O1101" s="78">
        <v>580000</v>
      </c>
    </row>
    <row r="1102" spans="1:15" ht="12.75" customHeight="1" thickBot="1">
      <c r="A1102" s="882"/>
      <c r="B1102" s="876"/>
      <c r="C1102" s="878"/>
      <c r="D1102" s="882"/>
      <c r="E1102" s="882"/>
      <c r="F1102" s="884"/>
      <c r="G1102" s="56">
        <v>721</v>
      </c>
      <c r="H1102" s="882"/>
      <c r="I1102" s="876"/>
      <c r="J1102" s="878"/>
      <c r="K1102" s="882"/>
      <c r="L1102" s="882"/>
      <c r="M1102" s="884"/>
      <c r="N1102" s="56">
        <v>721</v>
      </c>
      <c r="O1102" s="79">
        <f>+M1101-O1101</f>
        <v>0</v>
      </c>
    </row>
    <row r="1103" spans="1:15" ht="12.75" customHeight="1">
      <c r="A1103" s="251"/>
      <c r="B1103" s="252"/>
      <c r="C1103" s="253"/>
      <c r="D1103" s="251"/>
      <c r="E1103" s="251"/>
      <c r="F1103" s="254"/>
      <c r="G1103" s="255"/>
      <c r="H1103" s="881">
        <f>+H1101+1</f>
        <v>117</v>
      </c>
      <c r="I1103" s="875">
        <v>43817</v>
      </c>
      <c r="J1103" s="877" t="s">
        <v>267</v>
      </c>
      <c r="K1103" s="881" t="s">
        <v>1861</v>
      </c>
      <c r="L1103" s="881" t="s">
        <v>148</v>
      </c>
      <c r="M1103" s="883">
        <v>440000</v>
      </c>
      <c r="N1103" s="55">
        <v>719</v>
      </c>
      <c r="O1103" s="78">
        <v>440000</v>
      </c>
    </row>
    <row r="1104" spans="1:15" ht="12.75" customHeight="1" thickBot="1">
      <c r="A1104" s="251"/>
      <c r="B1104" s="252"/>
      <c r="C1104" s="253"/>
      <c r="D1104" s="251"/>
      <c r="E1104" s="251"/>
      <c r="F1104" s="254"/>
      <c r="G1104" s="255"/>
      <c r="H1104" s="882"/>
      <c r="I1104" s="876"/>
      <c r="J1104" s="878"/>
      <c r="K1104" s="882"/>
      <c r="L1104" s="882"/>
      <c r="M1104" s="884"/>
      <c r="N1104" s="56">
        <v>721</v>
      </c>
      <c r="O1104" s="79">
        <f>+M1103-O1103</f>
        <v>0</v>
      </c>
    </row>
    <row r="1105" spans="1:15" ht="12.75" customHeight="1">
      <c r="A1105" s="251"/>
      <c r="B1105" s="252"/>
      <c r="C1105" s="253"/>
      <c r="D1105" s="251"/>
      <c r="E1105" s="251"/>
      <c r="F1105" s="254"/>
      <c r="G1105" s="255"/>
      <c r="H1105" s="881">
        <f>+H1103+1</f>
        <v>118</v>
      </c>
      <c r="I1105" s="875">
        <v>43817</v>
      </c>
      <c r="J1105" s="877" t="s">
        <v>1079</v>
      </c>
      <c r="K1105" s="881" t="s">
        <v>1863</v>
      </c>
      <c r="L1105" s="881" t="s">
        <v>148</v>
      </c>
      <c r="M1105" s="883">
        <v>3280000</v>
      </c>
      <c r="N1105" s="55">
        <v>719</v>
      </c>
      <c r="O1105" s="78">
        <v>3280000</v>
      </c>
    </row>
    <row r="1106" spans="1:15" ht="12.75" customHeight="1" thickBot="1">
      <c r="A1106" s="251"/>
      <c r="B1106" s="252"/>
      <c r="C1106" s="253"/>
      <c r="D1106" s="251"/>
      <c r="E1106" s="251"/>
      <c r="F1106" s="254"/>
      <c r="G1106" s="255"/>
      <c r="H1106" s="882"/>
      <c r="I1106" s="876"/>
      <c r="J1106" s="878"/>
      <c r="K1106" s="882"/>
      <c r="L1106" s="882"/>
      <c r="M1106" s="884"/>
      <c r="N1106" s="56">
        <v>721</v>
      </c>
      <c r="O1106" s="79">
        <f>+M1105-O1105</f>
        <v>0</v>
      </c>
    </row>
    <row r="1107" spans="1:15" ht="12.75" customHeight="1">
      <c r="A1107" s="251"/>
      <c r="B1107" s="252"/>
      <c r="C1107" s="253"/>
      <c r="D1107" s="251"/>
      <c r="E1107" s="251"/>
      <c r="F1107" s="254"/>
      <c r="G1107" s="255"/>
      <c r="H1107" s="881">
        <f>+H1105+1</f>
        <v>119</v>
      </c>
      <c r="I1107" s="875">
        <v>43817</v>
      </c>
      <c r="J1107" s="877" t="s">
        <v>1315</v>
      </c>
      <c r="K1107" s="881" t="s">
        <v>1858</v>
      </c>
      <c r="L1107" s="881" t="s">
        <v>148</v>
      </c>
      <c r="M1107" s="883">
        <v>1803150</v>
      </c>
      <c r="N1107" s="55">
        <v>723</v>
      </c>
      <c r="O1107" s="78">
        <v>1803150</v>
      </c>
    </row>
    <row r="1108" spans="1:15" ht="12.75" customHeight="1" thickBot="1">
      <c r="A1108" s="251"/>
      <c r="B1108" s="252"/>
      <c r="C1108" s="253"/>
      <c r="D1108" s="251"/>
      <c r="E1108" s="251"/>
      <c r="F1108" s="254"/>
      <c r="G1108" s="255"/>
      <c r="H1108" s="882"/>
      <c r="I1108" s="876"/>
      <c r="J1108" s="878"/>
      <c r="K1108" s="882"/>
      <c r="L1108" s="882"/>
      <c r="M1108" s="884"/>
      <c r="N1108" s="56">
        <v>721</v>
      </c>
      <c r="O1108" s="79">
        <f>+M1107-O1107</f>
        <v>0</v>
      </c>
    </row>
    <row r="1109" spans="1:15" ht="16.5" thickBot="1">
      <c r="A1109" s="901" t="s">
        <v>102</v>
      </c>
      <c r="B1109" s="902"/>
      <c r="C1109" s="902"/>
      <c r="D1109" s="902"/>
      <c r="E1109" s="903"/>
      <c r="F1109" s="81">
        <f>SUM(F1097:F1108)</f>
        <v>518000</v>
      </c>
      <c r="H1109" s="901" t="s">
        <v>102</v>
      </c>
      <c r="I1109" s="902"/>
      <c r="J1109" s="902"/>
      <c r="K1109" s="902"/>
      <c r="L1109" s="903"/>
      <c r="M1109" s="81">
        <f>SUM(M1097:M1108)</f>
        <v>7548150</v>
      </c>
    </row>
    <row r="1110" spans="1:15" ht="16.5" thickBot="1">
      <c r="A1110" s="885" t="s">
        <v>103</v>
      </c>
      <c r="B1110" s="886"/>
      <c r="C1110" s="886"/>
      <c r="D1110" s="886"/>
      <c r="E1110" s="887"/>
      <c r="F1110" s="69" t="e">
        <f>+F1072</f>
        <v>#REF!</v>
      </c>
      <c r="H1110" s="885" t="s">
        <v>103</v>
      </c>
      <c r="I1110" s="886"/>
      <c r="J1110" s="886"/>
      <c r="K1110" s="886"/>
      <c r="L1110" s="887"/>
      <c r="M1110" s="69">
        <f>+M1072</f>
        <v>381267540</v>
      </c>
      <c r="N1110" s="241" t="s">
        <v>561</v>
      </c>
      <c r="O1110" s="242"/>
    </row>
    <row r="1111" spans="1:15" ht="16.5" thickBot="1">
      <c r="A1111" s="888" t="s">
        <v>104</v>
      </c>
      <c r="B1111" s="889"/>
      <c r="C1111" s="889"/>
      <c r="D1111" s="889"/>
      <c r="E1111" s="890"/>
      <c r="F1111" s="183" t="e">
        <f>SUM(F1109:F1110)</f>
        <v>#REF!</v>
      </c>
      <c r="H1111" s="888" t="s">
        <v>104</v>
      </c>
      <c r="I1111" s="889"/>
      <c r="J1111" s="889"/>
      <c r="K1111" s="889"/>
      <c r="L1111" s="890"/>
      <c r="M1111" s="183">
        <f>SUM(M1109:M1110)</f>
        <v>388815690</v>
      </c>
    </row>
    <row r="1112" spans="1:15" ht="12.75" customHeight="1">
      <c r="A1112" s="61"/>
      <c r="B1112" s="61"/>
      <c r="C1112" s="61"/>
      <c r="D1112" s="61"/>
      <c r="E1112" s="61"/>
      <c r="H1112" s="61"/>
      <c r="I1112" s="61"/>
      <c r="J1112" s="61"/>
      <c r="K1112" s="61"/>
      <c r="L1112" s="61"/>
    </row>
    <row r="1113" spans="1:15">
      <c r="A1113" s="51" t="s">
        <v>484</v>
      </c>
      <c r="H1113" s="51" t="s">
        <v>1865</v>
      </c>
    </row>
    <row r="1114" spans="1:15" ht="7.5" customHeight="1">
      <c r="F1114" s="139"/>
      <c r="M1114" s="139"/>
    </row>
    <row r="1115" spans="1:15">
      <c r="A1115" s="50" t="s">
        <v>105</v>
      </c>
      <c r="D1115" s="146"/>
      <c r="F1115" s="139"/>
      <c r="H1115" s="50" t="s">
        <v>105</v>
      </c>
      <c r="K1115" s="146"/>
      <c r="M1115" s="139"/>
    </row>
    <row r="1116" spans="1:15" ht="13.5" customHeight="1" thickBot="1"/>
    <row r="1117" spans="1:15" ht="15.75" thickBot="1">
      <c r="A1117" s="891" t="s">
        <v>106</v>
      </c>
      <c r="B1117" s="892"/>
      <c r="C1117" s="892"/>
      <c r="D1117" s="893"/>
      <c r="F1117" s="50" t="s">
        <v>288</v>
      </c>
      <c r="H1117" s="891" t="s">
        <v>106</v>
      </c>
      <c r="I1117" s="892"/>
      <c r="J1117" s="892"/>
      <c r="K1117" s="893"/>
      <c r="M1117" s="925" t="s">
        <v>288</v>
      </c>
      <c r="N1117" s="925"/>
      <c r="O1117" s="925"/>
    </row>
    <row r="1118" spans="1:15" ht="45.75" thickBot="1">
      <c r="A1118" s="57" t="s">
        <v>100</v>
      </c>
      <c r="B1118" s="58" t="s">
        <v>108</v>
      </c>
      <c r="C1118" s="59" t="s">
        <v>109</v>
      </c>
      <c r="D1118" s="60" t="s">
        <v>110</v>
      </c>
      <c r="H1118" s="57" t="s">
        <v>100</v>
      </c>
      <c r="I1118" s="58" t="s">
        <v>108</v>
      </c>
      <c r="J1118" s="59" t="s">
        <v>109</v>
      </c>
      <c r="K1118" s="60" t="s">
        <v>110</v>
      </c>
    </row>
    <row r="1119" spans="1:15">
      <c r="A1119" s="71">
        <v>719</v>
      </c>
      <c r="B1119" s="73" t="e">
        <f>+#REF!+#REF!+#REF!+#REF!+#REF!</f>
        <v>#REF!</v>
      </c>
      <c r="C1119" s="74" t="e">
        <f>+D1080</f>
        <v>#REF!</v>
      </c>
      <c r="D1119" s="195" t="e">
        <f>+B1119+C1119</f>
        <v>#REF!</v>
      </c>
      <c r="H1119" s="71">
        <v>719</v>
      </c>
      <c r="I1119" s="73">
        <f>+O1097+O1101+O1103+O1099+O1105</f>
        <v>5500000</v>
      </c>
      <c r="J1119" s="74">
        <f>+K1080</f>
        <v>36910000</v>
      </c>
      <c r="K1119" s="195">
        <f>+I1119+J1119</f>
        <v>42410000</v>
      </c>
    </row>
    <row r="1120" spans="1:15" ht="12.75" customHeight="1">
      <c r="A1120" s="72">
        <v>721</v>
      </c>
      <c r="B1120" s="80" t="e">
        <f>+#REF!+#REF!+#REF!+#REF!+#REF!</f>
        <v>#REF!</v>
      </c>
      <c r="C1120" s="74" t="e">
        <f>+D1081</f>
        <v>#REF!</v>
      </c>
      <c r="D1120" s="195" t="e">
        <f>+B1120+C1120</f>
        <v>#REF!</v>
      </c>
      <c r="H1120" s="72">
        <v>721</v>
      </c>
      <c r="I1120" s="80">
        <f>+O1098+O1100+O1102</f>
        <v>245000</v>
      </c>
      <c r="J1120" s="74">
        <f>+K1081</f>
        <v>8193500</v>
      </c>
      <c r="K1120" s="195">
        <f>+I1120+J1120</f>
        <v>8438500</v>
      </c>
    </row>
    <row r="1121" spans="1:15" ht="13.5" customHeight="1">
      <c r="A1121" s="72">
        <v>722</v>
      </c>
      <c r="B1121" s="80"/>
      <c r="C1121" s="74" t="e">
        <f>+D1082</f>
        <v>#REF!</v>
      </c>
      <c r="D1121" s="195" t="e">
        <f>+B1121+C1121</f>
        <v>#REF!</v>
      </c>
      <c r="H1121" s="72">
        <v>722</v>
      </c>
      <c r="I1121" s="80"/>
      <c r="J1121" s="74">
        <f>+K1082</f>
        <v>0</v>
      </c>
      <c r="K1121" s="195">
        <f>+I1121+J1121</f>
        <v>0</v>
      </c>
    </row>
    <row r="1122" spans="1:15" ht="13.5" customHeight="1">
      <c r="A1122" s="72">
        <v>723</v>
      </c>
      <c r="B1122" s="80"/>
      <c r="C1122" s="74" t="e">
        <f>+D1083</f>
        <v>#REF!</v>
      </c>
      <c r="D1122" s="195" t="e">
        <f>+B1122+C1122</f>
        <v>#REF!</v>
      </c>
      <c r="F1122" s="174" t="s">
        <v>23</v>
      </c>
      <c r="G1122" s="175"/>
      <c r="H1122" s="72">
        <v>723</v>
      </c>
      <c r="I1122" s="80">
        <f>+O1107</f>
        <v>1803150</v>
      </c>
      <c r="J1122" s="74">
        <f>+K1083</f>
        <v>336164040</v>
      </c>
      <c r="K1122" s="195">
        <f>+I1122+J1122</f>
        <v>337967190</v>
      </c>
      <c r="M1122" s="918" t="s">
        <v>1862</v>
      </c>
      <c r="N1122" s="918"/>
      <c r="O1122" s="918"/>
    </row>
    <row r="1123" spans="1:15" ht="14.25" customHeight="1" thickBot="1">
      <c r="A1123" s="164" t="s">
        <v>181</v>
      </c>
      <c r="B1123" s="165"/>
      <c r="C1123" s="74" t="e">
        <f>+D1084</f>
        <v>#REF!</v>
      </c>
      <c r="D1123" s="196" t="e">
        <f>+B1123+C1123</f>
        <v>#REF!</v>
      </c>
      <c r="F1123" s="52"/>
      <c r="H1123" s="164" t="s">
        <v>181</v>
      </c>
      <c r="I1123" s="165"/>
      <c r="J1123" s="74">
        <f>+K1084</f>
        <v>0</v>
      </c>
      <c r="K1123" s="196">
        <f>+I1123+J1123</f>
        <v>0</v>
      </c>
      <c r="M1123" s="52"/>
    </row>
    <row r="1124" spans="1:15" ht="16.5" thickBot="1">
      <c r="A1124" s="169"/>
      <c r="B1124" s="170" t="e">
        <f>SUM(B1119:B1123)</f>
        <v>#REF!</v>
      </c>
      <c r="C1124" s="171" t="e">
        <f>SUM(C1119:C1123)</f>
        <v>#REF!</v>
      </c>
      <c r="D1124" s="172" t="e">
        <f>SUM(D1119:D1123)</f>
        <v>#REF!</v>
      </c>
      <c r="H1124" s="169"/>
      <c r="I1124" s="197">
        <f>SUM(I1119:I1123)</f>
        <v>7548150</v>
      </c>
      <c r="J1124" s="197">
        <f>SUM(J1119:J1123)</f>
        <v>381267540</v>
      </c>
      <c r="K1124" s="198">
        <f>SUM(K1119:K1123)</f>
        <v>388815690</v>
      </c>
    </row>
    <row r="1125" spans="1:15" ht="16.5">
      <c r="A1125" s="49" t="s">
        <v>88</v>
      </c>
      <c r="B1125" s="50"/>
      <c r="H1125" s="49" t="s">
        <v>88</v>
      </c>
      <c r="I1125" s="50"/>
    </row>
    <row r="1126" spans="1:15">
      <c r="A1126" s="51" t="s">
        <v>89</v>
      </c>
      <c r="H1126" s="51" t="s">
        <v>89</v>
      </c>
    </row>
    <row r="1127" spans="1:15">
      <c r="A1127" s="51" t="s">
        <v>90</v>
      </c>
      <c r="H1127" s="51" t="s">
        <v>90</v>
      </c>
    </row>
    <row r="1128" spans="1:15">
      <c r="A1128" s="51" t="s">
        <v>91</v>
      </c>
      <c r="H1128" s="51" t="s">
        <v>91</v>
      </c>
    </row>
    <row r="1129" spans="1:15" ht="10.5" customHeight="1">
      <c r="A1129" s="50"/>
      <c r="B1129" s="50"/>
      <c r="H1129" s="50"/>
      <c r="I1129" s="50"/>
    </row>
    <row r="1130" spans="1:15" ht="16.5">
      <c r="A1130" s="52" t="s">
        <v>486</v>
      </c>
      <c r="G1130" s="52"/>
      <c r="H1130" s="260" t="s">
        <v>855</v>
      </c>
      <c r="N1130" s="52"/>
    </row>
    <row r="1131" spans="1:15" ht="15.75">
      <c r="A1131" s="53" t="s">
        <v>92</v>
      </c>
      <c r="G1131" s="53"/>
      <c r="H1131" s="53" t="s">
        <v>1333</v>
      </c>
      <c r="N1131" s="53"/>
    </row>
    <row r="1132" spans="1:15" ht="16.5">
      <c r="A1132" s="894" t="s">
        <v>485</v>
      </c>
      <c r="B1132" s="894"/>
      <c r="C1132" s="894"/>
      <c r="D1132" s="894"/>
      <c r="E1132" s="894"/>
      <c r="F1132" s="894"/>
      <c r="G1132" s="894"/>
      <c r="H1132" s="894" t="s">
        <v>1546</v>
      </c>
      <c r="I1132" s="894"/>
      <c r="J1132" s="894"/>
      <c r="K1132" s="894"/>
      <c r="L1132" s="894"/>
      <c r="M1132" s="894"/>
      <c r="N1132" s="894"/>
      <c r="O1132" s="894"/>
    </row>
    <row r="1133" spans="1:15" ht="15.75" thickBot="1"/>
    <row r="1134" spans="1:15">
      <c r="A1134" s="895" t="s">
        <v>94</v>
      </c>
      <c r="B1134" s="897" t="s">
        <v>95</v>
      </c>
      <c r="C1134" s="897" t="s">
        <v>96</v>
      </c>
      <c r="D1134" s="897" t="s">
        <v>3</v>
      </c>
      <c r="E1134" s="897" t="s">
        <v>97</v>
      </c>
      <c r="F1134" s="897" t="s">
        <v>98</v>
      </c>
      <c r="G1134" s="500" t="s">
        <v>99</v>
      </c>
      <c r="H1134" s="895" t="s">
        <v>94</v>
      </c>
      <c r="I1134" s="897" t="s">
        <v>95</v>
      </c>
      <c r="J1134" s="897" t="s">
        <v>96</v>
      </c>
      <c r="K1134" s="897" t="s">
        <v>3</v>
      </c>
      <c r="L1134" s="897" t="s">
        <v>97</v>
      </c>
      <c r="M1134" s="897" t="s">
        <v>98</v>
      </c>
      <c r="N1134" s="897" t="s">
        <v>99</v>
      </c>
      <c r="O1134" s="899"/>
    </row>
    <row r="1135" spans="1:15" ht="15.75" thickBot="1">
      <c r="A1135" s="896"/>
      <c r="B1135" s="898"/>
      <c r="C1135" s="898"/>
      <c r="D1135" s="898"/>
      <c r="E1135" s="898"/>
      <c r="F1135" s="898"/>
      <c r="G1135" s="240" t="s">
        <v>100</v>
      </c>
      <c r="H1135" s="896"/>
      <c r="I1135" s="898"/>
      <c r="J1135" s="898"/>
      <c r="K1135" s="898"/>
      <c r="L1135" s="898"/>
      <c r="M1135" s="898"/>
      <c r="N1135" s="240" t="s">
        <v>100</v>
      </c>
      <c r="O1135" s="182" t="s">
        <v>101</v>
      </c>
    </row>
    <row r="1136" spans="1:15" ht="13.5" customHeight="1">
      <c r="A1136" s="919">
        <v>1</v>
      </c>
      <c r="B1136" s="875">
        <v>42345</v>
      </c>
      <c r="C1136" s="877" t="s">
        <v>487</v>
      </c>
      <c r="D1136" s="877" t="s">
        <v>251</v>
      </c>
      <c r="E1136" s="881" t="s">
        <v>145</v>
      </c>
      <c r="F1136" s="883">
        <v>-4280256</v>
      </c>
      <c r="G1136" s="55">
        <v>719</v>
      </c>
      <c r="H1136" s="873" t="s">
        <v>1542</v>
      </c>
      <c r="I1136" s="875">
        <v>43062</v>
      </c>
      <c r="J1136" s="881" t="s">
        <v>1544</v>
      </c>
      <c r="K1136" s="881" t="s">
        <v>1548</v>
      </c>
      <c r="L1136" s="881" t="s">
        <v>115</v>
      </c>
      <c r="M1136" s="883">
        <v>250000</v>
      </c>
      <c r="N1136" s="55">
        <v>719</v>
      </c>
      <c r="O1136" s="78">
        <f>+M1136</f>
        <v>250000</v>
      </c>
    </row>
    <row r="1137" spans="1:15" ht="12.75" customHeight="1" thickBot="1">
      <c r="A1137" s="920"/>
      <c r="B1137" s="876"/>
      <c r="C1137" s="878"/>
      <c r="D1137" s="878"/>
      <c r="E1137" s="882"/>
      <c r="F1137" s="884"/>
      <c r="G1137" s="56">
        <v>721</v>
      </c>
      <c r="H1137" s="874"/>
      <c r="I1137" s="876"/>
      <c r="J1137" s="882"/>
      <c r="K1137" s="882"/>
      <c r="L1137" s="882"/>
      <c r="M1137" s="884"/>
      <c r="N1137" s="56">
        <v>721</v>
      </c>
      <c r="O1137" s="79">
        <f>+M1136-O1136</f>
        <v>0</v>
      </c>
    </row>
    <row r="1138" spans="1:15" ht="13.5" customHeight="1">
      <c r="A1138" s="919">
        <v>2</v>
      </c>
      <c r="B1138" s="875">
        <v>42345</v>
      </c>
      <c r="C1138" s="877" t="s">
        <v>249</v>
      </c>
      <c r="D1138" s="877" t="s">
        <v>251</v>
      </c>
      <c r="E1138" s="881" t="s">
        <v>145</v>
      </c>
      <c r="F1138" s="883">
        <v>-2140128</v>
      </c>
      <c r="G1138" s="55">
        <v>719</v>
      </c>
      <c r="H1138" s="881">
        <f>+H1136+1</f>
        <v>141</v>
      </c>
      <c r="I1138" s="875">
        <v>43062</v>
      </c>
      <c r="J1138" s="881" t="s">
        <v>1544</v>
      </c>
      <c r="K1138" s="879" t="s">
        <v>1549</v>
      </c>
      <c r="L1138" s="881" t="s">
        <v>115</v>
      </c>
      <c r="M1138" s="883">
        <v>100000</v>
      </c>
      <c r="N1138" s="55">
        <v>719</v>
      </c>
      <c r="O1138" s="78">
        <v>100000</v>
      </c>
    </row>
    <row r="1139" spans="1:15" ht="12.75" customHeight="1" thickBot="1">
      <c r="A1139" s="920"/>
      <c r="B1139" s="876"/>
      <c r="C1139" s="878"/>
      <c r="D1139" s="878"/>
      <c r="E1139" s="882"/>
      <c r="F1139" s="884"/>
      <c r="G1139" s="56">
        <v>721</v>
      </c>
      <c r="H1139" s="882"/>
      <c r="I1139" s="876"/>
      <c r="J1139" s="882"/>
      <c r="K1139" s="880"/>
      <c r="L1139" s="882"/>
      <c r="M1139" s="884"/>
      <c r="N1139" s="56">
        <v>721</v>
      </c>
      <c r="O1139" s="79">
        <v>0</v>
      </c>
    </row>
    <row r="1140" spans="1:15" ht="13.5" customHeight="1">
      <c r="A1140" s="881"/>
      <c r="B1140" s="875"/>
      <c r="C1140" s="877"/>
      <c r="D1140" s="881"/>
      <c r="E1140" s="881"/>
      <c r="F1140" s="883"/>
      <c r="G1140" s="55">
        <v>719</v>
      </c>
      <c r="H1140" s="881">
        <f>+H1138+1</f>
        <v>142</v>
      </c>
      <c r="I1140" s="875">
        <v>43062</v>
      </c>
      <c r="J1140" s="877" t="s">
        <v>28</v>
      </c>
      <c r="K1140" s="879" t="s">
        <v>1543</v>
      </c>
      <c r="L1140" s="881" t="s">
        <v>115</v>
      </c>
      <c r="M1140" s="883">
        <v>80000</v>
      </c>
      <c r="N1140" s="55">
        <v>719</v>
      </c>
      <c r="O1140" s="78">
        <v>80000</v>
      </c>
    </row>
    <row r="1141" spans="1:15" ht="13.5" customHeight="1" thickBot="1">
      <c r="A1141" s="882"/>
      <c r="B1141" s="876"/>
      <c r="C1141" s="878"/>
      <c r="D1141" s="882"/>
      <c r="E1141" s="882"/>
      <c r="F1141" s="884"/>
      <c r="G1141" s="56">
        <v>721</v>
      </c>
      <c r="H1141" s="882"/>
      <c r="I1141" s="876"/>
      <c r="J1141" s="878"/>
      <c r="K1141" s="880"/>
      <c r="L1141" s="882"/>
      <c r="M1141" s="884"/>
      <c r="N1141" s="56">
        <v>721</v>
      </c>
      <c r="O1141" s="79">
        <f>+M1140-O1140</f>
        <v>0</v>
      </c>
    </row>
    <row r="1142" spans="1:15" ht="12.75" customHeight="1">
      <c r="A1142" s="881"/>
      <c r="B1142" s="875"/>
      <c r="C1142" s="877"/>
      <c r="D1142" s="881"/>
      <c r="E1142" s="881"/>
      <c r="F1142" s="883"/>
      <c r="G1142" s="55">
        <v>719</v>
      </c>
      <c r="H1142" s="881">
        <f>+H1140+1</f>
        <v>143</v>
      </c>
      <c r="I1142" s="875">
        <v>43062</v>
      </c>
      <c r="J1142" s="877" t="s">
        <v>28</v>
      </c>
      <c r="K1142" s="879" t="s">
        <v>1550</v>
      </c>
      <c r="L1142" s="881" t="s">
        <v>115</v>
      </c>
      <c r="M1142" s="883">
        <v>200000</v>
      </c>
      <c r="N1142" s="55">
        <v>719</v>
      </c>
      <c r="O1142" s="78">
        <v>200000</v>
      </c>
    </row>
    <row r="1143" spans="1:15" ht="12.75" customHeight="1" thickBot="1">
      <c r="A1143" s="882"/>
      <c r="B1143" s="876"/>
      <c r="C1143" s="878"/>
      <c r="D1143" s="882"/>
      <c r="E1143" s="882"/>
      <c r="F1143" s="884"/>
      <c r="G1143" s="56">
        <v>721</v>
      </c>
      <c r="H1143" s="882"/>
      <c r="I1143" s="876"/>
      <c r="J1143" s="878"/>
      <c r="K1143" s="880"/>
      <c r="L1143" s="882"/>
      <c r="M1143" s="884"/>
      <c r="N1143" s="56">
        <v>721</v>
      </c>
      <c r="O1143" s="79">
        <f>+M1142-O1142</f>
        <v>0</v>
      </c>
    </row>
    <row r="1144" spans="1:15" ht="14.25" customHeight="1">
      <c r="A1144" s="881"/>
      <c r="B1144" s="875"/>
      <c r="C1144" s="877"/>
      <c r="D1144" s="881"/>
      <c r="E1144" s="881"/>
      <c r="F1144" s="883"/>
      <c r="G1144" s="55">
        <v>719</v>
      </c>
      <c r="H1144" s="881">
        <f>+H1142+1</f>
        <v>144</v>
      </c>
      <c r="I1144" s="875">
        <v>43062</v>
      </c>
      <c r="J1144" s="877" t="s">
        <v>28</v>
      </c>
      <c r="K1144" s="879" t="s">
        <v>1552</v>
      </c>
      <c r="L1144" s="881" t="s">
        <v>115</v>
      </c>
      <c r="M1144" s="883">
        <v>290000</v>
      </c>
      <c r="N1144" s="55">
        <v>719</v>
      </c>
      <c r="O1144" s="78">
        <v>290000</v>
      </c>
    </row>
    <row r="1145" spans="1:15" ht="13.5" customHeight="1" thickBot="1">
      <c r="A1145" s="882"/>
      <c r="B1145" s="876"/>
      <c r="C1145" s="878"/>
      <c r="D1145" s="882"/>
      <c r="E1145" s="882"/>
      <c r="F1145" s="884"/>
      <c r="G1145" s="56">
        <v>721</v>
      </c>
      <c r="H1145" s="882"/>
      <c r="I1145" s="876"/>
      <c r="J1145" s="878"/>
      <c r="K1145" s="880"/>
      <c r="L1145" s="882"/>
      <c r="M1145" s="884"/>
      <c r="N1145" s="56">
        <v>721</v>
      </c>
      <c r="O1145" s="79">
        <f>+M1144-O1144</f>
        <v>0</v>
      </c>
    </row>
    <row r="1146" spans="1:15" ht="16.5" thickBot="1">
      <c r="A1146" s="901" t="s">
        <v>102</v>
      </c>
      <c r="B1146" s="902"/>
      <c r="C1146" s="902"/>
      <c r="D1146" s="902"/>
      <c r="E1146" s="903"/>
      <c r="F1146" s="81">
        <f>SUM(F1136:F1145)</f>
        <v>-6420384</v>
      </c>
      <c r="H1146" s="901" t="s">
        <v>102</v>
      </c>
      <c r="I1146" s="902"/>
      <c r="J1146" s="902"/>
      <c r="K1146" s="902"/>
      <c r="L1146" s="903"/>
      <c r="M1146" s="81">
        <f>SUM(M1136:M1145)</f>
        <v>920000</v>
      </c>
    </row>
    <row r="1147" spans="1:15" ht="16.5" thickBot="1">
      <c r="A1147" s="885" t="s">
        <v>103</v>
      </c>
      <c r="B1147" s="886"/>
      <c r="C1147" s="886"/>
      <c r="D1147" s="886"/>
      <c r="E1147" s="887"/>
      <c r="F1147" s="69" t="e">
        <f>+F1111</f>
        <v>#REF!</v>
      </c>
      <c r="H1147" s="885" t="s">
        <v>103</v>
      </c>
      <c r="I1147" s="886"/>
      <c r="J1147" s="886"/>
      <c r="K1147" s="886"/>
      <c r="L1147" s="887"/>
      <c r="M1147" s="69">
        <f>+M1111</f>
        <v>388815690</v>
      </c>
      <c r="N1147" s="241" t="s">
        <v>561</v>
      </c>
      <c r="O1147" s="242"/>
    </row>
    <row r="1148" spans="1:15" ht="16.5" thickBot="1">
      <c r="A1148" s="888" t="s">
        <v>104</v>
      </c>
      <c r="B1148" s="889"/>
      <c r="C1148" s="889"/>
      <c r="D1148" s="889"/>
      <c r="E1148" s="890"/>
      <c r="F1148" s="183" t="e">
        <f>SUM(F1146:F1147)</f>
        <v>#REF!</v>
      </c>
      <c r="H1148" s="888" t="s">
        <v>104</v>
      </c>
      <c r="I1148" s="889"/>
      <c r="J1148" s="889"/>
      <c r="K1148" s="889"/>
      <c r="L1148" s="890"/>
      <c r="M1148" s="183">
        <f>SUM(M1146:M1147)</f>
        <v>389735690</v>
      </c>
    </row>
    <row r="1149" spans="1:15" ht="12.75" customHeight="1">
      <c r="A1149" s="61"/>
      <c r="B1149" s="61"/>
      <c r="C1149" s="61"/>
      <c r="D1149" s="61"/>
      <c r="E1149" s="61"/>
      <c r="H1149" s="61"/>
      <c r="I1149" s="61"/>
      <c r="J1149" s="61"/>
      <c r="K1149" s="61"/>
      <c r="L1149" s="61"/>
    </row>
    <row r="1150" spans="1:15">
      <c r="A1150" s="51" t="s">
        <v>488</v>
      </c>
      <c r="H1150" s="51" t="s">
        <v>1551</v>
      </c>
    </row>
    <row r="1151" spans="1:15" ht="12" customHeight="1">
      <c r="F1151" s="139"/>
      <c r="M1151" s="139"/>
    </row>
    <row r="1152" spans="1:15">
      <c r="A1152" s="50" t="s">
        <v>105</v>
      </c>
      <c r="D1152" s="146"/>
      <c r="F1152" s="139"/>
      <c r="H1152" s="50" t="s">
        <v>105</v>
      </c>
      <c r="K1152" s="146"/>
      <c r="M1152" s="139"/>
    </row>
    <row r="1153" spans="1:15" ht="12.75" customHeight="1" thickBot="1"/>
    <row r="1154" spans="1:15" ht="15.75" thickBot="1">
      <c r="A1154" s="891" t="s">
        <v>106</v>
      </c>
      <c r="B1154" s="892"/>
      <c r="C1154" s="892"/>
      <c r="D1154" s="893"/>
      <c r="F1154" s="50" t="s">
        <v>288</v>
      </c>
      <c r="H1154" s="891" t="s">
        <v>106</v>
      </c>
      <c r="I1154" s="892"/>
      <c r="J1154" s="892"/>
      <c r="K1154" s="893"/>
      <c r="M1154" s="925" t="s">
        <v>288</v>
      </c>
      <c r="N1154" s="925"/>
      <c r="O1154" s="925"/>
    </row>
    <row r="1155" spans="1:15" ht="45.75" thickBot="1">
      <c r="A1155" s="57" t="s">
        <v>100</v>
      </c>
      <c r="B1155" s="58" t="s">
        <v>108</v>
      </c>
      <c r="C1155" s="59" t="s">
        <v>109</v>
      </c>
      <c r="D1155" s="60" t="s">
        <v>110</v>
      </c>
      <c r="H1155" s="57" t="s">
        <v>100</v>
      </c>
      <c r="I1155" s="58" t="s">
        <v>108</v>
      </c>
      <c r="J1155" s="59" t="s">
        <v>109</v>
      </c>
      <c r="K1155" s="60" t="s">
        <v>110</v>
      </c>
    </row>
    <row r="1156" spans="1:15">
      <c r="A1156" s="71">
        <v>719</v>
      </c>
      <c r="B1156" s="73" t="e">
        <f>+#REF!+#REF!+#REF!+#REF!+#REF!</f>
        <v>#REF!</v>
      </c>
      <c r="C1156" s="74" t="e">
        <f>+D1119</f>
        <v>#REF!</v>
      </c>
      <c r="D1156" s="195" t="e">
        <f>+B1156+C1156</f>
        <v>#REF!</v>
      </c>
      <c r="H1156" s="71">
        <v>719</v>
      </c>
      <c r="I1156" s="73">
        <f>+O1136+O1138+O1140+O1144+O1142</f>
        <v>920000</v>
      </c>
      <c r="J1156" s="74">
        <f>+K1119</f>
        <v>42410000</v>
      </c>
      <c r="K1156" s="195">
        <f>+I1156+J1156</f>
        <v>43330000</v>
      </c>
    </row>
    <row r="1157" spans="1:15">
      <c r="A1157" s="72">
        <v>721</v>
      </c>
      <c r="B1157" s="80" t="e">
        <f>(+#REF!+#REF!+#REF!+#REF!+#REF!)</f>
        <v>#REF!</v>
      </c>
      <c r="C1157" s="74" t="e">
        <f>+D1120</f>
        <v>#REF!</v>
      </c>
      <c r="D1157" s="195" t="e">
        <f>+B1157+C1157</f>
        <v>#REF!</v>
      </c>
      <c r="H1157" s="72">
        <v>721</v>
      </c>
      <c r="I1157" s="80">
        <f>+O1137+O1139+O1141+O1143+O1145</f>
        <v>0</v>
      </c>
      <c r="J1157" s="74">
        <f>+K1120</f>
        <v>8438500</v>
      </c>
      <c r="K1157" s="195">
        <f>+I1157+J1157</f>
        <v>8438500</v>
      </c>
    </row>
    <row r="1158" spans="1:15" ht="15.75">
      <c r="A1158" s="72">
        <v>722</v>
      </c>
      <c r="B1158" s="80"/>
      <c r="C1158" s="74" t="e">
        <f>+D1121</f>
        <v>#REF!</v>
      </c>
      <c r="D1158" s="195" t="e">
        <f>+B1158+C1158</f>
        <v>#REF!</v>
      </c>
      <c r="H1158" s="72">
        <v>722</v>
      </c>
      <c r="I1158" s="80"/>
      <c r="J1158" s="74">
        <f>+K1121</f>
        <v>0</v>
      </c>
      <c r="K1158" s="195">
        <f>+I1158+J1158</f>
        <v>0</v>
      </c>
      <c r="M1158" s="918" t="s">
        <v>1481</v>
      </c>
      <c r="N1158" s="918"/>
      <c r="O1158" s="918"/>
    </row>
    <row r="1159" spans="1:15" ht="14.25" customHeight="1">
      <c r="A1159" s="72">
        <v>723</v>
      </c>
      <c r="B1159" s="80"/>
      <c r="C1159" s="74" t="e">
        <f>+D1122</f>
        <v>#REF!</v>
      </c>
      <c r="D1159" s="195" t="e">
        <f>+B1159+C1159</f>
        <v>#REF!</v>
      </c>
      <c r="F1159" s="174" t="s">
        <v>23</v>
      </c>
      <c r="G1159" s="175"/>
      <c r="H1159" s="72">
        <v>723</v>
      </c>
      <c r="I1159" s="80"/>
      <c r="J1159" s="74">
        <f>+K1122</f>
        <v>337967190</v>
      </c>
      <c r="K1159" s="195">
        <f>+I1159+J1159</f>
        <v>337967190</v>
      </c>
      <c r="M1159" s="193"/>
      <c r="N1159" s="175"/>
    </row>
    <row r="1160" spans="1:15" ht="13.5" customHeight="1" thickBot="1">
      <c r="A1160" s="164" t="s">
        <v>181</v>
      </c>
      <c r="B1160" s="165"/>
      <c r="C1160" s="74" t="e">
        <f>+D1123</f>
        <v>#REF!</v>
      </c>
      <c r="D1160" s="196" t="e">
        <f>+B1160+C1160</f>
        <v>#REF!</v>
      </c>
      <c r="F1160" s="52"/>
      <c r="H1160" s="164" t="s">
        <v>181</v>
      </c>
      <c r="I1160" s="165"/>
      <c r="J1160" s="74">
        <f>+K1123</f>
        <v>0</v>
      </c>
      <c r="K1160" s="196">
        <f>+I1160+J1160</f>
        <v>0</v>
      </c>
      <c r="M1160" s="52"/>
    </row>
    <row r="1161" spans="1:15" ht="16.5" thickBot="1">
      <c r="A1161" s="169"/>
      <c r="B1161" s="170" t="e">
        <f>SUM(B1156:B1160)</f>
        <v>#REF!</v>
      </c>
      <c r="C1161" s="171" t="e">
        <f>SUM(C1156:C1160)</f>
        <v>#REF!</v>
      </c>
      <c r="D1161" s="172" t="e">
        <f>SUM(D1156:D1160)</f>
        <v>#REF!</v>
      </c>
      <c r="H1161" s="169"/>
      <c r="I1161" s="197">
        <f>SUM(I1156:I1160)</f>
        <v>920000</v>
      </c>
      <c r="J1161" s="197">
        <f>SUM(J1156:J1160)</f>
        <v>388815690</v>
      </c>
      <c r="K1161" s="198">
        <f>SUM(K1156:K1160)</f>
        <v>389735690</v>
      </c>
    </row>
    <row r="1162" spans="1:15" ht="16.5">
      <c r="A1162" s="49" t="s">
        <v>88</v>
      </c>
      <c r="B1162" s="50"/>
      <c r="H1162" s="49" t="s">
        <v>88</v>
      </c>
      <c r="I1162" s="50"/>
    </row>
    <row r="1163" spans="1:15" ht="14.25" customHeight="1">
      <c r="A1163" s="51" t="s">
        <v>89</v>
      </c>
      <c r="H1163" s="51" t="s">
        <v>89</v>
      </c>
    </row>
    <row r="1164" spans="1:15" ht="12.75" customHeight="1">
      <c r="A1164" s="51" t="s">
        <v>90</v>
      </c>
      <c r="H1164" s="51" t="s">
        <v>90</v>
      </c>
    </row>
    <row r="1165" spans="1:15">
      <c r="A1165" s="51" t="s">
        <v>91</v>
      </c>
      <c r="H1165" s="51" t="s">
        <v>91</v>
      </c>
    </row>
    <row r="1166" spans="1:15" ht="11.25" customHeight="1">
      <c r="A1166" s="50"/>
      <c r="B1166" s="50"/>
      <c r="H1166" s="50"/>
      <c r="I1166" s="50"/>
    </row>
    <row r="1167" spans="1:15" ht="16.5">
      <c r="A1167" s="52" t="s">
        <v>489</v>
      </c>
      <c r="G1167" s="52"/>
      <c r="H1167" s="260" t="s">
        <v>185</v>
      </c>
      <c r="N1167" s="52"/>
    </row>
    <row r="1168" spans="1:15" ht="15.75">
      <c r="A1168" s="53" t="s">
        <v>92</v>
      </c>
      <c r="G1168" s="53"/>
      <c r="H1168" s="53" t="s">
        <v>1333</v>
      </c>
      <c r="N1168" s="53"/>
    </row>
    <row r="1169" spans="1:15" ht="16.5">
      <c r="A1169" s="894" t="s">
        <v>462</v>
      </c>
      <c r="B1169" s="894"/>
      <c r="C1169" s="894"/>
      <c r="D1169" s="894"/>
      <c r="E1169" s="894"/>
      <c r="F1169" s="894"/>
      <c r="G1169" s="894"/>
      <c r="H1169" s="894" t="s">
        <v>1547</v>
      </c>
      <c r="I1169" s="894"/>
      <c r="J1169" s="894"/>
      <c r="K1169" s="894"/>
      <c r="L1169" s="894"/>
      <c r="M1169" s="894"/>
      <c r="N1169" s="894"/>
      <c r="O1169" s="894"/>
    </row>
    <row r="1170" spans="1:15" ht="15.75" thickBot="1"/>
    <row r="1171" spans="1:15">
      <c r="A1171" s="895" t="s">
        <v>94</v>
      </c>
      <c r="B1171" s="897" t="s">
        <v>95</v>
      </c>
      <c r="C1171" s="897" t="s">
        <v>96</v>
      </c>
      <c r="D1171" s="897" t="s">
        <v>3</v>
      </c>
      <c r="E1171" s="897" t="s">
        <v>97</v>
      </c>
      <c r="F1171" s="897" t="s">
        <v>98</v>
      </c>
      <c r="G1171" s="500" t="s">
        <v>99</v>
      </c>
      <c r="H1171" s="895" t="s">
        <v>94</v>
      </c>
      <c r="I1171" s="897" t="s">
        <v>95</v>
      </c>
      <c r="J1171" s="897" t="s">
        <v>96</v>
      </c>
      <c r="K1171" s="897" t="s">
        <v>3</v>
      </c>
      <c r="L1171" s="897" t="s">
        <v>97</v>
      </c>
      <c r="M1171" s="897" t="s">
        <v>98</v>
      </c>
      <c r="N1171" s="897" t="s">
        <v>99</v>
      </c>
      <c r="O1171" s="899"/>
    </row>
    <row r="1172" spans="1:15" ht="15.75" thickBot="1">
      <c r="A1172" s="896"/>
      <c r="B1172" s="898"/>
      <c r="C1172" s="898"/>
      <c r="D1172" s="898"/>
      <c r="E1172" s="898"/>
      <c r="F1172" s="898"/>
      <c r="G1172" s="240" t="s">
        <v>100</v>
      </c>
      <c r="H1172" s="896"/>
      <c r="I1172" s="898"/>
      <c r="J1172" s="898"/>
      <c r="K1172" s="898"/>
      <c r="L1172" s="898"/>
      <c r="M1172" s="898"/>
      <c r="N1172" s="240" t="s">
        <v>100</v>
      </c>
      <c r="O1172" s="182" t="s">
        <v>101</v>
      </c>
    </row>
    <row r="1173" spans="1:15" ht="12" customHeight="1">
      <c r="A1173" s="919" t="e">
        <f>+#REF!+1</f>
        <v>#REF!</v>
      </c>
      <c r="B1173" s="875">
        <v>42355</v>
      </c>
      <c r="C1173" s="877" t="s">
        <v>31</v>
      </c>
      <c r="D1173" s="877" t="s">
        <v>490</v>
      </c>
      <c r="E1173" s="881" t="s">
        <v>115</v>
      </c>
      <c r="F1173" s="883">
        <v>50000</v>
      </c>
      <c r="G1173" s="55">
        <v>719</v>
      </c>
      <c r="H1173" s="873" t="s">
        <v>856</v>
      </c>
      <c r="I1173" s="875">
        <v>43062</v>
      </c>
      <c r="J1173" s="881" t="s">
        <v>472</v>
      </c>
      <c r="K1173" s="879" t="s">
        <v>1553</v>
      </c>
      <c r="L1173" s="881" t="s">
        <v>148</v>
      </c>
      <c r="M1173" s="883">
        <v>364000</v>
      </c>
      <c r="N1173" s="55">
        <v>719</v>
      </c>
      <c r="O1173" s="78">
        <f>+M1173-O1174</f>
        <v>280000</v>
      </c>
    </row>
    <row r="1174" spans="1:15" ht="14.25" customHeight="1" thickBot="1">
      <c r="A1174" s="920"/>
      <c r="B1174" s="876"/>
      <c r="C1174" s="878"/>
      <c r="D1174" s="878"/>
      <c r="E1174" s="882"/>
      <c r="F1174" s="884"/>
      <c r="G1174" s="56">
        <v>721</v>
      </c>
      <c r="H1174" s="874"/>
      <c r="I1174" s="876"/>
      <c r="J1174" s="882"/>
      <c r="K1174" s="880"/>
      <c r="L1174" s="882"/>
      <c r="M1174" s="884"/>
      <c r="N1174" s="56">
        <v>721</v>
      </c>
      <c r="O1174" s="79">
        <v>84000</v>
      </c>
    </row>
    <row r="1175" spans="1:15" ht="11.25" customHeight="1">
      <c r="A1175" s="919" t="e">
        <f>+A1173+1</f>
        <v>#REF!</v>
      </c>
      <c r="B1175" s="875">
        <v>42355</v>
      </c>
      <c r="C1175" s="877" t="s">
        <v>32</v>
      </c>
      <c r="D1175" s="877" t="s">
        <v>491</v>
      </c>
      <c r="E1175" s="881" t="s">
        <v>115</v>
      </c>
      <c r="F1175" s="883">
        <v>20000</v>
      </c>
      <c r="G1175" s="55">
        <v>719</v>
      </c>
      <c r="H1175" s="881">
        <f>+H1173+1</f>
        <v>146</v>
      </c>
      <c r="I1175" s="875">
        <v>43062</v>
      </c>
      <c r="J1175" s="877" t="s">
        <v>40</v>
      </c>
      <c r="K1175" s="881" t="s">
        <v>1439</v>
      </c>
      <c r="L1175" s="881" t="s">
        <v>148</v>
      </c>
      <c r="M1175" s="883">
        <v>-7821240</v>
      </c>
      <c r="N1175" s="55">
        <v>719</v>
      </c>
      <c r="O1175" s="78"/>
    </row>
    <row r="1176" spans="1:15" ht="15.75" customHeight="1" thickBot="1">
      <c r="A1176" s="920"/>
      <c r="B1176" s="876"/>
      <c r="C1176" s="878"/>
      <c r="D1176" s="878"/>
      <c r="E1176" s="882"/>
      <c r="F1176" s="884"/>
      <c r="G1176" s="56">
        <v>721</v>
      </c>
      <c r="H1176" s="882"/>
      <c r="I1176" s="876"/>
      <c r="J1176" s="878"/>
      <c r="K1176" s="882"/>
      <c r="L1176" s="882"/>
      <c r="M1176" s="884"/>
      <c r="N1176" s="56">
        <v>723</v>
      </c>
      <c r="O1176" s="79">
        <f>+M1175-O1175</f>
        <v>-7821240</v>
      </c>
    </row>
    <row r="1177" spans="1:15" ht="12.75" customHeight="1">
      <c r="A1177" s="919"/>
      <c r="B1177" s="875"/>
      <c r="C1177" s="877"/>
      <c r="D1177" s="881"/>
      <c r="E1177" s="881"/>
      <c r="F1177" s="883"/>
      <c r="G1177" s="55">
        <v>719</v>
      </c>
      <c r="H1177" s="881">
        <f>+H1175+1</f>
        <v>147</v>
      </c>
      <c r="I1177" s="875">
        <v>43062</v>
      </c>
      <c r="J1177" s="881" t="s">
        <v>472</v>
      </c>
      <c r="K1177" s="879" t="s">
        <v>1554</v>
      </c>
      <c r="L1177" s="881" t="s">
        <v>148</v>
      </c>
      <c r="M1177" s="883">
        <v>299000</v>
      </c>
      <c r="N1177" s="55">
        <v>719</v>
      </c>
      <c r="O1177" s="78">
        <f>+M1177-O1178</f>
        <v>230000</v>
      </c>
    </row>
    <row r="1178" spans="1:15" ht="13.5" customHeight="1" thickBot="1">
      <c r="A1178" s="920"/>
      <c r="B1178" s="876"/>
      <c r="C1178" s="878"/>
      <c r="D1178" s="882"/>
      <c r="E1178" s="882"/>
      <c r="F1178" s="884"/>
      <c r="G1178" s="56">
        <v>721</v>
      </c>
      <c r="H1178" s="882"/>
      <c r="I1178" s="876"/>
      <c r="J1178" s="882"/>
      <c r="K1178" s="880"/>
      <c r="L1178" s="882"/>
      <c r="M1178" s="884"/>
      <c r="N1178" s="56">
        <v>721</v>
      </c>
      <c r="O1178" s="79">
        <v>69000</v>
      </c>
    </row>
    <row r="1179" spans="1:15" ht="12" customHeight="1">
      <c r="A1179" s="881"/>
      <c r="B1179" s="875"/>
      <c r="C1179" s="877"/>
      <c r="D1179" s="881"/>
      <c r="E1179" s="881"/>
      <c r="F1179" s="883"/>
      <c r="G1179" s="55">
        <v>719</v>
      </c>
      <c r="H1179" s="881">
        <f>+H1177+1</f>
        <v>148</v>
      </c>
      <c r="I1179" s="875">
        <v>43062</v>
      </c>
      <c r="J1179" s="881" t="s">
        <v>472</v>
      </c>
      <c r="K1179" s="879" t="s">
        <v>1555</v>
      </c>
      <c r="L1179" s="881" t="s">
        <v>148</v>
      </c>
      <c r="M1179" s="883">
        <v>559000</v>
      </c>
      <c r="N1179" s="55">
        <v>719</v>
      </c>
      <c r="O1179" s="78">
        <f>+M1179-O1180</f>
        <v>430000</v>
      </c>
    </row>
    <row r="1180" spans="1:15" ht="12.75" customHeight="1" thickBot="1">
      <c r="A1180" s="882"/>
      <c r="B1180" s="876"/>
      <c r="C1180" s="878"/>
      <c r="D1180" s="882"/>
      <c r="E1180" s="882"/>
      <c r="F1180" s="884"/>
      <c r="G1180" s="56">
        <v>721</v>
      </c>
      <c r="H1180" s="882"/>
      <c r="I1180" s="876"/>
      <c r="J1180" s="882"/>
      <c r="K1180" s="880"/>
      <c r="L1180" s="882"/>
      <c r="M1180" s="884"/>
      <c r="N1180" s="56">
        <v>721</v>
      </c>
      <c r="O1180" s="79">
        <v>129000</v>
      </c>
    </row>
    <row r="1181" spans="1:15" ht="12.75" customHeight="1">
      <c r="A1181" s="881"/>
      <c r="B1181" s="875"/>
      <c r="C1181" s="877"/>
      <c r="D1181" s="881"/>
      <c r="E1181" s="881"/>
      <c r="F1181" s="883"/>
      <c r="G1181" s="55">
        <v>719</v>
      </c>
      <c r="H1181" s="881">
        <f>+H1179+1</f>
        <v>149</v>
      </c>
      <c r="I1181" s="875">
        <v>43062</v>
      </c>
      <c r="J1181" s="881" t="s">
        <v>472</v>
      </c>
      <c r="K1181" s="879" t="s">
        <v>1556</v>
      </c>
      <c r="L1181" s="881" t="s">
        <v>148</v>
      </c>
      <c r="M1181" s="883">
        <v>637000</v>
      </c>
      <c r="N1181" s="55">
        <v>719</v>
      </c>
      <c r="O1181" s="78">
        <f>+M1181-O1182</f>
        <v>490000</v>
      </c>
    </row>
    <row r="1182" spans="1:15" ht="13.5" customHeight="1" thickBot="1">
      <c r="A1182" s="882"/>
      <c r="B1182" s="876"/>
      <c r="C1182" s="878"/>
      <c r="D1182" s="882"/>
      <c r="E1182" s="882"/>
      <c r="F1182" s="884"/>
      <c r="G1182" s="56">
        <v>721</v>
      </c>
      <c r="H1182" s="882"/>
      <c r="I1182" s="876"/>
      <c r="J1182" s="882"/>
      <c r="K1182" s="880"/>
      <c r="L1182" s="882"/>
      <c r="M1182" s="884"/>
      <c r="N1182" s="56">
        <v>721</v>
      </c>
      <c r="O1182" s="79">
        <v>147000</v>
      </c>
    </row>
    <row r="1183" spans="1:15" ht="16.5" thickBot="1">
      <c r="A1183" s="901" t="s">
        <v>102</v>
      </c>
      <c r="B1183" s="902"/>
      <c r="C1183" s="902"/>
      <c r="D1183" s="902"/>
      <c r="E1183" s="903"/>
      <c r="F1183" s="81">
        <f>SUM(F1173:F1182)</f>
        <v>70000</v>
      </c>
      <c r="H1183" s="901" t="s">
        <v>102</v>
      </c>
      <c r="I1183" s="902"/>
      <c r="J1183" s="902"/>
      <c r="K1183" s="902"/>
      <c r="L1183" s="903"/>
      <c r="M1183" s="81">
        <f>SUM(M1173:M1182)</f>
        <v>-5962240</v>
      </c>
    </row>
    <row r="1184" spans="1:15" ht="16.5" thickBot="1">
      <c r="A1184" s="885" t="s">
        <v>103</v>
      </c>
      <c r="B1184" s="886"/>
      <c r="C1184" s="886"/>
      <c r="D1184" s="886"/>
      <c r="E1184" s="887"/>
      <c r="F1184" s="69" t="e">
        <f>+F1148</f>
        <v>#REF!</v>
      </c>
      <c r="H1184" s="885" t="s">
        <v>103</v>
      </c>
      <c r="I1184" s="886"/>
      <c r="J1184" s="886"/>
      <c r="K1184" s="886"/>
      <c r="L1184" s="887"/>
      <c r="M1184" s="69">
        <f>+M1148</f>
        <v>389735690</v>
      </c>
      <c r="N1184" s="241" t="s">
        <v>561</v>
      </c>
      <c r="O1184" s="242"/>
    </row>
    <row r="1185" spans="1:15" ht="16.5" thickBot="1">
      <c r="A1185" s="888" t="s">
        <v>104</v>
      </c>
      <c r="B1185" s="889"/>
      <c r="C1185" s="889"/>
      <c r="D1185" s="889"/>
      <c r="E1185" s="890"/>
      <c r="F1185" s="183" t="e">
        <f>SUM(F1183:F1184)</f>
        <v>#REF!</v>
      </c>
      <c r="H1185" s="888" t="s">
        <v>104</v>
      </c>
      <c r="I1185" s="889"/>
      <c r="J1185" s="889"/>
      <c r="K1185" s="889"/>
      <c r="L1185" s="890"/>
      <c r="M1185" s="183">
        <f>SUM(M1183:M1184)</f>
        <v>383773450</v>
      </c>
    </row>
    <row r="1186" spans="1:15" ht="13.5" customHeight="1">
      <c r="A1186" s="61"/>
      <c r="B1186" s="61"/>
      <c r="C1186" s="61"/>
      <c r="D1186" s="61"/>
      <c r="E1186" s="61"/>
      <c r="H1186" s="61"/>
      <c r="I1186" s="61"/>
      <c r="J1186" s="61"/>
      <c r="K1186" s="61"/>
      <c r="L1186" s="61"/>
    </row>
    <row r="1187" spans="1:15">
      <c r="A1187" s="51" t="s">
        <v>492</v>
      </c>
      <c r="H1187" s="51" t="s">
        <v>1557</v>
      </c>
    </row>
    <row r="1188" spans="1:15" ht="11.25" customHeight="1">
      <c r="F1188" s="139"/>
      <c r="M1188" s="139"/>
    </row>
    <row r="1189" spans="1:15">
      <c r="A1189" s="50" t="s">
        <v>105</v>
      </c>
      <c r="D1189" s="146"/>
      <c r="F1189" s="139"/>
      <c r="H1189" s="50" t="s">
        <v>105</v>
      </c>
      <c r="K1189" s="146"/>
      <c r="M1189" s="139"/>
    </row>
    <row r="1190" spans="1:15" ht="13.5" customHeight="1" thickBot="1"/>
    <row r="1191" spans="1:15" ht="15.75" thickBot="1">
      <c r="A1191" s="891" t="s">
        <v>106</v>
      </c>
      <c r="B1191" s="892"/>
      <c r="C1191" s="892"/>
      <c r="D1191" s="893"/>
      <c r="F1191" s="50" t="s">
        <v>288</v>
      </c>
      <c r="H1191" s="891" t="s">
        <v>106</v>
      </c>
      <c r="I1191" s="892"/>
      <c r="J1191" s="892"/>
      <c r="K1191" s="893"/>
      <c r="M1191" s="925" t="s">
        <v>288</v>
      </c>
      <c r="N1191" s="925"/>
      <c r="O1191" s="925"/>
    </row>
    <row r="1192" spans="1:15" ht="45.75" thickBot="1">
      <c r="A1192" s="57" t="s">
        <v>100</v>
      </c>
      <c r="B1192" s="58" t="s">
        <v>108</v>
      </c>
      <c r="C1192" s="59" t="s">
        <v>109</v>
      </c>
      <c r="D1192" s="60" t="s">
        <v>110</v>
      </c>
      <c r="H1192" s="57" t="s">
        <v>100</v>
      </c>
      <c r="I1192" s="58" t="s">
        <v>108</v>
      </c>
      <c r="J1192" s="59" t="s">
        <v>109</v>
      </c>
      <c r="K1192" s="60" t="s">
        <v>110</v>
      </c>
    </row>
    <row r="1193" spans="1:15" ht="13.5" customHeight="1">
      <c r="A1193" s="71">
        <v>719</v>
      </c>
      <c r="B1193" s="73" t="e">
        <f>+#REF!+#REF!+#REF!+#REF!+#REF!</f>
        <v>#REF!</v>
      </c>
      <c r="C1193" s="74" t="e">
        <f>+D1156</f>
        <v>#REF!</v>
      </c>
      <c r="D1193" s="195" t="e">
        <f>+B1193+C1193</f>
        <v>#REF!</v>
      </c>
      <c r="H1193" s="71">
        <v>719</v>
      </c>
      <c r="I1193" s="73">
        <f>+O1173+O1175+O1177+O1179+O1181</f>
        <v>1430000</v>
      </c>
      <c r="J1193" s="74">
        <f>+K1156</f>
        <v>43330000</v>
      </c>
      <c r="K1193" s="195">
        <f>+I1193+J1193</f>
        <v>44760000</v>
      </c>
    </row>
    <row r="1194" spans="1:15">
      <c r="A1194" s="72">
        <v>721</v>
      </c>
      <c r="B1194" s="80" t="e">
        <f>(+#REF!+#REF!+#REF!+#REF!+#REF!)</f>
        <v>#REF!</v>
      </c>
      <c r="C1194" s="74" t="e">
        <f>+D1157</f>
        <v>#REF!</v>
      </c>
      <c r="D1194" s="195" t="e">
        <f>+B1194+C1194</f>
        <v>#REF!</v>
      </c>
      <c r="H1194" s="72">
        <v>721</v>
      </c>
      <c r="I1194" s="80">
        <f>+O1174+O1178+O1180+O1182</f>
        <v>429000</v>
      </c>
      <c r="J1194" s="74">
        <f>+K1157</f>
        <v>8438500</v>
      </c>
      <c r="K1194" s="195">
        <f>+I1194+J1194</f>
        <v>8867500</v>
      </c>
    </row>
    <row r="1195" spans="1:15" ht="13.5" customHeight="1">
      <c r="A1195" s="72">
        <v>722</v>
      </c>
      <c r="B1195" s="80"/>
      <c r="C1195" s="74" t="e">
        <f>+D1158</f>
        <v>#REF!</v>
      </c>
      <c r="D1195" s="195" t="e">
        <f>+B1195+C1195</f>
        <v>#REF!</v>
      </c>
      <c r="H1195" s="72">
        <v>722</v>
      </c>
      <c r="I1195" s="80"/>
      <c r="J1195" s="74">
        <f>+K1158</f>
        <v>0</v>
      </c>
      <c r="K1195" s="195">
        <f>+I1195+J1195</f>
        <v>0</v>
      </c>
      <c r="M1195" s="918" t="s">
        <v>1481</v>
      </c>
      <c r="N1195" s="918"/>
      <c r="O1195" s="918"/>
    </row>
    <row r="1196" spans="1:15" ht="15.75">
      <c r="A1196" s="72">
        <v>723</v>
      </c>
      <c r="B1196" s="80"/>
      <c r="C1196" s="74" t="e">
        <f>+D1159</f>
        <v>#REF!</v>
      </c>
      <c r="D1196" s="195" t="e">
        <f>+B1196+C1196</f>
        <v>#REF!</v>
      </c>
      <c r="F1196" s="174" t="s">
        <v>23</v>
      </c>
      <c r="G1196" s="175"/>
      <c r="H1196" s="72">
        <v>723</v>
      </c>
      <c r="I1196" s="80">
        <f>+O1176</f>
        <v>-7821240</v>
      </c>
      <c r="J1196" s="74">
        <f>+K1159</f>
        <v>337967190</v>
      </c>
      <c r="K1196" s="195">
        <f>+I1196+J1196</f>
        <v>330145950</v>
      </c>
      <c r="M1196" s="193"/>
      <c r="N1196" s="175"/>
    </row>
    <row r="1197" spans="1:15" ht="14.25" customHeight="1" thickBot="1">
      <c r="A1197" s="164" t="s">
        <v>181</v>
      </c>
      <c r="B1197" s="165"/>
      <c r="C1197" s="74" t="e">
        <f>+D1160</f>
        <v>#REF!</v>
      </c>
      <c r="D1197" s="196" t="e">
        <f>+B1197+C1197</f>
        <v>#REF!</v>
      </c>
      <c r="F1197" s="52"/>
      <c r="H1197" s="164" t="s">
        <v>181</v>
      </c>
      <c r="I1197" s="165"/>
      <c r="J1197" s="74">
        <f>+K1160</f>
        <v>0</v>
      </c>
      <c r="K1197" s="196">
        <f>+I1197+J1197</f>
        <v>0</v>
      </c>
      <c r="M1197" s="52"/>
    </row>
    <row r="1198" spans="1:15" ht="16.5" thickBot="1">
      <c r="A1198" s="169"/>
      <c r="B1198" s="170" t="e">
        <f>SUM(B1193:B1197)</f>
        <v>#REF!</v>
      </c>
      <c r="C1198" s="171" t="e">
        <f>SUM(C1193:C1197)</f>
        <v>#REF!</v>
      </c>
      <c r="D1198" s="172" t="e">
        <f>SUM(D1193:D1197)</f>
        <v>#REF!</v>
      </c>
      <c r="H1198" s="169"/>
      <c r="I1198" s="197">
        <f>SUM(I1193:I1197)</f>
        <v>-5962240</v>
      </c>
      <c r="J1198" s="197">
        <f>SUM(J1193:J1197)</f>
        <v>389735690</v>
      </c>
      <c r="K1198" s="198">
        <f>SUM(K1193:K1197)</f>
        <v>383773450</v>
      </c>
    </row>
    <row r="1199" spans="1:15" ht="16.5">
      <c r="A1199" s="49" t="s">
        <v>88</v>
      </c>
      <c r="B1199" s="50"/>
      <c r="H1199" s="49" t="s">
        <v>88</v>
      </c>
      <c r="I1199" s="50"/>
    </row>
    <row r="1200" spans="1:15">
      <c r="A1200" s="51" t="s">
        <v>89</v>
      </c>
      <c r="H1200" s="51" t="s">
        <v>89</v>
      </c>
    </row>
    <row r="1201" spans="1:15">
      <c r="A1201" s="51" t="s">
        <v>90</v>
      </c>
      <c r="H1201" s="51" t="s">
        <v>90</v>
      </c>
    </row>
    <row r="1202" spans="1:15" ht="14.25" customHeight="1">
      <c r="A1202" s="51" t="s">
        <v>91</v>
      </c>
      <c r="H1202" s="51" t="s">
        <v>91</v>
      </c>
    </row>
    <row r="1203" spans="1:15" ht="10.5" customHeight="1">
      <c r="A1203" s="50"/>
      <c r="B1203" s="50"/>
      <c r="H1203" s="50"/>
      <c r="I1203" s="50"/>
    </row>
    <row r="1204" spans="1:15" ht="16.5">
      <c r="A1204" s="52" t="s">
        <v>493</v>
      </c>
      <c r="G1204" s="52"/>
      <c r="H1204" s="260" t="s">
        <v>870</v>
      </c>
      <c r="N1204" s="52"/>
    </row>
    <row r="1205" spans="1:15" ht="15.75">
      <c r="A1205" s="53" t="s">
        <v>92</v>
      </c>
      <c r="G1205" s="53"/>
      <c r="H1205" s="53" t="s">
        <v>1333</v>
      </c>
      <c r="N1205" s="53"/>
    </row>
    <row r="1206" spans="1:15" ht="16.5">
      <c r="A1206" s="894" t="s">
        <v>261</v>
      </c>
      <c r="B1206" s="894"/>
      <c r="C1206" s="894"/>
      <c r="D1206" s="894"/>
      <c r="E1206" s="894"/>
      <c r="F1206" s="894"/>
      <c r="G1206" s="894"/>
      <c r="H1206" s="894" t="s">
        <v>261</v>
      </c>
      <c r="I1206" s="894"/>
      <c r="J1206" s="894"/>
      <c r="K1206" s="894"/>
      <c r="L1206" s="894"/>
      <c r="M1206" s="894"/>
      <c r="N1206" s="894"/>
      <c r="O1206" s="894"/>
    </row>
    <row r="1207" spans="1:15" ht="15.75" thickBot="1"/>
    <row r="1208" spans="1:15">
      <c r="A1208" s="895" t="s">
        <v>94</v>
      </c>
      <c r="B1208" s="897" t="s">
        <v>95</v>
      </c>
      <c r="C1208" s="897" t="s">
        <v>96</v>
      </c>
      <c r="D1208" s="897" t="s">
        <v>3</v>
      </c>
      <c r="E1208" s="897" t="s">
        <v>97</v>
      </c>
      <c r="F1208" s="897" t="s">
        <v>98</v>
      </c>
      <c r="G1208" s="500" t="s">
        <v>99</v>
      </c>
      <c r="H1208" s="895" t="s">
        <v>94</v>
      </c>
      <c r="I1208" s="897" t="s">
        <v>95</v>
      </c>
      <c r="J1208" s="897" t="s">
        <v>96</v>
      </c>
      <c r="K1208" s="897" t="s">
        <v>3</v>
      </c>
      <c r="L1208" s="897" t="s">
        <v>97</v>
      </c>
      <c r="M1208" s="897" t="s">
        <v>98</v>
      </c>
      <c r="N1208" s="897" t="s">
        <v>99</v>
      </c>
      <c r="O1208" s="899"/>
    </row>
    <row r="1209" spans="1:15" ht="15.75" thickBot="1">
      <c r="A1209" s="896"/>
      <c r="B1209" s="898"/>
      <c r="C1209" s="898"/>
      <c r="D1209" s="898"/>
      <c r="E1209" s="898"/>
      <c r="F1209" s="898"/>
      <c r="G1209" s="240" t="s">
        <v>100</v>
      </c>
      <c r="H1209" s="896"/>
      <c r="I1209" s="898"/>
      <c r="J1209" s="898"/>
      <c r="K1209" s="898"/>
      <c r="L1209" s="898"/>
      <c r="M1209" s="898"/>
      <c r="N1209" s="240" t="s">
        <v>100</v>
      </c>
      <c r="O1209" s="182" t="s">
        <v>101</v>
      </c>
    </row>
    <row r="1210" spans="1:15" ht="12.75" customHeight="1">
      <c r="A1210" s="919" t="e">
        <f>+A1175+1</f>
        <v>#REF!</v>
      </c>
      <c r="B1210" s="875">
        <v>42360</v>
      </c>
      <c r="C1210" s="877" t="s">
        <v>31</v>
      </c>
      <c r="D1210" s="877" t="s">
        <v>494</v>
      </c>
      <c r="E1210" s="881" t="s">
        <v>115</v>
      </c>
      <c r="F1210" s="883">
        <v>70000</v>
      </c>
      <c r="G1210" s="55">
        <v>719</v>
      </c>
      <c r="H1210" s="873" t="s">
        <v>863</v>
      </c>
      <c r="I1210" s="875">
        <v>43062</v>
      </c>
      <c r="J1210" s="881" t="s">
        <v>28</v>
      </c>
      <c r="K1210" s="881" t="s">
        <v>1558</v>
      </c>
      <c r="L1210" s="881" t="s">
        <v>148</v>
      </c>
      <c r="M1210" s="883">
        <v>741000</v>
      </c>
      <c r="N1210" s="55">
        <v>719</v>
      </c>
      <c r="O1210" s="78">
        <f>+M1210-O1211</f>
        <v>570000</v>
      </c>
    </row>
    <row r="1211" spans="1:15" ht="12.75" customHeight="1" thickBot="1">
      <c r="A1211" s="920"/>
      <c r="B1211" s="876"/>
      <c r="C1211" s="878"/>
      <c r="D1211" s="878"/>
      <c r="E1211" s="882"/>
      <c r="F1211" s="884"/>
      <c r="G1211" s="56">
        <v>721</v>
      </c>
      <c r="H1211" s="874"/>
      <c r="I1211" s="876"/>
      <c r="J1211" s="882"/>
      <c r="K1211" s="882"/>
      <c r="L1211" s="882"/>
      <c r="M1211" s="884"/>
      <c r="N1211" s="56">
        <v>721</v>
      </c>
      <c r="O1211" s="79">
        <v>171000</v>
      </c>
    </row>
    <row r="1212" spans="1:15" ht="12" customHeight="1">
      <c r="A1212" s="919" t="e">
        <f>+A1210+1</f>
        <v>#REF!</v>
      </c>
      <c r="B1212" s="875">
        <v>42360</v>
      </c>
      <c r="C1212" s="877" t="s">
        <v>472</v>
      </c>
      <c r="D1212" s="877" t="s">
        <v>495</v>
      </c>
      <c r="E1212" s="881" t="s">
        <v>115</v>
      </c>
      <c r="F1212" s="883">
        <v>60000</v>
      </c>
      <c r="G1212" s="55">
        <v>719</v>
      </c>
      <c r="H1212" s="873">
        <f>+H1210+1</f>
        <v>151</v>
      </c>
      <c r="I1212" s="875">
        <v>43062</v>
      </c>
      <c r="J1212" s="881" t="s">
        <v>28</v>
      </c>
      <c r="K1212" s="881" t="s">
        <v>1559</v>
      </c>
      <c r="L1212" s="881" t="s">
        <v>148</v>
      </c>
      <c r="M1212" s="883">
        <v>299000</v>
      </c>
      <c r="N1212" s="55">
        <v>719</v>
      </c>
      <c r="O1212" s="78">
        <f>+M1212-O1213</f>
        <v>230000</v>
      </c>
    </row>
    <row r="1213" spans="1:15" ht="12" customHeight="1" thickBot="1">
      <c r="A1213" s="920"/>
      <c r="B1213" s="876"/>
      <c r="C1213" s="878"/>
      <c r="D1213" s="878"/>
      <c r="E1213" s="882"/>
      <c r="F1213" s="884"/>
      <c r="G1213" s="56">
        <v>721</v>
      </c>
      <c r="H1213" s="882"/>
      <c r="I1213" s="876"/>
      <c r="J1213" s="882"/>
      <c r="K1213" s="882"/>
      <c r="L1213" s="882"/>
      <c r="M1213" s="884"/>
      <c r="N1213" s="56">
        <v>721</v>
      </c>
      <c r="O1213" s="79">
        <v>69000</v>
      </c>
    </row>
    <row r="1214" spans="1:15" ht="12" customHeight="1">
      <c r="A1214" s="919" t="e">
        <f>+A1212+1</f>
        <v>#REF!</v>
      </c>
      <c r="B1214" s="875">
        <v>42360</v>
      </c>
      <c r="C1214" s="877" t="s">
        <v>32</v>
      </c>
      <c r="D1214" s="877" t="s">
        <v>496</v>
      </c>
      <c r="E1214" s="881" t="s">
        <v>115</v>
      </c>
      <c r="F1214" s="883">
        <v>50000</v>
      </c>
      <c r="G1214" s="55">
        <v>719</v>
      </c>
      <c r="H1214" s="873">
        <f>+H1212+1</f>
        <v>152</v>
      </c>
      <c r="I1214" s="875">
        <v>43062</v>
      </c>
      <c r="J1214" s="881" t="s">
        <v>120</v>
      </c>
      <c r="K1214" s="881" t="s">
        <v>1560</v>
      </c>
      <c r="L1214" s="881" t="s">
        <v>115</v>
      </c>
      <c r="M1214" s="883">
        <v>320000</v>
      </c>
      <c r="N1214" s="55">
        <v>719</v>
      </c>
      <c r="O1214" s="78">
        <v>320000</v>
      </c>
    </row>
    <row r="1215" spans="1:15" ht="10.5" customHeight="1" thickBot="1">
      <c r="A1215" s="920"/>
      <c r="B1215" s="876"/>
      <c r="C1215" s="878"/>
      <c r="D1215" s="878"/>
      <c r="E1215" s="882"/>
      <c r="F1215" s="884"/>
      <c r="G1215" s="56">
        <v>721</v>
      </c>
      <c r="H1215" s="882"/>
      <c r="I1215" s="876"/>
      <c r="J1215" s="882"/>
      <c r="K1215" s="882"/>
      <c r="L1215" s="882"/>
      <c r="M1215" s="884"/>
      <c r="N1215" s="56">
        <v>721</v>
      </c>
      <c r="O1215" s="79">
        <v>0</v>
      </c>
    </row>
    <row r="1216" spans="1:15" ht="12" customHeight="1">
      <c r="A1216" s="919"/>
      <c r="B1216" s="875"/>
      <c r="C1216" s="877"/>
      <c r="D1216" s="881"/>
      <c r="E1216" s="881"/>
      <c r="F1216" s="883"/>
      <c r="G1216" s="55">
        <v>719</v>
      </c>
      <c r="H1216" s="873">
        <f>+H1214+1</f>
        <v>153</v>
      </c>
      <c r="I1216" s="875">
        <v>43062</v>
      </c>
      <c r="J1216" s="881" t="s">
        <v>120</v>
      </c>
      <c r="K1216" s="881" t="s">
        <v>1561</v>
      </c>
      <c r="L1216" s="881" t="s">
        <v>115</v>
      </c>
      <c r="M1216" s="883">
        <v>230000</v>
      </c>
      <c r="N1216" s="55">
        <v>719</v>
      </c>
      <c r="O1216" s="78">
        <v>230000</v>
      </c>
    </row>
    <row r="1217" spans="1:15" ht="11.25" customHeight="1" thickBot="1">
      <c r="A1217" s="920"/>
      <c r="B1217" s="876"/>
      <c r="C1217" s="878"/>
      <c r="D1217" s="882"/>
      <c r="E1217" s="882"/>
      <c r="F1217" s="884"/>
      <c r="G1217" s="56">
        <v>721</v>
      </c>
      <c r="H1217" s="882"/>
      <c r="I1217" s="876"/>
      <c r="J1217" s="882"/>
      <c r="K1217" s="882"/>
      <c r="L1217" s="882"/>
      <c r="M1217" s="884"/>
      <c r="N1217" s="56">
        <v>721</v>
      </c>
      <c r="O1217" s="79">
        <v>0</v>
      </c>
    </row>
    <row r="1218" spans="1:15" ht="13.5" customHeight="1">
      <c r="A1218" s="439"/>
      <c r="B1218" s="252"/>
      <c r="C1218" s="253"/>
      <c r="D1218" s="251"/>
      <c r="E1218" s="251"/>
      <c r="F1218" s="254"/>
      <c r="G1218" s="255"/>
      <c r="H1218" s="873">
        <f>+H1214+1</f>
        <v>153</v>
      </c>
      <c r="I1218" s="875">
        <v>43062</v>
      </c>
      <c r="J1218" s="881" t="s">
        <v>120</v>
      </c>
      <c r="K1218" s="879" t="s">
        <v>1562</v>
      </c>
      <c r="L1218" s="881" t="s">
        <v>115</v>
      </c>
      <c r="M1218" s="883">
        <v>320000</v>
      </c>
      <c r="N1218" s="55">
        <v>719</v>
      </c>
      <c r="O1218" s="78">
        <v>320000</v>
      </c>
    </row>
    <row r="1219" spans="1:15" ht="13.5" customHeight="1" thickBot="1">
      <c r="A1219" s="439"/>
      <c r="B1219" s="252"/>
      <c r="C1219" s="253"/>
      <c r="D1219" s="251"/>
      <c r="E1219" s="251"/>
      <c r="F1219" s="254"/>
      <c r="G1219" s="255"/>
      <c r="H1219" s="882"/>
      <c r="I1219" s="876"/>
      <c r="J1219" s="882"/>
      <c r="K1219" s="880"/>
      <c r="L1219" s="882"/>
      <c r="M1219" s="884"/>
      <c r="N1219" s="56">
        <v>721</v>
      </c>
      <c r="O1219" s="79">
        <f>+M1218-O1218</f>
        <v>0</v>
      </c>
    </row>
    <row r="1220" spans="1:15" ht="12" customHeight="1">
      <c r="A1220" s="881"/>
      <c r="B1220" s="875"/>
      <c r="C1220" s="877"/>
      <c r="D1220" s="881"/>
      <c r="E1220" s="881"/>
      <c r="F1220" s="883"/>
      <c r="G1220" s="55">
        <v>719</v>
      </c>
      <c r="H1220" s="873" t="s">
        <v>872</v>
      </c>
      <c r="I1220" s="875">
        <v>43062</v>
      </c>
      <c r="J1220" s="881" t="s">
        <v>120</v>
      </c>
      <c r="K1220" s="881" t="s">
        <v>1545</v>
      </c>
      <c r="L1220" s="881" t="s">
        <v>115</v>
      </c>
      <c r="M1220" s="883">
        <v>160000</v>
      </c>
      <c r="N1220" s="55">
        <v>719</v>
      </c>
      <c r="O1220" s="78">
        <v>160000</v>
      </c>
    </row>
    <row r="1221" spans="1:15" ht="12" customHeight="1" thickBot="1">
      <c r="A1221" s="882"/>
      <c r="B1221" s="876"/>
      <c r="C1221" s="878"/>
      <c r="D1221" s="882"/>
      <c r="E1221" s="882"/>
      <c r="F1221" s="884"/>
      <c r="G1221" s="56">
        <v>721</v>
      </c>
      <c r="H1221" s="874"/>
      <c r="I1221" s="876"/>
      <c r="J1221" s="882"/>
      <c r="K1221" s="882"/>
      <c r="L1221" s="882"/>
      <c r="M1221" s="884"/>
      <c r="N1221" s="56">
        <v>721</v>
      </c>
      <c r="O1221" s="79">
        <v>0</v>
      </c>
    </row>
    <row r="1222" spans="1:15" ht="15" customHeight="1" thickBot="1">
      <c r="A1222" s="901" t="s">
        <v>102</v>
      </c>
      <c r="B1222" s="902"/>
      <c r="C1222" s="902"/>
      <c r="D1222" s="902"/>
      <c r="E1222" s="903"/>
      <c r="F1222" s="81">
        <f>SUM(F1210:F1221)</f>
        <v>180000</v>
      </c>
      <c r="H1222" s="901" t="s">
        <v>102</v>
      </c>
      <c r="I1222" s="902"/>
      <c r="J1222" s="902"/>
      <c r="K1222" s="902"/>
      <c r="L1222" s="903"/>
      <c r="M1222" s="81">
        <f>SUM(M1210:M1221)</f>
        <v>2070000</v>
      </c>
    </row>
    <row r="1223" spans="1:15" ht="16.5" thickBot="1">
      <c r="A1223" s="885" t="s">
        <v>103</v>
      </c>
      <c r="B1223" s="886"/>
      <c r="C1223" s="886"/>
      <c r="D1223" s="886"/>
      <c r="E1223" s="887"/>
      <c r="F1223" s="69" t="e">
        <f>+F1185</f>
        <v>#REF!</v>
      </c>
      <c r="H1223" s="885" t="s">
        <v>103</v>
      </c>
      <c r="I1223" s="886"/>
      <c r="J1223" s="886"/>
      <c r="K1223" s="886"/>
      <c r="L1223" s="887"/>
      <c r="M1223" s="69">
        <f>+M1185</f>
        <v>383773450</v>
      </c>
      <c r="N1223" s="241" t="s">
        <v>561</v>
      </c>
      <c r="O1223" s="242">
        <f>557+418+511+644</f>
        <v>2130</v>
      </c>
    </row>
    <row r="1224" spans="1:15" ht="16.5" thickBot="1">
      <c r="A1224" s="888" t="s">
        <v>104</v>
      </c>
      <c r="B1224" s="889"/>
      <c r="C1224" s="889"/>
      <c r="D1224" s="889"/>
      <c r="E1224" s="890"/>
      <c r="F1224" s="183" t="e">
        <f>SUM(F1222:F1223)</f>
        <v>#REF!</v>
      </c>
      <c r="H1224" s="888" t="s">
        <v>104</v>
      </c>
      <c r="I1224" s="889"/>
      <c r="J1224" s="889"/>
      <c r="K1224" s="889"/>
      <c r="L1224" s="890"/>
      <c r="M1224" s="183">
        <f>SUM(M1222:M1223)</f>
        <v>385843450</v>
      </c>
    </row>
    <row r="1225" spans="1:15" ht="11.25" customHeight="1">
      <c r="A1225" s="61"/>
      <c r="B1225" s="61"/>
      <c r="C1225" s="61"/>
      <c r="D1225" s="61"/>
      <c r="E1225" s="61"/>
      <c r="H1225" s="61"/>
      <c r="I1225" s="61"/>
      <c r="J1225" s="61"/>
      <c r="K1225" s="61"/>
      <c r="L1225" s="61"/>
    </row>
    <row r="1226" spans="1:15">
      <c r="A1226" s="51" t="s">
        <v>497</v>
      </c>
      <c r="H1226" s="51" t="s">
        <v>1577</v>
      </c>
    </row>
    <row r="1227" spans="1:15" ht="9.75" customHeight="1">
      <c r="F1227" s="139"/>
      <c r="M1227" s="139"/>
    </row>
    <row r="1228" spans="1:15">
      <c r="A1228" s="50" t="s">
        <v>105</v>
      </c>
      <c r="D1228" s="146"/>
      <c r="F1228" s="139"/>
      <c r="H1228" s="50" t="s">
        <v>105</v>
      </c>
      <c r="K1228" s="146"/>
      <c r="M1228" s="139"/>
    </row>
    <row r="1229" spans="1:15" ht="9.75" customHeight="1" thickBot="1"/>
    <row r="1230" spans="1:15" ht="17.25" thickBot="1">
      <c r="A1230" s="891" t="s">
        <v>106</v>
      </c>
      <c r="B1230" s="892"/>
      <c r="C1230" s="892"/>
      <c r="D1230" s="893"/>
      <c r="F1230" s="50" t="s">
        <v>288</v>
      </c>
      <c r="H1230" s="891" t="s">
        <v>106</v>
      </c>
      <c r="I1230" s="892"/>
      <c r="J1230" s="892"/>
      <c r="K1230" s="893"/>
      <c r="M1230" s="604" t="s">
        <v>288</v>
      </c>
      <c r="N1230" s="604"/>
      <c r="O1230" s="604"/>
    </row>
    <row r="1231" spans="1:15" ht="45.75" thickBot="1">
      <c r="A1231" s="57" t="s">
        <v>100</v>
      </c>
      <c r="B1231" s="58" t="s">
        <v>108</v>
      </c>
      <c r="C1231" s="59" t="s">
        <v>109</v>
      </c>
      <c r="D1231" s="60" t="s">
        <v>110</v>
      </c>
      <c r="H1231" s="57" t="s">
        <v>100</v>
      </c>
      <c r="I1231" s="58" t="s">
        <v>108</v>
      </c>
      <c r="J1231" s="59" t="s">
        <v>109</v>
      </c>
      <c r="K1231" s="60" t="s">
        <v>110</v>
      </c>
    </row>
    <row r="1232" spans="1:15" ht="14.25" customHeight="1">
      <c r="A1232" s="71">
        <v>719</v>
      </c>
      <c r="B1232" s="73" t="e">
        <f>+#REF!+#REF!+#REF!+#REF!+#REF!</f>
        <v>#REF!</v>
      </c>
      <c r="C1232" s="74" t="e">
        <f>+D1193</f>
        <v>#REF!</v>
      </c>
      <c r="D1232" s="195" t="e">
        <f>+B1232+C1232</f>
        <v>#REF!</v>
      </c>
      <c r="H1232" s="71">
        <v>719</v>
      </c>
      <c r="I1232" s="73">
        <f>+O1210+O1212+O1214+O1216+O1220+O1218</f>
        <v>1830000</v>
      </c>
      <c r="J1232" s="74">
        <f>+K1193</f>
        <v>44760000</v>
      </c>
      <c r="K1232" s="195">
        <f>+I1232+J1232</f>
        <v>46590000</v>
      </c>
    </row>
    <row r="1233" spans="1:15" ht="13.5" customHeight="1">
      <c r="A1233" s="72">
        <v>721</v>
      </c>
      <c r="B1233" s="80" t="e">
        <f>(+#REF!+#REF!+#REF!+#REF!+#REF!)</f>
        <v>#REF!</v>
      </c>
      <c r="C1233" s="74" t="e">
        <f>+D1194</f>
        <v>#REF!</v>
      </c>
      <c r="D1233" s="195" t="e">
        <f>+B1233+C1233</f>
        <v>#REF!</v>
      </c>
      <c r="H1233" s="72">
        <v>721</v>
      </c>
      <c r="I1233" s="80">
        <f>+O1221+O1217+O1215+O1213+O1211</f>
        <v>240000</v>
      </c>
      <c r="J1233" s="74">
        <f>+K1194</f>
        <v>8867500</v>
      </c>
      <c r="K1233" s="195">
        <f>+I1233+J1233</f>
        <v>9107500</v>
      </c>
    </row>
    <row r="1234" spans="1:15" ht="12.75" customHeight="1">
      <c r="A1234" s="72">
        <v>722</v>
      </c>
      <c r="B1234" s="80"/>
      <c r="C1234" s="74" t="e">
        <f>+D1195</f>
        <v>#REF!</v>
      </c>
      <c r="D1234" s="195" t="e">
        <f>+B1234+C1234</f>
        <v>#REF!</v>
      </c>
      <c r="H1234" s="72">
        <v>722</v>
      </c>
      <c r="I1234" s="80"/>
      <c r="J1234" s="74">
        <f>+K1195</f>
        <v>0</v>
      </c>
      <c r="K1234" s="195">
        <f>+I1234+J1234</f>
        <v>0</v>
      </c>
    </row>
    <row r="1235" spans="1:15" ht="14.25" customHeight="1">
      <c r="A1235" s="72">
        <v>723</v>
      </c>
      <c r="B1235" s="80"/>
      <c r="C1235" s="74" t="e">
        <f>+D1196</f>
        <v>#REF!</v>
      </c>
      <c r="D1235" s="195" t="e">
        <f>+B1235+C1235</f>
        <v>#REF!</v>
      </c>
      <c r="F1235" s="174" t="s">
        <v>23</v>
      </c>
      <c r="G1235" s="175"/>
      <c r="H1235" s="72">
        <v>723</v>
      </c>
      <c r="I1235" s="80"/>
      <c r="J1235" s="74">
        <f>+K1196</f>
        <v>330145950</v>
      </c>
      <c r="K1235" s="195">
        <f>+I1235+J1235</f>
        <v>330145950</v>
      </c>
      <c r="M1235" s="918" t="s">
        <v>1481</v>
      </c>
      <c r="N1235" s="918"/>
      <c r="O1235" s="918"/>
    </row>
    <row r="1236" spans="1:15" ht="14.25" customHeight="1" thickBot="1">
      <c r="A1236" s="164" t="s">
        <v>181</v>
      </c>
      <c r="B1236" s="165"/>
      <c r="C1236" s="74" t="e">
        <f>+D1197</f>
        <v>#REF!</v>
      </c>
      <c r="D1236" s="196" t="e">
        <f>+B1236+C1236</f>
        <v>#REF!</v>
      </c>
      <c r="F1236" s="52"/>
      <c r="H1236" s="164" t="s">
        <v>181</v>
      </c>
      <c r="I1236" s="165"/>
      <c r="J1236" s="74">
        <f>+K1197</f>
        <v>0</v>
      </c>
      <c r="K1236" s="196">
        <f>+I1236+J1236</f>
        <v>0</v>
      </c>
      <c r="M1236" s="52"/>
    </row>
    <row r="1237" spans="1:15" ht="15" customHeight="1" thickBot="1">
      <c r="A1237" s="169"/>
      <c r="B1237" s="170" t="e">
        <f>SUM(B1232:B1236)</f>
        <v>#REF!</v>
      </c>
      <c r="C1237" s="171" t="e">
        <f>SUM(C1232:C1236)</f>
        <v>#REF!</v>
      </c>
      <c r="D1237" s="172" t="e">
        <f>SUM(D1232:D1236)</f>
        <v>#REF!</v>
      </c>
      <c r="H1237" s="169"/>
      <c r="I1237" s="197">
        <f>SUM(I1232:I1236)</f>
        <v>2070000</v>
      </c>
      <c r="J1237" s="197">
        <f>SUM(J1232:J1236)</f>
        <v>383773450</v>
      </c>
      <c r="K1237" s="198">
        <f>SUM(K1232:K1236)</f>
        <v>385843450</v>
      </c>
    </row>
    <row r="1238" spans="1:15" ht="16.5">
      <c r="A1238" s="49" t="s">
        <v>88</v>
      </c>
      <c r="B1238" s="50"/>
      <c r="H1238" s="49" t="s">
        <v>88</v>
      </c>
      <c r="I1238" s="50"/>
    </row>
    <row r="1239" spans="1:15">
      <c r="A1239" s="51" t="s">
        <v>89</v>
      </c>
      <c r="H1239" s="51" t="s">
        <v>89</v>
      </c>
    </row>
    <row r="1240" spans="1:15">
      <c r="A1240" s="51" t="s">
        <v>90</v>
      </c>
      <c r="H1240" s="51" t="s">
        <v>90</v>
      </c>
    </row>
    <row r="1241" spans="1:15">
      <c r="A1241" s="51" t="s">
        <v>91</v>
      </c>
      <c r="H1241" s="51" t="s">
        <v>91</v>
      </c>
    </row>
    <row r="1242" spans="1:15" ht="12" customHeight="1">
      <c r="A1242" s="50"/>
      <c r="B1242" s="50"/>
      <c r="H1242" s="50"/>
      <c r="I1242" s="50"/>
    </row>
    <row r="1243" spans="1:15" ht="16.5">
      <c r="A1243" s="52" t="s">
        <v>498</v>
      </c>
      <c r="G1243" s="52"/>
      <c r="H1243" s="260" t="s">
        <v>200</v>
      </c>
      <c r="N1243" s="52"/>
    </row>
    <row r="1244" spans="1:15" ht="15.75">
      <c r="A1244" s="53" t="s">
        <v>92</v>
      </c>
      <c r="G1244" s="53"/>
      <c r="H1244" s="53" t="s">
        <v>1333</v>
      </c>
      <c r="N1244" s="53"/>
    </row>
    <row r="1245" spans="1:15" ht="16.5">
      <c r="A1245" s="894" t="s">
        <v>261</v>
      </c>
      <c r="B1245" s="894"/>
      <c r="C1245" s="894"/>
      <c r="D1245" s="894"/>
      <c r="E1245" s="894"/>
      <c r="F1245" s="894"/>
      <c r="G1245" s="894"/>
      <c r="H1245" s="894" t="s">
        <v>1564</v>
      </c>
      <c r="I1245" s="894"/>
      <c r="J1245" s="894"/>
      <c r="K1245" s="894"/>
      <c r="L1245" s="894"/>
      <c r="M1245" s="894"/>
      <c r="N1245" s="894"/>
      <c r="O1245" s="894"/>
    </row>
    <row r="1246" spans="1:15" ht="15.75" thickBot="1"/>
    <row r="1247" spans="1:15">
      <c r="A1247" s="895" t="s">
        <v>94</v>
      </c>
      <c r="B1247" s="897" t="s">
        <v>95</v>
      </c>
      <c r="C1247" s="897" t="s">
        <v>96</v>
      </c>
      <c r="D1247" s="897" t="s">
        <v>3</v>
      </c>
      <c r="E1247" s="897" t="s">
        <v>97</v>
      </c>
      <c r="F1247" s="897" t="s">
        <v>98</v>
      </c>
      <c r="G1247" s="500" t="s">
        <v>99</v>
      </c>
      <c r="H1247" s="895" t="s">
        <v>94</v>
      </c>
      <c r="I1247" s="897" t="s">
        <v>95</v>
      </c>
      <c r="J1247" s="897" t="s">
        <v>96</v>
      </c>
      <c r="K1247" s="897" t="s">
        <v>3</v>
      </c>
      <c r="L1247" s="897" t="s">
        <v>97</v>
      </c>
      <c r="M1247" s="897" t="s">
        <v>98</v>
      </c>
      <c r="N1247" s="897" t="s">
        <v>99</v>
      </c>
      <c r="O1247" s="899"/>
    </row>
    <row r="1248" spans="1:15" ht="15.75" thickBot="1">
      <c r="A1248" s="896"/>
      <c r="B1248" s="898"/>
      <c r="C1248" s="898"/>
      <c r="D1248" s="898"/>
      <c r="E1248" s="898"/>
      <c r="F1248" s="898"/>
      <c r="G1248" s="240" t="s">
        <v>100</v>
      </c>
      <c r="H1248" s="896"/>
      <c r="I1248" s="898"/>
      <c r="J1248" s="898"/>
      <c r="K1248" s="898"/>
      <c r="L1248" s="898"/>
      <c r="M1248" s="898"/>
      <c r="N1248" s="240" t="s">
        <v>100</v>
      </c>
      <c r="O1248" s="182" t="s">
        <v>101</v>
      </c>
    </row>
    <row r="1249" spans="1:15" ht="12" customHeight="1">
      <c r="A1249" s="919" t="e">
        <f>+A1214+1</f>
        <v>#REF!</v>
      </c>
      <c r="B1249" s="875">
        <v>42361</v>
      </c>
      <c r="C1249" s="877" t="s">
        <v>267</v>
      </c>
      <c r="D1249" s="877" t="s">
        <v>499</v>
      </c>
      <c r="E1249" s="881" t="s">
        <v>148</v>
      </c>
      <c r="F1249" s="883">
        <v>126000</v>
      </c>
      <c r="G1249" s="55">
        <v>719</v>
      </c>
      <c r="H1249" s="873" t="s">
        <v>1569</v>
      </c>
      <c r="I1249" s="875">
        <v>43062</v>
      </c>
      <c r="J1249" s="881" t="s">
        <v>28</v>
      </c>
      <c r="K1249" s="879" t="s">
        <v>1566</v>
      </c>
      <c r="L1249" s="881" t="s">
        <v>115</v>
      </c>
      <c r="M1249" s="883">
        <v>50000</v>
      </c>
      <c r="N1249" s="55">
        <v>719</v>
      </c>
      <c r="O1249" s="78">
        <f>+M1249</f>
        <v>50000</v>
      </c>
    </row>
    <row r="1250" spans="1:15" ht="14.25" customHeight="1" thickBot="1">
      <c r="A1250" s="920"/>
      <c r="B1250" s="876"/>
      <c r="C1250" s="878"/>
      <c r="D1250" s="878"/>
      <c r="E1250" s="882"/>
      <c r="F1250" s="884"/>
      <c r="G1250" s="56">
        <v>721</v>
      </c>
      <c r="H1250" s="874"/>
      <c r="I1250" s="876"/>
      <c r="J1250" s="882"/>
      <c r="K1250" s="880"/>
      <c r="L1250" s="882"/>
      <c r="M1250" s="884"/>
      <c r="N1250" s="56">
        <v>721</v>
      </c>
      <c r="O1250" s="79"/>
    </row>
    <row r="1251" spans="1:15" ht="15" customHeight="1">
      <c r="A1251" s="919" t="e">
        <f>+A1249+1</f>
        <v>#REF!</v>
      </c>
      <c r="B1251" s="875">
        <v>42361</v>
      </c>
      <c r="C1251" s="881" t="s">
        <v>28</v>
      </c>
      <c r="D1251" s="877" t="s">
        <v>500</v>
      </c>
      <c r="E1251" s="881" t="s">
        <v>148</v>
      </c>
      <c r="F1251" s="883">
        <v>196000</v>
      </c>
      <c r="G1251" s="55">
        <v>719</v>
      </c>
      <c r="H1251" s="873" t="s">
        <v>1570</v>
      </c>
      <c r="I1251" s="875">
        <v>43062</v>
      </c>
      <c r="J1251" s="881" t="s">
        <v>120</v>
      </c>
      <c r="K1251" s="879" t="s">
        <v>1567</v>
      </c>
      <c r="L1251" s="881" t="s">
        <v>115</v>
      </c>
      <c r="M1251" s="883">
        <v>190000</v>
      </c>
      <c r="N1251" s="55">
        <v>719</v>
      </c>
      <c r="O1251" s="78">
        <f>+M1251</f>
        <v>190000</v>
      </c>
    </row>
    <row r="1252" spans="1:15" ht="13.5" customHeight="1" thickBot="1">
      <c r="A1252" s="920"/>
      <c r="B1252" s="876"/>
      <c r="C1252" s="882"/>
      <c r="D1252" s="878"/>
      <c r="E1252" s="882"/>
      <c r="F1252" s="884"/>
      <c r="G1252" s="56">
        <v>721</v>
      </c>
      <c r="H1252" s="882"/>
      <c r="I1252" s="876"/>
      <c r="J1252" s="882"/>
      <c r="K1252" s="880"/>
      <c r="L1252" s="882"/>
      <c r="M1252" s="884"/>
      <c r="N1252" s="56">
        <v>721</v>
      </c>
      <c r="O1252" s="79"/>
    </row>
    <row r="1253" spans="1:15" ht="12.75" customHeight="1">
      <c r="A1253" s="919" t="e">
        <f>+A1251+1</f>
        <v>#REF!</v>
      </c>
      <c r="B1253" s="875">
        <v>42361</v>
      </c>
      <c r="C1253" s="877" t="s">
        <v>32</v>
      </c>
      <c r="D1253" s="877" t="s">
        <v>500</v>
      </c>
      <c r="E1253" s="881" t="s">
        <v>148</v>
      </c>
      <c r="F1253" s="883">
        <v>42000</v>
      </c>
      <c r="G1253" s="55">
        <v>719</v>
      </c>
      <c r="H1253" s="873" t="s">
        <v>1568</v>
      </c>
      <c r="I1253" s="875">
        <v>43062</v>
      </c>
      <c r="J1253" s="877" t="s">
        <v>1571</v>
      </c>
      <c r="K1253" s="879" t="s">
        <v>1225</v>
      </c>
      <c r="L1253" s="881" t="s">
        <v>115</v>
      </c>
      <c r="M1253" s="883">
        <v>3980000</v>
      </c>
      <c r="N1253" s="55">
        <v>719</v>
      </c>
      <c r="O1253" s="78"/>
    </row>
    <row r="1254" spans="1:15" ht="15.75" customHeight="1" thickBot="1">
      <c r="A1254" s="920"/>
      <c r="B1254" s="876"/>
      <c r="C1254" s="878"/>
      <c r="D1254" s="878"/>
      <c r="E1254" s="882"/>
      <c r="F1254" s="884"/>
      <c r="G1254" s="56">
        <v>721</v>
      </c>
      <c r="H1254" s="882"/>
      <c r="I1254" s="876"/>
      <c r="J1254" s="878"/>
      <c r="K1254" s="880"/>
      <c r="L1254" s="882"/>
      <c r="M1254" s="884"/>
      <c r="N1254" s="56">
        <v>723</v>
      </c>
      <c r="O1254" s="79">
        <f>+M1253</f>
        <v>3980000</v>
      </c>
    </row>
    <row r="1255" spans="1:15" ht="12" customHeight="1">
      <c r="A1255" s="919" t="e">
        <f>+A1253+1</f>
        <v>#REF!</v>
      </c>
      <c r="B1255" s="875">
        <v>42361</v>
      </c>
      <c r="C1255" s="877" t="s">
        <v>111</v>
      </c>
      <c r="D1255" s="877" t="s">
        <v>499</v>
      </c>
      <c r="E1255" s="881" t="s">
        <v>148</v>
      </c>
      <c r="F1255" s="883">
        <v>112000</v>
      </c>
      <c r="G1255" s="55">
        <v>719</v>
      </c>
      <c r="H1255" s="873" t="s">
        <v>1563</v>
      </c>
      <c r="I1255" s="875">
        <v>43062</v>
      </c>
      <c r="J1255" s="881" t="s">
        <v>385</v>
      </c>
      <c r="K1255" s="879" t="s">
        <v>1188</v>
      </c>
      <c r="L1255" s="881" t="s">
        <v>148</v>
      </c>
      <c r="M1255" s="883">
        <v>22479749</v>
      </c>
      <c r="N1255" s="55">
        <v>719</v>
      </c>
      <c r="O1255" s="78"/>
    </row>
    <row r="1256" spans="1:15" ht="14.25" customHeight="1" thickBot="1">
      <c r="A1256" s="920"/>
      <c r="B1256" s="876"/>
      <c r="C1256" s="878"/>
      <c r="D1256" s="878"/>
      <c r="E1256" s="882"/>
      <c r="F1256" s="884"/>
      <c r="G1256" s="56">
        <v>721</v>
      </c>
      <c r="H1256" s="882"/>
      <c r="I1256" s="876"/>
      <c r="J1256" s="882"/>
      <c r="K1256" s="880"/>
      <c r="L1256" s="882"/>
      <c r="M1256" s="884"/>
      <c r="N1256" s="56">
        <v>721</v>
      </c>
      <c r="O1256" s="79">
        <f>+M1255</f>
        <v>22479749</v>
      </c>
    </row>
    <row r="1257" spans="1:15" ht="12" customHeight="1">
      <c r="A1257" s="919" t="e">
        <f>+A1255+1</f>
        <v>#REF!</v>
      </c>
      <c r="B1257" s="875">
        <v>42361</v>
      </c>
      <c r="C1257" s="877" t="s">
        <v>272</v>
      </c>
      <c r="D1257" s="877" t="s">
        <v>500</v>
      </c>
      <c r="E1257" s="881" t="s">
        <v>148</v>
      </c>
      <c r="F1257" s="883">
        <v>588000</v>
      </c>
      <c r="G1257" s="55">
        <v>719</v>
      </c>
      <c r="H1257" s="873" t="s">
        <v>873</v>
      </c>
      <c r="I1257" s="875">
        <v>43062</v>
      </c>
      <c r="J1257" s="881" t="s">
        <v>385</v>
      </c>
      <c r="K1257" s="879" t="s">
        <v>1245</v>
      </c>
      <c r="L1257" s="881" t="s">
        <v>148</v>
      </c>
      <c r="M1257" s="883">
        <v>55554732</v>
      </c>
      <c r="N1257" s="55">
        <v>719</v>
      </c>
      <c r="O1257" s="78"/>
    </row>
    <row r="1258" spans="1:15" ht="13.5" customHeight="1" thickBot="1">
      <c r="A1258" s="920"/>
      <c r="B1258" s="876"/>
      <c r="C1258" s="878"/>
      <c r="D1258" s="878"/>
      <c r="E1258" s="882"/>
      <c r="F1258" s="884"/>
      <c r="G1258" s="56">
        <v>721</v>
      </c>
      <c r="H1258" s="882"/>
      <c r="I1258" s="876"/>
      <c r="J1258" s="882"/>
      <c r="K1258" s="880"/>
      <c r="L1258" s="882"/>
      <c r="M1258" s="884"/>
      <c r="N1258" s="56">
        <v>721</v>
      </c>
      <c r="O1258" s="79">
        <f>+M1257-O1257</f>
        <v>55554732</v>
      </c>
    </row>
    <row r="1259" spans="1:15" ht="16.5" thickBot="1">
      <c r="A1259" s="901" t="s">
        <v>102</v>
      </c>
      <c r="B1259" s="902"/>
      <c r="C1259" s="902"/>
      <c r="D1259" s="902"/>
      <c r="E1259" s="903"/>
      <c r="F1259" s="81">
        <f>SUM(F1249:F1258)</f>
        <v>1064000</v>
      </c>
      <c r="H1259" s="901" t="s">
        <v>102</v>
      </c>
      <c r="I1259" s="902"/>
      <c r="J1259" s="902"/>
      <c r="K1259" s="902"/>
      <c r="L1259" s="903"/>
      <c r="M1259" s="81">
        <f>SUM(M1249:M1258)</f>
        <v>82254481</v>
      </c>
    </row>
    <row r="1260" spans="1:15" ht="16.5" thickBot="1">
      <c r="A1260" s="885" t="s">
        <v>103</v>
      </c>
      <c r="B1260" s="886"/>
      <c r="C1260" s="886"/>
      <c r="D1260" s="886"/>
      <c r="E1260" s="887"/>
      <c r="F1260" s="69" t="e">
        <f>+F1224</f>
        <v>#REF!</v>
      </c>
      <c r="H1260" s="885" t="s">
        <v>103</v>
      </c>
      <c r="I1260" s="886"/>
      <c r="J1260" s="886"/>
      <c r="K1260" s="886"/>
      <c r="L1260" s="887"/>
      <c r="M1260" s="69">
        <f>+M1224</f>
        <v>385843450</v>
      </c>
      <c r="N1260" s="241" t="s">
        <v>561</v>
      </c>
      <c r="O1260" s="242"/>
    </row>
    <row r="1261" spans="1:15" ht="16.5" thickBot="1">
      <c r="A1261" s="888" t="s">
        <v>104</v>
      </c>
      <c r="B1261" s="889"/>
      <c r="C1261" s="889"/>
      <c r="D1261" s="889"/>
      <c r="E1261" s="890"/>
      <c r="F1261" s="183" t="e">
        <f>SUM(F1259:F1260)</f>
        <v>#REF!</v>
      </c>
      <c r="H1261" s="888" t="s">
        <v>104</v>
      </c>
      <c r="I1261" s="889"/>
      <c r="J1261" s="889"/>
      <c r="K1261" s="889"/>
      <c r="L1261" s="890"/>
      <c r="M1261" s="183">
        <f>SUM(M1259:M1260)</f>
        <v>468097931</v>
      </c>
    </row>
    <row r="1262" spans="1:15">
      <c r="A1262" s="61"/>
      <c r="B1262" s="61"/>
      <c r="C1262" s="61"/>
      <c r="D1262" s="61"/>
      <c r="E1262" s="61"/>
      <c r="H1262" s="61"/>
      <c r="I1262" s="61"/>
      <c r="J1262" s="61"/>
      <c r="K1262" s="61"/>
      <c r="L1262" s="61"/>
    </row>
    <row r="1263" spans="1:15">
      <c r="A1263" s="51" t="s">
        <v>501</v>
      </c>
      <c r="H1263" s="51" t="s">
        <v>1565</v>
      </c>
    </row>
    <row r="1264" spans="1:15" ht="11.25" customHeight="1">
      <c r="F1264" s="139"/>
      <c r="M1264" s="139"/>
    </row>
    <row r="1265" spans="1:15">
      <c r="A1265" s="50" t="s">
        <v>105</v>
      </c>
      <c r="D1265" s="146"/>
      <c r="F1265" s="139"/>
      <c r="H1265" s="50" t="s">
        <v>105</v>
      </c>
      <c r="K1265" s="146"/>
      <c r="M1265" s="139"/>
    </row>
    <row r="1266" spans="1:15" ht="13.5" customHeight="1" thickBot="1"/>
    <row r="1267" spans="1:15" ht="17.25" thickBot="1">
      <c r="A1267" s="891" t="s">
        <v>106</v>
      </c>
      <c r="B1267" s="892"/>
      <c r="C1267" s="892"/>
      <c r="D1267" s="893"/>
      <c r="F1267" s="50" t="s">
        <v>288</v>
      </c>
      <c r="H1267" s="891" t="s">
        <v>106</v>
      </c>
      <c r="I1267" s="892"/>
      <c r="J1267" s="892"/>
      <c r="K1267" s="893"/>
      <c r="M1267" s="604" t="s">
        <v>288</v>
      </c>
      <c r="N1267" s="604"/>
      <c r="O1267" s="604"/>
    </row>
    <row r="1268" spans="1:15" ht="26.25" customHeight="1" thickBot="1">
      <c r="A1268" s="57" t="s">
        <v>100</v>
      </c>
      <c r="B1268" s="58" t="s">
        <v>108</v>
      </c>
      <c r="C1268" s="59" t="s">
        <v>109</v>
      </c>
      <c r="D1268" s="60" t="s">
        <v>110</v>
      </c>
      <c r="H1268" s="57" t="s">
        <v>100</v>
      </c>
      <c r="I1268" s="58" t="s">
        <v>108</v>
      </c>
      <c r="J1268" s="59" t="s">
        <v>109</v>
      </c>
      <c r="K1268" s="60" t="s">
        <v>110</v>
      </c>
    </row>
    <row r="1269" spans="1:15">
      <c r="A1269" s="71">
        <v>719</v>
      </c>
      <c r="B1269" s="73" t="e">
        <f>+#REF!+#REF!+#REF!+#REF!+#REF!</f>
        <v>#REF!</v>
      </c>
      <c r="C1269" s="74" t="e">
        <f>+D1232</f>
        <v>#REF!</v>
      </c>
      <c r="D1269" s="195" t="e">
        <f>+B1269+C1269</f>
        <v>#REF!</v>
      </c>
      <c r="H1269" s="71">
        <v>719</v>
      </c>
      <c r="I1269" s="73">
        <f>+O1249+O1251+O1253+O1255+O1257</f>
        <v>240000</v>
      </c>
      <c r="J1269" s="74">
        <f>+K1232</f>
        <v>46590000</v>
      </c>
      <c r="K1269" s="195">
        <f>+I1269+J1269</f>
        <v>46830000</v>
      </c>
    </row>
    <row r="1270" spans="1:15" ht="14.25" customHeight="1">
      <c r="A1270" s="72">
        <v>721</v>
      </c>
      <c r="B1270" s="80" t="e">
        <f>(+#REF!+#REF!+#REF!+#REF!+#REF!)</f>
        <v>#REF!</v>
      </c>
      <c r="C1270" s="74" t="e">
        <f>+D1233</f>
        <v>#REF!</v>
      </c>
      <c r="D1270" s="195" t="e">
        <f>+B1270+C1270</f>
        <v>#REF!</v>
      </c>
      <c r="H1270" s="72">
        <v>721</v>
      </c>
      <c r="I1270" s="80">
        <f>+O1250+O1252++O1256+O1258</f>
        <v>78034481</v>
      </c>
      <c r="J1270" s="74">
        <f>+K1233</f>
        <v>9107500</v>
      </c>
      <c r="K1270" s="195">
        <f>+I1270+J1270</f>
        <v>87141981</v>
      </c>
    </row>
    <row r="1271" spans="1:15" ht="12.75" customHeight="1">
      <c r="A1271" s="72">
        <v>722</v>
      </c>
      <c r="B1271" s="80"/>
      <c r="C1271" s="74" t="e">
        <f>+D1234</f>
        <v>#REF!</v>
      </c>
      <c r="D1271" s="195" t="e">
        <f>+B1271+C1271</f>
        <v>#REF!</v>
      </c>
      <c r="H1271" s="72">
        <v>722</v>
      </c>
      <c r="I1271" s="80"/>
      <c r="J1271" s="74">
        <f>+K1234</f>
        <v>0</v>
      </c>
      <c r="K1271" s="195">
        <f>+I1271+J1271</f>
        <v>0</v>
      </c>
      <c r="M1271" s="918" t="s">
        <v>1481</v>
      </c>
      <c r="N1271" s="918"/>
      <c r="O1271" s="918"/>
    </row>
    <row r="1272" spans="1:15" ht="14.25" customHeight="1">
      <c r="A1272" s="72">
        <v>723</v>
      </c>
      <c r="B1272" s="80"/>
      <c r="C1272" s="74" t="e">
        <f>+D1235</f>
        <v>#REF!</v>
      </c>
      <c r="D1272" s="195" t="e">
        <f>+B1272+C1272</f>
        <v>#REF!</v>
      </c>
      <c r="F1272" s="174" t="s">
        <v>23</v>
      </c>
      <c r="G1272" s="175"/>
      <c r="H1272" s="72">
        <v>723</v>
      </c>
      <c r="I1272" s="80">
        <f>+O1254</f>
        <v>3980000</v>
      </c>
      <c r="J1272" s="74">
        <f>+K1235</f>
        <v>330145950</v>
      </c>
      <c r="K1272" s="195">
        <f>+I1272+J1272</f>
        <v>334125950</v>
      </c>
      <c r="M1272" s="918"/>
      <c r="N1272" s="918"/>
      <c r="O1272" s="918"/>
    </row>
    <row r="1273" spans="1:15" ht="14.25" customHeight="1" thickBot="1">
      <c r="A1273" s="164" t="s">
        <v>181</v>
      </c>
      <c r="B1273" s="165"/>
      <c r="C1273" s="74" t="e">
        <f>+D1236</f>
        <v>#REF!</v>
      </c>
      <c r="D1273" s="196" t="e">
        <f>+B1273+C1273</f>
        <v>#REF!</v>
      </c>
      <c r="F1273" s="52"/>
      <c r="H1273" s="164" t="s">
        <v>181</v>
      </c>
      <c r="I1273" s="165"/>
      <c r="J1273" s="74">
        <f>+K1236</f>
        <v>0</v>
      </c>
      <c r="K1273" s="196">
        <f>+I1273+J1273</f>
        <v>0</v>
      </c>
      <c r="M1273" s="52"/>
    </row>
    <row r="1274" spans="1:15" ht="16.5" thickBot="1">
      <c r="A1274" s="169"/>
      <c r="B1274" s="170" t="e">
        <f>SUM(B1269:B1273)</f>
        <v>#REF!</v>
      </c>
      <c r="C1274" s="171" t="e">
        <f>SUM(C1269:C1273)</f>
        <v>#REF!</v>
      </c>
      <c r="D1274" s="172" t="e">
        <f>SUM(D1269:D1273)</f>
        <v>#REF!</v>
      </c>
      <c r="H1274" s="169"/>
      <c r="I1274" s="197">
        <f>SUM(I1269:I1273)</f>
        <v>82254481</v>
      </c>
      <c r="J1274" s="197">
        <f>SUM(J1269:J1273)</f>
        <v>385843450</v>
      </c>
      <c r="K1274" s="198">
        <f>SUM(K1269:K1273)</f>
        <v>468097931</v>
      </c>
    </row>
    <row r="1275" spans="1:15" ht="16.5">
      <c r="A1275" s="49" t="s">
        <v>88</v>
      </c>
      <c r="B1275" s="50"/>
      <c r="H1275" s="49" t="s">
        <v>88</v>
      </c>
      <c r="I1275" s="50"/>
    </row>
    <row r="1276" spans="1:15">
      <c r="A1276" s="51" t="s">
        <v>89</v>
      </c>
      <c r="H1276" s="51" t="s">
        <v>89</v>
      </c>
    </row>
    <row r="1277" spans="1:15">
      <c r="A1277" s="51" t="s">
        <v>90</v>
      </c>
      <c r="H1277" s="51" t="s">
        <v>90</v>
      </c>
    </row>
    <row r="1278" spans="1:15">
      <c r="A1278" s="51" t="s">
        <v>91</v>
      </c>
      <c r="H1278" s="51" t="s">
        <v>91</v>
      </c>
    </row>
    <row r="1279" spans="1:15" ht="12" customHeight="1">
      <c r="A1279" s="50"/>
      <c r="B1279" s="50"/>
      <c r="H1279" s="50"/>
      <c r="I1279" s="50"/>
    </row>
    <row r="1280" spans="1:15" ht="16.5">
      <c r="A1280" s="52" t="s">
        <v>502</v>
      </c>
      <c r="G1280" s="52"/>
      <c r="H1280" s="260" t="s">
        <v>871</v>
      </c>
      <c r="N1280" s="52"/>
    </row>
    <row r="1281" spans="1:15" ht="15.75">
      <c r="A1281" s="53" t="s">
        <v>92</v>
      </c>
      <c r="G1281" s="53"/>
      <c r="H1281" s="53" t="s">
        <v>1333</v>
      </c>
      <c r="N1281" s="53"/>
    </row>
    <row r="1282" spans="1:15" ht="16.5">
      <c r="A1282" s="894" t="s">
        <v>261</v>
      </c>
      <c r="B1282" s="894"/>
      <c r="C1282" s="894"/>
      <c r="D1282" s="894"/>
      <c r="E1282" s="894"/>
      <c r="F1282" s="894"/>
      <c r="G1282" s="894"/>
      <c r="H1282" s="894" t="s">
        <v>903</v>
      </c>
      <c r="I1282" s="894"/>
      <c r="J1282" s="894"/>
      <c r="K1282" s="894"/>
      <c r="L1282" s="894"/>
      <c r="M1282" s="894"/>
      <c r="N1282" s="894"/>
      <c r="O1282" s="894"/>
    </row>
    <row r="1283" spans="1:15" ht="12.75" customHeight="1" thickBot="1"/>
    <row r="1284" spans="1:15">
      <c r="A1284" s="895" t="s">
        <v>94</v>
      </c>
      <c r="B1284" s="897" t="s">
        <v>95</v>
      </c>
      <c r="C1284" s="897" t="s">
        <v>96</v>
      </c>
      <c r="D1284" s="897" t="s">
        <v>3</v>
      </c>
      <c r="E1284" s="897" t="s">
        <v>97</v>
      </c>
      <c r="F1284" s="897" t="s">
        <v>98</v>
      </c>
      <c r="G1284" s="500" t="s">
        <v>99</v>
      </c>
      <c r="H1284" s="895" t="s">
        <v>94</v>
      </c>
      <c r="I1284" s="897" t="s">
        <v>95</v>
      </c>
      <c r="J1284" s="897" t="s">
        <v>96</v>
      </c>
      <c r="K1284" s="897" t="s">
        <v>3</v>
      </c>
      <c r="L1284" s="897" t="s">
        <v>97</v>
      </c>
      <c r="M1284" s="897" t="s">
        <v>98</v>
      </c>
      <c r="N1284" s="897" t="s">
        <v>99</v>
      </c>
      <c r="O1284" s="899"/>
    </row>
    <row r="1285" spans="1:15" ht="15.75" thickBot="1">
      <c r="A1285" s="896"/>
      <c r="B1285" s="898"/>
      <c r="C1285" s="898"/>
      <c r="D1285" s="898"/>
      <c r="E1285" s="898"/>
      <c r="F1285" s="898"/>
      <c r="G1285" s="240" t="s">
        <v>100</v>
      </c>
      <c r="H1285" s="896"/>
      <c r="I1285" s="898"/>
      <c r="J1285" s="898"/>
      <c r="K1285" s="898"/>
      <c r="L1285" s="898"/>
      <c r="M1285" s="898"/>
      <c r="N1285" s="240" t="s">
        <v>100</v>
      </c>
      <c r="O1285" s="182" t="s">
        <v>101</v>
      </c>
    </row>
    <row r="1286" spans="1:15" ht="15" customHeight="1">
      <c r="A1286" s="919" t="e">
        <f>+A1257+1</f>
        <v>#REF!</v>
      </c>
      <c r="B1286" s="875">
        <v>42361</v>
      </c>
      <c r="C1286" s="877" t="s">
        <v>267</v>
      </c>
      <c r="D1286" s="877" t="s">
        <v>490</v>
      </c>
      <c r="E1286" s="881" t="s">
        <v>148</v>
      </c>
      <c r="F1286" s="883">
        <v>168000</v>
      </c>
      <c r="G1286" s="55">
        <v>719</v>
      </c>
      <c r="H1286" s="873" t="s">
        <v>1578</v>
      </c>
      <c r="I1286" s="875">
        <v>43062</v>
      </c>
      <c r="J1286" s="877" t="s">
        <v>28</v>
      </c>
      <c r="K1286" s="881" t="s">
        <v>1582</v>
      </c>
      <c r="L1286" s="881" t="s">
        <v>115</v>
      </c>
      <c r="M1286" s="883">
        <v>80000</v>
      </c>
      <c r="N1286" s="55">
        <v>719</v>
      </c>
      <c r="O1286" s="78">
        <f>+M1286</f>
        <v>80000</v>
      </c>
    </row>
    <row r="1287" spans="1:15" ht="15.75" customHeight="1" thickBot="1">
      <c r="A1287" s="920"/>
      <c r="B1287" s="876"/>
      <c r="C1287" s="878"/>
      <c r="D1287" s="878"/>
      <c r="E1287" s="882"/>
      <c r="F1287" s="884"/>
      <c r="G1287" s="56">
        <v>721</v>
      </c>
      <c r="H1287" s="874"/>
      <c r="I1287" s="876"/>
      <c r="J1287" s="878"/>
      <c r="K1287" s="882"/>
      <c r="L1287" s="882"/>
      <c r="M1287" s="884"/>
      <c r="N1287" s="56">
        <v>723</v>
      </c>
      <c r="O1287" s="79"/>
    </row>
    <row r="1288" spans="1:15" ht="15" customHeight="1">
      <c r="A1288" s="919" t="e">
        <f>+A1286+1</f>
        <v>#REF!</v>
      </c>
      <c r="B1288" s="875">
        <v>42361</v>
      </c>
      <c r="C1288" s="881" t="s">
        <v>28</v>
      </c>
      <c r="D1288" s="877" t="s">
        <v>503</v>
      </c>
      <c r="E1288" s="881" t="s">
        <v>148</v>
      </c>
      <c r="F1288" s="883">
        <v>182000</v>
      </c>
      <c r="G1288" s="55">
        <v>719</v>
      </c>
      <c r="H1288" s="873" t="s">
        <v>1579</v>
      </c>
      <c r="I1288" s="875">
        <v>43062</v>
      </c>
      <c r="J1288" s="881" t="s">
        <v>120</v>
      </c>
      <c r="K1288" s="881" t="s">
        <v>1581</v>
      </c>
      <c r="L1288" s="881" t="s">
        <v>115</v>
      </c>
      <c r="M1288" s="883">
        <v>300000</v>
      </c>
      <c r="N1288" s="55">
        <v>719</v>
      </c>
      <c r="O1288" s="78">
        <f>+M1288</f>
        <v>300000</v>
      </c>
    </row>
    <row r="1289" spans="1:15" ht="15.75" customHeight="1" thickBot="1">
      <c r="A1289" s="920"/>
      <c r="B1289" s="876"/>
      <c r="C1289" s="882"/>
      <c r="D1289" s="878"/>
      <c r="E1289" s="882"/>
      <c r="F1289" s="884"/>
      <c r="G1289" s="56">
        <v>721</v>
      </c>
      <c r="H1289" s="874"/>
      <c r="I1289" s="876"/>
      <c r="J1289" s="882"/>
      <c r="K1289" s="882"/>
      <c r="L1289" s="882"/>
      <c r="M1289" s="884"/>
      <c r="N1289" s="56">
        <v>723</v>
      </c>
      <c r="O1289" s="79">
        <v>0</v>
      </c>
    </row>
    <row r="1290" spans="1:15" ht="12.75" customHeight="1">
      <c r="A1290" s="919" t="e">
        <f>+A1288+1</f>
        <v>#REF!</v>
      </c>
      <c r="B1290" s="875">
        <v>42361</v>
      </c>
      <c r="C1290" s="877" t="s">
        <v>32</v>
      </c>
      <c r="D1290" s="877" t="s">
        <v>504</v>
      </c>
      <c r="E1290" s="881" t="s">
        <v>148</v>
      </c>
      <c r="F1290" s="883">
        <v>98000</v>
      </c>
      <c r="G1290" s="55">
        <v>719</v>
      </c>
      <c r="H1290" s="881"/>
      <c r="I1290" s="875"/>
      <c r="J1290" s="877"/>
      <c r="K1290" s="881"/>
      <c r="L1290" s="881"/>
      <c r="M1290" s="883"/>
      <c r="N1290" s="55"/>
      <c r="O1290" s="78"/>
    </row>
    <row r="1291" spans="1:15" ht="12" customHeight="1" thickBot="1">
      <c r="A1291" s="920"/>
      <c r="B1291" s="876"/>
      <c r="C1291" s="878"/>
      <c r="D1291" s="878"/>
      <c r="E1291" s="882"/>
      <c r="F1291" s="884"/>
      <c r="G1291" s="56">
        <v>721</v>
      </c>
      <c r="H1291" s="882"/>
      <c r="I1291" s="876"/>
      <c r="J1291" s="878"/>
      <c r="K1291" s="882"/>
      <c r="L1291" s="882"/>
      <c r="M1291" s="884"/>
      <c r="N1291" s="56"/>
      <c r="O1291" s="79"/>
    </row>
    <row r="1292" spans="1:15" ht="12.75" customHeight="1">
      <c r="A1292" s="919" t="e">
        <f>+A1290+1</f>
        <v>#REF!</v>
      </c>
      <c r="B1292" s="875">
        <v>42361</v>
      </c>
      <c r="C1292" s="877" t="s">
        <v>111</v>
      </c>
      <c r="D1292" s="877" t="s">
        <v>505</v>
      </c>
      <c r="E1292" s="881" t="s">
        <v>148</v>
      </c>
      <c r="F1292" s="883">
        <v>168000</v>
      </c>
      <c r="G1292" s="55">
        <v>719</v>
      </c>
      <c r="H1292" s="881"/>
      <c r="I1292" s="875"/>
      <c r="J1292" s="877"/>
      <c r="K1292" s="881"/>
      <c r="L1292" s="881"/>
      <c r="M1292" s="883"/>
      <c r="N1292" s="55"/>
      <c r="O1292" s="78"/>
    </row>
    <row r="1293" spans="1:15" ht="12" customHeight="1" thickBot="1">
      <c r="A1293" s="920"/>
      <c r="B1293" s="876"/>
      <c r="C1293" s="878"/>
      <c r="D1293" s="878"/>
      <c r="E1293" s="882"/>
      <c r="F1293" s="884"/>
      <c r="G1293" s="56">
        <v>721</v>
      </c>
      <c r="H1293" s="882"/>
      <c r="I1293" s="876"/>
      <c r="J1293" s="878"/>
      <c r="K1293" s="882"/>
      <c r="L1293" s="882"/>
      <c r="M1293" s="884"/>
      <c r="N1293" s="56"/>
      <c r="O1293" s="79"/>
    </row>
    <row r="1294" spans="1:15" ht="12" customHeight="1">
      <c r="A1294" s="919" t="e">
        <f>+A1292+1</f>
        <v>#REF!</v>
      </c>
      <c r="B1294" s="875">
        <v>42361</v>
      </c>
      <c r="C1294" s="877" t="s">
        <v>272</v>
      </c>
      <c r="D1294" s="877" t="s">
        <v>504</v>
      </c>
      <c r="E1294" s="881" t="s">
        <v>148</v>
      </c>
      <c r="F1294" s="883">
        <v>700000</v>
      </c>
      <c r="G1294" s="55">
        <v>719</v>
      </c>
      <c r="H1294" s="881"/>
      <c r="I1294" s="875"/>
      <c r="J1294" s="877"/>
      <c r="K1294" s="881"/>
      <c r="L1294" s="881"/>
      <c r="M1294" s="883"/>
      <c r="N1294" s="55"/>
      <c r="O1294" s="78"/>
    </row>
    <row r="1295" spans="1:15" ht="13.5" customHeight="1" thickBot="1">
      <c r="A1295" s="920"/>
      <c r="B1295" s="876"/>
      <c r="C1295" s="878"/>
      <c r="D1295" s="878"/>
      <c r="E1295" s="882"/>
      <c r="F1295" s="884"/>
      <c r="G1295" s="56">
        <v>721</v>
      </c>
      <c r="H1295" s="882"/>
      <c r="I1295" s="876"/>
      <c r="J1295" s="878"/>
      <c r="K1295" s="882"/>
      <c r="L1295" s="882"/>
      <c r="M1295" s="884"/>
      <c r="N1295" s="56"/>
      <c r="O1295" s="79"/>
    </row>
    <row r="1296" spans="1:15" ht="16.5" thickBot="1">
      <c r="A1296" s="901" t="s">
        <v>102</v>
      </c>
      <c r="B1296" s="902"/>
      <c r="C1296" s="902"/>
      <c r="D1296" s="902"/>
      <c r="E1296" s="903"/>
      <c r="F1296" s="81">
        <f>SUM(F1286:F1295)</f>
        <v>1316000</v>
      </c>
      <c r="H1296" s="901" t="s">
        <v>102</v>
      </c>
      <c r="I1296" s="902"/>
      <c r="J1296" s="902"/>
      <c r="K1296" s="902"/>
      <c r="L1296" s="903"/>
      <c r="M1296" s="81">
        <f>SUM(M1286:M1295)</f>
        <v>380000</v>
      </c>
    </row>
    <row r="1297" spans="1:15" ht="16.5" thickBot="1">
      <c r="A1297" s="885" t="s">
        <v>103</v>
      </c>
      <c r="B1297" s="886"/>
      <c r="C1297" s="886"/>
      <c r="D1297" s="886"/>
      <c r="E1297" s="887"/>
      <c r="F1297" s="69" t="e">
        <f>+F1261</f>
        <v>#REF!</v>
      </c>
      <c r="H1297" s="885" t="s">
        <v>103</v>
      </c>
      <c r="I1297" s="886"/>
      <c r="J1297" s="886"/>
      <c r="K1297" s="886"/>
      <c r="L1297" s="887"/>
      <c r="M1297" s="69">
        <f>+M1261</f>
        <v>468097931</v>
      </c>
      <c r="N1297" s="241" t="s">
        <v>561</v>
      </c>
      <c r="O1297" s="242"/>
    </row>
    <row r="1298" spans="1:15" ht="16.5" thickBot="1">
      <c r="A1298" s="888" t="s">
        <v>104</v>
      </c>
      <c r="B1298" s="889"/>
      <c r="C1298" s="889"/>
      <c r="D1298" s="889"/>
      <c r="E1298" s="890"/>
      <c r="F1298" s="183" t="e">
        <f>SUM(F1296:F1297)</f>
        <v>#REF!</v>
      </c>
      <c r="H1298" s="888" t="s">
        <v>104</v>
      </c>
      <c r="I1298" s="889"/>
      <c r="J1298" s="889"/>
      <c r="K1298" s="889"/>
      <c r="L1298" s="890"/>
      <c r="M1298" s="183">
        <f>SUM(M1296:M1297)</f>
        <v>468477931</v>
      </c>
    </row>
    <row r="1299" spans="1:15">
      <c r="A1299" s="61"/>
      <c r="B1299" s="61"/>
      <c r="C1299" s="61"/>
      <c r="D1299" s="61"/>
      <c r="E1299" s="61"/>
      <c r="H1299" s="61"/>
      <c r="I1299" s="61"/>
      <c r="J1299" s="61"/>
      <c r="K1299" s="61"/>
      <c r="L1299" s="61"/>
    </row>
    <row r="1300" spans="1:15">
      <c r="A1300" s="51" t="s">
        <v>506</v>
      </c>
      <c r="H1300" s="51" t="s">
        <v>1580</v>
      </c>
    </row>
    <row r="1301" spans="1:15" ht="12" customHeight="1">
      <c r="F1301" s="139"/>
      <c r="M1301" s="139"/>
    </row>
    <row r="1302" spans="1:15">
      <c r="A1302" s="50" t="s">
        <v>105</v>
      </c>
      <c r="D1302" s="146"/>
      <c r="F1302" s="139"/>
      <c r="H1302" s="50" t="s">
        <v>105</v>
      </c>
      <c r="K1302" s="146"/>
      <c r="M1302" s="139"/>
    </row>
    <row r="1303" spans="1:15" ht="12" customHeight="1" thickBot="1"/>
    <row r="1304" spans="1:15" ht="15.75" thickBot="1">
      <c r="A1304" s="891" t="s">
        <v>106</v>
      </c>
      <c r="B1304" s="892"/>
      <c r="C1304" s="892"/>
      <c r="D1304" s="893"/>
      <c r="F1304" s="50" t="s">
        <v>288</v>
      </c>
      <c r="H1304" s="891" t="s">
        <v>106</v>
      </c>
      <c r="I1304" s="892"/>
      <c r="J1304" s="892"/>
      <c r="K1304" s="893"/>
      <c r="M1304" s="50" t="s">
        <v>288</v>
      </c>
    </row>
    <row r="1305" spans="1:15" ht="45.75" thickBot="1">
      <c r="A1305" s="57" t="s">
        <v>100</v>
      </c>
      <c r="B1305" s="58" t="s">
        <v>108</v>
      </c>
      <c r="C1305" s="59" t="s">
        <v>109</v>
      </c>
      <c r="D1305" s="60" t="s">
        <v>110</v>
      </c>
      <c r="H1305" s="57" t="s">
        <v>100</v>
      </c>
      <c r="I1305" s="58" t="s">
        <v>108</v>
      </c>
      <c r="J1305" s="59" t="s">
        <v>109</v>
      </c>
      <c r="K1305" s="60" t="s">
        <v>110</v>
      </c>
    </row>
    <row r="1306" spans="1:15" ht="12.75" customHeight="1">
      <c r="A1306" s="71">
        <v>719</v>
      </c>
      <c r="B1306" s="73" t="e">
        <f>+#REF!+#REF!+#REF!+#REF!+#REF!</f>
        <v>#REF!</v>
      </c>
      <c r="C1306" s="74" t="e">
        <f>+D1269</f>
        <v>#REF!</v>
      </c>
      <c r="D1306" s="195" t="e">
        <f>+B1306+C1306</f>
        <v>#REF!</v>
      </c>
      <c r="H1306" s="71">
        <v>719</v>
      </c>
      <c r="I1306" s="73">
        <f>+O1286+O1288+O1290+O1292+O1294</f>
        <v>380000</v>
      </c>
      <c r="J1306" s="74">
        <f>+K1269</f>
        <v>46830000</v>
      </c>
      <c r="K1306" s="195">
        <f>+I1306+J1306</f>
        <v>47210000</v>
      </c>
    </row>
    <row r="1307" spans="1:15" ht="13.5" customHeight="1">
      <c r="A1307" s="72">
        <v>721</v>
      </c>
      <c r="B1307" s="80" t="e">
        <f>(+#REF!+#REF!+#REF!+#REF!+#REF!)</f>
        <v>#REF!</v>
      </c>
      <c r="C1307" s="74" t="e">
        <f>+D1270</f>
        <v>#REF!</v>
      </c>
      <c r="D1307" s="195" t="e">
        <f>+B1307+C1307</f>
        <v>#REF!</v>
      </c>
      <c r="H1307" s="72">
        <v>721</v>
      </c>
      <c r="I1307" s="80">
        <v>0</v>
      </c>
      <c r="J1307" s="74">
        <f>+K1270</f>
        <v>87141981</v>
      </c>
      <c r="K1307" s="195">
        <f>+I1307+J1307</f>
        <v>87141981</v>
      </c>
    </row>
    <row r="1308" spans="1:15" ht="14.25" customHeight="1">
      <c r="A1308" s="72">
        <v>722</v>
      </c>
      <c r="B1308" s="80"/>
      <c r="C1308" s="74" t="e">
        <f>+D1271</f>
        <v>#REF!</v>
      </c>
      <c r="D1308" s="195" t="e">
        <f>+B1308+C1308</f>
        <v>#REF!</v>
      </c>
      <c r="H1308" s="72">
        <v>722</v>
      </c>
      <c r="I1308" s="80"/>
      <c r="J1308" s="74">
        <f>+K1271</f>
        <v>0</v>
      </c>
      <c r="K1308" s="195">
        <f>+I1308+J1308</f>
        <v>0</v>
      </c>
    </row>
    <row r="1309" spans="1:15" ht="15.75">
      <c r="A1309" s="72">
        <v>723</v>
      </c>
      <c r="B1309" s="80"/>
      <c r="C1309" s="74" t="e">
        <f>+D1272</f>
        <v>#REF!</v>
      </c>
      <c r="D1309" s="195" t="e">
        <f>+B1309+C1309</f>
        <v>#REF!</v>
      </c>
      <c r="F1309" s="174" t="s">
        <v>23</v>
      </c>
      <c r="G1309" s="175"/>
      <c r="H1309" s="72">
        <v>723</v>
      </c>
      <c r="I1309" s="80">
        <f>+O1295+O1293+O1291+O1289+O1287</f>
        <v>0</v>
      </c>
      <c r="J1309" s="74">
        <f>+K1272</f>
        <v>334125950</v>
      </c>
      <c r="K1309" s="195">
        <f>+I1309+J1309</f>
        <v>334125950</v>
      </c>
      <c r="M1309" s="918" t="s">
        <v>1481</v>
      </c>
      <c r="N1309" s="918"/>
      <c r="O1309" s="918"/>
    </row>
    <row r="1310" spans="1:15" ht="13.5" customHeight="1" thickBot="1">
      <c r="A1310" s="164" t="s">
        <v>181</v>
      </c>
      <c r="B1310" s="165"/>
      <c r="C1310" s="74" t="e">
        <f>+D1273</f>
        <v>#REF!</v>
      </c>
      <c r="D1310" s="196" t="e">
        <f>+B1310+C1310</f>
        <v>#REF!</v>
      </c>
      <c r="F1310" s="52"/>
      <c r="H1310" s="164" t="s">
        <v>181</v>
      </c>
      <c r="I1310" s="165"/>
      <c r="J1310" s="74">
        <f>+K1273</f>
        <v>0</v>
      </c>
      <c r="K1310" s="196">
        <f>+I1310+J1310</f>
        <v>0</v>
      </c>
      <c r="M1310" s="52"/>
    </row>
    <row r="1311" spans="1:15" ht="16.5" thickBot="1">
      <c r="A1311" s="169"/>
      <c r="B1311" s="170" t="e">
        <f>SUM(B1306:B1310)</f>
        <v>#REF!</v>
      </c>
      <c r="C1311" s="171" t="e">
        <f>SUM(C1306:C1310)</f>
        <v>#REF!</v>
      </c>
      <c r="D1311" s="172" t="e">
        <f>SUM(D1306:D1310)</f>
        <v>#REF!</v>
      </c>
      <c r="H1311" s="169"/>
      <c r="I1311" s="197">
        <f>SUM(I1306:I1310)</f>
        <v>380000</v>
      </c>
      <c r="J1311" s="197">
        <f>SUM(J1306:J1310)</f>
        <v>468097931</v>
      </c>
      <c r="K1311" s="198">
        <f>SUM(K1306:K1310)</f>
        <v>468477931</v>
      </c>
    </row>
    <row r="1312" spans="1:15" ht="16.5">
      <c r="A1312" s="49" t="s">
        <v>88</v>
      </c>
      <c r="B1312" s="50"/>
      <c r="H1312" s="49" t="s">
        <v>88</v>
      </c>
      <c r="I1312" s="50"/>
    </row>
    <row r="1313" spans="1:15">
      <c r="A1313" s="51" t="s">
        <v>89</v>
      </c>
      <c r="H1313" s="51" t="s">
        <v>89</v>
      </c>
    </row>
    <row r="1314" spans="1:15">
      <c r="A1314" s="51" t="s">
        <v>90</v>
      </c>
      <c r="H1314" s="51" t="s">
        <v>90</v>
      </c>
    </row>
    <row r="1315" spans="1:15">
      <c r="A1315" s="51" t="s">
        <v>91</v>
      </c>
      <c r="H1315" s="51" t="s">
        <v>91</v>
      </c>
    </row>
    <row r="1316" spans="1:15" ht="12" customHeight="1">
      <c r="A1316" s="50"/>
      <c r="B1316" s="50"/>
      <c r="H1316" s="50"/>
      <c r="I1316" s="50"/>
    </row>
    <row r="1317" spans="1:15" ht="16.5">
      <c r="A1317" s="52" t="s">
        <v>507</v>
      </c>
      <c r="G1317" s="52"/>
      <c r="H1317" s="260" t="s">
        <v>209</v>
      </c>
      <c r="N1317" s="52"/>
    </row>
    <row r="1318" spans="1:15" ht="15.75">
      <c r="A1318" s="53" t="s">
        <v>92</v>
      </c>
      <c r="G1318" s="53"/>
      <c r="H1318" s="53" t="s">
        <v>1333</v>
      </c>
      <c r="N1318" s="53"/>
    </row>
    <row r="1319" spans="1:15" ht="16.5">
      <c r="A1319" s="894" t="s">
        <v>261</v>
      </c>
      <c r="B1319" s="894"/>
      <c r="C1319" s="894"/>
      <c r="D1319" s="894"/>
      <c r="E1319" s="894"/>
      <c r="F1319" s="894"/>
      <c r="G1319" s="894"/>
      <c r="H1319" s="894" t="s">
        <v>903</v>
      </c>
      <c r="I1319" s="894"/>
      <c r="J1319" s="894"/>
      <c r="K1319" s="894"/>
      <c r="L1319" s="894"/>
      <c r="M1319" s="894"/>
      <c r="N1319" s="894"/>
      <c r="O1319" s="894"/>
    </row>
    <row r="1320" spans="1:15" ht="15.75" thickBot="1"/>
    <row r="1321" spans="1:15">
      <c r="A1321" s="895" t="s">
        <v>94</v>
      </c>
      <c r="B1321" s="897" t="s">
        <v>95</v>
      </c>
      <c r="C1321" s="897" t="s">
        <v>96</v>
      </c>
      <c r="D1321" s="897" t="s">
        <v>3</v>
      </c>
      <c r="E1321" s="897" t="s">
        <v>97</v>
      </c>
      <c r="F1321" s="897" t="s">
        <v>98</v>
      </c>
      <c r="G1321" s="500" t="s">
        <v>99</v>
      </c>
      <c r="H1321" s="895" t="s">
        <v>94</v>
      </c>
      <c r="I1321" s="897" t="s">
        <v>95</v>
      </c>
      <c r="J1321" s="897" t="s">
        <v>96</v>
      </c>
      <c r="K1321" s="897" t="s">
        <v>3</v>
      </c>
      <c r="L1321" s="897" t="s">
        <v>97</v>
      </c>
      <c r="M1321" s="897" t="s">
        <v>98</v>
      </c>
      <c r="N1321" s="897" t="s">
        <v>99</v>
      </c>
      <c r="O1321" s="899"/>
    </row>
    <row r="1322" spans="1:15" ht="15.75" thickBot="1">
      <c r="A1322" s="896"/>
      <c r="B1322" s="898"/>
      <c r="C1322" s="898"/>
      <c r="D1322" s="898"/>
      <c r="E1322" s="898"/>
      <c r="F1322" s="898"/>
      <c r="G1322" s="240" t="s">
        <v>100</v>
      </c>
      <c r="H1322" s="896"/>
      <c r="I1322" s="898"/>
      <c r="J1322" s="898"/>
      <c r="K1322" s="898"/>
      <c r="L1322" s="898"/>
      <c r="M1322" s="898"/>
      <c r="N1322" s="240" t="s">
        <v>100</v>
      </c>
      <c r="O1322" s="182" t="s">
        <v>101</v>
      </c>
    </row>
    <row r="1323" spans="1:15" ht="13.5" customHeight="1">
      <c r="A1323" s="919" t="e">
        <f>+A1294+1</f>
        <v>#REF!</v>
      </c>
      <c r="B1323" s="875">
        <v>42364</v>
      </c>
      <c r="C1323" s="877" t="s">
        <v>267</v>
      </c>
      <c r="D1323" s="877" t="s">
        <v>509</v>
      </c>
      <c r="E1323" s="881" t="s">
        <v>148</v>
      </c>
      <c r="F1323" s="883">
        <v>112000</v>
      </c>
      <c r="G1323" s="55">
        <v>719</v>
      </c>
      <c r="H1323" s="873" t="s">
        <v>1589</v>
      </c>
      <c r="I1323" s="875">
        <v>43088</v>
      </c>
      <c r="J1323" s="877" t="s">
        <v>472</v>
      </c>
      <c r="K1323" s="881" t="s">
        <v>1522</v>
      </c>
      <c r="L1323" s="881" t="s">
        <v>148</v>
      </c>
      <c r="M1323" s="883">
        <v>325000</v>
      </c>
      <c r="N1323" s="55">
        <v>719</v>
      </c>
      <c r="O1323" s="78">
        <v>250000</v>
      </c>
    </row>
    <row r="1324" spans="1:15" ht="12.75" customHeight="1" thickBot="1">
      <c r="A1324" s="920"/>
      <c r="B1324" s="876"/>
      <c r="C1324" s="878"/>
      <c r="D1324" s="878"/>
      <c r="E1324" s="882"/>
      <c r="F1324" s="884"/>
      <c r="G1324" s="56">
        <v>721</v>
      </c>
      <c r="H1324" s="874"/>
      <c r="I1324" s="876"/>
      <c r="J1324" s="878"/>
      <c r="K1324" s="882"/>
      <c r="L1324" s="882"/>
      <c r="M1324" s="884"/>
      <c r="N1324" s="56">
        <v>723</v>
      </c>
      <c r="O1324" s="79">
        <f>+M1323-O1323</f>
        <v>75000</v>
      </c>
    </row>
    <row r="1325" spans="1:15" ht="12" customHeight="1">
      <c r="A1325" s="919" t="e">
        <f>+A1323+1</f>
        <v>#REF!</v>
      </c>
      <c r="B1325" s="875">
        <v>42364</v>
      </c>
      <c r="C1325" s="881" t="s">
        <v>28</v>
      </c>
      <c r="D1325" s="877" t="s">
        <v>510</v>
      </c>
      <c r="E1325" s="881" t="s">
        <v>148</v>
      </c>
      <c r="F1325" s="883">
        <v>238000</v>
      </c>
      <c r="G1325" s="55">
        <v>719</v>
      </c>
      <c r="H1325" s="881">
        <f>+H1323+1</f>
        <v>164</v>
      </c>
      <c r="I1325" s="875">
        <v>43088</v>
      </c>
      <c r="J1325" s="877" t="s">
        <v>472</v>
      </c>
      <c r="K1325" s="881" t="s">
        <v>1590</v>
      </c>
      <c r="L1325" s="881" t="s">
        <v>148</v>
      </c>
      <c r="M1325" s="883">
        <v>312000</v>
      </c>
      <c r="N1325" s="55">
        <v>719</v>
      </c>
      <c r="O1325" s="78">
        <v>240000</v>
      </c>
    </row>
    <row r="1326" spans="1:15" ht="13.5" customHeight="1" thickBot="1">
      <c r="A1326" s="920"/>
      <c r="B1326" s="876"/>
      <c r="C1326" s="882"/>
      <c r="D1326" s="878"/>
      <c r="E1326" s="882"/>
      <c r="F1326" s="884"/>
      <c r="G1326" s="56">
        <v>721</v>
      </c>
      <c r="H1326" s="882"/>
      <c r="I1326" s="876"/>
      <c r="J1326" s="878"/>
      <c r="K1326" s="882"/>
      <c r="L1326" s="882"/>
      <c r="M1326" s="884"/>
      <c r="N1326" s="56">
        <v>723</v>
      </c>
      <c r="O1326" s="79">
        <f>+M1325-O1325</f>
        <v>72000</v>
      </c>
    </row>
    <row r="1327" spans="1:15" ht="12.75" customHeight="1">
      <c r="A1327" s="919" t="e">
        <f>+A1325+1</f>
        <v>#REF!</v>
      </c>
      <c r="B1327" s="875">
        <v>42364</v>
      </c>
      <c r="C1327" s="877" t="s">
        <v>32</v>
      </c>
      <c r="D1327" s="877" t="s">
        <v>510</v>
      </c>
      <c r="E1327" s="881" t="s">
        <v>148</v>
      </c>
      <c r="F1327" s="883">
        <v>112000</v>
      </c>
      <c r="G1327" s="55">
        <v>719</v>
      </c>
      <c r="H1327" s="881">
        <f>+H1325+1</f>
        <v>165</v>
      </c>
      <c r="I1327" s="875">
        <v>43088</v>
      </c>
      <c r="J1327" s="877" t="s">
        <v>472</v>
      </c>
      <c r="K1327" s="881" t="s">
        <v>1507</v>
      </c>
      <c r="L1327" s="881" t="s">
        <v>148</v>
      </c>
      <c r="M1327" s="883">
        <v>247000</v>
      </c>
      <c r="N1327" s="55">
        <v>719</v>
      </c>
      <c r="O1327" s="78">
        <v>190000</v>
      </c>
    </row>
    <row r="1328" spans="1:15" ht="12.75" customHeight="1" thickBot="1">
      <c r="A1328" s="920"/>
      <c r="B1328" s="876"/>
      <c r="C1328" s="878"/>
      <c r="D1328" s="878"/>
      <c r="E1328" s="882"/>
      <c r="F1328" s="884"/>
      <c r="G1328" s="56">
        <v>721</v>
      </c>
      <c r="H1328" s="882"/>
      <c r="I1328" s="876"/>
      <c r="J1328" s="878"/>
      <c r="K1328" s="882"/>
      <c r="L1328" s="882"/>
      <c r="M1328" s="884"/>
      <c r="N1328" s="56">
        <v>723</v>
      </c>
      <c r="O1328" s="79">
        <f>+M1327-O1327</f>
        <v>57000</v>
      </c>
    </row>
    <row r="1329" spans="1:15" ht="13.5" customHeight="1">
      <c r="A1329" s="919" t="e">
        <f>+A1327+1</f>
        <v>#REF!</v>
      </c>
      <c r="B1329" s="875">
        <v>42364</v>
      </c>
      <c r="C1329" s="877" t="s">
        <v>111</v>
      </c>
      <c r="D1329" s="877" t="s">
        <v>511</v>
      </c>
      <c r="E1329" s="881" t="s">
        <v>148</v>
      </c>
      <c r="F1329" s="883">
        <v>112000</v>
      </c>
      <c r="G1329" s="55">
        <v>719</v>
      </c>
      <c r="H1329" s="881">
        <f>+H1327+1</f>
        <v>166</v>
      </c>
      <c r="I1329" s="875">
        <v>43088</v>
      </c>
      <c r="J1329" s="877" t="s">
        <v>472</v>
      </c>
      <c r="K1329" s="881" t="s">
        <v>1506</v>
      </c>
      <c r="L1329" s="881" t="s">
        <v>148</v>
      </c>
      <c r="M1329" s="883">
        <v>208000</v>
      </c>
      <c r="N1329" s="55">
        <v>719</v>
      </c>
      <c r="O1329" s="78">
        <v>160000</v>
      </c>
    </row>
    <row r="1330" spans="1:15" ht="13.5" customHeight="1" thickBot="1">
      <c r="A1330" s="920"/>
      <c r="B1330" s="876"/>
      <c r="C1330" s="878"/>
      <c r="D1330" s="878"/>
      <c r="E1330" s="882"/>
      <c r="F1330" s="884"/>
      <c r="G1330" s="56">
        <v>721</v>
      </c>
      <c r="H1330" s="882"/>
      <c r="I1330" s="876"/>
      <c r="J1330" s="878"/>
      <c r="K1330" s="882"/>
      <c r="L1330" s="882"/>
      <c r="M1330" s="884"/>
      <c r="N1330" s="56">
        <v>723</v>
      </c>
      <c r="O1330" s="79">
        <f>+M1329-O1329</f>
        <v>48000</v>
      </c>
    </row>
    <row r="1331" spans="1:15" ht="12.75" customHeight="1">
      <c r="A1331" s="919" t="e">
        <f>+A1329+1</f>
        <v>#REF!</v>
      </c>
      <c r="B1331" s="875">
        <v>42364</v>
      </c>
      <c r="C1331" s="877" t="s">
        <v>272</v>
      </c>
      <c r="D1331" s="877" t="s">
        <v>510</v>
      </c>
      <c r="E1331" s="881" t="s">
        <v>148</v>
      </c>
      <c r="F1331" s="883">
        <v>616000</v>
      </c>
      <c r="G1331" s="55">
        <v>719</v>
      </c>
      <c r="H1331" s="881">
        <f>+H1329+1</f>
        <v>167</v>
      </c>
      <c r="I1331" s="875">
        <v>43088</v>
      </c>
      <c r="J1331" s="877" t="s">
        <v>472</v>
      </c>
      <c r="K1331" s="881" t="s">
        <v>1510</v>
      </c>
      <c r="L1331" s="881" t="s">
        <v>148</v>
      </c>
      <c r="M1331" s="883">
        <v>234000</v>
      </c>
      <c r="N1331" s="55">
        <v>719</v>
      </c>
      <c r="O1331" s="78">
        <v>180000</v>
      </c>
    </row>
    <row r="1332" spans="1:15" ht="12.75" customHeight="1" thickBot="1">
      <c r="A1332" s="920"/>
      <c r="B1332" s="876"/>
      <c r="C1332" s="878"/>
      <c r="D1332" s="878"/>
      <c r="E1332" s="882"/>
      <c r="F1332" s="884"/>
      <c r="G1332" s="56">
        <v>721</v>
      </c>
      <c r="H1332" s="882"/>
      <c r="I1332" s="876"/>
      <c r="J1332" s="878"/>
      <c r="K1332" s="882"/>
      <c r="L1332" s="882"/>
      <c r="M1332" s="884"/>
      <c r="N1332" s="56">
        <v>723</v>
      </c>
      <c r="O1332" s="79">
        <f>+M1331-O1331</f>
        <v>54000</v>
      </c>
    </row>
    <row r="1333" spans="1:15" ht="16.5" thickBot="1">
      <c r="A1333" s="901" t="s">
        <v>102</v>
      </c>
      <c r="B1333" s="902"/>
      <c r="C1333" s="902"/>
      <c r="D1333" s="902"/>
      <c r="E1333" s="903"/>
      <c r="F1333" s="81">
        <f>SUM(F1323:F1332)</f>
        <v>1190000</v>
      </c>
      <c r="H1333" s="901" t="s">
        <v>102</v>
      </c>
      <c r="I1333" s="902"/>
      <c r="J1333" s="902"/>
      <c r="K1333" s="902"/>
      <c r="L1333" s="903"/>
      <c r="M1333" s="81">
        <f>SUM(M1323:M1332)</f>
        <v>1326000</v>
      </c>
    </row>
    <row r="1334" spans="1:15" ht="16.5" thickBot="1">
      <c r="A1334" s="885" t="s">
        <v>103</v>
      </c>
      <c r="B1334" s="886"/>
      <c r="C1334" s="886"/>
      <c r="D1334" s="886"/>
      <c r="E1334" s="887"/>
      <c r="F1334" s="69" t="e">
        <f>+F1298</f>
        <v>#REF!</v>
      </c>
      <c r="H1334" s="885" t="s">
        <v>103</v>
      </c>
      <c r="I1334" s="886"/>
      <c r="J1334" s="886"/>
      <c r="K1334" s="886"/>
      <c r="L1334" s="887"/>
      <c r="M1334" s="69">
        <f>+M1298</f>
        <v>468477931</v>
      </c>
      <c r="N1334" s="241" t="s">
        <v>561</v>
      </c>
      <c r="O1334" s="242">
        <f>426+320+398+660+676</f>
        <v>2480</v>
      </c>
    </row>
    <row r="1335" spans="1:15" ht="16.5" thickBot="1">
      <c r="A1335" s="888" t="s">
        <v>104</v>
      </c>
      <c r="B1335" s="889"/>
      <c r="C1335" s="889"/>
      <c r="D1335" s="889"/>
      <c r="E1335" s="890"/>
      <c r="F1335" s="183" t="e">
        <f>SUM(F1333:F1334)</f>
        <v>#REF!</v>
      </c>
      <c r="H1335" s="888" t="s">
        <v>104</v>
      </c>
      <c r="I1335" s="889"/>
      <c r="J1335" s="889"/>
      <c r="K1335" s="889"/>
      <c r="L1335" s="890"/>
      <c r="M1335" s="183">
        <f>SUM(M1333:M1334)</f>
        <v>469803931</v>
      </c>
    </row>
    <row r="1336" spans="1:15">
      <c r="A1336" s="61"/>
      <c r="B1336" s="61"/>
      <c r="C1336" s="61"/>
      <c r="D1336" s="61"/>
      <c r="E1336" s="61"/>
      <c r="H1336" s="61"/>
      <c r="I1336" s="61"/>
      <c r="J1336" s="61"/>
      <c r="K1336" s="61"/>
      <c r="L1336" s="61"/>
    </row>
    <row r="1337" spans="1:15">
      <c r="A1337" s="51" t="s">
        <v>512</v>
      </c>
      <c r="H1337" s="51" t="s">
        <v>1598</v>
      </c>
    </row>
    <row r="1338" spans="1:15" ht="9.75" customHeight="1">
      <c r="F1338" s="139"/>
      <c r="M1338" s="139"/>
    </row>
    <row r="1339" spans="1:15">
      <c r="A1339" s="50" t="s">
        <v>105</v>
      </c>
      <c r="D1339" s="146"/>
      <c r="F1339" s="139"/>
      <c r="H1339" s="50" t="s">
        <v>105</v>
      </c>
      <c r="K1339" s="146"/>
      <c r="M1339" s="139"/>
    </row>
    <row r="1340" spans="1:15" ht="10.5" customHeight="1" thickBot="1"/>
    <row r="1341" spans="1:15" ht="15.75" thickBot="1">
      <c r="A1341" s="891" t="s">
        <v>106</v>
      </c>
      <c r="B1341" s="892"/>
      <c r="C1341" s="892"/>
      <c r="D1341" s="893"/>
      <c r="F1341" s="50" t="s">
        <v>288</v>
      </c>
      <c r="H1341" s="891" t="s">
        <v>106</v>
      </c>
      <c r="I1341" s="892"/>
      <c r="J1341" s="892"/>
      <c r="K1341" s="893"/>
      <c r="M1341" s="50" t="s">
        <v>288</v>
      </c>
    </row>
    <row r="1342" spans="1:15" ht="45.75" thickBot="1">
      <c r="A1342" s="57" t="s">
        <v>100</v>
      </c>
      <c r="B1342" s="58" t="s">
        <v>108</v>
      </c>
      <c r="C1342" s="59" t="s">
        <v>109</v>
      </c>
      <c r="D1342" s="60" t="s">
        <v>110</v>
      </c>
      <c r="H1342" s="57" t="s">
        <v>100</v>
      </c>
      <c r="I1342" s="58" t="s">
        <v>108</v>
      </c>
      <c r="J1342" s="59" t="s">
        <v>109</v>
      </c>
      <c r="K1342" s="60" t="s">
        <v>110</v>
      </c>
    </row>
    <row r="1343" spans="1:15">
      <c r="A1343" s="71">
        <v>719</v>
      </c>
      <c r="B1343" s="73" t="e">
        <f>+#REF!+#REF!+#REF!+#REF!+#REF!</f>
        <v>#REF!</v>
      </c>
      <c r="C1343" s="74" t="e">
        <f>+D1306</f>
        <v>#REF!</v>
      </c>
      <c r="D1343" s="195" t="e">
        <f>+B1343+C1343</f>
        <v>#REF!</v>
      </c>
      <c r="H1343" s="71">
        <v>719</v>
      </c>
      <c r="I1343" s="73">
        <f>+O1323+O1325+O1327+O1329+O1331</f>
        <v>1020000</v>
      </c>
      <c r="J1343" s="74">
        <f>+K1306</f>
        <v>47210000</v>
      </c>
      <c r="K1343" s="195">
        <f>+I1343+J1343</f>
        <v>48230000</v>
      </c>
    </row>
    <row r="1344" spans="1:15">
      <c r="A1344" s="72">
        <v>721</v>
      </c>
      <c r="B1344" s="80" t="e">
        <f>(+#REF!+#REF!+#REF!+#REF!+#REF!)</f>
        <v>#REF!</v>
      </c>
      <c r="C1344" s="74" t="e">
        <f>+D1307</f>
        <v>#REF!</v>
      </c>
      <c r="D1344" s="195" t="e">
        <f>+B1344+C1344</f>
        <v>#REF!</v>
      </c>
      <c r="H1344" s="72">
        <v>721</v>
      </c>
      <c r="I1344" s="80">
        <f>+O1324+O1326+O1328+O1330+O1332</f>
        <v>306000</v>
      </c>
      <c r="J1344" s="74">
        <f>+K1307</f>
        <v>87141981</v>
      </c>
      <c r="K1344" s="195">
        <f>+I1344+J1344</f>
        <v>87447981</v>
      </c>
    </row>
    <row r="1345" spans="1:15" ht="13.5" customHeight="1">
      <c r="A1345" s="72">
        <v>722</v>
      </c>
      <c r="B1345" s="80"/>
      <c r="C1345" s="74" t="e">
        <f>+D1308</f>
        <v>#REF!</v>
      </c>
      <c r="D1345" s="195" t="e">
        <f>+B1345+C1345</f>
        <v>#REF!</v>
      </c>
      <c r="H1345" s="72">
        <v>722</v>
      </c>
      <c r="I1345" s="80"/>
      <c r="J1345" s="74">
        <f>+K1308</f>
        <v>0</v>
      </c>
      <c r="K1345" s="195">
        <f>+I1345+J1345</f>
        <v>0</v>
      </c>
    </row>
    <row r="1346" spans="1:15" ht="15.75">
      <c r="A1346" s="72">
        <v>723</v>
      </c>
      <c r="B1346" s="80"/>
      <c r="C1346" s="74" t="e">
        <f>+D1309</f>
        <v>#REF!</v>
      </c>
      <c r="D1346" s="195" t="e">
        <f>+B1346+C1346</f>
        <v>#REF!</v>
      </c>
      <c r="F1346" s="174" t="s">
        <v>23</v>
      </c>
      <c r="G1346" s="175"/>
      <c r="H1346" s="72">
        <v>723</v>
      </c>
      <c r="I1346" s="80"/>
      <c r="J1346" s="74">
        <f>+K1309</f>
        <v>334125950</v>
      </c>
      <c r="K1346" s="195">
        <f>+I1346+J1346</f>
        <v>334125950</v>
      </c>
      <c r="M1346" s="918" t="s">
        <v>1481</v>
      </c>
      <c r="N1346" s="918"/>
      <c r="O1346" s="918"/>
    </row>
    <row r="1347" spans="1:15" ht="15" customHeight="1" thickBot="1">
      <c r="A1347" s="164" t="s">
        <v>181</v>
      </c>
      <c r="B1347" s="165"/>
      <c r="C1347" s="74" t="e">
        <f>+D1310</f>
        <v>#REF!</v>
      </c>
      <c r="D1347" s="196" t="e">
        <f>+B1347+C1347</f>
        <v>#REF!</v>
      </c>
      <c r="F1347" s="52"/>
      <c r="H1347" s="164" t="s">
        <v>181</v>
      </c>
      <c r="I1347" s="165"/>
      <c r="J1347" s="74">
        <f>+K1310</f>
        <v>0</v>
      </c>
      <c r="K1347" s="196">
        <f>+I1347+J1347</f>
        <v>0</v>
      </c>
      <c r="M1347" s="52"/>
    </row>
    <row r="1348" spans="1:15" ht="16.5" thickBot="1">
      <c r="A1348" s="169"/>
      <c r="B1348" s="170" t="e">
        <f>SUM(B1343:B1347)</f>
        <v>#REF!</v>
      </c>
      <c r="C1348" s="171" t="e">
        <f>SUM(C1343:C1347)</f>
        <v>#REF!</v>
      </c>
      <c r="D1348" s="172" t="e">
        <f>SUM(D1343:D1347)</f>
        <v>#REF!</v>
      </c>
      <c r="H1348" s="169"/>
      <c r="I1348" s="197">
        <f>SUM(I1343:I1347)</f>
        <v>1326000</v>
      </c>
      <c r="J1348" s="197">
        <f>SUM(J1343:J1347)</f>
        <v>468477931</v>
      </c>
      <c r="K1348" s="198">
        <f>SUM(K1343:K1347)</f>
        <v>469803931</v>
      </c>
    </row>
    <row r="1349" spans="1:15" ht="16.5">
      <c r="A1349" s="49" t="s">
        <v>88</v>
      </c>
      <c r="B1349" s="50"/>
      <c r="H1349" s="49" t="s">
        <v>88</v>
      </c>
      <c r="I1349" s="50"/>
    </row>
    <row r="1350" spans="1:15">
      <c r="A1350" s="51" t="s">
        <v>89</v>
      </c>
      <c r="H1350" s="51" t="s">
        <v>89</v>
      </c>
    </row>
    <row r="1351" spans="1:15">
      <c r="A1351" s="51" t="s">
        <v>90</v>
      </c>
      <c r="H1351" s="51" t="s">
        <v>90</v>
      </c>
    </row>
    <row r="1352" spans="1:15">
      <c r="A1352" s="51" t="s">
        <v>91</v>
      </c>
      <c r="H1352" s="51" t="s">
        <v>91</v>
      </c>
    </row>
    <row r="1353" spans="1:15" ht="9.75" customHeight="1">
      <c r="A1353" s="50"/>
      <c r="B1353" s="50"/>
      <c r="H1353" s="50"/>
      <c r="I1353" s="50"/>
    </row>
    <row r="1354" spans="1:15" ht="16.5">
      <c r="A1354" s="52" t="s">
        <v>508</v>
      </c>
      <c r="G1354" s="52"/>
      <c r="H1354" s="260" t="s">
        <v>898</v>
      </c>
      <c r="N1354" s="52"/>
    </row>
    <row r="1355" spans="1:15" ht="14.25" customHeight="1">
      <c r="A1355" s="53" t="s">
        <v>92</v>
      </c>
      <c r="G1355" s="53"/>
      <c r="H1355" s="53" t="s">
        <v>1333</v>
      </c>
      <c r="N1355" s="53"/>
    </row>
    <row r="1356" spans="1:15" ht="16.5">
      <c r="A1356" s="894" t="s">
        <v>261</v>
      </c>
      <c r="B1356" s="894"/>
      <c r="C1356" s="894"/>
      <c r="D1356" s="894"/>
      <c r="E1356" s="894"/>
      <c r="F1356" s="894"/>
      <c r="G1356" s="894"/>
      <c r="H1356" s="894" t="s">
        <v>903</v>
      </c>
      <c r="I1356" s="894"/>
      <c r="J1356" s="894"/>
      <c r="K1356" s="894"/>
      <c r="L1356" s="894"/>
      <c r="M1356" s="894"/>
      <c r="N1356" s="894"/>
      <c r="O1356" s="894"/>
    </row>
    <row r="1357" spans="1:15" ht="13.5" customHeight="1" thickBot="1"/>
    <row r="1358" spans="1:15">
      <c r="A1358" s="895" t="s">
        <v>94</v>
      </c>
      <c r="B1358" s="897" t="s">
        <v>95</v>
      </c>
      <c r="C1358" s="897" t="s">
        <v>96</v>
      </c>
      <c r="D1358" s="897" t="s">
        <v>3</v>
      </c>
      <c r="E1358" s="897" t="s">
        <v>97</v>
      </c>
      <c r="F1358" s="897" t="s">
        <v>98</v>
      </c>
      <c r="G1358" s="500" t="s">
        <v>99</v>
      </c>
      <c r="H1358" s="895" t="s">
        <v>94</v>
      </c>
      <c r="I1358" s="897" t="s">
        <v>95</v>
      </c>
      <c r="J1358" s="897" t="s">
        <v>96</v>
      </c>
      <c r="K1358" s="897" t="s">
        <v>3</v>
      </c>
      <c r="L1358" s="897" t="s">
        <v>97</v>
      </c>
      <c r="M1358" s="897" t="s">
        <v>98</v>
      </c>
      <c r="N1358" s="897" t="s">
        <v>99</v>
      </c>
      <c r="O1358" s="899"/>
    </row>
    <row r="1359" spans="1:15" ht="15.75" thickBot="1">
      <c r="A1359" s="896"/>
      <c r="B1359" s="898"/>
      <c r="C1359" s="898"/>
      <c r="D1359" s="898"/>
      <c r="E1359" s="898"/>
      <c r="F1359" s="898"/>
      <c r="G1359" s="240" t="s">
        <v>100</v>
      </c>
      <c r="H1359" s="896"/>
      <c r="I1359" s="898"/>
      <c r="J1359" s="898"/>
      <c r="K1359" s="898"/>
      <c r="L1359" s="898"/>
      <c r="M1359" s="898"/>
      <c r="N1359" s="240" t="s">
        <v>100</v>
      </c>
      <c r="O1359" s="182" t="s">
        <v>101</v>
      </c>
    </row>
    <row r="1360" spans="1:15" ht="12.75" customHeight="1">
      <c r="A1360" s="919" t="e">
        <f>+A1331+1</f>
        <v>#REF!</v>
      </c>
      <c r="B1360" s="875">
        <v>42364</v>
      </c>
      <c r="C1360" s="877" t="s">
        <v>31</v>
      </c>
      <c r="D1360" s="877" t="s">
        <v>513</v>
      </c>
      <c r="E1360" s="881" t="s">
        <v>115</v>
      </c>
      <c r="F1360" s="883">
        <v>100000</v>
      </c>
      <c r="G1360" s="55">
        <v>719</v>
      </c>
      <c r="H1360" s="873" t="s">
        <v>1591</v>
      </c>
      <c r="I1360" s="875">
        <v>42723</v>
      </c>
      <c r="J1360" s="877" t="s">
        <v>28</v>
      </c>
      <c r="K1360" s="881" t="s">
        <v>1592</v>
      </c>
      <c r="L1360" s="881" t="s">
        <v>775</v>
      </c>
      <c r="M1360" s="883">
        <v>230000</v>
      </c>
      <c r="N1360" s="55">
        <v>719</v>
      </c>
      <c r="O1360" s="78">
        <v>230000</v>
      </c>
    </row>
    <row r="1361" spans="1:15" ht="13.5" customHeight="1" thickBot="1">
      <c r="A1361" s="920"/>
      <c r="B1361" s="876"/>
      <c r="C1361" s="878"/>
      <c r="D1361" s="878"/>
      <c r="E1361" s="882"/>
      <c r="F1361" s="884"/>
      <c r="G1361" s="56">
        <v>721</v>
      </c>
      <c r="H1361" s="874"/>
      <c r="I1361" s="876"/>
      <c r="J1361" s="878"/>
      <c r="K1361" s="882"/>
      <c r="L1361" s="882"/>
      <c r="M1361" s="884"/>
      <c r="N1361" s="56">
        <v>723</v>
      </c>
      <c r="O1361" s="79">
        <f>+M1360-O1360</f>
        <v>0</v>
      </c>
    </row>
    <row r="1362" spans="1:15" ht="15" customHeight="1">
      <c r="A1362" s="919" t="e">
        <f>+A1360+1</f>
        <v>#REF!</v>
      </c>
      <c r="B1362" s="875">
        <v>42364</v>
      </c>
      <c r="C1362" s="877" t="s">
        <v>472</v>
      </c>
      <c r="D1362" s="877" t="s">
        <v>517</v>
      </c>
      <c r="E1362" s="881" t="s">
        <v>115</v>
      </c>
      <c r="F1362" s="883">
        <v>40000</v>
      </c>
      <c r="G1362" s="55">
        <v>719</v>
      </c>
      <c r="H1362" s="881">
        <f>+H1360+1</f>
        <v>169</v>
      </c>
      <c r="I1362" s="875">
        <v>42723</v>
      </c>
      <c r="J1362" s="877" t="s">
        <v>28</v>
      </c>
      <c r="K1362" s="881" t="s">
        <v>1516</v>
      </c>
      <c r="L1362" s="881" t="s">
        <v>775</v>
      </c>
      <c r="M1362" s="883">
        <v>90000</v>
      </c>
      <c r="N1362" s="55">
        <v>719</v>
      </c>
      <c r="O1362" s="78">
        <v>90000</v>
      </c>
    </row>
    <row r="1363" spans="1:15" ht="13.5" customHeight="1" thickBot="1">
      <c r="A1363" s="920"/>
      <c r="B1363" s="876"/>
      <c r="C1363" s="878"/>
      <c r="D1363" s="878"/>
      <c r="E1363" s="882"/>
      <c r="F1363" s="884"/>
      <c r="G1363" s="56">
        <v>721</v>
      </c>
      <c r="H1363" s="882"/>
      <c r="I1363" s="876"/>
      <c r="J1363" s="878"/>
      <c r="K1363" s="882"/>
      <c r="L1363" s="882"/>
      <c r="M1363" s="884"/>
      <c r="N1363" s="56">
        <v>723</v>
      </c>
      <c r="O1363" s="79">
        <f>+M1362-O1362</f>
        <v>0</v>
      </c>
    </row>
    <row r="1364" spans="1:15" ht="14.25" customHeight="1">
      <c r="A1364" s="919" t="e">
        <f>+A1362+1</f>
        <v>#REF!</v>
      </c>
      <c r="B1364" s="875">
        <v>42364</v>
      </c>
      <c r="C1364" s="877" t="s">
        <v>32</v>
      </c>
      <c r="D1364" s="877" t="s">
        <v>518</v>
      </c>
      <c r="E1364" s="881" t="s">
        <v>115</v>
      </c>
      <c r="F1364" s="883">
        <v>40000</v>
      </c>
      <c r="G1364" s="55">
        <v>719</v>
      </c>
      <c r="H1364" s="881">
        <f>+H1362+1</f>
        <v>170</v>
      </c>
      <c r="I1364" s="875">
        <v>42723</v>
      </c>
      <c r="J1364" s="877" t="s">
        <v>28</v>
      </c>
      <c r="K1364" s="881" t="s">
        <v>1517</v>
      </c>
      <c r="L1364" s="881" t="s">
        <v>775</v>
      </c>
      <c r="M1364" s="883">
        <v>220000</v>
      </c>
      <c r="N1364" s="55">
        <v>719</v>
      </c>
      <c r="O1364" s="78">
        <v>220000</v>
      </c>
    </row>
    <row r="1365" spans="1:15" ht="13.5" customHeight="1" thickBot="1">
      <c r="A1365" s="920"/>
      <c r="B1365" s="876"/>
      <c r="C1365" s="878"/>
      <c r="D1365" s="878"/>
      <c r="E1365" s="882"/>
      <c r="F1365" s="884"/>
      <c r="G1365" s="56">
        <v>721</v>
      </c>
      <c r="H1365" s="882"/>
      <c r="I1365" s="876"/>
      <c r="J1365" s="878"/>
      <c r="K1365" s="882"/>
      <c r="L1365" s="882"/>
      <c r="M1365" s="884"/>
      <c r="N1365" s="56">
        <v>723</v>
      </c>
      <c r="O1365" s="79">
        <f>+M1364-O1364</f>
        <v>0</v>
      </c>
    </row>
    <row r="1366" spans="1:15" ht="15" customHeight="1">
      <c r="A1366" s="919" t="e">
        <f>+A1364+1</f>
        <v>#REF!</v>
      </c>
      <c r="B1366" s="875">
        <v>42364</v>
      </c>
      <c r="C1366" s="877" t="s">
        <v>120</v>
      </c>
      <c r="D1366" s="877" t="s">
        <v>519</v>
      </c>
      <c r="E1366" s="881" t="s">
        <v>115</v>
      </c>
      <c r="F1366" s="883">
        <v>20000</v>
      </c>
      <c r="G1366" s="55">
        <v>719</v>
      </c>
      <c r="H1366" s="881">
        <f>+H1364+1</f>
        <v>171</v>
      </c>
      <c r="I1366" s="875">
        <v>42723</v>
      </c>
      <c r="J1366" s="877" t="s">
        <v>28</v>
      </c>
      <c r="K1366" s="881" t="s">
        <v>1593</v>
      </c>
      <c r="L1366" s="881" t="s">
        <v>775</v>
      </c>
      <c r="M1366" s="883">
        <v>80000</v>
      </c>
      <c r="N1366" s="55">
        <v>719</v>
      </c>
      <c r="O1366" s="78">
        <v>80000</v>
      </c>
    </row>
    <row r="1367" spans="1:15" ht="12" customHeight="1" thickBot="1">
      <c r="A1367" s="920"/>
      <c r="B1367" s="876"/>
      <c r="C1367" s="878"/>
      <c r="D1367" s="878"/>
      <c r="E1367" s="882"/>
      <c r="F1367" s="884"/>
      <c r="G1367" s="56">
        <v>721</v>
      </c>
      <c r="H1367" s="882"/>
      <c r="I1367" s="876"/>
      <c r="J1367" s="878"/>
      <c r="K1367" s="882"/>
      <c r="L1367" s="882"/>
      <c r="M1367" s="884"/>
      <c r="N1367" s="56">
        <v>723</v>
      </c>
      <c r="O1367" s="79">
        <f>+M1366-O1366</f>
        <v>0</v>
      </c>
    </row>
    <row r="1368" spans="1:15" ht="14.25" customHeight="1">
      <c r="A1368" s="919" t="e">
        <f>+A1366+1</f>
        <v>#REF!</v>
      </c>
      <c r="B1368" s="875">
        <v>42364</v>
      </c>
      <c r="C1368" s="877" t="s">
        <v>31</v>
      </c>
      <c r="D1368" s="877" t="s">
        <v>514</v>
      </c>
      <c r="E1368" s="881" t="s">
        <v>115</v>
      </c>
      <c r="F1368" s="883">
        <v>50000</v>
      </c>
      <c r="G1368" s="55">
        <v>719</v>
      </c>
      <c r="H1368" s="881">
        <f>+H1366+1</f>
        <v>172</v>
      </c>
      <c r="I1368" s="875">
        <v>42723</v>
      </c>
      <c r="J1368" s="877" t="s">
        <v>120</v>
      </c>
      <c r="K1368" s="881" t="s">
        <v>1594</v>
      </c>
      <c r="L1368" s="881" t="s">
        <v>775</v>
      </c>
      <c r="M1368" s="883">
        <v>370000</v>
      </c>
      <c r="N1368" s="55">
        <v>719</v>
      </c>
      <c r="O1368" s="78">
        <v>370000</v>
      </c>
    </row>
    <row r="1369" spans="1:15" ht="12.75" customHeight="1" thickBot="1">
      <c r="A1369" s="920"/>
      <c r="B1369" s="876"/>
      <c r="C1369" s="878"/>
      <c r="D1369" s="878"/>
      <c r="E1369" s="882"/>
      <c r="F1369" s="884"/>
      <c r="G1369" s="56">
        <v>721</v>
      </c>
      <c r="H1369" s="882"/>
      <c r="I1369" s="876"/>
      <c r="J1369" s="878"/>
      <c r="K1369" s="882"/>
      <c r="L1369" s="882"/>
      <c r="M1369" s="884"/>
      <c r="N1369" s="56">
        <v>723</v>
      </c>
      <c r="O1369" s="79">
        <f>+M1368-O1368</f>
        <v>0</v>
      </c>
    </row>
    <row r="1370" spans="1:15" ht="14.25" customHeight="1" thickBot="1">
      <c r="A1370" s="919" t="e">
        <f>+A1368+1</f>
        <v>#REF!</v>
      </c>
      <c r="B1370" s="875">
        <v>42364</v>
      </c>
      <c r="C1370" s="877" t="s">
        <v>472</v>
      </c>
      <c r="D1370" s="877" t="s">
        <v>515</v>
      </c>
      <c r="E1370" s="881" t="s">
        <v>115</v>
      </c>
      <c r="F1370" s="883">
        <v>20000</v>
      </c>
      <c r="G1370" s="55">
        <v>719</v>
      </c>
      <c r="H1370" s="901" t="s">
        <v>102</v>
      </c>
      <c r="I1370" s="902"/>
      <c r="J1370" s="902"/>
      <c r="K1370" s="902"/>
      <c r="L1370" s="903"/>
      <c r="M1370" s="81">
        <f>SUM(M1360:M1369)</f>
        <v>990000</v>
      </c>
    </row>
    <row r="1371" spans="1:15" ht="14.25" customHeight="1" thickBot="1">
      <c r="A1371" s="920"/>
      <c r="B1371" s="876"/>
      <c r="C1371" s="878"/>
      <c r="D1371" s="878"/>
      <c r="E1371" s="882"/>
      <c r="F1371" s="884"/>
      <c r="G1371" s="56">
        <v>721</v>
      </c>
      <c r="H1371" s="885" t="s">
        <v>103</v>
      </c>
      <c r="I1371" s="886"/>
      <c r="J1371" s="886"/>
      <c r="K1371" s="886"/>
      <c r="L1371" s="887"/>
      <c r="M1371" s="69">
        <f>+M1335</f>
        <v>469803931</v>
      </c>
      <c r="N1371" s="241" t="s">
        <v>561</v>
      </c>
      <c r="O1371" s="242">
        <f>754+171+406+173+423</f>
        <v>1927</v>
      </c>
    </row>
    <row r="1372" spans="1:15" ht="16.5" thickBot="1">
      <c r="A1372" s="901" t="s">
        <v>102</v>
      </c>
      <c r="B1372" s="902"/>
      <c r="C1372" s="902"/>
      <c r="D1372" s="902"/>
      <c r="E1372" s="903"/>
      <c r="F1372" s="81">
        <f>SUM(F1360:F1371)</f>
        <v>270000</v>
      </c>
      <c r="H1372" s="888" t="s">
        <v>104</v>
      </c>
      <c r="I1372" s="889"/>
      <c r="J1372" s="889"/>
      <c r="K1372" s="889"/>
      <c r="L1372" s="890"/>
      <c r="M1372" s="183">
        <f>SUM(M1370:M1371)</f>
        <v>470793931</v>
      </c>
    </row>
    <row r="1373" spans="1:15" ht="12.75" customHeight="1" thickBot="1">
      <c r="A1373" s="885" t="s">
        <v>103</v>
      </c>
      <c r="B1373" s="886"/>
      <c r="C1373" s="886"/>
      <c r="D1373" s="886"/>
      <c r="E1373" s="887"/>
      <c r="F1373" s="69" t="e">
        <f>+F1335</f>
        <v>#REF!</v>
      </c>
      <c r="H1373" s="61"/>
      <c r="I1373" s="61"/>
      <c r="J1373" s="61"/>
      <c r="K1373" s="61"/>
      <c r="L1373" s="61"/>
    </row>
    <row r="1374" spans="1:15" ht="16.5" thickBot="1">
      <c r="A1374" s="888" t="s">
        <v>104</v>
      </c>
      <c r="B1374" s="889"/>
      <c r="C1374" s="889"/>
      <c r="D1374" s="889"/>
      <c r="E1374" s="890"/>
      <c r="F1374" s="183" t="e">
        <f>SUM(F1372:F1373)</f>
        <v>#REF!</v>
      </c>
      <c r="H1374" s="51" t="s">
        <v>1599</v>
      </c>
    </row>
    <row r="1375" spans="1:15" ht="13.5" customHeight="1">
      <c r="A1375" s="61"/>
      <c r="B1375" s="61"/>
      <c r="C1375" s="61"/>
      <c r="D1375" s="61"/>
      <c r="E1375" s="61"/>
      <c r="M1375" s="139"/>
    </row>
    <row r="1376" spans="1:15">
      <c r="A1376" s="51" t="s">
        <v>516</v>
      </c>
      <c r="H1376" s="50" t="s">
        <v>105</v>
      </c>
      <c r="K1376" s="146"/>
      <c r="M1376" s="139"/>
    </row>
    <row r="1377" spans="1:15" ht="14.25" customHeight="1" thickBot="1">
      <c r="F1377" s="139"/>
    </row>
    <row r="1378" spans="1:15" ht="15.75" thickBot="1">
      <c r="A1378" s="50" t="s">
        <v>105</v>
      </c>
      <c r="D1378" s="146"/>
      <c r="F1378" s="139"/>
      <c r="H1378" s="891" t="s">
        <v>106</v>
      </c>
      <c r="I1378" s="892"/>
      <c r="J1378" s="892"/>
      <c r="K1378" s="893"/>
      <c r="M1378" s="50" t="s">
        <v>288</v>
      </c>
    </row>
    <row r="1379" spans="1:15" ht="28.5" customHeight="1" thickBot="1">
      <c r="H1379" s="57" t="s">
        <v>100</v>
      </c>
      <c r="I1379" s="58" t="s">
        <v>108</v>
      </c>
      <c r="J1379" s="287" t="s">
        <v>109</v>
      </c>
      <c r="K1379" s="60" t="s">
        <v>110</v>
      </c>
    </row>
    <row r="1380" spans="1:15" ht="15.75" thickBot="1">
      <c r="A1380" s="891" t="s">
        <v>106</v>
      </c>
      <c r="B1380" s="892"/>
      <c r="C1380" s="892"/>
      <c r="D1380" s="893"/>
      <c r="F1380" s="50" t="s">
        <v>288</v>
      </c>
      <c r="H1380" s="71">
        <v>719</v>
      </c>
      <c r="I1380" s="73">
        <f>+O1360+O1362+O1364+O1366+O1368</f>
        <v>990000</v>
      </c>
      <c r="J1380" s="74">
        <f>+K1343</f>
        <v>48230000</v>
      </c>
      <c r="K1380" s="195">
        <f>+I1380+J1380</f>
        <v>49220000</v>
      </c>
    </row>
    <row r="1381" spans="1:15" ht="14.25" customHeight="1" thickBot="1">
      <c r="A1381" s="57" t="s">
        <v>100</v>
      </c>
      <c r="B1381" s="58" t="s">
        <v>108</v>
      </c>
      <c r="C1381" s="59" t="s">
        <v>109</v>
      </c>
      <c r="D1381" s="60" t="s">
        <v>110</v>
      </c>
      <c r="H1381" s="72">
        <v>721</v>
      </c>
      <c r="I1381" s="80">
        <v>0</v>
      </c>
      <c r="J1381" s="74">
        <f>+K1344</f>
        <v>87447981</v>
      </c>
      <c r="K1381" s="195">
        <f>+I1381+J1381</f>
        <v>87447981</v>
      </c>
    </row>
    <row r="1382" spans="1:15" ht="13.5" customHeight="1">
      <c r="A1382" s="71">
        <v>719</v>
      </c>
      <c r="B1382" s="73" t="e">
        <f>+#REF!+#REF!+#REF!+#REF!+#REF!+#REF!+#REF!+#REF!</f>
        <v>#REF!</v>
      </c>
      <c r="C1382" s="74" t="e">
        <f>+D1343</f>
        <v>#REF!</v>
      </c>
      <c r="D1382" s="195" t="e">
        <f>+B1382+C1382</f>
        <v>#REF!</v>
      </c>
      <c r="H1382" s="72">
        <v>722</v>
      </c>
      <c r="I1382" s="80"/>
      <c r="J1382" s="74">
        <f>+K1345</f>
        <v>0</v>
      </c>
      <c r="K1382" s="195">
        <f>+I1382+J1382</f>
        <v>0</v>
      </c>
    </row>
    <row r="1383" spans="1:15" ht="15.75">
      <c r="A1383" s="72">
        <v>721</v>
      </c>
      <c r="B1383" s="80" t="e">
        <f>(+#REF!+#REF!+#REF!+#REF!+#REF!)</f>
        <v>#REF!</v>
      </c>
      <c r="C1383" s="74" t="e">
        <f>+D1344</f>
        <v>#REF!</v>
      </c>
      <c r="D1383" s="195" t="e">
        <f>+B1383+C1383</f>
        <v>#REF!</v>
      </c>
      <c r="H1383" s="72">
        <v>723</v>
      </c>
      <c r="I1383" s="80"/>
      <c r="J1383" s="74">
        <f>+K1346</f>
        <v>334125950</v>
      </c>
      <c r="K1383" s="195">
        <f>+I1383+J1383</f>
        <v>334125950</v>
      </c>
      <c r="M1383" s="918" t="s">
        <v>1481</v>
      </c>
      <c r="N1383" s="918"/>
      <c r="O1383" s="918"/>
    </row>
    <row r="1384" spans="1:15" ht="16.5" thickBot="1">
      <c r="A1384" s="72">
        <v>722</v>
      </c>
      <c r="B1384" s="80"/>
      <c r="C1384" s="74" t="e">
        <f>+D1345</f>
        <v>#REF!</v>
      </c>
      <c r="D1384" s="195" t="e">
        <f>+B1384+C1384</f>
        <v>#REF!</v>
      </c>
      <c r="H1384" s="164" t="s">
        <v>181</v>
      </c>
      <c r="I1384" s="165"/>
      <c r="J1384" s="74">
        <f>+K1347</f>
        <v>0</v>
      </c>
      <c r="K1384" s="196">
        <f>+I1384+J1384</f>
        <v>0</v>
      </c>
      <c r="M1384" s="52"/>
    </row>
    <row r="1385" spans="1:15" ht="16.5" thickBot="1">
      <c r="A1385" s="72">
        <v>723</v>
      </c>
      <c r="B1385" s="80"/>
      <c r="C1385" s="74" t="e">
        <f>+D1346</f>
        <v>#REF!</v>
      </c>
      <c r="D1385" s="195" t="e">
        <f>+B1385+C1385</f>
        <v>#REF!</v>
      </c>
      <c r="F1385" s="174" t="s">
        <v>23</v>
      </c>
      <c r="G1385" s="175"/>
      <c r="H1385" s="169"/>
      <c r="I1385" s="197">
        <f>SUM(I1380:I1384)</f>
        <v>990000</v>
      </c>
      <c r="J1385" s="197">
        <f>SUM(J1380:J1384)</f>
        <v>469803931</v>
      </c>
      <c r="K1385" s="198">
        <f>SUM(K1380:K1384)</f>
        <v>470793931</v>
      </c>
    </row>
    <row r="1386" spans="1:15" ht="17.25" thickBot="1">
      <c r="A1386" s="164" t="s">
        <v>181</v>
      </c>
      <c r="B1386" s="165"/>
      <c r="C1386" s="74" t="e">
        <f>+D1347</f>
        <v>#REF!</v>
      </c>
      <c r="D1386" s="196" t="e">
        <f>+B1386+C1386</f>
        <v>#REF!</v>
      </c>
      <c r="F1386" s="52"/>
      <c r="H1386" s="49" t="s">
        <v>88</v>
      </c>
      <c r="I1386" s="50"/>
    </row>
    <row r="1387" spans="1:15" ht="16.5" thickBot="1">
      <c r="A1387" s="169"/>
      <c r="B1387" s="170" t="e">
        <f>SUM(B1382:B1386)</f>
        <v>#REF!</v>
      </c>
      <c r="C1387" s="171" t="e">
        <f>SUM(C1382:C1386)</f>
        <v>#REF!</v>
      </c>
      <c r="D1387" s="172" t="e">
        <f>SUM(D1382:D1386)</f>
        <v>#REF!</v>
      </c>
      <c r="H1387" s="51" t="s">
        <v>89</v>
      </c>
    </row>
    <row r="1388" spans="1:15" ht="16.5">
      <c r="A1388" s="49" t="s">
        <v>88</v>
      </c>
      <c r="B1388" s="50"/>
      <c r="H1388" s="51" t="s">
        <v>90</v>
      </c>
    </row>
    <row r="1389" spans="1:15">
      <c r="A1389" s="51" t="s">
        <v>89</v>
      </c>
      <c r="H1389" s="51" t="s">
        <v>91</v>
      </c>
    </row>
    <row r="1390" spans="1:15" ht="11.25" customHeight="1">
      <c r="A1390" s="51" t="s">
        <v>90</v>
      </c>
      <c r="H1390" s="50"/>
      <c r="I1390" s="50"/>
    </row>
    <row r="1391" spans="1:15" ht="16.5">
      <c r="A1391" s="51" t="s">
        <v>91</v>
      </c>
      <c r="H1391" s="260" t="s">
        <v>908</v>
      </c>
      <c r="N1391" s="52"/>
    </row>
    <row r="1392" spans="1:15" ht="12.75" customHeight="1">
      <c r="A1392" s="50"/>
      <c r="B1392" s="50"/>
      <c r="H1392" s="53" t="s">
        <v>1333</v>
      </c>
      <c r="N1392" s="53"/>
    </row>
    <row r="1393" spans="1:15" ht="16.5">
      <c r="A1393" s="52" t="s">
        <v>520</v>
      </c>
      <c r="G1393" s="52"/>
      <c r="H1393" s="894" t="s">
        <v>909</v>
      </c>
      <c r="I1393" s="894"/>
      <c r="J1393" s="894"/>
      <c r="K1393" s="894"/>
      <c r="L1393" s="894"/>
      <c r="M1393" s="894"/>
      <c r="N1393" s="894"/>
      <c r="O1393" s="894"/>
    </row>
    <row r="1394" spans="1:15" ht="16.5" thickBot="1">
      <c r="A1394" s="53" t="s">
        <v>92</v>
      </c>
      <c r="G1394" s="53"/>
    </row>
    <row r="1395" spans="1:15" ht="16.5">
      <c r="A1395" s="894" t="s">
        <v>261</v>
      </c>
      <c r="B1395" s="894"/>
      <c r="C1395" s="894"/>
      <c r="D1395" s="894"/>
      <c r="E1395" s="894"/>
      <c r="F1395" s="894"/>
      <c r="G1395" s="894"/>
      <c r="H1395" s="895" t="s">
        <v>94</v>
      </c>
      <c r="I1395" s="897" t="s">
        <v>95</v>
      </c>
      <c r="J1395" s="897" t="s">
        <v>96</v>
      </c>
      <c r="K1395" s="897" t="s">
        <v>3</v>
      </c>
      <c r="L1395" s="897" t="s">
        <v>97</v>
      </c>
      <c r="M1395" s="897" t="s">
        <v>98</v>
      </c>
      <c r="N1395" s="897" t="s">
        <v>99</v>
      </c>
      <c r="O1395" s="899"/>
    </row>
    <row r="1396" spans="1:15" ht="15.75" thickBot="1">
      <c r="H1396" s="896"/>
      <c r="I1396" s="898"/>
      <c r="J1396" s="898"/>
      <c r="K1396" s="898"/>
      <c r="L1396" s="898"/>
      <c r="M1396" s="898"/>
      <c r="N1396" s="240" t="s">
        <v>100</v>
      </c>
      <c r="O1396" s="182" t="s">
        <v>101</v>
      </c>
    </row>
    <row r="1397" spans="1:15" ht="15" customHeight="1">
      <c r="A1397" s="895" t="s">
        <v>94</v>
      </c>
      <c r="B1397" s="897" t="s">
        <v>95</v>
      </c>
      <c r="C1397" s="897" t="s">
        <v>96</v>
      </c>
      <c r="D1397" s="897" t="s">
        <v>3</v>
      </c>
      <c r="E1397" s="897" t="s">
        <v>97</v>
      </c>
      <c r="F1397" s="897" t="s">
        <v>98</v>
      </c>
      <c r="G1397" s="500" t="s">
        <v>99</v>
      </c>
      <c r="H1397" s="873" t="s">
        <v>1595</v>
      </c>
      <c r="I1397" s="875">
        <v>42723</v>
      </c>
      <c r="J1397" s="877" t="s">
        <v>472</v>
      </c>
      <c r="K1397" s="881" t="s">
        <v>1524</v>
      </c>
      <c r="L1397" s="881" t="s">
        <v>148</v>
      </c>
      <c r="M1397" s="883">
        <v>507000</v>
      </c>
      <c r="N1397" s="55">
        <v>719</v>
      </c>
      <c r="O1397" s="78">
        <v>390000</v>
      </c>
    </row>
    <row r="1398" spans="1:15" ht="15.75" customHeight="1" thickBot="1">
      <c r="A1398" s="896"/>
      <c r="B1398" s="898"/>
      <c r="C1398" s="898"/>
      <c r="D1398" s="898"/>
      <c r="E1398" s="898"/>
      <c r="F1398" s="898"/>
      <c r="G1398" s="240" t="s">
        <v>100</v>
      </c>
      <c r="H1398" s="874"/>
      <c r="I1398" s="876"/>
      <c r="J1398" s="878"/>
      <c r="K1398" s="882"/>
      <c r="L1398" s="882"/>
      <c r="M1398" s="884"/>
      <c r="N1398" s="56">
        <v>721</v>
      </c>
      <c r="O1398" s="79">
        <f>+M1397-O1397</f>
        <v>117000</v>
      </c>
    </row>
    <row r="1399" spans="1:15" ht="15" customHeight="1">
      <c r="A1399" s="919" t="e">
        <f>+A1370+1</f>
        <v>#REF!</v>
      </c>
      <c r="B1399" s="875">
        <v>42369</v>
      </c>
      <c r="C1399" s="877" t="s">
        <v>31</v>
      </c>
      <c r="D1399" s="877" t="s">
        <v>523</v>
      </c>
      <c r="E1399" s="881" t="s">
        <v>115</v>
      </c>
      <c r="F1399" s="883">
        <v>180000</v>
      </c>
      <c r="G1399" s="55">
        <v>719</v>
      </c>
      <c r="H1399" s="881">
        <f>+H1397+1</f>
        <v>174</v>
      </c>
      <c r="I1399" s="875">
        <v>42723</v>
      </c>
      <c r="J1399" s="877" t="s">
        <v>472</v>
      </c>
      <c r="K1399" s="881" t="s">
        <v>913</v>
      </c>
      <c r="L1399" s="881" t="s">
        <v>148</v>
      </c>
      <c r="M1399" s="883">
        <v>312000</v>
      </c>
      <c r="N1399" s="55">
        <v>719</v>
      </c>
      <c r="O1399" s="78">
        <v>240000</v>
      </c>
    </row>
    <row r="1400" spans="1:15" ht="15.75" customHeight="1" thickBot="1">
      <c r="A1400" s="920"/>
      <c r="B1400" s="876"/>
      <c r="C1400" s="878"/>
      <c r="D1400" s="878"/>
      <c r="E1400" s="882"/>
      <c r="F1400" s="884"/>
      <c r="G1400" s="56">
        <v>721</v>
      </c>
      <c r="H1400" s="882"/>
      <c r="I1400" s="876"/>
      <c r="J1400" s="878"/>
      <c r="K1400" s="882"/>
      <c r="L1400" s="882"/>
      <c r="M1400" s="884"/>
      <c r="N1400" s="56">
        <v>721</v>
      </c>
      <c r="O1400" s="79">
        <f>+M1399-O1399</f>
        <v>72000</v>
      </c>
    </row>
    <row r="1401" spans="1:15" ht="15" customHeight="1">
      <c r="A1401" s="919" t="e">
        <f>+A1399+1</f>
        <v>#REF!</v>
      </c>
      <c r="B1401" s="875">
        <v>42369</v>
      </c>
      <c r="C1401" s="877" t="s">
        <v>472</v>
      </c>
      <c r="D1401" s="877" t="s">
        <v>524</v>
      </c>
      <c r="E1401" s="881" t="s">
        <v>115</v>
      </c>
      <c r="F1401" s="883">
        <v>40000</v>
      </c>
      <c r="G1401" s="55">
        <v>719</v>
      </c>
      <c r="H1401" s="881">
        <f>+H1399+1</f>
        <v>175</v>
      </c>
      <c r="I1401" s="875">
        <v>42723</v>
      </c>
      <c r="J1401" s="877" t="s">
        <v>472</v>
      </c>
      <c r="K1401" s="881" t="s">
        <v>914</v>
      </c>
      <c r="L1401" s="881" t="s">
        <v>148</v>
      </c>
      <c r="M1401" s="883">
        <v>338000</v>
      </c>
      <c r="N1401" s="55">
        <v>719</v>
      </c>
      <c r="O1401" s="78">
        <v>260000</v>
      </c>
    </row>
    <row r="1402" spans="1:15" ht="15.75" customHeight="1" thickBot="1">
      <c r="A1402" s="920"/>
      <c r="B1402" s="876"/>
      <c r="C1402" s="878"/>
      <c r="D1402" s="878"/>
      <c r="E1402" s="882"/>
      <c r="F1402" s="884"/>
      <c r="G1402" s="56">
        <v>721</v>
      </c>
      <c r="H1402" s="882"/>
      <c r="I1402" s="876"/>
      <c r="J1402" s="878"/>
      <c r="K1402" s="882"/>
      <c r="L1402" s="882"/>
      <c r="M1402" s="884"/>
      <c r="N1402" s="56">
        <v>721</v>
      </c>
      <c r="O1402" s="79">
        <f>+M1401-O1401</f>
        <v>78000</v>
      </c>
    </row>
    <row r="1403" spans="1:15" ht="11.25" customHeight="1">
      <c r="A1403" s="919" t="e">
        <f>+A1401+1</f>
        <v>#REF!</v>
      </c>
      <c r="B1403" s="875">
        <v>42369</v>
      </c>
      <c r="C1403" s="877" t="s">
        <v>32</v>
      </c>
      <c r="D1403" s="877" t="s">
        <v>521</v>
      </c>
      <c r="E1403" s="881" t="s">
        <v>115</v>
      </c>
      <c r="F1403" s="883">
        <v>40000</v>
      </c>
      <c r="G1403" s="55">
        <v>719</v>
      </c>
      <c r="H1403" s="881"/>
      <c r="I1403" s="875"/>
      <c r="J1403" s="877"/>
      <c r="K1403" s="881"/>
      <c r="L1403" s="881"/>
      <c r="M1403" s="883"/>
      <c r="N1403" s="55">
        <v>719</v>
      </c>
      <c r="O1403" s="78"/>
    </row>
    <row r="1404" spans="1:15" ht="13.5" customHeight="1" thickBot="1">
      <c r="A1404" s="920"/>
      <c r="B1404" s="876"/>
      <c r="C1404" s="878"/>
      <c r="D1404" s="878"/>
      <c r="E1404" s="882"/>
      <c r="F1404" s="884"/>
      <c r="G1404" s="56">
        <v>721</v>
      </c>
      <c r="H1404" s="882"/>
      <c r="I1404" s="876"/>
      <c r="J1404" s="878"/>
      <c r="K1404" s="882"/>
      <c r="L1404" s="882"/>
      <c r="M1404" s="884"/>
      <c r="N1404" s="56">
        <v>721</v>
      </c>
      <c r="O1404" s="79">
        <f>+M1403-O1403</f>
        <v>0</v>
      </c>
    </row>
    <row r="1405" spans="1:15" ht="12.75" customHeight="1">
      <c r="A1405" s="919" t="e">
        <f>+A1403+1</f>
        <v>#REF!</v>
      </c>
      <c r="B1405" s="875">
        <v>42369</v>
      </c>
      <c r="C1405" s="877" t="s">
        <v>120</v>
      </c>
      <c r="D1405" s="877" t="s">
        <v>522</v>
      </c>
      <c r="E1405" s="881" t="s">
        <v>115</v>
      </c>
      <c r="F1405" s="883">
        <v>20000</v>
      </c>
      <c r="G1405" s="55">
        <v>719</v>
      </c>
      <c r="H1405" s="881"/>
      <c r="I1405" s="875"/>
      <c r="J1405" s="877"/>
      <c r="K1405" s="881"/>
      <c r="L1405" s="881"/>
      <c r="M1405" s="883"/>
      <c r="N1405" s="55">
        <v>719</v>
      </c>
      <c r="O1405" s="78"/>
    </row>
    <row r="1406" spans="1:15" ht="12.75" customHeight="1" thickBot="1">
      <c r="A1406" s="920"/>
      <c r="B1406" s="876"/>
      <c r="C1406" s="878"/>
      <c r="D1406" s="878"/>
      <c r="E1406" s="882"/>
      <c r="F1406" s="884"/>
      <c r="G1406" s="56">
        <v>721</v>
      </c>
      <c r="H1406" s="882"/>
      <c r="I1406" s="876"/>
      <c r="J1406" s="878"/>
      <c r="K1406" s="882"/>
      <c r="L1406" s="882"/>
      <c r="M1406" s="884"/>
      <c r="N1406" s="56">
        <v>721</v>
      </c>
      <c r="O1406" s="79">
        <f>+M1405-O1405</f>
        <v>0</v>
      </c>
    </row>
    <row r="1407" spans="1:15" ht="15" customHeight="1" thickBot="1">
      <c r="A1407" s="919"/>
      <c r="B1407" s="875"/>
      <c r="C1407" s="877"/>
      <c r="D1407" s="877"/>
      <c r="E1407" s="881"/>
      <c r="F1407" s="883"/>
      <c r="G1407" s="55">
        <v>719</v>
      </c>
      <c r="H1407" s="901" t="s">
        <v>102</v>
      </c>
      <c r="I1407" s="902"/>
      <c r="J1407" s="902"/>
      <c r="K1407" s="902"/>
      <c r="L1407" s="903"/>
      <c r="M1407" s="81">
        <f>SUM(M1397:M1406)</f>
        <v>1157000</v>
      </c>
    </row>
    <row r="1408" spans="1:15" ht="15.75" customHeight="1" thickBot="1">
      <c r="A1408" s="920"/>
      <c r="B1408" s="876"/>
      <c r="C1408" s="878"/>
      <c r="D1408" s="878"/>
      <c r="E1408" s="882"/>
      <c r="F1408" s="884"/>
      <c r="G1408" s="56">
        <v>721</v>
      </c>
      <c r="H1408" s="885" t="s">
        <v>103</v>
      </c>
      <c r="I1408" s="886"/>
      <c r="J1408" s="886"/>
      <c r="K1408" s="886"/>
      <c r="L1408" s="887"/>
      <c r="M1408" s="69">
        <f>+M1372</f>
        <v>470793931</v>
      </c>
      <c r="N1408" s="241" t="s">
        <v>561</v>
      </c>
      <c r="O1408" s="242">
        <f>753+65+288</f>
        <v>1106</v>
      </c>
    </row>
    <row r="1409" spans="1:15" ht="15" customHeight="1" thickBot="1">
      <c r="A1409" s="901" t="s">
        <v>102</v>
      </c>
      <c r="B1409" s="902"/>
      <c r="C1409" s="902"/>
      <c r="D1409" s="902"/>
      <c r="E1409" s="903"/>
      <c r="F1409" s="81">
        <f>SUM(F1399:F1408)</f>
        <v>280000</v>
      </c>
      <c r="H1409" s="888" t="s">
        <v>104</v>
      </c>
      <c r="I1409" s="889"/>
      <c r="J1409" s="889"/>
      <c r="K1409" s="889"/>
      <c r="L1409" s="890"/>
      <c r="M1409" s="183">
        <f>SUM(M1407:M1408)</f>
        <v>471950931</v>
      </c>
    </row>
    <row r="1410" spans="1:15" ht="15.75" customHeight="1" thickBot="1">
      <c r="A1410" s="885" t="s">
        <v>103</v>
      </c>
      <c r="B1410" s="886"/>
      <c r="C1410" s="886"/>
      <c r="D1410" s="886"/>
      <c r="E1410" s="887"/>
      <c r="F1410" s="69" t="e">
        <f>+F1374</f>
        <v>#REF!</v>
      </c>
      <c r="H1410" s="61"/>
      <c r="I1410" s="61"/>
      <c r="J1410" s="61"/>
      <c r="K1410" s="61"/>
      <c r="L1410" s="61"/>
    </row>
    <row r="1411" spans="1:15" ht="16.5" thickBot="1">
      <c r="A1411" s="888" t="s">
        <v>104</v>
      </c>
      <c r="B1411" s="889"/>
      <c r="C1411" s="889"/>
      <c r="D1411" s="889"/>
      <c r="E1411" s="890"/>
      <c r="F1411" s="183" t="e">
        <f>SUM(F1409:F1410)</f>
        <v>#REF!</v>
      </c>
      <c r="H1411" s="51" t="s">
        <v>1596</v>
      </c>
    </row>
    <row r="1412" spans="1:15" ht="12" customHeight="1">
      <c r="A1412" s="61"/>
      <c r="B1412" s="61"/>
      <c r="C1412" s="61"/>
      <c r="D1412" s="61"/>
      <c r="E1412" s="61"/>
      <c r="M1412" s="139"/>
    </row>
    <row r="1413" spans="1:15">
      <c r="A1413" s="51" t="s">
        <v>525</v>
      </c>
      <c r="H1413" s="50" t="s">
        <v>105</v>
      </c>
      <c r="K1413" s="146"/>
      <c r="M1413" s="139"/>
    </row>
    <row r="1414" spans="1:15" ht="14.25" customHeight="1" thickBot="1">
      <c r="F1414" s="139"/>
    </row>
    <row r="1415" spans="1:15" ht="15.75" thickBot="1">
      <c r="A1415" s="50" t="s">
        <v>105</v>
      </c>
      <c r="D1415" s="146"/>
      <c r="F1415" s="139"/>
      <c r="H1415" s="891" t="s">
        <v>106</v>
      </c>
      <c r="I1415" s="892"/>
      <c r="J1415" s="892"/>
      <c r="K1415" s="893"/>
      <c r="M1415" s="50" t="s">
        <v>288</v>
      </c>
    </row>
    <row r="1416" spans="1:15" ht="11.25" customHeight="1" thickBot="1">
      <c r="H1416" s="57" t="s">
        <v>100</v>
      </c>
      <c r="I1416" s="58" t="s">
        <v>108</v>
      </c>
      <c r="J1416" s="287" t="s">
        <v>109</v>
      </c>
      <c r="K1416" s="60" t="s">
        <v>110</v>
      </c>
    </row>
    <row r="1417" spans="1:15" ht="15.75" thickBot="1">
      <c r="A1417" s="891" t="s">
        <v>106</v>
      </c>
      <c r="B1417" s="892"/>
      <c r="C1417" s="892"/>
      <c r="D1417" s="893"/>
      <c r="F1417" s="50" t="s">
        <v>288</v>
      </c>
      <c r="H1417" s="71">
        <v>719</v>
      </c>
      <c r="I1417" s="73">
        <f>+O1397+O1399+O1401+O1403+O1405</f>
        <v>890000</v>
      </c>
      <c r="J1417" s="74">
        <f>+K1380</f>
        <v>49220000</v>
      </c>
      <c r="K1417" s="195">
        <f>+I1417+J1417</f>
        <v>50110000</v>
      </c>
    </row>
    <row r="1418" spans="1:15" ht="12.75" customHeight="1" thickBot="1">
      <c r="A1418" s="57" t="s">
        <v>100</v>
      </c>
      <c r="B1418" s="58" t="s">
        <v>108</v>
      </c>
      <c r="C1418" s="59" t="s">
        <v>109</v>
      </c>
      <c r="D1418" s="60" t="s">
        <v>110</v>
      </c>
      <c r="H1418" s="72">
        <v>721</v>
      </c>
      <c r="I1418" s="80">
        <f>+O1398+O1400+O1402</f>
        <v>267000</v>
      </c>
      <c r="J1418" s="74">
        <f>+K1381</f>
        <v>87447981</v>
      </c>
      <c r="K1418" s="195">
        <f>+I1418+J1418</f>
        <v>87714981</v>
      </c>
    </row>
    <row r="1419" spans="1:15">
      <c r="A1419" s="71">
        <v>719</v>
      </c>
      <c r="B1419" s="73" t="e">
        <f>+#REF!+#REF!+#REF!+#REF!+#REF!</f>
        <v>#REF!</v>
      </c>
      <c r="C1419" s="74" t="e">
        <f>+D1382</f>
        <v>#REF!</v>
      </c>
      <c r="D1419" s="195" t="e">
        <f>+B1419+C1419</f>
        <v>#REF!</v>
      </c>
      <c r="H1419" s="72">
        <v>722</v>
      </c>
      <c r="I1419" s="80"/>
      <c r="J1419" s="74">
        <f>+K1382</f>
        <v>0</v>
      </c>
      <c r="K1419" s="195">
        <f>+I1419+J1419</f>
        <v>0</v>
      </c>
    </row>
    <row r="1420" spans="1:15" ht="15.75">
      <c r="A1420" s="72">
        <v>721</v>
      </c>
      <c r="B1420" s="80" t="e">
        <f>(+#REF!+#REF!+#REF!+#REF!+#REF!)</f>
        <v>#REF!</v>
      </c>
      <c r="C1420" s="74" t="e">
        <f>+D1383</f>
        <v>#REF!</v>
      </c>
      <c r="D1420" s="195" t="e">
        <f>+B1420+C1420</f>
        <v>#REF!</v>
      </c>
      <c r="H1420" s="72">
        <v>723</v>
      </c>
      <c r="I1420" s="80"/>
      <c r="J1420" s="74">
        <f>+K1383</f>
        <v>334125950</v>
      </c>
      <c r="K1420" s="195">
        <f>+I1420+J1420</f>
        <v>334125950</v>
      </c>
      <c r="M1420" s="918" t="s">
        <v>1481</v>
      </c>
      <c r="N1420" s="918"/>
      <c r="O1420" s="918"/>
    </row>
    <row r="1421" spans="1:15" ht="16.5" thickBot="1">
      <c r="A1421" s="72">
        <v>722</v>
      </c>
      <c r="B1421" s="80"/>
      <c r="C1421" s="74" t="e">
        <f>+D1384</f>
        <v>#REF!</v>
      </c>
      <c r="D1421" s="195" t="e">
        <f>+B1421+C1421</f>
        <v>#REF!</v>
      </c>
      <c r="H1421" s="164" t="s">
        <v>181</v>
      </c>
      <c r="I1421" s="165"/>
      <c r="J1421" s="74">
        <f>+K1384</f>
        <v>0</v>
      </c>
      <c r="K1421" s="196">
        <f>+I1421+J1421</f>
        <v>0</v>
      </c>
      <c r="M1421" s="52"/>
    </row>
    <row r="1422" spans="1:15" ht="16.5" thickBot="1">
      <c r="A1422" s="72">
        <v>723</v>
      </c>
      <c r="B1422" s="80"/>
      <c r="C1422" s="74" t="e">
        <f>+D1385</f>
        <v>#REF!</v>
      </c>
      <c r="D1422" s="195" t="e">
        <f>+B1422+C1422</f>
        <v>#REF!</v>
      </c>
      <c r="F1422" s="174" t="s">
        <v>23</v>
      </c>
      <c r="G1422" s="175"/>
      <c r="H1422" s="169"/>
      <c r="I1422" s="197">
        <f>SUM(I1417:I1421)</f>
        <v>1157000</v>
      </c>
      <c r="J1422" s="197">
        <f>SUM(J1417:J1421)</f>
        <v>470793931</v>
      </c>
      <c r="K1422" s="198">
        <f>SUM(K1417:K1421)</f>
        <v>471950931</v>
      </c>
    </row>
    <row r="1423" spans="1:15" ht="17.25" thickBot="1">
      <c r="A1423" s="164" t="s">
        <v>181</v>
      </c>
      <c r="B1423" s="165"/>
      <c r="C1423" s="74" t="e">
        <f>+D1386</f>
        <v>#REF!</v>
      </c>
      <c r="D1423" s="196" t="e">
        <f>+B1423+C1423</f>
        <v>#REF!</v>
      </c>
      <c r="F1423" s="52"/>
      <c r="H1423" s="49" t="s">
        <v>88</v>
      </c>
      <c r="I1423" s="50"/>
    </row>
    <row r="1424" spans="1:15" ht="16.5" thickBot="1">
      <c r="A1424" s="169"/>
      <c r="B1424" s="170" t="e">
        <f>SUM(B1419:B1423)</f>
        <v>#REF!</v>
      </c>
      <c r="C1424" s="171" t="e">
        <f>SUM(C1419:C1423)</f>
        <v>#REF!</v>
      </c>
      <c r="D1424" s="172" t="e">
        <f>SUM(D1419:D1423)</f>
        <v>#REF!</v>
      </c>
      <c r="H1424" s="51" t="s">
        <v>89</v>
      </c>
    </row>
    <row r="1425" spans="1:15" ht="16.5">
      <c r="A1425" s="49" t="s">
        <v>88</v>
      </c>
      <c r="B1425" s="50"/>
      <c r="H1425" s="51" t="s">
        <v>90</v>
      </c>
    </row>
    <row r="1426" spans="1:15">
      <c r="A1426" s="51" t="s">
        <v>89</v>
      </c>
      <c r="H1426" s="51" t="s">
        <v>91</v>
      </c>
    </row>
    <row r="1427" spans="1:15">
      <c r="A1427" s="51" t="s">
        <v>90</v>
      </c>
      <c r="H1427" s="50"/>
      <c r="I1427" s="50"/>
    </row>
    <row r="1428" spans="1:15" ht="16.5">
      <c r="A1428" s="51" t="s">
        <v>91</v>
      </c>
      <c r="H1428" s="260" t="s">
        <v>917</v>
      </c>
      <c r="N1428" s="52"/>
    </row>
    <row r="1429" spans="1:15" ht="15" customHeight="1">
      <c r="A1429" s="50"/>
      <c r="B1429" s="50"/>
      <c r="H1429" s="53" t="s">
        <v>1333</v>
      </c>
      <c r="N1429" s="53"/>
    </row>
    <row r="1430" spans="1:15" ht="16.5">
      <c r="A1430" s="52" t="s">
        <v>528</v>
      </c>
      <c r="G1430" s="52"/>
      <c r="H1430" s="894" t="s">
        <v>1600</v>
      </c>
      <c r="I1430" s="894"/>
      <c r="J1430" s="894"/>
      <c r="K1430" s="894"/>
      <c r="L1430" s="894"/>
      <c r="M1430" s="894"/>
      <c r="N1430" s="894"/>
      <c r="O1430" s="894"/>
    </row>
    <row r="1431" spans="1:15" ht="12" customHeight="1" thickBot="1">
      <c r="A1431" s="53" t="s">
        <v>92</v>
      </c>
      <c r="G1431" s="53"/>
    </row>
    <row r="1432" spans="1:15" ht="16.5">
      <c r="A1432" s="894" t="s">
        <v>261</v>
      </c>
      <c r="B1432" s="894"/>
      <c r="C1432" s="894"/>
      <c r="D1432" s="894"/>
      <c r="E1432" s="894"/>
      <c r="F1432" s="894"/>
      <c r="G1432" s="894"/>
      <c r="H1432" s="895" t="s">
        <v>94</v>
      </c>
      <c r="I1432" s="897" t="s">
        <v>95</v>
      </c>
      <c r="J1432" s="897" t="s">
        <v>96</v>
      </c>
      <c r="K1432" s="897" t="s">
        <v>3</v>
      </c>
      <c r="L1432" s="897" t="s">
        <v>97</v>
      </c>
      <c r="M1432" s="897" t="s">
        <v>98</v>
      </c>
      <c r="N1432" s="897" t="s">
        <v>99</v>
      </c>
      <c r="O1432" s="899"/>
    </row>
    <row r="1433" spans="1:15" ht="15.75" thickBot="1">
      <c r="H1433" s="896"/>
      <c r="I1433" s="898"/>
      <c r="J1433" s="898"/>
      <c r="K1433" s="898"/>
      <c r="L1433" s="898"/>
      <c r="M1433" s="898"/>
      <c r="N1433" s="240" t="s">
        <v>100</v>
      </c>
      <c r="O1433" s="182" t="s">
        <v>101</v>
      </c>
    </row>
    <row r="1434" spans="1:15" ht="13.5" customHeight="1">
      <c r="A1434" s="895" t="s">
        <v>94</v>
      </c>
      <c r="B1434" s="897" t="s">
        <v>95</v>
      </c>
      <c r="C1434" s="897" t="s">
        <v>96</v>
      </c>
      <c r="D1434" s="897" t="s">
        <v>3</v>
      </c>
      <c r="E1434" s="897" t="s">
        <v>97</v>
      </c>
      <c r="F1434" s="897" t="s">
        <v>98</v>
      </c>
      <c r="G1434" s="500" t="s">
        <v>99</v>
      </c>
      <c r="H1434" s="873" t="s">
        <v>1526</v>
      </c>
      <c r="I1434" s="875">
        <v>43088</v>
      </c>
      <c r="J1434" s="877" t="s">
        <v>472</v>
      </c>
      <c r="K1434" s="881" t="s">
        <v>1522</v>
      </c>
      <c r="L1434" s="881" t="s">
        <v>148</v>
      </c>
      <c r="M1434" s="883">
        <v>-637000</v>
      </c>
      <c r="N1434" s="55">
        <v>719</v>
      </c>
      <c r="O1434" s="78">
        <v>-490000</v>
      </c>
    </row>
    <row r="1435" spans="1:15" ht="12.75" customHeight="1" thickBot="1">
      <c r="A1435" s="896"/>
      <c r="B1435" s="898"/>
      <c r="C1435" s="898"/>
      <c r="D1435" s="898"/>
      <c r="E1435" s="898"/>
      <c r="F1435" s="898"/>
      <c r="G1435" s="240" t="s">
        <v>100</v>
      </c>
      <c r="H1435" s="874"/>
      <c r="I1435" s="876"/>
      <c r="J1435" s="878"/>
      <c r="K1435" s="882"/>
      <c r="L1435" s="882"/>
      <c r="M1435" s="884"/>
      <c r="N1435" s="56">
        <v>721</v>
      </c>
      <c r="O1435" s="79">
        <f>+M1434-O1434</f>
        <v>-147000</v>
      </c>
    </row>
    <row r="1436" spans="1:15" ht="13.5" customHeight="1">
      <c r="A1436" s="919" t="e">
        <f>+A1405+1</f>
        <v>#REF!</v>
      </c>
      <c r="B1436" s="875">
        <v>42369</v>
      </c>
      <c r="C1436" s="877" t="s">
        <v>267</v>
      </c>
      <c r="D1436" s="877" t="s">
        <v>526</v>
      </c>
      <c r="E1436" s="881" t="s">
        <v>148</v>
      </c>
      <c r="F1436" s="883">
        <v>224000</v>
      </c>
      <c r="G1436" s="55">
        <v>719</v>
      </c>
      <c r="H1436" s="873" t="s">
        <v>1603</v>
      </c>
      <c r="I1436" s="875">
        <v>43088</v>
      </c>
      <c r="J1436" s="877" t="s">
        <v>472</v>
      </c>
      <c r="K1436" s="881" t="s">
        <v>1590</v>
      </c>
      <c r="L1436" s="881" t="s">
        <v>148</v>
      </c>
      <c r="M1436" s="883">
        <v>-572000</v>
      </c>
      <c r="N1436" s="55">
        <v>719</v>
      </c>
      <c r="O1436" s="78">
        <v>-440000</v>
      </c>
    </row>
    <row r="1437" spans="1:15" ht="13.5" customHeight="1" thickBot="1">
      <c r="A1437" s="920"/>
      <c r="B1437" s="876"/>
      <c r="C1437" s="878"/>
      <c r="D1437" s="878"/>
      <c r="E1437" s="882"/>
      <c r="F1437" s="884"/>
      <c r="G1437" s="56">
        <v>721</v>
      </c>
      <c r="H1437" s="874"/>
      <c r="I1437" s="876"/>
      <c r="J1437" s="878"/>
      <c r="K1437" s="882"/>
      <c r="L1437" s="882"/>
      <c r="M1437" s="884"/>
      <c r="N1437" s="56">
        <v>723</v>
      </c>
      <c r="O1437" s="79">
        <f>+M1436-O1436</f>
        <v>-132000</v>
      </c>
    </row>
    <row r="1438" spans="1:15" ht="12.75" customHeight="1">
      <c r="A1438" s="919" t="e">
        <f>+A1436+1</f>
        <v>#REF!</v>
      </c>
      <c r="B1438" s="875">
        <v>42369</v>
      </c>
      <c r="C1438" s="881" t="s">
        <v>28</v>
      </c>
      <c r="D1438" s="877" t="s">
        <v>526</v>
      </c>
      <c r="E1438" s="881" t="s">
        <v>148</v>
      </c>
      <c r="F1438" s="883">
        <v>224000</v>
      </c>
      <c r="G1438" s="55">
        <v>719</v>
      </c>
      <c r="H1438" s="873" t="s">
        <v>1604</v>
      </c>
      <c r="I1438" s="875">
        <v>43088</v>
      </c>
      <c r="J1438" s="877" t="s">
        <v>472</v>
      </c>
      <c r="K1438" s="881" t="s">
        <v>1507</v>
      </c>
      <c r="L1438" s="881" t="s">
        <v>148</v>
      </c>
      <c r="M1438" s="883">
        <v>-481000</v>
      </c>
      <c r="N1438" s="55">
        <v>719</v>
      </c>
      <c r="O1438" s="78">
        <v>-370000</v>
      </c>
    </row>
    <row r="1439" spans="1:15" ht="14.25" customHeight="1" thickBot="1">
      <c r="A1439" s="920"/>
      <c r="B1439" s="876"/>
      <c r="C1439" s="882"/>
      <c r="D1439" s="878"/>
      <c r="E1439" s="882"/>
      <c r="F1439" s="884"/>
      <c r="G1439" s="56">
        <v>721</v>
      </c>
      <c r="H1439" s="874"/>
      <c r="I1439" s="876"/>
      <c r="J1439" s="878"/>
      <c r="K1439" s="882"/>
      <c r="L1439" s="882"/>
      <c r="M1439" s="884"/>
      <c r="N1439" s="56">
        <v>723</v>
      </c>
      <c r="O1439" s="79">
        <f>+M1438-O1438</f>
        <v>-111000</v>
      </c>
    </row>
    <row r="1440" spans="1:15" ht="12.75" customHeight="1">
      <c r="A1440" s="919" t="e">
        <f>+A1438+1</f>
        <v>#REF!</v>
      </c>
      <c r="B1440" s="875">
        <v>42369</v>
      </c>
      <c r="C1440" s="877" t="s">
        <v>32</v>
      </c>
      <c r="D1440" s="877" t="s">
        <v>521</v>
      </c>
      <c r="E1440" s="881" t="s">
        <v>148</v>
      </c>
      <c r="F1440" s="883">
        <v>154000</v>
      </c>
      <c r="G1440" s="55">
        <v>719</v>
      </c>
      <c r="H1440" s="873" t="s">
        <v>1605</v>
      </c>
      <c r="I1440" s="875">
        <v>43088</v>
      </c>
      <c r="J1440" s="877" t="s">
        <v>472</v>
      </c>
      <c r="K1440" s="881" t="s">
        <v>1506</v>
      </c>
      <c r="L1440" s="881" t="s">
        <v>148</v>
      </c>
      <c r="M1440" s="883">
        <v>-403000</v>
      </c>
      <c r="N1440" s="55">
        <v>719</v>
      </c>
      <c r="O1440" s="78">
        <v>-310000</v>
      </c>
    </row>
    <row r="1441" spans="1:15" ht="12.75" customHeight="1" thickBot="1">
      <c r="A1441" s="920"/>
      <c r="B1441" s="876"/>
      <c r="C1441" s="878"/>
      <c r="D1441" s="878"/>
      <c r="E1441" s="882"/>
      <c r="F1441" s="884"/>
      <c r="G1441" s="56">
        <v>721</v>
      </c>
      <c r="H1441" s="874"/>
      <c r="I1441" s="876"/>
      <c r="J1441" s="878"/>
      <c r="K1441" s="882"/>
      <c r="L1441" s="882"/>
      <c r="M1441" s="884"/>
      <c r="N1441" s="56">
        <v>722</v>
      </c>
      <c r="O1441" s="79">
        <f>+M1440-O1440</f>
        <v>-93000</v>
      </c>
    </row>
    <row r="1442" spans="1:15" ht="12.75" customHeight="1">
      <c r="A1442" s="919" t="e">
        <f>+A1440+1</f>
        <v>#REF!</v>
      </c>
      <c r="B1442" s="875">
        <v>42369</v>
      </c>
      <c r="C1442" s="877" t="s">
        <v>272</v>
      </c>
      <c r="D1442" s="877" t="s">
        <v>526</v>
      </c>
      <c r="E1442" s="881" t="s">
        <v>148</v>
      </c>
      <c r="F1442" s="883">
        <v>644000</v>
      </c>
      <c r="G1442" s="55">
        <v>719</v>
      </c>
      <c r="H1442" s="873" t="s">
        <v>1509</v>
      </c>
      <c r="I1442" s="875">
        <v>43088</v>
      </c>
      <c r="J1442" s="877" t="s">
        <v>472</v>
      </c>
      <c r="K1442" s="881" t="s">
        <v>1510</v>
      </c>
      <c r="L1442" s="881" t="s">
        <v>148</v>
      </c>
      <c r="M1442" s="883">
        <v>-429000</v>
      </c>
      <c r="N1442" s="55">
        <v>719</v>
      </c>
      <c r="O1442" s="78">
        <v>-330000</v>
      </c>
    </row>
    <row r="1443" spans="1:15" ht="14.25" customHeight="1" thickBot="1">
      <c r="A1443" s="920"/>
      <c r="B1443" s="876"/>
      <c r="C1443" s="878"/>
      <c r="D1443" s="878"/>
      <c r="E1443" s="882"/>
      <c r="F1443" s="884"/>
      <c r="G1443" s="56">
        <v>721</v>
      </c>
      <c r="H1443" s="874"/>
      <c r="I1443" s="876"/>
      <c r="J1443" s="878"/>
      <c r="K1443" s="882"/>
      <c r="L1443" s="882"/>
      <c r="M1443" s="884"/>
      <c r="N1443" s="56">
        <v>721</v>
      </c>
      <c r="O1443" s="79">
        <f>+M1442-O1442</f>
        <v>-99000</v>
      </c>
    </row>
    <row r="1444" spans="1:15" ht="15" customHeight="1" thickBot="1">
      <c r="A1444" s="919"/>
      <c r="B1444" s="875"/>
      <c r="C1444" s="877"/>
      <c r="D1444" s="877"/>
      <c r="E1444" s="881"/>
      <c r="F1444" s="883"/>
      <c r="G1444" s="55">
        <v>719</v>
      </c>
      <c r="H1444" s="901" t="s">
        <v>102</v>
      </c>
      <c r="I1444" s="902"/>
      <c r="J1444" s="902"/>
      <c r="K1444" s="902"/>
      <c r="L1444" s="903"/>
      <c r="M1444" s="81">
        <f>SUM(M1434:M1443)</f>
        <v>-2522000</v>
      </c>
    </row>
    <row r="1445" spans="1:15" ht="15.75" customHeight="1" thickBot="1">
      <c r="A1445" s="920"/>
      <c r="B1445" s="876"/>
      <c r="C1445" s="878"/>
      <c r="D1445" s="878"/>
      <c r="E1445" s="882"/>
      <c r="F1445" s="884"/>
      <c r="G1445" s="56">
        <v>721</v>
      </c>
      <c r="H1445" s="885" t="s">
        <v>103</v>
      </c>
      <c r="I1445" s="886"/>
      <c r="J1445" s="886"/>
      <c r="K1445" s="886"/>
      <c r="L1445" s="887"/>
      <c r="M1445" s="69">
        <f>+M1409</f>
        <v>471950931</v>
      </c>
      <c r="N1445" s="241" t="s">
        <v>561</v>
      </c>
      <c r="O1445" s="242">
        <v>124</v>
      </c>
    </row>
    <row r="1446" spans="1:15" ht="16.5" thickBot="1">
      <c r="A1446" s="901" t="s">
        <v>102</v>
      </c>
      <c r="B1446" s="902"/>
      <c r="C1446" s="902"/>
      <c r="D1446" s="902"/>
      <c r="E1446" s="903"/>
      <c r="F1446" s="81">
        <f>SUM(F1436:F1445)</f>
        <v>1246000</v>
      </c>
      <c r="H1446" s="888" t="s">
        <v>104</v>
      </c>
      <c r="I1446" s="889"/>
      <c r="J1446" s="889"/>
      <c r="K1446" s="889"/>
      <c r="L1446" s="890"/>
      <c r="M1446" s="183">
        <f>SUM(M1444:M1445)</f>
        <v>469428931</v>
      </c>
    </row>
    <row r="1447" spans="1:15" ht="12.75" customHeight="1" thickBot="1">
      <c r="A1447" s="885" t="s">
        <v>103</v>
      </c>
      <c r="B1447" s="886"/>
      <c r="C1447" s="886"/>
      <c r="D1447" s="886"/>
      <c r="E1447" s="887"/>
      <c r="F1447" s="69" t="e">
        <f>+F1411</f>
        <v>#REF!</v>
      </c>
      <c r="H1447" s="61"/>
      <c r="I1447" s="61"/>
      <c r="J1447" s="61"/>
      <c r="K1447" s="61"/>
      <c r="L1447" s="61"/>
    </row>
    <row r="1448" spans="1:15" ht="16.5" thickBot="1">
      <c r="A1448" s="888" t="s">
        <v>104</v>
      </c>
      <c r="B1448" s="889"/>
      <c r="C1448" s="889"/>
      <c r="D1448" s="889"/>
      <c r="E1448" s="890"/>
      <c r="F1448" s="183" t="e">
        <f>SUM(F1446:F1447)</f>
        <v>#REF!</v>
      </c>
      <c r="H1448" s="51" t="s">
        <v>1601</v>
      </c>
    </row>
    <row r="1449" spans="1:15" ht="9.75" customHeight="1">
      <c r="A1449" s="61"/>
      <c r="B1449" s="61"/>
      <c r="C1449" s="61"/>
      <c r="D1449" s="61"/>
      <c r="E1449" s="61"/>
      <c r="M1449" s="139"/>
    </row>
    <row r="1450" spans="1:15">
      <c r="A1450" s="51" t="s">
        <v>527</v>
      </c>
      <c r="H1450" s="50" t="s">
        <v>105</v>
      </c>
      <c r="K1450" s="146"/>
      <c r="M1450" s="139"/>
    </row>
    <row r="1451" spans="1:15" ht="12.75" customHeight="1" thickBot="1">
      <c r="F1451" s="139"/>
    </row>
    <row r="1452" spans="1:15" ht="15.75" thickBot="1">
      <c r="A1452" s="50" t="s">
        <v>105</v>
      </c>
      <c r="D1452" s="146"/>
      <c r="F1452" s="139"/>
      <c r="H1452" s="891" t="s">
        <v>106</v>
      </c>
      <c r="I1452" s="892"/>
      <c r="J1452" s="892"/>
      <c r="K1452" s="893"/>
      <c r="M1452" s="50" t="s">
        <v>288</v>
      </c>
    </row>
    <row r="1453" spans="1:15" ht="45.75" thickBot="1">
      <c r="H1453" s="57" t="s">
        <v>100</v>
      </c>
      <c r="I1453" s="58" t="s">
        <v>108</v>
      </c>
      <c r="J1453" s="287" t="s">
        <v>109</v>
      </c>
      <c r="K1453" s="60" t="s">
        <v>110</v>
      </c>
    </row>
    <row r="1454" spans="1:15" ht="15.75" thickBot="1">
      <c r="A1454" s="891" t="s">
        <v>106</v>
      </c>
      <c r="B1454" s="892"/>
      <c r="C1454" s="892"/>
      <c r="D1454" s="893"/>
      <c r="F1454" s="50" t="s">
        <v>288</v>
      </c>
      <c r="H1454" s="71">
        <v>719</v>
      </c>
      <c r="I1454" s="73">
        <f>+O1434+O1436+O1438+O1440+O1442</f>
        <v>-1940000</v>
      </c>
      <c r="J1454" s="74">
        <f>+K1417</f>
        <v>50110000</v>
      </c>
      <c r="K1454" s="195">
        <f>+I1454+J1454</f>
        <v>48170000</v>
      </c>
    </row>
    <row r="1455" spans="1:15" ht="17.25" customHeight="1" thickBot="1">
      <c r="A1455" s="57" t="s">
        <v>100</v>
      </c>
      <c r="B1455" s="58" t="s">
        <v>108</v>
      </c>
      <c r="C1455" s="59" t="s">
        <v>109</v>
      </c>
      <c r="D1455" s="60" t="s">
        <v>110</v>
      </c>
      <c r="H1455" s="72">
        <v>721</v>
      </c>
      <c r="I1455" s="80">
        <v>0</v>
      </c>
      <c r="J1455" s="74">
        <f>+K1418</f>
        <v>87714981</v>
      </c>
      <c r="K1455" s="195">
        <f>+I1455+J1455</f>
        <v>87714981</v>
      </c>
    </row>
    <row r="1456" spans="1:15" ht="11.25" customHeight="1">
      <c r="A1456" s="71">
        <v>719</v>
      </c>
      <c r="B1456" s="73" t="e">
        <f>+#REF!+#REF!+#REF!+#REF!</f>
        <v>#REF!</v>
      </c>
      <c r="C1456" s="74" t="e">
        <f>+D1419</f>
        <v>#REF!</v>
      </c>
      <c r="D1456" s="195" t="e">
        <f>+B1456+C1456</f>
        <v>#REF!</v>
      </c>
      <c r="H1456" s="72">
        <v>722</v>
      </c>
      <c r="I1456" s="80"/>
      <c r="J1456" s="74">
        <f>+K1419</f>
        <v>0</v>
      </c>
      <c r="K1456" s="195">
        <f>+I1456+J1456</f>
        <v>0</v>
      </c>
    </row>
    <row r="1457" spans="1:15" ht="15.75">
      <c r="A1457" s="72">
        <v>721</v>
      </c>
      <c r="B1457" s="80" t="e">
        <f>+#REF!+#REF!+#REF!+#REF!</f>
        <v>#REF!</v>
      </c>
      <c r="C1457" s="74" t="e">
        <f>+D1420</f>
        <v>#REF!</v>
      </c>
      <c r="D1457" s="195" t="e">
        <f>+B1457+C1457</f>
        <v>#REF!</v>
      </c>
      <c r="H1457" s="72">
        <v>723</v>
      </c>
      <c r="I1457" s="80">
        <f>+O1437+O1439+O1441+O1443+O1435</f>
        <v>-582000</v>
      </c>
      <c r="J1457" s="74">
        <f>+K1420</f>
        <v>334125950</v>
      </c>
      <c r="K1457" s="195">
        <f>+I1457+J1457</f>
        <v>333543950</v>
      </c>
      <c r="M1457" s="918" t="s">
        <v>1481</v>
      </c>
      <c r="N1457" s="918"/>
      <c r="O1457" s="918"/>
    </row>
    <row r="1458" spans="1:15" ht="12" customHeight="1" thickBot="1">
      <c r="A1458" s="72">
        <v>722</v>
      </c>
      <c r="B1458" s="80"/>
      <c r="C1458" s="74" t="e">
        <f>+D1421</f>
        <v>#REF!</v>
      </c>
      <c r="D1458" s="195" t="e">
        <f>+B1458+C1458</f>
        <v>#REF!</v>
      </c>
      <c r="H1458" s="164" t="s">
        <v>181</v>
      </c>
      <c r="I1458" s="165"/>
      <c r="J1458" s="74">
        <f>+K1421</f>
        <v>0</v>
      </c>
      <c r="K1458" s="196">
        <f>+I1458+J1458</f>
        <v>0</v>
      </c>
      <c r="M1458" s="52"/>
    </row>
    <row r="1459" spans="1:15" ht="14.25" customHeight="1" thickBot="1">
      <c r="A1459" s="72">
        <v>723</v>
      </c>
      <c r="B1459" s="80"/>
      <c r="C1459" s="74" t="e">
        <f>+D1422</f>
        <v>#REF!</v>
      </c>
      <c r="D1459" s="195" t="e">
        <f>+B1459+C1459</f>
        <v>#REF!</v>
      </c>
      <c r="F1459" s="174" t="s">
        <v>23</v>
      </c>
      <c r="G1459" s="175"/>
      <c r="H1459" s="169"/>
      <c r="I1459" s="197">
        <f>SUM(I1454:I1458)</f>
        <v>-2522000</v>
      </c>
      <c r="J1459" s="197">
        <f>SUM(J1454:J1458)</f>
        <v>471950931</v>
      </c>
      <c r="K1459" s="198">
        <f>SUM(K1454:K1458)</f>
        <v>469428931</v>
      </c>
    </row>
    <row r="1460" spans="1:15" ht="15.75" customHeight="1" thickBot="1">
      <c r="A1460" s="169"/>
      <c r="B1460" s="170" t="e">
        <f>SUM(#REF!)</f>
        <v>#REF!</v>
      </c>
      <c r="C1460" s="171" t="e">
        <f>SUM(#REF!)</f>
        <v>#REF!</v>
      </c>
      <c r="D1460" s="172" t="e">
        <f>SUM(#REF!)</f>
        <v>#REF!</v>
      </c>
      <c r="H1460" s="49" t="s">
        <v>88</v>
      </c>
      <c r="I1460" s="50"/>
    </row>
    <row r="1461" spans="1:15" ht="13.5" customHeight="1">
      <c r="A1461" s="49" t="s">
        <v>88</v>
      </c>
      <c r="B1461" s="50"/>
      <c r="H1461" s="51" t="s">
        <v>89</v>
      </c>
    </row>
    <row r="1462" spans="1:15" ht="14.25" customHeight="1">
      <c r="A1462" s="51" t="s">
        <v>89</v>
      </c>
      <c r="H1462" s="51" t="s">
        <v>90</v>
      </c>
    </row>
    <row r="1463" spans="1:15" ht="12" customHeight="1">
      <c r="A1463" s="51" t="s">
        <v>90</v>
      </c>
      <c r="H1463" s="51" t="s">
        <v>91</v>
      </c>
    </row>
    <row r="1464" spans="1:15" ht="8.25" customHeight="1">
      <c r="A1464" s="51" t="s">
        <v>91</v>
      </c>
      <c r="H1464" s="50"/>
      <c r="I1464" s="50"/>
    </row>
    <row r="1465" spans="1:15" ht="12" customHeight="1">
      <c r="A1465" s="50"/>
      <c r="B1465" s="50"/>
      <c r="H1465" s="260" t="s">
        <v>927</v>
      </c>
      <c r="N1465" s="52"/>
    </row>
    <row r="1466" spans="1:15" ht="16.5">
      <c r="A1466" s="52" t="s">
        <v>544</v>
      </c>
      <c r="G1466" s="52"/>
      <c r="H1466" s="53" t="s">
        <v>535</v>
      </c>
      <c r="N1466" s="53"/>
    </row>
    <row r="1467" spans="1:15" ht="16.5">
      <c r="A1467" s="53" t="s">
        <v>92</v>
      </c>
      <c r="G1467" s="53"/>
      <c r="H1467" s="894" t="s">
        <v>1600</v>
      </c>
      <c r="I1467" s="894"/>
      <c r="J1467" s="894"/>
      <c r="K1467" s="894"/>
      <c r="L1467" s="894"/>
      <c r="M1467" s="894"/>
      <c r="N1467" s="894"/>
      <c r="O1467" s="894"/>
    </row>
    <row r="1468" spans="1:15" ht="7.5" customHeight="1" thickBot="1">
      <c r="A1468" s="894" t="s">
        <v>261</v>
      </c>
      <c r="B1468" s="894"/>
      <c r="C1468" s="894"/>
      <c r="D1468" s="894"/>
      <c r="E1468" s="894"/>
      <c r="F1468" s="894"/>
      <c r="G1468" s="894"/>
    </row>
    <row r="1469" spans="1:15" ht="15.75" thickBot="1">
      <c r="H1469" s="895" t="s">
        <v>94</v>
      </c>
      <c r="I1469" s="897" t="s">
        <v>95</v>
      </c>
      <c r="J1469" s="897" t="s">
        <v>96</v>
      </c>
      <c r="K1469" s="897" t="s">
        <v>3</v>
      </c>
      <c r="L1469" s="897" t="s">
        <v>97</v>
      </c>
      <c r="M1469" s="897" t="s">
        <v>98</v>
      </c>
      <c r="N1469" s="897" t="s">
        <v>99</v>
      </c>
      <c r="O1469" s="899"/>
    </row>
    <row r="1470" spans="1:15" ht="15.75" thickBot="1">
      <c r="A1470" s="895" t="s">
        <v>94</v>
      </c>
      <c r="B1470" s="897" t="s">
        <v>95</v>
      </c>
      <c r="C1470" s="897" t="s">
        <v>96</v>
      </c>
      <c r="D1470" s="897" t="s">
        <v>3</v>
      </c>
      <c r="E1470" s="897" t="s">
        <v>97</v>
      </c>
      <c r="F1470" s="897" t="s">
        <v>98</v>
      </c>
      <c r="G1470" s="500" t="s">
        <v>99</v>
      </c>
      <c r="H1470" s="896"/>
      <c r="I1470" s="898"/>
      <c r="J1470" s="898"/>
      <c r="K1470" s="898"/>
      <c r="L1470" s="898"/>
      <c r="M1470" s="898"/>
      <c r="N1470" s="240" t="s">
        <v>100</v>
      </c>
      <c r="O1470" s="182" t="s">
        <v>101</v>
      </c>
    </row>
    <row r="1471" spans="1:15" ht="14.25" customHeight="1" thickBot="1">
      <c r="A1471" s="896"/>
      <c r="B1471" s="898"/>
      <c r="C1471" s="898"/>
      <c r="D1471" s="898"/>
      <c r="E1471" s="898"/>
      <c r="F1471" s="898"/>
      <c r="G1471" s="240" t="s">
        <v>100</v>
      </c>
      <c r="H1471" s="873" t="s">
        <v>1519</v>
      </c>
      <c r="I1471" s="875">
        <v>42723</v>
      </c>
      <c r="J1471" s="877" t="s">
        <v>28</v>
      </c>
      <c r="K1471" s="881" t="s">
        <v>1592</v>
      </c>
      <c r="L1471" s="881" t="s">
        <v>775</v>
      </c>
      <c r="M1471" s="883">
        <v>-170000</v>
      </c>
      <c r="N1471" s="55">
        <v>719</v>
      </c>
      <c r="O1471" s="78">
        <v>-170000</v>
      </c>
    </row>
    <row r="1472" spans="1:15" ht="12" customHeight="1" thickBot="1">
      <c r="A1472" s="919" t="e">
        <f>+#REF!+1</f>
        <v>#REF!</v>
      </c>
      <c r="B1472" s="875">
        <v>42369</v>
      </c>
      <c r="C1472" s="877" t="s">
        <v>267</v>
      </c>
      <c r="D1472" s="881" t="s">
        <v>530</v>
      </c>
      <c r="E1472" s="881" t="s">
        <v>148</v>
      </c>
      <c r="F1472" s="883">
        <v>70000</v>
      </c>
      <c r="G1472" s="55">
        <v>719</v>
      </c>
      <c r="H1472" s="874"/>
      <c r="I1472" s="876"/>
      <c r="J1472" s="878"/>
      <c r="K1472" s="882"/>
      <c r="L1472" s="882"/>
      <c r="M1472" s="884"/>
      <c r="N1472" s="56">
        <v>721</v>
      </c>
      <c r="O1472" s="79">
        <f>+M1471-O1471</f>
        <v>0</v>
      </c>
    </row>
    <row r="1473" spans="1:15" ht="14.25" customHeight="1" thickBot="1">
      <c r="A1473" s="920"/>
      <c r="B1473" s="876"/>
      <c r="C1473" s="878"/>
      <c r="D1473" s="882"/>
      <c r="E1473" s="882"/>
      <c r="F1473" s="884"/>
      <c r="G1473" s="56">
        <v>721</v>
      </c>
      <c r="H1473" s="873" t="s">
        <v>1606</v>
      </c>
      <c r="I1473" s="875">
        <v>42723</v>
      </c>
      <c r="J1473" s="877" t="s">
        <v>28</v>
      </c>
      <c r="K1473" s="881" t="s">
        <v>1516</v>
      </c>
      <c r="L1473" s="881" t="s">
        <v>775</v>
      </c>
      <c r="M1473" s="883">
        <v>-70000</v>
      </c>
      <c r="N1473" s="55">
        <v>719</v>
      </c>
      <c r="O1473" s="78">
        <v>-70000</v>
      </c>
    </row>
    <row r="1474" spans="1:15" ht="12.75" customHeight="1" thickBot="1">
      <c r="A1474" s="919" t="e">
        <f>+A1472+1</f>
        <v>#REF!</v>
      </c>
      <c r="B1474" s="875">
        <v>42369</v>
      </c>
      <c r="C1474" s="881" t="s">
        <v>28</v>
      </c>
      <c r="D1474" s="881" t="s">
        <v>530</v>
      </c>
      <c r="E1474" s="881" t="s">
        <v>148</v>
      </c>
      <c r="F1474" s="883">
        <v>70000</v>
      </c>
      <c r="G1474" s="55">
        <v>719</v>
      </c>
      <c r="H1474" s="874"/>
      <c r="I1474" s="876"/>
      <c r="J1474" s="878"/>
      <c r="K1474" s="882"/>
      <c r="L1474" s="882"/>
      <c r="M1474" s="884"/>
      <c r="N1474" s="56">
        <v>721</v>
      </c>
      <c r="O1474" s="79">
        <f>+M1473-O1473</f>
        <v>0</v>
      </c>
    </row>
    <row r="1475" spans="1:15" ht="14.25" customHeight="1" thickBot="1">
      <c r="A1475" s="920"/>
      <c r="B1475" s="876"/>
      <c r="C1475" s="882"/>
      <c r="D1475" s="882"/>
      <c r="E1475" s="882"/>
      <c r="F1475" s="884"/>
      <c r="G1475" s="56">
        <v>721</v>
      </c>
      <c r="H1475" s="873" t="s">
        <v>1607</v>
      </c>
      <c r="I1475" s="875">
        <v>42723</v>
      </c>
      <c r="J1475" s="877" t="s">
        <v>28</v>
      </c>
      <c r="K1475" s="881" t="s">
        <v>1517</v>
      </c>
      <c r="L1475" s="881" t="s">
        <v>775</v>
      </c>
      <c r="M1475" s="883">
        <v>-160000</v>
      </c>
      <c r="N1475" s="55">
        <v>719</v>
      </c>
      <c r="O1475" s="78">
        <v>-160000</v>
      </c>
    </row>
    <row r="1476" spans="1:15" ht="11.25" customHeight="1" thickBot="1">
      <c r="A1476" s="919" t="e">
        <f>+A1474+1</f>
        <v>#REF!</v>
      </c>
      <c r="B1476" s="875">
        <v>42369</v>
      </c>
      <c r="C1476" s="877" t="s">
        <v>32</v>
      </c>
      <c r="D1476" s="881" t="s">
        <v>530</v>
      </c>
      <c r="E1476" s="881" t="s">
        <v>148</v>
      </c>
      <c r="F1476" s="883">
        <v>84000</v>
      </c>
      <c r="G1476" s="55">
        <v>719</v>
      </c>
      <c r="H1476" s="874"/>
      <c r="I1476" s="876"/>
      <c r="J1476" s="878"/>
      <c r="K1476" s="882"/>
      <c r="L1476" s="882"/>
      <c r="M1476" s="884"/>
      <c r="N1476" s="56">
        <v>721</v>
      </c>
      <c r="O1476" s="79"/>
    </row>
    <row r="1477" spans="1:15" ht="13.5" customHeight="1">
      <c r="A1477" s="921"/>
      <c r="B1477" s="922"/>
      <c r="C1477" s="900"/>
      <c r="D1477" s="923"/>
      <c r="E1477" s="923"/>
      <c r="F1477" s="924"/>
      <c r="G1477" s="255"/>
      <c r="H1477" s="873" t="s">
        <v>1608</v>
      </c>
      <c r="I1477" s="875">
        <v>42723</v>
      </c>
      <c r="J1477" s="877" t="s">
        <v>28</v>
      </c>
      <c r="K1477" s="881" t="s">
        <v>1524</v>
      </c>
      <c r="L1477" s="881" t="s">
        <v>148</v>
      </c>
      <c r="M1477" s="883">
        <v>-1001000</v>
      </c>
      <c r="N1477" s="55">
        <v>719</v>
      </c>
      <c r="O1477" s="78">
        <v>-770000</v>
      </c>
    </row>
    <row r="1478" spans="1:15" ht="13.5" customHeight="1" thickBot="1">
      <c r="A1478" s="921"/>
      <c r="B1478" s="922"/>
      <c r="C1478" s="900"/>
      <c r="D1478" s="923"/>
      <c r="E1478" s="923"/>
      <c r="F1478" s="924"/>
      <c r="G1478" s="255"/>
      <c r="H1478" s="874"/>
      <c r="I1478" s="876"/>
      <c r="J1478" s="878"/>
      <c r="K1478" s="882"/>
      <c r="L1478" s="882"/>
      <c r="M1478" s="884"/>
      <c r="N1478" s="56">
        <v>721</v>
      </c>
      <c r="O1478" s="79">
        <v>-231000</v>
      </c>
    </row>
    <row r="1479" spans="1:15" ht="14.25" customHeight="1" thickBot="1">
      <c r="A1479" s="920"/>
      <c r="B1479" s="876"/>
      <c r="C1479" s="878"/>
      <c r="D1479" s="882"/>
      <c r="E1479" s="882"/>
      <c r="F1479" s="884"/>
      <c r="G1479" s="56">
        <v>721</v>
      </c>
      <c r="H1479" s="873" t="s">
        <v>1609</v>
      </c>
      <c r="I1479" s="875">
        <v>42723</v>
      </c>
      <c r="J1479" s="877" t="s">
        <v>28</v>
      </c>
      <c r="K1479" s="881" t="s">
        <v>1527</v>
      </c>
      <c r="L1479" s="881" t="s">
        <v>148</v>
      </c>
      <c r="M1479" s="883">
        <v>-559000</v>
      </c>
      <c r="N1479" s="55">
        <v>719</v>
      </c>
      <c r="O1479" s="78">
        <v>-430000</v>
      </c>
    </row>
    <row r="1480" spans="1:15" ht="15" customHeight="1" thickBot="1">
      <c r="A1480" s="919" t="e">
        <f>+A1476+1</f>
        <v>#REF!</v>
      </c>
      <c r="B1480" s="875">
        <v>42369</v>
      </c>
      <c r="C1480" s="877" t="s">
        <v>272</v>
      </c>
      <c r="D1480" s="881" t="s">
        <v>530</v>
      </c>
      <c r="E1480" s="881" t="s">
        <v>148</v>
      </c>
      <c r="F1480" s="883">
        <v>294000</v>
      </c>
      <c r="G1480" s="55">
        <v>719</v>
      </c>
      <c r="H1480" s="874"/>
      <c r="I1480" s="876"/>
      <c r="J1480" s="878"/>
      <c r="K1480" s="882"/>
      <c r="L1480" s="882"/>
      <c r="M1480" s="884"/>
      <c r="N1480" s="56">
        <v>721</v>
      </c>
      <c r="O1480" s="79">
        <f>+M1479-O1479</f>
        <v>-129000</v>
      </c>
    </row>
    <row r="1481" spans="1:15" ht="13.5" customHeight="1" thickBot="1">
      <c r="A1481" s="920"/>
      <c r="B1481" s="876"/>
      <c r="C1481" s="878"/>
      <c r="D1481" s="882"/>
      <c r="E1481" s="882"/>
      <c r="F1481" s="884"/>
      <c r="G1481" s="56">
        <v>721</v>
      </c>
      <c r="H1481" s="873" t="s">
        <v>1610</v>
      </c>
      <c r="I1481" s="875">
        <v>42723</v>
      </c>
      <c r="J1481" s="877" t="s">
        <v>28</v>
      </c>
      <c r="K1481" s="881" t="s">
        <v>1529</v>
      </c>
      <c r="L1481" s="881" t="s">
        <v>148</v>
      </c>
      <c r="M1481" s="883">
        <v>-624000</v>
      </c>
      <c r="N1481" s="55">
        <v>719</v>
      </c>
      <c r="O1481" s="78">
        <v>-480000</v>
      </c>
    </row>
    <row r="1482" spans="1:15" ht="14.25" customHeight="1" thickBot="1">
      <c r="A1482" s="919"/>
      <c r="B1482" s="875"/>
      <c r="C1482" s="877"/>
      <c r="D1482" s="877"/>
      <c r="E1482" s="881"/>
      <c r="F1482" s="883"/>
      <c r="G1482" s="55">
        <v>719</v>
      </c>
      <c r="H1482" s="874"/>
      <c r="I1482" s="876"/>
      <c r="J1482" s="878"/>
      <c r="K1482" s="882"/>
      <c r="L1482" s="882"/>
      <c r="M1482" s="884"/>
      <c r="N1482" s="56">
        <v>721</v>
      </c>
      <c r="O1482" s="79">
        <f>+M1481-O1481</f>
        <v>-144000</v>
      </c>
    </row>
    <row r="1483" spans="1:15" ht="16.5" thickBot="1">
      <c r="A1483" s="920"/>
      <c r="B1483" s="876"/>
      <c r="C1483" s="878"/>
      <c r="D1483" s="878"/>
      <c r="E1483" s="882"/>
      <c r="F1483" s="884"/>
      <c r="G1483" s="56">
        <v>721</v>
      </c>
      <c r="H1483" s="901" t="s">
        <v>102</v>
      </c>
      <c r="I1483" s="902"/>
      <c r="J1483" s="902"/>
      <c r="K1483" s="902"/>
      <c r="L1483" s="903"/>
      <c r="M1483" s="81">
        <f>SUM(M1471:M1482)</f>
        <v>-2584000</v>
      </c>
    </row>
    <row r="1484" spans="1:15" ht="16.5" thickBot="1">
      <c r="A1484" s="901" t="s">
        <v>102</v>
      </c>
      <c r="B1484" s="902"/>
      <c r="C1484" s="902"/>
      <c r="D1484" s="902"/>
      <c r="E1484" s="903"/>
      <c r="F1484" s="81">
        <f>SUM(F1472:F1483)</f>
        <v>518000</v>
      </c>
      <c r="H1484" s="885" t="s">
        <v>103</v>
      </c>
      <c r="I1484" s="886"/>
      <c r="J1484" s="886"/>
      <c r="K1484" s="886"/>
      <c r="L1484" s="887"/>
      <c r="M1484" s="69">
        <f>+M1446</f>
        <v>469428931</v>
      </c>
      <c r="N1484" s="241" t="s">
        <v>561</v>
      </c>
      <c r="O1484" s="242"/>
    </row>
    <row r="1485" spans="1:15" ht="16.5" thickBot="1">
      <c r="A1485" s="885" t="s">
        <v>103</v>
      </c>
      <c r="B1485" s="886"/>
      <c r="C1485" s="886"/>
      <c r="D1485" s="886"/>
      <c r="E1485" s="887"/>
      <c r="F1485" s="69" t="e">
        <f>+#REF!</f>
        <v>#REF!</v>
      </c>
      <c r="H1485" s="888" t="s">
        <v>104</v>
      </c>
      <c r="I1485" s="889"/>
      <c r="J1485" s="889"/>
      <c r="K1485" s="889"/>
      <c r="L1485" s="890"/>
      <c r="M1485" s="183">
        <f>SUM(M1483:M1484)</f>
        <v>466844931</v>
      </c>
    </row>
    <row r="1486" spans="1:15" ht="14.25" customHeight="1" thickBot="1">
      <c r="A1486" s="888" t="s">
        <v>104</v>
      </c>
      <c r="B1486" s="889"/>
      <c r="C1486" s="889"/>
      <c r="D1486" s="889"/>
      <c r="E1486" s="890"/>
      <c r="F1486" s="183" t="e">
        <f>SUM(F1484:F1485)</f>
        <v>#REF!</v>
      </c>
      <c r="H1486" s="61"/>
      <c r="I1486" s="61"/>
      <c r="J1486" s="61"/>
      <c r="K1486" s="61"/>
      <c r="L1486" s="61"/>
    </row>
    <row r="1487" spans="1:15">
      <c r="A1487" s="61"/>
      <c r="B1487" s="61"/>
      <c r="C1487" s="61"/>
      <c r="D1487" s="61"/>
      <c r="E1487" s="61"/>
      <c r="H1487" s="51" t="s">
        <v>1602</v>
      </c>
    </row>
    <row r="1488" spans="1:15" ht="9" customHeight="1">
      <c r="A1488" s="51" t="s">
        <v>546</v>
      </c>
      <c r="M1488" s="139"/>
    </row>
    <row r="1489" spans="1:15" ht="12.75" customHeight="1">
      <c r="F1489" s="139"/>
      <c r="H1489" s="50" t="s">
        <v>105</v>
      </c>
      <c r="K1489" s="146"/>
      <c r="M1489" s="139"/>
    </row>
    <row r="1490" spans="1:15" ht="12" customHeight="1" thickBot="1">
      <c r="A1490" s="50" t="s">
        <v>105</v>
      </c>
      <c r="D1490" s="146"/>
      <c r="F1490" s="139"/>
    </row>
    <row r="1491" spans="1:15" ht="12" customHeight="1" thickBot="1">
      <c r="H1491" s="891" t="s">
        <v>106</v>
      </c>
      <c r="I1491" s="892"/>
      <c r="J1491" s="892"/>
      <c r="K1491" s="893"/>
      <c r="M1491" s="50" t="s">
        <v>288</v>
      </c>
    </row>
    <row r="1492" spans="1:15" ht="28.5" customHeight="1" thickBot="1">
      <c r="A1492" s="891" t="s">
        <v>106</v>
      </c>
      <c r="B1492" s="892"/>
      <c r="C1492" s="892"/>
      <c r="D1492" s="893"/>
      <c r="F1492" s="50" t="s">
        <v>288</v>
      </c>
      <c r="H1492" s="57" t="s">
        <v>100</v>
      </c>
      <c r="I1492" s="58" t="s">
        <v>108</v>
      </c>
      <c r="J1492" s="59" t="s">
        <v>109</v>
      </c>
      <c r="K1492" s="60" t="s">
        <v>110</v>
      </c>
    </row>
    <row r="1493" spans="1:15" ht="14.25" customHeight="1" thickBot="1">
      <c r="A1493" s="57" t="s">
        <v>100</v>
      </c>
      <c r="B1493" s="58" t="s">
        <v>108</v>
      </c>
      <c r="C1493" s="59" t="s">
        <v>109</v>
      </c>
      <c r="D1493" s="60" t="s">
        <v>110</v>
      </c>
      <c r="H1493" s="71">
        <v>719</v>
      </c>
      <c r="I1493" s="73">
        <f>+O1471+O1473+O1475+O1477+O1479+O1481</f>
        <v>-2080000</v>
      </c>
      <c r="J1493" s="74">
        <f>+K1454</f>
        <v>48170000</v>
      </c>
      <c r="K1493" s="195">
        <f>+I1493+J1493</f>
        <v>46090000</v>
      </c>
    </row>
    <row r="1494" spans="1:15" ht="13.5" customHeight="1">
      <c r="A1494" s="71">
        <v>719</v>
      </c>
      <c r="B1494" s="73" t="e">
        <f>+#REF!+#REF!+#REF!+#REF!</f>
        <v>#REF!</v>
      </c>
      <c r="C1494" s="74" t="e">
        <f>+#REF!</f>
        <v>#REF!</v>
      </c>
      <c r="D1494" s="195" t="e">
        <f>+B1494+C1494</f>
        <v>#REF!</v>
      </c>
      <c r="H1494" s="72">
        <v>721</v>
      </c>
      <c r="I1494" s="80">
        <f>+O1482+O1480+O1478</f>
        <v>-504000</v>
      </c>
      <c r="J1494" s="74">
        <f>+K1455</f>
        <v>87714981</v>
      </c>
      <c r="K1494" s="195">
        <f>+I1494+J1494</f>
        <v>87210981</v>
      </c>
    </row>
    <row r="1495" spans="1:15" ht="13.5" customHeight="1">
      <c r="A1495" s="72">
        <v>721</v>
      </c>
      <c r="B1495" s="80" t="e">
        <f>+#REF!+#REF!+#REF!+#REF!+#REF!</f>
        <v>#REF!</v>
      </c>
      <c r="C1495" s="74" t="e">
        <f>+#REF!</f>
        <v>#REF!</v>
      </c>
      <c r="D1495" s="195" t="e">
        <f>+B1495+C1495</f>
        <v>#REF!</v>
      </c>
      <c r="H1495" s="72">
        <v>722</v>
      </c>
      <c r="I1495" s="80"/>
      <c r="J1495" s="74">
        <f>+K1456</f>
        <v>0</v>
      </c>
      <c r="K1495" s="195">
        <f>+I1495+J1495</f>
        <v>0</v>
      </c>
    </row>
    <row r="1496" spans="1:15" ht="15" customHeight="1">
      <c r="A1496" s="72">
        <v>722</v>
      </c>
      <c r="B1496" s="80"/>
      <c r="C1496" s="74" t="e">
        <f>+#REF!</f>
        <v>#REF!</v>
      </c>
      <c r="D1496" s="195" t="e">
        <f>+B1496+C1496</f>
        <v>#REF!</v>
      </c>
      <c r="H1496" s="72">
        <v>723</v>
      </c>
      <c r="I1496" s="80"/>
      <c r="J1496" s="74">
        <f>+K1457</f>
        <v>333543950</v>
      </c>
      <c r="K1496" s="195">
        <f>+I1496+J1496</f>
        <v>333543950</v>
      </c>
      <c r="M1496" s="918" t="s">
        <v>1481</v>
      </c>
      <c r="N1496" s="918"/>
      <c r="O1496" s="918"/>
    </row>
    <row r="1497" spans="1:15" ht="16.5" thickBot="1">
      <c r="A1497" s="72">
        <v>723</v>
      </c>
      <c r="B1497" s="80"/>
      <c r="C1497" s="74" t="e">
        <f>+#REF!</f>
        <v>#REF!</v>
      </c>
      <c r="D1497" s="195" t="e">
        <f>+B1497+C1497</f>
        <v>#REF!</v>
      </c>
      <c r="F1497" s="174" t="s">
        <v>23</v>
      </c>
      <c r="G1497" s="175"/>
      <c r="H1497" s="164" t="s">
        <v>181</v>
      </c>
      <c r="I1497" s="165"/>
      <c r="J1497" s="74">
        <f>+K1458</f>
        <v>0</v>
      </c>
      <c r="K1497" s="196">
        <f>+I1497+J1497</f>
        <v>0</v>
      </c>
      <c r="M1497" s="52"/>
    </row>
    <row r="1498" spans="1:15" ht="16.5" thickBot="1">
      <c r="A1498" s="164" t="s">
        <v>181</v>
      </c>
      <c r="B1498" s="165"/>
      <c r="C1498" s="74" t="e">
        <f>+#REF!</f>
        <v>#REF!</v>
      </c>
      <c r="D1498" s="196" t="e">
        <f>+B1498+C1498</f>
        <v>#REF!</v>
      </c>
      <c r="F1498" s="52"/>
      <c r="H1498" s="169"/>
      <c r="I1498" s="197">
        <f>SUM(I1493:I1497)</f>
        <v>-2584000</v>
      </c>
      <c r="J1498" s="197">
        <f>SUM(J1493:J1497)</f>
        <v>469428931</v>
      </c>
      <c r="K1498" s="198">
        <f>SUM(K1493:K1497)</f>
        <v>466844931</v>
      </c>
    </row>
    <row r="1499" spans="1:15" ht="17.25" thickBot="1">
      <c r="A1499" s="169"/>
      <c r="B1499" s="170" t="e">
        <f>SUM(B1494:B1498)</f>
        <v>#REF!</v>
      </c>
      <c r="C1499" s="171" t="e">
        <f>SUM(C1494:C1498)</f>
        <v>#REF!</v>
      </c>
      <c r="D1499" s="172" t="e">
        <f>SUM(D1494:D1498)</f>
        <v>#REF!</v>
      </c>
      <c r="H1499" s="49" t="s">
        <v>88</v>
      </c>
      <c r="I1499" s="50"/>
    </row>
    <row r="1500" spans="1:15">
      <c r="H1500" s="51" t="s">
        <v>89</v>
      </c>
    </row>
    <row r="1501" spans="1:15">
      <c r="H1501" s="51" t="s">
        <v>90</v>
      </c>
    </row>
    <row r="1502" spans="1:15">
      <c r="H1502" s="51" t="s">
        <v>91</v>
      </c>
    </row>
    <row r="1503" spans="1:15">
      <c r="H1503" s="50"/>
      <c r="I1503" s="50"/>
    </row>
    <row r="1504" spans="1:15" ht="15.75">
      <c r="H1504" s="260" t="s">
        <v>928</v>
      </c>
      <c r="N1504" s="52"/>
    </row>
    <row r="1505" spans="8:15" ht="15.75">
      <c r="H1505" s="53" t="s">
        <v>1333</v>
      </c>
      <c r="N1505" s="53"/>
    </row>
    <row r="1506" spans="8:15" ht="16.5">
      <c r="H1506" s="894" t="s">
        <v>909</v>
      </c>
      <c r="I1506" s="894"/>
      <c r="J1506" s="894"/>
      <c r="K1506" s="894"/>
      <c r="L1506" s="894"/>
      <c r="M1506" s="894"/>
      <c r="N1506" s="894"/>
      <c r="O1506" s="894"/>
    </row>
    <row r="1507" spans="8:15" ht="15.75" thickBot="1"/>
    <row r="1508" spans="8:15">
      <c r="H1508" s="895" t="s">
        <v>94</v>
      </c>
      <c r="I1508" s="897" t="s">
        <v>95</v>
      </c>
      <c r="J1508" s="897" t="s">
        <v>96</v>
      </c>
      <c r="K1508" s="897" t="s">
        <v>3</v>
      </c>
      <c r="L1508" s="897" t="s">
        <v>97</v>
      </c>
      <c r="M1508" s="897" t="s">
        <v>98</v>
      </c>
      <c r="N1508" s="897" t="s">
        <v>99</v>
      </c>
      <c r="O1508" s="899"/>
    </row>
    <row r="1509" spans="8:15" ht="15.75" thickBot="1">
      <c r="H1509" s="896"/>
      <c r="I1509" s="898"/>
      <c r="J1509" s="898"/>
      <c r="K1509" s="898"/>
      <c r="L1509" s="898"/>
      <c r="M1509" s="898"/>
      <c r="N1509" s="240" t="s">
        <v>100</v>
      </c>
      <c r="O1509" s="182" t="s">
        <v>101</v>
      </c>
    </row>
    <row r="1510" spans="8:15" ht="12" customHeight="1">
      <c r="H1510" s="873" t="s">
        <v>1611</v>
      </c>
      <c r="I1510" s="875">
        <v>43096</v>
      </c>
      <c r="J1510" s="881" t="s">
        <v>28</v>
      </c>
      <c r="K1510" s="881" t="s">
        <v>1615</v>
      </c>
      <c r="L1510" s="881" t="s">
        <v>148</v>
      </c>
      <c r="M1510" s="883">
        <v>650000</v>
      </c>
      <c r="N1510" s="55">
        <v>719</v>
      </c>
      <c r="O1510" s="78">
        <v>500000</v>
      </c>
    </row>
    <row r="1511" spans="8:15" ht="13.5" customHeight="1" thickBot="1">
      <c r="H1511" s="874"/>
      <c r="I1511" s="876"/>
      <c r="J1511" s="882"/>
      <c r="K1511" s="882"/>
      <c r="L1511" s="882"/>
      <c r="M1511" s="884"/>
      <c r="N1511" s="56">
        <v>721</v>
      </c>
      <c r="O1511" s="79">
        <f>+M1510-O1510</f>
        <v>150000</v>
      </c>
    </row>
    <row r="1512" spans="8:15" ht="12" customHeight="1">
      <c r="H1512" s="881">
        <f>+H1510+1</f>
        <v>177</v>
      </c>
      <c r="I1512" s="875">
        <v>43096</v>
      </c>
      <c r="J1512" s="881" t="s">
        <v>28</v>
      </c>
      <c r="K1512" s="879" t="s">
        <v>1614</v>
      </c>
      <c r="L1512" s="881" t="s">
        <v>148</v>
      </c>
      <c r="M1512" s="883">
        <v>650000</v>
      </c>
      <c r="N1512" s="55">
        <v>719</v>
      </c>
      <c r="O1512" s="78">
        <v>500000</v>
      </c>
    </row>
    <row r="1513" spans="8:15" ht="12.75" customHeight="1" thickBot="1">
      <c r="H1513" s="882"/>
      <c r="I1513" s="876"/>
      <c r="J1513" s="882"/>
      <c r="K1513" s="880"/>
      <c r="L1513" s="882"/>
      <c r="M1513" s="884"/>
      <c r="N1513" s="56">
        <v>721</v>
      </c>
      <c r="O1513" s="79">
        <f>+M1512-O1512</f>
        <v>150000</v>
      </c>
    </row>
    <row r="1514" spans="8:15" ht="12.75" customHeight="1">
      <c r="H1514" s="881">
        <f>+H1512+1</f>
        <v>178</v>
      </c>
      <c r="I1514" s="875">
        <v>43096</v>
      </c>
      <c r="J1514" s="877" t="s">
        <v>1079</v>
      </c>
      <c r="K1514" s="881" t="s">
        <v>1613</v>
      </c>
      <c r="L1514" s="881" t="s">
        <v>148</v>
      </c>
      <c r="M1514" s="883">
        <v>650000</v>
      </c>
      <c r="N1514" s="55">
        <v>719</v>
      </c>
      <c r="O1514" s="78">
        <v>500000</v>
      </c>
    </row>
    <row r="1515" spans="8:15" ht="12.75" customHeight="1" thickBot="1">
      <c r="H1515" s="882"/>
      <c r="I1515" s="876"/>
      <c r="J1515" s="878"/>
      <c r="K1515" s="882"/>
      <c r="L1515" s="882"/>
      <c r="M1515" s="884"/>
      <c r="N1515" s="56">
        <v>721</v>
      </c>
      <c r="O1515" s="79">
        <f>+M1514-O1514</f>
        <v>150000</v>
      </c>
    </row>
    <row r="1516" spans="8:15" ht="12" customHeight="1">
      <c r="H1516" s="881">
        <f>+H1514+1</f>
        <v>179</v>
      </c>
      <c r="I1516" s="875">
        <v>43096</v>
      </c>
      <c r="J1516" s="877" t="s">
        <v>1079</v>
      </c>
      <c r="K1516" s="879" t="s">
        <v>1612</v>
      </c>
      <c r="L1516" s="881" t="s">
        <v>148</v>
      </c>
      <c r="M1516" s="883">
        <v>650000</v>
      </c>
      <c r="N1516" s="55">
        <v>719</v>
      </c>
      <c r="O1516" s="78">
        <v>500000</v>
      </c>
    </row>
    <row r="1517" spans="8:15" ht="13.5" customHeight="1" thickBot="1">
      <c r="H1517" s="882"/>
      <c r="I1517" s="876"/>
      <c r="J1517" s="878"/>
      <c r="K1517" s="880"/>
      <c r="L1517" s="882"/>
      <c r="M1517" s="884"/>
      <c r="N1517" s="56">
        <v>721</v>
      </c>
      <c r="O1517" s="79">
        <f>+M1516-O1516</f>
        <v>150000</v>
      </c>
    </row>
    <row r="1518" spans="8:15" ht="13.5" customHeight="1">
      <c r="H1518" s="881">
        <f>+H1516+1</f>
        <v>180</v>
      </c>
      <c r="I1518" s="875">
        <v>43096</v>
      </c>
      <c r="J1518" s="881" t="s">
        <v>28</v>
      </c>
      <c r="K1518" s="879" t="s">
        <v>1616</v>
      </c>
      <c r="L1518" s="881" t="s">
        <v>115</v>
      </c>
      <c r="M1518" s="883">
        <v>70000</v>
      </c>
      <c r="N1518" s="55">
        <v>719</v>
      </c>
      <c r="O1518" s="78">
        <v>70000</v>
      </c>
    </row>
    <row r="1519" spans="8:15" ht="12.75" customHeight="1" thickBot="1">
      <c r="H1519" s="882"/>
      <c r="I1519" s="876"/>
      <c r="J1519" s="882"/>
      <c r="K1519" s="880"/>
      <c r="L1519" s="882"/>
      <c r="M1519" s="884"/>
      <c r="N1519" s="56">
        <v>721</v>
      </c>
      <c r="O1519" s="79">
        <f>+M1518-O1518</f>
        <v>0</v>
      </c>
    </row>
    <row r="1520" spans="8:15" ht="15" customHeight="1">
      <c r="H1520" s="881">
        <f>+H1518+1</f>
        <v>181</v>
      </c>
      <c r="I1520" s="875">
        <v>43096</v>
      </c>
      <c r="J1520" s="877" t="s">
        <v>120</v>
      </c>
      <c r="K1520" s="879" t="s">
        <v>1616</v>
      </c>
      <c r="L1520" s="881" t="s">
        <v>115</v>
      </c>
      <c r="M1520" s="883">
        <v>250000</v>
      </c>
      <c r="N1520" s="55">
        <v>719</v>
      </c>
      <c r="O1520" s="78">
        <v>250000</v>
      </c>
    </row>
    <row r="1521" spans="8:15" ht="12.75" customHeight="1" thickBot="1">
      <c r="H1521" s="882"/>
      <c r="I1521" s="876"/>
      <c r="J1521" s="878"/>
      <c r="K1521" s="880"/>
      <c r="L1521" s="882"/>
      <c r="M1521" s="884"/>
      <c r="N1521" s="56">
        <v>721</v>
      </c>
      <c r="O1521" s="79">
        <f>+M1520-O1520</f>
        <v>0</v>
      </c>
    </row>
    <row r="1522" spans="8:15" ht="16.5" thickBot="1">
      <c r="H1522" s="901" t="s">
        <v>102</v>
      </c>
      <c r="I1522" s="902"/>
      <c r="J1522" s="902"/>
      <c r="K1522" s="902"/>
      <c r="L1522" s="903"/>
      <c r="M1522" s="81">
        <f>SUM(M1510:M1521)</f>
        <v>2920000</v>
      </c>
    </row>
    <row r="1523" spans="8:15" ht="16.5" thickBot="1">
      <c r="H1523" s="885" t="s">
        <v>103</v>
      </c>
      <c r="I1523" s="886"/>
      <c r="J1523" s="886"/>
      <c r="K1523" s="886"/>
      <c r="L1523" s="887"/>
      <c r="M1523" s="69">
        <f>+M1485</f>
        <v>466844931</v>
      </c>
      <c r="N1523" s="241" t="s">
        <v>561</v>
      </c>
      <c r="O1523" s="242">
        <f>1207+1207+235+235+162+310</f>
        <v>3356</v>
      </c>
    </row>
    <row r="1524" spans="8:15" ht="16.5" thickBot="1">
      <c r="H1524" s="888" t="s">
        <v>104</v>
      </c>
      <c r="I1524" s="889"/>
      <c r="J1524" s="889"/>
      <c r="K1524" s="889"/>
      <c r="L1524" s="890"/>
      <c r="M1524" s="183">
        <f>SUM(M1522:M1523)</f>
        <v>469764931</v>
      </c>
    </row>
    <row r="1525" spans="8:15">
      <c r="H1525" s="61"/>
      <c r="I1525" s="61"/>
      <c r="J1525" s="61"/>
      <c r="K1525" s="61"/>
      <c r="L1525" s="61"/>
    </row>
    <row r="1526" spans="8:15">
      <c r="H1526" s="51" t="s">
        <v>1617</v>
      </c>
    </row>
    <row r="1527" spans="8:15" ht="9.75" customHeight="1">
      <c r="M1527" s="139"/>
    </row>
    <row r="1528" spans="8:15">
      <c r="H1528" s="50" t="s">
        <v>105</v>
      </c>
      <c r="K1528" s="146"/>
      <c r="M1528" s="139"/>
    </row>
    <row r="1529" spans="8:15" ht="13.5" customHeight="1" thickBot="1"/>
    <row r="1530" spans="8:15" ht="15.75" thickBot="1">
      <c r="H1530" s="891" t="s">
        <v>106</v>
      </c>
      <c r="I1530" s="892"/>
      <c r="J1530" s="892"/>
      <c r="K1530" s="893"/>
      <c r="M1530" s="50" t="s">
        <v>288</v>
      </c>
    </row>
    <row r="1531" spans="8:15" ht="45.75" thickBot="1">
      <c r="H1531" s="57" t="s">
        <v>100</v>
      </c>
      <c r="I1531" s="58" t="s">
        <v>108</v>
      </c>
      <c r="J1531" s="287" t="s">
        <v>109</v>
      </c>
      <c r="K1531" s="60" t="s">
        <v>110</v>
      </c>
    </row>
    <row r="1532" spans="8:15" ht="13.5" customHeight="1">
      <c r="H1532" s="71">
        <v>719</v>
      </c>
      <c r="I1532" s="73">
        <f>+O1510+O1512+O1514+O1516+O1520</f>
        <v>2250000</v>
      </c>
      <c r="J1532" s="74">
        <f>+K1493</f>
        <v>46090000</v>
      </c>
      <c r="K1532" s="195">
        <f>+I1532+J1532</f>
        <v>48340000</v>
      </c>
    </row>
    <row r="1533" spans="8:15" ht="12.75" customHeight="1">
      <c r="H1533" s="72">
        <v>721</v>
      </c>
      <c r="I1533" s="80">
        <f>+O1521+O1517+O1515+O1513+O1511</f>
        <v>600000</v>
      </c>
      <c r="J1533" s="74">
        <f>+K1494</f>
        <v>87210981</v>
      </c>
      <c r="K1533" s="195">
        <f>+I1533+J1533</f>
        <v>87810981</v>
      </c>
    </row>
    <row r="1534" spans="8:15" ht="12.75" customHeight="1">
      <c r="H1534" s="72">
        <v>722</v>
      </c>
      <c r="I1534" s="80"/>
      <c r="J1534" s="74">
        <f>+K1495</f>
        <v>0</v>
      </c>
      <c r="K1534" s="195">
        <f>+I1534+J1534</f>
        <v>0</v>
      </c>
    </row>
    <row r="1535" spans="8:15" ht="15.75">
      <c r="H1535" s="72">
        <v>723</v>
      </c>
      <c r="I1535" s="80"/>
      <c r="J1535" s="74">
        <f>+K1496</f>
        <v>333543950</v>
      </c>
      <c r="K1535" s="195">
        <f>+I1535+J1535</f>
        <v>333543950</v>
      </c>
      <c r="M1535" s="918" t="s">
        <v>1481</v>
      </c>
      <c r="N1535" s="918"/>
      <c r="O1535" s="918"/>
    </row>
    <row r="1536" spans="8:15" ht="13.5" customHeight="1" thickBot="1">
      <c r="H1536" s="164" t="s">
        <v>181</v>
      </c>
      <c r="I1536" s="165"/>
      <c r="J1536" s="74">
        <f>+K1497</f>
        <v>0</v>
      </c>
      <c r="K1536" s="196">
        <f>+I1536+J1536</f>
        <v>0</v>
      </c>
      <c r="M1536" s="52"/>
    </row>
    <row r="1537" spans="8:15" ht="16.5" thickBot="1">
      <c r="H1537" s="169"/>
      <c r="I1537" s="197">
        <f>SUM(I1532:I1536)</f>
        <v>2850000</v>
      </c>
      <c r="J1537" s="197">
        <f>SUM(J1532:J1536)</f>
        <v>466844931</v>
      </c>
      <c r="K1537" s="198">
        <f>SUM(K1532:K1536)</f>
        <v>469694931</v>
      </c>
    </row>
    <row r="1538" spans="8:15" ht="16.5">
      <c r="H1538" s="49" t="s">
        <v>88</v>
      </c>
      <c r="I1538" s="50"/>
    </row>
    <row r="1539" spans="8:15">
      <c r="H1539" s="51" t="s">
        <v>89</v>
      </c>
    </row>
    <row r="1540" spans="8:15">
      <c r="H1540" s="51" t="s">
        <v>90</v>
      </c>
    </row>
    <row r="1541" spans="8:15">
      <c r="H1541" s="51" t="s">
        <v>91</v>
      </c>
    </row>
    <row r="1542" spans="8:15" ht="10.5" customHeight="1">
      <c r="H1542" s="50"/>
      <c r="I1542" s="50"/>
    </row>
    <row r="1543" spans="8:15" ht="15.75">
      <c r="H1543" s="260" t="s">
        <v>929</v>
      </c>
      <c r="N1543" s="52"/>
    </row>
    <row r="1544" spans="8:15" ht="15.75">
      <c r="H1544" s="53" t="s">
        <v>1333</v>
      </c>
      <c r="N1544" s="53"/>
    </row>
    <row r="1545" spans="8:15" ht="16.5">
      <c r="H1545" s="894" t="s">
        <v>909</v>
      </c>
      <c r="I1545" s="894"/>
      <c r="J1545" s="894"/>
      <c r="K1545" s="894"/>
      <c r="L1545" s="894"/>
      <c r="M1545" s="894"/>
      <c r="N1545" s="894"/>
      <c r="O1545" s="894"/>
    </row>
    <row r="1546" spans="8:15" ht="13.5" customHeight="1" thickBot="1"/>
    <row r="1547" spans="8:15">
      <c r="H1547" s="895" t="s">
        <v>94</v>
      </c>
      <c r="I1547" s="897" t="s">
        <v>95</v>
      </c>
      <c r="J1547" s="897" t="s">
        <v>96</v>
      </c>
      <c r="K1547" s="897" t="s">
        <v>3</v>
      </c>
      <c r="L1547" s="897" t="s">
        <v>97</v>
      </c>
      <c r="M1547" s="897" t="s">
        <v>98</v>
      </c>
      <c r="N1547" s="897" t="s">
        <v>99</v>
      </c>
      <c r="O1547" s="899"/>
    </row>
    <row r="1548" spans="8:15" ht="15.75" thickBot="1">
      <c r="H1548" s="896"/>
      <c r="I1548" s="898"/>
      <c r="J1548" s="898"/>
      <c r="K1548" s="898"/>
      <c r="L1548" s="898"/>
      <c r="M1548" s="898"/>
      <c r="N1548" s="240" t="s">
        <v>100</v>
      </c>
      <c r="O1548" s="182" t="s">
        <v>101</v>
      </c>
    </row>
    <row r="1549" spans="8:15" ht="15" customHeight="1">
      <c r="H1549" s="881">
        <v>182</v>
      </c>
      <c r="I1549" s="875">
        <v>43097</v>
      </c>
      <c r="J1549" s="881" t="s">
        <v>28</v>
      </c>
      <c r="K1549" s="879" t="s">
        <v>1618</v>
      </c>
      <c r="L1549" s="881" t="s">
        <v>115</v>
      </c>
      <c r="M1549" s="883">
        <v>110000</v>
      </c>
      <c r="N1549" s="55">
        <v>719</v>
      </c>
      <c r="O1549" s="78">
        <v>110000</v>
      </c>
    </row>
    <row r="1550" spans="8:15" ht="15.75" customHeight="1" thickBot="1">
      <c r="H1550" s="882"/>
      <c r="I1550" s="876"/>
      <c r="J1550" s="882"/>
      <c r="K1550" s="880"/>
      <c r="L1550" s="882"/>
      <c r="M1550" s="884"/>
      <c r="N1550" s="56">
        <v>721</v>
      </c>
      <c r="O1550" s="79"/>
    </row>
    <row r="1551" spans="8:15" ht="15" customHeight="1">
      <c r="H1551" s="881">
        <v>183</v>
      </c>
      <c r="I1551" s="875">
        <v>43097</v>
      </c>
      <c r="J1551" s="881" t="s">
        <v>120</v>
      </c>
      <c r="K1551" s="879" t="s">
        <v>1618</v>
      </c>
      <c r="L1551" s="881" t="s">
        <v>115</v>
      </c>
      <c r="M1551" s="883">
        <v>440000</v>
      </c>
      <c r="N1551" s="55">
        <v>719</v>
      </c>
      <c r="O1551" s="78">
        <v>440000</v>
      </c>
    </row>
    <row r="1552" spans="8:15" ht="15.75" customHeight="1" thickBot="1">
      <c r="H1552" s="882"/>
      <c r="I1552" s="876"/>
      <c r="J1552" s="882"/>
      <c r="K1552" s="880"/>
      <c r="L1552" s="882"/>
      <c r="M1552" s="884"/>
      <c r="N1552" s="56">
        <v>721</v>
      </c>
      <c r="O1552" s="79">
        <f>+M1551-O1551</f>
        <v>0</v>
      </c>
    </row>
    <row r="1553" spans="8:15" ht="15" customHeight="1">
      <c r="H1553" s="881">
        <v>184</v>
      </c>
      <c r="I1553" s="875">
        <v>43097</v>
      </c>
      <c r="J1553" s="877" t="s">
        <v>385</v>
      </c>
      <c r="K1553" s="879" t="s">
        <v>1619</v>
      </c>
      <c r="L1553" s="881" t="s">
        <v>148</v>
      </c>
      <c r="M1553" s="883">
        <v>4500000</v>
      </c>
      <c r="N1553" s="55">
        <v>719</v>
      </c>
      <c r="O1553" s="78"/>
    </row>
    <row r="1554" spans="8:15" ht="15.75" customHeight="1" thickBot="1">
      <c r="H1554" s="882"/>
      <c r="I1554" s="876"/>
      <c r="J1554" s="878"/>
      <c r="K1554" s="880"/>
      <c r="L1554" s="882"/>
      <c r="M1554" s="884"/>
      <c r="N1554" s="56">
        <v>721</v>
      </c>
      <c r="O1554" s="79">
        <f>+M1553-O1553</f>
        <v>4500000</v>
      </c>
    </row>
    <row r="1555" spans="8:15">
      <c r="H1555" s="881">
        <v>185</v>
      </c>
      <c r="I1555" s="875"/>
      <c r="J1555" s="877"/>
      <c r="K1555" s="879"/>
      <c r="L1555" s="881"/>
      <c r="M1555" s="883"/>
      <c r="N1555" s="55">
        <v>719</v>
      </c>
      <c r="O1555" s="78"/>
    </row>
    <row r="1556" spans="8:15" ht="15.75" thickBot="1">
      <c r="H1556" s="882"/>
      <c r="I1556" s="876"/>
      <c r="J1556" s="878"/>
      <c r="K1556" s="880"/>
      <c r="L1556" s="882"/>
      <c r="M1556" s="884"/>
      <c r="N1556" s="56">
        <v>721</v>
      </c>
      <c r="O1556" s="79">
        <f>+M1555-O1555</f>
        <v>0</v>
      </c>
    </row>
    <row r="1557" spans="8:15">
      <c r="H1557" s="881"/>
      <c r="I1557" s="875"/>
      <c r="J1557" s="877"/>
      <c r="K1557" s="881"/>
      <c r="L1557" s="881"/>
      <c r="M1557" s="883"/>
      <c r="N1557" s="55">
        <v>719</v>
      </c>
      <c r="O1557" s="78"/>
    </row>
    <row r="1558" spans="8:15" ht="15.75" thickBot="1">
      <c r="H1558" s="882"/>
      <c r="I1558" s="876"/>
      <c r="J1558" s="878"/>
      <c r="K1558" s="882"/>
      <c r="L1558" s="882"/>
      <c r="M1558" s="884"/>
      <c r="N1558" s="56">
        <v>721</v>
      </c>
      <c r="O1558" s="79">
        <f>+M1557-O1557</f>
        <v>0</v>
      </c>
    </row>
    <row r="1559" spans="8:15" ht="16.5" thickBot="1">
      <c r="H1559" s="901" t="s">
        <v>102</v>
      </c>
      <c r="I1559" s="902"/>
      <c r="J1559" s="902"/>
      <c r="K1559" s="902"/>
      <c r="L1559" s="903"/>
      <c r="M1559" s="81">
        <f>SUM(M1549:M1558)</f>
        <v>5050000</v>
      </c>
    </row>
    <row r="1560" spans="8:15" ht="16.5" thickBot="1">
      <c r="H1560" s="885" t="s">
        <v>103</v>
      </c>
      <c r="I1560" s="886"/>
      <c r="J1560" s="886"/>
      <c r="K1560" s="886"/>
      <c r="L1560" s="887"/>
      <c r="M1560" s="69">
        <f>+M1524</f>
        <v>469764931</v>
      </c>
      <c r="N1560" s="241" t="s">
        <v>561</v>
      </c>
      <c r="O1560" s="242">
        <f>246+617</f>
        <v>863</v>
      </c>
    </row>
    <row r="1561" spans="8:15" ht="16.5" thickBot="1">
      <c r="H1561" s="888" t="s">
        <v>104</v>
      </c>
      <c r="I1561" s="889"/>
      <c r="J1561" s="889"/>
      <c r="K1561" s="889"/>
      <c r="L1561" s="890"/>
      <c r="M1561" s="183">
        <f>SUM(M1559:M1560)</f>
        <v>474814931</v>
      </c>
    </row>
    <row r="1562" spans="8:15">
      <c r="H1562" s="61"/>
      <c r="I1562" s="61"/>
      <c r="J1562" s="61"/>
      <c r="K1562" s="61"/>
      <c r="L1562" s="61"/>
    </row>
    <row r="1563" spans="8:15">
      <c r="H1563" s="51" t="s">
        <v>1620</v>
      </c>
    </row>
    <row r="1564" spans="8:15">
      <c r="M1564" s="139"/>
    </row>
    <row r="1565" spans="8:15">
      <c r="H1565" s="50" t="s">
        <v>105</v>
      </c>
      <c r="K1565" s="146"/>
      <c r="M1565" s="139"/>
    </row>
    <row r="1566" spans="8:15" ht="13.5" customHeight="1" thickBot="1"/>
    <row r="1567" spans="8:15" ht="15.75" thickBot="1">
      <c r="H1567" s="891" t="s">
        <v>106</v>
      </c>
      <c r="I1567" s="892"/>
      <c r="J1567" s="892"/>
      <c r="K1567" s="893"/>
      <c r="M1567" s="50" t="s">
        <v>288</v>
      </c>
    </row>
    <row r="1568" spans="8:15" ht="45.75" thickBot="1">
      <c r="H1568" s="57" t="s">
        <v>100</v>
      </c>
      <c r="I1568" s="58" t="s">
        <v>108</v>
      </c>
      <c r="J1568" s="287" t="s">
        <v>109</v>
      </c>
      <c r="K1568" s="60" t="s">
        <v>110</v>
      </c>
    </row>
    <row r="1569" spans="8:15">
      <c r="H1569" s="71">
        <v>719</v>
      </c>
      <c r="I1569" s="73">
        <f>+O1549+O1551+O1553+O1555+O1557</f>
        <v>550000</v>
      </c>
      <c r="J1569" s="74">
        <f>+K1532</f>
        <v>48340000</v>
      </c>
      <c r="K1569" s="195">
        <f>+I1569+J1569</f>
        <v>48890000</v>
      </c>
    </row>
    <row r="1570" spans="8:15">
      <c r="H1570" s="72">
        <v>721</v>
      </c>
      <c r="I1570" s="80">
        <v>0</v>
      </c>
      <c r="J1570" s="74">
        <f>+K1533</f>
        <v>87810981</v>
      </c>
      <c r="K1570" s="195">
        <f>+I1570+J1570</f>
        <v>87810981</v>
      </c>
    </row>
    <row r="1571" spans="8:15">
      <c r="H1571" s="72">
        <v>722</v>
      </c>
      <c r="I1571" s="80"/>
      <c r="J1571" s="74">
        <f>+K1534</f>
        <v>0</v>
      </c>
      <c r="K1571" s="195">
        <f>+I1571+J1571</f>
        <v>0</v>
      </c>
    </row>
    <row r="1572" spans="8:15" ht="15.75">
      <c r="H1572" s="72">
        <v>723</v>
      </c>
      <c r="I1572" s="80">
        <f>+O1558+O1556+O1554+O1552+O1550</f>
        <v>4500000</v>
      </c>
      <c r="J1572" s="74">
        <f>+K1535</f>
        <v>333543950</v>
      </c>
      <c r="K1572" s="195">
        <f>+I1572+J1572</f>
        <v>338043950</v>
      </c>
      <c r="M1572" s="193" t="s">
        <v>289</v>
      </c>
      <c r="N1572" s="175"/>
    </row>
    <row r="1573" spans="8:15" ht="16.5" thickBot="1">
      <c r="H1573" s="164" t="s">
        <v>181</v>
      </c>
      <c r="I1573" s="165"/>
      <c r="J1573" s="74">
        <f>+K1536</f>
        <v>0</v>
      </c>
      <c r="K1573" s="196">
        <f>+I1573+J1573</f>
        <v>0</v>
      </c>
      <c r="M1573" s="52"/>
    </row>
    <row r="1574" spans="8:15" ht="16.5" thickBot="1">
      <c r="H1574" s="169"/>
      <c r="I1574" s="197">
        <f>SUM(I1569:I1573)</f>
        <v>5050000</v>
      </c>
      <c r="J1574" s="197">
        <f>SUM(J1569:J1573)</f>
        <v>469694931</v>
      </c>
      <c r="K1574" s="198">
        <f>SUM(K1569:K1573)</f>
        <v>474744931</v>
      </c>
    </row>
    <row r="1575" spans="8:15" ht="16.5">
      <c r="H1575" s="49" t="s">
        <v>88</v>
      </c>
      <c r="I1575" s="50"/>
    </row>
    <row r="1576" spans="8:15">
      <c r="H1576" s="51" t="s">
        <v>89</v>
      </c>
    </row>
    <row r="1577" spans="8:15">
      <c r="H1577" s="51" t="s">
        <v>90</v>
      </c>
    </row>
    <row r="1578" spans="8:15">
      <c r="H1578" s="51" t="s">
        <v>91</v>
      </c>
    </row>
    <row r="1579" spans="8:15" ht="12" customHeight="1">
      <c r="H1579" s="50"/>
      <c r="I1579" s="50"/>
    </row>
    <row r="1580" spans="8:15" ht="15.75">
      <c r="H1580" s="260" t="s">
        <v>944</v>
      </c>
      <c r="N1580" s="52"/>
    </row>
    <row r="1581" spans="8:15" ht="15.75">
      <c r="H1581" s="53" t="s">
        <v>535</v>
      </c>
      <c r="N1581" s="53"/>
    </row>
    <row r="1582" spans="8:15" ht="16.5">
      <c r="H1582" s="894" t="s">
        <v>909</v>
      </c>
      <c r="I1582" s="894"/>
      <c r="J1582" s="894"/>
      <c r="K1582" s="894"/>
      <c r="L1582" s="894"/>
      <c r="M1582" s="894"/>
      <c r="N1582" s="894"/>
      <c r="O1582" s="894"/>
    </row>
    <row r="1583" spans="8:15" ht="15.75" thickBot="1"/>
    <row r="1584" spans="8:15">
      <c r="H1584" s="895" t="s">
        <v>94</v>
      </c>
      <c r="I1584" s="897" t="s">
        <v>95</v>
      </c>
      <c r="J1584" s="897" t="s">
        <v>96</v>
      </c>
      <c r="K1584" s="897" t="s">
        <v>3</v>
      </c>
      <c r="L1584" s="897" t="s">
        <v>97</v>
      </c>
      <c r="M1584" s="897" t="s">
        <v>98</v>
      </c>
      <c r="N1584" s="897" t="s">
        <v>99</v>
      </c>
      <c r="O1584" s="899"/>
    </row>
    <row r="1585" spans="8:15" ht="15.75" thickBot="1">
      <c r="H1585" s="896"/>
      <c r="I1585" s="898"/>
      <c r="J1585" s="898"/>
      <c r="K1585" s="898"/>
      <c r="L1585" s="898"/>
      <c r="M1585" s="898"/>
      <c r="N1585" s="240" t="s">
        <v>100</v>
      </c>
      <c r="O1585" s="182" t="s">
        <v>101</v>
      </c>
    </row>
    <row r="1586" spans="8:15">
      <c r="H1586" s="881">
        <v>194</v>
      </c>
      <c r="I1586" s="875">
        <v>42515</v>
      </c>
      <c r="J1586" s="877" t="s">
        <v>272</v>
      </c>
      <c r="K1586" s="879" t="s">
        <v>945</v>
      </c>
      <c r="L1586" s="881" t="s">
        <v>115</v>
      </c>
      <c r="M1586" s="883">
        <v>100000</v>
      </c>
      <c r="N1586" s="55">
        <v>719</v>
      </c>
      <c r="O1586" s="78">
        <v>100000</v>
      </c>
    </row>
    <row r="1587" spans="8:15" ht="15.75" thickBot="1">
      <c r="H1587" s="882"/>
      <c r="I1587" s="876"/>
      <c r="J1587" s="878"/>
      <c r="K1587" s="880"/>
      <c r="L1587" s="882"/>
      <c r="M1587" s="884"/>
      <c r="N1587" s="56">
        <v>721</v>
      </c>
      <c r="O1587" s="79">
        <f>+M1586-O1586</f>
        <v>0</v>
      </c>
    </row>
    <row r="1588" spans="8:15" ht="15" customHeight="1">
      <c r="H1588" s="881">
        <v>195</v>
      </c>
      <c r="I1588" s="875">
        <v>42515</v>
      </c>
      <c r="J1588" s="877" t="s">
        <v>28</v>
      </c>
      <c r="K1588" s="879" t="s">
        <v>946</v>
      </c>
      <c r="L1588" s="881" t="s">
        <v>115</v>
      </c>
      <c r="M1588" s="883">
        <v>70000</v>
      </c>
      <c r="N1588" s="55">
        <v>719</v>
      </c>
      <c r="O1588" s="78">
        <v>70000</v>
      </c>
    </row>
    <row r="1589" spans="8:15" ht="15.75" customHeight="1" thickBot="1">
      <c r="H1589" s="882"/>
      <c r="I1589" s="876"/>
      <c r="J1589" s="878"/>
      <c r="K1589" s="880"/>
      <c r="L1589" s="882"/>
      <c r="M1589" s="884"/>
      <c r="N1589" s="56">
        <v>721</v>
      </c>
      <c r="O1589" s="79">
        <f>+M1588-O1588</f>
        <v>0</v>
      </c>
    </row>
    <row r="1590" spans="8:15">
      <c r="H1590" s="881"/>
      <c r="I1590" s="875"/>
      <c r="J1590" s="877"/>
      <c r="K1590" s="881"/>
      <c r="L1590" s="881"/>
      <c r="M1590" s="883"/>
      <c r="N1590" s="55">
        <v>719</v>
      </c>
      <c r="O1590" s="78"/>
    </row>
    <row r="1591" spans="8:15" ht="15.75" thickBot="1">
      <c r="H1591" s="882"/>
      <c r="I1591" s="876"/>
      <c r="J1591" s="878"/>
      <c r="K1591" s="882"/>
      <c r="L1591" s="882"/>
      <c r="M1591" s="884"/>
      <c r="N1591" s="56">
        <v>721</v>
      </c>
      <c r="O1591" s="79">
        <f>+M1590-O1590</f>
        <v>0</v>
      </c>
    </row>
    <row r="1592" spans="8:15">
      <c r="H1592" s="881"/>
      <c r="I1592" s="875"/>
      <c r="J1592" s="877"/>
      <c r="K1592" s="879"/>
      <c r="L1592" s="881"/>
      <c r="M1592" s="883"/>
      <c r="N1592" s="55">
        <v>719</v>
      </c>
      <c r="O1592" s="78"/>
    </row>
    <row r="1593" spans="8:15" ht="15.75" thickBot="1">
      <c r="H1593" s="882"/>
      <c r="I1593" s="876"/>
      <c r="J1593" s="878"/>
      <c r="K1593" s="880"/>
      <c r="L1593" s="882"/>
      <c r="M1593" s="884"/>
      <c r="N1593" s="56">
        <v>721</v>
      </c>
      <c r="O1593" s="79">
        <f>+M1592-O1592</f>
        <v>0</v>
      </c>
    </row>
    <row r="1594" spans="8:15">
      <c r="H1594" s="881"/>
      <c r="I1594" s="875"/>
      <c r="J1594" s="877"/>
      <c r="K1594" s="881"/>
      <c r="L1594" s="881"/>
      <c r="M1594" s="883"/>
      <c r="N1594" s="55">
        <v>719</v>
      </c>
      <c r="O1594" s="78"/>
    </row>
    <row r="1595" spans="8:15" ht="15.75" thickBot="1">
      <c r="H1595" s="882"/>
      <c r="I1595" s="876"/>
      <c r="J1595" s="878"/>
      <c r="K1595" s="882"/>
      <c r="L1595" s="882"/>
      <c r="M1595" s="884"/>
      <c r="N1595" s="56">
        <v>721</v>
      </c>
      <c r="O1595" s="79">
        <f>+M1594-O1594</f>
        <v>0</v>
      </c>
    </row>
    <row r="1596" spans="8:15" ht="16.5" thickBot="1">
      <c r="H1596" s="901" t="s">
        <v>102</v>
      </c>
      <c r="I1596" s="902"/>
      <c r="J1596" s="902"/>
      <c r="K1596" s="902"/>
      <c r="L1596" s="903"/>
      <c r="M1596" s="81">
        <f>SUM(M1586:M1595)</f>
        <v>170000</v>
      </c>
    </row>
    <row r="1597" spans="8:15" ht="16.5" thickBot="1">
      <c r="H1597" s="885" t="s">
        <v>103</v>
      </c>
      <c r="I1597" s="886"/>
      <c r="J1597" s="886"/>
      <c r="K1597" s="886"/>
      <c r="L1597" s="887"/>
      <c r="M1597" s="69">
        <f>+M1561</f>
        <v>474814931</v>
      </c>
      <c r="N1597" s="241" t="s">
        <v>561</v>
      </c>
      <c r="O1597" s="242">
        <f>108+281</f>
        <v>389</v>
      </c>
    </row>
    <row r="1598" spans="8:15" ht="16.5" thickBot="1">
      <c r="H1598" s="888" t="s">
        <v>104</v>
      </c>
      <c r="I1598" s="889"/>
      <c r="J1598" s="889"/>
      <c r="K1598" s="889"/>
      <c r="L1598" s="890"/>
      <c r="M1598" s="183">
        <f>SUM(M1596:M1597)</f>
        <v>474984931</v>
      </c>
    </row>
    <row r="1599" spans="8:15">
      <c r="H1599" s="61"/>
      <c r="I1599" s="61"/>
      <c r="J1599" s="61"/>
      <c r="K1599" s="61"/>
      <c r="L1599" s="61"/>
    </row>
    <row r="1600" spans="8:15">
      <c r="H1600" s="51" t="s">
        <v>947</v>
      </c>
    </row>
    <row r="1601" spans="8:14" ht="12.75" customHeight="1">
      <c r="M1601" s="139"/>
    </row>
    <row r="1602" spans="8:14">
      <c r="H1602" s="50" t="s">
        <v>105</v>
      </c>
      <c r="K1602" s="146"/>
      <c r="M1602" s="139"/>
    </row>
    <row r="1603" spans="8:14" ht="10.5" customHeight="1" thickBot="1"/>
    <row r="1604" spans="8:14" ht="15.75" thickBot="1">
      <c r="H1604" s="891" t="s">
        <v>106</v>
      </c>
      <c r="I1604" s="892"/>
      <c r="J1604" s="892"/>
      <c r="K1604" s="893"/>
      <c r="M1604" s="50" t="s">
        <v>288</v>
      </c>
    </row>
    <row r="1605" spans="8:14" ht="45.75" thickBot="1">
      <c r="H1605" s="57" t="s">
        <v>100</v>
      </c>
      <c r="I1605" s="58" t="s">
        <v>108</v>
      </c>
      <c r="J1605" s="287" t="s">
        <v>109</v>
      </c>
      <c r="K1605" s="60" t="s">
        <v>110</v>
      </c>
    </row>
    <row r="1606" spans="8:14">
      <c r="H1606" s="71">
        <v>719</v>
      </c>
      <c r="I1606" s="73">
        <f>+O1586+O1588+O1590+O1592+O1594</f>
        <v>170000</v>
      </c>
      <c r="J1606" s="74">
        <f>+K1569</f>
        <v>48890000</v>
      </c>
      <c r="K1606" s="195">
        <f>+I1606+J1606</f>
        <v>49060000</v>
      </c>
    </row>
    <row r="1607" spans="8:14">
      <c r="H1607" s="72">
        <v>721</v>
      </c>
      <c r="I1607" s="80">
        <v>0</v>
      </c>
      <c r="J1607" s="74">
        <f>+K1570</f>
        <v>87810981</v>
      </c>
      <c r="K1607" s="195">
        <f>+I1607+J1607</f>
        <v>87810981</v>
      </c>
    </row>
    <row r="1608" spans="8:14">
      <c r="H1608" s="72">
        <v>722</v>
      </c>
      <c r="I1608" s="80"/>
      <c r="J1608" s="74">
        <f>+K1571</f>
        <v>0</v>
      </c>
      <c r="K1608" s="195">
        <f>+I1608+J1608</f>
        <v>0</v>
      </c>
    </row>
    <row r="1609" spans="8:14" ht="15.75">
      <c r="H1609" s="72">
        <v>723</v>
      </c>
      <c r="I1609" s="80">
        <f>+O1595+O1593+O1591+O1589+O1587</f>
        <v>0</v>
      </c>
      <c r="J1609" s="74">
        <f>+K1572</f>
        <v>338043950</v>
      </c>
      <c r="K1609" s="195">
        <f>+I1609+J1609</f>
        <v>338043950</v>
      </c>
      <c r="M1609" s="193" t="s">
        <v>289</v>
      </c>
      <c r="N1609" s="175"/>
    </row>
    <row r="1610" spans="8:14" ht="16.5" thickBot="1">
      <c r="H1610" s="164" t="s">
        <v>181</v>
      </c>
      <c r="I1610" s="165"/>
      <c r="J1610" s="74">
        <f>+K1573</f>
        <v>0</v>
      </c>
      <c r="K1610" s="196">
        <f>+I1610+J1610</f>
        <v>0</v>
      </c>
      <c r="M1610" s="52"/>
    </row>
    <row r="1611" spans="8:14" ht="16.5" thickBot="1">
      <c r="H1611" s="169"/>
      <c r="I1611" s="197">
        <f>SUM(I1606:I1610)</f>
        <v>170000</v>
      </c>
      <c r="J1611" s="197">
        <f>SUM(J1606:J1610)</f>
        <v>474744931</v>
      </c>
      <c r="K1611" s="198">
        <f>SUM(K1606:K1610)</f>
        <v>474914931</v>
      </c>
    </row>
    <row r="1612" spans="8:14" ht="16.5">
      <c r="H1612" s="49" t="s">
        <v>88</v>
      </c>
      <c r="I1612" s="50"/>
    </row>
    <row r="1613" spans="8:14">
      <c r="H1613" s="51" t="s">
        <v>89</v>
      </c>
    </row>
    <row r="1614" spans="8:14">
      <c r="H1614" s="51" t="s">
        <v>90</v>
      </c>
    </row>
    <row r="1615" spans="8:14">
      <c r="H1615" s="51" t="s">
        <v>91</v>
      </c>
    </row>
    <row r="1616" spans="8:14" ht="12" customHeight="1">
      <c r="H1616" s="50"/>
      <c r="I1616" s="50"/>
    </row>
    <row r="1617" spans="8:15" ht="15.75">
      <c r="H1617" s="260" t="s">
        <v>948</v>
      </c>
      <c r="N1617" s="52"/>
    </row>
    <row r="1618" spans="8:15" ht="15.75">
      <c r="H1618" s="53" t="s">
        <v>535</v>
      </c>
      <c r="N1618" s="53"/>
    </row>
    <row r="1619" spans="8:15" ht="16.5">
      <c r="H1619" s="894" t="s">
        <v>909</v>
      </c>
      <c r="I1619" s="894"/>
      <c r="J1619" s="894"/>
      <c r="K1619" s="894"/>
      <c r="L1619" s="894"/>
      <c r="M1619" s="894"/>
      <c r="N1619" s="894"/>
      <c r="O1619" s="894"/>
    </row>
    <row r="1620" spans="8:15" ht="15.75" thickBot="1"/>
    <row r="1621" spans="8:15">
      <c r="H1621" s="895" t="s">
        <v>94</v>
      </c>
      <c r="I1621" s="897" t="s">
        <v>95</v>
      </c>
      <c r="J1621" s="897" t="s">
        <v>96</v>
      </c>
      <c r="K1621" s="897" t="s">
        <v>3</v>
      </c>
      <c r="L1621" s="897" t="s">
        <v>97</v>
      </c>
      <c r="M1621" s="897" t="s">
        <v>98</v>
      </c>
      <c r="N1621" s="897" t="s">
        <v>99</v>
      </c>
      <c r="O1621" s="899"/>
    </row>
    <row r="1622" spans="8:15" ht="15.75" thickBot="1">
      <c r="H1622" s="896"/>
      <c r="I1622" s="898"/>
      <c r="J1622" s="898"/>
      <c r="K1622" s="898"/>
      <c r="L1622" s="898"/>
      <c r="M1622" s="898"/>
      <c r="N1622" s="240" t="s">
        <v>100</v>
      </c>
      <c r="O1622" s="182" t="s">
        <v>101</v>
      </c>
    </row>
    <row r="1623" spans="8:15">
      <c r="H1623" s="881">
        <v>196</v>
      </c>
      <c r="I1623" s="875">
        <v>42520</v>
      </c>
      <c r="J1623" s="877" t="s">
        <v>272</v>
      </c>
      <c r="K1623" s="879" t="s">
        <v>951</v>
      </c>
      <c r="L1623" s="881" t="s">
        <v>115</v>
      </c>
      <c r="M1623" s="883">
        <v>140000</v>
      </c>
      <c r="N1623" s="55">
        <v>719</v>
      </c>
      <c r="O1623" s="78">
        <v>140000</v>
      </c>
    </row>
    <row r="1624" spans="8:15" ht="15.75" thickBot="1">
      <c r="H1624" s="882"/>
      <c r="I1624" s="876"/>
      <c r="J1624" s="878"/>
      <c r="K1624" s="880"/>
      <c r="L1624" s="882"/>
      <c r="M1624" s="884"/>
      <c r="N1624" s="56">
        <v>721</v>
      </c>
      <c r="O1624" s="79">
        <f>+M1623-O1623</f>
        <v>0</v>
      </c>
    </row>
    <row r="1625" spans="8:15">
      <c r="H1625" s="881">
        <v>197</v>
      </c>
      <c r="I1625" s="875">
        <v>42520</v>
      </c>
      <c r="J1625" s="877" t="s">
        <v>28</v>
      </c>
      <c r="K1625" s="879" t="s">
        <v>952</v>
      </c>
      <c r="L1625" s="881" t="s">
        <v>115</v>
      </c>
      <c r="M1625" s="883">
        <v>60000</v>
      </c>
      <c r="N1625" s="55">
        <v>719</v>
      </c>
      <c r="O1625" s="78">
        <v>60000</v>
      </c>
    </row>
    <row r="1626" spans="8:15" ht="15.75" thickBot="1">
      <c r="H1626" s="882"/>
      <c r="I1626" s="876"/>
      <c r="J1626" s="878"/>
      <c r="K1626" s="880"/>
      <c r="L1626" s="882"/>
      <c r="M1626" s="884"/>
      <c r="N1626" s="56">
        <v>721</v>
      </c>
      <c r="O1626" s="79">
        <f>+M1625-O1625</f>
        <v>0</v>
      </c>
    </row>
    <row r="1627" spans="8:15" ht="15" customHeight="1">
      <c r="H1627" s="881">
        <v>198</v>
      </c>
      <c r="I1627" s="875">
        <v>42520</v>
      </c>
      <c r="J1627" s="877" t="s">
        <v>120</v>
      </c>
      <c r="K1627" s="879" t="s">
        <v>953</v>
      </c>
      <c r="L1627" s="881" t="s">
        <v>115</v>
      </c>
      <c r="M1627" s="883">
        <v>60000</v>
      </c>
      <c r="N1627" s="55">
        <v>719</v>
      </c>
      <c r="O1627" s="78">
        <v>60000</v>
      </c>
    </row>
    <row r="1628" spans="8:15" ht="15.75" customHeight="1" thickBot="1">
      <c r="H1628" s="882"/>
      <c r="I1628" s="876"/>
      <c r="J1628" s="878"/>
      <c r="K1628" s="880"/>
      <c r="L1628" s="882"/>
      <c r="M1628" s="884"/>
      <c r="N1628" s="56">
        <v>721</v>
      </c>
      <c r="O1628" s="79">
        <f>+M1627-O1627</f>
        <v>0</v>
      </c>
    </row>
    <row r="1629" spans="8:15">
      <c r="H1629" s="881"/>
      <c r="I1629" s="875"/>
      <c r="J1629" s="877"/>
      <c r="K1629" s="879"/>
      <c r="L1629" s="881"/>
      <c r="M1629" s="883"/>
      <c r="N1629" s="55">
        <v>719</v>
      </c>
      <c r="O1629" s="78"/>
    </row>
    <row r="1630" spans="8:15" ht="15.75" thickBot="1">
      <c r="H1630" s="882"/>
      <c r="I1630" s="876"/>
      <c r="J1630" s="878"/>
      <c r="K1630" s="880"/>
      <c r="L1630" s="882"/>
      <c r="M1630" s="884"/>
      <c r="N1630" s="56">
        <v>721</v>
      </c>
      <c r="O1630" s="79">
        <f>+M1629-O1629</f>
        <v>0</v>
      </c>
    </row>
    <row r="1631" spans="8:15">
      <c r="H1631" s="881"/>
      <c r="I1631" s="875"/>
      <c r="J1631" s="877"/>
      <c r="K1631" s="881"/>
      <c r="L1631" s="881"/>
      <c r="M1631" s="883"/>
      <c r="N1631" s="55">
        <v>719</v>
      </c>
      <c r="O1631" s="78"/>
    </row>
    <row r="1632" spans="8:15" ht="15.75" thickBot="1">
      <c r="H1632" s="882"/>
      <c r="I1632" s="876"/>
      <c r="J1632" s="878"/>
      <c r="K1632" s="882"/>
      <c r="L1632" s="882"/>
      <c r="M1632" s="884"/>
      <c r="N1632" s="56">
        <v>721</v>
      </c>
      <c r="O1632" s="79">
        <f>+M1631-O1631</f>
        <v>0</v>
      </c>
    </row>
    <row r="1633" spans="8:15" ht="16.5" thickBot="1">
      <c r="H1633" s="901" t="s">
        <v>102</v>
      </c>
      <c r="I1633" s="902"/>
      <c r="J1633" s="902"/>
      <c r="K1633" s="902"/>
      <c r="L1633" s="903"/>
      <c r="M1633" s="81">
        <f>SUM(M1623:M1632)</f>
        <v>260000</v>
      </c>
    </row>
    <row r="1634" spans="8:15" ht="16.5" thickBot="1">
      <c r="H1634" s="885" t="s">
        <v>103</v>
      </c>
      <c r="I1634" s="886"/>
      <c r="J1634" s="886"/>
      <c r="K1634" s="886"/>
      <c r="L1634" s="887"/>
      <c r="M1634" s="69">
        <f>+M1598</f>
        <v>474984931</v>
      </c>
      <c r="N1634" s="241" t="s">
        <v>561</v>
      </c>
      <c r="O1634" s="242">
        <f>108+281</f>
        <v>389</v>
      </c>
    </row>
    <row r="1635" spans="8:15" ht="16.5" thickBot="1">
      <c r="H1635" s="888" t="s">
        <v>104</v>
      </c>
      <c r="I1635" s="889"/>
      <c r="J1635" s="889"/>
      <c r="K1635" s="889"/>
      <c r="L1635" s="890"/>
      <c r="M1635" s="183">
        <f>SUM(M1633:M1634)</f>
        <v>475244931</v>
      </c>
    </row>
    <row r="1636" spans="8:15">
      <c r="H1636" s="61"/>
      <c r="I1636" s="61"/>
      <c r="J1636" s="61"/>
      <c r="K1636" s="61"/>
      <c r="L1636" s="61"/>
    </row>
    <row r="1637" spans="8:15">
      <c r="H1637" s="51" t="s">
        <v>954</v>
      </c>
    </row>
    <row r="1638" spans="8:15" ht="12.75" customHeight="1">
      <c r="M1638" s="139"/>
    </row>
    <row r="1639" spans="8:15">
      <c r="H1639" s="50" t="s">
        <v>105</v>
      </c>
      <c r="K1639" s="146"/>
      <c r="M1639" s="139"/>
    </row>
    <row r="1640" spans="8:15" ht="11.25" customHeight="1" thickBot="1"/>
    <row r="1641" spans="8:15" ht="15.75" thickBot="1">
      <c r="H1641" s="891" t="s">
        <v>106</v>
      </c>
      <c r="I1641" s="892"/>
      <c r="J1641" s="892"/>
      <c r="K1641" s="893"/>
      <c r="M1641" s="50" t="s">
        <v>288</v>
      </c>
    </row>
    <row r="1642" spans="8:15" ht="45.75" thickBot="1">
      <c r="H1642" s="57" t="s">
        <v>100</v>
      </c>
      <c r="I1642" s="58" t="s">
        <v>108</v>
      </c>
      <c r="J1642" s="287" t="s">
        <v>109</v>
      </c>
      <c r="K1642" s="60" t="s">
        <v>110</v>
      </c>
    </row>
    <row r="1643" spans="8:15">
      <c r="H1643" s="71">
        <v>719</v>
      </c>
      <c r="I1643" s="73">
        <f>+O1623+O1625+O1627+O1629+O1631</f>
        <v>260000</v>
      </c>
      <c r="J1643" s="74">
        <f>+K1606</f>
        <v>49060000</v>
      </c>
      <c r="K1643" s="195">
        <f>+I1643+J1643</f>
        <v>49320000</v>
      </c>
    </row>
    <row r="1644" spans="8:15">
      <c r="H1644" s="72">
        <v>721</v>
      </c>
      <c r="I1644" s="80">
        <v>0</v>
      </c>
      <c r="J1644" s="74">
        <f>+K1607</f>
        <v>87810981</v>
      </c>
      <c r="K1644" s="195">
        <f>+I1644+J1644</f>
        <v>87810981</v>
      </c>
    </row>
    <row r="1645" spans="8:15">
      <c r="H1645" s="72">
        <v>722</v>
      </c>
      <c r="I1645" s="80"/>
      <c r="J1645" s="74">
        <f>+K1608</f>
        <v>0</v>
      </c>
      <c r="K1645" s="195">
        <f>+I1645+J1645</f>
        <v>0</v>
      </c>
    </row>
    <row r="1646" spans="8:15" ht="15.75">
      <c r="H1646" s="72">
        <v>723</v>
      </c>
      <c r="I1646" s="80">
        <f>+O1632+O1630+O1628+O1626+O1624</f>
        <v>0</v>
      </c>
      <c r="J1646" s="74">
        <f>+K1609</f>
        <v>338043950</v>
      </c>
      <c r="K1646" s="195">
        <f>+I1646+J1646</f>
        <v>338043950</v>
      </c>
      <c r="M1646" s="193" t="s">
        <v>289</v>
      </c>
      <c r="N1646" s="175"/>
    </row>
    <row r="1647" spans="8:15" ht="16.5" thickBot="1">
      <c r="H1647" s="164" t="s">
        <v>181</v>
      </c>
      <c r="I1647" s="165"/>
      <c r="J1647" s="74">
        <f>+K1610</f>
        <v>0</v>
      </c>
      <c r="K1647" s="196">
        <f>+I1647+J1647</f>
        <v>0</v>
      </c>
      <c r="M1647" s="52"/>
    </row>
    <row r="1648" spans="8:15" ht="16.5" thickBot="1">
      <c r="H1648" s="169"/>
      <c r="I1648" s="197">
        <f>SUM(I1643:I1647)</f>
        <v>260000</v>
      </c>
      <c r="J1648" s="197">
        <f>SUM(J1643:J1647)</f>
        <v>474914931</v>
      </c>
      <c r="K1648" s="198">
        <f>SUM(K1643:K1647)</f>
        <v>475174931</v>
      </c>
    </row>
    <row r="1649" spans="8:15" ht="16.5">
      <c r="H1649" s="49" t="s">
        <v>88</v>
      </c>
      <c r="I1649" s="50"/>
    </row>
    <row r="1650" spans="8:15">
      <c r="H1650" s="51" t="s">
        <v>89</v>
      </c>
    </row>
    <row r="1651" spans="8:15">
      <c r="H1651" s="51" t="s">
        <v>90</v>
      </c>
    </row>
    <row r="1652" spans="8:15">
      <c r="H1652" s="51" t="s">
        <v>91</v>
      </c>
    </row>
    <row r="1653" spans="8:15" ht="12" customHeight="1">
      <c r="H1653" s="50"/>
      <c r="I1653" s="50"/>
    </row>
    <row r="1654" spans="8:15" ht="15.75">
      <c r="H1654" s="260" t="s">
        <v>949</v>
      </c>
      <c r="N1654" s="52"/>
    </row>
    <row r="1655" spans="8:15" ht="15.75">
      <c r="H1655" s="53" t="s">
        <v>535</v>
      </c>
      <c r="N1655" s="53"/>
    </row>
    <row r="1656" spans="8:15" ht="16.5">
      <c r="H1656" s="894" t="s">
        <v>909</v>
      </c>
      <c r="I1656" s="894"/>
      <c r="J1656" s="894"/>
      <c r="K1656" s="894"/>
      <c r="L1656" s="894"/>
      <c r="M1656" s="894"/>
      <c r="N1656" s="894"/>
      <c r="O1656" s="894"/>
    </row>
    <row r="1657" spans="8:15" ht="15.75" thickBot="1"/>
    <row r="1658" spans="8:15">
      <c r="H1658" s="895" t="s">
        <v>94</v>
      </c>
      <c r="I1658" s="897" t="s">
        <v>95</v>
      </c>
      <c r="J1658" s="897" t="s">
        <v>96</v>
      </c>
      <c r="K1658" s="897" t="s">
        <v>3</v>
      </c>
      <c r="L1658" s="897" t="s">
        <v>97</v>
      </c>
      <c r="M1658" s="897" t="s">
        <v>98</v>
      </c>
      <c r="N1658" s="897" t="s">
        <v>99</v>
      </c>
      <c r="O1658" s="899"/>
    </row>
    <row r="1659" spans="8:15" ht="15.75" thickBot="1">
      <c r="H1659" s="896"/>
      <c r="I1659" s="898"/>
      <c r="J1659" s="898"/>
      <c r="K1659" s="898"/>
      <c r="L1659" s="898"/>
      <c r="M1659" s="898"/>
      <c r="N1659" s="240" t="s">
        <v>100</v>
      </c>
      <c r="O1659" s="182" t="s">
        <v>101</v>
      </c>
    </row>
    <row r="1660" spans="8:15" ht="15" customHeight="1">
      <c r="H1660" s="881">
        <v>199</v>
      </c>
      <c r="I1660" s="875">
        <v>42520</v>
      </c>
      <c r="J1660" s="877" t="s">
        <v>267</v>
      </c>
      <c r="K1660" s="879" t="s">
        <v>955</v>
      </c>
      <c r="L1660" s="881" t="s">
        <v>148</v>
      </c>
      <c r="M1660" s="883">
        <v>42000</v>
      </c>
      <c r="N1660" s="55">
        <v>719</v>
      </c>
      <c r="O1660" s="78">
        <v>30000</v>
      </c>
    </row>
    <row r="1661" spans="8:15" ht="15.75" customHeight="1" thickBot="1">
      <c r="H1661" s="882"/>
      <c r="I1661" s="876"/>
      <c r="J1661" s="878"/>
      <c r="K1661" s="880"/>
      <c r="L1661" s="882"/>
      <c r="M1661" s="884"/>
      <c r="N1661" s="56">
        <v>721</v>
      </c>
      <c r="O1661" s="79">
        <f>+M1660-O1660</f>
        <v>12000</v>
      </c>
    </row>
    <row r="1662" spans="8:15" ht="15" customHeight="1">
      <c r="H1662" s="881">
        <v>200</v>
      </c>
      <c r="I1662" s="875">
        <v>42520</v>
      </c>
      <c r="J1662" s="877" t="s">
        <v>28</v>
      </c>
      <c r="K1662" s="879" t="s">
        <v>956</v>
      </c>
      <c r="L1662" s="881" t="s">
        <v>148</v>
      </c>
      <c r="M1662" s="883">
        <v>224000</v>
      </c>
      <c r="N1662" s="55">
        <v>719</v>
      </c>
      <c r="O1662" s="78">
        <v>160000</v>
      </c>
    </row>
    <row r="1663" spans="8:15" ht="15.75" customHeight="1" thickBot="1">
      <c r="H1663" s="882"/>
      <c r="I1663" s="876"/>
      <c r="J1663" s="878"/>
      <c r="K1663" s="880"/>
      <c r="L1663" s="882"/>
      <c r="M1663" s="884"/>
      <c r="N1663" s="56">
        <v>721</v>
      </c>
      <c r="O1663" s="79">
        <f>+M1662-O1662</f>
        <v>64000</v>
      </c>
    </row>
    <row r="1664" spans="8:15" ht="15" customHeight="1">
      <c r="H1664" s="881">
        <v>201</v>
      </c>
      <c r="I1664" s="875">
        <v>42520</v>
      </c>
      <c r="J1664" s="877" t="s">
        <v>111</v>
      </c>
      <c r="K1664" s="879" t="s">
        <v>957</v>
      </c>
      <c r="L1664" s="881" t="s">
        <v>148</v>
      </c>
      <c r="M1664" s="883">
        <v>56000</v>
      </c>
      <c r="N1664" s="55">
        <v>719</v>
      </c>
      <c r="O1664" s="78">
        <v>40000</v>
      </c>
    </row>
    <row r="1665" spans="8:15" ht="15.75" customHeight="1" thickBot="1">
      <c r="H1665" s="882"/>
      <c r="I1665" s="876"/>
      <c r="J1665" s="878"/>
      <c r="K1665" s="880"/>
      <c r="L1665" s="882"/>
      <c r="M1665" s="884"/>
      <c r="N1665" s="56">
        <v>721</v>
      </c>
      <c r="O1665" s="79">
        <f>+M1664-O1664</f>
        <v>16000</v>
      </c>
    </row>
    <row r="1666" spans="8:15" ht="15" customHeight="1">
      <c r="H1666" s="881">
        <v>202</v>
      </c>
      <c r="I1666" s="875">
        <v>42520</v>
      </c>
      <c r="J1666" s="877" t="s">
        <v>272</v>
      </c>
      <c r="K1666" s="879" t="s">
        <v>956</v>
      </c>
      <c r="L1666" s="881" t="s">
        <v>148</v>
      </c>
      <c r="M1666" s="883">
        <v>546000</v>
      </c>
      <c r="N1666" s="55">
        <v>719</v>
      </c>
      <c r="O1666" s="78">
        <v>390000</v>
      </c>
    </row>
    <row r="1667" spans="8:15" ht="15.75" customHeight="1" thickBot="1">
      <c r="H1667" s="882"/>
      <c r="I1667" s="876"/>
      <c r="J1667" s="878"/>
      <c r="K1667" s="880"/>
      <c r="L1667" s="882"/>
      <c r="M1667" s="884"/>
      <c r="N1667" s="56">
        <v>721</v>
      </c>
      <c r="O1667" s="79">
        <f>+M1666-O1666</f>
        <v>156000</v>
      </c>
    </row>
    <row r="1668" spans="8:15">
      <c r="H1668" s="881"/>
      <c r="I1668" s="875"/>
      <c r="J1668" s="877"/>
      <c r="K1668" s="881"/>
      <c r="L1668" s="881"/>
      <c r="M1668" s="883"/>
      <c r="N1668" s="55">
        <v>719</v>
      </c>
      <c r="O1668" s="78"/>
    </row>
    <row r="1669" spans="8:15" ht="15.75" thickBot="1">
      <c r="H1669" s="882"/>
      <c r="I1669" s="876"/>
      <c r="J1669" s="878"/>
      <c r="K1669" s="882"/>
      <c r="L1669" s="882"/>
      <c r="M1669" s="884"/>
      <c r="N1669" s="56">
        <v>721</v>
      </c>
      <c r="O1669" s="79">
        <f>+M1668-O1668</f>
        <v>0</v>
      </c>
    </row>
    <row r="1670" spans="8:15" ht="16.5" thickBot="1">
      <c r="H1670" s="901" t="s">
        <v>102</v>
      </c>
      <c r="I1670" s="902"/>
      <c r="J1670" s="902"/>
      <c r="K1670" s="902"/>
      <c r="L1670" s="903"/>
      <c r="M1670" s="81">
        <f>SUM(M1660:M1669)</f>
        <v>868000</v>
      </c>
    </row>
    <row r="1671" spans="8:15" ht="16.5" thickBot="1">
      <c r="H1671" s="885" t="s">
        <v>103</v>
      </c>
      <c r="I1671" s="886"/>
      <c r="J1671" s="886"/>
      <c r="K1671" s="886"/>
      <c r="L1671" s="887"/>
      <c r="M1671" s="69">
        <f>+M1635</f>
        <v>475244931</v>
      </c>
      <c r="N1671" s="241" t="s">
        <v>561</v>
      </c>
      <c r="O1671" s="242">
        <f>941+20+470+17</f>
        <v>1448</v>
      </c>
    </row>
    <row r="1672" spans="8:15" ht="16.5" thickBot="1">
      <c r="H1672" s="888" t="s">
        <v>104</v>
      </c>
      <c r="I1672" s="889"/>
      <c r="J1672" s="889"/>
      <c r="K1672" s="889"/>
      <c r="L1672" s="890"/>
      <c r="M1672" s="183">
        <f>SUM(M1670:M1671)</f>
        <v>476112931</v>
      </c>
    </row>
    <row r="1673" spans="8:15">
      <c r="H1673" s="61"/>
      <c r="I1673" s="61"/>
      <c r="J1673" s="61"/>
      <c r="K1673" s="61"/>
      <c r="L1673" s="61"/>
    </row>
    <row r="1674" spans="8:15">
      <c r="H1674" s="51" t="s">
        <v>962</v>
      </c>
    </row>
    <row r="1675" spans="8:15" ht="11.25" customHeight="1">
      <c r="M1675" s="139"/>
    </row>
    <row r="1676" spans="8:15">
      <c r="H1676" s="50" t="s">
        <v>105</v>
      </c>
      <c r="K1676" s="146"/>
      <c r="M1676" s="139"/>
    </row>
    <row r="1677" spans="8:15" ht="13.5" customHeight="1" thickBot="1"/>
    <row r="1678" spans="8:15" ht="15.75" thickBot="1">
      <c r="H1678" s="891" t="s">
        <v>106</v>
      </c>
      <c r="I1678" s="892"/>
      <c r="J1678" s="892"/>
      <c r="K1678" s="893"/>
      <c r="M1678" s="50" t="s">
        <v>288</v>
      </c>
    </row>
    <row r="1679" spans="8:15" ht="45.75" thickBot="1">
      <c r="H1679" s="57" t="s">
        <v>100</v>
      </c>
      <c r="I1679" s="58" t="s">
        <v>108</v>
      </c>
      <c r="J1679" s="287" t="s">
        <v>109</v>
      </c>
      <c r="K1679" s="60" t="s">
        <v>110</v>
      </c>
    </row>
    <row r="1680" spans="8:15">
      <c r="H1680" s="71">
        <v>719</v>
      </c>
      <c r="I1680" s="73">
        <f>+O1660+O1662+O1664+O1666+O1668</f>
        <v>620000</v>
      </c>
      <c r="J1680" s="74">
        <f>+K1643</f>
        <v>49320000</v>
      </c>
      <c r="K1680" s="195">
        <f>+I1680+J1680</f>
        <v>49940000</v>
      </c>
    </row>
    <row r="1681" spans="8:15">
      <c r="H1681" s="72">
        <v>721</v>
      </c>
      <c r="I1681" s="80">
        <f>+O1661+O1663+O1665+O1667</f>
        <v>248000</v>
      </c>
      <c r="J1681" s="74">
        <f>+K1644</f>
        <v>87810981</v>
      </c>
      <c r="K1681" s="195">
        <f>+I1681+J1681</f>
        <v>88058981</v>
      </c>
    </row>
    <row r="1682" spans="8:15">
      <c r="H1682" s="72">
        <v>722</v>
      </c>
      <c r="I1682" s="80"/>
      <c r="J1682" s="74">
        <f>+K1645</f>
        <v>0</v>
      </c>
      <c r="K1682" s="195">
        <f>+I1682+J1682</f>
        <v>0</v>
      </c>
    </row>
    <row r="1683" spans="8:15" ht="15.75">
      <c r="H1683" s="72">
        <v>723</v>
      </c>
      <c r="I1683" s="80"/>
      <c r="J1683" s="74">
        <f>+K1646</f>
        <v>338043950</v>
      </c>
      <c r="K1683" s="195">
        <f>+I1683+J1683</f>
        <v>338043950</v>
      </c>
      <c r="M1683" s="193" t="s">
        <v>289</v>
      </c>
      <c r="N1683" s="175"/>
    </row>
    <row r="1684" spans="8:15" ht="16.5" thickBot="1">
      <c r="H1684" s="164" t="s">
        <v>181</v>
      </c>
      <c r="I1684" s="165"/>
      <c r="J1684" s="74">
        <f>+K1647</f>
        <v>0</v>
      </c>
      <c r="K1684" s="196">
        <f>+I1684+J1684</f>
        <v>0</v>
      </c>
      <c r="M1684" s="52"/>
    </row>
    <row r="1685" spans="8:15" ht="16.5" thickBot="1">
      <c r="H1685" s="169"/>
      <c r="I1685" s="197">
        <f>SUM(I1680:I1684)</f>
        <v>868000</v>
      </c>
      <c r="J1685" s="197">
        <f>SUM(J1680:J1684)</f>
        <v>475174931</v>
      </c>
      <c r="K1685" s="198">
        <f>SUM(K1680:K1684)</f>
        <v>476042931</v>
      </c>
    </row>
    <row r="1686" spans="8:15" ht="16.5">
      <c r="H1686" s="49" t="s">
        <v>88</v>
      </c>
      <c r="I1686" s="50"/>
    </row>
    <row r="1687" spans="8:15">
      <c r="H1687" s="51" t="s">
        <v>89</v>
      </c>
    </row>
    <row r="1688" spans="8:15">
      <c r="H1688" s="51" t="s">
        <v>90</v>
      </c>
    </row>
    <row r="1689" spans="8:15">
      <c r="H1689" s="51" t="s">
        <v>91</v>
      </c>
    </row>
    <row r="1690" spans="8:15" ht="12.75" customHeight="1">
      <c r="H1690" s="50"/>
      <c r="I1690" s="50"/>
    </row>
    <row r="1691" spans="8:15" ht="15.75">
      <c r="H1691" s="260" t="s">
        <v>950</v>
      </c>
      <c r="N1691" s="52"/>
    </row>
    <row r="1692" spans="8:15" ht="15.75">
      <c r="H1692" s="53" t="s">
        <v>535</v>
      </c>
      <c r="N1692" s="53"/>
    </row>
    <row r="1693" spans="8:15" ht="16.5">
      <c r="H1693" s="894" t="s">
        <v>909</v>
      </c>
      <c r="I1693" s="894"/>
      <c r="J1693" s="894"/>
      <c r="K1693" s="894"/>
      <c r="L1693" s="894"/>
      <c r="M1693" s="894"/>
      <c r="N1693" s="894"/>
      <c r="O1693" s="894"/>
    </row>
    <row r="1694" spans="8:15" ht="15.75" thickBot="1"/>
    <row r="1695" spans="8:15">
      <c r="H1695" s="895" t="s">
        <v>94</v>
      </c>
      <c r="I1695" s="897" t="s">
        <v>95</v>
      </c>
      <c r="J1695" s="897" t="s">
        <v>96</v>
      </c>
      <c r="K1695" s="897" t="s">
        <v>3</v>
      </c>
      <c r="L1695" s="897" t="s">
        <v>97</v>
      </c>
      <c r="M1695" s="897" t="s">
        <v>98</v>
      </c>
      <c r="N1695" s="897" t="s">
        <v>99</v>
      </c>
      <c r="O1695" s="899"/>
    </row>
    <row r="1696" spans="8:15" ht="15.75" thickBot="1">
      <c r="H1696" s="896"/>
      <c r="I1696" s="898"/>
      <c r="J1696" s="898"/>
      <c r="K1696" s="898"/>
      <c r="L1696" s="898"/>
      <c r="M1696" s="898"/>
      <c r="N1696" s="240" t="s">
        <v>100</v>
      </c>
      <c r="O1696" s="182" t="s">
        <v>101</v>
      </c>
    </row>
    <row r="1697" spans="8:15" ht="15" customHeight="1">
      <c r="H1697" s="881">
        <v>203</v>
      </c>
      <c r="I1697" s="875">
        <v>42520</v>
      </c>
      <c r="J1697" s="877" t="s">
        <v>267</v>
      </c>
      <c r="K1697" s="879" t="s">
        <v>958</v>
      </c>
      <c r="L1697" s="881" t="s">
        <v>148</v>
      </c>
      <c r="M1697" s="883">
        <v>28000</v>
      </c>
      <c r="N1697" s="55">
        <v>719</v>
      </c>
      <c r="O1697" s="78">
        <v>20000</v>
      </c>
    </row>
    <row r="1698" spans="8:15" ht="15.75" customHeight="1" thickBot="1">
      <c r="H1698" s="882"/>
      <c r="I1698" s="876"/>
      <c r="J1698" s="878"/>
      <c r="K1698" s="880"/>
      <c r="L1698" s="882"/>
      <c r="M1698" s="884"/>
      <c r="N1698" s="56">
        <v>721</v>
      </c>
      <c r="O1698" s="79">
        <f>+M1697-O1697</f>
        <v>8000</v>
      </c>
    </row>
    <row r="1699" spans="8:15" ht="15" customHeight="1">
      <c r="H1699" s="881">
        <v>204</v>
      </c>
      <c r="I1699" s="875">
        <v>42520</v>
      </c>
      <c r="J1699" s="877" t="s">
        <v>28</v>
      </c>
      <c r="K1699" s="879" t="s">
        <v>959</v>
      </c>
      <c r="L1699" s="881" t="s">
        <v>148</v>
      </c>
      <c r="M1699" s="883">
        <v>238000</v>
      </c>
      <c r="N1699" s="55">
        <v>719</v>
      </c>
      <c r="O1699" s="78">
        <v>170000</v>
      </c>
    </row>
    <row r="1700" spans="8:15" ht="15.75" customHeight="1" thickBot="1">
      <c r="H1700" s="882"/>
      <c r="I1700" s="876"/>
      <c r="J1700" s="878"/>
      <c r="K1700" s="880"/>
      <c r="L1700" s="882"/>
      <c r="M1700" s="884"/>
      <c r="N1700" s="56">
        <v>721</v>
      </c>
      <c r="O1700" s="79">
        <f>+M1699-O1699</f>
        <v>68000</v>
      </c>
    </row>
    <row r="1701" spans="8:15" ht="15" customHeight="1">
      <c r="H1701" s="881">
        <v>205</v>
      </c>
      <c r="I1701" s="875">
        <v>42520</v>
      </c>
      <c r="J1701" s="877" t="s">
        <v>111</v>
      </c>
      <c r="K1701" s="879" t="s">
        <v>960</v>
      </c>
      <c r="L1701" s="881" t="s">
        <v>148</v>
      </c>
      <c r="M1701" s="883">
        <v>84000</v>
      </c>
      <c r="N1701" s="55">
        <v>719</v>
      </c>
      <c r="O1701" s="78">
        <v>60000</v>
      </c>
    </row>
    <row r="1702" spans="8:15" ht="15.75" customHeight="1" thickBot="1">
      <c r="H1702" s="882"/>
      <c r="I1702" s="876"/>
      <c r="J1702" s="878"/>
      <c r="K1702" s="880"/>
      <c r="L1702" s="882"/>
      <c r="M1702" s="884"/>
      <c r="N1702" s="56">
        <v>721</v>
      </c>
      <c r="O1702" s="79">
        <f>+M1701-O1701</f>
        <v>24000</v>
      </c>
    </row>
    <row r="1703" spans="8:15" ht="15" customHeight="1">
      <c r="H1703" s="881">
        <v>206</v>
      </c>
      <c r="I1703" s="875">
        <v>42520</v>
      </c>
      <c r="J1703" s="877" t="s">
        <v>272</v>
      </c>
      <c r="K1703" s="879" t="s">
        <v>959</v>
      </c>
      <c r="L1703" s="881" t="s">
        <v>148</v>
      </c>
      <c r="M1703" s="883">
        <v>504000</v>
      </c>
      <c r="N1703" s="55">
        <v>719</v>
      </c>
      <c r="O1703" s="78">
        <v>360000</v>
      </c>
    </row>
    <row r="1704" spans="8:15" ht="15.75" customHeight="1" thickBot="1">
      <c r="H1704" s="882"/>
      <c r="I1704" s="876"/>
      <c r="J1704" s="878"/>
      <c r="K1704" s="880"/>
      <c r="L1704" s="882"/>
      <c r="M1704" s="884"/>
      <c r="N1704" s="56">
        <v>721</v>
      </c>
      <c r="O1704" s="79">
        <f>+M1703-O1703</f>
        <v>144000</v>
      </c>
    </row>
    <row r="1705" spans="8:15">
      <c r="H1705" s="881"/>
      <c r="I1705" s="875"/>
      <c r="J1705" s="877"/>
      <c r="K1705" s="881"/>
      <c r="L1705" s="881"/>
      <c r="M1705" s="883"/>
      <c r="N1705" s="55">
        <v>719</v>
      </c>
      <c r="O1705" s="78"/>
    </row>
    <row r="1706" spans="8:15" ht="15.75" thickBot="1">
      <c r="H1706" s="882"/>
      <c r="I1706" s="876"/>
      <c r="J1706" s="878"/>
      <c r="K1706" s="882"/>
      <c r="L1706" s="882"/>
      <c r="M1706" s="884"/>
      <c r="N1706" s="56">
        <v>721</v>
      </c>
      <c r="O1706" s="79">
        <f>+M1705-O1705</f>
        <v>0</v>
      </c>
    </row>
    <row r="1707" spans="8:15" ht="16.5" thickBot="1">
      <c r="H1707" s="901" t="s">
        <v>102</v>
      </c>
      <c r="I1707" s="902"/>
      <c r="J1707" s="902"/>
      <c r="K1707" s="902"/>
      <c r="L1707" s="903"/>
      <c r="M1707" s="81">
        <f>SUM(M1697:M1706)</f>
        <v>854000</v>
      </c>
    </row>
    <row r="1708" spans="8:15" ht="16.5" thickBot="1">
      <c r="H1708" s="885" t="s">
        <v>103</v>
      </c>
      <c r="I1708" s="886"/>
      <c r="J1708" s="886"/>
      <c r="K1708" s="886"/>
      <c r="L1708" s="887"/>
      <c r="M1708" s="69">
        <f>+M1672</f>
        <v>476112931</v>
      </c>
      <c r="N1708" s="241" t="s">
        <v>561</v>
      </c>
      <c r="O1708" s="242">
        <f>746+26+428+20</f>
        <v>1220</v>
      </c>
    </row>
    <row r="1709" spans="8:15" ht="16.5" thickBot="1">
      <c r="H1709" s="888" t="s">
        <v>104</v>
      </c>
      <c r="I1709" s="889"/>
      <c r="J1709" s="889"/>
      <c r="K1709" s="889"/>
      <c r="L1709" s="890"/>
      <c r="M1709" s="183">
        <f>SUM(M1707:M1708)</f>
        <v>476966931</v>
      </c>
    </row>
    <row r="1710" spans="8:15">
      <c r="H1710" s="61"/>
      <c r="I1710" s="61"/>
      <c r="J1710" s="61"/>
      <c r="K1710" s="61"/>
      <c r="L1710" s="61"/>
    </row>
    <row r="1711" spans="8:15">
      <c r="H1711" s="51" t="s">
        <v>961</v>
      </c>
    </row>
    <row r="1712" spans="8:15" ht="12" customHeight="1">
      <c r="M1712" s="139"/>
    </row>
    <row r="1713" spans="8:14">
      <c r="H1713" s="50" t="s">
        <v>105</v>
      </c>
      <c r="K1713" s="146"/>
      <c r="M1713" s="139"/>
    </row>
    <row r="1714" spans="8:14" ht="11.25" customHeight="1" thickBot="1"/>
    <row r="1715" spans="8:14" ht="15.75" thickBot="1">
      <c r="H1715" s="891" t="s">
        <v>106</v>
      </c>
      <c r="I1715" s="892"/>
      <c r="J1715" s="892"/>
      <c r="K1715" s="893"/>
      <c r="M1715" s="50" t="s">
        <v>288</v>
      </c>
    </row>
    <row r="1716" spans="8:14" ht="45.75" thickBot="1">
      <c r="H1716" s="57" t="s">
        <v>100</v>
      </c>
      <c r="I1716" s="58" t="s">
        <v>108</v>
      </c>
      <c r="J1716" s="287" t="s">
        <v>109</v>
      </c>
      <c r="K1716" s="60" t="s">
        <v>110</v>
      </c>
    </row>
    <row r="1717" spans="8:14">
      <c r="H1717" s="71">
        <v>719</v>
      </c>
      <c r="I1717" s="73">
        <f>+O1697+O1699+O1701+O1703+O1705</f>
        <v>610000</v>
      </c>
      <c r="J1717" s="74">
        <f>+K1680</f>
        <v>49940000</v>
      </c>
      <c r="K1717" s="195">
        <f>+I1717+J1717</f>
        <v>50550000</v>
      </c>
    </row>
    <row r="1718" spans="8:14">
      <c r="H1718" s="72">
        <v>721</v>
      </c>
      <c r="I1718" s="80">
        <f>+O1698+O1700+O1702+O1704</f>
        <v>244000</v>
      </c>
      <c r="J1718" s="74">
        <f>+K1681</f>
        <v>88058981</v>
      </c>
      <c r="K1718" s="195">
        <f>+I1718+J1718</f>
        <v>88302981</v>
      </c>
    </row>
    <row r="1719" spans="8:14">
      <c r="H1719" s="72">
        <v>722</v>
      </c>
      <c r="I1719" s="80"/>
      <c r="J1719" s="74">
        <f>+K1682</f>
        <v>0</v>
      </c>
      <c r="K1719" s="195">
        <f>+I1719+J1719</f>
        <v>0</v>
      </c>
    </row>
    <row r="1720" spans="8:14" ht="15.75">
      <c r="H1720" s="72">
        <v>723</v>
      </c>
      <c r="I1720" s="80"/>
      <c r="J1720" s="74">
        <f>+K1683</f>
        <v>338043950</v>
      </c>
      <c r="K1720" s="195">
        <f>+I1720+J1720</f>
        <v>338043950</v>
      </c>
      <c r="M1720" s="193" t="s">
        <v>289</v>
      </c>
      <c r="N1720" s="175"/>
    </row>
    <row r="1721" spans="8:14" ht="16.5" thickBot="1">
      <c r="H1721" s="164" t="s">
        <v>181</v>
      </c>
      <c r="I1721" s="165"/>
      <c r="J1721" s="74">
        <f>+K1684</f>
        <v>0</v>
      </c>
      <c r="K1721" s="196">
        <f>+I1721+J1721</f>
        <v>0</v>
      </c>
      <c r="M1721" s="52"/>
    </row>
    <row r="1722" spans="8:14" ht="16.5" thickBot="1">
      <c r="H1722" s="169"/>
      <c r="I1722" s="197">
        <f>SUM(I1717:I1721)</f>
        <v>854000</v>
      </c>
      <c r="J1722" s="197">
        <f>SUM(J1717:J1721)</f>
        <v>476042931</v>
      </c>
      <c r="K1722" s="198">
        <f>SUM(K1717:K1721)</f>
        <v>476896931</v>
      </c>
    </row>
    <row r="1723" spans="8:14" ht="16.5">
      <c r="H1723" s="49" t="s">
        <v>88</v>
      </c>
      <c r="I1723" s="50"/>
    </row>
    <row r="1724" spans="8:14">
      <c r="H1724" s="51" t="s">
        <v>89</v>
      </c>
    </row>
    <row r="1725" spans="8:14">
      <c r="H1725" s="51" t="s">
        <v>90</v>
      </c>
    </row>
    <row r="1726" spans="8:14">
      <c r="H1726" s="51" t="s">
        <v>91</v>
      </c>
    </row>
    <row r="1727" spans="8:14" ht="12.75" customHeight="1">
      <c r="H1727" s="50"/>
      <c r="I1727" s="50"/>
    </row>
    <row r="1728" spans="8:14" ht="15.75">
      <c r="H1728" s="260" t="s">
        <v>976</v>
      </c>
      <c r="N1728" s="52"/>
    </row>
    <row r="1729" spans="8:15" ht="15.75">
      <c r="H1729" s="53" t="s">
        <v>535</v>
      </c>
      <c r="N1729" s="53"/>
    </row>
    <row r="1730" spans="8:15" ht="16.5">
      <c r="H1730" s="894" t="s">
        <v>967</v>
      </c>
      <c r="I1730" s="894"/>
      <c r="J1730" s="894"/>
      <c r="K1730" s="894"/>
      <c r="L1730" s="894"/>
      <c r="M1730" s="894"/>
      <c r="N1730" s="894"/>
      <c r="O1730" s="894"/>
    </row>
    <row r="1731" spans="8:15" ht="15.75" thickBot="1"/>
    <row r="1732" spans="8:15">
      <c r="H1732" s="916" t="s">
        <v>968</v>
      </c>
      <c r="I1732" s="912" t="s">
        <v>95</v>
      </c>
      <c r="J1732" s="912" t="s">
        <v>96</v>
      </c>
      <c r="K1732" s="912" t="s">
        <v>3</v>
      </c>
      <c r="L1732" s="912" t="s">
        <v>97</v>
      </c>
      <c r="M1732" s="912" t="s">
        <v>98</v>
      </c>
      <c r="N1732" s="914" t="s">
        <v>99</v>
      </c>
      <c r="O1732" s="915"/>
    </row>
    <row r="1733" spans="8:15" ht="15.75" thickBot="1">
      <c r="H1733" s="917"/>
      <c r="I1733" s="913"/>
      <c r="J1733" s="913"/>
      <c r="K1733" s="913"/>
      <c r="L1733" s="913"/>
      <c r="M1733" s="913"/>
      <c r="N1733" s="240" t="s">
        <v>100</v>
      </c>
      <c r="O1733" s="182" t="s">
        <v>101</v>
      </c>
    </row>
    <row r="1734" spans="8:15" ht="12" customHeight="1">
      <c r="H1734" s="873" t="s">
        <v>545</v>
      </c>
      <c r="I1734" s="875">
        <v>42520</v>
      </c>
      <c r="J1734" s="910" t="s">
        <v>695</v>
      </c>
      <c r="K1734" s="879" t="s">
        <v>556</v>
      </c>
      <c r="L1734" s="881" t="s">
        <v>148</v>
      </c>
      <c r="M1734" s="883"/>
      <c r="N1734" s="55">
        <v>719</v>
      </c>
      <c r="O1734" s="78"/>
    </row>
    <row r="1735" spans="8:15" ht="12.75" customHeight="1" thickBot="1">
      <c r="H1735" s="874"/>
      <c r="I1735" s="876"/>
      <c r="J1735" s="911"/>
      <c r="K1735" s="880"/>
      <c r="L1735" s="882"/>
      <c r="M1735" s="884"/>
      <c r="N1735" s="56">
        <v>723</v>
      </c>
      <c r="O1735" s="79">
        <f>+M1734-O1734</f>
        <v>0</v>
      </c>
    </row>
    <row r="1736" spans="8:15" ht="12.75" customHeight="1">
      <c r="H1736" s="873" t="s">
        <v>547</v>
      </c>
      <c r="I1736" s="875">
        <v>42520</v>
      </c>
      <c r="J1736" s="910" t="s">
        <v>695</v>
      </c>
      <c r="K1736" s="879" t="s">
        <v>556</v>
      </c>
      <c r="L1736" s="881" t="s">
        <v>115</v>
      </c>
      <c r="M1736" s="883"/>
      <c r="N1736" s="55">
        <v>719</v>
      </c>
      <c r="O1736" s="78"/>
    </row>
    <row r="1737" spans="8:15" ht="13.5" customHeight="1" thickBot="1">
      <c r="H1737" s="874"/>
      <c r="I1737" s="876"/>
      <c r="J1737" s="911"/>
      <c r="K1737" s="880"/>
      <c r="L1737" s="882"/>
      <c r="M1737" s="884"/>
      <c r="N1737" s="56">
        <v>723</v>
      </c>
      <c r="O1737" s="79">
        <f>+M1736-O1736</f>
        <v>0</v>
      </c>
    </row>
    <row r="1738" spans="8:15" ht="11.25" customHeight="1">
      <c r="H1738" s="873" t="s">
        <v>548</v>
      </c>
      <c r="I1738" s="875">
        <v>42520</v>
      </c>
      <c r="J1738" s="877" t="s">
        <v>701</v>
      </c>
      <c r="K1738" s="879" t="s">
        <v>556</v>
      </c>
      <c r="L1738" s="881" t="s">
        <v>148</v>
      </c>
      <c r="M1738" s="883"/>
      <c r="N1738" s="55">
        <v>719</v>
      </c>
      <c r="O1738" s="78"/>
    </row>
    <row r="1739" spans="8:15" ht="13.5" customHeight="1" thickBot="1">
      <c r="H1739" s="874"/>
      <c r="I1739" s="876"/>
      <c r="J1739" s="878"/>
      <c r="K1739" s="880"/>
      <c r="L1739" s="882"/>
      <c r="M1739" s="884"/>
      <c r="N1739" s="56">
        <v>723</v>
      </c>
      <c r="O1739" s="79">
        <f>+M1738-O1738</f>
        <v>0</v>
      </c>
    </row>
    <row r="1740" spans="8:15" ht="12.75" customHeight="1">
      <c r="H1740" s="873" t="s">
        <v>549</v>
      </c>
      <c r="I1740" s="875">
        <v>42520</v>
      </c>
      <c r="J1740" s="877" t="s">
        <v>673</v>
      </c>
      <c r="K1740" s="879" t="s">
        <v>556</v>
      </c>
      <c r="L1740" s="881" t="s">
        <v>148</v>
      </c>
      <c r="M1740" s="883"/>
      <c r="N1740" s="55">
        <v>719</v>
      </c>
      <c r="O1740" s="78"/>
    </row>
    <row r="1741" spans="8:15" ht="14.25" customHeight="1" thickBot="1">
      <c r="H1741" s="874"/>
      <c r="I1741" s="876"/>
      <c r="J1741" s="878"/>
      <c r="K1741" s="880"/>
      <c r="L1741" s="882"/>
      <c r="M1741" s="884"/>
      <c r="N1741" s="56">
        <v>723</v>
      </c>
      <c r="O1741" s="79">
        <f>+M1740-O1740</f>
        <v>0</v>
      </c>
    </row>
    <row r="1742" spans="8:15" ht="12" customHeight="1">
      <c r="H1742" s="873" t="s">
        <v>550</v>
      </c>
      <c r="I1742" s="875">
        <v>42520</v>
      </c>
      <c r="J1742" s="877" t="s">
        <v>729</v>
      </c>
      <c r="K1742" s="879" t="s">
        <v>556</v>
      </c>
      <c r="L1742" s="881" t="s">
        <v>148</v>
      </c>
      <c r="M1742" s="883"/>
      <c r="N1742" s="55">
        <v>719</v>
      </c>
      <c r="O1742" s="78"/>
    </row>
    <row r="1743" spans="8:15" ht="12.75" customHeight="1" thickBot="1">
      <c r="H1743" s="874"/>
      <c r="I1743" s="876"/>
      <c r="J1743" s="878"/>
      <c r="K1743" s="880"/>
      <c r="L1743" s="882"/>
      <c r="M1743" s="884"/>
      <c r="N1743" s="56">
        <v>723</v>
      </c>
      <c r="O1743" s="79">
        <f>+M1742-O1742</f>
        <v>0</v>
      </c>
    </row>
    <row r="1744" spans="8:15" ht="12.75" customHeight="1">
      <c r="H1744" s="873" t="s">
        <v>551</v>
      </c>
      <c r="I1744" s="875">
        <v>42520</v>
      </c>
      <c r="J1744" s="877" t="s">
        <v>694</v>
      </c>
      <c r="K1744" s="879" t="s">
        <v>556</v>
      </c>
      <c r="L1744" s="881" t="s">
        <v>148</v>
      </c>
      <c r="M1744" s="883"/>
      <c r="N1744" s="55">
        <v>719</v>
      </c>
      <c r="O1744" s="78"/>
    </row>
    <row r="1745" spans="8:18" ht="13.5" customHeight="1" thickBot="1">
      <c r="H1745" s="874"/>
      <c r="I1745" s="876"/>
      <c r="J1745" s="878"/>
      <c r="K1745" s="880"/>
      <c r="L1745" s="882"/>
      <c r="M1745" s="884"/>
      <c r="N1745" s="56">
        <v>723</v>
      </c>
      <c r="O1745" s="79">
        <f>+M1744-O1744</f>
        <v>0</v>
      </c>
    </row>
    <row r="1746" spans="8:18" ht="16.5" thickBot="1">
      <c r="H1746" s="888" t="s">
        <v>102</v>
      </c>
      <c r="I1746" s="889"/>
      <c r="J1746" s="889"/>
      <c r="K1746" s="889"/>
      <c r="L1746" s="890"/>
      <c r="M1746" s="81">
        <f>SUM(M1734:M1745)</f>
        <v>0</v>
      </c>
    </row>
    <row r="1747" spans="8:18" ht="16.5" thickBot="1">
      <c r="H1747" s="885" t="s">
        <v>103</v>
      </c>
      <c r="I1747" s="886"/>
      <c r="J1747" s="886"/>
      <c r="K1747" s="886"/>
      <c r="L1747" s="887"/>
      <c r="M1747" s="69">
        <f>+M1709</f>
        <v>476966931</v>
      </c>
      <c r="N1747" s="241" t="s">
        <v>561</v>
      </c>
      <c r="O1747" s="242"/>
    </row>
    <row r="1748" spans="8:18" ht="16.5" thickBot="1">
      <c r="H1748" s="888" t="s">
        <v>104</v>
      </c>
      <c r="I1748" s="889"/>
      <c r="J1748" s="889"/>
      <c r="K1748" s="889"/>
      <c r="L1748" s="890"/>
      <c r="M1748" s="183">
        <f>SUM(M1746:M1747)</f>
        <v>476966931</v>
      </c>
      <c r="R1748" s="51">
        <f>1945*1.05^4.5</f>
        <v>2422.5427600461721</v>
      </c>
    </row>
    <row r="1749" spans="8:18" ht="13.5" customHeight="1">
      <c r="H1749" s="61"/>
      <c r="I1749" s="61"/>
      <c r="J1749" s="61"/>
      <c r="K1749" s="61"/>
      <c r="L1749" s="61"/>
    </row>
    <row r="1750" spans="8:18">
      <c r="H1750" s="51" t="s">
        <v>966</v>
      </c>
    </row>
    <row r="1751" spans="8:18" ht="12.75" customHeight="1">
      <c r="M1751" s="139"/>
    </row>
    <row r="1752" spans="8:18">
      <c r="H1752" s="50" t="s">
        <v>105</v>
      </c>
      <c r="K1752" s="146"/>
      <c r="M1752" s="139"/>
    </row>
    <row r="1753" spans="8:18" ht="13.5" customHeight="1" thickBot="1"/>
    <row r="1754" spans="8:18" ht="15.75" thickBot="1">
      <c r="H1754" s="891" t="s">
        <v>106</v>
      </c>
      <c r="I1754" s="892"/>
      <c r="J1754" s="892"/>
      <c r="K1754" s="893"/>
      <c r="M1754" s="50" t="s">
        <v>288</v>
      </c>
    </row>
    <row r="1755" spans="8:18" ht="45.75" thickBot="1">
      <c r="H1755" s="57" t="s">
        <v>100</v>
      </c>
      <c r="I1755" s="58" t="s">
        <v>108</v>
      </c>
      <c r="J1755" s="287" t="s">
        <v>109</v>
      </c>
      <c r="K1755" s="60" t="s">
        <v>110</v>
      </c>
    </row>
    <row r="1756" spans="8:18">
      <c r="H1756" s="71">
        <v>719</v>
      </c>
      <c r="I1756" s="73">
        <f>+O1734+O1736+O1740+O1742+O1744</f>
        <v>0</v>
      </c>
      <c r="J1756" s="74">
        <f>+K1717</f>
        <v>50550000</v>
      </c>
      <c r="K1756" s="195">
        <f>+I1756+J1756</f>
        <v>50550000</v>
      </c>
    </row>
    <row r="1757" spans="8:18">
      <c r="H1757" s="72">
        <v>721</v>
      </c>
      <c r="I1757" s="80">
        <v>0</v>
      </c>
      <c r="J1757" s="74">
        <f>+K1718</f>
        <v>88302981</v>
      </c>
      <c r="K1757" s="195">
        <f>+I1757+J1757</f>
        <v>88302981</v>
      </c>
    </row>
    <row r="1758" spans="8:18">
      <c r="H1758" s="72">
        <v>722</v>
      </c>
      <c r="I1758" s="80"/>
      <c r="J1758" s="74">
        <f>+K1719</f>
        <v>0</v>
      </c>
      <c r="K1758" s="195">
        <f>+I1758+J1758</f>
        <v>0</v>
      </c>
    </row>
    <row r="1759" spans="8:18" ht="15.75">
      <c r="H1759" s="72">
        <v>723</v>
      </c>
      <c r="I1759" s="80">
        <f>+O1745+O1743+O1741+O1737+O1735+O1739</f>
        <v>0</v>
      </c>
      <c r="J1759" s="74">
        <f>+K1720</f>
        <v>338043950</v>
      </c>
      <c r="K1759" s="195">
        <f>+I1759+J1759</f>
        <v>338043950</v>
      </c>
      <c r="M1759" s="193" t="s">
        <v>289</v>
      </c>
      <c r="N1759" s="175"/>
    </row>
    <row r="1760" spans="8:18" ht="16.5" thickBot="1">
      <c r="H1760" s="164" t="s">
        <v>181</v>
      </c>
      <c r="I1760" s="165"/>
      <c r="J1760" s="74">
        <f>+K1721</f>
        <v>0</v>
      </c>
      <c r="K1760" s="196">
        <f>+I1760+J1760</f>
        <v>0</v>
      </c>
      <c r="M1760" s="52"/>
    </row>
    <row r="1761" spans="8:15" ht="16.5" thickBot="1">
      <c r="H1761" s="169"/>
      <c r="I1761" s="197">
        <f>SUM(I1756:I1760)</f>
        <v>0</v>
      </c>
      <c r="J1761" s="197">
        <f>SUM(J1756:J1760)</f>
        <v>476896931</v>
      </c>
      <c r="K1761" s="198">
        <f>SUM(K1756:K1760)</f>
        <v>476896931</v>
      </c>
    </row>
    <row r="1762" spans="8:15" ht="16.5">
      <c r="H1762" s="49" t="s">
        <v>88</v>
      </c>
      <c r="I1762" s="50"/>
    </row>
    <row r="1763" spans="8:15">
      <c r="H1763" s="51" t="s">
        <v>89</v>
      </c>
    </row>
    <row r="1764" spans="8:15">
      <c r="H1764" s="51" t="s">
        <v>90</v>
      </c>
    </row>
    <row r="1765" spans="8:15">
      <c r="H1765" s="51" t="s">
        <v>91</v>
      </c>
    </row>
    <row r="1766" spans="8:15" ht="9" customHeight="1">
      <c r="H1766" s="50"/>
      <c r="I1766" s="50"/>
    </row>
    <row r="1767" spans="8:15" ht="15.75">
      <c r="H1767" s="260" t="s">
        <v>964</v>
      </c>
      <c r="N1767" s="52"/>
    </row>
    <row r="1768" spans="8:15" ht="15.75">
      <c r="H1768" s="53" t="s">
        <v>535</v>
      </c>
      <c r="N1768" s="53"/>
    </row>
    <row r="1769" spans="8:15" ht="16.5">
      <c r="H1769" s="894" t="s">
        <v>909</v>
      </c>
      <c r="I1769" s="894"/>
      <c r="J1769" s="894"/>
      <c r="K1769" s="894"/>
      <c r="L1769" s="894"/>
      <c r="M1769" s="894"/>
      <c r="N1769" s="894"/>
      <c r="O1769" s="894"/>
    </row>
    <row r="1770" spans="8:15" ht="15.75" thickBot="1"/>
    <row r="1771" spans="8:15">
      <c r="H1771" s="895" t="s">
        <v>94</v>
      </c>
      <c r="I1771" s="897" t="s">
        <v>95</v>
      </c>
      <c r="J1771" s="897" t="s">
        <v>96</v>
      </c>
      <c r="K1771" s="897" t="s">
        <v>3</v>
      </c>
      <c r="L1771" s="897" t="s">
        <v>97</v>
      </c>
      <c r="M1771" s="897" t="s">
        <v>98</v>
      </c>
      <c r="N1771" s="897" t="s">
        <v>99</v>
      </c>
      <c r="O1771" s="899"/>
    </row>
    <row r="1772" spans="8:15" ht="15.75" thickBot="1">
      <c r="H1772" s="896"/>
      <c r="I1772" s="898"/>
      <c r="J1772" s="898"/>
      <c r="K1772" s="898"/>
      <c r="L1772" s="898"/>
      <c r="M1772" s="898"/>
      <c r="N1772" s="240" t="s">
        <v>100</v>
      </c>
      <c r="O1772" s="182" t="s">
        <v>101</v>
      </c>
    </row>
    <row r="1773" spans="8:15">
      <c r="H1773" s="881">
        <v>207</v>
      </c>
      <c r="I1773" s="875">
        <v>42521</v>
      </c>
      <c r="J1773" s="877" t="s">
        <v>267</v>
      </c>
      <c r="K1773" s="879" t="s">
        <v>971</v>
      </c>
      <c r="L1773" s="881" t="s">
        <v>148</v>
      </c>
      <c r="M1773" s="883">
        <v>28000</v>
      </c>
      <c r="N1773" s="55">
        <v>719</v>
      </c>
      <c r="O1773" s="78">
        <v>20000</v>
      </c>
    </row>
    <row r="1774" spans="8:15" ht="15.75" thickBot="1">
      <c r="H1774" s="882"/>
      <c r="I1774" s="876"/>
      <c r="J1774" s="878"/>
      <c r="K1774" s="880"/>
      <c r="L1774" s="882"/>
      <c r="M1774" s="884"/>
      <c r="N1774" s="56">
        <v>721</v>
      </c>
      <c r="O1774" s="79">
        <f>+M1773-O1773</f>
        <v>8000</v>
      </c>
    </row>
    <row r="1775" spans="8:15">
      <c r="H1775" s="881">
        <v>208</v>
      </c>
      <c r="I1775" s="875">
        <v>42521</v>
      </c>
      <c r="J1775" s="877" t="s">
        <v>28</v>
      </c>
      <c r="K1775" s="879" t="s">
        <v>970</v>
      </c>
      <c r="L1775" s="881" t="s">
        <v>148</v>
      </c>
      <c r="M1775" s="883">
        <v>294000</v>
      </c>
      <c r="N1775" s="55">
        <v>719</v>
      </c>
      <c r="O1775" s="78">
        <v>210000</v>
      </c>
    </row>
    <row r="1776" spans="8:15" ht="15.75" thickBot="1">
      <c r="H1776" s="882"/>
      <c r="I1776" s="876"/>
      <c r="J1776" s="878"/>
      <c r="K1776" s="880"/>
      <c r="L1776" s="882"/>
      <c r="M1776" s="884"/>
      <c r="N1776" s="56">
        <v>721</v>
      </c>
      <c r="O1776" s="79">
        <f>+M1775-O1775</f>
        <v>84000</v>
      </c>
    </row>
    <row r="1777" spans="8:15">
      <c r="H1777" s="881">
        <v>209</v>
      </c>
      <c r="I1777" s="875">
        <v>42521</v>
      </c>
      <c r="J1777" s="877" t="s">
        <v>111</v>
      </c>
      <c r="K1777" s="879" t="s">
        <v>951</v>
      </c>
      <c r="L1777" s="881" t="s">
        <v>148</v>
      </c>
      <c r="M1777" s="883">
        <v>56000</v>
      </c>
      <c r="N1777" s="55">
        <v>719</v>
      </c>
      <c r="O1777" s="78">
        <v>40000</v>
      </c>
    </row>
    <row r="1778" spans="8:15" ht="15.75" thickBot="1">
      <c r="H1778" s="882"/>
      <c r="I1778" s="876"/>
      <c r="J1778" s="878"/>
      <c r="K1778" s="880"/>
      <c r="L1778" s="882"/>
      <c r="M1778" s="884"/>
      <c r="N1778" s="56">
        <v>721</v>
      </c>
      <c r="O1778" s="79">
        <f>+M1777-O1777</f>
        <v>16000</v>
      </c>
    </row>
    <row r="1779" spans="8:15">
      <c r="H1779" s="881">
        <v>210</v>
      </c>
      <c r="I1779" s="875">
        <v>42521</v>
      </c>
      <c r="J1779" s="877" t="s">
        <v>272</v>
      </c>
      <c r="K1779" s="879" t="s">
        <v>970</v>
      </c>
      <c r="L1779" s="881" t="s">
        <v>148</v>
      </c>
      <c r="M1779" s="883">
        <v>672000</v>
      </c>
      <c r="N1779" s="55">
        <v>719</v>
      </c>
      <c r="O1779" s="78">
        <v>480000</v>
      </c>
    </row>
    <row r="1780" spans="8:15" ht="15.75" thickBot="1">
      <c r="H1780" s="882"/>
      <c r="I1780" s="876"/>
      <c r="J1780" s="878"/>
      <c r="K1780" s="880"/>
      <c r="L1780" s="882"/>
      <c r="M1780" s="884"/>
      <c r="N1780" s="56">
        <v>721</v>
      </c>
      <c r="O1780" s="79">
        <f>+M1779-O1779</f>
        <v>192000</v>
      </c>
    </row>
    <row r="1781" spans="8:15" ht="12.75" customHeight="1">
      <c r="H1781" s="881"/>
      <c r="I1781" s="875"/>
      <c r="J1781" s="877"/>
      <c r="K1781" s="881"/>
      <c r="L1781" s="881"/>
      <c r="M1781" s="883"/>
      <c r="N1781" s="55">
        <v>719</v>
      </c>
      <c r="O1781" s="78"/>
    </row>
    <row r="1782" spans="8:15" ht="13.5" customHeight="1" thickBot="1">
      <c r="H1782" s="882"/>
      <c r="I1782" s="876"/>
      <c r="J1782" s="878"/>
      <c r="K1782" s="882"/>
      <c r="L1782" s="882"/>
      <c r="M1782" s="884"/>
      <c r="N1782" s="56">
        <v>721</v>
      </c>
      <c r="O1782" s="79">
        <f>+M1781-O1781</f>
        <v>0</v>
      </c>
    </row>
    <row r="1783" spans="8:15" ht="16.5" thickBot="1">
      <c r="H1783" s="901" t="s">
        <v>102</v>
      </c>
      <c r="I1783" s="902"/>
      <c r="J1783" s="902"/>
      <c r="K1783" s="902"/>
      <c r="L1783" s="903"/>
      <c r="M1783" s="81">
        <f>SUM(M1773:M1782)</f>
        <v>1050000</v>
      </c>
    </row>
    <row r="1784" spans="8:15" ht="16.5" thickBot="1">
      <c r="H1784" s="885" t="s">
        <v>103</v>
      </c>
      <c r="I1784" s="886"/>
      <c r="J1784" s="886"/>
      <c r="K1784" s="886"/>
      <c r="L1784" s="887"/>
      <c r="M1784" s="69">
        <f>+M1748</f>
        <v>476966931</v>
      </c>
      <c r="N1784" s="241" t="s">
        <v>561</v>
      </c>
      <c r="O1784" s="242">
        <f>22+651+13+1233</f>
        <v>1919</v>
      </c>
    </row>
    <row r="1785" spans="8:15" ht="16.5" thickBot="1">
      <c r="H1785" s="888" t="s">
        <v>104</v>
      </c>
      <c r="I1785" s="889"/>
      <c r="J1785" s="889"/>
      <c r="K1785" s="889"/>
      <c r="L1785" s="890"/>
      <c r="M1785" s="183">
        <f>SUM(M1783:M1784)</f>
        <v>478016931</v>
      </c>
    </row>
    <row r="1786" spans="8:15">
      <c r="H1786" s="61"/>
      <c r="I1786" s="61"/>
      <c r="J1786" s="61"/>
      <c r="K1786" s="61"/>
      <c r="L1786" s="61"/>
    </row>
    <row r="1787" spans="8:15">
      <c r="H1787" s="51" t="s">
        <v>972</v>
      </c>
    </row>
    <row r="1788" spans="8:15" ht="12" customHeight="1">
      <c r="M1788" s="139"/>
    </row>
    <row r="1789" spans="8:15">
      <c r="H1789" s="50" t="s">
        <v>105</v>
      </c>
      <c r="K1789" s="146"/>
      <c r="M1789" s="139"/>
    </row>
    <row r="1790" spans="8:15" ht="15.75" thickBot="1"/>
    <row r="1791" spans="8:15" ht="15.75" thickBot="1">
      <c r="H1791" s="891" t="s">
        <v>106</v>
      </c>
      <c r="I1791" s="892"/>
      <c r="J1791" s="892"/>
      <c r="K1791" s="893"/>
      <c r="M1791" s="50" t="s">
        <v>288</v>
      </c>
    </row>
    <row r="1792" spans="8:15" ht="45.75" thickBot="1">
      <c r="H1792" s="57" t="s">
        <v>100</v>
      </c>
      <c r="I1792" s="58" t="s">
        <v>108</v>
      </c>
      <c r="J1792" s="287" t="s">
        <v>109</v>
      </c>
      <c r="K1792" s="60" t="s">
        <v>110</v>
      </c>
    </row>
    <row r="1793" spans="8:15">
      <c r="H1793" s="71">
        <v>719</v>
      </c>
      <c r="I1793" s="73">
        <f>+O1773+O1775+O1777+O1779+O1781</f>
        <v>750000</v>
      </c>
      <c r="J1793" s="74">
        <f>+K1756</f>
        <v>50550000</v>
      </c>
      <c r="K1793" s="195">
        <f>+I1793+J1793</f>
        <v>51300000</v>
      </c>
    </row>
    <row r="1794" spans="8:15">
      <c r="H1794" s="72">
        <v>721</v>
      </c>
      <c r="I1794" s="80">
        <f>+O1774+O1776+O1778+O1780</f>
        <v>300000</v>
      </c>
      <c r="J1794" s="74">
        <f>+K1757</f>
        <v>88302981</v>
      </c>
      <c r="K1794" s="195">
        <f>+I1794+J1794</f>
        <v>88602981</v>
      </c>
    </row>
    <row r="1795" spans="8:15">
      <c r="H1795" s="72">
        <v>722</v>
      </c>
      <c r="I1795" s="80"/>
      <c r="J1795" s="74">
        <f>+K1758</f>
        <v>0</v>
      </c>
      <c r="K1795" s="195">
        <f>+I1795+J1795</f>
        <v>0</v>
      </c>
    </row>
    <row r="1796" spans="8:15" ht="15.75">
      <c r="H1796" s="72">
        <v>723</v>
      </c>
      <c r="I1796" s="80"/>
      <c r="J1796" s="74">
        <f>+K1759</f>
        <v>338043950</v>
      </c>
      <c r="K1796" s="195">
        <f>+I1796+J1796</f>
        <v>338043950</v>
      </c>
      <c r="M1796" s="193" t="s">
        <v>289</v>
      </c>
      <c r="N1796" s="175"/>
    </row>
    <row r="1797" spans="8:15" ht="16.5" thickBot="1">
      <c r="H1797" s="164" t="s">
        <v>181</v>
      </c>
      <c r="I1797" s="165"/>
      <c r="J1797" s="74">
        <f>+K1760</f>
        <v>0</v>
      </c>
      <c r="K1797" s="196">
        <f>+I1797+J1797</f>
        <v>0</v>
      </c>
      <c r="M1797" s="52"/>
    </row>
    <row r="1798" spans="8:15" ht="16.5" thickBot="1">
      <c r="H1798" s="169"/>
      <c r="I1798" s="197">
        <f>SUM(I1793:I1797)</f>
        <v>1050000</v>
      </c>
      <c r="J1798" s="197">
        <f>SUM(J1793:J1797)</f>
        <v>476896931</v>
      </c>
      <c r="K1798" s="198">
        <f>SUM(K1793:K1797)</f>
        <v>477946931</v>
      </c>
    </row>
    <row r="1799" spans="8:15" ht="16.5">
      <c r="H1799" s="49" t="s">
        <v>88</v>
      </c>
      <c r="I1799" s="50"/>
    </row>
    <row r="1800" spans="8:15">
      <c r="H1800" s="51" t="s">
        <v>89</v>
      </c>
    </row>
    <row r="1801" spans="8:15">
      <c r="H1801" s="51" t="s">
        <v>90</v>
      </c>
    </row>
    <row r="1802" spans="8:15">
      <c r="H1802" s="51" t="s">
        <v>91</v>
      </c>
    </row>
    <row r="1803" spans="8:15" ht="12" customHeight="1">
      <c r="H1803" s="50"/>
      <c r="I1803" s="50"/>
    </row>
    <row r="1804" spans="8:15" ht="15.75">
      <c r="H1804" s="260" t="s">
        <v>969</v>
      </c>
      <c r="N1804" s="52"/>
    </row>
    <row r="1805" spans="8:15" ht="15.75">
      <c r="H1805" s="53" t="s">
        <v>535</v>
      </c>
      <c r="N1805" s="53"/>
    </row>
    <row r="1806" spans="8:15" ht="16.5">
      <c r="H1806" s="894" t="s">
        <v>979</v>
      </c>
      <c r="I1806" s="894"/>
      <c r="J1806" s="894"/>
      <c r="K1806" s="894"/>
      <c r="L1806" s="894"/>
      <c r="M1806" s="894"/>
      <c r="N1806" s="894"/>
      <c r="O1806" s="894"/>
    </row>
    <row r="1807" spans="8:15" ht="15.75" thickBot="1"/>
    <row r="1808" spans="8:15">
      <c r="H1808" s="895" t="s">
        <v>94</v>
      </c>
      <c r="I1808" s="897" t="s">
        <v>95</v>
      </c>
      <c r="J1808" s="897" t="s">
        <v>96</v>
      </c>
      <c r="K1808" s="897" t="s">
        <v>3</v>
      </c>
      <c r="L1808" s="897" t="s">
        <v>97</v>
      </c>
      <c r="M1808" s="897" t="s">
        <v>98</v>
      </c>
      <c r="N1808" s="897" t="s">
        <v>99</v>
      </c>
      <c r="O1808" s="899"/>
    </row>
    <row r="1809" spans="8:15" ht="15.75" thickBot="1">
      <c r="H1809" s="896"/>
      <c r="I1809" s="898"/>
      <c r="J1809" s="898"/>
      <c r="K1809" s="898"/>
      <c r="L1809" s="898"/>
      <c r="M1809" s="898"/>
      <c r="N1809" s="240" t="s">
        <v>100</v>
      </c>
      <c r="O1809" s="182" t="s">
        <v>101</v>
      </c>
    </row>
    <row r="1810" spans="8:15">
      <c r="H1810" s="881">
        <v>211</v>
      </c>
      <c r="I1810" s="875">
        <v>42521</v>
      </c>
      <c r="J1810" s="910" t="s">
        <v>974</v>
      </c>
      <c r="K1810" s="879" t="s">
        <v>556</v>
      </c>
      <c r="L1810" s="881" t="s">
        <v>145</v>
      </c>
      <c r="M1810" s="883">
        <v>2941578</v>
      </c>
      <c r="N1810" s="55">
        <v>719</v>
      </c>
      <c r="O1810" s="78">
        <v>0</v>
      </c>
    </row>
    <row r="1811" spans="8:15" ht="15.75" thickBot="1">
      <c r="H1811" s="882"/>
      <c r="I1811" s="876"/>
      <c r="J1811" s="911"/>
      <c r="K1811" s="880"/>
      <c r="L1811" s="882"/>
      <c r="M1811" s="884"/>
      <c r="N1811" s="56">
        <v>721</v>
      </c>
      <c r="O1811" s="79">
        <f>+M1810-O1810</f>
        <v>2941578</v>
      </c>
    </row>
    <row r="1812" spans="8:15">
      <c r="H1812" s="881"/>
      <c r="I1812" s="875"/>
      <c r="J1812" s="910"/>
      <c r="K1812" s="879"/>
      <c r="L1812" s="881"/>
      <c r="M1812" s="883"/>
      <c r="N1812" s="55">
        <v>719</v>
      </c>
      <c r="O1812" s="78">
        <v>0</v>
      </c>
    </row>
    <row r="1813" spans="8:15" ht="15.75" thickBot="1">
      <c r="H1813" s="882"/>
      <c r="I1813" s="876"/>
      <c r="J1813" s="911"/>
      <c r="K1813" s="880"/>
      <c r="L1813" s="882"/>
      <c r="M1813" s="884"/>
      <c r="N1813" s="56">
        <v>723</v>
      </c>
      <c r="O1813" s="79">
        <f>+M1812-O1812</f>
        <v>0</v>
      </c>
    </row>
    <row r="1814" spans="8:15">
      <c r="H1814" s="881"/>
      <c r="I1814" s="875"/>
      <c r="J1814" s="877"/>
      <c r="K1814" s="879"/>
      <c r="L1814" s="881"/>
      <c r="M1814" s="883"/>
      <c r="N1814" s="55">
        <v>719</v>
      </c>
      <c r="O1814" s="78"/>
    </row>
    <row r="1815" spans="8:15" ht="15.75" thickBot="1">
      <c r="H1815" s="882"/>
      <c r="I1815" s="876"/>
      <c r="J1815" s="878"/>
      <c r="K1815" s="880"/>
      <c r="L1815" s="882"/>
      <c r="M1815" s="884"/>
      <c r="N1815" s="56">
        <v>721</v>
      </c>
      <c r="O1815" s="79">
        <f>+M1814-O1814</f>
        <v>0</v>
      </c>
    </row>
    <row r="1816" spans="8:15" ht="12.75" customHeight="1">
      <c r="H1816" s="881"/>
      <c r="I1816" s="875"/>
      <c r="J1816" s="877"/>
      <c r="K1816" s="879"/>
      <c r="L1816" s="881"/>
      <c r="M1816" s="883"/>
      <c r="N1816" s="55">
        <v>719</v>
      </c>
      <c r="O1816" s="78"/>
    </row>
    <row r="1817" spans="8:15" ht="15.75" thickBot="1">
      <c r="H1817" s="882"/>
      <c r="I1817" s="876"/>
      <c r="J1817" s="878"/>
      <c r="K1817" s="880"/>
      <c r="L1817" s="882"/>
      <c r="M1817" s="884"/>
      <c r="N1817" s="56">
        <v>721</v>
      </c>
      <c r="O1817" s="79">
        <f>+M1816-O1816</f>
        <v>0</v>
      </c>
    </row>
    <row r="1818" spans="8:15">
      <c r="H1818" s="881"/>
      <c r="I1818" s="875"/>
      <c r="J1818" s="877"/>
      <c r="K1818" s="881"/>
      <c r="L1818" s="881"/>
      <c r="M1818" s="883"/>
      <c r="N1818" s="55">
        <v>719</v>
      </c>
      <c r="O1818" s="78"/>
    </row>
    <row r="1819" spans="8:15" ht="14.25" customHeight="1" thickBot="1">
      <c r="H1819" s="882"/>
      <c r="I1819" s="876"/>
      <c r="J1819" s="878"/>
      <c r="K1819" s="882"/>
      <c r="L1819" s="882"/>
      <c r="M1819" s="884"/>
      <c r="N1819" s="56">
        <v>721</v>
      </c>
      <c r="O1819" s="79">
        <f>+M1818-O1818</f>
        <v>0</v>
      </c>
    </row>
    <row r="1820" spans="8:15" ht="16.5" thickBot="1">
      <c r="H1820" s="901" t="s">
        <v>102</v>
      </c>
      <c r="I1820" s="902"/>
      <c r="J1820" s="902"/>
      <c r="K1820" s="902"/>
      <c r="L1820" s="903"/>
      <c r="M1820" s="81">
        <f>SUM(M1810:M1819)</f>
        <v>2941578</v>
      </c>
    </row>
    <row r="1821" spans="8:15" ht="16.5" thickBot="1">
      <c r="H1821" s="885" t="s">
        <v>103</v>
      </c>
      <c r="I1821" s="886"/>
      <c r="J1821" s="886"/>
      <c r="K1821" s="886"/>
      <c r="L1821" s="887"/>
      <c r="M1821" s="69">
        <f>+M1785</f>
        <v>478016931</v>
      </c>
      <c r="N1821" s="241" t="s">
        <v>561</v>
      </c>
      <c r="O1821" s="242"/>
    </row>
    <row r="1822" spans="8:15" ht="16.5" thickBot="1">
      <c r="H1822" s="888" t="s">
        <v>104</v>
      </c>
      <c r="I1822" s="889"/>
      <c r="J1822" s="889"/>
      <c r="K1822" s="889"/>
      <c r="L1822" s="890"/>
      <c r="M1822" s="183">
        <f>SUM(M1820:M1821)</f>
        <v>480958509</v>
      </c>
    </row>
    <row r="1823" spans="8:15">
      <c r="H1823" s="61"/>
      <c r="I1823" s="61"/>
      <c r="J1823" s="61"/>
      <c r="K1823" s="61"/>
      <c r="L1823" s="61"/>
    </row>
    <row r="1824" spans="8:15">
      <c r="H1824" s="51" t="s">
        <v>975</v>
      </c>
    </row>
    <row r="1825" spans="8:14">
      <c r="M1825" s="139"/>
    </row>
    <row r="1826" spans="8:14">
      <c r="H1826" s="50" t="s">
        <v>105</v>
      </c>
      <c r="K1826" s="146"/>
      <c r="M1826" s="139"/>
    </row>
    <row r="1827" spans="8:14" ht="12" customHeight="1" thickBot="1"/>
    <row r="1828" spans="8:14" ht="15.75" thickBot="1">
      <c r="H1828" s="891" t="s">
        <v>106</v>
      </c>
      <c r="I1828" s="892"/>
      <c r="J1828" s="892"/>
      <c r="K1828" s="893"/>
      <c r="M1828" s="50" t="s">
        <v>288</v>
      </c>
    </row>
    <row r="1829" spans="8:14" ht="45.75" thickBot="1">
      <c r="H1829" s="57" t="s">
        <v>100</v>
      </c>
      <c r="I1829" s="58" t="s">
        <v>108</v>
      </c>
      <c r="J1829" s="287" t="s">
        <v>109</v>
      </c>
      <c r="K1829" s="60" t="s">
        <v>110</v>
      </c>
    </row>
    <row r="1830" spans="8:14">
      <c r="H1830" s="71">
        <v>719</v>
      </c>
      <c r="I1830" s="73">
        <f>+O1810+O1812+O1814+O1816+O1818</f>
        <v>0</v>
      </c>
      <c r="J1830" s="74">
        <f>+K1793</f>
        <v>51300000</v>
      </c>
      <c r="K1830" s="195">
        <f>+I1830+J1830</f>
        <v>51300000</v>
      </c>
    </row>
    <row r="1831" spans="8:14">
      <c r="H1831" s="72">
        <v>721</v>
      </c>
      <c r="I1831" s="80">
        <f>+O1811</f>
        <v>2941578</v>
      </c>
      <c r="J1831" s="74">
        <f>+K1794</f>
        <v>88602981</v>
      </c>
      <c r="K1831" s="195">
        <f>+I1831+J1831</f>
        <v>91544559</v>
      </c>
    </row>
    <row r="1832" spans="8:14">
      <c r="H1832" s="72">
        <v>722</v>
      </c>
      <c r="I1832" s="80"/>
      <c r="J1832" s="74">
        <f>+K1795</f>
        <v>0</v>
      </c>
      <c r="K1832" s="195">
        <f>+I1832+J1832</f>
        <v>0</v>
      </c>
    </row>
    <row r="1833" spans="8:14" ht="15.75">
      <c r="H1833" s="72">
        <v>723</v>
      </c>
      <c r="I1833" s="80"/>
      <c r="J1833" s="74">
        <f>+K1796</f>
        <v>338043950</v>
      </c>
      <c r="K1833" s="195">
        <f>+I1833+J1833</f>
        <v>338043950</v>
      </c>
      <c r="M1833" s="193" t="s">
        <v>289</v>
      </c>
      <c r="N1833" s="175"/>
    </row>
    <row r="1834" spans="8:14" ht="16.5" thickBot="1">
      <c r="H1834" s="164" t="s">
        <v>181</v>
      </c>
      <c r="I1834" s="165"/>
      <c r="J1834" s="74">
        <f>+K1797</f>
        <v>0</v>
      </c>
      <c r="K1834" s="196">
        <f>+I1834+J1834</f>
        <v>0</v>
      </c>
      <c r="M1834" s="52"/>
    </row>
    <row r="1835" spans="8:14" ht="16.5" thickBot="1">
      <c r="H1835" s="169"/>
      <c r="I1835" s="197">
        <f>SUM(I1830:I1834)</f>
        <v>2941578</v>
      </c>
      <c r="J1835" s="197">
        <f>SUM(J1830:J1834)</f>
        <v>477946931</v>
      </c>
      <c r="K1835" s="198">
        <f>SUM(K1830:K1834)</f>
        <v>480888509</v>
      </c>
    </row>
    <row r="1836" spans="8:14" ht="16.5">
      <c r="H1836" s="49" t="s">
        <v>88</v>
      </c>
      <c r="I1836" s="50"/>
    </row>
    <row r="1837" spans="8:14">
      <c r="H1837" s="51" t="s">
        <v>89</v>
      </c>
    </row>
    <row r="1838" spans="8:14">
      <c r="H1838" s="51" t="s">
        <v>90</v>
      </c>
    </row>
    <row r="1839" spans="8:14">
      <c r="H1839" s="51" t="s">
        <v>91</v>
      </c>
    </row>
    <row r="1840" spans="8:14" ht="12" customHeight="1">
      <c r="H1840" s="50"/>
      <c r="I1840" s="50"/>
    </row>
    <row r="1841" spans="8:15" ht="15.75">
      <c r="H1841" s="260" t="s">
        <v>973</v>
      </c>
      <c r="N1841" s="52"/>
    </row>
    <row r="1842" spans="8:15" ht="15.75">
      <c r="H1842" s="53" t="s">
        <v>535</v>
      </c>
      <c r="N1842" s="53"/>
    </row>
    <row r="1843" spans="8:15" ht="16.5">
      <c r="H1843" s="894" t="s">
        <v>967</v>
      </c>
      <c r="I1843" s="894"/>
      <c r="J1843" s="894"/>
      <c r="K1843" s="894"/>
      <c r="L1843" s="894"/>
      <c r="M1843" s="894"/>
      <c r="N1843" s="894"/>
      <c r="O1843" s="894"/>
    </row>
    <row r="1844" spans="8:15" ht="15.75" thickBot="1"/>
    <row r="1845" spans="8:15">
      <c r="H1845" s="895" t="s">
        <v>968</v>
      </c>
      <c r="I1845" s="897" t="s">
        <v>95</v>
      </c>
      <c r="J1845" s="897" t="s">
        <v>96</v>
      </c>
      <c r="K1845" s="897" t="s">
        <v>3</v>
      </c>
      <c r="L1845" s="897" t="s">
        <v>97</v>
      </c>
      <c r="M1845" s="897" t="s">
        <v>98</v>
      </c>
      <c r="N1845" s="897" t="s">
        <v>99</v>
      </c>
      <c r="O1845" s="899"/>
    </row>
    <row r="1846" spans="8:15" ht="15.75" thickBot="1">
      <c r="H1846" s="896"/>
      <c r="I1846" s="898"/>
      <c r="J1846" s="898"/>
      <c r="K1846" s="898"/>
      <c r="L1846" s="898"/>
      <c r="M1846" s="898"/>
      <c r="N1846" s="240" t="s">
        <v>100</v>
      </c>
      <c r="O1846" s="182" t="s">
        <v>101</v>
      </c>
    </row>
    <row r="1847" spans="8:15">
      <c r="H1847" s="873" t="s">
        <v>545</v>
      </c>
      <c r="I1847" s="875">
        <v>42520</v>
      </c>
      <c r="J1847" s="910" t="s">
        <v>695</v>
      </c>
      <c r="K1847" s="879" t="s">
        <v>556</v>
      </c>
      <c r="L1847" s="881" t="s">
        <v>148</v>
      </c>
      <c r="M1847" s="883">
        <v>-241240</v>
      </c>
      <c r="N1847" s="55">
        <v>719</v>
      </c>
      <c r="O1847" s="78"/>
    </row>
    <row r="1848" spans="8:15" ht="15.75" thickBot="1">
      <c r="H1848" s="874"/>
      <c r="I1848" s="876"/>
      <c r="J1848" s="911"/>
      <c r="K1848" s="880"/>
      <c r="L1848" s="882"/>
      <c r="M1848" s="884"/>
      <c r="N1848" s="56">
        <v>723</v>
      </c>
      <c r="O1848" s="79">
        <f>+M1847-O1847</f>
        <v>-241240</v>
      </c>
    </row>
    <row r="1849" spans="8:15">
      <c r="H1849" s="873" t="s">
        <v>547</v>
      </c>
      <c r="I1849" s="875">
        <v>42520</v>
      </c>
      <c r="J1849" s="910" t="s">
        <v>695</v>
      </c>
      <c r="K1849" s="879" t="s">
        <v>556</v>
      </c>
      <c r="L1849" s="881" t="s">
        <v>115</v>
      </c>
      <c r="M1849" s="883">
        <v>-525000</v>
      </c>
      <c r="N1849" s="55">
        <v>719</v>
      </c>
      <c r="O1849" s="78"/>
    </row>
    <row r="1850" spans="8:15" ht="15.75" thickBot="1">
      <c r="H1850" s="874"/>
      <c r="I1850" s="876"/>
      <c r="J1850" s="911"/>
      <c r="K1850" s="880"/>
      <c r="L1850" s="882"/>
      <c r="M1850" s="884"/>
      <c r="N1850" s="56">
        <v>723</v>
      </c>
      <c r="O1850" s="79">
        <f>+M1849-O1849</f>
        <v>-525000</v>
      </c>
    </row>
    <row r="1851" spans="8:15" ht="12.75" customHeight="1">
      <c r="H1851" s="873"/>
      <c r="I1851" s="875"/>
      <c r="J1851" s="877"/>
      <c r="K1851" s="879"/>
      <c r="L1851" s="881"/>
      <c r="M1851" s="883"/>
      <c r="N1851" s="55">
        <v>719</v>
      </c>
      <c r="O1851" s="78"/>
    </row>
    <row r="1852" spans="8:15" ht="14.25" customHeight="1" thickBot="1">
      <c r="H1852" s="874"/>
      <c r="I1852" s="876"/>
      <c r="J1852" s="878"/>
      <c r="K1852" s="880"/>
      <c r="L1852" s="882"/>
      <c r="M1852" s="884"/>
      <c r="N1852" s="56">
        <v>723</v>
      </c>
      <c r="O1852" s="79">
        <f>+M1851-O1851</f>
        <v>0</v>
      </c>
    </row>
    <row r="1853" spans="8:15">
      <c r="H1853" s="873"/>
      <c r="I1853" s="875"/>
      <c r="J1853" s="877"/>
      <c r="K1853" s="879"/>
      <c r="L1853" s="881"/>
      <c r="M1853" s="883"/>
      <c r="N1853" s="55">
        <v>719</v>
      </c>
      <c r="O1853" s="78"/>
    </row>
    <row r="1854" spans="8:15" ht="15.75" thickBot="1">
      <c r="H1854" s="874"/>
      <c r="I1854" s="876"/>
      <c r="J1854" s="878"/>
      <c r="K1854" s="880"/>
      <c r="L1854" s="882"/>
      <c r="M1854" s="884"/>
      <c r="N1854" s="56">
        <v>723</v>
      </c>
      <c r="O1854" s="79">
        <f>+M1853-O1853</f>
        <v>0</v>
      </c>
    </row>
    <row r="1855" spans="8:15" ht="12.75" customHeight="1">
      <c r="H1855" s="873"/>
      <c r="I1855" s="875"/>
      <c r="J1855" s="877"/>
      <c r="K1855" s="879"/>
      <c r="L1855" s="881"/>
      <c r="M1855" s="883"/>
      <c r="N1855" s="55">
        <v>719</v>
      </c>
      <c r="O1855" s="78"/>
    </row>
    <row r="1856" spans="8:15" ht="15.75" thickBot="1">
      <c r="H1856" s="874"/>
      <c r="I1856" s="876"/>
      <c r="J1856" s="878"/>
      <c r="K1856" s="880"/>
      <c r="L1856" s="882"/>
      <c r="M1856" s="884"/>
      <c r="N1856" s="56">
        <v>723</v>
      </c>
      <c r="O1856" s="79">
        <f>+M1855-O1855</f>
        <v>0</v>
      </c>
    </row>
    <row r="1857" spans="8:15" ht="16.5" thickBot="1">
      <c r="H1857" s="901" t="s">
        <v>102</v>
      </c>
      <c r="I1857" s="902"/>
      <c r="J1857" s="902"/>
      <c r="K1857" s="902"/>
      <c r="L1857" s="903"/>
      <c r="M1857" s="81">
        <f>SUM(M1847:M1856)</f>
        <v>-766240</v>
      </c>
    </row>
    <row r="1858" spans="8:15" ht="16.5" thickBot="1">
      <c r="H1858" s="885" t="s">
        <v>103</v>
      </c>
      <c r="I1858" s="886"/>
      <c r="J1858" s="886"/>
      <c r="K1858" s="886"/>
      <c r="L1858" s="887"/>
      <c r="M1858" s="69">
        <f>+M1822</f>
        <v>480958509</v>
      </c>
      <c r="N1858" s="241" t="s">
        <v>561</v>
      </c>
      <c r="O1858" s="242"/>
    </row>
    <row r="1859" spans="8:15" ht="16.5" thickBot="1">
      <c r="H1859" s="888" t="s">
        <v>104</v>
      </c>
      <c r="I1859" s="889"/>
      <c r="J1859" s="889"/>
      <c r="K1859" s="889"/>
      <c r="L1859" s="890"/>
      <c r="M1859" s="183">
        <f>SUM(M1857:M1858)</f>
        <v>480192269</v>
      </c>
    </row>
    <row r="1860" spans="8:15">
      <c r="H1860" s="61"/>
      <c r="I1860" s="61"/>
      <c r="J1860" s="61"/>
      <c r="K1860" s="61"/>
      <c r="L1860" s="61"/>
    </row>
    <row r="1861" spans="8:15">
      <c r="H1861" s="51" t="s">
        <v>978</v>
      </c>
    </row>
    <row r="1862" spans="8:15" ht="12" customHeight="1">
      <c r="M1862" s="139"/>
    </row>
    <row r="1863" spans="8:15">
      <c r="H1863" s="50" t="s">
        <v>105</v>
      </c>
      <c r="K1863" s="146"/>
      <c r="M1863" s="139"/>
    </row>
    <row r="1864" spans="8:15" ht="12" customHeight="1" thickBot="1"/>
    <row r="1865" spans="8:15" ht="15.75" thickBot="1">
      <c r="H1865" s="891" t="s">
        <v>106</v>
      </c>
      <c r="I1865" s="892"/>
      <c r="J1865" s="892"/>
      <c r="K1865" s="893"/>
      <c r="M1865" s="50" t="s">
        <v>288</v>
      </c>
    </row>
    <row r="1866" spans="8:15" ht="45.75" thickBot="1">
      <c r="H1866" s="57" t="s">
        <v>100</v>
      </c>
      <c r="I1866" s="58" t="s">
        <v>108</v>
      </c>
      <c r="J1866" s="287" t="s">
        <v>109</v>
      </c>
      <c r="K1866" s="60" t="s">
        <v>110</v>
      </c>
    </row>
    <row r="1867" spans="8:15">
      <c r="H1867" s="71">
        <v>719</v>
      </c>
      <c r="I1867" s="73">
        <f>+O1847+O1849+O1851+O1853+O1855</f>
        <v>0</v>
      </c>
      <c r="J1867" s="74">
        <f>+K1830</f>
        <v>51300000</v>
      </c>
      <c r="K1867" s="195">
        <f>+I1867+J1867</f>
        <v>51300000</v>
      </c>
    </row>
    <row r="1868" spans="8:15">
      <c r="H1868" s="72">
        <v>721</v>
      </c>
      <c r="I1868" s="80">
        <v>0</v>
      </c>
      <c r="J1868" s="74">
        <f>+K1831</f>
        <v>91544559</v>
      </c>
      <c r="K1868" s="195">
        <f>+I1868+J1868</f>
        <v>91544559</v>
      </c>
    </row>
    <row r="1869" spans="8:15">
      <c r="H1869" s="72">
        <v>722</v>
      </c>
      <c r="I1869" s="80"/>
      <c r="J1869" s="74">
        <f>+K1832</f>
        <v>0</v>
      </c>
      <c r="K1869" s="195">
        <f>+I1869+J1869</f>
        <v>0</v>
      </c>
    </row>
    <row r="1870" spans="8:15" ht="15.75">
      <c r="H1870" s="72">
        <v>723</v>
      </c>
      <c r="I1870" s="80">
        <f>+O1856+O1854+O1852+O1850+O1848</f>
        <v>-766240</v>
      </c>
      <c r="J1870" s="74">
        <f>+K1833</f>
        <v>338043950</v>
      </c>
      <c r="K1870" s="195">
        <f>+I1870+J1870</f>
        <v>337277710</v>
      </c>
      <c r="M1870" s="193" t="s">
        <v>289</v>
      </c>
      <c r="N1870" s="175"/>
    </row>
    <row r="1871" spans="8:15" ht="16.5" thickBot="1">
      <c r="H1871" s="164" t="s">
        <v>181</v>
      </c>
      <c r="I1871" s="165"/>
      <c r="J1871" s="74">
        <f>+K1834</f>
        <v>0</v>
      </c>
      <c r="K1871" s="196">
        <f>+I1871+J1871</f>
        <v>0</v>
      </c>
      <c r="M1871" s="52"/>
    </row>
    <row r="1872" spans="8:15" ht="16.5" thickBot="1">
      <c r="H1872" s="169"/>
      <c r="I1872" s="197">
        <f>SUM(I1867:I1871)</f>
        <v>-766240</v>
      </c>
      <c r="J1872" s="197">
        <f>SUM(J1867:J1871)</f>
        <v>480888509</v>
      </c>
      <c r="K1872" s="198">
        <f>SUM(K1867:K1871)</f>
        <v>480122269</v>
      </c>
    </row>
    <row r="1873" spans="8:15" ht="16.5">
      <c r="H1873" s="49" t="s">
        <v>88</v>
      </c>
      <c r="I1873" s="50"/>
    </row>
    <row r="1874" spans="8:15">
      <c r="H1874" s="51" t="s">
        <v>89</v>
      </c>
    </row>
    <row r="1875" spans="8:15">
      <c r="H1875" s="51" t="s">
        <v>90</v>
      </c>
    </row>
    <row r="1876" spans="8:15">
      <c r="H1876" s="51" t="s">
        <v>91</v>
      </c>
    </row>
    <row r="1877" spans="8:15">
      <c r="H1877" s="50"/>
      <c r="I1877" s="50"/>
    </row>
    <row r="1878" spans="8:15" ht="15.75">
      <c r="H1878" s="260" t="s">
        <v>977</v>
      </c>
      <c r="N1878" s="52"/>
    </row>
    <row r="1879" spans="8:15" ht="15.75">
      <c r="H1879" s="53" t="s">
        <v>535</v>
      </c>
      <c r="N1879" s="53"/>
    </row>
    <row r="1880" spans="8:15" ht="16.5">
      <c r="H1880" s="894" t="s">
        <v>967</v>
      </c>
      <c r="I1880" s="894"/>
      <c r="J1880" s="894"/>
      <c r="K1880" s="894"/>
      <c r="L1880" s="894"/>
      <c r="M1880" s="894"/>
      <c r="N1880" s="894"/>
      <c r="O1880" s="894"/>
    </row>
    <row r="1881" spans="8:15" ht="15.75" thickBot="1"/>
    <row r="1882" spans="8:15">
      <c r="H1882" s="895" t="s">
        <v>968</v>
      </c>
      <c r="I1882" s="897" t="s">
        <v>95</v>
      </c>
      <c r="J1882" s="897" t="s">
        <v>96</v>
      </c>
      <c r="K1882" s="897" t="s">
        <v>3</v>
      </c>
      <c r="L1882" s="897" t="s">
        <v>97</v>
      </c>
      <c r="M1882" s="897" t="s">
        <v>98</v>
      </c>
      <c r="N1882" s="897" t="s">
        <v>99</v>
      </c>
      <c r="O1882" s="899"/>
    </row>
    <row r="1883" spans="8:15" ht="15.75" thickBot="1">
      <c r="H1883" s="896"/>
      <c r="I1883" s="898"/>
      <c r="J1883" s="898"/>
      <c r="K1883" s="898"/>
      <c r="L1883" s="898"/>
      <c r="M1883" s="898"/>
      <c r="N1883" s="240" t="s">
        <v>100</v>
      </c>
      <c r="O1883" s="182" t="s">
        <v>101</v>
      </c>
    </row>
    <row r="1884" spans="8:15" ht="13.5" customHeight="1">
      <c r="H1884" s="873" t="s">
        <v>548</v>
      </c>
      <c r="I1884" s="875">
        <v>42520</v>
      </c>
      <c r="J1884" s="877" t="s">
        <v>701</v>
      </c>
      <c r="K1884" s="879" t="s">
        <v>556</v>
      </c>
      <c r="L1884" s="881" t="s">
        <v>148</v>
      </c>
      <c r="M1884" s="883">
        <v>-630000</v>
      </c>
      <c r="N1884" s="55">
        <v>719</v>
      </c>
      <c r="O1884" s="78"/>
    </row>
    <row r="1885" spans="8:15" ht="15.75" customHeight="1" thickBot="1">
      <c r="H1885" s="874"/>
      <c r="I1885" s="876"/>
      <c r="J1885" s="878"/>
      <c r="K1885" s="880"/>
      <c r="L1885" s="882"/>
      <c r="M1885" s="884"/>
      <c r="N1885" s="56">
        <v>723</v>
      </c>
      <c r="O1885" s="79">
        <f>+M1884-O1884</f>
        <v>-630000</v>
      </c>
    </row>
    <row r="1886" spans="8:15" ht="15" customHeight="1">
      <c r="H1886" s="873" t="s">
        <v>549</v>
      </c>
      <c r="I1886" s="875">
        <v>42520</v>
      </c>
      <c r="J1886" s="877" t="s">
        <v>673</v>
      </c>
      <c r="K1886" s="879" t="s">
        <v>556</v>
      </c>
      <c r="L1886" s="881" t="s">
        <v>148</v>
      </c>
      <c r="M1886" s="883">
        <v>-630000</v>
      </c>
      <c r="N1886" s="55">
        <v>719</v>
      </c>
      <c r="O1886" s="78"/>
    </row>
    <row r="1887" spans="8:15" ht="13.5" customHeight="1" thickBot="1">
      <c r="H1887" s="874"/>
      <c r="I1887" s="876"/>
      <c r="J1887" s="878"/>
      <c r="K1887" s="880"/>
      <c r="L1887" s="882"/>
      <c r="M1887" s="884"/>
      <c r="N1887" s="56">
        <v>723</v>
      </c>
      <c r="O1887" s="79">
        <f>+M1886-O1886</f>
        <v>-630000</v>
      </c>
    </row>
    <row r="1888" spans="8:15" ht="15" customHeight="1">
      <c r="H1888" s="873" t="s">
        <v>550</v>
      </c>
      <c r="I1888" s="875">
        <v>42520</v>
      </c>
      <c r="J1888" s="877" t="s">
        <v>729</v>
      </c>
      <c r="K1888" s="879" t="s">
        <v>556</v>
      </c>
      <c r="L1888" s="881" t="s">
        <v>148</v>
      </c>
      <c r="M1888" s="883">
        <v>-945000</v>
      </c>
      <c r="N1888" s="55">
        <v>719</v>
      </c>
      <c r="O1888" s="78"/>
    </row>
    <row r="1889" spans="8:15" ht="15.75" customHeight="1" thickBot="1">
      <c r="H1889" s="874"/>
      <c r="I1889" s="876"/>
      <c r="J1889" s="878"/>
      <c r="K1889" s="880"/>
      <c r="L1889" s="882"/>
      <c r="M1889" s="884"/>
      <c r="N1889" s="56">
        <v>723</v>
      </c>
      <c r="O1889" s="79">
        <f>+M1888-O1888</f>
        <v>-945000</v>
      </c>
    </row>
    <row r="1890" spans="8:15" ht="15" customHeight="1">
      <c r="H1890" s="873" t="s">
        <v>551</v>
      </c>
      <c r="I1890" s="875">
        <v>42520</v>
      </c>
      <c r="J1890" s="877" t="s">
        <v>694</v>
      </c>
      <c r="K1890" s="879" t="s">
        <v>556</v>
      </c>
      <c r="L1890" s="881" t="s">
        <v>148</v>
      </c>
      <c r="M1890" s="883">
        <v>-25611697</v>
      </c>
      <c r="N1890" s="55">
        <v>719</v>
      </c>
      <c r="O1890" s="78"/>
    </row>
    <row r="1891" spans="8:15" ht="15.75" customHeight="1" thickBot="1">
      <c r="H1891" s="874"/>
      <c r="I1891" s="876"/>
      <c r="J1891" s="878"/>
      <c r="K1891" s="880"/>
      <c r="L1891" s="882"/>
      <c r="M1891" s="884"/>
      <c r="N1891" s="56">
        <v>723</v>
      </c>
      <c r="O1891" s="79">
        <f>+M1890-O1890</f>
        <v>-25611697</v>
      </c>
    </row>
    <row r="1892" spans="8:15" ht="12" customHeight="1">
      <c r="H1892" s="873"/>
      <c r="I1892" s="875"/>
      <c r="J1892" s="877"/>
      <c r="K1892" s="879"/>
      <c r="L1892" s="881"/>
      <c r="M1892" s="883"/>
      <c r="N1892" s="55">
        <v>719</v>
      </c>
      <c r="O1892" s="78"/>
    </row>
    <row r="1893" spans="8:15" ht="12" customHeight="1" thickBot="1">
      <c r="H1893" s="874"/>
      <c r="I1893" s="876"/>
      <c r="J1893" s="878"/>
      <c r="K1893" s="880"/>
      <c r="L1893" s="882"/>
      <c r="M1893" s="884"/>
      <c r="N1893" s="56">
        <v>723</v>
      </c>
      <c r="O1893" s="79">
        <f>+M1892-O1892</f>
        <v>0</v>
      </c>
    </row>
    <row r="1894" spans="8:15" ht="16.5" thickBot="1">
      <c r="H1894" s="901" t="s">
        <v>102</v>
      </c>
      <c r="I1894" s="902"/>
      <c r="J1894" s="902"/>
      <c r="K1894" s="902"/>
      <c r="L1894" s="903"/>
      <c r="M1894" s="81">
        <f>SUM(M1884:M1893)</f>
        <v>-27816697</v>
      </c>
    </row>
    <row r="1895" spans="8:15" ht="16.5" thickBot="1">
      <c r="H1895" s="885" t="s">
        <v>103</v>
      </c>
      <c r="I1895" s="886"/>
      <c r="J1895" s="886"/>
      <c r="K1895" s="886"/>
      <c r="L1895" s="887"/>
      <c r="M1895" s="69">
        <f>+M1859</f>
        <v>480192269</v>
      </c>
      <c r="N1895" s="241" t="s">
        <v>561</v>
      </c>
      <c r="O1895" s="242"/>
    </row>
    <row r="1896" spans="8:15" ht="16.5" thickBot="1">
      <c r="H1896" s="888" t="s">
        <v>104</v>
      </c>
      <c r="I1896" s="889"/>
      <c r="J1896" s="889"/>
      <c r="K1896" s="889"/>
      <c r="L1896" s="890"/>
      <c r="M1896" s="183">
        <f>SUM(M1894:M1895)</f>
        <v>452375572</v>
      </c>
    </row>
    <row r="1897" spans="8:15">
      <c r="H1897" s="61"/>
      <c r="I1897" s="61"/>
      <c r="J1897" s="61"/>
      <c r="K1897" s="61"/>
      <c r="L1897" s="61"/>
    </row>
    <row r="1898" spans="8:15">
      <c r="H1898" s="51" t="s">
        <v>989</v>
      </c>
    </row>
    <row r="1899" spans="8:15">
      <c r="M1899" s="139"/>
    </row>
    <row r="1900" spans="8:15">
      <c r="H1900" s="50" t="s">
        <v>105</v>
      </c>
      <c r="K1900" s="146"/>
      <c r="M1900" s="139"/>
    </row>
    <row r="1901" spans="8:15" ht="15.75" thickBot="1"/>
    <row r="1902" spans="8:15" ht="15.75" thickBot="1">
      <c r="H1902" s="891" t="s">
        <v>106</v>
      </c>
      <c r="I1902" s="892"/>
      <c r="J1902" s="892"/>
      <c r="K1902" s="893"/>
      <c r="M1902" s="50" t="s">
        <v>288</v>
      </c>
    </row>
    <row r="1903" spans="8:15" ht="45.75" thickBot="1">
      <c r="H1903" s="57" t="s">
        <v>100</v>
      </c>
      <c r="I1903" s="58" t="s">
        <v>108</v>
      </c>
      <c r="J1903" s="287" t="s">
        <v>109</v>
      </c>
      <c r="K1903" s="60" t="s">
        <v>110</v>
      </c>
    </row>
    <row r="1904" spans="8:15">
      <c r="H1904" s="71">
        <v>719</v>
      </c>
      <c r="I1904" s="73">
        <f>+O1884+O1886+O1890</f>
        <v>0</v>
      </c>
      <c r="J1904" s="74">
        <f>+K1867</f>
        <v>51300000</v>
      </c>
      <c r="K1904" s="195">
        <f>+I1904+J1904</f>
        <v>51300000</v>
      </c>
    </row>
    <row r="1905" spans="8:15">
      <c r="H1905" s="72">
        <v>721</v>
      </c>
      <c r="I1905" s="80">
        <v>0</v>
      </c>
      <c r="J1905" s="74">
        <f>+K1868</f>
        <v>91544559</v>
      </c>
      <c r="K1905" s="195">
        <f>+I1905+J1905</f>
        <v>91544559</v>
      </c>
    </row>
    <row r="1906" spans="8:15">
      <c r="H1906" s="72">
        <v>722</v>
      </c>
      <c r="I1906" s="80"/>
      <c r="J1906" s="74">
        <f>+K1869</f>
        <v>0</v>
      </c>
      <c r="K1906" s="195">
        <f>+I1906+J1906</f>
        <v>0</v>
      </c>
    </row>
    <row r="1907" spans="8:15" ht="15.75">
      <c r="H1907" s="72">
        <v>723</v>
      </c>
      <c r="I1907" s="80">
        <f>+O1891+O1887+O1885+O1889</f>
        <v>-27816697</v>
      </c>
      <c r="J1907" s="74">
        <f>+K1870</f>
        <v>337277710</v>
      </c>
      <c r="K1907" s="195">
        <f>+I1907+J1907</f>
        <v>309461013</v>
      </c>
      <c r="M1907" s="193" t="s">
        <v>289</v>
      </c>
      <c r="N1907" s="175"/>
    </row>
    <row r="1908" spans="8:15" ht="16.5" thickBot="1">
      <c r="H1908" s="164" t="s">
        <v>181</v>
      </c>
      <c r="I1908" s="165"/>
      <c r="J1908" s="74">
        <f>+K1871</f>
        <v>0</v>
      </c>
      <c r="K1908" s="196">
        <f>+I1908+J1908</f>
        <v>0</v>
      </c>
      <c r="M1908" s="52"/>
    </row>
    <row r="1909" spans="8:15" ht="16.5" thickBot="1">
      <c r="H1909" s="169"/>
      <c r="I1909" s="197">
        <f>SUM(I1904:I1908)</f>
        <v>-27816697</v>
      </c>
      <c r="J1909" s="197">
        <f>SUM(J1904:J1908)</f>
        <v>480122269</v>
      </c>
      <c r="K1909" s="198">
        <f>SUM(K1904:K1908)</f>
        <v>452305572</v>
      </c>
    </row>
    <row r="1910" spans="8:15" ht="16.5">
      <c r="H1910" s="49" t="s">
        <v>88</v>
      </c>
      <c r="I1910" s="50"/>
    </row>
    <row r="1911" spans="8:15">
      <c r="H1911" s="51" t="s">
        <v>89</v>
      </c>
    </row>
    <row r="1912" spans="8:15">
      <c r="H1912" s="51" t="s">
        <v>90</v>
      </c>
    </row>
    <row r="1913" spans="8:15">
      <c r="H1913" s="51" t="s">
        <v>91</v>
      </c>
    </row>
    <row r="1914" spans="8:15">
      <c r="H1914" s="50"/>
      <c r="I1914" s="50"/>
    </row>
    <row r="1915" spans="8:15" ht="15.75">
      <c r="H1915" s="260" t="s">
        <v>980</v>
      </c>
      <c r="N1915" s="52"/>
    </row>
    <row r="1916" spans="8:15" ht="15.75">
      <c r="H1916" s="53" t="s">
        <v>535</v>
      </c>
      <c r="N1916" s="53"/>
    </row>
    <row r="1917" spans="8:15" ht="16.5">
      <c r="H1917" s="894" t="s">
        <v>909</v>
      </c>
      <c r="I1917" s="894"/>
      <c r="J1917" s="894"/>
      <c r="K1917" s="894"/>
      <c r="L1917" s="894"/>
      <c r="M1917" s="894"/>
      <c r="N1917" s="894"/>
      <c r="O1917" s="894"/>
    </row>
    <row r="1918" spans="8:15" ht="15.75" thickBot="1"/>
    <row r="1919" spans="8:15">
      <c r="H1919" s="895" t="s">
        <v>94</v>
      </c>
      <c r="I1919" s="897" t="s">
        <v>95</v>
      </c>
      <c r="J1919" s="897" t="s">
        <v>96</v>
      </c>
      <c r="K1919" s="897" t="s">
        <v>3</v>
      </c>
      <c r="L1919" s="897" t="s">
        <v>97</v>
      </c>
      <c r="M1919" s="897" t="s">
        <v>98</v>
      </c>
      <c r="N1919" s="897" t="s">
        <v>99</v>
      </c>
      <c r="O1919" s="899"/>
    </row>
    <row r="1920" spans="8:15" ht="15.75" thickBot="1">
      <c r="H1920" s="896"/>
      <c r="I1920" s="898"/>
      <c r="J1920" s="898"/>
      <c r="K1920" s="898"/>
      <c r="L1920" s="898"/>
      <c r="M1920" s="898"/>
      <c r="N1920" s="240" t="s">
        <v>100</v>
      </c>
      <c r="O1920" s="182" t="s">
        <v>101</v>
      </c>
    </row>
    <row r="1921" spans="8:15">
      <c r="H1921" s="881">
        <v>212</v>
      </c>
      <c r="I1921" s="875">
        <v>42549</v>
      </c>
      <c r="J1921" s="877" t="s">
        <v>272</v>
      </c>
      <c r="K1921" s="879" t="s">
        <v>983</v>
      </c>
      <c r="L1921" s="881" t="s">
        <v>115</v>
      </c>
      <c r="M1921" s="883">
        <v>140000</v>
      </c>
      <c r="N1921" s="55">
        <v>719</v>
      </c>
      <c r="O1921" s="78">
        <v>140000</v>
      </c>
    </row>
    <row r="1922" spans="8:15" ht="15.75" thickBot="1">
      <c r="H1922" s="882"/>
      <c r="I1922" s="876"/>
      <c r="J1922" s="878"/>
      <c r="K1922" s="880"/>
      <c r="L1922" s="882"/>
      <c r="M1922" s="884"/>
      <c r="N1922" s="56">
        <v>721</v>
      </c>
      <c r="O1922" s="79">
        <f>+M1921-O1921</f>
        <v>0</v>
      </c>
    </row>
    <row r="1923" spans="8:15" ht="15" customHeight="1">
      <c r="H1923" s="881">
        <v>213</v>
      </c>
      <c r="I1923" s="875">
        <v>42549</v>
      </c>
      <c r="J1923" s="877" t="s">
        <v>28</v>
      </c>
      <c r="K1923" s="879" t="s">
        <v>982</v>
      </c>
      <c r="L1923" s="881" t="s">
        <v>115</v>
      </c>
      <c r="M1923" s="883">
        <v>40000</v>
      </c>
      <c r="N1923" s="55">
        <v>719</v>
      </c>
      <c r="O1923" s="78">
        <v>40000</v>
      </c>
    </row>
    <row r="1924" spans="8:15" ht="15.75" customHeight="1" thickBot="1">
      <c r="H1924" s="882"/>
      <c r="I1924" s="876"/>
      <c r="J1924" s="878"/>
      <c r="K1924" s="880"/>
      <c r="L1924" s="882"/>
      <c r="M1924" s="884"/>
      <c r="N1924" s="56">
        <v>721</v>
      </c>
      <c r="O1924" s="79">
        <f>+M1923-O1923</f>
        <v>0</v>
      </c>
    </row>
    <row r="1925" spans="8:15" ht="15" customHeight="1">
      <c r="H1925" s="881">
        <v>214</v>
      </c>
      <c r="I1925" s="875">
        <v>42549</v>
      </c>
      <c r="J1925" s="877" t="s">
        <v>120</v>
      </c>
      <c r="K1925" s="879" t="s">
        <v>984</v>
      </c>
      <c r="L1925" s="881" t="s">
        <v>115</v>
      </c>
      <c r="M1925" s="883">
        <v>30000</v>
      </c>
      <c r="N1925" s="55">
        <v>719</v>
      </c>
      <c r="O1925" s="78">
        <v>30000</v>
      </c>
    </row>
    <row r="1926" spans="8:15" ht="15.75" customHeight="1" thickBot="1">
      <c r="H1926" s="882"/>
      <c r="I1926" s="876"/>
      <c r="J1926" s="878"/>
      <c r="K1926" s="880"/>
      <c r="L1926" s="882"/>
      <c r="M1926" s="884"/>
      <c r="N1926" s="56">
        <v>721</v>
      </c>
      <c r="O1926" s="79">
        <f>+M1925-O1925</f>
        <v>0</v>
      </c>
    </row>
    <row r="1927" spans="8:15" ht="15" customHeight="1">
      <c r="H1927" s="881">
        <v>215</v>
      </c>
      <c r="I1927" s="875">
        <v>42549</v>
      </c>
      <c r="J1927" s="877" t="s">
        <v>272</v>
      </c>
      <c r="K1927" s="879" t="s">
        <v>985</v>
      </c>
      <c r="L1927" s="881" t="s">
        <v>115</v>
      </c>
      <c r="M1927" s="883">
        <v>200000</v>
      </c>
      <c r="N1927" s="55">
        <v>719</v>
      </c>
      <c r="O1927" s="78">
        <v>200000</v>
      </c>
    </row>
    <row r="1928" spans="8:15" ht="15.75" customHeight="1" thickBot="1">
      <c r="H1928" s="882"/>
      <c r="I1928" s="876"/>
      <c r="J1928" s="878"/>
      <c r="K1928" s="880"/>
      <c r="L1928" s="882"/>
      <c r="M1928" s="884"/>
      <c r="N1928" s="56">
        <v>721</v>
      </c>
      <c r="O1928" s="79">
        <f>+M1927-O1927</f>
        <v>0</v>
      </c>
    </row>
    <row r="1929" spans="8:15" ht="15" customHeight="1">
      <c r="H1929" s="881"/>
      <c r="I1929" s="875"/>
      <c r="J1929" s="877"/>
      <c r="K1929" s="881"/>
      <c r="L1929" s="881"/>
      <c r="M1929" s="883"/>
      <c r="N1929" s="55">
        <v>719</v>
      </c>
      <c r="O1929" s="78"/>
    </row>
    <row r="1930" spans="8:15" ht="12" customHeight="1" thickBot="1">
      <c r="H1930" s="882"/>
      <c r="I1930" s="876"/>
      <c r="J1930" s="878"/>
      <c r="K1930" s="882"/>
      <c r="L1930" s="882"/>
      <c r="M1930" s="884"/>
      <c r="N1930" s="56">
        <v>721</v>
      </c>
      <c r="O1930" s="79">
        <f>+M1929-O1929</f>
        <v>0</v>
      </c>
    </row>
    <row r="1931" spans="8:15" ht="16.5" thickBot="1">
      <c r="H1931" s="901" t="s">
        <v>102</v>
      </c>
      <c r="I1931" s="902"/>
      <c r="J1931" s="902"/>
      <c r="K1931" s="902"/>
      <c r="L1931" s="903"/>
      <c r="M1931" s="81">
        <f>SUM(M1921:M1930)</f>
        <v>410000</v>
      </c>
    </row>
    <row r="1932" spans="8:15" ht="16.5" thickBot="1">
      <c r="H1932" s="885" t="s">
        <v>103</v>
      </c>
      <c r="I1932" s="886"/>
      <c r="J1932" s="886"/>
      <c r="K1932" s="886"/>
      <c r="L1932" s="887"/>
      <c r="M1932" s="69">
        <f>+M1896</f>
        <v>452375572</v>
      </c>
      <c r="N1932" s="241" t="s">
        <v>561</v>
      </c>
      <c r="O1932" s="242">
        <f>649+441+67+12</f>
        <v>1169</v>
      </c>
    </row>
    <row r="1933" spans="8:15" ht="16.5" thickBot="1">
      <c r="H1933" s="888" t="s">
        <v>104</v>
      </c>
      <c r="I1933" s="889"/>
      <c r="J1933" s="889"/>
      <c r="K1933" s="889"/>
      <c r="L1933" s="890"/>
      <c r="M1933" s="183">
        <f>SUM(M1931:M1932)</f>
        <v>452785572</v>
      </c>
    </row>
    <row r="1934" spans="8:15">
      <c r="H1934" s="61"/>
      <c r="I1934" s="61"/>
      <c r="J1934" s="61"/>
      <c r="K1934" s="61"/>
      <c r="L1934" s="61"/>
    </row>
    <row r="1935" spans="8:15">
      <c r="H1935" s="51" t="s">
        <v>990</v>
      </c>
    </row>
    <row r="1936" spans="8:15" ht="12" customHeight="1">
      <c r="M1936" s="139"/>
    </row>
    <row r="1937" spans="8:14">
      <c r="H1937" s="50" t="s">
        <v>105</v>
      </c>
      <c r="K1937" s="146"/>
      <c r="M1937" s="139"/>
    </row>
    <row r="1938" spans="8:14" ht="12.75" customHeight="1" thickBot="1"/>
    <row r="1939" spans="8:14" ht="15.75" thickBot="1">
      <c r="H1939" s="891" t="s">
        <v>106</v>
      </c>
      <c r="I1939" s="892"/>
      <c r="J1939" s="892"/>
      <c r="K1939" s="893"/>
      <c r="M1939" s="50" t="s">
        <v>288</v>
      </c>
    </row>
    <row r="1940" spans="8:14" ht="45.75" thickBot="1">
      <c r="H1940" s="57" t="s">
        <v>100</v>
      </c>
      <c r="I1940" s="58" t="s">
        <v>108</v>
      </c>
      <c r="J1940" s="287" t="s">
        <v>109</v>
      </c>
      <c r="K1940" s="60" t="s">
        <v>110</v>
      </c>
    </row>
    <row r="1941" spans="8:14">
      <c r="H1941" s="71">
        <v>719</v>
      </c>
      <c r="I1941" s="73">
        <f>+O1921+O1923+O1925+O1927+O1929</f>
        <v>410000</v>
      </c>
      <c r="J1941" s="74">
        <f>+K1904</f>
        <v>51300000</v>
      </c>
      <c r="K1941" s="195">
        <f>+I1941+J1941</f>
        <v>51710000</v>
      </c>
    </row>
    <row r="1942" spans="8:14">
      <c r="H1942" s="72">
        <v>721</v>
      </c>
      <c r="I1942" s="80">
        <f>+O1922+O1924+O1926+O1928</f>
        <v>0</v>
      </c>
      <c r="J1942" s="74">
        <f>+K1905</f>
        <v>91544559</v>
      </c>
      <c r="K1942" s="195">
        <f>+I1942+J1942</f>
        <v>91544559</v>
      </c>
    </row>
    <row r="1943" spans="8:14">
      <c r="H1943" s="72">
        <v>722</v>
      </c>
      <c r="I1943" s="80"/>
      <c r="J1943" s="74">
        <f>+K1906</f>
        <v>0</v>
      </c>
      <c r="K1943" s="195">
        <f>+I1943+J1943</f>
        <v>0</v>
      </c>
    </row>
    <row r="1944" spans="8:14" ht="15.75">
      <c r="H1944" s="72">
        <v>723</v>
      </c>
      <c r="I1944" s="80"/>
      <c r="J1944" s="74">
        <f>+K1907</f>
        <v>309461013</v>
      </c>
      <c r="K1944" s="195">
        <f>+I1944+J1944</f>
        <v>309461013</v>
      </c>
      <c r="M1944" s="193" t="s">
        <v>289</v>
      </c>
      <c r="N1944" s="175"/>
    </row>
    <row r="1945" spans="8:14" ht="16.5" thickBot="1">
      <c r="H1945" s="164" t="s">
        <v>181</v>
      </c>
      <c r="I1945" s="165"/>
      <c r="J1945" s="74">
        <f>+K1908</f>
        <v>0</v>
      </c>
      <c r="K1945" s="196">
        <f>+I1945+J1945</f>
        <v>0</v>
      </c>
      <c r="M1945" s="52"/>
    </row>
    <row r="1946" spans="8:14" ht="16.5" thickBot="1">
      <c r="H1946" s="169"/>
      <c r="I1946" s="197">
        <f>SUM(I1941:I1945)</f>
        <v>410000</v>
      </c>
      <c r="J1946" s="197">
        <f>SUM(J1941:J1945)</f>
        <v>452305572</v>
      </c>
      <c r="K1946" s="198">
        <f>SUM(K1941:K1945)</f>
        <v>452715572</v>
      </c>
    </row>
    <row r="1947" spans="8:14" ht="16.5">
      <c r="H1947" s="49" t="s">
        <v>88</v>
      </c>
      <c r="I1947" s="50"/>
    </row>
    <row r="1948" spans="8:14">
      <c r="H1948" s="51" t="s">
        <v>89</v>
      </c>
    </row>
    <row r="1949" spans="8:14">
      <c r="H1949" s="51" t="s">
        <v>90</v>
      </c>
    </row>
    <row r="1950" spans="8:14">
      <c r="H1950" s="51" t="s">
        <v>91</v>
      </c>
    </row>
    <row r="1951" spans="8:14" ht="11.25" customHeight="1">
      <c r="H1951" s="50"/>
      <c r="I1951" s="50"/>
    </row>
    <row r="1952" spans="8:14" ht="15.75">
      <c r="H1952" s="260" t="s">
        <v>981</v>
      </c>
      <c r="N1952" s="52"/>
    </row>
    <row r="1953" spans="8:15" ht="15.75">
      <c r="H1953" s="53" t="s">
        <v>535</v>
      </c>
      <c r="N1953" s="53"/>
    </row>
    <row r="1954" spans="8:15" ht="16.5">
      <c r="H1954" s="894" t="s">
        <v>909</v>
      </c>
      <c r="I1954" s="894"/>
      <c r="J1954" s="894"/>
      <c r="K1954" s="894"/>
      <c r="L1954" s="894"/>
      <c r="M1954" s="894"/>
      <c r="N1954" s="894"/>
      <c r="O1954" s="894"/>
    </row>
    <row r="1955" spans="8:15" ht="15.75" thickBot="1"/>
    <row r="1956" spans="8:15">
      <c r="H1956" s="895" t="s">
        <v>94</v>
      </c>
      <c r="I1956" s="897" t="s">
        <v>95</v>
      </c>
      <c r="J1956" s="897" t="s">
        <v>96</v>
      </c>
      <c r="K1956" s="897" t="s">
        <v>3</v>
      </c>
      <c r="L1956" s="897" t="s">
        <v>97</v>
      </c>
      <c r="M1956" s="897" t="s">
        <v>98</v>
      </c>
      <c r="N1956" s="897" t="s">
        <v>99</v>
      </c>
      <c r="O1956" s="899"/>
    </row>
    <row r="1957" spans="8:15" ht="15.75" thickBot="1">
      <c r="H1957" s="896"/>
      <c r="I1957" s="898"/>
      <c r="J1957" s="898"/>
      <c r="K1957" s="898"/>
      <c r="L1957" s="898"/>
      <c r="M1957" s="898"/>
      <c r="N1957" s="240" t="s">
        <v>100</v>
      </c>
      <c r="O1957" s="182" t="s">
        <v>101</v>
      </c>
    </row>
    <row r="1958" spans="8:15" ht="15" customHeight="1">
      <c r="H1958" s="881">
        <v>216</v>
      </c>
      <c r="I1958" s="875">
        <v>42549</v>
      </c>
      <c r="J1958" s="877" t="s">
        <v>272</v>
      </c>
      <c r="K1958" s="879" t="s">
        <v>986</v>
      </c>
      <c r="L1958" s="881" t="s">
        <v>115</v>
      </c>
      <c r="M1958" s="883">
        <v>60000</v>
      </c>
      <c r="N1958" s="55">
        <v>719</v>
      </c>
      <c r="O1958" s="78">
        <v>60000</v>
      </c>
    </row>
    <row r="1959" spans="8:15" ht="15.75" customHeight="1" thickBot="1">
      <c r="H1959" s="882"/>
      <c r="I1959" s="876"/>
      <c r="J1959" s="878"/>
      <c r="K1959" s="880"/>
      <c r="L1959" s="882"/>
      <c r="M1959" s="884"/>
      <c r="N1959" s="56">
        <v>721</v>
      </c>
      <c r="O1959" s="79">
        <f>+M1958-O1958</f>
        <v>0</v>
      </c>
    </row>
    <row r="1960" spans="8:15" ht="15" customHeight="1">
      <c r="H1960" s="881">
        <v>217</v>
      </c>
      <c r="I1960" s="875">
        <v>42549</v>
      </c>
      <c r="J1960" s="877" t="s">
        <v>28</v>
      </c>
      <c r="K1960" s="879" t="s">
        <v>987</v>
      </c>
      <c r="L1960" s="881" t="s">
        <v>115</v>
      </c>
      <c r="M1960" s="883">
        <v>50000</v>
      </c>
      <c r="N1960" s="55">
        <v>719</v>
      </c>
      <c r="O1960" s="78">
        <v>50000</v>
      </c>
    </row>
    <row r="1961" spans="8:15" ht="15.75" customHeight="1" thickBot="1">
      <c r="H1961" s="882"/>
      <c r="I1961" s="876"/>
      <c r="J1961" s="878"/>
      <c r="K1961" s="880"/>
      <c r="L1961" s="882"/>
      <c r="M1961" s="884"/>
      <c r="N1961" s="56">
        <v>721</v>
      </c>
      <c r="O1961" s="79">
        <f>+M1960-O1960</f>
        <v>0</v>
      </c>
    </row>
    <row r="1962" spans="8:15" ht="15" customHeight="1">
      <c r="H1962" s="881">
        <v>218</v>
      </c>
      <c r="I1962" s="875">
        <v>42549</v>
      </c>
      <c r="J1962" s="877" t="s">
        <v>28</v>
      </c>
      <c r="K1962" s="879" t="s">
        <v>988</v>
      </c>
      <c r="L1962" s="881" t="s">
        <v>115</v>
      </c>
      <c r="M1962" s="883">
        <v>40000</v>
      </c>
      <c r="N1962" s="55">
        <v>719</v>
      </c>
      <c r="O1962" s="78">
        <v>40000</v>
      </c>
    </row>
    <row r="1963" spans="8:15" ht="15.75" customHeight="1" thickBot="1">
      <c r="H1963" s="882"/>
      <c r="I1963" s="876"/>
      <c r="J1963" s="878"/>
      <c r="K1963" s="880"/>
      <c r="L1963" s="882"/>
      <c r="M1963" s="884"/>
      <c r="N1963" s="56">
        <v>721</v>
      </c>
      <c r="O1963" s="79">
        <f>+M1962-O1962</f>
        <v>0</v>
      </c>
    </row>
    <row r="1964" spans="8:15" ht="15" customHeight="1">
      <c r="H1964" s="881"/>
      <c r="I1964" s="875"/>
      <c r="J1964" s="877"/>
      <c r="K1964" s="879"/>
      <c r="L1964" s="881"/>
      <c r="M1964" s="883"/>
      <c r="N1964" s="55">
        <v>719</v>
      </c>
      <c r="O1964" s="78">
        <v>0</v>
      </c>
    </row>
    <row r="1965" spans="8:15" ht="15.75" customHeight="1" thickBot="1">
      <c r="H1965" s="882"/>
      <c r="I1965" s="876"/>
      <c r="J1965" s="878"/>
      <c r="K1965" s="880"/>
      <c r="L1965" s="882"/>
      <c r="M1965" s="884"/>
      <c r="N1965" s="56">
        <v>721</v>
      </c>
      <c r="O1965" s="79">
        <f>+M1964-O1964</f>
        <v>0</v>
      </c>
    </row>
    <row r="1966" spans="8:15">
      <c r="H1966" s="881"/>
      <c r="I1966" s="875"/>
      <c r="J1966" s="877"/>
      <c r="K1966" s="881"/>
      <c r="L1966" s="881"/>
      <c r="M1966" s="883"/>
      <c r="N1966" s="55">
        <v>719</v>
      </c>
      <c r="O1966" s="78"/>
    </row>
    <row r="1967" spans="8:15" ht="15.75" thickBot="1">
      <c r="H1967" s="882"/>
      <c r="I1967" s="876"/>
      <c r="J1967" s="878"/>
      <c r="K1967" s="882"/>
      <c r="L1967" s="882"/>
      <c r="M1967" s="884"/>
      <c r="N1967" s="56">
        <v>721</v>
      </c>
      <c r="O1967" s="79">
        <f>+M1966-O1966</f>
        <v>0</v>
      </c>
    </row>
    <row r="1968" spans="8:15" ht="16.5" thickBot="1">
      <c r="H1968" s="901" t="s">
        <v>102</v>
      </c>
      <c r="I1968" s="902"/>
      <c r="J1968" s="902"/>
      <c r="K1968" s="902"/>
      <c r="L1968" s="903"/>
      <c r="M1968" s="81">
        <f>SUM(M1958:M1967)</f>
        <v>150000</v>
      </c>
    </row>
    <row r="1969" spans="8:15" ht="16.5" thickBot="1">
      <c r="H1969" s="885" t="s">
        <v>103</v>
      </c>
      <c r="I1969" s="886"/>
      <c r="J1969" s="886"/>
      <c r="K1969" s="886"/>
      <c r="L1969" s="887"/>
      <c r="M1969" s="69">
        <f>+M1933</f>
        <v>452785572</v>
      </c>
      <c r="N1969" s="241" t="s">
        <v>561</v>
      </c>
      <c r="O1969" s="242">
        <f>314+120+93</f>
        <v>527</v>
      </c>
    </row>
    <row r="1970" spans="8:15" ht="16.5" thickBot="1">
      <c r="H1970" s="888" t="s">
        <v>104</v>
      </c>
      <c r="I1970" s="889"/>
      <c r="J1970" s="889"/>
      <c r="K1970" s="889"/>
      <c r="L1970" s="890"/>
      <c r="M1970" s="183">
        <f>SUM(M1968:M1969)</f>
        <v>452935572</v>
      </c>
    </row>
    <row r="1971" spans="8:15" ht="14.25" customHeight="1">
      <c r="H1971" s="61"/>
      <c r="I1971" s="61"/>
      <c r="J1971" s="61"/>
      <c r="K1971" s="61"/>
      <c r="L1971" s="61"/>
    </row>
    <row r="1972" spans="8:15">
      <c r="H1972" s="51" t="s">
        <v>991</v>
      </c>
    </row>
    <row r="1973" spans="8:15" ht="11.25" customHeight="1">
      <c r="M1973" s="139"/>
    </row>
    <row r="1974" spans="8:15">
      <c r="H1974" s="50" t="s">
        <v>105</v>
      </c>
      <c r="K1974" s="146"/>
      <c r="M1974" s="139"/>
    </row>
    <row r="1975" spans="8:15" ht="12" customHeight="1" thickBot="1"/>
    <row r="1976" spans="8:15" ht="15.75" thickBot="1">
      <c r="H1976" s="891" t="s">
        <v>106</v>
      </c>
      <c r="I1976" s="892"/>
      <c r="J1976" s="892"/>
      <c r="K1976" s="893"/>
      <c r="M1976" s="50" t="s">
        <v>288</v>
      </c>
    </row>
    <row r="1977" spans="8:15" ht="45.75" thickBot="1">
      <c r="H1977" s="57" t="s">
        <v>100</v>
      </c>
      <c r="I1977" s="58" t="s">
        <v>108</v>
      </c>
      <c r="J1977" s="287" t="s">
        <v>109</v>
      </c>
      <c r="K1977" s="60" t="s">
        <v>110</v>
      </c>
    </row>
    <row r="1978" spans="8:15">
      <c r="H1978" s="71">
        <v>719</v>
      </c>
      <c r="I1978" s="73">
        <f>+O1958+O1960+O1962+O1964+O1966</f>
        <v>150000</v>
      </c>
      <c r="J1978" s="74">
        <f>+K1941</f>
        <v>51710000</v>
      </c>
      <c r="K1978" s="195">
        <f>+I1978+J1978</f>
        <v>51860000</v>
      </c>
    </row>
    <row r="1979" spans="8:15">
      <c r="H1979" s="72">
        <v>721</v>
      </c>
      <c r="I1979" s="80">
        <f>+O1959+O1961+O1963+O1965</f>
        <v>0</v>
      </c>
      <c r="J1979" s="74">
        <f>+K1942</f>
        <v>91544559</v>
      </c>
      <c r="K1979" s="195">
        <f>+I1979+J1979</f>
        <v>91544559</v>
      </c>
    </row>
    <row r="1980" spans="8:15">
      <c r="H1980" s="72">
        <v>722</v>
      </c>
      <c r="I1980" s="80"/>
      <c r="J1980" s="74">
        <f>+K1943</f>
        <v>0</v>
      </c>
      <c r="K1980" s="195">
        <f>+I1980+J1980</f>
        <v>0</v>
      </c>
    </row>
    <row r="1981" spans="8:15" ht="15.75">
      <c r="H1981" s="72">
        <v>723</v>
      </c>
      <c r="I1981" s="80"/>
      <c r="J1981" s="74">
        <f>+K1944</f>
        <v>309461013</v>
      </c>
      <c r="K1981" s="195">
        <f>+I1981+J1981</f>
        <v>309461013</v>
      </c>
      <c r="M1981" s="193" t="s">
        <v>289</v>
      </c>
      <c r="N1981" s="175"/>
    </row>
    <row r="1982" spans="8:15" ht="16.5" thickBot="1">
      <c r="H1982" s="164" t="s">
        <v>181</v>
      </c>
      <c r="I1982" s="165"/>
      <c r="J1982" s="74">
        <f>+K1945</f>
        <v>0</v>
      </c>
      <c r="K1982" s="196">
        <f>+I1982+J1982</f>
        <v>0</v>
      </c>
      <c r="M1982" s="52"/>
    </row>
    <row r="1983" spans="8:15" ht="16.5" thickBot="1">
      <c r="H1983" s="169"/>
      <c r="I1983" s="197">
        <f>SUM(I1978:I1982)</f>
        <v>150000</v>
      </c>
      <c r="J1983" s="197">
        <f>SUM(J1978:J1982)</f>
        <v>452715572</v>
      </c>
      <c r="K1983" s="198">
        <f>SUM(K1978:K1982)</f>
        <v>452865572</v>
      </c>
    </row>
    <row r="1984" spans="8:15" ht="16.5">
      <c r="H1984" s="49" t="s">
        <v>88</v>
      </c>
      <c r="I1984" s="50"/>
    </row>
    <row r="1985" spans="8:15">
      <c r="H1985" s="51" t="s">
        <v>89</v>
      </c>
    </row>
    <row r="1986" spans="8:15">
      <c r="H1986" s="51" t="s">
        <v>90</v>
      </c>
    </row>
    <row r="1987" spans="8:15">
      <c r="H1987" s="51" t="s">
        <v>91</v>
      </c>
    </row>
    <row r="1988" spans="8:15" ht="11.25" customHeight="1">
      <c r="H1988" s="50"/>
      <c r="I1988" s="50"/>
    </row>
    <row r="1989" spans="8:15" ht="15.75">
      <c r="H1989" s="260" t="s">
        <v>992</v>
      </c>
      <c r="N1989" s="52"/>
    </row>
    <row r="1990" spans="8:15" ht="15.75">
      <c r="H1990" s="53" t="s">
        <v>535</v>
      </c>
      <c r="N1990" s="53"/>
    </row>
    <row r="1991" spans="8:15" ht="16.5">
      <c r="H1991" s="894" t="s">
        <v>909</v>
      </c>
      <c r="I1991" s="894"/>
      <c r="J1991" s="894"/>
      <c r="K1991" s="894"/>
      <c r="L1991" s="894"/>
      <c r="M1991" s="894"/>
      <c r="N1991" s="894"/>
      <c r="O1991" s="894"/>
    </row>
    <row r="1992" spans="8:15" ht="15.75" thickBot="1"/>
    <row r="1993" spans="8:15">
      <c r="H1993" s="895" t="s">
        <v>94</v>
      </c>
      <c r="I1993" s="897" t="s">
        <v>95</v>
      </c>
      <c r="J1993" s="897" t="s">
        <v>96</v>
      </c>
      <c r="K1993" s="897" t="s">
        <v>3</v>
      </c>
      <c r="L1993" s="897" t="s">
        <v>97</v>
      </c>
      <c r="M1993" s="897" t="s">
        <v>98</v>
      </c>
      <c r="N1993" s="897" t="s">
        <v>99</v>
      </c>
      <c r="O1993" s="899"/>
    </row>
    <row r="1994" spans="8:15" ht="15.75" thickBot="1">
      <c r="H1994" s="896"/>
      <c r="I1994" s="898"/>
      <c r="J1994" s="898"/>
      <c r="K1994" s="898"/>
      <c r="L1994" s="898"/>
      <c r="M1994" s="898"/>
      <c r="N1994" s="240" t="s">
        <v>100</v>
      </c>
      <c r="O1994" s="182" t="s">
        <v>101</v>
      </c>
    </row>
    <row r="1995" spans="8:15">
      <c r="H1995" s="881">
        <v>219</v>
      </c>
      <c r="I1995" s="875">
        <v>42549</v>
      </c>
      <c r="J1995" s="877" t="s">
        <v>272</v>
      </c>
      <c r="K1995" s="879" t="s">
        <v>996</v>
      </c>
      <c r="L1995" s="881" t="s">
        <v>115</v>
      </c>
      <c r="M1995" s="883">
        <v>190000</v>
      </c>
      <c r="N1995" s="55">
        <v>719</v>
      </c>
      <c r="O1995" s="78">
        <v>190000</v>
      </c>
    </row>
    <row r="1996" spans="8:15" ht="15.75" thickBot="1">
      <c r="H1996" s="882"/>
      <c r="I1996" s="876"/>
      <c r="J1996" s="878"/>
      <c r="K1996" s="880"/>
      <c r="L1996" s="882"/>
      <c r="M1996" s="884"/>
      <c r="N1996" s="56">
        <v>721</v>
      </c>
      <c r="O1996" s="79">
        <f>+M1995-O1995</f>
        <v>0</v>
      </c>
    </row>
    <row r="1997" spans="8:15">
      <c r="H1997" s="881">
        <v>220</v>
      </c>
      <c r="I1997" s="875">
        <v>42549</v>
      </c>
      <c r="J1997" s="877" t="s">
        <v>28</v>
      </c>
      <c r="K1997" s="879" t="s">
        <v>993</v>
      </c>
      <c r="L1997" s="881" t="s">
        <v>115</v>
      </c>
      <c r="M1997" s="883">
        <v>60000</v>
      </c>
      <c r="N1997" s="55">
        <v>719</v>
      </c>
      <c r="O1997" s="78">
        <v>60000</v>
      </c>
    </row>
    <row r="1998" spans="8:15" ht="15.75" thickBot="1">
      <c r="H1998" s="882"/>
      <c r="I1998" s="876"/>
      <c r="J1998" s="878"/>
      <c r="K1998" s="880"/>
      <c r="L1998" s="882"/>
      <c r="M1998" s="884"/>
      <c r="N1998" s="56">
        <v>721</v>
      </c>
      <c r="O1998" s="79">
        <f>+M1997-O1997</f>
        <v>0</v>
      </c>
    </row>
    <row r="1999" spans="8:15">
      <c r="H1999" s="881">
        <v>221</v>
      </c>
      <c r="I1999" s="875">
        <v>42549</v>
      </c>
      <c r="J1999" s="877" t="s">
        <v>120</v>
      </c>
      <c r="K1999" s="879" t="s">
        <v>994</v>
      </c>
      <c r="L1999" s="881" t="s">
        <v>115</v>
      </c>
      <c r="M1999" s="883">
        <v>50000</v>
      </c>
      <c r="N1999" s="55">
        <v>719</v>
      </c>
      <c r="O1999" s="78">
        <v>50000</v>
      </c>
    </row>
    <row r="2000" spans="8:15" ht="15.75" thickBot="1">
      <c r="H2000" s="882"/>
      <c r="I2000" s="876"/>
      <c r="J2000" s="878"/>
      <c r="K2000" s="880"/>
      <c r="L2000" s="882"/>
      <c r="M2000" s="884"/>
      <c r="N2000" s="56">
        <v>721</v>
      </c>
      <c r="O2000" s="79">
        <f>+M1999-O1999</f>
        <v>0</v>
      </c>
    </row>
    <row r="2001" spans="8:15">
      <c r="H2001" s="881"/>
      <c r="I2001" s="875"/>
      <c r="J2001" s="877"/>
      <c r="K2001" s="879"/>
      <c r="L2001" s="881"/>
      <c r="M2001" s="883"/>
      <c r="N2001" s="55">
        <v>719</v>
      </c>
      <c r="O2001" s="78">
        <v>0</v>
      </c>
    </row>
    <row r="2002" spans="8:15" ht="13.5" customHeight="1" thickBot="1">
      <c r="H2002" s="882"/>
      <c r="I2002" s="876"/>
      <c r="J2002" s="878"/>
      <c r="K2002" s="880"/>
      <c r="L2002" s="882"/>
      <c r="M2002" s="884"/>
      <c r="N2002" s="56">
        <v>721</v>
      </c>
      <c r="O2002" s="79">
        <f>+M2001-O2001</f>
        <v>0</v>
      </c>
    </row>
    <row r="2003" spans="8:15">
      <c r="H2003" s="881"/>
      <c r="I2003" s="875"/>
      <c r="J2003" s="877"/>
      <c r="K2003" s="881"/>
      <c r="L2003" s="881"/>
      <c r="M2003" s="883"/>
      <c r="N2003" s="55">
        <v>719</v>
      </c>
      <c r="O2003" s="78"/>
    </row>
    <row r="2004" spans="8:15" ht="12" customHeight="1" thickBot="1">
      <c r="H2004" s="882"/>
      <c r="I2004" s="876"/>
      <c r="J2004" s="878"/>
      <c r="K2004" s="882"/>
      <c r="L2004" s="882"/>
      <c r="M2004" s="884"/>
      <c r="N2004" s="56">
        <v>721</v>
      </c>
      <c r="O2004" s="79">
        <f>+M2003-O2003</f>
        <v>0</v>
      </c>
    </row>
    <row r="2005" spans="8:15" ht="16.5" thickBot="1">
      <c r="H2005" s="901" t="s">
        <v>102</v>
      </c>
      <c r="I2005" s="902"/>
      <c r="J2005" s="902"/>
      <c r="K2005" s="902"/>
      <c r="L2005" s="903"/>
      <c r="M2005" s="81">
        <f>SUM(M1995:M2004)</f>
        <v>300000</v>
      </c>
    </row>
    <row r="2006" spans="8:15" ht="16.5" thickBot="1">
      <c r="H2006" s="885" t="s">
        <v>103</v>
      </c>
      <c r="I2006" s="886"/>
      <c r="J2006" s="886"/>
      <c r="K2006" s="886"/>
      <c r="L2006" s="887"/>
      <c r="M2006" s="69">
        <f>+M1970</f>
        <v>452935572</v>
      </c>
      <c r="N2006" s="241" t="s">
        <v>561</v>
      </c>
      <c r="O2006" s="242">
        <f>50+174+606</f>
        <v>830</v>
      </c>
    </row>
    <row r="2007" spans="8:15" ht="16.5" thickBot="1">
      <c r="H2007" s="888" t="s">
        <v>104</v>
      </c>
      <c r="I2007" s="889"/>
      <c r="J2007" s="889"/>
      <c r="K2007" s="889"/>
      <c r="L2007" s="890"/>
      <c r="M2007" s="183">
        <f>SUM(M2005:M2006)</f>
        <v>453235572</v>
      </c>
    </row>
    <row r="2008" spans="8:15">
      <c r="H2008" s="61"/>
      <c r="I2008" s="61"/>
      <c r="J2008" s="61"/>
      <c r="K2008" s="61"/>
      <c r="L2008" s="61"/>
    </row>
    <row r="2009" spans="8:15">
      <c r="H2009" s="51" t="s">
        <v>995</v>
      </c>
    </row>
    <row r="2010" spans="8:15">
      <c r="M2010" s="139"/>
    </row>
    <row r="2011" spans="8:15">
      <c r="H2011" s="50" t="s">
        <v>105</v>
      </c>
      <c r="K2011" s="146"/>
      <c r="M2011" s="139"/>
    </row>
    <row r="2012" spans="8:15" ht="12.75" customHeight="1" thickBot="1"/>
    <row r="2013" spans="8:15" ht="15.75" thickBot="1">
      <c r="H2013" s="891" t="s">
        <v>106</v>
      </c>
      <c r="I2013" s="892"/>
      <c r="J2013" s="892"/>
      <c r="K2013" s="893"/>
      <c r="M2013" s="50" t="s">
        <v>288</v>
      </c>
    </row>
    <row r="2014" spans="8:15" ht="45.75" thickBot="1">
      <c r="H2014" s="57" t="s">
        <v>100</v>
      </c>
      <c r="I2014" s="58" t="s">
        <v>108</v>
      </c>
      <c r="J2014" s="287" t="s">
        <v>109</v>
      </c>
      <c r="K2014" s="60" t="s">
        <v>110</v>
      </c>
    </row>
    <row r="2015" spans="8:15">
      <c r="H2015" s="71">
        <v>719</v>
      </c>
      <c r="I2015" s="73">
        <f>+O1995+O1997+O1999+O2001+O2003</f>
        <v>300000</v>
      </c>
      <c r="J2015" s="74">
        <f>+K1978</f>
        <v>51860000</v>
      </c>
      <c r="K2015" s="195">
        <f>+I2015+J2015</f>
        <v>52160000</v>
      </c>
    </row>
    <row r="2016" spans="8:15">
      <c r="H2016" s="72">
        <v>721</v>
      </c>
      <c r="I2016" s="80">
        <f>+O1996+O1998+O2000+O2002</f>
        <v>0</v>
      </c>
      <c r="J2016" s="74">
        <f>+K1979</f>
        <v>91544559</v>
      </c>
      <c r="K2016" s="195">
        <f>+I2016+J2016</f>
        <v>91544559</v>
      </c>
    </row>
    <row r="2017" spans="8:15">
      <c r="H2017" s="72">
        <v>722</v>
      </c>
      <c r="I2017" s="80"/>
      <c r="J2017" s="74">
        <f>+K1980</f>
        <v>0</v>
      </c>
      <c r="K2017" s="195">
        <f>+I2017+J2017</f>
        <v>0</v>
      </c>
    </row>
    <row r="2018" spans="8:15" ht="15.75">
      <c r="H2018" s="72">
        <v>723</v>
      </c>
      <c r="I2018" s="80"/>
      <c r="J2018" s="74">
        <f>+K1981</f>
        <v>309461013</v>
      </c>
      <c r="K2018" s="195">
        <f>+I2018+J2018</f>
        <v>309461013</v>
      </c>
      <c r="M2018" s="193" t="s">
        <v>289</v>
      </c>
      <c r="N2018" s="175"/>
    </row>
    <row r="2019" spans="8:15" ht="16.5" thickBot="1">
      <c r="H2019" s="164" t="s">
        <v>181</v>
      </c>
      <c r="I2019" s="165"/>
      <c r="J2019" s="74">
        <f>+K1982</f>
        <v>0</v>
      </c>
      <c r="K2019" s="196">
        <f>+I2019+J2019</f>
        <v>0</v>
      </c>
      <c r="M2019" s="52"/>
    </row>
    <row r="2020" spans="8:15" ht="16.5" thickBot="1">
      <c r="H2020" s="169"/>
      <c r="I2020" s="197">
        <f>SUM(I2015:I2019)</f>
        <v>300000</v>
      </c>
      <c r="J2020" s="197">
        <f>SUM(J2015:J2019)</f>
        <v>452865572</v>
      </c>
      <c r="K2020" s="198">
        <f>SUM(K2015:K2019)</f>
        <v>453165572</v>
      </c>
    </row>
    <row r="2021" spans="8:15" ht="16.5">
      <c r="H2021" s="49" t="s">
        <v>88</v>
      </c>
      <c r="I2021" s="50"/>
    </row>
    <row r="2022" spans="8:15">
      <c r="H2022" s="51" t="s">
        <v>89</v>
      </c>
    </row>
    <row r="2023" spans="8:15">
      <c r="H2023" s="51" t="s">
        <v>90</v>
      </c>
    </row>
    <row r="2024" spans="8:15">
      <c r="H2024" s="51" t="s">
        <v>91</v>
      </c>
    </row>
    <row r="2025" spans="8:15" ht="12.75" customHeight="1">
      <c r="H2025" s="50"/>
      <c r="I2025" s="50"/>
    </row>
    <row r="2026" spans="8:15" ht="15.75">
      <c r="H2026" s="260" t="s">
        <v>997</v>
      </c>
      <c r="N2026" s="52"/>
    </row>
    <row r="2027" spans="8:15" ht="15.75">
      <c r="H2027" s="53" t="s">
        <v>535</v>
      </c>
      <c r="N2027" s="53"/>
    </row>
    <row r="2028" spans="8:15" ht="16.5">
      <c r="H2028" s="894" t="s">
        <v>909</v>
      </c>
      <c r="I2028" s="894"/>
      <c r="J2028" s="894"/>
      <c r="K2028" s="894"/>
      <c r="L2028" s="894"/>
      <c r="M2028" s="894"/>
      <c r="N2028" s="894"/>
      <c r="O2028" s="894"/>
    </row>
    <row r="2029" spans="8:15" ht="15.75" thickBot="1"/>
    <row r="2030" spans="8:15">
      <c r="H2030" s="895" t="s">
        <v>94</v>
      </c>
      <c r="I2030" s="897" t="s">
        <v>95</v>
      </c>
      <c r="J2030" s="897" t="s">
        <v>96</v>
      </c>
      <c r="K2030" s="897" t="s">
        <v>3</v>
      </c>
      <c r="L2030" s="897" t="s">
        <v>97</v>
      </c>
      <c r="M2030" s="897" t="s">
        <v>98</v>
      </c>
      <c r="N2030" s="897" t="s">
        <v>99</v>
      </c>
      <c r="O2030" s="899"/>
    </row>
    <row r="2031" spans="8:15" ht="15.75" thickBot="1">
      <c r="H2031" s="896"/>
      <c r="I2031" s="898"/>
      <c r="J2031" s="898"/>
      <c r="K2031" s="898"/>
      <c r="L2031" s="898"/>
      <c r="M2031" s="898"/>
      <c r="N2031" s="240" t="s">
        <v>100</v>
      </c>
      <c r="O2031" s="182" t="s">
        <v>101</v>
      </c>
    </row>
    <row r="2032" spans="8:15">
      <c r="H2032" s="881">
        <v>222</v>
      </c>
      <c r="I2032" s="875">
        <v>42551</v>
      </c>
      <c r="J2032" s="877" t="s">
        <v>40</v>
      </c>
      <c r="K2032" s="879" t="s">
        <v>999</v>
      </c>
      <c r="L2032" s="881" t="s">
        <v>148</v>
      </c>
      <c r="M2032" s="883">
        <v>28000</v>
      </c>
      <c r="N2032" s="55">
        <v>719</v>
      </c>
      <c r="O2032" s="78">
        <v>20000</v>
      </c>
    </row>
    <row r="2033" spans="8:15" ht="15.75" thickBot="1">
      <c r="H2033" s="882"/>
      <c r="I2033" s="876"/>
      <c r="J2033" s="878"/>
      <c r="K2033" s="880"/>
      <c r="L2033" s="882"/>
      <c r="M2033" s="884"/>
      <c r="N2033" s="56">
        <v>721</v>
      </c>
      <c r="O2033" s="79">
        <f>+M2032-O2032</f>
        <v>8000</v>
      </c>
    </row>
    <row r="2034" spans="8:15" ht="15" customHeight="1">
      <c r="H2034" s="881">
        <v>223</v>
      </c>
      <c r="I2034" s="875">
        <v>42551</v>
      </c>
      <c r="J2034" s="877" t="s">
        <v>28</v>
      </c>
      <c r="K2034" s="879" t="s">
        <v>983</v>
      </c>
      <c r="L2034" s="881" t="s">
        <v>148</v>
      </c>
      <c r="M2034" s="883">
        <v>294000</v>
      </c>
      <c r="N2034" s="55">
        <v>719</v>
      </c>
      <c r="O2034" s="78">
        <v>210000</v>
      </c>
    </row>
    <row r="2035" spans="8:15" ht="15.75" customHeight="1" thickBot="1">
      <c r="H2035" s="882"/>
      <c r="I2035" s="876"/>
      <c r="J2035" s="878"/>
      <c r="K2035" s="880"/>
      <c r="L2035" s="882"/>
      <c r="M2035" s="884"/>
      <c r="N2035" s="56">
        <v>721</v>
      </c>
      <c r="O2035" s="79">
        <f>+M2034-O2034</f>
        <v>84000</v>
      </c>
    </row>
    <row r="2036" spans="8:15" ht="15" customHeight="1">
      <c r="H2036" s="881">
        <v>224</v>
      </c>
      <c r="I2036" s="875">
        <v>42551</v>
      </c>
      <c r="J2036" s="877" t="s">
        <v>111</v>
      </c>
      <c r="K2036" s="879" t="s">
        <v>1000</v>
      </c>
      <c r="L2036" s="881" t="s">
        <v>148</v>
      </c>
      <c r="M2036" s="883">
        <v>84000</v>
      </c>
      <c r="N2036" s="55">
        <v>719</v>
      </c>
      <c r="O2036" s="78">
        <v>60000</v>
      </c>
    </row>
    <row r="2037" spans="8:15" ht="15.75" customHeight="1" thickBot="1">
      <c r="H2037" s="882"/>
      <c r="I2037" s="876"/>
      <c r="J2037" s="878"/>
      <c r="K2037" s="880"/>
      <c r="L2037" s="882"/>
      <c r="M2037" s="884"/>
      <c r="N2037" s="56">
        <v>721</v>
      </c>
      <c r="O2037" s="79">
        <f>+M2036-O2036</f>
        <v>24000</v>
      </c>
    </row>
    <row r="2038" spans="8:15" ht="15" customHeight="1">
      <c r="H2038" s="881">
        <v>225</v>
      </c>
      <c r="I2038" s="875">
        <v>42551</v>
      </c>
      <c r="J2038" s="877" t="s">
        <v>272</v>
      </c>
      <c r="K2038" s="879" t="s">
        <v>983</v>
      </c>
      <c r="L2038" s="881" t="s">
        <v>148</v>
      </c>
      <c r="M2038" s="883">
        <v>672000</v>
      </c>
      <c r="N2038" s="55">
        <v>719</v>
      </c>
      <c r="O2038" s="78">
        <v>480000</v>
      </c>
    </row>
    <row r="2039" spans="8:15" ht="15.75" customHeight="1" thickBot="1">
      <c r="H2039" s="882"/>
      <c r="I2039" s="876"/>
      <c r="J2039" s="878"/>
      <c r="K2039" s="880"/>
      <c r="L2039" s="882"/>
      <c r="M2039" s="884"/>
      <c r="N2039" s="56">
        <v>721</v>
      </c>
      <c r="O2039" s="79">
        <f>+M2038-O2038</f>
        <v>192000</v>
      </c>
    </row>
    <row r="2040" spans="8:15" ht="14.25" customHeight="1">
      <c r="H2040" s="881"/>
      <c r="I2040" s="875"/>
      <c r="J2040" s="877"/>
      <c r="K2040" s="881"/>
      <c r="L2040" s="881"/>
      <c r="M2040" s="883"/>
      <c r="N2040" s="55">
        <v>719</v>
      </c>
      <c r="O2040" s="78"/>
    </row>
    <row r="2041" spans="8:15" ht="12.75" customHeight="1" thickBot="1">
      <c r="H2041" s="882"/>
      <c r="I2041" s="876"/>
      <c r="J2041" s="878"/>
      <c r="K2041" s="882"/>
      <c r="L2041" s="882"/>
      <c r="M2041" s="884"/>
      <c r="N2041" s="56">
        <v>721</v>
      </c>
      <c r="O2041" s="79">
        <f>+M2040-O2040</f>
        <v>0</v>
      </c>
    </row>
    <row r="2042" spans="8:15" ht="16.5" thickBot="1">
      <c r="H2042" s="901" t="s">
        <v>102</v>
      </c>
      <c r="I2042" s="902"/>
      <c r="J2042" s="902"/>
      <c r="K2042" s="902"/>
      <c r="L2042" s="903"/>
      <c r="M2042" s="81">
        <f>SUM(M2032:M2041)</f>
        <v>1078000</v>
      </c>
    </row>
    <row r="2043" spans="8:15" ht="16.5" thickBot="1">
      <c r="H2043" s="885" t="s">
        <v>103</v>
      </c>
      <c r="I2043" s="886"/>
      <c r="J2043" s="886"/>
      <c r="K2043" s="886"/>
      <c r="L2043" s="887"/>
      <c r="M2043" s="69">
        <f>+M2007</f>
        <v>453235572</v>
      </c>
      <c r="N2043" s="241" t="s">
        <v>561</v>
      </c>
      <c r="O2043" s="242">
        <f>22+571+21+917</f>
        <v>1531</v>
      </c>
    </row>
    <row r="2044" spans="8:15" ht="16.5" thickBot="1">
      <c r="H2044" s="888" t="s">
        <v>104</v>
      </c>
      <c r="I2044" s="889"/>
      <c r="J2044" s="889"/>
      <c r="K2044" s="889"/>
      <c r="L2044" s="890"/>
      <c r="M2044" s="183">
        <f>SUM(M2042:M2043)</f>
        <v>454313572</v>
      </c>
    </row>
    <row r="2045" spans="8:15">
      <c r="H2045" s="61"/>
      <c r="I2045" s="61"/>
      <c r="J2045" s="61"/>
      <c r="K2045" s="61"/>
      <c r="L2045" s="61"/>
    </row>
    <row r="2046" spans="8:15">
      <c r="H2046" s="51" t="s">
        <v>1006</v>
      </c>
    </row>
    <row r="2047" spans="8:15" ht="12.75" customHeight="1">
      <c r="M2047" s="139"/>
    </row>
    <row r="2048" spans="8:15">
      <c r="H2048" s="50" t="s">
        <v>105</v>
      </c>
      <c r="K2048" s="146"/>
      <c r="M2048" s="139"/>
    </row>
    <row r="2049" spans="8:14" ht="15.75" thickBot="1"/>
    <row r="2050" spans="8:14" ht="15.75" thickBot="1">
      <c r="H2050" s="891" t="s">
        <v>106</v>
      </c>
      <c r="I2050" s="892"/>
      <c r="J2050" s="892"/>
      <c r="K2050" s="893"/>
      <c r="M2050" s="50" t="s">
        <v>288</v>
      </c>
    </row>
    <row r="2051" spans="8:14" ht="45.75" thickBot="1">
      <c r="H2051" s="57" t="s">
        <v>100</v>
      </c>
      <c r="I2051" s="58" t="s">
        <v>108</v>
      </c>
      <c r="J2051" s="287" t="s">
        <v>109</v>
      </c>
      <c r="K2051" s="60" t="s">
        <v>110</v>
      </c>
    </row>
    <row r="2052" spans="8:14">
      <c r="H2052" s="71">
        <v>719</v>
      </c>
      <c r="I2052" s="73">
        <f>+O2032+O2034+O2036+O2038+O2040</f>
        <v>770000</v>
      </c>
      <c r="J2052" s="74">
        <f>+K2015</f>
        <v>52160000</v>
      </c>
      <c r="K2052" s="195">
        <f>+I2052+J2052</f>
        <v>52930000</v>
      </c>
    </row>
    <row r="2053" spans="8:14">
      <c r="H2053" s="72">
        <v>721</v>
      </c>
      <c r="I2053" s="80">
        <f>+O2033+O2035+O2037+O2039</f>
        <v>308000</v>
      </c>
      <c r="J2053" s="74">
        <f>+K2016</f>
        <v>91544559</v>
      </c>
      <c r="K2053" s="195">
        <f>+I2053+J2053</f>
        <v>91852559</v>
      </c>
    </row>
    <row r="2054" spans="8:14">
      <c r="H2054" s="72">
        <v>722</v>
      </c>
      <c r="I2054" s="80"/>
      <c r="J2054" s="74">
        <f>+K2017</f>
        <v>0</v>
      </c>
      <c r="K2054" s="195">
        <f>+I2054+J2054</f>
        <v>0</v>
      </c>
    </row>
    <row r="2055" spans="8:14" ht="15.75">
      <c r="H2055" s="72">
        <v>723</v>
      </c>
      <c r="I2055" s="80"/>
      <c r="J2055" s="74">
        <f>+K2018</f>
        <v>309461013</v>
      </c>
      <c r="K2055" s="195">
        <f>+I2055+J2055</f>
        <v>309461013</v>
      </c>
      <c r="M2055" s="193" t="s">
        <v>289</v>
      </c>
      <c r="N2055" s="175"/>
    </row>
    <row r="2056" spans="8:14" ht="16.5" thickBot="1">
      <c r="H2056" s="164" t="s">
        <v>181</v>
      </c>
      <c r="I2056" s="165"/>
      <c r="J2056" s="74">
        <f>+K2019</f>
        <v>0</v>
      </c>
      <c r="K2056" s="196">
        <f>+I2056+J2056</f>
        <v>0</v>
      </c>
      <c r="M2056" s="52"/>
    </row>
    <row r="2057" spans="8:14" ht="16.5" thickBot="1">
      <c r="H2057" s="169"/>
      <c r="I2057" s="197">
        <f>SUM(I2052:I2056)</f>
        <v>1078000</v>
      </c>
      <c r="J2057" s="197">
        <f>SUM(J2052:J2056)</f>
        <v>453165572</v>
      </c>
      <c r="K2057" s="198">
        <f>SUM(K2052:K2056)</f>
        <v>454243572</v>
      </c>
    </row>
    <row r="2058" spans="8:14" ht="16.5">
      <c r="H2058" s="49" t="s">
        <v>88</v>
      </c>
      <c r="I2058" s="50"/>
    </row>
    <row r="2059" spans="8:14">
      <c r="H2059" s="51" t="s">
        <v>89</v>
      </c>
    </row>
    <row r="2060" spans="8:14">
      <c r="H2060" s="51" t="s">
        <v>90</v>
      </c>
    </row>
    <row r="2061" spans="8:14">
      <c r="H2061" s="51" t="s">
        <v>91</v>
      </c>
    </row>
    <row r="2062" spans="8:14" ht="12.75" customHeight="1">
      <c r="H2062" s="50"/>
      <c r="I2062" s="50"/>
    </row>
    <row r="2063" spans="8:14" ht="15.75">
      <c r="H2063" s="260" t="s">
        <v>998</v>
      </c>
      <c r="N2063" s="52"/>
    </row>
    <row r="2064" spans="8:14" ht="15.75">
      <c r="H2064" s="53" t="s">
        <v>535</v>
      </c>
      <c r="N2064" s="53"/>
    </row>
    <row r="2065" spans="8:15" ht="16.5">
      <c r="H2065" s="894" t="s">
        <v>909</v>
      </c>
      <c r="I2065" s="894"/>
      <c r="J2065" s="894"/>
      <c r="K2065" s="894"/>
      <c r="L2065" s="894"/>
      <c r="M2065" s="894"/>
      <c r="N2065" s="894"/>
      <c r="O2065" s="894"/>
    </row>
    <row r="2066" spans="8:15" ht="15.75" thickBot="1"/>
    <row r="2067" spans="8:15">
      <c r="H2067" s="895" t="s">
        <v>94</v>
      </c>
      <c r="I2067" s="897" t="s">
        <v>95</v>
      </c>
      <c r="J2067" s="897" t="s">
        <v>96</v>
      </c>
      <c r="K2067" s="897" t="s">
        <v>3</v>
      </c>
      <c r="L2067" s="897" t="s">
        <v>97</v>
      </c>
      <c r="M2067" s="897" t="s">
        <v>98</v>
      </c>
      <c r="N2067" s="897" t="s">
        <v>99</v>
      </c>
      <c r="O2067" s="899"/>
    </row>
    <row r="2068" spans="8:15" ht="15.75" thickBot="1">
      <c r="H2068" s="896"/>
      <c r="I2068" s="898"/>
      <c r="J2068" s="898"/>
      <c r="K2068" s="898"/>
      <c r="L2068" s="898"/>
      <c r="M2068" s="898"/>
      <c r="N2068" s="240" t="s">
        <v>100</v>
      </c>
      <c r="O2068" s="182" t="s">
        <v>101</v>
      </c>
    </row>
    <row r="2069" spans="8:15" ht="15" customHeight="1">
      <c r="H2069" s="881">
        <v>226</v>
      </c>
      <c r="I2069" s="875">
        <v>42551</v>
      </c>
      <c r="J2069" s="877" t="s">
        <v>40</v>
      </c>
      <c r="K2069" s="879" t="s">
        <v>1001</v>
      </c>
      <c r="L2069" s="881" t="s">
        <v>148</v>
      </c>
      <c r="M2069" s="883">
        <v>140000</v>
      </c>
      <c r="N2069" s="55">
        <v>719</v>
      </c>
      <c r="O2069" s="78">
        <v>100000</v>
      </c>
    </row>
    <row r="2070" spans="8:15" ht="15.75" customHeight="1" thickBot="1">
      <c r="H2070" s="882"/>
      <c r="I2070" s="876"/>
      <c r="J2070" s="878"/>
      <c r="K2070" s="880"/>
      <c r="L2070" s="882"/>
      <c r="M2070" s="884"/>
      <c r="N2070" s="56">
        <v>721</v>
      </c>
      <c r="O2070" s="79">
        <f>+M2069-O2069</f>
        <v>40000</v>
      </c>
    </row>
    <row r="2071" spans="8:15" ht="15" customHeight="1">
      <c r="H2071" s="881">
        <v>227</v>
      </c>
      <c r="I2071" s="875">
        <v>42551</v>
      </c>
      <c r="J2071" s="877" t="s">
        <v>28</v>
      </c>
      <c r="K2071" s="879" t="s">
        <v>1002</v>
      </c>
      <c r="L2071" s="881" t="s">
        <v>148</v>
      </c>
      <c r="M2071" s="883">
        <v>966000</v>
      </c>
      <c r="N2071" s="55">
        <v>719</v>
      </c>
      <c r="O2071" s="78">
        <v>690000</v>
      </c>
    </row>
    <row r="2072" spans="8:15" ht="15.75" customHeight="1" thickBot="1">
      <c r="H2072" s="882"/>
      <c r="I2072" s="876"/>
      <c r="J2072" s="878"/>
      <c r="K2072" s="880"/>
      <c r="L2072" s="882"/>
      <c r="M2072" s="884"/>
      <c r="N2072" s="56">
        <v>721</v>
      </c>
      <c r="O2072" s="79">
        <f>+M2071-O2071</f>
        <v>276000</v>
      </c>
    </row>
    <row r="2073" spans="8:15" ht="15" customHeight="1">
      <c r="H2073" s="881">
        <v>228</v>
      </c>
      <c r="I2073" s="875">
        <v>42551</v>
      </c>
      <c r="J2073" s="877" t="s">
        <v>111</v>
      </c>
      <c r="K2073" s="879" t="s">
        <v>1003</v>
      </c>
      <c r="L2073" s="881" t="s">
        <v>148</v>
      </c>
      <c r="M2073" s="883">
        <v>252000</v>
      </c>
      <c r="N2073" s="55">
        <v>719</v>
      </c>
      <c r="O2073" s="78">
        <v>180000</v>
      </c>
    </row>
    <row r="2074" spans="8:15" ht="15.75" customHeight="1" thickBot="1">
      <c r="H2074" s="882"/>
      <c r="I2074" s="876"/>
      <c r="J2074" s="878"/>
      <c r="K2074" s="880"/>
      <c r="L2074" s="882"/>
      <c r="M2074" s="884"/>
      <c r="N2074" s="56">
        <v>721</v>
      </c>
      <c r="O2074" s="79">
        <f>+M2073-O2073</f>
        <v>72000</v>
      </c>
    </row>
    <row r="2075" spans="8:15" ht="15" customHeight="1">
      <c r="H2075" s="881">
        <v>229</v>
      </c>
      <c r="I2075" s="875">
        <v>42551</v>
      </c>
      <c r="J2075" s="877" t="s">
        <v>272</v>
      </c>
      <c r="K2075" s="879" t="s">
        <v>1004</v>
      </c>
      <c r="L2075" s="881" t="s">
        <v>148</v>
      </c>
      <c r="M2075" s="883">
        <v>1946000</v>
      </c>
      <c r="N2075" s="55">
        <v>719</v>
      </c>
      <c r="O2075" s="78">
        <v>1390000</v>
      </c>
    </row>
    <row r="2076" spans="8:15" ht="15.75" customHeight="1" thickBot="1">
      <c r="H2076" s="882"/>
      <c r="I2076" s="876"/>
      <c r="J2076" s="878"/>
      <c r="K2076" s="880"/>
      <c r="L2076" s="882"/>
      <c r="M2076" s="884"/>
      <c r="N2076" s="56">
        <v>721</v>
      </c>
      <c r="O2076" s="79">
        <f>+M2075-O2075</f>
        <v>556000</v>
      </c>
    </row>
    <row r="2077" spans="8:15">
      <c r="H2077" s="881"/>
      <c r="I2077" s="875"/>
      <c r="J2077" s="877"/>
      <c r="K2077" s="881"/>
      <c r="L2077" s="881"/>
      <c r="M2077" s="883"/>
      <c r="N2077" s="55">
        <v>719</v>
      </c>
      <c r="O2077" s="78"/>
    </row>
    <row r="2078" spans="8:15" ht="12" customHeight="1" thickBot="1">
      <c r="H2078" s="882"/>
      <c r="I2078" s="876"/>
      <c r="J2078" s="878"/>
      <c r="K2078" s="882"/>
      <c r="L2078" s="882"/>
      <c r="M2078" s="884"/>
      <c r="N2078" s="56">
        <v>721</v>
      </c>
      <c r="O2078" s="79">
        <f>+M2077-O2077</f>
        <v>0</v>
      </c>
    </row>
    <row r="2079" spans="8:15" ht="16.5" thickBot="1">
      <c r="H2079" s="901" t="s">
        <v>102</v>
      </c>
      <c r="I2079" s="902"/>
      <c r="J2079" s="902"/>
      <c r="K2079" s="902"/>
      <c r="L2079" s="903"/>
      <c r="M2079" s="81">
        <f>SUM(M2069:M2078)</f>
        <v>3304000</v>
      </c>
    </row>
    <row r="2080" spans="8:15" ht="16.5" thickBot="1">
      <c r="H2080" s="885" t="s">
        <v>103</v>
      </c>
      <c r="I2080" s="886"/>
      <c r="J2080" s="886"/>
      <c r="K2080" s="886"/>
      <c r="L2080" s="887"/>
      <c r="M2080" s="69">
        <f>+M2044</f>
        <v>454313572</v>
      </c>
      <c r="N2080" s="241" t="s">
        <v>561</v>
      </c>
      <c r="O2080" s="242">
        <f>89+1849+70+3374</f>
        <v>5382</v>
      </c>
    </row>
    <row r="2081" spans="8:14" ht="16.5" thickBot="1">
      <c r="H2081" s="888" t="s">
        <v>104</v>
      </c>
      <c r="I2081" s="889"/>
      <c r="J2081" s="889"/>
      <c r="K2081" s="889"/>
      <c r="L2081" s="890"/>
      <c r="M2081" s="183">
        <f>SUM(M2079:M2080)</f>
        <v>457617572</v>
      </c>
    </row>
    <row r="2082" spans="8:14">
      <c r="H2082" s="61"/>
      <c r="I2082" s="61"/>
      <c r="J2082" s="61"/>
      <c r="K2082" s="61"/>
      <c r="L2082" s="61"/>
    </row>
    <row r="2083" spans="8:14">
      <c r="H2083" s="51" t="s">
        <v>1005</v>
      </c>
    </row>
    <row r="2084" spans="8:14" ht="12.75" customHeight="1">
      <c r="M2084" s="139"/>
    </row>
    <row r="2085" spans="8:14">
      <c r="H2085" s="50" t="s">
        <v>105</v>
      </c>
      <c r="K2085" s="146"/>
      <c r="M2085" s="139"/>
    </row>
    <row r="2086" spans="8:14" ht="15.75" thickBot="1"/>
    <row r="2087" spans="8:14" ht="15.75" thickBot="1">
      <c r="H2087" s="891" t="s">
        <v>106</v>
      </c>
      <c r="I2087" s="892"/>
      <c r="J2087" s="892"/>
      <c r="K2087" s="893"/>
      <c r="M2087" s="50" t="s">
        <v>288</v>
      </c>
    </row>
    <row r="2088" spans="8:14" ht="45.75" thickBot="1">
      <c r="H2088" s="57" t="s">
        <v>100</v>
      </c>
      <c r="I2088" s="58" t="s">
        <v>108</v>
      </c>
      <c r="J2088" s="287" t="s">
        <v>109</v>
      </c>
      <c r="K2088" s="60" t="s">
        <v>110</v>
      </c>
    </row>
    <row r="2089" spans="8:14">
      <c r="H2089" s="71">
        <v>719</v>
      </c>
      <c r="I2089" s="73">
        <f>+O2069+O2071+O2073+O2075+O2077</f>
        <v>2360000</v>
      </c>
      <c r="J2089" s="74">
        <f>+K2052</f>
        <v>52930000</v>
      </c>
      <c r="K2089" s="195">
        <f>+I2089+J2089</f>
        <v>55290000</v>
      </c>
    </row>
    <row r="2090" spans="8:14">
      <c r="H2090" s="72">
        <v>721</v>
      </c>
      <c r="I2090" s="80">
        <f>+O2070+O2072+O2074+O2076</f>
        <v>944000</v>
      </c>
      <c r="J2090" s="74">
        <f>+K2053</f>
        <v>91852559</v>
      </c>
      <c r="K2090" s="195">
        <f>+I2090+J2090</f>
        <v>92796559</v>
      </c>
    </row>
    <row r="2091" spans="8:14">
      <c r="H2091" s="72">
        <v>722</v>
      </c>
      <c r="I2091" s="80"/>
      <c r="J2091" s="74">
        <f>+K2054</f>
        <v>0</v>
      </c>
      <c r="K2091" s="195">
        <f>+I2091+J2091</f>
        <v>0</v>
      </c>
    </row>
    <row r="2092" spans="8:14" ht="15.75">
      <c r="H2092" s="72">
        <v>723</v>
      </c>
      <c r="I2092" s="80"/>
      <c r="J2092" s="74">
        <f>+K2055</f>
        <v>309461013</v>
      </c>
      <c r="K2092" s="195">
        <f>+I2092+J2092</f>
        <v>309461013</v>
      </c>
      <c r="M2092" s="193" t="s">
        <v>289</v>
      </c>
      <c r="N2092" s="175"/>
    </row>
    <row r="2093" spans="8:14" ht="16.5" thickBot="1">
      <c r="H2093" s="164" t="s">
        <v>181</v>
      </c>
      <c r="I2093" s="165"/>
      <c r="J2093" s="74">
        <f>+K2056</f>
        <v>0</v>
      </c>
      <c r="K2093" s="196">
        <f>+I2093+J2093</f>
        <v>0</v>
      </c>
      <c r="M2093" s="52"/>
    </row>
    <row r="2094" spans="8:14" ht="16.5" thickBot="1">
      <c r="H2094" s="169"/>
      <c r="I2094" s="197">
        <f>SUM(I2089:I2093)</f>
        <v>3304000</v>
      </c>
      <c r="J2094" s="197">
        <f>SUM(J2089:J2093)</f>
        <v>454243572</v>
      </c>
      <c r="K2094" s="198">
        <f>SUM(K2089:K2093)</f>
        <v>457547572</v>
      </c>
    </row>
    <row r="2095" spans="8:14" ht="16.5">
      <c r="H2095" s="49" t="s">
        <v>88</v>
      </c>
      <c r="I2095" s="50"/>
    </row>
    <row r="2096" spans="8:14">
      <c r="H2096" s="51" t="s">
        <v>89</v>
      </c>
    </row>
    <row r="2097" spans="8:15">
      <c r="H2097" s="51" t="s">
        <v>90</v>
      </c>
    </row>
    <row r="2098" spans="8:15">
      <c r="H2098" s="51" t="s">
        <v>91</v>
      </c>
    </row>
    <row r="2099" spans="8:15" ht="12.75" customHeight="1">
      <c r="H2099" s="50"/>
      <c r="I2099" s="50"/>
    </row>
    <row r="2100" spans="8:15" ht="15.75">
      <c r="H2100" s="260" t="s">
        <v>1007</v>
      </c>
      <c r="N2100" s="52"/>
    </row>
    <row r="2101" spans="8:15" ht="15.75">
      <c r="H2101" s="53" t="s">
        <v>535</v>
      </c>
      <c r="N2101" s="53"/>
    </row>
    <row r="2102" spans="8:15" ht="16.5">
      <c r="H2102" s="894" t="s">
        <v>1011</v>
      </c>
      <c r="I2102" s="894"/>
      <c r="J2102" s="894"/>
      <c r="K2102" s="894"/>
      <c r="L2102" s="894"/>
      <c r="M2102" s="894"/>
      <c r="N2102" s="894"/>
      <c r="O2102" s="894"/>
    </row>
    <row r="2103" spans="8:15" ht="15.75" thickBot="1"/>
    <row r="2104" spans="8:15">
      <c r="H2104" s="895" t="s">
        <v>94</v>
      </c>
      <c r="I2104" s="897" t="s">
        <v>95</v>
      </c>
      <c r="J2104" s="897" t="s">
        <v>96</v>
      </c>
      <c r="K2104" s="897" t="s">
        <v>3</v>
      </c>
      <c r="L2104" s="897" t="s">
        <v>97</v>
      </c>
      <c r="M2104" s="897" t="s">
        <v>98</v>
      </c>
      <c r="N2104" s="897" t="s">
        <v>99</v>
      </c>
      <c r="O2104" s="899"/>
    </row>
    <row r="2105" spans="8:15" ht="15.75" thickBot="1">
      <c r="H2105" s="896"/>
      <c r="I2105" s="898"/>
      <c r="J2105" s="898"/>
      <c r="K2105" s="898"/>
      <c r="L2105" s="898"/>
      <c r="M2105" s="898"/>
      <c r="N2105" s="240" t="s">
        <v>100</v>
      </c>
      <c r="O2105" s="182" t="s">
        <v>101</v>
      </c>
    </row>
    <row r="2106" spans="8:15">
      <c r="H2106" s="881">
        <v>230</v>
      </c>
      <c r="I2106" s="875">
        <v>42551</v>
      </c>
      <c r="J2106" s="877" t="s">
        <v>1008</v>
      </c>
      <c r="K2106" s="879" t="s">
        <v>1010</v>
      </c>
      <c r="L2106" s="881" t="s">
        <v>145</v>
      </c>
      <c r="M2106" s="883">
        <v>100000</v>
      </c>
      <c r="N2106" s="55">
        <v>719</v>
      </c>
      <c r="O2106" s="78">
        <v>0</v>
      </c>
    </row>
    <row r="2107" spans="8:15" ht="15.75" thickBot="1">
      <c r="H2107" s="882"/>
      <c r="I2107" s="876"/>
      <c r="J2107" s="878"/>
      <c r="K2107" s="880"/>
      <c r="L2107" s="882"/>
      <c r="M2107" s="884"/>
      <c r="N2107" s="56">
        <v>721</v>
      </c>
      <c r="O2107" s="79">
        <v>100000</v>
      </c>
    </row>
    <row r="2108" spans="8:15" ht="15" customHeight="1">
      <c r="H2108" s="881">
        <v>231</v>
      </c>
      <c r="I2108" s="875">
        <v>42551</v>
      </c>
      <c r="J2108" s="877" t="s">
        <v>1009</v>
      </c>
      <c r="K2108" s="879" t="s">
        <v>1010</v>
      </c>
      <c r="L2108" s="881" t="s">
        <v>145</v>
      </c>
      <c r="M2108" s="883">
        <v>100000</v>
      </c>
      <c r="N2108" s="55">
        <v>719</v>
      </c>
      <c r="O2108" s="78">
        <v>0</v>
      </c>
    </row>
    <row r="2109" spans="8:15" ht="15.75" customHeight="1" thickBot="1">
      <c r="H2109" s="882"/>
      <c r="I2109" s="876"/>
      <c r="J2109" s="878"/>
      <c r="K2109" s="880"/>
      <c r="L2109" s="882"/>
      <c r="M2109" s="884"/>
      <c r="N2109" s="56">
        <v>721</v>
      </c>
      <c r="O2109" s="79">
        <v>100000</v>
      </c>
    </row>
    <row r="2110" spans="8:15">
      <c r="H2110" s="881"/>
      <c r="I2110" s="875"/>
      <c r="J2110" s="877"/>
      <c r="K2110" s="879"/>
      <c r="L2110" s="881"/>
      <c r="M2110" s="883"/>
      <c r="N2110" s="55">
        <v>719</v>
      </c>
      <c r="O2110" s="78">
        <v>0</v>
      </c>
    </row>
    <row r="2111" spans="8:15" ht="14.25" customHeight="1" thickBot="1">
      <c r="H2111" s="882"/>
      <c r="I2111" s="876"/>
      <c r="J2111" s="878"/>
      <c r="K2111" s="880"/>
      <c r="L2111" s="882"/>
      <c r="M2111" s="884"/>
      <c r="N2111" s="56">
        <v>721</v>
      </c>
      <c r="O2111" s="79">
        <f>+M2110-O2110</f>
        <v>0</v>
      </c>
    </row>
    <row r="2112" spans="8:15" ht="15" customHeight="1">
      <c r="H2112" s="881"/>
      <c r="I2112" s="875"/>
      <c r="J2112" s="877"/>
      <c r="K2112" s="879"/>
      <c r="L2112" s="881"/>
      <c r="M2112" s="883"/>
      <c r="N2112" s="55">
        <v>719</v>
      </c>
      <c r="O2112" s="78">
        <v>0</v>
      </c>
    </row>
    <row r="2113" spans="8:15" ht="15.75" customHeight="1" thickBot="1">
      <c r="H2113" s="882"/>
      <c r="I2113" s="876"/>
      <c r="J2113" s="878"/>
      <c r="K2113" s="880"/>
      <c r="L2113" s="882"/>
      <c r="M2113" s="884"/>
      <c r="N2113" s="56">
        <v>721</v>
      </c>
      <c r="O2113" s="79">
        <f>+M2112-O2112</f>
        <v>0</v>
      </c>
    </row>
    <row r="2114" spans="8:15" ht="10.5" customHeight="1">
      <c r="H2114" s="881"/>
      <c r="I2114" s="875"/>
      <c r="J2114" s="877"/>
      <c r="K2114" s="881"/>
      <c r="L2114" s="881"/>
      <c r="M2114" s="883"/>
      <c r="N2114" s="55">
        <v>719</v>
      </c>
      <c r="O2114" s="78"/>
    </row>
    <row r="2115" spans="8:15" ht="14.25" customHeight="1" thickBot="1">
      <c r="H2115" s="882"/>
      <c r="I2115" s="876"/>
      <c r="J2115" s="878"/>
      <c r="K2115" s="882"/>
      <c r="L2115" s="882"/>
      <c r="M2115" s="884"/>
      <c r="N2115" s="56">
        <v>721</v>
      </c>
      <c r="O2115" s="79">
        <f>+M2114-O2114</f>
        <v>0</v>
      </c>
    </row>
    <row r="2116" spans="8:15" ht="16.5" customHeight="1" thickBot="1">
      <c r="H2116" s="901" t="s">
        <v>102</v>
      </c>
      <c r="I2116" s="902"/>
      <c r="J2116" s="902"/>
      <c r="K2116" s="902"/>
      <c r="L2116" s="903"/>
      <c r="M2116" s="81">
        <f>SUM(M2106:M2115)</f>
        <v>200000</v>
      </c>
    </row>
    <row r="2117" spans="8:15" ht="16.5" customHeight="1" thickBot="1">
      <c r="H2117" s="885" t="s">
        <v>103</v>
      </c>
      <c r="I2117" s="886"/>
      <c r="J2117" s="886"/>
      <c r="K2117" s="886"/>
      <c r="L2117" s="887"/>
      <c r="M2117" s="69">
        <f>+M2081</f>
        <v>457617572</v>
      </c>
      <c r="N2117" s="241" t="s">
        <v>561</v>
      </c>
      <c r="O2117" s="242"/>
    </row>
    <row r="2118" spans="8:15" ht="16.5" customHeight="1" thickBot="1">
      <c r="H2118" s="888" t="s">
        <v>104</v>
      </c>
      <c r="I2118" s="889"/>
      <c r="J2118" s="889"/>
      <c r="K2118" s="889"/>
      <c r="L2118" s="890"/>
      <c r="M2118" s="183">
        <f>SUM(M2116:M2117)</f>
        <v>457817572</v>
      </c>
    </row>
    <row r="2119" spans="8:15" ht="15.75" customHeight="1">
      <c r="H2119" s="61"/>
      <c r="I2119" s="61"/>
      <c r="J2119" s="61"/>
      <c r="K2119" s="61"/>
      <c r="L2119" s="61"/>
    </row>
    <row r="2120" spans="8:15" ht="15" customHeight="1">
      <c r="H2120" s="51" t="s">
        <v>1012</v>
      </c>
    </row>
    <row r="2121" spans="8:15" ht="14.25" customHeight="1">
      <c r="M2121" s="139"/>
    </row>
    <row r="2122" spans="8:15">
      <c r="H2122" s="50" t="s">
        <v>105</v>
      </c>
      <c r="K2122" s="146"/>
      <c r="M2122" s="139"/>
    </row>
    <row r="2123" spans="8:15" ht="14.25" customHeight="1" thickBot="1"/>
    <row r="2124" spans="8:15" ht="15.75" thickBot="1">
      <c r="H2124" s="891" t="s">
        <v>106</v>
      </c>
      <c r="I2124" s="892"/>
      <c r="J2124" s="892"/>
      <c r="K2124" s="893"/>
      <c r="M2124" s="50" t="s">
        <v>288</v>
      </c>
    </row>
    <row r="2125" spans="8:15" ht="45.75" thickBot="1">
      <c r="H2125" s="57" t="s">
        <v>100</v>
      </c>
      <c r="I2125" s="58" t="s">
        <v>108</v>
      </c>
      <c r="J2125" s="287" t="s">
        <v>109</v>
      </c>
      <c r="K2125" s="60" t="s">
        <v>110</v>
      </c>
    </row>
    <row r="2126" spans="8:15">
      <c r="H2126" s="71">
        <v>719</v>
      </c>
      <c r="I2126" s="73">
        <f>+O2106+O2108+O2110+O2112+O2114</f>
        <v>0</v>
      </c>
      <c r="J2126" s="74">
        <f>+K2089</f>
        <v>55290000</v>
      </c>
      <c r="K2126" s="195">
        <f>+I2126+J2126</f>
        <v>55290000</v>
      </c>
    </row>
    <row r="2127" spans="8:15">
      <c r="H2127" s="72">
        <v>721</v>
      </c>
      <c r="I2127" s="80">
        <f>+O2107+O2109+O2111+O2113</f>
        <v>200000</v>
      </c>
      <c r="J2127" s="74">
        <f>+K2090</f>
        <v>92796559</v>
      </c>
      <c r="K2127" s="195">
        <f>+I2127+J2127</f>
        <v>92996559</v>
      </c>
    </row>
    <row r="2128" spans="8:15">
      <c r="H2128" s="72">
        <v>722</v>
      </c>
      <c r="I2128" s="80"/>
      <c r="J2128" s="74">
        <f>+K2091</f>
        <v>0</v>
      </c>
      <c r="K2128" s="195">
        <f>+I2128+J2128</f>
        <v>0</v>
      </c>
    </row>
    <row r="2129" spans="8:17" ht="15.75">
      <c r="H2129" s="72">
        <v>723</v>
      </c>
      <c r="I2129" s="80"/>
      <c r="J2129" s="74">
        <f>+K2092</f>
        <v>309461013</v>
      </c>
      <c r="K2129" s="195">
        <f>+I2129+J2129</f>
        <v>309461013</v>
      </c>
      <c r="M2129" s="193" t="s">
        <v>289</v>
      </c>
      <c r="N2129" s="175"/>
    </row>
    <row r="2130" spans="8:17" ht="16.5" thickBot="1">
      <c r="H2130" s="164" t="s">
        <v>181</v>
      </c>
      <c r="I2130" s="165"/>
      <c r="J2130" s="74">
        <f>+K2093</f>
        <v>0</v>
      </c>
      <c r="K2130" s="196">
        <f>+I2130+J2130</f>
        <v>0</v>
      </c>
      <c r="M2130" s="52"/>
    </row>
    <row r="2131" spans="8:17" ht="16.5" thickBot="1">
      <c r="H2131" s="169"/>
      <c r="I2131" s="197">
        <f>SUM(I2126:I2130)</f>
        <v>200000</v>
      </c>
      <c r="J2131" s="197">
        <f>SUM(J2126:J2130)</f>
        <v>457547572</v>
      </c>
      <c r="K2131" s="198">
        <f>SUM(K2126:K2130)</f>
        <v>457747572</v>
      </c>
    </row>
    <row r="2132" spans="8:17" ht="16.5">
      <c r="H2132" s="49" t="s">
        <v>88</v>
      </c>
      <c r="I2132" s="50"/>
    </row>
    <row r="2133" spans="8:17">
      <c r="H2133" s="51" t="s">
        <v>89</v>
      </c>
    </row>
    <row r="2134" spans="8:17">
      <c r="H2134" s="51" t="s">
        <v>90</v>
      </c>
    </row>
    <row r="2135" spans="8:17">
      <c r="H2135" s="51" t="s">
        <v>91</v>
      </c>
    </row>
    <row r="2136" spans="8:17">
      <c r="H2136" s="50"/>
      <c r="I2136" s="50"/>
    </row>
    <row r="2137" spans="8:17" ht="15.75">
      <c r="H2137" s="260" t="s">
        <v>1013</v>
      </c>
      <c r="N2137" s="52"/>
    </row>
    <row r="2138" spans="8:17" ht="15.75">
      <c r="H2138" s="53" t="s">
        <v>535</v>
      </c>
      <c r="N2138" s="53"/>
    </row>
    <row r="2139" spans="8:17" ht="16.5">
      <c r="H2139" s="894" t="s">
        <v>1011</v>
      </c>
      <c r="I2139" s="894"/>
      <c r="J2139" s="894"/>
      <c r="K2139" s="894"/>
      <c r="L2139" s="894"/>
      <c r="M2139" s="894"/>
      <c r="N2139" s="894"/>
      <c r="O2139" s="894"/>
    </row>
    <row r="2140" spans="8:17" ht="15.75" thickBot="1"/>
    <row r="2141" spans="8:17">
      <c r="H2141" s="895" t="s">
        <v>94</v>
      </c>
      <c r="I2141" s="897" t="s">
        <v>95</v>
      </c>
      <c r="J2141" s="897" t="s">
        <v>96</v>
      </c>
      <c r="K2141" s="897" t="s">
        <v>3</v>
      </c>
      <c r="L2141" s="897" t="s">
        <v>97</v>
      </c>
      <c r="M2141" s="897" t="s">
        <v>98</v>
      </c>
      <c r="N2141" s="897" t="s">
        <v>99</v>
      </c>
      <c r="O2141" s="899"/>
    </row>
    <row r="2142" spans="8:17" ht="15.75" thickBot="1">
      <c r="H2142" s="896"/>
      <c r="I2142" s="898"/>
      <c r="J2142" s="898"/>
      <c r="K2142" s="898"/>
      <c r="L2142" s="898"/>
      <c r="M2142" s="898"/>
      <c r="N2142" s="240" t="s">
        <v>100</v>
      </c>
      <c r="O2142" s="182" t="s">
        <v>101</v>
      </c>
      <c r="Q2142" s="51" t="s">
        <v>631</v>
      </c>
    </row>
    <row r="2143" spans="8:17">
      <c r="H2143" s="881">
        <v>232</v>
      </c>
      <c r="I2143" s="875">
        <v>42556</v>
      </c>
      <c r="J2143" s="877" t="s">
        <v>1014</v>
      </c>
      <c r="K2143" s="879" t="s">
        <v>1010</v>
      </c>
      <c r="L2143" s="881" t="s">
        <v>115</v>
      </c>
      <c r="M2143" s="883">
        <v>50000</v>
      </c>
      <c r="N2143" s="55">
        <v>719</v>
      </c>
      <c r="O2143" s="78">
        <v>50000</v>
      </c>
    </row>
    <row r="2144" spans="8:17" ht="15.75" thickBot="1">
      <c r="H2144" s="882"/>
      <c r="I2144" s="876"/>
      <c r="J2144" s="878"/>
      <c r="K2144" s="880"/>
      <c r="L2144" s="882"/>
      <c r="M2144" s="884"/>
      <c r="N2144" s="56">
        <v>721</v>
      </c>
      <c r="O2144" s="79"/>
    </row>
    <row r="2145" spans="8:15">
      <c r="H2145" s="881">
        <v>233</v>
      </c>
      <c r="I2145" s="875">
        <v>42556</v>
      </c>
      <c r="J2145" s="877" t="s">
        <v>120</v>
      </c>
      <c r="K2145" s="879" t="s">
        <v>1015</v>
      </c>
      <c r="L2145" s="881" t="s">
        <v>115</v>
      </c>
      <c r="M2145" s="883">
        <v>10000</v>
      </c>
      <c r="N2145" s="55">
        <v>719</v>
      </c>
      <c r="O2145" s="78">
        <v>10000</v>
      </c>
    </row>
    <row r="2146" spans="8:15" ht="15.75" thickBot="1">
      <c r="H2146" s="882"/>
      <c r="I2146" s="876"/>
      <c r="J2146" s="878"/>
      <c r="K2146" s="880"/>
      <c r="L2146" s="882"/>
      <c r="M2146" s="884"/>
      <c r="N2146" s="56">
        <v>721</v>
      </c>
      <c r="O2146" s="79"/>
    </row>
    <row r="2147" spans="8:15">
      <c r="H2147" s="881"/>
      <c r="I2147" s="875"/>
      <c r="J2147" s="877"/>
      <c r="K2147" s="879"/>
      <c r="L2147" s="881"/>
      <c r="M2147" s="883"/>
      <c r="N2147" s="55">
        <v>719</v>
      </c>
      <c r="O2147" s="78">
        <v>0</v>
      </c>
    </row>
    <row r="2148" spans="8:15" ht="12.75" customHeight="1" thickBot="1">
      <c r="H2148" s="882"/>
      <c r="I2148" s="876"/>
      <c r="J2148" s="878"/>
      <c r="K2148" s="880"/>
      <c r="L2148" s="882"/>
      <c r="M2148" s="884"/>
      <c r="N2148" s="56">
        <v>721</v>
      </c>
      <c r="O2148" s="79">
        <f>+M2147-O2147</f>
        <v>0</v>
      </c>
    </row>
    <row r="2149" spans="8:15">
      <c r="H2149" s="881"/>
      <c r="I2149" s="875"/>
      <c r="J2149" s="877"/>
      <c r="K2149" s="879"/>
      <c r="L2149" s="881"/>
      <c r="M2149" s="883"/>
      <c r="N2149" s="55">
        <v>719</v>
      </c>
      <c r="O2149" s="78">
        <v>0</v>
      </c>
    </row>
    <row r="2150" spans="8:15" ht="12.75" customHeight="1" thickBot="1">
      <c r="H2150" s="882"/>
      <c r="I2150" s="876"/>
      <c r="J2150" s="878"/>
      <c r="K2150" s="880"/>
      <c r="L2150" s="882"/>
      <c r="M2150" s="884"/>
      <c r="N2150" s="56">
        <v>721</v>
      </c>
      <c r="O2150" s="79">
        <f>+M2149-O2149</f>
        <v>0</v>
      </c>
    </row>
    <row r="2151" spans="8:15">
      <c r="H2151" s="881"/>
      <c r="I2151" s="875"/>
      <c r="J2151" s="877"/>
      <c r="K2151" s="881"/>
      <c r="L2151" s="881"/>
      <c r="M2151" s="883"/>
      <c r="N2151" s="55">
        <v>719</v>
      </c>
      <c r="O2151" s="78"/>
    </row>
    <row r="2152" spans="8:15" ht="12.75" customHeight="1" thickBot="1">
      <c r="H2152" s="882"/>
      <c r="I2152" s="876"/>
      <c r="J2152" s="878"/>
      <c r="K2152" s="882"/>
      <c r="L2152" s="882"/>
      <c r="M2152" s="884"/>
      <c r="N2152" s="56">
        <v>721</v>
      </c>
      <c r="O2152" s="79">
        <f>+M2151-O2151</f>
        <v>0</v>
      </c>
    </row>
    <row r="2153" spans="8:15" ht="16.5" thickBot="1">
      <c r="H2153" s="901" t="s">
        <v>102</v>
      </c>
      <c r="I2153" s="902"/>
      <c r="J2153" s="902"/>
      <c r="K2153" s="902"/>
      <c r="L2153" s="903"/>
      <c r="M2153" s="81">
        <f>SUM(M2143:M2152)</f>
        <v>60000</v>
      </c>
    </row>
    <row r="2154" spans="8:15" ht="16.5" thickBot="1">
      <c r="H2154" s="885" t="s">
        <v>103</v>
      </c>
      <c r="I2154" s="886"/>
      <c r="J2154" s="886"/>
      <c r="K2154" s="886"/>
      <c r="L2154" s="887"/>
      <c r="M2154" s="69">
        <f>+M2118</f>
        <v>457817572</v>
      </c>
      <c r="N2154" s="241" t="s">
        <v>561</v>
      </c>
      <c r="O2154" s="242">
        <v>161</v>
      </c>
    </row>
    <row r="2155" spans="8:15" ht="16.5" thickBot="1">
      <c r="H2155" s="888" t="s">
        <v>104</v>
      </c>
      <c r="I2155" s="889"/>
      <c r="J2155" s="889"/>
      <c r="K2155" s="889"/>
      <c r="L2155" s="890"/>
      <c r="M2155" s="183">
        <f>SUM(M2153:M2154)</f>
        <v>457877572</v>
      </c>
    </row>
    <row r="2156" spans="8:15">
      <c r="H2156" s="61"/>
      <c r="I2156" s="61"/>
      <c r="J2156" s="61"/>
      <c r="K2156" s="61"/>
      <c r="L2156" s="61"/>
    </row>
    <row r="2157" spans="8:15">
      <c r="H2157" s="51" t="s">
        <v>1016</v>
      </c>
    </row>
    <row r="2158" spans="8:15">
      <c r="M2158" s="139"/>
    </row>
    <row r="2159" spans="8:15">
      <c r="H2159" s="50" t="s">
        <v>105</v>
      </c>
      <c r="K2159" s="146"/>
      <c r="M2159" s="139"/>
    </row>
    <row r="2160" spans="8:15" ht="15.75" thickBot="1"/>
    <row r="2161" spans="8:15" ht="15.75" thickBot="1">
      <c r="H2161" s="891" t="s">
        <v>106</v>
      </c>
      <c r="I2161" s="892"/>
      <c r="J2161" s="892"/>
      <c r="K2161" s="893"/>
      <c r="M2161" s="50" t="s">
        <v>288</v>
      </c>
    </row>
    <row r="2162" spans="8:15" ht="45.75" thickBot="1">
      <c r="H2162" s="57" t="s">
        <v>100</v>
      </c>
      <c r="I2162" s="58" t="s">
        <v>108</v>
      </c>
      <c r="J2162" s="287" t="s">
        <v>109</v>
      </c>
      <c r="K2162" s="60" t="s">
        <v>110</v>
      </c>
    </row>
    <row r="2163" spans="8:15">
      <c r="H2163" s="71">
        <v>719</v>
      </c>
      <c r="I2163" s="73">
        <f>+O2143+O2145+O2147+O2149+O2151</f>
        <v>60000</v>
      </c>
      <c r="J2163" s="74">
        <f>+K2126</f>
        <v>55290000</v>
      </c>
      <c r="K2163" s="195">
        <f>+I2163+J2163</f>
        <v>55350000</v>
      </c>
    </row>
    <row r="2164" spans="8:15">
      <c r="H2164" s="72">
        <v>721</v>
      </c>
      <c r="I2164" s="80">
        <f>+O2144+O2146+O2148+O2150</f>
        <v>0</v>
      </c>
      <c r="J2164" s="74">
        <f>+K2127</f>
        <v>92996559</v>
      </c>
      <c r="K2164" s="195">
        <f>+I2164+J2164</f>
        <v>92996559</v>
      </c>
    </row>
    <row r="2165" spans="8:15">
      <c r="H2165" s="72">
        <v>722</v>
      </c>
      <c r="I2165" s="80"/>
      <c r="J2165" s="74">
        <f>+K2128</f>
        <v>0</v>
      </c>
      <c r="K2165" s="195">
        <f>+I2165+J2165</f>
        <v>0</v>
      </c>
    </row>
    <row r="2166" spans="8:15" ht="15.75">
      <c r="H2166" s="72">
        <v>723</v>
      </c>
      <c r="I2166" s="80"/>
      <c r="J2166" s="74">
        <f>+K2129</f>
        <v>309461013</v>
      </c>
      <c r="K2166" s="195">
        <f>+I2166+J2166</f>
        <v>309461013</v>
      </c>
      <c r="M2166" s="193" t="s">
        <v>289</v>
      </c>
      <c r="N2166" s="175"/>
    </row>
    <row r="2167" spans="8:15" ht="16.5" thickBot="1">
      <c r="H2167" s="164" t="s">
        <v>181</v>
      </c>
      <c r="I2167" s="165"/>
      <c r="J2167" s="74">
        <f>+K2130</f>
        <v>0</v>
      </c>
      <c r="K2167" s="196">
        <f>+I2167+J2167</f>
        <v>0</v>
      </c>
      <c r="M2167" s="52"/>
    </row>
    <row r="2168" spans="8:15" ht="16.5" thickBot="1">
      <c r="H2168" s="169"/>
      <c r="I2168" s="197">
        <f>SUM(I2163:I2167)</f>
        <v>60000</v>
      </c>
      <c r="J2168" s="197">
        <f>SUM(J2163:J2167)</f>
        <v>457747572</v>
      </c>
      <c r="K2168" s="198">
        <f>SUM(K2163:K2167)</f>
        <v>457807572</v>
      </c>
    </row>
    <row r="2169" spans="8:15" ht="16.5">
      <c r="H2169" s="49" t="s">
        <v>88</v>
      </c>
      <c r="I2169" s="50"/>
    </row>
    <row r="2170" spans="8:15">
      <c r="H2170" s="51" t="s">
        <v>89</v>
      </c>
    </row>
    <row r="2171" spans="8:15">
      <c r="H2171" s="51" t="s">
        <v>90</v>
      </c>
    </row>
    <row r="2172" spans="8:15">
      <c r="H2172" s="51" t="s">
        <v>91</v>
      </c>
    </row>
    <row r="2173" spans="8:15" ht="10.5" customHeight="1">
      <c r="H2173" s="50"/>
      <c r="I2173" s="50"/>
    </row>
    <row r="2174" spans="8:15" ht="15.75">
      <c r="H2174" s="260" t="s">
        <v>1017</v>
      </c>
      <c r="N2174" s="52"/>
    </row>
    <row r="2175" spans="8:15" ht="15.75">
      <c r="H2175" s="53" t="s">
        <v>535</v>
      </c>
      <c r="N2175" s="53"/>
    </row>
    <row r="2176" spans="8:15" ht="15.75" customHeight="1">
      <c r="H2176" s="894" t="s">
        <v>909</v>
      </c>
      <c r="I2176" s="894"/>
      <c r="J2176" s="894"/>
      <c r="K2176" s="894"/>
      <c r="L2176" s="894"/>
      <c r="M2176" s="894"/>
      <c r="N2176" s="894"/>
      <c r="O2176" s="894"/>
    </row>
    <row r="2177" spans="8:15" ht="12.75" customHeight="1" thickBot="1"/>
    <row r="2178" spans="8:15">
      <c r="H2178" s="895" t="s">
        <v>94</v>
      </c>
      <c r="I2178" s="897" t="s">
        <v>95</v>
      </c>
      <c r="J2178" s="897" t="s">
        <v>96</v>
      </c>
      <c r="K2178" s="897" t="s">
        <v>3</v>
      </c>
      <c r="L2178" s="897" t="s">
        <v>97</v>
      </c>
      <c r="M2178" s="897" t="s">
        <v>98</v>
      </c>
      <c r="N2178" s="897" t="s">
        <v>99</v>
      </c>
      <c r="O2178" s="899"/>
    </row>
    <row r="2179" spans="8:15" ht="15.75" thickBot="1">
      <c r="H2179" s="896"/>
      <c r="I2179" s="898"/>
      <c r="J2179" s="898"/>
      <c r="K2179" s="898"/>
      <c r="L2179" s="898"/>
      <c r="M2179" s="898"/>
      <c r="N2179" s="240" t="s">
        <v>100</v>
      </c>
      <c r="O2179" s="182" t="s">
        <v>101</v>
      </c>
    </row>
    <row r="2180" spans="8:15">
      <c r="H2180" s="881">
        <v>234</v>
      </c>
      <c r="I2180" s="875">
        <v>42573</v>
      </c>
      <c r="J2180" s="877" t="s">
        <v>1014</v>
      </c>
      <c r="K2180" s="879" t="s">
        <v>1018</v>
      </c>
      <c r="L2180" s="881" t="s">
        <v>115</v>
      </c>
      <c r="M2180" s="883">
        <v>100000</v>
      </c>
      <c r="N2180" s="55">
        <v>719</v>
      </c>
      <c r="O2180" s="78">
        <v>100000</v>
      </c>
    </row>
    <row r="2181" spans="8:15" ht="11.25" customHeight="1" thickBot="1">
      <c r="H2181" s="882"/>
      <c r="I2181" s="876"/>
      <c r="J2181" s="878"/>
      <c r="K2181" s="880"/>
      <c r="L2181" s="882"/>
      <c r="M2181" s="884"/>
      <c r="N2181" s="56">
        <v>721</v>
      </c>
      <c r="O2181" s="79"/>
    </row>
    <row r="2182" spans="8:15" ht="15" customHeight="1">
      <c r="H2182" s="881">
        <v>235</v>
      </c>
      <c r="I2182" s="875">
        <v>42573</v>
      </c>
      <c r="J2182" s="877" t="s">
        <v>28</v>
      </c>
      <c r="K2182" s="879" t="s">
        <v>1019</v>
      </c>
      <c r="L2182" s="881" t="s">
        <v>115</v>
      </c>
      <c r="M2182" s="883">
        <v>10000</v>
      </c>
      <c r="N2182" s="55">
        <v>719</v>
      </c>
      <c r="O2182" s="78">
        <v>10000</v>
      </c>
    </row>
    <row r="2183" spans="8:15" ht="12.75" customHeight="1" thickBot="1">
      <c r="H2183" s="882"/>
      <c r="I2183" s="876"/>
      <c r="J2183" s="878"/>
      <c r="K2183" s="880"/>
      <c r="L2183" s="882"/>
      <c r="M2183" s="884"/>
      <c r="N2183" s="56">
        <v>721</v>
      </c>
      <c r="O2183" s="79"/>
    </row>
    <row r="2184" spans="8:15" ht="15" customHeight="1">
      <c r="H2184" s="881">
        <v>236</v>
      </c>
      <c r="I2184" s="875">
        <v>42573</v>
      </c>
      <c r="J2184" s="877" t="s">
        <v>1014</v>
      </c>
      <c r="K2184" s="879" t="s">
        <v>1020</v>
      </c>
      <c r="L2184" s="881" t="s">
        <v>115</v>
      </c>
      <c r="M2184" s="883">
        <v>140000</v>
      </c>
      <c r="N2184" s="55">
        <v>719</v>
      </c>
      <c r="O2184" s="78">
        <v>140000</v>
      </c>
    </row>
    <row r="2185" spans="8:15" ht="12.75" customHeight="1" thickBot="1">
      <c r="H2185" s="882"/>
      <c r="I2185" s="876"/>
      <c r="J2185" s="878"/>
      <c r="K2185" s="880"/>
      <c r="L2185" s="882"/>
      <c r="M2185" s="884"/>
      <c r="N2185" s="56">
        <v>721</v>
      </c>
      <c r="O2185" s="79">
        <f>+M2184-O2184</f>
        <v>0</v>
      </c>
    </row>
    <row r="2186" spans="8:15">
      <c r="H2186" s="881">
        <v>237</v>
      </c>
      <c r="I2186" s="875">
        <v>42573</v>
      </c>
      <c r="J2186" s="877" t="s">
        <v>28</v>
      </c>
      <c r="K2186" s="879" t="s">
        <v>1022</v>
      </c>
      <c r="L2186" s="881" t="s">
        <v>115</v>
      </c>
      <c r="M2186" s="883">
        <v>60000</v>
      </c>
      <c r="N2186" s="55">
        <v>719</v>
      </c>
      <c r="O2186" s="78">
        <v>60000</v>
      </c>
    </row>
    <row r="2187" spans="8:15" ht="13.5" customHeight="1" thickBot="1">
      <c r="H2187" s="882"/>
      <c r="I2187" s="876"/>
      <c r="J2187" s="878"/>
      <c r="K2187" s="880"/>
      <c r="L2187" s="882"/>
      <c r="M2187" s="884"/>
      <c r="N2187" s="56">
        <v>721</v>
      </c>
      <c r="O2187" s="79">
        <f>+M2186-O2186</f>
        <v>0</v>
      </c>
    </row>
    <row r="2188" spans="8:15" ht="15" customHeight="1">
      <c r="H2188" s="881">
        <v>238</v>
      </c>
      <c r="I2188" s="875">
        <v>42573</v>
      </c>
      <c r="J2188" s="877" t="s">
        <v>28</v>
      </c>
      <c r="K2188" s="879" t="s">
        <v>1021</v>
      </c>
      <c r="L2188" s="881" t="s">
        <v>115</v>
      </c>
      <c r="M2188" s="883">
        <v>40000</v>
      </c>
      <c r="N2188" s="55">
        <v>719</v>
      </c>
      <c r="O2188" s="78">
        <v>40000</v>
      </c>
    </row>
    <row r="2189" spans="8:15" ht="12" customHeight="1" thickBot="1">
      <c r="H2189" s="882"/>
      <c r="I2189" s="876"/>
      <c r="J2189" s="878"/>
      <c r="K2189" s="880"/>
      <c r="L2189" s="882"/>
      <c r="M2189" s="884"/>
      <c r="N2189" s="56">
        <v>721</v>
      </c>
      <c r="O2189" s="79">
        <f>+M2188-O2188</f>
        <v>0</v>
      </c>
    </row>
    <row r="2190" spans="8:15" ht="15" customHeight="1">
      <c r="H2190" s="881">
        <v>239</v>
      </c>
      <c r="I2190" s="875">
        <v>42573</v>
      </c>
      <c r="J2190" s="877" t="s">
        <v>120</v>
      </c>
      <c r="K2190" s="879" t="s">
        <v>1010</v>
      </c>
      <c r="L2190" s="881" t="s">
        <v>115</v>
      </c>
      <c r="M2190" s="883">
        <v>1259900</v>
      </c>
      <c r="N2190" s="55">
        <v>719</v>
      </c>
      <c r="O2190" s="78"/>
    </row>
    <row r="2191" spans="8:15" ht="12.75" customHeight="1" thickBot="1">
      <c r="H2191" s="882"/>
      <c r="I2191" s="876"/>
      <c r="J2191" s="878"/>
      <c r="K2191" s="880"/>
      <c r="L2191" s="882"/>
      <c r="M2191" s="884"/>
      <c r="N2191" s="56">
        <v>723</v>
      </c>
      <c r="O2191" s="79">
        <f>+M2190-O2190</f>
        <v>1259900</v>
      </c>
    </row>
    <row r="2192" spans="8:15" ht="16.5" thickBot="1">
      <c r="H2192" s="901" t="s">
        <v>102</v>
      </c>
      <c r="I2192" s="902"/>
      <c r="J2192" s="902"/>
      <c r="K2192" s="902"/>
      <c r="L2192" s="903"/>
      <c r="M2192" s="81">
        <f>SUM(M2180:M2191)</f>
        <v>1609900</v>
      </c>
    </row>
    <row r="2193" spans="8:15" ht="16.5" thickBot="1">
      <c r="H2193" s="885" t="s">
        <v>103</v>
      </c>
      <c r="I2193" s="886"/>
      <c r="J2193" s="886"/>
      <c r="K2193" s="886"/>
      <c r="L2193" s="887"/>
      <c r="M2193" s="69">
        <f>+M2155</f>
        <v>457877572</v>
      </c>
      <c r="N2193" s="241" t="s">
        <v>561</v>
      </c>
      <c r="O2193" s="242">
        <f>28+324+91+533+198</f>
        <v>1174</v>
      </c>
    </row>
    <row r="2194" spans="8:15" ht="16.5" thickBot="1">
      <c r="H2194" s="888" t="s">
        <v>104</v>
      </c>
      <c r="I2194" s="889"/>
      <c r="J2194" s="889"/>
      <c r="K2194" s="889"/>
      <c r="L2194" s="890"/>
      <c r="M2194" s="183">
        <f>SUM(M2192:M2193)</f>
        <v>459487472</v>
      </c>
    </row>
    <row r="2195" spans="8:15" ht="12.75" customHeight="1">
      <c r="H2195" s="61"/>
      <c r="I2195" s="61"/>
      <c r="J2195" s="61"/>
      <c r="K2195" s="61"/>
      <c r="L2195" s="61"/>
    </row>
    <row r="2196" spans="8:15">
      <c r="H2196" s="51" t="s">
        <v>1023</v>
      </c>
    </row>
    <row r="2197" spans="8:15" ht="12" customHeight="1">
      <c r="M2197" s="139"/>
    </row>
    <row r="2198" spans="8:15">
      <c r="H2198" s="50" t="s">
        <v>105</v>
      </c>
      <c r="K2198" s="146"/>
      <c r="M2198" s="139"/>
    </row>
    <row r="2199" spans="8:15" ht="12.75" customHeight="1" thickBot="1"/>
    <row r="2200" spans="8:15" ht="15.75" thickBot="1">
      <c r="H2200" s="891" t="s">
        <v>106</v>
      </c>
      <c r="I2200" s="892"/>
      <c r="J2200" s="892"/>
      <c r="K2200" s="893"/>
      <c r="M2200" s="50" t="s">
        <v>288</v>
      </c>
    </row>
    <row r="2201" spans="8:15" ht="45.75" thickBot="1">
      <c r="H2201" s="57" t="s">
        <v>100</v>
      </c>
      <c r="I2201" s="58" t="s">
        <v>108</v>
      </c>
      <c r="J2201" s="287" t="s">
        <v>109</v>
      </c>
      <c r="K2201" s="60" t="s">
        <v>110</v>
      </c>
    </row>
    <row r="2202" spans="8:15">
      <c r="H2202" s="71">
        <v>719</v>
      </c>
      <c r="I2202" s="73">
        <f>+O2180+O2182+O2184+O2188+O2190+O2186</f>
        <v>350000</v>
      </c>
      <c r="J2202" s="74">
        <f>+K2163</f>
        <v>55350000</v>
      </c>
      <c r="K2202" s="195">
        <f>+I2202+J2202</f>
        <v>55700000</v>
      </c>
    </row>
    <row r="2203" spans="8:15" ht="13.5" customHeight="1">
      <c r="H2203" s="72">
        <v>721</v>
      </c>
      <c r="I2203" s="80">
        <f>+O2181+O2183+O2185+O2189+O2187</f>
        <v>0</v>
      </c>
      <c r="J2203" s="74">
        <f>+K2164</f>
        <v>92996559</v>
      </c>
      <c r="K2203" s="195">
        <f>+I2203+J2203</f>
        <v>92996559</v>
      </c>
    </row>
    <row r="2204" spans="8:15">
      <c r="H2204" s="72">
        <v>722</v>
      </c>
      <c r="I2204" s="80"/>
      <c r="J2204" s="74">
        <f>+K2165</f>
        <v>0</v>
      </c>
      <c r="K2204" s="195">
        <f>+I2204+J2204</f>
        <v>0</v>
      </c>
    </row>
    <row r="2205" spans="8:15" ht="15" customHeight="1">
      <c r="H2205" s="72">
        <v>723</v>
      </c>
      <c r="I2205" s="80">
        <f>+O2191</f>
        <v>1259900</v>
      </c>
      <c r="J2205" s="74">
        <f>+K2166</f>
        <v>309461013</v>
      </c>
      <c r="K2205" s="195">
        <f>+I2205+J2205</f>
        <v>310720913</v>
      </c>
      <c r="M2205" s="193" t="s">
        <v>289</v>
      </c>
      <c r="N2205" s="175"/>
    </row>
    <row r="2206" spans="8:15" ht="13.5" customHeight="1" thickBot="1">
      <c r="H2206" s="164" t="s">
        <v>181</v>
      </c>
      <c r="I2206" s="165"/>
      <c r="J2206" s="74">
        <f>+K2167</f>
        <v>0</v>
      </c>
      <c r="K2206" s="196">
        <f>+I2206+J2206</f>
        <v>0</v>
      </c>
      <c r="M2206" s="52"/>
    </row>
    <row r="2207" spans="8:15" ht="16.5" thickBot="1">
      <c r="H2207" s="169"/>
      <c r="I2207" s="197">
        <f>SUM(I2202:I2206)</f>
        <v>1609900</v>
      </c>
      <c r="J2207" s="197">
        <f>SUM(J2202:J2206)</f>
        <v>457807572</v>
      </c>
      <c r="K2207" s="198">
        <f>SUM(K2202:K2206)</f>
        <v>459417472</v>
      </c>
    </row>
    <row r="2208" spans="8:15" ht="16.5">
      <c r="H2208" s="49" t="s">
        <v>88</v>
      </c>
      <c r="I2208" s="50"/>
    </row>
    <row r="2209" spans="8:15">
      <c r="H2209" s="51" t="s">
        <v>89</v>
      </c>
    </row>
    <row r="2210" spans="8:15">
      <c r="H2210" s="51" t="s">
        <v>90</v>
      </c>
    </row>
    <row r="2211" spans="8:15">
      <c r="H2211" s="51" t="s">
        <v>91</v>
      </c>
    </row>
    <row r="2212" spans="8:15" ht="10.5" customHeight="1">
      <c r="H2212" s="50"/>
      <c r="I2212" s="50"/>
    </row>
    <row r="2213" spans="8:15" ht="15.75">
      <c r="H2213" s="260" t="s">
        <v>1024</v>
      </c>
      <c r="N2213" s="52"/>
    </row>
    <row r="2214" spans="8:15" ht="15.75">
      <c r="H2214" s="53" t="s">
        <v>535</v>
      </c>
      <c r="N2214" s="53"/>
    </row>
    <row r="2215" spans="8:15" ht="16.5">
      <c r="H2215" s="894" t="s">
        <v>909</v>
      </c>
      <c r="I2215" s="894"/>
      <c r="J2215" s="894"/>
      <c r="K2215" s="894"/>
      <c r="L2215" s="894"/>
      <c r="M2215" s="894"/>
      <c r="N2215" s="894"/>
      <c r="O2215" s="894"/>
    </row>
    <row r="2216" spans="8:15" ht="15.75" thickBot="1"/>
    <row r="2217" spans="8:15">
      <c r="H2217" s="895" t="s">
        <v>94</v>
      </c>
      <c r="I2217" s="897" t="s">
        <v>95</v>
      </c>
      <c r="J2217" s="897" t="s">
        <v>96</v>
      </c>
      <c r="K2217" s="897" t="s">
        <v>3</v>
      </c>
      <c r="L2217" s="897" t="s">
        <v>97</v>
      </c>
      <c r="M2217" s="897" t="s">
        <v>98</v>
      </c>
      <c r="N2217" s="897" t="s">
        <v>99</v>
      </c>
      <c r="O2217" s="899"/>
    </row>
    <row r="2218" spans="8:15" ht="15.75" thickBot="1">
      <c r="H2218" s="896"/>
      <c r="I2218" s="898"/>
      <c r="J2218" s="898"/>
      <c r="K2218" s="898"/>
      <c r="L2218" s="898"/>
      <c r="M2218" s="898"/>
      <c r="N2218" s="240" t="s">
        <v>100</v>
      </c>
      <c r="O2218" s="182" t="s">
        <v>101</v>
      </c>
    </row>
    <row r="2219" spans="8:15">
      <c r="H2219" s="881">
        <v>240</v>
      </c>
      <c r="I2219" s="875">
        <v>42592</v>
      </c>
      <c r="J2219" s="877" t="s">
        <v>1014</v>
      </c>
      <c r="K2219" s="879" t="s">
        <v>1025</v>
      </c>
      <c r="L2219" s="881" t="s">
        <v>115</v>
      </c>
      <c r="M2219" s="883">
        <v>110000</v>
      </c>
      <c r="N2219" s="55">
        <v>719</v>
      </c>
      <c r="O2219" s="78">
        <f>+M2219</f>
        <v>110000</v>
      </c>
    </row>
    <row r="2220" spans="8:15" ht="15.75" thickBot="1">
      <c r="H2220" s="882"/>
      <c r="I2220" s="876"/>
      <c r="J2220" s="878"/>
      <c r="K2220" s="880"/>
      <c r="L2220" s="882"/>
      <c r="M2220" s="884"/>
      <c r="N2220" s="56">
        <v>721</v>
      </c>
      <c r="O2220" s="79"/>
    </row>
    <row r="2221" spans="8:15" ht="15" customHeight="1">
      <c r="H2221" s="881">
        <v>241</v>
      </c>
      <c r="I2221" s="875">
        <v>42592</v>
      </c>
      <c r="J2221" s="877" t="s">
        <v>28</v>
      </c>
      <c r="K2221" s="879" t="s">
        <v>1026</v>
      </c>
      <c r="L2221" s="881" t="s">
        <v>115</v>
      </c>
      <c r="M2221" s="883">
        <v>70000</v>
      </c>
      <c r="N2221" s="55">
        <v>719</v>
      </c>
      <c r="O2221" s="78">
        <f>+M2221</f>
        <v>70000</v>
      </c>
    </row>
    <row r="2222" spans="8:15" ht="15.75" customHeight="1" thickBot="1">
      <c r="H2222" s="882"/>
      <c r="I2222" s="876"/>
      <c r="J2222" s="878"/>
      <c r="K2222" s="880"/>
      <c r="L2222" s="882"/>
      <c r="M2222" s="884"/>
      <c r="N2222" s="56">
        <v>721</v>
      </c>
      <c r="O2222" s="79"/>
    </row>
    <row r="2223" spans="8:15" ht="15" customHeight="1">
      <c r="H2223" s="881">
        <v>242</v>
      </c>
      <c r="I2223" s="875">
        <v>42592</v>
      </c>
      <c r="J2223" s="877" t="s">
        <v>1014</v>
      </c>
      <c r="K2223" s="879" t="s">
        <v>1027</v>
      </c>
      <c r="L2223" s="881" t="s">
        <v>115</v>
      </c>
      <c r="M2223" s="883">
        <v>260000</v>
      </c>
      <c r="N2223" s="55">
        <v>719</v>
      </c>
      <c r="O2223" s="78">
        <v>260000</v>
      </c>
    </row>
    <row r="2224" spans="8:15" ht="15.75" customHeight="1" thickBot="1">
      <c r="H2224" s="882"/>
      <c r="I2224" s="876"/>
      <c r="J2224" s="878"/>
      <c r="K2224" s="880"/>
      <c r="L2224" s="882"/>
      <c r="M2224" s="884"/>
      <c r="N2224" s="56">
        <v>721</v>
      </c>
      <c r="O2224" s="79">
        <f>+M2223-O2223</f>
        <v>0</v>
      </c>
    </row>
    <row r="2225" spans="8:15" ht="15" customHeight="1">
      <c r="H2225" s="881"/>
      <c r="I2225" s="875"/>
      <c r="J2225" s="877"/>
      <c r="K2225" s="879"/>
      <c r="L2225" s="881"/>
      <c r="M2225" s="883"/>
      <c r="N2225" s="55">
        <v>719</v>
      </c>
      <c r="O2225" s="78">
        <v>0</v>
      </c>
    </row>
    <row r="2226" spans="8:15" ht="15.75" customHeight="1" thickBot="1">
      <c r="H2226" s="882"/>
      <c r="I2226" s="876"/>
      <c r="J2226" s="878"/>
      <c r="K2226" s="880"/>
      <c r="L2226" s="882"/>
      <c r="M2226" s="884"/>
      <c r="N2226" s="56">
        <v>721</v>
      </c>
      <c r="O2226" s="79">
        <f>+M2225-O2225</f>
        <v>0</v>
      </c>
    </row>
    <row r="2227" spans="8:15">
      <c r="H2227" s="881"/>
      <c r="I2227" s="875"/>
      <c r="J2227" s="877"/>
      <c r="K2227" s="879"/>
      <c r="L2227" s="881"/>
      <c r="M2227" s="883"/>
      <c r="N2227" s="55">
        <v>719</v>
      </c>
      <c r="O2227" s="78"/>
    </row>
    <row r="2228" spans="8:15" ht="15.75" thickBot="1">
      <c r="H2228" s="882"/>
      <c r="I2228" s="876"/>
      <c r="J2228" s="878"/>
      <c r="K2228" s="880"/>
      <c r="L2228" s="882"/>
      <c r="M2228" s="884"/>
      <c r="N2228" s="56">
        <v>723</v>
      </c>
      <c r="O2228" s="79">
        <f>+M2227-O2227</f>
        <v>0</v>
      </c>
    </row>
    <row r="2229" spans="8:15" ht="16.5" thickBot="1">
      <c r="H2229" s="901" t="s">
        <v>102</v>
      </c>
      <c r="I2229" s="902"/>
      <c r="J2229" s="902"/>
      <c r="K2229" s="902"/>
      <c r="L2229" s="903"/>
      <c r="M2229" s="81">
        <f>SUM(M2219:M2228)</f>
        <v>440000</v>
      </c>
    </row>
    <row r="2230" spans="8:15" ht="16.5" thickBot="1">
      <c r="H2230" s="885" t="s">
        <v>103</v>
      </c>
      <c r="I2230" s="886"/>
      <c r="J2230" s="886"/>
      <c r="K2230" s="886"/>
      <c r="L2230" s="887"/>
      <c r="M2230" s="69">
        <f>+M2194</f>
        <v>459487472</v>
      </c>
      <c r="N2230" s="241" t="s">
        <v>561</v>
      </c>
      <c r="O2230" s="242">
        <f>742+165+273</f>
        <v>1180</v>
      </c>
    </row>
    <row r="2231" spans="8:15" ht="16.5" thickBot="1">
      <c r="H2231" s="888" t="s">
        <v>104</v>
      </c>
      <c r="I2231" s="889"/>
      <c r="J2231" s="889"/>
      <c r="K2231" s="889"/>
      <c r="L2231" s="890"/>
      <c r="M2231" s="183">
        <f>SUM(M2229:M2230)</f>
        <v>459927472</v>
      </c>
    </row>
    <row r="2232" spans="8:15">
      <c r="H2232" s="61"/>
      <c r="I2232" s="61"/>
      <c r="J2232" s="61"/>
      <c r="K2232" s="61"/>
      <c r="L2232" s="61"/>
    </row>
    <row r="2233" spans="8:15">
      <c r="H2233" s="51" t="s">
        <v>1029</v>
      </c>
    </row>
    <row r="2234" spans="8:15" ht="12.75" customHeight="1">
      <c r="M2234" s="139"/>
    </row>
    <row r="2235" spans="8:15">
      <c r="H2235" s="50" t="s">
        <v>105</v>
      </c>
      <c r="K2235" s="146"/>
      <c r="M2235" s="139"/>
    </row>
    <row r="2236" spans="8:15" ht="12.75" customHeight="1" thickBot="1"/>
    <row r="2237" spans="8:15" ht="15.75" thickBot="1">
      <c r="H2237" s="891" t="s">
        <v>106</v>
      </c>
      <c r="I2237" s="892"/>
      <c r="J2237" s="892"/>
      <c r="K2237" s="893"/>
      <c r="M2237" s="50" t="s">
        <v>270</v>
      </c>
    </row>
    <row r="2238" spans="8:15" ht="45.75" thickBot="1">
      <c r="H2238" s="57" t="s">
        <v>100</v>
      </c>
      <c r="I2238" s="58" t="s">
        <v>108</v>
      </c>
      <c r="J2238" s="287" t="s">
        <v>109</v>
      </c>
      <c r="K2238" s="60" t="s">
        <v>110</v>
      </c>
    </row>
    <row r="2239" spans="8:15">
      <c r="H2239" s="71">
        <v>719</v>
      </c>
      <c r="I2239" s="73">
        <f>+O2219+O2221+O2223+O2225+O2227</f>
        <v>440000</v>
      </c>
      <c r="J2239" s="74">
        <f>+K2202</f>
        <v>55700000</v>
      </c>
      <c r="K2239" s="195">
        <f>+I2239+J2239</f>
        <v>56140000</v>
      </c>
    </row>
    <row r="2240" spans="8:15">
      <c r="H2240" s="72">
        <v>721</v>
      </c>
      <c r="I2240" s="80">
        <f>+O2220+O2222+O2224+O2226</f>
        <v>0</v>
      </c>
      <c r="J2240" s="74">
        <f>+K2203</f>
        <v>92996559</v>
      </c>
      <c r="K2240" s="195">
        <f>+I2240+J2240</f>
        <v>92996559</v>
      </c>
    </row>
    <row r="2241" spans="8:15">
      <c r="H2241" s="72">
        <v>722</v>
      </c>
      <c r="I2241" s="80"/>
      <c r="J2241" s="74">
        <f>+K2204</f>
        <v>0</v>
      </c>
      <c r="K2241" s="195">
        <f>+I2241+J2241</f>
        <v>0</v>
      </c>
    </row>
    <row r="2242" spans="8:15" ht="15.75">
      <c r="H2242" s="72">
        <v>723</v>
      </c>
      <c r="I2242" s="80">
        <f>+O2228</f>
        <v>0</v>
      </c>
      <c r="J2242" s="74">
        <f>+K2205</f>
        <v>310720913</v>
      </c>
      <c r="K2242" s="195">
        <f>+I2242+J2242</f>
        <v>310720913</v>
      </c>
      <c r="M2242" s="193" t="s">
        <v>1028</v>
      </c>
      <c r="N2242" s="175"/>
    </row>
    <row r="2243" spans="8:15" ht="16.5" thickBot="1">
      <c r="H2243" s="164" t="s">
        <v>181</v>
      </c>
      <c r="I2243" s="165"/>
      <c r="J2243" s="74">
        <f>+K2206</f>
        <v>0</v>
      </c>
      <c r="K2243" s="196">
        <f>+I2243+J2243</f>
        <v>0</v>
      </c>
      <c r="M2243" s="52"/>
    </row>
    <row r="2244" spans="8:15" ht="16.5" thickBot="1">
      <c r="H2244" s="169"/>
      <c r="I2244" s="197">
        <f>SUM(I2239:I2243)</f>
        <v>440000</v>
      </c>
      <c r="J2244" s="197">
        <f>SUM(J2239:J2243)</f>
        <v>459417472</v>
      </c>
      <c r="K2244" s="198">
        <f>SUM(K2239:K2243)</f>
        <v>459857472</v>
      </c>
    </row>
    <row r="2245" spans="8:15" ht="16.5">
      <c r="H2245" s="49" t="s">
        <v>88</v>
      </c>
      <c r="I2245" s="50"/>
    </row>
    <row r="2246" spans="8:15">
      <c r="H2246" s="51" t="s">
        <v>89</v>
      </c>
    </row>
    <row r="2247" spans="8:15">
      <c r="H2247" s="51" t="s">
        <v>90</v>
      </c>
    </row>
    <row r="2248" spans="8:15">
      <c r="H2248" s="51" t="s">
        <v>91</v>
      </c>
    </row>
    <row r="2249" spans="8:15" ht="10.5" customHeight="1">
      <c r="H2249" s="50"/>
      <c r="I2249" s="50"/>
    </row>
    <row r="2250" spans="8:15" ht="15.75">
      <c r="H2250" s="260" t="s">
        <v>1030</v>
      </c>
      <c r="N2250" s="52"/>
    </row>
    <row r="2251" spans="8:15" ht="15.75">
      <c r="H2251" s="53" t="s">
        <v>535</v>
      </c>
      <c r="N2251" s="53"/>
    </row>
    <row r="2252" spans="8:15" ht="16.5">
      <c r="H2252" s="894" t="s">
        <v>909</v>
      </c>
      <c r="I2252" s="894"/>
      <c r="J2252" s="894"/>
      <c r="K2252" s="894"/>
      <c r="L2252" s="894"/>
      <c r="M2252" s="894"/>
      <c r="N2252" s="894"/>
      <c r="O2252" s="894"/>
    </row>
    <row r="2253" spans="8:15" ht="12" customHeight="1" thickBot="1"/>
    <row r="2254" spans="8:15">
      <c r="H2254" s="895" t="s">
        <v>94</v>
      </c>
      <c r="I2254" s="897" t="s">
        <v>95</v>
      </c>
      <c r="J2254" s="897" t="s">
        <v>96</v>
      </c>
      <c r="K2254" s="897" t="s">
        <v>3</v>
      </c>
      <c r="L2254" s="897" t="s">
        <v>97</v>
      </c>
      <c r="M2254" s="897" t="s">
        <v>98</v>
      </c>
      <c r="N2254" s="897" t="s">
        <v>99</v>
      </c>
      <c r="O2254" s="899"/>
    </row>
    <row r="2255" spans="8:15" ht="15.75" thickBot="1">
      <c r="H2255" s="896"/>
      <c r="I2255" s="898"/>
      <c r="J2255" s="898"/>
      <c r="K2255" s="898"/>
      <c r="L2255" s="898"/>
      <c r="M2255" s="898"/>
      <c r="N2255" s="240" t="s">
        <v>100</v>
      </c>
      <c r="O2255" s="182" t="s">
        <v>101</v>
      </c>
    </row>
    <row r="2256" spans="8:15">
      <c r="H2256" s="881">
        <v>243</v>
      </c>
      <c r="I2256" s="875">
        <v>42621</v>
      </c>
      <c r="J2256" s="877" t="s">
        <v>1014</v>
      </c>
      <c r="K2256" s="879" t="s">
        <v>1033</v>
      </c>
      <c r="L2256" s="881" t="s">
        <v>115</v>
      </c>
      <c r="M2256" s="883">
        <v>190000</v>
      </c>
      <c r="N2256" s="55">
        <v>719</v>
      </c>
      <c r="O2256" s="78">
        <f>+M2256</f>
        <v>190000</v>
      </c>
    </row>
    <row r="2257" spans="8:15" ht="15.75" thickBot="1">
      <c r="H2257" s="882"/>
      <c r="I2257" s="876"/>
      <c r="J2257" s="878"/>
      <c r="K2257" s="880"/>
      <c r="L2257" s="882"/>
      <c r="M2257" s="884"/>
      <c r="N2257" s="56">
        <v>721</v>
      </c>
      <c r="O2257" s="79"/>
    </row>
    <row r="2258" spans="8:15" ht="15" customHeight="1">
      <c r="H2258" s="881">
        <v>244</v>
      </c>
      <c r="I2258" s="875">
        <v>42621</v>
      </c>
      <c r="J2258" s="877" t="s">
        <v>28</v>
      </c>
      <c r="K2258" s="879" t="s">
        <v>1033</v>
      </c>
      <c r="L2258" s="881" t="s">
        <v>115</v>
      </c>
      <c r="M2258" s="883">
        <v>60000</v>
      </c>
      <c r="N2258" s="55">
        <v>719</v>
      </c>
      <c r="O2258" s="78">
        <f>+M2258</f>
        <v>60000</v>
      </c>
    </row>
    <row r="2259" spans="8:15" ht="15.75" customHeight="1" thickBot="1">
      <c r="H2259" s="882"/>
      <c r="I2259" s="876"/>
      <c r="J2259" s="878"/>
      <c r="K2259" s="880"/>
      <c r="L2259" s="882"/>
      <c r="M2259" s="884"/>
      <c r="N2259" s="56">
        <v>721</v>
      </c>
      <c r="O2259" s="79"/>
    </row>
    <row r="2260" spans="8:15" ht="15" customHeight="1">
      <c r="H2260" s="881">
        <v>245</v>
      </c>
      <c r="I2260" s="875">
        <v>42621</v>
      </c>
      <c r="J2260" s="877" t="s">
        <v>1014</v>
      </c>
      <c r="K2260" s="879" t="s">
        <v>1034</v>
      </c>
      <c r="L2260" s="881" t="s">
        <v>115</v>
      </c>
      <c r="M2260" s="883">
        <v>560000</v>
      </c>
      <c r="N2260" s="55">
        <v>719</v>
      </c>
      <c r="O2260" s="78">
        <v>560000</v>
      </c>
    </row>
    <row r="2261" spans="8:15" ht="15.75" customHeight="1" thickBot="1">
      <c r="H2261" s="882"/>
      <c r="I2261" s="876"/>
      <c r="J2261" s="878"/>
      <c r="K2261" s="880"/>
      <c r="L2261" s="882"/>
      <c r="M2261" s="884"/>
      <c r="N2261" s="56">
        <v>721</v>
      </c>
      <c r="O2261" s="79">
        <f>+M2260-O2260</f>
        <v>0</v>
      </c>
    </row>
    <row r="2262" spans="8:15" ht="15" customHeight="1">
      <c r="H2262" s="881">
        <v>246</v>
      </c>
      <c r="I2262" s="875">
        <v>42621</v>
      </c>
      <c r="J2262" s="877" t="s">
        <v>28</v>
      </c>
      <c r="K2262" s="879" t="s">
        <v>1035</v>
      </c>
      <c r="L2262" s="881" t="s">
        <v>115</v>
      </c>
      <c r="M2262" s="883">
        <v>70000</v>
      </c>
      <c r="N2262" s="55">
        <v>719</v>
      </c>
      <c r="O2262" s="78">
        <v>70000</v>
      </c>
    </row>
    <row r="2263" spans="8:15" ht="15.75" customHeight="1" thickBot="1">
      <c r="H2263" s="882"/>
      <c r="I2263" s="876"/>
      <c r="J2263" s="878"/>
      <c r="K2263" s="880"/>
      <c r="L2263" s="882"/>
      <c r="M2263" s="884"/>
      <c r="N2263" s="56">
        <v>721</v>
      </c>
      <c r="O2263" s="79">
        <f>+M2262-O2262</f>
        <v>0</v>
      </c>
    </row>
    <row r="2264" spans="8:15" ht="15" customHeight="1">
      <c r="H2264" s="881"/>
      <c r="I2264" s="875"/>
      <c r="J2264" s="877"/>
      <c r="K2264" s="879"/>
      <c r="L2264" s="881"/>
      <c r="M2264" s="883"/>
      <c r="N2264" s="55">
        <v>719</v>
      </c>
      <c r="O2264" s="78"/>
    </row>
    <row r="2265" spans="8:15" ht="15.75" customHeight="1" thickBot="1">
      <c r="H2265" s="882"/>
      <c r="I2265" s="876"/>
      <c r="J2265" s="878"/>
      <c r="K2265" s="880"/>
      <c r="L2265" s="882"/>
      <c r="M2265" s="884"/>
      <c r="N2265" s="56">
        <v>723</v>
      </c>
      <c r="O2265" s="79">
        <f>+M2264-O2264</f>
        <v>0</v>
      </c>
    </row>
    <row r="2266" spans="8:15" ht="16.5" thickBot="1">
      <c r="H2266" s="901" t="s">
        <v>102</v>
      </c>
      <c r="I2266" s="902"/>
      <c r="J2266" s="902"/>
      <c r="K2266" s="902"/>
      <c r="L2266" s="903"/>
      <c r="M2266" s="81">
        <f>SUM(M2256:M2265)</f>
        <v>880000</v>
      </c>
    </row>
    <row r="2267" spans="8:15" ht="16.5" thickBot="1">
      <c r="H2267" s="885" t="s">
        <v>103</v>
      </c>
      <c r="I2267" s="886"/>
      <c r="J2267" s="886"/>
      <c r="K2267" s="886"/>
      <c r="L2267" s="887"/>
      <c r="M2267" s="69">
        <f>+M2231</f>
        <v>459927472</v>
      </c>
      <c r="N2267" s="241" t="s">
        <v>561</v>
      </c>
      <c r="O2267" s="242">
        <f>86+1021+143+512</f>
        <v>1762</v>
      </c>
    </row>
    <row r="2268" spans="8:15" ht="16.5" thickBot="1">
      <c r="H2268" s="888" t="s">
        <v>104</v>
      </c>
      <c r="I2268" s="889"/>
      <c r="J2268" s="889"/>
      <c r="K2268" s="889"/>
      <c r="L2268" s="890"/>
      <c r="M2268" s="183">
        <f>SUM(M2266:M2267)</f>
        <v>460807472</v>
      </c>
    </row>
    <row r="2269" spans="8:15">
      <c r="H2269" s="61"/>
      <c r="I2269" s="61"/>
      <c r="J2269" s="61"/>
      <c r="K2269" s="61"/>
      <c r="L2269" s="61"/>
    </row>
    <row r="2270" spans="8:15">
      <c r="H2270" s="51" t="s">
        <v>1036</v>
      </c>
    </row>
    <row r="2271" spans="8:15" ht="12.75" customHeight="1">
      <c r="M2271" s="139"/>
    </row>
    <row r="2272" spans="8:15">
      <c r="H2272" s="50" t="s">
        <v>105</v>
      </c>
      <c r="K2272" s="146"/>
      <c r="M2272" s="139"/>
    </row>
    <row r="2273" spans="8:14" ht="13.5" customHeight="1" thickBot="1"/>
    <row r="2274" spans="8:14" ht="15.75" thickBot="1">
      <c r="H2274" s="891" t="s">
        <v>106</v>
      </c>
      <c r="I2274" s="892"/>
      <c r="J2274" s="892"/>
      <c r="K2274" s="893"/>
      <c r="M2274" s="50" t="s">
        <v>288</v>
      </c>
    </row>
    <row r="2275" spans="8:14" ht="45.75" thickBot="1">
      <c r="H2275" s="57" t="s">
        <v>100</v>
      </c>
      <c r="I2275" s="58" t="s">
        <v>108</v>
      </c>
      <c r="J2275" s="287" t="s">
        <v>109</v>
      </c>
      <c r="K2275" s="60" t="s">
        <v>110</v>
      </c>
    </row>
    <row r="2276" spans="8:14">
      <c r="H2276" s="71">
        <v>719</v>
      </c>
      <c r="I2276" s="73">
        <f>+O2256+O2258+O2260+O2262+O2264</f>
        <v>880000</v>
      </c>
      <c r="J2276" s="74">
        <f>+K2239</f>
        <v>56140000</v>
      </c>
      <c r="K2276" s="195">
        <f>+I2276+J2276</f>
        <v>57020000</v>
      </c>
    </row>
    <row r="2277" spans="8:14">
      <c r="H2277" s="72">
        <v>721</v>
      </c>
      <c r="I2277" s="80">
        <f>+O2257+O2259+O2261+O2263</f>
        <v>0</v>
      </c>
      <c r="J2277" s="74">
        <f>+K2240</f>
        <v>92996559</v>
      </c>
      <c r="K2277" s="195">
        <f>+I2277+J2277</f>
        <v>92996559</v>
      </c>
    </row>
    <row r="2278" spans="8:14">
      <c r="H2278" s="72">
        <v>722</v>
      </c>
      <c r="I2278" s="80"/>
      <c r="J2278" s="74">
        <f>+K2241</f>
        <v>0</v>
      </c>
      <c r="K2278" s="195">
        <f>+I2278+J2278</f>
        <v>0</v>
      </c>
    </row>
    <row r="2279" spans="8:14" ht="15.75">
      <c r="H2279" s="72">
        <v>723</v>
      </c>
      <c r="I2279" s="80">
        <f>+O2265</f>
        <v>0</v>
      </c>
      <c r="J2279" s="74">
        <f>+K2242</f>
        <v>310720913</v>
      </c>
      <c r="K2279" s="195">
        <f>+I2279+J2279</f>
        <v>310720913</v>
      </c>
      <c r="M2279" s="193" t="s">
        <v>289</v>
      </c>
      <c r="N2279" s="175"/>
    </row>
    <row r="2280" spans="8:14" ht="16.5" thickBot="1">
      <c r="H2280" s="164" t="s">
        <v>181</v>
      </c>
      <c r="I2280" s="165"/>
      <c r="J2280" s="74">
        <f>+K2243</f>
        <v>0</v>
      </c>
      <c r="K2280" s="196">
        <f>+I2280+J2280</f>
        <v>0</v>
      </c>
      <c r="M2280" s="52"/>
    </row>
    <row r="2281" spans="8:14" ht="16.5" thickBot="1">
      <c r="H2281" s="169"/>
      <c r="I2281" s="197">
        <f>SUM(I2276:I2280)</f>
        <v>880000</v>
      </c>
      <c r="J2281" s="197">
        <f>SUM(J2276:J2280)</f>
        <v>459857472</v>
      </c>
      <c r="K2281" s="198">
        <f>SUM(K2276:K2280)</f>
        <v>460737472</v>
      </c>
    </row>
    <row r="2282" spans="8:14" ht="16.5">
      <c r="H2282" s="49" t="s">
        <v>88</v>
      </c>
      <c r="I2282" s="50"/>
    </row>
    <row r="2283" spans="8:14">
      <c r="H2283" s="51" t="s">
        <v>89</v>
      </c>
    </row>
    <row r="2284" spans="8:14">
      <c r="H2284" s="51" t="s">
        <v>90</v>
      </c>
    </row>
    <row r="2285" spans="8:14">
      <c r="H2285" s="51" t="s">
        <v>91</v>
      </c>
    </row>
    <row r="2286" spans="8:14" ht="11.25" customHeight="1">
      <c r="H2286" s="50"/>
      <c r="I2286" s="50"/>
    </row>
    <row r="2287" spans="8:14" ht="15.75">
      <c r="H2287" s="260" t="s">
        <v>1031</v>
      </c>
      <c r="N2287" s="52"/>
    </row>
    <row r="2288" spans="8:14" ht="15.75">
      <c r="H2288" s="53" t="s">
        <v>535</v>
      </c>
      <c r="N2288" s="53"/>
    </row>
    <row r="2289" spans="8:15" ht="16.5">
      <c r="H2289" s="894" t="s">
        <v>909</v>
      </c>
      <c r="I2289" s="894"/>
      <c r="J2289" s="894"/>
      <c r="K2289" s="894"/>
      <c r="L2289" s="894"/>
      <c r="M2289" s="894"/>
      <c r="N2289" s="894"/>
      <c r="O2289" s="894"/>
    </row>
    <row r="2290" spans="8:15" ht="15.75" thickBot="1"/>
    <row r="2291" spans="8:15">
      <c r="H2291" s="895" t="s">
        <v>94</v>
      </c>
      <c r="I2291" s="897" t="s">
        <v>95</v>
      </c>
      <c r="J2291" s="897" t="s">
        <v>96</v>
      </c>
      <c r="K2291" s="897" t="s">
        <v>3</v>
      </c>
      <c r="L2291" s="897" t="s">
        <v>97</v>
      </c>
      <c r="M2291" s="897" t="s">
        <v>98</v>
      </c>
      <c r="N2291" s="897" t="s">
        <v>99</v>
      </c>
      <c r="O2291" s="899"/>
    </row>
    <row r="2292" spans="8:15" ht="15.75" thickBot="1">
      <c r="H2292" s="896"/>
      <c r="I2292" s="898"/>
      <c r="J2292" s="898"/>
      <c r="K2292" s="898"/>
      <c r="L2292" s="898"/>
      <c r="M2292" s="898"/>
      <c r="N2292" s="240" t="s">
        <v>100</v>
      </c>
      <c r="O2292" s="182" t="s">
        <v>101</v>
      </c>
    </row>
    <row r="2293" spans="8:15">
      <c r="H2293" s="881">
        <v>247</v>
      </c>
      <c r="I2293" s="875">
        <v>42623</v>
      </c>
      <c r="J2293" s="877" t="s">
        <v>40</v>
      </c>
      <c r="K2293" s="879" t="s">
        <v>1037</v>
      </c>
      <c r="L2293" s="881" t="s">
        <v>148</v>
      </c>
      <c r="M2293" s="883">
        <v>140000</v>
      </c>
      <c r="N2293" s="55">
        <v>719</v>
      </c>
      <c r="O2293" s="78">
        <v>100000</v>
      </c>
    </row>
    <row r="2294" spans="8:15" ht="15.75" thickBot="1">
      <c r="H2294" s="882"/>
      <c r="I2294" s="876"/>
      <c r="J2294" s="878"/>
      <c r="K2294" s="880"/>
      <c r="L2294" s="882"/>
      <c r="M2294" s="884"/>
      <c r="N2294" s="56">
        <v>721</v>
      </c>
      <c r="O2294" s="79">
        <f>+M2293-O2293</f>
        <v>40000</v>
      </c>
    </row>
    <row r="2295" spans="8:15">
      <c r="H2295" s="881">
        <v>248</v>
      </c>
      <c r="I2295" s="875">
        <v>42623</v>
      </c>
      <c r="J2295" s="877" t="s">
        <v>28</v>
      </c>
      <c r="K2295" s="879" t="s">
        <v>1038</v>
      </c>
      <c r="L2295" s="881" t="s">
        <v>148</v>
      </c>
      <c r="M2295" s="883">
        <v>714000</v>
      </c>
      <c r="N2295" s="55">
        <v>719</v>
      </c>
      <c r="O2295" s="78">
        <f>+M2295-O2296</f>
        <v>510000</v>
      </c>
    </row>
    <row r="2296" spans="8:15" ht="15.75" thickBot="1">
      <c r="H2296" s="882"/>
      <c r="I2296" s="876"/>
      <c r="J2296" s="878"/>
      <c r="K2296" s="880"/>
      <c r="L2296" s="882"/>
      <c r="M2296" s="884"/>
      <c r="N2296" s="56">
        <v>721</v>
      </c>
      <c r="O2296" s="79">
        <v>204000</v>
      </c>
    </row>
    <row r="2297" spans="8:15">
      <c r="H2297" s="881">
        <v>249</v>
      </c>
      <c r="I2297" s="875">
        <v>42623</v>
      </c>
      <c r="J2297" s="877" t="s">
        <v>111</v>
      </c>
      <c r="K2297" s="879" t="s">
        <v>1039</v>
      </c>
      <c r="L2297" s="881" t="s">
        <v>148</v>
      </c>
      <c r="M2297" s="883">
        <v>252000</v>
      </c>
      <c r="N2297" s="55">
        <v>719</v>
      </c>
      <c r="O2297" s="78">
        <v>180000</v>
      </c>
    </row>
    <row r="2298" spans="8:15" ht="15.75" thickBot="1">
      <c r="H2298" s="882"/>
      <c r="I2298" s="876"/>
      <c r="J2298" s="878"/>
      <c r="K2298" s="880"/>
      <c r="L2298" s="882"/>
      <c r="M2298" s="884"/>
      <c r="N2298" s="56">
        <v>721</v>
      </c>
      <c r="O2298" s="79">
        <f>+M2297-O2297</f>
        <v>72000</v>
      </c>
    </row>
    <row r="2299" spans="8:15">
      <c r="H2299" s="881">
        <v>250</v>
      </c>
      <c r="I2299" s="875">
        <v>42623</v>
      </c>
      <c r="J2299" s="877" t="s">
        <v>40</v>
      </c>
      <c r="K2299" s="879" t="s">
        <v>1040</v>
      </c>
      <c r="L2299" s="881" t="s">
        <v>148</v>
      </c>
      <c r="M2299" s="883">
        <v>112000</v>
      </c>
      <c r="N2299" s="55">
        <v>719</v>
      </c>
      <c r="O2299" s="78">
        <v>80000</v>
      </c>
    </row>
    <row r="2300" spans="8:15" ht="15.75" thickBot="1">
      <c r="H2300" s="882"/>
      <c r="I2300" s="876"/>
      <c r="J2300" s="878"/>
      <c r="K2300" s="880"/>
      <c r="L2300" s="882"/>
      <c r="M2300" s="884"/>
      <c r="N2300" s="56">
        <v>721</v>
      </c>
      <c r="O2300" s="79">
        <f>+M2299-O2299</f>
        <v>32000</v>
      </c>
    </row>
    <row r="2301" spans="8:15">
      <c r="H2301" s="881">
        <v>251</v>
      </c>
      <c r="I2301" s="875">
        <v>42623</v>
      </c>
      <c r="J2301" s="877" t="s">
        <v>28</v>
      </c>
      <c r="K2301" s="879" t="s">
        <v>1041</v>
      </c>
      <c r="L2301" s="881" t="s">
        <v>148</v>
      </c>
      <c r="M2301" s="883">
        <v>504000</v>
      </c>
      <c r="N2301" s="55">
        <v>719</v>
      </c>
      <c r="O2301" s="78">
        <v>360000</v>
      </c>
    </row>
    <row r="2302" spans="8:15" ht="15.75" thickBot="1">
      <c r="H2302" s="882"/>
      <c r="I2302" s="876"/>
      <c r="J2302" s="878"/>
      <c r="K2302" s="880"/>
      <c r="L2302" s="882"/>
      <c r="M2302" s="884"/>
      <c r="N2302" s="56">
        <v>723</v>
      </c>
      <c r="O2302" s="79">
        <f>+M2301-O2301</f>
        <v>144000</v>
      </c>
    </row>
    <row r="2303" spans="8:15" ht="16.5" thickBot="1">
      <c r="H2303" s="901" t="s">
        <v>102</v>
      </c>
      <c r="I2303" s="902"/>
      <c r="J2303" s="902"/>
      <c r="K2303" s="902"/>
      <c r="L2303" s="903"/>
      <c r="M2303" s="81">
        <f>SUM(M2293:M2302)</f>
        <v>1722000</v>
      </c>
    </row>
    <row r="2304" spans="8:15" ht="16.5" thickBot="1">
      <c r="H2304" s="885" t="s">
        <v>103</v>
      </c>
      <c r="I2304" s="886"/>
      <c r="J2304" s="886"/>
      <c r="K2304" s="886"/>
      <c r="L2304" s="887"/>
      <c r="M2304" s="69">
        <f>+M2268</f>
        <v>460807472</v>
      </c>
      <c r="N2304" s="241" t="s">
        <v>561</v>
      </c>
      <c r="O2304" s="242">
        <f>875+40+72+1421+61</f>
        <v>2469</v>
      </c>
    </row>
    <row r="2305" spans="8:14" ht="16.5" thickBot="1">
      <c r="H2305" s="888" t="s">
        <v>104</v>
      </c>
      <c r="I2305" s="889"/>
      <c r="J2305" s="889"/>
      <c r="K2305" s="889"/>
      <c r="L2305" s="890"/>
      <c r="M2305" s="183">
        <f>SUM(M2303:M2304)</f>
        <v>462529472</v>
      </c>
    </row>
    <row r="2306" spans="8:14">
      <c r="H2306" s="61"/>
      <c r="I2306" s="61"/>
      <c r="J2306" s="61"/>
      <c r="K2306" s="61"/>
      <c r="L2306" s="61"/>
    </row>
    <row r="2307" spans="8:14">
      <c r="H2307" s="51" t="s">
        <v>1042</v>
      </c>
    </row>
    <row r="2308" spans="8:14" ht="12.75" customHeight="1">
      <c r="M2308" s="139"/>
    </row>
    <row r="2309" spans="8:14">
      <c r="H2309" s="50" t="s">
        <v>105</v>
      </c>
      <c r="K2309" s="146"/>
      <c r="M2309" s="139"/>
    </row>
    <row r="2310" spans="8:14" ht="13.5" customHeight="1" thickBot="1"/>
    <row r="2311" spans="8:14" ht="15.75" thickBot="1">
      <c r="H2311" s="891" t="s">
        <v>106</v>
      </c>
      <c r="I2311" s="892"/>
      <c r="J2311" s="892"/>
      <c r="K2311" s="893"/>
      <c r="M2311" s="50" t="s">
        <v>288</v>
      </c>
    </row>
    <row r="2312" spans="8:14" ht="45.75" thickBot="1">
      <c r="H2312" s="57" t="s">
        <v>100</v>
      </c>
      <c r="I2312" s="58" t="s">
        <v>108</v>
      </c>
      <c r="J2312" s="287" t="s">
        <v>109</v>
      </c>
      <c r="K2312" s="60" t="s">
        <v>110</v>
      </c>
    </row>
    <row r="2313" spans="8:14">
      <c r="H2313" s="71">
        <v>719</v>
      </c>
      <c r="I2313" s="73">
        <f>+O2293+O2295+O2297+O2299+O2301</f>
        <v>1230000</v>
      </c>
      <c r="J2313" s="74">
        <f>+K2276</f>
        <v>57020000</v>
      </c>
      <c r="K2313" s="195">
        <f>+I2313+J2313</f>
        <v>58250000</v>
      </c>
    </row>
    <row r="2314" spans="8:14">
      <c r="H2314" s="72">
        <v>721</v>
      </c>
      <c r="I2314" s="80">
        <f>+O2294+O2296+O2298+O2300+O2302</f>
        <v>492000</v>
      </c>
      <c r="J2314" s="74">
        <f>+K2277</f>
        <v>92996559</v>
      </c>
      <c r="K2314" s="195">
        <f>+I2314+J2314</f>
        <v>93488559</v>
      </c>
    </row>
    <row r="2315" spans="8:14">
      <c r="H2315" s="72">
        <v>722</v>
      </c>
      <c r="I2315" s="80"/>
      <c r="J2315" s="74">
        <f>+K2278</f>
        <v>0</v>
      </c>
      <c r="K2315" s="195">
        <f>+I2315+J2315</f>
        <v>0</v>
      </c>
    </row>
    <row r="2316" spans="8:14" ht="15.75">
      <c r="H2316" s="72">
        <v>723</v>
      </c>
      <c r="I2316" s="80"/>
      <c r="J2316" s="74">
        <f>+K2279</f>
        <v>310720913</v>
      </c>
      <c r="K2316" s="195">
        <f>+I2316+J2316</f>
        <v>310720913</v>
      </c>
      <c r="M2316" s="193" t="s">
        <v>289</v>
      </c>
      <c r="N2316" s="175"/>
    </row>
    <row r="2317" spans="8:14" ht="16.5" thickBot="1">
      <c r="H2317" s="164" t="s">
        <v>181</v>
      </c>
      <c r="I2317" s="165"/>
      <c r="J2317" s="74">
        <f>+K2280</f>
        <v>0</v>
      </c>
      <c r="K2317" s="196">
        <f>+I2317+J2317</f>
        <v>0</v>
      </c>
      <c r="M2317" s="52"/>
    </row>
    <row r="2318" spans="8:14" ht="16.5" thickBot="1">
      <c r="H2318" s="169"/>
      <c r="I2318" s="197">
        <f>SUM(I2313:I2317)</f>
        <v>1722000</v>
      </c>
      <c r="J2318" s="197">
        <f>SUM(J2313:J2317)</f>
        <v>460737472</v>
      </c>
      <c r="K2318" s="198">
        <f>SUM(K2313:K2317)</f>
        <v>462459472</v>
      </c>
    </row>
    <row r="2319" spans="8:14" ht="16.5">
      <c r="H2319" s="49" t="s">
        <v>88</v>
      </c>
      <c r="I2319" s="50"/>
    </row>
    <row r="2320" spans="8:14">
      <c r="H2320" s="51" t="s">
        <v>89</v>
      </c>
    </row>
    <row r="2321" spans="8:15">
      <c r="H2321" s="51" t="s">
        <v>90</v>
      </c>
    </row>
    <row r="2322" spans="8:15">
      <c r="H2322" s="51" t="s">
        <v>91</v>
      </c>
    </row>
    <row r="2323" spans="8:15" ht="12.75" customHeight="1">
      <c r="H2323" s="50"/>
      <c r="I2323" s="50"/>
    </row>
    <row r="2324" spans="8:15" ht="15.75">
      <c r="H2324" s="260" t="s">
        <v>1032</v>
      </c>
      <c r="N2324" s="52"/>
    </row>
    <row r="2325" spans="8:15" ht="15.75">
      <c r="H2325" s="53" t="s">
        <v>535</v>
      </c>
      <c r="N2325" s="53"/>
    </row>
    <row r="2326" spans="8:15" ht="16.5">
      <c r="H2326" s="894" t="s">
        <v>909</v>
      </c>
      <c r="I2326" s="894"/>
      <c r="J2326" s="894"/>
      <c r="K2326" s="894"/>
      <c r="L2326" s="894"/>
      <c r="M2326" s="894"/>
      <c r="N2326" s="894"/>
      <c r="O2326" s="894"/>
    </row>
    <row r="2327" spans="8:15" ht="15.75" thickBot="1"/>
    <row r="2328" spans="8:15">
      <c r="H2328" s="895" t="s">
        <v>94</v>
      </c>
      <c r="I2328" s="897" t="s">
        <v>95</v>
      </c>
      <c r="J2328" s="897" t="s">
        <v>96</v>
      </c>
      <c r="K2328" s="897" t="s">
        <v>3</v>
      </c>
      <c r="L2328" s="897" t="s">
        <v>97</v>
      </c>
      <c r="M2328" s="897" t="s">
        <v>98</v>
      </c>
      <c r="N2328" s="897" t="s">
        <v>99</v>
      </c>
      <c r="O2328" s="899"/>
    </row>
    <row r="2329" spans="8:15" ht="15.75" thickBot="1">
      <c r="H2329" s="896"/>
      <c r="I2329" s="898"/>
      <c r="J2329" s="898"/>
      <c r="K2329" s="898"/>
      <c r="L2329" s="898"/>
      <c r="M2329" s="898"/>
      <c r="N2329" s="240" t="s">
        <v>100</v>
      </c>
      <c r="O2329" s="182" t="s">
        <v>101</v>
      </c>
    </row>
    <row r="2330" spans="8:15" ht="15" customHeight="1">
      <c r="H2330" s="881">
        <v>252</v>
      </c>
      <c r="I2330" s="875">
        <v>42621</v>
      </c>
      <c r="J2330" s="877" t="s">
        <v>40</v>
      </c>
      <c r="K2330" s="879" t="s">
        <v>1043</v>
      </c>
      <c r="L2330" s="881" t="s">
        <v>148</v>
      </c>
      <c r="M2330" s="883">
        <v>56000</v>
      </c>
      <c r="N2330" s="55">
        <v>719</v>
      </c>
      <c r="O2330" s="78">
        <v>40000</v>
      </c>
    </row>
    <row r="2331" spans="8:15" ht="15.75" customHeight="1" thickBot="1">
      <c r="H2331" s="882"/>
      <c r="I2331" s="876"/>
      <c r="J2331" s="878"/>
      <c r="K2331" s="880"/>
      <c r="L2331" s="882"/>
      <c r="M2331" s="884"/>
      <c r="N2331" s="56">
        <v>721</v>
      </c>
      <c r="O2331" s="79">
        <f>+M2330-O2330</f>
        <v>16000</v>
      </c>
    </row>
    <row r="2332" spans="8:15" ht="15" customHeight="1">
      <c r="H2332" s="881">
        <v>253</v>
      </c>
      <c r="I2332" s="875">
        <v>42621</v>
      </c>
      <c r="J2332" s="877" t="s">
        <v>28</v>
      </c>
      <c r="K2332" s="879" t="s">
        <v>1044</v>
      </c>
      <c r="L2332" s="881" t="s">
        <v>148</v>
      </c>
      <c r="M2332" s="883">
        <v>252000</v>
      </c>
      <c r="N2332" s="55">
        <v>719</v>
      </c>
      <c r="O2332" s="78">
        <v>180000</v>
      </c>
    </row>
    <row r="2333" spans="8:15" ht="15.75" customHeight="1" thickBot="1">
      <c r="H2333" s="882"/>
      <c r="I2333" s="876"/>
      <c r="J2333" s="878"/>
      <c r="K2333" s="880"/>
      <c r="L2333" s="882"/>
      <c r="M2333" s="884"/>
      <c r="N2333" s="56">
        <v>721</v>
      </c>
      <c r="O2333" s="79">
        <f>+M2332-O2332</f>
        <v>72000</v>
      </c>
    </row>
    <row r="2334" spans="8:15" ht="15" customHeight="1">
      <c r="H2334" s="881">
        <v>254</v>
      </c>
      <c r="I2334" s="875">
        <v>42621</v>
      </c>
      <c r="J2334" s="877" t="s">
        <v>111</v>
      </c>
      <c r="K2334" s="879" t="s">
        <v>1045</v>
      </c>
      <c r="L2334" s="881" t="s">
        <v>148</v>
      </c>
      <c r="M2334" s="883">
        <v>112000</v>
      </c>
      <c r="N2334" s="55">
        <v>719</v>
      </c>
      <c r="O2334" s="78">
        <v>80000</v>
      </c>
    </row>
    <row r="2335" spans="8:15" ht="15.75" customHeight="1" thickBot="1">
      <c r="H2335" s="882"/>
      <c r="I2335" s="876"/>
      <c r="J2335" s="878"/>
      <c r="K2335" s="880"/>
      <c r="L2335" s="882"/>
      <c r="M2335" s="884"/>
      <c r="N2335" s="56">
        <v>721</v>
      </c>
      <c r="O2335" s="79">
        <f>+M2334-O2334</f>
        <v>32000</v>
      </c>
    </row>
    <row r="2336" spans="8:15" ht="15" customHeight="1">
      <c r="H2336" s="881">
        <v>255</v>
      </c>
      <c r="I2336" s="875">
        <v>42621</v>
      </c>
      <c r="J2336" s="877" t="s">
        <v>111</v>
      </c>
      <c r="K2336" s="879" t="s">
        <v>1044</v>
      </c>
      <c r="L2336" s="881" t="s">
        <v>148</v>
      </c>
      <c r="M2336" s="883">
        <v>56000</v>
      </c>
      <c r="N2336" s="55">
        <v>719</v>
      </c>
      <c r="O2336" s="78">
        <v>40000</v>
      </c>
    </row>
    <row r="2337" spans="8:15" ht="15.75" customHeight="1" thickBot="1">
      <c r="H2337" s="882"/>
      <c r="I2337" s="876"/>
      <c r="J2337" s="878"/>
      <c r="K2337" s="880"/>
      <c r="L2337" s="882"/>
      <c r="M2337" s="884"/>
      <c r="N2337" s="56">
        <v>721</v>
      </c>
      <c r="O2337" s="79">
        <f>+M2336-O2336</f>
        <v>16000</v>
      </c>
    </row>
    <row r="2338" spans="8:15">
      <c r="H2338" s="881"/>
      <c r="I2338" s="875"/>
      <c r="J2338" s="877"/>
      <c r="K2338" s="879"/>
      <c r="L2338" s="881"/>
      <c r="M2338" s="883"/>
      <c r="N2338" s="55">
        <v>719</v>
      </c>
      <c r="O2338" s="78"/>
    </row>
    <row r="2339" spans="8:15" ht="15.75" thickBot="1">
      <c r="H2339" s="882"/>
      <c r="I2339" s="876"/>
      <c r="J2339" s="878"/>
      <c r="K2339" s="880"/>
      <c r="L2339" s="882"/>
      <c r="M2339" s="884"/>
      <c r="N2339" s="56">
        <v>723</v>
      </c>
      <c r="O2339" s="79">
        <f>+M2338-O2338</f>
        <v>0</v>
      </c>
    </row>
    <row r="2340" spans="8:15" ht="16.5" thickBot="1">
      <c r="H2340" s="901" t="s">
        <v>102</v>
      </c>
      <c r="I2340" s="902"/>
      <c r="J2340" s="902"/>
      <c r="K2340" s="902"/>
      <c r="L2340" s="903"/>
      <c r="M2340" s="81">
        <f>SUM(M2330:M2339)</f>
        <v>476000</v>
      </c>
    </row>
    <row r="2341" spans="8:15" ht="16.5" thickBot="1">
      <c r="H2341" s="885" t="s">
        <v>103</v>
      </c>
      <c r="I2341" s="886"/>
      <c r="J2341" s="886"/>
      <c r="K2341" s="886"/>
      <c r="L2341" s="887"/>
      <c r="M2341" s="69">
        <f>+M2305</f>
        <v>462529472</v>
      </c>
      <c r="N2341" s="241" t="s">
        <v>561</v>
      </c>
      <c r="O2341" s="242">
        <f>451+25+37+18</f>
        <v>531</v>
      </c>
    </row>
    <row r="2342" spans="8:15" ht="16.5" thickBot="1">
      <c r="H2342" s="888" t="s">
        <v>104</v>
      </c>
      <c r="I2342" s="889"/>
      <c r="J2342" s="889"/>
      <c r="K2342" s="889"/>
      <c r="L2342" s="890"/>
      <c r="M2342" s="183">
        <f>SUM(M2340:M2341)</f>
        <v>463005472</v>
      </c>
    </row>
    <row r="2343" spans="8:15">
      <c r="H2343" s="61"/>
      <c r="I2343" s="61"/>
      <c r="J2343" s="61"/>
      <c r="K2343" s="61"/>
      <c r="L2343" s="61"/>
    </row>
    <row r="2344" spans="8:15">
      <c r="H2344" s="51" t="s">
        <v>1065</v>
      </c>
    </row>
    <row r="2345" spans="8:15" ht="12" customHeight="1">
      <c r="M2345" s="139"/>
    </row>
    <row r="2346" spans="8:15">
      <c r="H2346" s="50" t="s">
        <v>105</v>
      </c>
      <c r="K2346" s="146"/>
      <c r="M2346" s="139"/>
    </row>
    <row r="2347" spans="8:15" ht="12.75" customHeight="1" thickBot="1"/>
    <row r="2348" spans="8:15" ht="15.75" thickBot="1">
      <c r="H2348" s="891" t="s">
        <v>106</v>
      </c>
      <c r="I2348" s="892"/>
      <c r="J2348" s="892"/>
      <c r="K2348" s="893"/>
      <c r="M2348" s="50" t="s">
        <v>288</v>
      </c>
    </row>
    <row r="2349" spans="8:15" ht="45.75" thickBot="1">
      <c r="H2349" s="57" t="s">
        <v>100</v>
      </c>
      <c r="I2349" s="58" t="s">
        <v>108</v>
      </c>
      <c r="J2349" s="287" t="s">
        <v>109</v>
      </c>
      <c r="K2349" s="60" t="s">
        <v>110</v>
      </c>
    </row>
    <row r="2350" spans="8:15">
      <c r="H2350" s="71">
        <v>719</v>
      </c>
      <c r="I2350" s="73">
        <f>+O2330+O2332+O2334+O2336+O2338</f>
        <v>340000</v>
      </c>
      <c r="J2350" s="74">
        <f>+K2313</f>
        <v>58250000</v>
      </c>
      <c r="K2350" s="195">
        <f>+I2350+J2350</f>
        <v>58590000</v>
      </c>
    </row>
    <row r="2351" spans="8:15">
      <c r="H2351" s="72">
        <v>721</v>
      </c>
      <c r="I2351" s="80">
        <f>+O2331+O2333+O2335+O2337+O2339</f>
        <v>136000</v>
      </c>
      <c r="J2351" s="74">
        <f>+K2314</f>
        <v>93488559</v>
      </c>
      <c r="K2351" s="195">
        <f>+I2351+J2351</f>
        <v>93624559</v>
      </c>
    </row>
    <row r="2352" spans="8:15">
      <c r="H2352" s="72">
        <v>722</v>
      </c>
      <c r="I2352" s="80"/>
      <c r="J2352" s="74">
        <f>+K2315</f>
        <v>0</v>
      </c>
      <c r="K2352" s="195">
        <f>+I2352+J2352</f>
        <v>0</v>
      </c>
    </row>
    <row r="2353" spans="8:15" ht="15.75">
      <c r="H2353" s="72">
        <v>723</v>
      </c>
      <c r="I2353" s="80"/>
      <c r="J2353" s="74">
        <f>+K2316</f>
        <v>310720913</v>
      </c>
      <c r="K2353" s="195">
        <f>+I2353+J2353</f>
        <v>310720913</v>
      </c>
      <c r="M2353" s="193" t="s">
        <v>289</v>
      </c>
      <c r="N2353" s="175"/>
    </row>
    <row r="2354" spans="8:15" ht="16.5" thickBot="1">
      <c r="H2354" s="164" t="s">
        <v>181</v>
      </c>
      <c r="I2354" s="165"/>
      <c r="J2354" s="74">
        <f>+K2317</f>
        <v>0</v>
      </c>
      <c r="K2354" s="196">
        <f>+I2354+J2354</f>
        <v>0</v>
      </c>
      <c r="M2354" s="52"/>
    </row>
    <row r="2355" spans="8:15" ht="16.5" thickBot="1">
      <c r="H2355" s="169"/>
      <c r="I2355" s="197">
        <f>SUM(I2350:I2354)</f>
        <v>476000</v>
      </c>
      <c r="J2355" s="197">
        <f>SUM(J2350:J2354)</f>
        <v>462459472</v>
      </c>
      <c r="K2355" s="198">
        <f>SUM(K2350:K2354)</f>
        <v>462935472</v>
      </c>
    </row>
    <row r="2356" spans="8:15" ht="16.5">
      <c r="H2356" s="49" t="s">
        <v>88</v>
      </c>
      <c r="I2356" s="50"/>
    </row>
    <row r="2357" spans="8:15">
      <c r="H2357" s="51" t="s">
        <v>89</v>
      </c>
    </row>
    <row r="2358" spans="8:15">
      <c r="H2358" s="51" t="s">
        <v>90</v>
      </c>
    </row>
    <row r="2359" spans="8:15">
      <c r="H2359" s="51" t="s">
        <v>91</v>
      </c>
    </row>
    <row r="2360" spans="8:15" ht="12" customHeight="1">
      <c r="H2360" s="50"/>
      <c r="I2360" s="50"/>
    </row>
    <row r="2361" spans="8:15" ht="15.75">
      <c r="H2361" s="260" t="s">
        <v>1059</v>
      </c>
      <c r="N2361" s="52"/>
    </row>
    <row r="2362" spans="8:15" ht="15.75">
      <c r="H2362" s="53" t="s">
        <v>535</v>
      </c>
      <c r="N2362" s="53"/>
    </row>
    <row r="2363" spans="8:15" ht="16.5">
      <c r="H2363" s="894" t="s">
        <v>1063</v>
      </c>
      <c r="I2363" s="894"/>
      <c r="J2363" s="894"/>
      <c r="K2363" s="894"/>
      <c r="L2363" s="894"/>
      <c r="M2363" s="894"/>
      <c r="N2363" s="894"/>
      <c r="O2363" s="894"/>
    </row>
    <row r="2364" spans="8:15" ht="15.75" thickBot="1"/>
    <row r="2365" spans="8:15">
      <c r="H2365" s="895" t="s">
        <v>94</v>
      </c>
      <c r="I2365" s="897" t="s">
        <v>95</v>
      </c>
      <c r="J2365" s="897" t="s">
        <v>96</v>
      </c>
      <c r="K2365" s="897" t="s">
        <v>3</v>
      </c>
      <c r="L2365" s="897" t="s">
        <v>97</v>
      </c>
      <c r="M2365" s="897" t="s">
        <v>98</v>
      </c>
      <c r="N2365" s="897" t="s">
        <v>99</v>
      </c>
      <c r="O2365" s="899"/>
    </row>
    <row r="2366" spans="8:15" ht="15.75" thickBot="1">
      <c r="H2366" s="896"/>
      <c r="I2366" s="898"/>
      <c r="J2366" s="898"/>
      <c r="K2366" s="898"/>
      <c r="L2366" s="898"/>
      <c r="M2366" s="898"/>
      <c r="N2366" s="240" t="s">
        <v>100</v>
      </c>
      <c r="O2366" s="182" t="s">
        <v>101</v>
      </c>
    </row>
    <row r="2367" spans="8:15">
      <c r="H2367" s="881">
        <v>256</v>
      </c>
      <c r="I2367" s="875">
        <v>42622</v>
      </c>
      <c r="J2367" s="877" t="s">
        <v>1060</v>
      </c>
      <c r="K2367" s="879" t="s">
        <v>1061</v>
      </c>
      <c r="L2367" s="881" t="s">
        <v>148</v>
      </c>
      <c r="M2367" s="883">
        <v>2000000</v>
      </c>
      <c r="N2367" s="55">
        <v>722</v>
      </c>
      <c r="O2367" s="78">
        <v>2000000</v>
      </c>
    </row>
    <row r="2368" spans="8:15" ht="15.75" thickBot="1">
      <c r="H2368" s="882"/>
      <c r="I2368" s="876"/>
      <c r="J2368" s="878"/>
      <c r="K2368" s="880"/>
      <c r="L2368" s="882"/>
      <c r="M2368" s="884"/>
      <c r="N2368" s="56">
        <v>721</v>
      </c>
      <c r="O2368" s="79">
        <f>+M2367-O2367</f>
        <v>0</v>
      </c>
    </row>
    <row r="2369" spans="8:15">
      <c r="H2369" s="881"/>
      <c r="I2369" s="875"/>
      <c r="J2369" s="877"/>
      <c r="K2369" s="879"/>
      <c r="L2369" s="881"/>
      <c r="M2369" s="883"/>
      <c r="N2369" s="55">
        <v>719</v>
      </c>
      <c r="O2369" s="78"/>
    </row>
    <row r="2370" spans="8:15" ht="15.75" thickBot="1">
      <c r="H2370" s="882"/>
      <c r="I2370" s="876"/>
      <c r="J2370" s="878"/>
      <c r="K2370" s="880"/>
      <c r="L2370" s="882"/>
      <c r="M2370" s="884"/>
      <c r="N2370" s="56">
        <v>721</v>
      </c>
      <c r="O2370" s="79">
        <f>+M2369-O2369</f>
        <v>0</v>
      </c>
    </row>
    <row r="2371" spans="8:15">
      <c r="H2371" s="881"/>
      <c r="I2371" s="875"/>
      <c r="J2371" s="877"/>
      <c r="K2371" s="879"/>
      <c r="L2371" s="881"/>
      <c r="M2371" s="883"/>
      <c r="N2371" s="55">
        <v>719</v>
      </c>
      <c r="O2371" s="78"/>
    </row>
    <row r="2372" spans="8:15" ht="13.5" customHeight="1" thickBot="1">
      <c r="H2372" s="882"/>
      <c r="I2372" s="876"/>
      <c r="J2372" s="878"/>
      <c r="K2372" s="880"/>
      <c r="L2372" s="882"/>
      <c r="M2372" s="884"/>
      <c r="N2372" s="56">
        <v>721</v>
      </c>
      <c r="O2372" s="79">
        <f>+M2371-O2371</f>
        <v>0</v>
      </c>
    </row>
    <row r="2373" spans="8:15">
      <c r="H2373" s="881"/>
      <c r="I2373" s="875"/>
      <c r="J2373" s="877"/>
      <c r="K2373" s="879"/>
      <c r="L2373" s="881"/>
      <c r="M2373" s="883"/>
      <c r="N2373" s="55">
        <v>719</v>
      </c>
      <c r="O2373" s="78"/>
    </row>
    <row r="2374" spans="8:15" ht="15.75" thickBot="1">
      <c r="H2374" s="882"/>
      <c r="I2374" s="876"/>
      <c r="J2374" s="878"/>
      <c r="K2374" s="880"/>
      <c r="L2374" s="882"/>
      <c r="M2374" s="884"/>
      <c r="N2374" s="56">
        <v>721</v>
      </c>
      <c r="O2374" s="79">
        <f>+M2373-O2373</f>
        <v>0</v>
      </c>
    </row>
    <row r="2375" spans="8:15">
      <c r="H2375" s="881"/>
      <c r="I2375" s="875"/>
      <c r="J2375" s="877"/>
      <c r="K2375" s="879"/>
      <c r="L2375" s="881"/>
      <c r="M2375" s="883"/>
      <c r="N2375" s="55">
        <v>719</v>
      </c>
      <c r="O2375" s="78"/>
    </row>
    <row r="2376" spans="8:15" ht="12" customHeight="1" thickBot="1">
      <c r="H2376" s="882"/>
      <c r="I2376" s="876"/>
      <c r="J2376" s="878"/>
      <c r="K2376" s="880"/>
      <c r="L2376" s="882"/>
      <c r="M2376" s="884"/>
      <c r="N2376" s="56">
        <v>723</v>
      </c>
      <c r="O2376" s="79">
        <f>+M2375-O2375</f>
        <v>0</v>
      </c>
    </row>
    <row r="2377" spans="8:15" ht="16.5" thickBot="1">
      <c r="H2377" s="901" t="s">
        <v>102</v>
      </c>
      <c r="I2377" s="902"/>
      <c r="J2377" s="902"/>
      <c r="K2377" s="902"/>
      <c r="L2377" s="903"/>
      <c r="M2377" s="81">
        <f>SUM(M2367:M2376)</f>
        <v>2000000</v>
      </c>
    </row>
    <row r="2378" spans="8:15" ht="16.5" thickBot="1">
      <c r="H2378" s="885" t="s">
        <v>103</v>
      </c>
      <c r="I2378" s="886"/>
      <c r="J2378" s="886"/>
      <c r="K2378" s="886"/>
      <c r="L2378" s="887"/>
      <c r="M2378" s="69">
        <f>+M2342</f>
        <v>463005472</v>
      </c>
      <c r="N2378" s="241" t="s">
        <v>561</v>
      </c>
      <c r="O2378" s="242">
        <v>0</v>
      </c>
    </row>
    <row r="2379" spans="8:15" ht="16.5" thickBot="1">
      <c r="H2379" s="888" t="s">
        <v>104</v>
      </c>
      <c r="I2379" s="889"/>
      <c r="J2379" s="889"/>
      <c r="K2379" s="889"/>
      <c r="L2379" s="890"/>
      <c r="M2379" s="183">
        <f>SUM(M2377:M2378)</f>
        <v>465005472</v>
      </c>
    </row>
    <row r="2380" spans="8:15">
      <c r="H2380" s="61"/>
      <c r="I2380" s="61"/>
      <c r="J2380" s="61"/>
      <c r="K2380" s="61"/>
      <c r="L2380" s="61"/>
    </row>
    <row r="2381" spans="8:15">
      <c r="H2381" s="51" t="s">
        <v>1062</v>
      </c>
    </row>
    <row r="2382" spans="8:15" ht="12" customHeight="1">
      <c r="M2382" s="139"/>
    </row>
    <row r="2383" spans="8:15">
      <c r="H2383" s="50" t="s">
        <v>105</v>
      </c>
      <c r="K2383" s="146"/>
      <c r="M2383" s="139"/>
    </row>
    <row r="2384" spans="8:15" ht="15.75" thickBot="1"/>
    <row r="2385" spans="8:15" ht="15.75" thickBot="1">
      <c r="H2385" s="891" t="s">
        <v>106</v>
      </c>
      <c r="I2385" s="892"/>
      <c r="J2385" s="892"/>
      <c r="K2385" s="893"/>
      <c r="M2385" s="50" t="s">
        <v>288</v>
      </c>
    </row>
    <row r="2386" spans="8:15" ht="45.75" thickBot="1">
      <c r="H2386" s="57" t="s">
        <v>100</v>
      </c>
      <c r="I2386" s="58" t="s">
        <v>108</v>
      </c>
      <c r="J2386" s="287" t="s">
        <v>109</v>
      </c>
      <c r="K2386" s="60" t="s">
        <v>110</v>
      </c>
    </row>
    <row r="2387" spans="8:15">
      <c r="H2387" s="71">
        <v>719</v>
      </c>
      <c r="I2387" s="73"/>
      <c r="J2387" s="74">
        <f>+K2350</f>
        <v>58590000</v>
      </c>
      <c r="K2387" s="195">
        <f>+I2387+J2387</f>
        <v>58590000</v>
      </c>
    </row>
    <row r="2388" spans="8:15">
      <c r="H2388" s="72">
        <v>721</v>
      </c>
      <c r="I2388" s="80">
        <f>+O2368+O2370+O2372+O2374+O2376</f>
        <v>0</v>
      </c>
      <c r="J2388" s="74">
        <f>+K2351</f>
        <v>93624559</v>
      </c>
      <c r="K2388" s="195">
        <f>+I2388+J2388</f>
        <v>93624559</v>
      </c>
    </row>
    <row r="2389" spans="8:15">
      <c r="H2389" s="72">
        <v>722</v>
      </c>
      <c r="I2389" s="80">
        <f>+O2367</f>
        <v>2000000</v>
      </c>
      <c r="J2389" s="74">
        <f>+K2352</f>
        <v>0</v>
      </c>
      <c r="K2389" s="195">
        <f>+I2389+J2389</f>
        <v>2000000</v>
      </c>
    </row>
    <row r="2390" spans="8:15" ht="15.75">
      <c r="H2390" s="72">
        <v>723</v>
      </c>
      <c r="I2390" s="80"/>
      <c r="J2390" s="74">
        <f>+K2353</f>
        <v>310720913</v>
      </c>
      <c r="K2390" s="195">
        <f>+I2390+J2390</f>
        <v>310720913</v>
      </c>
      <c r="M2390" s="193" t="s">
        <v>289</v>
      </c>
      <c r="N2390" s="175"/>
    </row>
    <row r="2391" spans="8:15" ht="16.5" thickBot="1">
      <c r="H2391" s="164" t="s">
        <v>181</v>
      </c>
      <c r="I2391" s="165"/>
      <c r="J2391" s="74">
        <f>+K2354</f>
        <v>0</v>
      </c>
      <c r="K2391" s="196">
        <f>+I2391+J2391</f>
        <v>0</v>
      </c>
      <c r="M2391" s="52"/>
    </row>
    <row r="2392" spans="8:15" ht="16.5" thickBot="1">
      <c r="H2392" s="169"/>
      <c r="I2392" s="197">
        <f>SUM(I2387:I2391)</f>
        <v>2000000</v>
      </c>
      <c r="J2392" s="197">
        <f>SUM(J2387:J2391)</f>
        <v>462935472</v>
      </c>
      <c r="K2392" s="198">
        <f>SUM(K2387:K2391)</f>
        <v>464935472</v>
      </c>
    </row>
    <row r="2393" spans="8:15" ht="16.5">
      <c r="H2393" s="49" t="s">
        <v>88</v>
      </c>
      <c r="I2393" s="50"/>
    </row>
    <row r="2394" spans="8:15">
      <c r="H2394" s="51" t="s">
        <v>89</v>
      </c>
    </row>
    <row r="2395" spans="8:15">
      <c r="H2395" s="51" t="s">
        <v>90</v>
      </c>
    </row>
    <row r="2396" spans="8:15">
      <c r="H2396" s="51" t="s">
        <v>91</v>
      </c>
    </row>
    <row r="2397" spans="8:15" ht="12" customHeight="1">
      <c r="H2397" s="50"/>
      <c r="I2397" s="50"/>
    </row>
    <row r="2398" spans="8:15" ht="15.75">
      <c r="H2398" s="260" t="s">
        <v>1066</v>
      </c>
      <c r="N2398" s="52"/>
    </row>
    <row r="2399" spans="8:15" ht="15.75">
      <c r="H2399" s="53" t="s">
        <v>535</v>
      </c>
      <c r="N2399" s="53"/>
    </row>
    <row r="2400" spans="8:15" ht="16.5">
      <c r="H2400" s="894" t="s">
        <v>909</v>
      </c>
      <c r="I2400" s="894"/>
      <c r="J2400" s="894"/>
      <c r="K2400" s="894"/>
      <c r="L2400" s="894"/>
      <c r="M2400" s="894"/>
      <c r="N2400" s="894"/>
      <c r="O2400" s="894"/>
    </row>
    <row r="2401" spans="8:15" ht="15.75" thickBot="1"/>
    <row r="2402" spans="8:15">
      <c r="H2402" s="895" t="s">
        <v>94</v>
      </c>
      <c r="I2402" s="897" t="s">
        <v>95</v>
      </c>
      <c r="J2402" s="897" t="s">
        <v>96</v>
      </c>
      <c r="K2402" s="897" t="s">
        <v>3</v>
      </c>
      <c r="L2402" s="897" t="s">
        <v>97</v>
      </c>
      <c r="M2402" s="897" t="s">
        <v>98</v>
      </c>
      <c r="N2402" s="897" t="s">
        <v>99</v>
      </c>
      <c r="O2402" s="899"/>
    </row>
    <row r="2403" spans="8:15" ht="15.75" thickBot="1">
      <c r="H2403" s="896"/>
      <c r="I2403" s="898"/>
      <c r="J2403" s="898"/>
      <c r="K2403" s="898"/>
      <c r="L2403" s="898"/>
      <c r="M2403" s="898"/>
      <c r="N2403" s="240" t="s">
        <v>100</v>
      </c>
      <c r="O2403" s="182" t="s">
        <v>101</v>
      </c>
    </row>
    <row r="2404" spans="8:15" ht="15" customHeight="1">
      <c r="H2404" s="881">
        <v>257</v>
      </c>
      <c r="I2404" s="875">
        <v>42622</v>
      </c>
      <c r="J2404" s="877" t="s">
        <v>1014</v>
      </c>
      <c r="K2404" s="879" t="s">
        <v>1067</v>
      </c>
      <c r="L2404" s="881" t="s">
        <v>115</v>
      </c>
      <c r="M2404" s="883">
        <v>60000</v>
      </c>
      <c r="N2404" s="55">
        <v>719</v>
      </c>
      <c r="O2404" s="78">
        <v>60000</v>
      </c>
    </row>
    <row r="2405" spans="8:15" ht="15.75" customHeight="1" thickBot="1">
      <c r="H2405" s="882"/>
      <c r="I2405" s="876"/>
      <c r="J2405" s="878"/>
      <c r="K2405" s="880"/>
      <c r="L2405" s="882"/>
      <c r="M2405" s="884"/>
      <c r="N2405" s="56">
        <v>721</v>
      </c>
      <c r="O2405" s="79">
        <f>+M2404-O2404</f>
        <v>0</v>
      </c>
    </row>
    <row r="2406" spans="8:15" ht="15" customHeight="1">
      <c r="H2406" s="881">
        <v>258</v>
      </c>
      <c r="I2406" s="875">
        <v>42622</v>
      </c>
      <c r="J2406" s="877" t="s">
        <v>28</v>
      </c>
      <c r="K2406" s="879" t="s">
        <v>1069</v>
      </c>
      <c r="L2406" s="881" t="s">
        <v>115</v>
      </c>
      <c r="M2406" s="883">
        <v>50000</v>
      </c>
      <c r="N2406" s="55">
        <v>719</v>
      </c>
      <c r="O2406" s="78">
        <v>50000</v>
      </c>
    </row>
    <row r="2407" spans="8:15" ht="15.75" customHeight="1" thickBot="1">
      <c r="H2407" s="882"/>
      <c r="I2407" s="876"/>
      <c r="J2407" s="878"/>
      <c r="K2407" s="880"/>
      <c r="L2407" s="882"/>
      <c r="M2407" s="884"/>
      <c r="N2407" s="56">
        <v>721</v>
      </c>
      <c r="O2407" s="79">
        <f>+M2406-O2406</f>
        <v>0</v>
      </c>
    </row>
    <row r="2408" spans="8:15">
      <c r="H2408" s="881"/>
      <c r="I2408" s="875"/>
      <c r="J2408" s="877"/>
      <c r="K2408" s="879"/>
      <c r="L2408" s="881"/>
      <c r="M2408" s="883"/>
      <c r="N2408" s="55">
        <v>719</v>
      </c>
      <c r="O2408" s="78"/>
    </row>
    <row r="2409" spans="8:15" ht="15.75" thickBot="1">
      <c r="H2409" s="882"/>
      <c r="I2409" s="876"/>
      <c r="J2409" s="878"/>
      <c r="K2409" s="880"/>
      <c r="L2409" s="882"/>
      <c r="M2409" s="884"/>
      <c r="N2409" s="56">
        <v>721</v>
      </c>
      <c r="O2409" s="79">
        <f>+M2408-O2408</f>
        <v>0</v>
      </c>
    </row>
    <row r="2410" spans="8:15">
      <c r="H2410" s="881"/>
      <c r="I2410" s="875"/>
      <c r="J2410" s="877"/>
      <c r="K2410" s="879"/>
      <c r="L2410" s="881"/>
      <c r="M2410" s="883"/>
      <c r="N2410" s="55">
        <v>719</v>
      </c>
      <c r="O2410" s="78"/>
    </row>
    <row r="2411" spans="8:15" ht="15.75" thickBot="1">
      <c r="H2411" s="882"/>
      <c r="I2411" s="876"/>
      <c r="J2411" s="878"/>
      <c r="K2411" s="880"/>
      <c r="L2411" s="882"/>
      <c r="M2411" s="884"/>
      <c r="N2411" s="56">
        <v>721</v>
      </c>
      <c r="O2411" s="79">
        <f>+M2410-O2410</f>
        <v>0</v>
      </c>
    </row>
    <row r="2412" spans="8:15">
      <c r="H2412" s="881"/>
      <c r="I2412" s="875"/>
      <c r="J2412" s="877"/>
      <c r="K2412" s="879"/>
      <c r="L2412" s="881"/>
      <c r="M2412" s="883"/>
      <c r="N2412" s="55">
        <v>719</v>
      </c>
      <c r="O2412" s="78"/>
    </row>
    <row r="2413" spans="8:15" ht="15.75" thickBot="1">
      <c r="H2413" s="882"/>
      <c r="I2413" s="876"/>
      <c r="J2413" s="878"/>
      <c r="K2413" s="880"/>
      <c r="L2413" s="882"/>
      <c r="M2413" s="884"/>
      <c r="N2413" s="56">
        <v>723</v>
      </c>
      <c r="O2413" s="79">
        <f>+M2412-O2412</f>
        <v>0</v>
      </c>
    </row>
    <row r="2414" spans="8:15" ht="16.5" thickBot="1">
      <c r="H2414" s="901" t="s">
        <v>102</v>
      </c>
      <c r="I2414" s="902"/>
      <c r="J2414" s="902"/>
      <c r="K2414" s="902"/>
      <c r="L2414" s="903"/>
      <c r="M2414" s="81">
        <f>SUM(M2404:M2413)</f>
        <v>110000</v>
      </c>
    </row>
    <row r="2415" spans="8:15" ht="16.5" thickBot="1">
      <c r="H2415" s="885" t="s">
        <v>103</v>
      </c>
      <c r="I2415" s="886"/>
      <c r="J2415" s="886"/>
      <c r="K2415" s="886"/>
      <c r="L2415" s="887"/>
      <c r="M2415" s="69">
        <f>+M2379</f>
        <v>465005472</v>
      </c>
      <c r="N2415" s="241" t="s">
        <v>561</v>
      </c>
      <c r="O2415" s="242">
        <f>123+195</f>
        <v>318</v>
      </c>
    </row>
    <row r="2416" spans="8:15" ht="16.5" thickBot="1">
      <c r="H2416" s="888" t="s">
        <v>104</v>
      </c>
      <c r="I2416" s="889"/>
      <c r="J2416" s="889"/>
      <c r="K2416" s="889"/>
      <c r="L2416" s="890"/>
      <c r="M2416" s="183">
        <f>SUM(M2414:M2415)</f>
        <v>465115472</v>
      </c>
    </row>
    <row r="2417" spans="8:14">
      <c r="H2417" s="61"/>
      <c r="I2417" s="61"/>
      <c r="J2417" s="61"/>
      <c r="K2417" s="61"/>
      <c r="L2417" s="61"/>
    </row>
    <row r="2418" spans="8:14">
      <c r="H2418" s="51" t="s">
        <v>1068</v>
      </c>
    </row>
    <row r="2419" spans="8:14" ht="12" customHeight="1">
      <c r="M2419" s="139"/>
    </row>
    <row r="2420" spans="8:14">
      <c r="H2420" s="50" t="s">
        <v>105</v>
      </c>
      <c r="K2420" s="146"/>
      <c r="M2420" s="139"/>
    </row>
    <row r="2421" spans="8:14" ht="12.75" customHeight="1" thickBot="1"/>
    <row r="2422" spans="8:14" ht="15.75" thickBot="1">
      <c r="H2422" s="891" t="s">
        <v>106</v>
      </c>
      <c r="I2422" s="892"/>
      <c r="J2422" s="892"/>
      <c r="K2422" s="893"/>
      <c r="M2422" s="50" t="s">
        <v>288</v>
      </c>
    </row>
    <row r="2423" spans="8:14" ht="45.75" thickBot="1">
      <c r="H2423" s="57" t="s">
        <v>100</v>
      </c>
      <c r="I2423" s="58" t="s">
        <v>108</v>
      </c>
      <c r="J2423" s="287" t="s">
        <v>109</v>
      </c>
      <c r="K2423" s="60" t="s">
        <v>110</v>
      </c>
    </row>
    <row r="2424" spans="8:14">
      <c r="H2424" s="71">
        <v>719</v>
      </c>
      <c r="I2424" s="73">
        <f>+O2404+O2406</f>
        <v>110000</v>
      </c>
      <c r="J2424" s="74">
        <f>+K2387</f>
        <v>58590000</v>
      </c>
      <c r="K2424" s="195">
        <f>+I2424+J2424</f>
        <v>58700000</v>
      </c>
    </row>
    <row r="2425" spans="8:14">
      <c r="H2425" s="72">
        <v>721</v>
      </c>
      <c r="I2425" s="80">
        <f>+O2405+O2407+O2409+O2411+O2413</f>
        <v>0</v>
      </c>
      <c r="J2425" s="74">
        <f>+K2388</f>
        <v>93624559</v>
      </c>
      <c r="K2425" s="195">
        <f>+I2425+J2425</f>
        <v>93624559</v>
      </c>
    </row>
    <row r="2426" spans="8:14">
      <c r="H2426" s="72">
        <v>722</v>
      </c>
      <c r="I2426" s="80"/>
      <c r="J2426" s="74">
        <f>+K2389</f>
        <v>2000000</v>
      </c>
      <c r="K2426" s="195">
        <f>+I2426+J2426</f>
        <v>2000000</v>
      </c>
    </row>
    <row r="2427" spans="8:14" ht="15.75">
      <c r="H2427" s="72">
        <v>723</v>
      </c>
      <c r="I2427" s="80"/>
      <c r="J2427" s="74">
        <f>+K2390</f>
        <v>310720913</v>
      </c>
      <c r="K2427" s="195">
        <f>+I2427+J2427</f>
        <v>310720913</v>
      </c>
      <c r="M2427" s="193" t="s">
        <v>289</v>
      </c>
      <c r="N2427" s="175"/>
    </row>
    <row r="2428" spans="8:14" ht="16.5" thickBot="1">
      <c r="H2428" s="164" t="s">
        <v>181</v>
      </c>
      <c r="I2428" s="165"/>
      <c r="J2428" s="74">
        <f>+K2391</f>
        <v>0</v>
      </c>
      <c r="K2428" s="196">
        <f>+I2428+J2428</f>
        <v>0</v>
      </c>
      <c r="M2428" s="52"/>
    </row>
    <row r="2429" spans="8:14" ht="16.5" thickBot="1">
      <c r="H2429" s="169"/>
      <c r="I2429" s="197">
        <f>SUM(I2424:I2428)</f>
        <v>110000</v>
      </c>
      <c r="J2429" s="197">
        <f>SUM(J2424:J2428)</f>
        <v>464935472</v>
      </c>
      <c r="K2429" s="198">
        <f>SUM(K2424:K2428)</f>
        <v>465045472</v>
      </c>
    </row>
    <row r="2430" spans="8:14" ht="16.5">
      <c r="H2430" s="49" t="s">
        <v>88</v>
      </c>
      <c r="I2430" s="50"/>
    </row>
    <row r="2431" spans="8:14">
      <c r="H2431" s="51" t="s">
        <v>89</v>
      </c>
    </row>
    <row r="2432" spans="8:14">
      <c r="H2432" s="51" t="s">
        <v>90</v>
      </c>
    </row>
    <row r="2433" spans="8:15">
      <c r="H2433" s="51" t="s">
        <v>91</v>
      </c>
    </row>
    <row r="2434" spans="8:15" ht="11.25" customHeight="1">
      <c r="H2434" s="50"/>
      <c r="I2434" s="50"/>
    </row>
    <row r="2435" spans="8:15" ht="15.75">
      <c r="H2435" s="260" t="s">
        <v>1070</v>
      </c>
      <c r="N2435" s="52"/>
    </row>
    <row r="2436" spans="8:15" ht="15.75">
      <c r="H2436" s="53" t="s">
        <v>535</v>
      </c>
      <c r="N2436" s="53"/>
    </row>
    <row r="2437" spans="8:15" ht="16.5">
      <c r="H2437" s="894" t="s">
        <v>909</v>
      </c>
      <c r="I2437" s="894"/>
      <c r="J2437" s="894"/>
      <c r="K2437" s="894"/>
      <c r="L2437" s="894"/>
      <c r="M2437" s="894"/>
      <c r="N2437" s="894"/>
      <c r="O2437" s="894"/>
    </row>
    <row r="2438" spans="8:15" ht="15.75" thickBot="1"/>
    <row r="2439" spans="8:15">
      <c r="H2439" s="895" t="s">
        <v>94</v>
      </c>
      <c r="I2439" s="897" t="s">
        <v>95</v>
      </c>
      <c r="J2439" s="897" t="s">
        <v>96</v>
      </c>
      <c r="K2439" s="897" t="s">
        <v>3</v>
      </c>
      <c r="L2439" s="897" t="s">
        <v>97</v>
      </c>
      <c r="M2439" s="897" t="s">
        <v>98</v>
      </c>
      <c r="N2439" s="897" t="s">
        <v>99</v>
      </c>
      <c r="O2439" s="899"/>
    </row>
    <row r="2440" spans="8:15" ht="15.75" thickBot="1">
      <c r="H2440" s="896"/>
      <c r="I2440" s="898"/>
      <c r="J2440" s="898"/>
      <c r="K2440" s="898"/>
      <c r="L2440" s="898"/>
      <c r="M2440" s="898"/>
      <c r="N2440" s="240" t="s">
        <v>100</v>
      </c>
      <c r="O2440" s="182" t="s">
        <v>101</v>
      </c>
    </row>
    <row r="2441" spans="8:15">
      <c r="H2441" s="881">
        <v>259</v>
      </c>
      <c r="I2441" s="875">
        <v>42632</v>
      </c>
      <c r="J2441" s="877" t="s">
        <v>1014</v>
      </c>
      <c r="K2441" s="879" t="s">
        <v>1072</v>
      </c>
      <c r="L2441" s="881" t="s">
        <v>115</v>
      </c>
      <c r="M2441" s="883">
        <v>150000</v>
      </c>
      <c r="N2441" s="55">
        <v>719</v>
      </c>
      <c r="O2441" s="78">
        <v>150000</v>
      </c>
    </row>
    <row r="2442" spans="8:15" ht="15.75" thickBot="1">
      <c r="H2442" s="882"/>
      <c r="I2442" s="876"/>
      <c r="J2442" s="878"/>
      <c r="K2442" s="880"/>
      <c r="L2442" s="882"/>
      <c r="M2442" s="884"/>
      <c r="N2442" s="56">
        <v>721</v>
      </c>
      <c r="O2442" s="79">
        <f>+M2441-O2441</f>
        <v>0</v>
      </c>
    </row>
    <row r="2443" spans="8:15">
      <c r="H2443" s="881">
        <v>260</v>
      </c>
      <c r="I2443" s="875">
        <v>42632</v>
      </c>
      <c r="J2443" s="877" t="s">
        <v>120</v>
      </c>
      <c r="K2443" s="879" t="s">
        <v>1071</v>
      </c>
      <c r="L2443" s="881" t="s">
        <v>115</v>
      </c>
      <c r="M2443" s="883">
        <v>110000</v>
      </c>
      <c r="N2443" s="55">
        <v>719</v>
      </c>
      <c r="O2443" s="78">
        <v>110000</v>
      </c>
    </row>
    <row r="2444" spans="8:15" ht="15.75" thickBot="1">
      <c r="H2444" s="882"/>
      <c r="I2444" s="876"/>
      <c r="J2444" s="878"/>
      <c r="K2444" s="880"/>
      <c r="L2444" s="882"/>
      <c r="M2444" s="884"/>
      <c r="N2444" s="56">
        <v>721</v>
      </c>
      <c r="O2444" s="79">
        <f>+M2443-O2443</f>
        <v>0</v>
      </c>
    </row>
    <row r="2445" spans="8:15">
      <c r="H2445" s="881"/>
      <c r="I2445" s="875"/>
      <c r="J2445" s="877"/>
      <c r="K2445" s="879"/>
      <c r="L2445" s="881"/>
      <c r="M2445" s="883"/>
      <c r="N2445" s="55">
        <v>719</v>
      </c>
      <c r="O2445" s="78"/>
    </row>
    <row r="2446" spans="8:15" ht="14.25" customHeight="1" thickBot="1">
      <c r="H2446" s="882"/>
      <c r="I2446" s="876"/>
      <c r="J2446" s="878"/>
      <c r="K2446" s="880"/>
      <c r="L2446" s="882"/>
      <c r="M2446" s="884"/>
      <c r="N2446" s="56">
        <v>721</v>
      </c>
      <c r="O2446" s="79">
        <f>+M2445-O2445</f>
        <v>0</v>
      </c>
    </row>
    <row r="2447" spans="8:15">
      <c r="H2447" s="881"/>
      <c r="I2447" s="875"/>
      <c r="J2447" s="877"/>
      <c r="K2447" s="879"/>
      <c r="L2447" s="881"/>
      <c r="M2447" s="883"/>
      <c r="N2447" s="55">
        <v>719</v>
      </c>
      <c r="O2447" s="78"/>
    </row>
    <row r="2448" spans="8:15" ht="13.5" customHeight="1" thickBot="1">
      <c r="H2448" s="882"/>
      <c r="I2448" s="876"/>
      <c r="J2448" s="878"/>
      <c r="K2448" s="880"/>
      <c r="L2448" s="882"/>
      <c r="M2448" s="884"/>
      <c r="N2448" s="56">
        <v>721</v>
      </c>
      <c r="O2448" s="79">
        <f>+M2447-O2447</f>
        <v>0</v>
      </c>
    </row>
    <row r="2449" spans="8:15">
      <c r="H2449" s="881"/>
      <c r="I2449" s="875"/>
      <c r="J2449" s="877"/>
      <c r="K2449" s="879"/>
      <c r="L2449" s="881"/>
      <c r="M2449" s="883"/>
      <c r="N2449" s="55">
        <v>719</v>
      </c>
      <c r="O2449" s="78"/>
    </row>
    <row r="2450" spans="8:15" ht="14.25" customHeight="1" thickBot="1">
      <c r="H2450" s="882"/>
      <c r="I2450" s="876"/>
      <c r="J2450" s="878"/>
      <c r="K2450" s="880"/>
      <c r="L2450" s="882"/>
      <c r="M2450" s="884"/>
      <c r="N2450" s="56">
        <v>723</v>
      </c>
      <c r="O2450" s="79">
        <f>+M2449-O2449</f>
        <v>0</v>
      </c>
    </row>
    <row r="2451" spans="8:15" ht="16.5" thickBot="1">
      <c r="H2451" s="901" t="s">
        <v>102</v>
      </c>
      <c r="I2451" s="902"/>
      <c r="J2451" s="902"/>
      <c r="K2451" s="902"/>
      <c r="L2451" s="903"/>
      <c r="M2451" s="81">
        <f>SUM(M2441:M2450)</f>
        <v>260000</v>
      </c>
    </row>
    <row r="2452" spans="8:15" ht="16.5" thickBot="1">
      <c r="H2452" s="885" t="s">
        <v>103</v>
      </c>
      <c r="I2452" s="886"/>
      <c r="J2452" s="886"/>
      <c r="K2452" s="886"/>
      <c r="L2452" s="887"/>
      <c r="M2452" s="69">
        <f>+M2416</f>
        <v>465115472</v>
      </c>
      <c r="N2452" s="241" t="s">
        <v>561</v>
      </c>
      <c r="O2452" s="242">
        <f>528+24</f>
        <v>552</v>
      </c>
    </row>
    <row r="2453" spans="8:15" ht="16.5" thickBot="1">
      <c r="H2453" s="888" t="s">
        <v>104</v>
      </c>
      <c r="I2453" s="889"/>
      <c r="J2453" s="889"/>
      <c r="K2453" s="889"/>
      <c r="L2453" s="890"/>
      <c r="M2453" s="183">
        <f>SUM(M2451:M2452)</f>
        <v>465375472</v>
      </c>
    </row>
    <row r="2454" spans="8:15">
      <c r="H2454" s="61"/>
      <c r="I2454" s="61"/>
      <c r="J2454" s="61"/>
      <c r="K2454" s="61"/>
      <c r="L2454" s="61"/>
    </row>
    <row r="2455" spans="8:15">
      <c r="H2455" s="51" t="s">
        <v>1073</v>
      </c>
    </row>
    <row r="2456" spans="8:15">
      <c r="M2456" s="139"/>
    </row>
    <row r="2457" spans="8:15">
      <c r="H2457" s="50" t="s">
        <v>105</v>
      </c>
      <c r="K2457" s="146"/>
      <c r="M2457" s="139"/>
    </row>
    <row r="2458" spans="8:15" ht="15.75" thickBot="1"/>
    <row r="2459" spans="8:15" ht="15.75" thickBot="1">
      <c r="H2459" s="891" t="s">
        <v>106</v>
      </c>
      <c r="I2459" s="892"/>
      <c r="J2459" s="892"/>
      <c r="K2459" s="893"/>
      <c r="M2459" s="50" t="s">
        <v>288</v>
      </c>
    </row>
    <row r="2460" spans="8:15" ht="45.75" thickBot="1">
      <c r="H2460" s="57" t="s">
        <v>100</v>
      </c>
      <c r="I2460" s="58" t="s">
        <v>108</v>
      </c>
      <c r="J2460" s="287" t="s">
        <v>109</v>
      </c>
      <c r="K2460" s="60" t="s">
        <v>110</v>
      </c>
    </row>
    <row r="2461" spans="8:15">
      <c r="H2461" s="71">
        <v>719</v>
      </c>
      <c r="I2461" s="73">
        <f>+O2441+O2443</f>
        <v>260000</v>
      </c>
      <c r="J2461" s="74">
        <f>+K2424</f>
        <v>58700000</v>
      </c>
      <c r="K2461" s="195">
        <f>+I2461+J2461</f>
        <v>58960000</v>
      </c>
    </row>
    <row r="2462" spans="8:15">
      <c r="H2462" s="72">
        <v>721</v>
      </c>
      <c r="I2462" s="80">
        <f>+O2442+O2444+O2446+O2448+O2450</f>
        <v>0</v>
      </c>
      <c r="J2462" s="74">
        <f>+K2425</f>
        <v>93624559</v>
      </c>
      <c r="K2462" s="195">
        <f>+I2462+J2462</f>
        <v>93624559</v>
      </c>
    </row>
    <row r="2463" spans="8:15">
      <c r="H2463" s="72">
        <v>722</v>
      </c>
      <c r="I2463" s="80"/>
      <c r="J2463" s="74">
        <f>+K2426</f>
        <v>2000000</v>
      </c>
      <c r="K2463" s="195">
        <f>+I2463+J2463</f>
        <v>2000000</v>
      </c>
    </row>
    <row r="2464" spans="8:15" ht="15.75">
      <c r="H2464" s="72">
        <v>723</v>
      </c>
      <c r="I2464" s="80"/>
      <c r="J2464" s="74">
        <f>+K2427</f>
        <v>310720913</v>
      </c>
      <c r="K2464" s="195">
        <f>+I2464+J2464</f>
        <v>310720913</v>
      </c>
      <c r="M2464" s="193" t="s">
        <v>289</v>
      </c>
      <c r="N2464" s="175"/>
    </row>
    <row r="2465" spans="8:15" ht="16.5" thickBot="1">
      <c r="H2465" s="164" t="s">
        <v>181</v>
      </c>
      <c r="I2465" s="165"/>
      <c r="J2465" s="74">
        <f>+K2428</f>
        <v>0</v>
      </c>
      <c r="K2465" s="196">
        <f>+I2465+J2465</f>
        <v>0</v>
      </c>
      <c r="M2465" s="52"/>
    </row>
    <row r="2466" spans="8:15" ht="16.5" thickBot="1">
      <c r="H2466" s="169"/>
      <c r="I2466" s="197">
        <f>SUM(I2461:I2465)</f>
        <v>260000</v>
      </c>
      <c r="J2466" s="197">
        <f>SUM(J2461:J2465)</f>
        <v>465045472</v>
      </c>
      <c r="K2466" s="198">
        <f>SUM(K2461:K2465)</f>
        <v>465305472</v>
      </c>
    </row>
    <row r="2467" spans="8:15" ht="16.5">
      <c r="H2467" s="49" t="s">
        <v>88</v>
      </c>
      <c r="I2467" s="50"/>
    </row>
    <row r="2468" spans="8:15">
      <c r="H2468" s="51" t="s">
        <v>89</v>
      </c>
    </row>
    <row r="2469" spans="8:15">
      <c r="H2469" s="51" t="s">
        <v>90</v>
      </c>
    </row>
    <row r="2470" spans="8:15">
      <c r="H2470" s="51" t="s">
        <v>91</v>
      </c>
    </row>
    <row r="2471" spans="8:15" ht="6.75" customHeight="1">
      <c r="H2471" s="50"/>
      <c r="I2471" s="50"/>
    </row>
    <row r="2472" spans="8:15" ht="15.75">
      <c r="H2472" s="260" t="s">
        <v>1074</v>
      </c>
      <c r="N2472" s="52"/>
    </row>
    <row r="2473" spans="8:15" ht="15.75">
      <c r="H2473" s="53" t="s">
        <v>535</v>
      </c>
      <c r="N2473" s="53"/>
    </row>
    <row r="2474" spans="8:15" ht="15.75" customHeight="1">
      <c r="H2474" s="894" t="s">
        <v>1078</v>
      </c>
      <c r="I2474" s="894"/>
      <c r="J2474" s="894"/>
      <c r="K2474" s="894"/>
      <c r="L2474" s="894"/>
      <c r="M2474" s="894"/>
      <c r="N2474" s="894"/>
      <c r="O2474" s="894"/>
    </row>
    <row r="2475" spans="8:15" ht="15.75" thickBot="1"/>
    <row r="2476" spans="8:15">
      <c r="H2476" s="895" t="s">
        <v>94</v>
      </c>
      <c r="I2476" s="897" t="s">
        <v>95</v>
      </c>
      <c r="J2476" s="897" t="s">
        <v>96</v>
      </c>
      <c r="K2476" s="897" t="s">
        <v>3</v>
      </c>
      <c r="L2476" s="897" t="s">
        <v>97</v>
      </c>
      <c r="M2476" s="897" t="s">
        <v>98</v>
      </c>
      <c r="N2476" s="897" t="s">
        <v>99</v>
      </c>
      <c r="O2476" s="899"/>
    </row>
    <row r="2477" spans="8:15" ht="15.75" thickBot="1">
      <c r="H2477" s="896"/>
      <c r="I2477" s="898"/>
      <c r="J2477" s="898"/>
      <c r="K2477" s="898"/>
      <c r="L2477" s="898"/>
      <c r="M2477" s="898"/>
      <c r="N2477" s="240" t="s">
        <v>100</v>
      </c>
      <c r="O2477" s="182" t="s">
        <v>101</v>
      </c>
    </row>
    <row r="2478" spans="8:15" ht="15" customHeight="1">
      <c r="H2478" s="881">
        <v>261</v>
      </c>
      <c r="I2478" s="875">
        <v>42641</v>
      </c>
      <c r="J2478" s="877" t="s">
        <v>1079</v>
      </c>
      <c r="K2478" s="879" t="s">
        <v>1080</v>
      </c>
      <c r="L2478" s="881" t="s">
        <v>783</v>
      </c>
      <c r="M2478" s="883">
        <v>145000</v>
      </c>
      <c r="N2478" s="55">
        <v>719</v>
      </c>
      <c r="O2478" s="78">
        <v>145000</v>
      </c>
    </row>
    <row r="2479" spans="8:15" ht="12.75" customHeight="1" thickBot="1">
      <c r="H2479" s="882"/>
      <c r="I2479" s="876"/>
      <c r="J2479" s="878"/>
      <c r="K2479" s="880"/>
      <c r="L2479" s="882"/>
      <c r="M2479" s="884"/>
      <c r="N2479" s="56">
        <v>721</v>
      </c>
      <c r="O2479" s="79">
        <f>+M2478-O2478</f>
        <v>0</v>
      </c>
    </row>
    <row r="2480" spans="8:15" ht="15" customHeight="1">
      <c r="H2480" s="881">
        <v>262</v>
      </c>
      <c r="I2480" s="875">
        <v>42641</v>
      </c>
      <c r="J2480" s="877" t="s">
        <v>1079</v>
      </c>
      <c r="K2480" s="879" t="s">
        <v>1081</v>
      </c>
      <c r="L2480" s="881" t="s">
        <v>783</v>
      </c>
      <c r="M2480" s="883">
        <v>72500</v>
      </c>
      <c r="N2480" s="55">
        <v>719</v>
      </c>
      <c r="O2480" s="78">
        <v>72500</v>
      </c>
    </row>
    <row r="2481" spans="8:15" ht="13.5" customHeight="1" thickBot="1">
      <c r="H2481" s="882"/>
      <c r="I2481" s="876"/>
      <c r="J2481" s="878"/>
      <c r="K2481" s="880"/>
      <c r="L2481" s="882"/>
      <c r="M2481" s="884"/>
      <c r="N2481" s="56">
        <v>721</v>
      </c>
      <c r="O2481" s="79">
        <f>+M2480-O2480</f>
        <v>0</v>
      </c>
    </row>
    <row r="2482" spans="8:15" ht="15" customHeight="1">
      <c r="H2482" s="881">
        <v>263</v>
      </c>
      <c r="I2482" s="875">
        <v>42641</v>
      </c>
      <c r="J2482" s="877" t="s">
        <v>1079</v>
      </c>
      <c r="K2482" s="879" t="s">
        <v>1082</v>
      </c>
      <c r="L2482" s="881" t="s">
        <v>783</v>
      </c>
      <c r="M2482" s="883">
        <v>72500</v>
      </c>
      <c r="N2482" s="55">
        <v>719</v>
      </c>
      <c r="O2482" s="78">
        <v>72500</v>
      </c>
    </row>
    <row r="2483" spans="8:15" ht="14.25" customHeight="1" thickBot="1">
      <c r="H2483" s="882"/>
      <c r="I2483" s="876"/>
      <c r="J2483" s="878"/>
      <c r="K2483" s="880"/>
      <c r="L2483" s="882"/>
      <c r="M2483" s="884"/>
      <c r="N2483" s="56">
        <v>721</v>
      </c>
      <c r="O2483" s="79">
        <f>+M2482-O2482</f>
        <v>0</v>
      </c>
    </row>
    <row r="2484" spans="8:15" ht="15" customHeight="1">
      <c r="H2484" s="881">
        <v>264</v>
      </c>
      <c r="I2484" s="875">
        <v>42641</v>
      </c>
      <c r="J2484" s="877" t="s">
        <v>1079</v>
      </c>
      <c r="K2484" s="879" t="s">
        <v>1084</v>
      </c>
      <c r="L2484" s="881" t="s">
        <v>783</v>
      </c>
      <c r="M2484" s="883">
        <v>217500</v>
      </c>
      <c r="N2484" s="55">
        <v>719</v>
      </c>
      <c r="O2484" s="78">
        <v>217500</v>
      </c>
    </row>
    <row r="2485" spans="8:15" ht="13.5" customHeight="1" thickBot="1">
      <c r="H2485" s="882"/>
      <c r="I2485" s="876"/>
      <c r="J2485" s="878"/>
      <c r="K2485" s="880"/>
      <c r="L2485" s="882"/>
      <c r="M2485" s="884"/>
      <c r="N2485" s="56">
        <v>721</v>
      </c>
      <c r="O2485" s="79">
        <f>+M2484-O2484</f>
        <v>0</v>
      </c>
    </row>
    <row r="2486" spans="8:15" ht="15.75" customHeight="1">
      <c r="H2486" s="881">
        <v>265</v>
      </c>
      <c r="I2486" s="875">
        <v>42641</v>
      </c>
      <c r="J2486" s="877" t="s">
        <v>1079</v>
      </c>
      <c r="K2486" s="879" t="s">
        <v>1095</v>
      </c>
      <c r="L2486" s="881" t="s">
        <v>783</v>
      </c>
      <c r="M2486" s="883">
        <f>72500*2</f>
        <v>145000</v>
      </c>
      <c r="N2486" s="55">
        <v>719</v>
      </c>
      <c r="O2486" s="78">
        <v>145000</v>
      </c>
    </row>
    <row r="2487" spans="8:15" ht="13.5" customHeight="1" thickBot="1">
      <c r="H2487" s="882"/>
      <c r="I2487" s="876"/>
      <c r="J2487" s="878"/>
      <c r="K2487" s="880"/>
      <c r="L2487" s="882"/>
      <c r="M2487" s="884"/>
      <c r="N2487" s="56">
        <v>721</v>
      </c>
      <c r="O2487" s="79">
        <f>+M2486-O2486</f>
        <v>0</v>
      </c>
    </row>
    <row r="2488" spans="8:15" ht="15" customHeight="1">
      <c r="H2488" s="881">
        <v>266</v>
      </c>
      <c r="I2488" s="875">
        <v>42641</v>
      </c>
      <c r="J2488" s="877" t="s">
        <v>1079</v>
      </c>
      <c r="K2488" s="879" t="s">
        <v>1086</v>
      </c>
      <c r="L2488" s="881" t="s">
        <v>783</v>
      </c>
      <c r="M2488" s="883">
        <v>145000</v>
      </c>
      <c r="N2488" s="55">
        <v>719</v>
      </c>
      <c r="O2488" s="78">
        <v>145000</v>
      </c>
    </row>
    <row r="2489" spans="8:15" ht="13.5" customHeight="1" thickBot="1">
      <c r="H2489" s="882"/>
      <c r="I2489" s="876"/>
      <c r="J2489" s="878"/>
      <c r="K2489" s="880"/>
      <c r="L2489" s="882"/>
      <c r="M2489" s="884"/>
      <c r="N2489" s="56">
        <v>721</v>
      </c>
      <c r="O2489" s="79">
        <f>+M2488-O2488</f>
        <v>0</v>
      </c>
    </row>
    <row r="2490" spans="8:15" ht="16.5" thickBot="1">
      <c r="H2490" s="901" t="s">
        <v>102</v>
      </c>
      <c r="I2490" s="902"/>
      <c r="J2490" s="902"/>
      <c r="K2490" s="902"/>
      <c r="L2490" s="903"/>
      <c r="M2490" s="81">
        <f>SUM(M2478:M2489)</f>
        <v>797500</v>
      </c>
    </row>
    <row r="2491" spans="8:15" ht="16.5" thickBot="1">
      <c r="H2491" s="885" t="s">
        <v>103</v>
      </c>
      <c r="I2491" s="886"/>
      <c r="J2491" s="886"/>
      <c r="K2491" s="886"/>
      <c r="L2491" s="887"/>
      <c r="M2491" s="69">
        <f>+M2453</f>
        <v>465375472</v>
      </c>
      <c r="N2491" s="241" t="s">
        <v>561</v>
      </c>
      <c r="O2491" s="242"/>
    </row>
    <row r="2492" spans="8:15" ht="16.5" thickBot="1">
      <c r="H2492" s="888" t="s">
        <v>104</v>
      </c>
      <c r="I2492" s="889"/>
      <c r="J2492" s="889"/>
      <c r="K2492" s="889"/>
      <c r="L2492" s="890"/>
      <c r="M2492" s="183">
        <f>SUM(M2490:M2491)</f>
        <v>466172972</v>
      </c>
    </row>
    <row r="2493" spans="8:15" ht="9.75" customHeight="1">
      <c r="H2493" s="61"/>
      <c r="I2493" s="61"/>
      <c r="J2493" s="61"/>
      <c r="K2493" s="61"/>
      <c r="L2493" s="61"/>
    </row>
    <row r="2494" spans="8:15">
      <c r="H2494" s="51" t="s">
        <v>1101</v>
      </c>
    </row>
    <row r="2495" spans="8:15" ht="9.75" customHeight="1">
      <c r="M2495" s="139"/>
    </row>
    <row r="2496" spans="8:15">
      <c r="H2496" s="50" t="s">
        <v>105</v>
      </c>
      <c r="K2496" s="146"/>
      <c r="M2496" s="139"/>
    </row>
    <row r="2497" spans="8:14" ht="12" customHeight="1" thickBot="1"/>
    <row r="2498" spans="8:14" ht="15.75" thickBot="1">
      <c r="H2498" s="891" t="s">
        <v>106</v>
      </c>
      <c r="I2498" s="892"/>
      <c r="J2498" s="892"/>
      <c r="K2498" s="893"/>
      <c r="M2498" s="50" t="s">
        <v>288</v>
      </c>
    </row>
    <row r="2499" spans="8:14" ht="28.5" customHeight="1" thickBot="1">
      <c r="H2499" s="57" t="s">
        <v>100</v>
      </c>
      <c r="I2499" s="58" t="s">
        <v>108</v>
      </c>
      <c r="J2499" s="287" t="s">
        <v>109</v>
      </c>
      <c r="K2499" s="60" t="s">
        <v>110</v>
      </c>
    </row>
    <row r="2500" spans="8:14">
      <c r="H2500" s="71">
        <v>719</v>
      </c>
      <c r="I2500" s="73"/>
      <c r="J2500" s="74">
        <f>+K2461</f>
        <v>58960000</v>
      </c>
      <c r="K2500" s="195">
        <f>+I2500+J2500</f>
        <v>58960000</v>
      </c>
    </row>
    <row r="2501" spans="8:14">
      <c r="H2501" s="72">
        <v>721</v>
      </c>
      <c r="I2501" s="80"/>
      <c r="J2501" s="74">
        <f>+K2462</f>
        <v>93624559</v>
      </c>
      <c r="K2501" s="195">
        <f>+I2501+J2501</f>
        <v>93624559</v>
      </c>
    </row>
    <row r="2502" spans="8:14">
      <c r="H2502" s="72">
        <v>722</v>
      </c>
      <c r="I2502" s="80"/>
      <c r="J2502" s="74">
        <f>+K2463</f>
        <v>2000000</v>
      </c>
      <c r="K2502" s="195">
        <f>+I2502+J2502</f>
        <v>2000000</v>
      </c>
    </row>
    <row r="2503" spans="8:14" ht="15" customHeight="1">
      <c r="H2503" s="72">
        <v>723</v>
      </c>
      <c r="I2503" s="80"/>
      <c r="J2503" s="74">
        <f>+K2464</f>
        <v>310720913</v>
      </c>
      <c r="K2503" s="195">
        <f>+I2503+J2503</f>
        <v>310720913</v>
      </c>
      <c r="M2503" s="193" t="s">
        <v>289</v>
      </c>
      <c r="N2503" s="175"/>
    </row>
    <row r="2504" spans="8:14" ht="16.5" thickBot="1">
      <c r="H2504" s="164" t="s">
        <v>1077</v>
      </c>
      <c r="I2504" s="165">
        <f>+O2478+O2480+O2482+O2484+O2488+O2486</f>
        <v>797500</v>
      </c>
      <c r="J2504" s="74">
        <f>+K2465</f>
        <v>0</v>
      </c>
      <c r="K2504" s="196">
        <f>+I2504+J2504</f>
        <v>797500</v>
      </c>
      <c r="M2504" s="52"/>
    </row>
    <row r="2505" spans="8:14" ht="16.5" thickBot="1">
      <c r="H2505" s="316" t="s">
        <v>147</v>
      </c>
      <c r="I2505" s="197">
        <f>SUM(I2500:I2504)</f>
        <v>797500</v>
      </c>
      <c r="J2505" s="197">
        <f>SUM(J2500:J2504)</f>
        <v>465305472</v>
      </c>
      <c r="K2505" s="198">
        <f>SUM(K2500:K2504)</f>
        <v>466102972</v>
      </c>
    </row>
    <row r="2506" spans="8:14" ht="16.5">
      <c r="H2506" s="49" t="s">
        <v>88</v>
      </c>
      <c r="I2506" s="50"/>
    </row>
    <row r="2507" spans="8:14">
      <c r="H2507" s="51" t="s">
        <v>89</v>
      </c>
    </row>
    <row r="2508" spans="8:14">
      <c r="H2508" s="51" t="s">
        <v>90</v>
      </c>
    </row>
    <row r="2509" spans="8:14">
      <c r="H2509" s="51" t="s">
        <v>91</v>
      </c>
    </row>
    <row r="2510" spans="8:14" ht="12.75" customHeight="1">
      <c r="H2510" s="50"/>
      <c r="I2510" s="50"/>
    </row>
    <row r="2511" spans="8:14" ht="15.75">
      <c r="H2511" s="260" t="s">
        <v>1075</v>
      </c>
      <c r="N2511" s="52"/>
    </row>
    <row r="2512" spans="8:14" ht="15.75">
      <c r="H2512" s="53" t="s">
        <v>535</v>
      </c>
      <c r="N2512" s="53"/>
    </row>
    <row r="2513" spans="8:15" ht="16.5">
      <c r="H2513" s="894" t="s">
        <v>1098</v>
      </c>
      <c r="I2513" s="894"/>
      <c r="J2513" s="894"/>
      <c r="K2513" s="894"/>
      <c r="L2513" s="894"/>
      <c r="M2513" s="894"/>
      <c r="N2513" s="894"/>
      <c r="O2513" s="894"/>
    </row>
    <row r="2514" spans="8:15" ht="15.75" thickBot="1"/>
    <row r="2515" spans="8:15">
      <c r="H2515" s="895" t="s">
        <v>94</v>
      </c>
      <c r="I2515" s="897" t="s">
        <v>95</v>
      </c>
      <c r="J2515" s="897" t="s">
        <v>96</v>
      </c>
      <c r="K2515" s="897" t="s">
        <v>3</v>
      </c>
      <c r="L2515" s="897" t="s">
        <v>97</v>
      </c>
      <c r="M2515" s="897" t="s">
        <v>98</v>
      </c>
      <c r="N2515" s="897" t="s">
        <v>99</v>
      </c>
      <c r="O2515" s="899"/>
    </row>
    <row r="2516" spans="8:15" ht="15.75" thickBot="1">
      <c r="H2516" s="896"/>
      <c r="I2516" s="898"/>
      <c r="J2516" s="898"/>
      <c r="K2516" s="898"/>
      <c r="L2516" s="898"/>
      <c r="M2516" s="898"/>
      <c r="N2516" s="240" t="s">
        <v>100</v>
      </c>
      <c r="O2516" s="182" t="s">
        <v>101</v>
      </c>
    </row>
    <row r="2517" spans="8:15" ht="15" customHeight="1">
      <c r="H2517" s="881">
        <v>267</v>
      </c>
      <c r="I2517" s="875">
        <v>42641</v>
      </c>
      <c r="J2517" s="877" t="s">
        <v>738</v>
      </c>
      <c r="K2517" s="879" t="s">
        <v>1097</v>
      </c>
      <c r="L2517" s="881" t="s">
        <v>148</v>
      </c>
      <c r="M2517" s="883">
        <v>2672700</v>
      </c>
      <c r="N2517" s="55">
        <v>719</v>
      </c>
      <c r="O2517" s="78"/>
    </row>
    <row r="2518" spans="8:15" ht="15.75" customHeight="1" thickBot="1">
      <c r="H2518" s="882"/>
      <c r="I2518" s="876"/>
      <c r="J2518" s="878"/>
      <c r="K2518" s="880"/>
      <c r="L2518" s="882"/>
      <c r="M2518" s="884"/>
      <c r="N2518" s="56">
        <v>721</v>
      </c>
      <c r="O2518" s="79">
        <f>+M2517</f>
        <v>2672700</v>
      </c>
    </row>
    <row r="2519" spans="8:15" ht="15" customHeight="1">
      <c r="H2519" s="881">
        <v>268</v>
      </c>
      <c r="I2519" s="875">
        <v>42641</v>
      </c>
      <c r="J2519" s="877" t="s">
        <v>738</v>
      </c>
      <c r="K2519" s="879" t="s">
        <v>1099</v>
      </c>
      <c r="L2519" s="881" t="s">
        <v>148</v>
      </c>
      <c r="M2519" s="883">
        <v>773675</v>
      </c>
      <c r="N2519" s="55">
        <v>719</v>
      </c>
      <c r="O2519" s="78"/>
    </row>
    <row r="2520" spans="8:15" ht="15.75" customHeight="1" thickBot="1">
      <c r="H2520" s="882"/>
      <c r="I2520" s="876"/>
      <c r="J2520" s="878"/>
      <c r="K2520" s="880"/>
      <c r="L2520" s="882"/>
      <c r="M2520" s="884"/>
      <c r="N2520" s="56">
        <v>721</v>
      </c>
      <c r="O2520" s="79">
        <f>+M2519-O2519</f>
        <v>773675</v>
      </c>
    </row>
    <row r="2521" spans="8:15" ht="15" customHeight="1">
      <c r="H2521" s="881">
        <v>269</v>
      </c>
      <c r="I2521" s="875">
        <v>42641</v>
      </c>
      <c r="J2521" s="877" t="s">
        <v>738</v>
      </c>
      <c r="K2521" s="879" t="s">
        <v>1100</v>
      </c>
      <c r="L2521" s="881" t="s">
        <v>148</v>
      </c>
      <c r="M2521" s="883">
        <v>2672700</v>
      </c>
      <c r="N2521" s="55">
        <v>719</v>
      </c>
      <c r="O2521" s="78"/>
    </row>
    <row r="2522" spans="8:15" ht="14.25" customHeight="1" thickBot="1">
      <c r="H2522" s="882"/>
      <c r="I2522" s="876"/>
      <c r="J2522" s="878"/>
      <c r="K2522" s="880"/>
      <c r="L2522" s="882"/>
      <c r="M2522" s="884"/>
      <c r="N2522" s="56">
        <v>721</v>
      </c>
      <c r="O2522" s="79">
        <f>+M2521-O2521</f>
        <v>2672700</v>
      </c>
    </row>
    <row r="2523" spans="8:15" ht="14.25" customHeight="1">
      <c r="H2523" s="881"/>
      <c r="I2523" s="875"/>
      <c r="J2523" s="877"/>
      <c r="K2523" s="879"/>
      <c r="L2523" s="881"/>
      <c r="M2523" s="883"/>
      <c r="N2523" s="55">
        <v>719</v>
      </c>
      <c r="O2523" s="78"/>
    </row>
    <row r="2524" spans="8:15" ht="14.25" customHeight="1" thickBot="1">
      <c r="H2524" s="882"/>
      <c r="I2524" s="876"/>
      <c r="J2524" s="878"/>
      <c r="K2524" s="880"/>
      <c r="L2524" s="882"/>
      <c r="M2524" s="884"/>
      <c r="N2524" s="56">
        <v>721</v>
      </c>
      <c r="O2524" s="79">
        <f>+M2523-O2523</f>
        <v>0</v>
      </c>
    </row>
    <row r="2525" spans="8:15" ht="15" customHeight="1">
      <c r="H2525" s="881"/>
      <c r="I2525" s="875"/>
      <c r="J2525" s="877"/>
      <c r="K2525" s="879"/>
      <c r="L2525" s="881"/>
      <c r="M2525" s="883"/>
      <c r="N2525" s="55">
        <v>719</v>
      </c>
      <c r="O2525" s="78"/>
    </row>
    <row r="2526" spans="8:15" ht="11.25" customHeight="1" thickBot="1">
      <c r="H2526" s="882"/>
      <c r="I2526" s="876"/>
      <c r="J2526" s="878"/>
      <c r="K2526" s="880"/>
      <c r="L2526" s="882"/>
      <c r="M2526" s="884"/>
      <c r="N2526" s="56">
        <v>723</v>
      </c>
      <c r="O2526" s="79">
        <f>+M2525-O2525</f>
        <v>0</v>
      </c>
    </row>
    <row r="2527" spans="8:15" ht="16.5" thickBot="1">
      <c r="H2527" s="901" t="s">
        <v>102</v>
      </c>
      <c r="I2527" s="902"/>
      <c r="J2527" s="902"/>
      <c r="K2527" s="902"/>
      <c r="L2527" s="903"/>
      <c r="M2527" s="81">
        <f>SUM(M2517:M2526)</f>
        <v>6119075</v>
      </c>
    </row>
    <row r="2528" spans="8:15" ht="16.5" thickBot="1">
      <c r="H2528" s="885" t="s">
        <v>103</v>
      </c>
      <c r="I2528" s="886"/>
      <c r="J2528" s="886"/>
      <c r="K2528" s="886"/>
      <c r="L2528" s="887"/>
      <c r="M2528" s="69">
        <f>+M2492</f>
        <v>466172972</v>
      </c>
      <c r="N2528" s="241" t="s">
        <v>561</v>
      </c>
      <c r="O2528" s="242"/>
    </row>
    <row r="2529" spans="8:14" ht="16.5" thickBot="1">
      <c r="H2529" s="888" t="s">
        <v>104</v>
      </c>
      <c r="I2529" s="889"/>
      <c r="J2529" s="889"/>
      <c r="K2529" s="889"/>
      <c r="L2529" s="890"/>
      <c r="M2529" s="183">
        <f>SUM(M2527:M2528)</f>
        <v>472292047</v>
      </c>
    </row>
    <row r="2530" spans="8:14">
      <c r="H2530" s="61"/>
      <c r="I2530" s="61"/>
      <c r="J2530" s="61"/>
      <c r="K2530" s="61"/>
      <c r="L2530" s="61"/>
    </row>
    <row r="2531" spans="8:14">
      <c r="H2531" s="51" t="s">
        <v>1110</v>
      </c>
    </row>
    <row r="2532" spans="8:14" ht="12.75" customHeight="1">
      <c r="M2532" s="139"/>
    </row>
    <row r="2533" spans="8:14">
      <c r="H2533" s="50" t="s">
        <v>105</v>
      </c>
      <c r="K2533" s="146"/>
      <c r="M2533" s="139"/>
    </row>
    <row r="2534" spans="8:14" ht="14.25" customHeight="1" thickBot="1"/>
    <row r="2535" spans="8:14" ht="15.75" thickBot="1">
      <c r="H2535" s="891" t="s">
        <v>106</v>
      </c>
      <c r="I2535" s="892"/>
      <c r="J2535" s="892"/>
      <c r="K2535" s="893"/>
      <c r="M2535" s="50" t="s">
        <v>288</v>
      </c>
    </row>
    <row r="2536" spans="8:14" ht="45.75" thickBot="1">
      <c r="H2536" s="57" t="s">
        <v>100</v>
      </c>
      <c r="I2536" s="58" t="s">
        <v>108</v>
      </c>
      <c r="J2536" s="287" t="s">
        <v>109</v>
      </c>
      <c r="K2536" s="60" t="s">
        <v>110</v>
      </c>
    </row>
    <row r="2537" spans="8:14">
      <c r="H2537" s="71">
        <v>719</v>
      </c>
      <c r="I2537" s="73">
        <v>0</v>
      </c>
      <c r="J2537" s="74">
        <f>+K2500</f>
        <v>58960000</v>
      </c>
      <c r="K2537" s="195">
        <f>+I2537+J2537</f>
        <v>58960000</v>
      </c>
    </row>
    <row r="2538" spans="8:14">
      <c r="H2538" s="72">
        <v>721</v>
      </c>
      <c r="I2538" s="80">
        <f>+O2518+O2520+O2522+O2524+O2526</f>
        <v>6119075</v>
      </c>
      <c r="J2538" s="74">
        <f>+K2501</f>
        <v>93624559</v>
      </c>
      <c r="K2538" s="195">
        <f>+I2538+J2538</f>
        <v>99743634</v>
      </c>
    </row>
    <row r="2539" spans="8:14">
      <c r="H2539" s="72">
        <v>722</v>
      </c>
      <c r="I2539" s="80"/>
      <c r="J2539" s="74">
        <f>+K2502</f>
        <v>2000000</v>
      </c>
      <c r="K2539" s="195">
        <f>+I2539+J2539</f>
        <v>2000000</v>
      </c>
    </row>
    <row r="2540" spans="8:14" ht="15.75">
      <c r="H2540" s="72">
        <v>723</v>
      </c>
      <c r="I2540" s="80"/>
      <c r="J2540" s="74">
        <f>+K2503</f>
        <v>310720913</v>
      </c>
      <c r="K2540" s="195">
        <f>+I2540+J2540</f>
        <v>310720913</v>
      </c>
      <c r="M2540" s="193" t="s">
        <v>289</v>
      </c>
      <c r="N2540" s="175"/>
    </row>
    <row r="2541" spans="8:14" ht="16.5" thickBot="1">
      <c r="H2541" s="164" t="s">
        <v>1077</v>
      </c>
      <c r="I2541" s="165">
        <f>+O2517+O2519+O2521</f>
        <v>0</v>
      </c>
      <c r="J2541" s="74">
        <f>+K2504</f>
        <v>797500</v>
      </c>
      <c r="K2541" s="196">
        <f>+I2541+J2541</f>
        <v>797500</v>
      </c>
      <c r="M2541" s="52"/>
    </row>
    <row r="2542" spans="8:14" ht="16.5" thickBot="1">
      <c r="H2542" s="169"/>
      <c r="I2542" s="197">
        <f>SUM(I2537:I2541)</f>
        <v>6119075</v>
      </c>
      <c r="J2542" s="197">
        <f>SUM(J2537:J2541)</f>
        <v>466102972</v>
      </c>
      <c r="K2542" s="198">
        <f>SUM(K2537:K2541)</f>
        <v>472222047</v>
      </c>
    </row>
    <row r="2543" spans="8:14" ht="16.5">
      <c r="H2543" s="49" t="s">
        <v>88</v>
      </c>
      <c r="I2543" s="50"/>
    </row>
    <row r="2544" spans="8:14">
      <c r="H2544" s="51" t="s">
        <v>89</v>
      </c>
    </row>
    <row r="2545" spans="8:15">
      <c r="H2545" s="51" t="s">
        <v>90</v>
      </c>
    </row>
    <row r="2546" spans="8:15">
      <c r="H2546" s="51" t="s">
        <v>91</v>
      </c>
    </row>
    <row r="2547" spans="8:15" ht="11.25" customHeight="1">
      <c r="H2547" s="50"/>
      <c r="I2547" s="50"/>
    </row>
    <row r="2548" spans="8:15" ht="15.75">
      <c r="H2548" s="260" t="s">
        <v>1076</v>
      </c>
      <c r="N2548" s="52"/>
    </row>
    <row r="2549" spans="8:15" ht="15.75">
      <c r="H2549" s="53" t="s">
        <v>535</v>
      </c>
      <c r="N2549" s="53"/>
    </row>
    <row r="2550" spans="8:15" ht="16.5">
      <c r="H2550" s="894" t="s">
        <v>1121</v>
      </c>
      <c r="I2550" s="894"/>
      <c r="J2550" s="894"/>
      <c r="K2550" s="894"/>
      <c r="L2550" s="894"/>
      <c r="M2550" s="894"/>
      <c r="N2550" s="894"/>
      <c r="O2550" s="894"/>
    </row>
    <row r="2551" spans="8:15" ht="15.75" thickBot="1"/>
    <row r="2552" spans="8:15">
      <c r="H2552" s="895" t="s">
        <v>94</v>
      </c>
      <c r="I2552" s="897" t="s">
        <v>95</v>
      </c>
      <c r="J2552" s="897" t="s">
        <v>96</v>
      </c>
      <c r="K2552" s="897" t="s">
        <v>3</v>
      </c>
      <c r="L2552" s="897" t="s">
        <v>97</v>
      </c>
      <c r="M2552" s="897" t="s">
        <v>98</v>
      </c>
      <c r="N2552" s="897" t="s">
        <v>99</v>
      </c>
      <c r="O2552" s="899"/>
    </row>
    <row r="2553" spans="8:15" ht="15.75" thickBot="1">
      <c r="H2553" s="896"/>
      <c r="I2553" s="898"/>
      <c r="J2553" s="898"/>
      <c r="K2553" s="898"/>
      <c r="L2553" s="898"/>
      <c r="M2553" s="898"/>
      <c r="N2553" s="240" t="s">
        <v>100</v>
      </c>
      <c r="O2553" s="182" t="s">
        <v>101</v>
      </c>
    </row>
    <row r="2554" spans="8:15" ht="15" customHeight="1">
      <c r="H2554" s="881">
        <v>270</v>
      </c>
      <c r="I2554" s="875">
        <v>42641</v>
      </c>
      <c r="J2554" s="877" t="s">
        <v>1014</v>
      </c>
      <c r="K2554" s="879" t="s">
        <v>1120</v>
      </c>
      <c r="L2554" s="881" t="s">
        <v>115</v>
      </c>
      <c r="M2554" s="883">
        <v>90000</v>
      </c>
      <c r="N2554" s="55">
        <v>719</v>
      </c>
      <c r="O2554" s="78">
        <v>90000</v>
      </c>
    </row>
    <row r="2555" spans="8:15" ht="15.75" customHeight="1" thickBot="1">
      <c r="H2555" s="882"/>
      <c r="I2555" s="876"/>
      <c r="J2555" s="878"/>
      <c r="K2555" s="880"/>
      <c r="L2555" s="882"/>
      <c r="M2555" s="884"/>
      <c r="N2555" s="56">
        <v>721</v>
      </c>
      <c r="O2555" s="79">
        <f>+M2554-O2554</f>
        <v>0</v>
      </c>
    </row>
    <row r="2556" spans="8:15" ht="15" customHeight="1">
      <c r="H2556" s="881">
        <v>271</v>
      </c>
      <c r="I2556" s="875">
        <v>42641</v>
      </c>
      <c r="J2556" s="877" t="s">
        <v>28</v>
      </c>
      <c r="K2556" s="879" t="s">
        <v>1119</v>
      </c>
      <c r="L2556" s="881" t="s">
        <v>115</v>
      </c>
      <c r="M2556" s="883">
        <v>80000</v>
      </c>
      <c r="N2556" s="55">
        <v>719</v>
      </c>
      <c r="O2556" s="78">
        <v>80000</v>
      </c>
    </row>
    <row r="2557" spans="8:15" ht="15.75" customHeight="1" thickBot="1">
      <c r="H2557" s="882"/>
      <c r="I2557" s="876"/>
      <c r="J2557" s="878"/>
      <c r="K2557" s="880"/>
      <c r="L2557" s="882"/>
      <c r="M2557" s="884"/>
      <c r="N2557" s="56">
        <v>721</v>
      </c>
      <c r="O2557" s="79">
        <f>+M2556-O2556</f>
        <v>0</v>
      </c>
    </row>
    <row r="2558" spans="8:15" ht="13.5" customHeight="1">
      <c r="H2558" s="881">
        <v>272</v>
      </c>
      <c r="I2558" s="875">
        <v>42641</v>
      </c>
      <c r="J2558" s="877" t="s">
        <v>1116</v>
      </c>
      <c r="K2558" s="879" t="s">
        <v>1118</v>
      </c>
      <c r="L2558" s="881" t="s">
        <v>115</v>
      </c>
      <c r="M2558" s="883">
        <v>80000</v>
      </c>
      <c r="N2558" s="55">
        <v>719</v>
      </c>
      <c r="O2558" s="78">
        <v>80000</v>
      </c>
    </row>
    <row r="2559" spans="8:15" ht="14.25" customHeight="1" thickBot="1">
      <c r="H2559" s="882"/>
      <c r="I2559" s="876"/>
      <c r="J2559" s="878"/>
      <c r="K2559" s="880"/>
      <c r="L2559" s="882"/>
      <c r="M2559" s="884"/>
      <c r="N2559" s="56">
        <v>721</v>
      </c>
      <c r="O2559" s="79">
        <f>+M2558-O2558</f>
        <v>0</v>
      </c>
    </row>
    <row r="2560" spans="8:15" ht="14.25" customHeight="1">
      <c r="H2560" s="881"/>
      <c r="I2560" s="875"/>
      <c r="J2560" s="875"/>
      <c r="K2560" s="877"/>
      <c r="L2560" s="879"/>
      <c r="M2560" s="883"/>
      <c r="N2560" s="55">
        <v>719</v>
      </c>
      <c r="O2560" s="78"/>
    </row>
    <row r="2561" spans="8:15" ht="13.5" customHeight="1" thickBot="1">
      <c r="H2561" s="882"/>
      <c r="I2561" s="876"/>
      <c r="J2561" s="876"/>
      <c r="K2561" s="878"/>
      <c r="L2561" s="880"/>
      <c r="M2561" s="884"/>
      <c r="N2561" s="56">
        <v>721</v>
      </c>
      <c r="O2561" s="79">
        <f>+M2560-O2560</f>
        <v>0</v>
      </c>
    </row>
    <row r="2562" spans="8:15" ht="14.25" customHeight="1">
      <c r="H2562" s="881"/>
      <c r="I2562" s="875"/>
      <c r="J2562" s="877"/>
      <c r="K2562" s="879"/>
      <c r="L2562" s="881"/>
      <c r="M2562" s="883"/>
      <c r="N2562" s="55">
        <v>719</v>
      </c>
      <c r="O2562" s="78"/>
    </row>
    <row r="2563" spans="8:15" ht="13.5" customHeight="1" thickBot="1">
      <c r="H2563" s="882"/>
      <c r="I2563" s="876"/>
      <c r="J2563" s="878"/>
      <c r="K2563" s="880"/>
      <c r="L2563" s="882"/>
      <c r="M2563" s="884"/>
      <c r="N2563" s="56">
        <v>723</v>
      </c>
      <c r="O2563" s="79">
        <f>+M2562-O2562</f>
        <v>0</v>
      </c>
    </row>
    <row r="2564" spans="8:15" ht="16.5" thickBot="1">
      <c r="H2564" s="901" t="s">
        <v>102</v>
      </c>
      <c r="I2564" s="902"/>
      <c r="J2564" s="902"/>
      <c r="K2564" s="902"/>
      <c r="L2564" s="903"/>
      <c r="M2564" s="81">
        <f>SUM(M2554:M2563)</f>
        <v>250000</v>
      </c>
    </row>
    <row r="2565" spans="8:15" ht="16.5" thickBot="1">
      <c r="H2565" s="885" t="s">
        <v>103</v>
      </c>
      <c r="I2565" s="886"/>
      <c r="J2565" s="886"/>
      <c r="K2565" s="886"/>
      <c r="L2565" s="887"/>
      <c r="M2565" s="69">
        <f>+M2529</f>
        <v>472292047</v>
      </c>
      <c r="N2565" s="241" t="s">
        <v>561</v>
      </c>
      <c r="O2565" s="242">
        <f>325+46+159</f>
        <v>530</v>
      </c>
    </row>
    <row r="2566" spans="8:15" ht="16.5" thickBot="1">
      <c r="H2566" s="888" t="s">
        <v>104</v>
      </c>
      <c r="I2566" s="889"/>
      <c r="J2566" s="889"/>
      <c r="K2566" s="889"/>
      <c r="L2566" s="890"/>
      <c r="M2566" s="183">
        <f>SUM(M2564:M2565)</f>
        <v>472542047</v>
      </c>
    </row>
    <row r="2567" spans="8:15">
      <c r="H2567" s="61"/>
      <c r="I2567" s="61"/>
      <c r="J2567" s="61"/>
      <c r="K2567" s="61"/>
      <c r="L2567" s="61"/>
    </row>
    <row r="2568" spans="8:15">
      <c r="H2568" s="51" t="s">
        <v>1117</v>
      </c>
    </row>
    <row r="2569" spans="8:15" ht="12.75" customHeight="1">
      <c r="M2569" s="139"/>
    </row>
    <row r="2570" spans="8:15">
      <c r="H2570" s="50" t="s">
        <v>105</v>
      </c>
      <c r="K2570" s="146"/>
      <c r="M2570" s="139"/>
    </row>
    <row r="2571" spans="8:15" ht="14.25" customHeight="1" thickBot="1"/>
    <row r="2572" spans="8:15" ht="15.75" thickBot="1">
      <c r="H2572" s="891" t="s">
        <v>106</v>
      </c>
      <c r="I2572" s="892"/>
      <c r="J2572" s="892"/>
      <c r="K2572" s="893"/>
      <c r="M2572" s="50" t="s">
        <v>288</v>
      </c>
    </row>
    <row r="2573" spans="8:15" ht="45.75" thickBot="1">
      <c r="H2573" s="57" t="s">
        <v>100</v>
      </c>
      <c r="I2573" s="58" t="s">
        <v>108</v>
      </c>
      <c r="J2573" s="287" t="s">
        <v>109</v>
      </c>
      <c r="K2573" s="60" t="s">
        <v>110</v>
      </c>
    </row>
    <row r="2574" spans="8:15">
      <c r="H2574" s="71">
        <v>719</v>
      </c>
      <c r="I2574" s="73">
        <f>+O2554+O2556+O2558</f>
        <v>250000</v>
      </c>
      <c r="J2574" s="74">
        <f>+K2537</f>
        <v>58960000</v>
      </c>
      <c r="K2574" s="195">
        <f>+I2574+J2574</f>
        <v>59210000</v>
      </c>
    </row>
    <row r="2575" spans="8:15">
      <c r="H2575" s="72">
        <v>721</v>
      </c>
      <c r="I2575" s="80">
        <f>+O2555+O2557+O2559+O2561+O2563</f>
        <v>0</v>
      </c>
      <c r="J2575" s="74">
        <f>+K2538</f>
        <v>99743634</v>
      </c>
      <c r="K2575" s="195">
        <f>+I2575+J2575</f>
        <v>99743634</v>
      </c>
    </row>
    <row r="2576" spans="8:15">
      <c r="H2576" s="72">
        <v>722</v>
      </c>
      <c r="I2576" s="80"/>
      <c r="J2576" s="74">
        <f>+K2539</f>
        <v>2000000</v>
      </c>
      <c r="K2576" s="195">
        <f>+I2576+J2576</f>
        <v>2000000</v>
      </c>
    </row>
    <row r="2577" spans="8:15" ht="15.75">
      <c r="H2577" s="72">
        <v>723</v>
      </c>
      <c r="I2577" s="80"/>
      <c r="J2577" s="74">
        <f>+K2540</f>
        <v>310720913</v>
      </c>
      <c r="K2577" s="195">
        <f>+I2577+J2577</f>
        <v>310720913</v>
      </c>
      <c r="M2577" s="193" t="s">
        <v>289</v>
      </c>
      <c r="N2577" s="175"/>
    </row>
    <row r="2578" spans="8:15" ht="16.5" thickBot="1">
      <c r="H2578" s="164" t="s">
        <v>1077</v>
      </c>
      <c r="I2578" s="165"/>
      <c r="J2578" s="74">
        <f>+K2541</f>
        <v>797500</v>
      </c>
      <c r="K2578" s="196">
        <f>+I2578+J2578</f>
        <v>797500</v>
      </c>
      <c r="M2578" s="52"/>
    </row>
    <row r="2579" spans="8:15" ht="16.5" thickBot="1">
      <c r="H2579" s="169"/>
      <c r="I2579" s="197">
        <f>SUM(I2574:I2578)</f>
        <v>250000</v>
      </c>
      <c r="J2579" s="197">
        <f>SUM(J2574:J2578)</f>
        <v>472222047</v>
      </c>
      <c r="K2579" s="198">
        <f>SUM(K2574:K2578)</f>
        <v>472472047</v>
      </c>
    </row>
    <row r="2580" spans="8:15" ht="16.5">
      <c r="H2580" s="49" t="s">
        <v>88</v>
      </c>
      <c r="I2580" s="50"/>
    </row>
    <row r="2581" spans="8:15">
      <c r="H2581" s="51" t="s">
        <v>89</v>
      </c>
    </row>
    <row r="2582" spans="8:15">
      <c r="H2582" s="51" t="s">
        <v>90</v>
      </c>
    </row>
    <row r="2583" spans="8:15">
      <c r="H2583" s="51" t="s">
        <v>91</v>
      </c>
    </row>
    <row r="2584" spans="8:15" ht="14.25" customHeight="1">
      <c r="H2584" s="50"/>
      <c r="I2584" s="50"/>
    </row>
    <row r="2585" spans="8:15" ht="15.75">
      <c r="H2585" s="260" t="s">
        <v>1083</v>
      </c>
      <c r="N2585" s="52"/>
    </row>
    <row r="2586" spans="8:15" ht="15.75">
      <c r="H2586" s="53" t="s">
        <v>535</v>
      </c>
      <c r="N2586" s="53"/>
    </row>
    <row r="2587" spans="8:15" ht="16.5">
      <c r="H2587" s="894" t="s">
        <v>1121</v>
      </c>
      <c r="I2587" s="894"/>
      <c r="J2587" s="894"/>
      <c r="K2587" s="894"/>
      <c r="L2587" s="894"/>
      <c r="M2587" s="894"/>
      <c r="N2587" s="894"/>
      <c r="O2587" s="894"/>
    </row>
    <row r="2588" spans="8:15" ht="12.75" customHeight="1" thickBot="1"/>
    <row r="2589" spans="8:15">
      <c r="H2589" s="895" t="s">
        <v>94</v>
      </c>
      <c r="I2589" s="897" t="s">
        <v>95</v>
      </c>
      <c r="J2589" s="897" t="s">
        <v>96</v>
      </c>
      <c r="K2589" s="897" t="s">
        <v>3</v>
      </c>
      <c r="L2589" s="897" t="s">
        <v>97</v>
      </c>
      <c r="M2589" s="897" t="s">
        <v>98</v>
      </c>
      <c r="N2589" s="897" t="s">
        <v>99</v>
      </c>
      <c r="O2589" s="899"/>
    </row>
    <row r="2590" spans="8:15" ht="15.75" thickBot="1">
      <c r="H2590" s="896"/>
      <c r="I2590" s="898"/>
      <c r="J2590" s="898"/>
      <c r="K2590" s="898"/>
      <c r="L2590" s="898"/>
      <c r="M2590" s="898"/>
      <c r="N2590" s="240" t="s">
        <v>100</v>
      </c>
      <c r="O2590" s="182" t="s">
        <v>101</v>
      </c>
    </row>
    <row r="2591" spans="8:15" ht="15" customHeight="1">
      <c r="H2591" s="881">
        <v>273</v>
      </c>
      <c r="I2591" s="875">
        <v>42648</v>
      </c>
      <c r="J2591" s="877" t="s">
        <v>1014</v>
      </c>
      <c r="K2591" s="879" t="s">
        <v>1122</v>
      </c>
      <c r="L2591" s="881" t="s">
        <v>115</v>
      </c>
      <c r="M2591" s="883">
        <v>60000</v>
      </c>
      <c r="N2591" s="55">
        <v>719</v>
      </c>
      <c r="O2591" s="78">
        <v>60000</v>
      </c>
    </row>
    <row r="2592" spans="8:15" ht="15.75" customHeight="1" thickBot="1">
      <c r="H2592" s="882"/>
      <c r="I2592" s="876"/>
      <c r="J2592" s="878"/>
      <c r="K2592" s="880"/>
      <c r="L2592" s="882"/>
      <c r="M2592" s="884"/>
      <c r="N2592" s="56">
        <v>721</v>
      </c>
      <c r="O2592" s="79">
        <f>+M2591-O2591</f>
        <v>0</v>
      </c>
    </row>
    <row r="2593" spans="8:15" ht="15" customHeight="1">
      <c r="H2593" s="881">
        <v>274</v>
      </c>
      <c r="I2593" s="875">
        <v>42648</v>
      </c>
      <c r="J2593" s="877" t="s">
        <v>28</v>
      </c>
      <c r="K2593" s="879" t="s">
        <v>1123</v>
      </c>
      <c r="L2593" s="881" t="s">
        <v>115</v>
      </c>
      <c r="M2593" s="883">
        <v>40000</v>
      </c>
      <c r="N2593" s="55">
        <v>719</v>
      </c>
      <c r="O2593" s="78">
        <v>40000</v>
      </c>
    </row>
    <row r="2594" spans="8:15" ht="15.75" customHeight="1" thickBot="1">
      <c r="H2594" s="882"/>
      <c r="I2594" s="876"/>
      <c r="J2594" s="878"/>
      <c r="K2594" s="880"/>
      <c r="L2594" s="882"/>
      <c r="M2594" s="884"/>
      <c r="N2594" s="56">
        <v>721</v>
      </c>
      <c r="O2594" s="79">
        <f>+M2593-O2593</f>
        <v>0</v>
      </c>
    </row>
    <row r="2595" spans="8:15" ht="15" customHeight="1">
      <c r="H2595" s="881">
        <v>275</v>
      </c>
      <c r="I2595" s="875">
        <v>42648</v>
      </c>
      <c r="J2595" s="877" t="s">
        <v>120</v>
      </c>
      <c r="K2595" s="879" t="s">
        <v>1122</v>
      </c>
      <c r="L2595" s="881" t="s">
        <v>115</v>
      </c>
      <c r="M2595" s="883">
        <v>100000</v>
      </c>
      <c r="N2595" s="55">
        <v>719</v>
      </c>
      <c r="O2595" s="78">
        <v>100000</v>
      </c>
    </row>
    <row r="2596" spans="8:15" ht="15.75" customHeight="1" thickBot="1">
      <c r="H2596" s="882"/>
      <c r="I2596" s="876"/>
      <c r="J2596" s="878"/>
      <c r="K2596" s="880"/>
      <c r="L2596" s="882"/>
      <c r="M2596" s="884"/>
      <c r="N2596" s="56">
        <v>721</v>
      </c>
      <c r="O2596" s="79">
        <f>+M2595-O2595</f>
        <v>0</v>
      </c>
    </row>
    <row r="2597" spans="8:15" ht="15" customHeight="1">
      <c r="H2597" s="881"/>
      <c r="I2597" s="875"/>
      <c r="J2597" s="877"/>
      <c r="K2597" s="879"/>
      <c r="L2597" s="881"/>
      <c r="M2597" s="883"/>
      <c r="N2597" s="55">
        <v>719</v>
      </c>
      <c r="O2597" s="78">
        <v>0</v>
      </c>
    </row>
    <row r="2598" spans="8:15" ht="15.75" customHeight="1" thickBot="1">
      <c r="H2598" s="882"/>
      <c r="I2598" s="876"/>
      <c r="J2598" s="878"/>
      <c r="K2598" s="880"/>
      <c r="L2598" s="882"/>
      <c r="M2598" s="884"/>
      <c r="N2598" s="56">
        <v>721</v>
      </c>
      <c r="O2598" s="79">
        <f>+M2597-O2597</f>
        <v>0</v>
      </c>
    </row>
    <row r="2599" spans="8:15" ht="15" customHeight="1">
      <c r="H2599" s="881"/>
      <c r="I2599" s="875"/>
      <c r="J2599" s="877"/>
      <c r="K2599" s="879"/>
      <c r="L2599" s="881"/>
      <c r="M2599" s="883"/>
      <c r="N2599" s="55">
        <v>719</v>
      </c>
      <c r="O2599" s="78"/>
    </row>
    <row r="2600" spans="8:15" ht="15.75" customHeight="1" thickBot="1">
      <c r="H2600" s="882"/>
      <c r="I2600" s="876"/>
      <c r="J2600" s="878"/>
      <c r="K2600" s="880"/>
      <c r="L2600" s="882"/>
      <c r="M2600" s="884"/>
      <c r="N2600" s="56">
        <v>723</v>
      </c>
      <c r="O2600" s="79">
        <f>+M2599-O2599</f>
        <v>0</v>
      </c>
    </row>
    <row r="2601" spans="8:15" ht="16.5" thickBot="1">
      <c r="H2601" s="901" t="s">
        <v>102</v>
      </c>
      <c r="I2601" s="902"/>
      <c r="J2601" s="902"/>
      <c r="K2601" s="902"/>
      <c r="L2601" s="903"/>
      <c r="M2601" s="81">
        <f>SUM(M2591:M2600)</f>
        <v>200000</v>
      </c>
    </row>
    <row r="2602" spans="8:15" ht="16.5" thickBot="1">
      <c r="H2602" s="885" t="s">
        <v>103</v>
      </c>
      <c r="I2602" s="886"/>
      <c r="J2602" s="886"/>
      <c r="K2602" s="886"/>
      <c r="L2602" s="887"/>
      <c r="M2602" s="69">
        <f>+M2566</f>
        <v>472542047</v>
      </c>
      <c r="N2602" s="241" t="s">
        <v>561</v>
      </c>
      <c r="O2602" s="242"/>
    </row>
    <row r="2603" spans="8:15" ht="16.5" thickBot="1">
      <c r="H2603" s="888" t="s">
        <v>104</v>
      </c>
      <c r="I2603" s="889"/>
      <c r="J2603" s="889"/>
      <c r="K2603" s="889"/>
      <c r="L2603" s="890"/>
      <c r="M2603" s="183">
        <f>SUM(M2601:M2602)</f>
        <v>472742047</v>
      </c>
    </row>
    <row r="2604" spans="8:15">
      <c r="H2604" s="61"/>
      <c r="I2604" s="61"/>
      <c r="J2604" s="61"/>
      <c r="K2604" s="61"/>
      <c r="L2604" s="61"/>
    </row>
    <row r="2605" spans="8:15">
      <c r="H2605" s="51" t="s">
        <v>1124</v>
      </c>
    </row>
    <row r="2606" spans="8:15" ht="12.75" customHeight="1">
      <c r="M2606" s="139"/>
    </row>
    <row r="2607" spans="8:15">
      <c r="H2607" s="50" t="s">
        <v>105</v>
      </c>
      <c r="K2607" s="146"/>
      <c r="M2607" s="139"/>
    </row>
    <row r="2608" spans="8:15" ht="13.5" customHeight="1" thickBot="1"/>
    <row r="2609" spans="8:15" ht="15.75" thickBot="1">
      <c r="H2609" s="891" t="s">
        <v>106</v>
      </c>
      <c r="I2609" s="892"/>
      <c r="J2609" s="892"/>
      <c r="K2609" s="893"/>
      <c r="M2609" s="908" t="s">
        <v>1126</v>
      </c>
      <c r="N2609" s="908"/>
      <c r="O2609" s="908"/>
    </row>
    <row r="2610" spans="8:15" ht="45.75" thickBot="1">
      <c r="H2610" s="57" t="s">
        <v>100</v>
      </c>
      <c r="I2610" s="58" t="s">
        <v>108</v>
      </c>
      <c r="J2610" s="287" t="s">
        <v>109</v>
      </c>
      <c r="K2610" s="60" t="s">
        <v>110</v>
      </c>
    </row>
    <row r="2611" spans="8:15">
      <c r="H2611" s="71">
        <v>719</v>
      </c>
      <c r="I2611" s="73">
        <f>+O2599+O2597+O2595+O2593+O2591</f>
        <v>200000</v>
      </c>
      <c r="J2611" s="74">
        <f>+K2574</f>
        <v>59210000</v>
      </c>
      <c r="K2611" s="195">
        <f>+I2611+J2611</f>
        <v>59410000</v>
      </c>
    </row>
    <row r="2612" spans="8:15">
      <c r="H2612" s="72">
        <v>721</v>
      </c>
      <c r="I2612" s="80"/>
      <c r="J2612" s="74">
        <f>+K2575</f>
        <v>99743634</v>
      </c>
      <c r="K2612" s="195">
        <f>+I2612+J2612</f>
        <v>99743634</v>
      </c>
    </row>
    <row r="2613" spans="8:15">
      <c r="H2613" s="72">
        <v>722</v>
      </c>
      <c r="I2613" s="80"/>
      <c r="J2613" s="74">
        <f>+K2576</f>
        <v>2000000</v>
      </c>
      <c r="K2613" s="195">
        <f>+I2613+J2613</f>
        <v>2000000</v>
      </c>
    </row>
    <row r="2614" spans="8:15" ht="15.75">
      <c r="H2614" s="72">
        <v>723</v>
      </c>
      <c r="I2614" s="80"/>
      <c r="J2614" s="74">
        <f>+K2577</f>
        <v>310720913</v>
      </c>
      <c r="K2614" s="195">
        <f>+I2614+J2614</f>
        <v>310720913</v>
      </c>
      <c r="M2614" s="909" t="s">
        <v>1125</v>
      </c>
      <c r="N2614" s="909"/>
      <c r="O2614" s="909"/>
    </row>
    <row r="2615" spans="8:15" ht="16.5" thickBot="1">
      <c r="H2615" s="164" t="s">
        <v>1077</v>
      </c>
      <c r="I2615" s="165"/>
      <c r="J2615" s="74">
        <f>+K2578</f>
        <v>797500</v>
      </c>
      <c r="K2615" s="196">
        <f>+I2615+J2615</f>
        <v>797500</v>
      </c>
      <c r="M2615" s="52"/>
    </row>
    <row r="2616" spans="8:15" ht="16.5" thickBot="1">
      <c r="H2616" s="169"/>
      <c r="I2616" s="197">
        <f>SUM(I2611:I2615)</f>
        <v>200000</v>
      </c>
      <c r="J2616" s="197">
        <f>SUM(J2611:J2615)</f>
        <v>472472047</v>
      </c>
      <c r="K2616" s="198">
        <f>SUM(K2611:K2615)</f>
        <v>472672047</v>
      </c>
    </row>
    <row r="2617" spans="8:15" ht="16.5">
      <c r="H2617" s="49" t="s">
        <v>88</v>
      </c>
      <c r="I2617" s="50"/>
    </row>
    <row r="2618" spans="8:15">
      <c r="H2618" s="51" t="s">
        <v>89</v>
      </c>
    </row>
    <row r="2619" spans="8:15">
      <c r="H2619" s="51" t="s">
        <v>90</v>
      </c>
    </row>
    <row r="2620" spans="8:15">
      <c r="H2620" s="51" t="s">
        <v>91</v>
      </c>
    </row>
    <row r="2621" spans="8:15" ht="12" customHeight="1">
      <c r="H2621" s="50"/>
      <c r="I2621" s="50"/>
    </row>
    <row r="2622" spans="8:15" ht="15.75">
      <c r="H2622" s="260" t="s">
        <v>1085</v>
      </c>
      <c r="N2622" s="52"/>
    </row>
    <row r="2623" spans="8:15" ht="15.75">
      <c r="H2623" s="53" t="s">
        <v>535</v>
      </c>
      <c r="N2623" s="53"/>
    </row>
    <row r="2624" spans="8:15" ht="15" customHeight="1">
      <c r="H2624" s="894" t="s">
        <v>1078</v>
      </c>
      <c r="I2624" s="894"/>
      <c r="J2624" s="894"/>
      <c r="K2624" s="894"/>
      <c r="L2624" s="894"/>
      <c r="M2624" s="894"/>
      <c r="N2624" s="894"/>
      <c r="O2624" s="894"/>
    </row>
    <row r="2625" spans="8:15" ht="13.5" customHeight="1" thickBot="1"/>
    <row r="2626" spans="8:15">
      <c r="H2626" s="895" t="s">
        <v>94</v>
      </c>
      <c r="I2626" s="897" t="s">
        <v>95</v>
      </c>
      <c r="J2626" s="897" t="s">
        <v>96</v>
      </c>
      <c r="K2626" s="897" t="s">
        <v>3</v>
      </c>
      <c r="L2626" s="897" t="s">
        <v>97</v>
      </c>
      <c r="M2626" s="897" t="s">
        <v>98</v>
      </c>
      <c r="N2626" s="897" t="s">
        <v>99</v>
      </c>
      <c r="O2626" s="899"/>
    </row>
    <row r="2627" spans="8:15" ht="15.75" thickBot="1">
      <c r="H2627" s="896"/>
      <c r="I2627" s="898"/>
      <c r="J2627" s="898"/>
      <c r="K2627" s="898"/>
      <c r="L2627" s="898"/>
      <c r="M2627" s="898"/>
      <c r="N2627" s="240" t="s">
        <v>100</v>
      </c>
      <c r="O2627" s="182" t="s">
        <v>101</v>
      </c>
    </row>
    <row r="2628" spans="8:15" ht="12.75" customHeight="1">
      <c r="H2628" s="881">
        <v>276</v>
      </c>
      <c r="I2628" s="875">
        <v>42650</v>
      </c>
      <c r="J2628" s="877" t="s">
        <v>350</v>
      </c>
      <c r="K2628" s="879" t="s">
        <v>1127</v>
      </c>
      <c r="L2628" s="881" t="s">
        <v>148</v>
      </c>
      <c r="M2628" s="883">
        <v>598000</v>
      </c>
      <c r="N2628" s="55">
        <v>719</v>
      </c>
      <c r="O2628" s="78">
        <v>460000</v>
      </c>
    </row>
    <row r="2629" spans="8:15" ht="12" customHeight="1" thickBot="1">
      <c r="H2629" s="882"/>
      <c r="I2629" s="876"/>
      <c r="J2629" s="878"/>
      <c r="K2629" s="880"/>
      <c r="L2629" s="882"/>
      <c r="M2629" s="884"/>
      <c r="N2629" s="56">
        <v>721</v>
      </c>
      <c r="O2629" s="351">
        <f>+M2628-O2628</f>
        <v>138000</v>
      </c>
    </row>
    <row r="2630" spans="8:15" ht="12.75" customHeight="1">
      <c r="H2630" s="881">
        <v>277</v>
      </c>
      <c r="I2630" s="875">
        <v>42650</v>
      </c>
      <c r="J2630" s="877" t="s">
        <v>350</v>
      </c>
      <c r="K2630" s="879" t="s">
        <v>1038</v>
      </c>
      <c r="L2630" s="881" t="s">
        <v>148</v>
      </c>
      <c r="M2630" s="883">
        <v>1521000</v>
      </c>
      <c r="N2630" s="55">
        <v>719</v>
      </c>
      <c r="O2630" s="78">
        <v>1170000</v>
      </c>
    </row>
    <row r="2631" spans="8:15" ht="12" customHeight="1" thickBot="1">
      <c r="H2631" s="882"/>
      <c r="I2631" s="876"/>
      <c r="J2631" s="878"/>
      <c r="K2631" s="880"/>
      <c r="L2631" s="882"/>
      <c r="M2631" s="884"/>
      <c r="N2631" s="56">
        <v>721</v>
      </c>
      <c r="O2631" s="352">
        <f>+M2630-O2630</f>
        <v>351000</v>
      </c>
    </row>
    <row r="2632" spans="8:15" ht="15" customHeight="1">
      <c r="H2632" s="881">
        <v>278</v>
      </c>
      <c r="I2632" s="875">
        <v>42650</v>
      </c>
      <c r="J2632" s="877" t="s">
        <v>350</v>
      </c>
      <c r="K2632" s="879" t="s">
        <v>1122</v>
      </c>
      <c r="L2632" s="881" t="s">
        <v>148</v>
      </c>
      <c r="M2632" s="883">
        <v>923000</v>
      </c>
      <c r="N2632" s="55">
        <v>719</v>
      </c>
      <c r="O2632" s="78">
        <v>710000</v>
      </c>
    </row>
    <row r="2633" spans="8:15" ht="12" customHeight="1" thickBot="1">
      <c r="H2633" s="882"/>
      <c r="I2633" s="876"/>
      <c r="J2633" s="878"/>
      <c r="K2633" s="880"/>
      <c r="L2633" s="882"/>
      <c r="M2633" s="884"/>
      <c r="N2633" s="56">
        <v>721</v>
      </c>
      <c r="O2633" s="352">
        <f>+M2632-O2632</f>
        <v>213000</v>
      </c>
    </row>
    <row r="2634" spans="8:15" ht="15" customHeight="1">
      <c r="H2634" s="881">
        <v>279</v>
      </c>
      <c r="I2634" s="875">
        <v>42650</v>
      </c>
      <c r="J2634" s="877" t="s">
        <v>350</v>
      </c>
      <c r="K2634" s="879" t="s">
        <v>1122</v>
      </c>
      <c r="L2634" s="881" t="s">
        <v>148</v>
      </c>
      <c r="M2634" s="883">
        <v>715000</v>
      </c>
      <c r="N2634" s="55">
        <v>719</v>
      </c>
      <c r="O2634" s="78">
        <v>550000</v>
      </c>
    </row>
    <row r="2635" spans="8:15" ht="13.5" customHeight="1" thickBot="1">
      <c r="H2635" s="882"/>
      <c r="I2635" s="876"/>
      <c r="J2635" s="878"/>
      <c r="K2635" s="880"/>
      <c r="L2635" s="882"/>
      <c r="M2635" s="884"/>
      <c r="N2635" s="56">
        <v>721</v>
      </c>
      <c r="O2635" s="79">
        <f>+M2634-O2634</f>
        <v>165000</v>
      </c>
    </row>
    <row r="2636" spans="8:15" ht="15" customHeight="1">
      <c r="H2636" s="881">
        <v>280</v>
      </c>
      <c r="I2636" s="875">
        <v>42650</v>
      </c>
      <c r="J2636" s="877" t="s">
        <v>350</v>
      </c>
      <c r="K2636" s="879" t="s">
        <v>1122</v>
      </c>
      <c r="L2636" s="881" t="s">
        <v>148</v>
      </c>
      <c r="M2636" s="883">
        <v>879000</v>
      </c>
      <c r="N2636" s="55">
        <v>719</v>
      </c>
      <c r="O2636" s="78">
        <v>720000</v>
      </c>
    </row>
    <row r="2637" spans="8:15" ht="15" customHeight="1" thickBot="1">
      <c r="H2637" s="882"/>
      <c r="I2637" s="876"/>
      <c r="J2637" s="878"/>
      <c r="K2637" s="880"/>
      <c r="L2637" s="882"/>
      <c r="M2637" s="884"/>
      <c r="N2637" s="56">
        <v>721</v>
      </c>
      <c r="O2637" s="79">
        <f>+M2636-O2636</f>
        <v>159000</v>
      </c>
    </row>
    <row r="2638" spans="8:15" ht="12.75" customHeight="1">
      <c r="H2638" s="881">
        <v>281</v>
      </c>
      <c r="I2638" s="875">
        <v>42650</v>
      </c>
      <c r="J2638" s="877" t="s">
        <v>350</v>
      </c>
      <c r="K2638" s="879" t="s">
        <v>1122</v>
      </c>
      <c r="L2638" s="881" t="s">
        <v>148</v>
      </c>
      <c r="M2638" s="883">
        <v>300000</v>
      </c>
      <c r="N2638" s="55">
        <v>719</v>
      </c>
      <c r="O2638" s="78">
        <v>300000</v>
      </c>
    </row>
    <row r="2639" spans="8:15" ht="13.5" customHeight="1" thickBot="1">
      <c r="H2639" s="882"/>
      <c r="I2639" s="876"/>
      <c r="J2639" s="878"/>
      <c r="K2639" s="880"/>
      <c r="L2639" s="882"/>
      <c r="M2639" s="884"/>
      <c r="N2639" s="56">
        <v>723</v>
      </c>
      <c r="O2639" s="79">
        <f>+M2638-O2638</f>
        <v>0</v>
      </c>
    </row>
    <row r="2640" spans="8:15" ht="16.5" thickBot="1">
      <c r="H2640" s="901" t="s">
        <v>102</v>
      </c>
      <c r="I2640" s="902"/>
      <c r="J2640" s="902"/>
      <c r="K2640" s="902"/>
      <c r="L2640" s="903"/>
      <c r="M2640" s="81">
        <f>SUM(M2628:M2639)</f>
        <v>4936000</v>
      </c>
    </row>
    <row r="2641" spans="8:15" ht="16.5" thickBot="1">
      <c r="H2641" s="885" t="s">
        <v>103</v>
      </c>
      <c r="I2641" s="886"/>
      <c r="J2641" s="886"/>
      <c r="K2641" s="886"/>
      <c r="L2641" s="887"/>
      <c r="M2641" s="69">
        <f>+M2603</f>
        <v>472742047</v>
      </c>
      <c r="N2641" s="241" t="s">
        <v>561</v>
      </c>
      <c r="O2641" s="242">
        <v>6648</v>
      </c>
    </row>
    <row r="2642" spans="8:15" ht="16.5" thickBot="1">
      <c r="H2642" s="888" t="s">
        <v>104</v>
      </c>
      <c r="I2642" s="889"/>
      <c r="J2642" s="889"/>
      <c r="K2642" s="889"/>
      <c r="L2642" s="890"/>
      <c r="M2642" s="183">
        <f>SUM(M2640:M2641)</f>
        <v>477678047</v>
      </c>
    </row>
    <row r="2643" spans="8:15" ht="13.5" customHeight="1">
      <c r="H2643" s="61"/>
      <c r="I2643" s="61"/>
      <c r="J2643" s="61"/>
      <c r="K2643" s="61"/>
      <c r="L2643" s="61"/>
    </row>
    <row r="2644" spans="8:15">
      <c r="H2644" s="51" t="s">
        <v>1158</v>
      </c>
    </row>
    <row r="2645" spans="8:15" ht="10.5" customHeight="1">
      <c r="M2645" s="139"/>
    </row>
    <row r="2646" spans="8:15">
      <c r="H2646" s="50" t="s">
        <v>105</v>
      </c>
      <c r="K2646" s="146"/>
      <c r="M2646" s="139"/>
    </row>
    <row r="2647" spans="8:15" ht="10.5" customHeight="1" thickBot="1"/>
    <row r="2648" spans="8:15" ht="15.75" thickBot="1">
      <c r="H2648" s="891" t="s">
        <v>106</v>
      </c>
      <c r="I2648" s="892"/>
      <c r="J2648" s="892"/>
      <c r="K2648" s="893"/>
      <c r="M2648" s="50" t="s">
        <v>288</v>
      </c>
    </row>
    <row r="2649" spans="8:15" ht="45.75" thickBot="1">
      <c r="H2649" s="57" t="s">
        <v>100</v>
      </c>
      <c r="I2649" s="58" t="s">
        <v>108</v>
      </c>
      <c r="J2649" s="287" t="s">
        <v>109</v>
      </c>
      <c r="K2649" s="60" t="s">
        <v>110</v>
      </c>
    </row>
    <row r="2650" spans="8:15">
      <c r="H2650" s="71">
        <v>719</v>
      </c>
      <c r="I2650" s="73">
        <f>+O2628+O2630+O2632+O2634+O2636+O2638</f>
        <v>3910000</v>
      </c>
      <c r="J2650" s="74">
        <f>+K2611</f>
        <v>59410000</v>
      </c>
      <c r="K2650" s="195">
        <f>+I2650+J2650</f>
        <v>63320000</v>
      </c>
    </row>
    <row r="2651" spans="8:15">
      <c r="H2651" s="72">
        <v>721</v>
      </c>
      <c r="I2651" s="80">
        <f>+O2629+O2631+O2633+O2635+O2639+O2637</f>
        <v>1026000</v>
      </c>
      <c r="J2651" s="74">
        <f>+K2612</f>
        <v>99743634</v>
      </c>
      <c r="K2651" s="195">
        <f>+I2651+J2651</f>
        <v>100769634</v>
      </c>
    </row>
    <row r="2652" spans="8:15">
      <c r="H2652" s="72">
        <v>722</v>
      </c>
      <c r="I2652" s="80"/>
      <c r="J2652" s="74">
        <f>+K2613</f>
        <v>2000000</v>
      </c>
      <c r="K2652" s="195">
        <f>+I2652+J2652</f>
        <v>2000000</v>
      </c>
    </row>
    <row r="2653" spans="8:15" ht="15.75">
      <c r="H2653" s="72">
        <v>723</v>
      </c>
      <c r="I2653" s="80"/>
      <c r="J2653" s="74">
        <f>+K2614</f>
        <v>310720913</v>
      </c>
      <c r="K2653" s="195">
        <f>+I2653+J2653</f>
        <v>310720913</v>
      </c>
      <c r="M2653" s="193" t="s">
        <v>289</v>
      </c>
      <c r="N2653" s="175"/>
    </row>
    <row r="2654" spans="8:15" ht="16.5" thickBot="1">
      <c r="H2654" s="164" t="s">
        <v>1077</v>
      </c>
      <c r="I2654" s="165"/>
      <c r="J2654" s="74">
        <f>+K2615</f>
        <v>797500</v>
      </c>
      <c r="K2654" s="196">
        <f>+I2654+J2654</f>
        <v>797500</v>
      </c>
      <c r="M2654" s="52"/>
    </row>
    <row r="2655" spans="8:15" ht="16.5" thickBot="1">
      <c r="H2655" s="169"/>
      <c r="I2655" s="197">
        <f>SUM(I2650:I2654)</f>
        <v>4936000</v>
      </c>
      <c r="J2655" s="197">
        <f>SUM(J2650:J2654)</f>
        <v>472672047</v>
      </c>
      <c r="K2655" s="198">
        <f>SUM(K2650:K2654)</f>
        <v>477608047</v>
      </c>
    </row>
    <row r="2656" spans="8:15" ht="16.5">
      <c r="H2656" s="49" t="s">
        <v>88</v>
      </c>
      <c r="I2656" s="50"/>
    </row>
    <row r="2657" spans="8:15">
      <c r="H2657" s="51" t="s">
        <v>89</v>
      </c>
    </row>
    <row r="2658" spans="8:15">
      <c r="H2658" s="51" t="s">
        <v>90</v>
      </c>
    </row>
    <row r="2659" spans="8:15">
      <c r="H2659" s="51" t="s">
        <v>91</v>
      </c>
    </row>
    <row r="2660" spans="8:15" ht="14.25" customHeight="1">
      <c r="H2660" s="50"/>
      <c r="I2660" s="50"/>
    </row>
    <row r="2661" spans="8:15" ht="15.75">
      <c r="H2661" s="260" t="s">
        <v>1087</v>
      </c>
      <c r="N2661" s="52"/>
    </row>
    <row r="2662" spans="8:15" ht="15.75">
      <c r="H2662" s="53" t="s">
        <v>535</v>
      </c>
      <c r="N2662" s="53"/>
    </row>
    <row r="2663" spans="8:15" ht="16.5">
      <c r="H2663" s="894" t="s">
        <v>1078</v>
      </c>
      <c r="I2663" s="894"/>
      <c r="J2663" s="894"/>
      <c r="K2663" s="894"/>
      <c r="L2663" s="894"/>
      <c r="M2663" s="894"/>
      <c r="N2663" s="894"/>
      <c r="O2663" s="894"/>
    </row>
    <row r="2664" spans="8:15" ht="15.75" thickBot="1"/>
    <row r="2665" spans="8:15">
      <c r="H2665" s="895" t="s">
        <v>94</v>
      </c>
      <c r="I2665" s="897" t="s">
        <v>95</v>
      </c>
      <c r="J2665" s="897" t="s">
        <v>96</v>
      </c>
      <c r="K2665" s="897" t="s">
        <v>3</v>
      </c>
      <c r="L2665" s="897" t="s">
        <v>97</v>
      </c>
      <c r="M2665" s="897" t="s">
        <v>98</v>
      </c>
      <c r="N2665" s="897" t="s">
        <v>99</v>
      </c>
      <c r="O2665" s="899"/>
    </row>
    <row r="2666" spans="8:15" ht="15.75" thickBot="1">
      <c r="H2666" s="896"/>
      <c r="I2666" s="898"/>
      <c r="J2666" s="898"/>
      <c r="K2666" s="898"/>
      <c r="L2666" s="898"/>
      <c r="M2666" s="898"/>
      <c r="N2666" s="240" t="s">
        <v>100</v>
      </c>
      <c r="O2666" s="182" t="s">
        <v>101</v>
      </c>
    </row>
    <row r="2667" spans="8:15" ht="15" customHeight="1">
      <c r="H2667" s="881">
        <v>282</v>
      </c>
      <c r="I2667" s="875">
        <v>42655</v>
      </c>
      <c r="J2667" s="877" t="s">
        <v>267</v>
      </c>
      <c r="K2667" s="879" t="s">
        <v>1129</v>
      </c>
      <c r="L2667" s="881" t="s">
        <v>148</v>
      </c>
      <c r="M2667" s="883">
        <v>26000</v>
      </c>
      <c r="N2667" s="55">
        <v>719</v>
      </c>
      <c r="O2667" s="78">
        <v>20000</v>
      </c>
    </row>
    <row r="2668" spans="8:15" ht="15.75" customHeight="1" thickBot="1">
      <c r="H2668" s="882"/>
      <c r="I2668" s="876"/>
      <c r="J2668" s="878"/>
      <c r="K2668" s="880"/>
      <c r="L2668" s="882"/>
      <c r="M2668" s="884"/>
      <c r="N2668" s="56">
        <v>721</v>
      </c>
      <c r="O2668" s="79">
        <f>+M2667-O2667</f>
        <v>6000</v>
      </c>
    </row>
    <row r="2669" spans="8:15" ht="15" customHeight="1">
      <c r="H2669" s="881">
        <v>283</v>
      </c>
      <c r="I2669" s="875">
        <v>42655</v>
      </c>
      <c r="J2669" s="877" t="s">
        <v>267</v>
      </c>
      <c r="K2669" s="879" t="s">
        <v>1130</v>
      </c>
      <c r="L2669" s="881" t="s">
        <v>148</v>
      </c>
      <c r="M2669" s="883">
        <v>130000</v>
      </c>
      <c r="N2669" s="55">
        <v>719</v>
      </c>
      <c r="O2669" s="78">
        <v>100000</v>
      </c>
    </row>
    <row r="2670" spans="8:15" ht="15.75" customHeight="1" thickBot="1">
      <c r="H2670" s="882"/>
      <c r="I2670" s="876"/>
      <c r="J2670" s="878"/>
      <c r="K2670" s="880"/>
      <c r="L2670" s="882"/>
      <c r="M2670" s="884"/>
      <c r="N2670" s="56">
        <v>721</v>
      </c>
      <c r="O2670" s="79">
        <f>+M2669-O2669</f>
        <v>30000</v>
      </c>
    </row>
    <row r="2671" spans="8:15" ht="15" customHeight="1">
      <c r="H2671" s="881">
        <v>284</v>
      </c>
      <c r="I2671" s="875">
        <v>42655</v>
      </c>
      <c r="J2671" s="877" t="s">
        <v>267</v>
      </c>
      <c r="K2671" s="879" t="s">
        <v>1131</v>
      </c>
      <c r="L2671" s="881" t="s">
        <v>148</v>
      </c>
      <c r="M2671" s="883">
        <v>130000</v>
      </c>
      <c r="N2671" s="55">
        <v>719</v>
      </c>
      <c r="O2671" s="78">
        <v>100000</v>
      </c>
    </row>
    <row r="2672" spans="8:15" ht="15.75" customHeight="1" thickBot="1">
      <c r="H2672" s="882"/>
      <c r="I2672" s="876"/>
      <c r="J2672" s="878"/>
      <c r="K2672" s="880"/>
      <c r="L2672" s="882"/>
      <c r="M2672" s="884"/>
      <c r="N2672" s="56">
        <v>721</v>
      </c>
      <c r="O2672" s="79">
        <f>+M2671-O2671</f>
        <v>30000</v>
      </c>
    </row>
    <row r="2673" spans="8:15" ht="15" customHeight="1">
      <c r="H2673" s="881">
        <v>285</v>
      </c>
      <c r="I2673" s="875">
        <v>42655</v>
      </c>
      <c r="J2673" s="877" t="s">
        <v>267</v>
      </c>
      <c r="K2673" s="879" t="s">
        <v>1132</v>
      </c>
      <c r="L2673" s="881" t="s">
        <v>148</v>
      </c>
      <c r="M2673" s="883">
        <v>30000</v>
      </c>
      <c r="N2673" s="55">
        <v>719</v>
      </c>
      <c r="O2673" s="78">
        <v>30000</v>
      </c>
    </row>
    <row r="2674" spans="8:15" ht="15.75" customHeight="1" thickBot="1">
      <c r="H2674" s="882"/>
      <c r="I2674" s="876"/>
      <c r="J2674" s="878"/>
      <c r="K2674" s="880"/>
      <c r="L2674" s="882"/>
      <c r="M2674" s="884"/>
      <c r="N2674" s="56">
        <v>721</v>
      </c>
      <c r="O2674" s="79">
        <f>+M2673-O2673</f>
        <v>0</v>
      </c>
    </row>
    <row r="2675" spans="8:15" ht="13.5" customHeight="1">
      <c r="H2675" s="881"/>
      <c r="I2675" s="875"/>
      <c r="J2675" s="877"/>
      <c r="K2675" s="879"/>
      <c r="L2675" s="881"/>
      <c r="M2675" s="883"/>
      <c r="N2675" s="55">
        <v>719</v>
      </c>
      <c r="O2675" s="78"/>
    </row>
    <row r="2676" spans="8:15" ht="13.5" customHeight="1" thickBot="1">
      <c r="H2676" s="882"/>
      <c r="I2676" s="876"/>
      <c r="J2676" s="878"/>
      <c r="K2676" s="880"/>
      <c r="L2676" s="882"/>
      <c r="M2676" s="884"/>
      <c r="N2676" s="56">
        <v>723</v>
      </c>
      <c r="O2676" s="79">
        <f>+M2675-O2675</f>
        <v>0</v>
      </c>
    </row>
    <row r="2677" spans="8:15" ht="16.5" thickBot="1">
      <c r="H2677" s="901" t="s">
        <v>102</v>
      </c>
      <c r="I2677" s="902"/>
      <c r="J2677" s="902"/>
      <c r="K2677" s="902"/>
      <c r="L2677" s="903"/>
      <c r="M2677" s="81">
        <f>SUM(M2667:M2676)</f>
        <v>316000</v>
      </c>
    </row>
    <row r="2678" spans="8:15" ht="16.5" thickBot="1">
      <c r="H2678" s="885" t="s">
        <v>103</v>
      </c>
      <c r="I2678" s="886"/>
      <c r="J2678" s="886"/>
      <c r="K2678" s="886"/>
      <c r="L2678" s="887"/>
      <c r="M2678" s="69">
        <f>+M2642</f>
        <v>477678047</v>
      </c>
      <c r="N2678" s="241" t="s">
        <v>561</v>
      </c>
      <c r="O2678" s="242"/>
    </row>
    <row r="2679" spans="8:15" ht="16.5" thickBot="1">
      <c r="H2679" s="888" t="s">
        <v>104</v>
      </c>
      <c r="I2679" s="889"/>
      <c r="J2679" s="889"/>
      <c r="K2679" s="889"/>
      <c r="L2679" s="890"/>
      <c r="M2679" s="183">
        <f>SUM(M2677:M2678)</f>
        <v>477994047</v>
      </c>
    </row>
    <row r="2680" spans="8:15">
      <c r="H2680" s="61"/>
      <c r="I2680" s="61"/>
      <c r="J2680" s="61"/>
      <c r="K2680" s="61"/>
      <c r="L2680" s="61"/>
    </row>
    <row r="2681" spans="8:15">
      <c r="H2681" s="51" t="s">
        <v>1159</v>
      </c>
    </row>
    <row r="2682" spans="8:15" ht="12.75" customHeight="1">
      <c r="M2682" s="139"/>
    </row>
    <row r="2683" spans="8:15">
      <c r="H2683" s="50" t="s">
        <v>105</v>
      </c>
      <c r="K2683" s="146"/>
      <c r="M2683" s="139"/>
    </row>
    <row r="2684" spans="8:15" ht="13.5" customHeight="1" thickBot="1"/>
    <row r="2685" spans="8:15" ht="15.75" thickBot="1">
      <c r="H2685" s="891" t="s">
        <v>106</v>
      </c>
      <c r="I2685" s="892"/>
      <c r="J2685" s="892"/>
      <c r="K2685" s="893"/>
      <c r="M2685" s="50" t="s">
        <v>288</v>
      </c>
    </row>
    <row r="2686" spans="8:15" ht="45.75" thickBot="1">
      <c r="H2686" s="57" t="s">
        <v>100</v>
      </c>
      <c r="I2686" s="58" t="s">
        <v>108</v>
      </c>
      <c r="J2686" s="287" t="s">
        <v>109</v>
      </c>
      <c r="K2686" s="60" t="s">
        <v>110</v>
      </c>
    </row>
    <row r="2687" spans="8:15">
      <c r="H2687" s="71">
        <v>719</v>
      </c>
      <c r="I2687" s="73">
        <f>+O2667+O2669+O2671+O2673</f>
        <v>250000</v>
      </c>
      <c r="J2687" s="74">
        <f>+K2650</f>
        <v>63320000</v>
      </c>
      <c r="K2687" s="195">
        <f>+I2687+J2687</f>
        <v>63570000</v>
      </c>
    </row>
    <row r="2688" spans="8:15">
      <c r="H2688" s="72">
        <v>721</v>
      </c>
      <c r="I2688" s="80">
        <f>+O2668+O2670+O2672+O2674+O2676</f>
        <v>66000</v>
      </c>
      <c r="J2688" s="74">
        <f>+K2651</f>
        <v>100769634</v>
      </c>
      <c r="K2688" s="195">
        <f>+I2688+J2688</f>
        <v>100835634</v>
      </c>
    </row>
    <row r="2689" spans="8:15">
      <c r="H2689" s="72">
        <v>722</v>
      </c>
      <c r="I2689" s="80"/>
      <c r="J2689" s="74">
        <f>+K2652</f>
        <v>2000000</v>
      </c>
      <c r="K2689" s="195">
        <f>+I2689+J2689</f>
        <v>2000000</v>
      </c>
    </row>
    <row r="2690" spans="8:15" ht="15.75">
      <c r="H2690" s="72">
        <v>723</v>
      </c>
      <c r="I2690" s="80"/>
      <c r="J2690" s="74">
        <f>+K2653</f>
        <v>310720913</v>
      </c>
      <c r="K2690" s="195">
        <f>+I2690+J2690</f>
        <v>310720913</v>
      </c>
      <c r="M2690" s="193" t="s">
        <v>289</v>
      </c>
      <c r="N2690" s="175"/>
    </row>
    <row r="2691" spans="8:15" ht="16.5" thickBot="1">
      <c r="H2691" s="164" t="s">
        <v>1077</v>
      </c>
      <c r="I2691" s="165"/>
      <c r="J2691" s="74">
        <f>+K2654</f>
        <v>797500</v>
      </c>
      <c r="K2691" s="196">
        <f>+I2691+J2691</f>
        <v>797500</v>
      </c>
      <c r="M2691" s="52"/>
    </row>
    <row r="2692" spans="8:15" ht="16.5" thickBot="1">
      <c r="H2692" s="169"/>
      <c r="I2692" s="197">
        <f>SUM(I2687:I2691)</f>
        <v>316000</v>
      </c>
      <c r="J2692" s="197">
        <f>SUM(J2687:J2691)</f>
        <v>477608047</v>
      </c>
      <c r="K2692" s="198">
        <f>SUM(K2687:K2691)</f>
        <v>477924047</v>
      </c>
    </row>
    <row r="2693" spans="8:15" ht="16.5">
      <c r="H2693" s="49" t="s">
        <v>88</v>
      </c>
      <c r="I2693" s="50"/>
    </row>
    <row r="2694" spans="8:15">
      <c r="H2694" s="51" t="s">
        <v>89</v>
      </c>
    </row>
    <row r="2695" spans="8:15">
      <c r="H2695" s="51" t="s">
        <v>90</v>
      </c>
    </row>
    <row r="2696" spans="8:15">
      <c r="H2696" s="51" t="s">
        <v>91</v>
      </c>
    </row>
    <row r="2697" spans="8:15" ht="10.5" customHeight="1">
      <c r="H2697" s="50"/>
      <c r="I2697" s="50"/>
    </row>
    <row r="2698" spans="8:15" ht="15.75">
      <c r="H2698" s="260" t="s">
        <v>1157</v>
      </c>
      <c r="N2698" s="52"/>
    </row>
    <row r="2699" spans="8:15" ht="15.75">
      <c r="H2699" s="53" t="s">
        <v>535</v>
      </c>
      <c r="N2699" s="53"/>
    </row>
    <row r="2700" spans="8:15" ht="16.5">
      <c r="H2700" s="894" t="s">
        <v>1078</v>
      </c>
      <c r="I2700" s="894"/>
      <c r="J2700" s="894"/>
      <c r="K2700" s="894"/>
      <c r="L2700" s="894"/>
      <c r="M2700" s="894"/>
      <c r="N2700" s="894"/>
      <c r="O2700" s="894"/>
    </row>
    <row r="2701" spans="8:15" ht="15.75" thickBot="1"/>
    <row r="2702" spans="8:15">
      <c r="H2702" s="895" t="s">
        <v>94</v>
      </c>
      <c r="I2702" s="897" t="s">
        <v>95</v>
      </c>
      <c r="J2702" s="897" t="s">
        <v>96</v>
      </c>
      <c r="K2702" s="897" t="s">
        <v>3</v>
      </c>
      <c r="L2702" s="897" t="s">
        <v>97</v>
      </c>
      <c r="M2702" s="897" t="s">
        <v>98</v>
      </c>
      <c r="N2702" s="897" t="s">
        <v>99</v>
      </c>
      <c r="O2702" s="899"/>
    </row>
    <row r="2703" spans="8:15" ht="15.75" thickBot="1">
      <c r="H2703" s="896"/>
      <c r="I2703" s="898"/>
      <c r="J2703" s="898"/>
      <c r="K2703" s="898"/>
      <c r="L2703" s="898"/>
      <c r="M2703" s="898"/>
      <c r="N2703" s="240" t="s">
        <v>100</v>
      </c>
      <c r="O2703" s="182" t="s">
        <v>101</v>
      </c>
    </row>
    <row r="2704" spans="8:15">
      <c r="H2704" s="881">
        <v>286</v>
      </c>
      <c r="I2704" s="875">
        <v>42655</v>
      </c>
      <c r="J2704" s="877" t="s">
        <v>472</v>
      </c>
      <c r="K2704" s="879" t="s">
        <v>1160</v>
      </c>
      <c r="L2704" s="881" t="s">
        <v>148</v>
      </c>
      <c r="M2704" s="883">
        <v>208000</v>
      </c>
      <c r="N2704" s="55">
        <v>719</v>
      </c>
      <c r="O2704" s="78">
        <v>160000</v>
      </c>
    </row>
    <row r="2705" spans="8:15" ht="15.75" thickBot="1">
      <c r="H2705" s="882"/>
      <c r="I2705" s="876"/>
      <c r="J2705" s="878"/>
      <c r="K2705" s="880"/>
      <c r="L2705" s="882"/>
      <c r="M2705" s="884"/>
      <c r="N2705" s="56">
        <v>721</v>
      </c>
      <c r="O2705" s="79">
        <f>+M2704-O2704</f>
        <v>48000</v>
      </c>
    </row>
    <row r="2706" spans="8:15">
      <c r="H2706" s="881">
        <v>287</v>
      </c>
      <c r="I2706" s="875">
        <v>42655</v>
      </c>
      <c r="J2706" s="877" t="s">
        <v>472</v>
      </c>
      <c r="K2706" s="879" t="s">
        <v>1133</v>
      </c>
      <c r="L2706" s="881" t="s">
        <v>148</v>
      </c>
      <c r="M2706" s="883">
        <v>390000</v>
      </c>
      <c r="N2706" s="55">
        <v>719</v>
      </c>
      <c r="O2706" s="78">
        <v>300000</v>
      </c>
    </row>
    <row r="2707" spans="8:15" ht="15.75" thickBot="1">
      <c r="H2707" s="882"/>
      <c r="I2707" s="876"/>
      <c r="J2707" s="878"/>
      <c r="K2707" s="880"/>
      <c r="L2707" s="882"/>
      <c r="M2707" s="884"/>
      <c r="N2707" s="56">
        <v>721</v>
      </c>
      <c r="O2707" s="79">
        <f>+M2706-O2706</f>
        <v>90000</v>
      </c>
    </row>
    <row r="2708" spans="8:15">
      <c r="H2708" s="881">
        <v>288</v>
      </c>
      <c r="I2708" s="875">
        <v>42655</v>
      </c>
      <c r="J2708" s="877" t="s">
        <v>472</v>
      </c>
      <c r="K2708" s="879" t="s">
        <v>1135</v>
      </c>
      <c r="L2708" s="881" t="s">
        <v>148</v>
      </c>
      <c r="M2708" s="883">
        <v>286000</v>
      </c>
      <c r="N2708" s="55">
        <v>719</v>
      </c>
      <c r="O2708" s="78">
        <v>220000</v>
      </c>
    </row>
    <row r="2709" spans="8:15" ht="15.75" thickBot="1">
      <c r="H2709" s="882"/>
      <c r="I2709" s="876"/>
      <c r="J2709" s="878"/>
      <c r="K2709" s="880"/>
      <c r="L2709" s="882"/>
      <c r="M2709" s="884"/>
      <c r="N2709" s="56">
        <v>721</v>
      </c>
      <c r="O2709" s="79">
        <f>+M2708-O2708</f>
        <v>66000</v>
      </c>
    </row>
    <row r="2710" spans="8:15">
      <c r="H2710" s="881">
        <v>289</v>
      </c>
      <c r="I2710" s="875">
        <v>42655</v>
      </c>
      <c r="J2710" s="877" t="s">
        <v>472</v>
      </c>
      <c r="K2710" s="879" t="s">
        <v>1128</v>
      </c>
      <c r="L2710" s="881" t="s">
        <v>148</v>
      </c>
      <c r="M2710" s="883">
        <v>100000</v>
      </c>
      <c r="N2710" s="55">
        <v>719</v>
      </c>
      <c r="O2710" s="78">
        <v>100000</v>
      </c>
    </row>
    <row r="2711" spans="8:15" ht="15.75" thickBot="1">
      <c r="H2711" s="882"/>
      <c r="I2711" s="876"/>
      <c r="J2711" s="878"/>
      <c r="K2711" s="880"/>
      <c r="L2711" s="882"/>
      <c r="M2711" s="884"/>
      <c r="N2711" s="56">
        <v>721</v>
      </c>
      <c r="O2711" s="79">
        <f>+M2710-O2710</f>
        <v>0</v>
      </c>
    </row>
    <row r="2712" spans="8:15">
      <c r="H2712" s="881"/>
      <c r="I2712" s="875"/>
      <c r="J2712" s="877"/>
      <c r="K2712" s="879"/>
      <c r="L2712" s="881"/>
      <c r="M2712" s="883"/>
      <c r="N2712" s="55">
        <v>719</v>
      </c>
      <c r="O2712" s="78"/>
    </row>
    <row r="2713" spans="8:15" ht="15.75" thickBot="1">
      <c r="H2713" s="882"/>
      <c r="I2713" s="876"/>
      <c r="J2713" s="878"/>
      <c r="K2713" s="880"/>
      <c r="L2713" s="882"/>
      <c r="M2713" s="884"/>
      <c r="N2713" s="56">
        <v>721</v>
      </c>
      <c r="O2713" s="79">
        <f>+M2712-O2712</f>
        <v>0</v>
      </c>
    </row>
    <row r="2714" spans="8:15" ht="16.5" thickBot="1">
      <c r="H2714" s="901" t="s">
        <v>102</v>
      </c>
      <c r="I2714" s="902"/>
      <c r="J2714" s="902"/>
      <c r="K2714" s="902"/>
      <c r="L2714" s="903"/>
      <c r="M2714" s="81">
        <f>SUM(M2704:M2713)</f>
        <v>984000</v>
      </c>
    </row>
    <row r="2715" spans="8:15" ht="16.5" thickBot="1">
      <c r="H2715" s="885" t="s">
        <v>103</v>
      </c>
      <c r="I2715" s="886"/>
      <c r="J2715" s="886"/>
      <c r="K2715" s="886"/>
      <c r="L2715" s="887"/>
      <c r="M2715" s="69">
        <f>+M2679</f>
        <v>477994047</v>
      </c>
      <c r="N2715" s="241" t="s">
        <v>561</v>
      </c>
      <c r="O2715" s="242">
        <f>183+395+650+498</f>
        <v>1726</v>
      </c>
    </row>
    <row r="2716" spans="8:15" ht="16.5" thickBot="1">
      <c r="H2716" s="888" t="s">
        <v>104</v>
      </c>
      <c r="I2716" s="889"/>
      <c r="J2716" s="889"/>
      <c r="K2716" s="889"/>
      <c r="L2716" s="890"/>
      <c r="M2716" s="183">
        <f>SUM(M2714:M2715)</f>
        <v>478978047</v>
      </c>
    </row>
    <row r="2717" spans="8:15">
      <c r="H2717" s="61"/>
      <c r="I2717" s="61"/>
      <c r="J2717" s="61"/>
      <c r="K2717" s="61"/>
      <c r="L2717" s="61"/>
    </row>
    <row r="2718" spans="8:15">
      <c r="H2718" s="51" t="s">
        <v>1161</v>
      </c>
    </row>
    <row r="2719" spans="8:15" ht="12.75" customHeight="1">
      <c r="M2719" s="139"/>
    </row>
    <row r="2720" spans="8:15">
      <c r="H2720" s="50" t="s">
        <v>105</v>
      </c>
      <c r="K2720" s="146"/>
      <c r="M2720" s="139"/>
    </row>
    <row r="2721" spans="8:14" ht="14.25" customHeight="1" thickBot="1"/>
    <row r="2722" spans="8:14" ht="15.75" thickBot="1">
      <c r="H2722" s="891" t="s">
        <v>106</v>
      </c>
      <c r="I2722" s="892"/>
      <c r="J2722" s="892"/>
      <c r="K2722" s="893"/>
      <c r="M2722" s="50" t="s">
        <v>288</v>
      </c>
    </row>
    <row r="2723" spans="8:14" ht="45.75" thickBot="1">
      <c r="H2723" s="57" t="s">
        <v>100</v>
      </c>
      <c r="I2723" s="58" t="s">
        <v>108</v>
      </c>
      <c r="J2723" s="287" t="s">
        <v>109</v>
      </c>
      <c r="K2723" s="60" t="s">
        <v>110</v>
      </c>
    </row>
    <row r="2724" spans="8:14">
      <c r="H2724" s="71">
        <v>719</v>
      </c>
      <c r="I2724" s="73">
        <f>+O2704+O2706+O2708+O2710</f>
        <v>780000</v>
      </c>
      <c r="J2724" s="74">
        <f>+K2687</f>
        <v>63570000</v>
      </c>
      <c r="K2724" s="195">
        <f>+I2724+J2724</f>
        <v>64350000</v>
      </c>
    </row>
    <row r="2725" spans="8:14">
      <c r="H2725" s="72">
        <v>721</v>
      </c>
      <c r="I2725" s="80">
        <f>+O2705+O2707+O2709+O2711+O2713</f>
        <v>204000</v>
      </c>
      <c r="J2725" s="74">
        <f>+K2688</f>
        <v>100835634</v>
      </c>
      <c r="K2725" s="195">
        <f>+I2725+J2725</f>
        <v>101039634</v>
      </c>
    </row>
    <row r="2726" spans="8:14">
      <c r="H2726" s="72">
        <v>722</v>
      </c>
      <c r="I2726" s="80"/>
      <c r="J2726" s="74">
        <f>+K2689</f>
        <v>2000000</v>
      </c>
      <c r="K2726" s="195">
        <f>+I2726+J2726</f>
        <v>2000000</v>
      </c>
    </row>
    <row r="2727" spans="8:14" ht="15.75">
      <c r="H2727" s="72">
        <v>723</v>
      </c>
      <c r="I2727" s="80"/>
      <c r="J2727" s="74">
        <f>+K2690</f>
        <v>310720913</v>
      </c>
      <c r="K2727" s="195">
        <f>+I2727+J2727</f>
        <v>310720913</v>
      </c>
      <c r="M2727" s="193" t="s">
        <v>289</v>
      </c>
      <c r="N2727" s="175"/>
    </row>
    <row r="2728" spans="8:14" ht="16.5" thickBot="1">
      <c r="H2728" s="164" t="s">
        <v>1077</v>
      </c>
      <c r="I2728" s="165"/>
      <c r="J2728" s="74">
        <f>+K2691</f>
        <v>797500</v>
      </c>
      <c r="K2728" s="196">
        <f>+I2728+J2728</f>
        <v>797500</v>
      </c>
      <c r="M2728" s="52"/>
    </row>
    <row r="2729" spans="8:14" ht="16.5" thickBot="1">
      <c r="H2729" s="169"/>
      <c r="I2729" s="197">
        <f>SUM(I2724:I2728)</f>
        <v>984000</v>
      </c>
      <c r="J2729" s="197">
        <f>SUM(J2724:J2728)</f>
        <v>477924047</v>
      </c>
      <c r="K2729" s="198">
        <f>SUM(K2724:K2728)</f>
        <v>478908047</v>
      </c>
    </row>
    <row r="2730" spans="8:14" ht="16.5">
      <c r="H2730" s="49" t="s">
        <v>88</v>
      </c>
      <c r="I2730" s="50"/>
    </row>
    <row r="2731" spans="8:14">
      <c r="H2731" s="51" t="s">
        <v>89</v>
      </c>
    </row>
    <row r="2732" spans="8:14">
      <c r="H2732" s="51" t="s">
        <v>90</v>
      </c>
    </row>
    <row r="2733" spans="8:14">
      <c r="H2733" s="51" t="s">
        <v>91</v>
      </c>
    </row>
    <row r="2734" spans="8:14" ht="11.25" customHeight="1">
      <c r="H2734" s="50"/>
      <c r="I2734" s="50"/>
    </row>
    <row r="2735" spans="8:14" ht="15.75">
      <c r="H2735" s="260" t="s">
        <v>1162</v>
      </c>
      <c r="N2735" s="52"/>
    </row>
    <row r="2736" spans="8:14" ht="15.75">
      <c r="H2736" s="53" t="s">
        <v>535</v>
      </c>
      <c r="N2736" s="53"/>
    </row>
    <row r="2737" spans="8:15" ht="16.5">
      <c r="H2737" s="894" t="s">
        <v>1078</v>
      </c>
      <c r="I2737" s="894"/>
      <c r="J2737" s="894"/>
      <c r="K2737" s="894"/>
      <c r="L2737" s="894"/>
      <c r="M2737" s="894"/>
      <c r="N2737" s="894"/>
      <c r="O2737" s="894"/>
    </row>
    <row r="2738" spans="8:15" ht="13.5" customHeight="1" thickBot="1"/>
    <row r="2739" spans="8:15">
      <c r="H2739" s="895" t="s">
        <v>94</v>
      </c>
      <c r="I2739" s="897" t="s">
        <v>95</v>
      </c>
      <c r="J2739" s="897" t="s">
        <v>96</v>
      </c>
      <c r="K2739" s="897" t="s">
        <v>3</v>
      </c>
      <c r="L2739" s="897" t="s">
        <v>97</v>
      </c>
      <c r="M2739" s="897" t="s">
        <v>98</v>
      </c>
      <c r="N2739" s="897" t="s">
        <v>99</v>
      </c>
      <c r="O2739" s="899"/>
    </row>
    <row r="2740" spans="8:15" ht="15.75" thickBot="1">
      <c r="H2740" s="896"/>
      <c r="I2740" s="898"/>
      <c r="J2740" s="898"/>
      <c r="K2740" s="898"/>
      <c r="L2740" s="898"/>
      <c r="M2740" s="898"/>
      <c r="N2740" s="240" t="s">
        <v>100</v>
      </c>
      <c r="O2740" s="182" t="s">
        <v>101</v>
      </c>
    </row>
    <row r="2741" spans="8:15">
      <c r="H2741" s="881">
        <v>290</v>
      </c>
      <c r="I2741" s="875">
        <v>42655</v>
      </c>
      <c r="J2741" s="877" t="s">
        <v>1139</v>
      </c>
      <c r="K2741" s="879" t="s">
        <v>1146</v>
      </c>
      <c r="L2741" s="881" t="s">
        <v>148</v>
      </c>
      <c r="M2741" s="883">
        <v>52000</v>
      </c>
      <c r="N2741" s="55">
        <v>719</v>
      </c>
      <c r="O2741" s="78">
        <v>40000</v>
      </c>
    </row>
    <row r="2742" spans="8:15" ht="13.5" customHeight="1" thickBot="1">
      <c r="H2742" s="882"/>
      <c r="I2742" s="876"/>
      <c r="J2742" s="878"/>
      <c r="K2742" s="880"/>
      <c r="L2742" s="882"/>
      <c r="M2742" s="884"/>
      <c r="N2742" s="56">
        <v>721</v>
      </c>
      <c r="O2742" s="79">
        <f>+M2741-O2741</f>
        <v>12000</v>
      </c>
    </row>
    <row r="2743" spans="8:15">
      <c r="H2743" s="881">
        <v>291</v>
      </c>
      <c r="I2743" s="875">
        <v>42655</v>
      </c>
      <c r="J2743" s="877" t="s">
        <v>1139</v>
      </c>
      <c r="K2743" s="879" t="s">
        <v>1150</v>
      </c>
      <c r="L2743" s="881" t="s">
        <v>148</v>
      </c>
      <c r="M2743" s="883">
        <v>78000</v>
      </c>
      <c r="N2743" s="55">
        <v>719</v>
      </c>
      <c r="O2743" s="78">
        <v>60000</v>
      </c>
    </row>
    <row r="2744" spans="8:15" ht="15.75" thickBot="1">
      <c r="H2744" s="882"/>
      <c r="I2744" s="876"/>
      <c r="J2744" s="878"/>
      <c r="K2744" s="880"/>
      <c r="L2744" s="882"/>
      <c r="M2744" s="884"/>
      <c r="N2744" s="56">
        <v>721</v>
      </c>
      <c r="O2744" s="79">
        <f>+M2743-O2743</f>
        <v>18000</v>
      </c>
    </row>
    <row r="2745" spans="8:15" ht="14.25" customHeight="1">
      <c r="H2745" s="881">
        <v>292</v>
      </c>
      <c r="I2745" s="875">
        <v>42655</v>
      </c>
      <c r="J2745" s="877" t="s">
        <v>1139</v>
      </c>
      <c r="K2745" s="879" t="s">
        <v>1141</v>
      </c>
      <c r="L2745" s="881" t="s">
        <v>148</v>
      </c>
      <c r="M2745" s="883">
        <v>46000</v>
      </c>
      <c r="N2745" s="55">
        <v>719</v>
      </c>
      <c r="O2745" s="78">
        <v>40000</v>
      </c>
    </row>
    <row r="2746" spans="8:15" ht="14.25" customHeight="1" thickBot="1">
      <c r="H2746" s="882"/>
      <c r="I2746" s="876"/>
      <c r="J2746" s="878"/>
      <c r="K2746" s="880"/>
      <c r="L2746" s="882"/>
      <c r="M2746" s="884"/>
      <c r="N2746" s="56">
        <v>721</v>
      </c>
      <c r="O2746" s="79">
        <f>+M2745-O2745</f>
        <v>6000</v>
      </c>
    </row>
    <row r="2747" spans="8:15">
      <c r="H2747" s="881">
        <v>293</v>
      </c>
      <c r="I2747" s="875">
        <v>42655</v>
      </c>
      <c r="J2747" s="877" t="s">
        <v>31</v>
      </c>
      <c r="K2747" s="879" t="s">
        <v>1155</v>
      </c>
      <c r="L2747" s="881" t="s">
        <v>148</v>
      </c>
      <c r="M2747" s="883">
        <v>1326000</v>
      </c>
      <c r="N2747" s="55">
        <v>719</v>
      </c>
      <c r="O2747" s="78">
        <v>1020000</v>
      </c>
    </row>
    <row r="2748" spans="8:15" ht="15.75" thickBot="1">
      <c r="H2748" s="882"/>
      <c r="I2748" s="876"/>
      <c r="J2748" s="878"/>
      <c r="K2748" s="880"/>
      <c r="L2748" s="882"/>
      <c r="M2748" s="884"/>
      <c r="N2748" s="56">
        <v>721</v>
      </c>
      <c r="O2748" s="79">
        <f>+M2747-O2747</f>
        <v>306000</v>
      </c>
    </row>
    <row r="2749" spans="8:15" ht="13.5" customHeight="1">
      <c r="H2749" s="881"/>
      <c r="I2749" s="875"/>
      <c r="J2749" s="877"/>
      <c r="K2749" s="879"/>
      <c r="L2749" s="881"/>
      <c r="M2749" s="883"/>
      <c r="N2749" s="55">
        <v>719</v>
      </c>
      <c r="O2749" s="78"/>
    </row>
    <row r="2750" spans="8:15" ht="13.5" customHeight="1" thickBot="1">
      <c r="H2750" s="882"/>
      <c r="I2750" s="876"/>
      <c r="J2750" s="878"/>
      <c r="K2750" s="880"/>
      <c r="L2750" s="882"/>
      <c r="M2750" s="884"/>
      <c r="N2750" s="56">
        <v>721</v>
      </c>
      <c r="O2750" s="79">
        <f>+M2749-O2749</f>
        <v>0</v>
      </c>
    </row>
    <row r="2751" spans="8:15" ht="16.5" thickBot="1">
      <c r="H2751" s="901" t="s">
        <v>102</v>
      </c>
      <c r="I2751" s="902"/>
      <c r="J2751" s="902"/>
      <c r="K2751" s="902"/>
      <c r="L2751" s="903"/>
      <c r="M2751" s="81">
        <f>SUM(M2741:M2750)</f>
        <v>1502000</v>
      </c>
    </row>
    <row r="2752" spans="8:15" ht="16.5" thickBot="1">
      <c r="H2752" s="885" t="s">
        <v>103</v>
      </c>
      <c r="I2752" s="886"/>
      <c r="J2752" s="886"/>
      <c r="K2752" s="886"/>
      <c r="L2752" s="887"/>
      <c r="M2752" s="69">
        <f>+M2716</f>
        <v>478978047</v>
      </c>
      <c r="N2752" s="241" t="s">
        <v>561</v>
      </c>
      <c r="O2752" s="242">
        <v>1556</v>
      </c>
    </row>
    <row r="2753" spans="8:14" ht="16.5" thickBot="1">
      <c r="H2753" s="888" t="s">
        <v>104</v>
      </c>
      <c r="I2753" s="889"/>
      <c r="J2753" s="889"/>
      <c r="K2753" s="889"/>
      <c r="L2753" s="890"/>
      <c r="M2753" s="183">
        <f>SUM(M2751:M2752)</f>
        <v>480480047</v>
      </c>
    </row>
    <row r="2754" spans="8:14" ht="12.75" customHeight="1">
      <c r="H2754" s="61"/>
      <c r="I2754" s="61"/>
      <c r="J2754" s="61"/>
      <c r="K2754" s="61"/>
      <c r="L2754" s="61"/>
    </row>
    <row r="2755" spans="8:14">
      <c r="H2755" s="51" t="s">
        <v>1163</v>
      </c>
    </row>
    <row r="2756" spans="8:14" ht="14.25" customHeight="1">
      <c r="M2756" s="139"/>
    </row>
    <row r="2757" spans="8:14">
      <c r="H2757" s="50" t="s">
        <v>105</v>
      </c>
      <c r="K2757" s="146"/>
      <c r="M2757" s="139"/>
    </row>
    <row r="2758" spans="8:14" ht="13.5" customHeight="1" thickBot="1"/>
    <row r="2759" spans="8:14" ht="15.75" thickBot="1">
      <c r="H2759" s="891" t="s">
        <v>106</v>
      </c>
      <c r="I2759" s="892"/>
      <c r="J2759" s="892"/>
      <c r="K2759" s="893"/>
      <c r="M2759" s="50" t="s">
        <v>288</v>
      </c>
    </row>
    <row r="2760" spans="8:14" ht="45.75" thickBot="1">
      <c r="H2760" s="57" t="s">
        <v>100</v>
      </c>
      <c r="I2760" s="58" t="s">
        <v>108</v>
      </c>
      <c r="J2760" s="287" t="s">
        <v>109</v>
      </c>
      <c r="K2760" s="60" t="s">
        <v>110</v>
      </c>
    </row>
    <row r="2761" spans="8:14">
      <c r="H2761" s="71">
        <v>719</v>
      </c>
      <c r="I2761" s="73">
        <f>+O2741+O2743+O2745+O2747</f>
        <v>1160000</v>
      </c>
      <c r="J2761" s="74">
        <f>+K2724</f>
        <v>64350000</v>
      </c>
      <c r="K2761" s="195">
        <f>+I2761+J2761</f>
        <v>65510000</v>
      </c>
    </row>
    <row r="2762" spans="8:14">
      <c r="H2762" s="72">
        <v>721</v>
      </c>
      <c r="I2762" s="80">
        <f>+O2742+O2744+O2746+O2748+O2750</f>
        <v>342000</v>
      </c>
      <c r="J2762" s="74">
        <f>+K2725</f>
        <v>101039634</v>
      </c>
      <c r="K2762" s="195">
        <f>+I2762+J2762</f>
        <v>101381634</v>
      </c>
    </row>
    <row r="2763" spans="8:14">
      <c r="H2763" s="72">
        <v>722</v>
      </c>
      <c r="I2763" s="80"/>
      <c r="J2763" s="74">
        <f>+K2726</f>
        <v>2000000</v>
      </c>
      <c r="K2763" s="195">
        <f>+I2763+J2763</f>
        <v>2000000</v>
      </c>
    </row>
    <row r="2764" spans="8:14" ht="15.75">
      <c r="H2764" s="72">
        <v>723</v>
      </c>
      <c r="I2764" s="80"/>
      <c r="J2764" s="74">
        <f>+K2727</f>
        <v>310720913</v>
      </c>
      <c r="K2764" s="195">
        <f>+I2764+J2764</f>
        <v>310720913</v>
      </c>
      <c r="M2764" s="193" t="s">
        <v>289</v>
      </c>
      <c r="N2764" s="175"/>
    </row>
    <row r="2765" spans="8:14" ht="16.5" thickBot="1">
      <c r="H2765" s="164" t="s">
        <v>1077</v>
      </c>
      <c r="I2765" s="165"/>
      <c r="J2765" s="74">
        <f>+K2728</f>
        <v>797500</v>
      </c>
      <c r="K2765" s="196">
        <f>+I2765+J2765</f>
        <v>797500</v>
      </c>
      <c r="M2765" s="52"/>
    </row>
    <row r="2766" spans="8:14" ht="16.5" thickBot="1">
      <c r="H2766" s="169"/>
      <c r="I2766" s="197">
        <f>SUM(I2761:I2765)</f>
        <v>1502000</v>
      </c>
      <c r="J2766" s="197">
        <f>SUM(J2761:J2765)</f>
        <v>478908047</v>
      </c>
      <c r="K2766" s="198">
        <f>SUM(K2761:K2765)</f>
        <v>480410047</v>
      </c>
    </row>
    <row r="2767" spans="8:14" ht="16.5">
      <c r="H2767" s="49" t="s">
        <v>88</v>
      </c>
      <c r="I2767" s="50"/>
    </row>
    <row r="2768" spans="8:14">
      <c r="H2768" s="51" t="s">
        <v>89</v>
      </c>
    </row>
    <row r="2769" spans="8:15">
      <c r="H2769" s="51" t="s">
        <v>90</v>
      </c>
    </row>
    <row r="2770" spans="8:15">
      <c r="H2770" s="51" t="s">
        <v>91</v>
      </c>
    </row>
    <row r="2771" spans="8:15" ht="11.25" customHeight="1">
      <c r="H2771" s="50"/>
      <c r="I2771" s="50"/>
    </row>
    <row r="2772" spans="8:15" ht="15.75">
      <c r="H2772" s="260" t="s">
        <v>1164</v>
      </c>
      <c r="N2772" s="52"/>
    </row>
    <row r="2773" spans="8:15" ht="15.75">
      <c r="H2773" s="53" t="s">
        <v>535</v>
      </c>
      <c r="N2773" s="53"/>
    </row>
    <row r="2774" spans="8:15" ht="16.5">
      <c r="H2774" s="894" t="s">
        <v>1078</v>
      </c>
      <c r="I2774" s="894"/>
      <c r="J2774" s="894"/>
      <c r="K2774" s="894"/>
      <c r="L2774" s="894"/>
      <c r="M2774" s="894"/>
      <c r="N2774" s="894"/>
      <c r="O2774" s="894"/>
    </row>
    <row r="2775" spans="8:15" ht="15.75" thickBot="1"/>
    <row r="2776" spans="8:15">
      <c r="H2776" s="895" t="s">
        <v>94</v>
      </c>
      <c r="I2776" s="897" t="s">
        <v>95</v>
      </c>
      <c r="J2776" s="897" t="s">
        <v>96</v>
      </c>
      <c r="K2776" s="897" t="s">
        <v>3</v>
      </c>
      <c r="L2776" s="897" t="s">
        <v>97</v>
      </c>
      <c r="M2776" s="897" t="s">
        <v>98</v>
      </c>
      <c r="N2776" s="897" t="s">
        <v>99</v>
      </c>
      <c r="O2776" s="899"/>
    </row>
    <row r="2777" spans="8:15" ht="15.75" thickBot="1">
      <c r="H2777" s="896"/>
      <c r="I2777" s="898"/>
      <c r="J2777" s="898"/>
      <c r="K2777" s="898"/>
      <c r="L2777" s="898"/>
      <c r="M2777" s="898"/>
      <c r="N2777" s="240" t="s">
        <v>100</v>
      </c>
      <c r="O2777" s="182" t="s">
        <v>101</v>
      </c>
    </row>
    <row r="2778" spans="8:15">
      <c r="H2778" s="881">
        <v>294</v>
      </c>
      <c r="I2778" s="875">
        <v>42657</v>
      </c>
      <c r="J2778" s="877" t="s">
        <v>1014</v>
      </c>
      <c r="K2778" s="879" t="s">
        <v>1167</v>
      </c>
      <c r="L2778" s="881" t="s">
        <v>115</v>
      </c>
      <c r="M2778" s="883">
        <v>110000</v>
      </c>
      <c r="N2778" s="55">
        <v>719</v>
      </c>
      <c r="O2778" s="78">
        <v>110000</v>
      </c>
    </row>
    <row r="2779" spans="8:15" ht="15.75" thickBot="1">
      <c r="H2779" s="882"/>
      <c r="I2779" s="876"/>
      <c r="J2779" s="878"/>
      <c r="K2779" s="880"/>
      <c r="L2779" s="882"/>
      <c r="M2779" s="884"/>
      <c r="N2779" s="56">
        <v>721</v>
      </c>
      <c r="O2779" s="79">
        <f>+M2778-O2778</f>
        <v>0</v>
      </c>
    </row>
    <row r="2780" spans="8:15" ht="15" customHeight="1">
      <c r="H2780" s="881">
        <v>295</v>
      </c>
      <c r="I2780" s="875">
        <v>42657</v>
      </c>
      <c r="J2780" s="877" t="s">
        <v>28</v>
      </c>
      <c r="K2780" s="879" t="s">
        <v>1166</v>
      </c>
      <c r="L2780" s="881" t="s">
        <v>115</v>
      </c>
      <c r="M2780" s="883">
        <v>70000</v>
      </c>
      <c r="N2780" s="55">
        <v>719</v>
      </c>
      <c r="O2780" s="78">
        <v>70000</v>
      </c>
    </row>
    <row r="2781" spans="8:15" ht="14.25" customHeight="1" thickBot="1">
      <c r="H2781" s="882"/>
      <c r="I2781" s="876"/>
      <c r="J2781" s="878"/>
      <c r="K2781" s="880"/>
      <c r="L2781" s="882"/>
      <c r="M2781" s="884"/>
      <c r="N2781" s="56">
        <v>721</v>
      </c>
      <c r="O2781" s="79">
        <f>+M2780-O2780</f>
        <v>0</v>
      </c>
    </row>
    <row r="2782" spans="8:15" ht="14.25" customHeight="1">
      <c r="H2782" s="881">
        <v>296</v>
      </c>
      <c r="I2782" s="875">
        <v>42657</v>
      </c>
      <c r="J2782" s="877" t="s">
        <v>120</v>
      </c>
      <c r="K2782" s="879" t="s">
        <v>1165</v>
      </c>
      <c r="L2782" s="881" t="s">
        <v>115</v>
      </c>
      <c r="M2782" s="883">
        <v>200000</v>
      </c>
      <c r="N2782" s="55">
        <v>719</v>
      </c>
      <c r="O2782" s="78">
        <v>200000</v>
      </c>
    </row>
    <row r="2783" spans="8:15" ht="15.75" customHeight="1" thickBot="1">
      <c r="H2783" s="882"/>
      <c r="I2783" s="876"/>
      <c r="J2783" s="878"/>
      <c r="K2783" s="880"/>
      <c r="L2783" s="882"/>
      <c r="M2783" s="884"/>
      <c r="N2783" s="56">
        <v>721</v>
      </c>
      <c r="O2783" s="79">
        <f>+M2782-O2782</f>
        <v>0</v>
      </c>
    </row>
    <row r="2784" spans="8:15">
      <c r="H2784" s="881"/>
      <c r="I2784" s="875"/>
      <c r="J2784" s="877"/>
      <c r="K2784" s="879"/>
      <c r="L2784" s="881"/>
      <c r="M2784" s="883"/>
      <c r="N2784" s="55">
        <v>719</v>
      </c>
      <c r="O2784" s="78">
        <v>0</v>
      </c>
    </row>
    <row r="2785" spans="8:15" ht="13.5" customHeight="1" thickBot="1">
      <c r="H2785" s="882"/>
      <c r="I2785" s="876"/>
      <c r="J2785" s="878"/>
      <c r="K2785" s="880"/>
      <c r="L2785" s="882"/>
      <c r="M2785" s="884"/>
      <c r="N2785" s="56">
        <v>721</v>
      </c>
      <c r="O2785" s="79">
        <f>+M2784-O2784</f>
        <v>0</v>
      </c>
    </row>
    <row r="2786" spans="8:15">
      <c r="H2786" s="881"/>
      <c r="I2786" s="875"/>
      <c r="J2786" s="877"/>
      <c r="K2786" s="879"/>
      <c r="L2786" s="881"/>
      <c r="M2786" s="883"/>
      <c r="N2786" s="55">
        <v>719</v>
      </c>
      <c r="O2786" s="78"/>
    </row>
    <row r="2787" spans="8:15" ht="14.25" customHeight="1" thickBot="1">
      <c r="H2787" s="882"/>
      <c r="I2787" s="876"/>
      <c r="J2787" s="878"/>
      <c r="K2787" s="880"/>
      <c r="L2787" s="882"/>
      <c r="M2787" s="884"/>
      <c r="N2787" s="56">
        <v>721</v>
      </c>
      <c r="O2787" s="79">
        <f>+M2786-O2786</f>
        <v>0</v>
      </c>
    </row>
    <row r="2788" spans="8:15" ht="16.5" thickBot="1">
      <c r="H2788" s="901" t="s">
        <v>102</v>
      </c>
      <c r="I2788" s="902"/>
      <c r="J2788" s="902"/>
      <c r="K2788" s="902"/>
      <c r="L2788" s="903"/>
      <c r="M2788" s="81">
        <f>SUM(M2778:M2787)</f>
        <v>380000</v>
      </c>
    </row>
    <row r="2789" spans="8:15" ht="16.5" thickBot="1">
      <c r="H2789" s="885" t="s">
        <v>103</v>
      </c>
      <c r="I2789" s="886"/>
      <c r="J2789" s="886"/>
      <c r="K2789" s="886"/>
      <c r="L2789" s="887"/>
      <c r="M2789" s="69">
        <f>+M2753</f>
        <v>480480047</v>
      </c>
      <c r="N2789" s="241" t="s">
        <v>561</v>
      </c>
      <c r="O2789" s="242">
        <f>328+189+267</f>
        <v>784</v>
      </c>
    </row>
    <row r="2790" spans="8:15" ht="16.5" thickBot="1">
      <c r="H2790" s="888" t="s">
        <v>104</v>
      </c>
      <c r="I2790" s="889"/>
      <c r="J2790" s="889"/>
      <c r="K2790" s="889"/>
      <c r="L2790" s="890"/>
      <c r="M2790" s="183">
        <f>SUM(M2788:M2789)</f>
        <v>480860047</v>
      </c>
    </row>
    <row r="2791" spans="8:15">
      <c r="H2791" s="61"/>
      <c r="I2791" s="61"/>
      <c r="J2791" s="61"/>
      <c r="K2791" s="61"/>
      <c r="L2791" s="61"/>
    </row>
    <row r="2792" spans="8:15">
      <c r="H2792" s="51" t="s">
        <v>1168</v>
      </c>
    </row>
    <row r="2793" spans="8:15" ht="12.75" customHeight="1">
      <c r="M2793" s="139"/>
    </row>
    <row r="2794" spans="8:15">
      <c r="H2794" s="50" t="s">
        <v>105</v>
      </c>
      <c r="K2794" s="146"/>
      <c r="M2794" s="139"/>
    </row>
    <row r="2795" spans="8:15" ht="13.5" customHeight="1" thickBot="1"/>
    <row r="2796" spans="8:15" ht="15.75" thickBot="1">
      <c r="H2796" s="891" t="s">
        <v>106</v>
      </c>
      <c r="I2796" s="892"/>
      <c r="J2796" s="892"/>
      <c r="K2796" s="893"/>
      <c r="M2796" s="50" t="s">
        <v>288</v>
      </c>
    </row>
    <row r="2797" spans="8:15" ht="45.75" thickBot="1">
      <c r="H2797" s="57" t="s">
        <v>100</v>
      </c>
      <c r="I2797" s="58" t="s">
        <v>108</v>
      </c>
      <c r="J2797" s="287" t="s">
        <v>109</v>
      </c>
      <c r="K2797" s="60" t="s">
        <v>110</v>
      </c>
    </row>
    <row r="2798" spans="8:15">
      <c r="H2798" s="71">
        <v>719</v>
      </c>
      <c r="I2798" s="73">
        <f>+O2778+O2780+O2782+O2784</f>
        <v>380000</v>
      </c>
      <c r="J2798" s="74">
        <f>+K2761</f>
        <v>65510000</v>
      </c>
      <c r="K2798" s="195">
        <f>+I2798+J2798</f>
        <v>65890000</v>
      </c>
    </row>
    <row r="2799" spans="8:15">
      <c r="H2799" s="72">
        <v>721</v>
      </c>
      <c r="I2799" s="80">
        <f>+O2779+O2781+O2783+O2785+O2787</f>
        <v>0</v>
      </c>
      <c r="J2799" s="74">
        <f>+K2762</f>
        <v>101381634</v>
      </c>
      <c r="K2799" s="195">
        <f>+I2799+J2799</f>
        <v>101381634</v>
      </c>
    </row>
    <row r="2800" spans="8:15">
      <c r="H2800" s="72">
        <v>722</v>
      </c>
      <c r="I2800" s="80"/>
      <c r="J2800" s="74">
        <f>+K2763</f>
        <v>2000000</v>
      </c>
      <c r="K2800" s="195">
        <f>+I2800+J2800</f>
        <v>2000000</v>
      </c>
    </row>
    <row r="2801" spans="8:15" ht="15.75">
      <c r="H2801" s="72">
        <v>723</v>
      </c>
      <c r="I2801" s="80"/>
      <c r="J2801" s="74">
        <f>+K2764</f>
        <v>310720913</v>
      </c>
      <c r="K2801" s="195">
        <f>+I2801+J2801</f>
        <v>310720913</v>
      </c>
      <c r="M2801" s="193" t="s">
        <v>289</v>
      </c>
      <c r="N2801" s="175"/>
    </row>
    <row r="2802" spans="8:15" ht="16.5" thickBot="1">
      <c r="H2802" s="164" t="s">
        <v>1077</v>
      </c>
      <c r="I2802" s="165"/>
      <c r="J2802" s="74">
        <f>+K2765</f>
        <v>797500</v>
      </c>
      <c r="K2802" s="196">
        <f>+I2802+J2802</f>
        <v>797500</v>
      </c>
      <c r="M2802" s="52"/>
    </row>
    <row r="2803" spans="8:15" ht="16.5" thickBot="1">
      <c r="H2803" s="169"/>
      <c r="I2803" s="197">
        <f>SUM(I2798:I2802)</f>
        <v>380000</v>
      </c>
      <c r="J2803" s="197">
        <f>SUM(J2798:J2802)</f>
        <v>480410047</v>
      </c>
      <c r="K2803" s="198">
        <f>SUM(K2798:K2802)</f>
        <v>480790047</v>
      </c>
    </row>
    <row r="2804" spans="8:15" ht="16.5">
      <c r="H2804" s="49" t="s">
        <v>88</v>
      </c>
      <c r="I2804" s="50"/>
    </row>
    <row r="2805" spans="8:15">
      <c r="H2805" s="51" t="s">
        <v>89</v>
      </c>
    </row>
    <row r="2806" spans="8:15">
      <c r="H2806" s="51" t="s">
        <v>90</v>
      </c>
    </row>
    <row r="2807" spans="8:15">
      <c r="H2807" s="51" t="s">
        <v>91</v>
      </c>
    </row>
    <row r="2808" spans="8:15" ht="10.5" customHeight="1">
      <c r="H2808" s="50"/>
      <c r="I2808" s="50"/>
    </row>
    <row r="2809" spans="8:15" ht="15.75">
      <c r="H2809" s="260" t="s">
        <v>1169</v>
      </c>
      <c r="N2809" s="52"/>
    </row>
    <row r="2810" spans="8:15" ht="15.75">
      <c r="H2810" s="53" t="s">
        <v>535</v>
      </c>
      <c r="N2810" s="53"/>
    </row>
    <row r="2811" spans="8:15" ht="16.5">
      <c r="H2811" s="894" t="s">
        <v>1205</v>
      </c>
      <c r="I2811" s="894"/>
      <c r="J2811" s="894"/>
      <c r="K2811" s="894"/>
      <c r="L2811" s="894"/>
      <c r="M2811" s="894"/>
      <c r="N2811" s="894"/>
      <c r="O2811" s="894"/>
    </row>
    <row r="2812" spans="8:15" ht="15.75" thickBot="1"/>
    <row r="2813" spans="8:15">
      <c r="H2813" s="895" t="s">
        <v>94</v>
      </c>
      <c r="I2813" s="897" t="s">
        <v>95</v>
      </c>
      <c r="J2813" s="897" t="s">
        <v>96</v>
      </c>
      <c r="K2813" s="897" t="s">
        <v>3</v>
      </c>
      <c r="L2813" s="897" t="s">
        <v>97</v>
      </c>
      <c r="M2813" s="897" t="s">
        <v>98</v>
      </c>
      <c r="N2813" s="897" t="s">
        <v>99</v>
      </c>
      <c r="O2813" s="899"/>
    </row>
    <row r="2814" spans="8:15" ht="15.75" thickBot="1">
      <c r="H2814" s="896"/>
      <c r="I2814" s="898"/>
      <c r="J2814" s="898"/>
      <c r="K2814" s="898"/>
      <c r="L2814" s="898"/>
      <c r="M2814" s="898"/>
      <c r="N2814" s="240" t="s">
        <v>100</v>
      </c>
      <c r="O2814" s="182" t="s">
        <v>101</v>
      </c>
    </row>
    <row r="2815" spans="8:15" ht="14.25" customHeight="1">
      <c r="H2815" s="881">
        <v>297</v>
      </c>
      <c r="I2815" s="875">
        <v>42660</v>
      </c>
      <c r="J2815" s="877" t="s">
        <v>350</v>
      </c>
      <c r="K2815" s="879" t="s">
        <v>921</v>
      </c>
      <c r="L2815" s="881" t="s">
        <v>148</v>
      </c>
      <c r="M2815" s="883">
        <v>260000</v>
      </c>
      <c r="N2815" s="55">
        <v>722</v>
      </c>
      <c r="O2815" s="78">
        <v>260000</v>
      </c>
    </row>
    <row r="2816" spans="8:15" ht="14.25" customHeight="1" thickBot="1">
      <c r="H2816" s="882"/>
      <c r="I2816" s="876"/>
      <c r="J2816" s="878"/>
      <c r="K2816" s="880"/>
      <c r="L2816" s="882"/>
      <c r="M2816" s="884"/>
      <c r="N2816" s="56">
        <v>721</v>
      </c>
      <c r="O2816" s="351">
        <f>+M2815-O2815</f>
        <v>0</v>
      </c>
    </row>
    <row r="2817" spans="8:15" ht="14.25" customHeight="1">
      <c r="H2817" s="881">
        <v>298</v>
      </c>
      <c r="I2817" s="875">
        <v>42660</v>
      </c>
      <c r="J2817" s="877" t="s">
        <v>1091</v>
      </c>
      <c r="K2817" s="879" t="s">
        <v>921</v>
      </c>
      <c r="L2817" s="881" t="s">
        <v>148</v>
      </c>
      <c r="M2817" s="883">
        <v>600000</v>
      </c>
      <c r="N2817" s="55">
        <v>722</v>
      </c>
      <c r="O2817" s="78">
        <v>600000</v>
      </c>
    </row>
    <row r="2818" spans="8:15" ht="13.5" customHeight="1" thickBot="1">
      <c r="H2818" s="882"/>
      <c r="I2818" s="876"/>
      <c r="J2818" s="878"/>
      <c r="K2818" s="880"/>
      <c r="L2818" s="882"/>
      <c r="M2818" s="884"/>
      <c r="N2818" s="56">
        <v>721</v>
      </c>
      <c r="O2818" s="352">
        <f>+M2817-O2817</f>
        <v>0</v>
      </c>
    </row>
    <row r="2819" spans="8:15" ht="15" customHeight="1">
      <c r="H2819" s="881">
        <v>299</v>
      </c>
      <c r="I2819" s="875">
        <v>42660</v>
      </c>
      <c r="J2819" s="877" t="s">
        <v>120</v>
      </c>
      <c r="K2819" s="879" t="s">
        <v>921</v>
      </c>
      <c r="L2819" s="881" t="s">
        <v>148</v>
      </c>
      <c r="M2819" s="883">
        <v>560000</v>
      </c>
      <c r="N2819" s="55">
        <v>722</v>
      </c>
      <c r="O2819" s="78">
        <v>560000</v>
      </c>
    </row>
    <row r="2820" spans="8:15" ht="13.5" customHeight="1" thickBot="1">
      <c r="H2820" s="882"/>
      <c r="I2820" s="876"/>
      <c r="J2820" s="878"/>
      <c r="K2820" s="880"/>
      <c r="L2820" s="882"/>
      <c r="M2820" s="884"/>
      <c r="N2820" s="56">
        <v>721</v>
      </c>
      <c r="O2820" s="352">
        <f>+M2819-O2819</f>
        <v>0</v>
      </c>
    </row>
    <row r="2821" spans="8:15" ht="15" customHeight="1">
      <c r="H2821" s="881">
        <v>300</v>
      </c>
      <c r="I2821" s="875">
        <v>42660</v>
      </c>
      <c r="J2821" s="877" t="s">
        <v>1171</v>
      </c>
      <c r="K2821" s="879" t="s">
        <v>921</v>
      </c>
      <c r="L2821" s="881" t="s">
        <v>148</v>
      </c>
      <c r="M2821" s="883">
        <v>1000000</v>
      </c>
      <c r="N2821" s="55">
        <v>722</v>
      </c>
      <c r="O2821" s="78">
        <v>1000000</v>
      </c>
    </row>
    <row r="2822" spans="8:15" ht="13.5" customHeight="1" thickBot="1">
      <c r="H2822" s="882"/>
      <c r="I2822" s="876"/>
      <c r="J2822" s="878"/>
      <c r="K2822" s="880"/>
      <c r="L2822" s="882"/>
      <c r="M2822" s="884"/>
      <c r="N2822" s="56">
        <v>721</v>
      </c>
      <c r="O2822" s="79">
        <f>+M2821-O2821</f>
        <v>0</v>
      </c>
    </row>
    <row r="2823" spans="8:15" ht="15" customHeight="1">
      <c r="H2823" s="881">
        <v>301</v>
      </c>
      <c r="I2823" s="875">
        <v>42660</v>
      </c>
      <c r="J2823" s="877" t="s">
        <v>40</v>
      </c>
      <c r="K2823" s="879" t="s">
        <v>921</v>
      </c>
      <c r="L2823" s="881" t="s">
        <v>148</v>
      </c>
      <c r="M2823" s="883">
        <v>200000</v>
      </c>
      <c r="N2823" s="55">
        <v>722</v>
      </c>
      <c r="O2823" s="78">
        <v>200000</v>
      </c>
    </row>
    <row r="2824" spans="8:15" ht="13.5" customHeight="1" thickBot="1">
      <c r="H2824" s="882"/>
      <c r="I2824" s="876"/>
      <c r="J2824" s="878"/>
      <c r="K2824" s="880"/>
      <c r="L2824" s="882"/>
      <c r="M2824" s="884"/>
      <c r="N2824" s="56">
        <v>721</v>
      </c>
      <c r="O2824" s="79">
        <f>+M2823-O2823</f>
        <v>0</v>
      </c>
    </row>
    <row r="2825" spans="8:15" ht="15" customHeight="1">
      <c r="H2825" s="881">
        <v>302</v>
      </c>
      <c r="I2825" s="875">
        <v>42660</v>
      </c>
      <c r="J2825" s="877" t="s">
        <v>1172</v>
      </c>
      <c r="K2825" s="879" t="s">
        <v>921</v>
      </c>
      <c r="L2825" s="881" t="s">
        <v>148</v>
      </c>
      <c r="M2825" s="883">
        <v>220000</v>
      </c>
      <c r="N2825" s="55">
        <v>722</v>
      </c>
      <c r="O2825" s="78">
        <v>220000</v>
      </c>
    </row>
    <row r="2826" spans="8:15" ht="13.5" customHeight="1" thickBot="1">
      <c r="H2826" s="882"/>
      <c r="I2826" s="876"/>
      <c r="J2826" s="878"/>
      <c r="K2826" s="880"/>
      <c r="L2826" s="882"/>
      <c r="M2826" s="884"/>
      <c r="N2826" s="56">
        <v>721</v>
      </c>
      <c r="O2826" s="79">
        <f>+M2825-O2825</f>
        <v>0</v>
      </c>
    </row>
    <row r="2827" spans="8:15" ht="15" customHeight="1" thickBot="1">
      <c r="H2827" s="901" t="s">
        <v>102</v>
      </c>
      <c r="I2827" s="902"/>
      <c r="J2827" s="902"/>
      <c r="K2827" s="902"/>
      <c r="L2827" s="903"/>
      <c r="M2827" s="81">
        <f>SUM(M2815:M2826)</f>
        <v>2840000</v>
      </c>
    </row>
    <row r="2828" spans="8:15" ht="16.5" thickBot="1">
      <c r="H2828" s="885" t="s">
        <v>103</v>
      </c>
      <c r="I2828" s="886"/>
      <c r="J2828" s="886"/>
      <c r="K2828" s="886"/>
      <c r="L2828" s="887"/>
      <c r="M2828" s="69">
        <f>+M2790</f>
        <v>480860047</v>
      </c>
      <c r="N2828" s="241" t="s">
        <v>561</v>
      </c>
      <c r="O2828" s="242"/>
    </row>
    <row r="2829" spans="8:15" ht="16.5" thickBot="1">
      <c r="H2829" s="888" t="s">
        <v>104</v>
      </c>
      <c r="I2829" s="889"/>
      <c r="J2829" s="889"/>
      <c r="K2829" s="889"/>
      <c r="L2829" s="890"/>
      <c r="M2829" s="183">
        <f>SUM(M2827:M2828)</f>
        <v>483700047</v>
      </c>
    </row>
    <row r="2830" spans="8:15" ht="12.75" customHeight="1">
      <c r="H2830" s="61"/>
      <c r="I2830" s="61"/>
      <c r="J2830" s="61"/>
      <c r="K2830" s="61"/>
      <c r="L2830" s="61"/>
    </row>
    <row r="2831" spans="8:15">
      <c r="H2831" s="51" t="s">
        <v>1173</v>
      </c>
    </row>
    <row r="2832" spans="8:15" ht="10.5" customHeight="1">
      <c r="M2832" s="139"/>
    </row>
    <row r="2833" spans="8:14">
      <c r="H2833" s="50" t="s">
        <v>105</v>
      </c>
      <c r="K2833" s="146"/>
      <c r="M2833" s="139"/>
    </row>
    <row r="2834" spans="8:14" ht="9" customHeight="1" thickBot="1"/>
    <row r="2835" spans="8:14" ht="15.75" thickBot="1">
      <c r="H2835" s="891" t="s">
        <v>106</v>
      </c>
      <c r="I2835" s="892"/>
      <c r="J2835" s="892"/>
      <c r="K2835" s="893"/>
      <c r="M2835" s="50" t="s">
        <v>288</v>
      </c>
    </row>
    <row r="2836" spans="8:14" ht="29.25" customHeight="1" thickBot="1">
      <c r="H2836" s="57" t="s">
        <v>100</v>
      </c>
      <c r="I2836" s="58" t="s">
        <v>108</v>
      </c>
      <c r="J2836" s="287" t="s">
        <v>109</v>
      </c>
      <c r="K2836" s="60" t="s">
        <v>110</v>
      </c>
    </row>
    <row r="2837" spans="8:14" ht="14.25" customHeight="1">
      <c r="H2837" s="71">
        <v>719</v>
      </c>
      <c r="I2837" s="73"/>
      <c r="J2837" s="74">
        <f>+K2798</f>
        <v>65890000</v>
      </c>
      <c r="K2837" s="195">
        <f>+I2837+J2837</f>
        <v>65890000</v>
      </c>
    </row>
    <row r="2838" spans="8:14">
      <c r="H2838" s="72">
        <v>721</v>
      </c>
      <c r="I2838" s="80">
        <f>+O2816+O2818+O2820+O2822+O2826+O2824</f>
        <v>0</v>
      </c>
      <c r="J2838" s="74">
        <f>+K2799</f>
        <v>101381634</v>
      </c>
      <c r="K2838" s="195">
        <f>+I2838+J2838</f>
        <v>101381634</v>
      </c>
    </row>
    <row r="2839" spans="8:14">
      <c r="H2839" s="72">
        <v>722</v>
      </c>
      <c r="I2839" s="80">
        <f>+O2815+O2817+O2819+O2821+O2823+O2825</f>
        <v>2840000</v>
      </c>
      <c r="J2839" s="74">
        <f>+K2800</f>
        <v>2000000</v>
      </c>
      <c r="K2839" s="195">
        <f>+I2839+J2839</f>
        <v>4840000</v>
      </c>
    </row>
    <row r="2840" spans="8:14" ht="15" customHeight="1">
      <c r="H2840" s="72">
        <v>723</v>
      </c>
      <c r="I2840" s="80"/>
      <c r="J2840" s="74">
        <f>+K2801</f>
        <v>310720913</v>
      </c>
      <c r="K2840" s="195">
        <f>+I2840+J2840</f>
        <v>310720913</v>
      </c>
      <c r="M2840" s="193" t="s">
        <v>289</v>
      </c>
      <c r="N2840" s="175"/>
    </row>
    <row r="2841" spans="8:14" ht="14.25" customHeight="1" thickBot="1">
      <c r="H2841" s="164" t="s">
        <v>1077</v>
      </c>
      <c r="I2841" s="165"/>
      <c r="J2841" s="74">
        <f>+K2802</f>
        <v>797500</v>
      </c>
      <c r="K2841" s="196">
        <f>+I2841+J2841</f>
        <v>797500</v>
      </c>
      <c r="M2841" s="52"/>
    </row>
    <row r="2842" spans="8:14" ht="16.5" thickBot="1">
      <c r="H2842" s="169"/>
      <c r="I2842" s="197">
        <f>SUM(I2837:I2841)</f>
        <v>2840000</v>
      </c>
      <c r="J2842" s="197">
        <f>SUM(J2837:J2841)</f>
        <v>480790047</v>
      </c>
      <c r="K2842" s="198">
        <f>SUM(K2837:K2841)</f>
        <v>483630047</v>
      </c>
    </row>
    <row r="2843" spans="8:14" ht="16.5">
      <c r="H2843" s="49" t="s">
        <v>88</v>
      </c>
      <c r="I2843" s="50"/>
    </row>
    <row r="2844" spans="8:14">
      <c r="H2844" s="51" t="s">
        <v>89</v>
      </c>
    </row>
    <row r="2845" spans="8:14">
      <c r="H2845" s="51" t="s">
        <v>90</v>
      </c>
    </row>
    <row r="2846" spans="8:14">
      <c r="H2846" s="51" t="s">
        <v>91</v>
      </c>
    </row>
    <row r="2847" spans="8:14" ht="10.5" customHeight="1">
      <c r="H2847" s="50"/>
      <c r="I2847" s="50"/>
    </row>
    <row r="2848" spans="8:14" ht="15.75">
      <c r="H2848" s="260" t="s">
        <v>1170</v>
      </c>
      <c r="N2848" s="52"/>
    </row>
    <row r="2849" spans="8:15" ht="15.75">
      <c r="H2849" s="53" t="s">
        <v>535</v>
      </c>
      <c r="N2849" s="53"/>
    </row>
    <row r="2850" spans="8:15" ht="16.5">
      <c r="H2850" s="894" t="s">
        <v>1205</v>
      </c>
      <c r="I2850" s="894"/>
      <c r="J2850" s="894"/>
      <c r="K2850" s="894"/>
      <c r="L2850" s="894"/>
      <c r="M2850" s="894"/>
      <c r="N2850" s="894"/>
      <c r="O2850" s="894"/>
    </row>
    <row r="2851" spans="8:15" ht="12.75" customHeight="1" thickBot="1"/>
    <row r="2852" spans="8:15">
      <c r="H2852" s="895" t="s">
        <v>94</v>
      </c>
      <c r="I2852" s="897" t="s">
        <v>95</v>
      </c>
      <c r="J2852" s="897" t="s">
        <v>96</v>
      </c>
      <c r="K2852" s="897" t="s">
        <v>3</v>
      </c>
      <c r="L2852" s="897" t="s">
        <v>97</v>
      </c>
      <c r="M2852" s="897" t="s">
        <v>98</v>
      </c>
      <c r="N2852" s="897" t="s">
        <v>99</v>
      </c>
      <c r="O2852" s="899"/>
    </row>
    <row r="2853" spans="8:15" ht="15.75" thickBot="1">
      <c r="H2853" s="896"/>
      <c r="I2853" s="898"/>
      <c r="J2853" s="898"/>
      <c r="K2853" s="898"/>
      <c r="L2853" s="898"/>
      <c r="M2853" s="898"/>
      <c r="N2853" s="240" t="s">
        <v>100</v>
      </c>
      <c r="O2853" s="182" t="s">
        <v>101</v>
      </c>
    </row>
    <row r="2854" spans="8:15" ht="14.25" customHeight="1">
      <c r="H2854" s="881">
        <v>303</v>
      </c>
      <c r="I2854" s="875">
        <v>42660</v>
      </c>
      <c r="J2854" s="877" t="s">
        <v>1174</v>
      </c>
      <c r="K2854" s="879" t="s">
        <v>921</v>
      </c>
      <c r="L2854" s="881" t="s">
        <v>148</v>
      </c>
      <c r="M2854" s="883">
        <v>180000</v>
      </c>
      <c r="N2854" s="55">
        <v>722</v>
      </c>
      <c r="O2854" s="78">
        <v>180000</v>
      </c>
    </row>
    <row r="2855" spans="8:15" ht="12.75" customHeight="1" thickBot="1">
      <c r="H2855" s="882"/>
      <c r="I2855" s="876"/>
      <c r="J2855" s="878"/>
      <c r="K2855" s="880"/>
      <c r="L2855" s="882"/>
      <c r="M2855" s="884"/>
      <c r="N2855" s="56">
        <v>721</v>
      </c>
      <c r="O2855" s="351">
        <f>+M2854-O2854</f>
        <v>0</v>
      </c>
    </row>
    <row r="2856" spans="8:15">
      <c r="H2856" s="881">
        <v>304</v>
      </c>
      <c r="I2856" s="875">
        <v>42660</v>
      </c>
      <c r="J2856" s="877" t="s">
        <v>1175</v>
      </c>
      <c r="K2856" s="879" t="s">
        <v>921</v>
      </c>
      <c r="L2856" s="881" t="s">
        <v>148</v>
      </c>
      <c r="M2856" s="883">
        <v>160000</v>
      </c>
      <c r="N2856" s="55">
        <v>722</v>
      </c>
      <c r="O2856" s="78">
        <v>160000</v>
      </c>
    </row>
    <row r="2857" spans="8:15" ht="13.5" customHeight="1" thickBot="1">
      <c r="H2857" s="882"/>
      <c r="I2857" s="876"/>
      <c r="J2857" s="878"/>
      <c r="K2857" s="880"/>
      <c r="L2857" s="882"/>
      <c r="M2857" s="884"/>
      <c r="N2857" s="56">
        <v>721</v>
      </c>
      <c r="O2857" s="352">
        <f>+M2856-O2856</f>
        <v>0</v>
      </c>
    </row>
    <row r="2858" spans="8:15" ht="13.5" customHeight="1">
      <c r="H2858" s="881">
        <v>305</v>
      </c>
      <c r="I2858" s="875">
        <v>42660</v>
      </c>
      <c r="J2858" s="877" t="s">
        <v>1177</v>
      </c>
      <c r="K2858" s="879" t="s">
        <v>921</v>
      </c>
      <c r="L2858" s="881" t="s">
        <v>148</v>
      </c>
      <c r="M2858" s="883">
        <v>220000</v>
      </c>
      <c r="N2858" s="55">
        <v>722</v>
      </c>
      <c r="O2858" s="78">
        <v>220000</v>
      </c>
    </row>
    <row r="2859" spans="8:15" ht="12.75" customHeight="1" thickBot="1">
      <c r="H2859" s="882"/>
      <c r="I2859" s="876"/>
      <c r="J2859" s="878"/>
      <c r="K2859" s="880"/>
      <c r="L2859" s="882"/>
      <c r="M2859" s="884"/>
      <c r="N2859" s="56">
        <v>721</v>
      </c>
      <c r="O2859" s="352">
        <f>+M2858-O2858</f>
        <v>0</v>
      </c>
    </row>
    <row r="2860" spans="8:15">
      <c r="H2860" s="881">
        <v>306</v>
      </c>
      <c r="I2860" s="875">
        <v>42660</v>
      </c>
      <c r="J2860" s="877" t="s">
        <v>1176</v>
      </c>
      <c r="K2860" s="879" t="s">
        <v>921</v>
      </c>
      <c r="L2860" s="881" t="s">
        <v>148</v>
      </c>
      <c r="M2860" s="883">
        <v>40000</v>
      </c>
      <c r="N2860" s="55">
        <v>722</v>
      </c>
      <c r="O2860" s="78">
        <v>40000</v>
      </c>
    </row>
    <row r="2861" spans="8:15" ht="12" customHeight="1" thickBot="1">
      <c r="H2861" s="882"/>
      <c r="I2861" s="876"/>
      <c r="J2861" s="878"/>
      <c r="K2861" s="880"/>
      <c r="L2861" s="882"/>
      <c r="M2861" s="884"/>
      <c r="N2861" s="56">
        <v>721</v>
      </c>
      <c r="O2861" s="79">
        <f>+M2860-O2860</f>
        <v>0</v>
      </c>
    </row>
    <row r="2862" spans="8:15">
      <c r="H2862" s="881">
        <v>307</v>
      </c>
      <c r="I2862" s="875">
        <v>42660</v>
      </c>
      <c r="J2862" s="877" t="s">
        <v>738</v>
      </c>
      <c r="K2862" s="879" t="s">
        <v>921</v>
      </c>
      <c r="L2862" s="881" t="s">
        <v>148</v>
      </c>
      <c r="M2862" s="883">
        <v>20000</v>
      </c>
      <c r="N2862" s="55">
        <v>722</v>
      </c>
      <c r="O2862" s="78">
        <v>20000</v>
      </c>
    </row>
    <row r="2863" spans="8:15" ht="14.25" customHeight="1" thickBot="1">
      <c r="H2863" s="882"/>
      <c r="I2863" s="876"/>
      <c r="J2863" s="878"/>
      <c r="K2863" s="880"/>
      <c r="L2863" s="882"/>
      <c r="M2863" s="884"/>
      <c r="N2863" s="56">
        <v>721</v>
      </c>
      <c r="O2863" s="79">
        <f>+M2862-O2862</f>
        <v>0</v>
      </c>
    </row>
    <row r="2864" spans="8:15" ht="14.25" customHeight="1">
      <c r="H2864" s="881">
        <v>308</v>
      </c>
      <c r="I2864" s="875">
        <v>42660</v>
      </c>
      <c r="J2864" s="877" t="s">
        <v>1178</v>
      </c>
      <c r="K2864" s="879" t="s">
        <v>921</v>
      </c>
      <c r="L2864" s="881" t="s">
        <v>148</v>
      </c>
      <c r="M2864" s="883">
        <v>120000</v>
      </c>
      <c r="N2864" s="55">
        <v>722</v>
      </c>
      <c r="O2864" s="78">
        <v>120000</v>
      </c>
    </row>
    <row r="2865" spans="8:15" ht="13.5" customHeight="1" thickBot="1">
      <c r="H2865" s="882"/>
      <c r="I2865" s="876"/>
      <c r="J2865" s="878"/>
      <c r="K2865" s="880"/>
      <c r="L2865" s="882"/>
      <c r="M2865" s="884"/>
      <c r="N2865" s="56">
        <v>721</v>
      </c>
      <c r="O2865" s="79">
        <f>+M2864-O2864</f>
        <v>0</v>
      </c>
    </row>
    <row r="2866" spans="8:15" ht="16.5" thickBot="1">
      <c r="H2866" s="901" t="s">
        <v>102</v>
      </c>
      <c r="I2866" s="902"/>
      <c r="J2866" s="902"/>
      <c r="K2866" s="902"/>
      <c r="L2866" s="903"/>
      <c r="M2866" s="81">
        <f>SUM(M2854:M2865)</f>
        <v>740000</v>
      </c>
    </row>
    <row r="2867" spans="8:15" ht="16.5" thickBot="1">
      <c r="H2867" s="885" t="s">
        <v>103</v>
      </c>
      <c r="I2867" s="886"/>
      <c r="J2867" s="886"/>
      <c r="K2867" s="886"/>
      <c r="L2867" s="887"/>
      <c r="M2867" s="69">
        <f>+M2829</f>
        <v>483700047</v>
      </c>
      <c r="N2867" s="241" t="s">
        <v>561</v>
      </c>
      <c r="O2867" s="242"/>
    </row>
    <row r="2868" spans="8:15" ht="14.25" customHeight="1" thickBot="1">
      <c r="H2868" s="888" t="s">
        <v>104</v>
      </c>
      <c r="I2868" s="889"/>
      <c r="J2868" s="889"/>
      <c r="K2868" s="889"/>
      <c r="L2868" s="890"/>
      <c r="M2868" s="183">
        <f>SUM(M2866:M2867)</f>
        <v>484440047</v>
      </c>
    </row>
    <row r="2869" spans="8:15" ht="12.75" customHeight="1">
      <c r="H2869" s="61"/>
      <c r="I2869" s="61"/>
      <c r="J2869" s="61"/>
      <c r="K2869" s="61"/>
      <c r="L2869" s="61"/>
    </row>
    <row r="2870" spans="8:15">
      <c r="H2870" s="51" t="s">
        <v>1179</v>
      </c>
    </row>
    <row r="2871" spans="8:15" ht="10.5" customHeight="1">
      <c r="M2871" s="139"/>
    </row>
    <row r="2872" spans="8:15">
      <c r="H2872" s="50" t="s">
        <v>105</v>
      </c>
      <c r="K2872" s="146"/>
      <c r="M2872" s="139"/>
    </row>
    <row r="2873" spans="8:15" ht="12" customHeight="1" thickBot="1"/>
    <row r="2874" spans="8:15" ht="15.75" thickBot="1">
      <c r="H2874" s="891" t="s">
        <v>106</v>
      </c>
      <c r="I2874" s="892"/>
      <c r="J2874" s="892"/>
      <c r="K2874" s="893"/>
      <c r="M2874" s="50" t="s">
        <v>288</v>
      </c>
    </row>
    <row r="2875" spans="8:15" ht="45.75" thickBot="1">
      <c r="H2875" s="57" t="s">
        <v>100</v>
      </c>
      <c r="I2875" s="58" t="s">
        <v>108</v>
      </c>
      <c r="J2875" s="287" t="s">
        <v>109</v>
      </c>
      <c r="K2875" s="60" t="s">
        <v>110</v>
      </c>
    </row>
    <row r="2876" spans="8:15">
      <c r="H2876" s="71">
        <v>719</v>
      </c>
      <c r="I2876" s="73"/>
      <c r="J2876" s="74">
        <f>+K2837</f>
        <v>65890000</v>
      </c>
      <c r="K2876" s="195">
        <f>+I2876+J2876</f>
        <v>65890000</v>
      </c>
    </row>
    <row r="2877" spans="8:15">
      <c r="H2877" s="72">
        <v>721</v>
      </c>
      <c r="I2877" s="80">
        <f>+O2855+O2857+O2859+O2861+O2865+O2863</f>
        <v>0</v>
      </c>
      <c r="J2877" s="74">
        <f>+K2838</f>
        <v>101381634</v>
      </c>
      <c r="K2877" s="195">
        <f>+I2877+J2877</f>
        <v>101381634</v>
      </c>
    </row>
    <row r="2878" spans="8:15">
      <c r="H2878" s="72">
        <v>722</v>
      </c>
      <c r="I2878" s="80">
        <f>+O2854+O2856+O2858+O2860+O2862+O2864</f>
        <v>740000</v>
      </c>
      <c r="J2878" s="74">
        <f>+K2839</f>
        <v>4840000</v>
      </c>
      <c r="K2878" s="195">
        <f>+I2878+J2878</f>
        <v>5580000</v>
      </c>
    </row>
    <row r="2879" spans="8:15" ht="15.75">
      <c r="H2879" s="72">
        <v>723</v>
      </c>
      <c r="I2879" s="80"/>
      <c r="J2879" s="74">
        <f>+K2840</f>
        <v>310720913</v>
      </c>
      <c r="K2879" s="195">
        <f>+I2879+J2879</f>
        <v>310720913</v>
      </c>
      <c r="M2879" s="193" t="s">
        <v>289</v>
      </c>
      <c r="N2879" s="175"/>
    </row>
    <row r="2880" spans="8:15" ht="16.5" thickBot="1">
      <c r="H2880" s="164" t="s">
        <v>1077</v>
      </c>
      <c r="I2880" s="165"/>
      <c r="J2880" s="74">
        <f>+K2841</f>
        <v>797500</v>
      </c>
      <c r="K2880" s="196">
        <f>+I2880+J2880</f>
        <v>797500</v>
      </c>
      <c r="M2880" s="52"/>
    </row>
    <row r="2881" spans="8:15" ht="16.5" thickBot="1">
      <c r="H2881" s="169"/>
      <c r="I2881" s="197">
        <f>SUM(I2876:I2880)</f>
        <v>740000</v>
      </c>
      <c r="J2881" s="197">
        <f>SUM(J2876:J2880)</f>
        <v>483630047</v>
      </c>
      <c r="K2881" s="198">
        <f>SUM(K2876:K2880)</f>
        <v>484370047</v>
      </c>
    </row>
    <row r="2882" spans="8:15" ht="16.5">
      <c r="H2882" s="49" t="s">
        <v>88</v>
      </c>
      <c r="I2882" s="50"/>
    </row>
    <row r="2883" spans="8:15">
      <c r="H2883" s="51" t="s">
        <v>89</v>
      </c>
    </row>
    <row r="2884" spans="8:15">
      <c r="H2884" s="51" t="s">
        <v>90</v>
      </c>
    </row>
    <row r="2885" spans="8:15">
      <c r="H2885" s="51" t="s">
        <v>91</v>
      </c>
    </row>
    <row r="2886" spans="8:15" ht="9.75" customHeight="1">
      <c r="H2886" s="50"/>
      <c r="I2886" s="50"/>
    </row>
    <row r="2887" spans="8:15" ht="15.75">
      <c r="H2887" s="260" t="s">
        <v>1186</v>
      </c>
      <c r="N2887" s="52"/>
    </row>
    <row r="2888" spans="8:15" ht="15.75">
      <c r="H2888" s="53" t="s">
        <v>535</v>
      </c>
      <c r="N2888" s="53"/>
    </row>
    <row r="2889" spans="8:15" ht="16.5">
      <c r="H2889" s="894" t="s">
        <v>1190</v>
      </c>
      <c r="I2889" s="894"/>
      <c r="J2889" s="894"/>
      <c r="K2889" s="894"/>
      <c r="L2889" s="894"/>
      <c r="M2889" s="894"/>
      <c r="N2889" s="894"/>
      <c r="O2889" s="894"/>
    </row>
    <row r="2890" spans="8:15" ht="15.75" thickBot="1"/>
    <row r="2891" spans="8:15">
      <c r="H2891" s="895" t="s">
        <v>94</v>
      </c>
      <c r="I2891" s="897" t="s">
        <v>95</v>
      </c>
      <c r="J2891" s="897" t="s">
        <v>96</v>
      </c>
      <c r="K2891" s="897" t="s">
        <v>3</v>
      </c>
      <c r="L2891" s="897" t="s">
        <v>97</v>
      </c>
      <c r="M2891" s="897" t="s">
        <v>98</v>
      </c>
      <c r="N2891" s="897" t="s">
        <v>99</v>
      </c>
      <c r="O2891" s="899"/>
    </row>
    <row r="2892" spans="8:15" ht="15.75" thickBot="1">
      <c r="H2892" s="896"/>
      <c r="I2892" s="898"/>
      <c r="J2892" s="898"/>
      <c r="K2892" s="898"/>
      <c r="L2892" s="898"/>
      <c r="M2892" s="898"/>
      <c r="N2892" s="240" t="s">
        <v>100</v>
      </c>
      <c r="O2892" s="182" t="s">
        <v>101</v>
      </c>
    </row>
    <row r="2893" spans="8:15">
      <c r="H2893" s="881">
        <v>309</v>
      </c>
      <c r="I2893" s="875">
        <v>42674</v>
      </c>
      <c r="J2893" s="877" t="s">
        <v>738</v>
      </c>
      <c r="K2893" s="879" t="s">
        <v>1184</v>
      </c>
      <c r="L2893" s="881" t="s">
        <v>148</v>
      </c>
      <c r="M2893" s="883">
        <v>2672700</v>
      </c>
      <c r="N2893" s="55">
        <v>722</v>
      </c>
      <c r="O2893" s="78">
        <v>0</v>
      </c>
    </row>
    <row r="2894" spans="8:15" ht="15.75" thickBot="1">
      <c r="H2894" s="882"/>
      <c r="I2894" s="876"/>
      <c r="J2894" s="878"/>
      <c r="K2894" s="880"/>
      <c r="L2894" s="882"/>
      <c r="M2894" s="884"/>
      <c r="N2894" s="56">
        <v>721</v>
      </c>
      <c r="O2894" s="351">
        <f>+M2893-O2893</f>
        <v>2672700</v>
      </c>
    </row>
    <row r="2895" spans="8:15" ht="15" customHeight="1">
      <c r="H2895" s="881">
        <v>310</v>
      </c>
      <c r="I2895" s="875">
        <v>42674</v>
      </c>
      <c r="J2895" s="877" t="s">
        <v>738</v>
      </c>
      <c r="K2895" s="879" t="s">
        <v>1185</v>
      </c>
      <c r="L2895" s="881" t="s">
        <v>148</v>
      </c>
      <c r="M2895" s="883">
        <v>28216212</v>
      </c>
      <c r="N2895" s="55">
        <v>722</v>
      </c>
      <c r="O2895" s="78"/>
    </row>
    <row r="2896" spans="8:15" ht="15.75" customHeight="1" thickBot="1">
      <c r="H2896" s="882"/>
      <c r="I2896" s="876"/>
      <c r="J2896" s="878"/>
      <c r="K2896" s="880"/>
      <c r="L2896" s="882"/>
      <c r="M2896" s="884"/>
      <c r="N2896" s="56">
        <v>721</v>
      </c>
      <c r="O2896" s="352">
        <f>+M2895-O2895</f>
        <v>28216212</v>
      </c>
    </row>
    <row r="2897" spans="8:15" ht="15" customHeight="1">
      <c r="H2897" s="881">
        <v>311</v>
      </c>
      <c r="I2897" s="875">
        <v>42674</v>
      </c>
      <c r="J2897" s="877" t="s">
        <v>738</v>
      </c>
      <c r="K2897" s="879" t="s">
        <v>1187</v>
      </c>
      <c r="L2897" s="881" t="s">
        <v>148</v>
      </c>
      <c r="M2897" s="883">
        <v>16677173</v>
      </c>
      <c r="N2897" s="55">
        <v>722</v>
      </c>
      <c r="O2897" s="78"/>
    </row>
    <row r="2898" spans="8:15" ht="15.75" customHeight="1" thickBot="1">
      <c r="H2898" s="882"/>
      <c r="I2898" s="876"/>
      <c r="J2898" s="878"/>
      <c r="K2898" s="880"/>
      <c r="L2898" s="882"/>
      <c r="M2898" s="884"/>
      <c r="N2898" s="56">
        <v>721</v>
      </c>
      <c r="O2898" s="352">
        <f>+M2897-O2897</f>
        <v>16677173</v>
      </c>
    </row>
    <row r="2899" spans="8:15" ht="15" customHeight="1">
      <c r="H2899" s="881">
        <v>312</v>
      </c>
      <c r="I2899" s="875">
        <v>42675</v>
      </c>
      <c r="J2899" s="877" t="s">
        <v>738</v>
      </c>
      <c r="K2899" s="879" t="s">
        <v>1188</v>
      </c>
      <c r="L2899" s="881" t="s">
        <v>148</v>
      </c>
      <c r="M2899" s="883">
        <v>24662327</v>
      </c>
      <c r="N2899" s="55">
        <v>722</v>
      </c>
      <c r="O2899" s="78"/>
    </row>
    <row r="2900" spans="8:15" ht="13.5" customHeight="1" thickBot="1">
      <c r="H2900" s="882"/>
      <c r="I2900" s="876"/>
      <c r="J2900" s="878"/>
      <c r="K2900" s="880"/>
      <c r="L2900" s="882"/>
      <c r="M2900" s="884"/>
      <c r="N2900" s="56">
        <v>721</v>
      </c>
      <c r="O2900" s="79">
        <f>+M2899-O2899</f>
        <v>24662327</v>
      </c>
    </row>
    <row r="2901" spans="8:15">
      <c r="H2901" s="881"/>
      <c r="I2901" s="875"/>
      <c r="J2901" s="877"/>
      <c r="K2901" s="879"/>
      <c r="L2901" s="881"/>
      <c r="M2901" s="883"/>
      <c r="N2901" s="55">
        <v>722</v>
      </c>
      <c r="O2901" s="78"/>
    </row>
    <row r="2902" spans="8:15" ht="13.5" customHeight="1" thickBot="1">
      <c r="H2902" s="882"/>
      <c r="I2902" s="876"/>
      <c r="J2902" s="878"/>
      <c r="K2902" s="880"/>
      <c r="L2902" s="882"/>
      <c r="M2902" s="884"/>
      <c r="N2902" s="56">
        <v>721</v>
      </c>
      <c r="O2902" s="79">
        <f>+M2901-O2901</f>
        <v>0</v>
      </c>
    </row>
    <row r="2903" spans="8:15" ht="16.5" thickBot="1">
      <c r="H2903" s="901" t="s">
        <v>102</v>
      </c>
      <c r="I2903" s="902"/>
      <c r="J2903" s="902"/>
      <c r="K2903" s="902"/>
      <c r="L2903" s="903"/>
      <c r="M2903" s="81">
        <f>SUM(M2893:M2902)</f>
        <v>72228412</v>
      </c>
    </row>
    <row r="2904" spans="8:15" ht="16.5" thickBot="1">
      <c r="H2904" s="885" t="s">
        <v>103</v>
      </c>
      <c r="I2904" s="886"/>
      <c r="J2904" s="886"/>
      <c r="K2904" s="886"/>
      <c r="L2904" s="887"/>
      <c r="M2904" s="69">
        <f>+M2868</f>
        <v>484440047</v>
      </c>
      <c r="N2904" s="241" t="s">
        <v>561</v>
      </c>
      <c r="O2904" s="242"/>
    </row>
    <row r="2905" spans="8:15" ht="16.5" thickBot="1">
      <c r="H2905" s="888" t="s">
        <v>104</v>
      </c>
      <c r="I2905" s="889"/>
      <c r="J2905" s="889"/>
      <c r="K2905" s="889"/>
      <c r="L2905" s="890"/>
      <c r="M2905" s="183">
        <f>SUM(M2903:M2904)</f>
        <v>556668459</v>
      </c>
    </row>
    <row r="2906" spans="8:15">
      <c r="H2906" s="61"/>
      <c r="I2906" s="61"/>
      <c r="J2906" s="61"/>
      <c r="K2906" s="61"/>
      <c r="L2906" s="61"/>
    </row>
    <row r="2907" spans="8:15">
      <c r="H2907" s="51" t="s">
        <v>1189</v>
      </c>
    </row>
    <row r="2908" spans="8:15">
      <c r="M2908" s="139"/>
    </row>
    <row r="2909" spans="8:15">
      <c r="H2909" s="50" t="s">
        <v>105</v>
      </c>
      <c r="K2909" s="146"/>
      <c r="M2909" s="139"/>
    </row>
    <row r="2910" spans="8:15" ht="13.5" customHeight="1" thickBot="1"/>
    <row r="2911" spans="8:15" ht="15.75" thickBot="1">
      <c r="H2911" s="891" t="s">
        <v>106</v>
      </c>
      <c r="I2911" s="892"/>
      <c r="J2911" s="892"/>
      <c r="K2911" s="893"/>
      <c r="M2911" s="50" t="s">
        <v>1126</v>
      </c>
    </row>
    <row r="2912" spans="8:15" ht="45.75" thickBot="1">
      <c r="H2912" s="57" t="s">
        <v>100</v>
      </c>
      <c r="I2912" s="58" t="s">
        <v>108</v>
      </c>
      <c r="J2912" s="287" t="s">
        <v>109</v>
      </c>
      <c r="K2912" s="60" t="s">
        <v>110</v>
      </c>
    </row>
    <row r="2913" spans="8:15">
      <c r="H2913" s="71">
        <v>719</v>
      </c>
      <c r="I2913" s="73"/>
      <c r="J2913" s="74">
        <f>+K2876</f>
        <v>65890000</v>
      </c>
      <c r="K2913" s="195">
        <f>+I2913+J2913</f>
        <v>65890000</v>
      </c>
    </row>
    <row r="2914" spans="8:15">
      <c r="H2914" s="72">
        <v>721</v>
      </c>
      <c r="I2914" s="80">
        <f>+O2894+O2896+O2898+O2900+O2902</f>
        <v>72228412</v>
      </c>
      <c r="J2914" s="74">
        <f>+K2877</f>
        <v>101381634</v>
      </c>
      <c r="K2914" s="195">
        <f>+I2914+J2914</f>
        <v>173610046</v>
      </c>
    </row>
    <row r="2915" spans="8:15">
      <c r="H2915" s="72">
        <v>722</v>
      </c>
      <c r="I2915" s="80">
        <f>+O2893+O2895+O2897+O2899+O2901</f>
        <v>0</v>
      </c>
      <c r="J2915" s="74">
        <f>+K2878</f>
        <v>5580000</v>
      </c>
      <c r="K2915" s="195">
        <f>+I2915+J2915</f>
        <v>5580000</v>
      </c>
    </row>
    <row r="2916" spans="8:15" ht="15.75">
      <c r="H2916" s="72">
        <v>723</v>
      </c>
      <c r="I2916" s="80"/>
      <c r="J2916" s="74">
        <f>+K2879</f>
        <v>310720913</v>
      </c>
      <c r="K2916" s="195">
        <f>+I2916+J2916</f>
        <v>310720913</v>
      </c>
      <c r="M2916" s="193" t="s">
        <v>1028</v>
      </c>
      <c r="N2916" s="175"/>
    </row>
    <row r="2917" spans="8:15" ht="16.5" thickBot="1">
      <c r="H2917" s="164" t="s">
        <v>1077</v>
      </c>
      <c r="I2917" s="165"/>
      <c r="J2917" s="74">
        <f>+K2880</f>
        <v>797500</v>
      </c>
      <c r="K2917" s="196">
        <f>+I2917+J2917</f>
        <v>797500</v>
      </c>
      <c r="M2917" s="52"/>
    </row>
    <row r="2918" spans="8:15" ht="16.5" thickBot="1">
      <c r="H2918" s="169"/>
      <c r="I2918" s="197">
        <f>SUM(I2913:I2917)</f>
        <v>72228412</v>
      </c>
      <c r="J2918" s="197">
        <f>SUM(J2913:J2917)</f>
        <v>484370047</v>
      </c>
      <c r="K2918" s="198">
        <f>SUM(K2913:K2917)</f>
        <v>556598459</v>
      </c>
    </row>
    <row r="2919" spans="8:15" ht="16.5">
      <c r="H2919" s="49" t="s">
        <v>88</v>
      </c>
      <c r="I2919" s="50"/>
    </row>
    <row r="2920" spans="8:15">
      <c r="H2920" s="51" t="s">
        <v>89</v>
      </c>
    </row>
    <row r="2921" spans="8:15">
      <c r="H2921" s="51" t="s">
        <v>90</v>
      </c>
    </row>
    <row r="2922" spans="8:15">
      <c r="H2922" s="51" t="s">
        <v>91</v>
      </c>
    </row>
    <row r="2923" spans="8:15" ht="10.5" customHeight="1">
      <c r="H2923" s="50"/>
      <c r="I2923" s="50"/>
    </row>
    <row r="2924" spans="8:15" ht="15.75">
      <c r="H2924" s="260" t="s">
        <v>1191</v>
      </c>
      <c r="N2924" s="52"/>
    </row>
    <row r="2925" spans="8:15" ht="15.75">
      <c r="H2925" s="53" t="s">
        <v>535</v>
      </c>
      <c r="N2925" s="53"/>
    </row>
    <row r="2926" spans="8:15" ht="16.5">
      <c r="H2926" s="894" t="s">
        <v>909</v>
      </c>
      <c r="I2926" s="894"/>
      <c r="J2926" s="894"/>
      <c r="K2926" s="894"/>
      <c r="L2926" s="894"/>
      <c r="M2926" s="894"/>
      <c r="N2926" s="894"/>
      <c r="O2926" s="894"/>
    </row>
    <row r="2927" spans="8:15" ht="15.75" thickBot="1"/>
    <row r="2928" spans="8:15">
      <c r="H2928" s="895" t="s">
        <v>94</v>
      </c>
      <c r="I2928" s="897" t="s">
        <v>95</v>
      </c>
      <c r="J2928" s="897" t="s">
        <v>96</v>
      </c>
      <c r="K2928" s="897" t="s">
        <v>3</v>
      </c>
      <c r="L2928" s="897" t="s">
        <v>97</v>
      </c>
      <c r="M2928" s="897" t="s">
        <v>98</v>
      </c>
      <c r="N2928" s="897" t="s">
        <v>99</v>
      </c>
      <c r="O2928" s="899"/>
    </row>
    <row r="2929" spans="8:15" ht="15.75" thickBot="1">
      <c r="H2929" s="896"/>
      <c r="I2929" s="898"/>
      <c r="J2929" s="898"/>
      <c r="K2929" s="898"/>
      <c r="L2929" s="898"/>
      <c r="M2929" s="898"/>
      <c r="N2929" s="240" t="s">
        <v>100</v>
      </c>
      <c r="O2929" s="182" t="s">
        <v>101</v>
      </c>
    </row>
    <row r="2930" spans="8:15">
      <c r="H2930" s="881">
        <v>313</v>
      </c>
      <c r="I2930" s="875">
        <v>42657</v>
      </c>
      <c r="J2930" s="877" t="s">
        <v>1014</v>
      </c>
      <c r="K2930" s="879" t="s">
        <v>1192</v>
      </c>
      <c r="L2930" s="881" t="s">
        <v>115</v>
      </c>
      <c r="M2930" s="883">
        <v>70000</v>
      </c>
      <c r="N2930" s="55">
        <v>719</v>
      </c>
      <c r="O2930" s="78">
        <v>70000</v>
      </c>
    </row>
    <row r="2931" spans="8:15" ht="15.75" thickBot="1">
      <c r="H2931" s="882"/>
      <c r="I2931" s="876"/>
      <c r="J2931" s="878"/>
      <c r="K2931" s="880"/>
      <c r="L2931" s="882"/>
      <c r="M2931" s="884"/>
      <c r="N2931" s="56">
        <v>721</v>
      </c>
      <c r="O2931" s="79">
        <f>+M2930-O2930</f>
        <v>0</v>
      </c>
    </row>
    <row r="2932" spans="8:15">
      <c r="H2932" s="881">
        <v>314</v>
      </c>
      <c r="I2932" s="875">
        <v>42657</v>
      </c>
      <c r="J2932" s="877" t="s">
        <v>28</v>
      </c>
      <c r="K2932" s="879" t="s">
        <v>1193</v>
      </c>
      <c r="L2932" s="881" t="s">
        <v>115</v>
      </c>
      <c r="M2932" s="883">
        <v>30000</v>
      </c>
      <c r="N2932" s="55">
        <v>719</v>
      </c>
      <c r="O2932" s="78">
        <v>30000</v>
      </c>
    </row>
    <row r="2933" spans="8:15" ht="15.75" thickBot="1">
      <c r="H2933" s="882"/>
      <c r="I2933" s="876"/>
      <c r="J2933" s="878"/>
      <c r="K2933" s="880"/>
      <c r="L2933" s="882"/>
      <c r="M2933" s="884"/>
      <c r="N2933" s="56">
        <v>721</v>
      </c>
      <c r="O2933" s="79">
        <f>+M2932-O2932</f>
        <v>0</v>
      </c>
    </row>
    <row r="2934" spans="8:15">
      <c r="H2934" s="881">
        <v>315</v>
      </c>
      <c r="I2934" s="875">
        <v>42657</v>
      </c>
      <c r="J2934" s="877" t="s">
        <v>120</v>
      </c>
      <c r="K2934" s="879" t="s">
        <v>1165</v>
      </c>
      <c r="L2934" s="881" t="s">
        <v>115</v>
      </c>
      <c r="M2934" s="883">
        <v>50000</v>
      </c>
      <c r="N2934" s="55">
        <v>719</v>
      </c>
      <c r="O2934" s="78">
        <v>50000</v>
      </c>
    </row>
    <row r="2935" spans="8:15" ht="15.75" thickBot="1">
      <c r="H2935" s="882"/>
      <c r="I2935" s="876"/>
      <c r="J2935" s="878"/>
      <c r="K2935" s="880"/>
      <c r="L2935" s="882"/>
      <c r="M2935" s="884"/>
      <c r="N2935" s="56">
        <v>721</v>
      </c>
      <c r="O2935" s="79">
        <f>+M2934-O2934</f>
        <v>0</v>
      </c>
    </row>
    <row r="2936" spans="8:15">
      <c r="H2936" s="881"/>
      <c r="I2936" s="875"/>
      <c r="J2936" s="877"/>
      <c r="K2936" s="879"/>
      <c r="L2936" s="881"/>
      <c r="M2936" s="883"/>
      <c r="N2936" s="55">
        <v>719</v>
      </c>
      <c r="O2936" s="78">
        <v>0</v>
      </c>
    </row>
    <row r="2937" spans="8:15" ht="14.25" customHeight="1" thickBot="1">
      <c r="H2937" s="882"/>
      <c r="I2937" s="876"/>
      <c r="J2937" s="878"/>
      <c r="K2937" s="880"/>
      <c r="L2937" s="882"/>
      <c r="M2937" s="884"/>
      <c r="N2937" s="56">
        <v>721</v>
      </c>
      <c r="O2937" s="79">
        <f>+M2936-O2936</f>
        <v>0</v>
      </c>
    </row>
    <row r="2938" spans="8:15" ht="13.5" customHeight="1">
      <c r="H2938" s="881"/>
      <c r="I2938" s="875"/>
      <c r="J2938" s="877"/>
      <c r="K2938" s="879"/>
      <c r="L2938" s="881"/>
      <c r="M2938" s="883"/>
      <c r="N2938" s="55">
        <v>719</v>
      </c>
      <c r="O2938" s="78"/>
    </row>
    <row r="2939" spans="8:15" ht="12.75" customHeight="1" thickBot="1">
      <c r="H2939" s="882"/>
      <c r="I2939" s="876"/>
      <c r="J2939" s="878"/>
      <c r="K2939" s="880"/>
      <c r="L2939" s="882"/>
      <c r="M2939" s="884"/>
      <c r="N2939" s="56">
        <v>721</v>
      </c>
      <c r="O2939" s="79">
        <f>+M2938-O2938</f>
        <v>0</v>
      </c>
    </row>
    <row r="2940" spans="8:15" ht="16.5" thickBot="1">
      <c r="H2940" s="901" t="s">
        <v>102</v>
      </c>
      <c r="I2940" s="902"/>
      <c r="J2940" s="902"/>
      <c r="K2940" s="902"/>
      <c r="L2940" s="903"/>
      <c r="M2940" s="81">
        <f>SUM(M2930:M2939)</f>
        <v>150000</v>
      </c>
    </row>
    <row r="2941" spans="8:15" ht="16.5" thickBot="1">
      <c r="H2941" s="885" t="s">
        <v>103</v>
      </c>
      <c r="I2941" s="886"/>
      <c r="J2941" s="886"/>
      <c r="K2941" s="886"/>
      <c r="L2941" s="887"/>
      <c r="M2941" s="69">
        <f>+M2905</f>
        <v>556668459</v>
      </c>
      <c r="N2941" s="241" t="s">
        <v>561</v>
      </c>
      <c r="O2941" s="242">
        <f>76+80+291</f>
        <v>447</v>
      </c>
    </row>
    <row r="2942" spans="8:15" ht="16.5" thickBot="1">
      <c r="H2942" s="888" t="s">
        <v>104</v>
      </c>
      <c r="I2942" s="889"/>
      <c r="J2942" s="889"/>
      <c r="K2942" s="889"/>
      <c r="L2942" s="890"/>
      <c r="M2942" s="183">
        <f>SUM(M2940:M2941)</f>
        <v>556818459</v>
      </c>
    </row>
    <row r="2943" spans="8:15">
      <c r="H2943" s="61"/>
      <c r="I2943" s="61"/>
      <c r="J2943" s="61"/>
      <c r="K2943" s="61"/>
      <c r="L2943" s="61"/>
    </row>
    <row r="2944" spans="8:15">
      <c r="H2944" s="51" t="s">
        <v>1194</v>
      </c>
    </row>
    <row r="2945" spans="8:14">
      <c r="M2945" s="139"/>
    </row>
    <row r="2946" spans="8:14">
      <c r="H2946" s="50" t="s">
        <v>105</v>
      </c>
      <c r="K2946" s="146"/>
      <c r="M2946" s="139"/>
    </row>
    <row r="2947" spans="8:14" ht="12.75" customHeight="1" thickBot="1"/>
    <row r="2948" spans="8:14" ht="15.75" thickBot="1">
      <c r="H2948" s="891" t="s">
        <v>106</v>
      </c>
      <c r="I2948" s="892"/>
      <c r="J2948" s="892"/>
      <c r="K2948" s="893"/>
      <c r="M2948" s="50" t="s">
        <v>1126</v>
      </c>
    </row>
    <row r="2949" spans="8:14" ht="45.75" thickBot="1">
      <c r="H2949" s="57" t="s">
        <v>100</v>
      </c>
      <c r="I2949" s="58" t="s">
        <v>108</v>
      </c>
      <c r="J2949" s="287" t="s">
        <v>109</v>
      </c>
      <c r="K2949" s="60" t="s">
        <v>110</v>
      </c>
    </row>
    <row r="2950" spans="8:14">
      <c r="H2950" s="71">
        <v>719</v>
      </c>
      <c r="I2950" s="73">
        <f>+O2930+O2932+O2934+O2936</f>
        <v>150000</v>
      </c>
      <c r="J2950" s="74">
        <f>+K2913</f>
        <v>65890000</v>
      </c>
      <c r="K2950" s="195">
        <f>+I2950+J2950</f>
        <v>66040000</v>
      </c>
    </row>
    <row r="2951" spans="8:14">
      <c r="H2951" s="72">
        <v>721</v>
      </c>
      <c r="I2951" s="80">
        <f>+O2931+O2933+O2935+O2937+O2939</f>
        <v>0</v>
      </c>
      <c r="J2951" s="74">
        <f>+K2914</f>
        <v>173610046</v>
      </c>
      <c r="K2951" s="195">
        <f>+I2951+J2951</f>
        <v>173610046</v>
      </c>
    </row>
    <row r="2952" spans="8:14">
      <c r="H2952" s="72">
        <v>722</v>
      </c>
      <c r="I2952" s="80"/>
      <c r="J2952" s="74">
        <f>+K2915</f>
        <v>5580000</v>
      </c>
      <c r="K2952" s="195">
        <f>+I2952+J2952</f>
        <v>5580000</v>
      </c>
    </row>
    <row r="2953" spans="8:14" ht="15.75">
      <c r="H2953" s="72">
        <v>723</v>
      </c>
      <c r="I2953" s="80"/>
      <c r="J2953" s="74">
        <f>+K2916</f>
        <v>310720913</v>
      </c>
      <c r="K2953" s="195">
        <f>+I2953+J2953</f>
        <v>310720913</v>
      </c>
      <c r="M2953" s="193" t="s">
        <v>1028</v>
      </c>
      <c r="N2953" s="175"/>
    </row>
    <row r="2954" spans="8:14" ht="16.5" thickBot="1">
      <c r="H2954" s="164" t="s">
        <v>1077</v>
      </c>
      <c r="I2954" s="165"/>
      <c r="J2954" s="74">
        <f>+K2917</f>
        <v>797500</v>
      </c>
      <c r="K2954" s="196">
        <f>+I2954+J2954</f>
        <v>797500</v>
      </c>
      <c r="M2954" s="52"/>
    </row>
    <row r="2955" spans="8:14" ht="16.5" thickBot="1">
      <c r="H2955" s="169"/>
      <c r="I2955" s="197">
        <f>SUM(I2950:I2954)</f>
        <v>150000</v>
      </c>
      <c r="J2955" s="197">
        <f>SUM(J2950:J2954)</f>
        <v>556598459</v>
      </c>
      <c r="K2955" s="198">
        <f>SUM(K2950:K2954)</f>
        <v>556748459</v>
      </c>
    </row>
    <row r="2956" spans="8:14" ht="16.5">
      <c r="H2956" s="49" t="s">
        <v>88</v>
      </c>
      <c r="I2956" s="50"/>
    </row>
    <row r="2957" spans="8:14">
      <c r="H2957" s="51" t="s">
        <v>89</v>
      </c>
    </row>
    <row r="2958" spans="8:14">
      <c r="H2958" s="51" t="s">
        <v>90</v>
      </c>
    </row>
    <row r="2959" spans="8:14">
      <c r="H2959" s="51" t="s">
        <v>91</v>
      </c>
    </row>
    <row r="2960" spans="8:14" ht="9.75" customHeight="1">
      <c r="H2960" s="50"/>
      <c r="I2960" s="50"/>
    </row>
    <row r="2961" spans="8:15" ht="15.75">
      <c r="H2961" s="260" t="s">
        <v>1197</v>
      </c>
      <c r="N2961" s="52"/>
    </row>
    <row r="2962" spans="8:15" ht="15.75">
      <c r="H2962" s="53" t="s">
        <v>535</v>
      </c>
      <c r="N2962" s="53"/>
    </row>
    <row r="2963" spans="8:15" ht="16.5">
      <c r="H2963" s="894" t="s">
        <v>909</v>
      </c>
      <c r="I2963" s="894"/>
      <c r="J2963" s="894"/>
      <c r="K2963" s="894"/>
      <c r="L2963" s="894"/>
      <c r="M2963" s="894"/>
      <c r="N2963" s="894"/>
      <c r="O2963" s="894"/>
    </row>
    <row r="2964" spans="8:15" ht="15.75" thickBot="1"/>
    <row r="2965" spans="8:15">
      <c r="H2965" s="895" t="s">
        <v>94</v>
      </c>
      <c r="I2965" s="897" t="s">
        <v>95</v>
      </c>
      <c r="J2965" s="897" t="s">
        <v>96</v>
      </c>
      <c r="K2965" s="897" t="s">
        <v>3</v>
      </c>
      <c r="L2965" s="897" t="s">
        <v>97</v>
      </c>
      <c r="M2965" s="897" t="s">
        <v>98</v>
      </c>
      <c r="N2965" s="897" t="s">
        <v>99</v>
      </c>
      <c r="O2965" s="899"/>
    </row>
    <row r="2966" spans="8:15" ht="15.75" thickBot="1">
      <c r="H2966" s="896"/>
      <c r="I2966" s="898"/>
      <c r="J2966" s="898"/>
      <c r="K2966" s="898"/>
      <c r="L2966" s="898"/>
      <c r="M2966" s="898"/>
      <c r="N2966" s="240" t="s">
        <v>100</v>
      </c>
      <c r="O2966" s="182" t="s">
        <v>101</v>
      </c>
    </row>
    <row r="2967" spans="8:15">
      <c r="H2967" s="881">
        <v>316</v>
      </c>
      <c r="I2967" s="875">
        <v>42684</v>
      </c>
      <c r="J2967" s="877" t="s">
        <v>267</v>
      </c>
      <c r="K2967" s="879" t="s">
        <v>1195</v>
      </c>
      <c r="L2967" s="881" t="s">
        <v>148</v>
      </c>
      <c r="M2967" s="883">
        <v>130000</v>
      </c>
      <c r="N2967" s="55">
        <v>719</v>
      </c>
      <c r="O2967" s="78">
        <v>100000</v>
      </c>
    </row>
    <row r="2968" spans="8:15" ht="15.75" thickBot="1">
      <c r="H2968" s="882"/>
      <c r="I2968" s="876"/>
      <c r="J2968" s="878"/>
      <c r="K2968" s="880"/>
      <c r="L2968" s="882"/>
      <c r="M2968" s="884"/>
      <c r="N2968" s="56">
        <v>721</v>
      </c>
      <c r="O2968" s="79">
        <f>+M2967-O2967</f>
        <v>30000</v>
      </c>
    </row>
    <row r="2969" spans="8:15" ht="15" customHeight="1">
      <c r="H2969" s="881">
        <v>317</v>
      </c>
      <c r="I2969" s="875">
        <v>42684</v>
      </c>
      <c r="J2969" s="877" t="s">
        <v>28</v>
      </c>
      <c r="K2969" s="879" t="s">
        <v>1196</v>
      </c>
      <c r="L2969" s="881" t="s">
        <v>148</v>
      </c>
      <c r="M2969" s="883">
        <v>559000</v>
      </c>
      <c r="N2969" s="55">
        <v>719</v>
      </c>
      <c r="O2969" s="78">
        <v>430000</v>
      </c>
    </row>
    <row r="2970" spans="8:15" ht="15.75" customHeight="1" thickBot="1">
      <c r="H2970" s="882"/>
      <c r="I2970" s="876"/>
      <c r="J2970" s="878"/>
      <c r="K2970" s="880"/>
      <c r="L2970" s="882"/>
      <c r="M2970" s="884"/>
      <c r="N2970" s="56">
        <v>721</v>
      </c>
      <c r="O2970" s="79">
        <f>+M2969-O2969</f>
        <v>129000</v>
      </c>
    </row>
    <row r="2971" spans="8:15" ht="15" customHeight="1">
      <c r="H2971" s="881">
        <v>318</v>
      </c>
      <c r="I2971" s="875">
        <v>42684</v>
      </c>
      <c r="J2971" s="877" t="s">
        <v>111</v>
      </c>
      <c r="K2971" s="879" t="s">
        <v>1198</v>
      </c>
      <c r="L2971" s="881" t="s">
        <v>148</v>
      </c>
      <c r="M2971" s="883">
        <v>104000</v>
      </c>
      <c r="N2971" s="55">
        <v>719</v>
      </c>
      <c r="O2971" s="78">
        <v>80000</v>
      </c>
    </row>
    <row r="2972" spans="8:15" ht="15.75" customHeight="1" thickBot="1">
      <c r="H2972" s="882"/>
      <c r="I2972" s="876"/>
      <c r="J2972" s="878"/>
      <c r="K2972" s="880"/>
      <c r="L2972" s="882"/>
      <c r="M2972" s="884"/>
      <c r="N2972" s="56">
        <v>721</v>
      </c>
      <c r="O2972" s="79">
        <f>+M2971-O2971</f>
        <v>24000</v>
      </c>
    </row>
    <row r="2973" spans="8:15" ht="15" customHeight="1">
      <c r="H2973" s="881">
        <v>319</v>
      </c>
      <c r="I2973" s="875">
        <v>42684</v>
      </c>
      <c r="J2973" s="877" t="s">
        <v>1014</v>
      </c>
      <c r="K2973" s="879" t="s">
        <v>1196</v>
      </c>
      <c r="L2973" s="881" t="s">
        <v>148</v>
      </c>
      <c r="M2973" s="883">
        <v>1105000</v>
      </c>
      <c r="N2973" s="55">
        <v>719</v>
      </c>
      <c r="O2973" s="78">
        <v>850000</v>
      </c>
    </row>
    <row r="2974" spans="8:15" ht="15.75" customHeight="1" thickBot="1">
      <c r="H2974" s="882"/>
      <c r="I2974" s="876"/>
      <c r="J2974" s="878"/>
      <c r="K2974" s="880"/>
      <c r="L2974" s="882"/>
      <c r="M2974" s="884"/>
      <c r="N2974" s="56">
        <v>721</v>
      </c>
      <c r="O2974" s="79">
        <f>+M2973-O2973</f>
        <v>255000</v>
      </c>
    </row>
    <row r="2975" spans="8:15">
      <c r="H2975" s="881"/>
      <c r="I2975" s="875"/>
      <c r="J2975" s="877"/>
      <c r="K2975" s="879"/>
      <c r="L2975" s="881"/>
      <c r="M2975" s="883"/>
      <c r="N2975" s="55">
        <v>719</v>
      </c>
      <c r="O2975" s="78"/>
    </row>
    <row r="2976" spans="8:15" ht="15.75" thickBot="1">
      <c r="H2976" s="882"/>
      <c r="I2976" s="876"/>
      <c r="J2976" s="878"/>
      <c r="K2976" s="880"/>
      <c r="L2976" s="882"/>
      <c r="M2976" s="884"/>
      <c r="N2976" s="56">
        <v>721</v>
      </c>
      <c r="O2976" s="79">
        <f>+M2975-O2975</f>
        <v>0</v>
      </c>
    </row>
    <row r="2977" spans="8:15" ht="16.5" thickBot="1">
      <c r="H2977" s="901" t="s">
        <v>102</v>
      </c>
      <c r="I2977" s="902"/>
      <c r="J2977" s="902"/>
      <c r="K2977" s="902"/>
      <c r="L2977" s="903"/>
      <c r="M2977" s="81">
        <f>SUM(M2967:M2976)</f>
        <v>1898000</v>
      </c>
    </row>
    <row r="2978" spans="8:15" ht="16.5" thickBot="1">
      <c r="H2978" s="885" t="s">
        <v>103</v>
      </c>
      <c r="I2978" s="886"/>
      <c r="J2978" s="886"/>
      <c r="K2978" s="886"/>
      <c r="L2978" s="887"/>
      <c r="M2978" s="69">
        <f>+M2942</f>
        <v>556818459</v>
      </c>
      <c r="N2978" s="241" t="s">
        <v>561</v>
      </c>
      <c r="O2978" s="242">
        <f>1061+35+841+56</f>
        <v>1993</v>
      </c>
    </row>
    <row r="2979" spans="8:15" ht="16.5" thickBot="1">
      <c r="H2979" s="888" t="s">
        <v>104</v>
      </c>
      <c r="I2979" s="889"/>
      <c r="J2979" s="889"/>
      <c r="K2979" s="889"/>
      <c r="L2979" s="890"/>
      <c r="M2979" s="183">
        <f>SUM(M2977:M2978)</f>
        <v>558716459</v>
      </c>
    </row>
    <row r="2980" spans="8:15">
      <c r="H2980" s="61"/>
      <c r="I2980" s="61"/>
      <c r="J2980" s="61"/>
      <c r="K2980" s="61"/>
      <c r="L2980" s="61"/>
    </row>
    <row r="2981" spans="8:15">
      <c r="H2981" s="51" t="s">
        <v>1199</v>
      </c>
    </row>
    <row r="2982" spans="8:15">
      <c r="M2982" s="139"/>
    </row>
    <row r="2983" spans="8:15">
      <c r="H2983" s="50" t="s">
        <v>105</v>
      </c>
      <c r="K2983" s="146"/>
      <c r="M2983" s="139"/>
    </row>
    <row r="2984" spans="8:15" ht="10.5" customHeight="1" thickBot="1"/>
    <row r="2985" spans="8:15" ht="15.75" thickBot="1">
      <c r="H2985" s="891" t="s">
        <v>106</v>
      </c>
      <c r="I2985" s="892"/>
      <c r="J2985" s="892"/>
      <c r="K2985" s="893"/>
      <c r="M2985" s="50" t="s">
        <v>1126</v>
      </c>
    </row>
    <row r="2986" spans="8:15" ht="45.75" thickBot="1">
      <c r="H2986" s="57" t="s">
        <v>100</v>
      </c>
      <c r="I2986" s="58" t="s">
        <v>108</v>
      </c>
      <c r="J2986" s="287" t="s">
        <v>109</v>
      </c>
      <c r="K2986" s="60" t="s">
        <v>110</v>
      </c>
    </row>
    <row r="2987" spans="8:15">
      <c r="H2987" s="71">
        <v>719</v>
      </c>
      <c r="I2987" s="73">
        <f>+O2967+O2969+O2971+O2973</f>
        <v>1460000</v>
      </c>
      <c r="J2987" s="74">
        <f>+K2950</f>
        <v>66040000</v>
      </c>
      <c r="K2987" s="195">
        <f>+I2987+J2987</f>
        <v>67500000</v>
      </c>
    </row>
    <row r="2988" spans="8:15">
      <c r="H2988" s="72">
        <v>721</v>
      </c>
      <c r="I2988" s="80">
        <f>+O2968+O2970+O2972+O2974+O2976</f>
        <v>438000</v>
      </c>
      <c r="J2988" s="74">
        <f>+K2951</f>
        <v>173610046</v>
      </c>
      <c r="K2988" s="195">
        <f>+I2988+J2988</f>
        <v>174048046</v>
      </c>
    </row>
    <row r="2989" spans="8:15">
      <c r="H2989" s="72">
        <v>722</v>
      </c>
      <c r="I2989" s="80"/>
      <c r="J2989" s="74">
        <f>+K2952</f>
        <v>5580000</v>
      </c>
      <c r="K2989" s="195">
        <f>+I2989+J2989</f>
        <v>5580000</v>
      </c>
    </row>
    <row r="2990" spans="8:15" ht="15.75">
      <c r="H2990" s="72">
        <v>723</v>
      </c>
      <c r="I2990" s="80"/>
      <c r="J2990" s="74">
        <f>+K2953</f>
        <v>310720913</v>
      </c>
      <c r="K2990" s="195">
        <f>+I2990+J2990</f>
        <v>310720913</v>
      </c>
      <c r="M2990" s="193" t="s">
        <v>1028</v>
      </c>
      <c r="N2990" s="175"/>
    </row>
    <row r="2991" spans="8:15" ht="16.5" thickBot="1">
      <c r="H2991" s="164" t="s">
        <v>1077</v>
      </c>
      <c r="I2991" s="165"/>
      <c r="J2991" s="74">
        <f>+K2954</f>
        <v>797500</v>
      </c>
      <c r="K2991" s="196">
        <f>+I2991+J2991</f>
        <v>797500</v>
      </c>
      <c r="M2991" s="52"/>
    </row>
    <row r="2992" spans="8:15" ht="16.5" thickBot="1">
      <c r="H2992" s="169"/>
      <c r="I2992" s="197">
        <f>SUM(I2987:I2991)</f>
        <v>1898000</v>
      </c>
      <c r="J2992" s="197">
        <f>SUM(J2987:J2991)</f>
        <v>556748459</v>
      </c>
      <c r="K2992" s="198">
        <f>SUM(K2987:K2991)</f>
        <v>558646459</v>
      </c>
    </row>
    <row r="2993" spans="8:15" ht="16.5">
      <c r="H2993" s="49" t="s">
        <v>88</v>
      </c>
      <c r="I2993" s="50"/>
    </row>
    <row r="2994" spans="8:15">
      <c r="H2994" s="51" t="s">
        <v>89</v>
      </c>
    </row>
    <row r="2995" spans="8:15">
      <c r="H2995" s="51" t="s">
        <v>90</v>
      </c>
    </row>
    <row r="2996" spans="8:15">
      <c r="H2996" s="51" t="s">
        <v>91</v>
      </c>
    </row>
    <row r="2997" spans="8:15" ht="12" customHeight="1">
      <c r="H2997" s="50"/>
      <c r="I2997" s="50"/>
    </row>
    <row r="2998" spans="8:15" ht="15.75">
      <c r="H2998" s="260" t="s">
        <v>1200</v>
      </c>
      <c r="N2998" s="52"/>
    </row>
    <row r="2999" spans="8:15" ht="15.75">
      <c r="H2999" s="53" t="s">
        <v>535</v>
      </c>
      <c r="N2999" s="53"/>
    </row>
    <row r="3000" spans="8:15" ht="16.5">
      <c r="H3000" s="894" t="s">
        <v>909</v>
      </c>
      <c r="I3000" s="894"/>
      <c r="J3000" s="894"/>
      <c r="K3000" s="894"/>
      <c r="L3000" s="894"/>
      <c r="M3000" s="894"/>
      <c r="N3000" s="894"/>
      <c r="O3000" s="894"/>
    </row>
    <row r="3001" spans="8:15" ht="15.75" thickBot="1"/>
    <row r="3002" spans="8:15">
      <c r="H3002" s="895" t="s">
        <v>94</v>
      </c>
      <c r="I3002" s="897" t="s">
        <v>95</v>
      </c>
      <c r="J3002" s="897" t="s">
        <v>96</v>
      </c>
      <c r="K3002" s="897" t="s">
        <v>3</v>
      </c>
      <c r="L3002" s="897" t="s">
        <v>97</v>
      </c>
      <c r="M3002" s="897" t="s">
        <v>98</v>
      </c>
      <c r="N3002" s="897" t="s">
        <v>99</v>
      </c>
      <c r="O3002" s="899"/>
    </row>
    <row r="3003" spans="8:15" ht="15.75" thickBot="1">
      <c r="H3003" s="896"/>
      <c r="I3003" s="898"/>
      <c r="J3003" s="898"/>
      <c r="K3003" s="898"/>
      <c r="L3003" s="898"/>
      <c r="M3003" s="898"/>
      <c r="N3003" s="240" t="s">
        <v>100</v>
      </c>
      <c r="O3003" s="182" t="s">
        <v>101</v>
      </c>
    </row>
    <row r="3004" spans="8:15">
      <c r="H3004" s="881">
        <v>320</v>
      </c>
      <c r="I3004" s="875">
        <v>42684</v>
      </c>
      <c r="J3004" s="877" t="s">
        <v>267</v>
      </c>
      <c r="K3004" s="879" t="s">
        <v>1201</v>
      </c>
      <c r="L3004" s="881" t="s">
        <v>148</v>
      </c>
      <c r="M3004" s="883">
        <v>52000</v>
      </c>
      <c r="N3004" s="55">
        <v>719</v>
      </c>
      <c r="O3004" s="78">
        <v>40000</v>
      </c>
    </row>
    <row r="3005" spans="8:15" ht="15.75" thickBot="1">
      <c r="H3005" s="882"/>
      <c r="I3005" s="876"/>
      <c r="J3005" s="878"/>
      <c r="K3005" s="880"/>
      <c r="L3005" s="882"/>
      <c r="M3005" s="884"/>
      <c r="N3005" s="56">
        <v>721</v>
      </c>
      <c r="O3005" s="79">
        <f>+M3004-O3004</f>
        <v>12000</v>
      </c>
    </row>
    <row r="3006" spans="8:15">
      <c r="H3006" s="881">
        <v>321</v>
      </c>
      <c r="I3006" s="875">
        <v>42684</v>
      </c>
      <c r="J3006" s="877" t="s">
        <v>28</v>
      </c>
      <c r="K3006" s="879" t="s">
        <v>1202</v>
      </c>
      <c r="L3006" s="881" t="s">
        <v>148</v>
      </c>
      <c r="M3006" s="883">
        <v>442000</v>
      </c>
      <c r="N3006" s="55">
        <v>719</v>
      </c>
      <c r="O3006" s="78">
        <v>340000</v>
      </c>
    </row>
    <row r="3007" spans="8:15" ht="15.75" thickBot="1">
      <c r="H3007" s="882"/>
      <c r="I3007" s="876"/>
      <c r="J3007" s="878"/>
      <c r="K3007" s="880"/>
      <c r="L3007" s="882"/>
      <c r="M3007" s="884"/>
      <c r="N3007" s="56">
        <v>721</v>
      </c>
      <c r="O3007" s="79">
        <f>+M3006-O3006</f>
        <v>102000</v>
      </c>
    </row>
    <row r="3008" spans="8:15">
      <c r="H3008" s="881">
        <v>322</v>
      </c>
      <c r="I3008" s="875">
        <v>42684</v>
      </c>
      <c r="J3008" s="877" t="s">
        <v>111</v>
      </c>
      <c r="K3008" s="879" t="s">
        <v>1203</v>
      </c>
      <c r="L3008" s="881" t="s">
        <v>148</v>
      </c>
      <c r="M3008" s="883">
        <v>104000</v>
      </c>
      <c r="N3008" s="55">
        <v>719</v>
      </c>
      <c r="O3008" s="78">
        <v>80000</v>
      </c>
    </row>
    <row r="3009" spans="8:15" ht="15.75" thickBot="1">
      <c r="H3009" s="882"/>
      <c r="I3009" s="876"/>
      <c r="J3009" s="878"/>
      <c r="K3009" s="880"/>
      <c r="L3009" s="882"/>
      <c r="M3009" s="884"/>
      <c r="N3009" s="56">
        <v>721</v>
      </c>
      <c r="O3009" s="79">
        <f>+M3008-O3008</f>
        <v>24000</v>
      </c>
    </row>
    <row r="3010" spans="8:15">
      <c r="H3010" s="881">
        <v>323</v>
      </c>
      <c r="I3010" s="875">
        <v>42684</v>
      </c>
      <c r="J3010" s="877" t="s">
        <v>1014</v>
      </c>
      <c r="K3010" s="879" t="s">
        <v>1202</v>
      </c>
      <c r="L3010" s="881" t="s">
        <v>148</v>
      </c>
      <c r="M3010" s="883">
        <v>1053000</v>
      </c>
      <c r="N3010" s="55">
        <v>719</v>
      </c>
      <c r="O3010" s="78">
        <v>810000</v>
      </c>
    </row>
    <row r="3011" spans="8:15" ht="15.75" thickBot="1">
      <c r="H3011" s="882"/>
      <c r="I3011" s="876"/>
      <c r="J3011" s="878"/>
      <c r="K3011" s="880"/>
      <c r="L3011" s="882"/>
      <c r="M3011" s="884"/>
      <c r="N3011" s="56">
        <v>721</v>
      </c>
      <c r="O3011" s="79">
        <f>+M3010-O3010</f>
        <v>243000</v>
      </c>
    </row>
    <row r="3012" spans="8:15">
      <c r="H3012" s="881"/>
      <c r="I3012" s="875"/>
      <c r="J3012" s="877"/>
      <c r="K3012" s="879"/>
      <c r="L3012" s="881"/>
      <c r="M3012" s="883"/>
      <c r="N3012" s="55">
        <v>719</v>
      </c>
      <c r="O3012" s="78"/>
    </row>
    <row r="3013" spans="8:15" ht="15.75" thickBot="1">
      <c r="H3013" s="882"/>
      <c r="I3013" s="876"/>
      <c r="J3013" s="878"/>
      <c r="K3013" s="880"/>
      <c r="L3013" s="882"/>
      <c r="M3013" s="884"/>
      <c r="N3013" s="56">
        <v>721</v>
      </c>
      <c r="O3013" s="79">
        <f>+M3012-O3012</f>
        <v>0</v>
      </c>
    </row>
    <row r="3014" spans="8:15" ht="16.5" thickBot="1">
      <c r="H3014" s="901" t="s">
        <v>102</v>
      </c>
      <c r="I3014" s="902"/>
      <c r="J3014" s="902"/>
      <c r="K3014" s="902"/>
      <c r="L3014" s="903"/>
      <c r="M3014" s="81">
        <f>SUM(M3004:M3013)</f>
        <v>1651000</v>
      </c>
    </row>
    <row r="3015" spans="8:15" ht="16.5" thickBot="1">
      <c r="H3015" s="885" t="s">
        <v>103</v>
      </c>
      <c r="I3015" s="886"/>
      <c r="J3015" s="886"/>
      <c r="K3015" s="886"/>
      <c r="L3015" s="887"/>
      <c r="M3015" s="69">
        <f>+M2979</f>
        <v>558716459</v>
      </c>
      <c r="N3015" s="241" t="s">
        <v>561</v>
      </c>
      <c r="O3015" s="242">
        <f>1174+29+720+29</f>
        <v>1952</v>
      </c>
    </row>
    <row r="3016" spans="8:15" ht="16.5" thickBot="1">
      <c r="H3016" s="888" t="s">
        <v>104</v>
      </c>
      <c r="I3016" s="889"/>
      <c r="J3016" s="889"/>
      <c r="K3016" s="889"/>
      <c r="L3016" s="890"/>
      <c r="M3016" s="183">
        <f>SUM(M3014:M3015)</f>
        <v>560367459</v>
      </c>
    </row>
    <row r="3017" spans="8:15" ht="11.25" customHeight="1">
      <c r="H3017" s="61"/>
      <c r="I3017" s="61"/>
      <c r="J3017" s="61"/>
      <c r="K3017" s="61"/>
      <c r="L3017" s="61"/>
    </row>
    <row r="3018" spans="8:15">
      <c r="H3018" s="51" t="s">
        <v>1204</v>
      </c>
    </row>
    <row r="3019" spans="8:15">
      <c r="M3019" s="139"/>
    </row>
    <row r="3020" spans="8:15">
      <c r="H3020" s="50" t="s">
        <v>105</v>
      </c>
      <c r="K3020" s="146"/>
      <c r="M3020" s="139"/>
    </row>
    <row r="3021" spans="8:15" ht="14.25" customHeight="1" thickBot="1"/>
    <row r="3022" spans="8:15" ht="15.75" thickBot="1">
      <c r="H3022" s="891" t="s">
        <v>106</v>
      </c>
      <c r="I3022" s="892"/>
      <c r="J3022" s="892"/>
      <c r="K3022" s="893"/>
      <c r="M3022" s="50" t="s">
        <v>1126</v>
      </c>
    </row>
    <row r="3023" spans="8:15" ht="45.75" thickBot="1">
      <c r="H3023" s="57" t="s">
        <v>100</v>
      </c>
      <c r="I3023" s="58" t="s">
        <v>108</v>
      </c>
      <c r="J3023" s="287" t="s">
        <v>109</v>
      </c>
      <c r="K3023" s="60" t="s">
        <v>110</v>
      </c>
    </row>
    <row r="3024" spans="8:15">
      <c r="H3024" s="71">
        <v>719</v>
      </c>
      <c r="I3024" s="73">
        <f>+O3004+O3006+O3008+O3010</f>
        <v>1270000</v>
      </c>
      <c r="J3024" s="74">
        <f>+K2987</f>
        <v>67500000</v>
      </c>
      <c r="K3024" s="195">
        <f>+I3024+J3024</f>
        <v>68770000</v>
      </c>
    </row>
    <row r="3025" spans="8:15">
      <c r="H3025" s="72">
        <v>721</v>
      </c>
      <c r="I3025" s="80">
        <f>+O3005+O3007+O3009+O3011+O3013</f>
        <v>381000</v>
      </c>
      <c r="J3025" s="74">
        <f>+K2988</f>
        <v>174048046</v>
      </c>
      <c r="K3025" s="195">
        <f>+I3025+J3025</f>
        <v>174429046</v>
      </c>
    </row>
    <row r="3026" spans="8:15">
      <c r="H3026" s="72">
        <v>722</v>
      </c>
      <c r="I3026" s="80"/>
      <c r="J3026" s="74">
        <f>+K2989</f>
        <v>5580000</v>
      </c>
      <c r="K3026" s="195">
        <f>+I3026+J3026</f>
        <v>5580000</v>
      </c>
    </row>
    <row r="3027" spans="8:15" ht="15.75">
      <c r="H3027" s="72">
        <v>723</v>
      </c>
      <c r="I3027" s="80"/>
      <c r="J3027" s="74">
        <f>+K2990</f>
        <v>310720913</v>
      </c>
      <c r="K3027" s="195">
        <f>+I3027+J3027</f>
        <v>310720913</v>
      </c>
      <c r="M3027" s="193" t="s">
        <v>1028</v>
      </c>
      <c r="N3027" s="175"/>
    </row>
    <row r="3028" spans="8:15" ht="16.5" thickBot="1">
      <c r="H3028" s="164" t="s">
        <v>1077</v>
      </c>
      <c r="I3028" s="165"/>
      <c r="J3028" s="74">
        <f>+K2991</f>
        <v>797500</v>
      </c>
      <c r="K3028" s="196">
        <f>+I3028+J3028</f>
        <v>797500</v>
      </c>
      <c r="M3028" s="52"/>
    </row>
    <row r="3029" spans="8:15" ht="16.5" thickBot="1">
      <c r="H3029" s="169"/>
      <c r="I3029" s="197">
        <f>SUM(I3024:I3028)</f>
        <v>1651000</v>
      </c>
      <c r="J3029" s="197">
        <f>SUM(J3024:J3028)</f>
        <v>558646459</v>
      </c>
      <c r="K3029" s="198">
        <f>SUM(K3024:K3028)</f>
        <v>560297459</v>
      </c>
    </row>
    <row r="3030" spans="8:15" ht="16.5">
      <c r="H3030" s="49" t="s">
        <v>88</v>
      </c>
      <c r="I3030" s="50"/>
    </row>
    <row r="3031" spans="8:15">
      <c r="H3031" s="51" t="s">
        <v>89</v>
      </c>
    </row>
    <row r="3032" spans="8:15">
      <c r="H3032" s="51" t="s">
        <v>90</v>
      </c>
    </row>
    <row r="3033" spans="8:15">
      <c r="H3033" s="51" t="s">
        <v>91</v>
      </c>
    </row>
    <row r="3034" spans="8:15" ht="12" customHeight="1">
      <c r="H3034" s="50"/>
      <c r="I3034" s="50"/>
    </row>
    <row r="3035" spans="8:15" ht="15.75">
      <c r="H3035" s="260" t="s">
        <v>1206</v>
      </c>
      <c r="N3035" s="52"/>
    </row>
    <row r="3036" spans="8:15" ht="15.75">
      <c r="H3036" s="53" t="s">
        <v>535</v>
      </c>
      <c r="N3036" s="53"/>
    </row>
    <row r="3037" spans="8:15" ht="16.5">
      <c r="H3037" s="894" t="s">
        <v>909</v>
      </c>
      <c r="I3037" s="894"/>
      <c r="J3037" s="894"/>
      <c r="K3037" s="894"/>
      <c r="L3037" s="894"/>
      <c r="M3037" s="894"/>
      <c r="N3037" s="894"/>
      <c r="O3037" s="894"/>
    </row>
    <row r="3038" spans="8:15" ht="15.75" thickBot="1"/>
    <row r="3039" spans="8:15">
      <c r="H3039" s="895" t="s">
        <v>94</v>
      </c>
      <c r="I3039" s="897" t="s">
        <v>95</v>
      </c>
      <c r="J3039" s="897" t="s">
        <v>96</v>
      </c>
      <c r="K3039" s="897" t="s">
        <v>3</v>
      </c>
      <c r="L3039" s="897" t="s">
        <v>97</v>
      </c>
      <c r="M3039" s="897" t="s">
        <v>98</v>
      </c>
      <c r="N3039" s="897" t="s">
        <v>99</v>
      </c>
      <c r="O3039" s="899"/>
    </row>
    <row r="3040" spans="8:15" ht="15.75" thickBot="1">
      <c r="H3040" s="896"/>
      <c r="I3040" s="898"/>
      <c r="J3040" s="898"/>
      <c r="K3040" s="898"/>
      <c r="L3040" s="898"/>
      <c r="M3040" s="898"/>
      <c r="N3040" s="240" t="s">
        <v>100</v>
      </c>
      <c r="O3040" s="182" t="s">
        <v>101</v>
      </c>
    </row>
    <row r="3041" spans="8:15">
      <c r="H3041" s="881">
        <v>324</v>
      </c>
      <c r="I3041" s="875">
        <v>42692</v>
      </c>
      <c r="J3041" s="877" t="s">
        <v>1014</v>
      </c>
      <c r="K3041" s="879" t="s">
        <v>1207</v>
      </c>
      <c r="L3041" s="881" t="s">
        <v>115</v>
      </c>
      <c r="M3041" s="883">
        <v>70000</v>
      </c>
      <c r="N3041" s="55">
        <v>719</v>
      </c>
      <c r="O3041" s="78">
        <v>70000</v>
      </c>
    </row>
    <row r="3042" spans="8:15" ht="15.75" thickBot="1">
      <c r="H3042" s="882"/>
      <c r="I3042" s="876"/>
      <c r="J3042" s="878"/>
      <c r="K3042" s="880"/>
      <c r="L3042" s="882"/>
      <c r="M3042" s="884"/>
      <c r="N3042" s="56">
        <v>721</v>
      </c>
      <c r="O3042" s="79">
        <f>+M3041-O3041</f>
        <v>0</v>
      </c>
    </row>
    <row r="3043" spans="8:15" ht="15" customHeight="1">
      <c r="H3043" s="881">
        <v>325</v>
      </c>
      <c r="I3043" s="875">
        <v>42692</v>
      </c>
      <c r="J3043" s="877" t="s">
        <v>28</v>
      </c>
      <c r="K3043" s="879" t="s">
        <v>1208</v>
      </c>
      <c r="L3043" s="881" t="s">
        <v>115</v>
      </c>
      <c r="M3043" s="883">
        <v>80000</v>
      </c>
      <c r="N3043" s="55">
        <v>719</v>
      </c>
      <c r="O3043" s="78">
        <v>80000</v>
      </c>
    </row>
    <row r="3044" spans="8:15" ht="15.75" customHeight="1" thickBot="1">
      <c r="H3044" s="882"/>
      <c r="I3044" s="876"/>
      <c r="J3044" s="878"/>
      <c r="K3044" s="880"/>
      <c r="L3044" s="882"/>
      <c r="M3044" s="884"/>
      <c r="N3044" s="56">
        <v>721</v>
      </c>
      <c r="O3044" s="79">
        <f>+M3043-O3043</f>
        <v>0</v>
      </c>
    </row>
    <row r="3045" spans="8:15" ht="15" customHeight="1">
      <c r="H3045" s="881">
        <v>326</v>
      </c>
      <c r="I3045" s="875">
        <v>42692</v>
      </c>
      <c r="J3045" s="877" t="s">
        <v>120</v>
      </c>
      <c r="K3045" s="879" t="s">
        <v>1209</v>
      </c>
      <c r="L3045" s="881" t="s">
        <v>115</v>
      </c>
      <c r="M3045" s="883">
        <v>110000</v>
      </c>
      <c r="N3045" s="55">
        <v>719</v>
      </c>
      <c r="O3045" s="78">
        <v>110000</v>
      </c>
    </row>
    <row r="3046" spans="8:15" ht="15.75" customHeight="1" thickBot="1">
      <c r="H3046" s="882"/>
      <c r="I3046" s="876"/>
      <c r="J3046" s="878"/>
      <c r="K3046" s="880"/>
      <c r="L3046" s="882"/>
      <c r="M3046" s="884"/>
      <c r="N3046" s="56">
        <v>721</v>
      </c>
      <c r="O3046" s="79">
        <f>+M3045-O3045</f>
        <v>0</v>
      </c>
    </row>
    <row r="3047" spans="8:15">
      <c r="H3047" s="881"/>
      <c r="I3047" s="875"/>
      <c r="J3047" s="877"/>
      <c r="K3047" s="879"/>
      <c r="L3047" s="881"/>
      <c r="M3047" s="883"/>
      <c r="N3047" s="55">
        <v>719</v>
      </c>
      <c r="O3047" s="78">
        <v>0</v>
      </c>
    </row>
    <row r="3048" spans="8:15" ht="15.75" thickBot="1">
      <c r="H3048" s="882"/>
      <c r="I3048" s="876"/>
      <c r="J3048" s="878"/>
      <c r="K3048" s="880"/>
      <c r="L3048" s="882"/>
      <c r="M3048" s="884"/>
      <c r="N3048" s="56">
        <v>721</v>
      </c>
      <c r="O3048" s="79">
        <f>+M3047-O3047</f>
        <v>0</v>
      </c>
    </row>
    <row r="3049" spans="8:15">
      <c r="H3049" s="881"/>
      <c r="I3049" s="875"/>
      <c r="J3049" s="877"/>
      <c r="K3049" s="879"/>
      <c r="L3049" s="881"/>
      <c r="M3049" s="883"/>
      <c r="N3049" s="55">
        <v>719</v>
      </c>
      <c r="O3049" s="78"/>
    </row>
    <row r="3050" spans="8:15" ht="15.75" thickBot="1">
      <c r="H3050" s="882"/>
      <c r="I3050" s="876"/>
      <c r="J3050" s="878"/>
      <c r="K3050" s="880"/>
      <c r="L3050" s="882"/>
      <c r="M3050" s="884"/>
      <c r="N3050" s="56">
        <v>721</v>
      </c>
      <c r="O3050" s="79">
        <f>+M3049-O3049</f>
        <v>0</v>
      </c>
    </row>
    <row r="3051" spans="8:15" ht="16.5" thickBot="1">
      <c r="H3051" s="901" t="s">
        <v>102</v>
      </c>
      <c r="I3051" s="902"/>
      <c r="J3051" s="902"/>
      <c r="K3051" s="902"/>
      <c r="L3051" s="903"/>
      <c r="M3051" s="81">
        <f>SUM(M3041:M3050)</f>
        <v>260000</v>
      </c>
    </row>
    <row r="3052" spans="8:15" ht="16.5" thickBot="1">
      <c r="H3052" s="885" t="s">
        <v>103</v>
      </c>
      <c r="I3052" s="886"/>
      <c r="J3052" s="886"/>
      <c r="K3052" s="886"/>
      <c r="L3052" s="887"/>
      <c r="M3052" s="69">
        <f>+M3016</f>
        <v>560367459</v>
      </c>
      <c r="N3052" s="241" t="s">
        <v>561</v>
      </c>
      <c r="O3052" s="242">
        <f>235+115+352</f>
        <v>702</v>
      </c>
    </row>
    <row r="3053" spans="8:15" ht="16.5" thickBot="1">
      <c r="H3053" s="888" t="s">
        <v>104</v>
      </c>
      <c r="I3053" s="889"/>
      <c r="J3053" s="889"/>
      <c r="K3053" s="889"/>
      <c r="L3053" s="890"/>
      <c r="M3053" s="183">
        <f>SUM(M3051:M3052)</f>
        <v>560627459</v>
      </c>
    </row>
    <row r="3054" spans="8:15">
      <c r="H3054" s="61"/>
      <c r="I3054" s="61"/>
      <c r="J3054" s="61"/>
      <c r="K3054" s="61"/>
      <c r="L3054" s="61"/>
    </row>
    <row r="3055" spans="8:15">
      <c r="H3055" s="51" t="s">
        <v>1210</v>
      </c>
    </row>
    <row r="3056" spans="8:15" ht="11.25" customHeight="1">
      <c r="M3056" s="139"/>
    </row>
    <row r="3057" spans="8:14">
      <c r="H3057" s="50" t="s">
        <v>105</v>
      </c>
      <c r="K3057" s="146"/>
      <c r="M3057" s="139"/>
    </row>
    <row r="3058" spans="8:14" ht="13.5" customHeight="1" thickBot="1"/>
    <row r="3059" spans="8:14" ht="15.75" thickBot="1">
      <c r="H3059" s="891" t="s">
        <v>106</v>
      </c>
      <c r="I3059" s="892"/>
      <c r="J3059" s="892"/>
      <c r="K3059" s="893"/>
      <c r="M3059" s="50" t="s">
        <v>1126</v>
      </c>
    </row>
    <row r="3060" spans="8:14" ht="45.75" thickBot="1">
      <c r="H3060" s="57" t="s">
        <v>100</v>
      </c>
      <c r="I3060" s="58" t="s">
        <v>108</v>
      </c>
      <c r="J3060" s="287" t="s">
        <v>109</v>
      </c>
      <c r="K3060" s="60" t="s">
        <v>110</v>
      </c>
    </row>
    <row r="3061" spans="8:14">
      <c r="H3061" s="71">
        <v>719</v>
      </c>
      <c r="I3061" s="73">
        <f>+O3041+O3043+O3045+O3047</f>
        <v>260000</v>
      </c>
      <c r="J3061" s="74">
        <f>+K3024</f>
        <v>68770000</v>
      </c>
      <c r="K3061" s="195">
        <f>+I3061+J3061</f>
        <v>69030000</v>
      </c>
    </row>
    <row r="3062" spans="8:14">
      <c r="H3062" s="72">
        <v>721</v>
      </c>
      <c r="I3062" s="80">
        <f>+O3042+O3044+O3046+O3048+O3050</f>
        <v>0</v>
      </c>
      <c r="J3062" s="74">
        <f>+K3025</f>
        <v>174429046</v>
      </c>
      <c r="K3062" s="195">
        <f>+I3062+J3062</f>
        <v>174429046</v>
      </c>
    </row>
    <row r="3063" spans="8:14">
      <c r="H3063" s="72">
        <v>722</v>
      </c>
      <c r="I3063" s="80"/>
      <c r="J3063" s="74">
        <f>+K3026</f>
        <v>5580000</v>
      </c>
      <c r="K3063" s="195">
        <f>+I3063+J3063</f>
        <v>5580000</v>
      </c>
    </row>
    <row r="3064" spans="8:14" ht="15.75">
      <c r="H3064" s="72">
        <v>723</v>
      </c>
      <c r="I3064" s="80"/>
      <c r="J3064" s="74">
        <f>+K3027</f>
        <v>310720913</v>
      </c>
      <c r="K3064" s="195">
        <f>+I3064+J3064</f>
        <v>310720913</v>
      </c>
      <c r="M3064" s="193" t="s">
        <v>1028</v>
      </c>
      <c r="N3064" s="175"/>
    </row>
    <row r="3065" spans="8:14" ht="16.5" thickBot="1">
      <c r="H3065" s="164" t="s">
        <v>1077</v>
      </c>
      <c r="I3065" s="165"/>
      <c r="J3065" s="74">
        <f>+K3028</f>
        <v>797500</v>
      </c>
      <c r="K3065" s="196">
        <f>+I3065+J3065</f>
        <v>797500</v>
      </c>
      <c r="M3065" s="52"/>
    </row>
    <row r="3066" spans="8:14" ht="16.5" thickBot="1">
      <c r="H3066" s="169"/>
      <c r="I3066" s="197">
        <f>SUM(I3061:I3065)</f>
        <v>260000</v>
      </c>
      <c r="J3066" s="197">
        <f>SUM(J3061:J3065)</f>
        <v>560297459</v>
      </c>
      <c r="K3066" s="198">
        <f>SUM(K3061:K3065)</f>
        <v>560557459</v>
      </c>
    </row>
    <row r="3067" spans="8:14" ht="16.5">
      <c r="H3067" s="49" t="s">
        <v>88</v>
      </c>
      <c r="I3067" s="50"/>
    </row>
    <row r="3068" spans="8:14">
      <c r="H3068" s="51" t="s">
        <v>89</v>
      </c>
    </row>
    <row r="3069" spans="8:14">
      <c r="H3069" s="51" t="s">
        <v>90</v>
      </c>
    </row>
    <row r="3070" spans="8:14">
      <c r="H3070" s="51" t="s">
        <v>91</v>
      </c>
    </row>
    <row r="3071" spans="8:14" ht="11.25" customHeight="1">
      <c r="H3071" s="50"/>
      <c r="I3071" s="50"/>
    </row>
    <row r="3072" spans="8:14" ht="15.75">
      <c r="H3072" s="260" t="s">
        <v>1217</v>
      </c>
      <c r="N3072" s="52"/>
    </row>
    <row r="3073" spans="8:15" ht="15.75">
      <c r="H3073" s="53" t="s">
        <v>535</v>
      </c>
      <c r="N3073" s="53"/>
    </row>
    <row r="3074" spans="8:15" ht="16.5">
      <c r="H3074" s="894" t="s">
        <v>909</v>
      </c>
      <c r="I3074" s="894"/>
      <c r="J3074" s="894"/>
      <c r="K3074" s="894"/>
      <c r="L3074" s="894"/>
      <c r="M3074" s="894"/>
      <c r="N3074" s="894"/>
      <c r="O3074" s="894"/>
    </row>
    <row r="3075" spans="8:15" ht="15.75" thickBot="1"/>
    <row r="3076" spans="8:15">
      <c r="H3076" s="895" t="s">
        <v>94</v>
      </c>
      <c r="I3076" s="897" t="s">
        <v>95</v>
      </c>
      <c r="J3076" s="897" t="s">
        <v>96</v>
      </c>
      <c r="K3076" s="897" t="s">
        <v>3</v>
      </c>
      <c r="L3076" s="897" t="s">
        <v>97</v>
      </c>
      <c r="M3076" s="897" t="s">
        <v>98</v>
      </c>
      <c r="N3076" s="897" t="s">
        <v>99</v>
      </c>
      <c r="O3076" s="899"/>
    </row>
    <row r="3077" spans="8:15" ht="15.75" thickBot="1">
      <c r="H3077" s="896"/>
      <c r="I3077" s="898"/>
      <c r="J3077" s="898"/>
      <c r="K3077" s="898"/>
      <c r="L3077" s="898"/>
      <c r="M3077" s="898"/>
      <c r="N3077" s="240" t="s">
        <v>100</v>
      </c>
      <c r="O3077" s="182" t="s">
        <v>101</v>
      </c>
    </row>
    <row r="3078" spans="8:15">
      <c r="H3078" s="881">
        <v>327</v>
      </c>
      <c r="I3078" s="875">
        <v>42703</v>
      </c>
      <c r="J3078" s="877" t="s">
        <v>1014</v>
      </c>
      <c r="K3078" s="879" t="s">
        <v>1218</v>
      </c>
      <c r="L3078" s="881" t="s">
        <v>115</v>
      </c>
      <c r="M3078" s="883">
        <v>50000</v>
      </c>
      <c r="N3078" s="55">
        <v>719</v>
      </c>
      <c r="O3078" s="78">
        <v>50000</v>
      </c>
    </row>
    <row r="3079" spans="8:15" ht="15.75" thickBot="1">
      <c r="H3079" s="882"/>
      <c r="I3079" s="876"/>
      <c r="J3079" s="878"/>
      <c r="K3079" s="880"/>
      <c r="L3079" s="882"/>
      <c r="M3079" s="884"/>
      <c r="N3079" s="56">
        <v>721</v>
      </c>
      <c r="O3079" s="79">
        <f>+M3078-O3078</f>
        <v>0</v>
      </c>
    </row>
    <row r="3080" spans="8:15" ht="15" customHeight="1">
      <c r="H3080" s="881">
        <v>328</v>
      </c>
      <c r="I3080" s="875">
        <v>42703</v>
      </c>
      <c r="J3080" s="877" t="s">
        <v>28</v>
      </c>
      <c r="K3080" s="879" t="s">
        <v>1218</v>
      </c>
      <c r="L3080" s="881" t="s">
        <v>115</v>
      </c>
      <c r="M3080" s="883">
        <v>50000</v>
      </c>
      <c r="N3080" s="55">
        <v>719</v>
      </c>
      <c r="O3080" s="78">
        <v>50000</v>
      </c>
    </row>
    <row r="3081" spans="8:15" ht="15.75" customHeight="1" thickBot="1">
      <c r="H3081" s="882"/>
      <c r="I3081" s="876"/>
      <c r="J3081" s="878"/>
      <c r="K3081" s="880"/>
      <c r="L3081" s="882"/>
      <c r="M3081" s="884"/>
      <c r="N3081" s="56">
        <v>721</v>
      </c>
      <c r="O3081" s="79">
        <f>+M3080-O3080</f>
        <v>0</v>
      </c>
    </row>
    <row r="3082" spans="8:15" ht="15" customHeight="1">
      <c r="H3082" s="881">
        <v>329</v>
      </c>
      <c r="I3082" s="875">
        <v>42703</v>
      </c>
      <c r="J3082" s="877" t="s">
        <v>120</v>
      </c>
      <c r="K3082" s="879" t="s">
        <v>1219</v>
      </c>
      <c r="L3082" s="881" t="s">
        <v>115</v>
      </c>
      <c r="M3082" s="883">
        <v>30000</v>
      </c>
      <c r="N3082" s="55">
        <v>719</v>
      </c>
      <c r="O3082" s="78">
        <v>30000</v>
      </c>
    </row>
    <row r="3083" spans="8:15" ht="15.75" customHeight="1" thickBot="1">
      <c r="H3083" s="882"/>
      <c r="I3083" s="876"/>
      <c r="J3083" s="878"/>
      <c r="K3083" s="880"/>
      <c r="L3083" s="882"/>
      <c r="M3083" s="884"/>
      <c r="N3083" s="56">
        <v>721</v>
      </c>
      <c r="O3083" s="79">
        <f>+M3082-O3082</f>
        <v>0</v>
      </c>
    </row>
    <row r="3084" spans="8:15">
      <c r="H3084" s="881">
        <v>330</v>
      </c>
      <c r="I3084" s="875">
        <v>42703</v>
      </c>
      <c r="J3084" s="877" t="s">
        <v>674</v>
      </c>
      <c r="K3084" s="879" t="s">
        <v>1221</v>
      </c>
      <c r="L3084" s="881" t="s">
        <v>148</v>
      </c>
      <c r="M3084" s="883">
        <v>1350000</v>
      </c>
      <c r="N3084" s="55">
        <v>719</v>
      </c>
      <c r="O3084" s="78">
        <v>0</v>
      </c>
    </row>
    <row r="3085" spans="8:15" ht="15.75" thickBot="1">
      <c r="H3085" s="882"/>
      <c r="I3085" s="876"/>
      <c r="J3085" s="878"/>
      <c r="K3085" s="880"/>
      <c r="L3085" s="882"/>
      <c r="M3085" s="884"/>
      <c r="N3085" s="56">
        <v>723</v>
      </c>
      <c r="O3085" s="79">
        <f>+M3084-O3084</f>
        <v>1350000</v>
      </c>
    </row>
    <row r="3086" spans="8:15">
      <c r="H3086" s="881"/>
      <c r="I3086" s="875"/>
      <c r="J3086" s="877"/>
      <c r="K3086" s="879"/>
      <c r="L3086" s="881"/>
      <c r="M3086" s="883"/>
      <c r="N3086" s="55">
        <v>719</v>
      </c>
      <c r="O3086" s="78"/>
    </row>
    <row r="3087" spans="8:15" ht="15.75" thickBot="1">
      <c r="H3087" s="882"/>
      <c r="I3087" s="876"/>
      <c r="J3087" s="878"/>
      <c r="K3087" s="880"/>
      <c r="L3087" s="882"/>
      <c r="M3087" s="884"/>
      <c r="N3087" s="56">
        <v>721</v>
      </c>
      <c r="O3087" s="79">
        <f>+M3086-O3086</f>
        <v>0</v>
      </c>
    </row>
    <row r="3088" spans="8:15" ht="16.5" thickBot="1">
      <c r="H3088" s="901" t="s">
        <v>102</v>
      </c>
      <c r="I3088" s="902"/>
      <c r="J3088" s="902"/>
      <c r="K3088" s="902"/>
      <c r="L3088" s="903"/>
      <c r="M3088" s="81">
        <f>SUM(M3078:M3087)</f>
        <v>1480000</v>
      </c>
    </row>
    <row r="3089" spans="8:15" ht="16.5" thickBot="1">
      <c r="H3089" s="885" t="s">
        <v>103</v>
      </c>
      <c r="I3089" s="886"/>
      <c r="J3089" s="886"/>
      <c r="K3089" s="886"/>
      <c r="L3089" s="887"/>
      <c r="M3089" s="69">
        <f>+M3053</f>
        <v>560627459</v>
      </c>
      <c r="N3089" s="241" t="s">
        <v>561</v>
      </c>
      <c r="O3089" s="242">
        <f>48+92+184</f>
        <v>324</v>
      </c>
    </row>
    <row r="3090" spans="8:15" ht="16.5" thickBot="1">
      <c r="H3090" s="888" t="s">
        <v>104</v>
      </c>
      <c r="I3090" s="889"/>
      <c r="J3090" s="889"/>
      <c r="K3090" s="889"/>
      <c r="L3090" s="890"/>
      <c r="M3090" s="183">
        <f>SUM(M3088:M3089)</f>
        <v>562107459</v>
      </c>
    </row>
    <row r="3091" spans="8:15" ht="12" customHeight="1">
      <c r="H3091" s="61"/>
      <c r="I3091" s="61"/>
      <c r="J3091" s="61"/>
      <c r="K3091" s="61"/>
      <c r="L3091" s="61"/>
    </row>
    <row r="3092" spans="8:15">
      <c r="H3092" s="51" t="s">
        <v>1220</v>
      </c>
    </row>
    <row r="3093" spans="8:15" ht="12" customHeight="1">
      <c r="M3093" s="139"/>
    </row>
    <row r="3094" spans="8:15">
      <c r="H3094" s="50" t="s">
        <v>105</v>
      </c>
      <c r="K3094" s="146"/>
      <c r="M3094" s="139"/>
    </row>
    <row r="3095" spans="8:15" ht="12.75" customHeight="1" thickBot="1"/>
    <row r="3096" spans="8:15" ht="15.75" thickBot="1">
      <c r="H3096" s="891" t="s">
        <v>106</v>
      </c>
      <c r="I3096" s="892"/>
      <c r="J3096" s="892"/>
      <c r="K3096" s="893"/>
      <c r="M3096" s="50" t="s">
        <v>288</v>
      </c>
    </row>
    <row r="3097" spans="8:15" ht="45.75" thickBot="1">
      <c r="H3097" s="57" t="s">
        <v>100</v>
      </c>
      <c r="I3097" s="58" t="s">
        <v>108</v>
      </c>
      <c r="J3097" s="287" t="s">
        <v>109</v>
      </c>
      <c r="K3097" s="60" t="s">
        <v>110</v>
      </c>
    </row>
    <row r="3098" spans="8:15">
      <c r="H3098" s="71">
        <v>719</v>
      </c>
      <c r="I3098" s="73">
        <f>+O3078+O3080+O3082+O3084</f>
        <v>130000</v>
      </c>
      <c r="J3098" s="74">
        <f>+K3061</f>
        <v>69030000</v>
      </c>
      <c r="K3098" s="195">
        <f>+I3098+J3098</f>
        <v>69160000</v>
      </c>
    </row>
    <row r="3099" spans="8:15">
      <c r="H3099" s="72">
        <v>721</v>
      </c>
      <c r="I3099" s="80"/>
      <c r="J3099" s="74">
        <f>+K3062</f>
        <v>174429046</v>
      </c>
      <c r="K3099" s="195">
        <f>+I3099+J3099</f>
        <v>174429046</v>
      </c>
    </row>
    <row r="3100" spans="8:15">
      <c r="H3100" s="72">
        <v>722</v>
      </c>
      <c r="I3100" s="80"/>
      <c r="J3100" s="74">
        <f>+K3063</f>
        <v>5580000</v>
      </c>
      <c r="K3100" s="195">
        <f>+I3100+J3100</f>
        <v>5580000</v>
      </c>
    </row>
    <row r="3101" spans="8:15" ht="15.75">
      <c r="H3101" s="72">
        <v>723</v>
      </c>
      <c r="I3101" s="80">
        <f>+O3085</f>
        <v>1350000</v>
      </c>
      <c r="J3101" s="74">
        <f>+K3064</f>
        <v>310720913</v>
      </c>
      <c r="K3101" s="195">
        <f>+I3101+J3101</f>
        <v>312070913</v>
      </c>
      <c r="M3101" s="193" t="s">
        <v>289</v>
      </c>
      <c r="N3101" s="175"/>
    </row>
    <row r="3102" spans="8:15" ht="16.5" thickBot="1">
      <c r="H3102" s="164" t="s">
        <v>1077</v>
      </c>
      <c r="I3102" s="165"/>
      <c r="J3102" s="74">
        <f>+K3065</f>
        <v>797500</v>
      </c>
      <c r="K3102" s="196">
        <f>+I3102+J3102</f>
        <v>797500</v>
      </c>
      <c r="M3102" s="52"/>
    </row>
    <row r="3103" spans="8:15" ht="16.5" thickBot="1">
      <c r="H3103" s="169"/>
      <c r="I3103" s="197">
        <f>SUM(I3098:I3102)</f>
        <v>1480000</v>
      </c>
      <c r="J3103" s="197">
        <f>SUM(J3098:J3102)</f>
        <v>560557459</v>
      </c>
      <c r="K3103" s="198">
        <f>SUM(K3098:K3102)</f>
        <v>562037459</v>
      </c>
    </row>
    <row r="3104" spans="8:15" ht="16.5">
      <c r="H3104" s="49" t="s">
        <v>88</v>
      </c>
      <c r="I3104" s="50"/>
    </row>
    <row r="3105" spans="8:15">
      <c r="H3105" s="51" t="s">
        <v>89</v>
      </c>
    </row>
    <row r="3106" spans="8:15">
      <c r="H3106" s="51" t="s">
        <v>90</v>
      </c>
    </row>
    <row r="3107" spans="8:15">
      <c r="H3107" s="51" t="s">
        <v>91</v>
      </c>
    </row>
    <row r="3108" spans="8:15" ht="12" customHeight="1">
      <c r="H3108" s="50"/>
      <c r="I3108" s="50"/>
    </row>
    <row r="3109" spans="8:15" ht="15.75">
      <c r="H3109" s="260" t="s">
        <v>1222</v>
      </c>
      <c r="N3109" s="52"/>
    </row>
    <row r="3110" spans="8:15" ht="15.75">
      <c r="H3110" s="53" t="s">
        <v>535</v>
      </c>
      <c r="N3110" s="53"/>
    </row>
    <row r="3111" spans="8:15" ht="16.5">
      <c r="H3111" s="894" t="s">
        <v>170</v>
      </c>
      <c r="I3111" s="894"/>
      <c r="J3111" s="894"/>
      <c r="K3111" s="894"/>
      <c r="L3111" s="894"/>
      <c r="M3111" s="894"/>
      <c r="N3111" s="894"/>
      <c r="O3111" s="894"/>
    </row>
    <row r="3112" spans="8:15" ht="15.75" thickBot="1"/>
    <row r="3113" spans="8:15">
      <c r="H3113" s="895" t="s">
        <v>94</v>
      </c>
      <c r="I3113" s="897" t="s">
        <v>95</v>
      </c>
      <c r="J3113" s="897" t="s">
        <v>96</v>
      </c>
      <c r="K3113" s="897" t="s">
        <v>3</v>
      </c>
      <c r="L3113" s="897" t="s">
        <v>97</v>
      </c>
      <c r="M3113" s="897" t="s">
        <v>98</v>
      </c>
      <c r="N3113" s="897" t="s">
        <v>99</v>
      </c>
      <c r="O3113" s="899"/>
    </row>
    <row r="3114" spans="8:15" ht="15.75" thickBot="1">
      <c r="H3114" s="896"/>
      <c r="I3114" s="898"/>
      <c r="J3114" s="898"/>
      <c r="K3114" s="898"/>
      <c r="L3114" s="898"/>
      <c r="M3114" s="898"/>
      <c r="N3114" s="240" t="s">
        <v>100</v>
      </c>
      <c r="O3114" s="182" t="s">
        <v>101</v>
      </c>
    </row>
    <row r="3115" spans="8:15">
      <c r="H3115" s="881">
        <v>331</v>
      </c>
      <c r="I3115" s="875">
        <v>42704</v>
      </c>
      <c r="J3115" s="877" t="s">
        <v>1014</v>
      </c>
      <c r="K3115" s="879" t="s">
        <v>1224</v>
      </c>
      <c r="L3115" s="881" t="s">
        <v>115</v>
      </c>
      <c r="M3115" s="883">
        <v>70000</v>
      </c>
      <c r="N3115" s="55">
        <v>719</v>
      </c>
      <c r="O3115" s="78">
        <v>70000</v>
      </c>
    </row>
    <row r="3116" spans="8:15" ht="15.75" thickBot="1">
      <c r="H3116" s="882"/>
      <c r="I3116" s="876"/>
      <c r="J3116" s="878"/>
      <c r="K3116" s="880"/>
      <c r="L3116" s="882"/>
      <c r="M3116" s="884"/>
      <c r="N3116" s="56">
        <v>721</v>
      </c>
      <c r="O3116" s="79">
        <f>+M3115-O3115</f>
        <v>0</v>
      </c>
    </row>
    <row r="3117" spans="8:15" ht="15" customHeight="1">
      <c r="H3117" s="881">
        <v>332</v>
      </c>
      <c r="I3117" s="875">
        <v>42704</v>
      </c>
      <c r="J3117" s="877" t="s">
        <v>28</v>
      </c>
      <c r="K3117" s="879" t="s">
        <v>1224</v>
      </c>
      <c r="L3117" s="881" t="s">
        <v>115</v>
      </c>
      <c r="M3117" s="883">
        <v>70000</v>
      </c>
      <c r="N3117" s="55">
        <v>719</v>
      </c>
      <c r="O3117" s="78">
        <v>70000</v>
      </c>
    </row>
    <row r="3118" spans="8:15" ht="15.75" customHeight="1" thickBot="1">
      <c r="H3118" s="882"/>
      <c r="I3118" s="876"/>
      <c r="J3118" s="878"/>
      <c r="K3118" s="880"/>
      <c r="L3118" s="882"/>
      <c r="M3118" s="884"/>
      <c r="N3118" s="56">
        <v>721</v>
      </c>
      <c r="O3118" s="79">
        <f>+M3117-O3117</f>
        <v>0</v>
      </c>
    </row>
    <row r="3119" spans="8:15" ht="15" customHeight="1">
      <c r="H3119" s="881">
        <v>333</v>
      </c>
      <c r="I3119" s="875">
        <v>42704</v>
      </c>
      <c r="J3119" s="877" t="s">
        <v>120</v>
      </c>
      <c r="K3119" s="879" t="s">
        <v>1224</v>
      </c>
      <c r="L3119" s="881" t="s">
        <v>115</v>
      </c>
      <c r="M3119" s="883">
        <v>110000</v>
      </c>
      <c r="N3119" s="55">
        <v>719</v>
      </c>
      <c r="O3119" s="78">
        <v>110000</v>
      </c>
    </row>
    <row r="3120" spans="8:15" ht="15.75" customHeight="1" thickBot="1">
      <c r="H3120" s="882"/>
      <c r="I3120" s="876"/>
      <c r="J3120" s="878"/>
      <c r="K3120" s="880"/>
      <c r="L3120" s="882"/>
      <c r="M3120" s="884"/>
      <c r="N3120" s="56">
        <v>721</v>
      </c>
      <c r="O3120" s="79">
        <f>+M3119-O3119</f>
        <v>0</v>
      </c>
    </row>
    <row r="3121" spans="8:15" ht="15" customHeight="1">
      <c r="H3121" s="881"/>
      <c r="I3121" s="875"/>
      <c r="J3121" s="877"/>
      <c r="K3121" s="879"/>
      <c r="L3121" s="881"/>
      <c r="M3121" s="883"/>
      <c r="N3121" s="55"/>
      <c r="O3121" s="78"/>
    </row>
    <row r="3122" spans="8:15" ht="15.75" customHeight="1" thickBot="1">
      <c r="H3122" s="882"/>
      <c r="I3122" s="876"/>
      <c r="J3122" s="878"/>
      <c r="K3122" s="880"/>
      <c r="L3122" s="882"/>
      <c r="M3122" s="884"/>
      <c r="N3122" s="56"/>
      <c r="O3122" s="79"/>
    </row>
    <row r="3123" spans="8:15" ht="14.25" customHeight="1">
      <c r="H3123" s="881"/>
      <c r="I3123" s="875"/>
      <c r="J3123" s="877"/>
      <c r="K3123" s="879"/>
      <c r="L3123" s="881"/>
      <c r="M3123" s="883"/>
      <c r="N3123" s="55">
        <v>719</v>
      </c>
      <c r="O3123" s="78"/>
    </row>
    <row r="3124" spans="8:15" ht="13.5" customHeight="1" thickBot="1">
      <c r="H3124" s="882"/>
      <c r="I3124" s="876"/>
      <c r="J3124" s="878"/>
      <c r="K3124" s="880"/>
      <c r="L3124" s="882"/>
      <c r="M3124" s="884"/>
      <c r="N3124" s="56">
        <v>721</v>
      </c>
      <c r="O3124" s="79">
        <f>+M3123-O3123</f>
        <v>0</v>
      </c>
    </row>
    <row r="3125" spans="8:15" ht="16.5" thickBot="1">
      <c r="H3125" s="901" t="s">
        <v>102</v>
      </c>
      <c r="I3125" s="902"/>
      <c r="J3125" s="902"/>
      <c r="K3125" s="902"/>
      <c r="L3125" s="903"/>
      <c r="M3125" s="81">
        <f>SUM(M3115:M3124)</f>
        <v>250000</v>
      </c>
    </row>
    <row r="3126" spans="8:15" ht="16.5" thickBot="1">
      <c r="H3126" s="885" t="s">
        <v>103</v>
      </c>
      <c r="I3126" s="886"/>
      <c r="J3126" s="886"/>
      <c r="K3126" s="886"/>
      <c r="L3126" s="887"/>
      <c r="M3126" s="69">
        <f>+M3090</f>
        <v>562107459</v>
      </c>
      <c r="N3126" s="241" t="s">
        <v>561</v>
      </c>
      <c r="O3126" s="242">
        <f>158+308+108</f>
        <v>574</v>
      </c>
    </row>
    <row r="3127" spans="8:15" ht="16.5" thickBot="1">
      <c r="H3127" s="888" t="s">
        <v>104</v>
      </c>
      <c r="I3127" s="889"/>
      <c r="J3127" s="889"/>
      <c r="K3127" s="889"/>
      <c r="L3127" s="890"/>
      <c r="M3127" s="183">
        <f>SUM(M3125:M3126)</f>
        <v>562357459</v>
      </c>
    </row>
    <row r="3128" spans="8:15">
      <c r="H3128" s="61"/>
      <c r="I3128" s="61"/>
      <c r="J3128" s="61"/>
      <c r="K3128" s="61"/>
      <c r="L3128" s="61"/>
    </row>
    <row r="3129" spans="8:15">
      <c r="H3129" s="51" t="s">
        <v>1228</v>
      </c>
    </row>
    <row r="3130" spans="8:15" ht="12.75" customHeight="1">
      <c r="M3130" s="139"/>
    </row>
    <row r="3131" spans="8:15">
      <c r="H3131" s="50" t="s">
        <v>105</v>
      </c>
      <c r="K3131" s="146"/>
      <c r="M3131" s="139"/>
    </row>
    <row r="3132" spans="8:15" ht="12.75" customHeight="1" thickBot="1"/>
    <row r="3133" spans="8:15" ht="15.75" thickBot="1">
      <c r="H3133" s="891" t="s">
        <v>106</v>
      </c>
      <c r="I3133" s="892"/>
      <c r="J3133" s="892"/>
      <c r="K3133" s="893"/>
      <c r="M3133" s="50" t="s">
        <v>288</v>
      </c>
    </row>
    <row r="3134" spans="8:15" ht="45.75" thickBot="1">
      <c r="H3134" s="57" t="s">
        <v>100</v>
      </c>
      <c r="I3134" s="58" t="s">
        <v>108</v>
      </c>
      <c r="J3134" s="287" t="s">
        <v>109</v>
      </c>
      <c r="K3134" s="60" t="s">
        <v>110</v>
      </c>
    </row>
    <row r="3135" spans="8:15">
      <c r="H3135" s="71">
        <v>719</v>
      </c>
      <c r="I3135" s="73">
        <f>+O3115+O3117+O3119+O3121</f>
        <v>250000</v>
      </c>
      <c r="J3135" s="74">
        <f>+K3098</f>
        <v>69160000</v>
      </c>
      <c r="K3135" s="195">
        <f>+I3135+J3135</f>
        <v>69410000</v>
      </c>
    </row>
    <row r="3136" spans="8:15">
      <c r="H3136" s="72">
        <v>721</v>
      </c>
      <c r="I3136" s="80"/>
      <c r="J3136" s="74">
        <f>+K3099</f>
        <v>174429046</v>
      </c>
      <c r="K3136" s="195">
        <f>+I3136+J3136</f>
        <v>174429046</v>
      </c>
    </row>
    <row r="3137" spans="8:15">
      <c r="H3137" s="72">
        <v>722</v>
      </c>
      <c r="I3137" s="80"/>
      <c r="J3137" s="74">
        <f>+K3100</f>
        <v>5580000</v>
      </c>
      <c r="K3137" s="195">
        <f>+I3137+J3137</f>
        <v>5580000</v>
      </c>
    </row>
    <row r="3138" spans="8:15" ht="15.75">
      <c r="H3138" s="72">
        <v>723</v>
      </c>
      <c r="I3138" s="80">
        <f>+O3122</f>
        <v>0</v>
      </c>
      <c r="J3138" s="74">
        <f>+K3101</f>
        <v>312070913</v>
      </c>
      <c r="K3138" s="195">
        <f>+I3138+J3138</f>
        <v>312070913</v>
      </c>
      <c r="M3138" s="193" t="s">
        <v>289</v>
      </c>
      <c r="N3138" s="175"/>
    </row>
    <row r="3139" spans="8:15" ht="16.5" thickBot="1">
      <c r="H3139" s="164" t="s">
        <v>1077</v>
      </c>
      <c r="I3139" s="165"/>
      <c r="J3139" s="74">
        <f>+K3102</f>
        <v>797500</v>
      </c>
      <c r="K3139" s="196">
        <f>+I3139+J3139</f>
        <v>797500</v>
      </c>
      <c r="M3139" s="52"/>
    </row>
    <row r="3140" spans="8:15" ht="16.5" thickBot="1">
      <c r="H3140" s="169"/>
      <c r="I3140" s="197">
        <f>SUM(I3135:I3139)</f>
        <v>250000</v>
      </c>
      <c r="J3140" s="197">
        <f>SUM(J3135:J3139)</f>
        <v>562037459</v>
      </c>
      <c r="K3140" s="198">
        <f>SUM(K3135:K3139)</f>
        <v>562287459</v>
      </c>
    </row>
    <row r="3141" spans="8:15" ht="16.5">
      <c r="H3141" s="49" t="s">
        <v>88</v>
      </c>
      <c r="I3141" s="50"/>
    </row>
    <row r="3142" spans="8:15">
      <c r="H3142" s="51" t="s">
        <v>89</v>
      </c>
    </row>
    <row r="3143" spans="8:15">
      <c r="H3143" s="51" t="s">
        <v>90</v>
      </c>
    </row>
    <row r="3144" spans="8:15">
      <c r="H3144" s="51" t="s">
        <v>91</v>
      </c>
    </row>
    <row r="3145" spans="8:15" ht="12" customHeight="1">
      <c r="H3145" s="50"/>
      <c r="I3145" s="50"/>
    </row>
    <row r="3146" spans="8:15" ht="15.75">
      <c r="H3146" s="260" t="s">
        <v>1227</v>
      </c>
      <c r="N3146" s="52"/>
    </row>
    <row r="3147" spans="8:15" ht="15.75">
      <c r="H3147" s="53" t="s">
        <v>535</v>
      </c>
      <c r="N3147" s="53"/>
    </row>
    <row r="3148" spans="8:15" ht="16.5">
      <c r="H3148" s="894" t="s">
        <v>1226</v>
      </c>
      <c r="I3148" s="894"/>
      <c r="J3148" s="894"/>
      <c r="K3148" s="894"/>
      <c r="L3148" s="894"/>
      <c r="M3148" s="894"/>
      <c r="N3148" s="894"/>
      <c r="O3148" s="894"/>
    </row>
    <row r="3149" spans="8:15" ht="15.75" thickBot="1"/>
    <row r="3150" spans="8:15">
      <c r="H3150" s="895" t="s">
        <v>94</v>
      </c>
      <c r="I3150" s="897" t="s">
        <v>95</v>
      </c>
      <c r="J3150" s="897" t="s">
        <v>96</v>
      </c>
      <c r="K3150" s="897" t="s">
        <v>3</v>
      </c>
      <c r="L3150" s="897" t="s">
        <v>97</v>
      </c>
      <c r="M3150" s="897" t="s">
        <v>98</v>
      </c>
      <c r="N3150" s="897" t="s">
        <v>99</v>
      </c>
      <c r="O3150" s="899"/>
    </row>
    <row r="3151" spans="8:15" ht="15.75" thickBot="1">
      <c r="H3151" s="896"/>
      <c r="I3151" s="898"/>
      <c r="J3151" s="898"/>
      <c r="K3151" s="898"/>
      <c r="L3151" s="898"/>
      <c r="M3151" s="898"/>
      <c r="N3151" s="240" t="s">
        <v>100</v>
      </c>
      <c r="O3151" s="182" t="s">
        <v>101</v>
      </c>
    </row>
    <row r="3152" spans="8:15">
      <c r="H3152" s="881">
        <v>334</v>
      </c>
      <c r="I3152" s="875">
        <v>42704</v>
      </c>
      <c r="J3152" s="877" t="s">
        <v>267</v>
      </c>
      <c r="K3152" s="879" t="s">
        <v>1233</v>
      </c>
      <c r="L3152" s="881" t="s">
        <v>148</v>
      </c>
      <c r="M3152" s="883">
        <v>65000</v>
      </c>
      <c r="N3152" s="55">
        <v>719</v>
      </c>
      <c r="O3152" s="78">
        <v>50000</v>
      </c>
    </row>
    <row r="3153" spans="8:15" ht="15.75" thickBot="1">
      <c r="H3153" s="882"/>
      <c r="I3153" s="876"/>
      <c r="J3153" s="878"/>
      <c r="K3153" s="880"/>
      <c r="L3153" s="882"/>
      <c r="M3153" s="884"/>
      <c r="N3153" s="56">
        <v>721</v>
      </c>
      <c r="O3153" s="79">
        <f>+M3152-O3152</f>
        <v>15000</v>
      </c>
    </row>
    <row r="3154" spans="8:15" ht="15" customHeight="1">
      <c r="H3154" s="881">
        <v>335</v>
      </c>
      <c r="I3154" s="875">
        <v>42704</v>
      </c>
      <c r="J3154" s="877" t="s">
        <v>28</v>
      </c>
      <c r="K3154" s="879" t="s">
        <v>1234</v>
      </c>
      <c r="L3154" s="881" t="s">
        <v>148</v>
      </c>
      <c r="M3154" s="883">
        <v>390000</v>
      </c>
      <c r="N3154" s="55">
        <v>719</v>
      </c>
      <c r="O3154" s="78">
        <v>300000</v>
      </c>
    </row>
    <row r="3155" spans="8:15" ht="15.75" customHeight="1" thickBot="1">
      <c r="H3155" s="882"/>
      <c r="I3155" s="876"/>
      <c r="J3155" s="878"/>
      <c r="K3155" s="880"/>
      <c r="L3155" s="882"/>
      <c r="M3155" s="884"/>
      <c r="N3155" s="56">
        <v>721</v>
      </c>
      <c r="O3155" s="79">
        <f>+M3154-O3154</f>
        <v>90000</v>
      </c>
    </row>
    <row r="3156" spans="8:15" ht="15" customHeight="1">
      <c r="H3156" s="881">
        <v>336</v>
      </c>
      <c r="I3156" s="875">
        <v>42704</v>
      </c>
      <c r="J3156" s="877" t="s">
        <v>111</v>
      </c>
      <c r="K3156" s="879" t="s">
        <v>1232</v>
      </c>
      <c r="L3156" s="881" t="s">
        <v>148</v>
      </c>
      <c r="M3156" s="883">
        <v>104000</v>
      </c>
      <c r="N3156" s="55">
        <v>719</v>
      </c>
      <c r="O3156" s="78">
        <v>80000</v>
      </c>
    </row>
    <row r="3157" spans="8:15" ht="15.75" customHeight="1" thickBot="1">
      <c r="H3157" s="882"/>
      <c r="I3157" s="876"/>
      <c r="J3157" s="878"/>
      <c r="K3157" s="880"/>
      <c r="L3157" s="882"/>
      <c r="M3157" s="884"/>
      <c r="N3157" s="56">
        <v>721</v>
      </c>
      <c r="O3157" s="79">
        <f>+M3156-O3156</f>
        <v>24000</v>
      </c>
    </row>
    <row r="3158" spans="8:15" ht="15" customHeight="1">
      <c r="H3158" s="881">
        <v>337</v>
      </c>
      <c r="I3158" s="875">
        <v>42704</v>
      </c>
      <c r="J3158" s="877" t="s">
        <v>1014</v>
      </c>
      <c r="K3158" s="879" t="s">
        <v>1231</v>
      </c>
      <c r="L3158" s="881" t="s">
        <v>148</v>
      </c>
      <c r="M3158" s="883">
        <v>676000</v>
      </c>
      <c r="N3158" s="55">
        <v>719</v>
      </c>
      <c r="O3158" s="78">
        <v>520000</v>
      </c>
    </row>
    <row r="3159" spans="8:15" ht="15.75" customHeight="1" thickBot="1">
      <c r="H3159" s="882"/>
      <c r="I3159" s="876"/>
      <c r="J3159" s="878"/>
      <c r="K3159" s="880"/>
      <c r="L3159" s="882"/>
      <c r="M3159" s="884"/>
      <c r="N3159" s="56">
        <v>721</v>
      </c>
      <c r="O3159" s="79">
        <f>+M3158-O3158</f>
        <v>156000</v>
      </c>
    </row>
    <row r="3160" spans="8:15" ht="15" customHeight="1">
      <c r="H3160" s="881">
        <v>338</v>
      </c>
      <c r="I3160" s="875">
        <v>42704</v>
      </c>
      <c r="J3160" s="877" t="s">
        <v>1223</v>
      </c>
      <c r="K3160" s="879" t="s">
        <v>1225</v>
      </c>
      <c r="L3160" s="881" t="s">
        <v>148</v>
      </c>
      <c r="M3160" s="883">
        <v>6240000</v>
      </c>
      <c r="N3160" s="55">
        <v>719</v>
      </c>
      <c r="O3160" s="78">
        <v>0</v>
      </c>
    </row>
    <row r="3161" spans="8:15" ht="15.75" customHeight="1" thickBot="1">
      <c r="H3161" s="882"/>
      <c r="I3161" s="876"/>
      <c r="J3161" s="878"/>
      <c r="K3161" s="880"/>
      <c r="L3161" s="882"/>
      <c r="M3161" s="884"/>
      <c r="N3161" s="56">
        <v>723</v>
      </c>
      <c r="O3161" s="79">
        <f>+M3160-O3160</f>
        <v>6240000</v>
      </c>
    </row>
    <row r="3162" spans="8:15" ht="16.5" thickBot="1">
      <c r="H3162" s="901" t="s">
        <v>102</v>
      </c>
      <c r="I3162" s="902"/>
      <c r="J3162" s="902"/>
      <c r="K3162" s="902"/>
      <c r="L3162" s="903"/>
      <c r="M3162" s="81">
        <f>SUM(M3152:M3161)</f>
        <v>7475000</v>
      </c>
    </row>
    <row r="3163" spans="8:15" ht="16.5" thickBot="1">
      <c r="H3163" s="885" t="s">
        <v>103</v>
      </c>
      <c r="I3163" s="886"/>
      <c r="J3163" s="886"/>
      <c r="K3163" s="886"/>
      <c r="L3163" s="887"/>
      <c r="M3163" s="69">
        <f>+M3127</f>
        <v>562357459</v>
      </c>
      <c r="N3163" s="241" t="s">
        <v>561</v>
      </c>
      <c r="O3163" s="242">
        <f>33+37+514+915</f>
        <v>1499</v>
      </c>
    </row>
    <row r="3164" spans="8:15" ht="16.5" thickBot="1">
      <c r="H3164" s="888" t="s">
        <v>104</v>
      </c>
      <c r="I3164" s="889"/>
      <c r="J3164" s="889"/>
      <c r="K3164" s="889"/>
      <c r="L3164" s="890"/>
      <c r="M3164" s="183">
        <f>SUM(M3162:M3163)</f>
        <v>569832459</v>
      </c>
    </row>
    <row r="3165" spans="8:15" ht="12.75" customHeight="1">
      <c r="H3165" s="61"/>
      <c r="I3165" s="61"/>
      <c r="J3165" s="61"/>
      <c r="K3165" s="61"/>
      <c r="L3165" s="61"/>
    </row>
    <row r="3166" spans="8:15">
      <c r="H3166" s="51" t="s">
        <v>1230</v>
      </c>
    </row>
    <row r="3167" spans="8:15" ht="13.5" customHeight="1">
      <c r="M3167" s="139"/>
    </row>
    <row r="3168" spans="8:15">
      <c r="H3168" s="50" t="s">
        <v>105</v>
      </c>
      <c r="K3168" s="146"/>
      <c r="M3168" s="139"/>
    </row>
    <row r="3169" spans="8:14" ht="13.5" customHeight="1" thickBot="1"/>
    <row r="3170" spans="8:14" ht="15.75" thickBot="1">
      <c r="H3170" s="891" t="s">
        <v>106</v>
      </c>
      <c r="I3170" s="892"/>
      <c r="J3170" s="892"/>
      <c r="K3170" s="893"/>
      <c r="M3170" s="50" t="s">
        <v>288</v>
      </c>
    </row>
    <row r="3171" spans="8:14" ht="45.75" thickBot="1">
      <c r="H3171" s="57" t="s">
        <v>100</v>
      </c>
      <c r="I3171" s="58" t="s">
        <v>108</v>
      </c>
      <c r="J3171" s="287" t="s">
        <v>109</v>
      </c>
      <c r="K3171" s="60" t="s">
        <v>110</v>
      </c>
    </row>
    <row r="3172" spans="8:14">
      <c r="H3172" s="71">
        <v>719</v>
      </c>
      <c r="I3172" s="73">
        <f>+O3152+O3154+O3156+O3158</f>
        <v>950000</v>
      </c>
      <c r="J3172" s="74">
        <f>+K3135</f>
        <v>69410000</v>
      </c>
      <c r="K3172" s="195">
        <f>+I3172+J3172</f>
        <v>70360000</v>
      </c>
    </row>
    <row r="3173" spans="8:14">
      <c r="H3173" s="72">
        <v>721</v>
      </c>
      <c r="I3173" s="80">
        <f>+O3159+O3157+O3155+O3153</f>
        <v>285000</v>
      </c>
      <c r="J3173" s="74">
        <f>+K3136</f>
        <v>174429046</v>
      </c>
      <c r="K3173" s="195">
        <f>+I3173+J3173</f>
        <v>174714046</v>
      </c>
    </row>
    <row r="3174" spans="8:14">
      <c r="H3174" s="72">
        <v>722</v>
      </c>
      <c r="I3174" s="80"/>
      <c r="J3174" s="74">
        <f>+K3137</f>
        <v>5580000</v>
      </c>
      <c r="K3174" s="195">
        <f>+I3174+J3174</f>
        <v>5580000</v>
      </c>
    </row>
    <row r="3175" spans="8:14" ht="15.75">
      <c r="H3175" s="72">
        <v>723</v>
      </c>
      <c r="I3175" s="80">
        <f>+O3161</f>
        <v>6240000</v>
      </c>
      <c r="J3175" s="74">
        <f>+K3138</f>
        <v>312070913</v>
      </c>
      <c r="K3175" s="195">
        <f>+I3175+J3175</f>
        <v>318310913</v>
      </c>
      <c r="M3175" s="193" t="s">
        <v>289</v>
      </c>
      <c r="N3175" s="175"/>
    </row>
    <row r="3176" spans="8:14" ht="16.5" thickBot="1">
      <c r="H3176" s="164" t="s">
        <v>1077</v>
      </c>
      <c r="I3176" s="165"/>
      <c r="J3176" s="74">
        <f>+K3139</f>
        <v>797500</v>
      </c>
      <c r="K3176" s="196">
        <f>+I3176+J3176</f>
        <v>797500</v>
      </c>
      <c r="M3176" s="52"/>
    </row>
    <row r="3177" spans="8:14" ht="16.5" thickBot="1">
      <c r="H3177" s="169"/>
      <c r="I3177" s="197">
        <f>SUM(I3172:I3176)</f>
        <v>7475000</v>
      </c>
      <c r="J3177" s="197">
        <f>SUM(J3172:J3176)</f>
        <v>562287459</v>
      </c>
      <c r="K3177" s="198">
        <f>SUM(K3172:K3176)</f>
        <v>569762459</v>
      </c>
    </row>
    <row r="3178" spans="8:14" ht="16.5">
      <c r="H3178" s="49" t="s">
        <v>88</v>
      </c>
      <c r="I3178" s="50"/>
    </row>
    <row r="3179" spans="8:14">
      <c r="H3179" s="51" t="s">
        <v>89</v>
      </c>
      <c r="K3179" s="139"/>
    </row>
    <row r="3180" spans="8:14">
      <c r="H3180" s="51" t="s">
        <v>90</v>
      </c>
    </row>
    <row r="3181" spans="8:14">
      <c r="H3181" s="51" t="s">
        <v>91</v>
      </c>
    </row>
    <row r="3182" spans="8:14" ht="9.75" customHeight="1">
      <c r="H3182" s="50"/>
      <c r="I3182" s="50"/>
    </row>
    <row r="3183" spans="8:14" ht="15.75">
      <c r="H3183" s="260" t="s">
        <v>1238</v>
      </c>
      <c r="N3183" s="52"/>
    </row>
    <row r="3184" spans="8:14" ht="15.75">
      <c r="H3184" s="53" t="s">
        <v>535</v>
      </c>
      <c r="N3184" s="53"/>
    </row>
    <row r="3185" spans="8:15" ht="16.5">
      <c r="H3185" s="894" t="s">
        <v>1243</v>
      </c>
      <c r="I3185" s="894"/>
      <c r="J3185" s="894"/>
      <c r="K3185" s="894"/>
      <c r="L3185" s="894"/>
      <c r="M3185" s="894"/>
      <c r="N3185" s="894"/>
      <c r="O3185" s="894"/>
    </row>
    <row r="3186" spans="8:15" ht="13.5" customHeight="1" thickBot="1"/>
    <row r="3187" spans="8:15">
      <c r="H3187" s="895" t="s">
        <v>94</v>
      </c>
      <c r="I3187" s="897" t="s">
        <v>95</v>
      </c>
      <c r="J3187" s="897" t="s">
        <v>96</v>
      </c>
      <c r="K3187" s="897" t="s">
        <v>3</v>
      </c>
      <c r="L3187" s="897" t="s">
        <v>97</v>
      </c>
      <c r="M3187" s="897" t="s">
        <v>98</v>
      </c>
      <c r="N3187" s="897" t="s">
        <v>99</v>
      </c>
      <c r="O3187" s="899"/>
    </row>
    <row r="3188" spans="8:15" ht="15.75" thickBot="1">
      <c r="H3188" s="896"/>
      <c r="I3188" s="898"/>
      <c r="J3188" s="898"/>
      <c r="K3188" s="898"/>
      <c r="L3188" s="898"/>
      <c r="M3188" s="898"/>
      <c r="N3188" s="240" t="s">
        <v>100</v>
      </c>
      <c r="O3188" s="182" t="s">
        <v>101</v>
      </c>
    </row>
    <row r="3189" spans="8:15" ht="13.5" customHeight="1">
      <c r="H3189" s="881">
        <v>339</v>
      </c>
      <c r="I3189" s="875">
        <v>42712</v>
      </c>
      <c r="J3189" s="877" t="s">
        <v>1014</v>
      </c>
      <c r="K3189" s="879" t="s">
        <v>1239</v>
      </c>
      <c r="L3189" s="881" t="s">
        <v>115</v>
      </c>
      <c r="M3189" s="883">
        <v>80000</v>
      </c>
      <c r="N3189" s="55">
        <v>719</v>
      </c>
      <c r="O3189" s="78">
        <v>80000</v>
      </c>
    </row>
    <row r="3190" spans="8:15" ht="13.5" customHeight="1" thickBot="1">
      <c r="H3190" s="882"/>
      <c r="I3190" s="876"/>
      <c r="J3190" s="878"/>
      <c r="K3190" s="880"/>
      <c r="L3190" s="882"/>
      <c r="M3190" s="884"/>
      <c r="N3190" s="56">
        <v>721</v>
      </c>
      <c r="O3190" s="79">
        <f>+M3189-O3189</f>
        <v>0</v>
      </c>
    </row>
    <row r="3191" spans="8:15" ht="14.25" customHeight="1">
      <c r="H3191" s="881">
        <v>340</v>
      </c>
      <c r="I3191" s="875">
        <v>42712</v>
      </c>
      <c r="J3191" s="877" t="s">
        <v>120</v>
      </c>
      <c r="K3191" s="879" t="s">
        <v>1239</v>
      </c>
      <c r="L3191" s="881" t="s">
        <v>115</v>
      </c>
      <c r="M3191" s="883">
        <v>140000</v>
      </c>
      <c r="N3191" s="55">
        <v>719</v>
      </c>
      <c r="O3191" s="78">
        <v>140000</v>
      </c>
    </row>
    <row r="3192" spans="8:15" ht="14.25" customHeight="1" thickBot="1">
      <c r="H3192" s="882"/>
      <c r="I3192" s="876"/>
      <c r="J3192" s="878"/>
      <c r="K3192" s="880"/>
      <c r="L3192" s="882"/>
      <c r="M3192" s="884"/>
      <c r="N3192" s="56">
        <v>721</v>
      </c>
      <c r="O3192" s="79">
        <f>+M3191-O3191</f>
        <v>0</v>
      </c>
    </row>
    <row r="3193" spans="8:15" ht="12.75" customHeight="1">
      <c r="H3193" s="881">
        <v>341</v>
      </c>
      <c r="I3193" s="875">
        <v>42712</v>
      </c>
      <c r="J3193" s="877" t="s">
        <v>28</v>
      </c>
      <c r="K3193" s="879" t="s">
        <v>1239</v>
      </c>
      <c r="L3193" s="881" t="s">
        <v>115</v>
      </c>
      <c r="M3193" s="883">
        <v>60000</v>
      </c>
      <c r="N3193" s="55">
        <v>719</v>
      </c>
      <c r="O3193" s="78">
        <v>60000</v>
      </c>
    </row>
    <row r="3194" spans="8:15" ht="13.5" customHeight="1" thickBot="1">
      <c r="H3194" s="882"/>
      <c r="I3194" s="876"/>
      <c r="J3194" s="878"/>
      <c r="K3194" s="880"/>
      <c r="L3194" s="882"/>
      <c r="M3194" s="884"/>
      <c r="N3194" s="56">
        <v>721</v>
      </c>
      <c r="O3194" s="79">
        <f>+M3193-O3193</f>
        <v>0</v>
      </c>
    </row>
    <row r="3195" spans="8:15" ht="13.5" customHeight="1">
      <c r="H3195" s="881">
        <v>342</v>
      </c>
      <c r="I3195" s="875">
        <v>42712</v>
      </c>
      <c r="J3195" s="877" t="s">
        <v>1174</v>
      </c>
      <c r="K3195" s="879" t="s">
        <v>1240</v>
      </c>
      <c r="L3195" s="881" t="s">
        <v>148</v>
      </c>
      <c r="M3195" s="883">
        <v>6287553</v>
      </c>
      <c r="N3195" s="55">
        <v>719</v>
      </c>
      <c r="O3195" s="78"/>
    </row>
    <row r="3196" spans="8:15" ht="15.75" customHeight="1" thickBot="1">
      <c r="H3196" s="882"/>
      <c r="I3196" s="876"/>
      <c r="J3196" s="878"/>
      <c r="K3196" s="880"/>
      <c r="L3196" s="882"/>
      <c r="M3196" s="884"/>
      <c r="N3196" s="56">
        <v>723</v>
      </c>
      <c r="O3196" s="79">
        <f>+M3195-O3195</f>
        <v>6287553</v>
      </c>
    </row>
    <row r="3197" spans="8:15" ht="14.25" customHeight="1">
      <c r="H3197" s="881">
        <v>343</v>
      </c>
      <c r="I3197" s="875">
        <v>42712</v>
      </c>
      <c r="J3197" s="877" t="s">
        <v>738</v>
      </c>
      <c r="K3197" s="879" t="s">
        <v>1244</v>
      </c>
      <c r="L3197" s="881" t="s">
        <v>148</v>
      </c>
      <c r="M3197" s="883">
        <v>5345430</v>
      </c>
      <c r="N3197" s="55">
        <v>719</v>
      </c>
      <c r="O3197" s="78">
        <v>0</v>
      </c>
    </row>
    <row r="3198" spans="8:15" ht="14.25" customHeight="1" thickBot="1">
      <c r="H3198" s="882"/>
      <c r="I3198" s="876"/>
      <c r="J3198" s="878"/>
      <c r="K3198" s="880"/>
      <c r="L3198" s="882"/>
      <c r="M3198" s="884"/>
      <c r="N3198" s="56">
        <v>721</v>
      </c>
      <c r="O3198" s="351">
        <f>+M3197-O3197</f>
        <v>5345430</v>
      </c>
    </row>
    <row r="3199" spans="8:15" ht="13.5" customHeight="1">
      <c r="H3199" s="881">
        <v>344</v>
      </c>
      <c r="I3199" s="875">
        <v>42712</v>
      </c>
      <c r="J3199" s="877" t="s">
        <v>738</v>
      </c>
      <c r="K3199" s="879" t="s">
        <v>1245</v>
      </c>
      <c r="L3199" s="881" t="s">
        <v>148</v>
      </c>
      <c r="M3199" s="883">
        <v>64517844</v>
      </c>
      <c r="N3199" s="55">
        <v>719</v>
      </c>
      <c r="O3199" s="78">
        <v>0</v>
      </c>
    </row>
    <row r="3200" spans="8:15" ht="13.5" customHeight="1" thickBot="1">
      <c r="H3200" s="882"/>
      <c r="I3200" s="876"/>
      <c r="J3200" s="878"/>
      <c r="K3200" s="880"/>
      <c r="L3200" s="882"/>
      <c r="M3200" s="884"/>
      <c r="N3200" s="56">
        <v>721</v>
      </c>
      <c r="O3200" s="351">
        <f>+M3199-O3199</f>
        <v>64517844</v>
      </c>
    </row>
    <row r="3201" spans="8:15" ht="16.5" thickBot="1">
      <c r="H3201" s="901" t="s">
        <v>102</v>
      </c>
      <c r="I3201" s="902"/>
      <c r="J3201" s="902"/>
      <c r="K3201" s="902"/>
      <c r="L3201" s="903"/>
      <c r="M3201" s="81">
        <f>SUM(M3189:M3200)</f>
        <v>76430827</v>
      </c>
    </row>
    <row r="3202" spans="8:15" ht="16.5" thickBot="1">
      <c r="H3202" s="885" t="s">
        <v>103</v>
      </c>
      <c r="I3202" s="886"/>
      <c r="J3202" s="886"/>
      <c r="K3202" s="886"/>
      <c r="L3202" s="887"/>
      <c r="M3202" s="69">
        <f>+M3164</f>
        <v>569832459</v>
      </c>
      <c r="N3202" s="241" t="s">
        <v>561</v>
      </c>
      <c r="O3202" s="242">
        <f>95+174+227</f>
        <v>496</v>
      </c>
    </row>
    <row r="3203" spans="8:15" ht="16.5" thickBot="1">
      <c r="H3203" s="888" t="s">
        <v>104</v>
      </c>
      <c r="I3203" s="889"/>
      <c r="J3203" s="889"/>
      <c r="K3203" s="889"/>
      <c r="L3203" s="890"/>
      <c r="M3203" s="183">
        <f>SUM(M3201:M3202)</f>
        <v>646263286</v>
      </c>
    </row>
    <row r="3204" spans="8:15" ht="13.5" customHeight="1">
      <c r="H3204" s="61"/>
      <c r="I3204" s="61"/>
      <c r="J3204" s="61"/>
      <c r="K3204" s="61"/>
      <c r="L3204" s="61"/>
    </row>
    <row r="3205" spans="8:15">
      <c r="H3205" s="51" t="s">
        <v>1246</v>
      </c>
    </row>
    <row r="3206" spans="8:15" ht="11.25" customHeight="1">
      <c r="M3206" s="139"/>
    </row>
    <row r="3207" spans="8:15">
      <c r="H3207" s="50" t="s">
        <v>105</v>
      </c>
      <c r="K3207" s="146"/>
      <c r="M3207" s="139"/>
    </row>
    <row r="3208" spans="8:15" ht="11.25" customHeight="1" thickBot="1"/>
    <row r="3209" spans="8:15" ht="15.75" thickBot="1">
      <c r="H3209" s="891" t="s">
        <v>106</v>
      </c>
      <c r="I3209" s="892"/>
      <c r="J3209" s="892"/>
      <c r="K3209" s="893"/>
      <c r="M3209" s="50" t="s">
        <v>1126</v>
      </c>
    </row>
    <row r="3210" spans="8:15" ht="45.75" thickBot="1">
      <c r="H3210" s="57" t="s">
        <v>100</v>
      </c>
      <c r="I3210" s="58" t="s">
        <v>108</v>
      </c>
      <c r="J3210" s="287" t="s">
        <v>109</v>
      </c>
      <c r="K3210" s="60" t="s">
        <v>110</v>
      </c>
    </row>
    <row r="3211" spans="8:15">
      <c r="H3211" s="71">
        <v>719</v>
      </c>
      <c r="I3211" s="73">
        <f>+O3189+O3193+O3195+O3191</f>
        <v>280000</v>
      </c>
      <c r="J3211" s="74">
        <f>+K3172</f>
        <v>70360000</v>
      </c>
      <c r="K3211" s="195">
        <f>+I3211+J3211</f>
        <v>70640000</v>
      </c>
    </row>
    <row r="3212" spans="8:15">
      <c r="H3212" s="72">
        <v>721</v>
      </c>
      <c r="I3212" s="80">
        <f>+O3200</f>
        <v>64517844</v>
      </c>
      <c r="J3212" s="74">
        <f>+K3173</f>
        <v>174714046</v>
      </c>
      <c r="K3212" s="195">
        <f>+I3212+J3212</f>
        <v>239231890</v>
      </c>
    </row>
    <row r="3213" spans="8:15" ht="13.5" customHeight="1">
      <c r="H3213" s="72">
        <v>722</v>
      </c>
      <c r="I3213" s="80"/>
      <c r="J3213" s="74">
        <f>+K3174</f>
        <v>5580000</v>
      </c>
      <c r="K3213" s="195">
        <f>+I3213+J3213</f>
        <v>5580000</v>
      </c>
    </row>
    <row r="3214" spans="8:15" ht="14.25" customHeight="1">
      <c r="H3214" s="72">
        <v>723</v>
      </c>
      <c r="I3214" s="80">
        <f>+O3196+O3198</f>
        <v>11632983</v>
      </c>
      <c r="J3214" s="74">
        <f>+K3175</f>
        <v>318310913</v>
      </c>
      <c r="K3214" s="195">
        <f>+I3214+J3214</f>
        <v>329943896</v>
      </c>
      <c r="L3214" s="139"/>
      <c r="M3214" s="193" t="s">
        <v>1125</v>
      </c>
      <c r="N3214" s="175"/>
    </row>
    <row r="3215" spans="8:15" ht="15" customHeight="1" thickBot="1">
      <c r="H3215" s="164" t="s">
        <v>1077</v>
      </c>
      <c r="I3215" s="165"/>
      <c r="J3215" s="74">
        <f>+K3176</f>
        <v>797500</v>
      </c>
      <c r="K3215" s="196">
        <f>+I3215+J3215</f>
        <v>797500</v>
      </c>
      <c r="M3215" s="52"/>
    </row>
    <row r="3216" spans="8:15" ht="16.5" thickBot="1">
      <c r="H3216" s="169"/>
      <c r="I3216" s="197">
        <f>SUM(I3211:I3215)</f>
        <v>76430827</v>
      </c>
      <c r="J3216" s="197">
        <f>SUM(J3211:J3215)</f>
        <v>569762459</v>
      </c>
      <c r="K3216" s="198">
        <f>SUM(K3211:K3215)</f>
        <v>646193286</v>
      </c>
    </row>
    <row r="3217" spans="8:17" ht="16.5">
      <c r="H3217" s="49" t="s">
        <v>88</v>
      </c>
      <c r="I3217" s="50"/>
    </row>
    <row r="3218" spans="8:17">
      <c r="H3218" s="51" t="s">
        <v>89</v>
      </c>
    </row>
    <row r="3219" spans="8:17">
      <c r="H3219" s="51" t="s">
        <v>90</v>
      </c>
    </row>
    <row r="3220" spans="8:17">
      <c r="H3220" s="51" t="s">
        <v>91</v>
      </c>
    </row>
    <row r="3221" spans="8:17" ht="17.25" customHeight="1">
      <c r="H3221" s="50"/>
      <c r="I3221" s="50"/>
    </row>
    <row r="3222" spans="8:17" ht="15.75">
      <c r="H3222" s="260" t="s">
        <v>1242</v>
      </c>
      <c r="N3222" s="52"/>
    </row>
    <row r="3223" spans="8:17" ht="18" customHeight="1">
      <c r="H3223" s="53" t="s">
        <v>535</v>
      </c>
      <c r="N3223" s="53"/>
    </row>
    <row r="3224" spans="8:17" ht="16.5">
      <c r="H3224" s="894" t="s">
        <v>1278</v>
      </c>
      <c r="I3224" s="894"/>
      <c r="J3224" s="894"/>
      <c r="K3224" s="894"/>
      <c r="L3224" s="894"/>
      <c r="M3224" s="894"/>
      <c r="N3224" s="894"/>
      <c r="O3224" s="894"/>
    </row>
    <row r="3225" spans="8:17" ht="15.75" thickBot="1"/>
    <row r="3226" spans="8:17">
      <c r="H3226" s="895" t="s">
        <v>94</v>
      </c>
      <c r="I3226" s="897" t="s">
        <v>95</v>
      </c>
      <c r="J3226" s="897" t="s">
        <v>96</v>
      </c>
      <c r="K3226" s="897" t="s">
        <v>3</v>
      </c>
      <c r="L3226" s="897" t="s">
        <v>97</v>
      </c>
      <c r="M3226" s="897" t="s">
        <v>98</v>
      </c>
      <c r="N3226" s="897" t="s">
        <v>99</v>
      </c>
      <c r="O3226" s="899"/>
    </row>
    <row r="3227" spans="8:17" ht="15.75" thickBot="1">
      <c r="H3227" s="896"/>
      <c r="I3227" s="898"/>
      <c r="J3227" s="898"/>
      <c r="K3227" s="898"/>
      <c r="L3227" s="898"/>
      <c r="M3227" s="898"/>
      <c r="N3227" s="240" t="s">
        <v>100</v>
      </c>
      <c r="O3227" s="182" t="s">
        <v>101</v>
      </c>
    </row>
    <row r="3228" spans="8:17">
      <c r="H3228" s="881">
        <v>345</v>
      </c>
      <c r="I3228" s="875">
        <v>42725</v>
      </c>
      <c r="J3228" s="877" t="s">
        <v>1014</v>
      </c>
      <c r="K3228" s="879" t="s">
        <v>1260</v>
      </c>
      <c r="L3228" s="881" t="s">
        <v>115</v>
      </c>
      <c r="M3228" s="883">
        <v>160000</v>
      </c>
      <c r="N3228" s="55">
        <v>719</v>
      </c>
      <c r="O3228" s="78">
        <v>160000</v>
      </c>
    </row>
    <row r="3229" spans="8:17" ht="15.75" thickBot="1">
      <c r="H3229" s="882"/>
      <c r="I3229" s="876"/>
      <c r="J3229" s="878"/>
      <c r="K3229" s="880"/>
      <c r="L3229" s="882"/>
      <c r="M3229" s="884"/>
      <c r="N3229" s="56">
        <v>721</v>
      </c>
      <c r="O3229" s="351">
        <f>+M3228-O3228</f>
        <v>0</v>
      </c>
    </row>
    <row r="3230" spans="8:17" ht="15" customHeight="1">
      <c r="H3230" s="881">
        <f>+H3228+1</f>
        <v>346</v>
      </c>
      <c r="I3230" s="875">
        <v>42725</v>
      </c>
      <c r="J3230" s="877" t="s">
        <v>28</v>
      </c>
      <c r="K3230" s="879" t="s">
        <v>1276</v>
      </c>
      <c r="L3230" s="881" t="s">
        <v>115</v>
      </c>
      <c r="M3230" s="883">
        <v>60000</v>
      </c>
      <c r="N3230" s="55">
        <v>722</v>
      </c>
      <c r="O3230" s="78">
        <v>60000</v>
      </c>
    </row>
    <row r="3231" spans="8:17" ht="15.75" customHeight="1" thickBot="1">
      <c r="H3231" s="882"/>
      <c r="I3231" s="876"/>
      <c r="J3231" s="878"/>
      <c r="K3231" s="880"/>
      <c r="L3231" s="882"/>
      <c r="M3231" s="884"/>
      <c r="N3231" s="56">
        <v>721</v>
      </c>
      <c r="O3231" s="352">
        <f>+M3230-O3230</f>
        <v>0</v>
      </c>
    </row>
    <row r="3232" spans="8:17" ht="15" customHeight="1">
      <c r="H3232" s="881">
        <f>+H3230+1</f>
        <v>347</v>
      </c>
      <c r="I3232" s="875">
        <v>42725</v>
      </c>
      <c r="J3232" s="877" t="s">
        <v>120</v>
      </c>
      <c r="K3232" s="879" t="s">
        <v>1276</v>
      </c>
      <c r="L3232" s="881" t="s">
        <v>115</v>
      </c>
      <c r="M3232" s="883">
        <v>140000</v>
      </c>
      <c r="N3232" s="55">
        <v>722</v>
      </c>
      <c r="O3232" s="78">
        <v>140000</v>
      </c>
      <c r="Q3232" s="875"/>
    </row>
    <row r="3233" spans="8:17" ht="15.75" customHeight="1" thickBot="1">
      <c r="H3233" s="882"/>
      <c r="I3233" s="876"/>
      <c r="J3233" s="878"/>
      <c r="K3233" s="880"/>
      <c r="L3233" s="882"/>
      <c r="M3233" s="884"/>
      <c r="N3233" s="56">
        <v>721</v>
      </c>
      <c r="O3233" s="352">
        <f>+M3232-O3232</f>
        <v>0</v>
      </c>
      <c r="Q3233" s="876"/>
    </row>
    <row r="3234" spans="8:17" ht="15" customHeight="1">
      <c r="H3234" s="881"/>
      <c r="I3234" s="875"/>
      <c r="J3234" s="877"/>
      <c r="K3234" s="879"/>
      <c r="L3234" s="881"/>
      <c r="M3234" s="883"/>
      <c r="N3234" s="55">
        <v>722</v>
      </c>
      <c r="O3234" s="78"/>
    </row>
    <row r="3235" spans="8:17" ht="15.75" customHeight="1" thickBot="1">
      <c r="H3235" s="882"/>
      <c r="I3235" s="876"/>
      <c r="J3235" s="878"/>
      <c r="K3235" s="880"/>
      <c r="L3235" s="882"/>
      <c r="M3235" s="884"/>
      <c r="N3235" s="56">
        <v>721</v>
      </c>
      <c r="O3235" s="79">
        <f>+M3234-O3234</f>
        <v>0</v>
      </c>
    </row>
    <row r="3236" spans="8:17" ht="16.5" thickBot="1">
      <c r="H3236" s="901" t="s">
        <v>102</v>
      </c>
      <c r="I3236" s="902"/>
      <c r="J3236" s="902"/>
      <c r="K3236" s="902"/>
      <c r="L3236" s="903"/>
      <c r="M3236" s="81">
        <f>SUM(M3228:M3235)</f>
        <v>360000</v>
      </c>
    </row>
    <row r="3237" spans="8:17" ht="16.5" thickBot="1">
      <c r="H3237" s="885" t="s">
        <v>103</v>
      </c>
      <c r="I3237" s="886"/>
      <c r="J3237" s="886"/>
      <c r="K3237" s="886"/>
      <c r="L3237" s="887"/>
      <c r="M3237" s="69">
        <f>+M3203</f>
        <v>646263286</v>
      </c>
      <c r="N3237" s="241" t="s">
        <v>561</v>
      </c>
      <c r="O3237" s="242">
        <f>108+107+310</f>
        <v>525</v>
      </c>
    </row>
    <row r="3238" spans="8:17" ht="16.5" thickBot="1">
      <c r="H3238" s="888" t="s">
        <v>104</v>
      </c>
      <c r="I3238" s="889"/>
      <c r="J3238" s="889"/>
      <c r="K3238" s="889"/>
      <c r="L3238" s="890"/>
      <c r="M3238" s="183">
        <f>SUM(M3236:M3237)</f>
        <v>646623286</v>
      </c>
    </row>
    <row r="3239" spans="8:17">
      <c r="H3239" s="61"/>
      <c r="I3239" s="61"/>
      <c r="J3239" s="61"/>
      <c r="K3239" s="61"/>
      <c r="L3239" s="61"/>
    </row>
    <row r="3240" spans="8:17">
      <c r="H3240" s="51" t="s">
        <v>1261</v>
      </c>
    </row>
    <row r="3241" spans="8:17" ht="19.5" customHeight="1">
      <c r="M3241" s="139"/>
    </row>
    <row r="3242" spans="8:17">
      <c r="H3242" s="50" t="s">
        <v>105</v>
      </c>
      <c r="K3242" s="146"/>
      <c r="M3242" s="139"/>
    </row>
    <row r="3243" spans="8:17" ht="15.75" thickBot="1"/>
    <row r="3244" spans="8:17" ht="15.75" thickBot="1">
      <c r="H3244" s="891" t="s">
        <v>106</v>
      </c>
      <c r="I3244" s="892"/>
      <c r="J3244" s="892"/>
      <c r="K3244" s="893"/>
      <c r="M3244" s="50" t="s">
        <v>288</v>
      </c>
    </row>
    <row r="3245" spans="8:17" ht="45.75" thickBot="1">
      <c r="H3245" s="57" t="s">
        <v>100</v>
      </c>
      <c r="I3245" s="58" t="s">
        <v>108</v>
      </c>
      <c r="J3245" s="287" t="s">
        <v>109</v>
      </c>
      <c r="K3245" s="60" t="s">
        <v>110</v>
      </c>
    </row>
    <row r="3246" spans="8:17">
      <c r="H3246" s="71">
        <v>719</v>
      </c>
      <c r="I3246" s="73">
        <f>+O3228+O3230+O3232+O3234</f>
        <v>360000</v>
      </c>
      <c r="J3246" s="74">
        <f>+K3211</f>
        <v>70640000</v>
      </c>
      <c r="K3246" s="195">
        <f>+I3246+J3246</f>
        <v>71000000</v>
      </c>
    </row>
    <row r="3247" spans="8:17">
      <c r="H3247" s="72">
        <v>721</v>
      </c>
      <c r="I3247" s="80"/>
      <c r="J3247" s="74">
        <f>+K3212</f>
        <v>239231890</v>
      </c>
      <c r="K3247" s="195">
        <f>+I3247+J3247</f>
        <v>239231890</v>
      </c>
    </row>
    <row r="3248" spans="8:17">
      <c r="H3248" s="72">
        <v>722</v>
      </c>
      <c r="I3248" s="80"/>
      <c r="J3248" s="74">
        <f>+K3213</f>
        <v>5580000</v>
      </c>
      <c r="K3248" s="195">
        <f>+I3248+J3248</f>
        <v>5580000</v>
      </c>
    </row>
    <row r="3249" spans="8:15" ht="15.75">
      <c r="H3249" s="72">
        <v>723</v>
      </c>
      <c r="I3249" s="80"/>
      <c r="J3249" s="74">
        <f>+K3214</f>
        <v>329943896</v>
      </c>
      <c r="K3249" s="195">
        <f>+I3249+J3249</f>
        <v>329943896</v>
      </c>
      <c r="M3249" s="193" t="s">
        <v>289</v>
      </c>
      <c r="N3249" s="175"/>
    </row>
    <row r="3250" spans="8:15" ht="16.5" thickBot="1">
      <c r="H3250" s="164" t="s">
        <v>1077</v>
      </c>
      <c r="I3250" s="165"/>
      <c r="J3250" s="74">
        <f>+K3215</f>
        <v>797500</v>
      </c>
      <c r="K3250" s="196">
        <f>+I3250+J3250</f>
        <v>797500</v>
      </c>
      <c r="M3250" s="52"/>
    </row>
    <row r="3251" spans="8:15" ht="16.5" thickBot="1">
      <c r="H3251" s="169"/>
      <c r="I3251" s="197">
        <f>SUM(I3246:I3250)</f>
        <v>360000</v>
      </c>
      <c r="J3251" s="197">
        <f>SUM(J3246:J3250)</f>
        <v>646193286</v>
      </c>
      <c r="K3251" s="198">
        <f>SUM(K3246:K3250)</f>
        <v>646553286</v>
      </c>
    </row>
    <row r="3252" spans="8:15" ht="16.5">
      <c r="H3252" s="49" t="s">
        <v>88</v>
      </c>
      <c r="I3252" s="50"/>
    </row>
    <row r="3253" spans="8:15">
      <c r="H3253" s="51" t="s">
        <v>89</v>
      </c>
    </row>
    <row r="3254" spans="8:15">
      <c r="H3254" s="51" t="s">
        <v>90</v>
      </c>
    </row>
    <row r="3255" spans="8:15">
      <c r="H3255" s="51" t="s">
        <v>91</v>
      </c>
    </row>
    <row r="3256" spans="8:15" ht="14.25" customHeight="1">
      <c r="H3256" s="50"/>
      <c r="I3256" s="50"/>
    </row>
    <row r="3257" spans="8:15" ht="15.75">
      <c r="H3257" s="260" t="s">
        <v>1264</v>
      </c>
      <c r="N3257" s="52"/>
    </row>
    <row r="3258" spans="8:15" ht="15.75">
      <c r="H3258" s="53" t="s">
        <v>535</v>
      </c>
      <c r="N3258" s="53"/>
    </row>
    <row r="3259" spans="8:15" ht="16.5">
      <c r="H3259" s="894" t="s">
        <v>1278</v>
      </c>
      <c r="I3259" s="894"/>
      <c r="J3259" s="894"/>
      <c r="K3259" s="894"/>
      <c r="L3259" s="894"/>
      <c r="M3259" s="894"/>
      <c r="N3259" s="894"/>
      <c r="O3259" s="894"/>
    </row>
    <row r="3260" spans="8:15" ht="15.75" thickBot="1"/>
    <row r="3261" spans="8:15">
      <c r="H3261" s="895" t="s">
        <v>94</v>
      </c>
      <c r="I3261" s="897" t="s">
        <v>95</v>
      </c>
      <c r="J3261" s="897" t="s">
        <v>96</v>
      </c>
      <c r="K3261" s="897" t="s">
        <v>3</v>
      </c>
      <c r="L3261" s="897" t="s">
        <v>97</v>
      </c>
      <c r="M3261" s="897" t="s">
        <v>98</v>
      </c>
      <c r="N3261" s="897" t="s">
        <v>99</v>
      </c>
      <c r="O3261" s="899"/>
    </row>
    <row r="3262" spans="8:15" ht="15.75" thickBot="1">
      <c r="H3262" s="896"/>
      <c r="I3262" s="898"/>
      <c r="J3262" s="898"/>
      <c r="K3262" s="898"/>
      <c r="L3262" s="898"/>
      <c r="M3262" s="898"/>
      <c r="N3262" s="240" t="s">
        <v>100</v>
      </c>
      <c r="O3262" s="182" t="s">
        <v>101</v>
      </c>
    </row>
    <row r="3263" spans="8:15">
      <c r="H3263" s="881">
        <v>348</v>
      </c>
      <c r="I3263" s="875">
        <v>42725</v>
      </c>
      <c r="J3263" s="877" t="s">
        <v>1014</v>
      </c>
      <c r="K3263" s="879" t="s">
        <v>1263</v>
      </c>
      <c r="L3263" s="881" t="s">
        <v>115</v>
      </c>
      <c r="M3263" s="883">
        <v>140000</v>
      </c>
      <c r="N3263" s="55">
        <v>719</v>
      </c>
      <c r="O3263" s="78">
        <v>140000</v>
      </c>
    </row>
    <row r="3264" spans="8:15" ht="15.75" thickBot="1">
      <c r="H3264" s="882"/>
      <c r="I3264" s="876"/>
      <c r="J3264" s="878"/>
      <c r="K3264" s="880"/>
      <c r="L3264" s="882"/>
      <c r="M3264" s="884"/>
      <c r="N3264" s="56">
        <v>721</v>
      </c>
      <c r="O3264" s="351">
        <f>+M3263-O3263</f>
        <v>0</v>
      </c>
    </row>
    <row r="3265" spans="8:15">
      <c r="H3265" s="881">
        <f>+H3263+1</f>
        <v>349</v>
      </c>
      <c r="I3265" s="875">
        <v>42725</v>
      </c>
      <c r="J3265" s="877" t="s">
        <v>28</v>
      </c>
      <c r="K3265" s="879" t="s">
        <v>1266</v>
      </c>
      <c r="L3265" s="881" t="s">
        <v>115</v>
      </c>
      <c r="M3265" s="883">
        <v>50000</v>
      </c>
      <c r="N3265" s="55">
        <v>722</v>
      </c>
      <c r="O3265" s="78">
        <v>50000</v>
      </c>
    </row>
    <row r="3266" spans="8:15" ht="15.75" thickBot="1">
      <c r="H3266" s="882"/>
      <c r="I3266" s="876"/>
      <c r="J3266" s="878"/>
      <c r="K3266" s="880"/>
      <c r="L3266" s="882"/>
      <c r="M3266" s="884"/>
      <c r="N3266" s="56">
        <v>721</v>
      </c>
      <c r="O3266" s="352"/>
    </row>
    <row r="3267" spans="8:15">
      <c r="H3267" s="881">
        <f>+H3265+1</f>
        <v>350</v>
      </c>
      <c r="I3267" s="875">
        <v>42725</v>
      </c>
      <c r="J3267" s="877" t="s">
        <v>120</v>
      </c>
      <c r="K3267" s="879" t="s">
        <v>1262</v>
      </c>
      <c r="L3267" s="881" t="s">
        <v>115</v>
      </c>
      <c r="M3267" s="883">
        <v>140000</v>
      </c>
      <c r="N3267" s="55">
        <v>722</v>
      </c>
      <c r="O3267" s="78">
        <v>140000</v>
      </c>
    </row>
    <row r="3268" spans="8:15" ht="15.75" thickBot="1">
      <c r="H3268" s="882"/>
      <c r="I3268" s="876"/>
      <c r="J3268" s="878"/>
      <c r="K3268" s="880"/>
      <c r="L3268" s="882"/>
      <c r="M3268" s="884"/>
      <c r="N3268" s="56">
        <v>721</v>
      </c>
      <c r="O3268" s="352">
        <f>+M3267-O3267</f>
        <v>0</v>
      </c>
    </row>
    <row r="3269" spans="8:15">
      <c r="H3269" s="881"/>
      <c r="I3269" s="875"/>
      <c r="J3269" s="877"/>
      <c r="K3269" s="879"/>
      <c r="L3269" s="881"/>
      <c r="M3269" s="883"/>
      <c r="N3269" s="55">
        <v>722</v>
      </c>
      <c r="O3269" s="78"/>
    </row>
    <row r="3270" spans="8:15" ht="15.75" thickBot="1">
      <c r="H3270" s="882"/>
      <c r="I3270" s="876"/>
      <c r="J3270" s="878"/>
      <c r="K3270" s="880"/>
      <c r="L3270" s="882"/>
      <c r="M3270" s="884"/>
      <c r="N3270" s="56">
        <v>721</v>
      </c>
      <c r="O3270" s="79">
        <f>+M3269-O3269</f>
        <v>0</v>
      </c>
    </row>
    <row r="3271" spans="8:15" ht="16.5" thickBot="1">
      <c r="H3271" s="901" t="s">
        <v>102</v>
      </c>
      <c r="I3271" s="902"/>
      <c r="J3271" s="902"/>
      <c r="K3271" s="902"/>
      <c r="L3271" s="903"/>
      <c r="M3271" s="81">
        <f>SUM(M3263:M3270)</f>
        <v>330000</v>
      </c>
    </row>
    <row r="3272" spans="8:15" ht="16.5" thickBot="1">
      <c r="H3272" s="885" t="s">
        <v>103</v>
      </c>
      <c r="I3272" s="886"/>
      <c r="J3272" s="886"/>
      <c r="K3272" s="886"/>
      <c r="L3272" s="887"/>
      <c r="M3272" s="69">
        <f>+M3238</f>
        <v>646623286</v>
      </c>
      <c r="N3272" s="241" t="s">
        <v>561</v>
      </c>
      <c r="O3272" s="242">
        <f>404+83+122</f>
        <v>609</v>
      </c>
    </row>
    <row r="3273" spans="8:15" ht="16.5" thickBot="1">
      <c r="H3273" s="888" t="s">
        <v>104</v>
      </c>
      <c r="I3273" s="889"/>
      <c r="J3273" s="889"/>
      <c r="K3273" s="889"/>
      <c r="L3273" s="890"/>
      <c r="M3273" s="183">
        <f>SUM(M3271:M3272)</f>
        <v>646953286</v>
      </c>
    </row>
    <row r="3274" spans="8:15">
      <c r="H3274" s="61"/>
      <c r="I3274" s="61"/>
      <c r="J3274" s="61"/>
      <c r="K3274" s="61"/>
      <c r="L3274" s="61"/>
    </row>
    <row r="3275" spans="8:15">
      <c r="H3275" s="51" t="s">
        <v>1265</v>
      </c>
    </row>
    <row r="3276" spans="8:15">
      <c r="M3276" s="139"/>
    </row>
    <row r="3277" spans="8:15">
      <c r="H3277" s="50" t="s">
        <v>105</v>
      </c>
      <c r="K3277" s="146"/>
      <c r="M3277" s="139"/>
    </row>
    <row r="3278" spans="8:15" ht="15.75" thickBot="1"/>
    <row r="3279" spans="8:15" ht="15.75" thickBot="1">
      <c r="H3279" s="891" t="s">
        <v>106</v>
      </c>
      <c r="I3279" s="892"/>
      <c r="J3279" s="892"/>
      <c r="K3279" s="893"/>
      <c r="M3279" s="50" t="s">
        <v>288</v>
      </c>
    </row>
    <row r="3280" spans="8:15" ht="45.75" thickBot="1">
      <c r="H3280" s="57" t="s">
        <v>100</v>
      </c>
      <c r="I3280" s="58" t="s">
        <v>108</v>
      </c>
      <c r="J3280" s="287" t="s">
        <v>109</v>
      </c>
      <c r="K3280" s="60" t="s">
        <v>110</v>
      </c>
    </row>
    <row r="3281" spans="8:15">
      <c r="H3281" s="71">
        <v>719</v>
      </c>
      <c r="I3281" s="73">
        <f>+O3263+O3265+O3267+O3269</f>
        <v>330000</v>
      </c>
      <c r="J3281" s="74">
        <f>+K3246</f>
        <v>71000000</v>
      </c>
      <c r="K3281" s="195">
        <f>+I3281+J3281</f>
        <v>71330000</v>
      </c>
    </row>
    <row r="3282" spans="8:15">
      <c r="H3282" s="72">
        <v>721</v>
      </c>
      <c r="I3282" s="80"/>
      <c r="J3282" s="74">
        <f>+K3247</f>
        <v>239231890</v>
      </c>
      <c r="K3282" s="195">
        <f>+I3282+J3282</f>
        <v>239231890</v>
      </c>
    </row>
    <row r="3283" spans="8:15">
      <c r="H3283" s="72">
        <v>722</v>
      </c>
      <c r="I3283" s="80"/>
      <c r="J3283" s="74">
        <f>+K3248</f>
        <v>5580000</v>
      </c>
      <c r="K3283" s="195">
        <f>+I3283+J3283</f>
        <v>5580000</v>
      </c>
    </row>
    <row r="3284" spans="8:15" ht="15.75">
      <c r="H3284" s="72">
        <v>723</v>
      </c>
      <c r="I3284" s="80"/>
      <c r="J3284" s="74">
        <f>+K3249</f>
        <v>329943896</v>
      </c>
      <c r="K3284" s="195">
        <f>+I3284+J3284</f>
        <v>329943896</v>
      </c>
      <c r="M3284" s="193" t="s">
        <v>289</v>
      </c>
      <c r="N3284" s="175"/>
    </row>
    <row r="3285" spans="8:15" ht="16.5" thickBot="1">
      <c r="H3285" s="164" t="s">
        <v>1077</v>
      </c>
      <c r="I3285" s="165"/>
      <c r="J3285" s="74">
        <f>+K3250</f>
        <v>797500</v>
      </c>
      <c r="K3285" s="196">
        <f>+I3285+J3285</f>
        <v>797500</v>
      </c>
      <c r="M3285" s="52"/>
    </row>
    <row r="3286" spans="8:15" ht="16.5" thickBot="1">
      <c r="H3286" s="169"/>
      <c r="I3286" s="197">
        <f>SUM(I3281:I3285)</f>
        <v>330000</v>
      </c>
      <c r="J3286" s="197">
        <f>SUM(J3281:J3285)</f>
        <v>646553286</v>
      </c>
      <c r="K3286" s="198">
        <f>SUM(K3281:K3285)</f>
        <v>646883286</v>
      </c>
    </row>
    <row r="3288" spans="8:15" ht="16.5">
      <c r="H3288" s="49" t="s">
        <v>88</v>
      </c>
      <c r="I3288" s="50"/>
    </row>
    <row r="3289" spans="8:15">
      <c r="H3289" s="51" t="s">
        <v>89</v>
      </c>
    </row>
    <row r="3290" spans="8:15">
      <c r="H3290" s="51" t="s">
        <v>90</v>
      </c>
    </row>
    <row r="3291" spans="8:15">
      <c r="H3291" s="51" t="s">
        <v>91</v>
      </c>
    </row>
    <row r="3292" spans="8:15">
      <c r="H3292" s="50"/>
      <c r="I3292" s="50"/>
    </row>
    <row r="3293" spans="8:15" ht="15.75">
      <c r="H3293" s="260" t="s">
        <v>1272</v>
      </c>
      <c r="N3293" s="52"/>
    </row>
    <row r="3294" spans="8:15" ht="15.75">
      <c r="H3294" s="53" t="s">
        <v>535</v>
      </c>
      <c r="N3294" s="53"/>
    </row>
    <row r="3295" spans="8:15" ht="16.5">
      <c r="H3295" s="894" t="s">
        <v>1277</v>
      </c>
      <c r="I3295" s="894"/>
      <c r="J3295" s="894"/>
      <c r="K3295" s="894"/>
      <c r="L3295" s="894"/>
      <c r="M3295" s="894"/>
      <c r="N3295" s="894"/>
      <c r="O3295" s="894"/>
    </row>
    <row r="3296" spans="8:15" ht="15.75" thickBot="1"/>
    <row r="3297" spans="8:15">
      <c r="H3297" s="895" t="s">
        <v>94</v>
      </c>
      <c r="I3297" s="897" t="s">
        <v>95</v>
      </c>
      <c r="J3297" s="897" t="s">
        <v>96</v>
      </c>
      <c r="K3297" s="897" t="s">
        <v>3</v>
      </c>
      <c r="L3297" s="897" t="s">
        <v>97</v>
      </c>
      <c r="M3297" s="897" t="s">
        <v>98</v>
      </c>
      <c r="N3297" s="897" t="s">
        <v>99</v>
      </c>
      <c r="O3297" s="899"/>
    </row>
    <row r="3298" spans="8:15" ht="15.75" thickBot="1">
      <c r="H3298" s="896"/>
      <c r="I3298" s="898"/>
      <c r="J3298" s="898"/>
      <c r="K3298" s="898"/>
      <c r="L3298" s="898"/>
      <c r="M3298" s="898"/>
      <c r="N3298" s="240" t="s">
        <v>100</v>
      </c>
      <c r="O3298" s="182" t="s">
        <v>101</v>
      </c>
    </row>
    <row r="3299" spans="8:15" ht="15" customHeight="1">
      <c r="H3299" s="881">
        <v>351</v>
      </c>
      <c r="I3299" s="875">
        <v>42732</v>
      </c>
      <c r="J3299" s="877" t="s">
        <v>1267</v>
      </c>
      <c r="K3299" s="879" t="s">
        <v>1270</v>
      </c>
      <c r="L3299" s="881" t="s">
        <v>115</v>
      </c>
      <c r="M3299" s="883">
        <v>14718204</v>
      </c>
      <c r="N3299" s="55">
        <v>719</v>
      </c>
      <c r="O3299" s="78">
        <v>0</v>
      </c>
    </row>
    <row r="3300" spans="8:15" ht="15.75" thickBot="1">
      <c r="H3300" s="882"/>
      <c r="I3300" s="876"/>
      <c r="J3300" s="900"/>
      <c r="K3300" s="880"/>
      <c r="L3300" s="882"/>
      <c r="M3300" s="884"/>
      <c r="N3300" s="56">
        <v>721</v>
      </c>
      <c r="O3300" s="351">
        <f>+M3299-O3299</f>
        <v>14718204</v>
      </c>
    </row>
    <row r="3301" spans="8:15" ht="15" customHeight="1">
      <c r="H3301" s="881">
        <f>+H3299+1</f>
        <v>352</v>
      </c>
      <c r="I3301" s="875">
        <v>42732</v>
      </c>
      <c r="J3301" s="900"/>
      <c r="K3301" s="879" t="s">
        <v>1271</v>
      </c>
      <c r="L3301" s="881" t="s">
        <v>115</v>
      </c>
      <c r="M3301" s="883">
        <v>3962065</v>
      </c>
      <c r="N3301" s="55">
        <v>722</v>
      </c>
      <c r="O3301" s="78">
        <v>0</v>
      </c>
    </row>
    <row r="3302" spans="8:15" ht="15.75" customHeight="1" thickBot="1">
      <c r="H3302" s="882"/>
      <c r="I3302" s="876"/>
      <c r="J3302" s="878"/>
      <c r="K3302" s="880"/>
      <c r="L3302" s="882"/>
      <c r="M3302" s="884"/>
      <c r="N3302" s="56">
        <v>721</v>
      </c>
      <c r="O3302" s="352">
        <f>+M3301-O3301</f>
        <v>3962065</v>
      </c>
    </row>
    <row r="3303" spans="8:15" ht="15" customHeight="1">
      <c r="H3303" s="881">
        <f>+H3301+1</f>
        <v>353</v>
      </c>
      <c r="I3303" s="875">
        <v>42732</v>
      </c>
      <c r="J3303" s="877" t="s">
        <v>1014</v>
      </c>
      <c r="K3303" s="879" t="s">
        <v>1273</v>
      </c>
      <c r="L3303" s="881" t="s">
        <v>115</v>
      </c>
      <c r="M3303" s="883">
        <v>90000</v>
      </c>
      <c r="N3303" s="55">
        <v>722</v>
      </c>
      <c r="O3303" s="78">
        <v>90000</v>
      </c>
    </row>
    <row r="3304" spans="8:15" ht="15.75" customHeight="1" thickBot="1">
      <c r="H3304" s="882"/>
      <c r="I3304" s="876"/>
      <c r="J3304" s="878"/>
      <c r="K3304" s="880"/>
      <c r="L3304" s="882"/>
      <c r="M3304" s="884"/>
      <c r="N3304" s="56">
        <v>721</v>
      </c>
      <c r="O3304" s="352">
        <f>+M3303-O3303</f>
        <v>0</v>
      </c>
    </row>
    <row r="3305" spans="8:15" ht="15" customHeight="1">
      <c r="H3305" s="881">
        <f>+H3303+1</f>
        <v>354</v>
      </c>
      <c r="I3305" s="875">
        <v>42732</v>
      </c>
      <c r="J3305" s="877" t="s">
        <v>120</v>
      </c>
      <c r="K3305" s="879" t="s">
        <v>1274</v>
      </c>
      <c r="L3305" s="881" t="s">
        <v>115</v>
      </c>
      <c r="M3305" s="883">
        <v>60000</v>
      </c>
      <c r="N3305" s="55">
        <v>722</v>
      </c>
      <c r="O3305" s="78">
        <v>60000</v>
      </c>
    </row>
    <row r="3306" spans="8:15" ht="15.75" customHeight="1" thickBot="1">
      <c r="H3306" s="882"/>
      <c r="I3306" s="876"/>
      <c r="J3306" s="878"/>
      <c r="K3306" s="880"/>
      <c r="L3306" s="882"/>
      <c r="M3306" s="884"/>
      <c r="N3306" s="56">
        <v>721</v>
      </c>
      <c r="O3306" s="79">
        <f>+M3305-O3305</f>
        <v>0</v>
      </c>
    </row>
    <row r="3307" spans="8:15" ht="16.5" thickBot="1">
      <c r="H3307" s="901" t="s">
        <v>102</v>
      </c>
      <c r="I3307" s="902"/>
      <c r="J3307" s="902"/>
      <c r="K3307" s="902"/>
      <c r="L3307" s="903"/>
      <c r="M3307" s="81">
        <f>SUM(M3299:M3306)</f>
        <v>18830269</v>
      </c>
    </row>
    <row r="3308" spans="8:15" ht="16.5" thickBot="1">
      <c r="H3308" s="885" t="s">
        <v>103</v>
      </c>
      <c r="I3308" s="886"/>
      <c r="J3308" s="886"/>
      <c r="K3308" s="886"/>
      <c r="L3308" s="887"/>
      <c r="M3308" s="69">
        <f>+M3273</f>
        <v>646953286</v>
      </c>
      <c r="N3308" s="241" t="s">
        <v>561</v>
      </c>
      <c r="O3308" s="242">
        <f>38+294</f>
        <v>332</v>
      </c>
    </row>
    <row r="3309" spans="8:15" ht="16.5" thickBot="1">
      <c r="H3309" s="888" t="s">
        <v>104</v>
      </c>
      <c r="I3309" s="889"/>
      <c r="J3309" s="889"/>
      <c r="K3309" s="889"/>
      <c r="L3309" s="890"/>
      <c r="M3309" s="183">
        <f>SUM(M3307:M3308)</f>
        <v>665783555</v>
      </c>
    </row>
    <row r="3310" spans="8:15">
      <c r="H3310" s="61"/>
      <c r="I3310" s="61"/>
      <c r="J3310" s="61"/>
      <c r="K3310" s="61"/>
      <c r="L3310" s="61"/>
    </row>
    <row r="3311" spans="8:15">
      <c r="H3311" s="51" t="s">
        <v>1275</v>
      </c>
    </row>
    <row r="3312" spans="8:15">
      <c r="M3312" s="139"/>
    </row>
    <row r="3313" spans="8:14">
      <c r="H3313" s="50" t="s">
        <v>105</v>
      </c>
      <c r="K3313" s="146"/>
      <c r="M3313" s="139"/>
    </row>
    <row r="3314" spans="8:14" ht="15.75" thickBot="1"/>
    <row r="3315" spans="8:14" ht="15.75" thickBot="1">
      <c r="H3315" s="891" t="s">
        <v>106</v>
      </c>
      <c r="I3315" s="892"/>
      <c r="J3315" s="892"/>
      <c r="K3315" s="893"/>
      <c r="M3315" s="50" t="s">
        <v>288</v>
      </c>
    </row>
    <row r="3316" spans="8:14" ht="45.75" thickBot="1">
      <c r="H3316" s="57" t="s">
        <v>100</v>
      </c>
      <c r="I3316" s="58" t="s">
        <v>108</v>
      </c>
      <c r="J3316" s="287" t="s">
        <v>109</v>
      </c>
      <c r="K3316" s="60" t="s">
        <v>110</v>
      </c>
    </row>
    <row r="3317" spans="8:14">
      <c r="H3317" s="71">
        <v>719</v>
      </c>
      <c r="I3317" s="73">
        <f>+O3299+O3301+O3303+O3305</f>
        <v>150000</v>
      </c>
      <c r="J3317" s="74">
        <f>+K3281</f>
        <v>71330000</v>
      </c>
      <c r="K3317" s="195">
        <f>+I3317+J3317</f>
        <v>71480000</v>
      </c>
    </row>
    <row r="3318" spans="8:14">
      <c r="H3318" s="72">
        <v>721</v>
      </c>
      <c r="I3318" s="80">
        <f>+O3300+O3302</f>
        <v>18680269</v>
      </c>
      <c r="J3318" s="74">
        <f>+K3282</f>
        <v>239231890</v>
      </c>
      <c r="K3318" s="195">
        <f>+I3318+J3318</f>
        <v>257912159</v>
      </c>
    </row>
    <row r="3319" spans="8:14">
      <c r="H3319" s="72">
        <v>722</v>
      </c>
      <c r="I3319" s="80"/>
      <c r="J3319" s="74">
        <f>+K3283</f>
        <v>5580000</v>
      </c>
      <c r="K3319" s="195">
        <f>+I3319+J3319</f>
        <v>5580000</v>
      </c>
    </row>
    <row r="3320" spans="8:14" ht="15.75">
      <c r="H3320" s="72">
        <v>723</v>
      </c>
      <c r="I3320" s="80"/>
      <c r="J3320" s="74">
        <f>+K3284</f>
        <v>329943896</v>
      </c>
      <c r="K3320" s="195">
        <f>+I3320+J3320</f>
        <v>329943896</v>
      </c>
      <c r="M3320" s="193" t="s">
        <v>289</v>
      </c>
      <c r="N3320" s="175"/>
    </row>
    <row r="3321" spans="8:14" ht="16.5" thickBot="1">
      <c r="H3321" s="164" t="s">
        <v>1077</v>
      </c>
      <c r="I3321" s="165"/>
      <c r="J3321" s="74">
        <f>+K3285</f>
        <v>797500</v>
      </c>
      <c r="K3321" s="196">
        <f>+I3321+J3321</f>
        <v>797500</v>
      </c>
      <c r="M3321" s="52"/>
    </row>
    <row r="3322" spans="8:14" ht="16.5" thickBot="1">
      <c r="H3322" s="169"/>
      <c r="I3322" s="197">
        <f>SUM(I3317:I3321)</f>
        <v>18830269</v>
      </c>
      <c r="J3322" s="197">
        <f>SUM(J3317:J3321)</f>
        <v>646883286</v>
      </c>
      <c r="K3322" s="198">
        <f>SUM(K3317:K3321)</f>
        <v>665713555</v>
      </c>
    </row>
    <row r="3323" spans="8:14" ht="16.5">
      <c r="H3323" s="49" t="s">
        <v>88</v>
      </c>
      <c r="I3323" s="50"/>
    </row>
    <row r="3324" spans="8:14">
      <c r="H3324" s="51" t="s">
        <v>89</v>
      </c>
    </row>
    <row r="3325" spans="8:14">
      <c r="H3325" s="51" t="s">
        <v>90</v>
      </c>
    </row>
    <row r="3326" spans="8:14">
      <c r="H3326" s="51" t="s">
        <v>91</v>
      </c>
    </row>
    <row r="3327" spans="8:14" ht="12" customHeight="1">
      <c r="H3327" s="50"/>
      <c r="I3327" s="50"/>
    </row>
    <row r="3328" spans="8:14" ht="15.75">
      <c r="H3328" s="260" t="s">
        <v>1279</v>
      </c>
      <c r="N3328" s="52"/>
    </row>
    <row r="3329" spans="8:15" ht="15.75">
      <c r="H3329" s="53" t="s">
        <v>535</v>
      </c>
      <c r="N3329" s="53"/>
    </row>
    <row r="3330" spans="8:15" ht="14.25" customHeight="1">
      <c r="H3330" s="894" t="s">
        <v>1288</v>
      </c>
      <c r="I3330" s="894"/>
      <c r="J3330" s="894"/>
      <c r="K3330" s="894"/>
      <c r="L3330" s="894"/>
      <c r="M3330" s="894"/>
      <c r="N3330" s="894"/>
      <c r="O3330" s="894"/>
    </row>
    <row r="3331" spans="8:15" ht="12.75" customHeight="1" thickBot="1"/>
    <row r="3332" spans="8:15">
      <c r="H3332" s="895" t="s">
        <v>94</v>
      </c>
      <c r="I3332" s="897" t="s">
        <v>95</v>
      </c>
      <c r="J3332" s="897" t="s">
        <v>96</v>
      </c>
      <c r="K3332" s="897" t="s">
        <v>3</v>
      </c>
      <c r="L3332" s="897" t="s">
        <v>97</v>
      </c>
      <c r="M3332" s="897" t="s">
        <v>98</v>
      </c>
      <c r="N3332" s="897" t="s">
        <v>99</v>
      </c>
      <c r="O3332" s="899"/>
    </row>
    <row r="3333" spans="8:15" ht="15.75" thickBot="1">
      <c r="H3333" s="896"/>
      <c r="I3333" s="898"/>
      <c r="J3333" s="898"/>
      <c r="K3333" s="898"/>
      <c r="L3333" s="898"/>
      <c r="M3333" s="898"/>
      <c r="N3333" s="240" t="s">
        <v>100</v>
      </c>
      <c r="O3333" s="182" t="s">
        <v>101</v>
      </c>
    </row>
    <row r="3334" spans="8:15" ht="12.75" customHeight="1">
      <c r="H3334" s="881">
        <v>355</v>
      </c>
      <c r="I3334" s="875">
        <v>42734</v>
      </c>
      <c r="J3334" s="877" t="s">
        <v>1280</v>
      </c>
      <c r="K3334" s="904">
        <v>42569</v>
      </c>
      <c r="L3334" s="881" t="s">
        <v>148</v>
      </c>
      <c r="M3334" s="883">
        <v>100000</v>
      </c>
      <c r="N3334" s="55">
        <v>719</v>
      </c>
      <c r="O3334" s="78">
        <v>0</v>
      </c>
    </row>
    <row r="3335" spans="8:15" ht="15.75" thickBot="1">
      <c r="H3335" s="882"/>
      <c r="I3335" s="876"/>
      <c r="J3335" s="878"/>
      <c r="K3335" s="880"/>
      <c r="L3335" s="882"/>
      <c r="M3335" s="884"/>
      <c r="N3335" s="56">
        <v>722</v>
      </c>
      <c r="O3335" s="351">
        <f>+M3334-O3334</f>
        <v>100000</v>
      </c>
    </row>
    <row r="3336" spans="8:15" ht="12" customHeight="1">
      <c r="H3336" s="881">
        <f>+H3334+1</f>
        <v>356</v>
      </c>
      <c r="I3336" s="875">
        <v>42734</v>
      </c>
      <c r="J3336" s="877" t="s">
        <v>1281</v>
      </c>
      <c r="K3336" s="904">
        <v>42569</v>
      </c>
      <c r="L3336" s="881" t="s">
        <v>148</v>
      </c>
      <c r="M3336" s="883">
        <v>100000</v>
      </c>
      <c r="N3336" s="55">
        <v>719</v>
      </c>
      <c r="O3336" s="78">
        <v>0</v>
      </c>
    </row>
    <row r="3337" spans="8:15" ht="15.75" customHeight="1" thickBot="1">
      <c r="H3337" s="882"/>
      <c r="I3337" s="876"/>
      <c r="J3337" s="878"/>
      <c r="K3337" s="880"/>
      <c r="L3337" s="882"/>
      <c r="M3337" s="884"/>
      <c r="N3337" s="56">
        <v>722</v>
      </c>
      <c r="O3337" s="352">
        <f>+M3336-O3336</f>
        <v>100000</v>
      </c>
    </row>
    <row r="3338" spans="8:15" ht="12.75" customHeight="1">
      <c r="H3338" s="881">
        <f>+H3336+1</f>
        <v>357</v>
      </c>
      <c r="I3338" s="875">
        <v>42734</v>
      </c>
      <c r="J3338" s="877" t="s">
        <v>1282</v>
      </c>
      <c r="K3338" s="904">
        <v>42569</v>
      </c>
      <c r="L3338" s="881" t="s">
        <v>148</v>
      </c>
      <c r="M3338" s="883">
        <v>100000</v>
      </c>
      <c r="N3338" s="55">
        <v>719</v>
      </c>
      <c r="O3338" s="78"/>
    </row>
    <row r="3339" spans="8:15" ht="15.75" customHeight="1" thickBot="1">
      <c r="H3339" s="882"/>
      <c r="I3339" s="876"/>
      <c r="J3339" s="878"/>
      <c r="K3339" s="880"/>
      <c r="L3339" s="882"/>
      <c r="M3339" s="884"/>
      <c r="N3339" s="56">
        <v>722</v>
      </c>
      <c r="O3339" s="352">
        <f>+M3338-O3338</f>
        <v>100000</v>
      </c>
    </row>
    <row r="3340" spans="8:15" ht="16.5" customHeight="1">
      <c r="H3340" s="881">
        <f>+H3338+1</f>
        <v>358</v>
      </c>
      <c r="I3340" s="875">
        <v>42734</v>
      </c>
      <c r="J3340" s="877" t="s">
        <v>1284</v>
      </c>
      <c r="K3340" s="904">
        <v>42569</v>
      </c>
      <c r="L3340" s="881" t="s">
        <v>148</v>
      </c>
      <c r="M3340" s="883">
        <v>100000</v>
      </c>
      <c r="N3340" s="55">
        <v>719</v>
      </c>
      <c r="O3340" s="78"/>
    </row>
    <row r="3341" spans="8:15" ht="15" customHeight="1" thickBot="1">
      <c r="H3341" s="882"/>
      <c r="I3341" s="876"/>
      <c r="J3341" s="878"/>
      <c r="K3341" s="907"/>
      <c r="L3341" s="882"/>
      <c r="M3341" s="884"/>
      <c r="N3341" s="56">
        <v>722</v>
      </c>
      <c r="O3341" s="352">
        <f>+M3340-O3340</f>
        <v>100000</v>
      </c>
    </row>
    <row r="3342" spans="8:15" ht="12.75" customHeight="1">
      <c r="H3342" s="881">
        <f>+H3340+1</f>
        <v>359</v>
      </c>
      <c r="I3342" s="875">
        <v>42734</v>
      </c>
      <c r="J3342" s="905" t="s">
        <v>1285</v>
      </c>
      <c r="K3342" s="904">
        <v>42570</v>
      </c>
      <c r="L3342" s="881" t="s">
        <v>148</v>
      </c>
      <c r="M3342" s="883">
        <v>100000</v>
      </c>
      <c r="N3342" s="55">
        <v>719</v>
      </c>
      <c r="O3342" s="78"/>
    </row>
    <row r="3343" spans="8:15" ht="14.25" customHeight="1" thickBot="1">
      <c r="H3343" s="882"/>
      <c r="I3343" s="876"/>
      <c r="J3343" s="906"/>
      <c r="K3343" s="907"/>
      <c r="L3343" s="882"/>
      <c r="M3343" s="884"/>
      <c r="N3343" s="56">
        <v>722</v>
      </c>
      <c r="O3343" s="352">
        <f>+M3342-O3342</f>
        <v>100000</v>
      </c>
    </row>
    <row r="3344" spans="8:15" ht="15" customHeight="1">
      <c r="H3344" s="881">
        <f>+H3342+1</f>
        <v>360</v>
      </c>
      <c r="I3344" s="875">
        <v>42734</v>
      </c>
      <c r="J3344" s="905" t="s">
        <v>1285</v>
      </c>
      <c r="K3344" s="904">
        <v>42570</v>
      </c>
      <c r="L3344" s="881" t="s">
        <v>148</v>
      </c>
      <c r="M3344" s="883">
        <v>100000</v>
      </c>
      <c r="N3344" s="55">
        <v>719</v>
      </c>
      <c r="O3344" s="78"/>
    </row>
    <row r="3345" spans="8:15" ht="15.75" customHeight="1" thickBot="1">
      <c r="H3345" s="882"/>
      <c r="I3345" s="876"/>
      <c r="J3345" s="906"/>
      <c r="K3345" s="907"/>
      <c r="L3345" s="882"/>
      <c r="M3345" s="884"/>
      <c r="N3345" s="56">
        <v>722</v>
      </c>
      <c r="O3345" s="79">
        <f>+M3344-O3344</f>
        <v>100000</v>
      </c>
    </row>
    <row r="3346" spans="8:15" ht="16.5" thickBot="1">
      <c r="H3346" s="901" t="s">
        <v>102</v>
      </c>
      <c r="I3346" s="902"/>
      <c r="J3346" s="902"/>
      <c r="K3346" s="902"/>
      <c r="L3346" s="903"/>
      <c r="M3346" s="81">
        <f>SUM(M3334:M3345)</f>
        <v>600000</v>
      </c>
    </row>
    <row r="3347" spans="8:15" ht="16.5" thickBot="1">
      <c r="H3347" s="885" t="s">
        <v>103</v>
      </c>
      <c r="I3347" s="886"/>
      <c r="J3347" s="886"/>
      <c r="K3347" s="886"/>
      <c r="L3347" s="887"/>
      <c r="M3347" s="69">
        <f>+M3309</f>
        <v>665783555</v>
      </c>
      <c r="N3347" s="241" t="s">
        <v>561</v>
      </c>
      <c r="O3347" s="242"/>
    </row>
    <row r="3348" spans="8:15" ht="16.5" thickBot="1">
      <c r="H3348" s="888" t="s">
        <v>104</v>
      </c>
      <c r="I3348" s="889"/>
      <c r="J3348" s="889"/>
      <c r="K3348" s="889"/>
      <c r="L3348" s="890"/>
      <c r="M3348" s="183">
        <f>SUM(M3346:M3347)</f>
        <v>666383555</v>
      </c>
    </row>
    <row r="3349" spans="8:15">
      <c r="H3349" s="61"/>
      <c r="I3349" s="61"/>
      <c r="J3349" s="61"/>
      <c r="K3349" s="61"/>
      <c r="L3349" s="61"/>
    </row>
    <row r="3350" spans="8:15">
      <c r="H3350" s="51" t="s">
        <v>1286</v>
      </c>
    </row>
    <row r="3351" spans="8:15" ht="11.25" customHeight="1">
      <c r="M3351" s="139"/>
    </row>
    <row r="3352" spans="8:15">
      <c r="H3352" s="50" t="s">
        <v>105</v>
      </c>
      <c r="K3352" s="146"/>
      <c r="M3352" s="139"/>
    </row>
    <row r="3353" spans="8:15" ht="13.5" customHeight="1" thickBot="1"/>
    <row r="3354" spans="8:15" ht="15.75" thickBot="1">
      <c r="H3354" s="891" t="s">
        <v>106</v>
      </c>
      <c r="I3354" s="892"/>
      <c r="J3354" s="892"/>
      <c r="K3354" s="893"/>
      <c r="M3354" s="50" t="s">
        <v>288</v>
      </c>
    </row>
    <row r="3355" spans="8:15" ht="45.75" thickBot="1">
      <c r="H3355" s="57" t="s">
        <v>100</v>
      </c>
      <c r="I3355" s="58" t="s">
        <v>108</v>
      </c>
      <c r="J3355" s="287" t="s">
        <v>109</v>
      </c>
      <c r="K3355" s="60" t="s">
        <v>110</v>
      </c>
    </row>
    <row r="3356" spans="8:15">
      <c r="H3356" s="71">
        <v>719</v>
      </c>
      <c r="I3356" s="73">
        <f>+O3334+O3336+O3342+O3344</f>
        <v>0</v>
      </c>
      <c r="J3356" s="74">
        <f>+K3317</f>
        <v>71480000</v>
      </c>
      <c r="K3356" s="195">
        <f>+I3356+J3356</f>
        <v>71480000</v>
      </c>
    </row>
    <row r="3357" spans="8:15">
      <c r="H3357" s="72">
        <v>721</v>
      </c>
      <c r="I3357" s="80"/>
      <c r="J3357" s="74">
        <f>+K3318</f>
        <v>257912159</v>
      </c>
      <c r="K3357" s="195">
        <f>+I3357+J3357</f>
        <v>257912159</v>
      </c>
    </row>
    <row r="3358" spans="8:15">
      <c r="H3358" s="72">
        <v>722</v>
      </c>
      <c r="I3358" s="80">
        <f>+O3345+O3343+O3339+O3337+O3335+O3341</f>
        <v>600000</v>
      </c>
      <c r="J3358" s="74">
        <f>+K3319</f>
        <v>5580000</v>
      </c>
      <c r="K3358" s="195">
        <f>+I3358+J3358</f>
        <v>6180000</v>
      </c>
    </row>
    <row r="3359" spans="8:15" ht="15.75">
      <c r="H3359" s="72">
        <v>723</v>
      </c>
      <c r="I3359" s="80"/>
      <c r="J3359" s="74">
        <f>+K3320</f>
        <v>329943896</v>
      </c>
      <c r="K3359" s="195">
        <f>+I3359+J3359</f>
        <v>329943896</v>
      </c>
      <c r="M3359" s="193" t="s">
        <v>289</v>
      </c>
      <c r="N3359" s="175"/>
    </row>
    <row r="3360" spans="8:15" ht="16.5" thickBot="1">
      <c r="H3360" s="164" t="s">
        <v>1077</v>
      </c>
      <c r="I3360" s="165"/>
      <c r="J3360" s="74">
        <f>+K3321</f>
        <v>797500</v>
      </c>
      <c r="K3360" s="196">
        <f>+I3360+J3360</f>
        <v>797500</v>
      </c>
      <c r="M3360" s="52"/>
    </row>
    <row r="3361" spans="8:15" ht="16.5" thickBot="1">
      <c r="H3361" s="169"/>
      <c r="I3361" s="197">
        <f>SUM(I3356:I3360)</f>
        <v>600000</v>
      </c>
      <c r="J3361" s="197">
        <f>SUM(J3356:J3360)</f>
        <v>665713555</v>
      </c>
      <c r="K3361" s="198">
        <f>SUM(K3356:K3360)</f>
        <v>666313555</v>
      </c>
    </row>
    <row r="3362" spans="8:15" ht="16.5">
      <c r="H3362" s="49" t="s">
        <v>88</v>
      </c>
      <c r="I3362" s="50"/>
    </row>
    <row r="3363" spans="8:15">
      <c r="H3363" s="51" t="s">
        <v>89</v>
      </c>
    </row>
    <row r="3364" spans="8:15">
      <c r="H3364" s="51" t="s">
        <v>90</v>
      </c>
    </row>
    <row r="3365" spans="8:15">
      <c r="H3365" s="51" t="s">
        <v>91</v>
      </c>
    </row>
    <row r="3366" spans="8:15">
      <c r="H3366" s="50"/>
      <c r="I3366" s="50"/>
    </row>
    <row r="3367" spans="8:15" ht="15.75">
      <c r="H3367" s="260" t="s">
        <v>1283</v>
      </c>
      <c r="N3367" s="52"/>
    </row>
    <row r="3368" spans="8:15" ht="15.75">
      <c r="H3368" s="53" t="s">
        <v>535</v>
      </c>
      <c r="N3368" s="53"/>
    </row>
    <row r="3369" spans="8:15" ht="16.5">
      <c r="H3369" s="894" t="s">
        <v>1288</v>
      </c>
      <c r="I3369" s="894"/>
      <c r="J3369" s="894"/>
      <c r="K3369" s="894"/>
      <c r="L3369" s="894"/>
      <c r="M3369" s="894"/>
      <c r="N3369" s="894"/>
      <c r="O3369" s="894"/>
    </row>
    <row r="3370" spans="8:15" ht="15.75" thickBot="1"/>
    <row r="3371" spans="8:15">
      <c r="H3371" s="895" t="s">
        <v>94</v>
      </c>
      <c r="I3371" s="897" t="s">
        <v>95</v>
      </c>
      <c r="J3371" s="897" t="s">
        <v>96</v>
      </c>
      <c r="K3371" s="897" t="s">
        <v>3</v>
      </c>
      <c r="L3371" s="897" t="s">
        <v>97</v>
      </c>
      <c r="M3371" s="897" t="s">
        <v>98</v>
      </c>
      <c r="N3371" s="897" t="s">
        <v>99</v>
      </c>
      <c r="O3371" s="899"/>
    </row>
    <row r="3372" spans="8:15" ht="15.75" thickBot="1">
      <c r="H3372" s="896"/>
      <c r="I3372" s="898"/>
      <c r="J3372" s="898"/>
      <c r="K3372" s="898"/>
      <c r="L3372" s="898"/>
      <c r="M3372" s="898"/>
      <c r="N3372" s="240" t="s">
        <v>100</v>
      </c>
      <c r="O3372" s="182" t="s">
        <v>101</v>
      </c>
    </row>
    <row r="3373" spans="8:15" ht="15" customHeight="1">
      <c r="H3373" s="873" t="s">
        <v>552</v>
      </c>
      <c r="I3373" s="875">
        <v>42735</v>
      </c>
      <c r="J3373" s="877" t="s">
        <v>790</v>
      </c>
      <c r="K3373" s="879" t="s">
        <v>1293</v>
      </c>
      <c r="L3373" s="881" t="s">
        <v>165</v>
      </c>
      <c r="M3373" s="883">
        <v>-401330</v>
      </c>
      <c r="N3373" s="55">
        <v>719</v>
      </c>
      <c r="O3373" s="78"/>
    </row>
    <row r="3374" spans="8:15" ht="15.75" thickBot="1">
      <c r="H3374" s="874"/>
      <c r="I3374" s="876"/>
      <c r="J3374" s="878"/>
      <c r="K3374" s="880"/>
      <c r="L3374" s="882"/>
      <c r="M3374" s="884"/>
      <c r="N3374" s="56">
        <v>723</v>
      </c>
      <c r="O3374" s="351">
        <f>+M3373-O3373</f>
        <v>-401330</v>
      </c>
    </row>
    <row r="3375" spans="8:15" ht="15" customHeight="1">
      <c r="H3375" s="873" t="s">
        <v>553</v>
      </c>
      <c r="I3375" s="875">
        <v>42735</v>
      </c>
      <c r="J3375" s="877" t="s">
        <v>791</v>
      </c>
      <c r="K3375" s="879" t="s">
        <v>1294</v>
      </c>
      <c r="L3375" s="881" t="s">
        <v>165</v>
      </c>
      <c r="M3375" s="883">
        <v>-164000</v>
      </c>
      <c r="N3375" s="55">
        <v>719</v>
      </c>
      <c r="O3375" s="78"/>
    </row>
    <row r="3376" spans="8:15" ht="15.75" customHeight="1" thickBot="1">
      <c r="H3376" s="874"/>
      <c r="I3376" s="876"/>
      <c r="J3376" s="878"/>
      <c r="K3376" s="880"/>
      <c r="L3376" s="882"/>
      <c r="M3376" s="884"/>
      <c r="N3376" s="56">
        <v>723</v>
      </c>
      <c r="O3376" s="352">
        <f>+M3375-O3375</f>
        <v>-164000</v>
      </c>
    </row>
    <row r="3377" spans="8:15" ht="15" customHeight="1">
      <c r="H3377" s="873"/>
      <c r="I3377" s="875"/>
      <c r="J3377" s="877"/>
      <c r="K3377" s="879"/>
      <c r="L3377" s="881"/>
      <c r="M3377" s="883"/>
      <c r="N3377" s="55">
        <v>719</v>
      </c>
      <c r="O3377" s="78"/>
    </row>
    <row r="3378" spans="8:15" ht="15.75" customHeight="1" thickBot="1">
      <c r="H3378" s="874"/>
      <c r="I3378" s="876"/>
      <c r="J3378" s="878"/>
      <c r="K3378" s="880"/>
      <c r="L3378" s="882"/>
      <c r="M3378" s="884"/>
      <c r="N3378" s="56">
        <v>722</v>
      </c>
      <c r="O3378" s="352"/>
    </row>
    <row r="3379" spans="8:15" ht="15" customHeight="1">
      <c r="H3379" s="873"/>
      <c r="I3379" s="875"/>
      <c r="J3379" s="877"/>
      <c r="K3379" s="879"/>
      <c r="L3379" s="881"/>
      <c r="M3379" s="883"/>
      <c r="N3379" s="55">
        <v>719</v>
      </c>
      <c r="O3379" s="78"/>
    </row>
    <row r="3380" spans="8:15" ht="15.75" customHeight="1" thickBot="1">
      <c r="H3380" s="874"/>
      <c r="I3380" s="876"/>
      <c r="J3380" s="878"/>
      <c r="K3380" s="880"/>
      <c r="L3380" s="882"/>
      <c r="M3380" s="884"/>
      <c r="N3380" s="56">
        <v>722</v>
      </c>
      <c r="O3380" s="79">
        <f>+M3379-O3379</f>
        <v>0</v>
      </c>
    </row>
    <row r="3381" spans="8:15" ht="16.5" thickBot="1">
      <c r="H3381" s="901" t="s">
        <v>102</v>
      </c>
      <c r="I3381" s="902"/>
      <c r="J3381" s="902"/>
      <c r="K3381" s="902"/>
      <c r="L3381" s="903"/>
      <c r="M3381" s="81">
        <f>SUM(M3373:M3380)</f>
        <v>-565330</v>
      </c>
    </row>
    <row r="3382" spans="8:15" ht="16.5" thickBot="1">
      <c r="H3382" s="885" t="s">
        <v>103</v>
      </c>
      <c r="I3382" s="886"/>
      <c r="J3382" s="886"/>
      <c r="K3382" s="886"/>
      <c r="L3382" s="887"/>
      <c r="M3382" s="69">
        <f>+M3348</f>
        <v>666383555</v>
      </c>
      <c r="N3382" s="241" t="s">
        <v>561</v>
      </c>
      <c r="O3382" s="242"/>
    </row>
    <row r="3383" spans="8:15" ht="16.5" thickBot="1">
      <c r="H3383" s="888" t="s">
        <v>104</v>
      </c>
      <c r="I3383" s="889"/>
      <c r="J3383" s="889"/>
      <c r="K3383" s="889"/>
      <c r="L3383" s="890"/>
      <c r="M3383" s="183">
        <f>SUM(M3381:M3382)</f>
        <v>665818225</v>
      </c>
    </row>
    <row r="3384" spans="8:15">
      <c r="H3384" s="61"/>
      <c r="I3384" s="61"/>
      <c r="J3384" s="61"/>
      <c r="K3384" s="61"/>
      <c r="L3384" s="61"/>
    </row>
    <row r="3385" spans="8:15">
      <c r="H3385" s="51" t="s">
        <v>1287</v>
      </c>
    </row>
    <row r="3386" spans="8:15">
      <c r="M3386" s="139"/>
    </row>
    <row r="3387" spans="8:15">
      <c r="H3387" s="50" t="s">
        <v>105</v>
      </c>
      <c r="K3387" s="146"/>
      <c r="M3387" s="139"/>
    </row>
    <row r="3388" spans="8:15" ht="15.75" thickBot="1"/>
    <row r="3389" spans="8:15" ht="15.75" thickBot="1">
      <c r="H3389" s="891" t="s">
        <v>106</v>
      </c>
      <c r="I3389" s="892"/>
      <c r="J3389" s="892"/>
      <c r="K3389" s="893"/>
      <c r="M3389" s="50" t="s">
        <v>288</v>
      </c>
    </row>
    <row r="3390" spans="8:15" ht="45.75" thickBot="1">
      <c r="H3390" s="57" t="s">
        <v>100</v>
      </c>
      <c r="I3390" s="58" t="s">
        <v>108</v>
      </c>
      <c r="J3390" s="287" t="s">
        <v>109</v>
      </c>
      <c r="K3390" s="60" t="s">
        <v>110</v>
      </c>
    </row>
    <row r="3391" spans="8:15">
      <c r="H3391" s="71">
        <v>719</v>
      </c>
      <c r="I3391" s="73">
        <f>+O3373+O3375+O3379</f>
        <v>0</v>
      </c>
      <c r="J3391" s="74">
        <f>+K3356</f>
        <v>71480000</v>
      </c>
      <c r="K3391" s="195">
        <f>+I3391+J3391</f>
        <v>71480000</v>
      </c>
    </row>
    <row r="3392" spans="8:15">
      <c r="H3392" s="72">
        <v>721</v>
      </c>
      <c r="I3392" s="80"/>
      <c r="J3392" s="74">
        <f>+K3357</f>
        <v>257912159</v>
      </c>
      <c r="K3392" s="195">
        <f>+I3392+J3392</f>
        <v>257912159</v>
      </c>
    </row>
    <row r="3393" spans="8:15">
      <c r="H3393" s="72">
        <v>722</v>
      </c>
      <c r="I3393" s="80"/>
      <c r="J3393" s="74">
        <f>+K3358</f>
        <v>6180000</v>
      </c>
      <c r="K3393" s="195">
        <f>+I3393+J3393</f>
        <v>6180000</v>
      </c>
    </row>
    <row r="3394" spans="8:15" ht="15.75">
      <c r="H3394" s="72">
        <v>723</v>
      </c>
      <c r="I3394" s="80">
        <f>+O3376+O3374</f>
        <v>-565330</v>
      </c>
      <c r="J3394" s="74">
        <f>+K3359</f>
        <v>329943896</v>
      </c>
      <c r="K3394" s="195">
        <f>+I3394+J3394</f>
        <v>329378566</v>
      </c>
      <c r="M3394" s="193" t="s">
        <v>289</v>
      </c>
      <c r="N3394" s="175"/>
    </row>
    <row r="3395" spans="8:15" ht="16.5" thickBot="1">
      <c r="H3395" s="164" t="s">
        <v>1077</v>
      </c>
      <c r="I3395" s="165"/>
      <c r="J3395" s="74">
        <f>+K3360</f>
        <v>797500</v>
      </c>
      <c r="K3395" s="196">
        <f>+I3395+J3395</f>
        <v>797500</v>
      </c>
      <c r="M3395" s="52"/>
    </row>
    <row r="3396" spans="8:15" ht="16.5" thickBot="1">
      <c r="H3396" s="169"/>
      <c r="I3396" s="197">
        <f>SUM(I3391:I3395)</f>
        <v>-565330</v>
      </c>
      <c r="J3396" s="197">
        <f>SUM(J3391:J3395)</f>
        <v>666313555</v>
      </c>
      <c r="K3396" s="198">
        <f>SUM(K3391:K3395)</f>
        <v>665748225</v>
      </c>
    </row>
    <row r="3397" spans="8:15" ht="15.75">
      <c r="H3397" s="397"/>
      <c r="I3397" s="398"/>
      <c r="J3397" s="398"/>
      <c r="K3397" s="399"/>
    </row>
    <row r="3398" spans="8:15" ht="16.5">
      <c r="H3398" s="49" t="s">
        <v>88</v>
      </c>
      <c r="I3398" s="50"/>
    </row>
    <row r="3399" spans="8:15">
      <c r="H3399" s="51" t="s">
        <v>89</v>
      </c>
    </row>
    <row r="3400" spans="8:15">
      <c r="H3400" s="51" t="s">
        <v>90</v>
      </c>
    </row>
    <row r="3401" spans="8:15">
      <c r="H3401" s="51" t="s">
        <v>91</v>
      </c>
    </row>
    <row r="3402" spans="8:15" ht="14.25" customHeight="1">
      <c r="H3402" s="50"/>
      <c r="I3402" s="50"/>
    </row>
    <row r="3403" spans="8:15" ht="15.75">
      <c r="H3403" s="260" t="s">
        <v>1289</v>
      </c>
      <c r="N3403" s="52"/>
    </row>
    <row r="3404" spans="8:15" ht="15.75">
      <c r="H3404" s="53" t="s">
        <v>535</v>
      </c>
      <c r="N3404" s="53"/>
    </row>
    <row r="3405" spans="8:15" ht="16.5">
      <c r="H3405" s="894" t="s">
        <v>1278</v>
      </c>
      <c r="I3405" s="894"/>
      <c r="J3405" s="894"/>
      <c r="K3405" s="894"/>
      <c r="L3405" s="894"/>
      <c r="M3405" s="894"/>
      <c r="N3405" s="894"/>
      <c r="O3405" s="894"/>
    </row>
    <row r="3406" spans="8:15" ht="15.75" thickBot="1"/>
    <row r="3407" spans="8:15">
      <c r="H3407" s="895" t="s">
        <v>94</v>
      </c>
      <c r="I3407" s="897" t="s">
        <v>95</v>
      </c>
      <c r="J3407" s="897" t="s">
        <v>96</v>
      </c>
      <c r="K3407" s="897" t="s">
        <v>3</v>
      </c>
      <c r="L3407" s="897" t="s">
        <v>97</v>
      </c>
      <c r="M3407" s="897" t="s">
        <v>98</v>
      </c>
      <c r="N3407" s="897" t="s">
        <v>99</v>
      </c>
      <c r="O3407" s="899"/>
    </row>
    <row r="3408" spans="8:15" ht="15.75" thickBot="1">
      <c r="H3408" s="896"/>
      <c r="I3408" s="898"/>
      <c r="J3408" s="898"/>
      <c r="K3408" s="898"/>
      <c r="L3408" s="898"/>
      <c r="M3408" s="898"/>
      <c r="N3408" s="240" t="s">
        <v>100</v>
      </c>
      <c r="O3408" s="182" t="s">
        <v>101</v>
      </c>
    </row>
    <row r="3409" spans="8:15" ht="15" customHeight="1">
      <c r="H3409" s="873" t="s">
        <v>1290</v>
      </c>
      <c r="I3409" s="875">
        <v>42734</v>
      </c>
      <c r="J3409" s="877" t="s">
        <v>1014</v>
      </c>
      <c r="K3409" s="879" t="s">
        <v>1293</v>
      </c>
      <c r="L3409" s="881" t="s">
        <v>115</v>
      </c>
      <c r="M3409" s="883">
        <v>50000</v>
      </c>
      <c r="N3409" s="55">
        <v>719</v>
      </c>
      <c r="O3409" s="78">
        <v>50000</v>
      </c>
    </row>
    <row r="3410" spans="8:15" ht="15.75" customHeight="1" thickBot="1">
      <c r="H3410" s="874"/>
      <c r="I3410" s="876"/>
      <c r="J3410" s="878"/>
      <c r="K3410" s="880"/>
      <c r="L3410" s="882"/>
      <c r="M3410" s="884"/>
      <c r="N3410" s="56">
        <v>723</v>
      </c>
      <c r="O3410" s="351">
        <f>+M3409-O3409</f>
        <v>0</v>
      </c>
    </row>
    <row r="3411" spans="8:15" ht="15" customHeight="1">
      <c r="H3411" s="873" t="s">
        <v>1291</v>
      </c>
      <c r="I3411" s="875">
        <v>42734</v>
      </c>
      <c r="J3411" s="877" t="s">
        <v>28</v>
      </c>
      <c r="K3411" s="879" t="s">
        <v>1294</v>
      </c>
      <c r="L3411" s="881" t="s">
        <v>115</v>
      </c>
      <c r="M3411" s="883">
        <v>50000</v>
      </c>
      <c r="N3411" s="55">
        <v>719</v>
      </c>
      <c r="O3411" s="78">
        <v>50000</v>
      </c>
    </row>
    <row r="3412" spans="8:15" ht="15.75" customHeight="1" thickBot="1">
      <c r="H3412" s="874"/>
      <c r="I3412" s="876"/>
      <c r="J3412" s="878"/>
      <c r="K3412" s="880"/>
      <c r="L3412" s="882"/>
      <c r="M3412" s="884"/>
      <c r="N3412" s="56">
        <v>723</v>
      </c>
      <c r="O3412" s="352">
        <f>+M3411-O3411</f>
        <v>0</v>
      </c>
    </row>
    <row r="3413" spans="8:15" ht="15" customHeight="1">
      <c r="H3413" s="873" t="s">
        <v>1292</v>
      </c>
      <c r="I3413" s="875">
        <v>42734</v>
      </c>
      <c r="J3413" s="877" t="s">
        <v>120</v>
      </c>
      <c r="K3413" s="879" t="s">
        <v>1294</v>
      </c>
      <c r="L3413" s="881" t="s">
        <v>115</v>
      </c>
      <c r="M3413" s="883">
        <v>140000</v>
      </c>
      <c r="N3413" s="55">
        <v>719</v>
      </c>
      <c r="O3413" s="78">
        <v>140000</v>
      </c>
    </row>
    <row r="3414" spans="8:15" ht="15.75" customHeight="1" thickBot="1">
      <c r="H3414" s="874"/>
      <c r="I3414" s="876"/>
      <c r="J3414" s="878"/>
      <c r="K3414" s="880"/>
      <c r="L3414" s="882"/>
      <c r="M3414" s="884"/>
      <c r="N3414" s="56">
        <v>722</v>
      </c>
      <c r="O3414" s="352">
        <f>+M3413-O3413</f>
        <v>0</v>
      </c>
    </row>
    <row r="3415" spans="8:15">
      <c r="H3415" s="881"/>
      <c r="I3415" s="875"/>
      <c r="J3415" s="877"/>
      <c r="K3415" s="904"/>
      <c r="L3415" s="881"/>
      <c r="M3415" s="883"/>
      <c r="N3415" s="55">
        <v>719</v>
      </c>
      <c r="O3415" s="78"/>
    </row>
    <row r="3416" spans="8:15" ht="15.75" thickBot="1">
      <c r="H3416" s="882"/>
      <c r="I3416" s="876"/>
      <c r="J3416" s="878"/>
      <c r="K3416" s="880"/>
      <c r="L3416" s="882"/>
      <c r="M3416" s="884"/>
      <c r="N3416" s="56">
        <v>722</v>
      </c>
      <c r="O3416" s="79">
        <f>+M3415-O3415</f>
        <v>0</v>
      </c>
    </row>
    <row r="3417" spans="8:15" ht="16.5" thickBot="1">
      <c r="H3417" s="901" t="s">
        <v>102</v>
      </c>
      <c r="I3417" s="902"/>
      <c r="J3417" s="902"/>
      <c r="K3417" s="902"/>
      <c r="L3417" s="903"/>
      <c r="M3417" s="81">
        <f>SUM(M3409:M3416)</f>
        <v>240000</v>
      </c>
    </row>
    <row r="3418" spans="8:15" ht="16.5" thickBot="1">
      <c r="H3418" s="885" t="s">
        <v>103</v>
      </c>
      <c r="I3418" s="886"/>
      <c r="J3418" s="886"/>
      <c r="K3418" s="886"/>
      <c r="L3418" s="887"/>
      <c r="M3418" s="69">
        <f>+M3383</f>
        <v>665818225</v>
      </c>
      <c r="N3418" s="241" t="s">
        <v>561</v>
      </c>
      <c r="O3418" s="242">
        <v>349</v>
      </c>
    </row>
    <row r="3419" spans="8:15" ht="16.5" thickBot="1">
      <c r="H3419" s="888" t="s">
        <v>104</v>
      </c>
      <c r="I3419" s="889"/>
      <c r="J3419" s="889"/>
      <c r="K3419" s="889"/>
      <c r="L3419" s="890"/>
      <c r="M3419" s="183">
        <f>SUM(M3417:M3418)</f>
        <v>666058225</v>
      </c>
    </row>
    <row r="3420" spans="8:15">
      <c r="H3420" s="61"/>
      <c r="I3420" s="61"/>
      <c r="J3420" s="61"/>
      <c r="K3420" s="61"/>
      <c r="L3420" s="61"/>
    </row>
    <row r="3421" spans="8:15">
      <c r="H3421" s="51" t="s">
        <v>1295</v>
      </c>
    </row>
    <row r="3422" spans="8:15">
      <c r="M3422" s="139"/>
    </row>
    <row r="3423" spans="8:15" ht="19.5" customHeight="1">
      <c r="H3423" s="50" t="s">
        <v>105</v>
      </c>
      <c r="K3423" s="146"/>
      <c r="M3423" s="139"/>
    </row>
    <row r="3424" spans="8:15" ht="18" customHeight="1" thickBot="1"/>
    <row r="3425" spans="8:14" ht="15.75" thickBot="1">
      <c r="H3425" s="891" t="s">
        <v>106</v>
      </c>
      <c r="I3425" s="892"/>
      <c r="J3425" s="892"/>
      <c r="K3425" s="893"/>
      <c r="M3425" s="50" t="s">
        <v>288</v>
      </c>
    </row>
    <row r="3426" spans="8:14" ht="45.75" thickBot="1">
      <c r="H3426" s="57" t="s">
        <v>100</v>
      </c>
      <c r="I3426" s="58" t="s">
        <v>108</v>
      </c>
      <c r="J3426" s="287" t="s">
        <v>109</v>
      </c>
      <c r="K3426" s="60" t="s">
        <v>110</v>
      </c>
    </row>
    <row r="3427" spans="8:14">
      <c r="H3427" s="71">
        <v>719</v>
      </c>
      <c r="I3427" s="73">
        <f>+O3409+O3411+O3415+O3413</f>
        <v>240000</v>
      </c>
      <c r="J3427" s="74">
        <f>+K3391</f>
        <v>71480000</v>
      </c>
      <c r="K3427" s="195">
        <f>+I3427+J3427</f>
        <v>71720000</v>
      </c>
    </row>
    <row r="3428" spans="8:14">
      <c r="H3428" s="72">
        <v>721</v>
      </c>
      <c r="I3428" s="80"/>
      <c r="J3428" s="74">
        <f>+K3392</f>
        <v>257912159</v>
      </c>
      <c r="K3428" s="195">
        <f>+I3428+J3428</f>
        <v>257912159</v>
      </c>
    </row>
    <row r="3429" spans="8:14">
      <c r="H3429" s="72">
        <v>722</v>
      </c>
      <c r="I3429" s="80"/>
      <c r="J3429" s="74">
        <f>+K3393</f>
        <v>6180000</v>
      </c>
      <c r="K3429" s="195">
        <f>+I3429+J3429</f>
        <v>6180000</v>
      </c>
    </row>
    <row r="3430" spans="8:14" ht="15.75">
      <c r="H3430" s="72">
        <v>723</v>
      </c>
      <c r="I3430" s="80">
        <f>+O3412+O3410</f>
        <v>0</v>
      </c>
      <c r="J3430" s="74">
        <f>+K3394</f>
        <v>329378566</v>
      </c>
      <c r="K3430" s="195">
        <f>+I3430+J3430</f>
        <v>329378566</v>
      </c>
      <c r="M3430" s="193" t="s">
        <v>289</v>
      </c>
      <c r="N3430" s="175"/>
    </row>
    <row r="3431" spans="8:14" ht="16.5" thickBot="1">
      <c r="H3431" s="164" t="s">
        <v>1077</v>
      </c>
      <c r="I3431" s="165"/>
      <c r="J3431" s="74">
        <f>+K3395</f>
        <v>797500</v>
      </c>
      <c r="K3431" s="196">
        <f>+I3431+J3431</f>
        <v>797500</v>
      </c>
      <c r="M3431" s="52"/>
    </row>
    <row r="3432" spans="8:14" ht="16.5" thickBot="1">
      <c r="H3432" s="169"/>
      <c r="I3432" s="197">
        <f>SUM(I3427:I3431)</f>
        <v>240000</v>
      </c>
      <c r="J3432" s="197">
        <f>SUM(J3427:J3431)</f>
        <v>665748225</v>
      </c>
      <c r="K3432" s="198">
        <f>SUM(K3427:K3431)</f>
        <v>665988225</v>
      </c>
    </row>
    <row r="3433" spans="8:14" ht="15.75">
      <c r="H3433" s="397"/>
      <c r="I3433" s="398"/>
      <c r="J3433" s="398"/>
      <c r="K3433" s="399"/>
    </row>
    <row r="3434" spans="8:14" ht="16.5">
      <c r="H3434" s="49" t="s">
        <v>88</v>
      </c>
      <c r="I3434" s="50"/>
    </row>
    <row r="3435" spans="8:14">
      <c r="H3435" s="50" t="s">
        <v>89</v>
      </c>
    </row>
    <row r="3436" spans="8:14">
      <c r="H3436" s="51" t="s">
        <v>90</v>
      </c>
    </row>
    <row r="3437" spans="8:14">
      <c r="H3437" s="51" t="s">
        <v>91</v>
      </c>
    </row>
    <row r="3438" spans="8:14" ht="9" customHeight="1">
      <c r="H3438" s="50"/>
      <c r="I3438" s="50"/>
    </row>
    <row r="3439" spans="8:14" ht="15.75">
      <c r="H3439" s="260" t="s">
        <v>1296</v>
      </c>
      <c r="N3439" s="52"/>
    </row>
    <row r="3440" spans="8:14" ht="15.75">
      <c r="H3440" s="53" t="s">
        <v>535</v>
      </c>
      <c r="N3440" s="53"/>
    </row>
    <row r="3441" spans="8:15" ht="15.75" customHeight="1">
      <c r="H3441" s="894" t="s">
        <v>1302</v>
      </c>
      <c r="I3441" s="894"/>
      <c r="J3441" s="894"/>
      <c r="K3441" s="894"/>
      <c r="L3441" s="894"/>
      <c r="M3441" s="894"/>
      <c r="N3441" s="894"/>
      <c r="O3441" s="894"/>
    </row>
    <row r="3442" spans="8:15" ht="12.75" customHeight="1" thickBot="1"/>
    <row r="3443" spans="8:15">
      <c r="H3443" s="895" t="s">
        <v>94</v>
      </c>
      <c r="I3443" s="897" t="s">
        <v>95</v>
      </c>
      <c r="J3443" s="897" t="s">
        <v>96</v>
      </c>
      <c r="K3443" s="897" t="s">
        <v>3</v>
      </c>
      <c r="L3443" s="897" t="s">
        <v>97</v>
      </c>
      <c r="M3443" s="897" t="s">
        <v>98</v>
      </c>
      <c r="N3443" s="897" t="s">
        <v>99</v>
      </c>
      <c r="O3443" s="899"/>
    </row>
    <row r="3444" spans="8:15" ht="15.75" thickBot="1">
      <c r="H3444" s="896"/>
      <c r="I3444" s="898"/>
      <c r="J3444" s="898"/>
      <c r="K3444" s="898"/>
      <c r="L3444" s="898"/>
      <c r="M3444" s="898"/>
      <c r="N3444" s="240" t="s">
        <v>100</v>
      </c>
      <c r="O3444" s="182" t="s">
        <v>101</v>
      </c>
    </row>
    <row r="3445" spans="8:15" ht="13.5" customHeight="1">
      <c r="H3445" s="873" t="s">
        <v>1297</v>
      </c>
      <c r="I3445" s="875">
        <v>42734</v>
      </c>
      <c r="J3445" s="400" t="s">
        <v>1267</v>
      </c>
      <c r="K3445" s="879" t="s">
        <v>1221</v>
      </c>
      <c r="L3445" s="881" t="s">
        <v>145</v>
      </c>
      <c r="M3445" s="883">
        <v>14718204</v>
      </c>
      <c r="N3445" s="55">
        <v>719</v>
      </c>
      <c r="O3445" s="78">
        <v>0</v>
      </c>
    </row>
    <row r="3446" spans="8:15" ht="14.25" customHeight="1" thickBot="1">
      <c r="H3446" s="874"/>
      <c r="I3446" s="876"/>
      <c r="J3446" s="402"/>
      <c r="K3446" s="880"/>
      <c r="L3446" s="882"/>
      <c r="M3446" s="884"/>
      <c r="N3446" s="56">
        <v>721</v>
      </c>
      <c r="O3446" s="351">
        <f>+M3445-O3445</f>
        <v>14718204</v>
      </c>
    </row>
    <row r="3447" spans="8:15" ht="13.5" customHeight="1">
      <c r="H3447" s="873" t="s">
        <v>1298</v>
      </c>
      <c r="I3447" s="875">
        <v>42734</v>
      </c>
      <c r="J3447" s="402"/>
      <c r="K3447" s="879" t="s">
        <v>1304</v>
      </c>
      <c r="L3447" s="881" t="s">
        <v>145</v>
      </c>
      <c r="M3447" s="883">
        <v>4941638</v>
      </c>
      <c r="N3447" s="55">
        <v>719</v>
      </c>
      <c r="O3447" s="78">
        <v>0</v>
      </c>
    </row>
    <row r="3448" spans="8:15" ht="15" customHeight="1" thickBot="1">
      <c r="H3448" s="874"/>
      <c r="I3448" s="876"/>
      <c r="J3448" s="402"/>
      <c r="K3448" s="880"/>
      <c r="L3448" s="882"/>
      <c r="M3448" s="884"/>
      <c r="N3448" s="56">
        <v>721</v>
      </c>
      <c r="O3448" s="352">
        <f>+M3447-O3447</f>
        <v>4941638</v>
      </c>
    </row>
    <row r="3449" spans="8:15" ht="15" customHeight="1">
      <c r="H3449" s="873" t="s">
        <v>1299</v>
      </c>
      <c r="I3449" s="875">
        <v>42734</v>
      </c>
      <c r="J3449" s="402"/>
      <c r="K3449" s="879" t="s">
        <v>1305</v>
      </c>
      <c r="L3449" s="881" t="s">
        <v>145</v>
      </c>
      <c r="M3449" s="883">
        <v>3962065</v>
      </c>
      <c r="N3449" s="55">
        <v>719</v>
      </c>
      <c r="O3449" s="78">
        <v>0</v>
      </c>
    </row>
    <row r="3450" spans="8:15" ht="15.75" customHeight="1" thickBot="1">
      <c r="H3450" s="874"/>
      <c r="I3450" s="876"/>
      <c r="J3450" s="402"/>
      <c r="K3450" s="880"/>
      <c r="L3450" s="882"/>
      <c r="M3450" s="884"/>
      <c r="N3450" s="56">
        <v>721</v>
      </c>
      <c r="O3450" s="352">
        <f>+M3449-O3449</f>
        <v>3962065</v>
      </c>
    </row>
    <row r="3451" spans="8:15" ht="14.25" customHeight="1">
      <c r="H3451" s="873" t="s">
        <v>1300</v>
      </c>
      <c r="I3451" s="875">
        <v>42734</v>
      </c>
      <c r="J3451" s="402"/>
      <c r="K3451" s="879" t="s">
        <v>1303</v>
      </c>
      <c r="L3451" s="881" t="s">
        <v>145</v>
      </c>
      <c r="M3451" s="883">
        <v>2449488</v>
      </c>
      <c r="N3451" s="55">
        <v>719</v>
      </c>
      <c r="O3451" s="78">
        <v>0</v>
      </c>
    </row>
    <row r="3452" spans="8:15" ht="14.25" customHeight="1" thickBot="1">
      <c r="H3452" s="874"/>
      <c r="I3452" s="876"/>
      <c r="J3452" s="402"/>
      <c r="K3452" s="880"/>
      <c r="L3452" s="882"/>
      <c r="M3452" s="884"/>
      <c r="N3452" s="56">
        <v>721</v>
      </c>
      <c r="O3452" s="352">
        <f>+M3451-O3451</f>
        <v>2449488</v>
      </c>
    </row>
    <row r="3453" spans="8:15" ht="13.5" customHeight="1">
      <c r="H3453" s="873" t="s">
        <v>1308</v>
      </c>
      <c r="I3453" s="875">
        <v>42734</v>
      </c>
      <c r="J3453" s="402"/>
      <c r="K3453" s="879" t="s">
        <v>1306</v>
      </c>
      <c r="L3453" s="881" t="s">
        <v>145</v>
      </c>
      <c r="M3453" s="883">
        <v>4151192</v>
      </c>
      <c r="N3453" s="55">
        <v>719</v>
      </c>
      <c r="O3453" s="78">
        <v>0</v>
      </c>
    </row>
    <row r="3454" spans="8:15" ht="15.75" customHeight="1" thickBot="1">
      <c r="H3454" s="874"/>
      <c r="I3454" s="876"/>
      <c r="J3454" s="402"/>
      <c r="K3454" s="880"/>
      <c r="L3454" s="882"/>
      <c r="M3454" s="884"/>
      <c r="N3454" s="56">
        <v>721</v>
      </c>
      <c r="O3454" s="352">
        <f>+M3453-O3453</f>
        <v>4151192</v>
      </c>
    </row>
    <row r="3455" spans="8:15" ht="12.75" customHeight="1">
      <c r="H3455" s="873" t="s">
        <v>1309</v>
      </c>
      <c r="I3455" s="875">
        <v>42734</v>
      </c>
      <c r="J3455" s="402"/>
      <c r="K3455" s="879" t="s">
        <v>1307</v>
      </c>
      <c r="L3455" s="881" t="s">
        <v>145</v>
      </c>
      <c r="M3455" s="883">
        <v>1734563</v>
      </c>
      <c r="N3455" s="55">
        <v>719</v>
      </c>
      <c r="O3455" s="78"/>
    </row>
    <row r="3456" spans="8:15" ht="12.75" customHeight="1" thickBot="1">
      <c r="H3456" s="874"/>
      <c r="I3456" s="876"/>
      <c r="J3456" s="401"/>
      <c r="K3456" s="880"/>
      <c r="L3456" s="882"/>
      <c r="M3456" s="884"/>
      <c r="N3456" s="56">
        <v>721</v>
      </c>
      <c r="O3456" s="79">
        <f>+M3455-O3455</f>
        <v>1734563</v>
      </c>
    </row>
    <row r="3457" spans="8:15" ht="16.5" thickBot="1">
      <c r="H3457" s="901" t="s">
        <v>102</v>
      </c>
      <c r="I3457" s="902"/>
      <c r="J3457" s="902"/>
      <c r="K3457" s="902"/>
      <c r="L3457" s="903"/>
      <c r="M3457" s="81">
        <f>SUM(M3445:M3456)</f>
        <v>31957150</v>
      </c>
    </row>
    <row r="3458" spans="8:15" ht="16.5" thickBot="1">
      <c r="H3458" s="885" t="s">
        <v>103</v>
      </c>
      <c r="I3458" s="886"/>
      <c r="J3458" s="886"/>
      <c r="K3458" s="886"/>
      <c r="L3458" s="887"/>
      <c r="M3458" s="69">
        <f>+M3419</f>
        <v>666058225</v>
      </c>
      <c r="N3458" s="241" t="s">
        <v>561</v>
      </c>
      <c r="O3458" s="242"/>
    </row>
    <row r="3459" spans="8:15" ht="16.5" thickBot="1">
      <c r="H3459" s="888" t="s">
        <v>104</v>
      </c>
      <c r="I3459" s="889"/>
      <c r="J3459" s="889"/>
      <c r="K3459" s="889"/>
      <c r="L3459" s="890"/>
      <c r="M3459" s="183">
        <f>SUM(M3457:M3458)</f>
        <v>698015375</v>
      </c>
    </row>
    <row r="3460" spans="8:15" ht="12.75" customHeight="1">
      <c r="H3460" s="61"/>
      <c r="I3460" s="61"/>
      <c r="J3460" s="61"/>
      <c r="K3460" s="61"/>
      <c r="L3460" s="61"/>
    </row>
    <row r="3461" spans="8:15">
      <c r="H3461" s="51" t="s">
        <v>1310</v>
      </c>
    </row>
    <row r="3462" spans="8:15" ht="8.25" customHeight="1">
      <c r="M3462" s="139"/>
    </row>
    <row r="3463" spans="8:15">
      <c r="H3463" s="50" t="s">
        <v>105</v>
      </c>
      <c r="K3463" s="146"/>
      <c r="M3463" s="139"/>
    </row>
    <row r="3464" spans="8:15" ht="9" customHeight="1" thickBot="1"/>
    <row r="3465" spans="8:15" ht="15.75" thickBot="1">
      <c r="H3465" s="891" t="s">
        <v>106</v>
      </c>
      <c r="I3465" s="892"/>
      <c r="J3465" s="892"/>
      <c r="K3465" s="893"/>
      <c r="M3465" s="50" t="s">
        <v>1126</v>
      </c>
    </row>
    <row r="3466" spans="8:15" ht="45.75" thickBot="1">
      <c r="H3466" s="57" t="s">
        <v>100</v>
      </c>
      <c r="I3466" s="58" t="s">
        <v>108</v>
      </c>
      <c r="J3466" s="287" t="s">
        <v>109</v>
      </c>
      <c r="K3466" s="60" t="s">
        <v>110</v>
      </c>
    </row>
    <row r="3467" spans="8:15">
      <c r="H3467" s="71">
        <v>719</v>
      </c>
      <c r="I3467" s="73">
        <f>+O3449+O3451+O3455+O3453</f>
        <v>0</v>
      </c>
      <c r="J3467" s="74">
        <f>+K3427</f>
        <v>71720000</v>
      </c>
      <c r="K3467" s="195">
        <f>+I3467+J3467</f>
        <v>71720000</v>
      </c>
    </row>
    <row r="3468" spans="8:15">
      <c r="H3468" s="72">
        <v>721</v>
      </c>
      <c r="I3468" s="80">
        <f>+O3456+O3454+O3452+O3450+O3448+O3446</f>
        <v>31957150</v>
      </c>
      <c r="J3468" s="74">
        <f>+K3428</f>
        <v>257912159</v>
      </c>
      <c r="K3468" s="195">
        <f>+I3468+J3468</f>
        <v>289869309</v>
      </c>
    </row>
    <row r="3469" spans="8:15">
      <c r="H3469" s="72">
        <v>722</v>
      </c>
      <c r="I3469" s="80"/>
      <c r="J3469" s="74">
        <f>+K3429</f>
        <v>6180000</v>
      </c>
      <c r="K3469" s="195">
        <f>+I3469+J3469</f>
        <v>6180000</v>
      </c>
    </row>
    <row r="3470" spans="8:15" ht="15.75">
      <c r="H3470" s="72">
        <v>723</v>
      </c>
      <c r="I3470" s="80"/>
      <c r="J3470" s="74">
        <f>+K3430</f>
        <v>329378566</v>
      </c>
      <c r="K3470" s="195">
        <f>+I3470+J3470</f>
        <v>329378566</v>
      </c>
      <c r="M3470" s="193" t="s">
        <v>1125</v>
      </c>
      <c r="N3470" s="175"/>
    </row>
    <row r="3471" spans="8:15" ht="16.5" thickBot="1">
      <c r="H3471" s="164" t="s">
        <v>1077</v>
      </c>
      <c r="I3471" s="165"/>
      <c r="J3471" s="74">
        <f>+K3431</f>
        <v>797500</v>
      </c>
      <c r="K3471" s="196">
        <f>+I3471+J3471</f>
        <v>797500</v>
      </c>
      <c r="M3471" s="52"/>
    </row>
    <row r="3472" spans="8:15" ht="16.5" thickBot="1">
      <c r="H3472" s="169"/>
      <c r="I3472" s="197">
        <f>SUM(I3467:I3471)</f>
        <v>31957150</v>
      </c>
      <c r="J3472" s="197">
        <f>SUM(J3467:J3471)</f>
        <v>665988225</v>
      </c>
      <c r="K3472" s="198">
        <f>SUM(K3467:K3471)</f>
        <v>697945375</v>
      </c>
    </row>
    <row r="3473" spans="8:15" ht="16.5">
      <c r="H3473" s="49" t="s">
        <v>88</v>
      </c>
      <c r="I3473" s="50"/>
    </row>
    <row r="3474" spans="8:15">
      <c r="H3474" s="51" t="s">
        <v>89</v>
      </c>
    </row>
    <row r="3475" spans="8:15">
      <c r="H3475" s="51" t="s">
        <v>90</v>
      </c>
    </row>
    <row r="3476" spans="8:15">
      <c r="H3476" s="51" t="s">
        <v>91</v>
      </c>
    </row>
    <row r="3477" spans="8:15">
      <c r="H3477" s="50"/>
      <c r="I3477" s="50"/>
    </row>
    <row r="3478" spans="8:15" ht="15.75">
      <c r="H3478" s="260" t="s">
        <v>1312</v>
      </c>
      <c r="N3478" s="52"/>
    </row>
    <row r="3479" spans="8:15" ht="15.75">
      <c r="H3479" s="53" t="s">
        <v>535</v>
      </c>
      <c r="N3479" s="53"/>
    </row>
    <row r="3480" spans="8:15" ht="16.5">
      <c r="H3480" s="894" t="s">
        <v>1316</v>
      </c>
      <c r="I3480" s="894"/>
      <c r="J3480" s="894"/>
      <c r="K3480" s="894"/>
      <c r="L3480" s="894"/>
      <c r="M3480" s="894"/>
      <c r="N3480" s="894"/>
      <c r="O3480" s="894"/>
    </row>
    <row r="3481" spans="8:15" ht="15.75" thickBot="1"/>
    <row r="3482" spans="8:15">
      <c r="H3482" s="895" t="s">
        <v>94</v>
      </c>
      <c r="I3482" s="897" t="s">
        <v>95</v>
      </c>
      <c r="J3482" s="897" t="s">
        <v>96</v>
      </c>
      <c r="K3482" s="897" t="s">
        <v>3</v>
      </c>
      <c r="L3482" s="897" t="s">
        <v>97</v>
      </c>
      <c r="M3482" s="897" t="s">
        <v>98</v>
      </c>
      <c r="N3482" s="897" t="s">
        <v>99</v>
      </c>
      <c r="O3482" s="899"/>
    </row>
    <row r="3483" spans="8:15" ht="15.75" thickBot="1">
      <c r="H3483" s="896"/>
      <c r="I3483" s="898"/>
      <c r="J3483" s="898"/>
      <c r="K3483" s="898"/>
      <c r="L3483" s="898"/>
      <c r="M3483" s="898"/>
      <c r="N3483" s="240" t="s">
        <v>100</v>
      </c>
      <c r="O3483" s="182" t="s">
        <v>101</v>
      </c>
    </row>
    <row r="3484" spans="8:15">
      <c r="H3484" s="873" t="s">
        <v>1311</v>
      </c>
      <c r="I3484" s="875">
        <v>42734</v>
      </c>
      <c r="J3484" s="877" t="s">
        <v>1315</v>
      </c>
      <c r="K3484" s="879" t="s">
        <v>1301</v>
      </c>
      <c r="L3484" s="881" t="s">
        <v>148</v>
      </c>
      <c r="M3484" s="883">
        <v>1817700</v>
      </c>
      <c r="N3484" s="55">
        <v>719</v>
      </c>
      <c r="O3484" s="78"/>
    </row>
    <row r="3485" spans="8:15" ht="15.75" thickBot="1">
      <c r="H3485" s="874"/>
      <c r="I3485" s="876"/>
      <c r="J3485" s="878"/>
      <c r="K3485" s="880"/>
      <c r="L3485" s="882"/>
      <c r="M3485" s="884"/>
      <c r="N3485" s="56">
        <v>723</v>
      </c>
      <c r="O3485" s="351">
        <f>+M3484-O3484</f>
        <v>1817700</v>
      </c>
    </row>
    <row r="3486" spans="8:15">
      <c r="H3486" s="873"/>
      <c r="I3486" s="875"/>
      <c r="J3486" s="877"/>
      <c r="K3486" s="879"/>
      <c r="L3486" s="881"/>
      <c r="M3486" s="883"/>
      <c r="N3486" s="55">
        <v>719</v>
      </c>
      <c r="O3486" s="78"/>
    </row>
    <row r="3487" spans="8:15" ht="15.75" thickBot="1">
      <c r="H3487" s="874"/>
      <c r="I3487" s="876"/>
      <c r="J3487" s="878"/>
      <c r="K3487" s="880"/>
      <c r="L3487" s="882"/>
      <c r="M3487" s="884"/>
      <c r="N3487" s="56">
        <v>723</v>
      </c>
      <c r="O3487" s="352">
        <f>+M3486-O3486</f>
        <v>0</v>
      </c>
    </row>
    <row r="3488" spans="8:15">
      <c r="H3488" s="873"/>
      <c r="I3488" s="875"/>
      <c r="J3488" s="877"/>
      <c r="K3488" s="879"/>
      <c r="L3488" s="881"/>
      <c r="M3488" s="883"/>
      <c r="N3488" s="55">
        <v>719</v>
      </c>
      <c r="O3488" s="78"/>
    </row>
    <row r="3489" spans="8:15" ht="15.75" thickBot="1">
      <c r="H3489" s="874"/>
      <c r="I3489" s="876"/>
      <c r="J3489" s="878"/>
      <c r="K3489" s="880"/>
      <c r="L3489" s="882"/>
      <c r="M3489" s="884"/>
      <c r="N3489" s="56">
        <v>722</v>
      </c>
      <c r="O3489" s="352">
        <f>+M3488-O3488</f>
        <v>0</v>
      </c>
    </row>
    <row r="3490" spans="8:15">
      <c r="H3490" s="881"/>
      <c r="I3490" s="875"/>
      <c r="J3490" s="877"/>
      <c r="K3490" s="904"/>
      <c r="L3490" s="881"/>
      <c r="M3490" s="883"/>
      <c r="N3490" s="55">
        <v>719</v>
      </c>
      <c r="O3490" s="78"/>
    </row>
    <row r="3491" spans="8:15" ht="15.75" thickBot="1">
      <c r="H3491" s="882"/>
      <c r="I3491" s="876"/>
      <c r="J3491" s="878"/>
      <c r="K3491" s="880"/>
      <c r="L3491" s="882"/>
      <c r="M3491" s="884"/>
      <c r="N3491" s="56">
        <v>722</v>
      </c>
      <c r="O3491" s="79">
        <f>+M3490-O3490</f>
        <v>0</v>
      </c>
    </row>
    <row r="3492" spans="8:15" ht="16.5" thickBot="1">
      <c r="H3492" s="901" t="s">
        <v>102</v>
      </c>
      <c r="I3492" s="902"/>
      <c r="J3492" s="902"/>
      <c r="K3492" s="902"/>
      <c r="L3492" s="903"/>
      <c r="M3492" s="81">
        <f>SUM(M3484:M3491)</f>
        <v>1817700</v>
      </c>
    </row>
    <row r="3493" spans="8:15" ht="16.5" thickBot="1">
      <c r="H3493" s="885" t="s">
        <v>103</v>
      </c>
      <c r="I3493" s="886"/>
      <c r="J3493" s="886"/>
      <c r="K3493" s="886"/>
      <c r="L3493" s="887"/>
      <c r="M3493" s="69">
        <f>+M3459</f>
        <v>698015375</v>
      </c>
      <c r="N3493" s="241" t="s">
        <v>561</v>
      </c>
      <c r="O3493" s="242"/>
    </row>
    <row r="3494" spans="8:15" ht="16.5" thickBot="1">
      <c r="H3494" s="888" t="s">
        <v>104</v>
      </c>
      <c r="I3494" s="889"/>
      <c r="J3494" s="889"/>
      <c r="K3494" s="889"/>
      <c r="L3494" s="890"/>
      <c r="M3494" s="183">
        <f>SUM(M3492:M3493)</f>
        <v>699833075</v>
      </c>
    </row>
    <row r="3495" spans="8:15">
      <c r="H3495" s="61"/>
      <c r="I3495" s="61"/>
      <c r="J3495" s="61"/>
      <c r="K3495" s="61"/>
      <c r="L3495" s="61"/>
    </row>
    <row r="3496" spans="8:15">
      <c r="H3496" s="51" t="s">
        <v>1314</v>
      </c>
    </row>
    <row r="3497" spans="8:15">
      <c r="M3497" s="139"/>
    </row>
    <row r="3498" spans="8:15">
      <c r="H3498" s="50" t="s">
        <v>105</v>
      </c>
      <c r="K3498" s="146"/>
      <c r="M3498" s="139"/>
    </row>
    <row r="3499" spans="8:15" ht="15.75" thickBot="1"/>
    <row r="3500" spans="8:15" ht="15.75" thickBot="1">
      <c r="H3500" s="891" t="s">
        <v>106</v>
      </c>
      <c r="I3500" s="892"/>
      <c r="J3500" s="892"/>
      <c r="K3500" s="893"/>
      <c r="M3500" s="50" t="s">
        <v>1313</v>
      </c>
    </row>
    <row r="3501" spans="8:15" ht="45.75" thickBot="1">
      <c r="H3501" s="57" t="s">
        <v>100</v>
      </c>
      <c r="I3501" s="58" t="s">
        <v>108</v>
      </c>
      <c r="J3501" s="287" t="s">
        <v>109</v>
      </c>
      <c r="K3501" s="60" t="s">
        <v>110</v>
      </c>
    </row>
    <row r="3502" spans="8:15">
      <c r="H3502" s="71">
        <v>719</v>
      </c>
      <c r="I3502" s="73"/>
      <c r="J3502" s="74">
        <f>+K3467</f>
        <v>71720000</v>
      </c>
      <c r="K3502" s="195">
        <f>+I3502+J3502</f>
        <v>71720000</v>
      </c>
    </row>
    <row r="3503" spans="8:15">
      <c r="H3503" s="72">
        <v>721</v>
      </c>
      <c r="I3503" s="80"/>
      <c r="J3503" s="74">
        <f>+K3468</f>
        <v>289869309</v>
      </c>
      <c r="K3503" s="195">
        <f>+I3503+J3503</f>
        <v>289869309</v>
      </c>
    </row>
    <row r="3504" spans="8:15">
      <c r="H3504" s="72">
        <v>722</v>
      </c>
      <c r="I3504" s="80"/>
      <c r="J3504" s="74">
        <f>+K3469</f>
        <v>6180000</v>
      </c>
      <c r="K3504" s="195">
        <f>+I3504+J3504</f>
        <v>6180000</v>
      </c>
    </row>
    <row r="3505" spans="8:15" ht="15.75">
      <c r="H3505" s="72">
        <v>723</v>
      </c>
      <c r="I3505" s="80">
        <f>+O3485</f>
        <v>1817700</v>
      </c>
      <c r="J3505" s="74">
        <f>+K3470</f>
        <v>329378566</v>
      </c>
      <c r="K3505" s="195">
        <f>+I3505+J3505</f>
        <v>331196266</v>
      </c>
      <c r="M3505" s="193" t="s">
        <v>1125</v>
      </c>
      <c r="N3505" s="175"/>
    </row>
    <row r="3506" spans="8:15" ht="16.5" thickBot="1">
      <c r="H3506" s="164" t="s">
        <v>1077</v>
      </c>
      <c r="I3506" s="165"/>
      <c r="J3506" s="74">
        <f>+K3471</f>
        <v>797500</v>
      </c>
      <c r="K3506" s="196">
        <f>+I3506+J3506</f>
        <v>797500</v>
      </c>
      <c r="M3506" s="52"/>
    </row>
    <row r="3507" spans="8:15" ht="16.5" thickBot="1">
      <c r="H3507" s="169"/>
      <c r="I3507" s="197">
        <f>SUM(I3502:I3506)</f>
        <v>1817700</v>
      </c>
      <c r="J3507" s="197">
        <f>SUM(J3502:J3506)</f>
        <v>697945375</v>
      </c>
      <c r="K3507" s="198">
        <f>SUM(K3502:K3506)</f>
        <v>699763075</v>
      </c>
    </row>
    <row r="3508" spans="8:15" ht="15.75">
      <c r="H3508" s="397"/>
      <c r="I3508" s="398"/>
      <c r="J3508" s="398"/>
      <c r="K3508" s="399"/>
    </row>
    <row r="3509" spans="8:15" ht="16.5">
      <c r="H3509" s="49" t="s">
        <v>88</v>
      </c>
      <c r="I3509" s="50"/>
    </row>
    <row r="3510" spans="8:15">
      <c r="H3510" s="51" t="s">
        <v>89</v>
      </c>
    </row>
    <row r="3511" spans="8:15">
      <c r="H3511" s="51" t="s">
        <v>90</v>
      </c>
    </row>
    <row r="3512" spans="8:15">
      <c r="H3512" s="51" t="s">
        <v>91</v>
      </c>
    </row>
    <row r="3513" spans="8:15">
      <c r="H3513" s="50"/>
      <c r="I3513" s="50"/>
    </row>
    <row r="3514" spans="8:15" ht="15.75">
      <c r="H3514" s="260" t="s">
        <v>1320</v>
      </c>
      <c r="N3514" s="52"/>
    </row>
    <row r="3515" spans="8:15" ht="15.75">
      <c r="H3515" s="53" t="s">
        <v>535</v>
      </c>
      <c r="N3515" s="53"/>
    </row>
    <row r="3516" spans="8:15" ht="16.5">
      <c r="H3516" s="894" t="s">
        <v>1317</v>
      </c>
      <c r="I3516" s="894"/>
      <c r="J3516" s="894"/>
      <c r="K3516" s="894"/>
      <c r="L3516" s="894"/>
      <c r="M3516" s="894"/>
      <c r="N3516" s="894"/>
      <c r="O3516" s="894"/>
    </row>
    <row r="3517" spans="8:15" ht="15.75" thickBot="1"/>
    <row r="3518" spans="8:15">
      <c r="H3518" s="895" t="s">
        <v>94</v>
      </c>
      <c r="I3518" s="897" t="s">
        <v>95</v>
      </c>
      <c r="J3518" s="897" t="s">
        <v>96</v>
      </c>
      <c r="K3518" s="897" t="s">
        <v>3</v>
      </c>
      <c r="L3518" s="897" t="s">
        <v>97</v>
      </c>
      <c r="M3518" s="897" t="s">
        <v>98</v>
      </c>
      <c r="N3518" s="897" t="s">
        <v>99</v>
      </c>
      <c r="O3518" s="899"/>
    </row>
    <row r="3519" spans="8:15" ht="15.75" thickBot="1">
      <c r="H3519" s="896"/>
      <c r="I3519" s="898"/>
      <c r="J3519" s="898"/>
      <c r="K3519" s="898"/>
      <c r="L3519" s="898"/>
      <c r="M3519" s="898"/>
      <c r="N3519" s="240" t="s">
        <v>100</v>
      </c>
      <c r="O3519" s="182" t="s">
        <v>101</v>
      </c>
    </row>
    <row r="3520" spans="8:15" ht="15" customHeight="1">
      <c r="H3520" s="873" t="s">
        <v>554</v>
      </c>
      <c r="I3520" s="875">
        <v>42735</v>
      </c>
      <c r="J3520" s="877" t="s">
        <v>1267</v>
      </c>
      <c r="K3520" s="879" t="s">
        <v>1221</v>
      </c>
      <c r="L3520" s="881" t="s">
        <v>145</v>
      </c>
      <c r="M3520" s="883">
        <v>-14718204</v>
      </c>
      <c r="N3520" s="55">
        <v>719</v>
      </c>
      <c r="O3520" s="78"/>
    </row>
    <row r="3521" spans="8:15" ht="15.75" customHeight="1" thickBot="1">
      <c r="H3521" s="874"/>
      <c r="I3521" s="876"/>
      <c r="J3521" s="900"/>
      <c r="K3521" s="880"/>
      <c r="L3521" s="882"/>
      <c r="M3521" s="884"/>
      <c r="N3521" s="56">
        <v>721</v>
      </c>
      <c r="O3521" s="351">
        <f>+M3520-O3520</f>
        <v>-14718204</v>
      </c>
    </row>
    <row r="3522" spans="8:15" ht="15" customHeight="1">
      <c r="H3522" s="873" t="s">
        <v>1318</v>
      </c>
      <c r="I3522" s="875">
        <v>42735</v>
      </c>
      <c r="J3522" s="900"/>
      <c r="K3522" s="879" t="s">
        <v>1305</v>
      </c>
      <c r="L3522" s="881" t="s">
        <v>145</v>
      </c>
      <c r="M3522" s="883">
        <v>-3962065</v>
      </c>
      <c r="N3522" s="55">
        <v>719</v>
      </c>
      <c r="O3522" s="78"/>
    </row>
    <row r="3523" spans="8:15" ht="15.75" customHeight="1" thickBot="1">
      <c r="H3523" s="874"/>
      <c r="I3523" s="876"/>
      <c r="J3523" s="878"/>
      <c r="K3523" s="880"/>
      <c r="L3523" s="882"/>
      <c r="M3523" s="884"/>
      <c r="N3523" s="56">
        <v>721</v>
      </c>
      <c r="O3523" s="352">
        <f>+M3522-O3522</f>
        <v>-3962065</v>
      </c>
    </row>
    <row r="3524" spans="8:15" ht="15.75" customHeight="1">
      <c r="H3524" s="462"/>
      <c r="I3524" s="252"/>
      <c r="J3524" s="253"/>
      <c r="K3524" s="463"/>
      <c r="L3524" s="251"/>
      <c r="M3524" s="254"/>
      <c r="N3524" s="255"/>
      <c r="O3524" s="464"/>
    </row>
    <row r="3525" spans="8:15" ht="15.75" customHeight="1">
      <c r="H3525" s="462"/>
      <c r="I3525" s="252"/>
      <c r="J3525" s="253"/>
      <c r="K3525" s="463"/>
      <c r="L3525" s="251"/>
      <c r="M3525" s="254"/>
      <c r="N3525" s="255"/>
      <c r="O3525" s="464"/>
    </row>
    <row r="3526" spans="8:15" ht="15.75" customHeight="1">
      <c r="H3526" s="462"/>
      <c r="I3526" s="252"/>
      <c r="J3526" s="253"/>
      <c r="K3526" s="463"/>
      <c r="L3526" s="251"/>
      <c r="M3526" s="254"/>
      <c r="N3526" s="255"/>
      <c r="O3526" s="464"/>
    </row>
    <row r="3527" spans="8:15" ht="15.75" customHeight="1" thickBot="1">
      <c r="H3527" s="462"/>
      <c r="I3527" s="252"/>
      <c r="J3527" s="253"/>
      <c r="K3527" s="463"/>
      <c r="L3527" s="251"/>
      <c r="M3527" s="254"/>
      <c r="N3527" s="255"/>
      <c r="O3527" s="464"/>
    </row>
    <row r="3528" spans="8:15" ht="15" customHeight="1">
      <c r="H3528" s="873"/>
      <c r="I3528" s="875"/>
      <c r="J3528" s="877"/>
      <c r="K3528" s="879"/>
      <c r="L3528" s="881"/>
      <c r="M3528" s="883"/>
      <c r="N3528" s="55">
        <v>719</v>
      </c>
      <c r="O3528" s="78"/>
    </row>
    <row r="3529" spans="8:15" ht="15.75" customHeight="1" thickBot="1">
      <c r="H3529" s="874"/>
      <c r="I3529" s="876"/>
      <c r="J3529" s="878"/>
      <c r="K3529" s="880"/>
      <c r="L3529" s="882"/>
      <c r="M3529" s="884"/>
      <c r="N3529" s="56">
        <v>722</v>
      </c>
      <c r="O3529" s="352"/>
    </row>
    <row r="3530" spans="8:15" ht="15" customHeight="1">
      <c r="H3530" s="873"/>
      <c r="I3530" s="875"/>
      <c r="J3530" s="877"/>
      <c r="K3530" s="879"/>
      <c r="L3530" s="881"/>
      <c r="M3530" s="883"/>
      <c r="N3530" s="55">
        <v>719</v>
      </c>
      <c r="O3530" s="78"/>
    </row>
    <row r="3531" spans="8:15" ht="15.75" customHeight="1" thickBot="1">
      <c r="H3531" s="874"/>
      <c r="I3531" s="876"/>
      <c r="J3531" s="878"/>
      <c r="K3531" s="880"/>
      <c r="L3531" s="882"/>
      <c r="M3531" s="884"/>
      <c r="N3531" s="56">
        <v>722</v>
      </c>
      <c r="O3531" s="79">
        <f>+M3530-O3530</f>
        <v>0</v>
      </c>
    </row>
    <row r="3532" spans="8:15" ht="16.5" thickBot="1">
      <c r="H3532" s="901" t="s">
        <v>102</v>
      </c>
      <c r="I3532" s="902"/>
      <c r="J3532" s="902"/>
      <c r="K3532" s="902"/>
      <c r="L3532" s="903"/>
      <c r="M3532" s="81">
        <f>SUM(M3520:M3531)</f>
        <v>-18680269</v>
      </c>
    </row>
    <row r="3533" spans="8:15" ht="16.5" thickBot="1">
      <c r="H3533" s="885" t="s">
        <v>103</v>
      </c>
      <c r="I3533" s="886"/>
      <c r="J3533" s="886"/>
      <c r="K3533" s="886"/>
      <c r="L3533" s="887"/>
      <c r="M3533" s="69">
        <f>+M3494</f>
        <v>699833075</v>
      </c>
      <c r="N3533" s="241" t="s">
        <v>561</v>
      </c>
      <c r="O3533" s="242"/>
    </row>
    <row r="3534" spans="8:15" ht="16.5" thickBot="1">
      <c r="H3534" s="888" t="s">
        <v>104</v>
      </c>
      <c r="I3534" s="889"/>
      <c r="J3534" s="889"/>
      <c r="K3534" s="889"/>
      <c r="L3534" s="890"/>
      <c r="M3534" s="183">
        <f>SUM(M3532:M3533)</f>
        <v>681152806</v>
      </c>
    </row>
    <row r="3535" spans="8:15">
      <c r="H3535" s="61"/>
      <c r="I3535" s="61"/>
      <c r="J3535" s="61"/>
      <c r="K3535" s="61"/>
      <c r="L3535" s="61"/>
    </row>
    <row r="3536" spans="8:15">
      <c r="H3536" s="51" t="s">
        <v>1319</v>
      </c>
    </row>
    <row r="3537" spans="8:14">
      <c r="M3537" s="139"/>
    </row>
    <row r="3538" spans="8:14">
      <c r="H3538" s="50" t="s">
        <v>105</v>
      </c>
      <c r="K3538" s="146"/>
      <c r="M3538" s="139"/>
    </row>
    <row r="3539" spans="8:14" ht="15.75" thickBot="1"/>
    <row r="3540" spans="8:14" ht="15.75" thickBot="1">
      <c r="H3540" s="891" t="s">
        <v>106</v>
      </c>
      <c r="I3540" s="892"/>
      <c r="J3540" s="892"/>
      <c r="K3540" s="893"/>
      <c r="M3540" s="50" t="s">
        <v>288</v>
      </c>
    </row>
    <row r="3541" spans="8:14" ht="45.75" thickBot="1">
      <c r="H3541" s="57" t="s">
        <v>100</v>
      </c>
      <c r="I3541" s="58" t="s">
        <v>108</v>
      </c>
      <c r="J3541" s="287" t="s">
        <v>109</v>
      </c>
      <c r="K3541" s="60" t="s">
        <v>110</v>
      </c>
    </row>
    <row r="3542" spans="8:14">
      <c r="H3542" s="71">
        <v>719</v>
      </c>
      <c r="I3542" s="73">
        <f>+O3520+O3522+O3530</f>
        <v>0</v>
      </c>
      <c r="J3542" s="74">
        <f>+K3502</f>
        <v>71720000</v>
      </c>
      <c r="K3542" s="195">
        <f>+I3542+J3542</f>
        <v>71720000</v>
      </c>
    </row>
    <row r="3543" spans="8:14">
      <c r="H3543" s="72">
        <v>721</v>
      </c>
      <c r="I3543" s="80">
        <f>+O3521+O3523</f>
        <v>-18680269</v>
      </c>
      <c r="J3543" s="74">
        <f>+K3503</f>
        <v>289869309</v>
      </c>
      <c r="K3543" s="195">
        <f>+I3543+J3543</f>
        <v>271189040</v>
      </c>
    </row>
    <row r="3544" spans="8:14" ht="15.75">
      <c r="H3544" s="72">
        <v>722</v>
      </c>
      <c r="I3544" s="80"/>
      <c r="J3544" s="74">
        <f>+K3504</f>
        <v>6180000</v>
      </c>
      <c r="K3544" s="195">
        <f>+I3544+J3544</f>
        <v>6180000</v>
      </c>
      <c r="M3544" s="193" t="s">
        <v>1125</v>
      </c>
    </row>
    <row r="3545" spans="8:14" ht="15.75">
      <c r="H3545" s="72">
        <v>723</v>
      </c>
      <c r="I3545" s="80"/>
      <c r="J3545" s="74">
        <f>+K3505</f>
        <v>331196266</v>
      </c>
      <c r="K3545" s="195">
        <f>+I3545+J3545</f>
        <v>331196266</v>
      </c>
      <c r="M3545" s="193"/>
      <c r="N3545" s="175"/>
    </row>
    <row r="3546" spans="8:14" ht="16.5" thickBot="1">
      <c r="H3546" s="164" t="s">
        <v>1077</v>
      </c>
      <c r="I3546" s="165"/>
      <c r="J3546" s="74">
        <f>+K3506</f>
        <v>797500</v>
      </c>
      <c r="K3546" s="196">
        <f>+I3546+J3546</f>
        <v>797500</v>
      </c>
      <c r="M3546" s="52"/>
    </row>
    <row r="3547" spans="8:14" ht="16.5" thickBot="1">
      <c r="H3547" s="169"/>
      <c r="I3547" s="197">
        <f>SUM(I3542:I3546)</f>
        <v>-18680269</v>
      </c>
      <c r="J3547" s="197">
        <f>SUM(J3542:J3546)</f>
        <v>699763075</v>
      </c>
      <c r="K3547" s="198">
        <f>SUM(K3542:K3546)</f>
        <v>681082806</v>
      </c>
    </row>
    <row r="3548" spans="8:14" ht="15.75">
      <c r="H3548" s="397"/>
      <c r="I3548" s="398"/>
      <c r="J3548" s="398"/>
      <c r="K3548" s="399"/>
    </row>
    <row r="3549" spans="8:14" ht="16.5">
      <c r="H3549" s="49" t="s">
        <v>88</v>
      </c>
      <c r="I3549" s="50"/>
    </row>
    <row r="3550" spans="8:14">
      <c r="H3550" s="51" t="s">
        <v>89</v>
      </c>
    </row>
    <row r="3551" spans="8:14">
      <c r="H3551" s="51" t="s">
        <v>90</v>
      </c>
    </row>
    <row r="3552" spans="8:14">
      <c r="H3552" s="51" t="s">
        <v>91</v>
      </c>
    </row>
    <row r="3553" spans="8:15">
      <c r="H3553" s="50"/>
      <c r="I3553" s="50"/>
    </row>
    <row r="3554" spans="8:15" ht="15.75">
      <c r="H3554" s="260" t="s">
        <v>1322</v>
      </c>
      <c r="N3554" s="52"/>
    </row>
    <row r="3555" spans="8:15" ht="15.75">
      <c r="H3555" s="53" t="s">
        <v>535</v>
      </c>
      <c r="N3555" s="53"/>
    </row>
    <row r="3556" spans="8:15" ht="16.5">
      <c r="H3556" s="894" t="s">
        <v>1328</v>
      </c>
      <c r="I3556" s="894"/>
      <c r="J3556" s="894"/>
      <c r="K3556" s="894"/>
      <c r="L3556" s="894"/>
      <c r="M3556" s="894"/>
      <c r="N3556" s="894"/>
      <c r="O3556" s="894"/>
    </row>
    <row r="3557" spans="8:15" ht="15.75" thickBot="1"/>
    <row r="3558" spans="8:15">
      <c r="H3558" s="895" t="s">
        <v>94</v>
      </c>
      <c r="I3558" s="897" t="s">
        <v>95</v>
      </c>
      <c r="J3558" s="897" t="s">
        <v>96</v>
      </c>
      <c r="K3558" s="897" t="s">
        <v>3</v>
      </c>
      <c r="L3558" s="897" t="s">
        <v>97</v>
      </c>
      <c r="M3558" s="897" t="s">
        <v>98</v>
      </c>
      <c r="N3558" s="897" t="s">
        <v>99</v>
      </c>
      <c r="O3558" s="899"/>
    </row>
    <row r="3559" spans="8:15" ht="15.75" thickBot="1">
      <c r="H3559" s="896"/>
      <c r="I3559" s="898"/>
      <c r="J3559" s="898"/>
      <c r="K3559" s="898"/>
      <c r="L3559" s="898"/>
      <c r="M3559" s="898"/>
      <c r="N3559" s="240" t="s">
        <v>100</v>
      </c>
      <c r="O3559" s="182" t="s">
        <v>101</v>
      </c>
    </row>
    <row r="3560" spans="8:15">
      <c r="H3560" s="873" t="s">
        <v>1323</v>
      </c>
      <c r="I3560" s="875">
        <v>42735</v>
      </c>
      <c r="J3560" s="877" t="s">
        <v>1267</v>
      </c>
      <c r="K3560" s="879" t="s">
        <v>1325</v>
      </c>
      <c r="L3560" s="881" t="s">
        <v>145</v>
      </c>
      <c r="M3560" s="883">
        <v>3379917</v>
      </c>
      <c r="N3560" s="55">
        <v>719</v>
      </c>
      <c r="O3560" s="78"/>
    </row>
    <row r="3561" spans="8:15" ht="15.75" thickBot="1">
      <c r="H3561" s="874"/>
      <c r="I3561" s="876"/>
      <c r="J3561" s="900"/>
      <c r="K3561" s="880"/>
      <c r="L3561" s="882"/>
      <c r="M3561" s="884"/>
      <c r="N3561" s="56">
        <v>721</v>
      </c>
      <c r="O3561" s="351">
        <f>+M3560-O3560</f>
        <v>3379917</v>
      </c>
    </row>
    <row r="3562" spans="8:15">
      <c r="H3562" s="873" t="s">
        <v>1324</v>
      </c>
      <c r="I3562" s="875">
        <v>42735</v>
      </c>
      <c r="J3562" s="900"/>
      <c r="K3562" s="879" t="s">
        <v>1326</v>
      </c>
      <c r="L3562" s="881" t="s">
        <v>145</v>
      </c>
      <c r="M3562" s="883">
        <v>1673382</v>
      </c>
      <c r="N3562" s="55">
        <v>719</v>
      </c>
      <c r="O3562" s="78"/>
    </row>
    <row r="3563" spans="8:15" ht="15.75" thickBot="1">
      <c r="H3563" s="874"/>
      <c r="I3563" s="876"/>
      <c r="J3563" s="878"/>
      <c r="K3563" s="880"/>
      <c r="L3563" s="882"/>
      <c r="M3563" s="884"/>
      <c r="N3563" s="56">
        <v>721</v>
      </c>
      <c r="O3563" s="352">
        <f>+M3562-O3562</f>
        <v>1673382</v>
      </c>
    </row>
    <row r="3564" spans="8:15" ht="16.5">
      <c r="H3564" s="462"/>
      <c r="I3564" s="252"/>
      <c r="J3564" s="253"/>
      <c r="K3564" s="463"/>
      <c r="L3564" s="251"/>
      <c r="M3564" s="254"/>
      <c r="N3564" s="255"/>
      <c r="O3564" s="464"/>
    </row>
    <row r="3565" spans="8:15" ht="16.5">
      <c r="H3565" s="462"/>
      <c r="I3565" s="252"/>
      <c r="J3565" s="253"/>
      <c r="K3565" s="463"/>
      <c r="L3565" s="251"/>
      <c r="M3565" s="254"/>
      <c r="N3565" s="255"/>
      <c r="O3565" s="464"/>
    </row>
    <row r="3566" spans="8:15" ht="16.5">
      <c r="H3566" s="462"/>
      <c r="I3566" s="252"/>
      <c r="J3566" s="253"/>
      <c r="K3566" s="463"/>
      <c r="L3566" s="251"/>
      <c r="M3566" s="254"/>
      <c r="N3566" s="255"/>
      <c r="O3566" s="464"/>
    </row>
    <row r="3567" spans="8:15" ht="16.5">
      <c r="H3567" s="462"/>
      <c r="I3567" s="252"/>
      <c r="J3567" s="253"/>
      <c r="K3567" s="463"/>
      <c r="L3567" s="251"/>
      <c r="M3567" s="254"/>
      <c r="N3567" s="255"/>
      <c r="O3567" s="464"/>
    </row>
    <row r="3568" spans="8:15" ht="16.5">
      <c r="H3568" s="462"/>
      <c r="I3568" s="252"/>
      <c r="J3568" s="253"/>
      <c r="K3568" s="463"/>
      <c r="L3568" s="251"/>
      <c r="M3568" s="254"/>
      <c r="N3568" s="255"/>
      <c r="O3568" s="464"/>
    </row>
    <row r="3569" spans="8:15" ht="16.5">
      <c r="H3569" s="462"/>
      <c r="I3569" s="252"/>
      <c r="J3569" s="253"/>
      <c r="K3569" s="463"/>
      <c r="L3569" s="251"/>
      <c r="M3569" s="254"/>
      <c r="N3569" s="255"/>
      <c r="O3569" s="464"/>
    </row>
    <row r="3570" spans="8:15" ht="16.5">
      <c r="H3570" s="462"/>
      <c r="I3570" s="252"/>
      <c r="J3570" s="253"/>
      <c r="K3570" s="463"/>
      <c r="L3570" s="251"/>
      <c r="M3570" s="254"/>
      <c r="N3570" s="255"/>
      <c r="O3570" s="464"/>
    </row>
    <row r="3571" spans="8:15" ht="16.5">
      <c r="H3571" s="462"/>
      <c r="I3571" s="252"/>
      <c r="J3571" s="253"/>
      <c r="K3571" s="463"/>
      <c r="L3571" s="251"/>
      <c r="M3571" s="254"/>
      <c r="N3571" s="255"/>
      <c r="O3571" s="464"/>
    </row>
    <row r="3572" spans="8:15" ht="16.5">
      <c r="H3572" s="462"/>
      <c r="I3572" s="252"/>
      <c r="J3572" s="253"/>
      <c r="K3572" s="463"/>
      <c r="L3572" s="251"/>
      <c r="M3572" s="254"/>
      <c r="N3572" s="255"/>
      <c r="O3572" s="464"/>
    </row>
    <row r="3573" spans="8:15" ht="16.5">
      <c r="H3573" s="462"/>
      <c r="I3573" s="252"/>
      <c r="J3573" s="253"/>
      <c r="K3573" s="463"/>
      <c r="L3573" s="251"/>
      <c r="M3573" s="254"/>
      <c r="N3573" s="255"/>
      <c r="O3573" s="464"/>
    </row>
    <row r="3574" spans="8:15" ht="16.5">
      <c r="H3574" s="462"/>
      <c r="I3574" s="252"/>
      <c r="J3574" s="253"/>
      <c r="K3574" s="463"/>
      <c r="L3574" s="251"/>
      <c r="M3574" s="254"/>
      <c r="N3574" s="255"/>
      <c r="O3574" s="464"/>
    </row>
    <row r="3575" spans="8:15" ht="17.25" thickBot="1">
      <c r="H3575" s="462"/>
      <c r="I3575" s="252"/>
      <c r="J3575" s="253"/>
      <c r="K3575" s="463"/>
      <c r="L3575" s="251"/>
      <c r="M3575" s="254"/>
      <c r="N3575" s="255"/>
      <c r="O3575" s="464"/>
    </row>
    <row r="3576" spans="8:15" ht="15" customHeight="1">
      <c r="H3576" s="873"/>
      <c r="I3576" s="875"/>
      <c r="J3576" s="877"/>
      <c r="K3576" s="879"/>
      <c r="L3576" s="881"/>
      <c r="M3576" s="883"/>
      <c r="N3576" s="55">
        <v>719</v>
      </c>
      <c r="O3576" s="78"/>
    </row>
    <row r="3577" spans="8:15" ht="15.75" customHeight="1" thickBot="1">
      <c r="H3577" s="874"/>
      <c r="I3577" s="876"/>
      <c r="J3577" s="878"/>
      <c r="K3577" s="880"/>
      <c r="L3577" s="882"/>
      <c r="M3577" s="884"/>
      <c r="N3577" s="56">
        <v>722</v>
      </c>
      <c r="O3577" s="352"/>
    </row>
    <row r="3578" spans="8:15" ht="15" customHeight="1">
      <c r="H3578" s="873"/>
      <c r="I3578" s="875"/>
      <c r="J3578" s="877"/>
      <c r="K3578" s="879"/>
      <c r="L3578" s="881"/>
      <c r="M3578" s="883"/>
      <c r="N3578" s="55">
        <v>719</v>
      </c>
      <c r="O3578" s="78"/>
    </row>
    <row r="3579" spans="8:15" ht="15.75" customHeight="1" thickBot="1">
      <c r="H3579" s="874"/>
      <c r="I3579" s="876"/>
      <c r="J3579" s="878"/>
      <c r="K3579" s="880"/>
      <c r="L3579" s="882"/>
      <c r="M3579" s="884"/>
      <c r="N3579" s="56">
        <v>722</v>
      </c>
      <c r="O3579" s="79">
        <f>+M3578-O3578</f>
        <v>0</v>
      </c>
    </row>
    <row r="3580" spans="8:15" ht="16.5" thickBot="1">
      <c r="H3580" s="901" t="s">
        <v>102</v>
      </c>
      <c r="I3580" s="902"/>
      <c r="J3580" s="902"/>
      <c r="K3580" s="902"/>
      <c r="L3580" s="903"/>
      <c r="M3580" s="81">
        <f>SUM(M3560:M3579)</f>
        <v>5053299</v>
      </c>
    </row>
    <row r="3581" spans="8:15" ht="16.5" thickBot="1">
      <c r="H3581" s="885" t="s">
        <v>103</v>
      </c>
      <c r="I3581" s="886"/>
      <c r="J3581" s="886"/>
      <c r="K3581" s="886"/>
      <c r="L3581" s="887"/>
      <c r="M3581" s="69">
        <f>+M3534</f>
        <v>681152806</v>
      </c>
      <c r="N3581" s="241" t="s">
        <v>561</v>
      </c>
      <c r="O3581" s="242"/>
    </row>
    <row r="3582" spans="8:15" ht="16.5" thickBot="1">
      <c r="H3582" s="888" t="s">
        <v>104</v>
      </c>
      <c r="I3582" s="889"/>
      <c r="J3582" s="889"/>
      <c r="K3582" s="889"/>
      <c r="L3582" s="890"/>
      <c r="M3582" s="183">
        <f>SUM(M3580:M3581)</f>
        <v>686206105</v>
      </c>
    </row>
    <row r="3583" spans="8:15">
      <c r="H3583" s="61"/>
      <c r="I3583" s="61"/>
      <c r="J3583" s="61"/>
      <c r="K3583" s="61"/>
      <c r="L3583" s="61"/>
    </row>
    <row r="3584" spans="8:15">
      <c r="H3584" s="51" t="s">
        <v>1327</v>
      </c>
    </row>
    <row r="3585" spans="8:14">
      <c r="M3585" s="139"/>
    </row>
    <row r="3586" spans="8:14">
      <c r="H3586" s="50" t="s">
        <v>105</v>
      </c>
      <c r="K3586" s="146"/>
      <c r="M3586" s="139"/>
    </row>
    <row r="3587" spans="8:14" ht="15.75" thickBot="1"/>
    <row r="3588" spans="8:14" ht="15.75" thickBot="1">
      <c r="H3588" s="891" t="s">
        <v>106</v>
      </c>
      <c r="I3588" s="892"/>
      <c r="J3588" s="892"/>
      <c r="K3588" s="893"/>
      <c r="M3588" s="50" t="s">
        <v>288</v>
      </c>
    </row>
    <row r="3589" spans="8:14" ht="45.75" thickBot="1">
      <c r="H3589" s="57" t="s">
        <v>100</v>
      </c>
      <c r="I3589" s="58" t="s">
        <v>108</v>
      </c>
      <c r="J3589" s="287" t="s">
        <v>109</v>
      </c>
      <c r="K3589" s="60" t="s">
        <v>110</v>
      </c>
    </row>
    <row r="3590" spans="8:14">
      <c r="H3590" s="71">
        <v>719</v>
      </c>
      <c r="I3590" s="73">
        <f>+O3560+O3562+O3578</f>
        <v>0</v>
      </c>
      <c r="J3590" s="74">
        <f>+K3542</f>
        <v>71720000</v>
      </c>
      <c r="K3590" s="195">
        <f>+I3590+J3590</f>
        <v>71720000</v>
      </c>
    </row>
    <row r="3591" spans="8:14">
      <c r="H3591" s="72">
        <v>721</v>
      </c>
      <c r="I3591" s="80">
        <f>+O3561+O3563</f>
        <v>5053299</v>
      </c>
      <c r="J3591" s="74">
        <f>+K3543</f>
        <v>271189040</v>
      </c>
      <c r="K3591" s="195">
        <f>+I3591+J3591</f>
        <v>276242339</v>
      </c>
    </row>
    <row r="3592" spans="8:14" ht="15.75">
      <c r="H3592" s="72">
        <v>722</v>
      </c>
      <c r="I3592" s="80"/>
      <c r="J3592" s="74">
        <f>+K3544</f>
        <v>6180000</v>
      </c>
      <c r="K3592" s="195">
        <f>+I3592+J3592</f>
        <v>6180000</v>
      </c>
      <c r="M3592" s="193" t="s">
        <v>23</v>
      </c>
    </row>
    <row r="3593" spans="8:14" ht="15.75">
      <c r="H3593" s="72">
        <v>723</v>
      </c>
      <c r="I3593" s="80"/>
      <c r="J3593" s="74">
        <f>+K3545</f>
        <v>331196266</v>
      </c>
      <c r="K3593" s="195">
        <f>+I3593+J3593</f>
        <v>331196266</v>
      </c>
      <c r="M3593" s="193"/>
      <c r="N3593" s="175"/>
    </row>
    <row r="3594" spans="8:14" ht="16.5" thickBot="1">
      <c r="H3594" s="164" t="s">
        <v>1077</v>
      </c>
      <c r="I3594" s="165"/>
      <c r="J3594" s="74">
        <f>+K3546</f>
        <v>797500</v>
      </c>
      <c r="K3594" s="196">
        <f>+I3594+J3594</f>
        <v>797500</v>
      </c>
      <c r="M3594" s="52"/>
    </row>
    <row r="3595" spans="8:14" ht="16.5" thickBot="1">
      <c r="H3595" s="169"/>
      <c r="I3595" s="197">
        <f>SUM(I3590:I3594)</f>
        <v>5053299</v>
      </c>
      <c r="J3595" s="197">
        <f>SUM(J3590:J3594)</f>
        <v>681082806</v>
      </c>
      <c r="K3595" s="198">
        <f>SUM(K3590:K3594)</f>
        <v>686136105</v>
      </c>
    </row>
    <row r="3596" spans="8:14" ht="16.5">
      <c r="H3596" s="49" t="s">
        <v>88</v>
      </c>
      <c r="I3596" s="50"/>
    </row>
    <row r="3597" spans="8:14">
      <c r="H3597" s="51" t="s">
        <v>89</v>
      </c>
    </row>
    <row r="3598" spans="8:14">
      <c r="H3598" s="51" t="s">
        <v>90</v>
      </c>
    </row>
    <row r="3599" spans="8:14">
      <c r="H3599" s="51" t="s">
        <v>91</v>
      </c>
    </row>
    <row r="3600" spans="8:14" ht="10.5" customHeight="1">
      <c r="H3600" s="50"/>
      <c r="I3600" s="50"/>
    </row>
    <row r="3601" spans="8:15" ht="15.75">
      <c r="H3601" s="260" t="s">
        <v>1699</v>
      </c>
      <c r="N3601" s="52"/>
    </row>
    <row r="3602" spans="8:15" ht="15.75">
      <c r="H3602" s="53" t="s">
        <v>1623</v>
      </c>
      <c r="N3602" s="53"/>
    </row>
    <row r="3603" spans="8:15" ht="16.5">
      <c r="H3603" s="894" t="s">
        <v>1700</v>
      </c>
      <c r="I3603" s="894"/>
      <c r="J3603" s="894"/>
      <c r="K3603" s="894"/>
      <c r="L3603" s="894"/>
      <c r="M3603" s="894"/>
      <c r="N3603" s="894"/>
      <c r="O3603" s="894"/>
    </row>
    <row r="3604" spans="8:15" ht="15.75" thickBot="1"/>
    <row r="3605" spans="8:15">
      <c r="H3605" s="895" t="s">
        <v>94</v>
      </c>
      <c r="I3605" s="897" t="s">
        <v>95</v>
      </c>
      <c r="J3605" s="897" t="s">
        <v>96</v>
      </c>
      <c r="K3605" s="897" t="s">
        <v>3</v>
      </c>
      <c r="L3605" s="897" t="s">
        <v>97</v>
      </c>
      <c r="M3605" s="897" t="s">
        <v>98</v>
      </c>
      <c r="N3605" s="897" t="s">
        <v>99</v>
      </c>
      <c r="O3605" s="899"/>
    </row>
    <row r="3606" spans="8:15" ht="15.75" thickBot="1">
      <c r="H3606" s="896"/>
      <c r="I3606" s="898"/>
      <c r="J3606" s="898"/>
      <c r="K3606" s="898"/>
      <c r="L3606" s="898"/>
      <c r="M3606" s="898"/>
      <c r="N3606" s="240" t="s">
        <v>100</v>
      </c>
      <c r="O3606" s="182" t="s">
        <v>101</v>
      </c>
    </row>
    <row r="3607" spans="8:15">
      <c r="H3607" s="873" t="s">
        <v>1698</v>
      </c>
      <c r="I3607" s="875">
        <v>43464</v>
      </c>
      <c r="J3607" s="877" t="s">
        <v>815</v>
      </c>
      <c r="K3607" s="879" t="s">
        <v>1697</v>
      </c>
      <c r="L3607" s="881" t="s">
        <v>115</v>
      </c>
      <c r="M3607" s="883">
        <v>681500</v>
      </c>
      <c r="N3607" s="55">
        <v>719</v>
      </c>
      <c r="O3607" s="78">
        <v>517000</v>
      </c>
    </row>
    <row r="3608" spans="8:15" ht="15.75" thickBot="1">
      <c r="H3608" s="874"/>
      <c r="I3608" s="876"/>
      <c r="J3608" s="900"/>
      <c r="K3608" s="880"/>
      <c r="L3608" s="882"/>
      <c r="M3608" s="884"/>
      <c r="N3608" s="56">
        <v>721</v>
      </c>
      <c r="O3608" s="351">
        <f>+M3607-O3607</f>
        <v>164500</v>
      </c>
    </row>
    <row r="3609" spans="8:15" ht="15" customHeight="1">
      <c r="H3609" s="873"/>
      <c r="I3609" s="875"/>
      <c r="J3609" s="877"/>
      <c r="K3609" s="879"/>
      <c r="L3609" s="881"/>
      <c r="M3609" s="883"/>
      <c r="N3609" s="55">
        <v>719</v>
      </c>
      <c r="O3609" s="78"/>
    </row>
    <row r="3610" spans="8:15" ht="15.75" customHeight="1" thickBot="1">
      <c r="H3610" s="874"/>
      <c r="I3610" s="876"/>
      <c r="J3610" s="878"/>
      <c r="K3610" s="880"/>
      <c r="L3610" s="882"/>
      <c r="M3610" s="884"/>
      <c r="N3610" s="56">
        <v>722</v>
      </c>
      <c r="O3610" s="352">
        <f>+M3609-O3609</f>
        <v>0</v>
      </c>
    </row>
    <row r="3611" spans="8:15">
      <c r="H3611" s="873"/>
      <c r="I3611" s="875"/>
      <c r="J3611" s="877"/>
      <c r="K3611" s="879"/>
      <c r="L3611" s="881"/>
      <c r="M3611" s="883"/>
      <c r="N3611" s="55">
        <v>719</v>
      </c>
      <c r="O3611" s="78"/>
    </row>
    <row r="3612" spans="8:15" ht="15.75" thickBot="1">
      <c r="H3612" s="874"/>
      <c r="I3612" s="876"/>
      <c r="J3612" s="878"/>
      <c r="K3612" s="880"/>
      <c r="L3612" s="882"/>
      <c r="M3612" s="884"/>
      <c r="N3612" s="56">
        <v>722</v>
      </c>
      <c r="O3612" s="79">
        <f>+M3611-O3611</f>
        <v>0</v>
      </c>
    </row>
    <row r="3613" spans="8:15" ht="16.5" thickBot="1">
      <c r="H3613" s="901" t="s">
        <v>102</v>
      </c>
      <c r="I3613" s="902"/>
      <c r="J3613" s="902"/>
      <c r="K3613" s="902"/>
      <c r="L3613" s="903"/>
      <c r="M3613" s="81">
        <f>SUM(M3607:M3612)</f>
        <v>681500</v>
      </c>
    </row>
    <row r="3614" spans="8:15" ht="16.5" thickBot="1">
      <c r="H3614" s="885" t="s">
        <v>103</v>
      </c>
      <c r="I3614" s="886"/>
      <c r="J3614" s="886"/>
      <c r="K3614" s="886"/>
      <c r="L3614" s="887"/>
      <c r="M3614" s="69">
        <v>514609750</v>
      </c>
      <c r="N3614" s="241" t="s">
        <v>561</v>
      </c>
      <c r="O3614" s="242">
        <v>904</v>
      </c>
    </row>
    <row r="3615" spans="8:15" ht="16.5" thickBot="1">
      <c r="H3615" s="888" t="s">
        <v>104</v>
      </c>
      <c r="I3615" s="889"/>
      <c r="J3615" s="889"/>
      <c r="K3615" s="889"/>
      <c r="L3615" s="890"/>
      <c r="M3615" s="183">
        <f>SUM(M3613:M3614)</f>
        <v>515291250</v>
      </c>
    </row>
    <row r="3616" spans="8:15">
      <c r="H3616" s="61"/>
      <c r="I3616" s="61"/>
      <c r="J3616" s="61"/>
      <c r="K3616" s="61"/>
      <c r="L3616" s="61"/>
    </row>
    <row r="3617" spans="8:17">
      <c r="H3617" s="51" t="s">
        <v>1701</v>
      </c>
    </row>
    <row r="3618" spans="8:17" ht="9.75" customHeight="1">
      <c r="M3618" s="139"/>
    </row>
    <row r="3619" spans="8:17">
      <c r="H3619" s="50" t="s">
        <v>105</v>
      </c>
      <c r="K3619" s="146"/>
      <c r="M3619" s="139"/>
    </row>
    <row r="3620" spans="8:17" ht="11.25" customHeight="1" thickBot="1"/>
    <row r="3621" spans="8:17" ht="15.75" thickBot="1">
      <c r="H3621" s="891" t="s">
        <v>106</v>
      </c>
      <c r="I3621" s="892"/>
      <c r="J3621" s="892"/>
      <c r="K3621" s="893"/>
      <c r="M3621" s="50" t="s">
        <v>288</v>
      </c>
    </row>
    <row r="3622" spans="8:17" ht="45.75" thickBot="1">
      <c r="H3622" s="57" t="s">
        <v>100</v>
      </c>
      <c r="I3622" s="58" t="s">
        <v>108</v>
      </c>
      <c r="J3622" s="287" t="s">
        <v>109</v>
      </c>
      <c r="K3622" s="60" t="s">
        <v>110</v>
      </c>
    </row>
    <row r="3623" spans="8:17">
      <c r="H3623" s="71">
        <v>719</v>
      </c>
      <c r="I3623" s="73">
        <f>+O3607+O3609+O3611</f>
        <v>517000</v>
      </c>
      <c r="J3623" s="74">
        <v>27970000</v>
      </c>
      <c r="K3623" s="195">
        <f>+I3623+J3623</f>
        <v>28487000</v>
      </c>
    </row>
    <row r="3624" spans="8:17">
      <c r="H3624" s="72">
        <v>721</v>
      </c>
      <c r="I3624" s="80">
        <f>+O3608</f>
        <v>164500</v>
      </c>
      <c r="J3624" s="74">
        <v>90116743</v>
      </c>
      <c r="K3624" s="195">
        <f>+I3624+J3624</f>
        <v>90281243</v>
      </c>
    </row>
    <row r="3625" spans="8:17" ht="15.75">
      <c r="H3625" s="72">
        <v>722</v>
      </c>
      <c r="I3625" s="80">
        <f>+O3610</f>
        <v>0</v>
      </c>
      <c r="J3625" s="74">
        <v>30732180</v>
      </c>
      <c r="K3625" s="195">
        <f>+I3625+J3625</f>
        <v>30732180</v>
      </c>
      <c r="M3625" s="872" t="s">
        <v>1696</v>
      </c>
      <c r="N3625" s="872"/>
    </row>
    <row r="3626" spans="8:17" ht="16.5" thickBot="1">
      <c r="H3626" s="72">
        <v>723</v>
      </c>
      <c r="I3626" s="80"/>
      <c r="J3626" s="74">
        <v>365790827</v>
      </c>
      <c r="K3626" s="195">
        <f>+I3626+J3626</f>
        <v>365790827</v>
      </c>
      <c r="M3626" s="193"/>
      <c r="N3626" s="175"/>
    </row>
    <row r="3627" spans="8:17" ht="16.5" hidden="1" thickBot="1">
      <c r="H3627" s="164" t="s">
        <v>1077</v>
      </c>
      <c r="I3627" s="165"/>
      <c r="J3627" s="74"/>
      <c r="K3627" s="196">
        <f>+I3627+J3627</f>
        <v>0</v>
      </c>
      <c r="M3627" s="52"/>
    </row>
    <row r="3628" spans="8:17" ht="16.5" thickBot="1">
      <c r="H3628" s="169"/>
      <c r="I3628" s="197">
        <f>SUM(I3623:I3627)</f>
        <v>681500</v>
      </c>
      <c r="J3628" s="197">
        <f>SUM(J3623:J3627)</f>
        <v>514609750</v>
      </c>
      <c r="K3628" s="198">
        <f>SUM(K3623:K3627)</f>
        <v>515291250</v>
      </c>
    </row>
    <row r="3629" spans="8:17">
      <c r="Q3629" s="139">
        <f>+J3623+J3624+J3625+J3626</f>
        <v>514609750</v>
      </c>
    </row>
  </sheetData>
  <mergeCells count="5649">
    <mergeCell ref="H548:H549"/>
    <mergeCell ref="I548:I549"/>
    <mergeCell ref="J548:J549"/>
    <mergeCell ref="K548:K549"/>
    <mergeCell ref="L548:L549"/>
    <mergeCell ref="M548:M549"/>
    <mergeCell ref="K472:K473"/>
    <mergeCell ref="L472:L473"/>
    <mergeCell ref="M472:M473"/>
    <mergeCell ref="F12:F13"/>
    <mergeCell ref="H12:H13"/>
    <mergeCell ref="I12:I13"/>
    <mergeCell ref="J12:J13"/>
    <mergeCell ref="K12:K13"/>
    <mergeCell ref="L12:L13"/>
    <mergeCell ref="J10:J11"/>
    <mergeCell ref="K10:K11"/>
    <mergeCell ref="L10:L11"/>
    <mergeCell ref="A45:G45"/>
    <mergeCell ref="H45:O45"/>
    <mergeCell ref="A47:A48"/>
    <mergeCell ref="B47:B48"/>
    <mergeCell ref="C47:C48"/>
    <mergeCell ref="D47:D48"/>
    <mergeCell ref="E47:E48"/>
    <mergeCell ref="H51:H52"/>
    <mergeCell ref="I51:I52"/>
    <mergeCell ref="J51:J52"/>
    <mergeCell ref="K51:K52"/>
    <mergeCell ref="L51:L52"/>
    <mergeCell ref="M51:M52"/>
    <mergeCell ref="B12:B13"/>
    <mergeCell ref="C12:C13"/>
    <mergeCell ref="D12:D13"/>
    <mergeCell ref="E12:E13"/>
    <mergeCell ref="M16:M17"/>
    <mergeCell ref="A14:A15"/>
    <mergeCell ref="B14:B15"/>
    <mergeCell ref="C14:C15"/>
    <mergeCell ref="D14:D15"/>
    <mergeCell ref="E14:E15"/>
    <mergeCell ref="F14:F15"/>
    <mergeCell ref="H14:H15"/>
    <mergeCell ref="I14:I15"/>
    <mergeCell ref="J14:J15"/>
    <mergeCell ref="A22:E22"/>
    <mergeCell ref="H22:L22"/>
    <mergeCell ref="K16:K17"/>
    <mergeCell ref="L16:L17"/>
    <mergeCell ref="H20:H21"/>
    <mergeCell ref="I20:I21"/>
    <mergeCell ref="J20:J21"/>
    <mergeCell ref="K20:K21"/>
    <mergeCell ref="L20:L21"/>
    <mergeCell ref="M20:M21"/>
    <mergeCell ref="A20:A21"/>
    <mergeCell ref="B20:B21"/>
    <mergeCell ref="C20:C21"/>
    <mergeCell ref="D20:D21"/>
    <mergeCell ref="E20:E21"/>
    <mergeCell ref="F20:F21"/>
    <mergeCell ref="A8:G8"/>
    <mergeCell ref="H8:O8"/>
    <mergeCell ref="A10:A11"/>
    <mergeCell ref="B10:B11"/>
    <mergeCell ref="C10:C11"/>
    <mergeCell ref="D10:D11"/>
    <mergeCell ref="E10:E11"/>
    <mergeCell ref="F10:F11"/>
    <mergeCell ref="H10:H11"/>
    <mergeCell ref="I10:I11"/>
    <mergeCell ref="M12:M13"/>
    <mergeCell ref="M10:M11"/>
    <mergeCell ref="H18:H19"/>
    <mergeCell ref="I18:I19"/>
    <mergeCell ref="J18:J19"/>
    <mergeCell ref="K18:K19"/>
    <mergeCell ref="L18:L19"/>
    <mergeCell ref="M18:M19"/>
    <mergeCell ref="A18:A19"/>
    <mergeCell ref="B18:B19"/>
    <mergeCell ref="C18:C19"/>
    <mergeCell ref="D18:D19"/>
    <mergeCell ref="E18:E19"/>
    <mergeCell ref="F18:F19"/>
    <mergeCell ref="K14:K15"/>
    <mergeCell ref="L14:L15"/>
    <mergeCell ref="M14:M15"/>
    <mergeCell ref="H16:H17"/>
    <mergeCell ref="I16:I17"/>
    <mergeCell ref="J16:J17"/>
    <mergeCell ref="N10:O10"/>
    <mergeCell ref="A12:A13"/>
    <mergeCell ref="N47:O47"/>
    <mergeCell ref="A49:A50"/>
    <mergeCell ref="B49:B50"/>
    <mergeCell ref="C49:C50"/>
    <mergeCell ref="D49:D50"/>
    <mergeCell ref="E49:E50"/>
    <mergeCell ref="F49:F50"/>
    <mergeCell ref="H49:H50"/>
    <mergeCell ref="I49:I50"/>
    <mergeCell ref="F47:F48"/>
    <mergeCell ref="H47:H48"/>
    <mergeCell ref="I47:I48"/>
    <mergeCell ref="J47:J48"/>
    <mergeCell ref="K47:K48"/>
    <mergeCell ref="L47:L48"/>
    <mergeCell ref="A30:D30"/>
    <mergeCell ref="H30:K30"/>
    <mergeCell ref="M35:O35"/>
    <mergeCell ref="K49:K50"/>
    <mergeCell ref="L49:L50"/>
    <mergeCell ref="M49:M50"/>
    <mergeCell ref="J49:J50"/>
    <mergeCell ref="A23:E23"/>
    <mergeCell ref="H23:L23"/>
    <mergeCell ref="A24:E24"/>
    <mergeCell ref="H24:L24"/>
    <mergeCell ref="A51:A52"/>
    <mergeCell ref="B51:B52"/>
    <mergeCell ref="C51:C52"/>
    <mergeCell ref="D51:D52"/>
    <mergeCell ref="E51:E52"/>
    <mergeCell ref="F51:F52"/>
    <mergeCell ref="M47:M48"/>
    <mergeCell ref="H55:H56"/>
    <mergeCell ref="I55:I56"/>
    <mergeCell ref="J55:J56"/>
    <mergeCell ref="K55:K56"/>
    <mergeCell ref="L55:L56"/>
    <mergeCell ref="M55:M56"/>
    <mergeCell ref="A55:A56"/>
    <mergeCell ref="B55:B56"/>
    <mergeCell ref="C55:C56"/>
    <mergeCell ref="D55:D56"/>
    <mergeCell ref="E55:E56"/>
    <mergeCell ref="F55:F56"/>
    <mergeCell ref="H53:H54"/>
    <mergeCell ref="I53:I54"/>
    <mergeCell ref="J53:J54"/>
    <mergeCell ref="K53:K54"/>
    <mergeCell ref="L53:L54"/>
    <mergeCell ref="M53:M54"/>
    <mergeCell ref="A67:D67"/>
    <mergeCell ref="H67:K67"/>
    <mergeCell ref="M72:O72"/>
    <mergeCell ref="A82:G82"/>
    <mergeCell ref="H82:O82"/>
    <mergeCell ref="A84:A85"/>
    <mergeCell ref="B84:B85"/>
    <mergeCell ref="C84:C85"/>
    <mergeCell ref="D84:D85"/>
    <mergeCell ref="E84:E85"/>
    <mergeCell ref="A59:E59"/>
    <mergeCell ref="H59:L59"/>
    <mergeCell ref="A60:E60"/>
    <mergeCell ref="H60:L60"/>
    <mergeCell ref="A61:E61"/>
    <mergeCell ref="H61:L61"/>
    <mergeCell ref="H57:H58"/>
    <mergeCell ref="I57:I58"/>
    <mergeCell ref="J57:J58"/>
    <mergeCell ref="K57:K58"/>
    <mergeCell ref="L57:L58"/>
    <mergeCell ref="M57:M58"/>
    <mergeCell ref="A57:A58"/>
    <mergeCell ref="B57:B58"/>
    <mergeCell ref="C57:C58"/>
    <mergeCell ref="D57:D58"/>
    <mergeCell ref="E57:E58"/>
    <mergeCell ref="F57:F58"/>
    <mergeCell ref="J86:J87"/>
    <mergeCell ref="K86:K87"/>
    <mergeCell ref="L86:L87"/>
    <mergeCell ref="M86:M87"/>
    <mergeCell ref="A88:A89"/>
    <mergeCell ref="B88:B89"/>
    <mergeCell ref="C88:C89"/>
    <mergeCell ref="D88:D89"/>
    <mergeCell ref="E88:E89"/>
    <mergeCell ref="F88:F89"/>
    <mergeCell ref="M84:M85"/>
    <mergeCell ref="N84:O84"/>
    <mergeCell ref="A86:A87"/>
    <mergeCell ref="B86:B87"/>
    <mergeCell ref="C86:C87"/>
    <mergeCell ref="D86:D87"/>
    <mergeCell ref="E86:E87"/>
    <mergeCell ref="F86:F87"/>
    <mergeCell ref="H86:H87"/>
    <mergeCell ref="I86:I87"/>
    <mergeCell ref="F84:F85"/>
    <mergeCell ref="H84:H85"/>
    <mergeCell ref="I84:I85"/>
    <mergeCell ref="J84:J85"/>
    <mergeCell ref="K84:K85"/>
    <mergeCell ref="L84:L85"/>
    <mergeCell ref="H90:H91"/>
    <mergeCell ref="I90:I91"/>
    <mergeCell ref="K90:K91"/>
    <mergeCell ref="L90:L91"/>
    <mergeCell ref="M90:M91"/>
    <mergeCell ref="A90:A91"/>
    <mergeCell ref="B90:B91"/>
    <mergeCell ref="C90:C91"/>
    <mergeCell ref="D90:D91"/>
    <mergeCell ref="E90:E91"/>
    <mergeCell ref="F90:F91"/>
    <mergeCell ref="H88:H89"/>
    <mergeCell ref="I88:I89"/>
    <mergeCell ref="J88:J89"/>
    <mergeCell ref="K88:K89"/>
    <mergeCell ref="L88:L89"/>
    <mergeCell ref="M88:M89"/>
    <mergeCell ref="J90:J91"/>
    <mergeCell ref="H94:H95"/>
    <mergeCell ref="I94:I95"/>
    <mergeCell ref="J94:J95"/>
    <mergeCell ref="K94:K95"/>
    <mergeCell ref="L94:L95"/>
    <mergeCell ref="M94:M95"/>
    <mergeCell ref="A94:A95"/>
    <mergeCell ref="B94:B95"/>
    <mergeCell ref="C94:C95"/>
    <mergeCell ref="D94:D95"/>
    <mergeCell ref="E94:E95"/>
    <mergeCell ref="F94:F95"/>
    <mergeCell ref="H92:H93"/>
    <mergeCell ref="I92:I93"/>
    <mergeCell ref="J92:J93"/>
    <mergeCell ref="K92:K93"/>
    <mergeCell ref="L92:L93"/>
    <mergeCell ref="M92:M93"/>
    <mergeCell ref="B121:B122"/>
    <mergeCell ref="C121:C122"/>
    <mergeCell ref="D121:D122"/>
    <mergeCell ref="E121:E122"/>
    <mergeCell ref="F121:F122"/>
    <mergeCell ref="A104:D104"/>
    <mergeCell ref="H104:K104"/>
    <mergeCell ref="M104:O104"/>
    <mergeCell ref="M109:O109"/>
    <mergeCell ref="A119:G119"/>
    <mergeCell ref="H119:O119"/>
    <mergeCell ref="A96:E96"/>
    <mergeCell ref="H96:L96"/>
    <mergeCell ref="A97:E97"/>
    <mergeCell ref="H97:L97"/>
    <mergeCell ref="A98:E98"/>
    <mergeCell ref="H98:L98"/>
    <mergeCell ref="A127:A128"/>
    <mergeCell ref="B127:B128"/>
    <mergeCell ref="C127:C128"/>
    <mergeCell ref="D127:D128"/>
    <mergeCell ref="E127:E128"/>
    <mergeCell ref="K123:K124"/>
    <mergeCell ref="L123:L124"/>
    <mergeCell ref="M123:M124"/>
    <mergeCell ref="A125:A126"/>
    <mergeCell ref="B125:B126"/>
    <mergeCell ref="C125:C126"/>
    <mergeCell ref="D125:D126"/>
    <mergeCell ref="E125:E126"/>
    <mergeCell ref="F125:F126"/>
    <mergeCell ref="H125:H126"/>
    <mergeCell ref="N121:O121"/>
    <mergeCell ref="A123:A124"/>
    <mergeCell ref="B123:B124"/>
    <mergeCell ref="C123:C124"/>
    <mergeCell ref="D123:D124"/>
    <mergeCell ref="E123:E124"/>
    <mergeCell ref="F123:F124"/>
    <mergeCell ref="H123:H124"/>
    <mergeCell ref="I123:I124"/>
    <mergeCell ref="J123:J124"/>
    <mergeCell ref="H121:H122"/>
    <mergeCell ref="I121:I122"/>
    <mergeCell ref="J121:J122"/>
    <mergeCell ref="K121:K122"/>
    <mergeCell ref="L121:L122"/>
    <mergeCell ref="M121:M122"/>
    <mergeCell ref="A121:A122"/>
    <mergeCell ref="M127:M128"/>
    <mergeCell ref="H129:H130"/>
    <mergeCell ref="I129:I130"/>
    <mergeCell ref="J129:J130"/>
    <mergeCell ref="K129:K130"/>
    <mergeCell ref="L129:L130"/>
    <mergeCell ref="M129:M130"/>
    <mergeCell ref="F127:F128"/>
    <mergeCell ref="H127:H128"/>
    <mergeCell ref="I127:I128"/>
    <mergeCell ref="J127:J128"/>
    <mergeCell ref="K127:K128"/>
    <mergeCell ref="L127:L128"/>
    <mergeCell ref="I125:I126"/>
    <mergeCell ref="J125:J126"/>
    <mergeCell ref="K125:K126"/>
    <mergeCell ref="L125:L126"/>
    <mergeCell ref="M125:M126"/>
    <mergeCell ref="A141:D141"/>
    <mergeCell ref="H141:K141"/>
    <mergeCell ref="M141:O141"/>
    <mergeCell ref="M146:O146"/>
    <mergeCell ref="A156:G156"/>
    <mergeCell ref="H156:O156"/>
    <mergeCell ref="A133:E133"/>
    <mergeCell ref="H133:L133"/>
    <mergeCell ref="A134:E134"/>
    <mergeCell ref="H134:L134"/>
    <mergeCell ref="A135:E135"/>
    <mergeCell ref="H135:L135"/>
    <mergeCell ref="H131:H132"/>
    <mergeCell ref="I131:I132"/>
    <mergeCell ref="J131:J132"/>
    <mergeCell ref="K131:K132"/>
    <mergeCell ref="L131:L132"/>
    <mergeCell ref="M131:M132"/>
    <mergeCell ref="A131:A132"/>
    <mergeCell ref="B131:B132"/>
    <mergeCell ref="C131:C132"/>
    <mergeCell ref="D131:D132"/>
    <mergeCell ref="E131:E132"/>
    <mergeCell ref="F131:F132"/>
    <mergeCell ref="K160:K161"/>
    <mergeCell ref="L160:L161"/>
    <mergeCell ref="M160:M161"/>
    <mergeCell ref="H162:H163"/>
    <mergeCell ref="I162:I163"/>
    <mergeCell ref="J162:J163"/>
    <mergeCell ref="K162:K163"/>
    <mergeCell ref="L162:L163"/>
    <mergeCell ref="M162:M163"/>
    <mergeCell ref="N158:O158"/>
    <mergeCell ref="A160:A161"/>
    <mergeCell ref="B160:B161"/>
    <mergeCell ref="C160:C161"/>
    <mergeCell ref="D160:D161"/>
    <mergeCell ref="E160:E161"/>
    <mergeCell ref="F160:F161"/>
    <mergeCell ref="H160:H161"/>
    <mergeCell ref="I160:I161"/>
    <mergeCell ref="J160:J161"/>
    <mergeCell ref="H158:H159"/>
    <mergeCell ref="I158:I159"/>
    <mergeCell ref="J158:J159"/>
    <mergeCell ref="K158:K159"/>
    <mergeCell ref="L158:L159"/>
    <mergeCell ref="M158:M159"/>
    <mergeCell ref="A158:A159"/>
    <mergeCell ref="B158:B159"/>
    <mergeCell ref="C158:C159"/>
    <mergeCell ref="D158:D159"/>
    <mergeCell ref="E158:E159"/>
    <mergeCell ref="F158:F159"/>
    <mergeCell ref="H166:H167"/>
    <mergeCell ref="I166:I167"/>
    <mergeCell ref="J166:J167"/>
    <mergeCell ref="K166:K167"/>
    <mergeCell ref="L166:L167"/>
    <mergeCell ref="M166:M167"/>
    <mergeCell ref="H164:H165"/>
    <mergeCell ref="I164:I165"/>
    <mergeCell ref="J164:J165"/>
    <mergeCell ref="K164:K165"/>
    <mergeCell ref="L164:L165"/>
    <mergeCell ref="M164:M165"/>
    <mergeCell ref="A164:A165"/>
    <mergeCell ref="B164:B165"/>
    <mergeCell ref="C164:C165"/>
    <mergeCell ref="D164:D165"/>
    <mergeCell ref="E164:E165"/>
    <mergeCell ref="F164:F165"/>
    <mergeCell ref="A178:D178"/>
    <mergeCell ref="H178:K178"/>
    <mergeCell ref="M178:O178"/>
    <mergeCell ref="M182:O182"/>
    <mergeCell ref="A193:G193"/>
    <mergeCell ref="H193:O193"/>
    <mergeCell ref="A170:E170"/>
    <mergeCell ref="H170:L170"/>
    <mergeCell ref="A171:E171"/>
    <mergeCell ref="H171:L171"/>
    <mergeCell ref="A172:E172"/>
    <mergeCell ref="H172:L172"/>
    <mergeCell ref="H168:H169"/>
    <mergeCell ref="I168:I169"/>
    <mergeCell ref="J168:J169"/>
    <mergeCell ref="K168:K169"/>
    <mergeCell ref="L168:L169"/>
    <mergeCell ref="M168:M169"/>
    <mergeCell ref="A168:A169"/>
    <mergeCell ref="B168:B169"/>
    <mergeCell ref="C168:C169"/>
    <mergeCell ref="D168:D169"/>
    <mergeCell ref="E168:E169"/>
    <mergeCell ref="F168:F169"/>
    <mergeCell ref="N195:O195"/>
    <mergeCell ref="A197:A198"/>
    <mergeCell ref="B197:B198"/>
    <mergeCell ref="C197:C198"/>
    <mergeCell ref="D197:D198"/>
    <mergeCell ref="E197:E198"/>
    <mergeCell ref="F197:F198"/>
    <mergeCell ref="H197:H198"/>
    <mergeCell ref="I197:I198"/>
    <mergeCell ref="J197:J198"/>
    <mergeCell ref="H195:H196"/>
    <mergeCell ref="I195:I196"/>
    <mergeCell ref="J195:J196"/>
    <mergeCell ref="K195:K196"/>
    <mergeCell ref="L195:L196"/>
    <mergeCell ref="M195:M196"/>
    <mergeCell ref="A195:A196"/>
    <mergeCell ref="B195:B196"/>
    <mergeCell ref="C195:C196"/>
    <mergeCell ref="D195:D196"/>
    <mergeCell ref="E195:E196"/>
    <mergeCell ref="F195:F196"/>
    <mergeCell ref="I199:I200"/>
    <mergeCell ref="J199:J200"/>
    <mergeCell ref="K199:K200"/>
    <mergeCell ref="L199:L200"/>
    <mergeCell ref="M199:M200"/>
    <mergeCell ref="A201:A202"/>
    <mergeCell ref="B201:B202"/>
    <mergeCell ref="C201:C202"/>
    <mergeCell ref="D201:D202"/>
    <mergeCell ref="E201:E202"/>
    <mergeCell ref="K197:K198"/>
    <mergeCell ref="L197:L198"/>
    <mergeCell ref="M197:M198"/>
    <mergeCell ref="A199:A200"/>
    <mergeCell ref="B199:B200"/>
    <mergeCell ref="C199:C200"/>
    <mergeCell ref="D199:D200"/>
    <mergeCell ref="E199:E200"/>
    <mergeCell ref="F199:F200"/>
    <mergeCell ref="H199:H200"/>
    <mergeCell ref="J203:J204"/>
    <mergeCell ref="K203:K204"/>
    <mergeCell ref="L203:L204"/>
    <mergeCell ref="M203:M204"/>
    <mergeCell ref="A207:A208"/>
    <mergeCell ref="B207:B208"/>
    <mergeCell ref="C207:C208"/>
    <mergeCell ref="D207:D208"/>
    <mergeCell ref="E207:E208"/>
    <mergeCell ref="F207:F208"/>
    <mergeCell ref="M201:M202"/>
    <mergeCell ref="Q202:Q203"/>
    <mergeCell ref="A203:A204"/>
    <mergeCell ref="B203:B204"/>
    <mergeCell ref="C203:C204"/>
    <mergeCell ref="D203:D204"/>
    <mergeCell ref="E203:E204"/>
    <mergeCell ref="F203:F204"/>
    <mergeCell ref="H203:H204"/>
    <mergeCell ref="I203:I204"/>
    <mergeCell ref="F201:F202"/>
    <mergeCell ref="H201:H202"/>
    <mergeCell ref="I201:I202"/>
    <mergeCell ref="J201:J202"/>
    <mergeCell ref="K201:K202"/>
    <mergeCell ref="L201:L202"/>
    <mergeCell ref="H205:H206"/>
    <mergeCell ref="I205:I206"/>
    <mergeCell ref="J205:J206"/>
    <mergeCell ref="K205:K206"/>
    <mergeCell ref="L205:L206"/>
    <mergeCell ref="M205:M206"/>
    <mergeCell ref="A217:D217"/>
    <mergeCell ref="H217:K217"/>
    <mergeCell ref="M217:O217"/>
    <mergeCell ref="M222:O222"/>
    <mergeCell ref="A232:G232"/>
    <mergeCell ref="H232:O232"/>
    <mergeCell ref="A209:E209"/>
    <mergeCell ref="H209:L209"/>
    <mergeCell ref="A210:E210"/>
    <mergeCell ref="H210:L210"/>
    <mergeCell ref="A211:E211"/>
    <mergeCell ref="H211:L211"/>
    <mergeCell ref="H207:H208"/>
    <mergeCell ref="I207:I208"/>
    <mergeCell ref="J207:J208"/>
    <mergeCell ref="K207:K208"/>
    <mergeCell ref="L207:L208"/>
    <mergeCell ref="M207:M208"/>
    <mergeCell ref="N234:O234"/>
    <mergeCell ref="A236:A237"/>
    <mergeCell ref="B236:B237"/>
    <mergeCell ref="C236:C237"/>
    <mergeCell ref="D236:D237"/>
    <mergeCell ref="E236:E237"/>
    <mergeCell ref="F236:F237"/>
    <mergeCell ref="H236:H237"/>
    <mergeCell ref="I236:I237"/>
    <mergeCell ref="J236:J237"/>
    <mergeCell ref="H234:H235"/>
    <mergeCell ref="I234:I235"/>
    <mergeCell ref="J234:J235"/>
    <mergeCell ref="K234:K235"/>
    <mergeCell ref="L234:L235"/>
    <mergeCell ref="M234:M235"/>
    <mergeCell ref="A234:A235"/>
    <mergeCell ref="B234:B235"/>
    <mergeCell ref="C234:C235"/>
    <mergeCell ref="D234:D235"/>
    <mergeCell ref="E234:E235"/>
    <mergeCell ref="F234:F235"/>
    <mergeCell ref="I238:I239"/>
    <mergeCell ref="J238:J239"/>
    <mergeCell ref="K238:K239"/>
    <mergeCell ref="L238:L239"/>
    <mergeCell ref="M238:M239"/>
    <mergeCell ref="A240:A241"/>
    <mergeCell ref="B240:B241"/>
    <mergeCell ref="C240:C241"/>
    <mergeCell ref="D240:D241"/>
    <mergeCell ref="E240:E241"/>
    <mergeCell ref="K236:K237"/>
    <mergeCell ref="L236:L237"/>
    <mergeCell ref="M236:M237"/>
    <mergeCell ref="A238:A239"/>
    <mergeCell ref="B238:B239"/>
    <mergeCell ref="C238:C239"/>
    <mergeCell ref="D238:D239"/>
    <mergeCell ref="E238:E239"/>
    <mergeCell ref="F238:F239"/>
    <mergeCell ref="H238:H239"/>
    <mergeCell ref="H244:H245"/>
    <mergeCell ref="I244:I245"/>
    <mergeCell ref="J244:J245"/>
    <mergeCell ref="K244:K245"/>
    <mergeCell ref="L244:L245"/>
    <mergeCell ref="M244:M245"/>
    <mergeCell ref="A244:A245"/>
    <mergeCell ref="B244:B245"/>
    <mergeCell ref="C244:C245"/>
    <mergeCell ref="D244:D245"/>
    <mergeCell ref="E244:E245"/>
    <mergeCell ref="F244:F245"/>
    <mergeCell ref="M240:M241"/>
    <mergeCell ref="H242:H243"/>
    <mergeCell ref="I242:I243"/>
    <mergeCell ref="J242:J243"/>
    <mergeCell ref="K242:K243"/>
    <mergeCell ref="L242:L243"/>
    <mergeCell ref="M242:M243"/>
    <mergeCell ref="F240:F241"/>
    <mergeCell ref="H240:H241"/>
    <mergeCell ref="I240:I241"/>
    <mergeCell ref="J240:J241"/>
    <mergeCell ref="K240:K241"/>
    <mergeCell ref="L240:L241"/>
    <mergeCell ref="A256:D256"/>
    <mergeCell ref="H256:K256"/>
    <mergeCell ref="M256:O256"/>
    <mergeCell ref="M261:O261"/>
    <mergeCell ref="A271:G271"/>
    <mergeCell ref="H271:O271"/>
    <mergeCell ref="A248:E248"/>
    <mergeCell ref="H248:L248"/>
    <mergeCell ref="A249:E249"/>
    <mergeCell ref="H249:L249"/>
    <mergeCell ref="A250:E250"/>
    <mergeCell ref="H250:L250"/>
    <mergeCell ref="H246:H247"/>
    <mergeCell ref="I246:I247"/>
    <mergeCell ref="J246:J247"/>
    <mergeCell ref="K246:K247"/>
    <mergeCell ref="L246:L247"/>
    <mergeCell ref="M246:M247"/>
    <mergeCell ref="A246:A247"/>
    <mergeCell ref="B246:B247"/>
    <mergeCell ref="C246:C247"/>
    <mergeCell ref="D246:D247"/>
    <mergeCell ref="E246:E247"/>
    <mergeCell ref="F246:F247"/>
    <mergeCell ref="N273:O273"/>
    <mergeCell ref="A275:A276"/>
    <mergeCell ref="B275:B276"/>
    <mergeCell ref="C275:C276"/>
    <mergeCell ref="D275:D276"/>
    <mergeCell ref="E275:E276"/>
    <mergeCell ref="F275:F276"/>
    <mergeCell ref="H275:H276"/>
    <mergeCell ref="I275:I276"/>
    <mergeCell ref="J275:J276"/>
    <mergeCell ref="H273:H274"/>
    <mergeCell ref="I273:I274"/>
    <mergeCell ref="J273:J274"/>
    <mergeCell ref="K273:K274"/>
    <mergeCell ref="L273:L274"/>
    <mergeCell ref="M273:M274"/>
    <mergeCell ref="A273:A274"/>
    <mergeCell ref="B273:B274"/>
    <mergeCell ref="C273:C274"/>
    <mergeCell ref="D273:D274"/>
    <mergeCell ref="E273:E274"/>
    <mergeCell ref="F273:F274"/>
    <mergeCell ref="I277:I278"/>
    <mergeCell ref="J277:J278"/>
    <mergeCell ref="K277:K278"/>
    <mergeCell ref="L277:L278"/>
    <mergeCell ref="M277:M278"/>
    <mergeCell ref="A279:A280"/>
    <mergeCell ref="B279:B280"/>
    <mergeCell ref="C279:C280"/>
    <mergeCell ref="D279:D280"/>
    <mergeCell ref="E279:E280"/>
    <mergeCell ref="K275:K276"/>
    <mergeCell ref="L275:L276"/>
    <mergeCell ref="M275:M276"/>
    <mergeCell ref="A277:A278"/>
    <mergeCell ref="B277:B278"/>
    <mergeCell ref="C277:C278"/>
    <mergeCell ref="D277:D278"/>
    <mergeCell ref="E277:E278"/>
    <mergeCell ref="F277:F278"/>
    <mergeCell ref="H277:H278"/>
    <mergeCell ref="K281:K282"/>
    <mergeCell ref="L281:L282"/>
    <mergeCell ref="M281:M282"/>
    <mergeCell ref="H283:H284"/>
    <mergeCell ref="I283:I284"/>
    <mergeCell ref="J283:J284"/>
    <mergeCell ref="K283:K284"/>
    <mergeCell ref="L283:L284"/>
    <mergeCell ref="M283:M284"/>
    <mergeCell ref="M279:M280"/>
    <mergeCell ref="A281:A282"/>
    <mergeCell ref="B281:B282"/>
    <mergeCell ref="C281:C282"/>
    <mergeCell ref="D281:D282"/>
    <mergeCell ref="E281:E282"/>
    <mergeCell ref="F281:F282"/>
    <mergeCell ref="H281:H282"/>
    <mergeCell ref="I281:I282"/>
    <mergeCell ref="J281:J282"/>
    <mergeCell ref="F279:F280"/>
    <mergeCell ref="H279:H280"/>
    <mergeCell ref="I279:I280"/>
    <mergeCell ref="J279:J280"/>
    <mergeCell ref="K279:K280"/>
    <mergeCell ref="L279:L280"/>
    <mergeCell ref="A295:D295"/>
    <mergeCell ref="H295:K295"/>
    <mergeCell ref="M295:O295"/>
    <mergeCell ref="M300:O300"/>
    <mergeCell ref="A310:G310"/>
    <mergeCell ref="H310:O310"/>
    <mergeCell ref="A287:E287"/>
    <mergeCell ref="H287:L287"/>
    <mergeCell ref="A288:E288"/>
    <mergeCell ref="H288:L288"/>
    <mergeCell ref="A289:E289"/>
    <mergeCell ref="H289:L289"/>
    <mergeCell ref="H285:H286"/>
    <mergeCell ref="I285:I286"/>
    <mergeCell ref="J285:J286"/>
    <mergeCell ref="K285:K286"/>
    <mergeCell ref="L285:L286"/>
    <mergeCell ref="M285:M286"/>
    <mergeCell ref="A285:A286"/>
    <mergeCell ref="B285:B286"/>
    <mergeCell ref="C285:C286"/>
    <mergeCell ref="D285:D286"/>
    <mergeCell ref="E285:E286"/>
    <mergeCell ref="F285:F286"/>
    <mergeCell ref="N312:O312"/>
    <mergeCell ref="A314:A315"/>
    <mergeCell ref="B314:B315"/>
    <mergeCell ref="C314:C315"/>
    <mergeCell ref="D314:D315"/>
    <mergeCell ref="E314:E315"/>
    <mergeCell ref="F314:F315"/>
    <mergeCell ref="H314:H315"/>
    <mergeCell ref="I314:I315"/>
    <mergeCell ref="J314:J315"/>
    <mergeCell ref="H312:H313"/>
    <mergeCell ref="I312:I313"/>
    <mergeCell ref="J312:J313"/>
    <mergeCell ref="K312:K313"/>
    <mergeCell ref="L312:L313"/>
    <mergeCell ref="M312:M313"/>
    <mergeCell ref="A312:A313"/>
    <mergeCell ref="B312:B313"/>
    <mergeCell ref="C312:C313"/>
    <mergeCell ref="D312:D313"/>
    <mergeCell ref="E312:E313"/>
    <mergeCell ref="F312:F313"/>
    <mergeCell ref="I316:I317"/>
    <mergeCell ref="J316:J317"/>
    <mergeCell ref="K316:K317"/>
    <mergeCell ref="L316:L317"/>
    <mergeCell ref="M316:M317"/>
    <mergeCell ref="A318:A319"/>
    <mergeCell ref="B318:B319"/>
    <mergeCell ref="C318:C319"/>
    <mergeCell ref="D318:D319"/>
    <mergeCell ref="E318:E319"/>
    <mergeCell ref="K314:K315"/>
    <mergeCell ref="L314:L315"/>
    <mergeCell ref="M314:M315"/>
    <mergeCell ref="A316:A317"/>
    <mergeCell ref="B316:B317"/>
    <mergeCell ref="C316:C317"/>
    <mergeCell ref="D316:D317"/>
    <mergeCell ref="E316:E317"/>
    <mergeCell ref="F316:F317"/>
    <mergeCell ref="H316:H317"/>
    <mergeCell ref="K320:K321"/>
    <mergeCell ref="L320:L321"/>
    <mergeCell ref="M320:M321"/>
    <mergeCell ref="H322:H323"/>
    <mergeCell ref="I322:I323"/>
    <mergeCell ref="J322:J323"/>
    <mergeCell ref="K322:K323"/>
    <mergeCell ref="L322:L323"/>
    <mergeCell ref="M322:M323"/>
    <mergeCell ref="M318:M319"/>
    <mergeCell ref="A320:A321"/>
    <mergeCell ref="B320:B321"/>
    <mergeCell ref="C320:C321"/>
    <mergeCell ref="D320:D321"/>
    <mergeCell ref="E320:E321"/>
    <mergeCell ref="F320:F321"/>
    <mergeCell ref="H320:H321"/>
    <mergeCell ref="I320:I321"/>
    <mergeCell ref="J320:J321"/>
    <mergeCell ref="F318:F319"/>
    <mergeCell ref="H318:H319"/>
    <mergeCell ref="I318:I319"/>
    <mergeCell ref="J318:J319"/>
    <mergeCell ref="K318:K319"/>
    <mergeCell ref="L318:L319"/>
    <mergeCell ref="A334:D334"/>
    <mergeCell ref="H334:K334"/>
    <mergeCell ref="M334:O334"/>
    <mergeCell ref="M338:O338"/>
    <mergeCell ref="M339:O339"/>
    <mergeCell ref="A349:G349"/>
    <mergeCell ref="H349:O349"/>
    <mergeCell ref="A326:E326"/>
    <mergeCell ref="H326:L326"/>
    <mergeCell ref="A327:E327"/>
    <mergeCell ref="H327:L327"/>
    <mergeCell ref="A328:E328"/>
    <mergeCell ref="H328:L328"/>
    <mergeCell ref="H324:H325"/>
    <mergeCell ref="I324:I325"/>
    <mergeCell ref="J324:J325"/>
    <mergeCell ref="K324:K325"/>
    <mergeCell ref="L324:L325"/>
    <mergeCell ref="M324:M325"/>
    <mergeCell ref="K353:K354"/>
    <mergeCell ref="L353:L354"/>
    <mergeCell ref="M353:M354"/>
    <mergeCell ref="H355:H356"/>
    <mergeCell ref="I355:I356"/>
    <mergeCell ref="J355:J356"/>
    <mergeCell ref="K355:K356"/>
    <mergeCell ref="L355:L356"/>
    <mergeCell ref="M355:M356"/>
    <mergeCell ref="N351:O351"/>
    <mergeCell ref="A353:A354"/>
    <mergeCell ref="B353:B354"/>
    <mergeCell ref="C353:C354"/>
    <mergeCell ref="D353:D354"/>
    <mergeCell ref="E353:E354"/>
    <mergeCell ref="F353:F354"/>
    <mergeCell ref="H353:H354"/>
    <mergeCell ref="I353:I354"/>
    <mergeCell ref="J353:J354"/>
    <mergeCell ref="H351:H352"/>
    <mergeCell ref="I351:I352"/>
    <mergeCell ref="J351:J352"/>
    <mergeCell ref="K351:K352"/>
    <mergeCell ref="L351:L352"/>
    <mergeCell ref="M351:M352"/>
    <mergeCell ref="A351:A352"/>
    <mergeCell ref="B351:B352"/>
    <mergeCell ref="C351:C352"/>
    <mergeCell ref="D351:D352"/>
    <mergeCell ref="E351:E352"/>
    <mergeCell ref="F351:F352"/>
    <mergeCell ref="H359:H360"/>
    <mergeCell ref="I359:I360"/>
    <mergeCell ref="J359:J360"/>
    <mergeCell ref="K359:K360"/>
    <mergeCell ref="L359:L360"/>
    <mergeCell ref="M359:M360"/>
    <mergeCell ref="H357:H358"/>
    <mergeCell ref="I357:I358"/>
    <mergeCell ref="J357:J358"/>
    <mergeCell ref="K357:K358"/>
    <mergeCell ref="L357:L358"/>
    <mergeCell ref="M357:M358"/>
    <mergeCell ref="A357:A358"/>
    <mergeCell ref="B357:B358"/>
    <mergeCell ref="C357:C358"/>
    <mergeCell ref="D357:D358"/>
    <mergeCell ref="E357:E358"/>
    <mergeCell ref="F357:F358"/>
    <mergeCell ref="A371:D371"/>
    <mergeCell ref="H371:K371"/>
    <mergeCell ref="M371:O371"/>
    <mergeCell ref="M376:O376"/>
    <mergeCell ref="A386:G386"/>
    <mergeCell ref="H386:O386"/>
    <mergeCell ref="A363:E363"/>
    <mergeCell ref="H363:L363"/>
    <mergeCell ref="A364:E364"/>
    <mergeCell ref="H364:L364"/>
    <mergeCell ref="A365:E365"/>
    <mergeCell ref="H365:L365"/>
    <mergeCell ref="H361:H362"/>
    <mergeCell ref="I361:I362"/>
    <mergeCell ref="J361:J362"/>
    <mergeCell ref="K361:K362"/>
    <mergeCell ref="L361:L362"/>
    <mergeCell ref="M361:M362"/>
    <mergeCell ref="A361:A362"/>
    <mergeCell ref="B361:B362"/>
    <mergeCell ref="C361:C362"/>
    <mergeCell ref="D361:D362"/>
    <mergeCell ref="E361:E362"/>
    <mergeCell ref="F361:F362"/>
    <mergeCell ref="K390:K391"/>
    <mergeCell ref="L390:L391"/>
    <mergeCell ref="M390:M391"/>
    <mergeCell ref="A396:A397"/>
    <mergeCell ref="B396:B397"/>
    <mergeCell ref="C396:C397"/>
    <mergeCell ref="D396:D397"/>
    <mergeCell ref="E396:E397"/>
    <mergeCell ref="F396:F397"/>
    <mergeCell ref="H396:H397"/>
    <mergeCell ref="N388:O388"/>
    <mergeCell ref="A390:A391"/>
    <mergeCell ref="B390:B391"/>
    <mergeCell ref="C390:C391"/>
    <mergeCell ref="D390:D391"/>
    <mergeCell ref="E390:E391"/>
    <mergeCell ref="F390:F391"/>
    <mergeCell ref="H390:H391"/>
    <mergeCell ref="I390:I391"/>
    <mergeCell ref="J390:J391"/>
    <mergeCell ref="H388:H389"/>
    <mergeCell ref="I388:I389"/>
    <mergeCell ref="J388:J389"/>
    <mergeCell ref="K388:K389"/>
    <mergeCell ref="L388:L389"/>
    <mergeCell ref="M388:M389"/>
    <mergeCell ref="A388:A389"/>
    <mergeCell ref="B388:B389"/>
    <mergeCell ref="C388:C389"/>
    <mergeCell ref="D388:D389"/>
    <mergeCell ref="E388:E389"/>
    <mergeCell ref="F388:F389"/>
    <mergeCell ref="M398:M399"/>
    <mergeCell ref="A400:A401"/>
    <mergeCell ref="B400:B401"/>
    <mergeCell ref="C400:C401"/>
    <mergeCell ref="D400:D401"/>
    <mergeCell ref="E400:E401"/>
    <mergeCell ref="F400:F401"/>
    <mergeCell ref="H400:H401"/>
    <mergeCell ref="I400:I401"/>
    <mergeCell ref="J400:J401"/>
    <mergeCell ref="F398:F399"/>
    <mergeCell ref="H398:H399"/>
    <mergeCell ref="I398:I399"/>
    <mergeCell ref="J398:J399"/>
    <mergeCell ref="K398:K399"/>
    <mergeCell ref="L398:L399"/>
    <mergeCell ref="I396:I397"/>
    <mergeCell ref="J396:J397"/>
    <mergeCell ref="K396:K397"/>
    <mergeCell ref="L396:L397"/>
    <mergeCell ref="M396:M397"/>
    <mergeCell ref="A398:A399"/>
    <mergeCell ref="B398:B399"/>
    <mergeCell ref="C398:C399"/>
    <mergeCell ref="D398:D399"/>
    <mergeCell ref="E398:E399"/>
    <mergeCell ref="A405:E405"/>
    <mergeCell ref="H405:L405"/>
    <mergeCell ref="A406:E406"/>
    <mergeCell ref="H406:L406"/>
    <mergeCell ref="A412:D412"/>
    <mergeCell ref="H412:K412"/>
    <mergeCell ref="I402:I403"/>
    <mergeCell ref="J402:J403"/>
    <mergeCell ref="K402:K403"/>
    <mergeCell ref="L402:L403"/>
    <mergeCell ref="M402:M403"/>
    <mergeCell ref="A404:E404"/>
    <mergeCell ref="H404:L404"/>
    <mergeCell ref="K400:K401"/>
    <mergeCell ref="L400:L401"/>
    <mergeCell ref="M400:M401"/>
    <mergeCell ref="A402:A403"/>
    <mergeCell ref="B402:B403"/>
    <mergeCell ref="C402:C403"/>
    <mergeCell ref="D402:D403"/>
    <mergeCell ref="E402:E403"/>
    <mergeCell ref="F402:F403"/>
    <mergeCell ref="H402:H403"/>
    <mergeCell ref="N429:O429"/>
    <mergeCell ref="A431:A432"/>
    <mergeCell ref="B431:B432"/>
    <mergeCell ref="C431:C432"/>
    <mergeCell ref="D431:D432"/>
    <mergeCell ref="E431:E432"/>
    <mergeCell ref="F431:F432"/>
    <mergeCell ref="H431:H432"/>
    <mergeCell ref="I431:I432"/>
    <mergeCell ref="J431:J432"/>
    <mergeCell ref="H429:H430"/>
    <mergeCell ref="I429:I430"/>
    <mergeCell ref="J429:J430"/>
    <mergeCell ref="K429:K430"/>
    <mergeCell ref="L429:L430"/>
    <mergeCell ref="M429:M430"/>
    <mergeCell ref="M412:O412"/>
    <mergeCell ref="M417:O417"/>
    <mergeCell ref="A427:G427"/>
    <mergeCell ref="H427:O427"/>
    <mergeCell ref="A429:A430"/>
    <mergeCell ref="B429:B430"/>
    <mergeCell ref="C429:C430"/>
    <mergeCell ref="D429:D430"/>
    <mergeCell ref="E429:E430"/>
    <mergeCell ref="F429:F430"/>
    <mergeCell ref="I433:I434"/>
    <mergeCell ref="J433:J434"/>
    <mergeCell ref="K433:K434"/>
    <mergeCell ref="L433:L434"/>
    <mergeCell ref="M433:M434"/>
    <mergeCell ref="A437:A438"/>
    <mergeCell ref="B437:B438"/>
    <mergeCell ref="C437:C438"/>
    <mergeCell ref="D437:D438"/>
    <mergeCell ref="E437:E438"/>
    <mergeCell ref="K431:K432"/>
    <mergeCell ref="L431:L432"/>
    <mergeCell ref="M431:M432"/>
    <mergeCell ref="A433:A434"/>
    <mergeCell ref="B433:B434"/>
    <mergeCell ref="C433:C434"/>
    <mergeCell ref="D433:D434"/>
    <mergeCell ref="E433:E434"/>
    <mergeCell ref="F433:F434"/>
    <mergeCell ref="H433:H434"/>
    <mergeCell ref="H435:H436"/>
    <mergeCell ref="I435:I436"/>
    <mergeCell ref="J435:J436"/>
    <mergeCell ref="K435:K436"/>
    <mergeCell ref="L435:L436"/>
    <mergeCell ref="M435:M436"/>
    <mergeCell ref="A443:E443"/>
    <mergeCell ref="H443:L443"/>
    <mergeCell ref="A449:D449"/>
    <mergeCell ref="H449:K449"/>
    <mergeCell ref="M449:O449"/>
    <mergeCell ref="M454:O454"/>
    <mergeCell ref="M468:M469"/>
    <mergeCell ref="M466:M467"/>
    <mergeCell ref="K439:K440"/>
    <mergeCell ref="L439:L440"/>
    <mergeCell ref="M439:M440"/>
    <mergeCell ref="A441:E441"/>
    <mergeCell ref="H441:L441"/>
    <mergeCell ref="A442:E442"/>
    <mergeCell ref="H442:L442"/>
    <mergeCell ref="M437:M438"/>
    <mergeCell ref="A439:A440"/>
    <mergeCell ref="B439:B440"/>
    <mergeCell ref="C439:C440"/>
    <mergeCell ref="D439:D440"/>
    <mergeCell ref="E439:E440"/>
    <mergeCell ref="F439:F440"/>
    <mergeCell ref="H439:H440"/>
    <mergeCell ref="I439:I440"/>
    <mergeCell ref="J439:J440"/>
    <mergeCell ref="F437:F438"/>
    <mergeCell ref="H437:H438"/>
    <mergeCell ref="I437:I438"/>
    <mergeCell ref="J437:J438"/>
    <mergeCell ref="K437:K438"/>
    <mergeCell ref="L437:L438"/>
    <mergeCell ref="F468:F469"/>
    <mergeCell ref="H468:H469"/>
    <mergeCell ref="I468:I469"/>
    <mergeCell ref="J468:J469"/>
    <mergeCell ref="K468:K469"/>
    <mergeCell ref="L468:L469"/>
    <mergeCell ref="J466:J467"/>
    <mergeCell ref="K466:K467"/>
    <mergeCell ref="L466:L467"/>
    <mergeCell ref="N466:O466"/>
    <mergeCell ref="A468:A469"/>
    <mergeCell ref="B468:B469"/>
    <mergeCell ref="C468:C469"/>
    <mergeCell ref="D468:D469"/>
    <mergeCell ref="E468:E469"/>
    <mergeCell ref="A464:G464"/>
    <mergeCell ref="H464:O464"/>
    <mergeCell ref="A466:A467"/>
    <mergeCell ref="B466:B467"/>
    <mergeCell ref="C466:C467"/>
    <mergeCell ref="D466:D467"/>
    <mergeCell ref="E466:E467"/>
    <mergeCell ref="F466:F467"/>
    <mergeCell ref="H466:H467"/>
    <mergeCell ref="I466:I467"/>
    <mergeCell ref="I474:I475"/>
    <mergeCell ref="J474:J475"/>
    <mergeCell ref="K474:K475"/>
    <mergeCell ref="L474:L475"/>
    <mergeCell ref="M474:M475"/>
    <mergeCell ref="A476:A477"/>
    <mergeCell ref="B476:B477"/>
    <mergeCell ref="C476:C477"/>
    <mergeCell ref="D476:D477"/>
    <mergeCell ref="E476:E477"/>
    <mergeCell ref="K470:K471"/>
    <mergeCell ref="L470:L471"/>
    <mergeCell ref="M470:M471"/>
    <mergeCell ref="A474:A475"/>
    <mergeCell ref="B474:B475"/>
    <mergeCell ref="C474:C475"/>
    <mergeCell ref="D474:D475"/>
    <mergeCell ref="E474:E475"/>
    <mergeCell ref="F474:F475"/>
    <mergeCell ref="H474:H475"/>
    <mergeCell ref="A470:A471"/>
    <mergeCell ref="B470:B471"/>
    <mergeCell ref="C470:C471"/>
    <mergeCell ref="D470:D471"/>
    <mergeCell ref="E470:E471"/>
    <mergeCell ref="F470:F471"/>
    <mergeCell ref="H470:H471"/>
    <mergeCell ref="I470:I471"/>
    <mergeCell ref="J470:J471"/>
    <mergeCell ref="H472:H473"/>
    <mergeCell ref="I472:I473"/>
    <mergeCell ref="J472:J473"/>
    <mergeCell ref="A486:D486"/>
    <mergeCell ref="H486:K486"/>
    <mergeCell ref="M486:O486"/>
    <mergeCell ref="M491:O491"/>
    <mergeCell ref="A501:G501"/>
    <mergeCell ref="H501:O501"/>
    <mergeCell ref="M476:M477"/>
    <mergeCell ref="A478:E478"/>
    <mergeCell ref="H478:L478"/>
    <mergeCell ref="A479:E479"/>
    <mergeCell ref="H479:L479"/>
    <mergeCell ref="A480:E480"/>
    <mergeCell ref="H480:L480"/>
    <mergeCell ref="F476:F477"/>
    <mergeCell ref="H476:H477"/>
    <mergeCell ref="I476:I477"/>
    <mergeCell ref="J476:J477"/>
    <mergeCell ref="K476:K477"/>
    <mergeCell ref="L476:L477"/>
    <mergeCell ref="N503:O503"/>
    <mergeCell ref="A505:A506"/>
    <mergeCell ref="B505:B506"/>
    <mergeCell ref="C505:C506"/>
    <mergeCell ref="D505:D506"/>
    <mergeCell ref="E505:E506"/>
    <mergeCell ref="F505:F506"/>
    <mergeCell ref="H505:H506"/>
    <mergeCell ref="I505:I506"/>
    <mergeCell ref="J505:J506"/>
    <mergeCell ref="H503:H504"/>
    <mergeCell ref="I503:I504"/>
    <mergeCell ref="J503:J504"/>
    <mergeCell ref="K503:K504"/>
    <mergeCell ref="L503:L504"/>
    <mergeCell ref="M503:M504"/>
    <mergeCell ref="A503:A504"/>
    <mergeCell ref="B503:B504"/>
    <mergeCell ref="C503:C504"/>
    <mergeCell ref="D503:D504"/>
    <mergeCell ref="E503:E504"/>
    <mergeCell ref="F503:F504"/>
    <mergeCell ref="H511:H512"/>
    <mergeCell ref="I511:I512"/>
    <mergeCell ref="J511:J512"/>
    <mergeCell ref="K511:K512"/>
    <mergeCell ref="L511:L512"/>
    <mergeCell ref="M511:M512"/>
    <mergeCell ref="A511:A512"/>
    <mergeCell ref="B511:B512"/>
    <mergeCell ref="C511:C512"/>
    <mergeCell ref="D511:D512"/>
    <mergeCell ref="E511:E512"/>
    <mergeCell ref="F511:F512"/>
    <mergeCell ref="K505:K506"/>
    <mergeCell ref="L505:L506"/>
    <mergeCell ref="M505:M506"/>
    <mergeCell ref="H509:H510"/>
    <mergeCell ref="I509:I510"/>
    <mergeCell ref="J509:J510"/>
    <mergeCell ref="K509:K510"/>
    <mergeCell ref="L509:L510"/>
    <mergeCell ref="M509:M510"/>
    <mergeCell ref="H507:H508"/>
    <mergeCell ref="I507:I508"/>
    <mergeCell ref="J507:J508"/>
    <mergeCell ref="K507:K508"/>
    <mergeCell ref="L507:L508"/>
    <mergeCell ref="M507:M508"/>
    <mergeCell ref="A523:D523"/>
    <mergeCell ref="H523:K523"/>
    <mergeCell ref="M523:O523"/>
    <mergeCell ref="M528:O528"/>
    <mergeCell ref="A538:G538"/>
    <mergeCell ref="H538:O538"/>
    <mergeCell ref="A515:E515"/>
    <mergeCell ref="H515:L515"/>
    <mergeCell ref="A516:E516"/>
    <mergeCell ref="H516:L516"/>
    <mergeCell ref="A517:E517"/>
    <mergeCell ref="H517:L517"/>
    <mergeCell ref="H513:H514"/>
    <mergeCell ref="I513:I514"/>
    <mergeCell ref="J513:J514"/>
    <mergeCell ref="K513:K514"/>
    <mergeCell ref="L513:L514"/>
    <mergeCell ref="M513:M514"/>
    <mergeCell ref="A513:A514"/>
    <mergeCell ref="B513:B514"/>
    <mergeCell ref="C513:C514"/>
    <mergeCell ref="D513:D514"/>
    <mergeCell ref="E513:E514"/>
    <mergeCell ref="F513:F514"/>
    <mergeCell ref="N540:O540"/>
    <mergeCell ref="A542:A543"/>
    <mergeCell ref="B542:B543"/>
    <mergeCell ref="C542:C543"/>
    <mergeCell ref="D542:D543"/>
    <mergeCell ref="E542:E543"/>
    <mergeCell ref="F542:F543"/>
    <mergeCell ref="H542:H543"/>
    <mergeCell ref="I542:I543"/>
    <mergeCell ref="J542:J543"/>
    <mergeCell ref="H540:H541"/>
    <mergeCell ref="I540:I541"/>
    <mergeCell ref="J540:J541"/>
    <mergeCell ref="K540:K541"/>
    <mergeCell ref="L540:L541"/>
    <mergeCell ref="M540:M541"/>
    <mergeCell ref="A540:A541"/>
    <mergeCell ref="B540:B541"/>
    <mergeCell ref="C540:C541"/>
    <mergeCell ref="D540:D541"/>
    <mergeCell ref="E540:E541"/>
    <mergeCell ref="F540:F541"/>
    <mergeCell ref="H546:H547"/>
    <mergeCell ref="I546:I547"/>
    <mergeCell ref="J546:J547"/>
    <mergeCell ref="K546:K547"/>
    <mergeCell ref="L546:L547"/>
    <mergeCell ref="M546:M547"/>
    <mergeCell ref="A546:A547"/>
    <mergeCell ref="B546:B547"/>
    <mergeCell ref="C546:C547"/>
    <mergeCell ref="D546:D547"/>
    <mergeCell ref="E546:E547"/>
    <mergeCell ref="F546:F547"/>
    <mergeCell ref="K542:K543"/>
    <mergeCell ref="L542:L543"/>
    <mergeCell ref="M542:M543"/>
    <mergeCell ref="H544:H545"/>
    <mergeCell ref="I544:I545"/>
    <mergeCell ref="J544:J545"/>
    <mergeCell ref="K544:K545"/>
    <mergeCell ref="L544:L545"/>
    <mergeCell ref="M544:M545"/>
    <mergeCell ref="A560:D560"/>
    <mergeCell ref="H560:K560"/>
    <mergeCell ref="M560:O560"/>
    <mergeCell ref="M565:O565"/>
    <mergeCell ref="A575:G575"/>
    <mergeCell ref="H575:O575"/>
    <mergeCell ref="A552:E552"/>
    <mergeCell ref="H552:L552"/>
    <mergeCell ref="A553:E553"/>
    <mergeCell ref="H553:L553"/>
    <mergeCell ref="A554:E554"/>
    <mergeCell ref="H554:L554"/>
    <mergeCell ref="H550:H551"/>
    <mergeCell ref="I550:I551"/>
    <mergeCell ref="J550:J551"/>
    <mergeCell ref="K550:K551"/>
    <mergeCell ref="L550:L551"/>
    <mergeCell ref="M550:M551"/>
    <mergeCell ref="A550:A551"/>
    <mergeCell ref="B550:B551"/>
    <mergeCell ref="C550:C551"/>
    <mergeCell ref="D550:D551"/>
    <mergeCell ref="E550:E551"/>
    <mergeCell ref="F550:F551"/>
    <mergeCell ref="N577:O577"/>
    <mergeCell ref="A579:A580"/>
    <mergeCell ref="B579:B580"/>
    <mergeCell ref="C579:C580"/>
    <mergeCell ref="D579:D580"/>
    <mergeCell ref="E579:E580"/>
    <mergeCell ref="F579:F580"/>
    <mergeCell ref="H579:H580"/>
    <mergeCell ref="I579:I580"/>
    <mergeCell ref="J579:J580"/>
    <mergeCell ref="H577:H578"/>
    <mergeCell ref="I577:I578"/>
    <mergeCell ref="J577:J578"/>
    <mergeCell ref="K577:K578"/>
    <mergeCell ref="L577:L578"/>
    <mergeCell ref="M577:M578"/>
    <mergeCell ref="A577:A578"/>
    <mergeCell ref="B577:B578"/>
    <mergeCell ref="C577:C578"/>
    <mergeCell ref="D577:D578"/>
    <mergeCell ref="E577:E578"/>
    <mergeCell ref="F577:F578"/>
    <mergeCell ref="I581:I582"/>
    <mergeCell ref="J581:J582"/>
    <mergeCell ref="K581:K582"/>
    <mergeCell ref="L581:L582"/>
    <mergeCell ref="M581:M582"/>
    <mergeCell ref="H585:H586"/>
    <mergeCell ref="I585:I586"/>
    <mergeCell ref="J585:J586"/>
    <mergeCell ref="K585:K586"/>
    <mergeCell ref="L585:L586"/>
    <mergeCell ref="K579:K580"/>
    <mergeCell ref="L579:L580"/>
    <mergeCell ref="M579:M580"/>
    <mergeCell ref="A581:A582"/>
    <mergeCell ref="B581:B582"/>
    <mergeCell ref="C581:C582"/>
    <mergeCell ref="D581:D582"/>
    <mergeCell ref="E581:E582"/>
    <mergeCell ref="F581:F582"/>
    <mergeCell ref="H581:H582"/>
    <mergeCell ref="H583:H584"/>
    <mergeCell ref="I583:I584"/>
    <mergeCell ref="J583:J584"/>
    <mergeCell ref="K583:K584"/>
    <mergeCell ref="L583:L584"/>
    <mergeCell ref="M583:M584"/>
    <mergeCell ref="K587:K588"/>
    <mergeCell ref="L587:L588"/>
    <mergeCell ref="M587:M588"/>
    <mergeCell ref="A589:E589"/>
    <mergeCell ref="H589:L589"/>
    <mergeCell ref="A590:E590"/>
    <mergeCell ref="H590:L590"/>
    <mergeCell ref="M585:M586"/>
    <mergeCell ref="A587:A588"/>
    <mergeCell ref="B587:B588"/>
    <mergeCell ref="C587:C588"/>
    <mergeCell ref="D587:D588"/>
    <mergeCell ref="E587:E588"/>
    <mergeCell ref="F587:F588"/>
    <mergeCell ref="H587:H588"/>
    <mergeCell ref="I587:I588"/>
    <mergeCell ref="J587:J588"/>
    <mergeCell ref="N614:O614"/>
    <mergeCell ref="A616:A617"/>
    <mergeCell ref="B616:B617"/>
    <mergeCell ref="C616:C617"/>
    <mergeCell ref="D616:D617"/>
    <mergeCell ref="E616:E617"/>
    <mergeCell ref="A612:G612"/>
    <mergeCell ref="H612:O612"/>
    <mergeCell ref="A614:A615"/>
    <mergeCell ref="B614:B615"/>
    <mergeCell ref="C614:C615"/>
    <mergeCell ref="D614:D615"/>
    <mergeCell ref="E614:E615"/>
    <mergeCell ref="F614:F615"/>
    <mergeCell ref="H614:H615"/>
    <mergeCell ref="I614:I615"/>
    <mergeCell ref="A591:E591"/>
    <mergeCell ref="H591:L591"/>
    <mergeCell ref="A597:D597"/>
    <mergeCell ref="H597:K597"/>
    <mergeCell ref="M597:O597"/>
    <mergeCell ref="M602:O602"/>
    <mergeCell ref="M616:M617"/>
    <mergeCell ref="H618:H619"/>
    <mergeCell ref="I618:I619"/>
    <mergeCell ref="J618:J619"/>
    <mergeCell ref="K618:K619"/>
    <mergeCell ref="L618:L619"/>
    <mergeCell ref="M618:M619"/>
    <mergeCell ref="F616:F617"/>
    <mergeCell ref="H616:H617"/>
    <mergeCell ref="I616:I617"/>
    <mergeCell ref="J616:J617"/>
    <mergeCell ref="K616:K617"/>
    <mergeCell ref="L616:L617"/>
    <mergeCell ref="J614:J615"/>
    <mergeCell ref="K614:K615"/>
    <mergeCell ref="L614:L615"/>
    <mergeCell ref="M614:M615"/>
    <mergeCell ref="H622:H623"/>
    <mergeCell ref="I622:I623"/>
    <mergeCell ref="J622:J623"/>
    <mergeCell ref="K622:K623"/>
    <mergeCell ref="L622:L623"/>
    <mergeCell ref="M622:M623"/>
    <mergeCell ref="H620:H621"/>
    <mergeCell ref="I620:I621"/>
    <mergeCell ref="J620:J621"/>
    <mergeCell ref="K620:K621"/>
    <mergeCell ref="L620:L621"/>
    <mergeCell ref="M620:M621"/>
    <mergeCell ref="A620:A621"/>
    <mergeCell ref="B620:B621"/>
    <mergeCell ref="C620:C621"/>
    <mergeCell ref="D620:D621"/>
    <mergeCell ref="E620:E621"/>
    <mergeCell ref="F620:F621"/>
    <mergeCell ref="A632:D632"/>
    <mergeCell ref="H632:K632"/>
    <mergeCell ref="M632:O632"/>
    <mergeCell ref="M637:O637"/>
    <mergeCell ref="A647:G647"/>
    <mergeCell ref="H647:O647"/>
    <mergeCell ref="A624:E624"/>
    <mergeCell ref="H624:L624"/>
    <mergeCell ref="A625:E625"/>
    <mergeCell ref="H625:L625"/>
    <mergeCell ref="A626:E626"/>
    <mergeCell ref="H626:L626"/>
    <mergeCell ref="N649:O649"/>
    <mergeCell ref="A651:A652"/>
    <mergeCell ref="B651:B652"/>
    <mergeCell ref="C651:C652"/>
    <mergeCell ref="D651:D652"/>
    <mergeCell ref="E651:E652"/>
    <mergeCell ref="F651:F652"/>
    <mergeCell ref="H651:H652"/>
    <mergeCell ref="I651:I652"/>
    <mergeCell ref="J651:J652"/>
    <mergeCell ref="H649:H650"/>
    <mergeCell ref="I649:I650"/>
    <mergeCell ref="J649:J650"/>
    <mergeCell ref="K649:K650"/>
    <mergeCell ref="L649:L650"/>
    <mergeCell ref="M649:M650"/>
    <mergeCell ref="A649:A650"/>
    <mergeCell ref="B649:B650"/>
    <mergeCell ref="C649:C650"/>
    <mergeCell ref="D649:D650"/>
    <mergeCell ref="E649:E650"/>
    <mergeCell ref="F649:F650"/>
    <mergeCell ref="H655:H656"/>
    <mergeCell ref="I655:I656"/>
    <mergeCell ref="J655:J656"/>
    <mergeCell ref="K655:K656"/>
    <mergeCell ref="L655:L656"/>
    <mergeCell ref="M655:M656"/>
    <mergeCell ref="A655:A656"/>
    <mergeCell ref="B655:B656"/>
    <mergeCell ref="C655:C656"/>
    <mergeCell ref="D655:D656"/>
    <mergeCell ref="E655:E656"/>
    <mergeCell ref="F655:F656"/>
    <mergeCell ref="K651:K652"/>
    <mergeCell ref="L651:L652"/>
    <mergeCell ref="M651:M652"/>
    <mergeCell ref="H653:H654"/>
    <mergeCell ref="I653:I654"/>
    <mergeCell ref="J653:J654"/>
    <mergeCell ref="K653:K654"/>
    <mergeCell ref="L653:L654"/>
    <mergeCell ref="M653:M654"/>
    <mergeCell ref="H659:H660"/>
    <mergeCell ref="I659:I660"/>
    <mergeCell ref="J659:J660"/>
    <mergeCell ref="K659:K660"/>
    <mergeCell ref="L659:L660"/>
    <mergeCell ref="M659:M660"/>
    <mergeCell ref="H657:H658"/>
    <mergeCell ref="I657:I658"/>
    <mergeCell ref="J657:J658"/>
    <mergeCell ref="K657:K658"/>
    <mergeCell ref="L657:L658"/>
    <mergeCell ref="M657:M658"/>
    <mergeCell ref="A657:A658"/>
    <mergeCell ref="B657:B658"/>
    <mergeCell ref="C657:C658"/>
    <mergeCell ref="D657:D658"/>
    <mergeCell ref="E657:E658"/>
    <mergeCell ref="F657:F658"/>
    <mergeCell ref="B686:B687"/>
    <mergeCell ref="C686:C687"/>
    <mergeCell ref="D686:D687"/>
    <mergeCell ref="E686:E687"/>
    <mergeCell ref="F686:F687"/>
    <mergeCell ref="A669:D669"/>
    <mergeCell ref="H669:K669"/>
    <mergeCell ref="M670:O670"/>
    <mergeCell ref="M674:O674"/>
    <mergeCell ref="M675:O675"/>
    <mergeCell ref="A684:G684"/>
    <mergeCell ref="H684:O684"/>
    <mergeCell ref="A661:E661"/>
    <mergeCell ref="H661:L661"/>
    <mergeCell ref="A662:E662"/>
    <mergeCell ref="H662:L662"/>
    <mergeCell ref="A663:E663"/>
    <mergeCell ref="H663:L663"/>
    <mergeCell ref="A692:A693"/>
    <mergeCell ref="B692:B693"/>
    <mergeCell ref="C692:C693"/>
    <mergeCell ref="D692:D693"/>
    <mergeCell ref="E692:E693"/>
    <mergeCell ref="K688:K689"/>
    <mergeCell ref="L688:L689"/>
    <mergeCell ref="M688:M689"/>
    <mergeCell ref="A690:A691"/>
    <mergeCell ref="B690:B691"/>
    <mergeCell ref="C690:C691"/>
    <mergeCell ref="D690:D691"/>
    <mergeCell ref="E690:E691"/>
    <mergeCell ref="F690:F691"/>
    <mergeCell ref="H690:H691"/>
    <mergeCell ref="N686:O686"/>
    <mergeCell ref="A688:A689"/>
    <mergeCell ref="B688:B689"/>
    <mergeCell ref="C688:C689"/>
    <mergeCell ref="D688:D689"/>
    <mergeCell ref="E688:E689"/>
    <mergeCell ref="F688:F689"/>
    <mergeCell ref="H688:H689"/>
    <mergeCell ref="I688:I689"/>
    <mergeCell ref="J688:J689"/>
    <mergeCell ref="H686:H687"/>
    <mergeCell ref="I686:I687"/>
    <mergeCell ref="J686:J687"/>
    <mergeCell ref="K686:K687"/>
    <mergeCell ref="L686:L687"/>
    <mergeCell ref="M686:M687"/>
    <mergeCell ref="A686:A687"/>
    <mergeCell ref="M692:M693"/>
    <mergeCell ref="H694:H695"/>
    <mergeCell ref="I694:I695"/>
    <mergeCell ref="J694:J695"/>
    <mergeCell ref="K694:K695"/>
    <mergeCell ref="L694:L695"/>
    <mergeCell ref="M694:M695"/>
    <mergeCell ref="F692:F693"/>
    <mergeCell ref="H692:H693"/>
    <mergeCell ref="I692:I693"/>
    <mergeCell ref="J692:J693"/>
    <mergeCell ref="K692:K693"/>
    <mergeCell ref="L692:L693"/>
    <mergeCell ref="I690:I691"/>
    <mergeCell ref="J690:J691"/>
    <mergeCell ref="K690:K691"/>
    <mergeCell ref="L690:L691"/>
    <mergeCell ref="M690:M691"/>
    <mergeCell ref="A706:D706"/>
    <mergeCell ref="H706:K706"/>
    <mergeCell ref="M706:O706"/>
    <mergeCell ref="M709:O709"/>
    <mergeCell ref="M711:O711"/>
    <mergeCell ref="A721:G721"/>
    <mergeCell ref="H721:O721"/>
    <mergeCell ref="A698:E698"/>
    <mergeCell ref="H698:L698"/>
    <mergeCell ref="A699:E699"/>
    <mergeCell ref="H699:L699"/>
    <mergeCell ref="A700:E700"/>
    <mergeCell ref="H700:L700"/>
    <mergeCell ref="H696:H697"/>
    <mergeCell ref="I696:I697"/>
    <mergeCell ref="J696:J697"/>
    <mergeCell ref="K696:K697"/>
    <mergeCell ref="L696:L697"/>
    <mergeCell ref="M696:M697"/>
    <mergeCell ref="A696:A697"/>
    <mergeCell ref="B696:B697"/>
    <mergeCell ref="C696:C697"/>
    <mergeCell ref="D696:D697"/>
    <mergeCell ref="E696:E697"/>
    <mergeCell ref="F696:F697"/>
    <mergeCell ref="N723:O723"/>
    <mergeCell ref="A725:A726"/>
    <mergeCell ref="B725:B726"/>
    <mergeCell ref="C725:C726"/>
    <mergeCell ref="D725:D726"/>
    <mergeCell ref="E725:E726"/>
    <mergeCell ref="F725:F726"/>
    <mergeCell ref="H725:H726"/>
    <mergeCell ref="I725:I726"/>
    <mergeCell ref="J725:J726"/>
    <mergeCell ref="H723:H724"/>
    <mergeCell ref="I723:I724"/>
    <mergeCell ref="J723:J724"/>
    <mergeCell ref="K723:K724"/>
    <mergeCell ref="L723:L724"/>
    <mergeCell ref="M723:M724"/>
    <mergeCell ref="A723:A724"/>
    <mergeCell ref="B723:B724"/>
    <mergeCell ref="C723:C724"/>
    <mergeCell ref="D723:D724"/>
    <mergeCell ref="E723:E724"/>
    <mergeCell ref="F723:F724"/>
    <mergeCell ref="I727:I728"/>
    <mergeCell ref="J727:J728"/>
    <mergeCell ref="K727:K728"/>
    <mergeCell ref="L727:L728"/>
    <mergeCell ref="M727:M728"/>
    <mergeCell ref="H731:H732"/>
    <mergeCell ref="I731:I732"/>
    <mergeCell ref="J731:J732"/>
    <mergeCell ref="K731:K732"/>
    <mergeCell ref="L731:L732"/>
    <mergeCell ref="K725:K726"/>
    <mergeCell ref="L725:L726"/>
    <mergeCell ref="M725:M726"/>
    <mergeCell ref="A727:A728"/>
    <mergeCell ref="B727:B728"/>
    <mergeCell ref="C727:C728"/>
    <mergeCell ref="D727:D728"/>
    <mergeCell ref="E727:E728"/>
    <mergeCell ref="F727:F728"/>
    <mergeCell ref="H727:H728"/>
    <mergeCell ref="H729:H730"/>
    <mergeCell ref="I729:I730"/>
    <mergeCell ref="J729:J730"/>
    <mergeCell ref="K729:K730"/>
    <mergeCell ref="L729:L730"/>
    <mergeCell ref="M729:M730"/>
    <mergeCell ref="H736:L736"/>
    <mergeCell ref="A737:E737"/>
    <mergeCell ref="H737:L737"/>
    <mergeCell ref="A738:E738"/>
    <mergeCell ref="A739:E739"/>
    <mergeCell ref="H743:K743"/>
    <mergeCell ref="K733:K734"/>
    <mergeCell ref="L733:L734"/>
    <mergeCell ref="M733:M734"/>
    <mergeCell ref="A735:A736"/>
    <mergeCell ref="B735:B736"/>
    <mergeCell ref="C735:C736"/>
    <mergeCell ref="D735:D736"/>
    <mergeCell ref="E735:E736"/>
    <mergeCell ref="F735:F736"/>
    <mergeCell ref="H735:L735"/>
    <mergeCell ref="M731:M732"/>
    <mergeCell ref="A733:A734"/>
    <mergeCell ref="B733:B734"/>
    <mergeCell ref="C733:C734"/>
    <mergeCell ref="D733:D734"/>
    <mergeCell ref="E733:E734"/>
    <mergeCell ref="F733:F734"/>
    <mergeCell ref="H733:H734"/>
    <mergeCell ref="I733:I734"/>
    <mergeCell ref="J733:J734"/>
    <mergeCell ref="M760:M761"/>
    <mergeCell ref="N760:O760"/>
    <mergeCell ref="A762:A763"/>
    <mergeCell ref="B762:B763"/>
    <mergeCell ref="C762:C763"/>
    <mergeCell ref="D762:D763"/>
    <mergeCell ref="E762:E763"/>
    <mergeCell ref="F762:F763"/>
    <mergeCell ref="H762:H763"/>
    <mergeCell ref="I762:I763"/>
    <mergeCell ref="M743:O743"/>
    <mergeCell ref="A745:D745"/>
    <mergeCell ref="M748:O748"/>
    <mergeCell ref="H758:O758"/>
    <mergeCell ref="A760:G760"/>
    <mergeCell ref="H760:H761"/>
    <mergeCell ref="I760:I761"/>
    <mergeCell ref="J760:J761"/>
    <mergeCell ref="K760:K761"/>
    <mergeCell ref="L760:L761"/>
    <mergeCell ref="H766:H767"/>
    <mergeCell ref="I766:I767"/>
    <mergeCell ref="J766:J767"/>
    <mergeCell ref="K766:K767"/>
    <mergeCell ref="L766:L767"/>
    <mergeCell ref="M766:M767"/>
    <mergeCell ref="A766:A767"/>
    <mergeCell ref="B766:B767"/>
    <mergeCell ref="C766:C767"/>
    <mergeCell ref="D766:D767"/>
    <mergeCell ref="E766:E767"/>
    <mergeCell ref="F766:F767"/>
    <mergeCell ref="J762:J763"/>
    <mergeCell ref="K762:K763"/>
    <mergeCell ref="L762:L763"/>
    <mergeCell ref="M762:M763"/>
    <mergeCell ref="H764:H765"/>
    <mergeCell ref="I764:I765"/>
    <mergeCell ref="J764:J765"/>
    <mergeCell ref="K764:K765"/>
    <mergeCell ref="L764:L765"/>
    <mergeCell ref="M764:M765"/>
    <mergeCell ref="H770:H771"/>
    <mergeCell ref="I770:I771"/>
    <mergeCell ref="J770:J771"/>
    <mergeCell ref="K770:K771"/>
    <mergeCell ref="L770:L771"/>
    <mergeCell ref="M770:M771"/>
    <mergeCell ref="A770:A771"/>
    <mergeCell ref="B770:B771"/>
    <mergeCell ref="C770:C771"/>
    <mergeCell ref="D770:D771"/>
    <mergeCell ref="E770:E771"/>
    <mergeCell ref="F770:F771"/>
    <mergeCell ref="H768:H769"/>
    <mergeCell ref="I768:I769"/>
    <mergeCell ref="J768:J769"/>
    <mergeCell ref="K768:K769"/>
    <mergeCell ref="L768:L769"/>
    <mergeCell ref="M768:M769"/>
    <mergeCell ref="A768:A769"/>
    <mergeCell ref="B768:B769"/>
    <mergeCell ref="C768:C769"/>
    <mergeCell ref="D768:D769"/>
    <mergeCell ref="E768:E769"/>
    <mergeCell ref="F768:F769"/>
    <mergeCell ref="H780:K780"/>
    <mergeCell ref="M780:O780"/>
    <mergeCell ref="A782:D782"/>
    <mergeCell ref="M785:O785"/>
    <mergeCell ref="H795:O795"/>
    <mergeCell ref="A797:G797"/>
    <mergeCell ref="H797:H798"/>
    <mergeCell ref="I797:I798"/>
    <mergeCell ref="J797:J798"/>
    <mergeCell ref="K797:K798"/>
    <mergeCell ref="H772:L772"/>
    <mergeCell ref="H773:L773"/>
    <mergeCell ref="A774:E774"/>
    <mergeCell ref="H774:L774"/>
    <mergeCell ref="A775:E775"/>
    <mergeCell ref="A776:E776"/>
    <mergeCell ref="A772:A773"/>
    <mergeCell ref="B772:B773"/>
    <mergeCell ref="C772:C773"/>
    <mergeCell ref="D772:D773"/>
    <mergeCell ref="E772:E773"/>
    <mergeCell ref="F772:F773"/>
    <mergeCell ref="I799:I800"/>
    <mergeCell ref="J799:J800"/>
    <mergeCell ref="K799:K800"/>
    <mergeCell ref="L799:L800"/>
    <mergeCell ref="M799:M800"/>
    <mergeCell ref="A801:A802"/>
    <mergeCell ref="B801:B802"/>
    <mergeCell ref="C801:C802"/>
    <mergeCell ref="D801:D802"/>
    <mergeCell ref="E801:E802"/>
    <mergeCell ref="L797:L798"/>
    <mergeCell ref="M797:M798"/>
    <mergeCell ref="N797:O797"/>
    <mergeCell ref="A799:A800"/>
    <mergeCell ref="B799:B800"/>
    <mergeCell ref="C799:C800"/>
    <mergeCell ref="D799:D800"/>
    <mergeCell ref="E799:E800"/>
    <mergeCell ref="F799:F800"/>
    <mergeCell ref="H799:H800"/>
    <mergeCell ref="H805:H806"/>
    <mergeCell ref="I805:I806"/>
    <mergeCell ref="J805:J806"/>
    <mergeCell ref="K805:K806"/>
    <mergeCell ref="L805:L806"/>
    <mergeCell ref="M805:M806"/>
    <mergeCell ref="A805:A806"/>
    <mergeCell ref="B805:B806"/>
    <mergeCell ref="C805:C806"/>
    <mergeCell ref="D805:D806"/>
    <mergeCell ref="E805:E806"/>
    <mergeCell ref="F805:F806"/>
    <mergeCell ref="M801:M802"/>
    <mergeCell ref="H803:H804"/>
    <mergeCell ref="I803:I804"/>
    <mergeCell ref="J803:J804"/>
    <mergeCell ref="K803:K804"/>
    <mergeCell ref="L803:L804"/>
    <mergeCell ref="M803:M804"/>
    <mergeCell ref="F801:F802"/>
    <mergeCell ref="H801:H802"/>
    <mergeCell ref="I801:I802"/>
    <mergeCell ref="J801:J802"/>
    <mergeCell ref="K801:K802"/>
    <mergeCell ref="L801:L802"/>
    <mergeCell ref="H815:K815"/>
    <mergeCell ref="M815:O815"/>
    <mergeCell ref="A817:D817"/>
    <mergeCell ref="M820:O820"/>
    <mergeCell ref="H830:O830"/>
    <mergeCell ref="A832:G832"/>
    <mergeCell ref="H832:H833"/>
    <mergeCell ref="I832:I833"/>
    <mergeCell ref="J832:J833"/>
    <mergeCell ref="K832:K833"/>
    <mergeCell ref="H807:L807"/>
    <mergeCell ref="H808:L808"/>
    <mergeCell ref="A809:E809"/>
    <mergeCell ref="H809:L809"/>
    <mergeCell ref="A810:E810"/>
    <mergeCell ref="A811:E811"/>
    <mergeCell ref="A807:A808"/>
    <mergeCell ref="B807:B808"/>
    <mergeCell ref="C807:C808"/>
    <mergeCell ref="D807:D808"/>
    <mergeCell ref="E807:E808"/>
    <mergeCell ref="F807:F808"/>
    <mergeCell ref="I834:I835"/>
    <mergeCell ref="J834:J835"/>
    <mergeCell ref="K834:K835"/>
    <mergeCell ref="L834:L835"/>
    <mergeCell ref="M834:M835"/>
    <mergeCell ref="A836:A837"/>
    <mergeCell ref="B836:B837"/>
    <mergeCell ref="C836:C837"/>
    <mergeCell ref="D836:D837"/>
    <mergeCell ref="E836:E837"/>
    <mergeCell ref="L832:L833"/>
    <mergeCell ref="M832:M833"/>
    <mergeCell ref="N832:O832"/>
    <mergeCell ref="A834:A835"/>
    <mergeCell ref="B834:B835"/>
    <mergeCell ref="C834:C835"/>
    <mergeCell ref="D834:D835"/>
    <mergeCell ref="E834:E835"/>
    <mergeCell ref="F834:F835"/>
    <mergeCell ref="H834:H835"/>
    <mergeCell ref="M842:M843"/>
    <mergeCell ref="A842:A843"/>
    <mergeCell ref="B842:B843"/>
    <mergeCell ref="C842:C843"/>
    <mergeCell ref="D842:D843"/>
    <mergeCell ref="E842:E843"/>
    <mergeCell ref="F842:F843"/>
    <mergeCell ref="K838:K839"/>
    <mergeCell ref="L838:L839"/>
    <mergeCell ref="M838:M839"/>
    <mergeCell ref="H840:H841"/>
    <mergeCell ref="I840:I841"/>
    <mergeCell ref="J840:J841"/>
    <mergeCell ref="K840:K841"/>
    <mergeCell ref="L840:L841"/>
    <mergeCell ref="M840:M841"/>
    <mergeCell ref="M836:M837"/>
    <mergeCell ref="A838:A839"/>
    <mergeCell ref="B838:B839"/>
    <mergeCell ref="C838:C839"/>
    <mergeCell ref="D838:D839"/>
    <mergeCell ref="E838:E839"/>
    <mergeCell ref="F838:F839"/>
    <mergeCell ref="H838:H839"/>
    <mergeCell ref="I838:I839"/>
    <mergeCell ref="J838:J839"/>
    <mergeCell ref="F836:F837"/>
    <mergeCell ref="H836:H837"/>
    <mergeCell ref="I836:I837"/>
    <mergeCell ref="J836:J837"/>
    <mergeCell ref="K836:K837"/>
    <mergeCell ref="L836:L837"/>
    <mergeCell ref="H844:L844"/>
    <mergeCell ref="H845:L845"/>
    <mergeCell ref="A846:E846"/>
    <mergeCell ref="H846:L846"/>
    <mergeCell ref="A847:E847"/>
    <mergeCell ref="A848:E848"/>
    <mergeCell ref="A844:A845"/>
    <mergeCell ref="B844:B845"/>
    <mergeCell ref="C844:C845"/>
    <mergeCell ref="D844:D845"/>
    <mergeCell ref="E844:E845"/>
    <mergeCell ref="F844:F845"/>
    <mergeCell ref="H842:H843"/>
    <mergeCell ref="I842:I843"/>
    <mergeCell ref="J842:J843"/>
    <mergeCell ref="K842:K843"/>
    <mergeCell ref="L842:L843"/>
    <mergeCell ref="N869:O869"/>
    <mergeCell ref="A871:A872"/>
    <mergeCell ref="B871:B872"/>
    <mergeCell ref="C871:C872"/>
    <mergeCell ref="D871:D872"/>
    <mergeCell ref="E871:E872"/>
    <mergeCell ref="F871:F872"/>
    <mergeCell ref="H871:H872"/>
    <mergeCell ref="I871:I872"/>
    <mergeCell ref="A869:G869"/>
    <mergeCell ref="H869:H870"/>
    <mergeCell ref="I869:I870"/>
    <mergeCell ref="J869:J870"/>
    <mergeCell ref="K869:K870"/>
    <mergeCell ref="L869:L870"/>
    <mergeCell ref="H852:K852"/>
    <mergeCell ref="A854:D854"/>
    <mergeCell ref="M854:O854"/>
    <mergeCell ref="M858:O858"/>
    <mergeCell ref="M859:O859"/>
    <mergeCell ref="H867:O867"/>
    <mergeCell ref="H873:H874"/>
    <mergeCell ref="I873:I874"/>
    <mergeCell ref="J873:J874"/>
    <mergeCell ref="K873:K874"/>
    <mergeCell ref="L873:L874"/>
    <mergeCell ref="M873:M874"/>
    <mergeCell ref="J871:J872"/>
    <mergeCell ref="K871:K872"/>
    <mergeCell ref="L871:L872"/>
    <mergeCell ref="M871:M872"/>
    <mergeCell ref="A873:A874"/>
    <mergeCell ref="B873:B874"/>
    <mergeCell ref="C873:C874"/>
    <mergeCell ref="D873:D874"/>
    <mergeCell ref="E873:E874"/>
    <mergeCell ref="F873:F874"/>
    <mergeCell ref="M869:M870"/>
    <mergeCell ref="H877:H878"/>
    <mergeCell ref="I877:I878"/>
    <mergeCell ref="J877:J878"/>
    <mergeCell ref="K877:K878"/>
    <mergeCell ref="L877:L878"/>
    <mergeCell ref="M877:M878"/>
    <mergeCell ref="A877:A878"/>
    <mergeCell ref="B877:B878"/>
    <mergeCell ref="C877:C878"/>
    <mergeCell ref="D877:D878"/>
    <mergeCell ref="E877:E878"/>
    <mergeCell ref="F877:F878"/>
    <mergeCell ref="H875:H876"/>
    <mergeCell ref="I875:I876"/>
    <mergeCell ref="J875:J876"/>
    <mergeCell ref="K875:K876"/>
    <mergeCell ref="L875:L876"/>
    <mergeCell ref="M875:M876"/>
    <mergeCell ref="A875:A876"/>
    <mergeCell ref="B875:B876"/>
    <mergeCell ref="C875:C876"/>
    <mergeCell ref="D875:D876"/>
    <mergeCell ref="E875:E876"/>
    <mergeCell ref="F875:F876"/>
    <mergeCell ref="H881:H882"/>
    <mergeCell ref="I881:I882"/>
    <mergeCell ref="J881:J882"/>
    <mergeCell ref="K881:K882"/>
    <mergeCell ref="L881:L882"/>
    <mergeCell ref="M881:M882"/>
    <mergeCell ref="A881:A882"/>
    <mergeCell ref="B881:B882"/>
    <mergeCell ref="C881:C882"/>
    <mergeCell ref="D881:D882"/>
    <mergeCell ref="E881:E882"/>
    <mergeCell ref="F881:F882"/>
    <mergeCell ref="H879:H880"/>
    <mergeCell ref="I879:I880"/>
    <mergeCell ref="J879:J880"/>
    <mergeCell ref="K879:K880"/>
    <mergeCell ref="L879:L880"/>
    <mergeCell ref="M879:M880"/>
    <mergeCell ref="H891:K891"/>
    <mergeCell ref="M891:O891"/>
    <mergeCell ref="A893:D893"/>
    <mergeCell ref="M893:O893"/>
    <mergeCell ref="M894:O894"/>
    <mergeCell ref="M895:O895"/>
    <mergeCell ref="H883:L883"/>
    <mergeCell ref="H884:L884"/>
    <mergeCell ref="A885:E885"/>
    <mergeCell ref="H885:L885"/>
    <mergeCell ref="A886:E886"/>
    <mergeCell ref="A887:E887"/>
    <mergeCell ref="A883:A884"/>
    <mergeCell ref="B883:B884"/>
    <mergeCell ref="C883:C884"/>
    <mergeCell ref="D883:D884"/>
    <mergeCell ref="E883:E884"/>
    <mergeCell ref="F883:F884"/>
    <mergeCell ref="H910:H911"/>
    <mergeCell ref="I910:I911"/>
    <mergeCell ref="J910:J911"/>
    <mergeCell ref="K910:K911"/>
    <mergeCell ref="L910:L911"/>
    <mergeCell ref="M910:M911"/>
    <mergeCell ref="A910:A911"/>
    <mergeCell ref="B910:B911"/>
    <mergeCell ref="C910:C911"/>
    <mergeCell ref="D910:D911"/>
    <mergeCell ref="E910:E911"/>
    <mergeCell ref="F910:F911"/>
    <mergeCell ref="M896:O896"/>
    <mergeCell ref="H906:O906"/>
    <mergeCell ref="A908:G908"/>
    <mergeCell ref="H908:H909"/>
    <mergeCell ref="I908:I909"/>
    <mergeCell ref="J908:J909"/>
    <mergeCell ref="K908:K909"/>
    <mergeCell ref="L908:L909"/>
    <mergeCell ref="M908:M909"/>
    <mergeCell ref="N908:O908"/>
    <mergeCell ref="H914:H915"/>
    <mergeCell ref="I914:I915"/>
    <mergeCell ref="J914:J915"/>
    <mergeCell ref="K914:K915"/>
    <mergeCell ref="L914:L915"/>
    <mergeCell ref="M914:M915"/>
    <mergeCell ref="A914:A915"/>
    <mergeCell ref="B914:B915"/>
    <mergeCell ref="C914:C915"/>
    <mergeCell ref="D914:D915"/>
    <mergeCell ref="E914:E915"/>
    <mergeCell ref="F914:F915"/>
    <mergeCell ref="H912:H913"/>
    <mergeCell ref="I912:I913"/>
    <mergeCell ref="J912:J913"/>
    <mergeCell ref="K912:K913"/>
    <mergeCell ref="L912:L913"/>
    <mergeCell ref="M912:M913"/>
    <mergeCell ref="A912:A913"/>
    <mergeCell ref="B912:B913"/>
    <mergeCell ref="C912:C913"/>
    <mergeCell ref="D912:D913"/>
    <mergeCell ref="E912:E913"/>
    <mergeCell ref="F912:F913"/>
    <mergeCell ref="H918:H919"/>
    <mergeCell ref="I918:I919"/>
    <mergeCell ref="J918:J919"/>
    <mergeCell ref="K918:K919"/>
    <mergeCell ref="L918:L919"/>
    <mergeCell ref="M918:M919"/>
    <mergeCell ref="A918:A919"/>
    <mergeCell ref="B918:B919"/>
    <mergeCell ref="C918:C919"/>
    <mergeCell ref="D918:D919"/>
    <mergeCell ref="E918:E919"/>
    <mergeCell ref="F918:F919"/>
    <mergeCell ref="H916:H917"/>
    <mergeCell ref="I916:I917"/>
    <mergeCell ref="J916:J917"/>
    <mergeCell ref="K916:K917"/>
    <mergeCell ref="L916:L917"/>
    <mergeCell ref="M916:M917"/>
    <mergeCell ref="A916:A917"/>
    <mergeCell ref="B916:B917"/>
    <mergeCell ref="C916:C917"/>
    <mergeCell ref="D916:D917"/>
    <mergeCell ref="E916:E917"/>
    <mergeCell ref="F916:F917"/>
    <mergeCell ref="H928:K928"/>
    <mergeCell ref="M928:O928"/>
    <mergeCell ref="A930:D930"/>
    <mergeCell ref="M933:O933"/>
    <mergeCell ref="H943:O943"/>
    <mergeCell ref="A945:G945"/>
    <mergeCell ref="H945:H946"/>
    <mergeCell ref="I945:I946"/>
    <mergeCell ref="J945:J946"/>
    <mergeCell ref="K945:K946"/>
    <mergeCell ref="H920:L920"/>
    <mergeCell ref="H921:L921"/>
    <mergeCell ref="A922:E922"/>
    <mergeCell ref="H922:L922"/>
    <mergeCell ref="A923:E923"/>
    <mergeCell ref="A924:E924"/>
    <mergeCell ref="A920:A921"/>
    <mergeCell ref="B920:B921"/>
    <mergeCell ref="C920:C921"/>
    <mergeCell ref="D920:D921"/>
    <mergeCell ref="E920:E921"/>
    <mergeCell ref="F920:F921"/>
    <mergeCell ref="I947:I948"/>
    <mergeCell ref="J947:J948"/>
    <mergeCell ref="K947:K948"/>
    <mergeCell ref="L947:L948"/>
    <mergeCell ref="M947:M948"/>
    <mergeCell ref="A949:A950"/>
    <mergeCell ref="B949:B950"/>
    <mergeCell ref="C949:C950"/>
    <mergeCell ref="D949:D950"/>
    <mergeCell ref="E949:E950"/>
    <mergeCell ref="L945:L946"/>
    <mergeCell ref="M945:M946"/>
    <mergeCell ref="N945:O945"/>
    <mergeCell ref="A947:A948"/>
    <mergeCell ref="B947:B948"/>
    <mergeCell ref="C947:C948"/>
    <mergeCell ref="D947:D948"/>
    <mergeCell ref="E947:E948"/>
    <mergeCell ref="F947:F948"/>
    <mergeCell ref="H947:H948"/>
    <mergeCell ref="K951:K952"/>
    <mergeCell ref="L951:L952"/>
    <mergeCell ref="M951:M952"/>
    <mergeCell ref="H953:H954"/>
    <mergeCell ref="I953:I954"/>
    <mergeCell ref="J953:J954"/>
    <mergeCell ref="K953:K954"/>
    <mergeCell ref="L953:L954"/>
    <mergeCell ref="M953:M954"/>
    <mergeCell ref="M949:M950"/>
    <mergeCell ref="A951:A952"/>
    <mergeCell ref="B951:B952"/>
    <mergeCell ref="C951:C952"/>
    <mergeCell ref="D951:D952"/>
    <mergeCell ref="E951:E952"/>
    <mergeCell ref="F951:F952"/>
    <mergeCell ref="H951:H952"/>
    <mergeCell ref="I951:I952"/>
    <mergeCell ref="J951:J952"/>
    <mergeCell ref="F949:F950"/>
    <mergeCell ref="H949:H950"/>
    <mergeCell ref="I949:I950"/>
    <mergeCell ref="J949:J950"/>
    <mergeCell ref="K949:K950"/>
    <mergeCell ref="L949:L950"/>
    <mergeCell ref="H957:H958"/>
    <mergeCell ref="I957:I958"/>
    <mergeCell ref="J957:J958"/>
    <mergeCell ref="K957:K958"/>
    <mergeCell ref="L957:L958"/>
    <mergeCell ref="M957:M958"/>
    <mergeCell ref="A957:A958"/>
    <mergeCell ref="B957:B958"/>
    <mergeCell ref="C957:C958"/>
    <mergeCell ref="D957:D958"/>
    <mergeCell ref="E957:E958"/>
    <mergeCell ref="F957:F958"/>
    <mergeCell ref="H955:H956"/>
    <mergeCell ref="I955:I956"/>
    <mergeCell ref="J955:J956"/>
    <mergeCell ref="K955:K956"/>
    <mergeCell ref="L955:L956"/>
    <mergeCell ref="M955:M956"/>
    <mergeCell ref="A955:A956"/>
    <mergeCell ref="B955:B956"/>
    <mergeCell ref="C955:C956"/>
    <mergeCell ref="D955:D956"/>
    <mergeCell ref="E955:E956"/>
    <mergeCell ref="F955:F956"/>
    <mergeCell ref="H967:K967"/>
    <mergeCell ref="A969:D969"/>
    <mergeCell ref="M972:O972"/>
    <mergeCell ref="H982:O982"/>
    <mergeCell ref="A984:G984"/>
    <mergeCell ref="H984:H985"/>
    <mergeCell ref="I984:I985"/>
    <mergeCell ref="J984:J985"/>
    <mergeCell ref="K984:K985"/>
    <mergeCell ref="L984:L985"/>
    <mergeCell ref="H959:L959"/>
    <mergeCell ref="H960:L960"/>
    <mergeCell ref="A961:E961"/>
    <mergeCell ref="H961:L961"/>
    <mergeCell ref="A962:E962"/>
    <mergeCell ref="A963:E963"/>
    <mergeCell ref="A959:A960"/>
    <mergeCell ref="B959:B960"/>
    <mergeCell ref="C959:C960"/>
    <mergeCell ref="D959:D960"/>
    <mergeCell ref="E959:E960"/>
    <mergeCell ref="F959:F960"/>
    <mergeCell ref="J986:J987"/>
    <mergeCell ref="K986:K987"/>
    <mergeCell ref="L986:L987"/>
    <mergeCell ref="M986:M987"/>
    <mergeCell ref="A988:A989"/>
    <mergeCell ref="B988:B989"/>
    <mergeCell ref="C988:C989"/>
    <mergeCell ref="D988:D989"/>
    <mergeCell ref="E988:E989"/>
    <mergeCell ref="F988:F989"/>
    <mergeCell ref="M984:M985"/>
    <mergeCell ref="N984:O984"/>
    <mergeCell ref="A986:A987"/>
    <mergeCell ref="B986:B987"/>
    <mergeCell ref="C986:C987"/>
    <mergeCell ref="D986:D987"/>
    <mergeCell ref="E986:E987"/>
    <mergeCell ref="F986:F987"/>
    <mergeCell ref="H986:H987"/>
    <mergeCell ref="I986:I987"/>
    <mergeCell ref="H990:H991"/>
    <mergeCell ref="I990:I991"/>
    <mergeCell ref="J990:J991"/>
    <mergeCell ref="K990:K991"/>
    <mergeCell ref="L990:L991"/>
    <mergeCell ref="M990:M991"/>
    <mergeCell ref="A990:A991"/>
    <mergeCell ref="B990:B991"/>
    <mergeCell ref="C990:C991"/>
    <mergeCell ref="D990:D991"/>
    <mergeCell ref="E990:E991"/>
    <mergeCell ref="F990:F991"/>
    <mergeCell ref="H988:H989"/>
    <mergeCell ref="I988:I989"/>
    <mergeCell ref="J988:J989"/>
    <mergeCell ref="K988:K989"/>
    <mergeCell ref="L988:L989"/>
    <mergeCell ref="M988:M989"/>
    <mergeCell ref="M996:M997"/>
    <mergeCell ref="A996:A997"/>
    <mergeCell ref="B996:B997"/>
    <mergeCell ref="C996:C997"/>
    <mergeCell ref="D996:D997"/>
    <mergeCell ref="E996:E997"/>
    <mergeCell ref="F996:F997"/>
    <mergeCell ref="H994:H995"/>
    <mergeCell ref="I994:I995"/>
    <mergeCell ref="J994:J995"/>
    <mergeCell ref="K994:K995"/>
    <mergeCell ref="L994:L995"/>
    <mergeCell ref="M994:M995"/>
    <mergeCell ref="H992:H993"/>
    <mergeCell ref="I992:I993"/>
    <mergeCell ref="J992:J993"/>
    <mergeCell ref="K992:K993"/>
    <mergeCell ref="L992:L993"/>
    <mergeCell ref="M992:M993"/>
    <mergeCell ref="H998:L998"/>
    <mergeCell ref="H999:L999"/>
    <mergeCell ref="A1000:E1000"/>
    <mergeCell ref="H1000:L1000"/>
    <mergeCell ref="A1001:E1001"/>
    <mergeCell ref="A1002:E1002"/>
    <mergeCell ref="A998:A999"/>
    <mergeCell ref="B998:B999"/>
    <mergeCell ref="C998:C999"/>
    <mergeCell ref="D998:D999"/>
    <mergeCell ref="E998:E999"/>
    <mergeCell ref="F998:F999"/>
    <mergeCell ref="L996:L997"/>
    <mergeCell ref="H996:H997"/>
    <mergeCell ref="I996:I997"/>
    <mergeCell ref="J996:J997"/>
    <mergeCell ref="K996:K997"/>
    <mergeCell ref="A1027:A1028"/>
    <mergeCell ref="B1027:B1028"/>
    <mergeCell ref="C1027:C1028"/>
    <mergeCell ref="D1027:D1028"/>
    <mergeCell ref="E1027:E1028"/>
    <mergeCell ref="F1027:F1028"/>
    <mergeCell ref="M1023:M1024"/>
    <mergeCell ref="N1023:O1023"/>
    <mergeCell ref="A1025:A1026"/>
    <mergeCell ref="B1025:B1026"/>
    <mergeCell ref="C1025:C1026"/>
    <mergeCell ref="D1025:D1026"/>
    <mergeCell ref="E1025:E1026"/>
    <mergeCell ref="F1025:F1026"/>
    <mergeCell ref="H1025:H1026"/>
    <mergeCell ref="I1025:I1026"/>
    <mergeCell ref="H1006:K1006"/>
    <mergeCell ref="A1008:D1008"/>
    <mergeCell ref="M1011:O1011"/>
    <mergeCell ref="H1021:O1021"/>
    <mergeCell ref="A1023:G1023"/>
    <mergeCell ref="H1023:H1024"/>
    <mergeCell ref="I1023:I1024"/>
    <mergeCell ref="J1023:J1024"/>
    <mergeCell ref="K1023:K1024"/>
    <mergeCell ref="L1023:L1024"/>
    <mergeCell ref="A1029:A1030"/>
    <mergeCell ref="B1029:B1030"/>
    <mergeCell ref="C1029:C1030"/>
    <mergeCell ref="D1029:D1030"/>
    <mergeCell ref="E1029:E1030"/>
    <mergeCell ref="F1029:F1030"/>
    <mergeCell ref="H1033:L1033"/>
    <mergeCell ref="H1034:L1034"/>
    <mergeCell ref="A1035:E1035"/>
    <mergeCell ref="H1035:L1035"/>
    <mergeCell ref="A1036:E1036"/>
    <mergeCell ref="A1037:E1037"/>
    <mergeCell ref="A1033:A1034"/>
    <mergeCell ref="B1033:B1034"/>
    <mergeCell ref="C1033:C1034"/>
    <mergeCell ref="H1029:H1030"/>
    <mergeCell ref="D1033:D1034"/>
    <mergeCell ref="E1033:E1034"/>
    <mergeCell ref="F1033:F1034"/>
    <mergeCell ref="H1031:H1032"/>
    <mergeCell ref="I1031:I1032"/>
    <mergeCell ref="J1031:J1032"/>
    <mergeCell ref="K1031:K1032"/>
    <mergeCell ref="L1031:L1032"/>
    <mergeCell ref="A1031:A1032"/>
    <mergeCell ref="B1031:B1032"/>
    <mergeCell ref="C1031:C1032"/>
    <mergeCell ref="D1031:D1032"/>
    <mergeCell ref="E1031:E1032"/>
    <mergeCell ref="F1031:F1032"/>
    <mergeCell ref="H1041:K1041"/>
    <mergeCell ref="A1043:D1043"/>
    <mergeCell ref="M1046:O1046"/>
    <mergeCell ref="A1056:G1056"/>
    <mergeCell ref="H1056:O1056"/>
    <mergeCell ref="N1058:O1058"/>
    <mergeCell ref="A1060:A1061"/>
    <mergeCell ref="B1060:B1061"/>
    <mergeCell ref="C1060:C1061"/>
    <mergeCell ref="D1060:D1061"/>
    <mergeCell ref="E1060:E1061"/>
    <mergeCell ref="F1060:F1061"/>
    <mergeCell ref="H1060:H1061"/>
    <mergeCell ref="I1060:I1061"/>
    <mergeCell ref="F1058:F1059"/>
    <mergeCell ref="H1058:H1059"/>
    <mergeCell ref="I1058:I1059"/>
    <mergeCell ref="A1058:A1059"/>
    <mergeCell ref="B1058:B1059"/>
    <mergeCell ref="C1058:C1059"/>
    <mergeCell ref="D1058:D1059"/>
    <mergeCell ref="E1058:E1059"/>
    <mergeCell ref="J1060:J1061"/>
    <mergeCell ref="K1060:K1061"/>
    <mergeCell ref="L1060:L1061"/>
    <mergeCell ref="M1060:M1061"/>
    <mergeCell ref="H1064:H1065"/>
    <mergeCell ref="I1064:I1065"/>
    <mergeCell ref="J1064:J1065"/>
    <mergeCell ref="K1064:K1065"/>
    <mergeCell ref="L1064:L1065"/>
    <mergeCell ref="M1064:M1065"/>
    <mergeCell ref="A1064:A1065"/>
    <mergeCell ref="B1064:B1065"/>
    <mergeCell ref="C1064:C1065"/>
    <mergeCell ref="D1064:D1065"/>
    <mergeCell ref="E1064:E1065"/>
    <mergeCell ref="F1064:F1065"/>
    <mergeCell ref="H1062:H1063"/>
    <mergeCell ref="I1062:I1063"/>
    <mergeCell ref="J1062:J1063"/>
    <mergeCell ref="K1062:K1063"/>
    <mergeCell ref="L1062:L1063"/>
    <mergeCell ref="M1062:M1063"/>
    <mergeCell ref="F1062:F1063"/>
    <mergeCell ref="A1062:A1063"/>
    <mergeCell ref="B1062:B1063"/>
    <mergeCell ref="C1062:C1063"/>
    <mergeCell ref="D1062:D1063"/>
    <mergeCell ref="E1062:E1063"/>
    <mergeCell ref="A1070:E1070"/>
    <mergeCell ref="H1070:L1070"/>
    <mergeCell ref="A1071:E1071"/>
    <mergeCell ref="H1071:L1071"/>
    <mergeCell ref="A1072:E1072"/>
    <mergeCell ref="H1072:L1072"/>
    <mergeCell ref="H1068:H1069"/>
    <mergeCell ref="I1068:I1069"/>
    <mergeCell ref="J1068:J1069"/>
    <mergeCell ref="K1068:K1069"/>
    <mergeCell ref="L1068:L1069"/>
    <mergeCell ref="M1068:M1069"/>
    <mergeCell ref="A1068:A1069"/>
    <mergeCell ref="B1068:B1069"/>
    <mergeCell ref="C1068:C1069"/>
    <mergeCell ref="D1068:D1069"/>
    <mergeCell ref="E1068:E1069"/>
    <mergeCell ref="F1068:F1069"/>
    <mergeCell ref="I1066:I1067"/>
    <mergeCell ref="J1066:J1067"/>
    <mergeCell ref="K1066:K1067"/>
    <mergeCell ref="L1066:L1067"/>
    <mergeCell ref="M1066:M1067"/>
    <mergeCell ref="H1066:H1067"/>
    <mergeCell ref="M1095:M1096"/>
    <mergeCell ref="N1095:O1095"/>
    <mergeCell ref="A1097:A1098"/>
    <mergeCell ref="B1097:B1098"/>
    <mergeCell ref="C1097:C1098"/>
    <mergeCell ref="D1097:D1098"/>
    <mergeCell ref="E1097:E1098"/>
    <mergeCell ref="F1097:F1098"/>
    <mergeCell ref="H1097:H1098"/>
    <mergeCell ref="I1097:I1098"/>
    <mergeCell ref="F1095:F1096"/>
    <mergeCell ref="H1095:H1096"/>
    <mergeCell ref="I1095:I1096"/>
    <mergeCell ref="J1095:J1096"/>
    <mergeCell ref="K1095:K1096"/>
    <mergeCell ref="L1095:L1096"/>
    <mergeCell ref="A1078:D1078"/>
    <mergeCell ref="H1078:K1078"/>
    <mergeCell ref="M1083:O1083"/>
    <mergeCell ref="A1093:G1093"/>
    <mergeCell ref="H1093:O1093"/>
    <mergeCell ref="A1095:A1096"/>
    <mergeCell ref="B1095:B1096"/>
    <mergeCell ref="C1095:C1096"/>
    <mergeCell ref="D1095:D1096"/>
    <mergeCell ref="E1095:E1096"/>
    <mergeCell ref="A1101:A1102"/>
    <mergeCell ref="B1101:B1102"/>
    <mergeCell ref="C1101:C1102"/>
    <mergeCell ref="D1101:D1102"/>
    <mergeCell ref="E1101:E1102"/>
    <mergeCell ref="F1101:F1102"/>
    <mergeCell ref="H1099:H1100"/>
    <mergeCell ref="I1099:I1100"/>
    <mergeCell ref="J1099:J1100"/>
    <mergeCell ref="K1099:K1100"/>
    <mergeCell ref="L1099:L1100"/>
    <mergeCell ref="M1099:M1100"/>
    <mergeCell ref="J1097:J1098"/>
    <mergeCell ref="K1097:K1098"/>
    <mergeCell ref="L1097:L1098"/>
    <mergeCell ref="M1097:M1098"/>
    <mergeCell ref="A1099:A1100"/>
    <mergeCell ref="B1099:B1100"/>
    <mergeCell ref="C1099:C1100"/>
    <mergeCell ref="D1099:D1100"/>
    <mergeCell ref="E1099:E1100"/>
    <mergeCell ref="F1099:F1100"/>
    <mergeCell ref="H1105:H1106"/>
    <mergeCell ref="I1105:I1106"/>
    <mergeCell ref="J1105:J1106"/>
    <mergeCell ref="K1105:K1106"/>
    <mergeCell ref="L1105:L1106"/>
    <mergeCell ref="M1105:M1106"/>
    <mergeCell ref="H1103:H1104"/>
    <mergeCell ref="I1103:I1104"/>
    <mergeCell ref="J1103:J1104"/>
    <mergeCell ref="K1103:K1104"/>
    <mergeCell ref="L1103:L1104"/>
    <mergeCell ref="M1103:M1104"/>
    <mergeCell ref="H1101:H1102"/>
    <mergeCell ref="I1101:I1102"/>
    <mergeCell ref="J1101:J1102"/>
    <mergeCell ref="K1101:K1102"/>
    <mergeCell ref="L1101:L1102"/>
    <mergeCell ref="M1101:M1102"/>
    <mergeCell ref="A1117:D1117"/>
    <mergeCell ref="H1117:K1117"/>
    <mergeCell ref="M1117:O1117"/>
    <mergeCell ref="M1122:O1122"/>
    <mergeCell ref="A1132:G1132"/>
    <mergeCell ref="H1132:O1132"/>
    <mergeCell ref="A1109:E1109"/>
    <mergeCell ref="H1109:L1109"/>
    <mergeCell ref="A1110:E1110"/>
    <mergeCell ref="H1110:L1110"/>
    <mergeCell ref="A1111:E1111"/>
    <mergeCell ref="H1111:L1111"/>
    <mergeCell ref="H1107:H1108"/>
    <mergeCell ref="I1107:I1108"/>
    <mergeCell ref="J1107:J1108"/>
    <mergeCell ref="K1107:K1108"/>
    <mergeCell ref="L1107:L1108"/>
    <mergeCell ref="M1107:M1108"/>
    <mergeCell ref="N1134:O1134"/>
    <mergeCell ref="A1136:A1137"/>
    <mergeCell ref="B1136:B1137"/>
    <mergeCell ref="C1136:C1137"/>
    <mergeCell ref="D1136:D1137"/>
    <mergeCell ref="E1136:E1137"/>
    <mergeCell ref="F1136:F1137"/>
    <mergeCell ref="H1136:H1137"/>
    <mergeCell ref="I1136:I1137"/>
    <mergeCell ref="J1136:J1137"/>
    <mergeCell ref="H1134:H1135"/>
    <mergeCell ref="I1134:I1135"/>
    <mergeCell ref="J1134:J1135"/>
    <mergeCell ref="K1134:K1135"/>
    <mergeCell ref="L1134:L1135"/>
    <mergeCell ref="M1134:M1135"/>
    <mergeCell ref="A1134:A1135"/>
    <mergeCell ref="B1134:B1135"/>
    <mergeCell ref="C1134:C1135"/>
    <mergeCell ref="D1134:D1135"/>
    <mergeCell ref="E1134:E1135"/>
    <mergeCell ref="F1134:F1135"/>
    <mergeCell ref="I1138:I1139"/>
    <mergeCell ref="J1138:J1139"/>
    <mergeCell ref="K1138:K1139"/>
    <mergeCell ref="L1138:L1139"/>
    <mergeCell ref="M1138:M1139"/>
    <mergeCell ref="A1140:A1141"/>
    <mergeCell ref="B1140:B1141"/>
    <mergeCell ref="C1140:C1141"/>
    <mergeCell ref="D1140:D1141"/>
    <mergeCell ref="E1140:E1141"/>
    <mergeCell ref="K1136:K1137"/>
    <mergeCell ref="L1136:L1137"/>
    <mergeCell ref="M1136:M1137"/>
    <mergeCell ref="A1138:A1139"/>
    <mergeCell ref="B1138:B1139"/>
    <mergeCell ref="C1138:C1139"/>
    <mergeCell ref="D1138:D1139"/>
    <mergeCell ref="E1138:E1139"/>
    <mergeCell ref="F1138:F1139"/>
    <mergeCell ref="H1138:H1139"/>
    <mergeCell ref="K1142:K1143"/>
    <mergeCell ref="L1142:L1143"/>
    <mergeCell ref="M1142:M1143"/>
    <mergeCell ref="A1144:A1145"/>
    <mergeCell ref="B1144:B1145"/>
    <mergeCell ref="C1144:C1145"/>
    <mergeCell ref="D1144:D1145"/>
    <mergeCell ref="E1144:E1145"/>
    <mergeCell ref="F1144:F1145"/>
    <mergeCell ref="H1144:H1145"/>
    <mergeCell ref="M1140:M1141"/>
    <mergeCell ref="A1142:A1143"/>
    <mergeCell ref="B1142:B1143"/>
    <mergeCell ref="C1142:C1143"/>
    <mergeCell ref="D1142:D1143"/>
    <mergeCell ref="E1142:E1143"/>
    <mergeCell ref="F1142:F1143"/>
    <mergeCell ref="H1142:H1143"/>
    <mergeCell ref="I1142:I1143"/>
    <mergeCell ref="J1142:J1143"/>
    <mergeCell ref="F1140:F1141"/>
    <mergeCell ref="H1140:H1141"/>
    <mergeCell ref="I1140:I1141"/>
    <mergeCell ref="J1140:J1141"/>
    <mergeCell ref="K1140:K1141"/>
    <mergeCell ref="L1140:L1141"/>
    <mergeCell ref="M1154:O1154"/>
    <mergeCell ref="M1158:O1158"/>
    <mergeCell ref="A1169:G1169"/>
    <mergeCell ref="H1169:O1169"/>
    <mergeCell ref="A1171:A1172"/>
    <mergeCell ref="B1171:B1172"/>
    <mergeCell ref="C1171:C1172"/>
    <mergeCell ref="D1171:D1172"/>
    <mergeCell ref="E1171:E1172"/>
    <mergeCell ref="F1171:F1172"/>
    <mergeCell ref="A1147:E1147"/>
    <mergeCell ref="H1147:L1147"/>
    <mergeCell ref="A1148:E1148"/>
    <mergeCell ref="H1148:L1148"/>
    <mergeCell ref="A1154:D1154"/>
    <mergeCell ref="H1154:K1154"/>
    <mergeCell ref="I1144:I1145"/>
    <mergeCell ref="J1144:J1145"/>
    <mergeCell ref="K1144:K1145"/>
    <mergeCell ref="L1144:L1145"/>
    <mergeCell ref="M1144:M1145"/>
    <mergeCell ref="A1146:E1146"/>
    <mergeCell ref="H1146:L1146"/>
    <mergeCell ref="K1173:K1174"/>
    <mergeCell ref="L1173:L1174"/>
    <mergeCell ref="M1173:M1174"/>
    <mergeCell ref="A1175:A1176"/>
    <mergeCell ref="B1175:B1176"/>
    <mergeCell ref="C1175:C1176"/>
    <mergeCell ref="D1175:D1176"/>
    <mergeCell ref="E1175:E1176"/>
    <mergeCell ref="F1175:F1176"/>
    <mergeCell ref="H1175:H1176"/>
    <mergeCell ref="N1171:O1171"/>
    <mergeCell ref="A1173:A1174"/>
    <mergeCell ref="B1173:B1174"/>
    <mergeCell ref="C1173:C1174"/>
    <mergeCell ref="D1173:D1174"/>
    <mergeCell ref="E1173:E1174"/>
    <mergeCell ref="F1173:F1174"/>
    <mergeCell ref="H1173:H1174"/>
    <mergeCell ref="I1173:I1174"/>
    <mergeCell ref="J1173:J1174"/>
    <mergeCell ref="H1171:H1172"/>
    <mergeCell ref="I1171:I1172"/>
    <mergeCell ref="J1171:J1172"/>
    <mergeCell ref="K1171:K1172"/>
    <mergeCell ref="L1171:L1172"/>
    <mergeCell ref="M1171:M1172"/>
    <mergeCell ref="M1177:M1178"/>
    <mergeCell ref="A1179:A1180"/>
    <mergeCell ref="B1179:B1180"/>
    <mergeCell ref="C1179:C1180"/>
    <mergeCell ref="D1179:D1180"/>
    <mergeCell ref="E1179:E1180"/>
    <mergeCell ref="F1179:F1180"/>
    <mergeCell ref="H1179:H1180"/>
    <mergeCell ref="I1179:I1180"/>
    <mergeCell ref="J1179:J1180"/>
    <mergeCell ref="F1177:F1178"/>
    <mergeCell ref="H1177:H1178"/>
    <mergeCell ref="I1177:I1178"/>
    <mergeCell ref="J1177:J1178"/>
    <mergeCell ref="K1177:K1178"/>
    <mergeCell ref="L1177:L1178"/>
    <mergeCell ref="I1175:I1176"/>
    <mergeCell ref="J1175:J1176"/>
    <mergeCell ref="K1175:K1176"/>
    <mergeCell ref="L1175:L1176"/>
    <mergeCell ref="M1175:M1176"/>
    <mergeCell ref="A1177:A1178"/>
    <mergeCell ref="B1177:B1178"/>
    <mergeCell ref="C1177:C1178"/>
    <mergeCell ref="D1177:D1178"/>
    <mergeCell ref="E1177:E1178"/>
    <mergeCell ref="A1184:E1184"/>
    <mergeCell ref="H1184:L1184"/>
    <mergeCell ref="A1185:E1185"/>
    <mergeCell ref="H1185:L1185"/>
    <mergeCell ref="A1191:D1191"/>
    <mergeCell ref="H1191:K1191"/>
    <mergeCell ref="I1181:I1182"/>
    <mergeCell ref="J1181:J1182"/>
    <mergeCell ref="K1181:K1182"/>
    <mergeCell ref="L1181:L1182"/>
    <mergeCell ref="M1181:M1182"/>
    <mergeCell ref="A1183:E1183"/>
    <mergeCell ref="H1183:L1183"/>
    <mergeCell ref="K1179:K1180"/>
    <mergeCell ref="L1179:L1180"/>
    <mergeCell ref="M1179:M1180"/>
    <mergeCell ref="A1181:A1182"/>
    <mergeCell ref="B1181:B1182"/>
    <mergeCell ref="C1181:C1182"/>
    <mergeCell ref="D1181:D1182"/>
    <mergeCell ref="E1181:E1182"/>
    <mergeCell ref="F1181:F1182"/>
    <mergeCell ref="H1181:H1182"/>
    <mergeCell ref="N1208:O1208"/>
    <mergeCell ref="A1210:A1211"/>
    <mergeCell ref="B1210:B1211"/>
    <mergeCell ref="C1210:C1211"/>
    <mergeCell ref="D1210:D1211"/>
    <mergeCell ref="E1210:E1211"/>
    <mergeCell ref="F1210:F1211"/>
    <mergeCell ref="H1210:H1211"/>
    <mergeCell ref="I1210:I1211"/>
    <mergeCell ref="J1210:J1211"/>
    <mergeCell ref="H1208:H1209"/>
    <mergeCell ref="I1208:I1209"/>
    <mergeCell ref="J1208:J1209"/>
    <mergeCell ref="K1208:K1209"/>
    <mergeCell ref="L1208:L1209"/>
    <mergeCell ref="M1208:M1209"/>
    <mergeCell ref="M1191:O1191"/>
    <mergeCell ref="M1195:O1195"/>
    <mergeCell ref="A1206:G1206"/>
    <mergeCell ref="H1206:O1206"/>
    <mergeCell ref="A1208:A1209"/>
    <mergeCell ref="B1208:B1209"/>
    <mergeCell ref="C1208:C1209"/>
    <mergeCell ref="D1208:D1209"/>
    <mergeCell ref="E1208:E1209"/>
    <mergeCell ref="F1208:F1209"/>
    <mergeCell ref="I1212:I1213"/>
    <mergeCell ref="J1212:J1213"/>
    <mergeCell ref="K1212:K1213"/>
    <mergeCell ref="L1212:L1213"/>
    <mergeCell ref="M1212:M1213"/>
    <mergeCell ref="A1214:A1215"/>
    <mergeCell ref="B1214:B1215"/>
    <mergeCell ref="C1214:C1215"/>
    <mergeCell ref="D1214:D1215"/>
    <mergeCell ref="E1214:E1215"/>
    <mergeCell ref="K1210:K1211"/>
    <mergeCell ref="L1210:L1211"/>
    <mergeCell ref="M1210:M1211"/>
    <mergeCell ref="A1212:A1213"/>
    <mergeCell ref="B1212:B1213"/>
    <mergeCell ref="C1212:C1213"/>
    <mergeCell ref="D1212:D1213"/>
    <mergeCell ref="E1212:E1213"/>
    <mergeCell ref="F1212:F1213"/>
    <mergeCell ref="H1212:H1213"/>
    <mergeCell ref="K1216:K1217"/>
    <mergeCell ref="L1216:L1217"/>
    <mergeCell ref="M1216:M1217"/>
    <mergeCell ref="H1218:H1219"/>
    <mergeCell ref="I1218:I1219"/>
    <mergeCell ref="J1218:J1219"/>
    <mergeCell ref="K1218:K1219"/>
    <mergeCell ref="L1218:L1219"/>
    <mergeCell ref="M1218:M1219"/>
    <mergeCell ref="M1214:M1215"/>
    <mergeCell ref="A1216:A1217"/>
    <mergeCell ref="B1216:B1217"/>
    <mergeCell ref="C1216:C1217"/>
    <mergeCell ref="D1216:D1217"/>
    <mergeCell ref="E1216:E1217"/>
    <mergeCell ref="F1216:F1217"/>
    <mergeCell ref="H1216:H1217"/>
    <mergeCell ref="I1216:I1217"/>
    <mergeCell ref="J1216:J1217"/>
    <mergeCell ref="F1214:F1215"/>
    <mergeCell ref="H1214:H1215"/>
    <mergeCell ref="I1214:I1215"/>
    <mergeCell ref="J1214:J1215"/>
    <mergeCell ref="K1214:K1215"/>
    <mergeCell ref="L1214:L1215"/>
    <mergeCell ref="A1230:D1230"/>
    <mergeCell ref="H1230:K1230"/>
    <mergeCell ref="M1230:O1230"/>
    <mergeCell ref="M1235:O1235"/>
    <mergeCell ref="A1245:G1245"/>
    <mergeCell ref="H1245:O1245"/>
    <mergeCell ref="A1222:E1222"/>
    <mergeCell ref="H1222:L1222"/>
    <mergeCell ref="A1223:E1223"/>
    <mergeCell ref="H1223:L1223"/>
    <mergeCell ref="A1224:E1224"/>
    <mergeCell ref="H1224:L1224"/>
    <mergeCell ref="H1220:H1221"/>
    <mergeCell ref="I1220:I1221"/>
    <mergeCell ref="J1220:J1221"/>
    <mergeCell ref="K1220:K1221"/>
    <mergeCell ref="L1220:L1221"/>
    <mergeCell ref="M1220:M1221"/>
    <mergeCell ref="A1220:A1221"/>
    <mergeCell ref="B1220:B1221"/>
    <mergeCell ref="C1220:C1221"/>
    <mergeCell ref="D1220:D1221"/>
    <mergeCell ref="E1220:E1221"/>
    <mergeCell ref="F1220:F1221"/>
    <mergeCell ref="K1249:K1250"/>
    <mergeCell ref="L1249:L1250"/>
    <mergeCell ref="M1249:M1250"/>
    <mergeCell ref="A1251:A1252"/>
    <mergeCell ref="B1251:B1252"/>
    <mergeCell ref="C1251:C1252"/>
    <mergeCell ref="D1251:D1252"/>
    <mergeCell ref="E1251:E1252"/>
    <mergeCell ref="F1251:F1252"/>
    <mergeCell ref="H1251:H1252"/>
    <mergeCell ref="N1247:O1247"/>
    <mergeCell ref="A1249:A1250"/>
    <mergeCell ref="B1249:B1250"/>
    <mergeCell ref="C1249:C1250"/>
    <mergeCell ref="D1249:D1250"/>
    <mergeCell ref="E1249:E1250"/>
    <mergeCell ref="F1249:F1250"/>
    <mergeCell ref="H1249:H1250"/>
    <mergeCell ref="I1249:I1250"/>
    <mergeCell ref="J1249:J1250"/>
    <mergeCell ref="H1247:H1248"/>
    <mergeCell ref="I1247:I1248"/>
    <mergeCell ref="J1247:J1248"/>
    <mergeCell ref="K1247:K1248"/>
    <mergeCell ref="L1247:L1248"/>
    <mergeCell ref="M1247:M1248"/>
    <mergeCell ref="A1247:A1248"/>
    <mergeCell ref="B1247:B1248"/>
    <mergeCell ref="C1247:C1248"/>
    <mergeCell ref="D1247:D1248"/>
    <mergeCell ref="E1247:E1248"/>
    <mergeCell ref="F1247:F1248"/>
    <mergeCell ref="M1253:M1254"/>
    <mergeCell ref="A1255:A1256"/>
    <mergeCell ref="B1255:B1256"/>
    <mergeCell ref="C1255:C1256"/>
    <mergeCell ref="D1255:D1256"/>
    <mergeCell ref="E1255:E1256"/>
    <mergeCell ref="F1255:F1256"/>
    <mergeCell ref="H1255:H1256"/>
    <mergeCell ref="I1255:I1256"/>
    <mergeCell ref="J1255:J1256"/>
    <mergeCell ref="F1253:F1254"/>
    <mergeCell ref="H1253:H1254"/>
    <mergeCell ref="I1253:I1254"/>
    <mergeCell ref="J1253:J1254"/>
    <mergeCell ref="K1253:K1254"/>
    <mergeCell ref="L1253:L1254"/>
    <mergeCell ref="I1251:I1252"/>
    <mergeCell ref="J1251:J1252"/>
    <mergeCell ref="K1251:K1252"/>
    <mergeCell ref="L1251:L1252"/>
    <mergeCell ref="M1251:M1252"/>
    <mergeCell ref="A1253:A1254"/>
    <mergeCell ref="B1253:B1254"/>
    <mergeCell ref="C1253:C1254"/>
    <mergeCell ref="D1253:D1254"/>
    <mergeCell ref="E1253:E1254"/>
    <mergeCell ref="A1260:E1260"/>
    <mergeCell ref="H1260:L1260"/>
    <mergeCell ref="A1261:E1261"/>
    <mergeCell ref="H1261:L1261"/>
    <mergeCell ref="A1267:D1267"/>
    <mergeCell ref="H1267:K1267"/>
    <mergeCell ref="I1257:I1258"/>
    <mergeCell ref="J1257:J1258"/>
    <mergeCell ref="K1257:K1258"/>
    <mergeCell ref="L1257:L1258"/>
    <mergeCell ref="M1257:M1258"/>
    <mergeCell ref="A1259:E1259"/>
    <mergeCell ref="H1259:L1259"/>
    <mergeCell ref="K1255:K1256"/>
    <mergeCell ref="L1255:L1256"/>
    <mergeCell ref="M1255:M1256"/>
    <mergeCell ref="A1257:A1258"/>
    <mergeCell ref="B1257:B1258"/>
    <mergeCell ref="C1257:C1258"/>
    <mergeCell ref="D1257:D1258"/>
    <mergeCell ref="E1257:E1258"/>
    <mergeCell ref="F1257:F1258"/>
    <mergeCell ref="H1257:H1258"/>
    <mergeCell ref="N1284:O1284"/>
    <mergeCell ref="A1286:A1287"/>
    <mergeCell ref="B1286:B1287"/>
    <mergeCell ref="C1286:C1287"/>
    <mergeCell ref="D1286:D1287"/>
    <mergeCell ref="E1286:E1287"/>
    <mergeCell ref="F1286:F1287"/>
    <mergeCell ref="H1286:H1287"/>
    <mergeCell ref="I1286:I1287"/>
    <mergeCell ref="F1284:F1285"/>
    <mergeCell ref="H1284:H1285"/>
    <mergeCell ref="I1284:I1285"/>
    <mergeCell ref="J1284:J1285"/>
    <mergeCell ref="K1284:K1285"/>
    <mergeCell ref="L1284:L1285"/>
    <mergeCell ref="M1267:O1267"/>
    <mergeCell ref="M1271:O1271"/>
    <mergeCell ref="M1272:O1272"/>
    <mergeCell ref="A1282:G1282"/>
    <mergeCell ref="H1282:O1282"/>
    <mergeCell ref="A1284:A1285"/>
    <mergeCell ref="B1284:B1285"/>
    <mergeCell ref="C1284:C1285"/>
    <mergeCell ref="D1284:D1285"/>
    <mergeCell ref="E1284:E1285"/>
    <mergeCell ref="H1288:H1289"/>
    <mergeCell ref="I1288:I1289"/>
    <mergeCell ref="J1288:J1289"/>
    <mergeCell ref="K1288:K1289"/>
    <mergeCell ref="L1288:L1289"/>
    <mergeCell ref="M1288:M1289"/>
    <mergeCell ref="J1286:J1287"/>
    <mergeCell ref="K1286:K1287"/>
    <mergeCell ref="L1286:L1287"/>
    <mergeCell ref="M1286:M1287"/>
    <mergeCell ref="A1288:A1289"/>
    <mergeCell ref="B1288:B1289"/>
    <mergeCell ref="C1288:C1289"/>
    <mergeCell ref="D1288:D1289"/>
    <mergeCell ref="E1288:E1289"/>
    <mergeCell ref="F1288:F1289"/>
    <mergeCell ref="M1284:M1285"/>
    <mergeCell ref="H1292:H1293"/>
    <mergeCell ref="I1292:I1293"/>
    <mergeCell ref="J1292:J1293"/>
    <mergeCell ref="K1292:K1293"/>
    <mergeCell ref="L1292:L1293"/>
    <mergeCell ref="M1292:M1293"/>
    <mergeCell ref="A1292:A1293"/>
    <mergeCell ref="B1292:B1293"/>
    <mergeCell ref="C1292:C1293"/>
    <mergeCell ref="D1292:D1293"/>
    <mergeCell ref="E1292:E1293"/>
    <mergeCell ref="F1292:F1293"/>
    <mergeCell ref="H1290:H1291"/>
    <mergeCell ref="I1290:I1291"/>
    <mergeCell ref="J1290:J1291"/>
    <mergeCell ref="K1290:K1291"/>
    <mergeCell ref="L1290:L1291"/>
    <mergeCell ref="M1290:M1291"/>
    <mergeCell ref="A1290:A1291"/>
    <mergeCell ref="B1290:B1291"/>
    <mergeCell ref="C1290:C1291"/>
    <mergeCell ref="D1290:D1291"/>
    <mergeCell ref="E1290:E1291"/>
    <mergeCell ref="F1290:F1291"/>
    <mergeCell ref="A1296:E1296"/>
    <mergeCell ref="H1296:L1296"/>
    <mergeCell ref="A1297:E1297"/>
    <mergeCell ref="H1297:L1297"/>
    <mergeCell ref="A1298:E1298"/>
    <mergeCell ref="H1298:L1298"/>
    <mergeCell ref="H1294:H1295"/>
    <mergeCell ref="I1294:I1295"/>
    <mergeCell ref="J1294:J1295"/>
    <mergeCell ref="K1294:K1295"/>
    <mergeCell ref="L1294:L1295"/>
    <mergeCell ref="M1294:M1295"/>
    <mergeCell ref="A1294:A1295"/>
    <mergeCell ref="B1294:B1295"/>
    <mergeCell ref="C1294:C1295"/>
    <mergeCell ref="D1294:D1295"/>
    <mergeCell ref="E1294:E1295"/>
    <mergeCell ref="F1294:F1295"/>
    <mergeCell ref="N1321:O1321"/>
    <mergeCell ref="A1323:A1324"/>
    <mergeCell ref="B1323:B1324"/>
    <mergeCell ref="C1323:C1324"/>
    <mergeCell ref="D1323:D1324"/>
    <mergeCell ref="E1323:E1324"/>
    <mergeCell ref="F1323:F1324"/>
    <mergeCell ref="H1323:H1324"/>
    <mergeCell ref="I1323:I1324"/>
    <mergeCell ref="F1321:F1322"/>
    <mergeCell ref="H1321:H1322"/>
    <mergeCell ref="I1321:I1322"/>
    <mergeCell ref="J1321:J1322"/>
    <mergeCell ref="K1321:K1322"/>
    <mergeCell ref="L1321:L1322"/>
    <mergeCell ref="A1304:D1304"/>
    <mergeCell ref="H1304:K1304"/>
    <mergeCell ref="M1309:O1309"/>
    <mergeCell ref="A1319:G1319"/>
    <mergeCell ref="H1319:O1319"/>
    <mergeCell ref="A1321:A1322"/>
    <mergeCell ref="B1321:B1322"/>
    <mergeCell ref="C1321:C1322"/>
    <mergeCell ref="D1321:D1322"/>
    <mergeCell ref="E1321:E1322"/>
    <mergeCell ref="H1325:H1326"/>
    <mergeCell ref="I1325:I1326"/>
    <mergeCell ref="J1325:J1326"/>
    <mergeCell ref="K1325:K1326"/>
    <mergeCell ref="L1325:L1326"/>
    <mergeCell ref="M1325:M1326"/>
    <mergeCell ref="J1323:J1324"/>
    <mergeCell ref="K1323:K1324"/>
    <mergeCell ref="L1323:L1324"/>
    <mergeCell ref="M1323:M1324"/>
    <mergeCell ref="A1325:A1326"/>
    <mergeCell ref="B1325:B1326"/>
    <mergeCell ref="C1325:C1326"/>
    <mergeCell ref="D1325:D1326"/>
    <mergeCell ref="E1325:E1326"/>
    <mergeCell ref="F1325:F1326"/>
    <mergeCell ref="M1321:M1322"/>
    <mergeCell ref="H1329:H1330"/>
    <mergeCell ref="I1329:I1330"/>
    <mergeCell ref="J1329:J1330"/>
    <mergeCell ref="K1329:K1330"/>
    <mergeCell ref="L1329:L1330"/>
    <mergeCell ref="M1329:M1330"/>
    <mergeCell ref="A1329:A1330"/>
    <mergeCell ref="B1329:B1330"/>
    <mergeCell ref="C1329:C1330"/>
    <mergeCell ref="D1329:D1330"/>
    <mergeCell ref="E1329:E1330"/>
    <mergeCell ref="F1329:F1330"/>
    <mergeCell ref="H1327:H1328"/>
    <mergeCell ref="I1327:I1328"/>
    <mergeCell ref="J1327:J1328"/>
    <mergeCell ref="K1327:K1328"/>
    <mergeCell ref="L1327:L1328"/>
    <mergeCell ref="M1327:M1328"/>
    <mergeCell ref="A1327:A1328"/>
    <mergeCell ref="B1327:B1328"/>
    <mergeCell ref="C1327:C1328"/>
    <mergeCell ref="D1327:D1328"/>
    <mergeCell ref="E1327:E1328"/>
    <mergeCell ref="F1327:F1328"/>
    <mergeCell ref="A1341:D1341"/>
    <mergeCell ref="H1341:K1341"/>
    <mergeCell ref="M1346:O1346"/>
    <mergeCell ref="A1356:G1356"/>
    <mergeCell ref="H1356:O1356"/>
    <mergeCell ref="A1358:A1359"/>
    <mergeCell ref="B1358:B1359"/>
    <mergeCell ref="C1358:C1359"/>
    <mergeCell ref="D1358:D1359"/>
    <mergeCell ref="E1358:E1359"/>
    <mergeCell ref="A1333:E1333"/>
    <mergeCell ref="H1333:L1333"/>
    <mergeCell ref="A1334:E1334"/>
    <mergeCell ref="H1334:L1334"/>
    <mergeCell ref="A1335:E1335"/>
    <mergeCell ref="H1335:L1335"/>
    <mergeCell ref="H1331:H1332"/>
    <mergeCell ref="I1331:I1332"/>
    <mergeCell ref="J1331:J1332"/>
    <mergeCell ref="K1331:K1332"/>
    <mergeCell ref="L1331:L1332"/>
    <mergeCell ref="M1331:M1332"/>
    <mergeCell ref="A1331:A1332"/>
    <mergeCell ref="B1331:B1332"/>
    <mergeCell ref="C1331:C1332"/>
    <mergeCell ref="D1331:D1332"/>
    <mergeCell ref="E1331:E1332"/>
    <mergeCell ref="F1331:F1332"/>
    <mergeCell ref="J1360:J1361"/>
    <mergeCell ref="K1360:K1361"/>
    <mergeCell ref="L1360:L1361"/>
    <mergeCell ref="M1360:M1361"/>
    <mergeCell ref="A1362:A1363"/>
    <mergeCell ref="B1362:B1363"/>
    <mergeCell ref="C1362:C1363"/>
    <mergeCell ref="D1362:D1363"/>
    <mergeCell ref="E1362:E1363"/>
    <mergeCell ref="F1362:F1363"/>
    <mergeCell ref="M1358:M1359"/>
    <mergeCell ref="N1358:O1358"/>
    <mergeCell ref="A1360:A1361"/>
    <mergeCell ref="B1360:B1361"/>
    <mergeCell ref="C1360:C1361"/>
    <mergeCell ref="D1360:D1361"/>
    <mergeCell ref="E1360:E1361"/>
    <mergeCell ref="F1360:F1361"/>
    <mergeCell ref="H1360:H1361"/>
    <mergeCell ref="I1360:I1361"/>
    <mergeCell ref="F1358:F1359"/>
    <mergeCell ref="H1358:H1359"/>
    <mergeCell ref="I1358:I1359"/>
    <mergeCell ref="J1358:J1359"/>
    <mergeCell ref="K1358:K1359"/>
    <mergeCell ref="L1358:L1359"/>
    <mergeCell ref="H1364:H1365"/>
    <mergeCell ref="I1364:I1365"/>
    <mergeCell ref="J1364:J1365"/>
    <mergeCell ref="K1364:K1365"/>
    <mergeCell ref="L1364:L1365"/>
    <mergeCell ref="M1364:M1365"/>
    <mergeCell ref="A1364:A1365"/>
    <mergeCell ref="B1364:B1365"/>
    <mergeCell ref="C1364:C1365"/>
    <mergeCell ref="D1364:D1365"/>
    <mergeCell ref="E1364:E1365"/>
    <mergeCell ref="F1364:F1365"/>
    <mergeCell ref="H1362:H1363"/>
    <mergeCell ref="I1362:I1363"/>
    <mergeCell ref="J1362:J1363"/>
    <mergeCell ref="K1362:K1363"/>
    <mergeCell ref="L1362:L1363"/>
    <mergeCell ref="M1362:M1363"/>
    <mergeCell ref="H1368:H1369"/>
    <mergeCell ref="I1368:I1369"/>
    <mergeCell ref="J1368:J1369"/>
    <mergeCell ref="K1368:K1369"/>
    <mergeCell ref="L1368:L1369"/>
    <mergeCell ref="M1368:M1369"/>
    <mergeCell ref="A1368:A1369"/>
    <mergeCell ref="B1368:B1369"/>
    <mergeCell ref="C1368:C1369"/>
    <mergeCell ref="D1368:D1369"/>
    <mergeCell ref="E1368:E1369"/>
    <mergeCell ref="F1368:F1369"/>
    <mergeCell ref="H1366:H1367"/>
    <mergeCell ref="I1366:I1367"/>
    <mergeCell ref="J1366:J1367"/>
    <mergeCell ref="K1366:K1367"/>
    <mergeCell ref="L1366:L1367"/>
    <mergeCell ref="M1366:M1367"/>
    <mergeCell ref="A1366:A1367"/>
    <mergeCell ref="B1366:B1367"/>
    <mergeCell ref="C1366:C1367"/>
    <mergeCell ref="D1366:D1367"/>
    <mergeCell ref="E1366:E1367"/>
    <mergeCell ref="F1366:F1367"/>
    <mergeCell ref="H1378:K1378"/>
    <mergeCell ref="A1380:D1380"/>
    <mergeCell ref="M1383:O1383"/>
    <mergeCell ref="H1393:O1393"/>
    <mergeCell ref="A1395:G1395"/>
    <mergeCell ref="H1395:H1396"/>
    <mergeCell ref="I1395:I1396"/>
    <mergeCell ref="J1395:J1396"/>
    <mergeCell ref="K1395:K1396"/>
    <mergeCell ref="L1395:L1396"/>
    <mergeCell ref="H1370:L1370"/>
    <mergeCell ref="H1371:L1371"/>
    <mergeCell ref="A1372:E1372"/>
    <mergeCell ref="H1372:L1372"/>
    <mergeCell ref="A1373:E1373"/>
    <mergeCell ref="A1374:E1374"/>
    <mergeCell ref="A1370:A1371"/>
    <mergeCell ref="B1370:B1371"/>
    <mergeCell ref="C1370:C1371"/>
    <mergeCell ref="D1370:D1371"/>
    <mergeCell ref="E1370:E1371"/>
    <mergeCell ref="F1370:F1371"/>
    <mergeCell ref="J1397:J1398"/>
    <mergeCell ref="K1397:K1398"/>
    <mergeCell ref="L1397:L1398"/>
    <mergeCell ref="M1397:M1398"/>
    <mergeCell ref="A1399:A1400"/>
    <mergeCell ref="B1399:B1400"/>
    <mergeCell ref="C1399:C1400"/>
    <mergeCell ref="D1399:D1400"/>
    <mergeCell ref="E1399:E1400"/>
    <mergeCell ref="F1399:F1400"/>
    <mergeCell ref="M1395:M1396"/>
    <mergeCell ref="N1395:O1395"/>
    <mergeCell ref="A1397:A1398"/>
    <mergeCell ref="B1397:B1398"/>
    <mergeCell ref="C1397:C1398"/>
    <mergeCell ref="D1397:D1398"/>
    <mergeCell ref="E1397:E1398"/>
    <mergeCell ref="F1397:F1398"/>
    <mergeCell ref="H1397:H1398"/>
    <mergeCell ref="I1397:I1398"/>
    <mergeCell ref="H1401:H1402"/>
    <mergeCell ref="I1401:I1402"/>
    <mergeCell ref="J1401:J1402"/>
    <mergeCell ref="K1401:K1402"/>
    <mergeCell ref="L1401:L1402"/>
    <mergeCell ref="M1401:M1402"/>
    <mergeCell ref="A1401:A1402"/>
    <mergeCell ref="B1401:B1402"/>
    <mergeCell ref="C1401:C1402"/>
    <mergeCell ref="D1401:D1402"/>
    <mergeCell ref="E1401:E1402"/>
    <mergeCell ref="F1401:F1402"/>
    <mergeCell ref="H1399:H1400"/>
    <mergeCell ref="I1399:I1400"/>
    <mergeCell ref="J1399:J1400"/>
    <mergeCell ref="K1399:K1400"/>
    <mergeCell ref="L1399:L1400"/>
    <mergeCell ref="M1399:M1400"/>
    <mergeCell ref="H1405:H1406"/>
    <mergeCell ref="I1405:I1406"/>
    <mergeCell ref="J1405:J1406"/>
    <mergeCell ref="K1405:K1406"/>
    <mergeCell ref="L1405:L1406"/>
    <mergeCell ref="M1405:M1406"/>
    <mergeCell ref="A1405:A1406"/>
    <mergeCell ref="B1405:B1406"/>
    <mergeCell ref="C1405:C1406"/>
    <mergeCell ref="D1405:D1406"/>
    <mergeCell ref="E1405:E1406"/>
    <mergeCell ref="F1405:F1406"/>
    <mergeCell ref="H1403:H1404"/>
    <mergeCell ref="I1403:I1404"/>
    <mergeCell ref="J1403:J1404"/>
    <mergeCell ref="K1403:K1404"/>
    <mergeCell ref="L1403:L1404"/>
    <mergeCell ref="M1403:M1404"/>
    <mergeCell ref="A1403:A1404"/>
    <mergeCell ref="B1403:B1404"/>
    <mergeCell ref="C1403:C1404"/>
    <mergeCell ref="D1403:D1404"/>
    <mergeCell ref="E1403:E1404"/>
    <mergeCell ref="F1403:F1404"/>
    <mergeCell ref="H1415:K1415"/>
    <mergeCell ref="A1417:D1417"/>
    <mergeCell ref="M1420:O1420"/>
    <mergeCell ref="H1430:O1430"/>
    <mergeCell ref="A1432:G1432"/>
    <mergeCell ref="H1432:H1433"/>
    <mergeCell ref="I1432:I1433"/>
    <mergeCell ref="J1432:J1433"/>
    <mergeCell ref="K1432:K1433"/>
    <mergeCell ref="L1432:L1433"/>
    <mergeCell ref="H1407:L1407"/>
    <mergeCell ref="H1408:L1408"/>
    <mergeCell ref="A1409:E1409"/>
    <mergeCell ref="H1409:L1409"/>
    <mergeCell ref="A1410:E1410"/>
    <mergeCell ref="A1411:E1411"/>
    <mergeCell ref="A1407:A1408"/>
    <mergeCell ref="B1407:B1408"/>
    <mergeCell ref="C1407:C1408"/>
    <mergeCell ref="D1407:D1408"/>
    <mergeCell ref="E1407:E1408"/>
    <mergeCell ref="F1407:F1408"/>
    <mergeCell ref="J1434:J1435"/>
    <mergeCell ref="K1434:K1435"/>
    <mergeCell ref="L1434:L1435"/>
    <mergeCell ref="M1434:M1435"/>
    <mergeCell ref="A1436:A1437"/>
    <mergeCell ref="B1436:B1437"/>
    <mergeCell ref="C1436:C1437"/>
    <mergeCell ref="D1436:D1437"/>
    <mergeCell ref="E1436:E1437"/>
    <mergeCell ref="F1436:F1437"/>
    <mergeCell ref="M1432:M1433"/>
    <mergeCell ref="N1432:O1432"/>
    <mergeCell ref="A1434:A1435"/>
    <mergeCell ref="B1434:B1435"/>
    <mergeCell ref="C1434:C1435"/>
    <mergeCell ref="D1434:D1435"/>
    <mergeCell ref="E1434:E1435"/>
    <mergeCell ref="F1434:F1435"/>
    <mergeCell ref="H1434:H1435"/>
    <mergeCell ref="I1434:I1435"/>
    <mergeCell ref="H1438:H1439"/>
    <mergeCell ref="I1438:I1439"/>
    <mergeCell ref="J1438:J1439"/>
    <mergeCell ref="K1438:K1439"/>
    <mergeCell ref="L1438:L1439"/>
    <mergeCell ref="M1438:M1439"/>
    <mergeCell ref="A1438:A1439"/>
    <mergeCell ref="B1438:B1439"/>
    <mergeCell ref="C1438:C1439"/>
    <mergeCell ref="D1438:D1439"/>
    <mergeCell ref="E1438:E1439"/>
    <mergeCell ref="F1438:F1439"/>
    <mergeCell ref="H1436:H1437"/>
    <mergeCell ref="I1436:I1437"/>
    <mergeCell ref="J1436:J1437"/>
    <mergeCell ref="K1436:K1437"/>
    <mergeCell ref="L1436:L1437"/>
    <mergeCell ref="M1436:M1437"/>
    <mergeCell ref="M1442:M1443"/>
    <mergeCell ref="A1442:A1443"/>
    <mergeCell ref="B1442:B1443"/>
    <mergeCell ref="C1442:C1443"/>
    <mergeCell ref="D1442:D1443"/>
    <mergeCell ref="E1442:E1443"/>
    <mergeCell ref="F1442:F1443"/>
    <mergeCell ref="H1440:H1441"/>
    <mergeCell ref="I1440:I1441"/>
    <mergeCell ref="J1440:J1441"/>
    <mergeCell ref="K1440:K1441"/>
    <mergeCell ref="L1440:L1441"/>
    <mergeCell ref="M1440:M1441"/>
    <mergeCell ref="A1440:A1441"/>
    <mergeCell ref="B1440:B1441"/>
    <mergeCell ref="C1440:C1441"/>
    <mergeCell ref="D1440:D1441"/>
    <mergeCell ref="E1440:E1441"/>
    <mergeCell ref="F1440:F1441"/>
    <mergeCell ref="H1444:L1444"/>
    <mergeCell ref="H1445:L1445"/>
    <mergeCell ref="A1446:E1446"/>
    <mergeCell ref="H1446:L1446"/>
    <mergeCell ref="A1447:E1447"/>
    <mergeCell ref="A1448:E1448"/>
    <mergeCell ref="A1444:A1445"/>
    <mergeCell ref="B1444:B1445"/>
    <mergeCell ref="C1444:C1445"/>
    <mergeCell ref="D1444:D1445"/>
    <mergeCell ref="E1444:E1445"/>
    <mergeCell ref="F1444:F1445"/>
    <mergeCell ref="H1442:H1443"/>
    <mergeCell ref="I1442:I1443"/>
    <mergeCell ref="J1442:J1443"/>
    <mergeCell ref="K1442:K1443"/>
    <mergeCell ref="L1442:L1443"/>
    <mergeCell ref="M1469:M1470"/>
    <mergeCell ref="N1469:O1469"/>
    <mergeCell ref="A1470:A1471"/>
    <mergeCell ref="B1470:B1471"/>
    <mergeCell ref="C1470:C1471"/>
    <mergeCell ref="D1470:D1471"/>
    <mergeCell ref="E1470:E1471"/>
    <mergeCell ref="F1470:F1471"/>
    <mergeCell ref="H1471:H1472"/>
    <mergeCell ref="I1471:I1472"/>
    <mergeCell ref="H1452:K1452"/>
    <mergeCell ref="A1454:D1454"/>
    <mergeCell ref="M1457:O1457"/>
    <mergeCell ref="H1467:O1467"/>
    <mergeCell ref="A1468:G1468"/>
    <mergeCell ref="H1469:H1470"/>
    <mergeCell ref="I1469:I1470"/>
    <mergeCell ref="J1469:J1470"/>
    <mergeCell ref="K1469:K1470"/>
    <mergeCell ref="L1469:L1470"/>
    <mergeCell ref="B1474:B1475"/>
    <mergeCell ref="C1474:C1475"/>
    <mergeCell ref="D1474:D1475"/>
    <mergeCell ref="E1474:E1475"/>
    <mergeCell ref="F1474:F1475"/>
    <mergeCell ref="H1473:H1474"/>
    <mergeCell ref="I1473:I1474"/>
    <mergeCell ref="J1473:J1474"/>
    <mergeCell ref="K1473:K1474"/>
    <mergeCell ref="L1473:L1474"/>
    <mergeCell ref="M1473:M1474"/>
    <mergeCell ref="J1471:J1472"/>
    <mergeCell ref="K1471:K1472"/>
    <mergeCell ref="L1471:L1472"/>
    <mergeCell ref="M1471:M1472"/>
    <mergeCell ref="A1472:A1473"/>
    <mergeCell ref="B1472:B1473"/>
    <mergeCell ref="C1472:C1473"/>
    <mergeCell ref="D1472:D1473"/>
    <mergeCell ref="E1472:E1473"/>
    <mergeCell ref="F1472:F1473"/>
    <mergeCell ref="M1481:M1482"/>
    <mergeCell ref="A1480:A1481"/>
    <mergeCell ref="B1480:B1481"/>
    <mergeCell ref="C1480:C1481"/>
    <mergeCell ref="D1480:D1481"/>
    <mergeCell ref="E1480:E1481"/>
    <mergeCell ref="F1480:F1481"/>
    <mergeCell ref="H1479:H1480"/>
    <mergeCell ref="I1479:I1480"/>
    <mergeCell ref="J1479:J1480"/>
    <mergeCell ref="K1479:K1480"/>
    <mergeCell ref="L1479:L1480"/>
    <mergeCell ref="M1479:M1480"/>
    <mergeCell ref="H1477:H1478"/>
    <mergeCell ref="I1477:I1478"/>
    <mergeCell ref="J1477:J1478"/>
    <mergeCell ref="K1477:K1478"/>
    <mergeCell ref="L1477:L1478"/>
    <mergeCell ref="M1477:M1478"/>
    <mergeCell ref="A1476:A1479"/>
    <mergeCell ref="B1476:B1479"/>
    <mergeCell ref="C1476:C1479"/>
    <mergeCell ref="D1476:D1479"/>
    <mergeCell ref="E1476:E1479"/>
    <mergeCell ref="F1476:F1479"/>
    <mergeCell ref="H1475:H1476"/>
    <mergeCell ref="I1475:I1476"/>
    <mergeCell ref="J1475:J1476"/>
    <mergeCell ref="K1475:K1476"/>
    <mergeCell ref="L1475:L1476"/>
    <mergeCell ref="M1475:M1476"/>
    <mergeCell ref="A1474:A1475"/>
    <mergeCell ref="H1483:L1483"/>
    <mergeCell ref="A1484:E1484"/>
    <mergeCell ref="H1484:L1484"/>
    <mergeCell ref="A1485:E1485"/>
    <mergeCell ref="H1485:L1485"/>
    <mergeCell ref="A1486:E1486"/>
    <mergeCell ref="A1482:A1483"/>
    <mergeCell ref="B1482:B1483"/>
    <mergeCell ref="C1482:C1483"/>
    <mergeCell ref="D1482:D1483"/>
    <mergeCell ref="E1482:E1483"/>
    <mergeCell ref="F1482:F1483"/>
    <mergeCell ref="H1481:H1482"/>
    <mergeCell ref="I1481:I1482"/>
    <mergeCell ref="J1481:J1482"/>
    <mergeCell ref="K1481:K1482"/>
    <mergeCell ref="L1481:L1482"/>
    <mergeCell ref="N1508:O1508"/>
    <mergeCell ref="H1510:H1511"/>
    <mergeCell ref="I1510:I1511"/>
    <mergeCell ref="J1510:J1511"/>
    <mergeCell ref="K1510:K1511"/>
    <mergeCell ref="L1510:L1511"/>
    <mergeCell ref="M1510:M1511"/>
    <mergeCell ref="H1491:K1491"/>
    <mergeCell ref="A1492:D1492"/>
    <mergeCell ref="M1496:O1496"/>
    <mergeCell ref="H1506:O1506"/>
    <mergeCell ref="H1508:H1509"/>
    <mergeCell ref="I1508:I1509"/>
    <mergeCell ref="J1508:J1509"/>
    <mergeCell ref="K1508:K1509"/>
    <mergeCell ref="L1508:L1509"/>
    <mergeCell ref="M1508:M1509"/>
    <mergeCell ref="H1516:H1517"/>
    <mergeCell ref="I1516:I1517"/>
    <mergeCell ref="J1516:J1517"/>
    <mergeCell ref="K1516:K1517"/>
    <mergeCell ref="L1516:L1517"/>
    <mergeCell ref="M1516:M1517"/>
    <mergeCell ref="H1514:H1515"/>
    <mergeCell ref="I1514:I1515"/>
    <mergeCell ref="J1514:J1515"/>
    <mergeCell ref="K1514:K1515"/>
    <mergeCell ref="L1514:L1515"/>
    <mergeCell ref="M1514:M1515"/>
    <mergeCell ref="H1512:H1513"/>
    <mergeCell ref="I1512:I1513"/>
    <mergeCell ref="J1512:J1513"/>
    <mergeCell ref="K1512:K1513"/>
    <mergeCell ref="L1512:L1513"/>
    <mergeCell ref="M1512:M1513"/>
    <mergeCell ref="H1522:L1522"/>
    <mergeCell ref="H1523:L1523"/>
    <mergeCell ref="H1524:L1524"/>
    <mergeCell ref="H1530:K1530"/>
    <mergeCell ref="M1535:O1535"/>
    <mergeCell ref="H1545:O1545"/>
    <mergeCell ref="H1520:H1521"/>
    <mergeCell ref="I1520:I1521"/>
    <mergeCell ref="J1520:J1521"/>
    <mergeCell ref="K1520:K1521"/>
    <mergeCell ref="L1520:L1521"/>
    <mergeCell ref="M1520:M1521"/>
    <mergeCell ref="H1518:H1519"/>
    <mergeCell ref="I1518:I1519"/>
    <mergeCell ref="J1518:J1519"/>
    <mergeCell ref="K1518:K1519"/>
    <mergeCell ref="L1518:L1519"/>
    <mergeCell ref="M1518:M1519"/>
    <mergeCell ref="H1553:H1554"/>
    <mergeCell ref="I1553:I1554"/>
    <mergeCell ref="J1553:J1554"/>
    <mergeCell ref="K1553:K1554"/>
    <mergeCell ref="L1553:L1554"/>
    <mergeCell ref="M1553:M1554"/>
    <mergeCell ref="H1551:H1552"/>
    <mergeCell ref="I1551:I1552"/>
    <mergeCell ref="J1551:J1552"/>
    <mergeCell ref="K1551:K1552"/>
    <mergeCell ref="L1551:L1552"/>
    <mergeCell ref="M1551:M1552"/>
    <mergeCell ref="N1547:O1547"/>
    <mergeCell ref="H1549:H1550"/>
    <mergeCell ref="I1549:I1550"/>
    <mergeCell ref="J1549:J1550"/>
    <mergeCell ref="K1549:K1550"/>
    <mergeCell ref="L1549:L1550"/>
    <mergeCell ref="M1549:M1550"/>
    <mergeCell ref="H1547:H1548"/>
    <mergeCell ref="I1547:I1548"/>
    <mergeCell ref="J1547:J1548"/>
    <mergeCell ref="K1547:K1548"/>
    <mergeCell ref="L1547:L1548"/>
    <mergeCell ref="M1547:M1548"/>
    <mergeCell ref="H1559:L1559"/>
    <mergeCell ref="H1560:L1560"/>
    <mergeCell ref="H1561:L1561"/>
    <mergeCell ref="H1567:K1567"/>
    <mergeCell ref="H1582:O1582"/>
    <mergeCell ref="H1584:H1585"/>
    <mergeCell ref="I1584:I1585"/>
    <mergeCell ref="J1584:J1585"/>
    <mergeCell ref="K1584:K1585"/>
    <mergeCell ref="L1584:L1585"/>
    <mergeCell ref="H1557:H1558"/>
    <mergeCell ref="I1557:I1558"/>
    <mergeCell ref="J1557:J1558"/>
    <mergeCell ref="K1557:K1558"/>
    <mergeCell ref="L1557:L1558"/>
    <mergeCell ref="M1557:M1558"/>
    <mergeCell ref="H1555:H1556"/>
    <mergeCell ref="I1555:I1556"/>
    <mergeCell ref="J1555:J1556"/>
    <mergeCell ref="K1555:K1556"/>
    <mergeCell ref="L1555:L1556"/>
    <mergeCell ref="M1555:M1556"/>
    <mergeCell ref="H1590:H1591"/>
    <mergeCell ref="I1590:I1591"/>
    <mergeCell ref="J1590:J1591"/>
    <mergeCell ref="K1590:K1591"/>
    <mergeCell ref="L1590:L1591"/>
    <mergeCell ref="M1590:M1591"/>
    <mergeCell ref="H1588:H1589"/>
    <mergeCell ref="I1588:I1589"/>
    <mergeCell ref="J1588:J1589"/>
    <mergeCell ref="K1588:K1589"/>
    <mergeCell ref="L1588:L1589"/>
    <mergeCell ref="M1588:M1589"/>
    <mergeCell ref="M1584:M1585"/>
    <mergeCell ref="N1584:O1584"/>
    <mergeCell ref="H1586:H1587"/>
    <mergeCell ref="I1586:I1587"/>
    <mergeCell ref="J1586:J1587"/>
    <mergeCell ref="K1586:K1587"/>
    <mergeCell ref="L1586:L1587"/>
    <mergeCell ref="M1586:M1587"/>
    <mergeCell ref="H1596:L1596"/>
    <mergeCell ref="H1597:L1597"/>
    <mergeCell ref="H1598:L1598"/>
    <mergeCell ref="H1604:K1604"/>
    <mergeCell ref="H1619:O1619"/>
    <mergeCell ref="H1621:H1622"/>
    <mergeCell ref="I1621:I1622"/>
    <mergeCell ref="J1621:J1622"/>
    <mergeCell ref="K1621:K1622"/>
    <mergeCell ref="L1621:L1622"/>
    <mergeCell ref="H1594:H1595"/>
    <mergeCell ref="I1594:I1595"/>
    <mergeCell ref="J1594:J1595"/>
    <mergeCell ref="K1594:K1595"/>
    <mergeCell ref="L1594:L1595"/>
    <mergeCell ref="M1594:M1595"/>
    <mergeCell ref="H1592:H1593"/>
    <mergeCell ref="I1592:I1593"/>
    <mergeCell ref="J1592:J1593"/>
    <mergeCell ref="K1592:K1593"/>
    <mergeCell ref="L1592:L1593"/>
    <mergeCell ref="M1592:M1593"/>
    <mergeCell ref="H1627:H1628"/>
    <mergeCell ref="I1627:I1628"/>
    <mergeCell ref="J1627:J1628"/>
    <mergeCell ref="K1627:K1628"/>
    <mergeCell ref="L1627:L1628"/>
    <mergeCell ref="M1627:M1628"/>
    <mergeCell ref="H1625:H1626"/>
    <mergeCell ref="I1625:I1626"/>
    <mergeCell ref="J1625:J1626"/>
    <mergeCell ref="K1625:K1626"/>
    <mergeCell ref="L1625:L1626"/>
    <mergeCell ref="M1625:M1626"/>
    <mergeCell ref="M1621:M1622"/>
    <mergeCell ref="N1621:O1621"/>
    <mergeCell ref="H1623:H1624"/>
    <mergeCell ref="I1623:I1624"/>
    <mergeCell ref="J1623:J1624"/>
    <mergeCell ref="K1623:K1624"/>
    <mergeCell ref="L1623:L1624"/>
    <mergeCell ref="M1623:M1624"/>
    <mergeCell ref="H1633:L1633"/>
    <mergeCell ref="H1634:L1634"/>
    <mergeCell ref="H1635:L1635"/>
    <mergeCell ref="H1641:K1641"/>
    <mergeCell ref="H1656:O1656"/>
    <mergeCell ref="H1658:H1659"/>
    <mergeCell ref="I1658:I1659"/>
    <mergeCell ref="J1658:J1659"/>
    <mergeCell ref="K1658:K1659"/>
    <mergeCell ref="L1658:L1659"/>
    <mergeCell ref="H1631:H1632"/>
    <mergeCell ref="I1631:I1632"/>
    <mergeCell ref="J1631:J1632"/>
    <mergeCell ref="K1631:K1632"/>
    <mergeCell ref="L1631:L1632"/>
    <mergeCell ref="M1631:M1632"/>
    <mergeCell ref="H1629:H1630"/>
    <mergeCell ref="I1629:I1630"/>
    <mergeCell ref="J1629:J1630"/>
    <mergeCell ref="K1629:K1630"/>
    <mergeCell ref="L1629:L1630"/>
    <mergeCell ref="M1629:M1630"/>
    <mergeCell ref="H1664:H1665"/>
    <mergeCell ref="I1664:I1665"/>
    <mergeCell ref="J1664:J1665"/>
    <mergeCell ref="K1664:K1665"/>
    <mergeCell ref="L1664:L1665"/>
    <mergeCell ref="M1664:M1665"/>
    <mergeCell ref="H1662:H1663"/>
    <mergeCell ref="I1662:I1663"/>
    <mergeCell ref="J1662:J1663"/>
    <mergeCell ref="K1662:K1663"/>
    <mergeCell ref="L1662:L1663"/>
    <mergeCell ref="M1662:M1663"/>
    <mergeCell ref="M1658:M1659"/>
    <mergeCell ref="N1658:O1658"/>
    <mergeCell ref="H1660:H1661"/>
    <mergeCell ref="I1660:I1661"/>
    <mergeCell ref="J1660:J1661"/>
    <mergeCell ref="K1660:K1661"/>
    <mergeCell ref="L1660:L1661"/>
    <mergeCell ref="M1660:M1661"/>
    <mergeCell ref="H1670:L1670"/>
    <mergeCell ref="H1671:L1671"/>
    <mergeCell ref="H1672:L1672"/>
    <mergeCell ref="H1678:K1678"/>
    <mergeCell ref="H1693:O1693"/>
    <mergeCell ref="H1695:H1696"/>
    <mergeCell ref="I1695:I1696"/>
    <mergeCell ref="J1695:J1696"/>
    <mergeCell ref="K1695:K1696"/>
    <mergeCell ref="L1695:L1696"/>
    <mergeCell ref="H1668:H1669"/>
    <mergeCell ref="I1668:I1669"/>
    <mergeCell ref="J1668:J1669"/>
    <mergeCell ref="K1668:K1669"/>
    <mergeCell ref="L1668:L1669"/>
    <mergeCell ref="M1668:M1669"/>
    <mergeCell ref="H1666:H1667"/>
    <mergeCell ref="I1666:I1667"/>
    <mergeCell ref="J1666:J1667"/>
    <mergeCell ref="K1666:K1667"/>
    <mergeCell ref="L1666:L1667"/>
    <mergeCell ref="M1666:M1667"/>
    <mergeCell ref="H1701:H1702"/>
    <mergeCell ref="I1701:I1702"/>
    <mergeCell ref="J1701:J1702"/>
    <mergeCell ref="K1701:K1702"/>
    <mergeCell ref="L1701:L1702"/>
    <mergeCell ref="M1701:M1702"/>
    <mergeCell ref="H1699:H1700"/>
    <mergeCell ref="I1699:I1700"/>
    <mergeCell ref="J1699:J1700"/>
    <mergeCell ref="K1699:K1700"/>
    <mergeCell ref="L1699:L1700"/>
    <mergeCell ref="M1699:M1700"/>
    <mergeCell ref="M1695:M1696"/>
    <mergeCell ref="N1695:O1695"/>
    <mergeCell ref="H1697:H1698"/>
    <mergeCell ref="I1697:I1698"/>
    <mergeCell ref="J1697:J1698"/>
    <mergeCell ref="K1697:K1698"/>
    <mergeCell ref="L1697:L1698"/>
    <mergeCell ref="M1697:M1698"/>
    <mergeCell ref="H1707:L1707"/>
    <mergeCell ref="H1708:L1708"/>
    <mergeCell ref="H1709:L1709"/>
    <mergeCell ref="H1715:K1715"/>
    <mergeCell ref="H1730:O1730"/>
    <mergeCell ref="H1732:H1733"/>
    <mergeCell ref="I1732:I1733"/>
    <mergeCell ref="J1732:J1733"/>
    <mergeCell ref="K1732:K1733"/>
    <mergeCell ref="L1732:L1733"/>
    <mergeCell ref="H1705:H1706"/>
    <mergeCell ref="I1705:I1706"/>
    <mergeCell ref="J1705:J1706"/>
    <mergeCell ref="K1705:K1706"/>
    <mergeCell ref="L1705:L1706"/>
    <mergeCell ref="M1705:M1706"/>
    <mergeCell ref="H1703:H1704"/>
    <mergeCell ref="I1703:I1704"/>
    <mergeCell ref="J1703:J1704"/>
    <mergeCell ref="K1703:K1704"/>
    <mergeCell ref="L1703:L1704"/>
    <mergeCell ref="M1703:M1704"/>
    <mergeCell ref="H1738:H1739"/>
    <mergeCell ref="I1738:I1739"/>
    <mergeCell ref="J1738:J1739"/>
    <mergeCell ref="K1738:K1739"/>
    <mergeCell ref="L1738:L1739"/>
    <mergeCell ref="M1738:M1739"/>
    <mergeCell ref="H1736:H1737"/>
    <mergeCell ref="I1736:I1737"/>
    <mergeCell ref="J1736:J1737"/>
    <mergeCell ref="K1736:K1737"/>
    <mergeCell ref="L1736:L1737"/>
    <mergeCell ref="M1736:M1737"/>
    <mergeCell ref="M1732:M1733"/>
    <mergeCell ref="N1732:O1732"/>
    <mergeCell ref="H1734:H1735"/>
    <mergeCell ref="I1734:I1735"/>
    <mergeCell ref="J1734:J1735"/>
    <mergeCell ref="K1734:K1735"/>
    <mergeCell ref="L1734:L1735"/>
    <mergeCell ref="M1734:M1735"/>
    <mergeCell ref="H1744:H1745"/>
    <mergeCell ref="I1744:I1745"/>
    <mergeCell ref="J1744:J1745"/>
    <mergeCell ref="K1744:K1745"/>
    <mergeCell ref="L1744:L1745"/>
    <mergeCell ref="M1744:M1745"/>
    <mergeCell ref="H1742:H1743"/>
    <mergeCell ref="I1742:I1743"/>
    <mergeCell ref="J1742:J1743"/>
    <mergeCell ref="K1742:K1743"/>
    <mergeCell ref="L1742:L1743"/>
    <mergeCell ref="M1742:M1743"/>
    <mergeCell ref="H1740:H1741"/>
    <mergeCell ref="I1740:I1741"/>
    <mergeCell ref="J1740:J1741"/>
    <mergeCell ref="K1740:K1741"/>
    <mergeCell ref="L1740:L1741"/>
    <mergeCell ref="M1740:M1741"/>
    <mergeCell ref="H1775:H1776"/>
    <mergeCell ref="I1775:I1776"/>
    <mergeCell ref="J1775:J1776"/>
    <mergeCell ref="K1775:K1776"/>
    <mergeCell ref="L1775:L1776"/>
    <mergeCell ref="M1775:M1776"/>
    <mergeCell ref="M1771:M1772"/>
    <mergeCell ref="N1771:O1771"/>
    <mergeCell ref="H1773:H1774"/>
    <mergeCell ref="I1773:I1774"/>
    <mergeCell ref="J1773:J1774"/>
    <mergeCell ref="K1773:K1774"/>
    <mergeCell ref="L1773:L1774"/>
    <mergeCell ref="M1773:M1774"/>
    <mergeCell ref="H1746:L1746"/>
    <mergeCell ref="H1747:L1747"/>
    <mergeCell ref="H1748:L1748"/>
    <mergeCell ref="H1754:K1754"/>
    <mergeCell ref="H1769:O1769"/>
    <mergeCell ref="H1771:H1772"/>
    <mergeCell ref="I1771:I1772"/>
    <mergeCell ref="J1771:J1772"/>
    <mergeCell ref="K1771:K1772"/>
    <mergeCell ref="L1771:L1772"/>
    <mergeCell ref="H1781:H1782"/>
    <mergeCell ref="I1781:I1782"/>
    <mergeCell ref="J1781:J1782"/>
    <mergeCell ref="K1781:K1782"/>
    <mergeCell ref="L1781:L1782"/>
    <mergeCell ref="M1781:M1782"/>
    <mergeCell ref="H1779:H1780"/>
    <mergeCell ref="I1779:I1780"/>
    <mergeCell ref="J1779:J1780"/>
    <mergeCell ref="K1779:K1780"/>
    <mergeCell ref="L1779:L1780"/>
    <mergeCell ref="M1779:M1780"/>
    <mergeCell ref="H1777:H1778"/>
    <mergeCell ref="I1777:I1778"/>
    <mergeCell ref="J1777:J1778"/>
    <mergeCell ref="K1777:K1778"/>
    <mergeCell ref="L1777:L1778"/>
    <mergeCell ref="M1777:M1778"/>
    <mergeCell ref="H1812:H1813"/>
    <mergeCell ref="I1812:I1813"/>
    <mergeCell ref="J1812:J1813"/>
    <mergeCell ref="K1812:K1813"/>
    <mergeCell ref="L1812:L1813"/>
    <mergeCell ref="M1812:M1813"/>
    <mergeCell ref="M1808:M1809"/>
    <mergeCell ref="N1808:O1808"/>
    <mergeCell ref="H1810:H1811"/>
    <mergeCell ref="I1810:I1811"/>
    <mergeCell ref="J1810:J1811"/>
    <mergeCell ref="K1810:K1811"/>
    <mergeCell ref="L1810:L1811"/>
    <mergeCell ref="M1810:M1811"/>
    <mergeCell ref="H1783:L1783"/>
    <mergeCell ref="H1784:L1784"/>
    <mergeCell ref="H1785:L1785"/>
    <mergeCell ref="H1791:K1791"/>
    <mergeCell ref="H1806:O1806"/>
    <mergeCell ref="H1808:H1809"/>
    <mergeCell ref="I1808:I1809"/>
    <mergeCell ref="J1808:J1809"/>
    <mergeCell ref="K1808:K1809"/>
    <mergeCell ref="L1808:L1809"/>
    <mergeCell ref="H1818:H1819"/>
    <mergeCell ref="I1818:I1819"/>
    <mergeCell ref="J1818:J1819"/>
    <mergeCell ref="K1818:K1819"/>
    <mergeCell ref="L1818:L1819"/>
    <mergeCell ref="M1818:M1819"/>
    <mergeCell ref="H1816:H1817"/>
    <mergeCell ref="I1816:I1817"/>
    <mergeCell ref="J1816:J1817"/>
    <mergeCell ref="K1816:K1817"/>
    <mergeCell ref="L1816:L1817"/>
    <mergeCell ref="M1816:M1817"/>
    <mergeCell ref="H1814:H1815"/>
    <mergeCell ref="I1814:I1815"/>
    <mergeCell ref="J1814:J1815"/>
    <mergeCell ref="K1814:K1815"/>
    <mergeCell ref="L1814:L1815"/>
    <mergeCell ref="M1814:M1815"/>
    <mergeCell ref="H1849:H1850"/>
    <mergeCell ref="I1849:I1850"/>
    <mergeCell ref="J1849:J1850"/>
    <mergeCell ref="K1849:K1850"/>
    <mergeCell ref="L1849:L1850"/>
    <mergeCell ref="M1849:M1850"/>
    <mergeCell ref="M1845:M1846"/>
    <mergeCell ref="N1845:O1845"/>
    <mergeCell ref="H1847:H1848"/>
    <mergeCell ref="I1847:I1848"/>
    <mergeCell ref="J1847:J1848"/>
    <mergeCell ref="K1847:K1848"/>
    <mergeCell ref="L1847:L1848"/>
    <mergeCell ref="M1847:M1848"/>
    <mergeCell ref="H1820:L1820"/>
    <mergeCell ref="H1821:L1821"/>
    <mergeCell ref="H1822:L1822"/>
    <mergeCell ref="H1828:K1828"/>
    <mergeCell ref="H1843:O1843"/>
    <mergeCell ref="H1845:H1846"/>
    <mergeCell ref="I1845:I1846"/>
    <mergeCell ref="J1845:J1846"/>
    <mergeCell ref="K1845:K1846"/>
    <mergeCell ref="L1845:L1846"/>
    <mergeCell ref="H1855:H1856"/>
    <mergeCell ref="I1855:I1856"/>
    <mergeCell ref="J1855:J1856"/>
    <mergeCell ref="K1855:K1856"/>
    <mergeCell ref="L1855:L1856"/>
    <mergeCell ref="M1855:M1856"/>
    <mergeCell ref="H1853:H1854"/>
    <mergeCell ref="I1853:I1854"/>
    <mergeCell ref="J1853:J1854"/>
    <mergeCell ref="K1853:K1854"/>
    <mergeCell ref="L1853:L1854"/>
    <mergeCell ref="M1853:M1854"/>
    <mergeCell ref="H1851:H1852"/>
    <mergeCell ref="I1851:I1852"/>
    <mergeCell ref="J1851:J1852"/>
    <mergeCell ref="K1851:K1852"/>
    <mergeCell ref="L1851:L1852"/>
    <mergeCell ref="M1851:M1852"/>
    <mergeCell ref="H1886:H1887"/>
    <mergeCell ref="I1886:I1887"/>
    <mergeCell ref="J1886:J1887"/>
    <mergeCell ref="K1886:K1887"/>
    <mergeCell ref="L1886:L1887"/>
    <mergeCell ref="M1886:M1887"/>
    <mergeCell ref="M1882:M1883"/>
    <mergeCell ref="N1882:O1882"/>
    <mergeCell ref="H1884:H1885"/>
    <mergeCell ref="I1884:I1885"/>
    <mergeCell ref="J1884:J1885"/>
    <mergeCell ref="K1884:K1885"/>
    <mergeCell ref="L1884:L1885"/>
    <mergeCell ref="M1884:M1885"/>
    <mergeCell ref="H1857:L1857"/>
    <mergeCell ref="H1858:L1858"/>
    <mergeCell ref="H1859:L1859"/>
    <mergeCell ref="H1865:K1865"/>
    <mergeCell ref="H1880:O1880"/>
    <mergeCell ref="H1882:H1883"/>
    <mergeCell ref="I1882:I1883"/>
    <mergeCell ref="J1882:J1883"/>
    <mergeCell ref="K1882:K1883"/>
    <mergeCell ref="L1882:L1883"/>
    <mergeCell ref="H1892:H1893"/>
    <mergeCell ref="I1892:I1893"/>
    <mergeCell ref="J1892:J1893"/>
    <mergeCell ref="K1892:K1893"/>
    <mergeCell ref="L1892:L1893"/>
    <mergeCell ref="M1892:M1893"/>
    <mergeCell ref="H1890:H1891"/>
    <mergeCell ref="I1890:I1891"/>
    <mergeCell ref="J1890:J1891"/>
    <mergeCell ref="K1890:K1891"/>
    <mergeCell ref="L1890:L1891"/>
    <mergeCell ref="M1890:M1891"/>
    <mergeCell ref="H1888:H1889"/>
    <mergeCell ref="I1888:I1889"/>
    <mergeCell ref="J1888:J1889"/>
    <mergeCell ref="K1888:K1889"/>
    <mergeCell ref="L1888:L1889"/>
    <mergeCell ref="M1888:M1889"/>
    <mergeCell ref="H1923:H1924"/>
    <mergeCell ref="I1923:I1924"/>
    <mergeCell ref="J1923:J1924"/>
    <mergeCell ref="K1923:K1924"/>
    <mergeCell ref="L1923:L1924"/>
    <mergeCell ref="M1923:M1924"/>
    <mergeCell ref="M1919:M1920"/>
    <mergeCell ref="N1919:O1919"/>
    <mergeCell ref="H1921:H1922"/>
    <mergeCell ref="I1921:I1922"/>
    <mergeCell ref="J1921:J1922"/>
    <mergeCell ref="K1921:K1922"/>
    <mergeCell ref="L1921:L1922"/>
    <mergeCell ref="M1921:M1922"/>
    <mergeCell ref="H1894:L1894"/>
    <mergeCell ref="H1895:L1895"/>
    <mergeCell ref="H1896:L1896"/>
    <mergeCell ref="H1902:K1902"/>
    <mergeCell ref="H1917:O1917"/>
    <mergeCell ref="H1919:H1920"/>
    <mergeCell ref="I1919:I1920"/>
    <mergeCell ref="J1919:J1920"/>
    <mergeCell ref="K1919:K1920"/>
    <mergeCell ref="L1919:L1920"/>
    <mergeCell ref="H1929:H1930"/>
    <mergeCell ref="I1929:I1930"/>
    <mergeCell ref="J1929:J1930"/>
    <mergeCell ref="K1929:K1930"/>
    <mergeCell ref="L1929:L1930"/>
    <mergeCell ref="M1929:M1930"/>
    <mergeCell ref="H1927:H1928"/>
    <mergeCell ref="I1927:I1928"/>
    <mergeCell ref="J1927:J1928"/>
    <mergeCell ref="K1927:K1928"/>
    <mergeCell ref="L1927:L1928"/>
    <mergeCell ref="M1927:M1928"/>
    <mergeCell ref="H1925:H1926"/>
    <mergeCell ref="I1925:I1926"/>
    <mergeCell ref="J1925:J1926"/>
    <mergeCell ref="K1925:K1926"/>
    <mergeCell ref="L1925:L1926"/>
    <mergeCell ref="M1925:M1926"/>
    <mergeCell ref="H1960:H1961"/>
    <mergeCell ref="I1960:I1961"/>
    <mergeCell ref="J1960:J1961"/>
    <mergeCell ref="K1960:K1961"/>
    <mergeCell ref="L1960:L1961"/>
    <mergeCell ref="M1960:M1961"/>
    <mergeCell ref="M1956:M1957"/>
    <mergeCell ref="N1956:O1956"/>
    <mergeCell ref="H1958:H1959"/>
    <mergeCell ref="I1958:I1959"/>
    <mergeCell ref="J1958:J1959"/>
    <mergeCell ref="K1958:K1959"/>
    <mergeCell ref="L1958:L1959"/>
    <mergeCell ref="M1958:M1959"/>
    <mergeCell ref="H1931:L1931"/>
    <mergeCell ref="H1932:L1932"/>
    <mergeCell ref="H1933:L1933"/>
    <mergeCell ref="H1939:K1939"/>
    <mergeCell ref="H1954:O1954"/>
    <mergeCell ref="H1956:H1957"/>
    <mergeCell ref="I1956:I1957"/>
    <mergeCell ref="J1956:J1957"/>
    <mergeCell ref="K1956:K1957"/>
    <mergeCell ref="L1956:L1957"/>
    <mergeCell ref="H1966:H1967"/>
    <mergeCell ref="I1966:I1967"/>
    <mergeCell ref="J1966:J1967"/>
    <mergeCell ref="K1966:K1967"/>
    <mergeCell ref="L1966:L1967"/>
    <mergeCell ref="M1966:M1967"/>
    <mergeCell ref="H1964:H1965"/>
    <mergeCell ref="I1964:I1965"/>
    <mergeCell ref="J1964:J1965"/>
    <mergeCell ref="K1964:K1965"/>
    <mergeCell ref="L1964:L1965"/>
    <mergeCell ref="M1964:M1965"/>
    <mergeCell ref="H1962:H1963"/>
    <mergeCell ref="I1962:I1963"/>
    <mergeCell ref="J1962:J1963"/>
    <mergeCell ref="K1962:K1963"/>
    <mergeCell ref="L1962:L1963"/>
    <mergeCell ref="M1962:M1963"/>
    <mergeCell ref="H1997:H1998"/>
    <mergeCell ref="I1997:I1998"/>
    <mergeCell ref="J1997:J1998"/>
    <mergeCell ref="K1997:K1998"/>
    <mergeCell ref="L1997:L1998"/>
    <mergeCell ref="M1997:M1998"/>
    <mergeCell ref="M1993:M1994"/>
    <mergeCell ref="N1993:O1993"/>
    <mergeCell ref="H1995:H1996"/>
    <mergeCell ref="I1995:I1996"/>
    <mergeCell ref="J1995:J1996"/>
    <mergeCell ref="K1995:K1996"/>
    <mergeCell ref="L1995:L1996"/>
    <mergeCell ref="M1995:M1996"/>
    <mergeCell ref="H1968:L1968"/>
    <mergeCell ref="H1969:L1969"/>
    <mergeCell ref="H1970:L1970"/>
    <mergeCell ref="H1976:K1976"/>
    <mergeCell ref="H1991:O1991"/>
    <mergeCell ref="H1993:H1994"/>
    <mergeCell ref="I1993:I1994"/>
    <mergeCell ref="J1993:J1994"/>
    <mergeCell ref="K1993:K1994"/>
    <mergeCell ref="L1993:L1994"/>
    <mergeCell ref="H2003:H2004"/>
    <mergeCell ref="I2003:I2004"/>
    <mergeCell ref="J2003:J2004"/>
    <mergeCell ref="K2003:K2004"/>
    <mergeCell ref="L2003:L2004"/>
    <mergeCell ref="M2003:M2004"/>
    <mergeCell ref="H2001:H2002"/>
    <mergeCell ref="I2001:I2002"/>
    <mergeCell ref="J2001:J2002"/>
    <mergeCell ref="K2001:K2002"/>
    <mergeCell ref="L2001:L2002"/>
    <mergeCell ref="M2001:M2002"/>
    <mergeCell ref="H1999:H2000"/>
    <mergeCell ref="I1999:I2000"/>
    <mergeCell ref="J1999:J2000"/>
    <mergeCell ref="K1999:K2000"/>
    <mergeCell ref="L1999:L2000"/>
    <mergeCell ref="M1999:M2000"/>
    <mergeCell ref="H2034:H2035"/>
    <mergeCell ref="I2034:I2035"/>
    <mergeCell ref="J2034:J2035"/>
    <mergeCell ref="K2034:K2035"/>
    <mergeCell ref="L2034:L2035"/>
    <mergeCell ref="M2034:M2035"/>
    <mergeCell ref="M2030:M2031"/>
    <mergeCell ref="N2030:O2030"/>
    <mergeCell ref="H2032:H2033"/>
    <mergeCell ref="I2032:I2033"/>
    <mergeCell ref="J2032:J2033"/>
    <mergeCell ref="K2032:K2033"/>
    <mergeCell ref="L2032:L2033"/>
    <mergeCell ref="M2032:M2033"/>
    <mergeCell ref="H2005:L2005"/>
    <mergeCell ref="H2006:L2006"/>
    <mergeCell ref="H2007:L2007"/>
    <mergeCell ref="H2013:K2013"/>
    <mergeCell ref="H2028:O2028"/>
    <mergeCell ref="H2030:H2031"/>
    <mergeCell ref="I2030:I2031"/>
    <mergeCell ref="J2030:J2031"/>
    <mergeCell ref="K2030:K2031"/>
    <mergeCell ref="L2030:L2031"/>
    <mergeCell ref="H2040:H2041"/>
    <mergeCell ref="I2040:I2041"/>
    <mergeCell ref="J2040:J2041"/>
    <mergeCell ref="K2040:K2041"/>
    <mergeCell ref="L2040:L2041"/>
    <mergeCell ref="M2040:M2041"/>
    <mergeCell ref="H2038:H2039"/>
    <mergeCell ref="I2038:I2039"/>
    <mergeCell ref="J2038:J2039"/>
    <mergeCell ref="K2038:K2039"/>
    <mergeCell ref="L2038:L2039"/>
    <mergeCell ref="M2038:M2039"/>
    <mergeCell ref="H2036:H2037"/>
    <mergeCell ref="I2036:I2037"/>
    <mergeCell ref="J2036:J2037"/>
    <mergeCell ref="K2036:K2037"/>
    <mergeCell ref="L2036:L2037"/>
    <mergeCell ref="M2036:M2037"/>
    <mergeCell ref="H2071:H2072"/>
    <mergeCell ref="I2071:I2072"/>
    <mergeCell ref="J2071:J2072"/>
    <mergeCell ref="K2071:K2072"/>
    <mergeCell ref="L2071:L2072"/>
    <mergeCell ref="M2071:M2072"/>
    <mergeCell ref="M2067:M2068"/>
    <mergeCell ref="N2067:O2067"/>
    <mergeCell ref="H2069:H2070"/>
    <mergeCell ref="I2069:I2070"/>
    <mergeCell ref="J2069:J2070"/>
    <mergeCell ref="K2069:K2070"/>
    <mergeCell ref="L2069:L2070"/>
    <mergeCell ref="M2069:M2070"/>
    <mergeCell ref="H2042:L2042"/>
    <mergeCell ref="H2043:L2043"/>
    <mergeCell ref="H2044:L2044"/>
    <mergeCell ref="H2050:K2050"/>
    <mergeCell ref="H2065:O2065"/>
    <mergeCell ref="H2067:H2068"/>
    <mergeCell ref="I2067:I2068"/>
    <mergeCell ref="J2067:J2068"/>
    <mergeCell ref="K2067:K2068"/>
    <mergeCell ref="L2067:L2068"/>
    <mergeCell ref="H2077:H2078"/>
    <mergeCell ref="I2077:I2078"/>
    <mergeCell ref="J2077:J2078"/>
    <mergeCell ref="K2077:K2078"/>
    <mergeCell ref="L2077:L2078"/>
    <mergeCell ref="M2077:M2078"/>
    <mergeCell ref="H2075:H2076"/>
    <mergeCell ref="I2075:I2076"/>
    <mergeCell ref="J2075:J2076"/>
    <mergeCell ref="K2075:K2076"/>
    <mergeCell ref="L2075:L2076"/>
    <mergeCell ref="M2075:M2076"/>
    <mergeCell ref="H2073:H2074"/>
    <mergeCell ref="I2073:I2074"/>
    <mergeCell ref="J2073:J2074"/>
    <mergeCell ref="K2073:K2074"/>
    <mergeCell ref="L2073:L2074"/>
    <mergeCell ref="M2073:M2074"/>
    <mergeCell ref="H2108:H2109"/>
    <mergeCell ref="I2108:I2109"/>
    <mergeCell ref="J2108:J2109"/>
    <mergeCell ref="K2108:K2109"/>
    <mergeCell ref="L2108:L2109"/>
    <mergeCell ref="M2108:M2109"/>
    <mergeCell ref="M2104:M2105"/>
    <mergeCell ref="N2104:O2104"/>
    <mergeCell ref="H2106:H2107"/>
    <mergeCell ref="I2106:I2107"/>
    <mergeCell ref="J2106:J2107"/>
    <mergeCell ref="K2106:K2107"/>
    <mergeCell ref="L2106:L2107"/>
    <mergeCell ref="M2106:M2107"/>
    <mergeCell ref="H2079:L2079"/>
    <mergeCell ref="H2080:L2080"/>
    <mergeCell ref="H2081:L2081"/>
    <mergeCell ref="H2087:K2087"/>
    <mergeCell ref="H2102:O2102"/>
    <mergeCell ref="H2104:H2105"/>
    <mergeCell ref="I2104:I2105"/>
    <mergeCell ref="J2104:J2105"/>
    <mergeCell ref="K2104:K2105"/>
    <mergeCell ref="L2104:L2105"/>
    <mergeCell ref="H2114:H2115"/>
    <mergeCell ref="I2114:I2115"/>
    <mergeCell ref="J2114:J2115"/>
    <mergeCell ref="K2114:K2115"/>
    <mergeCell ref="L2114:L2115"/>
    <mergeCell ref="M2114:M2115"/>
    <mergeCell ref="H2112:H2113"/>
    <mergeCell ref="I2112:I2113"/>
    <mergeCell ref="J2112:J2113"/>
    <mergeCell ref="K2112:K2113"/>
    <mergeCell ref="L2112:L2113"/>
    <mergeCell ref="M2112:M2113"/>
    <mergeCell ref="H2110:H2111"/>
    <mergeCell ref="I2110:I2111"/>
    <mergeCell ref="J2110:J2111"/>
    <mergeCell ref="K2110:K2111"/>
    <mergeCell ref="L2110:L2111"/>
    <mergeCell ref="M2110:M2111"/>
    <mergeCell ref="H2145:H2146"/>
    <mergeCell ref="I2145:I2146"/>
    <mergeCell ref="J2145:J2146"/>
    <mergeCell ref="K2145:K2146"/>
    <mergeCell ref="L2145:L2146"/>
    <mergeCell ref="M2145:M2146"/>
    <mergeCell ref="M2141:M2142"/>
    <mergeCell ref="N2141:O2141"/>
    <mergeCell ref="H2143:H2144"/>
    <mergeCell ref="I2143:I2144"/>
    <mergeCell ref="J2143:J2144"/>
    <mergeCell ref="K2143:K2144"/>
    <mergeCell ref="L2143:L2144"/>
    <mergeCell ref="M2143:M2144"/>
    <mergeCell ref="H2116:L2116"/>
    <mergeCell ref="H2117:L2117"/>
    <mergeCell ref="H2118:L2118"/>
    <mergeCell ref="H2124:K2124"/>
    <mergeCell ref="H2139:O2139"/>
    <mergeCell ref="H2141:H2142"/>
    <mergeCell ref="I2141:I2142"/>
    <mergeCell ref="J2141:J2142"/>
    <mergeCell ref="K2141:K2142"/>
    <mergeCell ref="L2141:L2142"/>
    <mergeCell ref="H2151:H2152"/>
    <mergeCell ref="I2151:I2152"/>
    <mergeCell ref="J2151:J2152"/>
    <mergeCell ref="K2151:K2152"/>
    <mergeCell ref="L2151:L2152"/>
    <mergeCell ref="M2151:M2152"/>
    <mergeCell ref="H2149:H2150"/>
    <mergeCell ref="I2149:I2150"/>
    <mergeCell ref="J2149:J2150"/>
    <mergeCell ref="K2149:K2150"/>
    <mergeCell ref="L2149:L2150"/>
    <mergeCell ref="M2149:M2150"/>
    <mergeCell ref="H2147:H2148"/>
    <mergeCell ref="I2147:I2148"/>
    <mergeCell ref="J2147:J2148"/>
    <mergeCell ref="K2147:K2148"/>
    <mergeCell ref="L2147:L2148"/>
    <mergeCell ref="M2147:M2148"/>
    <mergeCell ref="M2178:M2179"/>
    <mergeCell ref="N2178:O2178"/>
    <mergeCell ref="H2180:H2181"/>
    <mergeCell ref="I2180:I2181"/>
    <mergeCell ref="J2180:J2181"/>
    <mergeCell ref="K2180:K2181"/>
    <mergeCell ref="L2180:L2181"/>
    <mergeCell ref="M2180:M2181"/>
    <mergeCell ref="H2153:L2153"/>
    <mergeCell ref="H2154:L2154"/>
    <mergeCell ref="H2155:L2155"/>
    <mergeCell ref="H2161:K2161"/>
    <mergeCell ref="H2176:O2176"/>
    <mergeCell ref="H2178:H2179"/>
    <mergeCell ref="I2178:I2179"/>
    <mergeCell ref="J2178:J2179"/>
    <mergeCell ref="K2178:K2179"/>
    <mergeCell ref="L2178:L2179"/>
    <mergeCell ref="H2186:H2187"/>
    <mergeCell ref="I2186:I2187"/>
    <mergeCell ref="J2186:J2187"/>
    <mergeCell ref="K2186:K2187"/>
    <mergeCell ref="L2186:L2187"/>
    <mergeCell ref="M2186:M2187"/>
    <mergeCell ref="H2184:H2185"/>
    <mergeCell ref="I2184:I2185"/>
    <mergeCell ref="J2184:J2185"/>
    <mergeCell ref="K2184:K2185"/>
    <mergeCell ref="L2184:L2185"/>
    <mergeCell ref="M2184:M2185"/>
    <mergeCell ref="H2182:H2183"/>
    <mergeCell ref="I2182:I2183"/>
    <mergeCell ref="J2182:J2183"/>
    <mergeCell ref="K2182:K2183"/>
    <mergeCell ref="L2182:L2183"/>
    <mergeCell ref="M2182:M2183"/>
    <mergeCell ref="H2192:L2192"/>
    <mergeCell ref="H2193:L2193"/>
    <mergeCell ref="H2194:L2194"/>
    <mergeCell ref="H2200:K2200"/>
    <mergeCell ref="H2215:O2215"/>
    <mergeCell ref="H2217:H2218"/>
    <mergeCell ref="I2217:I2218"/>
    <mergeCell ref="J2217:J2218"/>
    <mergeCell ref="K2217:K2218"/>
    <mergeCell ref="L2217:L2218"/>
    <mergeCell ref="H2190:H2191"/>
    <mergeCell ref="I2190:I2191"/>
    <mergeCell ref="J2190:J2191"/>
    <mergeCell ref="K2190:K2191"/>
    <mergeCell ref="L2190:L2191"/>
    <mergeCell ref="M2190:M2191"/>
    <mergeCell ref="H2188:H2189"/>
    <mergeCell ref="I2188:I2189"/>
    <mergeCell ref="J2188:J2189"/>
    <mergeCell ref="K2188:K2189"/>
    <mergeCell ref="L2188:L2189"/>
    <mergeCell ref="M2188:M2189"/>
    <mergeCell ref="H2223:H2224"/>
    <mergeCell ref="I2223:I2224"/>
    <mergeCell ref="J2223:J2224"/>
    <mergeCell ref="K2223:K2224"/>
    <mergeCell ref="L2223:L2224"/>
    <mergeCell ref="M2223:M2224"/>
    <mergeCell ref="H2221:H2222"/>
    <mergeCell ref="I2221:I2222"/>
    <mergeCell ref="J2221:J2222"/>
    <mergeCell ref="K2221:K2222"/>
    <mergeCell ref="L2221:L2222"/>
    <mergeCell ref="M2221:M2222"/>
    <mergeCell ref="M2217:M2218"/>
    <mergeCell ref="N2217:O2217"/>
    <mergeCell ref="H2219:H2220"/>
    <mergeCell ref="I2219:I2220"/>
    <mergeCell ref="J2219:J2220"/>
    <mergeCell ref="K2219:K2220"/>
    <mergeCell ref="L2219:L2220"/>
    <mergeCell ref="M2219:M2220"/>
    <mergeCell ref="H2229:L2229"/>
    <mergeCell ref="H2230:L2230"/>
    <mergeCell ref="H2231:L2231"/>
    <mergeCell ref="H2237:K2237"/>
    <mergeCell ref="H2252:O2252"/>
    <mergeCell ref="H2254:H2255"/>
    <mergeCell ref="I2254:I2255"/>
    <mergeCell ref="J2254:J2255"/>
    <mergeCell ref="K2254:K2255"/>
    <mergeCell ref="L2254:L2255"/>
    <mergeCell ref="H2227:H2228"/>
    <mergeCell ref="I2227:I2228"/>
    <mergeCell ref="J2227:J2228"/>
    <mergeCell ref="K2227:K2228"/>
    <mergeCell ref="L2227:L2228"/>
    <mergeCell ref="M2227:M2228"/>
    <mergeCell ref="H2225:H2226"/>
    <mergeCell ref="I2225:I2226"/>
    <mergeCell ref="J2225:J2226"/>
    <mergeCell ref="K2225:K2226"/>
    <mergeCell ref="L2225:L2226"/>
    <mergeCell ref="M2225:M2226"/>
    <mergeCell ref="H2260:H2261"/>
    <mergeCell ref="I2260:I2261"/>
    <mergeCell ref="J2260:J2261"/>
    <mergeCell ref="K2260:K2261"/>
    <mergeCell ref="L2260:L2261"/>
    <mergeCell ref="M2260:M2261"/>
    <mergeCell ref="H2258:H2259"/>
    <mergeCell ref="I2258:I2259"/>
    <mergeCell ref="J2258:J2259"/>
    <mergeCell ref="K2258:K2259"/>
    <mergeCell ref="L2258:L2259"/>
    <mergeCell ref="M2258:M2259"/>
    <mergeCell ref="M2254:M2255"/>
    <mergeCell ref="N2254:O2254"/>
    <mergeCell ref="H2256:H2257"/>
    <mergeCell ref="I2256:I2257"/>
    <mergeCell ref="J2256:J2257"/>
    <mergeCell ref="K2256:K2257"/>
    <mergeCell ref="L2256:L2257"/>
    <mergeCell ref="M2256:M2257"/>
    <mergeCell ref="H2266:L2266"/>
    <mergeCell ref="H2267:L2267"/>
    <mergeCell ref="H2268:L2268"/>
    <mergeCell ref="H2274:K2274"/>
    <mergeCell ref="H2289:O2289"/>
    <mergeCell ref="H2291:H2292"/>
    <mergeCell ref="I2291:I2292"/>
    <mergeCell ref="J2291:J2292"/>
    <mergeCell ref="K2291:K2292"/>
    <mergeCell ref="L2291:L2292"/>
    <mergeCell ref="H2264:H2265"/>
    <mergeCell ref="I2264:I2265"/>
    <mergeCell ref="J2264:J2265"/>
    <mergeCell ref="K2264:K2265"/>
    <mergeCell ref="L2264:L2265"/>
    <mergeCell ref="M2264:M2265"/>
    <mergeCell ref="H2262:H2263"/>
    <mergeCell ref="I2262:I2263"/>
    <mergeCell ref="J2262:J2263"/>
    <mergeCell ref="K2262:K2263"/>
    <mergeCell ref="L2262:L2263"/>
    <mergeCell ref="M2262:M2263"/>
    <mergeCell ref="H2297:H2298"/>
    <mergeCell ref="I2297:I2298"/>
    <mergeCell ref="J2297:J2298"/>
    <mergeCell ref="K2297:K2298"/>
    <mergeCell ref="L2297:L2298"/>
    <mergeCell ref="M2297:M2298"/>
    <mergeCell ref="H2295:H2296"/>
    <mergeCell ref="I2295:I2296"/>
    <mergeCell ref="J2295:J2296"/>
    <mergeCell ref="K2295:K2296"/>
    <mergeCell ref="L2295:L2296"/>
    <mergeCell ref="M2295:M2296"/>
    <mergeCell ref="M2291:M2292"/>
    <mergeCell ref="N2291:O2291"/>
    <mergeCell ref="H2293:H2294"/>
    <mergeCell ref="I2293:I2294"/>
    <mergeCell ref="J2293:J2294"/>
    <mergeCell ref="K2293:K2294"/>
    <mergeCell ref="L2293:L2294"/>
    <mergeCell ref="M2293:M2294"/>
    <mergeCell ref="H2303:L2303"/>
    <mergeCell ref="H2304:L2304"/>
    <mergeCell ref="H2305:L2305"/>
    <mergeCell ref="H2311:K2311"/>
    <mergeCell ref="H2326:O2326"/>
    <mergeCell ref="H2328:H2329"/>
    <mergeCell ref="I2328:I2329"/>
    <mergeCell ref="J2328:J2329"/>
    <mergeCell ref="K2328:K2329"/>
    <mergeCell ref="L2328:L2329"/>
    <mergeCell ref="H2301:H2302"/>
    <mergeCell ref="I2301:I2302"/>
    <mergeCell ref="J2301:J2302"/>
    <mergeCell ref="K2301:K2302"/>
    <mergeCell ref="L2301:L2302"/>
    <mergeCell ref="M2301:M2302"/>
    <mergeCell ref="H2299:H2300"/>
    <mergeCell ref="I2299:I2300"/>
    <mergeCell ref="J2299:J2300"/>
    <mergeCell ref="K2299:K2300"/>
    <mergeCell ref="L2299:L2300"/>
    <mergeCell ref="M2299:M2300"/>
    <mergeCell ref="H2334:H2335"/>
    <mergeCell ref="I2334:I2335"/>
    <mergeCell ref="J2334:J2335"/>
    <mergeCell ref="K2334:K2335"/>
    <mergeCell ref="L2334:L2335"/>
    <mergeCell ref="M2334:M2335"/>
    <mergeCell ref="H2332:H2333"/>
    <mergeCell ref="I2332:I2333"/>
    <mergeCell ref="J2332:J2333"/>
    <mergeCell ref="K2332:K2333"/>
    <mergeCell ref="L2332:L2333"/>
    <mergeCell ref="M2332:M2333"/>
    <mergeCell ref="M2328:M2329"/>
    <mergeCell ref="N2328:O2328"/>
    <mergeCell ref="H2330:H2331"/>
    <mergeCell ref="I2330:I2331"/>
    <mergeCell ref="J2330:J2331"/>
    <mergeCell ref="K2330:K2331"/>
    <mergeCell ref="L2330:L2331"/>
    <mergeCell ref="M2330:M2331"/>
    <mergeCell ref="H2340:L2340"/>
    <mergeCell ref="H2341:L2341"/>
    <mergeCell ref="H2342:L2342"/>
    <mergeCell ref="H2348:K2348"/>
    <mergeCell ref="H2363:O2363"/>
    <mergeCell ref="H2365:H2366"/>
    <mergeCell ref="I2365:I2366"/>
    <mergeCell ref="J2365:J2366"/>
    <mergeCell ref="K2365:K2366"/>
    <mergeCell ref="L2365:L2366"/>
    <mergeCell ref="H2338:H2339"/>
    <mergeCell ref="I2338:I2339"/>
    <mergeCell ref="J2338:J2339"/>
    <mergeCell ref="K2338:K2339"/>
    <mergeCell ref="L2338:L2339"/>
    <mergeCell ref="M2338:M2339"/>
    <mergeCell ref="H2336:H2337"/>
    <mergeCell ref="I2336:I2337"/>
    <mergeCell ref="J2336:J2337"/>
    <mergeCell ref="K2336:K2337"/>
    <mergeCell ref="L2336:L2337"/>
    <mergeCell ref="M2336:M2337"/>
    <mergeCell ref="H2371:H2372"/>
    <mergeCell ref="I2371:I2372"/>
    <mergeCell ref="J2371:J2372"/>
    <mergeCell ref="K2371:K2372"/>
    <mergeCell ref="L2371:L2372"/>
    <mergeCell ref="M2371:M2372"/>
    <mergeCell ref="H2369:H2370"/>
    <mergeCell ref="I2369:I2370"/>
    <mergeCell ref="J2369:J2370"/>
    <mergeCell ref="K2369:K2370"/>
    <mergeCell ref="L2369:L2370"/>
    <mergeCell ref="M2369:M2370"/>
    <mergeCell ref="M2365:M2366"/>
    <mergeCell ref="N2365:O2365"/>
    <mergeCell ref="H2367:H2368"/>
    <mergeCell ref="I2367:I2368"/>
    <mergeCell ref="J2367:J2368"/>
    <mergeCell ref="K2367:K2368"/>
    <mergeCell ref="L2367:L2368"/>
    <mergeCell ref="M2367:M2368"/>
    <mergeCell ref="H2377:L2377"/>
    <mergeCell ref="H2378:L2378"/>
    <mergeCell ref="H2379:L2379"/>
    <mergeCell ref="H2385:K2385"/>
    <mergeCell ref="H2400:O2400"/>
    <mergeCell ref="H2402:H2403"/>
    <mergeCell ref="I2402:I2403"/>
    <mergeCell ref="J2402:J2403"/>
    <mergeCell ref="K2402:K2403"/>
    <mergeCell ref="L2402:L2403"/>
    <mergeCell ref="H2375:H2376"/>
    <mergeCell ref="I2375:I2376"/>
    <mergeCell ref="J2375:J2376"/>
    <mergeCell ref="K2375:K2376"/>
    <mergeCell ref="L2375:L2376"/>
    <mergeCell ref="M2375:M2376"/>
    <mergeCell ref="H2373:H2374"/>
    <mergeCell ref="I2373:I2374"/>
    <mergeCell ref="J2373:J2374"/>
    <mergeCell ref="K2373:K2374"/>
    <mergeCell ref="L2373:L2374"/>
    <mergeCell ref="M2373:M2374"/>
    <mergeCell ref="H2408:H2409"/>
    <mergeCell ref="I2408:I2409"/>
    <mergeCell ref="J2408:J2409"/>
    <mergeCell ref="K2408:K2409"/>
    <mergeCell ref="L2408:L2409"/>
    <mergeCell ref="M2408:M2409"/>
    <mergeCell ref="H2406:H2407"/>
    <mergeCell ref="I2406:I2407"/>
    <mergeCell ref="J2406:J2407"/>
    <mergeCell ref="K2406:K2407"/>
    <mergeCell ref="L2406:L2407"/>
    <mergeCell ref="M2406:M2407"/>
    <mergeCell ref="M2402:M2403"/>
    <mergeCell ref="N2402:O2402"/>
    <mergeCell ref="H2404:H2405"/>
    <mergeCell ref="I2404:I2405"/>
    <mergeCell ref="J2404:J2405"/>
    <mergeCell ref="K2404:K2405"/>
    <mergeCell ref="L2404:L2405"/>
    <mergeCell ref="M2404:M2405"/>
    <mergeCell ref="H2414:L2414"/>
    <mergeCell ref="H2415:L2415"/>
    <mergeCell ref="H2416:L2416"/>
    <mergeCell ref="H2422:K2422"/>
    <mergeCell ref="H2437:O2437"/>
    <mergeCell ref="H2439:H2440"/>
    <mergeCell ref="I2439:I2440"/>
    <mergeCell ref="J2439:J2440"/>
    <mergeCell ref="K2439:K2440"/>
    <mergeCell ref="L2439:L2440"/>
    <mergeCell ref="H2412:H2413"/>
    <mergeCell ref="I2412:I2413"/>
    <mergeCell ref="J2412:J2413"/>
    <mergeCell ref="K2412:K2413"/>
    <mergeCell ref="L2412:L2413"/>
    <mergeCell ref="M2412:M2413"/>
    <mergeCell ref="H2410:H2411"/>
    <mergeCell ref="I2410:I2411"/>
    <mergeCell ref="J2410:J2411"/>
    <mergeCell ref="K2410:K2411"/>
    <mergeCell ref="L2410:L2411"/>
    <mergeCell ref="M2410:M2411"/>
    <mergeCell ref="H2445:H2446"/>
    <mergeCell ref="I2445:I2446"/>
    <mergeCell ref="J2445:J2446"/>
    <mergeCell ref="K2445:K2446"/>
    <mergeCell ref="L2445:L2446"/>
    <mergeCell ref="M2445:M2446"/>
    <mergeCell ref="H2443:H2444"/>
    <mergeCell ref="I2443:I2444"/>
    <mergeCell ref="J2443:J2444"/>
    <mergeCell ref="K2443:K2444"/>
    <mergeCell ref="L2443:L2444"/>
    <mergeCell ref="M2443:M2444"/>
    <mergeCell ref="M2439:M2440"/>
    <mergeCell ref="N2439:O2439"/>
    <mergeCell ref="H2441:H2442"/>
    <mergeCell ref="I2441:I2442"/>
    <mergeCell ref="J2441:J2442"/>
    <mergeCell ref="K2441:K2442"/>
    <mergeCell ref="L2441:L2442"/>
    <mergeCell ref="M2441:M2442"/>
    <mergeCell ref="H2451:L2451"/>
    <mergeCell ref="H2452:L2452"/>
    <mergeCell ref="H2453:L2453"/>
    <mergeCell ref="H2459:K2459"/>
    <mergeCell ref="H2474:O2474"/>
    <mergeCell ref="H2476:H2477"/>
    <mergeCell ref="I2476:I2477"/>
    <mergeCell ref="J2476:J2477"/>
    <mergeCell ref="K2476:K2477"/>
    <mergeCell ref="L2476:L2477"/>
    <mergeCell ref="H2449:H2450"/>
    <mergeCell ref="I2449:I2450"/>
    <mergeCell ref="J2449:J2450"/>
    <mergeCell ref="K2449:K2450"/>
    <mergeCell ref="L2449:L2450"/>
    <mergeCell ref="M2449:M2450"/>
    <mergeCell ref="H2447:H2448"/>
    <mergeCell ref="I2447:I2448"/>
    <mergeCell ref="J2447:J2448"/>
    <mergeCell ref="K2447:K2448"/>
    <mergeCell ref="L2447:L2448"/>
    <mergeCell ref="M2447:M2448"/>
    <mergeCell ref="H2482:H2483"/>
    <mergeCell ref="I2482:I2483"/>
    <mergeCell ref="J2482:J2483"/>
    <mergeCell ref="K2482:K2483"/>
    <mergeCell ref="L2482:L2483"/>
    <mergeCell ref="M2482:M2483"/>
    <mergeCell ref="H2480:H2481"/>
    <mergeCell ref="I2480:I2481"/>
    <mergeCell ref="J2480:J2481"/>
    <mergeCell ref="K2480:K2481"/>
    <mergeCell ref="L2480:L2481"/>
    <mergeCell ref="M2480:M2481"/>
    <mergeCell ref="M2476:M2477"/>
    <mergeCell ref="N2476:O2476"/>
    <mergeCell ref="H2478:H2479"/>
    <mergeCell ref="I2478:I2479"/>
    <mergeCell ref="J2478:J2479"/>
    <mergeCell ref="K2478:K2479"/>
    <mergeCell ref="L2478:L2479"/>
    <mergeCell ref="M2478:M2479"/>
    <mergeCell ref="H2488:H2489"/>
    <mergeCell ref="I2488:I2489"/>
    <mergeCell ref="J2488:J2489"/>
    <mergeCell ref="K2488:K2489"/>
    <mergeCell ref="L2488:L2489"/>
    <mergeCell ref="M2488:M2489"/>
    <mergeCell ref="H2486:H2487"/>
    <mergeCell ref="I2486:I2487"/>
    <mergeCell ref="J2486:J2487"/>
    <mergeCell ref="K2486:K2487"/>
    <mergeCell ref="L2486:L2487"/>
    <mergeCell ref="M2486:M2487"/>
    <mergeCell ref="H2484:H2485"/>
    <mergeCell ref="I2484:I2485"/>
    <mergeCell ref="J2484:J2485"/>
    <mergeCell ref="K2484:K2485"/>
    <mergeCell ref="L2484:L2485"/>
    <mergeCell ref="M2484:M2485"/>
    <mergeCell ref="H2519:H2520"/>
    <mergeCell ref="I2519:I2520"/>
    <mergeCell ref="J2519:J2520"/>
    <mergeCell ref="K2519:K2520"/>
    <mergeCell ref="L2519:L2520"/>
    <mergeCell ref="M2519:M2520"/>
    <mergeCell ref="M2515:M2516"/>
    <mergeCell ref="N2515:O2515"/>
    <mergeCell ref="H2517:H2518"/>
    <mergeCell ref="I2517:I2518"/>
    <mergeCell ref="J2517:J2518"/>
    <mergeCell ref="K2517:K2518"/>
    <mergeCell ref="L2517:L2518"/>
    <mergeCell ref="M2517:M2518"/>
    <mergeCell ref="H2490:L2490"/>
    <mergeCell ref="H2491:L2491"/>
    <mergeCell ref="H2492:L2492"/>
    <mergeCell ref="H2498:K2498"/>
    <mergeCell ref="H2513:O2513"/>
    <mergeCell ref="H2515:H2516"/>
    <mergeCell ref="I2515:I2516"/>
    <mergeCell ref="J2515:J2516"/>
    <mergeCell ref="K2515:K2516"/>
    <mergeCell ref="L2515:L2516"/>
    <mergeCell ref="H2525:H2526"/>
    <mergeCell ref="I2525:I2526"/>
    <mergeCell ref="J2525:J2526"/>
    <mergeCell ref="K2525:K2526"/>
    <mergeCell ref="L2525:L2526"/>
    <mergeCell ref="M2525:M2526"/>
    <mergeCell ref="H2523:H2524"/>
    <mergeCell ref="I2523:I2524"/>
    <mergeCell ref="J2523:J2524"/>
    <mergeCell ref="K2523:K2524"/>
    <mergeCell ref="L2523:L2524"/>
    <mergeCell ref="M2523:M2524"/>
    <mergeCell ref="H2521:H2522"/>
    <mergeCell ref="I2521:I2522"/>
    <mergeCell ref="J2521:J2522"/>
    <mergeCell ref="K2521:K2522"/>
    <mergeCell ref="L2521:L2522"/>
    <mergeCell ref="M2521:M2522"/>
    <mergeCell ref="H2556:H2557"/>
    <mergeCell ref="I2556:I2557"/>
    <mergeCell ref="J2556:J2557"/>
    <mergeCell ref="K2556:K2557"/>
    <mergeCell ref="L2556:L2557"/>
    <mergeCell ref="M2556:M2557"/>
    <mergeCell ref="M2552:M2553"/>
    <mergeCell ref="N2552:O2552"/>
    <mergeCell ref="H2554:H2555"/>
    <mergeCell ref="I2554:I2555"/>
    <mergeCell ref="J2554:J2555"/>
    <mergeCell ref="K2554:K2555"/>
    <mergeCell ref="L2554:L2555"/>
    <mergeCell ref="M2554:M2555"/>
    <mergeCell ref="H2527:L2527"/>
    <mergeCell ref="H2528:L2528"/>
    <mergeCell ref="H2529:L2529"/>
    <mergeCell ref="H2535:K2535"/>
    <mergeCell ref="H2550:O2550"/>
    <mergeCell ref="H2552:H2553"/>
    <mergeCell ref="I2552:I2553"/>
    <mergeCell ref="J2552:J2553"/>
    <mergeCell ref="K2552:K2553"/>
    <mergeCell ref="L2552:L2553"/>
    <mergeCell ref="H2562:H2563"/>
    <mergeCell ref="I2562:I2563"/>
    <mergeCell ref="J2562:J2563"/>
    <mergeCell ref="K2562:K2563"/>
    <mergeCell ref="L2562:L2563"/>
    <mergeCell ref="M2562:M2563"/>
    <mergeCell ref="H2560:H2561"/>
    <mergeCell ref="I2560:I2561"/>
    <mergeCell ref="J2560:J2561"/>
    <mergeCell ref="K2560:K2561"/>
    <mergeCell ref="L2560:L2561"/>
    <mergeCell ref="M2560:M2561"/>
    <mergeCell ref="H2558:H2559"/>
    <mergeCell ref="I2558:I2559"/>
    <mergeCell ref="J2558:J2559"/>
    <mergeCell ref="K2558:K2559"/>
    <mergeCell ref="L2558:L2559"/>
    <mergeCell ref="M2558:M2559"/>
    <mergeCell ref="H2593:H2594"/>
    <mergeCell ref="I2593:I2594"/>
    <mergeCell ref="J2593:J2594"/>
    <mergeCell ref="K2593:K2594"/>
    <mergeCell ref="L2593:L2594"/>
    <mergeCell ref="M2593:M2594"/>
    <mergeCell ref="M2589:M2590"/>
    <mergeCell ref="N2589:O2589"/>
    <mergeCell ref="H2591:H2592"/>
    <mergeCell ref="I2591:I2592"/>
    <mergeCell ref="J2591:J2592"/>
    <mergeCell ref="K2591:K2592"/>
    <mergeCell ref="L2591:L2592"/>
    <mergeCell ref="M2591:M2592"/>
    <mergeCell ref="H2564:L2564"/>
    <mergeCell ref="H2565:L2565"/>
    <mergeCell ref="H2566:L2566"/>
    <mergeCell ref="H2572:K2572"/>
    <mergeCell ref="H2587:O2587"/>
    <mergeCell ref="H2589:H2590"/>
    <mergeCell ref="I2589:I2590"/>
    <mergeCell ref="J2589:J2590"/>
    <mergeCell ref="K2589:K2590"/>
    <mergeCell ref="L2589:L2590"/>
    <mergeCell ref="H2599:H2600"/>
    <mergeCell ref="I2599:I2600"/>
    <mergeCell ref="J2599:J2600"/>
    <mergeCell ref="K2599:K2600"/>
    <mergeCell ref="L2599:L2600"/>
    <mergeCell ref="M2599:M2600"/>
    <mergeCell ref="H2597:H2598"/>
    <mergeCell ref="I2597:I2598"/>
    <mergeCell ref="J2597:J2598"/>
    <mergeCell ref="K2597:K2598"/>
    <mergeCell ref="L2597:L2598"/>
    <mergeCell ref="M2597:M2598"/>
    <mergeCell ref="H2595:H2596"/>
    <mergeCell ref="I2595:I2596"/>
    <mergeCell ref="J2595:J2596"/>
    <mergeCell ref="K2595:K2596"/>
    <mergeCell ref="L2595:L2596"/>
    <mergeCell ref="M2595:M2596"/>
    <mergeCell ref="H2628:H2629"/>
    <mergeCell ref="I2628:I2629"/>
    <mergeCell ref="J2628:J2629"/>
    <mergeCell ref="K2628:K2629"/>
    <mergeCell ref="L2628:L2629"/>
    <mergeCell ref="M2628:M2629"/>
    <mergeCell ref="H2624:O2624"/>
    <mergeCell ref="H2626:H2627"/>
    <mergeCell ref="I2626:I2627"/>
    <mergeCell ref="J2626:J2627"/>
    <mergeCell ref="K2626:K2627"/>
    <mergeCell ref="L2626:L2627"/>
    <mergeCell ref="M2626:M2627"/>
    <mergeCell ref="N2626:O2626"/>
    <mergeCell ref="H2601:L2601"/>
    <mergeCell ref="H2602:L2602"/>
    <mergeCell ref="H2603:L2603"/>
    <mergeCell ref="H2609:K2609"/>
    <mergeCell ref="M2609:O2609"/>
    <mergeCell ref="M2614:O2614"/>
    <mergeCell ref="H2634:H2635"/>
    <mergeCell ref="I2634:I2635"/>
    <mergeCell ref="J2634:J2635"/>
    <mergeCell ref="K2634:K2635"/>
    <mergeCell ref="L2634:L2635"/>
    <mergeCell ref="M2634:M2635"/>
    <mergeCell ref="H2632:H2633"/>
    <mergeCell ref="I2632:I2633"/>
    <mergeCell ref="J2632:J2633"/>
    <mergeCell ref="K2632:K2633"/>
    <mergeCell ref="L2632:L2633"/>
    <mergeCell ref="M2632:M2633"/>
    <mergeCell ref="H2630:H2631"/>
    <mergeCell ref="I2630:I2631"/>
    <mergeCell ref="J2630:J2631"/>
    <mergeCell ref="K2630:K2631"/>
    <mergeCell ref="L2630:L2631"/>
    <mergeCell ref="M2630:M2631"/>
    <mergeCell ref="H2640:L2640"/>
    <mergeCell ref="H2641:L2641"/>
    <mergeCell ref="H2642:L2642"/>
    <mergeCell ref="H2648:K2648"/>
    <mergeCell ref="H2663:O2663"/>
    <mergeCell ref="H2665:H2666"/>
    <mergeCell ref="I2665:I2666"/>
    <mergeCell ref="J2665:J2666"/>
    <mergeCell ref="K2665:K2666"/>
    <mergeCell ref="L2665:L2666"/>
    <mergeCell ref="H2638:H2639"/>
    <mergeCell ref="I2638:I2639"/>
    <mergeCell ref="J2638:J2639"/>
    <mergeCell ref="K2638:K2639"/>
    <mergeCell ref="L2638:L2639"/>
    <mergeCell ref="M2638:M2639"/>
    <mergeCell ref="H2636:H2637"/>
    <mergeCell ref="I2636:I2637"/>
    <mergeCell ref="J2636:J2637"/>
    <mergeCell ref="K2636:K2637"/>
    <mergeCell ref="L2636:L2637"/>
    <mergeCell ref="M2636:M2637"/>
    <mergeCell ref="H2671:H2672"/>
    <mergeCell ref="I2671:I2672"/>
    <mergeCell ref="J2671:J2672"/>
    <mergeCell ref="K2671:K2672"/>
    <mergeCell ref="L2671:L2672"/>
    <mergeCell ref="M2671:M2672"/>
    <mergeCell ref="H2669:H2670"/>
    <mergeCell ref="I2669:I2670"/>
    <mergeCell ref="J2669:J2670"/>
    <mergeCell ref="K2669:K2670"/>
    <mergeCell ref="L2669:L2670"/>
    <mergeCell ref="M2669:M2670"/>
    <mergeCell ref="M2665:M2666"/>
    <mergeCell ref="N2665:O2665"/>
    <mergeCell ref="H2667:H2668"/>
    <mergeCell ref="I2667:I2668"/>
    <mergeCell ref="J2667:J2668"/>
    <mergeCell ref="K2667:K2668"/>
    <mergeCell ref="L2667:L2668"/>
    <mergeCell ref="M2667:M2668"/>
    <mergeCell ref="H2677:L2677"/>
    <mergeCell ref="H2678:L2678"/>
    <mergeCell ref="H2679:L2679"/>
    <mergeCell ref="H2685:K2685"/>
    <mergeCell ref="H2700:O2700"/>
    <mergeCell ref="H2702:H2703"/>
    <mergeCell ref="I2702:I2703"/>
    <mergeCell ref="J2702:J2703"/>
    <mergeCell ref="K2702:K2703"/>
    <mergeCell ref="L2702:L2703"/>
    <mergeCell ref="H2675:H2676"/>
    <mergeCell ref="I2675:I2676"/>
    <mergeCell ref="J2675:J2676"/>
    <mergeCell ref="K2675:K2676"/>
    <mergeCell ref="L2675:L2676"/>
    <mergeCell ref="M2675:M2676"/>
    <mergeCell ref="H2673:H2674"/>
    <mergeCell ref="I2673:I2674"/>
    <mergeCell ref="J2673:J2674"/>
    <mergeCell ref="K2673:K2674"/>
    <mergeCell ref="L2673:L2674"/>
    <mergeCell ref="M2673:M2674"/>
    <mergeCell ref="H2708:H2709"/>
    <mergeCell ref="I2708:I2709"/>
    <mergeCell ref="J2708:J2709"/>
    <mergeCell ref="K2708:K2709"/>
    <mergeCell ref="L2708:L2709"/>
    <mergeCell ref="M2708:M2709"/>
    <mergeCell ref="H2706:H2707"/>
    <mergeCell ref="I2706:I2707"/>
    <mergeCell ref="J2706:J2707"/>
    <mergeCell ref="K2706:K2707"/>
    <mergeCell ref="L2706:L2707"/>
    <mergeCell ref="M2706:M2707"/>
    <mergeCell ref="M2702:M2703"/>
    <mergeCell ref="N2702:O2702"/>
    <mergeCell ref="H2704:H2705"/>
    <mergeCell ref="I2704:I2705"/>
    <mergeCell ref="J2704:J2705"/>
    <mergeCell ref="K2704:K2705"/>
    <mergeCell ref="L2704:L2705"/>
    <mergeCell ref="M2704:M2705"/>
    <mergeCell ref="H2714:L2714"/>
    <mergeCell ref="H2715:L2715"/>
    <mergeCell ref="H2716:L2716"/>
    <mergeCell ref="H2722:K2722"/>
    <mergeCell ref="H2737:O2737"/>
    <mergeCell ref="H2739:H2740"/>
    <mergeCell ref="I2739:I2740"/>
    <mergeCell ref="J2739:J2740"/>
    <mergeCell ref="K2739:K2740"/>
    <mergeCell ref="L2739:L2740"/>
    <mergeCell ref="H2712:H2713"/>
    <mergeCell ref="I2712:I2713"/>
    <mergeCell ref="J2712:J2713"/>
    <mergeCell ref="K2712:K2713"/>
    <mergeCell ref="L2712:L2713"/>
    <mergeCell ref="M2712:M2713"/>
    <mergeCell ref="H2710:H2711"/>
    <mergeCell ref="I2710:I2711"/>
    <mergeCell ref="J2710:J2711"/>
    <mergeCell ref="K2710:K2711"/>
    <mergeCell ref="L2710:L2711"/>
    <mergeCell ref="M2710:M2711"/>
    <mergeCell ref="H2745:H2746"/>
    <mergeCell ref="I2745:I2746"/>
    <mergeCell ref="J2745:J2746"/>
    <mergeCell ref="K2745:K2746"/>
    <mergeCell ref="L2745:L2746"/>
    <mergeCell ref="M2745:M2746"/>
    <mergeCell ref="H2743:H2744"/>
    <mergeCell ref="I2743:I2744"/>
    <mergeCell ref="J2743:J2744"/>
    <mergeCell ref="K2743:K2744"/>
    <mergeCell ref="L2743:L2744"/>
    <mergeCell ref="M2743:M2744"/>
    <mergeCell ref="M2739:M2740"/>
    <mergeCell ref="N2739:O2739"/>
    <mergeCell ref="H2741:H2742"/>
    <mergeCell ref="I2741:I2742"/>
    <mergeCell ref="J2741:J2742"/>
    <mergeCell ref="K2741:K2742"/>
    <mergeCell ref="L2741:L2742"/>
    <mergeCell ref="M2741:M2742"/>
    <mergeCell ref="H2751:L2751"/>
    <mergeCell ref="H2752:L2752"/>
    <mergeCell ref="H2753:L2753"/>
    <mergeCell ref="H2759:K2759"/>
    <mergeCell ref="H2774:O2774"/>
    <mergeCell ref="H2776:H2777"/>
    <mergeCell ref="I2776:I2777"/>
    <mergeCell ref="J2776:J2777"/>
    <mergeCell ref="K2776:K2777"/>
    <mergeCell ref="L2776:L2777"/>
    <mergeCell ref="H2749:H2750"/>
    <mergeCell ref="I2749:I2750"/>
    <mergeCell ref="J2749:J2750"/>
    <mergeCell ref="K2749:K2750"/>
    <mergeCell ref="L2749:L2750"/>
    <mergeCell ref="M2749:M2750"/>
    <mergeCell ref="H2747:H2748"/>
    <mergeCell ref="I2747:I2748"/>
    <mergeCell ref="J2747:J2748"/>
    <mergeCell ref="K2747:K2748"/>
    <mergeCell ref="L2747:L2748"/>
    <mergeCell ref="M2747:M2748"/>
    <mergeCell ref="H2782:H2783"/>
    <mergeCell ref="I2782:I2783"/>
    <mergeCell ref="J2782:J2783"/>
    <mergeCell ref="K2782:K2783"/>
    <mergeCell ref="L2782:L2783"/>
    <mergeCell ref="M2782:M2783"/>
    <mergeCell ref="H2780:H2781"/>
    <mergeCell ref="I2780:I2781"/>
    <mergeCell ref="J2780:J2781"/>
    <mergeCell ref="K2780:K2781"/>
    <mergeCell ref="L2780:L2781"/>
    <mergeCell ref="M2780:M2781"/>
    <mergeCell ref="M2776:M2777"/>
    <mergeCell ref="N2776:O2776"/>
    <mergeCell ref="H2778:H2779"/>
    <mergeCell ref="I2778:I2779"/>
    <mergeCell ref="J2778:J2779"/>
    <mergeCell ref="K2778:K2779"/>
    <mergeCell ref="L2778:L2779"/>
    <mergeCell ref="M2778:M2779"/>
    <mergeCell ref="H2788:L2788"/>
    <mergeCell ref="H2789:L2789"/>
    <mergeCell ref="H2790:L2790"/>
    <mergeCell ref="H2796:K2796"/>
    <mergeCell ref="H2811:O2811"/>
    <mergeCell ref="H2813:H2814"/>
    <mergeCell ref="I2813:I2814"/>
    <mergeCell ref="J2813:J2814"/>
    <mergeCell ref="K2813:K2814"/>
    <mergeCell ref="L2813:L2814"/>
    <mergeCell ref="H2786:H2787"/>
    <mergeCell ref="I2786:I2787"/>
    <mergeCell ref="J2786:J2787"/>
    <mergeCell ref="K2786:K2787"/>
    <mergeCell ref="L2786:L2787"/>
    <mergeCell ref="M2786:M2787"/>
    <mergeCell ref="H2784:H2785"/>
    <mergeCell ref="I2784:I2785"/>
    <mergeCell ref="J2784:J2785"/>
    <mergeCell ref="K2784:K2785"/>
    <mergeCell ref="L2784:L2785"/>
    <mergeCell ref="M2784:M2785"/>
    <mergeCell ref="H2819:H2820"/>
    <mergeCell ref="I2819:I2820"/>
    <mergeCell ref="J2819:J2820"/>
    <mergeCell ref="K2819:K2820"/>
    <mergeCell ref="L2819:L2820"/>
    <mergeCell ref="M2819:M2820"/>
    <mergeCell ref="H2817:H2818"/>
    <mergeCell ref="I2817:I2818"/>
    <mergeCell ref="J2817:J2818"/>
    <mergeCell ref="K2817:K2818"/>
    <mergeCell ref="L2817:L2818"/>
    <mergeCell ref="M2817:M2818"/>
    <mergeCell ref="M2813:M2814"/>
    <mergeCell ref="N2813:O2813"/>
    <mergeCell ref="H2815:H2816"/>
    <mergeCell ref="I2815:I2816"/>
    <mergeCell ref="J2815:J2816"/>
    <mergeCell ref="K2815:K2816"/>
    <mergeCell ref="L2815:L2816"/>
    <mergeCell ref="M2815:M2816"/>
    <mergeCell ref="H2825:H2826"/>
    <mergeCell ref="I2825:I2826"/>
    <mergeCell ref="J2825:J2826"/>
    <mergeCell ref="K2825:K2826"/>
    <mergeCell ref="L2825:L2826"/>
    <mergeCell ref="M2825:M2826"/>
    <mergeCell ref="H2823:H2824"/>
    <mergeCell ref="I2823:I2824"/>
    <mergeCell ref="J2823:J2824"/>
    <mergeCell ref="K2823:K2824"/>
    <mergeCell ref="L2823:L2824"/>
    <mergeCell ref="M2823:M2824"/>
    <mergeCell ref="H2821:H2822"/>
    <mergeCell ref="I2821:I2822"/>
    <mergeCell ref="J2821:J2822"/>
    <mergeCell ref="K2821:K2822"/>
    <mergeCell ref="L2821:L2822"/>
    <mergeCell ref="M2821:M2822"/>
    <mergeCell ref="M2852:M2853"/>
    <mergeCell ref="N2852:O2852"/>
    <mergeCell ref="H2854:H2855"/>
    <mergeCell ref="I2854:I2855"/>
    <mergeCell ref="J2854:J2855"/>
    <mergeCell ref="K2854:K2855"/>
    <mergeCell ref="L2854:L2855"/>
    <mergeCell ref="M2854:M2855"/>
    <mergeCell ref="H2827:L2827"/>
    <mergeCell ref="H2828:L2828"/>
    <mergeCell ref="H2829:L2829"/>
    <mergeCell ref="H2835:K2835"/>
    <mergeCell ref="H2850:O2850"/>
    <mergeCell ref="H2852:H2853"/>
    <mergeCell ref="I2852:I2853"/>
    <mergeCell ref="J2852:J2853"/>
    <mergeCell ref="K2852:K2853"/>
    <mergeCell ref="L2852:L2853"/>
    <mergeCell ref="H2860:H2861"/>
    <mergeCell ref="I2860:I2861"/>
    <mergeCell ref="J2860:J2861"/>
    <mergeCell ref="K2860:K2861"/>
    <mergeCell ref="L2860:L2861"/>
    <mergeCell ref="M2860:M2861"/>
    <mergeCell ref="H2858:H2859"/>
    <mergeCell ref="I2858:I2859"/>
    <mergeCell ref="J2858:J2859"/>
    <mergeCell ref="K2858:K2859"/>
    <mergeCell ref="L2858:L2859"/>
    <mergeCell ref="M2858:M2859"/>
    <mergeCell ref="H2856:H2857"/>
    <mergeCell ref="I2856:I2857"/>
    <mergeCell ref="J2856:J2857"/>
    <mergeCell ref="K2856:K2857"/>
    <mergeCell ref="L2856:L2857"/>
    <mergeCell ref="M2856:M2857"/>
    <mergeCell ref="H2866:L2866"/>
    <mergeCell ref="H2867:L2867"/>
    <mergeCell ref="H2868:L2868"/>
    <mergeCell ref="H2874:K2874"/>
    <mergeCell ref="H2889:O2889"/>
    <mergeCell ref="H2891:H2892"/>
    <mergeCell ref="I2891:I2892"/>
    <mergeCell ref="J2891:J2892"/>
    <mergeCell ref="K2891:K2892"/>
    <mergeCell ref="L2891:L2892"/>
    <mergeCell ref="H2864:H2865"/>
    <mergeCell ref="I2864:I2865"/>
    <mergeCell ref="J2864:J2865"/>
    <mergeCell ref="K2864:K2865"/>
    <mergeCell ref="L2864:L2865"/>
    <mergeCell ref="M2864:M2865"/>
    <mergeCell ref="H2862:H2863"/>
    <mergeCell ref="I2862:I2863"/>
    <mergeCell ref="J2862:J2863"/>
    <mergeCell ref="K2862:K2863"/>
    <mergeCell ref="L2862:L2863"/>
    <mergeCell ref="M2862:M2863"/>
    <mergeCell ref="H2897:H2898"/>
    <mergeCell ref="I2897:I2898"/>
    <mergeCell ref="J2897:J2898"/>
    <mergeCell ref="K2897:K2898"/>
    <mergeCell ref="L2897:L2898"/>
    <mergeCell ref="M2897:M2898"/>
    <mergeCell ref="H2895:H2896"/>
    <mergeCell ref="I2895:I2896"/>
    <mergeCell ref="J2895:J2896"/>
    <mergeCell ref="K2895:K2896"/>
    <mergeCell ref="L2895:L2896"/>
    <mergeCell ref="M2895:M2896"/>
    <mergeCell ref="M2891:M2892"/>
    <mergeCell ref="N2891:O2891"/>
    <mergeCell ref="H2893:H2894"/>
    <mergeCell ref="I2893:I2894"/>
    <mergeCell ref="J2893:J2894"/>
    <mergeCell ref="K2893:K2894"/>
    <mergeCell ref="L2893:L2894"/>
    <mergeCell ref="M2893:M2894"/>
    <mergeCell ref="H2903:L2903"/>
    <mergeCell ref="H2904:L2904"/>
    <mergeCell ref="H2905:L2905"/>
    <mergeCell ref="H2911:K2911"/>
    <mergeCell ref="H2926:O2926"/>
    <mergeCell ref="H2928:H2929"/>
    <mergeCell ref="I2928:I2929"/>
    <mergeCell ref="J2928:J2929"/>
    <mergeCell ref="K2928:K2929"/>
    <mergeCell ref="L2928:L2929"/>
    <mergeCell ref="H2901:H2902"/>
    <mergeCell ref="I2901:I2902"/>
    <mergeCell ref="J2901:J2902"/>
    <mergeCell ref="K2901:K2902"/>
    <mergeCell ref="L2901:L2902"/>
    <mergeCell ref="M2901:M2902"/>
    <mergeCell ref="H2899:H2900"/>
    <mergeCell ref="I2899:I2900"/>
    <mergeCell ref="J2899:J2900"/>
    <mergeCell ref="K2899:K2900"/>
    <mergeCell ref="L2899:L2900"/>
    <mergeCell ref="M2899:M2900"/>
    <mergeCell ref="H2934:H2935"/>
    <mergeCell ref="I2934:I2935"/>
    <mergeCell ref="J2934:J2935"/>
    <mergeCell ref="K2934:K2935"/>
    <mergeCell ref="L2934:L2935"/>
    <mergeCell ref="M2934:M2935"/>
    <mergeCell ref="H2932:H2933"/>
    <mergeCell ref="I2932:I2933"/>
    <mergeCell ref="J2932:J2933"/>
    <mergeCell ref="K2932:K2933"/>
    <mergeCell ref="L2932:L2933"/>
    <mergeCell ref="M2932:M2933"/>
    <mergeCell ref="M2928:M2929"/>
    <mergeCell ref="N2928:O2928"/>
    <mergeCell ref="H2930:H2931"/>
    <mergeCell ref="I2930:I2931"/>
    <mergeCell ref="J2930:J2931"/>
    <mergeCell ref="K2930:K2931"/>
    <mergeCell ref="L2930:L2931"/>
    <mergeCell ref="M2930:M2931"/>
    <mergeCell ref="H2940:L2940"/>
    <mergeCell ref="H2941:L2941"/>
    <mergeCell ref="H2942:L2942"/>
    <mergeCell ref="H2948:K2948"/>
    <mergeCell ref="H2963:O2963"/>
    <mergeCell ref="H2965:H2966"/>
    <mergeCell ref="I2965:I2966"/>
    <mergeCell ref="J2965:J2966"/>
    <mergeCell ref="K2965:K2966"/>
    <mergeCell ref="L2965:L2966"/>
    <mergeCell ref="H2938:H2939"/>
    <mergeCell ref="I2938:I2939"/>
    <mergeCell ref="J2938:J2939"/>
    <mergeCell ref="K2938:K2939"/>
    <mergeCell ref="L2938:L2939"/>
    <mergeCell ref="M2938:M2939"/>
    <mergeCell ref="H2936:H2937"/>
    <mergeCell ref="I2936:I2937"/>
    <mergeCell ref="J2936:J2937"/>
    <mergeCell ref="K2936:K2937"/>
    <mergeCell ref="L2936:L2937"/>
    <mergeCell ref="M2936:M2937"/>
    <mergeCell ref="H2971:H2972"/>
    <mergeCell ref="I2971:I2972"/>
    <mergeCell ref="J2971:J2972"/>
    <mergeCell ref="K2971:K2972"/>
    <mergeCell ref="L2971:L2972"/>
    <mergeCell ref="M2971:M2972"/>
    <mergeCell ref="H2969:H2970"/>
    <mergeCell ref="I2969:I2970"/>
    <mergeCell ref="J2969:J2970"/>
    <mergeCell ref="K2969:K2970"/>
    <mergeCell ref="L2969:L2970"/>
    <mergeCell ref="M2969:M2970"/>
    <mergeCell ref="M2965:M2966"/>
    <mergeCell ref="N2965:O2965"/>
    <mergeCell ref="H2967:H2968"/>
    <mergeCell ref="I2967:I2968"/>
    <mergeCell ref="J2967:J2968"/>
    <mergeCell ref="K2967:K2968"/>
    <mergeCell ref="L2967:L2968"/>
    <mergeCell ref="M2967:M2968"/>
    <mergeCell ref="H2977:L2977"/>
    <mergeCell ref="H2978:L2978"/>
    <mergeCell ref="H2979:L2979"/>
    <mergeCell ref="H2985:K2985"/>
    <mergeCell ref="H3000:O3000"/>
    <mergeCell ref="H3002:H3003"/>
    <mergeCell ref="I3002:I3003"/>
    <mergeCell ref="J3002:J3003"/>
    <mergeCell ref="K3002:K3003"/>
    <mergeCell ref="L3002:L3003"/>
    <mergeCell ref="H2975:H2976"/>
    <mergeCell ref="I2975:I2976"/>
    <mergeCell ref="J2975:J2976"/>
    <mergeCell ref="K2975:K2976"/>
    <mergeCell ref="L2975:L2976"/>
    <mergeCell ref="M2975:M2976"/>
    <mergeCell ref="H2973:H2974"/>
    <mergeCell ref="I2973:I2974"/>
    <mergeCell ref="J2973:J2974"/>
    <mergeCell ref="K2973:K2974"/>
    <mergeCell ref="L2973:L2974"/>
    <mergeCell ref="M2973:M2974"/>
    <mergeCell ref="H3008:H3009"/>
    <mergeCell ref="I3008:I3009"/>
    <mergeCell ref="J3008:J3009"/>
    <mergeCell ref="K3008:K3009"/>
    <mergeCell ref="L3008:L3009"/>
    <mergeCell ref="M3008:M3009"/>
    <mergeCell ref="H3006:H3007"/>
    <mergeCell ref="I3006:I3007"/>
    <mergeCell ref="J3006:J3007"/>
    <mergeCell ref="K3006:K3007"/>
    <mergeCell ref="L3006:L3007"/>
    <mergeCell ref="M3006:M3007"/>
    <mergeCell ref="M3002:M3003"/>
    <mergeCell ref="N3002:O3002"/>
    <mergeCell ref="H3004:H3005"/>
    <mergeCell ref="I3004:I3005"/>
    <mergeCell ref="J3004:J3005"/>
    <mergeCell ref="K3004:K3005"/>
    <mergeCell ref="L3004:L3005"/>
    <mergeCell ref="M3004:M3005"/>
    <mergeCell ref="H3014:L3014"/>
    <mergeCell ref="H3015:L3015"/>
    <mergeCell ref="H3016:L3016"/>
    <mergeCell ref="H3022:K3022"/>
    <mergeCell ref="H3037:O3037"/>
    <mergeCell ref="H3039:H3040"/>
    <mergeCell ref="I3039:I3040"/>
    <mergeCell ref="J3039:J3040"/>
    <mergeCell ref="K3039:K3040"/>
    <mergeCell ref="L3039:L3040"/>
    <mergeCell ref="H3012:H3013"/>
    <mergeCell ref="I3012:I3013"/>
    <mergeCell ref="J3012:J3013"/>
    <mergeCell ref="K3012:K3013"/>
    <mergeCell ref="L3012:L3013"/>
    <mergeCell ref="M3012:M3013"/>
    <mergeCell ref="H3010:H3011"/>
    <mergeCell ref="I3010:I3011"/>
    <mergeCell ref="J3010:J3011"/>
    <mergeCell ref="K3010:K3011"/>
    <mergeCell ref="L3010:L3011"/>
    <mergeCell ref="M3010:M3011"/>
    <mergeCell ref="H3045:H3046"/>
    <mergeCell ref="I3045:I3046"/>
    <mergeCell ref="J3045:J3046"/>
    <mergeCell ref="K3045:K3046"/>
    <mergeCell ref="L3045:L3046"/>
    <mergeCell ref="M3045:M3046"/>
    <mergeCell ref="H3043:H3044"/>
    <mergeCell ref="I3043:I3044"/>
    <mergeCell ref="J3043:J3044"/>
    <mergeCell ref="K3043:K3044"/>
    <mergeCell ref="L3043:L3044"/>
    <mergeCell ref="M3043:M3044"/>
    <mergeCell ref="M3039:M3040"/>
    <mergeCell ref="N3039:O3039"/>
    <mergeCell ref="H3041:H3042"/>
    <mergeCell ref="I3041:I3042"/>
    <mergeCell ref="J3041:J3042"/>
    <mergeCell ref="K3041:K3042"/>
    <mergeCell ref="L3041:L3042"/>
    <mergeCell ref="M3041:M3042"/>
    <mergeCell ref="H3051:L3051"/>
    <mergeCell ref="H3052:L3052"/>
    <mergeCell ref="H3053:L3053"/>
    <mergeCell ref="H3059:K3059"/>
    <mergeCell ref="H3074:O3074"/>
    <mergeCell ref="H3076:H3077"/>
    <mergeCell ref="I3076:I3077"/>
    <mergeCell ref="J3076:J3077"/>
    <mergeCell ref="K3076:K3077"/>
    <mergeCell ref="L3076:L3077"/>
    <mergeCell ref="H3049:H3050"/>
    <mergeCell ref="I3049:I3050"/>
    <mergeCell ref="J3049:J3050"/>
    <mergeCell ref="K3049:K3050"/>
    <mergeCell ref="L3049:L3050"/>
    <mergeCell ref="M3049:M3050"/>
    <mergeCell ref="H3047:H3048"/>
    <mergeCell ref="I3047:I3048"/>
    <mergeCell ref="J3047:J3048"/>
    <mergeCell ref="K3047:K3048"/>
    <mergeCell ref="L3047:L3048"/>
    <mergeCell ref="M3047:M3048"/>
    <mergeCell ref="H3082:H3083"/>
    <mergeCell ref="I3082:I3083"/>
    <mergeCell ref="J3082:J3083"/>
    <mergeCell ref="K3082:K3083"/>
    <mergeCell ref="L3082:L3083"/>
    <mergeCell ref="M3082:M3083"/>
    <mergeCell ref="H3080:H3081"/>
    <mergeCell ref="I3080:I3081"/>
    <mergeCell ref="J3080:J3081"/>
    <mergeCell ref="K3080:K3081"/>
    <mergeCell ref="L3080:L3081"/>
    <mergeCell ref="M3080:M3081"/>
    <mergeCell ref="M3076:M3077"/>
    <mergeCell ref="N3076:O3076"/>
    <mergeCell ref="H3078:H3079"/>
    <mergeCell ref="I3078:I3079"/>
    <mergeCell ref="J3078:J3079"/>
    <mergeCell ref="K3078:K3079"/>
    <mergeCell ref="L3078:L3079"/>
    <mergeCell ref="M3078:M3079"/>
    <mergeCell ref="H3088:L3088"/>
    <mergeCell ref="H3089:L3089"/>
    <mergeCell ref="H3090:L3090"/>
    <mergeCell ref="H3096:K3096"/>
    <mergeCell ref="H3111:O3111"/>
    <mergeCell ref="H3113:H3114"/>
    <mergeCell ref="I3113:I3114"/>
    <mergeCell ref="J3113:J3114"/>
    <mergeCell ref="K3113:K3114"/>
    <mergeCell ref="L3113:L3114"/>
    <mergeCell ref="H3086:H3087"/>
    <mergeCell ref="I3086:I3087"/>
    <mergeCell ref="J3086:J3087"/>
    <mergeCell ref="K3086:K3087"/>
    <mergeCell ref="L3086:L3087"/>
    <mergeCell ref="M3086:M3087"/>
    <mergeCell ref="H3084:H3085"/>
    <mergeCell ref="I3084:I3085"/>
    <mergeCell ref="J3084:J3085"/>
    <mergeCell ref="K3084:K3085"/>
    <mergeCell ref="L3084:L3085"/>
    <mergeCell ref="M3084:M3085"/>
    <mergeCell ref="H3119:H3120"/>
    <mergeCell ref="I3119:I3120"/>
    <mergeCell ref="J3119:J3120"/>
    <mergeCell ref="K3119:K3120"/>
    <mergeCell ref="L3119:L3120"/>
    <mergeCell ref="M3119:M3120"/>
    <mergeCell ref="H3117:H3118"/>
    <mergeCell ref="I3117:I3118"/>
    <mergeCell ref="J3117:J3118"/>
    <mergeCell ref="K3117:K3118"/>
    <mergeCell ref="L3117:L3118"/>
    <mergeCell ref="M3117:M3118"/>
    <mergeCell ref="M3113:M3114"/>
    <mergeCell ref="N3113:O3113"/>
    <mergeCell ref="H3115:H3116"/>
    <mergeCell ref="I3115:I3116"/>
    <mergeCell ref="J3115:J3116"/>
    <mergeCell ref="K3115:K3116"/>
    <mergeCell ref="L3115:L3116"/>
    <mergeCell ref="M3115:M3116"/>
    <mergeCell ref="H3125:L3125"/>
    <mergeCell ref="H3126:L3126"/>
    <mergeCell ref="H3127:L3127"/>
    <mergeCell ref="H3133:K3133"/>
    <mergeCell ref="H3148:O3148"/>
    <mergeCell ref="H3150:H3151"/>
    <mergeCell ref="I3150:I3151"/>
    <mergeCell ref="J3150:J3151"/>
    <mergeCell ref="K3150:K3151"/>
    <mergeCell ref="L3150:L3151"/>
    <mergeCell ref="H3123:H3124"/>
    <mergeCell ref="I3123:I3124"/>
    <mergeCell ref="J3123:J3124"/>
    <mergeCell ref="K3123:K3124"/>
    <mergeCell ref="L3123:L3124"/>
    <mergeCell ref="M3123:M3124"/>
    <mergeCell ref="H3121:H3122"/>
    <mergeCell ref="I3121:I3122"/>
    <mergeCell ref="J3121:J3122"/>
    <mergeCell ref="K3121:K3122"/>
    <mergeCell ref="L3121:L3122"/>
    <mergeCell ref="M3121:M3122"/>
    <mergeCell ref="H3156:H3157"/>
    <mergeCell ref="I3156:I3157"/>
    <mergeCell ref="J3156:J3157"/>
    <mergeCell ref="K3156:K3157"/>
    <mergeCell ref="L3156:L3157"/>
    <mergeCell ref="M3156:M3157"/>
    <mergeCell ref="H3154:H3155"/>
    <mergeCell ref="I3154:I3155"/>
    <mergeCell ref="J3154:J3155"/>
    <mergeCell ref="K3154:K3155"/>
    <mergeCell ref="L3154:L3155"/>
    <mergeCell ref="M3154:M3155"/>
    <mergeCell ref="M3150:M3151"/>
    <mergeCell ref="N3150:O3150"/>
    <mergeCell ref="H3152:H3153"/>
    <mergeCell ref="I3152:I3153"/>
    <mergeCell ref="J3152:J3153"/>
    <mergeCell ref="K3152:K3153"/>
    <mergeCell ref="L3152:L3153"/>
    <mergeCell ref="M3152:M3153"/>
    <mergeCell ref="H3162:L3162"/>
    <mergeCell ref="H3163:L3163"/>
    <mergeCell ref="H3164:L3164"/>
    <mergeCell ref="H3170:K3170"/>
    <mergeCell ref="H3185:O3185"/>
    <mergeCell ref="H3187:H3188"/>
    <mergeCell ref="I3187:I3188"/>
    <mergeCell ref="J3187:J3188"/>
    <mergeCell ref="K3187:K3188"/>
    <mergeCell ref="L3187:L3188"/>
    <mergeCell ref="H3160:H3161"/>
    <mergeCell ref="I3160:I3161"/>
    <mergeCell ref="J3160:J3161"/>
    <mergeCell ref="K3160:K3161"/>
    <mergeCell ref="L3160:L3161"/>
    <mergeCell ref="M3160:M3161"/>
    <mergeCell ref="H3158:H3159"/>
    <mergeCell ref="I3158:I3159"/>
    <mergeCell ref="J3158:J3159"/>
    <mergeCell ref="K3158:K3159"/>
    <mergeCell ref="L3158:L3159"/>
    <mergeCell ref="M3158:M3159"/>
    <mergeCell ref="H3193:H3194"/>
    <mergeCell ref="I3193:I3194"/>
    <mergeCell ref="J3193:J3194"/>
    <mergeCell ref="K3193:K3194"/>
    <mergeCell ref="L3193:L3194"/>
    <mergeCell ref="M3193:M3194"/>
    <mergeCell ref="H3191:H3192"/>
    <mergeCell ref="I3191:I3192"/>
    <mergeCell ref="J3191:J3192"/>
    <mergeCell ref="K3191:K3192"/>
    <mergeCell ref="L3191:L3192"/>
    <mergeCell ref="M3191:M3192"/>
    <mergeCell ref="M3187:M3188"/>
    <mergeCell ref="N3187:O3187"/>
    <mergeCell ref="H3189:H3190"/>
    <mergeCell ref="I3189:I3190"/>
    <mergeCell ref="J3189:J3190"/>
    <mergeCell ref="K3189:K3190"/>
    <mergeCell ref="L3189:L3190"/>
    <mergeCell ref="M3189:M3190"/>
    <mergeCell ref="H3199:H3200"/>
    <mergeCell ref="I3199:I3200"/>
    <mergeCell ref="J3199:J3200"/>
    <mergeCell ref="K3199:K3200"/>
    <mergeCell ref="L3199:L3200"/>
    <mergeCell ref="M3199:M3200"/>
    <mergeCell ref="H3197:H3198"/>
    <mergeCell ref="I3197:I3198"/>
    <mergeCell ref="J3197:J3198"/>
    <mergeCell ref="K3197:K3198"/>
    <mergeCell ref="L3197:L3198"/>
    <mergeCell ref="M3197:M3198"/>
    <mergeCell ref="H3195:H3196"/>
    <mergeCell ref="I3195:I3196"/>
    <mergeCell ref="J3195:J3196"/>
    <mergeCell ref="K3195:K3196"/>
    <mergeCell ref="L3195:L3196"/>
    <mergeCell ref="M3195:M3196"/>
    <mergeCell ref="M3226:M3227"/>
    <mergeCell ref="N3226:O3226"/>
    <mergeCell ref="H3228:H3229"/>
    <mergeCell ref="I3228:I3229"/>
    <mergeCell ref="J3228:J3229"/>
    <mergeCell ref="K3228:K3229"/>
    <mergeCell ref="L3228:L3229"/>
    <mergeCell ref="M3228:M3229"/>
    <mergeCell ref="H3201:L3201"/>
    <mergeCell ref="H3202:L3202"/>
    <mergeCell ref="H3203:L3203"/>
    <mergeCell ref="H3209:K3209"/>
    <mergeCell ref="H3224:O3224"/>
    <mergeCell ref="H3226:H3227"/>
    <mergeCell ref="I3226:I3227"/>
    <mergeCell ref="J3226:J3227"/>
    <mergeCell ref="K3226:K3227"/>
    <mergeCell ref="L3226:L3227"/>
    <mergeCell ref="Q3232:Q3233"/>
    <mergeCell ref="H3234:H3235"/>
    <mergeCell ref="I3234:I3235"/>
    <mergeCell ref="J3234:J3235"/>
    <mergeCell ref="K3234:K3235"/>
    <mergeCell ref="L3234:L3235"/>
    <mergeCell ref="M3234:M3235"/>
    <mergeCell ref="H3232:H3233"/>
    <mergeCell ref="I3232:I3233"/>
    <mergeCell ref="J3232:J3233"/>
    <mergeCell ref="K3232:K3233"/>
    <mergeCell ref="L3232:L3233"/>
    <mergeCell ref="M3232:M3233"/>
    <mergeCell ref="H3230:H3231"/>
    <mergeCell ref="I3230:I3231"/>
    <mergeCell ref="J3230:J3231"/>
    <mergeCell ref="K3230:K3231"/>
    <mergeCell ref="L3230:L3231"/>
    <mergeCell ref="M3230:M3231"/>
    <mergeCell ref="M3261:M3262"/>
    <mergeCell ref="N3261:O3261"/>
    <mergeCell ref="H3263:H3264"/>
    <mergeCell ref="I3263:I3264"/>
    <mergeCell ref="J3263:J3264"/>
    <mergeCell ref="K3263:K3264"/>
    <mergeCell ref="L3263:L3264"/>
    <mergeCell ref="M3263:M3264"/>
    <mergeCell ref="H3236:L3236"/>
    <mergeCell ref="H3237:L3237"/>
    <mergeCell ref="H3238:L3238"/>
    <mergeCell ref="H3244:K3244"/>
    <mergeCell ref="H3259:O3259"/>
    <mergeCell ref="H3261:H3262"/>
    <mergeCell ref="I3261:I3262"/>
    <mergeCell ref="J3261:J3262"/>
    <mergeCell ref="K3261:K3262"/>
    <mergeCell ref="L3261:L3262"/>
    <mergeCell ref="H3269:H3270"/>
    <mergeCell ref="I3269:I3270"/>
    <mergeCell ref="J3269:J3270"/>
    <mergeCell ref="K3269:K3270"/>
    <mergeCell ref="L3269:L3270"/>
    <mergeCell ref="M3269:M3270"/>
    <mergeCell ref="H3267:H3268"/>
    <mergeCell ref="I3267:I3268"/>
    <mergeCell ref="J3267:J3268"/>
    <mergeCell ref="K3267:K3268"/>
    <mergeCell ref="L3267:L3268"/>
    <mergeCell ref="M3267:M3268"/>
    <mergeCell ref="H3265:H3266"/>
    <mergeCell ref="I3265:I3266"/>
    <mergeCell ref="J3265:J3266"/>
    <mergeCell ref="K3265:K3266"/>
    <mergeCell ref="L3265:L3266"/>
    <mergeCell ref="M3265:M3266"/>
    <mergeCell ref="M3297:M3298"/>
    <mergeCell ref="N3297:O3297"/>
    <mergeCell ref="H3299:H3300"/>
    <mergeCell ref="I3299:I3300"/>
    <mergeCell ref="J3299:J3302"/>
    <mergeCell ref="K3299:K3300"/>
    <mergeCell ref="L3299:L3300"/>
    <mergeCell ref="M3299:M3300"/>
    <mergeCell ref="H3301:H3302"/>
    <mergeCell ref="I3301:I3302"/>
    <mergeCell ref="H3271:L3271"/>
    <mergeCell ref="H3272:L3272"/>
    <mergeCell ref="H3273:L3273"/>
    <mergeCell ref="H3279:K3279"/>
    <mergeCell ref="H3295:O3295"/>
    <mergeCell ref="H3297:H3298"/>
    <mergeCell ref="I3297:I3298"/>
    <mergeCell ref="J3297:J3298"/>
    <mergeCell ref="K3297:K3298"/>
    <mergeCell ref="L3297:L3298"/>
    <mergeCell ref="H3307:L3307"/>
    <mergeCell ref="H3308:L3308"/>
    <mergeCell ref="H3309:L3309"/>
    <mergeCell ref="H3315:K3315"/>
    <mergeCell ref="H3330:O3330"/>
    <mergeCell ref="H3332:H3333"/>
    <mergeCell ref="I3332:I3333"/>
    <mergeCell ref="J3332:J3333"/>
    <mergeCell ref="K3332:K3333"/>
    <mergeCell ref="L3332:L3333"/>
    <mergeCell ref="H3305:H3306"/>
    <mergeCell ref="I3305:I3306"/>
    <mergeCell ref="J3305:J3306"/>
    <mergeCell ref="K3305:K3306"/>
    <mergeCell ref="L3305:L3306"/>
    <mergeCell ref="M3305:M3306"/>
    <mergeCell ref="K3301:K3302"/>
    <mergeCell ref="L3301:L3302"/>
    <mergeCell ref="M3301:M3302"/>
    <mergeCell ref="H3303:H3304"/>
    <mergeCell ref="I3303:I3304"/>
    <mergeCell ref="J3303:J3304"/>
    <mergeCell ref="K3303:K3304"/>
    <mergeCell ref="L3303:L3304"/>
    <mergeCell ref="M3303:M3304"/>
    <mergeCell ref="H3338:H3339"/>
    <mergeCell ref="I3338:I3339"/>
    <mergeCell ref="J3338:J3339"/>
    <mergeCell ref="K3338:K3339"/>
    <mergeCell ref="L3338:L3339"/>
    <mergeCell ref="M3338:M3339"/>
    <mergeCell ref="H3336:H3337"/>
    <mergeCell ref="I3336:I3337"/>
    <mergeCell ref="J3336:J3337"/>
    <mergeCell ref="K3336:K3337"/>
    <mergeCell ref="L3336:L3337"/>
    <mergeCell ref="M3336:M3337"/>
    <mergeCell ref="M3332:M3333"/>
    <mergeCell ref="N3332:O3332"/>
    <mergeCell ref="H3334:H3335"/>
    <mergeCell ref="I3334:I3335"/>
    <mergeCell ref="J3334:J3335"/>
    <mergeCell ref="K3334:K3335"/>
    <mergeCell ref="L3334:L3335"/>
    <mergeCell ref="M3334:M3335"/>
    <mergeCell ref="H3344:H3345"/>
    <mergeCell ref="I3344:I3345"/>
    <mergeCell ref="J3344:J3345"/>
    <mergeCell ref="K3344:K3345"/>
    <mergeCell ref="L3344:L3345"/>
    <mergeCell ref="M3344:M3345"/>
    <mergeCell ref="H3342:H3343"/>
    <mergeCell ref="I3342:I3343"/>
    <mergeCell ref="J3342:J3343"/>
    <mergeCell ref="K3342:K3343"/>
    <mergeCell ref="L3342:L3343"/>
    <mergeCell ref="M3342:M3343"/>
    <mergeCell ref="H3340:H3341"/>
    <mergeCell ref="I3340:I3341"/>
    <mergeCell ref="J3340:J3341"/>
    <mergeCell ref="K3340:K3341"/>
    <mergeCell ref="L3340:L3341"/>
    <mergeCell ref="M3340:M3341"/>
    <mergeCell ref="M3371:M3372"/>
    <mergeCell ref="N3371:O3371"/>
    <mergeCell ref="H3373:H3374"/>
    <mergeCell ref="I3373:I3374"/>
    <mergeCell ref="J3373:J3374"/>
    <mergeCell ref="K3373:K3374"/>
    <mergeCell ref="L3373:L3374"/>
    <mergeCell ref="M3373:M3374"/>
    <mergeCell ref="H3346:L3346"/>
    <mergeCell ref="H3347:L3347"/>
    <mergeCell ref="H3348:L3348"/>
    <mergeCell ref="H3354:K3354"/>
    <mergeCell ref="H3369:O3369"/>
    <mergeCell ref="H3371:H3372"/>
    <mergeCell ref="I3371:I3372"/>
    <mergeCell ref="J3371:J3372"/>
    <mergeCell ref="K3371:K3372"/>
    <mergeCell ref="L3371:L3372"/>
    <mergeCell ref="H3379:H3380"/>
    <mergeCell ref="I3379:I3380"/>
    <mergeCell ref="J3379:J3380"/>
    <mergeCell ref="K3379:K3380"/>
    <mergeCell ref="L3379:L3380"/>
    <mergeCell ref="M3379:M3380"/>
    <mergeCell ref="H3377:H3378"/>
    <mergeCell ref="I3377:I3378"/>
    <mergeCell ref="J3377:J3378"/>
    <mergeCell ref="K3377:K3378"/>
    <mergeCell ref="L3377:L3378"/>
    <mergeCell ref="M3377:M3378"/>
    <mergeCell ref="H3375:H3376"/>
    <mergeCell ref="I3375:I3376"/>
    <mergeCell ref="J3375:J3376"/>
    <mergeCell ref="K3375:K3376"/>
    <mergeCell ref="L3375:L3376"/>
    <mergeCell ref="M3375:M3376"/>
    <mergeCell ref="M3407:M3408"/>
    <mergeCell ref="N3407:O3407"/>
    <mergeCell ref="H3409:H3410"/>
    <mergeCell ref="I3409:I3410"/>
    <mergeCell ref="J3409:J3410"/>
    <mergeCell ref="K3409:K3410"/>
    <mergeCell ref="L3409:L3410"/>
    <mergeCell ref="M3409:M3410"/>
    <mergeCell ref="H3381:L3381"/>
    <mergeCell ref="H3382:L3382"/>
    <mergeCell ref="H3383:L3383"/>
    <mergeCell ref="H3389:K3389"/>
    <mergeCell ref="H3405:O3405"/>
    <mergeCell ref="H3407:H3408"/>
    <mergeCell ref="I3407:I3408"/>
    <mergeCell ref="J3407:J3408"/>
    <mergeCell ref="K3407:K3408"/>
    <mergeCell ref="L3407:L3408"/>
    <mergeCell ref="H3415:H3416"/>
    <mergeCell ref="I3415:I3416"/>
    <mergeCell ref="J3415:J3416"/>
    <mergeCell ref="K3415:K3416"/>
    <mergeCell ref="L3415:L3416"/>
    <mergeCell ref="M3415:M3416"/>
    <mergeCell ref="H3413:H3414"/>
    <mergeCell ref="I3413:I3414"/>
    <mergeCell ref="J3413:J3414"/>
    <mergeCell ref="K3413:K3414"/>
    <mergeCell ref="L3413:L3414"/>
    <mergeCell ref="M3413:M3414"/>
    <mergeCell ref="H3411:H3412"/>
    <mergeCell ref="I3411:I3412"/>
    <mergeCell ref="J3411:J3412"/>
    <mergeCell ref="K3411:K3412"/>
    <mergeCell ref="L3411:L3412"/>
    <mergeCell ref="M3411:M3412"/>
    <mergeCell ref="M3443:M3444"/>
    <mergeCell ref="N3443:O3443"/>
    <mergeCell ref="H3445:H3446"/>
    <mergeCell ref="I3445:I3446"/>
    <mergeCell ref="K3445:K3446"/>
    <mergeCell ref="L3445:L3446"/>
    <mergeCell ref="M3445:M3446"/>
    <mergeCell ref="H3417:L3417"/>
    <mergeCell ref="H3418:L3418"/>
    <mergeCell ref="H3419:L3419"/>
    <mergeCell ref="H3425:K3425"/>
    <mergeCell ref="H3441:O3441"/>
    <mergeCell ref="H3443:H3444"/>
    <mergeCell ref="I3443:I3444"/>
    <mergeCell ref="J3443:J3444"/>
    <mergeCell ref="K3443:K3444"/>
    <mergeCell ref="L3443:L3444"/>
    <mergeCell ref="H3455:H3456"/>
    <mergeCell ref="I3455:I3456"/>
    <mergeCell ref="K3455:K3456"/>
    <mergeCell ref="L3455:L3456"/>
    <mergeCell ref="M3455:M3456"/>
    <mergeCell ref="H3457:L3457"/>
    <mergeCell ref="H3451:H3452"/>
    <mergeCell ref="I3451:I3452"/>
    <mergeCell ref="K3451:K3452"/>
    <mergeCell ref="L3451:L3452"/>
    <mergeCell ref="M3451:M3452"/>
    <mergeCell ref="H3453:H3454"/>
    <mergeCell ref="I3453:I3454"/>
    <mergeCell ref="K3453:K3454"/>
    <mergeCell ref="L3453:L3454"/>
    <mergeCell ref="M3453:M3454"/>
    <mergeCell ref="H3447:H3448"/>
    <mergeCell ref="I3447:I3448"/>
    <mergeCell ref="K3447:K3448"/>
    <mergeCell ref="L3447:L3448"/>
    <mergeCell ref="M3447:M3448"/>
    <mergeCell ref="H3449:H3450"/>
    <mergeCell ref="I3449:I3450"/>
    <mergeCell ref="K3449:K3450"/>
    <mergeCell ref="L3449:L3450"/>
    <mergeCell ref="M3449:M3450"/>
    <mergeCell ref="N3482:O3482"/>
    <mergeCell ref="H3484:H3485"/>
    <mergeCell ref="I3484:I3485"/>
    <mergeCell ref="J3484:J3485"/>
    <mergeCell ref="K3484:K3485"/>
    <mergeCell ref="L3484:L3485"/>
    <mergeCell ref="M3484:M3485"/>
    <mergeCell ref="H3458:L3458"/>
    <mergeCell ref="H3459:L3459"/>
    <mergeCell ref="H3465:K3465"/>
    <mergeCell ref="H3480:O3480"/>
    <mergeCell ref="H3482:H3483"/>
    <mergeCell ref="I3482:I3483"/>
    <mergeCell ref="J3482:J3483"/>
    <mergeCell ref="K3482:K3483"/>
    <mergeCell ref="L3482:L3483"/>
    <mergeCell ref="M3482:M3483"/>
    <mergeCell ref="H3490:H3491"/>
    <mergeCell ref="I3490:I3491"/>
    <mergeCell ref="J3490:J3491"/>
    <mergeCell ref="K3490:K3491"/>
    <mergeCell ref="L3490:L3491"/>
    <mergeCell ref="M3490:M3491"/>
    <mergeCell ref="H3488:H3489"/>
    <mergeCell ref="I3488:I3489"/>
    <mergeCell ref="J3488:J3489"/>
    <mergeCell ref="K3488:K3489"/>
    <mergeCell ref="L3488:L3489"/>
    <mergeCell ref="M3488:M3489"/>
    <mergeCell ref="H3486:H3487"/>
    <mergeCell ref="I3486:I3487"/>
    <mergeCell ref="J3486:J3487"/>
    <mergeCell ref="K3486:K3487"/>
    <mergeCell ref="L3486:L3487"/>
    <mergeCell ref="M3486:M3487"/>
    <mergeCell ref="M3518:M3519"/>
    <mergeCell ref="N3518:O3518"/>
    <mergeCell ref="H3520:H3521"/>
    <mergeCell ref="I3520:I3521"/>
    <mergeCell ref="J3520:J3523"/>
    <mergeCell ref="K3520:K3521"/>
    <mergeCell ref="L3520:L3521"/>
    <mergeCell ref="M3520:M3521"/>
    <mergeCell ref="H3522:H3523"/>
    <mergeCell ref="I3522:I3523"/>
    <mergeCell ref="H3492:L3492"/>
    <mergeCell ref="H3493:L3493"/>
    <mergeCell ref="H3494:L3494"/>
    <mergeCell ref="H3500:K3500"/>
    <mergeCell ref="H3516:O3516"/>
    <mergeCell ref="H3518:H3519"/>
    <mergeCell ref="I3518:I3519"/>
    <mergeCell ref="J3518:J3519"/>
    <mergeCell ref="K3518:K3519"/>
    <mergeCell ref="L3518:L3519"/>
    <mergeCell ref="H3532:L3532"/>
    <mergeCell ref="H3533:L3533"/>
    <mergeCell ref="H3534:L3534"/>
    <mergeCell ref="H3540:K3540"/>
    <mergeCell ref="H3556:O3556"/>
    <mergeCell ref="H3558:H3559"/>
    <mergeCell ref="I3558:I3559"/>
    <mergeCell ref="J3558:J3559"/>
    <mergeCell ref="K3558:K3559"/>
    <mergeCell ref="L3558:L3559"/>
    <mergeCell ref="H3530:H3531"/>
    <mergeCell ref="I3530:I3531"/>
    <mergeCell ref="J3530:J3531"/>
    <mergeCell ref="K3530:K3531"/>
    <mergeCell ref="L3530:L3531"/>
    <mergeCell ref="M3530:M3531"/>
    <mergeCell ref="K3522:K3523"/>
    <mergeCell ref="L3522:L3523"/>
    <mergeCell ref="M3522:M3523"/>
    <mergeCell ref="H3528:H3529"/>
    <mergeCell ref="I3528:I3529"/>
    <mergeCell ref="J3528:J3529"/>
    <mergeCell ref="K3528:K3529"/>
    <mergeCell ref="L3528:L3529"/>
    <mergeCell ref="M3528:M3529"/>
    <mergeCell ref="H3578:H3579"/>
    <mergeCell ref="I3578:I3579"/>
    <mergeCell ref="J3578:J3579"/>
    <mergeCell ref="K3578:K3579"/>
    <mergeCell ref="L3578:L3579"/>
    <mergeCell ref="M3578:M3579"/>
    <mergeCell ref="K3562:K3563"/>
    <mergeCell ref="L3562:L3563"/>
    <mergeCell ref="M3562:M3563"/>
    <mergeCell ref="H3576:H3577"/>
    <mergeCell ref="I3576:I3577"/>
    <mergeCell ref="J3576:J3577"/>
    <mergeCell ref="K3576:K3577"/>
    <mergeCell ref="L3576:L3577"/>
    <mergeCell ref="M3576:M3577"/>
    <mergeCell ref="M3558:M3559"/>
    <mergeCell ref="N3558:O3558"/>
    <mergeCell ref="H3560:H3561"/>
    <mergeCell ref="I3560:I3561"/>
    <mergeCell ref="J3560:J3563"/>
    <mergeCell ref="K3560:K3561"/>
    <mergeCell ref="L3560:L3561"/>
    <mergeCell ref="M3560:M3561"/>
    <mergeCell ref="H3562:H3563"/>
    <mergeCell ref="I3562:I3563"/>
    <mergeCell ref="M3605:M3606"/>
    <mergeCell ref="N3605:O3605"/>
    <mergeCell ref="H3607:H3608"/>
    <mergeCell ref="I3607:I3608"/>
    <mergeCell ref="J3607:J3608"/>
    <mergeCell ref="K3607:K3608"/>
    <mergeCell ref="L3607:L3608"/>
    <mergeCell ref="M3607:M3608"/>
    <mergeCell ref="H3580:L3580"/>
    <mergeCell ref="H3581:L3581"/>
    <mergeCell ref="H3582:L3582"/>
    <mergeCell ref="H3588:K3588"/>
    <mergeCell ref="H3603:O3603"/>
    <mergeCell ref="H3605:H3606"/>
    <mergeCell ref="I3605:I3606"/>
    <mergeCell ref="J3605:J3606"/>
    <mergeCell ref="K3605:K3606"/>
    <mergeCell ref="L3605:L3606"/>
    <mergeCell ref="H3613:L3613"/>
    <mergeCell ref="H3614:L3614"/>
    <mergeCell ref="H3615:L3615"/>
    <mergeCell ref="H3621:K3621"/>
    <mergeCell ref="M3625:N3625"/>
    <mergeCell ref="H3611:H3612"/>
    <mergeCell ref="I3611:I3612"/>
    <mergeCell ref="J3611:J3612"/>
    <mergeCell ref="K3611:K3612"/>
    <mergeCell ref="L3611:L3612"/>
    <mergeCell ref="M3611:M3612"/>
    <mergeCell ref="H3609:H3610"/>
    <mergeCell ref="I3609:I3610"/>
    <mergeCell ref="J3609:J3610"/>
    <mergeCell ref="K3609:K3610"/>
    <mergeCell ref="L3609:L3610"/>
    <mergeCell ref="M3609:M3610"/>
    <mergeCell ref="H394:H395"/>
    <mergeCell ref="I394:I395"/>
    <mergeCell ref="J394:J395"/>
    <mergeCell ref="K394:K395"/>
    <mergeCell ref="L394:L395"/>
    <mergeCell ref="M394:M395"/>
    <mergeCell ref="H392:H393"/>
    <mergeCell ref="I392:I393"/>
    <mergeCell ref="J392:J393"/>
    <mergeCell ref="K392:K393"/>
    <mergeCell ref="L392:L393"/>
    <mergeCell ref="M392:M393"/>
    <mergeCell ref="J1058:J1059"/>
    <mergeCell ref="K1058:K1059"/>
    <mergeCell ref="L1058:L1059"/>
    <mergeCell ref="I1029:I1030"/>
    <mergeCell ref="J1029:J1030"/>
    <mergeCell ref="K1029:K1030"/>
    <mergeCell ref="L1029:L1030"/>
    <mergeCell ref="M1029:M1030"/>
    <mergeCell ref="H1027:H1028"/>
    <mergeCell ref="I1027:I1028"/>
    <mergeCell ref="J1027:J1028"/>
    <mergeCell ref="K1027:K1028"/>
    <mergeCell ref="L1027:L1028"/>
    <mergeCell ref="M1027:M1028"/>
    <mergeCell ref="M1058:M1059"/>
    <mergeCell ref="M1031:M1032"/>
    <mergeCell ref="J1025:J1026"/>
    <mergeCell ref="K1025:K1026"/>
    <mergeCell ref="L1025:L1026"/>
    <mergeCell ref="M1025:M1026"/>
  </mergeCells>
  <phoneticPr fontId="93" type="noConversion"/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13"/>
  <sheetViews>
    <sheetView topLeftCell="G363" zoomScaleNormal="100" workbookViewId="0">
      <selection activeCell="M192" sqref="M192"/>
    </sheetView>
  </sheetViews>
  <sheetFormatPr baseColWidth="10" defaultRowHeight="15"/>
  <cols>
    <col min="1" max="1" width="13.28515625" style="51" hidden="1" customWidth="1"/>
    <col min="2" max="2" width="21.140625" style="51" hidden="1" customWidth="1"/>
    <col min="3" max="3" width="19.7109375" style="51" hidden="1" customWidth="1"/>
    <col min="4" max="4" width="19.140625" style="51" hidden="1" customWidth="1"/>
    <col min="5" max="5" width="18.28515625" style="51" hidden="1" customWidth="1"/>
    <col min="6" max="6" width="22.140625" style="51" hidden="1" customWidth="1"/>
    <col min="7" max="7" width="0.28515625" style="51" customWidth="1"/>
    <col min="8" max="8" width="12.5703125" style="51" customWidth="1"/>
    <col min="9" max="9" width="19" style="51" customWidth="1"/>
    <col min="10" max="10" width="19.85546875" style="51" customWidth="1"/>
    <col min="11" max="11" width="20.5703125" style="51" customWidth="1"/>
    <col min="12" max="12" width="16" style="51" customWidth="1"/>
    <col min="13" max="13" width="20.28515625" style="51" customWidth="1"/>
    <col min="14" max="14" width="5.85546875" style="51" customWidth="1"/>
    <col min="15" max="15" width="15.42578125" style="51" customWidth="1"/>
    <col min="16" max="16" width="11.42578125" style="51"/>
    <col min="17" max="17" width="14.140625" style="51" bestFit="1" customWidth="1"/>
    <col min="18" max="16384" width="11.42578125" style="51"/>
  </cols>
  <sheetData>
    <row r="1" spans="1:15" ht="14.25" customHeight="1">
      <c r="A1" s="49" t="s">
        <v>88</v>
      </c>
      <c r="B1" s="50"/>
      <c r="H1" s="49" t="s">
        <v>88</v>
      </c>
      <c r="I1" s="50"/>
    </row>
    <row r="2" spans="1:15">
      <c r="A2" s="51" t="s">
        <v>89</v>
      </c>
      <c r="H2" s="51" t="s">
        <v>89</v>
      </c>
    </row>
    <row r="3" spans="1:15">
      <c r="A3" s="51" t="s">
        <v>90</v>
      </c>
      <c r="H3" s="51" t="s">
        <v>90</v>
      </c>
    </row>
    <row r="4" spans="1:15">
      <c r="A4" s="51" t="s">
        <v>91</v>
      </c>
      <c r="H4" s="51" t="s">
        <v>91</v>
      </c>
    </row>
    <row r="5" spans="1:15" ht="5.25" customHeight="1">
      <c r="A5" s="50"/>
      <c r="B5" s="50"/>
      <c r="H5" s="50"/>
      <c r="I5" s="50"/>
    </row>
    <row r="6" spans="1:15" ht="16.5">
      <c r="A6" s="52" t="s">
        <v>172</v>
      </c>
      <c r="G6" s="52"/>
      <c r="H6" s="52" t="s">
        <v>534</v>
      </c>
      <c r="N6" s="52"/>
    </row>
    <row r="7" spans="1:15" ht="15.75">
      <c r="A7" s="53" t="s">
        <v>92</v>
      </c>
      <c r="G7" s="53"/>
      <c r="H7" s="53" t="s">
        <v>2139</v>
      </c>
      <c r="N7" s="53"/>
    </row>
    <row r="8" spans="1:15" ht="13.5" customHeight="1">
      <c r="A8" s="894" t="s">
        <v>93</v>
      </c>
      <c r="B8" s="894"/>
      <c r="C8" s="894"/>
      <c r="D8" s="894"/>
      <c r="E8" s="894"/>
      <c r="F8" s="894"/>
      <c r="G8" s="894"/>
      <c r="H8" s="894" t="s">
        <v>903</v>
      </c>
      <c r="I8" s="894"/>
      <c r="J8" s="894"/>
      <c r="K8" s="894"/>
      <c r="L8" s="894"/>
      <c r="M8" s="894"/>
      <c r="N8" s="894"/>
      <c r="O8" s="894"/>
    </row>
    <row r="9" spans="1:15" ht="7.5" customHeight="1" thickBot="1"/>
    <row r="10" spans="1:15">
      <c r="A10" s="895" t="s">
        <v>94</v>
      </c>
      <c r="B10" s="897" t="s">
        <v>95</v>
      </c>
      <c r="C10" s="897" t="s">
        <v>96</v>
      </c>
      <c r="D10" s="897" t="s">
        <v>3</v>
      </c>
      <c r="E10" s="897" t="s">
        <v>97</v>
      </c>
      <c r="F10" s="897" t="s">
        <v>98</v>
      </c>
      <c r="G10" s="500" t="s">
        <v>99</v>
      </c>
      <c r="H10" s="895" t="s">
        <v>94</v>
      </c>
      <c r="I10" s="897" t="s">
        <v>95</v>
      </c>
      <c r="J10" s="897" t="s">
        <v>96</v>
      </c>
      <c r="K10" s="897" t="s">
        <v>3</v>
      </c>
      <c r="L10" s="897" t="s">
        <v>97</v>
      </c>
      <c r="M10" s="897" t="s">
        <v>98</v>
      </c>
      <c r="N10" s="897" t="s">
        <v>99</v>
      </c>
      <c r="O10" s="899"/>
    </row>
    <row r="11" spans="1:15" ht="15.75" thickBot="1">
      <c r="A11" s="896"/>
      <c r="B11" s="898"/>
      <c r="C11" s="898"/>
      <c r="D11" s="898"/>
      <c r="E11" s="898"/>
      <c r="F11" s="898"/>
      <c r="G11" s="240" t="s">
        <v>100</v>
      </c>
      <c r="H11" s="896"/>
      <c r="I11" s="898"/>
      <c r="J11" s="898"/>
      <c r="K11" s="898"/>
      <c r="L11" s="898"/>
      <c r="M11" s="898"/>
      <c r="N11" s="240" t="s">
        <v>100</v>
      </c>
      <c r="O11" s="182" t="s">
        <v>101</v>
      </c>
    </row>
    <row r="12" spans="1:15" ht="12" customHeight="1">
      <c r="A12" s="881">
        <v>237</v>
      </c>
      <c r="B12" s="875">
        <v>42228</v>
      </c>
      <c r="C12" s="942" t="s">
        <v>31</v>
      </c>
      <c r="D12" s="881" t="s">
        <v>174</v>
      </c>
      <c r="E12" s="881" t="s">
        <v>115</v>
      </c>
      <c r="F12" s="883">
        <v>120000</v>
      </c>
      <c r="G12" s="55">
        <v>719</v>
      </c>
      <c r="H12" s="873" t="s">
        <v>545</v>
      </c>
      <c r="I12" s="875">
        <v>44567</v>
      </c>
      <c r="J12" s="877" t="s">
        <v>1079</v>
      </c>
      <c r="K12" s="881" t="s">
        <v>2140</v>
      </c>
      <c r="L12" s="881" t="s">
        <v>148</v>
      </c>
      <c r="M12" s="883">
        <v>46252500</v>
      </c>
      <c r="N12" s="55">
        <v>719</v>
      </c>
      <c r="O12" s="78"/>
    </row>
    <row r="13" spans="1:15" ht="14.25" customHeight="1" thickBot="1">
      <c r="A13" s="882"/>
      <c r="B13" s="934"/>
      <c r="C13" s="943"/>
      <c r="D13" s="882"/>
      <c r="E13" s="882"/>
      <c r="F13" s="884"/>
      <c r="G13" s="56">
        <v>721</v>
      </c>
      <c r="H13" s="874"/>
      <c r="I13" s="876"/>
      <c r="J13" s="878"/>
      <c r="K13" s="882"/>
      <c r="L13" s="882"/>
      <c r="M13" s="884"/>
      <c r="N13" s="56">
        <v>723</v>
      </c>
      <c r="O13" s="79">
        <f>+M12-O12</f>
        <v>46252500</v>
      </c>
    </row>
    <row r="14" spans="1:15" ht="12.75" customHeight="1">
      <c r="A14" s="881">
        <f>+A12+1</f>
        <v>238</v>
      </c>
      <c r="B14" s="875">
        <v>42228</v>
      </c>
      <c r="C14" s="935" t="s">
        <v>28</v>
      </c>
      <c r="D14" s="881" t="s">
        <v>175</v>
      </c>
      <c r="E14" s="881" t="s">
        <v>115</v>
      </c>
      <c r="F14" s="883">
        <v>90000</v>
      </c>
      <c r="G14" s="55">
        <v>719</v>
      </c>
      <c r="H14" s="873" t="s">
        <v>547</v>
      </c>
      <c r="I14" s="875">
        <v>44567</v>
      </c>
      <c r="J14" s="877" t="s">
        <v>40</v>
      </c>
      <c r="K14" s="881" t="s">
        <v>2140</v>
      </c>
      <c r="L14" s="881" t="s">
        <v>148</v>
      </c>
      <c r="M14" s="883">
        <v>33195000</v>
      </c>
      <c r="N14" s="55">
        <v>719</v>
      </c>
      <c r="O14" s="78"/>
    </row>
    <row r="15" spans="1:15" ht="14.25" customHeight="1" thickBot="1">
      <c r="A15" s="882"/>
      <c r="B15" s="876"/>
      <c r="C15" s="936"/>
      <c r="D15" s="882"/>
      <c r="E15" s="882"/>
      <c r="F15" s="884"/>
      <c r="G15" s="56">
        <v>721</v>
      </c>
      <c r="H15" s="874"/>
      <c r="I15" s="876"/>
      <c r="J15" s="878"/>
      <c r="K15" s="882"/>
      <c r="L15" s="882"/>
      <c r="M15" s="884"/>
      <c r="N15" s="56">
        <v>723</v>
      </c>
      <c r="O15" s="79">
        <f>+M14-O14</f>
        <v>33195000</v>
      </c>
    </row>
    <row r="16" spans="1:15" ht="14.25" customHeight="1">
      <c r="A16" s="251"/>
      <c r="B16" s="252"/>
      <c r="C16" s="472"/>
      <c r="D16" s="251"/>
      <c r="E16" s="251"/>
      <c r="F16" s="254"/>
      <c r="G16" s="255"/>
      <c r="H16" s="873" t="s">
        <v>548</v>
      </c>
      <c r="I16" s="875">
        <v>44567</v>
      </c>
      <c r="J16" s="877" t="s">
        <v>1868</v>
      </c>
      <c r="K16" s="881" t="s">
        <v>2140</v>
      </c>
      <c r="L16" s="881" t="s">
        <v>148</v>
      </c>
      <c r="M16" s="883">
        <v>27916900</v>
      </c>
      <c r="N16" s="55">
        <v>719</v>
      </c>
      <c r="O16" s="78"/>
    </row>
    <row r="17" spans="1:15" ht="14.25" customHeight="1" thickBot="1">
      <c r="A17" s="251"/>
      <c r="B17" s="252"/>
      <c r="C17" s="472"/>
      <c r="D17" s="251"/>
      <c r="E17" s="251"/>
      <c r="F17" s="254"/>
      <c r="G17" s="255"/>
      <c r="H17" s="874"/>
      <c r="I17" s="876"/>
      <c r="J17" s="878"/>
      <c r="K17" s="882"/>
      <c r="L17" s="882"/>
      <c r="M17" s="884"/>
      <c r="N17" s="56">
        <v>723</v>
      </c>
      <c r="O17" s="79">
        <f>+M16-O16</f>
        <v>27916900</v>
      </c>
    </row>
    <row r="18" spans="1:15" ht="12.75" customHeight="1">
      <c r="A18" s="881"/>
      <c r="B18" s="875"/>
      <c r="C18" s="935"/>
      <c r="D18" s="881"/>
      <c r="E18" s="881"/>
      <c r="F18" s="883"/>
      <c r="G18" s="55">
        <v>719</v>
      </c>
      <c r="H18" s="873" t="s">
        <v>549</v>
      </c>
      <c r="I18" s="875">
        <v>44567</v>
      </c>
      <c r="J18" s="877" t="s">
        <v>694</v>
      </c>
      <c r="K18" s="881" t="s">
        <v>2140</v>
      </c>
      <c r="L18" s="881" t="s">
        <v>148</v>
      </c>
      <c r="M18" s="883">
        <v>21403848</v>
      </c>
      <c r="N18" s="55">
        <v>719</v>
      </c>
      <c r="O18" s="78"/>
    </row>
    <row r="19" spans="1:15" ht="12.75" customHeight="1" thickBot="1">
      <c r="A19" s="882"/>
      <c r="B19" s="934"/>
      <c r="C19" s="936"/>
      <c r="D19" s="882"/>
      <c r="E19" s="882"/>
      <c r="F19" s="884"/>
      <c r="G19" s="56">
        <v>721</v>
      </c>
      <c r="H19" s="874"/>
      <c r="I19" s="876"/>
      <c r="J19" s="878"/>
      <c r="K19" s="882"/>
      <c r="L19" s="882"/>
      <c r="M19" s="884"/>
      <c r="N19" s="56">
        <v>723</v>
      </c>
      <c r="O19" s="79">
        <f>+M18-O18</f>
        <v>21403848</v>
      </c>
    </row>
    <row r="20" spans="1:15" ht="11.25" customHeight="1">
      <c r="A20" s="881"/>
      <c r="B20" s="875"/>
      <c r="C20" s="935"/>
      <c r="D20" s="877"/>
      <c r="E20" s="881"/>
      <c r="F20" s="883"/>
      <c r="G20" s="55">
        <v>719</v>
      </c>
      <c r="H20" s="873" t="s">
        <v>550</v>
      </c>
      <c r="I20" s="875">
        <v>44567</v>
      </c>
      <c r="J20" s="877" t="s">
        <v>672</v>
      </c>
      <c r="K20" s="881" t="s">
        <v>2140</v>
      </c>
      <c r="L20" s="881" t="s">
        <v>148</v>
      </c>
      <c r="M20" s="883">
        <v>21521960</v>
      </c>
      <c r="N20" s="55">
        <v>719</v>
      </c>
      <c r="O20" s="78"/>
    </row>
    <row r="21" spans="1:15" ht="12.75" customHeight="1" thickBot="1">
      <c r="A21" s="882"/>
      <c r="B21" s="934"/>
      <c r="C21" s="936"/>
      <c r="D21" s="878"/>
      <c r="E21" s="882"/>
      <c r="F21" s="884"/>
      <c r="G21" s="56">
        <v>721</v>
      </c>
      <c r="H21" s="874"/>
      <c r="I21" s="876"/>
      <c r="J21" s="878"/>
      <c r="K21" s="882"/>
      <c r="L21" s="882"/>
      <c r="M21" s="884"/>
      <c r="N21" s="56">
        <v>723</v>
      </c>
      <c r="O21" s="79">
        <f>+M20-O20</f>
        <v>21521960</v>
      </c>
    </row>
    <row r="22" spans="1:15" ht="15" customHeight="1" thickBot="1">
      <c r="A22" s="901" t="s">
        <v>102</v>
      </c>
      <c r="B22" s="902"/>
      <c r="C22" s="902"/>
      <c r="D22" s="902"/>
      <c r="E22" s="903"/>
      <c r="F22" s="81">
        <f>SUM(F12:F21)</f>
        <v>210000</v>
      </c>
      <c r="H22" s="901" t="s">
        <v>102</v>
      </c>
      <c r="I22" s="902"/>
      <c r="J22" s="902"/>
      <c r="K22" s="902"/>
      <c r="L22" s="903"/>
      <c r="M22" s="81">
        <f>SUM(M12:M21)</f>
        <v>150290208</v>
      </c>
    </row>
    <row r="23" spans="1:15" ht="15.75" customHeight="1" thickBot="1">
      <c r="A23" s="885" t="s">
        <v>103</v>
      </c>
      <c r="B23" s="886"/>
      <c r="C23" s="886"/>
      <c r="D23" s="886"/>
      <c r="E23" s="887"/>
      <c r="F23" s="69">
        <f>+C37</f>
        <v>610857841</v>
      </c>
      <c r="H23" s="885" t="s">
        <v>103</v>
      </c>
      <c r="I23" s="886"/>
      <c r="J23" s="886"/>
      <c r="K23" s="886"/>
      <c r="L23" s="887"/>
      <c r="M23" s="69">
        <v>0</v>
      </c>
      <c r="N23" s="241" t="s">
        <v>561</v>
      </c>
      <c r="O23" s="242"/>
    </row>
    <row r="24" spans="1:15" ht="16.5" thickBot="1">
      <c r="A24" s="888" t="s">
        <v>104</v>
      </c>
      <c r="B24" s="889"/>
      <c r="C24" s="889"/>
      <c r="D24" s="889"/>
      <c r="E24" s="890"/>
      <c r="F24" s="183">
        <f>SUM(F22:F23)</f>
        <v>611067841</v>
      </c>
      <c r="H24" s="888" t="s">
        <v>104</v>
      </c>
      <c r="I24" s="889"/>
      <c r="J24" s="889"/>
      <c r="K24" s="889"/>
      <c r="L24" s="890"/>
      <c r="M24" s="183">
        <f>SUM(M22:M23)</f>
        <v>150290208</v>
      </c>
    </row>
    <row r="25" spans="1:15" ht="8.25" customHeight="1">
      <c r="A25" s="61"/>
      <c r="B25" s="61"/>
      <c r="C25" s="61"/>
      <c r="D25" s="61"/>
      <c r="E25" s="61"/>
      <c r="H25" s="61"/>
      <c r="I25" s="61"/>
      <c r="J25" s="61"/>
      <c r="K25" s="61"/>
      <c r="L25" s="61"/>
    </row>
    <row r="26" spans="1:15" ht="16.5" customHeight="1">
      <c r="A26" s="51" t="s">
        <v>176</v>
      </c>
      <c r="H26" s="51" t="s">
        <v>1869</v>
      </c>
    </row>
    <row r="27" spans="1:15" ht="5.25" customHeight="1">
      <c r="F27" s="139"/>
      <c r="M27" s="139"/>
    </row>
    <row r="28" spans="1:15" ht="15" customHeight="1">
      <c r="A28" s="50" t="s">
        <v>105</v>
      </c>
      <c r="D28" s="146"/>
      <c r="F28" s="139"/>
      <c r="H28" s="50" t="s">
        <v>105</v>
      </c>
      <c r="K28" s="146"/>
      <c r="M28" s="139"/>
    </row>
    <row r="29" spans="1:15" ht="9.75" customHeight="1" thickBot="1"/>
    <row r="30" spans="1:15" ht="15.75" thickBot="1">
      <c r="A30" s="891" t="s">
        <v>106</v>
      </c>
      <c r="B30" s="892"/>
      <c r="C30" s="892"/>
      <c r="D30" s="893"/>
      <c r="F30" s="50" t="s">
        <v>107</v>
      </c>
      <c r="H30" s="891" t="s">
        <v>106</v>
      </c>
      <c r="I30" s="892"/>
      <c r="J30" s="892"/>
      <c r="K30" s="893"/>
      <c r="M30" s="50" t="s">
        <v>288</v>
      </c>
    </row>
    <row r="31" spans="1:15" ht="34.5" customHeight="1" thickBot="1">
      <c r="A31" s="57" t="s">
        <v>100</v>
      </c>
      <c r="B31" s="58" t="s">
        <v>108</v>
      </c>
      <c r="C31" s="59" t="s">
        <v>109</v>
      </c>
      <c r="D31" s="60" t="s">
        <v>110</v>
      </c>
      <c r="H31" s="57" t="s">
        <v>100</v>
      </c>
      <c r="I31" s="58" t="s">
        <v>108</v>
      </c>
      <c r="J31" s="264" t="s">
        <v>109</v>
      </c>
      <c r="K31" s="60" t="s">
        <v>110</v>
      </c>
    </row>
    <row r="32" spans="1:15" ht="13.5" customHeight="1">
      <c r="A32" s="71">
        <v>719</v>
      </c>
      <c r="B32" s="73">
        <v>210000</v>
      </c>
      <c r="C32" s="74">
        <v>28120000</v>
      </c>
      <c r="D32" s="76">
        <f>+B32+C32</f>
        <v>28330000</v>
      </c>
      <c r="H32" s="71">
        <v>719</v>
      </c>
      <c r="I32" s="73">
        <f>+O12+O14+O18+O20</f>
        <v>0</v>
      </c>
      <c r="J32" s="74">
        <f>+M23</f>
        <v>0</v>
      </c>
      <c r="K32" s="195">
        <f>+I32+J32</f>
        <v>0</v>
      </c>
    </row>
    <row r="33" spans="1:15" ht="13.5" customHeight="1">
      <c r="A33" s="72">
        <v>721</v>
      </c>
      <c r="B33" s="80"/>
      <c r="C33" s="75">
        <v>36156092</v>
      </c>
      <c r="D33" s="76">
        <f>+B33+C33</f>
        <v>36156092</v>
      </c>
      <c r="H33" s="72">
        <v>721</v>
      </c>
      <c r="I33" s="80"/>
      <c r="J33" s="74">
        <v>0</v>
      </c>
      <c r="K33" s="195">
        <f>+I33+J33</f>
        <v>0</v>
      </c>
    </row>
    <row r="34" spans="1:15" ht="12.75" customHeight="1">
      <c r="A34" s="72">
        <v>722</v>
      </c>
      <c r="B34" s="80"/>
      <c r="C34" s="75">
        <v>224787287</v>
      </c>
      <c r="D34" s="76">
        <f>+B34+C34</f>
        <v>224787287</v>
      </c>
      <c r="H34" s="72">
        <v>722</v>
      </c>
      <c r="I34" s="80"/>
      <c r="J34" s="74">
        <v>0</v>
      </c>
      <c r="K34" s="195">
        <f>+I34+J34</f>
        <v>0</v>
      </c>
    </row>
    <row r="35" spans="1:15" ht="13.5" customHeight="1" thickBot="1">
      <c r="A35" s="72">
        <v>723</v>
      </c>
      <c r="B35" s="80"/>
      <c r="C35" s="75">
        <v>319828837</v>
      </c>
      <c r="D35" s="76">
        <f>+B35+C35</f>
        <v>319828837</v>
      </c>
      <c r="F35" s="174" t="s">
        <v>23</v>
      </c>
      <c r="G35" s="175"/>
      <c r="H35" s="72">
        <v>723</v>
      </c>
      <c r="I35" s="80">
        <f>+O13+O15+O19+O21+O17</f>
        <v>150290208</v>
      </c>
      <c r="J35" s="74">
        <v>0</v>
      </c>
      <c r="K35" s="195">
        <f>+I35+J35</f>
        <v>150290208</v>
      </c>
      <c r="M35" s="918" t="s">
        <v>2147</v>
      </c>
      <c r="N35" s="918"/>
      <c r="O35" s="918"/>
    </row>
    <row r="36" spans="1:15" ht="14.25" hidden="1" customHeight="1" thickBot="1">
      <c r="A36" s="164" t="s">
        <v>181</v>
      </c>
      <c r="B36" s="165"/>
      <c r="C36" s="166">
        <v>1965625</v>
      </c>
      <c r="D36" s="168">
        <f>+B36+C36</f>
        <v>1965625</v>
      </c>
      <c r="F36" s="52"/>
      <c r="H36" s="164" t="s">
        <v>181</v>
      </c>
      <c r="I36" s="165"/>
      <c r="J36" s="74">
        <v>0</v>
      </c>
      <c r="K36" s="196">
        <f>+I36+J36</f>
        <v>0</v>
      </c>
      <c r="M36" s="52"/>
    </row>
    <row r="37" spans="1:15" ht="16.5" thickBot="1">
      <c r="A37" s="169"/>
      <c r="B37" s="170">
        <f>SUM(B32:B36)</f>
        <v>210000</v>
      </c>
      <c r="C37" s="171">
        <f>SUM(C32:C36)</f>
        <v>610857841</v>
      </c>
      <c r="D37" s="172">
        <f>SUM(D32:D36)</f>
        <v>611067841</v>
      </c>
      <c r="H37" s="169"/>
      <c r="I37" s="197">
        <f>SUM(I32:I36)</f>
        <v>150290208</v>
      </c>
      <c r="J37" s="197">
        <f>SUM(J32:J36)</f>
        <v>0</v>
      </c>
      <c r="K37" s="198">
        <f>SUM(K32:K36)</f>
        <v>150290208</v>
      </c>
    </row>
    <row r="38" spans="1:15" ht="16.5">
      <c r="A38" s="49" t="s">
        <v>88</v>
      </c>
      <c r="B38" s="50"/>
      <c r="H38" s="49" t="s">
        <v>88</v>
      </c>
      <c r="I38" s="50"/>
    </row>
    <row r="39" spans="1:15" ht="13.5" customHeight="1">
      <c r="A39" s="51" t="s">
        <v>89</v>
      </c>
      <c r="H39" s="51" t="s">
        <v>89</v>
      </c>
    </row>
    <row r="40" spans="1:15" ht="14.25" customHeight="1">
      <c r="A40" s="51" t="s">
        <v>90</v>
      </c>
      <c r="H40" s="51" t="s">
        <v>90</v>
      </c>
    </row>
    <row r="41" spans="1:15" ht="14.25" customHeight="1">
      <c r="A41" s="51" t="s">
        <v>91</v>
      </c>
      <c r="H41" s="51" t="s">
        <v>91</v>
      </c>
    </row>
    <row r="42" spans="1:15" ht="6" customHeight="1">
      <c r="A42" s="50"/>
      <c r="B42" s="50"/>
      <c r="H42" s="50"/>
      <c r="I42" s="50"/>
    </row>
    <row r="43" spans="1:15" ht="16.5" customHeight="1">
      <c r="A43" s="52" t="s">
        <v>222</v>
      </c>
      <c r="G43" s="52"/>
      <c r="H43" s="52" t="s">
        <v>536</v>
      </c>
      <c r="N43" s="52"/>
    </row>
    <row r="44" spans="1:15" ht="15.75" customHeight="1">
      <c r="A44" s="53" t="s">
        <v>92</v>
      </c>
      <c r="G44" s="53"/>
      <c r="H44" s="53" t="s">
        <v>2139</v>
      </c>
      <c r="N44" s="53"/>
    </row>
    <row r="45" spans="1:15" ht="15.75" customHeight="1">
      <c r="A45" s="894" t="s">
        <v>93</v>
      </c>
      <c r="B45" s="894"/>
      <c r="C45" s="894"/>
      <c r="D45" s="894"/>
      <c r="E45" s="894"/>
      <c r="F45" s="894"/>
      <c r="G45" s="894"/>
      <c r="H45" s="894" t="s">
        <v>903</v>
      </c>
      <c r="I45" s="894"/>
      <c r="J45" s="894"/>
      <c r="K45" s="894"/>
      <c r="L45" s="894"/>
      <c r="M45" s="894"/>
      <c r="N45" s="894"/>
      <c r="O45" s="894"/>
    </row>
    <row r="46" spans="1:15" ht="12" customHeight="1" thickBot="1"/>
    <row r="47" spans="1:15">
      <c r="A47" s="895" t="s">
        <v>94</v>
      </c>
      <c r="B47" s="897" t="s">
        <v>95</v>
      </c>
      <c r="C47" s="897" t="s">
        <v>96</v>
      </c>
      <c r="D47" s="897" t="s">
        <v>3</v>
      </c>
      <c r="E47" s="897" t="s">
        <v>97</v>
      </c>
      <c r="F47" s="897" t="s">
        <v>98</v>
      </c>
      <c r="G47" s="500" t="s">
        <v>99</v>
      </c>
      <c r="H47" s="895" t="s">
        <v>94</v>
      </c>
      <c r="I47" s="897" t="s">
        <v>95</v>
      </c>
      <c r="J47" s="897" t="s">
        <v>96</v>
      </c>
      <c r="K47" s="897" t="s">
        <v>3</v>
      </c>
      <c r="L47" s="897" t="s">
        <v>97</v>
      </c>
      <c r="M47" s="897" t="s">
        <v>98</v>
      </c>
      <c r="N47" s="897" t="s">
        <v>99</v>
      </c>
      <c r="O47" s="899"/>
    </row>
    <row r="48" spans="1:15" ht="15.75" thickBot="1">
      <c r="A48" s="896"/>
      <c r="B48" s="898"/>
      <c r="C48" s="898"/>
      <c r="D48" s="898"/>
      <c r="E48" s="898"/>
      <c r="F48" s="898"/>
      <c r="G48" s="240" t="s">
        <v>100</v>
      </c>
      <c r="H48" s="896"/>
      <c r="I48" s="898"/>
      <c r="J48" s="898"/>
      <c r="K48" s="898"/>
      <c r="L48" s="898"/>
      <c r="M48" s="898"/>
      <c r="N48" s="240" t="s">
        <v>100</v>
      </c>
      <c r="O48" s="182" t="s">
        <v>101</v>
      </c>
    </row>
    <row r="49" spans="1:15" ht="13.5" customHeight="1">
      <c r="A49" s="881">
        <f>+A14+1</f>
        <v>239</v>
      </c>
      <c r="B49" s="875">
        <v>42240</v>
      </c>
      <c r="C49" s="935" t="s">
        <v>28</v>
      </c>
      <c r="D49" s="881" t="s">
        <v>223</v>
      </c>
      <c r="E49" s="881" t="s">
        <v>115</v>
      </c>
      <c r="F49" s="883">
        <v>60000</v>
      </c>
      <c r="G49" s="55">
        <v>719</v>
      </c>
      <c r="H49" s="873" t="s">
        <v>551</v>
      </c>
      <c r="I49" s="875">
        <v>44567</v>
      </c>
      <c r="J49" s="877" t="s">
        <v>1079</v>
      </c>
      <c r="K49" s="881" t="s">
        <v>2140</v>
      </c>
      <c r="L49" s="881" t="s">
        <v>148</v>
      </c>
      <c r="M49" s="883">
        <v>3900000</v>
      </c>
      <c r="N49" s="55">
        <v>719</v>
      </c>
      <c r="O49" s="78"/>
    </row>
    <row r="50" spans="1:15" ht="12.75" customHeight="1" thickBot="1">
      <c r="A50" s="882"/>
      <c r="B50" s="934"/>
      <c r="C50" s="936"/>
      <c r="D50" s="882"/>
      <c r="E50" s="882"/>
      <c r="F50" s="884"/>
      <c r="G50" s="56">
        <v>721</v>
      </c>
      <c r="H50" s="874"/>
      <c r="I50" s="876"/>
      <c r="J50" s="878"/>
      <c r="K50" s="882"/>
      <c r="L50" s="882"/>
      <c r="M50" s="884"/>
      <c r="N50" s="56">
        <v>723</v>
      </c>
      <c r="O50" s="79">
        <f>+M49-O49</f>
        <v>3900000</v>
      </c>
    </row>
    <row r="51" spans="1:15" ht="12" customHeight="1">
      <c r="A51" s="881">
        <f>+A49+1</f>
        <v>240</v>
      </c>
      <c r="B51" s="875">
        <v>42240</v>
      </c>
      <c r="C51" s="942" t="s">
        <v>31</v>
      </c>
      <c r="D51" s="881" t="s">
        <v>224</v>
      </c>
      <c r="E51" s="881" t="s">
        <v>115</v>
      </c>
      <c r="F51" s="883">
        <v>140000</v>
      </c>
      <c r="G51" s="55">
        <v>719</v>
      </c>
      <c r="H51" s="873" t="s">
        <v>552</v>
      </c>
      <c r="I51" s="875">
        <v>44567</v>
      </c>
      <c r="J51" s="877" t="s">
        <v>2267</v>
      </c>
      <c r="K51" s="881" t="s">
        <v>2140</v>
      </c>
      <c r="L51" s="881" t="s">
        <v>148</v>
      </c>
      <c r="M51" s="883">
        <v>7345650</v>
      </c>
      <c r="N51" s="55">
        <v>719</v>
      </c>
      <c r="O51" s="78"/>
    </row>
    <row r="52" spans="1:15" ht="15" customHeight="1" thickBot="1">
      <c r="A52" s="882"/>
      <c r="B52" s="934"/>
      <c r="C52" s="943"/>
      <c r="D52" s="882"/>
      <c r="E52" s="882"/>
      <c r="F52" s="884"/>
      <c r="G52" s="56">
        <v>721</v>
      </c>
      <c r="H52" s="874"/>
      <c r="I52" s="876"/>
      <c r="J52" s="878"/>
      <c r="K52" s="882"/>
      <c r="L52" s="882"/>
      <c r="M52" s="884"/>
      <c r="N52" s="56">
        <v>723</v>
      </c>
      <c r="O52" s="79">
        <f>+M51-O51</f>
        <v>7345650</v>
      </c>
    </row>
    <row r="53" spans="1:15" ht="13.5" customHeight="1">
      <c r="A53" s="251"/>
      <c r="B53" s="452"/>
      <c r="C53" s="465"/>
      <c r="D53" s="251"/>
      <c r="E53" s="251"/>
      <c r="F53" s="254"/>
      <c r="G53" s="255"/>
      <c r="H53" s="873" t="s">
        <v>553</v>
      </c>
      <c r="I53" s="875">
        <v>44567</v>
      </c>
      <c r="J53" s="877" t="s">
        <v>1921</v>
      </c>
      <c r="K53" s="881" t="s">
        <v>2140</v>
      </c>
      <c r="L53" s="881" t="s">
        <v>148</v>
      </c>
      <c r="M53" s="883">
        <v>14875000</v>
      </c>
      <c r="N53" s="55">
        <v>719</v>
      </c>
      <c r="O53" s="78"/>
    </row>
    <row r="54" spans="1:15" ht="12.75" customHeight="1" thickBot="1">
      <c r="A54" s="251"/>
      <c r="B54" s="452"/>
      <c r="C54" s="465"/>
      <c r="D54" s="251"/>
      <c r="E54" s="251"/>
      <c r="F54" s="254"/>
      <c r="G54" s="255"/>
      <c r="H54" s="874"/>
      <c r="I54" s="876"/>
      <c r="J54" s="878"/>
      <c r="K54" s="882"/>
      <c r="L54" s="882"/>
      <c r="M54" s="884"/>
      <c r="N54" s="56">
        <v>723</v>
      </c>
      <c r="O54" s="79">
        <f>+M53-O53</f>
        <v>14875000</v>
      </c>
    </row>
    <row r="55" spans="1:15" ht="12" customHeight="1">
      <c r="A55" s="881">
        <f>+A51+1</f>
        <v>241</v>
      </c>
      <c r="B55" s="875">
        <v>42240</v>
      </c>
      <c r="C55" s="942" t="s">
        <v>32</v>
      </c>
      <c r="D55" s="881" t="s">
        <v>225</v>
      </c>
      <c r="E55" s="881" t="s">
        <v>115</v>
      </c>
      <c r="F55" s="883">
        <v>50000</v>
      </c>
      <c r="G55" s="55">
        <v>719</v>
      </c>
      <c r="H55" s="873" t="s">
        <v>554</v>
      </c>
      <c r="I55" s="875">
        <v>44567</v>
      </c>
      <c r="J55" s="952" t="s">
        <v>2268</v>
      </c>
      <c r="K55" s="948" t="s">
        <v>2140</v>
      </c>
      <c r="L55" s="948" t="s">
        <v>148</v>
      </c>
      <c r="M55" s="946">
        <v>2583132</v>
      </c>
      <c r="N55" s="55">
        <v>719</v>
      </c>
      <c r="O55" s="78"/>
    </row>
    <row r="56" spans="1:15" ht="15" customHeight="1" thickBot="1">
      <c r="A56" s="882"/>
      <c r="B56" s="934"/>
      <c r="C56" s="943"/>
      <c r="D56" s="882"/>
      <c r="E56" s="882"/>
      <c r="F56" s="884"/>
      <c r="G56" s="56">
        <v>721</v>
      </c>
      <c r="H56" s="874"/>
      <c r="I56" s="876"/>
      <c r="J56" s="953"/>
      <c r="K56" s="949"/>
      <c r="L56" s="949"/>
      <c r="M56" s="947"/>
      <c r="N56" s="56">
        <v>723</v>
      </c>
      <c r="O56" s="79">
        <f>+M55-O55</f>
        <v>2583132</v>
      </c>
    </row>
    <row r="57" spans="1:15" ht="12" customHeight="1">
      <c r="A57" s="881"/>
      <c r="B57" s="875"/>
      <c r="C57" s="935"/>
      <c r="D57" s="877"/>
      <c r="E57" s="881"/>
      <c r="F57" s="883"/>
      <c r="G57" s="55">
        <v>719</v>
      </c>
      <c r="H57" s="873" t="s">
        <v>1318</v>
      </c>
      <c r="I57" s="875">
        <v>44567</v>
      </c>
      <c r="J57" s="910" t="s">
        <v>2269</v>
      </c>
      <c r="K57" s="881" t="s">
        <v>2140</v>
      </c>
      <c r="L57" s="881" t="s">
        <v>148</v>
      </c>
      <c r="M57" s="883">
        <v>1800000</v>
      </c>
      <c r="N57" s="55">
        <v>719</v>
      </c>
      <c r="O57" s="78"/>
    </row>
    <row r="58" spans="1:15" ht="13.5" customHeight="1" thickBot="1">
      <c r="A58" s="882"/>
      <c r="B58" s="934"/>
      <c r="C58" s="936"/>
      <c r="D58" s="878"/>
      <c r="E58" s="882"/>
      <c r="F58" s="884"/>
      <c r="G58" s="56">
        <v>721</v>
      </c>
      <c r="H58" s="874"/>
      <c r="I58" s="876"/>
      <c r="J58" s="911"/>
      <c r="K58" s="882"/>
      <c r="L58" s="882"/>
      <c r="M58" s="884"/>
      <c r="N58" s="56">
        <v>723</v>
      </c>
      <c r="O58" s="79">
        <f>+M57</f>
        <v>1800000</v>
      </c>
    </row>
    <row r="59" spans="1:15" ht="15.75" customHeight="1" thickBot="1">
      <c r="A59" s="901" t="s">
        <v>102</v>
      </c>
      <c r="B59" s="902"/>
      <c r="C59" s="902"/>
      <c r="D59" s="902"/>
      <c r="E59" s="903"/>
      <c r="F59" s="81">
        <f>SUM(F49:F58)</f>
        <v>250000</v>
      </c>
      <c r="H59" s="901" t="s">
        <v>102</v>
      </c>
      <c r="I59" s="902"/>
      <c r="J59" s="902"/>
      <c r="K59" s="902"/>
      <c r="L59" s="903"/>
      <c r="M59" s="81">
        <f>SUM(M49:M58)</f>
        <v>30503782</v>
      </c>
    </row>
    <row r="60" spans="1:15" ht="16.5" thickBot="1">
      <c r="A60" s="885" t="s">
        <v>103</v>
      </c>
      <c r="B60" s="886"/>
      <c r="C60" s="886"/>
      <c r="D60" s="886"/>
      <c r="E60" s="887"/>
      <c r="F60" s="69">
        <f>+C74</f>
        <v>611067841</v>
      </c>
      <c r="H60" s="885" t="s">
        <v>103</v>
      </c>
      <c r="I60" s="886"/>
      <c r="J60" s="886"/>
      <c r="K60" s="886"/>
      <c r="L60" s="887"/>
      <c r="M60" s="69">
        <f>+M24</f>
        <v>150290208</v>
      </c>
      <c r="N60" s="241" t="s">
        <v>561</v>
      </c>
      <c r="O60" s="242"/>
    </row>
    <row r="61" spans="1:15" ht="15" customHeight="1" thickBot="1">
      <c r="A61" s="888" t="s">
        <v>104</v>
      </c>
      <c r="B61" s="889"/>
      <c r="C61" s="889"/>
      <c r="D61" s="889"/>
      <c r="E61" s="890"/>
      <c r="F61" s="183">
        <f>SUM(F59:F60)</f>
        <v>611317841</v>
      </c>
      <c r="H61" s="888" t="s">
        <v>104</v>
      </c>
      <c r="I61" s="889"/>
      <c r="J61" s="889"/>
      <c r="K61" s="889"/>
      <c r="L61" s="890"/>
      <c r="M61" s="183">
        <f>SUM(M59:M60)</f>
        <v>180793990</v>
      </c>
    </row>
    <row r="62" spans="1:15" ht="8.25" customHeight="1">
      <c r="A62" s="61"/>
      <c r="B62" s="61"/>
      <c r="C62" s="61"/>
      <c r="D62" s="61"/>
      <c r="E62" s="61"/>
      <c r="H62" s="61"/>
      <c r="I62" s="61"/>
      <c r="J62" s="61"/>
      <c r="K62" s="61"/>
      <c r="L62" s="61"/>
    </row>
    <row r="63" spans="1:15">
      <c r="A63" s="51" t="s">
        <v>226</v>
      </c>
      <c r="H63" s="51" t="s">
        <v>2141</v>
      </c>
    </row>
    <row r="64" spans="1:15" ht="7.5" customHeight="1">
      <c r="F64" s="139"/>
      <c r="M64" s="139"/>
    </row>
    <row r="65" spans="1:15">
      <c r="A65" s="50" t="s">
        <v>105</v>
      </c>
      <c r="D65" s="146"/>
      <c r="F65" s="139"/>
      <c r="H65" s="50" t="s">
        <v>105</v>
      </c>
      <c r="K65" s="146"/>
      <c r="M65" s="139"/>
    </row>
    <row r="66" spans="1:15" ht="7.5" customHeight="1" thickBot="1"/>
    <row r="67" spans="1:15" ht="15.75" thickBot="1">
      <c r="A67" s="891" t="s">
        <v>106</v>
      </c>
      <c r="B67" s="892"/>
      <c r="C67" s="892"/>
      <c r="D67" s="893"/>
      <c r="F67" s="50" t="s">
        <v>107</v>
      </c>
      <c r="H67" s="891" t="s">
        <v>106</v>
      </c>
      <c r="I67" s="892"/>
      <c r="J67" s="892"/>
      <c r="K67" s="893"/>
      <c r="M67" s="50" t="s">
        <v>288</v>
      </c>
    </row>
    <row r="68" spans="1:15" ht="28.5" customHeight="1" thickBot="1">
      <c r="A68" s="57" t="s">
        <v>100</v>
      </c>
      <c r="B68" s="58" t="s">
        <v>108</v>
      </c>
      <c r="C68" s="59" t="s">
        <v>109</v>
      </c>
      <c r="D68" s="60" t="s">
        <v>110</v>
      </c>
      <c r="H68" s="57" t="s">
        <v>100</v>
      </c>
      <c r="I68" s="58" t="s">
        <v>108</v>
      </c>
      <c r="J68" s="473" t="s">
        <v>109</v>
      </c>
      <c r="K68" s="60" t="s">
        <v>110</v>
      </c>
    </row>
    <row r="69" spans="1:15" ht="14.25" customHeight="1">
      <c r="A69" s="71">
        <v>719</v>
      </c>
      <c r="B69" s="73" t="e">
        <f>+#REF!+#REF!+#REF!</f>
        <v>#REF!</v>
      </c>
      <c r="C69" s="74">
        <f>+D32</f>
        <v>28330000</v>
      </c>
      <c r="D69" s="76" t="e">
        <f>+B69+C69</f>
        <v>#REF!</v>
      </c>
      <c r="H69" s="71">
        <v>719</v>
      </c>
      <c r="I69" s="73">
        <f>+O49+O51+O55</f>
        <v>0</v>
      </c>
      <c r="J69" s="74">
        <f>+K32</f>
        <v>0</v>
      </c>
      <c r="K69" s="195">
        <f>+I69+J69</f>
        <v>0</v>
      </c>
    </row>
    <row r="70" spans="1:15" ht="13.5" customHeight="1">
      <c r="A70" s="72">
        <v>721</v>
      </c>
      <c r="B70" s="80"/>
      <c r="C70" s="74">
        <f>+D33</f>
        <v>36156092</v>
      </c>
      <c r="D70" s="76">
        <f>+B70+C70</f>
        <v>36156092</v>
      </c>
      <c r="H70" s="72">
        <v>721</v>
      </c>
      <c r="I70" s="80"/>
      <c r="J70" s="74">
        <f>+K33</f>
        <v>0</v>
      </c>
      <c r="K70" s="195">
        <f>+I70+J70</f>
        <v>0</v>
      </c>
    </row>
    <row r="71" spans="1:15" ht="12.75" customHeight="1">
      <c r="A71" s="72">
        <v>722</v>
      </c>
      <c r="B71" s="80"/>
      <c r="C71" s="74">
        <f>+D34</f>
        <v>224787287</v>
      </c>
      <c r="D71" s="76">
        <f>+B71+C71</f>
        <v>224787287</v>
      </c>
      <c r="H71" s="72">
        <v>722</v>
      </c>
      <c r="I71" s="80"/>
      <c r="J71" s="74">
        <f>+K34</f>
        <v>0</v>
      </c>
      <c r="K71" s="195">
        <f>+I71+J71</f>
        <v>0</v>
      </c>
    </row>
    <row r="72" spans="1:15" ht="14.25" customHeight="1" thickBot="1">
      <c r="A72" s="72">
        <v>723</v>
      </c>
      <c r="B72" s="80"/>
      <c r="C72" s="74">
        <f>+D35</f>
        <v>319828837</v>
      </c>
      <c r="D72" s="76">
        <f>+B72+C72</f>
        <v>319828837</v>
      </c>
      <c r="F72" s="174" t="s">
        <v>23</v>
      </c>
      <c r="G72" s="175"/>
      <c r="H72" s="72">
        <v>723</v>
      </c>
      <c r="I72" s="80">
        <f>+M59</f>
        <v>30503782</v>
      </c>
      <c r="J72" s="74">
        <f>+K35</f>
        <v>150290208</v>
      </c>
      <c r="K72" s="195">
        <f>+I72+J72</f>
        <v>180793990</v>
      </c>
      <c r="M72" s="918" t="s">
        <v>2147</v>
      </c>
      <c r="N72" s="918"/>
      <c r="O72" s="918"/>
    </row>
    <row r="73" spans="1:15" ht="14.25" hidden="1" customHeight="1" thickBot="1">
      <c r="A73" s="164" t="s">
        <v>181</v>
      </c>
      <c r="B73" s="165"/>
      <c r="C73" s="74">
        <f>+D36</f>
        <v>1965625</v>
      </c>
      <c r="D73" s="168">
        <f>+B73+C73</f>
        <v>1965625</v>
      </c>
      <c r="F73" s="52"/>
      <c r="H73" s="164" t="s">
        <v>181</v>
      </c>
      <c r="I73" s="165"/>
      <c r="J73" s="74">
        <f>+K36</f>
        <v>0</v>
      </c>
      <c r="K73" s="196">
        <f>+I73+J73</f>
        <v>0</v>
      </c>
      <c r="M73" s="52"/>
    </row>
    <row r="74" spans="1:15" ht="16.5" thickBot="1">
      <c r="A74" s="169"/>
      <c r="B74" s="170" t="e">
        <f>SUM(B69:B73)</f>
        <v>#REF!</v>
      </c>
      <c r="C74" s="171">
        <f>SUM(C69:C73)</f>
        <v>611067841</v>
      </c>
      <c r="D74" s="172" t="e">
        <f>SUM(D69:D73)</f>
        <v>#REF!</v>
      </c>
      <c r="H74" s="169"/>
      <c r="I74" s="197">
        <f>SUM(I69:I73)</f>
        <v>30503782</v>
      </c>
      <c r="J74" s="197">
        <f>SUM(J69:J73)</f>
        <v>150290208</v>
      </c>
      <c r="K74" s="198">
        <f>SUM(K69:K73)</f>
        <v>180793990</v>
      </c>
    </row>
    <row r="75" spans="1:15" ht="16.5">
      <c r="A75" s="49" t="s">
        <v>88</v>
      </c>
      <c r="B75" s="50"/>
      <c r="H75" s="49" t="s">
        <v>88</v>
      </c>
      <c r="I75" s="50"/>
    </row>
    <row r="76" spans="1:15" ht="14.25" customHeight="1">
      <c r="A76" s="51" t="s">
        <v>89</v>
      </c>
      <c r="H76" s="51" t="s">
        <v>89</v>
      </c>
    </row>
    <row r="77" spans="1:15" ht="12.75" customHeight="1">
      <c r="A77" s="51" t="s">
        <v>90</v>
      </c>
      <c r="H77" s="51" t="s">
        <v>90</v>
      </c>
    </row>
    <row r="78" spans="1:15" ht="15" customHeight="1">
      <c r="A78" s="51" t="s">
        <v>91</v>
      </c>
      <c r="H78" s="51" t="s">
        <v>91</v>
      </c>
    </row>
    <row r="79" spans="1:15" ht="6.75" customHeight="1">
      <c r="A79" s="50"/>
      <c r="B79" s="50"/>
      <c r="H79" s="50"/>
      <c r="I79" s="50"/>
    </row>
    <row r="80" spans="1:15" ht="13.5" customHeight="1">
      <c r="A80" s="52" t="s">
        <v>227</v>
      </c>
      <c r="B80" s="50"/>
      <c r="G80" s="52"/>
      <c r="H80" s="52" t="s">
        <v>539</v>
      </c>
      <c r="N80" s="52"/>
    </row>
    <row r="81" spans="1:15" ht="15.75" customHeight="1">
      <c r="A81" s="53" t="s">
        <v>92</v>
      </c>
      <c r="G81" s="53"/>
      <c r="H81" s="53" t="s">
        <v>2270</v>
      </c>
      <c r="N81" s="53"/>
    </row>
    <row r="82" spans="1:15" ht="15" customHeight="1">
      <c r="A82" s="894" t="s">
        <v>228</v>
      </c>
      <c r="B82" s="894"/>
      <c r="C82" s="894"/>
      <c r="D82" s="894"/>
      <c r="E82" s="894"/>
      <c r="F82" s="894"/>
      <c r="G82" s="894"/>
      <c r="H82" s="894" t="s">
        <v>903</v>
      </c>
      <c r="I82" s="894"/>
      <c r="J82" s="894"/>
      <c r="K82" s="894"/>
      <c r="L82" s="894"/>
      <c r="M82" s="894"/>
      <c r="N82" s="894"/>
      <c r="O82" s="894"/>
    </row>
    <row r="83" spans="1:15" ht="8.25" customHeight="1" thickBot="1"/>
    <row r="84" spans="1:15" ht="15" customHeight="1">
      <c r="A84" s="895" t="s">
        <v>94</v>
      </c>
      <c r="B84" s="897" t="s">
        <v>95</v>
      </c>
      <c r="C84" s="897" t="s">
        <v>96</v>
      </c>
      <c r="D84" s="897" t="s">
        <v>3</v>
      </c>
      <c r="E84" s="897" t="s">
        <v>97</v>
      </c>
      <c r="F84" s="897" t="s">
        <v>98</v>
      </c>
      <c r="G84" s="500" t="s">
        <v>99</v>
      </c>
      <c r="H84" s="895" t="s">
        <v>94</v>
      </c>
      <c r="I84" s="897" t="s">
        <v>95</v>
      </c>
      <c r="J84" s="897" t="s">
        <v>96</v>
      </c>
      <c r="K84" s="897" t="s">
        <v>3</v>
      </c>
      <c r="L84" s="897" t="s">
        <v>97</v>
      </c>
      <c r="M84" s="897" t="s">
        <v>98</v>
      </c>
      <c r="N84" s="897" t="s">
        <v>99</v>
      </c>
      <c r="O84" s="899"/>
    </row>
    <row r="85" spans="1:15" ht="15.75" customHeight="1" thickBot="1">
      <c r="A85" s="896"/>
      <c r="B85" s="898"/>
      <c r="C85" s="898"/>
      <c r="D85" s="898"/>
      <c r="E85" s="898"/>
      <c r="F85" s="898"/>
      <c r="G85" s="240" t="s">
        <v>100</v>
      </c>
      <c r="H85" s="896"/>
      <c r="I85" s="898"/>
      <c r="J85" s="898"/>
      <c r="K85" s="898"/>
      <c r="L85" s="898"/>
      <c r="M85" s="898"/>
      <c r="N85" s="240" t="s">
        <v>100</v>
      </c>
      <c r="O85" s="182" t="s">
        <v>101</v>
      </c>
    </row>
    <row r="86" spans="1:15" ht="13.5" customHeight="1">
      <c r="A86" s="881">
        <f>+A55+1</f>
        <v>242</v>
      </c>
      <c r="B86" s="875">
        <v>42242</v>
      </c>
      <c r="C86" s="877" t="s">
        <v>230</v>
      </c>
      <c r="D86" s="881" t="s">
        <v>244</v>
      </c>
      <c r="E86" s="881" t="s">
        <v>148</v>
      </c>
      <c r="F86" s="883">
        <v>182000</v>
      </c>
      <c r="G86" s="55">
        <v>719</v>
      </c>
      <c r="H86" s="873" t="s">
        <v>1875</v>
      </c>
      <c r="I86" s="875">
        <v>44932</v>
      </c>
      <c r="J86" s="910" t="s">
        <v>1427</v>
      </c>
      <c r="K86" s="881" t="s">
        <v>2272</v>
      </c>
      <c r="L86" s="881" t="s">
        <v>148</v>
      </c>
      <c r="M86" s="883">
        <v>7875000</v>
      </c>
      <c r="N86" s="55">
        <v>719</v>
      </c>
      <c r="O86" s="78"/>
    </row>
    <row r="87" spans="1:15" ht="12.75" customHeight="1" thickBot="1">
      <c r="A87" s="882"/>
      <c r="B87" s="934"/>
      <c r="C87" s="878"/>
      <c r="D87" s="882"/>
      <c r="E87" s="882"/>
      <c r="F87" s="884"/>
      <c r="G87" s="56">
        <v>721</v>
      </c>
      <c r="H87" s="882"/>
      <c r="I87" s="876"/>
      <c r="J87" s="911"/>
      <c r="K87" s="882"/>
      <c r="L87" s="882"/>
      <c r="M87" s="884"/>
      <c r="N87" s="56">
        <v>723</v>
      </c>
      <c r="O87" s="79">
        <f>+M86-O86</f>
        <v>7875000</v>
      </c>
    </row>
    <row r="88" spans="1:15" ht="12" customHeight="1">
      <c r="A88" s="881">
        <f>+A86+1</f>
        <v>243</v>
      </c>
      <c r="B88" s="875">
        <v>42242</v>
      </c>
      <c r="C88" s="881" t="s">
        <v>28</v>
      </c>
      <c r="D88" s="881" t="s">
        <v>229</v>
      </c>
      <c r="E88" s="881" t="s">
        <v>148</v>
      </c>
      <c r="F88" s="883">
        <v>336000</v>
      </c>
      <c r="G88" s="55">
        <v>719</v>
      </c>
      <c r="H88" s="873" t="s">
        <v>1703</v>
      </c>
      <c r="I88" s="875">
        <v>44932</v>
      </c>
      <c r="J88" s="954" t="s">
        <v>2142</v>
      </c>
      <c r="K88" s="881" t="s">
        <v>2272</v>
      </c>
      <c r="L88" s="948" t="s">
        <v>148</v>
      </c>
      <c r="M88" s="946">
        <v>5100000</v>
      </c>
      <c r="N88" s="492">
        <v>719</v>
      </c>
      <c r="O88" s="493"/>
    </row>
    <row r="89" spans="1:15" ht="14.25" customHeight="1" thickBot="1">
      <c r="A89" s="882"/>
      <c r="B89" s="934"/>
      <c r="C89" s="882"/>
      <c r="D89" s="882"/>
      <c r="E89" s="882"/>
      <c r="F89" s="884"/>
      <c r="G89" s="56">
        <v>721</v>
      </c>
      <c r="H89" s="882"/>
      <c r="I89" s="876"/>
      <c r="J89" s="955"/>
      <c r="K89" s="882"/>
      <c r="L89" s="949"/>
      <c r="M89" s="947"/>
      <c r="N89" s="494">
        <v>723</v>
      </c>
      <c r="O89" s="495">
        <f>+M88-O88</f>
        <v>5100000</v>
      </c>
    </row>
    <row r="90" spans="1:15" ht="11.25" customHeight="1">
      <c r="A90" s="881">
        <f>+A88+1</f>
        <v>244</v>
      </c>
      <c r="B90" s="875">
        <v>42242</v>
      </c>
      <c r="C90" s="877" t="s">
        <v>32</v>
      </c>
      <c r="D90" s="881" t="s">
        <v>229</v>
      </c>
      <c r="E90" s="881" t="s">
        <v>148</v>
      </c>
      <c r="F90" s="883">
        <v>56000</v>
      </c>
      <c r="G90" s="55">
        <v>719</v>
      </c>
      <c r="H90" s="873" t="s">
        <v>1704</v>
      </c>
      <c r="I90" s="875">
        <v>44932</v>
      </c>
      <c r="J90" s="877" t="s">
        <v>1958</v>
      </c>
      <c r="K90" s="881" t="s">
        <v>2272</v>
      </c>
      <c r="L90" s="881" t="s">
        <v>148</v>
      </c>
      <c r="M90" s="883">
        <v>2520000</v>
      </c>
      <c r="N90" s="492">
        <v>719</v>
      </c>
      <c r="O90" s="493"/>
    </row>
    <row r="91" spans="1:15" ht="14.25" customHeight="1" thickBot="1">
      <c r="A91" s="882"/>
      <c r="B91" s="934"/>
      <c r="C91" s="878"/>
      <c r="D91" s="882"/>
      <c r="E91" s="882"/>
      <c r="F91" s="884"/>
      <c r="G91" s="56">
        <v>721</v>
      </c>
      <c r="H91" s="882"/>
      <c r="I91" s="876"/>
      <c r="J91" s="878"/>
      <c r="K91" s="882"/>
      <c r="L91" s="882"/>
      <c r="M91" s="884"/>
      <c r="N91" s="494">
        <v>723</v>
      </c>
      <c r="O91" s="495">
        <f>+M90-O90</f>
        <v>2520000</v>
      </c>
    </row>
    <row r="92" spans="1:15" ht="12" customHeight="1">
      <c r="A92" s="251"/>
      <c r="B92" s="452"/>
      <c r="C92" s="253"/>
      <c r="D92" s="251"/>
      <c r="E92" s="251"/>
      <c r="F92" s="254"/>
      <c r="G92" s="255"/>
      <c r="H92" s="873" t="s">
        <v>1705</v>
      </c>
      <c r="I92" s="875">
        <v>44932</v>
      </c>
      <c r="J92" s="910" t="s">
        <v>1877</v>
      </c>
      <c r="K92" s="881" t="s">
        <v>2272</v>
      </c>
      <c r="L92" s="881" t="s">
        <v>148</v>
      </c>
      <c r="M92" s="883">
        <v>1222900</v>
      </c>
      <c r="N92" s="55">
        <v>719</v>
      </c>
      <c r="O92" s="78"/>
    </row>
    <row r="93" spans="1:15" ht="14.25" customHeight="1" thickBot="1">
      <c r="A93" s="251"/>
      <c r="B93" s="452"/>
      <c r="C93" s="253"/>
      <c r="D93" s="251"/>
      <c r="E93" s="251"/>
      <c r="F93" s="254"/>
      <c r="G93" s="255"/>
      <c r="H93" s="882"/>
      <c r="I93" s="876"/>
      <c r="J93" s="911"/>
      <c r="K93" s="882"/>
      <c r="L93" s="882"/>
      <c r="M93" s="884"/>
      <c r="N93" s="56">
        <v>723</v>
      </c>
      <c r="O93" s="79">
        <f>+M92-O92</f>
        <v>1222900</v>
      </c>
    </row>
    <row r="94" spans="1:15" ht="11.25" customHeight="1">
      <c r="A94" s="881" t="e">
        <f>+#REF!+1</f>
        <v>#REF!</v>
      </c>
      <c r="B94" s="875">
        <v>42242</v>
      </c>
      <c r="C94" s="881" t="s">
        <v>31</v>
      </c>
      <c r="D94" s="881" t="s">
        <v>229</v>
      </c>
      <c r="E94" s="881" t="s">
        <v>148</v>
      </c>
      <c r="F94" s="883">
        <v>588000</v>
      </c>
      <c r="G94" s="55">
        <v>719</v>
      </c>
      <c r="H94" s="873" t="s">
        <v>1876</v>
      </c>
      <c r="I94" s="875">
        <v>44932</v>
      </c>
      <c r="J94" s="879" t="s">
        <v>695</v>
      </c>
      <c r="K94" s="881" t="s">
        <v>2272</v>
      </c>
      <c r="L94" s="881" t="s">
        <v>148</v>
      </c>
      <c r="M94" s="883">
        <v>7139940</v>
      </c>
      <c r="N94" s="55">
        <v>719</v>
      </c>
      <c r="O94" s="78"/>
    </row>
    <row r="95" spans="1:15" ht="14.25" customHeight="1" thickBot="1">
      <c r="A95" s="882"/>
      <c r="B95" s="934"/>
      <c r="C95" s="882"/>
      <c r="D95" s="882"/>
      <c r="E95" s="882"/>
      <c r="F95" s="884"/>
      <c r="G95" s="56">
        <v>721</v>
      </c>
      <c r="H95" s="882"/>
      <c r="I95" s="876"/>
      <c r="J95" s="880"/>
      <c r="K95" s="882"/>
      <c r="L95" s="882"/>
      <c r="M95" s="884"/>
      <c r="N95" s="56">
        <v>723</v>
      </c>
      <c r="O95" s="79">
        <f>+M94-O94</f>
        <v>7139940</v>
      </c>
    </row>
    <row r="96" spans="1:15" ht="16.5" thickBot="1">
      <c r="A96" s="901" t="s">
        <v>102</v>
      </c>
      <c r="B96" s="902"/>
      <c r="C96" s="902"/>
      <c r="D96" s="902"/>
      <c r="E96" s="903"/>
      <c r="F96" s="81">
        <f>SUM(F86:F95)</f>
        <v>1162000</v>
      </c>
      <c r="H96" s="901" t="s">
        <v>102</v>
      </c>
      <c r="I96" s="902"/>
      <c r="J96" s="902"/>
      <c r="K96" s="902"/>
      <c r="L96" s="903"/>
      <c r="M96" s="81">
        <f>+M86+M88+M90+M92+M94</f>
        <v>23857840</v>
      </c>
    </row>
    <row r="97" spans="1:15" ht="16.5" thickBot="1">
      <c r="A97" s="885" t="s">
        <v>103</v>
      </c>
      <c r="B97" s="886"/>
      <c r="C97" s="886"/>
      <c r="D97" s="886"/>
      <c r="E97" s="887"/>
      <c r="F97" s="184" t="e">
        <f>+C111</f>
        <v>#REF!</v>
      </c>
      <c r="H97" s="885" t="s">
        <v>103</v>
      </c>
      <c r="I97" s="886"/>
      <c r="J97" s="886"/>
      <c r="K97" s="886"/>
      <c r="L97" s="887"/>
      <c r="M97" s="69">
        <f>+M61</f>
        <v>180793990</v>
      </c>
      <c r="N97" s="241" t="s">
        <v>561</v>
      </c>
      <c r="O97" s="242"/>
    </row>
    <row r="98" spans="1:15" ht="16.5" thickBot="1">
      <c r="A98" s="888" t="s">
        <v>104</v>
      </c>
      <c r="B98" s="889"/>
      <c r="C98" s="889"/>
      <c r="D98" s="889"/>
      <c r="E98" s="890"/>
      <c r="F98" s="183" t="e">
        <f>SUM(F96:F97)</f>
        <v>#REF!</v>
      </c>
      <c r="H98" s="888" t="s">
        <v>104</v>
      </c>
      <c r="I98" s="889"/>
      <c r="J98" s="889"/>
      <c r="K98" s="889"/>
      <c r="L98" s="890"/>
      <c r="M98" s="183">
        <f>SUM(M96:M97)</f>
        <v>204651830</v>
      </c>
    </row>
    <row r="99" spans="1:15" ht="14.25" customHeight="1">
      <c r="A99" s="61"/>
      <c r="B99" s="61"/>
      <c r="C99" s="61"/>
      <c r="D99" s="61"/>
      <c r="E99" s="61"/>
      <c r="H99" s="61"/>
      <c r="I99" s="61"/>
      <c r="J99" s="61"/>
      <c r="K99" s="61"/>
      <c r="L99" s="61"/>
    </row>
    <row r="100" spans="1:15">
      <c r="A100" s="51" t="s">
        <v>232</v>
      </c>
      <c r="H100" s="51" t="s">
        <v>2271</v>
      </c>
    </row>
    <row r="101" spans="1:15" ht="4.5" customHeight="1">
      <c r="F101" s="139"/>
      <c r="M101" s="139"/>
    </row>
    <row r="102" spans="1:15" ht="12" customHeight="1">
      <c r="A102" s="50" t="s">
        <v>105</v>
      </c>
      <c r="D102" s="146"/>
      <c r="H102" s="50" t="s">
        <v>105</v>
      </c>
      <c r="K102" s="146"/>
      <c r="M102" s="139"/>
    </row>
    <row r="103" spans="1:15" ht="6" customHeight="1" thickBot="1"/>
    <row r="104" spans="1:15" ht="17.25" thickBot="1">
      <c r="A104" s="891" t="s">
        <v>106</v>
      </c>
      <c r="B104" s="892"/>
      <c r="C104" s="892"/>
      <c r="D104" s="893"/>
      <c r="F104" s="50" t="s">
        <v>107</v>
      </c>
      <c r="H104" s="891" t="s">
        <v>106</v>
      </c>
      <c r="I104" s="892"/>
      <c r="J104" s="892"/>
      <c r="K104" s="893"/>
      <c r="M104" s="604" t="s">
        <v>288</v>
      </c>
      <c r="N104" s="604"/>
      <c r="O104" s="604"/>
    </row>
    <row r="105" spans="1:15" ht="28.5" customHeight="1" thickBot="1">
      <c r="A105" s="57" t="s">
        <v>100</v>
      </c>
      <c r="B105" s="58" t="s">
        <v>108</v>
      </c>
      <c r="C105" s="59" t="s">
        <v>109</v>
      </c>
      <c r="D105" s="60" t="s">
        <v>110</v>
      </c>
      <c r="H105" s="57" t="s">
        <v>100</v>
      </c>
      <c r="I105" s="58" t="s">
        <v>108</v>
      </c>
      <c r="J105" s="59" t="s">
        <v>109</v>
      </c>
      <c r="K105" s="60" t="s">
        <v>110</v>
      </c>
      <c r="M105" s="12"/>
      <c r="N105" s="12"/>
      <c r="O105" s="12"/>
    </row>
    <row r="106" spans="1:15" ht="12.75" customHeight="1">
      <c r="A106" s="71">
        <v>719</v>
      </c>
      <c r="B106" s="73" t="e">
        <f>+#REF!+#REF!+#REF!+#REF!+#REF!</f>
        <v>#REF!</v>
      </c>
      <c r="C106" s="74" t="e">
        <f>+D69</f>
        <v>#REF!</v>
      </c>
      <c r="D106" s="76" t="e">
        <f>+B106+C106</f>
        <v>#REF!</v>
      </c>
      <c r="H106" s="71">
        <v>719</v>
      </c>
      <c r="I106" s="73"/>
      <c r="J106" s="74"/>
      <c r="K106" s="195">
        <f>+I106+J106</f>
        <v>0</v>
      </c>
      <c r="M106" s="12"/>
      <c r="N106" s="12"/>
      <c r="O106" s="12"/>
    </row>
    <row r="107" spans="1:15" ht="13.5" customHeight="1">
      <c r="A107" s="72">
        <v>721</v>
      </c>
      <c r="B107" s="80" t="e">
        <f>+#REF!+#REF!+#REF!+#REF!+#REF!</f>
        <v>#REF!</v>
      </c>
      <c r="C107" s="74">
        <f>+D70</f>
        <v>36156092</v>
      </c>
      <c r="D107" s="76" t="e">
        <f>+B107+C107</f>
        <v>#REF!</v>
      </c>
      <c r="H107" s="72">
        <v>721</v>
      </c>
      <c r="I107" s="80"/>
      <c r="J107" s="74"/>
      <c r="K107" s="195">
        <f>+I107+J107</f>
        <v>0</v>
      </c>
      <c r="M107" s="12"/>
      <c r="N107" s="12"/>
      <c r="O107" s="12"/>
    </row>
    <row r="108" spans="1:15" ht="12.75" customHeight="1">
      <c r="A108" s="72">
        <v>722</v>
      </c>
      <c r="B108" s="80"/>
      <c r="C108" s="74">
        <f>+D71</f>
        <v>224787287</v>
      </c>
      <c r="D108" s="76">
        <f>+B108+C108</f>
        <v>224787287</v>
      </c>
      <c r="H108" s="72">
        <v>722</v>
      </c>
      <c r="I108" s="80">
        <v>0</v>
      </c>
      <c r="J108" s="74">
        <f>+K71</f>
        <v>0</v>
      </c>
      <c r="K108" s="195">
        <f>+I108+J108</f>
        <v>0</v>
      </c>
      <c r="M108" s="12"/>
      <c r="N108" s="12"/>
      <c r="O108" s="12"/>
    </row>
    <row r="109" spans="1:15" ht="17.25" customHeight="1" thickBot="1">
      <c r="A109" s="72">
        <v>723</v>
      </c>
      <c r="B109" s="80"/>
      <c r="C109" s="74">
        <f>+D72</f>
        <v>319828837</v>
      </c>
      <c r="D109" s="76">
        <f>+B109+C109</f>
        <v>319828837</v>
      </c>
      <c r="F109" s="174" t="s">
        <v>23</v>
      </c>
      <c r="H109" s="72">
        <v>723</v>
      </c>
      <c r="I109" s="80">
        <f>+M96</f>
        <v>23857840</v>
      </c>
      <c r="J109" s="74">
        <f>+K72</f>
        <v>180793990</v>
      </c>
      <c r="K109" s="195">
        <f>+I109+J109</f>
        <v>204651830</v>
      </c>
      <c r="M109" s="956" t="s">
        <v>2147</v>
      </c>
      <c r="N109" s="956"/>
      <c r="O109" s="956"/>
    </row>
    <row r="110" spans="1:15" ht="13.5" hidden="1" customHeight="1" thickBot="1">
      <c r="A110" s="164" t="s">
        <v>181</v>
      </c>
      <c r="B110" s="165"/>
      <c r="C110" s="74">
        <f>+D73</f>
        <v>1965625</v>
      </c>
      <c r="D110" s="168">
        <f>+B110+C110</f>
        <v>1965625</v>
      </c>
      <c r="F110" s="52"/>
      <c r="H110" s="164" t="s">
        <v>181</v>
      </c>
      <c r="I110" s="165"/>
      <c r="J110" s="74">
        <f>+K73</f>
        <v>0</v>
      </c>
      <c r="K110" s="196">
        <f>+I110+J110</f>
        <v>0</v>
      </c>
      <c r="M110" s="191"/>
      <c r="N110" s="12"/>
      <c r="O110" s="12"/>
    </row>
    <row r="111" spans="1:15" ht="15" customHeight="1" thickBot="1">
      <c r="A111" s="169"/>
      <c r="B111" s="170" t="e">
        <f>SUM(B106:B110)</f>
        <v>#REF!</v>
      </c>
      <c r="C111" s="171" t="e">
        <f>SUM(C106:C110)</f>
        <v>#REF!</v>
      </c>
      <c r="D111" s="172" t="e">
        <f>SUM(D106:D110)</f>
        <v>#REF!</v>
      </c>
      <c r="H111" s="169"/>
      <c r="I111" s="197">
        <f>SUM(I106:I110)</f>
        <v>23857840</v>
      </c>
      <c r="J111" s="197">
        <f>SUM(J106:J110)</f>
        <v>180793990</v>
      </c>
      <c r="K111" s="198">
        <f>SUM(K106:K110)</f>
        <v>204651830</v>
      </c>
    </row>
    <row r="112" spans="1:15" ht="16.5">
      <c r="A112" s="49" t="s">
        <v>88</v>
      </c>
      <c r="B112" s="50"/>
      <c r="H112" s="49" t="s">
        <v>88</v>
      </c>
      <c r="I112" s="50"/>
    </row>
    <row r="113" spans="1:15" ht="11.25" customHeight="1">
      <c r="A113" s="51" t="s">
        <v>89</v>
      </c>
      <c r="H113" s="51" t="s">
        <v>89</v>
      </c>
    </row>
    <row r="114" spans="1:15" ht="11.25" customHeight="1">
      <c r="A114" s="51" t="s">
        <v>90</v>
      </c>
      <c r="H114" s="51" t="s">
        <v>90</v>
      </c>
    </row>
    <row r="115" spans="1:15" ht="12.75" customHeight="1">
      <c r="A115" s="51" t="s">
        <v>91</v>
      </c>
      <c r="H115" s="51" t="s">
        <v>91</v>
      </c>
    </row>
    <row r="116" spans="1:15" ht="5.25" customHeight="1">
      <c r="A116" s="50"/>
      <c r="B116" s="50"/>
      <c r="H116" s="50"/>
      <c r="I116" s="50"/>
    </row>
    <row r="117" spans="1:15" ht="15.75" customHeight="1">
      <c r="A117" s="52" t="s">
        <v>233</v>
      </c>
      <c r="B117" s="50"/>
      <c r="G117" s="52"/>
      <c r="H117" s="52" t="s">
        <v>540</v>
      </c>
      <c r="N117" s="52"/>
    </row>
    <row r="118" spans="1:15" ht="15.75">
      <c r="A118" s="53" t="s">
        <v>92</v>
      </c>
      <c r="G118" s="53"/>
      <c r="H118" s="53" t="s">
        <v>2270</v>
      </c>
      <c r="N118" s="53"/>
    </row>
    <row r="119" spans="1:15" ht="15.75" customHeight="1">
      <c r="A119" s="894" t="s">
        <v>228</v>
      </c>
      <c r="B119" s="894"/>
      <c r="C119" s="894"/>
      <c r="D119" s="894"/>
      <c r="E119" s="894"/>
      <c r="F119" s="894"/>
      <c r="G119" s="894"/>
      <c r="H119" s="894" t="s">
        <v>903</v>
      </c>
      <c r="I119" s="894"/>
      <c r="J119" s="894"/>
      <c r="K119" s="894"/>
      <c r="L119" s="894"/>
      <c r="M119" s="894"/>
      <c r="N119" s="894"/>
      <c r="O119" s="894"/>
    </row>
    <row r="120" spans="1:15" ht="12.75" customHeight="1" thickBot="1"/>
    <row r="121" spans="1:15" ht="15.75" customHeight="1">
      <c r="A121" s="895" t="s">
        <v>94</v>
      </c>
      <c r="B121" s="897" t="s">
        <v>95</v>
      </c>
      <c r="C121" s="897" t="s">
        <v>96</v>
      </c>
      <c r="D121" s="897" t="s">
        <v>3</v>
      </c>
      <c r="E121" s="897" t="s">
        <v>97</v>
      </c>
      <c r="F121" s="897" t="s">
        <v>98</v>
      </c>
      <c r="G121" s="500" t="s">
        <v>99</v>
      </c>
      <c r="H121" s="895" t="s">
        <v>94</v>
      </c>
      <c r="I121" s="897" t="s">
        <v>95</v>
      </c>
      <c r="J121" s="897" t="s">
        <v>96</v>
      </c>
      <c r="K121" s="897" t="s">
        <v>3</v>
      </c>
      <c r="L121" s="897" t="s">
        <v>97</v>
      </c>
      <c r="M121" s="897" t="s">
        <v>98</v>
      </c>
      <c r="N121" s="897" t="s">
        <v>99</v>
      </c>
      <c r="O121" s="899"/>
    </row>
    <row r="122" spans="1:15" ht="15" customHeight="1" thickBot="1">
      <c r="A122" s="896"/>
      <c r="B122" s="898"/>
      <c r="C122" s="898"/>
      <c r="D122" s="898"/>
      <c r="E122" s="898"/>
      <c r="F122" s="898"/>
      <c r="G122" s="240" t="s">
        <v>100</v>
      </c>
      <c r="H122" s="896"/>
      <c r="I122" s="898"/>
      <c r="J122" s="898"/>
      <c r="K122" s="898"/>
      <c r="L122" s="898"/>
      <c r="M122" s="898"/>
      <c r="N122" s="240" t="s">
        <v>100</v>
      </c>
      <c r="O122" s="182" t="s">
        <v>101</v>
      </c>
    </row>
    <row r="123" spans="1:15" ht="14.25" customHeight="1">
      <c r="A123" s="881" t="e">
        <f>+A94+1</f>
        <v>#REF!</v>
      </c>
      <c r="B123" s="875">
        <v>42242</v>
      </c>
      <c r="C123" s="942" t="s">
        <v>230</v>
      </c>
      <c r="D123" s="881" t="s">
        <v>234</v>
      </c>
      <c r="E123" s="881" t="s">
        <v>148</v>
      </c>
      <c r="F123" s="883">
        <v>196000</v>
      </c>
      <c r="G123" s="55">
        <v>719</v>
      </c>
      <c r="H123" s="873" t="s">
        <v>2274</v>
      </c>
      <c r="I123" s="875">
        <v>44932</v>
      </c>
      <c r="J123" s="905" t="s">
        <v>1984</v>
      </c>
      <c r="K123" s="881" t="s">
        <v>2272</v>
      </c>
      <c r="L123" s="881" t="s">
        <v>148</v>
      </c>
      <c r="M123" s="883">
        <v>5000000</v>
      </c>
      <c r="N123" s="55">
        <v>719</v>
      </c>
      <c r="O123" s="78"/>
    </row>
    <row r="124" spans="1:15" ht="13.5" customHeight="1" thickBot="1">
      <c r="A124" s="882"/>
      <c r="B124" s="934"/>
      <c r="C124" s="943"/>
      <c r="D124" s="882"/>
      <c r="E124" s="882"/>
      <c r="F124" s="884"/>
      <c r="G124" s="56">
        <v>721</v>
      </c>
      <c r="H124" s="882"/>
      <c r="I124" s="876"/>
      <c r="J124" s="906"/>
      <c r="K124" s="882"/>
      <c r="L124" s="882"/>
      <c r="M124" s="884"/>
      <c r="N124" s="56">
        <v>723</v>
      </c>
      <c r="O124" s="79">
        <f>+M123-O123</f>
        <v>5000000</v>
      </c>
    </row>
    <row r="125" spans="1:15" ht="11.25" customHeight="1">
      <c r="A125" s="881" t="e">
        <f>+A123+1</f>
        <v>#REF!</v>
      </c>
      <c r="B125" s="875">
        <v>42242</v>
      </c>
      <c r="C125" s="935" t="s">
        <v>28</v>
      </c>
      <c r="D125" s="881" t="s">
        <v>234</v>
      </c>
      <c r="E125" s="881" t="s">
        <v>148</v>
      </c>
      <c r="F125" s="883">
        <v>364000</v>
      </c>
      <c r="G125" s="55">
        <v>719</v>
      </c>
      <c r="H125" s="873" t="s">
        <v>2275</v>
      </c>
      <c r="I125" s="875">
        <v>44932</v>
      </c>
      <c r="J125" s="905" t="s">
        <v>1984</v>
      </c>
      <c r="K125" s="881" t="s">
        <v>2272</v>
      </c>
      <c r="L125" s="881" t="s">
        <v>148</v>
      </c>
      <c r="M125" s="883">
        <v>5400000</v>
      </c>
      <c r="N125" s="55">
        <v>719</v>
      </c>
      <c r="O125" s="78"/>
    </row>
    <row r="126" spans="1:15" ht="13.5" customHeight="1" thickBot="1">
      <c r="A126" s="882"/>
      <c r="B126" s="934"/>
      <c r="C126" s="936"/>
      <c r="D126" s="882"/>
      <c r="E126" s="882"/>
      <c r="F126" s="884"/>
      <c r="G126" s="56">
        <v>721</v>
      </c>
      <c r="H126" s="882"/>
      <c r="I126" s="876"/>
      <c r="J126" s="906"/>
      <c r="K126" s="882"/>
      <c r="L126" s="882"/>
      <c r="M126" s="884"/>
      <c r="N126" s="56">
        <v>723</v>
      </c>
      <c r="O126" s="79">
        <f>+M125-O125</f>
        <v>5400000</v>
      </c>
    </row>
    <row r="127" spans="1:15" ht="13.5" customHeight="1">
      <c r="A127" s="881" t="e">
        <f>+A125+1</f>
        <v>#REF!</v>
      </c>
      <c r="B127" s="875">
        <v>42242</v>
      </c>
      <c r="C127" s="942" t="s">
        <v>32</v>
      </c>
      <c r="D127" s="881" t="s">
        <v>235</v>
      </c>
      <c r="E127" s="881" t="s">
        <v>148</v>
      </c>
      <c r="F127" s="883">
        <v>70000</v>
      </c>
      <c r="G127" s="55">
        <v>719</v>
      </c>
      <c r="H127" s="873" t="s">
        <v>2276</v>
      </c>
      <c r="I127" s="875">
        <v>44932</v>
      </c>
      <c r="J127" s="877" t="s">
        <v>1885</v>
      </c>
      <c r="K127" s="881" t="s">
        <v>2272</v>
      </c>
      <c r="L127" s="881" t="s">
        <v>148</v>
      </c>
      <c r="M127" s="883">
        <v>5000000</v>
      </c>
      <c r="N127" s="55">
        <v>719</v>
      </c>
      <c r="O127" s="78"/>
    </row>
    <row r="128" spans="1:15" ht="12.75" customHeight="1" thickBot="1">
      <c r="A128" s="882"/>
      <c r="B128" s="934"/>
      <c r="C128" s="943"/>
      <c r="D128" s="882"/>
      <c r="E128" s="882"/>
      <c r="F128" s="884"/>
      <c r="G128" s="56">
        <v>721</v>
      </c>
      <c r="H128" s="882"/>
      <c r="I128" s="876"/>
      <c r="J128" s="878"/>
      <c r="K128" s="882"/>
      <c r="L128" s="882"/>
      <c r="M128" s="884"/>
      <c r="N128" s="56">
        <v>723</v>
      </c>
      <c r="O128" s="79">
        <f>+M127-O127</f>
        <v>5000000</v>
      </c>
    </row>
    <row r="129" spans="1:15" ht="12.75" customHeight="1">
      <c r="A129" s="251"/>
      <c r="B129" s="452"/>
      <c r="C129" s="465"/>
      <c r="D129" s="251"/>
      <c r="E129" s="251"/>
      <c r="F129" s="254"/>
      <c r="G129" s="255"/>
      <c r="H129" s="873" t="s">
        <v>2277</v>
      </c>
      <c r="I129" s="875">
        <v>44932</v>
      </c>
      <c r="J129" s="905" t="s">
        <v>1984</v>
      </c>
      <c r="K129" s="881" t="s">
        <v>2272</v>
      </c>
      <c r="L129" s="881" t="s">
        <v>148</v>
      </c>
      <c r="M129" s="883">
        <v>3300000</v>
      </c>
      <c r="N129" s="55">
        <v>719</v>
      </c>
      <c r="O129" s="78"/>
    </row>
    <row r="130" spans="1:15" ht="12.75" customHeight="1" thickBot="1">
      <c r="A130" s="251"/>
      <c r="B130" s="452"/>
      <c r="C130" s="465"/>
      <c r="D130" s="251"/>
      <c r="E130" s="251"/>
      <c r="F130" s="254"/>
      <c r="G130" s="255"/>
      <c r="H130" s="882"/>
      <c r="I130" s="876"/>
      <c r="J130" s="906"/>
      <c r="K130" s="882"/>
      <c r="L130" s="882"/>
      <c r="M130" s="884"/>
      <c r="N130" s="56">
        <v>723</v>
      </c>
      <c r="O130" s="79">
        <f>+M129-O129</f>
        <v>3300000</v>
      </c>
    </row>
    <row r="131" spans="1:15" ht="11.25" customHeight="1">
      <c r="A131" s="881" t="e">
        <f>+A127+1</f>
        <v>#REF!</v>
      </c>
      <c r="B131" s="875">
        <v>42242</v>
      </c>
      <c r="C131" s="935" t="s">
        <v>169</v>
      </c>
      <c r="D131" s="881" t="s">
        <v>236</v>
      </c>
      <c r="E131" s="881" t="s">
        <v>148</v>
      </c>
      <c r="F131" s="883">
        <v>56000</v>
      </c>
      <c r="G131" s="55">
        <v>719</v>
      </c>
      <c r="H131" s="873" t="s">
        <v>2278</v>
      </c>
      <c r="I131" s="875">
        <v>44932</v>
      </c>
      <c r="J131" s="954" t="s">
        <v>2231</v>
      </c>
      <c r="K131" s="881" t="s">
        <v>2272</v>
      </c>
      <c r="L131" s="881" t="s">
        <v>148</v>
      </c>
      <c r="M131" s="883">
        <v>2400000</v>
      </c>
      <c r="N131" s="55">
        <v>719</v>
      </c>
      <c r="O131" s="78"/>
    </row>
    <row r="132" spans="1:15" ht="14.25" customHeight="1" thickBot="1">
      <c r="A132" s="882"/>
      <c r="B132" s="934"/>
      <c r="C132" s="936"/>
      <c r="D132" s="882"/>
      <c r="E132" s="882"/>
      <c r="F132" s="884"/>
      <c r="G132" s="56">
        <v>721</v>
      </c>
      <c r="H132" s="882"/>
      <c r="I132" s="876"/>
      <c r="J132" s="955"/>
      <c r="K132" s="882"/>
      <c r="L132" s="882"/>
      <c r="M132" s="884"/>
      <c r="N132" s="56">
        <v>723</v>
      </c>
      <c r="O132" s="79">
        <f>+M131</f>
        <v>2400000</v>
      </c>
    </row>
    <row r="133" spans="1:15" ht="16.5" thickBot="1">
      <c r="A133" s="901" t="s">
        <v>102</v>
      </c>
      <c r="B133" s="902"/>
      <c r="C133" s="902"/>
      <c r="D133" s="902"/>
      <c r="E133" s="903"/>
      <c r="F133" s="81">
        <f>SUM(F123:F132)</f>
        <v>686000</v>
      </c>
      <c r="H133" s="901" t="s">
        <v>102</v>
      </c>
      <c r="I133" s="902"/>
      <c r="J133" s="902"/>
      <c r="K133" s="902"/>
      <c r="L133" s="903"/>
      <c r="M133" s="81">
        <f>SUM(M123:M132)</f>
        <v>21100000</v>
      </c>
    </row>
    <row r="134" spans="1:15" ht="16.5" thickBot="1">
      <c r="A134" s="885" t="s">
        <v>103</v>
      </c>
      <c r="B134" s="886"/>
      <c r="C134" s="886"/>
      <c r="D134" s="886"/>
      <c r="E134" s="887"/>
      <c r="F134" s="184" t="e">
        <f>+F98</f>
        <v>#REF!</v>
      </c>
      <c r="H134" s="885" t="s">
        <v>103</v>
      </c>
      <c r="I134" s="886"/>
      <c r="J134" s="886"/>
      <c r="K134" s="886"/>
      <c r="L134" s="887"/>
      <c r="M134" s="239">
        <f>+M98</f>
        <v>204651830</v>
      </c>
      <c r="N134" s="241" t="s">
        <v>561</v>
      </c>
      <c r="O134" s="242"/>
    </row>
    <row r="135" spans="1:15" ht="15" customHeight="1" thickBot="1">
      <c r="A135" s="888" t="s">
        <v>104</v>
      </c>
      <c r="B135" s="889"/>
      <c r="C135" s="889"/>
      <c r="D135" s="889"/>
      <c r="E135" s="890"/>
      <c r="F135" s="183" t="e">
        <f>SUM(F133:F134)</f>
        <v>#REF!</v>
      </c>
      <c r="H135" s="888" t="s">
        <v>104</v>
      </c>
      <c r="I135" s="889"/>
      <c r="J135" s="889"/>
      <c r="K135" s="889"/>
      <c r="L135" s="890"/>
      <c r="M135" s="183">
        <f>SUM(M133:M134)</f>
        <v>225751830</v>
      </c>
    </row>
    <row r="136" spans="1:15" ht="9" customHeight="1">
      <c r="A136" s="61"/>
      <c r="B136" s="61"/>
      <c r="C136" s="61"/>
      <c r="D136" s="61"/>
      <c r="E136" s="61"/>
      <c r="H136" s="61"/>
      <c r="I136" s="61"/>
      <c r="J136" s="61"/>
      <c r="K136" s="61"/>
      <c r="L136" s="61"/>
    </row>
    <row r="137" spans="1:15" ht="15" customHeight="1">
      <c r="A137" s="51" t="s">
        <v>238</v>
      </c>
      <c r="H137" s="51" t="s">
        <v>2273</v>
      </c>
    </row>
    <row r="138" spans="1:15" ht="9.75" customHeight="1">
      <c r="F138" s="139"/>
      <c r="M138" s="139"/>
    </row>
    <row r="139" spans="1:15">
      <c r="A139" s="50" t="s">
        <v>105</v>
      </c>
      <c r="D139" s="146"/>
      <c r="H139" s="50" t="s">
        <v>105</v>
      </c>
      <c r="K139" s="146"/>
      <c r="M139" s="139"/>
    </row>
    <row r="140" spans="1:15" ht="8.25" customHeight="1" thickBot="1"/>
    <row r="141" spans="1:15" ht="17.25" thickBot="1">
      <c r="A141" s="891" t="s">
        <v>106</v>
      </c>
      <c r="B141" s="892"/>
      <c r="C141" s="892"/>
      <c r="D141" s="893"/>
      <c r="F141" s="50" t="s">
        <v>107</v>
      </c>
      <c r="H141" s="891" t="s">
        <v>106</v>
      </c>
      <c r="I141" s="892"/>
      <c r="J141" s="892"/>
      <c r="K141" s="893"/>
      <c r="M141" s="604" t="s">
        <v>288</v>
      </c>
      <c r="N141" s="604"/>
      <c r="O141" s="604"/>
    </row>
    <row r="142" spans="1:15" ht="31.5" thickBot="1">
      <c r="A142" s="57" t="s">
        <v>100</v>
      </c>
      <c r="B142" s="58" t="s">
        <v>108</v>
      </c>
      <c r="C142" s="59" t="s">
        <v>109</v>
      </c>
      <c r="D142" s="60" t="s">
        <v>110</v>
      </c>
      <c r="H142" s="57" t="s">
        <v>100</v>
      </c>
      <c r="I142" s="58" t="s">
        <v>108</v>
      </c>
      <c r="J142" s="59" t="s">
        <v>109</v>
      </c>
      <c r="K142" s="60" t="s">
        <v>110</v>
      </c>
      <c r="M142" s="12"/>
      <c r="N142" s="12"/>
      <c r="O142" s="12"/>
    </row>
    <row r="143" spans="1:15" ht="15" customHeight="1">
      <c r="A143" s="71">
        <v>719</v>
      </c>
      <c r="B143" s="73" t="e">
        <f>+#REF!+#REF!+#REF!+#REF!+#REF!</f>
        <v>#REF!</v>
      </c>
      <c r="C143" s="74" t="e">
        <f>+D106</f>
        <v>#REF!</v>
      </c>
      <c r="D143" s="76" t="e">
        <f>+B143+C143</f>
        <v>#REF!</v>
      </c>
      <c r="H143" s="71">
        <v>719</v>
      </c>
      <c r="I143" s="73"/>
      <c r="J143" s="74">
        <f>+K106</f>
        <v>0</v>
      </c>
      <c r="K143" s="195">
        <f>+I143+J143</f>
        <v>0</v>
      </c>
      <c r="M143" s="12"/>
      <c r="N143" s="12"/>
      <c r="O143" s="12"/>
    </row>
    <row r="144" spans="1:15" ht="12.75" customHeight="1">
      <c r="A144" s="72">
        <v>721</v>
      </c>
      <c r="B144" s="80" t="e">
        <f>+#REF!+#REF!+#REF!+#REF!+#REF!</f>
        <v>#REF!</v>
      </c>
      <c r="C144" s="74" t="e">
        <f>+D107</f>
        <v>#REF!</v>
      </c>
      <c r="D144" s="76" t="e">
        <f>+B144+C144</f>
        <v>#REF!</v>
      </c>
      <c r="H144" s="72">
        <v>721</v>
      </c>
      <c r="I144" s="80"/>
      <c r="J144" s="74">
        <f>+K107</f>
        <v>0</v>
      </c>
      <c r="K144" s="195">
        <f>+I144+J144</f>
        <v>0</v>
      </c>
      <c r="M144" s="12"/>
      <c r="N144" s="12"/>
      <c r="O144" s="12"/>
    </row>
    <row r="145" spans="1:15" ht="13.5" customHeight="1">
      <c r="A145" s="72">
        <v>722</v>
      </c>
      <c r="B145" s="80"/>
      <c r="C145" s="74">
        <f>+D108</f>
        <v>224787287</v>
      </c>
      <c r="D145" s="76">
        <f>+B145+C145</f>
        <v>224787287</v>
      </c>
      <c r="H145" s="72">
        <v>722</v>
      </c>
      <c r="I145" s="80"/>
      <c r="J145" s="74">
        <f>+K108</f>
        <v>0</v>
      </c>
      <c r="K145" s="195">
        <f>+I145+J145</f>
        <v>0</v>
      </c>
      <c r="M145" s="12"/>
      <c r="N145" s="12"/>
      <c r="O145" s="12"/>
    </row>
    <row r="146" spans="1:15" ht="13.5" customHeight="1" thickBot="1">
      <c r="A146" s="72">
        <v>723</v>
      </c>
      <c r="B146" s="80"/>
      <c r="C146" s="74">
        <f>+D109</f>
        <v>319828837</v>
      </c>
      <c r="D146" s="76">
        <f>+B146+C146</f>
        <v>319828837</v>
      </c>
      <c r="F146" s="174" t="s">
        <v>23</v>
      </c>
      <c r="H146" s="72">
        <v>723</v>
      </c>
      <c r="I146" s="80">
        <f>+O124+O126+O128+O132+O130</f>
        <v>21100000</v>
      </c>
      <c r="J146" s="74">
        <f>+K109</f>
        <v>204651830</v>
      </c>
      <c r="K146" s="195">
        <f>+I146+J146</f>
        <v>225751830</v>
      </c>
      <c r="M146" s="956" t="s">
        <v>2147</v>
      </c>
      <c r="N146" s="956"/>
      <c r="O146" s="956"/>
    </row>
    <row r="147" spans="1:15" ht="13.5" hidden="1" customHeight="1" thickBot="1">
      <c r="A147" s="164" t="s">
        <v>181</v>
      </c>
      <c r="B147" s="165"/>
      <c r="C147" s="74">
        <f>+D110</f>
        <v>1965625</v>
      </c>
      <c r="D147" s="168">
        <f>+B147+C147</f>
        <v>1965625</v>
      </c>
      <c r="F147" s="52"/>
      <c r="H147" s="164" t="s">
        <v>181</v>
      </c>
      <c r="I147" s="165"/>
      <c r="J147" s="74">
        <f>+K110</f>
        <v>0</v>
      </c>
      <c r="K147" s="196">
        <f>+I147+J147</f>
        <v>0</v>
      </c>
      <c r="M147" s="52"/>
    </row>
    <row r="148" spans="1:15" ht="15.75" customHeight="1" thickBot="1">
      <c r="A148" s="169"/>
      <c r="B148" s="170" t="e">
        <f>SUM(B143:B147)</f>
        <v>#REF!</v>
      </c>
      <c r="C148" s="171" t="e">
        <f>SUM(C143:C147)</f>
        <v>#REF!</v>
      </c>
      <c r="D148" s="172" t="e">
        <f>SUM(D143:D147)</f>
        <v>#REF!</v>
      </c>
      <c r="H148" s="169"/>
      <c r="I148" s="197">
        <f>SUM(I143:I147)</f>
        <v>21100000</v>
      </c>
      <c r="J148" s="197">
        <f>SUM(J143:J147)</f>
        <v>204651830</v>
      </c>
      <c r="K148" s="198">
        <f>SUM(K143:K147)</f>
        <v>225751830</v>
      </c>
    </row>
    <row r="149" spans="1:15" ht="16.5">
      <c r="A149" s="49" t="s">
        <v>88</v>
      </c>
      <c r="B149" s="50"/>
      <c r="H149" s="49" t="s">
        <v>88</v>
      </c>
      <c r="I149" s="50"/>
    </row>
    <row r="150" spans="1:15" ht="13.5" customHeight="1">
      <c r="A150" s="51" t="s">
        <v>89</v>
      </c>
      <c r="H150" s="51" t="s">
        <v>89</v>
      </c>
    </row>
    <row r="151" spans="1:15" ht="14.25" customHeight="1">
      <c r="A151" s="51" t="s">
        <v>90</v>
      </c>
      <c r="H151" s="51" t="s">
        <v>90</v>
      </c>
    </row>
    <row r="152" spans="1:15">
      <c r="A152" s="51" t="s">
        <v>91</v>
      </c>
      <c r="H152" s="51" t="s">
        <v>91</v>
      </c>
    </row>
    <row r="153" spans="1:15" ht="4.5" customHeight="1">
      <c r="A153" s="50"/>
      <c r="B153" s="50"/>
      <c r="H153" s="50"/>
      <c r="I153" s="50"/>
    </row>
    <row r="154" spans="1:15" ht="15.75" customHeight="1">
      <c r="A154" s="52" t="s">
        <v>237</v>
      </c>
      <c r="B154" s="50"/>
      <c r="G154" s="52"/>
      <c r="H154" s="52" t="s">
        <v>564</v>
      </c>
      <c r="N154" s="52"/>
    </row>
    <row r="155" spans="1:15" ht="15" customHeight="1">
      <c r="A155" s="53" t="s">
        <v>92</v>
      </c>
      <c r="G155" s="53"/>
      <c r="H155" s="53" t="s">
        <v>2270</v>
      </c>
      <c r="N155" s="53"/>
    </row>
    <row r="156" spans="1:15" ht="14.25" customHeight="1">
      <c r="A156" s="894" t="s">
        <v>228</v>
      </c>
      <c r="B156" s="894"/>
      <c r="C156" s="894"/>
      <c r="D156" s="894"/>
      <c r="E156" s="894"/>
      <c r="F156" s="894"/>
      <c r="G156" s="894"/>
      <c r="H156" s="894" t="s">
        <v>212</v>
      </c>
      <c r="I156" s="894"/>
      <c r="J156" s="894"/>
      <c r="K156" s="894"/>
      <c r="L156" s="894"/>
      <c r="M156" s="894"/>
      <c r="N156" s="894"/>
      <c r="O156" s="894"/>
    </row>
    <row r="157" spans="1:15" ht="9" customHeight="1" thickBot="1"/>
    <row r="158" spans="1:15" ht="15.75" customHeight="1">
      <c r="A158" s="895" t="s">
        <v>94</v>
      </c>
      <c r="B158" s="897" t="s">
        <v>95</v>
      </c>
      <c r="C158" s="897" t="s">
        <v>96</v>
      </c>
      <c r="D158" s="897" t="s">
        <v>3</v>
      </c>
      <c r="E158" s="897" t="s">
        <v>97</v>
      </c>
      <c r="F158" s="897" t="s">
        <v>98</v>
      </c>
      <c r="G158" s="500" t="s">
        <v>99</v>
      </c>
      <c r="H158" s="895" t="s">
        <v>94</v>
      </c>
      <c r="I158" s="897" t="s">
        <v>95</v>
      </c>
      <c r="J158" s="897" t="s">
        <v>96</v>
      </c>
      <c r="K158" s="897" t="s">
        <v>3</v>
      </c>
      <c r="L158" s="897" t="s">
        <v>97</v>
      </c>
      <c r="M158" s="897" t="s">
        <v>98</v>
      </c>
      <c r="N158" s="897" t="s">
        <v>99</v>
      </c>
      <c r="O158" s="899"/>
    </row>
    <row r="159" spans="1:15" ht="15" customHeight="1" thickBot="1">
      <c r="A159" s="896"/>
      <c r="B159" s="898"/>
      <c r="C159" s="898"/>
      <c r="D159" s="898"/>
      <c r="E159" s="898"/>
      <c r="F159" s="898"/>
      <c r="G159" s="240" t="s">
        <v>100</v>
      </c>
      <c r="H159" s="896"/>
      <c r="I159" s="898"/>
      <c r="J159" s="898"/>
      <c r="K159" s="898"/>
      <c r="L159" s="898"/>
      <c r="M159" s="898"/>
      <c r="N159" s="240" t="s">
        <v>100</v>
      </c>
      <c r="O159" s="182" t="s">
        <v>101</v>
      </c>
    </row>
    <row r="160" spans="1:15" ht="12" customHeight="1">
      <c r="A160" s="881" t="e">
        <f>+#REF!+1</f>
        <v>#REF!</v>
      </c>
      <c r="B160" s="875">
        <v>42242</v>
      </c>
      <c r="C160" s="942" t="s">
        <v>230</v>
      </c>
      <c r="D160" s="881" t="s">
        <v>242</v>
      </c>
      <c r="E160" s="881" t="s">
        <v>148</v>
      </c>
      <c r="F160" s="883">
        <v>182000</v>
      </c>
      <c r="G160" s="55">
        <v>719</v>
      </c>
      <c r="H160" s="873" t="s">
        <v>2282</v>
      </c>
      <c r="I160" s="875">
        <v>44932</v>
      </c>
      <c r="J160" s="877" t="s">
        <v>678</v>
      </c>
      <c r="K160" s="881" t="s">
        <v>2287</v>
      </c>
      <c r="L160" s="881" t="s">
        <v>148</v>
      </c>
      <c r="M160" s="883">
        <v>1260000</v>
      </c>
      <c r="N160" s="55">
        <v>719</v>
      </c>
      <c r="O160" s="78"/>
    </row>
    <row r="161" spans="1:15" ht="15" customHeight="1" thickBot="1">
      <c r="A161" s="882"/>
      <c r="B161" s="934"/>
      <c r="C161" s="943"/>
      <c r="D161" s="882"/>
      <c r="E161" s="882"/>
      <c r="F161" s="884"/>
      <c r="G161" s="56">
        <v>721</v>
      </c>
      <c r="H161" s="882"/>
      <c r="I161" s="876"/>
      <c r="J161" s="878"/>
      <c r="K161" s="882"/>
      <c r="L161" s="882"/>
      <c r="M161" s="884"/>
      <c r="N161" s="56">
        <v>723</v>
      </c>
      <c r="O161" s="79">
        <f>+M160</f>
        <v>1260000</v>
      </c>
    </row>
    <row r="162" spans="1:15" ht="13.5" customHeight="1">
      <c r="A162" s="251"/>
      <c r="B162" s="452"/>
      <c r="C162" s="465"/>
      <c r="D162" s="251"/>
      <c r="E162" s="251"/>
      <c r="F162" s="254"/>
      <c r="G162" s="255"/>
      <c r="H162" s="873" t="s">
        <v>2283</v>
      </c>
      <c r="I162" s="875">
        <v>44932</v>
      </c>
      <c r="J162" s="877" t="s">
        <v>250</v>
      </c>
      <c r="K162" s="881" t="s">
        <v>2287</v>
      </c>
      <c r="L162" s="881" t="s">
        <v>148</v>
      </c>
      <c r="M162" s="883">
        <v>1500000</v>
      </c>
      <c r="N162" s="55">
        <v>719</v>
      </c>
      <c r="O162" s="78"/>
    </row>
    <row r="163" spans="1:15" ht="15" customHeight="1" thickBot="1">
      <c r="A163" s="251"/>
      <c r="B163" s="452"/>
      <c r="C163" s="465"/>
      <c r="D163" s="251"/>
      <c r="E163" s="251"/>
      <c r="F163" s="254"/>
      <c r="G163" s="255"/>
      <c r="H163" s="882"/>
      <c r="I163" s="876"/>
      <c r="J163" s="878"/>
      <c r="K163" s="882"/>
      <c r="L163" s="882"/>
      <c r="M163" s="884"/>
      <c r="N163" s="56">
        <v>723</v>
      </c>
      <c r="O163" s="79">
        <f>+M162</f>
        <v>1500000</v>
      </c>
    </row>
    <row r="164" spans="1:15" ht="14.25" customHeight="1">
      <c r="A164" s="881" t="e">
        <f>+A160+1</f>
        <v>#REF!</v>
      </c>
      <c r="B164" s="875">
        <v>42242</v>
      </c>
      <c r="C164" s="935" t="s">
        <v>28</v>
      </c>
      <c r="D164" s="881" t="s">
        <v>240</v>
      </c>
      <c r="E164" s="881" t="s">
        <v>148</v>
      </c>
      <c r="F164" s="883">
        <v>364000</v>
      </c>
      <c r="G164" s="55">
        <v>719</v>
      </c>
      <c r="H164" s="873" t="s">
        <v>2284</v>
      </c>
      <c r="I164" s="875">
        <v>44932</v>
      </c>
      <c r="J164" s="877" t="s">
        <v>2039</v>
      </c>
      <c r="K164" s="881" t="s">
        <v>2287</v>
      </c>
      <c r="L164" s="881" t="s">
        <v>148</v>
      </c>
      <c r="M164" s="883">
        <v>1463000</v>
      </c>
      <c r="N164" s="55">
        <v>719</v>
      </c>
      <c r="O164" s="78"/>
    </row>
    <row r="165" spans="1:15" ht="13.5" customHeight="1" thickBot="1">
      <c r="A165" s="882"/>
      <c r="B165" s="934"/>
      <c r="C165" s="936"/>
      <c r="D165" s="882"/>
      <c r="E165" s="882"/>
      <c r="F165" s="884"/>
      <c r="G165" s="56">
        <v>721</v>
      </c>
      <c r="H165" s="882"/>
      <c r="I165" s="876"/>
      <c r="J165" s="878"/>
      <c r="K165" s="882"/>
      <c r="L165" s="882"/>
      <c r="M165" s="884"/>
      <c r="N165" s="56">
        <v>723</v>
      </c>
      <c r="O165" s="79">
        <f>+M164</f>
        <v>1463000</v>
      </c>
    </row>
    <row r="166" spans="1:15" ht="13.5" customHeight="1">
      <c r="A166" s="251"/>
      <c r="B166" s="452"/>
      <c r="C166" s="472"/>
      <c r="D166" s="251"/>
      <c r="E166" s="251"/>
      <c r="F166" s="254"/>
      <c r="G166" s="255"/>
      <c r="H166" s="873" t="s">
        <v>2285</v>
      </c>
      <c r="I166" s="875">
        <v>44932</v>
      </c>
      <c r="J166" s="881" t="s">
        <v>2058</v>
      </c>
      <c r="K166" s="881" t="s">
        <v>2287</v>
      </c>
      <c r="L166" s="881" t="s">
        <v>148</v>
      </c>
      <c r="M166" s="883">
        <v>1800000</v>
      </c>
      <c r="N166" s="55">
        <v>719</v>
      </c>
      <c r="O166" s="78"/>
    </row>
    <row r="167" spans="1:15" ht="13.5" customHeight="1" thickBot="1">
      <c r="A167" s="251"/>
      <c r="B167" s="452"/>
      <c r="C167" s="472"/>
      <c r="D167" s="251"/>
      <c r="E167" s="251"/>
      <c r="F167" s="254"/>
      <c r="G167" s="255"/>
      <c r="H167" s="882"/>
      <c r="I167" s="876"/>
      <c r="J167" s="882"/>
      <c r="K167" s="882"/>
      <c r="L167" s="882"/>
      <c r="M167" s="884"/>
      <c r="N167" s="56">
        <v>723</v>
      </c>
      <c r="O167" s="79">
        <f>+M166</f>
        <v>1800000</v>
      </c>
    </row>
    <row r="168" spans="1:15" ht="12" customHeight="1">
      <c r="A168" s="881" t="e">
        <f>+A164+1</f>
        <v>#REF!</v>
      </c>
      <c r="B168" s="875">
        <v>42242</v>
      </c>
      <c r="C168" s="942" t="s">
        <v>32</v>
      </c>
      <c r="D168" s="881" t="s">
        <v>241</v>
      </c>
      <c r="E168" s="881" t="s">
        <v>148</v>
      </c>
      <c r="F168" s="883">
        <v>84000</v>
      </c>
      <c r="G168" s="55">
        <v>719</v>
      </c>
      <c r="H168" s="873" t="s">
        <v>2286</v>
      </c>
      <c r="I168" s="875">
        <v>44932</v>
      </c>
      <c r="J168" s="877" t="s">
        <v>2231</v>
      </c>
      <c r="K168" s="881" t="s">
        <v>2287</v>
      </c>
      <c r="L168" s="881" t="s">
        <v>148</v>
      </c>
      <c r="M168" s="883">
        <v>960000</v>
      </c>
      <c r="N168" s="55">
        <v>719</v>
      </c>
      <c r="O168" s="78"/>
    </row>
    <row r="169" spans="1:15" ht="12.75" customHeight="1" thickBot="1">
      <c r="A169" s="882"/>
      <c r="B169" s="934"/>
      <c r="C169" s="943"/>
      <c r="D169" s="882"/>
      <c r="E169" s="882"/>
      <c r="F169" s="884"/>
      <c r="G169" s="56">
        <v>721</v>
      </c>
      <c r="H169" s="882"/>
      <c r="I169" s="876"/>
      <c r="J169" s="878"/>
      <c r="K169" s="882"/>
      <c r="L169" s="882"/>
      <c r="M169" s="884"/>
      <c r="N169" s="56">
        <v>723</v>
      </c>
      <c r="O169" s="79">
        <f>+M168</f>
        <v>960000</v>
      </c>
    </row>
    <row r="170" spans="1:15" ht="17.25" customHeight="1" thickBot="1">
      <c r="A170" s="901" t="s">
        <v>102</v>
      </c>
      <c r="B170" s="902"/>
      <c r="C170" s="902"/>
      <c r="D170" s="902"/>
      <c r="E170" s="903"/>
      <c r="F170" s="81">
        <f>SUM(F160:F169)</f>
        <v>630000</v>
      </c>
      <c r="H170" s="901" t="s">
        <v>102</v>
      </c>
      <c r="I170" s="902"/>
      <c r="J170" s="902"/>
      <c r="K170" s="902"/>
      <c r="L170" s="903"/>
      <c r="M170" s="81">
        <f>SUM(M160:M169)</f>
        <v>6983000</v>
      </c>
    </row>
    <row r="171" spans="1:15" ht="16.5" thickBot="1">
      <c r="A171" s="885" t="s">
        <v>103</v>
      </c>
      <c r="B171" s="886"/>
      <c r="C171" s="886"/>
      <c r="D171" s="886"/>
      <c r="E171" s="887"/>
      <c r="F171" s="69" t="e">
        <f>+F135</f>
        <v>#REF!</v>
      </c>
      <c r="H171" s="885" t="s">
        <v>103</v>
      </c>
      <c r="I171" s="886"/>
      <c r="J171" s="886"/>
      <c r="K171" s="886"/>
      <c r="L171" s="887"/>
      <c r="M171" s="239">
        <f>+M135</f>
        <v>225751830</v>
      </c>
      <c r="N171" s="241" t="s">
        <v>561</v>
      </c>
      <c r="O171" s="242"/>
    </row>
    <row r="172" spans="1:15" ht="15.75" customHeight="1" thickBot="1">
      <c r="A172" s="888" t="s">
        <v>104</v>
      </c>
      <c r="B172" s="889"/>
      <c r="C172" s="889"/>
      <c r="D172" s="889"/>
      <c r="E172" s="890"/>
      <c r="F172" s="70" t="e">
        <f>SUM(F170:F171)</f>
        <v>#REF!</v>
      </c>
      <c r="H172" s="888" t="s">
        <v>104</v>
      </c>
      <c r="I172" s="889"/>
      <c r="J172" s="889"/>
      <c r="K172" s="889"/>
      <c r="L172" s="890"/>
      <c r="M172" s="183">
        <f>SUM(M170:M171)</f>
        <v>232734830</v>
      </c>
    </row>
    <row r="173" spans="1:15" ht="6.75" customHeight="1">
      <c r="A173" s="61"/>
      <c r="B173" s="61"/>
      <c r="C173" s="61"/>
      <c r="D173" s="61"/>
      <c r="E173" s="61"/>
      <c r="H173" s="61"/>
      <c r="I173" s="61"/>
      <c r="J173" s="61"/>
      <c r="K173" s="61"/>
      <c r="L173" s="61"/>
    </row>
    <row r="174" spans="1:15" ht="13.5" customHeight="1">
      <c r="A174" s="51" t="s">
        <v>243</v>
      </c>
      <c r="H174" s="51" t="s">
        <v>2288</v>
      </c>
    </row>
    <row r="175" spans="1:15" ht="6" customHeight="1">
      <c r="F175" s="139"/>
      <c r="M175" s="139"/>
    </row>
    <row r="176" spans="1:15" ht="18" customHeight="1">
      <c r="A176" s="50" t="s">
        <v>105</v>
      </c>
      <c r="D176" s="146"/>
      <c r="H176" s="453" t="s">
        <v>105</v>
      </c>
      <c r="K176" s="146"/>
      <c r="M176" s="139"/>
    </row>
    <row r="177" spans="1:15" ht="6" customHeight="1" thickBot="1"/>
    <row r="178" spans="1:15" ht="17.25" thickBot="1">
      <c r="A178" s="891" t="s">
        <v>106</v>
      </c>
      <c r="B178" s="892"/>
      <c r="C178" s="892"/>
      <c r="D178" s="893"/>
      <c r="F178" s="50" t="s">
        <v>107</v>
      </c>
      <c r="H178" s="891" t="s">
        <v>106</v>
      </c>
      <c r="I178" s="892"/>
      <c r="J178" s="892"/>
      <c r="K178" s="893"/>
      <c r="M178" s="604" t="s">
        <v>288</v>
      </c>
      <c r="N178" s="604"/>
      <c r="O178" s="604"/>
    </row>
    <row r="179" spans="1:15" ht="31.5" thickBot="1">
      <c r="A179" s="57" t="s">
        <v>100</v>
      </c>
      <c r="B179" s="58" t="s">
        <v>108</v>
      </c>
      <c r="C179" s="59" t="s">
        <v>109</v>
      </c>
      <c r="D179" s="60" t="s">
        <v>110</v>
      </c>
      <c r="H179" s="57" t="s">
        <v>100</v>
      </c>
      <c r="I179" s="58" t="s">
        <v>108</v>
      </c>
      <c r="J179" s="59" t="s">
        <v>109</v>
      </c>
      <c r="K179" s="60" t="s">
        <v>110</v>
      </c>
      <c r="M179" s="12"/>
      <c r="N179" s="12"/>
      <c r="O179" s="12"/>
    </row>
    <row r="180" spans="1:15" ht="12.75" customHeight="1">
      <c r="A180" s="71">
        <v>719</v>
      </c>
      <c r="B180" s="73" t="e">
        <f>+#REF!+#REF!+#REF!+#REF!+#REF!</f>
        <v>#REF!</v>
      </c>
      <c r="C180" s="74" t="e">
        <f>+D143</f>
        <v>#REF!</v>
      </c>
      <c r="D180" s="76" t="e">
        <f>+B180+C180</f>
        <v>#REF!</v>
      </c>
      <c r="H180" s="71">
        <v>719</v>
      </c>
      <c r="I180" s="73"/>
      <c r="J180" s="74">
        <f>+K143</f>
        <v>0</v>
      </c>
      <c r="K180" s="195">
        <f>+I180+J180</f>
        <v>0</v>
      </c>
      <c r="M180" s="12"/>
      <c r="N180" s="12"/>
      <c r="O180" s="12"/>
    </row>
    <row r="181" spans="1:15" ht="12" customHeight="1">
      <c r="A181" s="72">
        <v>721</v>
      </c>
      <c r="B181" s="80" t="e">
        <f>+#REF!+#REF!+#REF!+#REF!+#REF!</f>
        <v>#REF!</v>
      </c>
      <c r="C181" s="74" t="e">
        <f>+D144</f>
        <v>#REF!</v>
      </c>
      <c r="D181" s="76" t="e">
        <f>+B181+C181</f>
        <v>#REF!</v>
      </c>
      <c r="H181" s="72">
        <v>721</v>
      </c>
      <c r="I181" s="80">
        <v>0</v>
      </c>
      <c r="J181" s="74">
        <f>+K144</f>
        <v>0</v>
      </c>
      <c r="K181" s="195">
        <f>+I181+J181</f>
        <v>0</v>
      </c>
      <c r="M181" s="12"/>
      <c r="N181" s="12"/>
      <c r="O181" s="12"/>
    </row>
    <row r="182" spans="1:15" ht="14.25" customHeight="1">
      <c r="A182" s="72">
        <v>722</v>
      </c>
      <c r="B182" s="80"/>
      <c r="C182" s="74">
        <f>+D145</f>
        <v>224787287</v>
      </c>
      <c r="D182" s="76">
        <f>+B182+C182</f>
        <v>224787287</v>
      </c>
      <c r="H182" s="72">
        <v>722</v>
      </c>
      <c r="I182" s="80"/>
      <c r="J182" s="74">
        <f>+K145</f>
        <v>0</v>
      </c>
      <c r="K182" s="195">
        <f>+I182+J182</f>
        <v>0</v>
      </c>
      <c r="M182" s="956" t="s">
        <v>2147</v>
      </c>
      <c r="N182" s="956"/>
      <c r="O182" s="956"/>
    </row>
    <row r="183" spans="1:15" ht="14.25" customHeight="1" thickBot="1">
      <c r="A183" s="72">
        <v>723</v>
      </c>
      <c r="B183" s="80"/>
      <c r="C183" s="74">
        <f>+D146</f>
        <v>319828837</v>
      </c>
      <c r="D183" s="76">
        <f>+B183+C183</f>
        <v>319828837</v>
      </c>
      <c r="F183" s="174" t="s">
        <v>23</v>
      </c>
      <c r="H183" s="72">
        <v>723</v>
      </c>
      <c r="I183" s="80">
        <f>+O161+O165+O169+O163+O167</f>
        <v>6983000</v>
      </c>
      <c r="J183" s="74">
        <f>+K146</f>
        <v>225751830</v>
      </c>
      <c r="K183" s="195">
        <f>+I183+J183</f>
        <v>232734830</v>
      </c>
      <c r="M183" s="193"/>
      <c r="N183" s="175"/>
    </row>
    <row r="184" spans="1:15" ht="12.75" hidden="1" customHeight="1" thickBot="1">
      <c r="A184" s="164" t="s">
        <v>181</v>
      </c>
      <c r="B184" s="165"/>
      <c r="C184" s="74">
        <f>+D147</f>
        <v>1965625</v>
      </c>
      <c r="D184" s="168">
        <f>+B184+C184</f>
        <v>1965625</v>
      </c>
      <c r="F184" s="52"/>
      <c r="H184" s="164" t="s">
        <v>181</v>
      </c>
      <c r="I184" s="165"/>
      <c r="J184" s="74">
        <f>+K147</f>
        <v>0</v>
      </c>
      <c r="K184" s="196">
        <f>+I184+J184</f>
        <v>0</v>
      </c>
      <c r="M184" s="52"/>
    </row>
    <row r="185" spans="1:15" ht="16.5" thickBot="1">
      <c r="A185" s="169"/>
      <c r="B185" s="170" t="e">
        <f>SUM(B180:B184)</f>
        <v>#REF!</v>
      </c>
      <c r="C185" s="171" t="e">
        <f>SUM(C180:C184)</f>
        <v>#REF!</v>
      </c>
      <c r="D185" s="172" t="e">
        <f>SUM(D180:D184)</f>
        <v>#REF!</v>
      </c>
      <c r="H185" s="169"/>
      <c r="I185" s="197">
        <f>SUM(I180:I184)</f>
        <v>6983000</v>
      </c>
      <c r="J185" s="197">
        <f>SUM(J180:J184)</f>
        <v>225751830</v>
      </c>
      <c r="K185" s="198">
        <f>SUM(K180:K184)</f>
        <v>232734830</v>
      </c>
    </row>
    <row r="186" spans="1:15" ht="16.5">
      <c r="A186" s="49" t="s">
        <v>88</v>
      </c>
      <c r="B186" s="50"/>
      <c r="H186" s="49" t="s">
        <v>88</v>
      </c>
      <c r="I186" s="50"/>
    </row>
    <row r="187" spans="1:15" ht="11.25" customHeight="1">
      <c r="A187" s="51" t="s">
        <v>89</v>
      </c>
      <c r="H187" s="51" t="s">
        <v>89</v>
      </c>
    </row>
    <row r="188" spans="1:15" ht="12.75" customHeight="1">
      <c r="A188" s="51" t="s">
        <v>90</v>
      </c>
      <c r="H188" s="51" t="s">
        <v>90</v>
      </c>
    </row>
    <row r="189" spans="1:15" ht="12.75" customHeight="1">
      <c r="A189" s="51" t="s">
        <v>91</v>
      </c>
      <c r="H189" s="51" t="s">
        <v>91</v>
      </c>
    </row>
    <row r="190" spans="1:15" ht="3.75" customHeight="1">
      <c r="A190" s="50"/>
      <c r="B190" s="50"/>
      <c r="H190" s="50"/>
      <c r="I190" s="50"/>
    </row>
    <row r="191" spans="1:15" ht="16.5">
      <c r="A191" s="52" t="s">
        <v>245</v>
      </c>
      <c r="G191" s="52"/>
      <c r="H191" s="52" t="s">
        <v>571</v>
      </c>
      <c r="N191" s="52"/>
    </row>
    <row r="192" spans="1:15" ht="15.75">
      <c r="A192" s="53" t="s">
        <v>92</v>
      </c>
      <c r="G192" s="53"/>
      <c r="H192" s="53" t="s">
        <v>2270</v>
      </c>
      <c r="N192" s="53"/>
    </row>
    <row r="193" spans="1:17" ht="14.25" customHeight="1">
      <c r="A193" s="894" t="s">
        <v>255</v>
      </c>
      <c r="B193" s="894"/>
      <c r="C193" s="894"/>
      <c r="D193" s="894"/>
      <c r="E193" s="894"/>
      <c r="F193" s="894"/>
      <c r="G193" s="894"/>
      <c r="H193" s="894" t="s">
        <v>212</v>
      </c>
      <c r="I193" s="894"/>
      <c r="J193" s="894"/>
      <c r="K193" s="894"/>
      <c r="L193" s="894"/>
      <c r="M193" s="894"/>
      <c r="N193" s="894"/>
      <c r="O193" s="894"/>
    </row>
    <row r="194" spans="1:17" ht="12" customHeight="1" thickBot="1"/>
    <row r="195" spans="1:17">
      <c r="A195" s="895" t="s">
        <v>94</v>
      </c>
      <c r="B195" s="897" t="s">
        <v>95</v>
      </c>
      <c r="C195" s="897" t="s">
        <v>96</v>
      </c>
      <c r="D195" s="897" t="s">
        <v>3</v>
      </c>
      <c r="E195" s="897" t="s">
        <v>97</v>
      </c>
      <c r="F195" s="897" t="s">
        <v>98</v>
      </c>
      <c r="G195" s="500" t="s">
        <v>99</v>
      </c>
      <c r="H195" s="895" t="s">
        <v>94</v>
      </c>
      <c r="I195" s="897" t="s">
        <v>95</v>
      </c>
      <c r="J195" s="897" t="s">
        <v>96</v>
      </c>
      <c r="K195" s="897" t="s">
        <v>3</v>
      </c>
      <c r="L195" s="897" t="s">
        <v>97</v>
      </c>
      <c r="M195" s="897" t="s">
        <v>98</v>
      </c>
      <c r="N195" s="897" t="s">
        <v>99</v>
      </c>
      <c r="O195" s="899"/>
    </row>
    <row r="196" spans="1:17" ht="15.75" thickBot="1">
      <c r="A196" s="896"/>
      <c r="B196" s="898"/>
      <c r="C196" s="898"/>
      <c r="D196" s="898"/>
      <c r="E196" s="898"/>
      <c r="F196" s="898"/>
      <c r="G196" s="240" t="s">
        <v>100</v>
      </c>
      <c r="H196" s="896"/>
      <c r="I196" s="898"/>
      <c r="J196" s="898"/>
      <c r="K196" s="898"/>
      <c r="L196" s="898"/>
      <c r="M196" s="898"/>
      <c r="N196" s="240" t="s">
        <v>100</v>
      </c>
      <c r="O196" s="182" t="s">
        <v>101</v>
      </c>
    </row>
    <row r="197" spans="1:17" ht="12.75" customHeight="1">
      <c r="A197" s="881" t="e">
        <f>+#REF!+1</f>
        <v>#REF!</v>
      </c>
      <c r="B197" s="875">
        <v>42243</v>
      </c>
      <c r="C197" s="942" t="s">
        <v>31</v>
      </c>
      <c r="D197" s="881" t="s">
        <v>246</v>
      </c>
      <c r="E197" s="881" t="s">
        <v>115</v>
      </c>
      <c r="F197" s="883">
        <v>120000</v>
      </c>
      <c r="G197" s="55">
        <v>719</v>
      </c>
      <c r="H197" s="873" t="s">
        <v>2291</v>
      </c>
      <c r="I197" s="875">
        <v>44932</v>
      </c>
      <c r="J197" s="877" t="s">
        <v>889</v>
      </c>
      <c r="K197" s="881" t="s">
        <v>2287</v>
      </c>
      <c r="L197" s="881" t="s">
        <v>145</v>
      </c>
      <c r="M197" s="883">
        <v>1950000</v>
      </c>
      <c r="N197" s="55">
        <v>719</v>
      </c>
      <c r="O197" s="78"/>
    </row>
    <row r="198" spans="1:17" ht="12.75" customHeight="1" thickBot="1">
      <c r="A198" s="882"/>
      <c r="B198" s="934"/>
      <c r="C198" s="943"/>
      <c r="D198" s="882"/>
      <c r="E198" s="882"/>
      <c r="F198" s="884"/>
      <c r="G198" s="56">
        <v>721</v>
      </c>
      <c r="H198" s="874"/>
      <c r="I198" s="876"/>
      <c r="J198" s="878"/>
      <c r="K198" s="882"/>
      <c r="L198" s="882"/>
      <c r="M198" s="884"/>
      <c r="N198" s="56">
        <v>723</v>
      </c>
      <c r="O198" s="79">
        <f>+M197</f>
        <v>1950000</v>
      </c>
    </row>
    <row r="199" spans="1:17" ht="12.75" customHeight="1">
      <c r="A199" s="881" t="e">
        <f>+A197+1</f>
        <v>#REF!</v>
      </c>
      <c r="B199" s="875">
        <v>42243</v>
      </c>
      <c r="C199" s="935" t="s">
        <v>28</v>
      </c>
      <c r="D199" s="881" t="s">
        <v>247</v>
      </c>
      <c r="E199" s="881" t="s">
        <v>115</v>
      </c>
      <c r="F199" s="883">
        <v>50000</v>
      </c>
      <c r="G199" s="55">
        <v>719</v>
      </c>
      <c r="H199" s="873" t="s">
        <v>2292</v>
      </c>
      <c r="I199" s="875">
        <v>44932</v>
      </c>
      <c r="J199" s="944" t="s">
        <v>1896</v>
      </c>
      <c r="K199" s="881" t="s">
        <v>2287</v>
      </c>
      <c r="L199" s="881" t="s">
        <v>145</v>
      </c>
      <c r="M199" s="946">
        <v>2200000</v>
      </c>
      <c r="N199" s="55">
        <v>719</v>
      </c>
      <c r="O199" s="78"/>
    </row>
    <row r="200" spans="1:17" ht="12.75" customHeight="1" thickBot="1">
      <c r="A200" s="882"/>
      <c r="B200" s="934"/>
      <c r="C200" s="936"/>
      <c r="D200" s="882"/>
      <c r="E200" s="882"/>
      <c r="F200" s="884"/>
      <c r="G200" s="56">
        <v>721</v>
      </c>
      <c r="H200" s="874"/>
      <c r="I200" s="876"/>
      <c r="J200" s="945"/>
      <c r="K200" s="882"/>
      <c r="L200" s="882"/>
      <c r="M200" s="947"/>
      <c r="N200" s="56">
        <v>723</v>
      </c>
      <c r="O200" s="79">
        <f>+M199</f>
        <v>2200000</v>
      </c>
    </row>
    <row r="201" spans="1:17" ht="12" customHeight="1" thickBot="1">
      <c r="A201" s="881" t="e">
        <f>+A199+1</f>
        <v>#REF!</v>
      </c>
      <c r="B201" s="875">
        <v>42243</v>
      </c>
      <c r="C201" s="877" t="s">
        <v>250</v>
      </c>
      <c r="D201" s="877" t="s">
        <v>248</v>
      </c>
      <c r="E201" s="881" t="s">
        <v>145</v>
      </c>
      <c r="F201" s="883">
        <v>4280256</v>
      </c>
      <c r="G201" s="55">
        <v>719</v>
      </c>
      <c r="H201" s="873" t="s">
        <v>2293</v>
      </c>
      <c r="I201" s="875">
        <v>44932</v>
      </c>
      <c r="J201" s="877" t="s">
        <v>679</v>
      </c>
      <c r="K201" s="881" t="s">
        <v>2287</v>
      </c>
      <c r="L201" s="881" t="s">
        <v>148</v>
      </c>
      <c r="M201" s="883">
        <v>945000</v>
      </c>
      <c r="N201" s="55">
        <v>719</v>
      </c>
      <c r="O201" s="78"/>
      <c r="P201" s="51" t="s">
        <v>2146</v>
      </c>
    </row>
    <row r="202" spans="1:17" ht="15" customHeight="1" thickBot="1">
      <c r="A202" s="882"/>
      <c r="B202" s="934"/>
      <c r="C202" s="878"/>
      <c r="D202" s="878"/>
      <c r="E202" s="882"/>
      <c r="F202" s="884"/>
      <c r="G202" s="56">
        <v>722</v>
      </c>
      <c r="H202" s="874"/>
      <c r="I202" s="876"/>
      <c r="J202" s="878"/>
      <c r="K202" s="882"/>
      <c r="L202" s="882"/>
      <c r="M202" s="884"/>
      <c r="N202" s="56">
        <v>723</v>
      </c>
      <c r="O202" s="79">
        <f>+M201</f>
        <v>945000</v>
      </c>
      <c r="Q202" s="877"/>
    </row>
    <row r="203" spans="1:17" ht="12" customHeight="1" thickBot="1">
      <c r="A203" s="881" t="e">
        <f>+A201+1</f>
        <v>#REF!</v>
      </c>
      <c r="B203" s="875">
        <v>42243</v>
      </c>
      <c r="C203" s="877" t="s">
        <v>249</v>
      </c>
      <c r="D203" s="877" t="s">
        <v>248</v>
      </c>
      <c r="E203" s="881" t="s">
        <v>145</v>
      </c>
      <c r="F203" s="883">
        <v>2140128</v>
      </c>
      <c r="G203" s="55">
        <v>719</v>
      </c>
      <c r="H203" s="873" t="s">
        <v>2294</v>
      </c>
      <c r="I203" s="875">
        <v>44932</v>
      </c>
      <c r="J203" s="877" t="s">
        <v>2296</v>
      </c>
      <c r="K203" s="881" t="s">
        <v>2287</v>
      </c>
      <c r="L203" s="881" t="s">
        <v>145</v>
      </c>
      <c r="M203" s="883">
        <v>3600000</v>
      </c>
      <c r="N203" s="55">
        <v>719</v>
      </c>
      <c r="O203" s="78"/>
      <c r="Q203" s="878"/>
    </row>
    <row r="204" spans="1:17" ht="15" customHeight="1" thickBot="1">
      <c r="A204" s="882"/>
      <c r="B204" s="934"/>
      <c r="C204" s="878"/>
      <c r="D204" s="878"/>
      <c r="E204" s="882"/>
      <c r="F204" s="884"/>
      <c r="G204" s="56">
        <v>722</v>
      </c>
      <c r="H204" s="874"/>
      <c r="I204" s="876"/>
      <c r="J204" s="878"/>
      <c r="K204" s="882"/>
      <c r="L204" s="882"/>
      <c r="M204" s="884"/>
      <c r="N204" s="56">
        <v>723</v>
      </c>
      <c r="O204" s="79">
        <f>+M203</f>
        <v>3600000</v>
      </c>
    </row>
    <row r="205" spans="1:17" ht="13.5" customHeight="1">
      <c r="A205" s="881"/>
      <c r="B205" s="875"/>
      <c r="C205" s="935"/>
      <c r="D205" s="877"/>
      <c r="E205" s="881"/>
      <c r="F205" s="883"/>
      <c r="G205" s="55">
        <v>719</v>
      </c>
      <c r="H205" s="873" t="s">
        <v>2295</v>
      </c>
      <c r="I205" s="875">
        <v>44932</v>
      </c>
      <c r="J205" s="944" t="s">
        <v>1896</v>
      </c>
      <c r="K205" s="881" t="s">
        <v>2287</v>
      </c>
      <c r="L205" s="881" t="s">
        <v>148</v>
      </c>
      <c r="M205" s="883">
        <v>600000</v>
      </c>
      <c r="N205" s="55">
        <v>719</v>
      </c>
      <c r="O205" s="78"/>
    </row>
    <row r="206" spans="1:17" ht="12.75" customHeight="1" thickBot="1">
      <c r="A206" s="882"/>
      <c r="B206" s="934"/>
      <c r="C206" s="936"/>
      <c r="D206" s="878"/>
      <c r="E206" s="882"/>
      <c r="F206" s="884"/>
      <c r="G206" s="56">
        <v>721</v>
      </c>
      <c r="H206" s="874"/>
      <c r="I206" s="876"/>
      <c r="J206" s="945"/>
      <c r="K206" s="882"/>
      <c r="L206" s="882"/>
      <c r="M206" s="884"/>
      <c r="N206" s="56">
        <v>723</v>
      </c>
      <c r="O206" s="79">
        <f>+M205</f>
        <v>600000</v>
      </c>
    </row>
    <row r="207" spans="1:17" ht="15" customHeight="1" thickBot="1">
      <c r="A207" s="901" t="s">
        <v>102</v>
      </c>
      <c r="B207" s="902"/>
      <c r="C207" s="902"/>
      <c r="D207" s="902"/>
      <c r="E207" s="903"/>
      <c r="F207" s="81">
        <f>SUM(F197:F206)</f>
        <v>6590384</v>
      </c>
      <c r="H207" s="901" t="s">
        <v>102</v>
      </c>
      <c r="I207" s="902"/>
      <c r="J207" s="902"/>
      <c r="K207" s="902"/>
      <c r="L207" s="903"/>
      <c r="M207" s="81">
        <f>SUM(M197:M206)</f>
        <v>9295000</v>
      </c>
    </row>
    <row r="208" spans="1:17" ht="15.75" customHeight="1" thickBot="1">
      <c r="A208" s="885" t="s">
        <v>103</v>
      </c>
      <c r="B208" s="886"/>
      <c r="C208" s="886"/>
      <c r="D208" s="886"/>
      <c r="E208" s="887"/>
      <c r="F208" s="69" t="e">
        <f>+F172</f>
        <v>#REF!</v>
      </c>
      <c r="H208" s="885" t="s">
        <v>103</v>
      </c>
      <c r="I208" s="886"/>
      <c r="J208" s="886"/>
      <c r="K208" s="886"/>
      <c r="L208" s="887"/>
      <c r="M208" s="239">
        <f>+M172</f>
        <v>232734830</v>
      </c>
      <c r="N208" s="241" t="s">
        <v>561</v>
      </c>
      <c r="O208" s="242"/>
    </row>
    <row r="209" spans="1:15" ht="14.25" customHeight="1" thickBot="1">
      <c r="A209" s="888" t="s">
        <v>104</v>
      </c>
      <c r="B209" s="889"/>
      <c r="C209" s="889"/>
      <c r="D209" s="889"/>
      <c r="E209" s="890"/>
      <c r="F209" s="183" t="e">
        <f>SUM(F207:F208)</f>
        <v>#REF!</v>
      </c>
      <c r="H209" s="888" t="s">
        <v>104</v>
      </c>
      <c r="I209" s="889"/>
      <c r="J209" s="889"/>
      <c r="K209" s="889"/>
      <c r="L209" s="890"/>
      <c r="M209" s="183">
        <f>SUM(M207:M208)</f>
        <v>242029830</v>
      </c>
    </row>
    <row r="210" spans="1:15" ht="7.5" customHeight="1">
      <c r="A210" s="61"/>
      <c r="B210" s="61"/>
      <c r="C210" s="61"/>
      <c r="D210" s="61"/>
      <c r="E210" s="61"/>
      <c r="H210" s="61"/>
      <c r="I210" s="61"/>
      <c r="J210" s="61"/>
      <c r="K210" s="61"/>
      <c r="L210" s="61"/>
    </row>
    <row r="211" spans="1:15">
      <c r="A211" s="51" t="s">
        <v>254</v>
      </c>
      <c r="H211" s="51" t="s">
        <v>2297</v>
      </c>
    </row>
    <row r="212" spans="1:15" ht="4.5" customHeight="1">
      <c r="F212" s="139"/>
      <c r="M212" s="139"/>
    </row>
    <row r="213" spans="1:15" ht="12.75" customHeight="1">
      <c r="A213" s="50" t="s">
        <v>105</v>
      </c>
      <c r="D213" s="146"/>
      <c r="F213" s="139"/>
      <c r="H213" s="50" t="s">
        <v>105</v>
      </c>
      <c r="K213" s="146"/>
      <c r="M213" s="139"/>
    </row>
    <row r="214" spans="1:15" ht="11.25" customHeight="1" thickBot="1"/>
    <row r="215" spans="1:15" ht="17.25" thickBot="1">
      <c r="A215" s="891" t="s">
        <v>106</v>
      </c>
      <c r="B215" s="892"/>
      <c r="C215" s="892"/>
      <c r="D215" s="893"/>
      <c r="F215" s="50" t="s">
        <v>107</v>
      </c>
      <c r="H215" s="891" t="s">
        <v>106</v>
      </c>
      <c r="I215" s="892"/>
      <c r="J215" s="892"/>
      <c r="K215" s="893"/>
      <c r="M215" s="604" t="s">
        <v>288</v>
      </c>
      <c r="N215" s="604"/>
      <c r="O215" s="604"/>
    </row>
    <row r="216" spans="1:15" ht="30" customHeight="1" thickBot="1">
      <c r="A216" s="57" t="s">
        <v>100</v>
      </c>
      <c r="B216" s="58" t="s">
        <v>108</v>
      </c>
      <c r="C216" s="59" t="s">
        <v>109</v>
      </c>
      <c r="D216" s="60" t="s">
        <v>110</v>
      </c>
      <c r="H216" s="57" t="s">
        <v>100</v>
      </c>
      <c r="I216" s="58" t="s">
        <v>108</v>
      </c>
      <c r="J216" s="473" t="s">
        <v>109</v>
      </c>
      <c r="K216" s="60" t="s">
        <v>110</v>
      </c>
      <c r="M216" s="12"/>
      <c r="N216" s="12"/>
      <c r="O216" s="12"/>
    </row>
    <row r="217" spans="1:15" ht="14.25" customHeight="1">
      <c r="A217" s="71">
        <v>719</v>
      </c>
      <c r="B217" s="73" t="e">
        <f>+#REF!+#REF!</f>
        <v>#REF!</v>
      </c>
      <c r="C217" s="74" t="e">
        <f>+D180</f>
        <v>#REF!</v>
      </c>
      <c r="D217" s="76" t="e">
        <f>+B217+C217</f>
        <v>#REF!</v>
      </c>
      <c r="H217" s="71">
        <v>719</v>
      </c>
      <c r="I217" s="73"/>
      <c r="J217" s="74">
        <f>+K180</f>
        <v>0</v>
      </c>
      <c r="K217" s="195">
        <f>+I217+J217</f>
        <v>0</v>
      </c>
      <c r="M217" s="12"/>
      <c r="N217" s="12"/>
      <c r="O217" s="12"/>
    </row>
    <row r="218" spans="1:15" ht="15" customHeight="1">
      <c r="A218" s="72">
        <v>721</v>
      </c>
      <c r="B218" s="80"/>
      <c r="C218" s="74" t="e">
        <f>+D181</f>
        <v>#REF!</v>
      </c>
      <c r="D218" s="76" t="e">
        <f>+B218+C218</f>
        <v>#REF!</v>
      </c>
      <c r="H218" s="72">
        <v>721</v>
      </c>
      <c r="I218" s="80"/>
      <c r="J218" s="74">
        <f>+K181</f>
        <v>0</v>
      </c>
      <c r="K218" s="195">
        <f>+I218+J218</f>
        <v>0</v>
      </c>
      <c r="M218" s="12"/>
      <c r="N218" s="12"/>
      <c r="O218" s="12"/>
    </row>
    <row r="219" spans="1:15" ht="12.75" customHeight="1">
      <c r="A219" s="72">
        <v>722</v>
      </c>
      <c r="B219" s="80" t="e">
        <f>+#REF!+#REF!</f>
        <v>#REF!</v>
      </c>
      <c r="C219" s="74">
        <f>+D182</f>
        <v>224787287</v>
      </c>
      <c r="D219" s="76" t="e">
        <f>+B219+C219</f>
        <v>#REF!</v>
      </c>
      <c r="H219" s="72">
        <v>722</v>
      </c>
      <c r="I219" s="80"/>
      <c r="J219" s="74">
        <f>+K182</f>
        <v>0</v>
      </c>
      <c r="K219" s="195">
        <f>+I219+J219</f>
        <v>0</v>
      </c>
      <c r="M219" s="12"/>
      <c r="N219" s="12"/>
      <c r="O219" s="12"/>
    </row>
    <row r="220" spans="1:15" ht="13.5" customHeight="1" thickBot="1">
      <c r="A220" s="72">
        <v>723</v>
      </c>
      <c r="B220" s="80"/>
      <c r="C220" s="74">
        <f>+D183</f>
        <v>319828837</v>
      </c>
      <c r="D220" s="76">
        <f>+B220+C220</f>
        <v>319828837</v>
      </c>
      <c r="F220" s="174" t="s">
        <v>23</v>
      </c>
      <c r="G220" s="175"/>
      <c r="H220" s="72">
        <v>723</v>
      </c>
      <c r="I220" s="80">
        <f>+O198+O200+O202+O204+O206</f>
        <v>9295000</v>
      </c>
      <c r="J220" s="74">
        <f>+K183</f>
        <v>232734830</v>
      </c>
      <c r="K220" s="195">
        <f>+I220+J220</f>
        <v>242029830</v>
      </c>
      <c r="M220" s="956" t="s">
        <v>2147</v>
      </c>
      <c r="N220" s="956"/>
      <c r="O220" s="956"/>
    </row>
    <row r="221" spans="1:15" ht="13.5" hidden="1" customHeight="1" thickBot="1">
      <c r="A221" s="164" t="s">
        <v>181</v>
      </c>
      <c r="B221" s="165"/>
      <c r="C221" s="74">
        <f>+D184</f>
        <v>1965625</v>
      </c>
      <c r="D221" s="168">
        <f>+B221+C221</f>
        <v>1965625</v>
      </c>
      <c r="F221" s="52"/>
      <c r="H221" s="164" t="s">
        <v>181</v>
      </c>
      <c r="I221" s="165"/>
      <c r="J221" s="74">
        <f>+K184</f>
        <v>0</v>
      </c>
      <c r="K221" s="196">
        <f>+I221+J221</f>
        <v>0</v>
      </c>
      <c r="M221" s="52"/>
    </row>
    <row r="222" spans="1:15" ht="15" customHeight="1" thickBot="1">
      <c r="A222" s="169"/>
      <c r="B222" s="170" t="e">
        <f>SUM(B217:B221)</f>
        <v>#REF!</v>
      </c>
      <c r="C222" s="171" t="e">
        <f>SUM(C217:C221)</f>
        <v>#REF!</v>
      </c>
      <c r="D222" s="172" t="e">
        <f>SUM(D217:D221)</f>
        <v>#REF!</v>
      </c>
      <c r="H222" s="169"/>
      <c r="I222" s="197">
        <f>SUM(I217:I221)</f>
        <v>9295000</v>
      </c>
      <c r="J222" s="197">
        <f>SUM(J217:J221)</f>
        <v>232734830</v>
      </c>
      <c r="K222" s="198">
        <f>SUM(K217:K221)</f>
        <v>242029830</v>
      </c>
    </row>
    <row r="223" spans="1:15" ht="15.75" customHeight="1">
      <c r="A223" s="49" t="s">
        <v>88</v>
      </c>
      <c r="B223" s="50"/>
      <c r="H223" s="49" t="s">
        <v>88</v>
      </c>
      <c r="I223" s="50"/>
    </row>
    <row r="224" spans="1:15" ht="12" customHeight="1">
      <c r="A224" s="51" t="s">
        <v>89</v>
      </c>
      <c r="H224" s="51" t="s">
        <v>89</v>
      </c>
    </row>
    <row r="225" spans="1:15" ht="12" customHeight="1">
      <c r="A225" s="51" t="s">
        <v>90</v>
      </c>
      <c r="H225" s="51" t="s">
        <v>90</v>
      </c>
    </row>
    <row r="226" spans="1:15" ht="11.25" customHeight="1">
      <c r="A226" s="51" t="s">
        <v>91</v>
      </c>
      <c r="H226" s="51" t="s">
        <v>91</v>
      </c>
    </row>
    <row r="227" spans="1:15" ht="4.5" customHeight="1">
      <c r="A227" s="50"/>
      <c r="B227" s="50"/>
      <c r="H227" s="50"/>
      <c r="I227" s="50"/>
    </row>
    <row r="228" spans="1:15" ht="12.75" customHeight="1">
      <c r="A228" s="52" t="s">
        <v>256</v>
      </c>
      <c r="G228" s="52"/>
      <c r="H228" s="52" t="s">
        <v>1641</v>
      </c>
      <c r="I228" s="243"/>
      <c r="N228" s="52"/>
    </row>
    <row r="229" spans="1:15" ht="15.75">
      <c r="A229" s="53" t="s">
        <v>92</v>
      </c>
      <c r="G229" s="53"/>
      <c r="H229" s="53" t="s">
        <v>2270</v>
      </c>
      <c r="N229" s="53"/>
    </row>
    <row r="230" spans="1:15" ht="13.5" customHeight="1">
      <c r="A230" s="894" t="s">
        <v>261</v>
      </c>
      <c r="B230" s="894"/>
      <c r="C230" s="894"/>
      <c r="D230" s="894"/>
      <c r="E230" s="894"/>
      <c r="F230" s="894"/>
      <c r="G230" s="894"/>
      <c r="H230" s="894" t="s">
        <v>212</v>
      </c>
      <c r="I230" s="894"/>
      <c r="J230" s="894"/>
      <c r="K230" s="894"/>
      <c r="L230" s="894"/>
      <c r="M230" s="894"/>
      <c r="N230" s="894"/>
      <c r="O230" s="894"/>
    </row>
    <row r="231" spans="1:15" ht="8.25" customHeight="1" thickBot="1"/>
    <row r="232" spans="1:15">
      <c r="A232" s="895" t="s">
        <v>94</v>
      </c>
      <c r="B232" s="897" t="s">
        <v>95</v>
      </c>
      <c r="C232" s="897" t="s">
        <v>96</v>
      </c>
      <c r="D232" s="897" t="s">
        <v>3</v>
      </c>
      <c r="E232" s="897" t="s">
        <v>97</v>
      </c>
      <c r="F232" s="897" t="s">
        <v>98</v>
      </c>
      <c r="G232" s="500" t="s">
        <v>99</v>
      </c>
      <c r="H232" s="895" t="s">
        <v>94</v>
      </c>
      <c r="I232" s="897" t="s">
        <v>95</v>
      </c>
      <c r="J232" s="897" t="s">
        <v>96</v>
      </c>
      <c r="K232" s="897" t="s">
        <v>3</v>
      </c>
      <c r="L232" s="897" t="s">
        <v>97</v>
      </c>
      <c r="M232" s="897" t="s">
        <v>98</v>
      </c>
      <c r="N232" s="897" t="s">
        <v>99</v>
      </c>
      <c r="O232" s="899"/>
    </row>
    <row r="233" spans="1:15" ht="15.75" thickBot="1">
      <c r="A233" s="896"/>
      <c r="B233" s="898"/>
      <c r="C233" s="898"/>
      <c r="D233" s="898"/>
      <c r="E233" s="898"/>
      <c r="F233" s="898"/>
      <c r="G233" s="240" t="s">
        <v>100</v>
      </c>
      <c r="H233" s="896"/>
      <c r="I233" s="898"/>
      <c r="J233" s="898"/>
      <c r="K233" s="898"/>
      <c r="L233" s="898"/>
      <c r="M233" s="898"/>
      <c r="N233" s="240" t="s">
        <v>100</v>
      </c>
      <c r="O233" s="182" t="s">
        <v>101</v>
      </c>
    </row>
    <row r="234" spans="1:15" ht="13.5" customHeight="1">
      <c r="A234" s="881" t="e">
        <f>+A203+1</f>
        <v>#REF!</v>
      </c>
      <c r="B234" s="875">
        <v>42252</v>
      </c>
      <c r="C234" s="942" t="s">
        <v>31</v>
      </c>
      <c r="D234" s="881" t="s">
        <v>257</v>
      </c>
      <c r="E234" s="881" t="s">
        <v>115</v>
      </c>
      <c r="F234" s="883">
        <v>90000</v>
      </c>
      <c r="G234" s="55">
        <v>719</v>
      </c>
      <c r="H234" s="873" t="s">
        <v>2301</v>
      </c>
      <c r="I234" s="875">
        <v>44934</v>
      </c>
      <c r="J234" s="877" t="s">
        <v>1897</v>
      </c>
      <c r="K234" s="881" t="s">
        <v>2287</v>
      </c>
      <c r="L234" s="881" t="s">
        <v>115</v>
      </c>
      <c r="M234" s="883">
        <v>7519800</v>
      </c>
      <c r="N234" s="55">
        <v>719</v>
      </c>
      <c r="O234" s="78"/>
    </row>
    <row r="235" spans="1:15" ht="14.25" customHeight="1" thickBot="1">
      <c r="A235" s="882"/>
      <c r="B235" s="934"/>
      <c r="C235" s="943"/>
      <c r="D235" s="882"/>
      <c r="E235" s="882"/>
      <c r="F235" s="884"/>
      <c r="G235" s="56">
        <v>721</v>
      </c>
      <c r="H235" s="882"/>
      <c r="I235" s="876"/>
      <c r="J235" s="878"/>
      <c r="K235" s="882"/>
      <c r="L235" s="882"/>
      <c r="M235" s="884"/>
      <c r="N235" s="56">
        <v>723</v>
      </c>
      <c r="O235" s="79">
        <f>+M234</f>
        <v>7519800</v>
      </c>
    </row>
    <row r="236" spans="1:15" ht="12.75" customHeight="1">
      <c r="A236" s="881" t="e">
        <f>+A234+1</f>
        <v>#REF!</v>
      </c>
      <c r="B236" s="875">
        <v>42252</v>
      </c>
      <c r="C236" s="935" t="s">
        <v>28</v>
      </c>
      <c r="D236" s="881" t="s">
        <v>258</v>
      </c>
      <c r="E236" s="881" t="s">
        <v>115</v>
      </c>
      <c r="F236" s="883">
        <v>40000</v>
      </c>
      <c r="G236" s="55">
        <v>719</v>
      </c>
      <c r="H236" s="873" t="s">
        <v>2302</v>
      </c>
      <c r="I236" s="875">
        <v>44934</v>
      </c>
      <c r="J236" s="881" t="s">
        <v>780</v>
      </c>
      <c r="K236" s="881" t="s">
        <v>2287</v>
      </c>
      <c r="L236" s="881" t="s">
        <v>115</v>
      </c>
      <c r="M236" s="883">
        <v>6764500</v>
      </c>
      <c r="N236" s="55">
        <v>719</v>
      </c>
      <c r="O236" s="78"/>
    </row>
    <row r="237" spans="1:15" ht="13.5" customHeight="1" thickBot="1">
      <c r="A237" s="882"/>
      <c r="B237" s="934"/>
      <c r="C237" s="936"/>
      <c r="D237" s="882"/>
      <c r="E237" s="882"/>
      <c r="F237" s="884"/>
      <c r="G237" s="56">
        <v>721</v>
      </c>
      <c r="H237" s="882"/>
      <c r="I237" s="876"/>
      <c r="J237" s="882"/>
      <c r="K237" s="882"/>
      <c r="L237" s="882"/>
      <c r="M237" s="884"/>
      <c r="N237" s="56">
        <v>723</v>
      </c>
      <c r="O237" s="79">
        <f>+M236</f>
        <v>6764500</v>
      </c>
    </row>
    <row r="238" spans="1:15" ht="12.75" customHeight="1">
      <c r="A238" s="881" t="e">
        <f>+A236+1</f>
        <v>#REF!</v>
      </c>
      <c r="B238" s="875">
        <v>42252</v>
      </c>
      <c r="C238" s="877" t="s">
        <v>32</v>
      </c>
      <c r="D238" s="881" t="s">
        <v>259</v>
      </c>
      <c r="E238" s="881" t="s">
        <v>115</v>
      </c>
      <c r="F238" s="883">
        <v>80000</v>
      </c>
      <c r="G238" s="55">
        <v>719</v>
      </c>
      <c r="H238" s="873" t="s">
        <v>2303</v>
      </c>
      <c r="I238" s="875">
        <v>44934</v>
      </c>
      <c r="J238" s="910" t="s">
        <v>1899</v>
      </c>
      <c r="K238" s="881" t="s">
        <v>2287</v>
      </c>
      <c r="L238" s="881" t="s">
        <v>115</v>
      </c>
      <c r="M238" s="883">
        <v>4000000</v>
      </c>
      <c r="N238" s="55">
        <v>719</v>
      </c>
      <c r="O238" s="78"/>
    </row>
    <row r="239" spans="1:15" ht="13.5" customHeight="1" thickBot="1">
      <c r="A239" s="882"/>
      <c r="B239" s="934"/>
      <c r="C239" s="878"/>
      <c r="D239" s="882"/>
      <c r="E239" s="882"/>
      <c r="F239" s="884"/>
      <c r="G239" s="56">
        <v>721</v>
      </c>
      <c r="H239" s="882"/>
      <c r="I239" s="876"/>
      <c r="J239" s="911"/>
      <c r="K239" s="882"/>
      <c r="L239" s="882"/>
      <c r="M239" s="884"/>
      <c r="N239" s="56">
        <v>723</v>
      </c>
      <c r="O239" s="79">
        <f>+M238-O238</f>
        <v>4000000</v>
      </c>
    </row>
    <row r="240" spans="1:15" ht="13.5" customHeight="1">
      <c r="A240" s="251"/>
      <c r="B240" s="452"/>
      <c r="C240" s="253"/>
      <c r="D240" s="251"/>
      <c r="E240" s="251"/>
      <c r="F240" s="254"/>
      <c r="G240" s="255"/>
      <c r="H240" s="873" t="s">
        <v>2304</v>
      </c>
      <c r="I240" s="875">
        <v>44934</v>
      </c>
      <c r="J240" s="910" t="s">
        <v>117</v>
      </c>
      <c r="K240" s="881" t="s">
        <v>2287</v>
      </c>
      <c r="L240" s="881" t="s">
        <v>115</v>
      </c>
      <c r="M240" s="883">
        <v>870000</v>
      </c>
      <c r="N240" s="55">
        <v>719</v>
      </c>
      <c r="O240" s="78"/>
    </row>
    <row r="241" spans="1:15" ht="13.5" customHeight="1" thickBot="1">
      <c r="A241" s="251"/>
      <c r="B241" s="452"/>
      <c r="C241" s="253"/>
      <c r="D241" s="251"/>
      <c r="E241" s="251"/>
      <c r="F241" s="254"/>
      <c r="G241" s="255"/>
      <c r="H241" s="882"/>
      <c r="I241" s="876"/>
      <c r="J241" s="911"/>
      <c r="K241" s="882"/>
      <c r="L241" s="882"/>
      <c r="M241" s="884"/>
      <c r="N241" s="56">
        <v>723</v>
      </c>
      <c r="O241" s="79">
        <f>+M240-O240</f>
        <v>870000</v>
      </c>
    </row>
    <row r="242" spans="1:15" ht="13.5" customHeight="1">
      <c r="A242" s="881"/>
      <c r="B242" s="875"/>
      <c r="C242" s="877"/>
      <c r="D242" s="877"/>
      <c r="E242" s="881"/>
      <c r="F242" s="883"/>
      <c r="G242" s="55">
        <v>719</v>
      </c>
      <c r="H242" s="873" t="s">
        <v>2305</v>
      </c>
      <c r="I242" s="875">
        <v>44934</v>
      </c>
      <c r="J242" s="877" t="s">
        <v>1901</v>
      </c>
      <c r="K242" s="881" t="s">
        <v>2287</v>
      </c>
      <c r="L242" s="881" t="s">
        <v>115</v>
      </c>
      <c r="M242" s="883">
        <v>1008000</v>
      </c>
      <c r="N242" s="55">
        <v>719</v>
      </c>
      <c r="O242" s="78"/>
    </row>
    <row r="243" spans="1:15" ht="12.75" customHeight="1" thickBot="1">
      <c r="A243" s="882"/>
      <c r="B243" s="934"/>
      <c r="C243" s="878"/>
      <c r="D243" s="878"/>
      <c r="E243" s="882"/>
      <c r="F243" s="884"/>
      <c r="G243" s="56">
        <v>721</v>
      </c>
      <c r="H243" s="882"/>
      <c r="I243" s="876"/>
      <c r="J243" s="878"/>
      <c r="K243" s="882"/>
      <c r="L243" s="882"/>
      <c r="M243" s="884"/>
      <c r="N243" s="56">
        <v>723</v>
      </c>
      <c r="O243" s="79">
        <f>+M242-O242</f>
        <v>1008000</v>
      </c>
    </row>
    <row r="244" spans="1:15" ht="12.75" customHeight="1">
      <c r="A244" s="881"/>
      <c r="B244" s="875"/>
      <c r="C244" s="935"/>
      <c r="D244" s="877"/>
      <c r="E244" s="881"/>
      <c r="F244" s="883"/>
      <c r="G244" s="55">
        <v>719</v>
      </c>
      <c r="H244" s="873" t="s">
        <v>2306</v>
      </c>
      <c r="I244" s="875">
        <v>44934</v>
      </c>
      <c r="J244" s="877" t="s">
        <v>2165</v>
      </c>
      <c r="K244" s="881" t="s">
        <v>2287</v>
      </c>
      <c r="L244" s="881" t="s">
        <v>115</v>
      </c>
      <c r="M244" s="883">
        <v>750000</v>
      </c>
      <c r="N244" s="55">
        <v>719</v>
      </c>
      <c r="O244" s="78"/>
    </row>
    <row r="245" spans="1:15" ht="13.5" customHeight="1" thickBot="1">
      <c r="A245" s="882"/>
      <c r="B245" s="934"/>
      <c r="C245" s="936"/>
      <c r="D245" s="878"/>
      <c r="E245" s="882"/>
      <c r="F245" s="884"/>
      <c r="G245" s="56">
        <v>721</v>
      </c>
      <c r="H245" s="882"/>
      <c r="I245" s="876"/>
      <c r="J245" s="878"/>
      <c r="K245" s="882"/>
      <c r="L245" s="882"/>
      <c r="M245" s="884"/>
      <c r="N245" s="56">
        <v>723</v>
      </c>
      <c r="O245" s="79">
        <f>+M244-O244</f>
        <v>750000</v>
      </c>
    </row>
    <row r="246" spans="1:15" ht="16.5" thickBot="1">
      <c r="A246" s="901" t="s">
        <v>102</v>
      </c>
      <c r="B246" s="902"/>
      <c r="C246" s="902"/>
      <c r="D246" s="902"/>
      <c r="E246" s="903"/>
      <c r="F246" s="81">
        <f>SUM(F234:F245)</f>
        <v>210000</v>
      </c>
      <c r="H246" s="901" t="s">
        <v>102</v>
      </c>
      <c r="I246" s="902"/>
      <c r="J246" s="902"/>
      <c r="K246" s="902"/>
      <c r="L246" s="903"/>
      <c r="M246" s="81">
        <f>SUM(M234:M245)</f>
        <v>20912300</v>
      </c>
    </row>
    <row r="247" spans="1:15" ht="14.25" customHeight="1" thickBot="1">
      <c r="A247" s="885" t="s">
        <v>103</v>
      </c>
      <c r="B247" s="886"/>
      <c r="C247" s="886"/>
      <c r="D247" s="886"/>
      <c r="E247" s="887"/>
      <c r="F247" s="69" t="e">
        <f>+F209</f>
        <v>#REF!</v>
      </c>
      <c r="H247" s="885" t="s">
        <v>103</v>
      </c>
      <c r="I247" s="886"/>
      <c r="J247" s="886"/>
      <c r="K247" s="886"/>
      <c r="L247" s="887"/>
      <c r="M247" s="239">
        <f>+M209</f>
        <v>242029830</v>
      </c>
      <c r="N247" s="241" t="s">
        <v>561</v>
      </c>
      <c r="O247" s="242"/>
    </row>
    <row r="248" spans="1:15" ht="15" customHeight="1" thickBot="1">
      <c r="A248" s="888" t="s">
        <v>104</v>
      </c>
      <c r="B248" s="889"/>
      <c r="C248" s="889"/>
      <c r="D248" s="889"/>
      <c r="E248" s="890"/>
      <c r="F248" s="183" t="e">
        <f>SUM(F246:F247)</f>
        <v>#REF!</v>
      </c>
      <c r="H248" s="888" t="s">
        <v>104</v>
      </c>
      <c r="I248" s="889"/>
      <c r="J248" s="889"/>
      <c r="K248" s="889"/>
      <c r="L248" s="890"/>
      <c r="M248" s="183">
        <f>SUM(M246:M247)</f>
        <v>262942130</v>
      </c>
    </row>
    <row r="249" spans="1:15" ht="7.5" customHeight="1">
      <c r="A249" s="61"/>
      <c r="B249" s="61"/>
      <c r="C249" s="61"/>
      <c r="D249" s="61"/>
      <c r="E249" s="61"/>
      <c r="H249" s="61"/>
      <c r="I249" s="61"/>
      <c r="J249" s="61"/>
      <c r="K249" s="61"/>
      <c r="L249" s="61"/>
    </row>
    <row r="250" spans="1:15">
      <c r="A250" s="51" t="s">
        <v>260</v>
      </c>
      <c r="H250" s="51" t="s">
        <v>2307</v>
      </c>
    </row>
    <row r="251" spans="1:15" ht="3.75" customHeight="1">
      <c r="F251" s="139"/>
      <c r="M251" s="139"/>
    </row>
    <row r="252" spans="1:15" ht="13.5" customHeight="1">
      <c r="A252" s="50" t="s">
        <v>105</v>
      </c>
      <c r="D252" s="146"/>
      <c r="F252" s="139"/>
      <c r="H252" s="50" t="s">
        <v>105</v>
      </c>
      <c r="K252" s="146"/>
      <c r="M252" s="139"/>
    </row>
    <row r="253" spans="1:15" ht="6.75" customHeight="1" thickBot="1"/>
    <row r="254" spans="1:15" ht="17.25" thickBot="1">
      <c r="A254" s="891" t="s">
        <v>106</v>
      </c>
      <c r="B254" s="892"/>
      <c r="C254" s="892"/>
      <c r="D254" s="893"/>
      <c r="F254" s="50" t="s">
        <v>263</v>
      </c>
      <c r="H254" s="891" t="s">
        <v>106</v>
      </c>
      <c r="I254" s="892"/>
      <c r="J254" s="892"/>
      <c r="K254" s="893"/>
      <c r="M254" s="604" t="s">
        <v>288</v>
      </c>
      <c r="N254" s="604"/>
      <c r="O254" s="604"/>
    </row>
    <row r="255" spans="1:15" ht="28.5" customHeight="1" thickBot="1">
      <c r="A255" s="57" t="s">
        <v>100</v>
      </c>
      <c r="B255" s="58" t="s">
        <v>108</v>
      </c>
      <c r="C255" s="59" t="s">
        <v>109</v>
      </c>
      <c r="D255" s="60" t="s">
        <v>110</v>
      </c>
      <c r="H255" s="57" t="s">
        <v>100</v>
      </c>
      <c r="I255" s="58" t="s">
        <v>108</v>
      </c>
      <c r="J255" s="263" t="s">
        <v>109</v>
      </c>
      <c r="K255" s="60" t="s">
        <v>110</v>
      </c>
      <c r="M255" s="12"/>
      <c r="N255" s="12"/>
      <c r="O255" s="12"/>
    </row>
    <row r="256" spans="1:15" ht="13.5" customHeight="1">
      <c r="A256" s="71">
        <v>719</v>
      </c>
      <c r="B256" s="73" t="e">
        <f>+#REF!+#REF!+#REF!</f>
        <v>#REF!</v>
      </c>
      <c r="C256" s="74" t="e">
        <f>+D217</f>
        <v>#REF!</v>
      </c>
      <c r="D256" s="76" t="e">
        <f>+B256+C256</f>
        <v>#REF!</v>
      </c>
      <c r="H256" s="71">
        <v>719</v>
      </c>
      <c r="I256" s="73">
        <f>+O234+O236+O238+O242+O244</f>
        <v>0</v>
      </c>
      <c r="J256" s="74">
        <f>+K217</f>
        <v>0</v>
      </c>
      <c r="K256" s="195">
        <f>+I256+J256</f>
        <v>0</v>
      </c>
      <c r="M256" s="12"/>
      <c r="N256" s="12"/>
      <c r="O256" s="12"/>
    </row>
    <row r="257" spans="1:15" ht="14.25" customHeight="1">
      <c r="A257" s="72">
        <v>721</v>
      </c>
      <c r="B257" s="80"/>
      <c r="C257" s="74" t="e">
        <f>+D218</f>
        <v>#REF!</v>
      </c>
      <c r="D257" s="76" t="e">
        <f>+B257+C257</f>
        <v>#REF!</v>
      </c>
      <c r="H257" s="72">
        <v>721</v>
      </c>
      <c r="I257" s="80">
        <v>0</v>
      </c>
      <c r="J257" s="74">
        <f>+K218</f>
        <v>0</v>
      </c>
      <c r="K257" s="195">
        <f>+I257+J257</f>
        <v>0</v>
      </c>
      <c r="M257" s="12"/>
      <c r="N257" s="12"/>
      <c r="O257" s="12"/>
    </row>
    <row r="258" spans="1:15" ht="12.75" customHeight="1">
      <c r="A258" s="72">
        <v>722</v>
      </c>
      <c r="B258" s="80"/>
      <c r="C258" s="74" t="e">
        <f>+D219</f>
        <v>#REF!</v>
      </c>
      <c r="D258" s="76" t="e">
        <f>+B258+C258</f>
        <v>#REF!</v>
      </c>
      <c r="H258" s="72">
        <v>722</v>
      </c>
      <c r="I258" s="80"/>
      <c r="J258" s="74">
        <f>+K219</f>
        <v>0</v>
      </c>
      <c r="K258" s="195">
        <f>+I258+J258</f>
        <v>0</v>
      </c>
      <c r="M258" s="12"/>
      <c r="N258" s="12"/>
      <c r="O258" s="12"/>
    </row>
    <row r="259" spans="1:15" ht="12.75" customHeight="1" thickBot="1">
      <c r="A259" s="72">
        <v>723</v>
      </c>
      <c r="B259" s="80"/>
      <c r="C259" s="74">
        <f>+D220</f>
        <v>319828837</v>
      </c>
      <c r="D259" s="76">
        <f>+B259+C259</f>
        <v>319828837</v>
      </c>
      <c r="F259" s="174" t="s">
        <v>262</v>
      </c>
      <c r="G259" s="175"/>
      <c r="H259" s="72">
        <v>723</v>
      </c>
      <c r="I259" s="80">
        <f>+O235+O237+O239+O243+O245+O241</f>
        <v>20912300</v>
      </c>
      <c r="J259" s="74">
        <f>+K220</f>
        <v>242029830</v>
      </c>
      <c r="K259" s="195">
        <f>+I259+J259</f>
        <v>262942130</v>
      </c>
      <c r="M259" s="956" t="s">
        <v>2147</v>
      </c>
      <c r="N259" s="956"/>
      <c r="O259" s="956"/>
    </row>
    <row r="260" spans="1:15" ht="13.5" hidden="1" customHeight="1" thickBot="1">
      <c r="A260" s="164" t="s">
        <v>181</v>
      </c>
      <c r="B260" s="165"/>
      <c r="C260" s="74">
        <f>+D221</f>
        <v>1965625</v>
      </c>
      <c r="D260" s="168">
        <f>+B260+C260</f>
        <v>1965625</v>
      </c>
      <c r="F260" s="52"/>
      <c r="H260" s="164" t="s">
        <v>181</v>
      </c>
      <c r="I260" s="165"/>
      <c r="J260" s="74">
        <f>+K221</f>
        <v>0</v>
      </c>
      <c r="K260" s="196">
        <f>+I260+J260</f>
        <v>0</v>
      </c>
      <c r="M260" s="52"/>
    </row>
    <row r="261" spans="1:15" ht="15" customHeight="1" thickBot="1">
      <c r="A261" s="169"/>
      <c r="B261" s="170" t="e">
        <f>SUM(B256:B260)</f>
        <v>#REF!</v>
      </c>
      <c r="C261" s="171" t="e">
        <f>SUM(C256:C260)</f>
        <v>#REF!</v>
      </c>
      <c r="D261" s="172" t="e">
        <f>SUM(D256:D260)</f>
        <v>#REF!</v>
      </c>
      <c r="H261" s="169"/>
      <c r="I261" s="197">
        <f>SUM(I256:I260)</f>
        <v>20912300</v>
      </c>
      <c r="J261" s="197">
        <f>SUM(J256:J260)</f>
        <v>242029830</v>
      </c>
      <c r="K261" s="198">
        <f>SUM(K256:K260)</f>
        <v>262942130</v>
      </c>
    </row>
    <row r="262" spans="1:15" ht="15" customHeight="1">
      <c r="A262" s="49" t="s">
        <v>88</v>
      </c>
      <c r="B262" s="50"/>
      <c r="H262" s="49" t="s">
        <v>88</v>
      </c>
      <c r="I262" s="50"/>
    </row>
    <row r="263" spans="1:15" ht="12.75" customHeight="1">
      <c r="A263" s="51" t="s">
        <v>89</v>
      </c>
      <c r="H263" s="51" t="s">
        <v>89</v>
      </c>
    </row>
    <row r="264" spans="1:15" ht="12" customHeight="1">
      <c r="A264" s="51" t="s">
        <v>90</v>
      </c>
      <c r="H264" s="51" t="s">
        <v>90</v>
      </c>
    </row>
    <row r="265" spans="1:15" ht="13.5" customHeight="1">
      <c r="A265" s="51" t="s">
        <v>91</v>
      </c>
      <c r="H265" s="51" t="s">
        <v>91</v>
      </c>
    </row>
    <row r="266" spans="1:15" ht="4.5" customHeight="1">
      <c r="A266" s="50"/>
      <c r="B266" s="50"/>
      <c r="H266" s="50"/>
      <c r="I266" s="50"/>
    </row>
    <row r="267" spans="1:15" ht="14.25" customHeight="1">
      <c r="A267" s="52" t="s">
        <v>264</v>
      </c>
      <c r="G267" s="52"/>
      <c r="H267" s="52" t="s">
        <v>1731</v>
      </c>
      <c r="I267" s="244"/>
      <c r="N267" s="52"/>
    </row>
    <row r="268" spans="1:15" ht="15.75">
      <c r="A268" s="53" t="s">
        <v>92</v>
      </c>
      <c r="G268" s="53"/>
      <c r="H268" s="53" t="s">
        <v>2270</v>
      </c>
      <c r="N268" s="53"/>
    </row>
    <row r="269" spans="1:15" ht="14.25" customHeight="1">
      <c r="A269" s="894" t="s">
        <v>261</v>
      </c>
      <c r="B269" s="894"/>
      <c r="C269" s="894"/>
      <c r="D269" s="894"/>
      <c r="E269" s="894"/>
      <c r="F269" s="894"/>
      <c r="G269" s="894"/>
      <c r="H269" s="894" t="s">
        <v>212</v>
      </c>
      <c r="I269" s="894"/>
      <c r="J269" s="894"/>
      <c r="K269" s="894"/>
      <c r="L269" s="894"/>
      <c r="M269" s="894"/>
      <c r="N269" s="894"/>
      <c r="O269" s="894"/>
    </row>
    <row r="270" spans="1:15" ht="9" customHeight="1" thickBot="1"/>
    <row r="271" spans="1:15">
      <c r="A271" s="895" t="s">
        <v>94</v>
      </c>
      <c r="B271" s="897" t="s">
        <v>95</v>
      </c>
      <c r="C271" s="897" t="s">
        <v>96</v>
      </c>
      <c r="D271" s="897" t="s">
        <v>3</v>
      </c>
      <c r="E271" s="897" t="s">
        <v>97</v>
      </c>
      <c r="F271" s="897" t="s">
        <v>98</v>
      </c>
      <c r="G271" s="500" t="s">
        <v>99</v>
      </c>
      <c r="H271" s="895" t="s">
        <v>94</v>
      </c>
      <c r="I271" s="897" t="s">
        <v>95</v>
      </c>
      <c r="J271" s="897" t="s">
        <v>96</v>
      </c>
      <c r="K271" s="897" t="s">
        <v>3</v>
      </c>
      <c r="L271" s="897" t="s">
        <v>97</v>
      </c>
      <c r="M271" s="897" t="s">
        <v>98</v>
      </c>
      <c r="N271" s="897" t="s">
        <v>99</v>
      </c>
      <c r="O271" s="899"/>
    </row>
    <row r="272" spans="1:15" ht="15.75" thickBot="1">
      <c r="A272" s="896"/>
      <c r="B272" s="898"/>
      <c r="C272" s="898"/>
      <c r="D272" s="898"/>
      <c r="E272" s="898"/>
      <c r="F272" s="898"/>
      <c r="G272" s="240" t="s">
        <v>100</v>
      </c>
      <c r="H272" s="896"/>
      <c r="I272" s="898"/>
      <c r="J272" s="898"/>
      <c r="K272" s="898"/>
      <c r="L272" s="898"/>
      <c r="M272" s="898"/>
      <c r="N272" s="240" t="s">
        <v>100</v>
      </c>
      <c r="O272" s="182" t="s">
        <v>101</v>
      </c>
    </row>
    <row r="273" spans="1:17" ht="11.25" customHeight="1">
      <c r="A273" s="881" t="e">
        <f>+A238+1</f>
        <v>#REF!</v>
      </c>
      <c r="B273" s="875">
        <v>42254</v>
      </c>
      <c r="C273" s="877" t="s">
        <v>267</v>
      </c>
      <c r="D273" s="881" t="s">
        <v>266</v>
      </c>
      <c r="E273" s="881" t="s">
        <v>148</v>
      </c>
      <c r="F273" s="883">
        <v>252000</v>
      </c>
      <c r="G273" s="55">
        <v>719</v>
      </c>
      <c r="H273" s="873" t="s">
        <v>2312</v>
      </c>
      <c r="I273" s="875">
        <v>44934</v>
      </c>
      <c r="J273" s="627" t="s">
        <v>2310</v>
      </c>
      <c r="K273" s="881" t="s">
        <v>2272</v>
      </c>
      <c r="L273" s="881" t="s">
        <v>115</v>
      </c>
      <c r="M273" s="883">
        <v>3000000</v>
      </c>
      <c r="N273" s="55">
        <v>719</v>
      </c>
      <c r="O273" s="78"/>
    </row>
    <row r="274" spans="1:17" ht="14.25" customHeight="1" thickBot="1">
      <c r="A274" s="882"/>
      <c r="B274" s="934"/>
      <c r="C274" s="878"/>
      <c r="D274" s="882"/>
      <c r="E274" s="882"/>
      <c r="F274" s="884"/>
      <c r="G274" s="56">
        <v>721</v>
      </c>
      <c r="H274" s="882"/>
      <c r="I274" s="876"/>
      <c r="J274" s="629"/>
      <c r="K274" s="882"/>
      <c r="L274" s="882"/>
      <c r="M274" s="884"/>
      <c r="N274" s="56">
        <v>723</v>
      </c>
      <c r="O274" s="352">
        <f>+M273</f>
        <v>3000000</v>
      </c>
    </row>
    <row r="275" spans="1:17" ht="12" customHeight="1">
      <c r="A275" s="881" t="e">
        <f>+A273+1</f>
        <v>#REF!</v>
      </c>
      <c r="B275" s="875">
        <v>42254</v>
      </c>
      <c r="C275" s="881" t="s">
        <v>28</v>
      </c>
      <c r="D275" s="881" t="s">
        <v>258</v>
      </c>
      <c r="E275" s="881" t="s">
        <v>148</v>
      </c>
      <c r="F275" s="883">
        <v>560000</v>
      </c>
      <c r="G275" s="55">
        <v>719</v>
      </c>
      <c r="H275" s="873" t="s">
        <v>2313</v>
      </c>
      <c r="I275" s="875">
        <v>44934</v>
      </c>
      <c r="J275" s="877" t="s">
        <v>2311</v>
      </c>
      <c r="K275" s="881" t="s">
        <v>2272</v>
      </c>
      <c r="L275" s="881" t="s">
        <v>115</v>
      </c>
      <c r="M275" s="883">
        <v>1200000</v>
      </c>
      <c r="N275" s="55">
        <v>719</v>
      </c>
      <c r="O275" s="258"/>
    </row>
    <row r="276" spans="1:17" ht="11.25" customHeight="1" thickBot="1">
      <c r="A276" s="882"/>
      <c r="B276" s="934"/>
      <c r="C276" s="882"/>
      <c r="D276" s="882"/>
      <c r="E276" s="882"/>
      <c r="F276" s="884"/>
      <c r="G276" s="56">
        <v>721</v>
      </c>
      <c r="H276" s="882"/>
      <c r="I276" s="876"/>
      <c r="J276" s="878"/>
      <c r="K276" s="882"/>
      <c r="L276" s="882"/>
      <c r="M276" s="884"/>
      <c r="N276" s="56">
        <v>723</v>
      </c>
      <c r="O276" s="352">
        <f>+M275</f>
        <v>1200000</v>
      </c>
    </row>
    <row r="277" spans="1:17" ht="12.75" customHeight="1">
      <c r="A277" s="881" t="e">
        <f>+A275+1</f>
        <v>#REF!</v>
      </c>
      <c r="B277" s="875">
        <v>42254</v>
      </c>
      <c r="C277" s="877" t="s">
        <v>32</v>
      </c>
      <c r="D277" s="881" t="s">
        <v>265</v>
      </c>
      <c r="E277" s="881" t="s">
        <v>148</v>
      </c>
      <c r="F277" s="883">
        <v>154000</v>
      </c>
      <c r="G277" s="55">
        <v>719</v>
      </c>
      <c r="H277" s="873" t="s">
        <v>2314</v>
      </c>
      <c r="I277" s="875">
        <v>44934</v>
      </c>
      <c r="J277" s="877" t="s">
        <v>1897</v>
      </c>
      <c r="K277" s="881" t="s">
        <v>2272</v>
      </c>
      <c r="L277" s="881" t="s">
        <v>115</v>
      </c>
      <c r="M277" s="883">
        <v>3600000</v>
      </c>
      <c r="N277" s="55">
        <v>719</v>
      </c>
      <c r="O277" s="258"/>
      <c r="Q277" s="51" t="s">
        <v>2146</v>
      </c>
    </row>
    <row r="278" spans="1:17" ht="15.75" customHeight="1" thickBot="1">
      <c r="A278" s="882"/>
      <c r="B278" s="934"/>
      <c r="C278" s="878"/>
      <c r="D278" s="882"/>
      <c r="E278" s="882"/>
      <c r="F278" s="884"/>
      <c r="G278" s="56">
        <v>721</v>
      </c>
      <c r="H278" s="882"/>
      <c r="I278" s="876"/>
      <c r="J278" s="878"/>
      <c r="K278" s="882"/>
      <c r="L278" s="882"/>
      <c r="M278" s="884"/>
      <c r="N278" s="56">
        <v>723</v>
      </c>
      <c r="O278" s="352">
        <f>+M277</f>
        <v>3600000</v>
      </c>
    </row>
    <row r="279" spans="1:17" ht="12" customHeight="1">
      <c r="A279" s="881" t="e">
        <f>+A277+1</f>
        <v>#REF!</v>
      </c>
      <c r="B279" s="875">
        <v>42254</v>
      </c>
      <c r="C279" s="877" t="s">
        <v>31</v>
      </c>
      <c r="D279" s="881" t="s">
        <v>265</v>
      </c>
      <c r="E279" s="881" t="s">
        <v>148</v>
      </c>
      <c r="F279" s="883">
        <v>1078000</v>
      </c>
      <c r="G279" s="55">
        <v>719</v>
      </c>
      <c r="H279" s="873" t="s">
        <v>2315</v>
      </c>
      <c r="I279" s="875">
        <v>44934</v>
      </c>
      <c r="J279" s="910" t="s">
        <v>1984</v>
      </c>
      <c r="K279" s="881" t="s">
        <v>2272</v>
      </c>
      <c r="L279" s="881" t="s">
        <v>115</v>
      </c>
      <c r="M279" s="883">
        <v>2400000</v>
      </c>
      <c r="N279" s="55">
        <v>719</v>
      </c>
      <c r="O279" s="258"/>
    </row>
    <row r="280" spans="1:17" ht="12" customHeight="1" thickBot="1">
      <c r="A280" s="882"/>
      <c r="B280" s="934"/>
      <c r="C280" s="878"/>
      <c r="D280" s="882"/>
      <c r="E280" s="882"/>
      <c r="F280" s="884"/>
      <c r="G280" s="56">
        <v>721</v>
      </c>
      <c r="H280" s="882"/>
      <c r="I280" s="876"/>
      <c r="J280" s="911"/>
      <c r="K280" s="882"/>
      <c r="L280" s="882"/>
      <c r="M280" s="884"/>
      <c r="N280" s="56">
        <v>723</v>
      </c>
      <c r="O280" s="352">
        <f>+M279</f>
        <v>2400000</v>
      </c>
    </row>
    <row r="281" spans="1:17" ht="12" customHeight="1">
      <c r="A281" s="251"/>
      <c r="B281" s="452"/>
      <c r="C281" s="253"/>
      <c r="D281" s="251"/>
      <c r="E281" s="251"/>
      <c r="F281" s="254"/>
      <c r="G281" s="255"/>
      <c r="H281" s="873" t="s">
        <v>2316</v>
      </c>
      <c r="I281" s="875">
        <v>44934</v>
      </c>
      <c r="J281" s="910" t="s">
        <v>1984</v>
      </c>
      <c r="K281" s="881" t="s">
        <v>2272</v>
      </c>
      <c r="L281" s="881" t="s">
        <v>115</v>
      </c>
      <c r="M281" s="883">
        <v>3600000</v>
      </c>
      <c r="N281" s="55">
        <v>719</v>
      </c>
      <c r="O281" s="258"/>
    </row>
    <row r="282" spans="1:17" ht="14.25" customHeight="1" thickBot="1">
      <c r="A282" s="251"/>
      <c r="B282" s="452"/>
      <c r="C282" s="253"/>
      <c r="D282" s="251"/>
      <c r="E282" s="251"/>
      <c r="F282" s="254"/>
      <c r="G282" s="255"/>
      <c r="H282" s="882"/>
      <c r="I282" s="876"/>
      <c r="J282" s="911"/>
      <c r="K282" s="882"/>
      <c r="L282" s="882"/>
      <c r="M282" s="884"/>
      <c r="N282" s="56">
        <v>723</v>
      </c>
      <c r="O282" s="352">
        <f>+M281</f>
        <v>3600000</v>
      </c>
    </row>
    <row r="283" spans="1:17" ht="11.25" customHeight="1">
      <c r="A283" s="881" t="e">
        <f>+A279+1</f>
        <v>#REF!</v>
      </c>
      <c r="B283" s="875">
        <v>42254</v>
      </c>
      <c r="C283" s="877" t="s">
        <v>111</v>
      </c>
      <c r="D283" s="881" t="s">
        <v>268</v>
      </c>
      <c r="E283" s="881" t="s">
        <v>148</v>
      </c>
      <c r="F283" s="883">
        <v>112000</v>
      </c>
      <c r="G283" s="55">
        <v>719</v>
      </c>
      <c r="H283" s="873" t="s">
        <v>2317</v>
      </c>
      <c r="I283" s="875">
        <v>44934</v>
      </c>
      <c r="J283" s="877" t="s">
        <v>806</v>
      </c>
      <c r="K283" s="881" t="s">
        <v>2272</v>
      </c>
      <c r="L283" s="881" t="s">
        <v>165</v>
      </c>
      <c r="M283" s="883">
        <v>1600000</v>
      </c>
      <c r="N283" s="496">
        <v>719</v>
      </c>
      <c r="O283" s="258"/>
    </row>
    <row r="284" spans="1:17" ht="15.75" customHeight="1" thickBot="1">
      <c r="A284" s="882"/>
      <c r="B284" s="934"/>
      <c r="C284" s="878"/>
      <c r="D284" s="882"/>
      <c r="E284" s="882"/>
      <c r="F284" s="884"/>
      <c r="G284" s="56">
        <v>721</v>
      </c>
      <c r="H284" s="882"/>
      <c r="I284" s="876"/>
      <c r="J284" s="878"/>
      <c r="K284" s="882"/>
      <c r="L284" s="882"/>
      <c r="M284" s="884"/>
      <c r="N284" s="56">
        <v>723</v>
      </c>
      <c r="O284" s="352">
        <f>+M283-O283</f>
        <v>1600000</v>
      </c>
    </row>
    <row r="285" spans="1:17" ht="13.5" customHeight="1" thickBot="1">
      <c r="A285" s="901" t="s">
        <v>102</v>
      </c>
      <c r="B285" s="902"/>
      <c r="C285" s="902"/>
      <c r="D285" s="902"/>
      <c r="E285" s="903"/>
      <c r="F285" s="81">
        <f>SUM(F273:F284)</f>
        <v>2156000</v>
      </c>
      <c r="H285" s="901" t="s">
        <v>102</v>
      </c>
      <c r="I285" s="902"/>
      <c r="J285" s="902"/>
      <c r="K285" s="902"/>
      <c r="L285" s="903"/>
      <c r="M285" s="81">
        <f>SUM(M273:M284)</f>
        <v>15400000</v>
      </c>
    </row>
    <row r="286" spans="1:17" ht="14.25" customHeight="1" thickBot="1">
      <c r="A286" s="885" t="s">
        <v>103</v>
      </c>
      <c r="B286" s="886"/>
      <c r="C286" s="886"/>
      <c r="D286" s="886"/>
      <c r="E286" s="887"/>
      <c r="F286" s="69" t="e">
        <f>+F248</f>
        <v>#REF!</v>
      </c>
      <c r="H286" s="885" t="s">
        <v>103</v>
      </c>
      <c r="I286" s="886"/>
      <c r="J286" s="886"/>
      <c r="K286" s="886"/>
      <c r="L286" s="887"/>
      <c r="M286" s="239">
        <f>+M248</f>
        <v>262942130</v>
      </c>
      <c r="N286" s="241" t="s">
        <v>561</v>
      </c>
      <c r="O286" s="242"/>
    </row>
    <row r="287" spans="1:17" ht="15.75" customHeight="1" thickBot="1">
      <c r="A287" s="888" t="s">
        <v>104</v>
      </c>
      <c r="B287" s="889"/>
      <c r="C287" s="889"/>
      <c r="D287" s="889"/>
      <c r="E287" s="890"/>
      <c r="F287" s="183" t="e">
        <f>SUM(F285:F286)</f>
        <v>#REF!</v>
      </c>
      <c r="H287" s="888" t="s">
        <v>104</v>
      </c>
      <c r="I287" s="889"/>
      <c r="J287" s="889"/>
      <c r="K287" s="889"/>
      <c r="L287" s="890"/>
      <c r="M287" s="183">
        <f>SUM(M285:M286)</f>
        <v>278342130</v>
      </c>
    </row>
    <row r="288" spans="1:17" ht="6.75" customHeight="1">
      <c r="A288" s="61"/>
      <c r="B288" s="61"/>
      <c r="C288" s="61"/>
      <c r="D288" s="61"/>
      <c r="E288" s="61"/>
      <c r="H288" s="61"/>
      <c r="I288" s="61"/>
      <c r="J288" s="61"/>
      <c r="K288" s="61"/>
      <c r="L288" s="61"/>
    </row>
    <row r="289" spans="1:15">
      <c r="A289" s="51" t="s">
        <v>269</v>
      </c>
      <c r="H289" s="51" t="s">
        <v>2318</v>
      </c>
    </row>
    <row r="290" spans="1:15" ht="3.75" customHeight="1">
      <c r="F290" s="139"/>
      <c r="M290" s="139"/>
    </row>
    <row r="291" spans="1:15" ht="12.75" customHeight="1">
      <c r="A291" s="50" t="s">
        <v>105</v>
      </c>
      <c r="D291" s="146"/>
      <c r="F291" s="139"/>
      <c r="H291" s="50" t="s">
        <v>105</v>
      </c>
      <c r="K291" s="146"/>
      <c r="M291" s="139"/>
    </row>
    <row r="292" spans="1:15" ht="3.75" customHeight="1" thickBot="1"/>
    <row r="293" spans="1:15" ht="17.25" thickBot="1">
      <c r="A293" s="891" t="s">
        <v>106</v>
      </c>
      <c r="B293" s="892"/>
      <c r="C293" s="892"/>
      <c r="D293" s="893"/>
      <c r="F293" s="50" t="s">
        <v>270</v>
      </c>
      <c r="H293" s="891" t="s">
        <v>106</v>
      </c>
      <c r="I293" s="892"/>
      <c r="J293" s="892"/>
      <c r="K293" s="893"/>
      <c r="M293" s="604" t="s">
        <v>288</v>
      </c>
      <c r="N293" s="604"/>
      <c r="O293" s="604"/>
    </row>
    <row r="294" spans="1:15" ht="31.5" thickBot="1">
      <c r="A294" s="57" t="s">
        <v>100</v>
      </c>
      <c r="B294" s="58" t="s">
        <v>108</v>
      </c>
      <c r="C294" s="59" t="s">
        <v>109</v>
      </c>
      <c r="D294" s="60" t="s">
        <v>110</v>
      </c>
      <c r="H294" s="57" t="s">
        <v>100</v>
      </c>
      <c r="I294" s="58" t="s">
        <v>108</v>
      </c>
      <c r="J294" s="59" t="s">
        <v>109</v>
      </c>
      <c r="K294" s="60" t="s">
        <v>110</v>
      </c>
      <c r="M294" s="12"/>
    </row>
    <row r="295" spans="1:15" ht="12.75" customHeight="1">
      <c r="A295" s="71">
        <v>719</v>
      </c>
      <c r="B295" s="73" t="e">
        <f>+#REF!+#REF!+#REF!+#REF!+#REF!</f>
        <v>#REF!</v>
      </c>
      <c r="C295" s="74" t="e">
        <f>+D256</f>
        <v>#REF!</v>
      </c>
      <c r="D295" s="76" t="e">
        <f>+B295+C295</f>
        <v>#REF!</v>
      </c>
      <c r="H295" s="71">
        <v>719</v>
      </c>
      <c r="I295" s="73">
        <f>+O273+O275+O277+O279+O283</f>
        <v>0</v>
      </c>
      <c r="J295" s="74">
        <f>+K256</f>
        <v>0</v>
      </c>
      <c r="K295" s="195">
        <f>+I295+J295</f>
        <v>0</v>
      </c>
      <c r="M295" s="12"/>
    </row>
    <row r="296" spans="1:15" ht="13.5" customHeight="1">
      <c r="A296" s="72">
        <v>721</v>
      </c>
      <c r="B296" s="80" t="e">
        <f>+#REF!+#REF!+#REF!+#REF!+#REF!</f>
        <v>#REF!</v>
      </c>
      <c r="C296" s="74" t="e">
        <f>+D257</f>
        <v>#REF!</v>
      </c>
      <c r="D296" s="76" t="e">
        <f>+B296+C296</f>
        <v>#REF!</v>
      </c>
      <c r="H296" s="72">
        <v>721</v>
      </c>
      <c r="I296" s="80"/>
      <c r="J296" s="74">
        <f>+K257</f>
        <v>0</v>
      </c>
      <c r="K296" s="195">
        <f>+I296+J296</f>
        <v>0</v>
      </c>
      <c r="M296" s="12"/>
    </row>
    <row r="297" spans="1:15" ht="12.75" customHeight="1">
      <c r="A297" s="72">
        <v>722</v>
      </c>
      <c r="B297" s="80"/>
      <c r="C297" s="74" t="e">
        <f>+D258</f>
        <v>#REF!</v>
      </c>
      <c r="D297" s="76" t="e">
        <f>+B297+C297</f>
        <v>#REF!</v>
      </c>
      <c r="H297" s="72">
        <v>722</v>
      </c>
      <c r="I297" s="80"/>
      <c r="J297" s="74">
        <f>+K258</f>
        <v>0</v>
      </c>
      <c r="K297" s="195">
        <f>+I297+J297</f>
        <v>0</v>
      </c>
      <c r="M297" s="12"/>
    </row>
    <row r="298" spans="1:15" ht="16.5" customHeight="1" thickBot="1">
      <c r="A298" s="72">
        <v>723</v>
      </c>
      <c r="B298" s="80"/>
      <c r="C298" s="74">
        <f>+D259</f>
        <v>319828837</v>
      </c>
      <c r="D298" s="76">
        <f>+B298+C298</f>
        <v>319828837</v>
      </c>
      <c r="F298" s="174" t="s">
        <v>262</v>
      </c>
      <c r="G298" s="175"/>
      <c r="H298" s="72">
        <v>723</v>
      </c>
      <c r="I298" s="80">
        <f>+M285</f>
        <v>15400000</v>
      </c>
      <c r="J298" s="74">
        <f>+K259</f>
        <v>262942130</v>
      </c>
      <c r="K298" s="195">
        <f>+I298+J298</f>
        <v>278342130</v>
      </c>
      <c r="M298" s="956" t="s">
        <v>2147</v>
      </c>
      <c r="N298" s="956"/>
      <c r="O298" s="956"/>
    </row>
    <row r="299" spans="1:15" ht="14.25" hidden="1" customHeight="1" thickBot="1">
      <c r="A299" s="164" t="s">
        <v>181</v>
      </c>
      <c r="B299" s="165"/>
      <c r="C299" s="74">
        <f>+D260</f>
        <v>1965625</v>
      </c>
      <c r="D299" s="168">
        <f>+B299+C299</f>
        <v>1965625</v>
      </c>
      <c r="F299" s="52"/>
      <c r="H299" s="164" t="s">
        <v>181</v>
      </c>
      <c r="I299" s="165"/>
      <c r="J299" s="74">
        <f>+K260</f>
        <v>0</v>
      </c>
      <c r="K299" s="196">
        <f>+I299+J299</f>
        <v>0</v>
      </c>
      <c r="M299" s="52"/>
    </row>
    <row r="300" spans="1:15" ht="16.5" thickBot="1">
      <c r="A300" s="169"/>
      <c r="B300" s="170" t="e">
        <f>SUM(B295:B299)</f>
        <v>#REF!</v>
      </c>
      <c r="C300" s="171" t="e">
        <f>SUM(C295:C299)</f>
        <v>#REF!</v>
      </c>
      <c r="D300" s="172" t="e">
        <f>SUM(D295:D299)</f>
        <v>#REF!</v>
      </c>
      <c r="H300" s="169"/>
      <c r="I300" s="197">
        <f>SUM(I295:I299)</f>
        <v>15400000</v>
      </c>
      <c r="J300" s="197">
        <f>SUM(J295:J299)</f>
        <v>262942130</v>
      </c>
      <c r="K300" s="198">
        <f>SUM(K295:K299)</f>
        <v>278342130</v>
      </c>
    </row>
    <row r="301" spans="1:15" ht="14.25" customHeight="1">
      <c r="A301" s="49" t="s">
        <v>88</v>
      </c>
      <c r="B301" s="50"/>
      <c r="H301" s="49" t="s">
        <v>88</v>
      </c>
      <c r="I301" s="50"/>
    </row>
    <row r="302" spans="1:15" ht="12.75" customHeight="1">
      <c r="A302" s="51" t="s">
        <v>89</v>
      </c>
      <c r="H302" s="51" t="s">
        <v>89</v>
      </c>
    </row>
    <row r="303" spans="1:15" ht="12.75" customHeight="1">
      <c r="A303" s="51" t="s">
        <v>90</v>
      </c>
      <c r="H303" s="51" t="s">
        <v>90</v>
      </c>
    </row>
    <row r="304" spans="1:15">
      <c r="A304" s="51" t="s">
        <v>91</v>
      </c>
      <c r="H304" s="51" t="s">
        <v>91</v>
      </c>
    </row>
    <row r="305" spans="1:15" ht="3.75" customHeight="1">
      <c r="A305" s="50"/>
      <c r="B305" s="50"/>
      <c r="H305" s="50"/>
      <c r="I305" s="50"/>
    </row>
    <row r="306" spans="1:15" ht="13.5" customHeight="1">
      <c r="A306" s="52" t="s">
        <v>271</v>
      </c>
      <c r="G306" s="52"/>
      <c r="H306" s="52" t="s">
        <v>573</v>
      </c>
      <c r="N306" s="52"/>
    </row>
    <row r="307" spans="1:15" ht="14.25" customHeight="1">
      <c r="A307" s="53" t="s">
        <v>92</v>
      </c>
      <c r="G307" s="53"/>
      <c r="H307" s="53" t="s">
        <v>2270</v>
      </c>
      <c r="N307" s="53"/>
    </row>
    <row r="308" spans="1:15" ht="15" customHeight="1">
      <c r="A308" s="894" t="s">
        <v>261</v>
      </c>
      <c r="B308" s="894"/>
      <c r="C308" s="894"/>
      <c r="D308" s="894"/>
      <c r="E308" s="894"/>
      <c r="F308" s="894"/>
      <c r="G308" s="894"/>
      <c r="H308" s="894" t="s">
        <v>212</v>
      </c>
      <c r="I308" s="894"/>
      <c r="J308" s="894"/>
      <c r="K308" s="894"/>
      <c r="L308" s="894"/>
      <c r="M308" s="894"/>
      <c r="N308" s="894"/>
      <c r="O308" s="894"/>
    </row>
    <row r="309" spans="1:15" ht="6" customHeight="1" thickBot="1"/>
    <row r="310" spans="1:15">
      <c r="A310" s="895" t="s">
        <v>94</v>
      </c>
      <c r="B310" s="897" t="s">
        <v>95</v>
      </c>
      <c r="C310" s="897" t="s">
        <v>96</v>
      </c>
      <c r="D310" s="897" t="s">
        <v>3</v>
      </c>
      <c r="E310" s="897" t="s">
        <v>97</v>
      </c>
      <c r="F310" s="897" t="s">
        <v>98</v>
      </c>
      <c r="G310" s="500" t="s">
        <v>99</v>
      </c>
      <c r="H310" s="895" t="s">
        <v>94</v>
      </c>
      <c r="I310" s="897" t="s">
        <v>95</v>
      </c>
      <c r="J310" s="897" t="s">
        <v>96</v>
      </c>
      <c r="K310" s="897" t="s">
        <v>3</v>
      </c>
      <c r="L310" s="897" t="s">
        <v>97</v>
      </c>
      <c r="M310" s="897" t="s">
        <v>98</v>
      </c>
      <c r="N310" s="897" t="s">
        <v>99</v>
      </c>
      <c r="O310" s="899"/>
    </row>
    <row r="311" spans="1:15" ht="15.75" thickBot="1">
      <c r="A311" s="896"/>
      <c r="B311" s="898"/>
      <c r="C311" s="898"/>
      <c r="D311" s="898"/>
      <c r="E311" s="898"/>
      <c r="F311" s="898"/>
      <c r="G311" s="240" t="s">
        <v>100</v>
      </c>
      <c r="H311" s="896"/>
      <c r="I311" s="898"/>
      <c r="J311" s="898"/>
      <c r="K311" s="898"/>
      <c r="L311" s="898"/>
      <c r="M311" s="898"/>
      <c r="N311" s="240" t="s">
        <v>100</v>
      </c>
      <c r="O311" s="182" t="s">
        <v>101</v>
      </c>
    </row>
    <row r="312" spans="1:15" ht="12.75" customHeight="1">
      <c r="A312" s="881" t="e">
        <f>+A283+1</f>
        <v>#REF!</v>
      </c>
      <c r="B312" s="875">
        <v>42261</v>
      </c>
      <c r="C312" s="877" t="s">
        <v>267</v>
      </c>
      <c r="D312" s="881" t="s">
        <v>273</v>
      </c>
      <c r="E312" s="881" t="s">
        <v>148</v>
      </c>
      <c r="F312" s="883">
        <v>154000</v>
      </c>
      <c r="G312" s="55">
        <v>719</v>
      </c>
      <c r="H312" s="873" t="s">
        <v>2324</v>
      </c>
      <c r="I312" s="875">
        <v>44934</v>
      </c>
      <c r="J312" s="877" t="s">
        <v>2329</v>
      </c>
      <c r="K312" s="881" t="s">
        <v>2272</v>
      </c>
      <c r="L312" s="881" t="s">
        <v>1908</v>
      </c>
      <c r="M312" s="883">
        <v>1020000</v>
      </c>
      <c r="N312" s="55">
        <v>719</v>
      </c>
      <c r="O312" s="78">
        <v>0</v>
      </c>
    </row>
    <row r="313" spans="1:15" ht="12" customHeight="1" thickBot="1">
      <c r="A313" s="882"/>
      <c r="B313" s="934"/>
      <c r="C313" s="878"/>
      <c r="D313" s="882"/>
      <c r="E313" s="882"/>
      <c r="F313" s="884"/>
      <c r="G313" s="56">
        <v>721</v>
      </c>
      <c r="H313" s="882"/>
      <c r="I313" s="876"/>
      <c r="J313" s="878"/>
      <c r="K313" s="882"/>
      <c r="L313" s="882"/>
      <c r="M313" s="884"/>
      <c r="N313" s="56">
        <v>723</v>
      </c>
      <c r="O313" s="79">
        <f>+M312-O312</f>
        <v>1020000</v>
      </c>
    </row>
    <row r="314" spans="1:15" ht="12.75" customHeight="1">
      <c r="A314" s="881" t="e">
        <f>+A312+1</f>
        <v>#REF!</v>
      </c>
      <c r="B314" s="875">
        <v>42261</v>
      </c>
      <c r="C314" s="881" t="s">
        <v>28</v>
      </c>
      <c r="D314" s="881" t="s">
        <v>274</v>
      </c>
      <c r="E314" s="881" t="s">
        <v>148</v>
      </c>
      <c r="F314" s="883">
        <v>238000</v>
      </c>
      <c r="G314" s="55">
        <v>719</v>
      </c>
      <c r="H314" s="873" t="s">
        <v>2325</v>
      </c>
      <c r="I314" s="875">
        <v>44934</v>
      </c>
      <c r="J314" s="877" t="s">
        <v>2330</v>
      </c>
      <c r="K314" s="881" t="s">
        <v>2272</v>
      </c>
      <c r="L314" s="881" t="s">
        <v>1908</v>
      </c>
      <c r="M314" s="883">
        <v>2400000</v>
      </c>
      <c r="N314" s="55">
        <v>719</v>
      </c>
      <c r="O314" s="78"/>
    </row>
    <row r="315" spans="1:15" ht="14.25" customHeight="1" thickBot="1">
      <c r="A315" s="882"/>
      <c r="B315" s="934"/>
      <c r="C315" s="882"/>
      <c r="D315" s="882"/>
      <c r="E315" s="882"/>
      <c r="F315" s="884"/>
      <c r="G315" s="56">
        <v>721</v>
      </c>
      <c r="H315" s="882"/>
      <c r="I315" s="876"/>
      <c r="J315" s="878"/>
      <c r="K315" s="882"/>
      <c r="L315" s="882"/>
      <c r="M315" s="884"/>
      <c r="N315" s="56">
        <v>723</v>
      </c>
      <c r="O315" s="79">
        <f>+M314-O314</f>
        <v>2400000</v>
      </c>
    </row>
    <row r="316" spans="1:15" ht="12" customHeight="1">
      <c r="A316" s="881" t="e">
        <f>+A314+1</f>
        <v>#REF!</v>
      </c>
      <c r="B316" s="875">
        <v>42261</v>
      </c>
      <c r="C316" s="877" t="s">
        <v>32</v>
      </c>
      <c r="D316" s="881" t="s">
        <v>275</v>
      </c>
      <c r="E316" s="881" t="s">
        <v>148</v>
      </c>
      <c r="F316" s="883">
        <v>98000</v>
      </c>
      <c r="G316" s="55">
        <v>719</v>
      </c>
      <c r="H316" s="873" t="s">
        <v>2326</v>
      </c>
      <c r="I316" s="875">
        <v>44934</v>
      </c>
      <c r="J316" s="877" t="s">
        <v>2331</v>
      </c>
      <c r="K316" s="881" t="s">
        <v>2272</v>
      </c>
      <c r="L316" s="881" t="s">
        <v>165</v>
      </c>
      <c r="M316" s="883">
        <v>1200000</v>
      </c>
      <c r="N316" s="55">
        <v>719</v>
      </c>
      <c r="O316" s="78"/>
    </row>
    <row r="317" spans="1:15" ht="13.5" customHeight="1" thickBot="1">
      <c r="A317" s="882"/>
      <c r="B317" s="934"/>
      <c r="C317" s="878"/>
      <c r="D317" s="882"/>
      <c r="E317" s="882"/>
      <c r="F317" s="884"/>
      <c r="G317" s="56">
        <v>721</v>
      </c>
      <c r="H317" s="882"/>
      <c r="I317" s="876"/>
      <c r="J317" s="878"/>
      <c r="K317" s="882"/>
      <c r="L317" s="882"/>
      <c r="M317" s="884"/>
      <c r="N317" s="56">
        <v>723</v>
      </c>
      <c r="O317" s="79">
        <f>+M316-O316</f>
        <v>1200000</v>
      </c>
    </row>
    <row r="318" spans="1:15" ht="12.75" customHeight="1">
      <c r="A318" s="881" t="e">
        <f>+A316+1</f>
        <v>#REF!</v>
      </c>
      <c r="B318" s="875">
        <v>42261</v>
      </c>
      <c r="C318" s="877" t="s">
        <v>111</v>
      </c>
      <c r="D318" s="881" t="s">
        <v>273</v>
      </c>
      <c r="E318" s="881" t="s">
        <v>148</v>
      </c>
      <c r="F318" s="883">
        <v>42000</v>
      </c>
      <c r="G318" s="55">
        <v>719</v>
      </c>
      <c r="H318" s="873" t="s">
        <v>2327</v>
      </c>
      <c r="I318" s="875">
        <v>44934</v>
      </c>
      <c r="J318" s="877" t="s">
        <v>2266</v>
      </c>
      <c r="K318" s="881" t="s">
        <v>2272</v>
      </c>
      <c r="L318" s="881" t="s">
        <v>165</v>
      </c>
      <c r="M318" s="883">
        <v>1500000</v>
      </c>
      <c r="N318" s="55">
        <v>719</v>
      </c>
      <c r="O318" s="78"/>
    </row>
    <row r="319" spans="1:15" ht="13.5" customHeight="1" thickBot="1">
      <c r="A319" s="882"/>
      <c r="B319" s="934"/>
      <c r="C319" s="878"/>
      <c r="D319" s="882"/>
      <c r="E319" s="882"/>
      <c r="F319" s="884"/>
      <c r="G319" s="56">
        <v>721</v>
      </c>
      <c r="H319" s="882"/>
      <c r="I319" s="876"/>
      <c r="J319" s="878"/>
      <c r="K319" s="882"/>
      <c r="L319" s="882"/>
      <c r="M319" s="884"/>
      <c r="N319" s="56">
        <v>723</v>
      </c>
      <c r="O319" s="79">
        <f>+M318-O318</f>
        <v>1500000</v>
      </c>
    </row>
    <row r="320" spans="1:15" ht="13.5" customHeight="1">
      <c r="A320" s="251"/>
      <c r="B320" s="452"/>
      <c r="C320" s="253"/>
      <c r="D320" s="251"/>
      <c r="E320" s="251"/>
      <c r="F320" s="254"/>
      <c r="G320" s="255"/>
      <c r="H320" s="873" t="s">
        <v>2328</v>
      </c>
      <c r="I320" s="875">
        <v>44934</v>
      </c>
      <c r="J320" s="877" t="s">
        <v>2332</v>
      </c>
      <c r="K320" s="881" t="s">
        <v>2272</v>
      </c>
      <c r="L320" s="881" t="s">
        <v>165</v>
      </c>
      <c r="M320" s="883">
        <v>600000</v>
      </c>
      <c r="N320" s="55">
        <v>719</v>
      </c>
      <c r="O320" s="78"/>
    </row>
    <row r="321" spans="1:15" ht="13.5" customHeight="1" thickBot="1">
      <c r="A321" s="251"/>
      <c r="B321" s="452"/>
      <c r="C321" s="253"/>
      <c r="D321" s="251"/>
      <c r="E321" s="251"/>
      <c r="F321" s="254"/>
      <c r="G321" s="255"/>
      <c r="H321" s="882"/>
      <c r="I321" s="876"/>
      <c r="J321" s="878"/>
      <c r="K321" s="882"/>
      <c r="L321" s="882"/>
      <c r="M321" s="884"/>
      <c r="N321" s="56">
        <v>723</v>
      </c>
      <c r="O321" s="79">
        <f>+M320-O320</f>
        <v>600000</v>
      </c>
    </row>
    <row r="322" spans="1:15" ht="13.5" customHeight="1">
      <c r="A322" s="251"/>
      <c r="B322" s="452"/>
      <c r="C322" s="253"/>
      <c r="D322" s="251"/>
      <c r="E322" s="251"/>
      <c r="F322" s="254"/>
      <c r="G322" s="255"/>
      <c r="H322" s="873" t="s">
        <v>2333</v>
      </c>
      <c r="I322" s="875">
        <v>44934</v>
      </c>
      <c r="J322" s="877" t="s">
        <v>2334</v>
      </c>
      <c r="K322" s="881" t="s">
        <v>2272</v>
      </c>
      <c r="L322" s="881" t="s">
        <v>2335</v>
      </c>
      <c r="M322" s="883">
        <v>600000</v>
      </c>
      <c r="N322" s="55">
        <v>719</v>
      </c>
      <c r="O322" s="78"/>
    </row>
    <row r="323" spans="1:15" ht="13.5" customHeight="1" thickBot="1">
      <c r="A323" s="251"/>
      <c r="B323" s="452"/>
      <c r="C323" s="253"/>
      <c r="D323" s="251"/>
      <c r="E323" s="251"/>
      <c r="F323" s="254"/>
      <c r="G323" s="255"/>
      <c r="H323" s="882"/>
      <c r="I323" s="876"/>
      <c r="J323" s="878"/>
      <c r="K323" s="882"/>
      <c r="L323" s="882"/>
      <c r="M323" s="884"/>
      <c r="N323" s="56">
        <v>723</v>
      </c>
      <c r="O323" s="79">
        <f>+M322-O322</f>
        <v>600000</v>
      </c>
    </row>
    <row r="324" spans="1:15" ht="14.25" customHeight="1" thickBot="1">
      <c r="A324" s="901" t="s">
        <v>102</v>
      </c>
      <c r="B324" s="902"/>
      <c r="C324" s="902"/>
      <c r="D324" s="902"/>
      <c r="E324" s="903"/>
      <c r="F324" s="81">
        <f>SUM(F312:F323)</f>
        <v>532000</v>
      </c>
      <c r="H324" s="901" t="s">
        <v>102</v>
      </c>
      <c r="I324" s="902"/>
      <c r="J324" s="902"/>
      <c r="K324" s="902"/>
      <c r="L324" s="903"/>
      <c r="M324" s="81">
        <f>SUM(M312:M323)</f>
        <v>7320000</v>
      </c>
    </row>
    <row r="325" spans="1:15" ht="14.25" customHeight="1" thickBot="1">
      <c r="A325" s="885" t="s">
        <v>103</v>
      </c>
      <c r="B325" s="886"/>
      <c r="C325" s="886"/>
      <c r="D325" s="886"/>
      <c r="E325" s="887"/>
      <c r="F325" s="69" t="e">
        <f>+F287</f>
        <v>#REF!</v>
      </c>
      <c r="H325" s="885" t="s">
        <v>103</v>
      </c>
      <c r="I325" s="886"/>
      <c r="J325" s="886"/>
      <c r="K325" s="886"/>
      <c r="L325" s="887"/>
      <c r="M325" s="239">
        <f>+M287</f>
        <v>278342130</v>
      </c>
      <c r="N325" s="241" t="s">
        <v>561</v>
      </c>
      <c r="O325" s="242"/>
    </row>
    <row r="326" spans="1:15" ht="13.5" customHeight="1" thickBot="1">
      <c r="A326" s="888" t="s">
        <v>104</v>
      </c>
      <c r="B326" s="889"/>
      <c r="C326" s="889"/>
      <c r="D326" s="889"/>
      <c r="E326" s="890"/>
      <c r="F326" s="183" t="e">
        <f>SUM(F324:F325)</f>
        <v>#REF!</v>
      </c>
      <c r="H326" s="888" t="s">
        <v>104</v>
      </c>
      <c r="I326" s="889"/>
      <c r="J326" s="889"/>
      <c r="K326" s="889"/>
      <c r="L326" s="890"/>
      <c r="M326" s="183">
        <f>SUM(M324:M325)</f>
        <v>285662130</v>
      </c>
    </row>
    <row r="327" spans="1:15" ht="6" customHeight="1">
      <c r="A327" s="61"/>
      <c r="B327" s="61"/>
      <c r="C327" s="61"/>
      <c r="D327" s="61"/>
      <c r="E327" s="61"/>
      <c r="H327" s="61"/>
      <c r="I327" s="61"/>
      <c r="J327" s="61"/>
      <c r="K327" s="61"/>
      <c r="L327" s="61"/>
    </row>
    <row r="328" spans="1:15">
      <c r="A328" s="51" t="s">
        <v>276</v>
      </c>
      <c r="H328" s="51" t="s">
        <v>2336</v>
      </c>
    </row>
    <row r="329" spans="1:15" ht="6" customHeight="1">
      <c r="F329" s="139"/>
      <c r="M329" s="139"/>
    </row>
    <row r="330" spans="1:15" ht="12.75" customHeight="1">
      <c r="A330" s="50" t="s">
        <v>105</v>
      </c>
      <c r="D330" s="146"/>
      <c r="F330" s="139"/>
      <c r="H330" s="50" t="s">
        <v>105</v>
      </c>
      <c r="K330" s="146"/>
      <c r="M330" s="139"/>
    </row>
    <row r="331" spans="1:15" ht="5.25" customHeight="1" thickBot="1"/>
    <row r="332" spans="1:15" ht="17.25" thickBot="1">
      <c r="A332" s="891" t="s">
        <v>106</v>
      </c>
      <c r="B332" s="892"/>
      <c r="C332" s="892"/>
      <c r="D332" s="893"/>
      <c r="F332" s="50" t="s">
        <v>270</v>
      </c>
      <c r="H332" s="891" t="s">
        <v>106</v>
      </c>
      <c r="I332" s="892"/>
      <c r="J332" s="892"/>
      <c r="K332" s="893"/>
      <c r="M332" s="604" t="s">
        <v>288</v>
      </c>
      <c r="N332" s="604"/>
      <c r="O332" s="604"/>
    </row>
    <row r="333" spans="1:15" ht="30.75" thickBot="1">
      <c r="A333" s="57" t="s">
        <v>100</v>
      </c>
      <c r="B333" s="58" t="s">
        <v>108</v>
      </c>
      <c r="C333" s="59" t="s">
        <v>109</v>
      </c>
      <c r="D333" s="60" t="s">
        <v>110</v>
      </c>
      <c r="H333" s="57" t="s">
        <v>100</v>
      </c>
      <c r="I333" s="58" t="s">
        <v>108</v>
      </c>
      <c r="J333" s="59" t="s">
        <v>109</v>
      </c>
      <c r="K333" s="60" t="s">
        <v>110</v>
      </c>
    </row>
    <row r="334" spans="1:15" ht="12" customHeight="1">
      <c r="A334" s="71">
        <v>719</v>
      </c>
      <c r="B334" s="73" t="e">
        <f>+#REF!+#REF!+#REF!+#REF!+#REF!</f>
        <v>#REF!</v>
      </c>
      <c r="C334" s="74" t="e">
        <f>+D295</f>
        <v>#REF!</v>
      </c>
      <c r="D334" s="76" t="e">
        <f>+B334+C334</f>
        <v>#REF!</v>
      </c>
      <c r="H334" s="71">
        <v>719</v>
      </c>
      <c r="I334" s="73">
        <f>+O316+O318+O322</f>
        <v>0</v>
      </c>
      <c r="J334" s="74">
        <f>+K295</f>
        <v>0</v>
      </c>
      <c r="K334" s="195">
        <f>+I334+J334</f>
        <v>0</v>
      </c>
    </row>
    <row r="335" spans="1:15" ht="13.5" customHeight="1">
      <c r="A335" s="72">
        <v>721</v>
      </c>
      <c r="B335" s="80" t="e">
        <f>+#REF!+#REF!+#REF!+#REF!+#REF!</f>
        <v>#REF!</v>
      </c>
      <c r="C335" s="74" t="e">
        <f>+D296</f>
        <v>#REF!</v>
      </c>
      <c r="D335" s="76" t="e">
        <f>+B335+C335</f>
        <v>#REF!</v>
      </c>
      <c r="H335" s="72">
        <v>721</v>
      </c>
      <c r="I335" s="80"/>
      <c r="J335" s="74">
        <f>+K296</f>
        <v>0</v>
      </c>
      <c r="K335" s="195">
        <f>+I335+J335</f>
        <v>0</v>
      </c>
    </row>
    <row r="336" spans="1:15" ht="14.25" customHeight="1">
      <c r="A336" s="72">
        <v>722</v>
      </c>
      <c r="B336" s="80"/>
      <c r="C336" s="74" t="e">
        <f>+D297</f>
        <v>#REF!</v>
      </c>
      <c r="D336" s="76" t="e">
        <f>+B336+C336</f>
        <v>#REF!</v>
      </c>
      <c r="H336" s="72">
        <v>722</v>
      </c>
      <c r="I336" s="80"/>
      <c r="J336" s="74">
        <f>+K297</f>
        <v>0</v>
      </c>
      <c r="K336" s="195">
        <f>+I336+J336</f>
        <v>0</v>
      </c>
      <c r="M336" s="956" t="s">
        <v>2147</v>
      </c>
      <c r="N336" s="956"/>
      <c r="O336" s="956"/>
    </row>
    <row r="337" spans="1:16" ht="15" customHeight="1" thickBot="1">
      <c r="A337" s="72">
        <v>723</v>
      </c>
      <c r="B337" s="80"/>
      <c r="C337" s="74">
        <f>+D298</f>
        <v>319828837</v>
      </c>
      <c r="D337" s="76">
        <f>+B337+C337</f>
        <v>319828837</v>
      </c>
      <c r="F337" s="174" t="s">
        <v>262</v>
      </c>
      <c r="G337" s="175"/>
      <c r="H337" s="72">
        <v>723</v>
      </c>
      <c r="I337" s="80">
        <f>+O313+O315+O317+O319+O321+O323</f>
        <v>7320000</v>
      </c>
      <c r="J337" s="74">
        <f>+K298</f>
        <v>278342130</v>
      </c>
      <c r="K337" s="475">
        <f>+I337+J337</f>
        <v>285662130</v>
      </c>
      <c r="M337" s="609"/>
      <c r="N337" s="609"/>
      <c r="O337" s="609"/>
      <c r="P337" s="259"/>
    </row>
    <row r="338" spans="1:16" ht="13.5" hidden="1" customHeight="1" thickBot="1">
      <c r="A338" s="164" t="s">
        <v>181</v>
      </c>
      <c r="B338" s="165"/>
      <c r="C338" s="74">
        <f>+D299</f>
        <v>1965625</v>
      </c>
      <c r="D338" s="168">
        <f>+B338+C338</f>
        <v>1965625</v>
      </c>
      <c r="F338" s="52"/>
      <c r="H338" s="164" t="s">
        <v>181</v>
      </c>
      <c r="I338" s="165"/>
      <c r="J338" s="74">
        <f>+K299</f>
        <v>0</v>
      </c>
      <c r="K338" s="196">
        <f>+I338+J338</f>
        <v>0</v>
      </c>
      <c r="M338" s="52"/>
    </row>
    <row r="339" spans="1:16" ht="16.5" customHeight="1" thickBot="1">
      <c r="A339" s="169"/>
      <c r="B339" s="170" t="e">
        <f>SUM(B334:B338)</f>
        <v>#REF!</v>
      </c>
      <c r="C339" s="171" t="e">
        <f>SUM(C334:C338)</f>
        <v>#REF!</v>
      </c>
      <c r="D339" s="172" t="e">
        <f>SUM(D334:D338)</f>
        <v>#REF!</v>
      </c>
      <c r="H339" s="169"/>
      <c r="I339" s="197">
        <f>SUM(I334:I338)</f>
        <v>7320000</v>
      </c>
      <c r="J339" s="197">
        <f>SUM(J334:J338)</f>
        <v>278342130</v>
      </c>
      <c r="K339" s="198">
        <f>SUM(K334:K338)</f>
        <v>285662130</v>
      </c>
    </row>
    <row r="340" spans="1:16" ht="15.75" customHeight="1">
      <c r="A340" s="49" t="s">
        <v>88</v>
      </c>
      <c r="B340" s="50"/>
      <c r="H340" s="49" t="s">
        <v>88</v>
      </c>
      <c r="I340" s="50"/>
    </row>
    <row r="341" spans="1:16" ht="13.5" customHeight="1">
      <c r="A341" s="51" t="s">
        <v>89</v>
      </c>
      <c r="H341" s="51" t="s">
        <v>89</v>
      </c>
    </row>
    <row r="342" spans="1:16" ht="13.5" customHeight="1">
      <c r="A342" s="51" t="s">
        <v>90</v>
      </c>
      <c r="H342" s="51" t="s">
        <v>90</v>
      </c>
    </row>
    <row r="343" spans="1:16">
      <c r="A343" s="51" t="s">
        <v>91</v>
      </c>
      <c r="H343" s="51" t="s">
        <v>91</v>
      </c>
    </row>
    <row r="344" spans="1:16" ht="2.25" customHeight="1">
      <c r="A344" s="50"/>
      <c r="B344" s="50"/>
      <c r="H344" s="50"/>
      <c r="I344" s="50"/>
    </row>
    <row r="345" spans="1:16" ht="14.25" customHeight="1">
      <c r="A345" s="52" t="s">
        <v>277</v>
      </c>
      <c r="G345" s="52"/>
      <c r="H345" s="52" t="s">
        <v>789</v>
      </c>
      <c r="N345" s="52"/>
    </row>
    <row r="346" spans="1:16" ht="14.25" customHeight="1">
      <c r="A346" s="53" t="s">
        <v>92</v>
      </c>
      <c r="G346" s="53"/>
      <c r="H346" s="53" t="s">
        <v>2270</v>
      </c>
      <c r="N346" s="53"/>
    </row>
    <row r="347" spans="1:16" ht="15" customHeight="1">
      <c r="A347" s="894" t="s">
        <v>278</v>
      </c>
      <c r="B347" s="894"/>
      <c r="C347" s="894"/>
      <c r="D347" s="894"/>
      <c r="E347" s="894"/>
      <c r="F347" s="894"/>
      <c r="G347" s="894"/>
      <c r="H347" s="894" t="s">
        <v>1823</v>
      </c>
      <c r="I347" s="894"/>
      <c r="J347" s="894"/>
      <c r="K347" s="894"/>
      <c r="L347" s="894"/>
      <c r="M347" s="894"/>
      <c r="N347" s="894"/>
      <c r="O347" s="894"/>
    </row>
    <row r="348" spans="1:16" ht="9.75" customHeight="1" thickBot="1"/>
    <row r="349" spans="1:16" ht="16.5">
      <c r="A349" s="895" t="s">
        <v>94</v>
      </c>
      <c r="B349" s="897" t="s">
        <v>95</v>
      </c>
      <c r="C349" s="897" t="s">
        <v>96</v>
      </c>
      <c r="D349" s="897" t="s">
        <v>3</v>
      </c>
      <c r="E349" s="897" t="s">
        <v>97</v>
      </c>
      <c r="F349" s="897" t="s">
        <v>98</v>
      </c>
      <c r="G349" s="500" t="s">
        <v>99</v>
      </c>
      <c r="H349" s="939" t="s">
        <v>94</v>
      </c>
      <c r="I349" s="937" t="s">
        <v>95</v>
      </c>
      <c r="J349" s="937" t="s">
        <v>96</v>
      </c>
      <c r="K349" s="937" t="s">
        <v>3</v>
      </c>
      <c r="L349" s="937" t="s">
        <v>97</v>
      </c>
      <c r="M349" s="937" t="s">
        <v>98</v>
      </c>
      <c r="N349" s="937" t="s">
        <v>99</v>
      </c>
      <c r="O349" s="938"/>
    </row>
    <row r="350" spans="1:16" ht="17.25" thickBot="1">
      <c r="A350" s="896"/>
      <c r="B350" s="898"/>
      <c r="C350" s="898"/>
      <c r="D350" s="898"/>
      <c r="E350" s="898"/>
      <c r="F350" s="898"/>
      <c r="G350" s="240" t="s">
        <v>100</v>
      </c>
      <c r="H350" s="940"/>
      <c r="I350" s="941"/>
      <c r="J350" s="941"/>
      <c r="K350" s="941"/>
      <c r="L350" s="941"/>
      <c r="M350" s="941"/>
      <c r="N350" s="497" t="s">
        <v>100</v>
      </c>
      <c r="O350" s="498" t="s">
        <v>101</v>
      </c>
    </row>
    <row r="351" spans="1:16" ht="12.75" customHeight="1">
      <c r="A351" s="881" t="e">
        <f>+#REF!+1</f>
        <v>#REF!</v>
      </c>
      <c r="B351" s="875">
        <v>42261</v>
      </c>
      <c r="C351" s="877" t="s">
        <v>267</v>
      </c>
      <c r="D351" s="881" t="s">
        <v>284</v>
      </c>
      <c r="E351" s="881" t="s">
        <v>115</v>
      </c>
      <c r="F351" s="883">
        <v>130000</v>
      </c>
      <c r="G351" s="55">
        <v>719</v>
      </c>
      <c r="H351" s="873" t="s">
        <v>732</v>
      </c>
      <c r="I351" s="875">
        <v>45118</v>
      </c>
      <c r="J351" s="877" t="s">
        <v>1538</v>
      </c>
      <c r="K351" s="881" t="s">
        <v>2350</v>
      </c>
      <c r="L351" s="881" t="s">
        <v>148</v>
      </c>
      <c r="M351" s="883">
        <v>1013200</v>
      </c>
      <c r="N351" s="55">
        <v>719</v>
      </c>
      <c r="O351" s="78"/>
    </row>
    <row r="352" spans="1:16" ht="12.75" customHeight="1" thickBot="1">
      <c r="A352" s="882"/>
      <c r="B352" s="934"/>
      <c r="C352" s="878"/>
      <c r="D352" s="882"/>
      <c r="E352" s="882"/>
      <c r="F352" s="884"/>
      <c r="G352" s="56">
        <v>721</v>
      </c>
      <c r="H352" s="882"/>
      <c r="I352" s="876"/>
      <c r="J352" s="878"/>
      <c r="K352" s="882"/>
      <c r="L352" s="882"/>
      <c r="M352" s="884"/>
      <c r="N352" s="56">
        <v>723</v>
      </c>
      <c r="O352" s="79">
        <f>+M351</f>
        <v>1013200</v>
      </c>
    </row>
    <row r="353" spans="1:15" ht="12.75" customHeight="1">
      <c r="A353" s="251"/>
      <c r="B353" s="452"/>
      <c r="C353" s="253"/>
      <c r="D353" s="251"/>
      <c r="E353" s="251"/>
      <c r="F353" s="254"/>
      <c r="G353" s="255"/>
      <c r="H353" s="873" t="s">
        <v>733</v>
      </c>
      <c r="I353" s="875">
        <v>45118</v>
      </c>
      <c r="J353" s="877" t="s">
        <v>1538</v>
      </c>
      <c r="K353" s="881" t="s">
        <v>2348</v>
      </c>
      <c r="L353" s="881" t="s">
        <v>148</v>
      </c>
      <c r="M353" s="883">
        <v>811400</v>
      </c>
      <c r="N353" s="55">
        <v>719</v>
      </c>
      <c r="O353" s="78"/>
    </row>
    <row r="354" spans="1:15" ht="12.75" customHeight="1" thickBot="1">
      <c r="A354" s="251"/>
      <c r="B354" s="452"/>
      <c r="C354" s="253"/>
      <c r="D354" s="251"/>
      <c r="E354" s="251"/>
      <c r="F354" s="254"/>
      <c r="G354" s="255"/>
      <c r="H354" s="882"/>
      <c r="I354" s="876"/>
      <c r="J354" s="878"/>
      <c r="K354" s="882"/>
      <c r="L354" s="882"/>
      <c r="M354" s="884"/>
      <c r="N354" s="56">
        <v>723</v>
      </c>
      <c r="O354" s="79">
        <f>+M353</f>
        <v>811400</v>
      </c>
    </row>
    <row r="355" spans="1:15" ht="13.5" customHeight="1">
      <c r="A355" s="881" t="e">
        <f>+A351+1</f>
        <v>#REF!</v>
      </c>
      <c r="B355" s="875">
        <v>42261</v>
      </c>
      <c r="C355" s="881" t="s">
        <v>28</v>
      </c>
      <c r="D355" s="881" t="s">
        <v>283</v>
      </c>
      <c r="E355" s="881" t="s">
        <v>115</v>
      </c>
      <c r="F355" s="883">
        <v>70000</v>
      </c>
      <c r="G355" s="55">
        <v>719</v>
      </c>
      <c r="H355" s="873" t="s">
        <v>734</v>
      </c>
      <c r="I355" s="875">
        <v>45118</v>
      </c>
      <c r="J355" s="877" t="s">
        <v>1538</v>
      </c>
      <c r="K355" s="881" t="s">
        <v>2349</v>
      </c>
      <c r="L355" s="881" t="s">
        <v>148</v>
      </c>
      <c r="M355" s="883">
        <v>813200</v>
      </c>
      <c r="N355" s="55">
        <v>719</v>
      </c>
      <c r="O355" s="78"/>
    </row>
    <row r="356" spans="1:15" ht="12.75" customHeight="1" thickBot="1">
      <c r="A356" s="882"/>
      <c r="B356" s="876"/>
      <c r="C356" s="882"/>
      <c r="D356" s="882"/>
      <c r="E356" s="882"/>
      <c r="F356" s="884"/>
      <c r="G356" s="56">
        <v>721</v>
      </c>
      <c r="H356" s="882"/>
      <c r="I356" s="876"/>
      <c r="J356" s="878"/>
      <c r="K356" s="882"/>
      <c r="L356" s="882"/>
      <c r="M356" s="884"/>
      <c r="N356" s="56">
        <v>723</v>
      </c>
      <c r="O356" s="79">
        <f>+M355-O355</f>
        <v>813200</v>
      </c>
    </row>
    <row r="357" spans="1:15" ht="12.75" customHeight="1">
      <c r="A357" s="251"/>
      <c r="B357" s="252"/>
      <c r="C357" s="251"/>
      <c r="D357" s="251"/>
      <c r="E357" s="251"/>
      <c r="F357" s="254"/>
      <c r="G357" s="255"/>
      <c r="H357" s="873" t="s">
        <v>735</v>
      </c>
      <c r="I357" s="875">
        <v>45118</v>
      </c>
      <c r="J357" s="877" t="s">
        <v>1079</v>
      </c>
      <c r="K357" s="881" t="s">
        <v>2351</v>
      </c>
      <c r="L357" s="881" t="s">
        <v>148</v>
      </c>
      <c r="M357" s="883">
        <v>526500</v>
      </c>
      <c r="N357" s="55">
        <v>719</v>
      </c>
      <c r="O357" s="78">
        <v>390000</v>
      </c>
    </row>
    <row r="358" spans="1:15" ht="12.75" customHeight="1" thickBot="1">
      <c r="A358" s="251"/>
      <c r="B358" s="252"/>
      <c r="C358" s="251"/>
      <c r="D358" s="251"/>
      <c r="E358" s="251"/>
      <c r="F358" s="254"/>
      <c r="G358" s="255"/>
      <c r="H358" s="882"/>
      <c r="I358" s="876"/>
      <c r="J358" s="878"/>
      <c r="K358" s="882"/>
      <c r="L358" s="882"/>
      <c r="M358" s="884"/>
      <c r="N358" s="56">
        <v>721</v>
      </c>
      <c r="O358" s="79">
        <f>+M357-O357</f>
        <v>136500</v>
      </c>
    </row>
    <row r="359" spans="1:15" ht="12.75" customHeight="1">
      <c r="A359" s="881" t="e">
        <f>+#REF!+1</f>
        <v>#REF!</v>
      </c>
      <c r="B359" s="875">
        <v>42261</v>
      </c>
      <c r="C359" s="910" t="s">
        <v>282</v>
      </c>
      <c r="D359" s="881" t="s">
        <v>279</v>
      </c>
      <c r="E359" s="881" t="s">
        <v>165</v>
      </c>
      <c r="F359" s="883">
        <v>300000</v>
      </c>
      <c r="G359" s="55">
        <v>719</v>
      </c>
      <c r="H359" s="873" t="s">
        <v>736</v>
      </c>
      <c r="I359" s="875">
        <v>45118</v>
      </c>
      <c r="J359" s="877" t="s">
        <v>120</v>
      </c>
      <c r="K359" s="881" t="s">
        <v>2349</v>
      </c>
      <c r="L359" s="881" t="s">
        <v>115</v>
      </c>
      <c r="M359" s="883">
        <v>1390500</v>
      </c>
      <c r="N359" s="55">
        <v>719</v>
      </c>
      <c r="O359" s="78">
        <v>1030000</v>
      </c>
    </row>
    <row r="360" spans="1:15" ht="13.5" customHeight="1" thickBot="1">
      <c r="A360" s="882"/>
      <c r="B360" s="876"/>
      <c r="C360" s="911"/>
      <c r="D360" s="882"/>
      <c r="E360" s="882"/>
      <c r="F360" s="884"/>
      <c r="G360" s="56">
        <v>723</v>
      </c>
      <c r="H360" s="882"/>
      <c r="I360" s="876"/>
      <c r="J360" s="878"/>
      <c r="K360" s="882"/>
      <c r="L360" s="882"/>
      <c r="M360" s="884"/>
      <c r="N360" s="56">
        <v>723</v>
      </c>
      <c r="O360" s="79">
        <f>+M359-O359</f>
        <v>360500</v>
      </c>
    </row>
    <row r="361" spans="1:15" ht="14.25" customHeight="1" thickBot="1">
      <c r="A361" s="901" t="s">
        <v>102</v>
      </c>
      <c r="B361" s="902"/>
      <c r="C361" s="902"/>
      <c r="D361" s="902"/>
      <c r="E361" s="903"/>
      <c r="F361" s="81">
        <f>SUM(F351:F360)</f>
        <v>500000</v>
      </c>
      <c r="H361" s="901" t="s">
        <v>102</v>
      </c>
      <c r="I361" s="902"/>
      <c r="J361" s="902"/>
      <c r="K361" s="902"/>
      <c r="L361" s="903"/>
      <c r="M361" s="81">
        <f>SUM(M351:M360)</f>
        <v>4554800</v>
      </c>
    </row>
    <row r="362" spans="1:15" ht="15" customHeight="1" thickBot="1">
      <c r="A362" s="885" t="s">
        <v>103</v>
      </c>
      <c r="B362" s="886"/>
      <c r="C362" s="886"/>
      <c r="D362" s="886"/>
      <c r="E362" s="887"/>
      <c r="F362" s="69" t="e">
        <f>+F326</f>
        <v>#REF!</v>
      </c>
      <c r="H362" s="885" t="s">
        <v>103</v>
      </c>
      <c r="I362" s="886"/>
      <c r="J362" s="886"/>
      <c r="K362" s="886"/>
      <c r="L362" s="887"/>
      <c r="M362" s="239">
        <v>317692580</v>
      </c>
      <c r="N362" s="241" t="s">
        <v>561</v>
      </c>
      <c r="O362" s="242">
        <v>3170</v>
      </c>
    </row>
    <row r="363" spans="1:15" ht="16.5" customHeight="1" thickBot="1">
      <c r="A363" s="888" t="s">
        <v>104</v>
      </c>
      <c r="B363" s="889"/>
      <c r="C363" s="889"/>
      <c r="D363" s="889"/>
      <c r="E363" s="890"/>
      <c r="F363" s="183" t="e">
        <f>SUM(F361:F362)</f>
        <v>#REF!</v>
      </c>
      <c r="H363" s="888" t="s">
        <v>104</v>
      </c>
      <c r="I363" s="889"/>
      <c r="J363" s="889"/>
      <c r="K363" s="889"/>
      <c r="L363" s="890"/>
      <c r="M363" s="183">
        <f>SUM(M361:M362)</f>
        <v>322247380</v>
      </c>
    </row>
    <row r="364" spans="1:15" ht="5.25" customHeight="1">
      <c r="A364" s="61"/>
      <c r="B364" s="61"/>
      <c r="C364" s="61"/>
      <c r="D364" s="61"/>
      <c r="E364" s="61"/>
      <c r="H364" s="61"/>
      <c r="I364" s="61"/>
      <c r="J364" s="61"/>
      <c r="K364" s="61"/>
      <c r="L364" s="61"/>
    </row>
    <row r="365" spans="1:15">
      <c r="A365" s="51" t="s">
        <v>285</v>
      </c>
      <c r="H365" s="51" t="s">
        <v>2358</v>
      </c>
    </row>
    <row r="366" spans="1:15" ht="11.25" customHeight="1">
      <c r="F366" s="139"/>
      <c r="M366" s="139"/>
    </row>
    <row r="367" spans="1:15" ht="12.75" customHeight="1">
      <c r="A367" s="50" t="s">
        <v>105</v>
      </c>
      <c r="D367" s="146"/>
      <c r="F367" s="139"/>
      <c r="H367" s="50" t="s">
        <v>105</v>
      </c>
      <c r="K367" s="146"/>
      <c r="M367" s="139" t="s">
        <v>631</v>
      </c>
    </row>
    <row r="368" spans="1:15" ht="9.75" customHeight="1" thickBot="1"/>
    <row r="369" spans="1:15" ht="17.25" thickBot="1">
      <c r="A369" s="891" t="s">
        <v>106</v>
      </c>
      <c r="B369" s="892"/>
      <c r="C369" s="892"/>
      <c r="D369" s="893"/>
      <c r="F369" s="50" t="s">
        <v>270</v>
      </c>
      <c r="H369" s="891" t="s">
        <v>106</v>
      </c>
      <c r="I369" s="892"/>
      <c r="J369" s="892"/>
      <c r="K369" s="893"/>
      <c r="M369" s="604" t="s">
        <v>1126</v>
      </c>
      <c r="N369" s="604"/>
      <c r="O369" s="604"/>
    </row>
    <row r="370" spans="1:15" ht="30.75" thickBot="1">
      <c r="A370" s="57" t="s">
        <v>100</v>
      </c>
      <c r="B370" s="58" t="s">
        <v>108</v>
      </c>
      <c r="C370" s="59" t="s">
        <v>109</v>
      </c>
      <c r="D370" s="60" t="s">
        <v>110</v>
      </c>
      <c r="H370" s="57" t="s">
        <v>100</v>
      </c>
      <c r="I370" s="58" t="s">
        <v>108</v>
      </c>
      <c r="J370" s="59" t="s">
        <v>109</v>
      </c>
      <c r="K370" s="60" t="s">
        <v>110</v>
      </c>
    </row>
    <row r="371" spans="1:15" ht="13.5" customHeight="1">
      <c r="A371" s="71">
        <v>719</v>
      </c>
      <c r="B371" s="73" t="e">
        <f>+#REF!+#REF!+#REF!+#REF!+#REF!</f>
        <v>#REF!</v>
      </c>
      <c r="C371" s="74" t="e">
        <f>+D334</f>
        <v>#REF!</v>
      </c>
      <c r="D371" s="76" t="e">
        <f>+B371+C371</f>
        <v>#REF!</v>
      </c>
      <c r="H371" s="71">
        <v>719</v>
      </c>
      <c r="I371" s="73">
        <f>+O357+O359</f>
        <v>1420000</v>
      </c>
      <c r="J371" s="74">
        <v>14170000</v>
      </c>
      <c r="K371" s="195">
        <f>+I371+J371</f>
        <v>15590000</v>
      </c>
      <c r="L371" s="139"/>
    </row>
    <row r="372" spans="1:15" ht="13.5" customHeight="1">
      <c r="A372" s="72">
        <v>721</v>
      </c>
      <c r="B372" s="80"/>
      <c r="C372" s="74" t="e">
        <f>+D335</f>
        <v>#REF!</v>
      </c>
      <c r="D372" s="76" t="e">
        <f>+B372+C372</f>
        <v>#REF!</v>
      </c>
      <c r="H372" s="72">
        <v>721</v>
      </c>
      <c r="I372" s="80">
        <f>+O358+O360</f>
        <v>497000</v>
      </c>
      <c r="J372" s="74">
        <v>4959500</v>
      </c>
      <c r="K372" s="195">
        <f>+I372+J372</f>
        <v>5456500</v>
      </c>
    </row>
    <row r="373" spans="1:15" ht="13.5" customHeight="1">
      <c r="A373" s="72">
        <v>722</v>
      </c>
      <c r="B373" s="80"/>
      <c r="C373" s="74" t="e">
        <f>+D336</f>
        <v>#REF!</v>
      </c>
      <c r="D373" s="76" t="e">
        <f>+B373+C373</f>
        <v>#REF!</v>
      </c>
      <c r="H373" s="72">
        <v>722</v>
      </c>
      <c r="I373" s="80"/>
      <c r="J373" s="74">
        <f>+K336</f>
        <v>0</v>
      </c>
      <c r="K373" s="195">
        <f>+I373+J373</f>
        <v>0</v>
      </c>
    </row>
    <row r="374" spans="1:15" ht="13.5" customHeight="1" thickBot="1">
      <c r="A374" s="72">
        <v>723</v>
      </c>
      <c r="B374" s="80" t="e">
        <f>+#REF!+#REF!</f>
        <v>#REF!</v>
      </c>
      <c r="C374" s="74">
        <f>+D337</f>
        <v>319828837</v>
      </c>
      <c r="D374" s="76" t="e">
        <f>+B374+C374</f>
        <v>#REF!</v>
      </c>
      <c r="F374" s="174" t="s">
        <v>262</v>
      </c>
      <c r="G374" s="175"/>
      <c r="H374" s="72">
        <v>723</v>
      </c>
      <c r="I374" s="80">
        <f>+O352+O354+O356</f>
        <v>2637800</v>
      </c>
      <c r="J374" s="74">
        <v>298563080</v>
      </c>
      <c r="K374" s="195">
        <f>+I374+J374</f>
        <v>301200880</v>
      </c>
      <c r="M374" s="918" t="s">
        <v>2347</v>
      </c>
      <c r="N374" s="608"/>
      <c r="O374" s="608"/>
    </row>
    <row r="375" spans="1:15" ht="11.25" hidden="1" customHeight="1" thickBot="1">
      <c r="A375" s="164" t="s">
        <v>181</v>
      </c>
      <c r="B375" s="165"/>
      <c r="C375" s="74">
        <f>+D338</f>
        <v>1965625</v>
      </c>
      <c r="D375" s="168">
        <f>+B375+C375</f>
        <v>1965625</v>
      </c>
      <c r="F375" s="52"/>
      <c r="H375" s="164" t="s">
        <v>181</v>
      </c>
      <c r="I375" s="165"/>
      <c r="J375" s="74">
        <f>+K338</f>
        <v>0</v>
      </c>
      <c r="K375" s="196">
        <f>+I375+J375</f>
        <v>0</v>
      </c>
      <c r="M375" s="52"/>
    </row>
    <row r="376" spans="1:15" ht="16.5" thickBot="1">
      <c r="A376" s="169"/>
      <c r="B376" s="170" t="e">
        <f>SUM(B371:B375)</f>
        <v>#REF!</v>
      </c>
      <c r="C376" s="171" t="e">
        <f>SUM(C371:C375)</f>
        <v>#REF!</v>
      </c>
      <c r="D376" s="172" t="e">
        <f>SUM(D371:D375)</f>
        <v>#REF!</v>
      </c>
      <c r="H376" s="169"/>
      <c r="I376" s="197">
        <f>SUM(I371:I375)</f>
        <v>4554800</v>
      </c>
      <c r="J376" s="197">
        <f>SUM(J371:J375)</f>
        <v>317692580</v>
      </c>
      <c r="K376" s="198">
        <f>SUM(K371:K375)</f>
        <v>322247380</v>
      </c>
    </row>
    <row r="377" spans="1:15" ht="14.25" customHeight="1">
      <c r="A377" s="49" t="s">
        <v>88</v>
      </c>
      <c r="B377" s="50"/>
      <c r="H377" s="49" t="s">
        <v>88</v>
      </c>
      <c r="I377" s="50"/>
    </row>
    <row r="378" spans="1:15" ht="15.75" customHeight="1">
      <c r="A378" s="51" t="s">
        <v>89</v>
      </c>
      <c r="H378" s="51" t="s">
        <v>89</v>
      </c>
    </row>
    <row r="379" spans="1:15" ht="15.75" customHeight="1">
      <c r="A379" s="51" t="s">
        <v>90</v>
      </c>
      <c r="H379" s="51" t="s">
        <v>90</v>
      </c>
    </row>
    <row r="380" spans="1:15" ht="17.25" customHeight="1">
      <c r="A380" s="51" t="s">
        <v>91</v>
      </c>
      <c r="H380" s="51" t="s">
        <v>91</v>
      </c>
    </row>
    <row r="381" spans="1:15" ht="11.25" customHeight="1">
      <c r="A381" s="50"/>
      <c r="B381" s="50"/>
      <c r="H381" s="50"/>
      <c r="I381" s="50"/>
    </row>
    <row r="382" spans="1:15" ht="14.25" customHeight="1">
      <c r="A382" s="52" t="s">
        <v>287</v>
      </c>
      <c r="G382" s="52"/>
      <c r="H382" s="52" t="s">
        <v>795</v>
      </c>
      <c r="N382" s="52"/>
    </row>
    <row r="383" spans="1:15" ht="15.75">
      <c r="A383" s="53" t="s">
        <v>92</v>
      </c>
      <c r="G383" s="53"/>
      <c r="H383" s="53" t="s">
        <v>2270</v>
      </c>
      <c r="N383" s="53"/>
    </row>
    <row r="384" spans="1:15" ht="14.25" customHeight="1">
      <c r="A384" s="894" t="s">
        <v>261</v>
      </c>
      <c r="B384" s="894"/>
      <c r="C384" s="894"/>
      <c r="D384" s="894"/>
      <c r="E384" s="894"/>
      <c r="F384" s="894"/>
      <c r="G384" s="894"/>
      <c r="H384" s="894" t="s">
        <v>2196</v>
      </c>
      <c r="I384" s="894"/>
      <c r="J384" s="894"/>
      <c r="K384" s="894"/>
      <c r="L384" s="894"/>
      <c r="M384" s="894"/>
      <c r="N384" s="894"/>
      <c r="O384" s="894"/>
    </row>
    <row r="385" spans="1:15" ht="15.75" customHeight="1" thickBot="1"/>
    <row r="386" spans="1:15">
      <c r="A386" s="895" t="s">
        <v>94</v>
      </c>
      <c r="B386" s="897" t="s">
        <v>95</v>
      </c>
      <c r="C386" s="897" t="s">
        <v>96</v>
      </c>
      <c r="D386" s="897" t="s">
        <v>3</v>
      </c>
      <c r="E386" s="897" t="s">
        <v>97</v>
      </c>
      <c r="F386" s="897" t="s">
        <v>98</v>
      </c>
      <c r="G386" s="500" t="s">
        <v>99</v>
      </c>
      <c r="H386" s="895" t="s">
        <v>94</v>
      </c>
      <c r="I386" s="897" t="s">
        <v>95</v>
      </c>
      <c r="J386" s="897" t="s">
        <v>96</v>
      </c>
      <c r="K386" s="897" t="s">
        <v>3</v>
      </c>
      <c r="L386" s="897" t="s">
        <v>97</v>
      </c>
      <c r="M386" s="897" t="s">
        <v>98</v>
      </c>
      <c r="N386" s="897" t="s">
        <v>99</v>
      </c>
      <c r="O386" s="899"/>
    </row>
    <row r="387" spans="1:15" ht="15.75" thickBot="1">
      <c r="A387" s="896"/>
      <c r="B387" s="898"/>
      <c r="C387" s="898"/>
      <c r="D387" s="898"/>
      <c r="E387" s="898"/>
      <c r="F387" s="898"/>
      <c r="G387" s="240" t="s">
        <v>100</v>
      </c>
      <c r="H387" s="896"/>
      <c r="I387" s="898"/>
      <c r="J387" s="898"/>
      <c r="K387" s="898"/>
      <c r="L387" s="898"/>
      <c r="M387" s="898"/>
      <c r="N387" s="240" t="s">
        <v>100</v>
      </c>
      <c r="O387" s="182" t="s">
        <v>101</v>
      </c>
    </row>
    <row r="388" spans="1:15" ht="13.5" customHeight="1">
      <c r="A388" s="881" t="e">
        <f>+A359+1</f>
        <v>#REF!</v>
      </c>
      <c r="B388" s="875">
        <v>42264</v>
      </c>
      <c r="C388" s="877" t="s">
        <v>267</v>
      </c>
      <c r="D388" s="881" t="s">
        <v>290</v>
      </c>
      <c r="E388" s="881" t="s">
        <v>148</v>
      </c>
      <c r="F388" s="883">
        <v>168000</v>
      </c>
      <c r="G388" s="55">
        <v>719</v>
      </c>
      <c r="H388" s="873" t="s">
        <v>737</v>
      </c>
      <c r="I388" s="875">
        <v>45131</v>
      </c>
      <c r="J388" s="877" t="s">
        <v>2353</v>
      </c>
      <c r="K388" s="881" t="s">
        <v>2354</v>
      </c>
      <c r="L388" s="881" t="s">
        <v>785</v>
      </c>
      <c r="M388" s="883">
        <v>1500000</v>
      </c>
      <c r="N388" s="55">
        <v>719</v>
      </c>
      <c r="O388" s="78"/>
    </row>
    <row r="389" spans="1:15" ht="14.25" customHeight="1" thickBot="1">
      <c r="A389" s="882"/>
      <c r="B389" s="934"/>
      <c r="C389" s="878"/>
      <c r="D389" s="882"/>
      <c r="E389" s="882"/>
      <c r="F389" s="884"/>
      <c r="G389" s="56">
        <v>721</v>
      </c>
      <c r="H389" s="882"/>
      <c r="I389" s="876"/>
      <c r="J389" s="878"/>
      <c r="K389" s="882"/>
      <c r="L389" s="882"/>
      <c r="M389" s="884"/>
      <c r="N389" s="56">
        <v>723</v>
      </c>
      <c r="O389" s="79">
        <f>+M388-O388</f>
        <v>1500000</v>
      </c>
    </row>
    <row r="390" spans="1:15" ht="14.25" customHeight="1">
      <c r="A390" s="881" t="e">
        <f>+A388+1</f>
        <v>#REF!</v>
      </c>
      <c r="B390" s="875">
        <v>42264</v>
      </c>
      <c r="C390" s="881" t="s">
        <v>28</v>
      </c>
      <c r="D390" s="881" t="s">
        <v>292</v>
      </c>
      <c r="E390" s="881" t="s">
        <v>148</v>
      </c>
      <c r="F390" s="883">
        <v>238000</v>
      </c>
      <c r="G390" s="55">
        <v>719</v>
      </c>
      <c r="H390" s="873"/>
      <c r="I390" s="875"/>
      <c r="J390" s="877"/>
      <c r="K390" s="881"/>
      <c r="L390" s="881"/>
      <c r="M390" s="883"/>
      <c r="N390" s="55">
        <v>719</v>
      </c>
      <c r="O390" s="78"/>
    </row>
    <row r="391" spans="1:15" ht="14.25" customHeight="1" thickBot="1">
      <c r="A391" s="882"/>
      <c r="B391" s="934"/>
      <c r="C391" s="882"/>
      <c r="D391" s="882"/>
      <c r="E391" s="882"/>
      <c r="F391" s="884"/>
      <c r="G391" s="56">
        <v>721</v>
      </c>
      <c r="H391" s="882"/>
      <c r="I391" s="876"/>
      <c r="J391" s="878"/>
      <c r="K391" s="882"/>
      <c r="L391" s="882"/>
      <c r="M391" s="884"/>
      <c r="N391" s="56">
        <v>723</v>
      </c>
      <c r="O391" s="79">
        <f>+M390-O390</f>
        <v>0</v>
      </c>
    </row>
    <row r="392" spans="1:15" ht="12.75" customHeight="1">
      <c r="A392" s="881" t="e">
        <f>+A390+1</f>
        <v>#REF!</v>
      </c>
      <c r="B392" s="875">
        <v>42264</v>
      </c>
      <c r="C392" s="877" t="s">
        <v>32</v>
      </c>
      <c r="D392" s="881" t="s">
        <v>292</v>
      </c>
      <c r="E392" s="881" t="s">
        <v>148</v>
      </c>
      <c r="F392" s="883">
        <v>126000</v>
      </c>
      <c r="G392" s="55">
        <v>719</v>
      </c>
      <c r="H392" s="873"/>
      <c r="I392" s="875"/>
      <c r="J392" s="877"/>
      <c r="K392" s="881"/>
      <c r="L392" s="881"/>
      <c r="M392" s="883"/>
      <c r="N392" s="55">
        <v>719</v>
      </c>
      <c r="O392" s="78"/>
    </row>
    <row r="393" spans="1:15" ht="12.75" customHeight="1" thickBot="1">
      <c r="A393" s="882"/>
      <c r="B393" s="934"/>
      <c r="C393" s="878"/>
      <c r="D393" s="882"/>
      <c r="E393" s="882"/>
      <c r="F393" s="884"/>
      <c r="G393" s="56">
        <v>721</v>
      </c>
      <c r="H393" s="882"/>
      <c r="I393" s="876"/>
      <c r="J393" s="878"/>
      <c r="K393" s="882"/>
      <c r="L393" s="882"/>
      <c r="M393" s="884"/>
      <c r="N393" s="56">
        <v>723</v>
      </c>
      <c r="O393" s="79">
        <f>+M392-O392</f>
        <v>0</v>
      </c>
    </row>
    <row r="394" spans="1:15" ht="13.5" hidden="1" customHeight="1">
      <c r="A394" s="881" t="e">
        <f>+A392+1</f>
        <v>#REF!</v>
      </c>
      <c r="B394" s="875">
        <v>42264</v>
      </c>
      <c r="C394" s="877" t="s">
        <v>111</v>
      </c>
      <c r="D394" s="881" t="s">
        <v>291</v>
      </c>
      <c r="E394" s="881" t="s">
        <v>148</v>
      </c>
      <c r="F394" s="883">
        <v>84000</v>
      </c>
      <c r="G394" s="55">
        <v>719</v>
      </c>
      <c r="H394" s="873" t="s">
        <v>1433</v>
      </c>
      <c r="I394" s="875">
        <v>43935</v>
      </c>
      <c r="J394" s="877" t="s">
        <v>1091</v>
      </c>
      <c r="K394" s="881" t="s">
        <v>1918</v>
      </c>
      <c r="L394" s="881" t="s">
        <v>148</v>
      </c>
      <c r="M394" s="883">
        <v>870000</v>
      </c>
      <c r="N394" s="55">
        <v>719</v>
      </c>
      <c r="O394" s="78">
        <v>870000</v>
      </c>
    </row>
    <row r="395" spans="1:15" ht="13.5" hidden="1" customHeight="1" thickBot="1">
      <c r="A395" s="882"/>
      <c r="B395" s="934"/>
      <c r="C395" s="878"/>
      <c r="D395" s="882"/>
      <c r="E395" s="882"/>
      <c r="F395" s="884"/>
      <c r="G395" s="56">
        <v>721</v>
      </c>
      <c r="H395" s="882"/>
      <c r="I395" s="876"/>
      <c r="J395" s="878"/>
      <c r="K395" s="882"/>
      <c r="L395" s="882"/>
      <c r="M395" s="884"/>
      <c r="N395" s="56">
        <v>723</v>
      </c>
      <c r="O395" s="79">
        <f>+M394-O394</f>
        <v>0</v>
      </c>
    </row>
    <row r="396" spans="1:15" ht="13.5" hidden="1" customHeight="1">
      <c r="A396" s="881" t="e">
        <f>+A394+1</f>
        <v>#REF!</v>
      </c>
      <c r="B396" s="875">
        <v>42264</v>
      </c>
      <c r="C396" s="877" t="s">
        <v>272</v>
      </c>
      <c r="D396" s="881" t="s">
        <v>290</v>
      </c>
      <c r="E396" s="881" t="s">
        <v>148</v>
      </c>
      <c r="F396" s="883">
        <v>532000</v>
      </c>
      <c r="G396" s="55">
        <v>719</v>
      </c>
      <c r="H396" s="873" t="s">
        <v>1458</v>
      </c>
      <c r="I396" s="875">
        <v>43935</v>
      </c>
      <c r="J396" s="877" t="s">
        <v>1931</v>
      </c>
      <c r="K396" s="881" t="s">
        <v>1887</v>
      </c>
      <c r="L396" s="881" t="s">
        <v>148</v>
      </c>
      <c r="M396" s="883">
        <v>-1800000</v>
      </c>
      <c r="N396" s="55">
        <v>719</v>
      </c>
      <c r="O396" s="78"/>
    </row>
    <row r="397" spans="1:15" ht="14.25" hidden="1" customHeight="1" thickBot="1">
      <c r="A397" s="882"/>
      <c r="B397" s="934"/>
      <c r="C397" s="878"/>
      <c r="D397" s="882"/>
      <c r="E397" s="882"/>
      <c r="F397" s="884"/>
      <c r="G397" s="56">
        <v>721</v>
      </c>
      <c r="H397" s="882"/>
      <c r="I397" s="876"/>
      <c r="J397" s="878"/>
      <c r="K397" s="882"/>
      <c r="L397" s="882"/>
      <c r="M397" s="884"/>
      <c r="N397" s="56">
        <v>723</v>
      </c>
      <c r="O397" s="79">
        <f>+M396-O396</f>
        <v>-1800000</v>
      </c>
    </row>
    <row r="398" spans="1:15" ht="14.25" customHeight="1" thickBot="1">
      <c r="A398" s="901" t="s">
        <v>102</v>
      </c>
      <c r="B398" s="902"/>
      <c r="C398" s="902"/>
      <c r="D398" s="902"/>
      <c r="E398" s="903"/>
      <c r="F398" s="81">
        <f>SUM(F388:F397)</f>
        <v>1148000</v>
      </c>
      <c r="H398" s="901" t="s">
        <v>102</v>
      </c>
      <c r="I398" s="902"/>
      <c r="J398" s="902"/>
      <c r="K398" s="902"/>
      <c r="L398" s="903"/>
      <c r="M398" s="81">
        <f>SUM(M388:M393)</f>
        <v>1500000</v>
      </c>
    </row>
    <row r="399" spans="1:15" ht="13.5" customHeight="1" thickBot="1">
      <c r="A399" s="885" t="s">
        <v>103</v>
      </c>
      <c r="B399" s="886"/>
      <c r="C399" s="886"/>
      <c r="D399" s="886"/>
      <c r="E399" s="887"/>
      <c r="F399" s="69" t="e">
        <f>+F363</f>
        <v>#REF!</v>
      </c>
      <c r="H399" s="885" t="s">
        <v>103</v>
      </c>
      <c r="I399" s="886"/>
      <c r="J399" s="886"/>
      <c r="K399" s="886"/>
      <c r="L399" s="887"/>
      <c r="M399" s="239">
        <f>+M363</f>
        <v>322247380</v>
      </c>
      <c r="N399" s="241" t="s">
        <v>561</v>
      </c>
      <c r="O399" s="242"/>
    </row>
    <row r="400" spans="1:15" ht="14.25" customHeight="1" thickBot="1">
      <c r="A400" s="888" t="s">
        <v>104</v>
      </c>
      <c r="B400" s="889"/>
      <c r="C400" s="889"/>
      <c r="D400" s="889"/>
      <c r="E400" s="890"/>
      <c r="F400" s="183" t="e">
        <f>SUM(F398:F399)</f>
        <v>#REF!</v>
      </c>
      <c r="H400" s="888" t="s">
        <v>104</v>
      </c>
      <c r="I400" s="889"/>
      <c r="J400" s="889"/>
      <c r="K400" s="889"/>
      <c r="L400" s="890"/>
      <c r="M400" s="183">
        <f>SUM(M398:M399)</f>
        <v>323747380</v>
      </c>
    </row>
    <row r="401" spans="1:15" ht="12.75" customHeight="1">
      <c r="A401" s="61"/>
      <c r="B401" s="61"/>
      <c r="C401" s="61"/>
      <c r="D401" s="61"/>
      <c r="E401" s="61"/>
      <c r="H401" s="61"/>
      <c r="I401" s="61"/>
      <c r="J401" s="61"/>
      <c r="K401" s="61"/>
      <c r="L401" s="61"/>
    </row>
    <row r="402" spans="1:15">
      <c r="A402" s="51" t="s">
        <v>294</v>
      </c>
      <c r="H402" s="51" t="s">
        <v>2355</v>
      </c>
    </row>
    <row r="403" spans="1:15" ht="13.5" customHeight="1">
      <c r="F403" s="139"/>
      <c r="M403" s="139"/>
    </row>
    <row r="404" spans="1:15">
      <c r="A404" s="50" t="s">
        <v>105</v>
      </c>
      <c r="D404" s="146"/>
      <c r="F404" s="139"/>
      <c r="H404" s="50" t="s">
        <v>105</v>
      </c>
      <c r="K404" s="146"/>
      <c r="M404" s="139"/>
    </row>
    <row r="405" spans="1:15" ht="15" customHeight="1" thickBot="1"/>
    <row r="406" spans="1:15" ht="17.25" thickBot="1">
      <c r="A406" s="891" t="s">
        <v>106</v>
      </c>
      <c r="B406" s="892"/>
      <c r="C406" s="892"/>
      <c r="D406" s="893"/>
      <c r="F406" s="50" t="s">
        <v>288</v>
      </c>
      <c r="H406" s="891" t="s">
        <v>106</v>
      </c>
      <c r="I406" s="892"/>
      <c r="J406" s="892"/>
      <c r="K406" s="893"/>
      <c r="M406" s="604" t="s">
        <v>2357</v>
      </c>
      <c r="N406" s="604"/>
      <c r="O406" s="604"/>
    </row>
    <row r="407" spans="1:15" ht="30.75" thickBot="1">
      <c r="A407" s="57" t="s">
        <v>100</v>
      </c>
      <c r="B407" s="58" t="s">
        <v>108</v>
      </c>
      <c r="C407" s="59" t="s">
        <v>109</v>
      </c>
      <c r="D407" s="60" t="s">
        <v>110</v>
      </c>
      <c r="H407" s="57" t="s">
        <v>100</v>
      </c>
      <c r="I407" s="58" t="s">
        <v>108</v>
      </c>
      <c r="J407" s="59" t="s">
        <v>109</v>
      </c>
      <c r="K407" s="60" t="s">
        <v>110</v>
      </c>
    </row>
    <row r="408" spans="1:15" ht="12.75" customHeight="1">
      <c r="A408" s="71">
        <v>719</v>
      </c>
      <c r="B408" s="73" t="e">
        <f>+#REF!+#REF!+#REF!+#REF!+#REF!</f>
        <v>#REF!</v>
      </c>
      <c r="C408" s="74" t="e">
        <f>+D371</f>
        <v>#REF!</v>
      </c>
      <c r="D408" s="76" t="e">
        <f>+B408+C408</f>
        <v>#REF!</v>
      </c>
      <c r="H408" s="71">
        <v>719</v>
      </c>
      <c r="I408" s="73">
        <f>+O388+O390+O392</f>
        <v>0</v>
      </c>
      <c r="J408" s="74">
        <f>+K371</f>
        <v>15590000</v>
      </c>
      <c r="K408" s="195">
        <f>+I408+J408</f>
        <v>15590000</v>
      </c>
    </row>
    <row r="409" spans="1:15" ht="13.5" customHeight="1">
      <c r="A409" s="72">
        <v>721</v>
      </c>
      <c r="B409" s="80" t="e">
        <f>+#REF!+#REF!+#REF!+#REF!+#REF!</f>
        <v>#REF!</v>
      </c>
      <c r="C409" s="74" t="e">
        <f>+D372</f>
        <v>#REF!</v>
      </c>
      <c r="D409" s="76" t="e">
        <f>+B409+C409</f>
        <v>#REF!</v>
      </c>
      <c r="H409" s="72">
        <v>721</v>
      </c>
      <c r="I409" s="80"/>
      <c r="J409" s="74">
        <f>+K372</f>
        <v>5456500</v>
      </c>
      <c r="K409" s="195">
        <f>+I409+J409</f>
        <v>5456500</v>
      </c>
    </row>
    <row r="410" spans="1:15" ht="13.5" customHeight="1">
      <c r="A410" s="72">
        <v>722</v>
      </c>
      <c r="B410" s="80"/>
      <c r="C410" s="74" t="e">
        <f>+D373</f>
        <v>#REF!</v>
      </c>
      <c r="D410" s="76" t="e">
        <f>+B410+C410</f>
        <v>#REF!</v>
      </c>
      <c r="H410" s="72">
        <v>722</v>
      </c>
      <c r="I410" s="80"/>
      <c r="J410" s="74">
        <f>+K373</f>
        <v>0</v>
      </c>
      <c r="K410" s="195">
        <f>+I410+J410</f>
        <v>0</v>
      </c>
    </row>
    <row r="411" spans="1:15" ht="13.5" customHeight="1">
      <c r="A411" s="72">
        <v>723</v>
      </c>
      <c r="B411" s="80"/>
      <c r="C411" s="74" t="e">
        <f>+D374</f>
        <v>#REF!</v>
      </c>
      <c r="D411" s="76" t="e">
        <f>+B411+C411</f>
        <v>#REF!</v>
      </c>
      <c r="F411" s="193" t="s">
        <v>289</v>
      </c>
      <c r="G411" s="175"/>
      <c r="H411" s="72">
        <v>723</v>
      </c>
      <c r="I411" s="80">
        <f>+O389</f>
        <v>1500000</v>
      </c>
      <c r="J411" s="74">
        <f>+K374</f>
        <v>301200880</v>
      </c>
      <c r="K411" s="195">
        <f>+I411+J411</f>
        <v>302700880</v>
      </c>
      <c r="M411" s="918" t="s">
        <v>2347</v>
      </c>
      <c r="N411" s="608"/>
      <c r="O411" s="608"/>
    </row>
    <row r="412" spans="1:15" ht="13.5" customHeight="1" thickBot="1">
      <c r="A412" s="164" t="s">
        <v>181</v>
      </c>
      <c r="B412" s="165"/>
      <c r="C412" s="74">
        <f>+D375</f>
        <v>1965625</v>
      </c>
      <c r="D412" s="168">
        <f>+B412+C412</f>
        <v>1965625</v>
      </c>
      <c r="F412" s="52"/>
      <c r="H412" s="164" t="s">
        <v>181</v>
      </c>
      <c r="I412" s="165"/>
      <c r="J412" s="74">
        <f>+K375</f>
        <v>0</v>
      </c>
      <c r="K412" s="196">
        <f>+I412+J412</f>
        <v>0</v>
      </c>
      <c r="M412" s="52"/>
    </row>
    <row r="413" spans="1:15" ht="16.5" thickBot="1">
      <c r="A413" s="169"/>
      <c r="B413" s="170" t="e">
        <f>SUM(B408:B412)</f>
        <v>#REF!</v>
      </c>
      <c r="C413" s="171" t="e">
        <f>SUM(C408:C412)</f>
        <v>#REF!</v>
      </c>
      <c r="D413" s="172" t="e">
        <f>SUM(D408:D412)</f>
        <v>#REF!</v>
      </c>
      <c r="H413" s="169"/>
      <c r="I413" s="197">
        <f>SUM(I408:I412)</f>
        <v>1500000</v>
      </c>
      <c r="J413" s="197">
        <f>SUM(J408:J412)</f>
        <v>322247380</v>
      </c>
      <c r="K413" s="198">
        <f>SUM(K408:K412)</f>
        <v>323747380</v>
      </c>
    </row>
    <row r="414" spans="1:15" ht="14.25" customHeight="1">
      <c r="A414" s="49" t="s">
        <v>88</v>
      </c>
      <c r="B414" s="50"/>
      <c r="H414" s="49" t="s">
        <v>88</v>
      </c>
      <c r="I414" s="50"/>
    </row>
    <row r="415" spans="1:15" ht="12.75" customHeight="1">
      <c r="A415" s="51" t="s">
        <v>89</v>
      </c>
      <c r="H415" s="51" t="s">
        <v>89</v>
      </c>
    </row>
    <row r="416" spans="1:15" ht="13.5" customHeight="1">
      <c r="A416" s="51" t="s">
        <v>90</v>
      </c>
      <c r="H416" s="51" t="s">
        <v>90</v>
      </c>
    </row>
    <row r="417" spans="1:15" ht="12.75" customHeight="1">
      <c r="A417" s="51" t="s">
        <v>91</v>
      </c>
      <c r="H417" s="51" t="s">
        <v>91</v>
      </c>
    </row>
    <row r="418" spans="1:15" ht="12" customHeight="1">
      <c r="A418" s="50"/>
      <c r="B418" s="50"/>
      <c r="H418" s="50"/>
      <c r="I418" s="50"/>
    </row>
    <row r="419" spans="1:15" ht="13.5" customHeight="1">
      <c r="A419" s="52" t="s">
        <v>295</v>
      </c>
      <c r="G419" s="52"/>
      <c r="H419" s="52" t="s">
        <v>813</v>
      </c>
      <c r="N419" s="52"/>
    </row>
    <row r="420" spans="1:15" ht="14.25" customHeight="1">
      <c r="A420" s="53" t="s">
        <v>92</v>
      </c>
      <c r="G420" s="53"/>
      <c r="H420" s="53" t="s">
        <v>2270</v>
      </c>
      <c r="N420" s="53"/>
    </row>
    <row r="421" spans="1:15" ht="14.25" customHeight="1">
      <c r="A421" s="894" t="s">
        <v>261</v>
      </c>
      <c r="B421" s="894"/>
      <c r="C421" s="894"/>
      <c r="D421" s="894"/>
      <c r="E421" s="894"/>
      <c r="F421" s="894"/>
      <c r="G421" s="894"/>
      <c r="H421" s="894" t="s">
        <v>2083</v>
      </c>
      <c r="I421" s="894"/>
      <c r="J421" s="894"/>
      <c r="K421" s="894"/>
      <c r="L421" s="894"/>
      <c r="M421" s="894"/>
      <c r="N421" s="894"/>
      <c r="O421" s="894"/>
    </row>
    <row r="422" spans="1:15" ht="13.5" customHeight="1" thickBot="1"/>
    <row r="423" spans="1:15">
      <c r="A423" s="895" t="s">
        <v>94</v>
      </c>
      <c r="B423" s="897" t="s">
        <v>95</v>
      </c>
      <c r="C423" s="897" t="s">
        <v>96</v>
      </c>
      <c r="D423" s="897" t="s">
        <v>3</v>
      </c>
      <c r="E423" s="897" t="s">
        <v>97</v>
      </c>
      <c r="F423" s="897" t="s">
        <v>98</v>
      </c>
      <c r="G423" s="500" t="s">
        <v>99</v>
      </c>
      <c r="H423" s="895" t="s">
        <v>94</v>
      </c>
      <c r="I423" s="897" t="s">
        <v>95</v>
      </c>
      <c r="J423" s="897" t="s">
        <v>96</v>
      </c>
      <c r="K423" s="897" t="s">
        <v>3</v>
      </c>
      <c r="L423" s="897" t="s">
        <v>97</v>
      </c>
      <c r="M423" s="897" t="s">
        <v>98</v>
      </c>
      <c r="N423" s="897" t="s">
        <v>99</v>
      </c>
      <c r="O423" s="899"/>
    </row>
    <row r="424" spans="1:15" ht="15.75" thickBot="1">
      <c r="A424" s="896"/>
      <c r="B424" s="898"/>
      <c r="C424" s="898"/>
      <c r="D424" s="898"/>
      <c r="E424" s="898"/>
      <c r="F424" s="898"/>
      <c r="G424" s="240" t="s">
        <v>100</v>
      </c>
      <c r="H424" s="896"/>
      <c r="I424" s="898"/>
      <c r="J424" s="898"/>
      <c r="K424" s="898"/>
      <c r="L424" s="898"/>
      <c r="M424" s="898"/>
      <c r="N424" s="240" t="s">
        <v>100</v>
      </c>
      <c r="O424" s="182" t="s">
        <v>101</v>
      </c>
    </row>
    <row r="425" spans="1:15" ht="12.75" customHeight="1">
      <c r="A425" s="881" t="e">
        <f>+A396+1</f>
        <v>#REF!</v>
      </c>
      <c r="B425" s="875">
        <v>42275</v>
      </c>
      <c r="C425" s="877" t="s">
        <v>267</v>
      </c>
      <c r="D425" s="881" t="s">
        <v>296</v>
      </c>
      <c r="E425" s="935" t="s">
        <v>31</v>
      </c>
      <c r="F425" s="883">
        <v>100000</v>
      </c>
      <c r="G425" s="55">
        <v>719</v>
      </c>
      <c r="H425" s="873" t="s">
        <v>737</v>
      </c>
      <c r="I425" s="875">
        <v>45145</v>
      </c>
      <c r="J425" s="877" t="s">
        <v>1079</v>
      </c>
      <c r="K425" s="881" t="s">
        <v>2360</v>
      </c>
      <c r="L425" s="881" t="s">
        <v>148</v>
      </c>
      <c r="M425" s="883">
        <v>1066500</v>
      </c>
      <c r="N425" s="55">
        <v>719</v>
      </c>
      <c r="O425" s="78">
        <v>790000</v>
      </c>
    </row>
    <row r="426" spans="1:15" ht="14.25" customHeight="1" thickBot="1">
      <c r="A426" s="882"/>
      <c r="B426" s="934"/>
      <c r="C426" s="878"/>
      <c r="D426" s="882"/>
      <c r="E426" s="936"/>
      <c r="F426" s="884"/>
      <c r="G426" s="56">
        <v>721</v>
      </c>
      <c r="H426" s="882"/>
      <c r="I426" s="876"/>
      <c r="J426" s="878"/>
      <c r="K426" s="882"/>
      <c r="L426" s="882"/>
      <c r="M426" s="884"/>
      <c r="N426" s="56">
        <v>721</v>
      </c>
      <c r="O426" s="79">
        <f>+M425-O425</f>
        <v>276500</v>
      </c>
    </row>
    <row r="427" spans="1:15" ht="13.5" customHeight="1">
      <c r="A427" s="881" t="e">
        <f>+A425+1</f>
        <v>#REF!</v>
      </c>
      <c r="B427" s="875">
        <v>42275</v>
      </c>
      <c r="C427" s="881" t="s">
        <v>28</v>
      </c>
      <c r="D427" s="881" t="s">
        <v>297</v>
      </c>
      <c r="E427" s="935" t="s">
        <v>28</v>
      </c>
      <c r="F427" s="883">
        <v>50000</v>
      </c>
      <c r="G427" s="55">
        <v>719</v>
      </c>
      <c r="H427" s="873" t="s">
        <v>744</v>
      </c>
      <c r="I427" s="875">
        <v>45145</v>
      </c>
      <c r="J427" s="877" t="s">
        <v>1079</v>
      </c>
      <c r="K427" s="881" t="s">
        <v>2359</v>
      </c>
      <c r="L427" s="881" t="s">
        <v>148</v>
      </c>
      <c r="M427" s="883">
        <v>675000</v>
      </c>
      <c r="N427" s="55">
        <v>719</v>
      </c>
      <c r="O427" s="78">
        <v>500000</v>
      </c>
    </row>
    <row r="428" spans="1:15" ht="14.25" customHeight="1" thickBot="1">
      <c r="A428" s="882"/>
      <c r="B428" s="934"/>
      <c r="C428" s="882"/>
      <c r="D428" s="882"/>
      <c r="E428" s="936"/>
      <c r="F428" s="884"/>
      <c r="G428" s="56">
        <v>721</v>
      </c>
      <c r="H428" s="882"/>
      <c r="I428" s="876"/>
      <c r="J428" s="878"/>
      <c r="K428" s="882"/>
      <c r="L428" s="882"/>
      <c r="M428" s="884"/>
      <c r="N428" s="56">
        <v>721</v>
      </c>
      <c r="O428" s="79">
        <f>+M427-O427</f>
        <v>175000</v>
      </c>
    </row>
    <row r="429" spans="1:15" ht="14.25" customHeight="1">
      <c r="A429" s="881" t="e">
        <f>+A427+1</f>
        <v>#REF!</v>
      </c>
      <c r="B429" s="875">
        <v>42275</v>
      </c>
      <c r="C429" s="877" t="s">
        <v>32</v>
      </c>
      <c r="D429" s="881" t="s">
        <v>297</v>
      </c>
      <c r="E429" s="877" t="s">
        <v>32</v>
      </c>
      <c r="F429" s="883">
        <v>30000</v>
      </c>
      <c r="G429" s="55">
        <v>719</v>
      </c>
      <c r="H429" s="873" t="s">
        <v>745</v>
      </c>
      <c r="I429" s="875">
        <v>45145</v>
      </c>
      <c r="J429" s="877" t="s">
        <v>1538</v>
      </c>
      <c r="K429" s="881" t="s">
        <v>2361</v>
      </c>
      <c r="L429" s="881" t="s">
        <v>148</v>
      </c>
      <c r="M429" s="883">
        <v>845850</v>
      </c>
      <c r="N429" s="55">
        <v>719</v>
      </c>
      <c r="O429" s="78"/>
    </row>
    <row r="430" spans="1:15" ht="12.75" customHeight="1" thickBot="1">
      <c r="A430" s="882"/>
      <c r="B430" s="934"/>
      <c r="C430" s="878"/>
      <c r="D430" s="882"/>
      <c r="E430" s="878"/>
      <c r="F430" s="884"/>
      <c r="G430" s="56">
        <v>721</v>
      </c>
      <c r="H430" s="882"/>
      <c r="I430" s="876"/>
      <c r="J430" s="878"/>
      <c r="K430" s="882"/>
      <c r="L430" s="882"/>
      <c r="M430" s="884"/>
      <c r="N430" s="56">
        <v>723</v>
      </c>
      <c r="O430" s="79">
        <f>+M429-O429</f>
        <v>845850</v>
      </c>
    </row>
    <row r="431" spans="1:15" ht="13.5" customHeight="1">
      <c r="A431" s="881"/>
      <c r="B431" s="875"/>
      <c r="C431" s="877"/>
      <c r="D431" s="881"/>
      <c r="E431" s="881"/>
      <c r="F431" s="883"/>
      <c r="G431" s="55">
        <v>719</v>
      </c>
      <c r="H431" s="873"/>
      <c r="I431" s="875"/>
      <c r="J431" s="877"/>
      <c r="K431" s="881"/>
      <c r="L431" s="881"/>
      <c r="M431" s="883"/>
      <c r="N431" s="55">
        <v>723</v>
      </c>
      <c r="O431" s="78">
        <f>+M431</f>
        <v>0</v>
      </c>
    </row>
    <row r="432" spans="1:15" ht="12" customHeight="1" thickBot="1">
      <c r="A432" s="882"/>
      <c r="B432" s="934"/>
      <c r="C432" s="878"/>
      <c r="D432" s="882"/>
      <c r="E432" s="882"/>
      <c r="F432" s="884"/>
      <c r="G432" s="56">
        <v>721</v>
      </c>
      <c r="H432" s="882"/>
      <c r="I432" s="876"/>
      <c r="J432" s="878"/>
      <c r="K432" s="882"/>
      <c r="L432" s="882"/>
      <c r="M432" s="884"/>
      <c r="N432" s="56">
        <v>721</v>
      </c>
      <c r="O432" s="79">
        <f>+M431-O431</f>
        <v>0</v>
      </c>
    </row>
    <row r="433" spans="1:15" ht="13.5" customHeight="1" thickBot="1">
      <c r="A433" s="901" t="s">
        <v>102</v>
      </c>
      <c r="B433" s="902"/>
      <c r="C433" s="902"/>
      <c r="D433" s="902"/>
      <c r="E433" s="903"/>
      <c r="F433" s="81">
        <f>SUM(F425:F432)</f>
        <v>180000</v>
      </c>
      <c r="H433" s="901" t="s">
        <v>102</v>
      </c>
      <c r="I433" s="902"/>
      <c r="J433" s="902"/>
      <c r="K433" s="902"/>
      <c r="L433" s="903"/>
      <c r="M433" s="81">
        <f>SUM(M425:M432)</f>
        <v>2587350</v>
      </c>
    </row>
    <row r="434" spans="1:15" ht="13.5" customHeight="1" thickBot="1">
      <c r="A434" s="885" t="s">
        <v>103</v>
      </c>
      <c r="B434" s="886"/>
      <c r="C434" s="886"/>
      <c r="D434" s="886"/>
      <c r="E434" s="887"/>
      <c r="F434" s="69" t="e">
        <f>+F400</f>
        <v>#REF!</v>
      </c>
      <c r="H434" s="885" t="s">
        <v>103</v>
      </c>
      <c r="I434" s="886"/>
      <c r="J434" s="886"/>
      <c r="K434" s="886"/>
      <c r="L434" s="887"/>
      <c r="M434" s="239">
        <f>+M400</f>
        <v>323747380</v>
      </c>
      <c r="N434" s="241" t="s">
        <v>561</v>
      </c>
      <c r="O434" s="242">
        <f>483+331</f>
        <v>814</v>
      </c>
    </row>
    <row r="435" spans="1:15" ht="14.25" customHeight="1" thickBot="1">
      <c r="A435" s="888" t="s">
        <v>104</v>
      </c>
      <c r="B435" s="889"/>
      <c r="C435" s="889"/>
      <c r="D435" s="889"/>
      <c r="E435" s="890"/>
      <c r="F435" s="183" t="e">
        <f>SUM(F433:F434)</f>
        <v>#REF!</v>
      </c>
      <c r="H435" s="888" t="s">
        <v>104</v>
      </c>
      <c r="I435" s="889"/>
      <c r="J435" s="889"/>
      <c r="K435" s="889"/>
      <c r="L435" s="890"/>
      <c r="M435" s="183">
        <f>SUM(M433:M434)</f>
        <v>326334730</v>
      </c>
    </row>
    <row r="436" spans="1:15" ht="12" customHeight="1">
      <c r="A436" s="61"/>
      <c r="B436" s="61"/>
      <c r="C436" s="61"/>
      <c r="D436" s="61"/>
      <c r="E436" s="61"/>
      <c r="H436" s="61"/>
      <c r="I436" s="61"/>
      <c r="J436" s="61"/>
      <c r="K436" s="61"/>
      <c r="L436" s="61"/>
    </row>
    <row r="437" spans="1:15">
      <c r="A437" s="51" t="s">
        <v>298</v>
      </c>
      <c r="H437" s="51" t="s">
        <v>2362</v>
      </c>
    </row>
    <row r="438" spans="1:15" ht="11.25" customHeight="1">
      <c r="F438" s="139"/>
      <c r="M438" s="139"/>
    </row>
    <row r="439" spans="1:15">
      <c r="A439" s="50" t="s">
        <v>105</v>
      </c>
      <c r="D439" s="146"/>
      <c r="F439" s="139"/>
      <c r="H439" s="50" t="s">
        <v>105</v>
      </c>
      <c r="K439" s="146"/>
      <c r="M439" s="139"/>
    </row>
    <row r="440" spans="1:15" ht="16.5" customHeight="1" thickBot="1"/>
    <row r="441" spans="1:15" ht="17.25" thickBot="1">
      <c r="A441" s="891" t="s">
        <v>106</v>
      </c>
      <c r="B441" s="892"/>
      <c r="C441" s="892"/>
      <c r="D441" s="893"/>
      <c r="F441" s="50" t="s">
        <v>288</v>
      </c>
      <c r="H441" s="891" t="s">
        <v>106</v>
      </c>
      <c r="I441" s="892"/>
      <c r="J441" s="892"/>
      <c r="K441" s="893"/>
      <c r="M441" s="605" t="s">
        <v>1126</v>
      </c>
      <c r="N441" s="605"/>
      <c r="O441" s="605"/>
    </row>
    <row r="442" spans="1:15" ht="30.75" thickBot="1">
      <c r="A442" s="57" t="s">
        <v>100</v>
      </c>
      <c r="B442" s="58" t="s">
        <v>108</v>
      </c>
      <c r="C442" s="59" t="s">
        <v>109</v>
      </c>
      <c r="D442" s="60" t="s">
        <v>110</v>
      </c>
      <c r="H442" s="57" t="s">
        <v>100</v>
      </c>
      <c r="I442" s="58" t="s">
        <v>108</v>
      </c>
      <c r="J442" s="59" t="s">
        <v>109</v>
      </c>
      <c r="K442" s="60" t="s">
        <v>110</v>
      </c>
      <c r="M442" s="202"/>
      <c r="N442" s="202"/>
      <c r="O442" s="202"/>
    </row>
    <row r="443" spans="1:15" ht="15" customHeight="1">
      <c r="A443" s="71">
        <v>719</v>
      </c>
      <c r="B443" s="73" t="e">
        <f>+#REF!+#REF!+#REF!+#REF!+#REF!</f>
        <v>#REF!</v>
      </c>
      <c r="C443" s="74" t="e">
        <f>+D408</f>
        <v>#REF!</v>
      </c>
      <c r="D443" s="76" t="e">
        <f>+B443+C443</f>
        <v>#REF!</v>
      </c>
      <c r="H443" s="71">
        <v>719</v>
      </c>
      <c r="I443" s="73">
        <f>+O425+O427</f>
        <v>1290000</v>
      </c>
      <c r="J443" s="74">
        <f>+K408</f>
        <v>15590000</v>
      </c>
      <c r="K443" s="195">
        <f>+I443+J443</f>
        <v>16880000</v>
      </c>
      <c r="M443" s="202"/>
      <c r="N443" s="202"/>
      <c r="O443" s="202"/>
    </row>
    <row r="444" spans="1:15" ht="13.5" customHeight="1">
      <c r="A444" s="72">
        <v>721</v>
      </c>
      <c r="B444" s="80" t="e">
        <f>+#REF!+#REF!+#REF!+#REF!+#REF!</f>
        <v>#REF!</v>
      </c>
      <c r="C444" s="74" t="e">
        <f>+D409</f>
        <v>#REF!</v>
      </c>
      <c r="D444" s="76" t="e">
        <f>+B444+C444</f>
        <v>#REF!</v>
      </c>
      <c r="H444" s="72">
        <v>721</v>
      </c>
      <c r="I444" s="80">
        <f>+O426+O428</f>
        <v>451500</v>
      </c>
      <c r="J444" s="74">
        <f>+K409</f>
        <v>5456500</v>
      </c>
      <c r="K444" s="195">
        <f>+I444+J444</f>
        <v>5908000</v>
      </c>
      <c r="M444" s="202"/>
      <c r="N444" s="202"/>
      <c r="O444" s="202"/>
    </row>
    <row r="445" spans="1:15" ht="12.75" customHeight="1">
      <c r="A445" s="72">
        <v>722</v>
      </c>
      <c r="B445" s="80"/>
      <c r="C445" s="74" t="e">
        <f>+D410</f>
        <v>#REF!</v>
      </c>
      <c r="D445" s="76" t="e">
        <f>+B445+C445</f>
        <v>#REF!</v>
      </c>
      <c r="H445" s="72">
        <v>722</v>
      </c>
      <c r="I445" s="80"/>
      <c r="J445" s="74">
        <f>+K410</f>
        <v>0</v>
      </c>
      <c r="K445" s="195">
        <f>+I445+J445</f>
        <v>0</v>
      </c>
      <c r="M445" s="202"/>
      <c r="N445" s="202"/>
      <c r="O445" s="202"/>
    </row>
    <row r="446" spans="1:15" ht="14.25" customHeight="1" thickBot="1">
      <c r="A446" s="72">
        <v>723</v>
      </c>
      <c r="B446" s="80"/>
      <c r="C446" s="74" t="e">
        <f>+D411</f>
        <v>#REF!</v>
      </c>
      <c r="D446" s="76" t="e">
        <f>+B446+C446</f>
        <v>#REF!</v>
      </c>
      <c r="F446" s="193" t="s">
        <v>289</v>
      </c>
      <c r="G446" s="175"/>
      <c r="H446" s="72">
        <v>723</v>
      </c>
      <c r="I446" s="80">
        <f>+O430</f>
        <v>845850</v>
      </c>
      <c r="J446" s="74">
        <f>+K411</f>
        <v>302700880</v>
      </c>
      <c r="K446" s="195">
        <f>+I446+J446</f>
        <v>303546730</v>
      </c>
      <c r="M446" s="918" t="s">
        <v>2347</v>
      </c>
      <c r="N446" s="608"/>
      <c r="O446" s="608"/>
    </row>
    <row r="447" spans="1:15" ht="15.75" hidden="1" customHeight="1" thickBot="1">
      <c r="A447" s="164" t="s">
        <v>181</v>
      </c>
      <c r="B447" s="165"/>
      <c r="C447" s="74">
        <f>+D412</f>
        <v>1965625</v>
      </c>
      <c r="D447" s="168">
        <f>+B447+C447</f>
        <v>1965625</v>
      </c>
      <c r="F447" s="52"/>
      <c r="H447" s="164" t="s">
        <v>181</v>
      </c>
      <c r="I447" s="165"/>
      <c r="J447" s="74">
        <f>+K412</f>
        <v>0</v>
      </c>
      <c r="K447" s="196">
        <f>+I447+J447</f>
        <v>0</v>
      </c>
      <c r="M447" s="52"/>
    </row>
    <row r="448" spans="1:15" ht="17.25" customHeight="1" thickBot="1">
      <c r="A448" s="169"/>
      <c r="B448" s="170" t="e">
        <f>SUM(B443:B447)</f>
        <v>#REF!</v>
      </c>
      <c r="C448" s="171" t="e">
        <f>SUM(C443:C447)</f>
        <v>#REF!</v>
      </c>
      <c r="D448" s="172" t="e">
        <f>SUM(D443:D447)</f>
        <v>#REF!</v>
      </c>
      <c r="H448" s="169"/>
      <c r="I448" s="197">
        <f>SUM(I443:I447)</f>
        <v>2587350</v>
      </c>
      <c r="J448" s="197">
        <f>SUM(J443:J447)</f>
        <v>323747380</v>
      </c>
      <c r="K448" s="198">
        <f>SUM(K443:K447)</f>
        <v>326334730</v>
      </c>
    </row>
    <row r="449" spans="1:15" ht="13.5" customHeight="1">
      <c r="A449" s="49" t="s">
        <v>88</v>
      </c>
      <c r="B449" s="50"/>
      <c r="H449" s="49" t="s">
        <v>88</v>
      </c>
      <c r="I449" s="50"/>
    </row>
    <row r="450" spans="1:15" ht="12.75" customHeight="1">
      <c r="A450" s="51" t="s">
        <v>89</v>
      </c>
      <c r="H450" s="51" t="s">
        <v>89</v>
      </c>
    </row>
    <row r="451" spans="1:15" ht="13.5" customHeight="1">
      <c r="A451" s="51" t="s">
        <v>90</v>
      </c>
      <c r="H451" s="51" t="s">
        <v>90</v>
      </c>
    </row>
    <row r="452" spans="1:15" ht="12.75" customHeight="1">
      <c r="A452" s="51" t="s">
        <v>91</v>
      </c>
      <c r="H452" s="51" t="s">
        <v>91</v>
      </c>
    </row>
    <row r="453" spans="1:15" ht="3.75" customHeight="1">
      <c r="A453" s="50"/>
      <c r="B453" s="50"/>
      <c r="H453" s="50"/>
      <c r="I453" s="50"/>
    </row>
    <row r="454" spans="1:15" ht="12.75" customHeight="1">
      <c r="A454" s="52" t="s">
        <v>299</v>
      </c>
      <c r="G454" s="52"/>
      <c r="H454" s="52" t="s">
        <v>814</v>
      </c>
      <c r="N454" s="52"/>
    </row>
    <row r="455" spans="1:15" ht="15.75">
      <c r="A455" s="53" t="s">
        <v>92</v>
      </c>
      <c r="G455" s="53"/>
      <c r="H455" s="53" t="s">
        <v>2270</v>
      </c>
      <c r="N455" s="53"/>
    </row>
    <row r="456" spans="1:15" ht="13.5" customHeight="1">
      <c r="A456" s="894" t="s">
        <v>261</v>
      </c>
      <c r="B456" s="894"/>
      <c r="C456" s="894"/>
      <c r="D456" s="894"/>
      <c r="E456" s="894"/>
      <c r="F456" s="894"/>
      <c r="G456" s="894"/>
      <c r="H456" s="894" t="s">
        <v>2363</v>
      </c>
      <c r="I456" s="894"/>
      <c r="J456" s="894"/>
      <c r="K456" s="894"/>
      <c r="L456" s="894"/>
      <c r="M456" s="894"/>
      <c r="N456" s="894"/>
      <c r="O456" s="894"/>
    </row>
    <row r="457" spans="1:15" ht="9" customHeight="1" thickBot="1"/>
    <row r="458" spans="1:15">
      <c r="A458" s="895" t="s">
        <v>94</v>
      </c>
      <c r="B458" s="897" t="s">
        <v>95</v>
      </c>
      <c r="C458" s="897" t="s">
        <v>96</v>
      </c>
      <c r="D458" s="897" t="s">
        <v>3</v>
      </c>
      <c r="E458" s="897" t="s">
        <v>97</v>
      </c>
      <c r="F458" s="897" t="s">
        <v>98</v>
      </c>
      <c r="G458" s="500" t="s">
        <v>99</v>
      </c>
      <c r="H458" s="895" t="s">
        <v>94</v>
      </c>
      <c r="I458" s="897" t="s">
        <v>95</v>
      </c>
      <c r="J458" s="897" t="s">
        <v>96</v>
      </c>
      <c r="K458" s="897" t="s">
        <v>3</v>
      </c>
      <c r="L458" s="897" t="s">
        <v>97</v>
      </c>
      <c r="M458" s="897" t="s">
        <v>98</v>
      </c>
      <c r="N458" s="897" t="s">
        <v>99</v>
      </c>
      <c r="O458" s="899"/>
    </row>
    <row r="459" spans="1:15" ht="15.75" thickBot="1">
      <c r="A459" s="896"/>
      <c r="B459" s="898"/>
      <c r="C459" s="898"/>
      <c r="D459" s="898"/>
      <c r="E459" s="898"/>
      <c r="F459" s="898"/>
      <c r="G459" s="240" t="s">
        <v>100</v>
      </c>
      <c r="H459" s="896"/>
      <c r="I459" s="898"/>
      <c r="J459" s="898"/>
      <c r="K459" s="898"/>
      <c r="L459" s="898"/>
      <c r="M459" s="898"/>
      <c r="N459" s="240" t="s">
        <v>100</v>
      </c>
      <c r="O459" s="182" t="s">
        <v>101</v>
      </c>
    </row>
    <row r="460" spans="1:15" ht="14.25" customHeight="1">
      <c r="A460" s="881" t="e">
        <f>+A429+1</f>
        <v>#REF!</v>
      </c>
      <c r="B460" s="875">
        <v>42278</v>
      </c>
      <c r="C460" s="877" t="s">
        <v>267</v>
      </c>
      <c r="D460" s="881" t="s">
        <v>300</v>
      </c>
      <c r="E460" s="881" t="s">
        <v>148</v>
      </c>
      <c r="F460" s="883">
        <v>196000</v>
      </c>
      <c r="G460" s="55">
        <v>719</v>
      </c>
      <c r="H460" s="873" t="s">
        <v>757</v>
      </c>
      <c r="I460" s="875">
        <v>45180</v>
      </c>
      <c r="J460" s="877" t="s">
        <v>1079</v>
      </c>
      <c r="K460" s="881" t="s">
        <v>2364</v>
      </c>
      <c r="L460" s="881" t="s">
        <v>148</v>
      </c>
      <c r="M460" s="883">
        <v>1458000</v>
      </c>
      <c r="N460" s="55">
        <v>719</v>
      </c>
      <c r="O460" s="78">
        <v>1080000</v>
      </c>
    </row>
    <row r="461" spans="1:15" ht="13.5" customHeight="1" thickBot="1">
      <c r="A461" s="882"/>
      <c r="B461" s="934"/>
      <c r="C461" s="878"/>
      <c r="D461" s="882"/>
      <c r="E461" s="882"/>
      <c r="F461" s="884"/>
      <c r="G461" s="56">
        <v>721</v>
      </c>
      <c r="H461" s="882"/>
      <c r="I461" s="876"/>
      <c r="J461" s="878"/>
      <c r="K461" s="882"/>
      <c r="L461" s="882"/>
      <c r="M461" s="884"/>
      <c r="N461" s="56">
        <v>723</v>
      </c>
      <c r="O461" s="79">
        <f>+M460-O460</f>
        <v>378000</v>
      </c>
    </row>
    <row r="462" spans="1:15" ht="12.75" customHeight="1">
      <c r="A462" s="881" t="e">
        <f>+A460+1</f>
        <v>#REF!</v>
      </c>
      <c r="B462" s="875">
        <v>42278</v>
      </c>
      <c r="C462" s="881" t="s">
        <v>28</v>
      </c>
      <c r="D462" s="881" t="s">
        <v>301</v>
      </c>
      <c r="E462" s="881" t="s">
        <v>148</v>
      </c>
      <c r="F462" s="883">
        <v>224000</v>
      </c>
      <c r="G462" s="55">
        <v>719</v>
      </c>
      <c r="H462" s="873" t="s">
        <v>758</v>
      </c>
      <c r="I462" s="875">
        <v>45180</v>
      </c>
      <c r="J462" s="877" t="s">
        <v>815</v>
      </c>
      <c r="K462" s="881" t="s">
        <v>2368</v>
      </c>
      <c r="L462" s="881" t="s">
        <v>775</v>
      </c>
      <c r="M462" s="883">
        <v>1768500</v>
      </c>
      <c r="N462" s="55">
        <v>719</v>
      </c>
      <c r="O462" s="78">
        <v>1310000</v>
      </c>
    </row>
    <row r="463" spans="1:15" ht="13.5" customHeight="1" thickBot="1">
      <c r="A463" s="882"/>
      <c r="B463" s="934"/>
      <c r="C463" s="882"/>
      <c r="D463" s="882"/>
      <c r="E463" s="882"/>
      <c r="F463" s="884"/>
      <c r="G463" s="56">
        <v>721</v>
      </c>
      <c r="H463" s="882"/>
      <c r="I463" s="876"/>
      <c r="J463" s="878"/>
      <c r="K463" s="882"/>
      <c r="L463" s="882"/>
      <c r="M463" s="884"/>
      <c r="N463" s="56">
        <v>723</v>
      </c>
      <c r="O463" s="79">
        <f>+M462-O462</f>
        <v>458500</v>
      </c>
    </row>
    <row r="464" spans="1:15" ht="13.5" customHeight="1">
      <c r="A464" s="881" t="e">
        <f>+A462+1</f>
        <v>#REF!</v>
      </c>
      <c r="B464" s="875">
        <v>42278</v>
      </c>
      <c r="C464" s="877" t="s">
        <v>32</v>
      </c>
      <c r="D464" s="881" t="s">
        <v>301</v>
      </c>
      <c r="E464" s="881" t="s">
        <v>148</v>
      </c>
      <c r="F464" s="883">
        <v>112000</v>
      </c>
      <c r="G464" s="55">
        <v>719</v>
      </c>
      <c r="H464" s="873" t="s">
        <v>759</v>
      </c>
      <c r="I464" s="875">
        <v>45180</v>
      </c>
      <c r="J464" s="877" t="s">
        <v>1538</v>
      </c>
      <c r="K464" s="881" t="s">
        <v>2367</v>
      </c>
      <c r="L464" s="881" t="s">
        <v>148</v>
      </c>
      <c r="M464" s="883">
        <v>3198300</v>
      </c>
      <c r="N464" s="55">
        <v>719</v>
      </c>
      <c r="O464" s="78">
        <v>0</v>
      </c>
    </row>
    <row r="465" spans="1:15" ht="13.5" customHeight="1" thickBot="1">
      <c r="A465" s="882"/>
      <c r="B465" s="934"/>
      <c r="C465" s="878"/>
      <c r="D465" s="882"/>
      <c r="E465" s="882"/>
      <c r="F465" s="884"/>
      <c r="G465" s="56">
        <v>721</v>
      </c>
      <c r="H465" s="882"/>
      <c r="I465" s="876"/>
      <c r="J465" s="878"/>
      <c r="K465" s="882"/>
      <c r="L465" s="882"/>
      <c r="M465" s="884"/>
      <c r="N465" s="56">
        <v>723</v>
      </c>
      <c r="O465" s="79">
        <f>+M464-O464</f>
        <v>3198300</v>
      </c>
    </row>
    <row r="466" spans="1:15" ht="12.75" customHeight="1">
      <c r="A466" s="881" t="e">
        <f>+A464+1</f>
        <v>#REF!</v>
      </c>
      <c r="B466" s="875">
        <v>42278</v>
      </c>
      <c r="C466" s="877" t="s">
        <v>111</v>
      </c>
      <c r="D466" s="881" t="s">
        <v>302</v>
      </c>
      <c r="E466" s="881" t="s">
        <v>148</v>
      </c>
      <c r="F466" s="883">
        <v>84000</v>
      </c>
      <c r="G466" s="55">
        <v>719</v>
      </c>
      <c r="H466" s="873" t="s">
        <v>764</v>
      </c>
      <c r="I466" s="875">
        <v>45180</v>
      </c>
      <c r="J466" s="877" t="s">
        <v>2365</v>
      </c>
      <c r="K466" s="881" t="s">
        <v>2366</v>
      </c>
      <c r="L466" s="881" t="s">
        <v>775</v>
      </c>
      <c r="M466" s="883">
        <v>210000</v>
      </c>
      <c r="N466" s="55">
        <v>710</v>
      </c>
      <c r="O466" s="78"/>
    </row>
    <row r="467" spans="1:15" ht="14.25" customHeight="1" thickBot="1">
      <c r="A467" s="882"/>
      <c r="B467" s="934"/>
      <c r="C467" s="878"/>
      <c r="D467" s="882"/>
      <c r="E467" s="882"/>
      <c r="F467" s="884"/>
      <c r="G467" s="56">
        <v>721</v>
      </c>
      <c r="H467" s="882"/>
      <c r="I467" s="876"/>
      <c r="J467" s="878"/>
      <c r="K467" s="882"/>
      <c r="L467" s="882"/>
      <c r="M467" s="884"/>
      <c r="N467" s="56">
        <v>723</v>
      </c>
      <c r="O467" s="79">
        <f>+M466-O466</f>
        <v>210000</v>
      </c>
    </row>
    <row r="468" spans="1:15" ht="16.5" thickBot="1">
      <c r="A468" s="901" t="s">
        <v>102</v>
      </c>
      <c r="B468" s="902"/>
      <c r="C468" s="902"/>
      <c r="D468" s="902"/>
      <c r="E468" s="903"/>
      <c r="F468" s="81">
        <f>SUM(F460:F467)</f>
        <v>616000</v>
      </c>
      <c r="H468" s="901" t="s">
        <v>102</v>
      </c>
      <c r="I468" s="902"/>
      <c r="J468" s="902"/>
      <c r="K468" s="902"/>
      <c r="L468" s="903"/>
      <c r="M468" s="81">
        <f>SUM(M460:M467)</f>
        <v>6634800</v>
      </c>
    </row>
    <row r="469" spans="1:15" ht="16.5" thickBot="1">
      <c r="A469" s="885" t="s">
        <v>103</v>
      </c>
      <c r="B469" s="886"/>
      <c r="C469" s="886"/>
      <c r="D469" s="886"/>
      <c r="E469" s="887"/>
      <c r="F469" s="69" t="e">
        <f>+F435</f>
        <v>#REF!</v>
      </c>
      <c r="H469" s="885" t="s">
        <v>103</v>
      </c>
      <c r="I469" s="886"/>
      <c r="J469" s="886"/>
      <c r="K469" s="886"/>
      <c r="L469" s="887"/>
      <c r="M469" s="239">
        <f>+M435</f>
        <v>326334730</v>
      </c>
      <c r="N469" s="241" t="s">
        <v>561</v>
      </c>
      <c r="O469" s="242"/>
    </row>
    <row r="470" spans="1:15" ht="16.5" thickBot="1">
      <c r="A470" s="888" t="s">
        <v>104</v>
      </c>
      <c r="B470" s="889"/>
      <c r="C470" s="889"/>
      <c r="D470" s="889"/>
      <c r="E470" s="890"/>
      <c r="F470" s="183" t="e">
        <f>SUM(F468:F469)</f>
        <v>#REF!</v>
      </c>
      <c r="H470" s="888" t="s">
        <v>104</v>
      </c>
      <c r="I470" s="889"/>
      <c r="J470" s="889"/>
      <c r="K470" s="889"/>
      <c r="L470" s="890"/>
      <c r="M470" s="183">
        <f>SUM(M468:M469)</f>
        <v>332969530</v>
      </c>
    </row>
    <row r="471" spans="1:15" ht="13.5" customHeight="1">
      <c r="A471" s="61"/>
      <c r="B471" s="61"/>
      <c r="C471" s="61"/>
      <c r="D471" s="61"/>
      <c r="E471" s="61"/>
      <c r="H471" s="61"/>
      <c r="I471" s="61"/>
      <c r="J471" s="61"/>
      <c r="K471" s="61"/>
      <c r="L471" s="61"/>
    </row>
    <row r="472" spans="1:15">
      <c r="A472" s="51" t="s">
        <v>303</v>
      </c>
      <c r="H472" s="51" t="s">
        <v>2369</v>
      </c>
    </row>
    <row r="473" spans="1:15" ht="11.25" customHeight="1">
      <c r="F473" s="139"/>
      <c r="M473" s="139"/>
    </row>
    <row r="474" spans="1:15">
      <c r="A474" s="50" t="s">
        <v>105</v>
      </c>
      <c r="D474" s="146"/>
      <c r="F474" s="139"/>
      <c r="H474" s="50" t="s">
        <v>105</v>
      </c>
      <c r="K474" s="146"/>
      <c r="M474" s="139"/>
    </row>
    <row r="475" spans="1:15" ht="11.25" customHeight="1" thickBot="1"/>
    <row r="476" spans="1:15" ht="17.25" thickBot="1">
      <c r="A476" s="891" t="s">
        <v>106</v>
      </c>
      <c r="B476" s="892"/>
      <c r="C476" s="892"/>
      <c r="D476" s="893"/>
      <c r="F476" s="50" t="s">
        <v>288</v>
      </c>
      <c r="H476" s="891" t="s">
        <v>106</v>
      </c>
      <c r="I476" s="892"/>
      <c r="J476" s="892"/>
      <c r="K476" s="893"/>
      <c r="M476" s="605" t="s">
        <v>288</v>
      </c>
      <c r="N476" s="605"/>
      <c r="O476" s="605"/>
    </row>
    <row r="477" spans="1:15" ht="28.5" customHeight="1" thickBot="1">
      <c r="A477" s="57" t="s">
        <v>100</v>
      </c>
      <c r="B477" s="58" t="s">
        <v>108</v>
      </c>
      <c r="C477" s="59" t="s">
        <v>109</v>
      </c>
      <c r="D477" s="60" t="s">
        <v>110</v>
      </c>
      <c r="H477" s="57" t="s">
        <v>100</v>
      </c>
      <c r="I477" s="58" t="s">
        <v>108</v>
      </c>
      <c r="J477" s="59" t="s">
        <v>109</v>
      </c>
      <c r="K477" s="60" t="s">
        <v>110</v>
      </c>
      <c r="M477" s="202"/>
      <c r="N477" s="202"/>
      <c r="O477" s="202"/>
    </row>
    <row r="478" spans="1:15" ht="15" customHeight="1">
      <c r="A478" s="71">
        <v>719</v>
      </c>
      <c r="B478" s="73" t="e">
        <f>+#REF!+#REF!+#REF!+#REF!+#REF!</f>
        <v>#REF!</v>
      </c>
      <c r="C478" s="74" t="e">
        <f>+D443</f>
        <v>#REF!</v>
      </c>
      <c r="D478" s="195" t="e">
        <f>+B478+C478</f>
        <v>#REF!</v>
      </c>
      <c r="H478" s="71">
        <v>719</v>
      </c>
      <c r="I478" s="73">
        <f>+O460+O462</f>
        <v>2390000</v>
      </c>
      <c r="J478" s="74">
        <f>+K443</f>
        <v>16880000</v>
      </c>
      <c r="K478" s="195">
        <f>+I478+J478</f>
        <v>19270000</v>
      </c>
      <c r="M478" s="202"/>
      <c r="N478" s="202"/>
      <c r="O478" s="202"/>
    </row>
    <row r="479" spans="1:15" ht="13.5" customHeight="1">
      <c r="A479" s="72">
        <v>721</v>
      </c>
      <c r="B479" s="80" t="e">
        <f>+#REF!+#REF!+#REF!+#REF!+#REF!</f>
        <v>#REF!</v>
      </c>
      <c r="C479" s="74" t="e">
        <f>+D444</f>
        <v>#REF!</v>
      </c>
      <c r="D479" s="195" t="e">
        <f>+B479+C479</f>
        <v>#REF!</v>
      </c>
      <c r="H479" s="72">
        <v>721</v>
      </c>
      <c r="I479" s="80">
        <f>+O461+O463</f>
        <v>836500</v>
      </c>
      <c r="J479" s="74">
        <f>+K444</f>
        <v>5908000</v>
      </c>
      <c r="K479" s="195">
        <f>+I479+J479</f>
        <v>6744500</v>
      </c>
      <c r="M479" s="202"/>
      <c r="N479" s="202"/>
      <c r="O479" s="202"/>
    </row>
    <row r="480" spans="1:15" ht="15" customHeight="1">
      <c r="A480" s="72">
        <v>722</v>
      </c>
      <c r="B480" s="80"/>
      <c r="C480" s="74" t="e">
        <f>+D445</f>
        <v>#REF!</v>
      </c>
      <c r="D480" s="195" t="e">
        <f>+B480+C480</f>
        <v>#REF!</v>
      </c>
      <c r="H480" s="72">
        <v>722</v>
      </c>
      <c r="I480" s="80"/>
      <c r="J480" s="74">
        <f>+K445</f>
        <v>0</v>
      </c>
      <c r="K480" s="195">
        <f>+I480+J480</f>
        <v>0</v>
      </c>
      <c r="M480" s="202"/>
      <c r="N480" s="202"/>
      <c r="O480" s="202"/>
    </row>
    <row r="481" spans="1:15" ht="14.25" customHeight="1">
      <c r="A481" s="72">
        <v>723</v>
      </c>
      <c r="B481" s="80"/>
      <c r="C481" s="74" t="e">
        <f>+D446</f>
        <v>#REF!</v>
      </c>
      <c r="D481" s="195" t="e">
        <f>+B481+C481</f>
        <v>#REF!</v>
      </c>
      <c r="F481" s="193" t="s">
        <v>289</v>
      </c>
      <c r="G481" s="175"/>
      <c r="H481" s="72">
        <v>723</v>
      </c>
      <c r="I481" s="80">
        <f>+O465+O467</f>
        <v>3408300</v>
      </c>
      <c r="J481" s="74">
        <f>+K446</f>
        <v>303546730</v>
      </c>
      <c r="K481" s="195">
        <f>+I481+J481</f>
        <v>306955030</v>
      </c>
      <c r="M481" s="918" t="s">
        <v>2347</v>
      </c>
      <c r="N481" s="608"/>
      <c r="O481" s="608"/>
    </row>
    <row r="482" spans="1:15" ht="15" customHeight="1" thickBot="1">
      <c r="A482" s="164" t="s">
        <v>181</v>
      </c>
      <c r="B482" s="165"/>
      <c r="C482" s="74">
        <f>+D447</f>
        <v>1965625</v>
      </c>
      <c r="D482" s="196">
        <f>+B482+C482</f>
        <v>1965625</v>
      </c>
      <c r="F482" s="52"/>
      <c r="H482" s="164" t="s">
        <v>181</v>
      </c>
      <c r="I482" s="165"/>
      <c r="J482" s="74">
        <f>+K447</f>
        <v>0</v>
      </c>
      <c r="K482" s="196">
        <f>+I482+J482</f>
        <v>0</v>
      </c>
      <c r="M482" s="52"/>
    </row>
    <row r="483" spans="1:15" ht="15" customHeight="1" thickBot="1">
      <c r="A483" s="169"/>
      <c r="B483" s="170" t="e">
        <f>SUM(B478:B482)</f>
        <v>#REF!</v>
      </c>
      <c r="C483" s="171" t="e">
        <f>SUM(C478:C482)</f>
        <v>#REF!</v>
      </c>
      <c r="D483" s="172" t="e">
        <f>SUM(D478:D482)</f>
        <v>#REF!</v>
      </c>
      <c r="H483" s="169"/>
      <c r="I483" s="197">
        <f>SUM(I478:I482)</f>
        <v>6634800</v>
      </c>
      <c r="J483" s="197">
        <f>SUM(J478:J482)</f>
        <v>326334730</v>
      </c>
      <c r="K483" s="198">
        <f>SUM(K478:K482)</f>
        <v>332969530</v>
      </c>
    </row>
    <row r="484" spans="1:15" ht="16.5">
      <c r="A484" s="49" t="s">
        <v>88</v>
      </c>
      <c r="B484" s="50"/>
      <c r="H484" s="49" t="s">
        <v>88</v>
      </c>
      <c r="I484" s="50"/>
    </row>
    <row r="485" spans="1:15" ht="13.5" customHeight="1">
      <c r="A485" s="51" t="s">
        <v>89</v>
      </c>
      <c r="H485" s="51" t="s">
        <v>89</v>
      </c>
    </row>
    <row r="486" spans="1:15">
      <c r="A486" s="51" t="s">
        <v>90</v>
      </c>
      <c r="H486" s="51" t="s">
        <v>90</v>
      </c>
    </row>
    <row r="487" spans="1:15">
      <c r="A487" s="51" t="s">
        <v>91</v>
      </c>
      <c r="H487" s="51" t="s">
        <v>91</v>
      </c>
    </row>
    <row r="488" spans="1:15" ht="5.25" customHeight="1">
      <c r="A488" s="50"/>
      <c r="B488" s="50"/>
      <c r="H488" s="50"/>
      <c r="I488" s="50"/>
    </row>
    <row r="489" spans="1:15" ht="16.5">
      <c r="A489" s="52" t="s">
        <v>307</v>
      </c>
      <c r="G489" s="52"/>
      <c r="H489" s="52" t="s">
        <v>836</v>
      </c>
      <c r="N489" s="52"/>
    </row>
    <row r="490" spans="1:15" ht="15.75">
      <c r="A490" s="53" t="s">
        <v>92</v>
      </c>
      <c r="G490" s="53"/>
      <c r="H490" s="53" t="s">
        <v>2270</v>
      </c>
      <c r="N490" s="53"/>
    </row>
    <row r="491" spans="1:15" ht="16.5">
      <c r="A491" s="894" t="s">
        <v>261</v>
      </c>
      <c r="B491" s="894"/>
      <c r="C491" s="894"/>
      <c r="D491" s="894"/>
      <c r="E491" s="894"/>
      <c r="F491" s="894"/>
      <c r="G491" s="894"/>
      <c r="H491" s="894" t="s">
        <v>1278</v>
      </c>
      <c r="I491" s="894"/>
      <c r="J491" s="894"/>
      <c r="K491" s="894"/>
      <c r="L491" s="894"/>
      <c r="M491" s="894"/>
      <c r="N491" s="894"/>
      <c r="O491" s="894"/>
    </row>
    <row r="492" spans="1:15" ht="12.75" customHeight="1" thickBot="1"/>
    <row r="493" spans="1:15">
      <c r="A493" s="895" t="s">
        <v>94</v>
      </c>
      <c r="B493" s="897" t="s">
        <v>95</v>
      </c>
      <c r="C493" s="897" t="s">
        <v>96</v>
      </c>
      <c r="D493" s="897" t="s">
        <v>3</v>
      </c>
      <c r="E493" s="897" t="s">
        <v>97</v>
      </c>
      <c r="F493" s="897" t="s">
        <v>98</v>
      </c>
      <c r="G493" s="500" t="s">
        <v>99</v>
      </c>
      <c r="H493" s="895" t="s">
        <v>94</v>
      </c>
      <c r="I493" s="897" t="s">
        <v>95</v>
      </c>
      <c r="J493" s="897" t="s">
        <v>96</v>
      </c>
      <c r="K493" s="897" t="s">
        <v>3</v>
      </c>
      <c r="L493" s="897" t="s">
        <v>97</v>
      </c>
      <c r="M493" s="897" t="s">
        <v>98</v>
      </c>
      <c r="N493" s="897" t="s">
        <v>99</v>
      </c>
      <c r="O493" s="899"/>
    </row>
    <row r="494" spans="1:15" ht="15.75" thickBot="1">
      <c r="A494" s="896"/>
      <c r="B494" s="898"/>
      <c r="C494" s="898"/>
      <c r="D494" s="898"/>
      <c r="E494" s="898"/>
      <c r="F494" s="898"/>
      <c r="G494" s="240" t="s">
        <v>100</v>
      </c>
      <c r="H494" s="896"/>
      <c r="I494" s="898"/>
      <c r="J494" s="898"/>
      <c r="K494" s="898"/>
      <c r="L494" s="898"/>
      <c r="M494" s="898"/>
      <c r="N494" s="240" t="s">
        <v>100</v>
      </c>
      <c r="O494" s="182" t="s">
        <v>101</v>
      </c>
    </row>
    <row r="495" spans="1:15" ht="13.5" customHeight="1">
      <c r="A495" s="881" t="e">
        <f>+#REF!+1</f>
        <v>#REF!</v>
      </c>
      <c r="B495" s="875">
        <v>42278</v>
      </c>
      <c r="C495" s="877" t="s">
        <v>272</v>
      </c>
      <c r="D495" s="881" t="s">
        <v>305</v>
      </c>
      <c r="E495" s="881" t="s">
        <v>148</v>
      </c>
      <c r="F495" s="883">
        <v>100000</v>
      </c>
      <c r="G495" s="55">
        <v>719</v>
      </c>
      <c r="H495" s="873" t="s">
        <v>765</v>
      </c>
      <c r="I495" s="875">
        <v>45188</v>
      </c>
      <c r="J495" s="877" t="s">
        <v>2373</v>
      </c>
      <c r="K495" s="879" t="s">
        <v>2374</v>
      </c>
      <c r="L495" s="881" t="s">
        <v>148</v>
      </c>
      <c r="M495" s="883">
        <v>1500000</v>
      </c>
      <c r="N495" s="55">
        <v>713</v>
      </c>
      <c r="O495" s="78"/>
    </row>
    <row r="496" spans="1:15" ht="12.75" customHeight="1" thickBot="1">
      <c r="A496" s="882"/>
      <c r="B496" s="934"/>
      <c r="C496" s="878"/>
      <c r="D496" s="882"/>
      <c r="E496" s="882"/>
      <c r="F496" s="884"/>
      <c r="G496" s="56">
        <v>721</v>
      </c>
      <c r="H496" s="882"/>
      <c r="I496" s="876"/>
      <c r="J496" s="878"/>
      <c r="K496" s="880"/>
      <c r="L496" s="882"/>
      <c r="M496" s="884"/>
      <c r="N496" s="461">
        <v>723</v>
      </c>
      <c r="O496" s="352">
        <f>+M495-O495</f>
        <v>1500000</v>
      </c>
    </row>
    <row r="497" spans="1:15" ht="12.75" customHeight="1">
      <c r="A497" s="251"/>
      <c r="B497" s="452"/>
      <c r="C497" s="253"/>
      <c r="D497" s="251"/>
      <c r="E497" s="251"/>
      <c r="F497" s="254"/>
      <c r="G497" s="255"/>
      <c r="H497" s="873" t="s">
        <v>766</v>
      </c>
      <c r="I497" s="875">
        <v>45188</v>
      </c>
      <c r="J497" s="877" t="s">
        <v>1091</v>
      </c>
      <c r="K497" s="881" t="s">
        <v>2375</v>
      </c>
      <c r="L497" s="881" t="s">
        <v>148</v>
      </c>
      <c r="M497" s="883">
        <v>729000</v>
      </c>
      <c r="N497" s="55">
        <v>719</v>
      </c>
      <c r="O497" s="78">
        <v>540000</v>
      </c>
    </row>
    <row r="498" spans="1:15" ht="12.75" customHeight="1" thickBot="1">
      <c r="A498" s="251"/>
      <c r="B498" s="452"/>
      <c r="C498" s="253"/>
      <c r="D498" s="251"/>
      <c r="E498" s="251"/>
      <c r="F498" s="254"/>
      <c r="G498" s="255"/>
      <c r="H498" s="882"/>
      <c r="I498" s="876"/>
      <c r="J498" s="878"/>
      <c r="K498" s="882"/>
      <c r="L498" s="882"/>
      <c r="M498" s="884"/>
      <c r="N498" s="461">
        <v>721</v>
      </c>
      <c r="O498" s="79">
        <f>+M497-O497</f>
        <v>189000</v>
      </c>
    </row>
    <row r="499" spans="1:15" ht="12" customHeight="1">
      <c r="A499" s="881" t="e">
        <f>+A495+1</f>
        <v>#REF!</v>
      </c>
      <c r="B499" s="875">
        <v>42278</v>
      </c>
      <c r="C499" s="881" t="s">
        <v>28</v>
      </c>
      <c r="D499" s="881" t="s">
        <v>304</v>
      </c>
      <c r="E499" s="881" t="s">
        <v>115</v>
      </c>
      <c r="F499" s="883">
        <v>80000</v>
      </c>
      <c r="G499" s="55">
        <v>719</v>
      </c>
      <c r="H499" s="873" t="s">
        <v>767</v>
      </c>
      <c r="I499" s="875">
        <v>45188</v>
      </c>
      <c r="J499" s="877" t="s">
        <v>1091</v>
      </c>
      <c r="K499" s="881" t="s">
        <v>2386</v>
      </c>
      <c r="L499" s="881" t="s">
        <v>148</v>
      </c>
      <c r="M499" s="883">
        <v>729000</v>
      </c>
      <c r="N499" s="55">
        <v>719</v>
      </c>
      <c r="O499" s="78">
        <v>540000</v>
      </c>
    </row>
    <row r="500" spans="1:15" ht="14.25" customHeight="1" thickBot="1">
      <c r="A500" s="882"/>
      <c r="B500" s="934"/>
      <c r="C500" s="882"/>
      <c r="D500" s="882"/>
      <c r="E500" s="882"/>
      <c r="F500" s="884"/>
      <c r="G500" s="56">
        <v>721</v>
      </c>
      <c r="H500" s="882"/>
      <c r="I500" s="876"/>
      <c r="J500" s="878"/>
      <c r="K500" s="882"/>
      <c r="L500" s="882"/>
      <c r="M500" s="884"/>
      <c r="N500" s="461">
        <v>723</v>
      </c>
      <c r="O500" s="79">
        <f>+M499-O499</f>
        <v>189000</v>
      </c>
    </row>
    <row r="501" spans="1:15" ht="12.75" customHeight="1">
      <c r="A501" s="881"/>
      <c r="B501" s="875"/>
      <c r="C501" s="877"/>
      <c r="D501" s="881"/>
      <c r="E501" s="881"/>
      <c r="F501" s="883"/>
      <c r="G501" s="55">
        <v>719</v>
      </c>
      <c r="H501" s="873"/>
      <c r="I501" s="875"/>
      <c r="J501" s="877"/>
      <c r="K501" s="881"/>
      <c r="L501" s="881"/>
      <c r="M501" s="883"/>
      <c r="N501" s="55">
        <v>719</v>
      </c>
      <c r="O501" s="78"/>
    </row>
    <row r="502" spans="1:15" ht="14.25" customHeight="1" thickBot="1">
      <c r="A502" s="882"/>
      <c r="B502" s="934"/>
      <c r="C502" s="878"/>
      <c r="D502" s="882"/>
      <c r="E502" s="882"/>
      <c r="F502" s="884"/>
      <c r="G502" s="56">
        <v>721</v>
      </c>
      <c r="H502" s="882"/>
      <c r="I502" s="876"/>
      <c r="J502" s="878"/>
      <c r="K502" s="882"/>
      <c r="L502" s="882"/>
      <c r="M502" s="884"/>
      <c r="N502" s="461">
        <v>721</v>
      </c>
      <c r="O502" s="79">
        <f>+M501-O501</f>
        <v>0</v>
      </c>
    </row>
    <row r="503" spans="1:15" ht="16.5" thickBot="1">
      <c r="A503" s="901" t="s">
        <v>102</v>
      </c>
      <c r="B503" s="902"/>
      <c r="C503" s="902"/>
      <c r="D503" s="902"/>
      <c r="E503" s="903"/>
      <c r="F503" s="81">
        <f>SUM(F495:F502)</f>
        <v>180000</v>
      </c>
      <c r="H503" s="901" t="s">
        <v>102</v>
      </c>
      <c r="I503" s="902"/>
      <c r="J503" s="902"/>
      <c r="K503" s="902"/>
      <c r="L503" s="903"/>
      <c r="M503" s="81">
        <f>SUM(M495:M502)</f>
        <v>2958000</v>
      </c>
    </row>
    <row r="504" spans="1:15" ht="16.5" thickBot="1">
      <c r="A504" s="885" t="s">
        <v>103</v>
      </c>
      <c r="B504" s="886"/>
      <c r="C504" s="886"/>
      <c r="D504" s="886"/>
      <c r="E504" s="887"/>
      <c r="F504" s="69" t="e">
        <f>+F470</f>
        <v>#REF!</v>
      </c>
      <c r="H504" s="885" t="s">
        <v>103</v>
      </c>
      <c r="I504" s="886"/>
      <c r="J504" s="886"/>
      <c r="K504" s="886"/>
      <c r="L504" s="887"/>
      <c r="M504" s="239">
        <f>+M470</f>
        <v>332969530</v>
      </c>
      <c r="N504" s="241" t="s">
        <v>561</v>
      </c>
      <c r="O504" s="242"/>
    </row>
    <row r="505" spans="1:15" ht="16.5" thickBot="1">
      <c r="A505" s="888" t="s">
        <v>104</v>
      </c>
      <c r="B505" s="889"/>
      <c r="C505" s="889"/>
      <c r="D505" s="889"/>
      <c r="E505" s="890"/>
      <c r="F505" s="183" t="e">
        <f>SUM(F503:F504)</f>
        <v>#REF!</v>
      </c>
      <c r="H505" s="888" t="s">
        <v>104</v>
      </c>
      <c r="I505" s="889"/>
      <c r="J505" s="889"/>
      <c r="K505" s="889"/>
      <c r="L505" s="890"/>
      <c r="M505" s="183">
        <f>SUM(M503:M504)</f>
        <v>335927530</v>
      </c>
    </row>
    <row r="506" spans="1:15" ht="9.75" customHeight="1">
      <c r="A506" s="61"/>
      <c r="B506" s="61"/>
      <c r="C506" s="61"/>
      <c r="D506" s="61"/>
      <c r="E506" s="61"/>
      <c r="H506" s="61"/>
      <c r="I506" s="61"/>
      <c r="J506" s="61"/>
      <c r="K506" s="61"/>
      <c r="L506" s="61"/>
    </row>
    <row r="507" spans="1:15">
      <c r="A507" s="51" t="s">
        <v>306</v>
      </c>
      <c r="H507" s="51" t="s">
        <v>2387</v>
      </c>
    </row>
    <row r="508" spans="1:15" ht="9.75" customHeight="1">
      <c r="F508" s="139"/>
      <c r="M508" s="139"/>
    </row>
    <row r="509" spans="1:15">
      <c r="A509" s="50" t="s">
        <v>105</v>
      </c>
      <c r="D509" s="146"/>
      <c r="F509" s="139"/>
      <c r="H509" s="50" t="s">
        <v>105</v>
      </c>
      <c r="K509" s="146"/>
      <c r="M509" s="139"/>
    </row>
    <row r="510" spans="1:15" ht="16.5" customHeight="1" thickBot="1"/>
    <row r="511" spans="1:15" ht="16.5" customHeight="1" thickBot="1">
      <c r="A511" s="891" t="s">
        <v>106</v>
      </c>
      <c r="B511" s="892"/>
      <c r="C511" s="892"/>
      <c r="D511" s="893"/>
      <c r="F511" s="50" t="s">
        <v>288</v>
      </c>
      <c r="H511" s="891" t="s">
        <v>106</v>
      </c>
      <c r="I511" s="892"/>
      <c r="J511" s="892"/>
      <c r="K511" s="893"/>
      <c r="M511" s="605" t="s">
        <v>288</v>
      </c>
      <c r="N511" s="605"/>
      <c r="O511" s="605"/>
    </row>
    <row r="512" spans="1:15" ht="27" customHeight="1" thickBot="1">
      <c r="A512" s="57" t="s">
        <v>100</v>
      </c>
      <c r="B512" s="58" t="s">
        <v>108</v>
      </c>
      <c r="C512" s="59" t="s">
        <v>109</v>
      </c>
      <c r="D512" s="60" t="s">
        <v>110</v>
      </c>
      <c r="H512" s="57" t="s">
        <v>100</v>
      </c>
      <c r="I512" s="58" t="s">
        <v>108</v>
      </c>
      <c r="J512" s="59" t="s">
        <v>109</v>
      </c>
      <c r="K512" s="60" t="s">
        <v>110</v>
      </c>
      <c r="M512" s="202"/>
      <c r="N512" s="202"/>
      <c r="O512" s="202"/>
    </row>
    <row r="513" spans="1:15" ht="12" customHeight="1">
      <c r="A513" s="71">
        <v>719</v>
      </c>
      <c r="B513" s="73" t="e">
        <f>+#REF!+#REF!+#REF!+#REF!+#REF!</f>
        <v>#REF!</v>
      </c>
      <c r="C513" s="74" t="e">
        <f>+D478</f>
        <v>#REF!</v>
      </c>
      <c r="D513" s="195" t="e">
        <f>+B513+C513</f>
        <v>#REF!</v>
      </c>
      <c r="H513" s="71">
        <v>719</v>
      </c>
      <c r="I513" s="73">
        <f>+O497+O499</f>
        <v>1080000</v>
      </c>
      <c r="J513" s="74">
        <f>+K478</f>
        <v>19270000</v>
      </c>
      <c r="K513" s="195">
        <f>+I513+J513</f>
        <v>20350000</v>
      </c>
      <c r="M513" s="202"/>
      <c r="N513" s="202"/>
      <c r="O513" s="202"/>
    </row>
    <row r="514" spans="1:15" ht="12" customHeight="1">
      <c r="A514" s="72">
        <v>721</v>
      </c>
      <c r="B514" s="80" t="e">
        <f>+#REF!+#REF!+#REF!+#REF!+#REF!</f>
        <v>#REF!</v>
      </c>
      <c r="C514" s="74" t="e">
        <f>+D479</f>
        <v>#REF!</v>
      </c>
      <c r="D514" s="195" t="e">
        <f>+B514+C514</f>
        <v>#REF!</v>
      </c>
      <c r="H514" s="72">
        <v>721</v>
      </c>
      <c r="I514" s="80">
        <f>+O500+O498</f>
        <v>378000</v>
      </c>
      <c r="J514" s="74">
        <f>+K479</f>
        <v>6744500</v>
      </c>
      <c r="K514" s="195">
        <f>+I514+J514</f>
        <v>7122500</v>
      </c>
      <c r="M514" s="202"/>
      <c r="N514" s="202"/>
      <c r="O514" s="202"/>
    </row>
    <row r="515" spans="1:15" ht="14.25" customHeight="1">
      <c r="A515" s="72">
        <v>722</v>
      </c>
      <c r="B515" s="80"/>
      <c r="C515" s="74" t="e">
        <f>+D480</f>
        <v>#REF!</v>
      </c>
      <c r="D515" s="195" t="e">
        <f>+B515+C515</f>
        <v>#REF!</v>
      </c>
      <c r="H515" s="72">
        <v>722</v>
      </c>
      <c r="I515" s="80"/>
      <c r="J515" s="74">
        <f>+K480</f>
        <v>0</v>
      </c>
      <c r="K515" s="195">
        <f>+I515+J515</f>
        <v>0</v>
      </c>
      <c r="M515" s="202"/>
      <c r="N515" s="202"/>
      <c r="O515" s="202"/>
    </row>
    <row r="516" spans="1:15" ht="13.5" customHeight="1">
      <c r="A516" s="72">
        <v>723</v>
      </c>
      <c r="B516" s="80"/>
      <c r="C516" s="74" t="e">
        <f>+D481</f>
        <v>#REF!</v>
      </c>
      <c r="D516" s="195" t="e">
        <f>+B516+C516</f>
        <v>#REF!</v>
      </c>
      <c r="F516" s="193" t="s">
        <v>289</v>
      </c>
      <c r="G516" s="175"/>
      <c r="H516" s="72">
        <v>723</v>
      </c>
      <c r="I516" s="80">
        <f>+O496</f>
        <v>1500000</v>
      </c>
      <c r="J516" s="74">
        <f>+K481</f>
        <v>306955030</v>
      </c>
      <c r="K516" s="195">
        <f>+I516+J516</f>
        <v>308455030</v>
      </c>
      <c r="M516" s="918" t="s">
        <v>2347</v>
      </c>
      <c r="N516" s="608"/>
      <c r="O516" s="608"/>
    </row>
    <row r="517" spans="1:15" ht="13.5" customHeight="1" thickBot="1">
      <c r="A517" s="164" t="s">
        <v>181</v>
      </c>
      <c r="B517" s="165"/>
      <c r="C517" s="74">
        <f>+D482</f>
        <v>1965625</v>
      </c>
      <c r="D517" s="196">
        <f>+B517+C517</f>
        <v>1965625</v>
      </c>
      <c r="F517" s="52"/>
      <c r="H517" s="164" t="s">
        <v>181</v>
      </c>
      <c r="I517" s="165"/>
      <c r="J517" s="74">
        <f>+K482</f>
        <v>0</v>
      </c>
      <c r="K517" s="196">
        <f>+I517+J517</f>
        <v>0</v>
      </c>
      <c r="M517" s="52"/>
    </row>
    <row r="518" spans="1:15" ht="15.75" customHeight="1" thickBot="1">
      <c r="A518" s="169"/>
      <c r="B518" s="170" t="e">
        <f>SUM(B513:B517)</f>
        <v>#REF!</v>
      </c>
      <c r="C518" s="171" t="e">
        <f>SUM(C513:C517)</f>
        <v>#REF!</v>
      </c>
      <c r="D518" s="172" t="e">
        <f>SUM(D513:D517)</f>
        <v>#REF!</v>
      </c>
      <c r="H518" s="169"/>
      <c r="I518" s="197">
        <f>SUM(I513:I517)</f>
        <v>2958000</v>
      </c>
      <c r="J518" s="197">
        <f>SUM(J513:J517)</f>
        <v>332969530</v>
      </c>
      <c r="K518" s="198">
        <f>SUM(K513:K517)</f>
        <v>335927530</v>
      </c>
    </row>
    <row r="519" spans="1:15" ht="16.5">
      <c r="A519" s="49" t="s">
        <v>88</v>
      </c>
      <c r="B519" s="50"/>
      <c r="H519" s="49" t="s">
        <v>88</v>
      </c>
      <c r="I519" s="50"/>
    </row>
    <row r="520" spans="1:15">
      <c r="A520" s="51" t="s">
        <v>89</v>
      </c>
      <c r="H520" s="51" t="s">
        <v>89</v>
      </c>
    </row>
    <row r="521" spans="1:15">
      <c r="A521" s="51" t="s">
        <v>90</v>
      </c>
      <c r="H521" s="51" t="s">
        <v>90</v>
      </c>
    </row>
    <row r="522" spans="1:15">
      <c r="A522" s="51" t="s">
        <v>91</v>
      </c>
      <c r="H522" s="51" t="s">
        <v>91</v>
      </c>
    </row>
    <row r="523" spans="1:15" ht="6.75" customHeight="1">
      <c r="A523" s="50"/>
      <c r="B523" s="50"/>
      <c r="H523" s="50"/>
      <c r="I523" s="50"/>
    </row>
    <row r="524" spans="1:15" ht="16.5">
      <c r="A524" s="52" t="s">
        <v>308</v>
      </c>
      <c r="G524" s="52"/>
      <c r="H524" s="52" t="s">
        <v>840</v>
      </c>
      <c r="N524" s="52"/>
    </row>
    <row r="525" spans="1:15" ht="15.75">
      <c r="A525" s="53" t="s">
        <v>92</v>
      </c>
      <c r="G525" s="53"/>
      <c r="H525" s="53" t="s">
        <v>2270</v>
      </c>
      <c r="N525" s="53"/>
    </row>
    <row r="526" spans="1:15" ht="16.5">
      <c r="A526" s="894" t="s">
        <v>261</v>
      </c>
      <c r="B526" s="894"/>
      <c r="C526" s="894"/>
      <c r="D526" s="894"/>
      <c r="E526" s="894"/>
      <c r="F526" s="894"/>
      <c r="G526" s="894"/>
      <c r="H526" s="894" t="s">
        <v>2389</v>
      </c>
      <c r="I526" s="894"/>
      <c r="J526" s="894"/>
      <c r="K526" s="894"/>
      <c r="L526" s="894"/>
      <c r="M526" s="894"/>
      <c r="N526" s="894"/>
      <c r="O526" s="894"/>
    </row>
    <row r="527" spans="1:15" ht="12.75" customHeight="1" thickBot="1"/>
    <row r="528" spans="1:15">
      <c r="A528" s="895" t="s">
        <v>94</v>
      </c>
      <c r="B528" s="897" t="s">
        <v>95</v>
      </c>
      <c r="C528" s="897" t="s">
        <v>96</v>
      </c>
      <c r="D528" s="897" t="s">
        <v>3</v>
      </c>
      <c r="E528" s="897" t="s">
        <v>97</v>
      </c>
      <c r="F528" s="897" t="s">
        <v>98</v>
      </c>
      <c r="G528" s="500" t="s">
        <v>99</v>
      </c>
      <c r="H528" s="895" t="s">
        <v>94</v>
      </c>
      <c r="I528" s="897" t="s">
        <v>95</v>
      </c>
      <c r="J528" s="897" t="s">
        <v>96</v>
      </c>
      <c r="K528" s="897" t="s">
        <v>3</v>
      </c>
      <c r="L528" s="897" t="s">
        <v>97</v>
      </c>
      <c r="M528" s="897" t="s">
        <v>98</v>
      </c>
      <c r="N528" s="897" t="s">
        <v>99</v>
      </c>
      <c r="O528" s="899"/>
    </row>
    <row r="529" spans="1:15" ht="15.75" thickBot="1">
      <c r="A529" s="896"/>
      <c r="B529" s="898"/>
      <c r="C529" s="898"/>
      <c r="D529" s="898"/>
      <c r="E529" s="898"/>
      <c r="F529" s="898"/>
      <c r="G529" s="240" t="s">
        <v>100</v>
      </c>
      <c r="H529" s="896"/>
      <c r="I529" s="898"/>
      <c r="J529" s="898"/>
      <c r="K529" s="898"/>
      <c r="L529" s="898"/>
      <c r="M529" s="898"/>
      <c r="N529" s="240" t="s">
        <v>100</v>
      </c>
      <c r="O529" s="182" t="s">
        <v>101</v>
      </c>
    </row>
    <row r="530" spans="1:15" ht="12" customHeight="1">
      <c r="A530" s="881" t="e">
        <f>+#REF!+1</f>
        <v>#REF!</v>
      </c>
      <c r="B530" s="875">
        <v>42286</v>
      </c>
      <c r="C530" s="877" t="s">
        <v>267</v>
      </c>
      <c r="D530" s="881" t="s">
        <v>310</v>
      </c>
      <c r="E530" s="881" t="s">
        <v>148</v>
      </c>
      <c r="F530" s="883">
        <v>224000</v>
      </c>
      <c r="G530" s="55">
        <v>719</v>
      </c>
      <c r="H530" s="873" t="s">
        <v>768</v>
      </c>
      <c r="I530" s="875">
        <v>45201</v>
      </c>
      <c r="J530" s="877" t="s">
        <v>2388</v>
      </c>
      <c r="K530" s="881" t="s">
        <v>2228</v>
      </c>
      <c r="L530" s="881" t="s">
        <v>785</v>
      </c>
      <c r="M530" s="883">
        <v>500000</v>
      </c>
      <c r="N530" s="55">
        <v>719</v>
      </c>
      <c r="O530" s="78"/>
    </row>
    <row r="531" spans="1:15" ht="17.25" customHeight="1" thickBot="1">
      <c r="A531" s="882"/>
      <c r="B531" s="934"/>
      <c r="C531" s="878"/>
      <c r="D531" s="882"/>
      <c r="E531" s="882"/>
      <c r="F531" s="884"/>
      <c r="G531" s="56">
        <v>721</v>
      </c>
      <c r="H531" s="882"/>
      <c r="I531" s="876"/>
      <c r="J531" s="878"/>
      <c r="K531" s="882"/>
      <c r="L531" s="882"/>
      <c r="M531" s="884"/>
      <c r="N531" s="56">
        <v>723</v>
      </c>
      <c r="O531" s="79">
        <f>+M530-O530</f>
        <v>500000</v>
      </c>
    </row>
    <row r="532" spans="1:15" ht="13.5" customHeight="1">
      <c r="A532" s="251"/>
      <c r="B532" s="452"/>
      <c r="C532" s="253"/>
      <c r="D532" s="251"/>
      <c r="E532" s="251"/>
      <c r="F532" s="254"/>
      <c r="G532" s="255"/>
      <c r="H532" s="873" t="s">
        <v>1935</v>
      </c>
      <c r="I532" s="875">
        <v>45201</v>
      </c>
      <c r="J532" s="877" t="s">
        <v>2231</v>
      </c>
      <c r="K532" s="881" t="s">
        <v>2390</v>
      </c>
      <c r="L532" s="881" t="s">
        <v>148</v>
      </c>
      <c r="M532" s="883">
        <v>-1275000</v>
      </c>
      <c r="N532" s="55">
        <v>719</v>
      </c>
      <c r="O532" s="78"/>
    </row>
    <row r="533" spans="1:15" ht="13.5" customHeight="1" thickBot="1">
      <c r="A533" s="251"/>
      <c r="B533" s="452"/>
      <c r="C533" s="253"/>
      <c r="D533" s="251"/>
      <c r="E533" s="251"/>
      <c r="F533" s="254"/>
      <c r="G533" s="255"/>
      <c r="H533" s="882"/>
      <c r="I533" s="876"/>
      <c r="J533" s="878"/>
      <c r="K533" s="882"/>
      <c r="L533" s="882"/>
      <c r="M533" s="884"/>
      <c r="N533" s="56">
        <v>721</v>
      </c>
      <c r="O533" s="79">
        <f>+M532-O532</f>
        <v>-1275000</v>
      </c>
    </row>
    <row r="534" spans="1:15" ht="13.5" customHeight="1">
      <c r="A534" s="881" t="e">
        <f>+A530+1</f>
        <v>#REF!</v>
      </c>
      <c r="B534" s="875">
        <v>42286</v>
      </c>
      <c r="C534" s="881" t="s">
        <v>28</v>
      </c>
      <c r="D534" s="881" t="s">
        <v>310</v>
      </c>
      <c r="E534" s="881" t="s">
        <v>148</v>
      </c>
      <c r="F534" s="883">
        <v>392000</v>
      </c>
      <c r="G534" s="55">
        <v>719</v>
      </c>
      <c r="H534" s="873" t="s">
        <v>1936</v>
      </c>
      <c r="I534" s="875">
        <v>45201</v>
      </c>
      <c r="J534" s="877" t="s">
        <v>2231</v>
      </c>
      <c r="K534" s="881" t="s">
        <v>2390</v>
      </c>
      <c r="L534" s="881" t="s">
        <v>148</v>
      </c>
      <c r="M534" s="883">
        <v>-240000</v>
      </c>
      <c r="N534" s="55">
        <v>719</v>
      </c>
      <c r="O534" s="78"/>
    </row>
    <row r="535" spans="1:15" ht="13.5" customHeight="1" thickBot="1">
      <c r="A535" s="882"/>
      <c r="B535" s="934"/>
      <c r="C535" s="882"/>
      <c r="D535" s="882"/>
      <c r="E535" s="882"/>
      <c r="F535" s="884"/>
      <c r="G535" s="56">
        <v>721</v>
      </c>
      <c r="H535" s="882"/>
      <c r="I535" s="876"/>
      <c r="J535" s="878"/>
      <c r="K535" s="882"/>
      <c r="L535" s="882"/>
      <c r="M535" s="884"/>
      <c r="N535" s="56">
        <v>723</v>
      </c>
      <c r="O535" s="79">
        <f>+M534-O534</f>
        <v>-240000</v>
      </c>
    </row>
    <row r="536" spans="1:15" ht="12" customHeight="1">
      <c r="A536" s="881" t="e">
        <f>+#REF!+1</f>
        <v>#REF!</v>
      </c>
      <c r="B536" s="875">
        <v>42286</v>
      </c>
      <c r="C536" s="877" t="s">
        <v>111</v>
      </c>
      <c r="D536" s="881" t="s">
        <v>311</v>
      </c>
      <c r="E536" s="881" t="s">
        <v>148</v>
      </c>
      <c r="F536" s="883">
        <v>84000</v>
      </c>
      <c r="G536" s="55">
        <v>719</v>
      </c>
      <c r="H536" s="873" t="s">
        <v>2001</v>
      </c>
      <c r="I536" s="875">
        <v>45201</v>
      </c>
      <c r="J536" s="877" t="s">
        <v>2231</v>
      </c>
      <c r="K536" s="881" t="s">
        <v>2394</v>
      </c>
      <c r="L536" s="881" t="s">
        <v>148</v>
      </c>
      <c r="M536" s="883">
        <v>-240000</v>
      </c>
      <c r="N536" s="55">
        <v>721</v>
      </c>
      <c r="O536" s="78"/>
    </row>
    <row r="537" spans="1:15" ht="16.5" customHeight="1" thickBot="1">
      <c r="A537" s="882"/>
      <c r="B537" s="934"/>
      <c r="C537" s="878"/>
      <c r="D537" s="882"/>
      <c r="E537" s="882"/>
      <c r="F537" s="884"/>
      <c r="G537" s="56">
        <v>721</v>
      </c>
      <c r="H537" s="882"/>
      <c r="I537" s="876"/>
      <c r="J537" s="878"/>
      <c r="K537" s="882"/>
      <c r="L537" s="882"/>
      <c r="M537" s="884"/>
      <c r="N537" s="56">
        <v>723</v>
      </c>
      <c r="O537" s="79">
        <f>+M536-O536</f>
        <v>-240000</v>
      </c>
    </row>
    <row r="538" spans="1:15" ht="16.5" thickBot="1">
      <c r="A538" s="901" t="s">
        <v>102</v>
      </c>
      <c r="B538" s="902"/>
      <c r="C538" s="902"/>
      <c r="D538" s="902"/>
      <c r="E538" s="903"/>
      <c r="F538" s="81">
        <f>SUM(F530:F537)</f>
        <v>700000</v>
      </c>
      <c r="H538" s="901" t="s">
        <v>102</v>
      </c>
      <c r="I538" s="902"/>
      <c r="J538" s="902"/>
      <c r="K538" s="902"/>
      <c r="L538" s="903"/>
      <c r="M538" s="81">
        <f>SUM(M530:M537)</f>
        <v>-1255000</v>
      </c>
    </row>
    <row r="539" spans="1:15" ht="16.5" thickBot="1">
      <c r="A539" s="885" t="s">
        <v>103</v>
      </c>
      <c r="B539" s="886"/>
      <c r="C539" s="886"/>
      <c r="D539" s="886"/>
      <c r="E539" s="887"/>
      <c r="F539" s="69" t="e">
        <f>+F505</f>
        <v>#REF!</v>
      </c>
      <c r="H539" s="885" t="s">
        <v>103</v>
      </c>
      <c r="I539" s="886"/>
      <c r="J539" s="886"/>
      <c r="K539" s="886"/>
      <c r="L539" s="887"/>
      <c r="M539" s="239">
        <f>+M505</f>
        <v>335927530</v>
      </c>
      <c r="N539" s="241" t="s">
        <v>561</v>
      </c>
      <c r="O539" s="242"/>
    </row>
    <row r="540" spans="1:15" ht="16.5" thickBot="1">
      <c r="A540" s="888" t="s">
        <v>104</v>
      </c>
      <c r="B540" s="889"/>
      <c r="C540" s="889"/>
      <c r="D540" s="889"/>
      <c r="E540" s="890"/>
      <c r="F540" s="183" t="e">
        <f>SUM(F538:F539)</f>
        <v>#REF!</v>
      </c>
      <c r="H540" s="888" t="s">
        <v>104</v>
      </c>
      <c r="I540" s="889"/>
      <c r="J540" s="889"/>
      <c r="K540" s="889"/>
      <c r="L540" s="890"/>
      <c r="M540" s="183">
        <f>SUM(M538:M539)</f>
        <v>334672530</v>
      </c>
    </row>
    <row r="541" spans="1:15" ht="6.75" customHeight="1">
      <c r="A541" s="61"/>
      <c r="B541" s="61"/>
      <c r="C541" s="61"/>
      <c r="D541" s="61"/>
      <c r="E541" s="61"/>
      <c r="H541" s="61"/>
      <c r="I541" s="61"/>
      <c r="J541" s="61"/>
      <c r="K541" s="61"/>
      <c r="L541" s="61"/>
    </row>
    <row r="542" spans="1:15">
      <c r="A542" s="51" t="s">
        <v>312</v>
      </c>
      <c r="H542" s="51" t="s">
        <v>2395</v>
      </c>
    </row>
    <row r="543" spans="1:15" ht="5.25" customHeight="1">
      <c r="F543" s="139"/>
      <c r="M543" s="139"/>
    </row>
    <row r="544" spans="1:15">
      <c r="A544" s="50" t="s">
        <v>105</v>
      </c>
      <c r="D544" s="146"/>
      <c r="F544" s="139"/>
      <c r="H544" s="50" t="s">
        <v>105</v>
      </c>
      <c r="K544" s="146"/>
      <c r="M544" s="139"/>
    </row>
    <row r="545" spans="1:15" ht="11.25" customHeight="1" thickBot="1"/>
    <row r="546" spans="1:15" ht="17.25" thickBot="1">
      <c r="A546" s="891" t="s">
        <v>106</v>
      </c>
      <c r="B546" s="892"/>
      <c r="C546" s="892"/>
      <c r="D546" s="893"/>
      <c r="F546" s="50" t="s">
        <v>288</v>
      </c>
      <c r="H546" s="891" t="s">
        <v>106</v>
      </c>
      <c r="I546" s="892"/>
      <c r="J546" s="892"/>
      <c r="K546" s="893"/>
      <c r="M546" s="605" t="s">
        <v>288</v>
      </c>
      <c r="N546" s="605"/>
      <c r="O546" s="605"/>
    </row>
    <row r="547" spans="1:15" ht="30.75" thickBot="1">
      <c r="A547" s="57" t="s">
        <v>100</v>
      </c>
      <c r="B547" s="58" t="s">
        <v>108</v>
      </c>
      <c r="C547" s="59" t="s">
        <v>109</v>
      </c>
      <c r="D547" s="60" t="s">
        <v>110</v>
      </c>
      <c r="H547" s="57" t="s">
        <v>100</v>
      </c>
      <c r="I547" s="58" t="s">
        <v>108</v>
      </c>
      <c r="J547" s="59" t="s">
        <v>109</v>
      </c>
      <c r="K547" s="60" t="s">
        <v>110</v>
      </c>
      <c r="M547" s="202"/>
      <c r="N547" s="202"/>
      <c r="O547" s="202"/>
    </row>
    <row r="548" spans="1:15" ht="14.25" customHeight="1">
      <c r="A548" s="71">
        <v>719</v>
      </c>
      <c r="B548" s="73" t="e">
        <f>+#REF!+#REF!+#REF!+#REF!+#REF!</f>
        <v>#REF!</v>
      </c>
      <c r="C548" s="74" t="e">
        <f>+D513</f>
        <v>#REF!</v>
      </c>
      <c r="D548" s="195" t="e">
        <f>+B548+C548</f>
        <v>#REF!</v>
      </c>
      <c r="H548" s="71">
        <v>719</v>
      </c>
      <c r="I548" s="73"/>
      <c r="J548" s="74">
        <f>+K513</f>
        <v>20350000</v>
      </c>
      <c r="K548" s="195">
        <f>+I548+J548</f>
        <v>20350000</v>
      </c>
      <c r="M548" s="202"/>
      <c r="N548" s="202"/>
      <c r="O548" s="202"/>
    </row>
    <row r="549" spans="1:15" ht="15" customHeight="1">
      <c r="A549" s="72">
        <v>721</v>
      </c>
      <c r="B549" s="80" t="e">
        <f>+#REF!+#REF!+#REF!+#REF!+#REF!</f>
        <v>#REF!</v>
      </c>
      <c r="C549" s="74" t="e">
        <f>+D514</f>
        <v>#REF!</v>
      </c>
      <c r="D549" s="195" t="e">
        <f>+B549+C549</f>
        <v>#REF!</v>
      </c>
      <c r="H549" s="72">
        <v>721</v>
      </c>
      <c r="I549" s="80"/>
      <c r="J549" s="74">
        <f>+K514</f>
        <v>7122500</v>
      </c>
      <c r="K549" s="195">
        <f>+I549+J549</f>
        <v>7122500</v>
      </c>
      <c r="M549" s="202"/>
      <c r="N549" s="202"/>
      <c r="O549" s="202"/>
    </row>
    <row r="550" spans="1:15" ht="14.25" customHeight="1">
      <c r="A550" s="72">
        <v>722</v>
      </c>
      <c r="B550" s="80"/>
      <c r="C550" s="74" t="e">
        <f>+D515</f>
        <v>#REF!</v>
      </c>
      <c r="D550" s="195" t="e">
        <f>+B550+C550</f>
        <v>#REF!</v>
      </c>
      <c r="H550" s="72">
        <v>722</v>
      </c>
      <c r="I550" s="80"/>
      <c r="J550" s="74">
        <f>+K515</f>
        <v>0</v>
      </c>
      <c r="K550" s="195">
        <f>+I550+J550</f>
        <v>0</v>
      </c>
      <c r="M550" s="202"/>
      <c r="N550" s="202"/>
      <c r="O550" s="202"/>
    </row>
    <row r="551" spans="1:15" ht="14.25" customHeight="1" thickBot="1">
      <c r="A551" s="72">
        <v>723</v>
      </c>
      <c r="B551" s="80"/>
      <c r="C551" s="74" t="e">
        <f>+D516</f>
        <v>#REF!</v>
      </c>
      <c r="D551" s="195" t="e">
        <f>+B551+C551</f>
        <v>#REF!</v>
      </c>
      <c r="F551" s="193" t="s">
        <v>289</v>
      </c>
      <c r="G551" s="175"/>
      <c r="H551" s="72">
        <v>723</v>
      </c>
      <c r="I551" s="80">
        <f>+O531+O533+O535+O537</f>
        <v>-1255000</v>
      </c>
      <c r="J551" s="74">
        <f>+K516</f>
        <v>308455030</v>
      </c>
      <c r="K551" s="195">
        <f>+I551+J551</f>
        <v>307200030</v>
      </c>
      <c r="L551" s="51">
        <v>308687030</v>
      </c>
      <c r="M551" s="918" t="s">
        <v>2347</v>
      </c>
      <c r="N551" s="608"/>
      <c r="O551" s="608"/>
    </row>
    <row r="552" spans="1:15" ht="12.75" hidden="1" customHeight="1" thickBot="1">
      <c r="A552" s="482"/>
      <c r="B552" s="483"/>
      <c r="C552" s="199"/>
      <c r="D552" s="196"/>
      <c r="F552" s="193"/>
      <c r="G552" s="175"/>
      <c r="H552" s="164" t="s">
        <v>181</v>
      </c>
      <c r="I552" s="484"/>
      <c r="J552" s="485">
        <f>+K517</f>
        <v>0</v>
      </c>
      <c r="K552" s="486">
        <f>+I552+J552</f>
        <v>0</v>
      </c>
      <c r="M552" s="189"/>
      <c r="N552" s="222"/>
      <c r="O552" s="222"/>
    </row>
    <row r="553" spans="1:15" ht="16.5" customHeight="1" thickBot="1">
      <c r="A553" s="169"/>
      <c r="B553" s="170" t="e">
        <f>SUM(B548:B551)</f>
        <v>#REF!</v>
      </c>
      <c r="C553" s="171" t="e">
        <f>SUM(C548:C551)</f>
        <v>#REF!</v>
      </c>
      <c r="D553" s="172" t="e">
        <f>SUM(D548:D551)</f>
        <v>#REF!</v>
      </c>
      <c r="H553" s="169"/>
      <c r="I553" s="470">
        <f>SUM(I548:I551)</f>
        <v>-1255000</v>
      </c>
      <c r="J553" s="470">
        <f>SUM(J548:J552)</f>
        <v>335927530</v>
      </c>
      <c r="K553" s="487">
        <f>SUM(K548:K552)</f>
        <v>334672530</v>
      </c>
    </row>
    <row r="554" spans="1:15" ht="16.5">
      <c r="A554" s="49" t="s">
        <v>88</v>
      </c>
      <c r="B554" s="50"/>
      <c r="H554" s="49" t="s">
        <v>88</v>
      </c>
      <c r="I554" s="50"/>
    </row>
    <row r="555" spans="1:15">
      <c r="A555" s="51" t="s">
        <v>89</v>
      </c>
      <c r="H555" s="51" t="s">
        <v>89</v>
      </c>
    </row>
    <row r="556" spans="1:15">
      <c r="A556" s="51" t="s">
        <v>90</v>
      </c>
      <c r="H556" s="51" t="s">
        <v>90</v>
      </c>
    </row>
    <row r="557" spans="1:15">
      <c r="A557" s="51" t="s">
        <v>91</v>
      </c>
      <c r="H557" s="51" t="s">
        <v>91</v>
      </c>
    </row>
    <row r="558" spans="1:15" ht="9.75" customHeight="1">
      <c r="A558" s="50"/>
      <c r="B558" s="50"/>
      <c r="H558" s="50"/>
      <c r="I558" s="50"/>
    </row>
    <row r="559" spans="1:15" ht="16.5">
      <c r="A559" s="52" t="s">
        <v>309</v>
      </c>
      <c r="G559" s="52"/>
      <c r="H559" s="52" t="s">
        <v>841</v>
      </c>
      <c r="N559" s="52"/>
    </row>
    <row r="560" spans="1:15" ht="15.75">
      <c r="A560" s="53" t="s">
        <v>92</v>
      </c>
      <c r="G560" s="53"/>
      <c r="H560" s="53" t="s">
        <v>2270</v>
      </c>
      <c r="N560" s="53"/>
    </row>
    <row r="561" spans="1:18" ht="15" customHeight="1">
      <c r="A561" s="894" t="s">
        <v>261</v>
      </c>
      <c r="B561" s="894"/>
      <c r="C561" s="894"/>
      <c r="D561" s="894"/>
      <c r="E561" s="894"/>
      <c r="F561" s="894"/>
      <c r="G561" s="894"/>
      <c r="H561" s="894" t="s">
        <v>2396</v>
      </c>
      <c r="I561" s="894"/>
      <c r="J561" s="894"/>
      <c r="K561" s="894"/>
      <c r="L561" s="894"/>
      <c r="M561" s="894"/>
      <c r="N561" s="894"/>
      <c r="O561" s="894"/>
    </row>
    <row r="562" spans="1:18" ht="9.75" customHeight="1" thickBot="1"/>
    <row r="563" spans="1:18">
      <c r="A563" s="895" t="s">
        <v>94</v>
      </c>
      <c r="B563" s="897" t="s">
        <v>95</v>
      </c>
      <c r="C563" s="897" t="s">
        <v>96</v>
      </c>
      <c r="D563" s="897" t="s">
        <v>3</v>
      </c>
      <c r="E563" s="897" t="s">
        <v>97</v>
      </c>
      <c r="F563" s="897" t="s">
        <v>98</v>
      </c>
      <c r="G563" s="500" t="s">
        <v>99</v>
      </c>
      <c r="H563" s="895" t="s">
        <v>94</v>
      </c>
      <c r="I563" s="897" t="s">
        <v>95</v>
      </c>
      <c r="J563" s="897" t="s">
        <v>96</v>
      </c>
      <c r="K563" s="897" t="s">
        <v>3</v>
      </c>
      <c r="L563" s="897" t="s">
        <v>97</v>
      </c>
      <c r="M563" s="897" t="s">
        <v>98</v>
      </c>
      <c r="N563" s="897" t="s">
        <v>99</v>
      </c>
      <c r="O563" s="899"/>
    </row>
    <row r="564" spans="1:18" ht="15.75" thickBot="1">
      <c r="A564" s="896"/>
      <c r="B564" s="898"/>
      <c r="C564" s="898"/>
      <c r="D564" s="898"/>
      <c r="E564" s="898"/>
      <c r="F564" s="898"/>
      <c r="G564" s="240" t="s">
        <v>100</v>
      </c>
      <c r="H564" s="896"/>
      <c r="I564" s="898"/>
      <c r="J564" s="898"/>
      <c r="K564" s="898"/>
      <c r="L564" s="898"/>
      <c r="M564" s="898"/>
      <c r="N564" s="240" t="s">
        <v>100</v>
      </c>
      <c r="O564" s="182" t="s">
        <v>101</v>
      </c>
    </row>
    <row r="565" spans="1:18" ht="13.5" customHeight="1">
      <c r="A565" s="881" t="e">
        <f>+#REF!+1</f>
        <v>#REF!</v>
      </c>
      <c r="B565" s="875">
        <v>42286</v>
      </c>
      <c r="C565" s="877" t="s">
        <v>272</v>
      </c>
      <c r="D565" s="881" t="s">
        <v>313</v>
      </c>
      <c r="E565" s="881" t="s">
        <v>115</v>
      </c>
      <c r="F565" s="883">
        <v>50000</v>
      </c>
      <c r="G565" s="55">
        <v>719</v>
      </c>
      <c r="H565" s="873" t="s">
        <v>769</v>
      </c>
      <c r="I565" s="875">
        <v>45185</v>
      </c>
      <c r="J565" s="877" t="s">
        <v>1538</v>
      </c>
      <c r="K565" s="881" t="s">
        <v>2397</v>
      </c>
      <c r="L565" s="881" t="s">
        <v>148</v>
      </c>
      <c r="M565" s="883">
        <v>2507000</v>
      </c>
      <c r="N565" s="55">
        <v>719</v>
      </c>
      <c r="O565" s="78">
        <v>0</v>
      </c>
    </row>
    <row r="566" spans="1:18" ht="12.75" customHeight="1" thickBot="1">
      <c r="A566" s="882"/>
      <c r="B566" s="876"/>
      <c r="C566" s="878"/>
      <c r="D566" s="882"/>
      <c r="E566" s="882"/>
      <c r="F566" s="884"/>
      <c r="G566" s="56">
        <v>721</v>
      </c>
      <c r="H566" s="882"/>
      <c r="I566" s="876"/>
      <c r="J566" s="878"/>
      <c r="K566" s="882"/>
      <c r="L566" s="882"/>
      <c r="M566" s="884"/>
      <c r="N566" s="56">
        <v>723</v>
      </c>
      <c r="O566" s="79">
        <f>+M565-O565</f>
        <v>2507000</v>
      </c>
    </row>
    <row r="567" spans="1:18" ht="12.75" customHeight="1">
      <c r="A567" s="881" t="e">
        <f>+A565+1</f>
        <v>#REF!</v>
      </c>
      <c r="B567" s="875">
        <v>42286</v>
      </c>
      <c r="C567" s="881" t="s">
        <v>28</v>
      </c>
      <c r="D567" s="881" t="s">
        <v>314</v>
      </c>
      <c r="E567" s="881" t="s">
        <v>115</v>
      </c>
      <c r="F567" s="883">
        <v>20000</v>
      </c>
      <c r="G567" s="55">
        <v>719</v>
      </c>
      <c r="H567" s="873" t="s">
        <v>770</v>
      </c>
      <c r="I567" s="875">
        <v>45185</v>
      </c>
      <c r="J567" s="877" t="s">
        <v>1091</v>
      </c>
      <c r="K567" s="881" t="s">
        <v>2398</v>
      </c>
      <c r="L567" s="881" t="s">
        <v>148</v>
      </c>
      <c r="M567" s="883">
        <v>756000</v>
      </c>
      <c r="N567" s="55">
        <v>719</v>
      </c>
      <c r="O567" s="78">
        <v>560000</v>
      </c>
      <c r="R567" s="51" t="s">
        <v>631</v>
      </c>
    </row>
    <row r="568" spans="1:18" ht="12.75" customHeight="1" thickBot="1">
      <c r="A568" s="882"/>
      <c r="B568" s="876"/>
      <c r="C568" s="882"/>
      <c r="D568" s="882"/>
      <c r="E568" s="882"/>
      <c r="F568" s="884"/>
      <c r="G568" s="56">
        <v>721</v>
      </c>
      <c r="H568" s="882"/>
      <c r="I568" s="876"/>
      <c r="J568" s="878"/>
      <c r="K568" s="882"/>
      <c r="L568" s="882"/>
      <c r="M568" s="884"/>
      <c r="N568" s="56">
        <v>723</v>
      </c>
      <c r="O568" s="79">
        <f>+M567-O567</f>
        <v>196000</v>
      </c>
    </row>
    <row r="569" spans="1:18" ht="12.75" customHeight="1">
      <c r="A569" s="251"/>
      <c r="B569" s="252"/>
      <c r="C569" s="251"/>
      <c r="D569" s="251"/>
      <c r="E569" s="251"/>
      <c r="F569" s="254"/>
      <c r="G569" s="255"/>
      <c r="H569" s="873" t="s">
        <v>771</v>
      </c>
      <c r="I569" s="875">
        <v>45185</v>
      </c>
      <c r="J569" s="877" t="s">
        <v>815</v>
      </c>
      <c r="K569" s="881" t="s">
        <v>2399</v>
      </c>
      <c r="L569" s="881" t="s">
        <v>115</v>
      </c>
      <c r="M569" s="883">
        <v>2848500</v>
      </c>
      <c r="N569" s="55">
        <v>719</v>
      </c>
      <c r="O569" s="78">
        <v>2110000</v>
      </c>
    </row>
    <row r="570" spans="1:18" ht="12.75" customHeight="1" thickBot="1">
      <c r="A570" s="251"/>
      <c r="B570" s="252"/>
      <c r="C570" s="251"/>
      <c r="D570" s="251"/>
      <c r="E570" s="251"/>
      <c r="F570" s="254"/>
      <c r="G570" s="255"/>
      <c r="H570" s="882"/>
      <c r="I570" s="876"/>
      <c r="J570" s="878"/>
      <c r="K570" s="882"/>
      <c r="L570" s="882"/>
      <c r="M570" s="884"/>
      <c r="N570" s="56">
        <v>721</v>
      </c>
      <c r="O570" s="79">
        <f>+M569-O569</f>
        <v>738500</v>
      </c>
    </row>
    <row r="571" spans="1:18" ht="15" customHeight="1">
      <c r="A571" s="881" t="e">
        <f>+#REF!+1</f>
        <v>#REF!</v>
      </c>
      <c r="B571" s="875">
        <v>42286</v>
      </c>
      <c r="C571" s="877" t="s">
        <v>120</v>
      </c>
      <c r="D571" s="881" t="s">
        <v>316</v>
      </c>
      <c r="E571" s="881" t="s">
        <v>115</v>
      </c>
      <c r="F571" s="883">
        <v>10000</v>
      </c>
      <c r="G571" s="55">
        <v>719</v>
      </c>
      <c r="H571" s="873" t="s">
        <v>772</v>
      </c>
      <c r="I571" s="875">
        <v>45185</v>
      </c>
      <c r="J571" s="877" t="s">
        <v>1691</v>
      </c>
      <c r="K571" s="881" t="s">
        <v>1867</v>
      </c>
      <c r="L571" s="881" t="s">
        <v>145</v>
      </c>
      <c r="M571" s="883">
        <v>12949788</v>
      </c>
      <c r="N571" s="55">
        <v>722</v>
      </c>
      <c r="O571" s="78">
        <f>+M571</f>
        <v>12949788</v>
      </c>
    </row>
    <row r="572" spans="1:18" ht="12.75" customHeight="1" thickBot="1">
      <c r="A572" s="882"/>
      <c r="B572" s="876"/>
      <c r="C572" s="878"/>
      <c r="D572" s="882"/>
      <c r="E572" s="882"/>
      <c r="F572" s="884"/>
      <c r="G572" s="56">
        <v>721</v>
      </c>
      <c r="H572" s="882"/>
      <c r="I572" s="876"/>
      <c r="J572" s="878"/>
      <c r="K572" s="882"/>
      <c r="L572" s="882"/>
      <c r="M572" s="884"/>
      <c r="N572" s="56">
        <v>721</v>
      </c>
      <c r="O572" s="79">
        <f>+M571-O571</f>
        <v>0</v>
      </c>
    </row>
    <row r="573" spans="1:18" ht="16.5" thickBot="1">
      <c r="A573" s="901" t="s">
        <v>102</v>
      </c>
      <c r="B573" s="902"/>
      <c r="C573" s="902"/>
      <c r="D573" s="902"/>
      <c r="E573" s="903"/>
      <c r="F573" s="81">
        <f>SUM(F565:F572)</f>
        <v>80000</v>
      </c>
      <c r="H573" s="901" t="s">
        <v>102</v>
      </c>
      <c r="I573" s="902"/>
      <c r="J573" s="902"/>
      <c r="K573" s="902"/>
      <c r="L573" s="903"/>
      <c r="M573" s="81">
        <f>SUM(M565:M572)</f>
        <v>19061288</v>
      </c>
    </row>
    <row r="574" spans="1:18" ht="16.5" thickBot="1">
      <c r="A574" s="885" t="s">
        <v>103</v>
      </c>
      <c r="B574" s="886"/>
      <c r="C574" s="886"/>
      <c r="D574" s="886"/>
      <c r="E574" s="887"/>
      <c r="F574" s="69" t="e">
        <f>+F540</f>
        <v>#REF!</v>
      </c>
      <c r="H574" s="885" t="s">
        <v>103</v>
      </c>
      <c r="I574" s="886"/>
      <c r="J574" s="886"/>
      <c r="K574" s="886"/>
      <c r="L574" s="887"/>
      <c r="M574" s="239">
        <f>+M540</f>
        <v>334672530</v>
      </c>
      <c r="N574" s="241" t="s">
        <v>561</v>
      </c>
      <c r="O574" s="242">
        <v>5074</v>
      </c>
    </row>
    <row r="575" spans="1:18" ht="14.25" customHeight="1" thickBot="1">
      <c r="A575" s="888" t="s">
        <v>104</v>
      </c>
      <c r="B575" s="889"/>
      <c r="C575" s="889"/>
      <c r="D575" s="889"/>
      <c r="E575" s="890"/>
      <c r="F575" s="183" t="e">
        <f>SUM(F573:F574)</f>
        <v>#REF!</v>
      </c>
      <c r="H575" s="888" t="s">
        <v>104</v>
      </c>
      <c r="I575" s="889"/>
      <c r="J575" s="889"/>
      <c r="K575" s="889"/>
      <c r="L575" s="890"/>
      <c r="M575" s="183">
        <f>SUM(M573:M574)</f>
        <v>353733818</v>
      </c>
    </row>
    <row r="576" spans="1:18" ht="9.75" customHeight="1">
      <c r="A576" s="61"/>
      <c r="B576" s="61"/>
      <c r="C576" s="61"/>
      <c r="D576" s="61"/>
      <c r="E576" s="61"/>
      <c r="H576" s="61"/>
      <c r="I576" s="61"/>
      <c r="J576" s="61"/>
      <c r="K576" s="61"/>
      <c r="L576" s="61"/>
    </row>
    <row r="577" spans="1:15">
      <c r="A577" s="51" t="s">
        <v>317</v>
      </c>
      <c r="H577" s="51" t="s">
        <v>2400</v>
      </c>
    </row>
    <row r="578" spans="1:15" ht="9" customHeight="1">
      <c r="F578" s="139"/>
      <c r="M578" s="139"/>
    </row>
    <row r="579" spans="1:15">
      <c r="A579" s="50" t="s">
        <v>105</v>
      </c>
      <c r="D579" s="146"/>
      <c r="F579" s="139"/>
      <c r="H579" s="50" t="s">
        <v>105</v>
      </c>
      <c r="K579" s="146"/>
      <c r="M579" s="139"/>
    </row>
    <row r="580" spans="1:15" ht="13.5" customHeight="1" thickBot="1"/>
    <row r="581" spans="1:15" ht="17.25" thickBot="1">
      <c r="A581" s="891" t="s">
        <v>106</v>
      </c>
      <c r="B581" s="892"/>
      <c r="C581" s="892"/>
      <c r="D581" s="893"/>
      <c r="F581" s="50" t="s">
        <v>288</v>
      </c>
      <c r="H581" s="891" t="s">
        <v>106</v>
      </c>
      <c r="I581" s="892"/>
      <c r="J581" s="892"/>
      <c r="K581" s="893"/>
      <c r="M581" s="605" t="s">
        <v>288</v>
      </c>
      <c r="N581" s="605"/>
      <c r="O581" s="605"/>
    </row>
    <row r="582" spans="1:15" ht="29.25" customHeight="1" thickBot="1">
      <c r="A582" s="57" t="s">
        <v>100</v>
      </c>
      <c r="B582" s="58" t="s">
        <v>108</v>
      </c>
      <c r="C582" s="59" t="s">
        <v>109</v>
      </c>
      <c r="D582" s="60" t="s">
        <v>110</v>
      </c>
      <c r="H582" s="57" t="s">
        <v>100</v>
      </c>
      <c r="I582" s="58" t="s">
        <v>108</v>
      </c>
      <c r="J582" s="59" t="s">
        <v>109</v>
      </c>
      <c r="K582" s="60" t="s">
        <v>110</v>
      </c>
      <c r="M582" s="202"/>
      <c r="N582" s="202"/>
      <c r="O582" s="202"/>
    </row>
    <row r="583" spans="1:15" ht="16.5">
      <c r="A583" s="71">
        <v>719</v>
      </c>
      <c r="B583" s="73" t="e">
        <f>+#REF!+#REF!+#REF!+#REF!+#REF!</f>
        <v>#REF!</v>
      </c>
      <c r="C583" s="74" t="e">
        <f>+D548</f>
        <v>#REF!</v>
      </c>
      <c r="D583" s="195" t="e">
        <f>+B583+C583</f>
        <v>#REF!</v>
      </c>
      <c r="H583" s="71">
        <v>719</v>
      </c>
      <c r="I583" s="73">
        <f>+O567+O569</f>
        <v>2670000</v>
      </c>
      <c r="J583" s="74">
        <f>+K548</f>
        <v>20350000</v>
      </c>
      <c r="K583" s="195">
        <f>+I583+J583</f>
        <v>23020000</v>
      </c>
      <c r="M583" s="202"/>
      <c r="N583" s="202"/>
      <c r="O583" s="202"/>
    </row>
    <row r="584" spans="1:15" ht="12.75" customHeight="1">
      <c r="A584" s="72">
        <v>721</v>
      </c>
      <c r="B584" s="80" t="e">
        <f>+#REF!+#REF!+#REF!+#REF!+#REF!</f>
        <v>#REF!</v>
      </c>
      <c r="C584" s="74" t="e">
        <f>+D549</f>
        <v>#REF!</v>
      </c>
      <c r="D584" s="195" t="e">
        <f>+B584+C584</f>
        <v>#REF!</v>
      </c>
      <c r="H584" s="72">
        <v>721</v>
      </c>
      <c r="I584" s="80">
        <f>+O570+O568</f>
        <v>934500</v>
      </c>
      <c r="J584" s="74">
        <f>+K549</f>
        <v>7122500</v>
      </c>
      <c r="K584" s="195">
        <f>+I584+J584</f>
        <v>8057000</v>
      </c>
      <c r="M584" s="202"/>
      <c r="N584" s="202"/>
      <c r="O584" s="202"/>
    </row>
    <row r="585" spans="1:15" ht="12.75" customHeight="1">
      <c r="A585" s="72">
        <v>722</v>
      </c>
      <c r="B585" s="80"/>
      <c r="C585" s="74" t="e">
        <f>+D550</f>
        <v>#REF!</v>
      </c>
      <c r="D585" s="195" t="e">
        <f>+B585+C585</f>
        <v>#REF!</v>
      </c>
      <c r="H585" s="72">
        <v>722</v>
      </c>
      <c r="I585" s="80">
        <f>+O571</f>
        <v>12949788</v>
      </c>
      <c r="J585" s="74">
        <f>+K550</f>
        <v>0</v>
      </c>
      <c r="K585" s="195">
        <f>+I585+J585</f>
        <v>12949788</v>
      </c>
      <c r="M585" s="202"/>
      <c r="N585" s="202"/>
      <c r="O585" s="202"/>
    </row>
    <row r="586" spans="1:15" ht="14.25" customHeight="1" thickBot="1">
      <c r="A586" s="72">
        <v>723</v>
      </c>
      <c r="B586" s="80"/>
      <c r="C586" s="74" t="e">
        <f>+D551</f>
        <v>#REF!</v>
      </c>
      <c r="D586" s="195" t="e">
        <f>+B586+C586</f>
        <v>#REF!</v>
      </c>
      <c r="F586" s="193" t="s">
        <v>289</v>
      </c>
      <c r="G586" s="175"/>
      <c r="H586" s="72">
        <v>723</v>
      </c>
      <c r="I586" s="80">
        <f>+O566</f>
        <v>2507000</v>
      </c>
      <c r="J586" s="74">
        <f>+K551</f>
        <v>307200030</v>
      </c>
      <c r="K586" s="195">
        <f>+I586+J586</f>
        <v>309707030</v>
      </c>
      <c r="M586" s="918" t="s">
        <v>2347</v>
      </c>
      <c r="N586" s="608"/>
      <c r="O586" s="608"/>
    </row>
    <row r="587" spans="1:15" ht="15" hidden="1" customHeight="1" thickBot="1">
      <c r="A587" s="482"/>
      <c r="B587" s="484"/>
      <c r="C587" s="488"/>
      <c r="D587" s="486"/>
      <c r="F587" s="193"/>
      <c r="G587" s="175"/>
      <c r="H587" s="164" t="s">
        <v>181</v>
      </c>
      <c r="I587" s="484"/>
      <c r="J587" s="485">
        <f>+J552</f>
        <v>0</v>
      </c>
      <c r="K587" s="486">
        <f>+I587+J587</f>
        <v>0</v>
      </c>
      <c r="M587" s="189"/>
      <c r="N587" s="222"/>
      <c r="O587" s="222"/>
    </row>
    <row r="588" spans="1:15" ht="18" customHeight="1" thickBot="1">
      <c r="A588" s="169"/>
      <c r="B588" s="197" t="e">
        <f>SUM(B583:B586)</f>
        <v>#REF!</v>
      </c>
      <c r="C588" s="200" t="e">
        <f>+D553</f>
        <v>#REF!</v>
      </c>
      <c r="D588" s="198" t="e">
        <f>SUM(D583:D586)</f>
        <v>#REF!</v>
      </c>
      <c r="H588" s="169"/>
      <c r="I588" s="470">
        <f>SUM(I583:I586)</f>
        <v>19061288</v>
      </c>
      <c r="J588" s="470">
        <f>SUM(J583:J587)</f>
        <v>334672530</v>
      </c>
      <c r="K588" s="198">
        <f>SUM(K583:K587)</f>
        <v>353733818</v>
      </c>
    </row>
    <row r="589" spans="1:15" ht="16.5">
      <c r="A589" s="49" t="s">
        <v>88</v>
      </c>
      <c r="B589" s="50"/>
      <c r="H589" s="49" t="s">
        <v>88</v>
      </c>
      <c r="I589" s="50"/>
    </row>
    <row r="590" spans="1:15">
      <c r="A590" s="51" t="s">
        <v>89</v>
      </c>
      <c r="H590" s="51" t="s">
        <v>89</v>
      </c>
    </row>
    <row r="591" spans="1:15">
      <c r="A591" s="51" t="s">
        <v>90</v>
      </c>
      <c r="H591" s="51" t="s">
        <v>90</v>
      </c>
    </row>
    <row r="592" spans="1:15">
      <c r="A592" s="51" t="s">
        <v>91</v>
      </c>
      <c r="H592" s="51" t="s">
        <v>91</v>
      </c>
    </row>
    <row r="593" spans="1:17" ht="6.75" customHeight="1">
      <c r="A593" s="50"/>
      <c r="B593" s="50"/>
      <c r="H593" s="50"/>
      <c r="I593" s="50"/>
    </row>
    <row r="594" spans="1:17" ht="14.25" customHeight="1">
      <c r="A594" s="52" t="s">
        <v>318</v>
      </c>
      <c r="G594" s="52"/>
      <c r="H594" s="52" t="s">
        <v>855</v>
      </c>
      <c r="N594" s="52"/>
    </row>
    <row r="595" spans="1:17" ht="15.75">
      <c r="A595" s="53" t="s">
        <v>92</v>
      </c>
      <c r="G595" s="53"/>
      <c r="H595" s="53" t="s">
        <v>2270</v>
      </c>
      <c r="N595" s="53"/>
    </row>
    <row r="596" spans="1:17" ht="16.5">
      <c r="A596" s="894" t="s">
        <v>261</v>
      </c>
      <c r="B596" s="894"/>
      <c r="C596" s="894"/>
      <c r="D596" s="894"/>
      <c r="E596" s="894"/>
      <c r="F596" s="894"/>
      <c r="G596" s="894"/>
      <c r="H596" s="894" t="s">
        <v>228</v>
      </c>
      <c r="I596" s="894"/>
      <c r="J596" s="894"/>
      <c r="K596" s="894"/>
      <c r="L596" s="894"/>
      <c r="M596" s="894"/>
      <c r="N596" s="894"/>
      <c r="O596" s="894"/>
    </row>
    <row r="597" spans="1:17" ht="6" customHeight="1" thickBot="1"/>
    <row r="598" spans="1:17">
      <c r="A598" s="895" t="s">
        <v>94</v>
      </c>
      <c r="B598" s="897" t="s">
        <v>95</v>
      </c>
      <c r="C598" s="897" t="s">
        <v>96</v>
      </c>
      <c r="D598" s="897" t="s">
        <v>3</v>
      </c>
      <c r="E598" s="897" t="s">
        <v>97</v>
      </c>
      <c r="F598" s="897" t="s">
        <v>98</v>
      </c>
      <c r="G598" s="500" t="s">
        <v>99</v>
      </c>
      <c r="H598" s="895" t="s">
        <v>94</v>
      </c>
      <c r="I598" s="897" t="s">
        <v>95</v>
      </c>
      <c r="J598" s="897" t="s">
        <v>96</v>
      </c>
      <c r="K598" s="897" t="s">
        <v>3</v>
      </c>
      <c r="L598" s="897" t="s">
        <v>97</v>
      </c>
      <c r="M598" s="897" t="s">
        <v>98</v>
      </c>
      <c r="N598" s="897" t="s">
        <v>99</v>
      </c>
      <c r="O598" s="899"/>
    </row>
    <row r="599" spans="1:17" ht="15.75" thickBot="1">
      <c r="A599" s="896"/>
      <c r="B599" s="898"/>
      <c r="C599" s="898"/>
      <c r="D599" s="898"/>
      <c r="E599" s="898"/>
      <c r="F599" s="898"/>
      <c r="G599" s="240" t="s">
        <v>100</v>
      </c>
      <c r="H599" s="896"/>
      <c r="I599" s="898"/>
      <c r="J599" s="898"/>
      <c r="K599" s="898"/>
      <c r="L599" s="898"/>
      <c r="M599" s="898"/>
      <c r="N599" s="240" t="s">
        <v>100</v>
      </c>
      <c r="O599" s="182" t="s">
        <v>101</v>
      </c>
    </row>
    <row r="600" spans="1:17" ht="14.25" customHeight="1">
      <c r="A600" s="881" t="e">
        <f>+A571+1</f>
        <v>#REF!</v>
      </c>
      <c r="B600" s="875">
        <v>42286</v>
      </c>
      <c r="C600" s="877" t="s">
        <v>267</v>
      </c>
      <c r="D600" s="881" t="s">
        <v>320</v>
      </c>
      <c r="E600" s="881" t="s">
        <v>148</v>
      </c>
      <c r="F600" s="883">
        <v>70000</v>
      </c>
      <c r="G600" s="55">
        <v>719</v>
      </c>
      <c r="H600" s="873" t="s">
        <v>773</v>
      </c>
      <c r="I600" s="875">
        <v>44706</v>
      </c>
      <c r="J600" s="877" t="s">
        <v>815</v>
      </c>
      <c r="K600" s="881" t="s">
        <v>2238</v>
      </c>
      <c r="L600" s="881" t="s">
        <v>115</v>
      </c>
      <c r="M600" s="883">
        <v>1107000</v>
      </c>
      <c r="N600" s="55">
        <v>719</v>
      </c>
      <c r="O600" s="258">
        <v>860000</v>
      </c>
      <c r="Q600" s="51">
        <f>178500+192500+171500+287000</f>
        <v>829500</v>
      </c>
    </row>
    <row r="601" spans="1:17" ht="12" customHeight="1" thickBot="1">
      <c r="A601" s="882"/>
      <c r="B601" s="934"/>
      <c r="C601" s="878"/>
      <c r="D601" s="882"/>
      <c r="E601" s="882"/>
      <c r="F601" s="884"/>
      <c r="G601" s="56">
        <v>721</v>
      </c>
      <c r="H601" s="882"/>
      <c r="I601" s="876"/>
      <c r="J601" s="878"/>
      <c r="K601" s="882"/>
      <c r="L601" s="882"/>
      <c r="M601" s="884"/>
      <c r="N601" s="56">
        <v>721</v>
      </c>
      <c r="O601" s="352">
        <f>+M600-O600</f>
        <v>247000</v>
      </c>
    </row>
    <row r="602" spans="1:17" ht="13.5" customHeight="1">
      <c r="A602" s="251"/>
      <c r="B602" s="452"/>
      <c r="C602" s="253"/>
      <c r="D602" s="251"/>
      <c r="E602" s="251"/>
      <c r="F602" s="254"/>
      <c r="G602" s="255"/>
      <c r="H602" s="873" t="s">
        <v>774</v>
      </c>
      <c r="I602" s="875">
        <v>44706</v>
      </c>
      <c r="J602" s="877" t="s">
        <v>1079</v>
      </c>
      <c r="K602" s="881" t="s">
        <v>2237</v>
      </c>
      <c r="L602" s="881" t="s">
        <v>148</v>
      </c>
      <c r="M602" s="883">
        <v>688500</v>
      </c>
      <c r="N602" s="55">
        <v>719</v>
      </c>
      <c r="O602" s="258">
        <v>510000</v>
      </c>
    </row>
    <row r="603" spans="1:17" ht="12.75" customHeight="1" thickBot="1">
      <c r="A603" s="251"/>
      <c r="B603" s="452"/>
      <c r="C603" s="253"/>
      <c r="D603" s="251"/>
      <c r="E603" s="251"/>
      <c r="F603" s="254"/>
      <c r="G603" s="255"/>
      <c r="H603" s="882"/>
      <c r="I603" s="876"/>
      <c r="J603" s="878"/>
      <c r="K603" s="882"/>
      <c r="L603" s="882"/>
      <c r="M603" s="884"/>
      <c r="N603" s="56">
        <v>721</v>
      </c>
      <c r="O603" s="352">
        <f>+M602-O602</f>
        <v>178500</v>
      </c>
    </row>
    <row r="604" spans="1:17" ht="13.5" customHeight="1">
      <c r="A604" s="881" t="e">
        <f>+A600+1</f>
        <v>#REF!</v>
      </c>
      <c r="B604" s="875">
        <v>42286</v>
      </c>
      <c r="C604" s="881" t="s">
        <v>28</v>
      </c>
      <c r="D604" s="881" t="s">
        <v>321</v>
      </c>
      <c r="E604" s="881" t="s">
        <v>148</v>
      </c>
      <c r="F604" s="883">
        <v>182000</v>
      </c>
      <c r="G604" s="55">
        <v>719</v>
      </c>
      <c r="H604" s="873" t="s">
        <v>2403</v>
      </c>
      <c r="I604" s="875">
        <v>44706</v>
      </c>
      <c r="J604" s="877" t="s">
        <v>1079</v>
      </c>
      <c r="K604" s="881" t="s">
        <v>2235</v>
      </c>
      <c r="L604" s="881" t="s">
        <v>148</v>
      </c>
      <c r="M604" s="883">
        <v>661500</v>
      </c>
      <c r="N604" s="55">
        <v>719</v>
      </c>
      <c r="O604" s="258">
        <v>490000</v>
      </c>
    </row>
    <row r="605" spans="1:17" ht="12.75" customHeight="1" thickBot="1">
      <c r="A605" s="882"/>
      <c r="B605" s="934"/>
      <c r="C605" s="882"/>
      <c r="D605" s="882"/>
      <c r="E605" s="882"/>
      <c r="F605" s="884"/>
      <c r="G605" s="56">
        <v>721</v>
      </c>
      <c r="H605" s="882"/>
      <c r="I605" s="876"/>
      <c r="J605" s="878"/>
      <c r="K605" s="882"/>
      <c r="L605" s="882"/>
      <c r="M605" s="884"/>
      <c r="N605" s="56">
        <v>721</v>
      </c>
      <c r="O605" s="352">
        <f>+M604-O604</f>
        <v>171500</v>
      </c>
    </row>
    <row r="606" spans="1:17" ht="12" customHeight="1">
      <c r="A606" s="251"/>
      <c r="B606" s="452"/>
      <c r="C606" s="251"/>
      <c r="D606" s="251"/>
      <c r="E606" s="251"/>
      <c r="F606" s="254"/>
      <c r="G606" s="255"/>
      <c r="H606" s="873" t="s">
        <v>1843</v>
      </c>
      <c r="I606" s="875">
        <v>44706</v>
      </c>
      <c r="J606" s="877" t="s">
        <v>1079</v>
      </c>
      <c r="K606" s="881" t="s">
        <v>2236</v>
      </c>
      <c r="L606" s="881" t="s">
        <v>148</v>
      </c>
      <c r="M606" s="883">
        <v>742500</v>
      </c>
      <c r="N606" s="55">
        <v>719</v>
      </c>
      <c r="O606" s="258">
        <v>550000</v>
      </c>
    </row>
    <row r="607" spans="1:17" ht="12" customHeight="1" thickBot="1">
      <c r="A607" s="251"/>
      <c r="B607" s="452"/>
      <c r="C607" s="251"/>
      <c r="D607" s="251"/>
      <c r="E607" s="251"/>
      <c r="F607" s="254"/>
      <c r="G607" s="255"/>
      <c r="H607" s="882"/>
      <c r="I607" s="876"/>
      <c r="J607" s="878"/>
      <c r="K607" s="882"/>
      <c r="L607" s="882"/>
      <c r="M607" s="884"/>
      <c r="N607" s="56">
        <v>721</v>
      </c>
      <c r="O607" s="352">
        <f>+M606-O606</f>
        <v>192500</v>
      </c>
    </row>
    <row r="608" spans="1:17" ht="12" customHeight="1">
      <c r="A608" s="881" t="e">
        <f>+#REF!+1</f>
        <v>#REF!</v>
      </c>
      <c r="B608" s="875">
        <v>42286</v>
      </c>
      <c r="C608" s="877" t="s">
        <v>111</v>
      </c>
      <c r="D608" s="881" t="s">
        <v>319</v>
      </c>
      <c r="E608" s="881" t="s">
        <v>148</v>
      </c>
      <c r="F608" s="883">
        <v>28000</v>
      </c>
      <c r="G608" s="55">
        <v>719</v>
      </c>
      <c r="H608" s="873" t="s">
        <v>2404</v>
      </c>
      <c r="I608" s="875"/>
      <c r="J608" s="877" t="s">
        <v>250</v>
      </c>
      <c r="K608" s="881"/>
      <c r="L608" s="881" t="s">
        <v>148</v>
      </c>
      <c r="M608" s="883">
        <v>900000</v>
      </c>
      <c r="N608" s="55">
        <v>719</v>
      </c>
      <c r="O608" s="258"/>
    </row>
    <row r="609" spans="1:15" ht="12" customHeight="1" thickBot="1">
      <c r="A609" s="882"/>
      <c r="B609" s="876"/>
      <c r="C609" s="878"/>
      <c r="D609" s="882"/>
      <c r="E609" s="882"/>
      <c r="F609" s="884"/>
      <c r="G609" s="56">
        <v>721</v>
      </c>
      <c r="H609" s="882"/>
      <c r="I609" s="876"/>
      <c r="J609" s="878"/>
      <c r="K609" s="882"/>
      <c r="L609" s="882"/>
      <c r="M609" s="884"/>
      <c r="N609" s="56">
        <v>723</v>
      </c>
      <c r="O609" s="352">
        <f>+M608-O608</f>
        <v>900000</v>
      </c>
    </row>
    <row r="610" spans="1:15" ht="16.5" thickBot="1">
      <c r="A610" s="901" t="s">
        <v>102</v>
      </c>
      <c r="B610" s="902"/>
      <c r="C610" s="902"/>
      <c r="D610" s="902"/>
      <c r="E610" s="903"/>
      <c r="F610" s="81">
        <f>SUM(F600:F609)</f>
        <v>280000</v>
      </c>
      <c r="H610" s="901" t="s">
        <v>102</v>
      </c>
      <c r="I610" s="902"/>
      <c r="J610" s="902"/>
      <c r="K610" s="902"/>
      <c r="L610" s="903"/>
      <c r="M610" s="81">
        <f>SUM(M600:M609)</f>
        <v>4099500</v>
      </c>
    </row>
    <row r="611" spans="1:15" ht="16.5" thickBot="1">
      <c r="A611" s="885" t="s">
        <v>103</v>
      </c>
      <c r="B611" s="886"/>
      <c r="C611" s="886"/>
      <c r="D611" s="886"/>
      <c r="E611" s="887"/>
      <c r="F611" s="69" t="e">
        <f>+F575</f>
        <v>#REF!</v>
      </c>
      <c r="H611" s="885" t="s">
        <v>103</v>
      </c>
      <c r="I611" s="886"/>
      <c r="J611" s="886"/>
      <c r="K611" s="886"/>
      <c r="L611" s="887"/>
      <c r="M611" s="239">
        <f>+M575</f>
        <v>353733818</v>
      </c>
      <c r="N611" s="241" t="s">
        <v>561</v>
      </c>
      <c r="O611" s="242">
        <v>2408</v>
      </c>
    </row>
    <row r="612" spans="1:15" ht="16.5" thickBot="1">
      <c r="A612" s="888" t="s">
        <v>104</v>
      </c>
      <c r="B612" s="889"/>
      <c r="C612" s="889"/>
      <c r="D612" s="889"/>
      <c r="E612" s="890"/>
      <c r="F612" s="183" t="e">
        <f>SUM(F610:F611)</f>
        <v>#REF!</v>
      </c>
      <c r="H612" s="888" t="s">
        <v>104</v>
      </c>
      <c r="I612" s="889"/>
      <c r="J612" s="889"/>
      <c r="K612" s="889"/>
      <c r="L612" s="890"/>
      <c r="M612" s="183">
        <f>SUM(M610:M611)</f>
        <v>357833318</v>
      </c>
    </row>
    <row r="613" spans="1:15" ht="8.25" customHeight="1">
      <c r="A613" s="61"/>
      <c r="B613" s="61"/>
      <c r="C613" s="61"/>
      <c r="D613" s="61"/>
      <c r="E613" s="61"/>
      <c r="H613" s="61"/>
      <c r="I613" s="61"/>
      <c r="J613" s="61"/>
      <c r="K613" s="61"/>
      <c r="L613" s="61"/>
    </row>
    <row r="614" spans="1:15">
      <c r="A614" s="51" t="s">
        <v>323</v>
      </c>
      <c r="H614" s="51" t="s">
        <v>2239</v>
      </c>
    </row>
    <row r="615" spans="1:15" ht="5.25" customHeight="1">
      <c r="F615" s="139"/>
      <c r="M615" s="139"/>
    </row>
    <row r="616" spans="1:15">
      <c r="A616" s="50" t="s">
        <v>105</v>
      </c>
      <c r="D616" s="146"/>
      <c r="F616" s="139"/>
      <c r="H616" s="50" t="s">
        <v>105</v>
      </c>
      <c r="K616" s="146"/>
      <c r="M616" s="139"/>
    </row>
    <row r="617" spans="1:15" ht="6" customHeight="1" thickBot="1"/>
    <row r="618" spans="1:15" ht="17.25" thickBot="1">
      <c r="A618" s="891" t="s">
        <v>106</v>
      </c>
      <c r="B618" s="892"/>
      <c r="C618" s="892"/>
      <c r="D618" s="893"/>
      <c r="F618" s="50" t="s">
        <v>288</v>
      </c>
      <c r="H618" s="891" t="s">
        <v>106</v>
      </c>
      <c r="I618" s="892"/>
      <c r="J618" s="892"/>
      <c r="K618" s="893"/>
      <c r="M618" s="605" t="s">
        <v>288</v>
      </c>
      <c r="N618" s="605"/>
      <c r="O618" s="605"/>
    </row>
    <row r="619" spans="1:15" ht="28.5" customHeight="1" thickBot="1">
      <c r="A619" s="57" t="s">
        <v>100</v>
      </c>
      <c r="B619" s="58" t="s">
        <v>108</v>
      </c>
      <c r="C619" s="59" t="s">
        <v>109</v>
      </c>
      <c r="D619" s="60" t="s">
        <v>110</v>
      </c>
      <c r="H619" s="57" t="s">
        <v>100</v>
      </c>
      <c r="I619" s="58" t="s">
        <v>108</v>
      </c>
      <c r="J619" s="59" t="s">
        <v>109</v>
      </c>
      <c r="K619" s="60" t="s">
        <v>110</v>
      </c>
      <c r="M619" s="202"/>
      <c r="N619" s="202"/>
      <c r="O619" s="202"/>
    </row>
    <row r="620" spans="1:15" ht="12.75" customHeight="1">
      <c r="A620" s="71">
        <v>719</v>
      </c>
      <c r="B620" s="73" t="e">
        <f>+#REF!+#REF!+#REF!+#REF!+#REF!</f>
        <v>#REF!</v>
      </c>
      <c r="C620" s="74" t="e">
        <f>+D583</f>
        <v>#REF!</v>
      </c>
      <c r="D620" s="195" t="e">
        <f>+B620+C620</f>
        <v>#REF!</v>
      </c>
      <c r="H620" s="71">
        <v>719</v>
      </c>
      <c r="I620" s="73">
        <f>+O600+O602+O604+O606</f>
        <v>2410000</v>
      </c>
      <c r="J620" s="74">
        <f>+K583</f>
        <v>23020000</v>
      </c>
      <c r="K620" s="195">
        <f>+I620+J620</f>
        <v>25430000</v>
      </c>
      <c r="M620" s="202"/>
      <c r="N620" s="202"/>
      <c r="O620" s="202"/>
    </row>
    <row r="621" spans="1:15" ht="12.75" customHeight="1">
      <c r="A621" s="72">
        <v>721</v>
      </c>
      <c r="B621" s="80" t="e">
        <f>+#REF!+#REF!+#REF!+#REF!+#REF!</f>
        <v>#REF!</v>
      </c>
      <c r="C621" s="74" t="e">
        <f>+D584</f>
        <v>#REF!</v>
      </c>
      <c r="D621" s="195" t="e">
        <f>+B621+C621</f>
        <v>#REF!</v>
      </c>
      <c r="H621" s="72">
        <v>721</v>
      </c>
      <c r="I621" s="80">
        <f>+O601+O603+O605+O607</f>
        <v>789500</v>
      </c>
      <c r="J621" s="74">
        <f>+K584</f>
        <v>8057000</v>
      </c>
      <c r="K621" s="195">
        <f>+I621+J621</f>
        <v>8846500</v>
      </c>
      <c r="M621" s="202"/>
      <c r="N621" s="202"/>
      <c r="O621" s="202"/>
    </row>
    <row r="622" spans="1:15" ht="12" customHeight="1">
      <c r="A622" s="72">
        <v>722</v>
      </c>
      <c r="B622" s="80"/>
      <c r="C622" s="74" t="e">
        <f>+D585</f>
        <v>#REF!</v>
      </c>
      <c r="D622" s="195" t="e">
        <f>+B622+C622</f>
        <v>#REF!</v>
      </c>
      <c r="H622" s="72">
        <v>722</v>
      </c>
      <c r="I622" s="80"/>
      <c r="J622" s="74">
        <f>+K585</f>
        <v>12949788</v>
      </c>
      <c r="K622" s="195">
        <f>+I622+J622</f>
        <v>12949788</v>
      </c>
      <c r="M622" s="202"/>
      <c r="N622" s="202"/>
      <c r="O622" s="202"/>
    </row>
    <row r="623" spans="1:15" ht="13.5" customHeight="1">
      <c r="A623" s="72">
        <v>723</v>
      </c>
      <c r="B623" s="80"/>
      <c r="C623" s="74" t="e">
        <f>+D586</f>
        <v>#REF!</v>
      </c>
      <c r="D623" s="195" t="e">
        <f>+B623+C623</f>
        <v>#REF!</v>
      </c>
      <c r="F623" s="193" t="s">
        <v>289</v>
      </c>
      <c r="G623" s="175"/>
      <c r="H623" s="72">
        <v>723</v>
      </c>
      <c r="I623" s="80">
        <f>+O609</f>
        <v>900000</v>
      </c>
      <c r="J623" s="74">
        <f>+K586</f>
        <v>309707030</v>
      </c>
      <c r="K623" s="195">
        <f>+I623+J623</f>
        <v>310607030</v>
      </c>
      <c r="M623" s="918" t="s">
        <v>2347</v>
      </c>
      <c r="N623" s="608"/>
      <c r="O623" s="608"/>
    </row>
    <row r="624" spans="1:15" ht="12.75" customHeight="1" thickBot="1">
      <c r="A624" s="482"/>
      <c r="B624" s="483"/>
      <c r="C624" s="199"/>
      <c r="D624" s="196"/>
      <c r="F624" s="193"/>
      <c r="G624" s="175"/>
      <c r="H624" s="482" t="str">
        <f>+H587</f>
        <v>710-718</v>
      </c>
      <c r="I624" s="484"/>
      <c r="J624" s="485">
        <f>+K587</f>
        <v>0</v>
      </c>
      <c r="K624" s="195">
        <f>+I624+J624</f>
        <v>0</v>
      </c>
      <c r="M624" s="189"/>
      <c r="N624" s="222"/>
      <c r="O624" s="222"/>
    </row>
    <row r="625" spans="1:15" ht="16.5" thickBot="1">
      <c r="A625" s="169"/>
      <c r="B625" s="170" t="e">
        <f>SUM(B620:B623)</f>
        <v>#REF!</v>
      </c>
      <c r="C625" s="171" t="e">
        <f>SUM(C620:C623)</f>
        <v>#REF!</v>
      </c>
      <c r="D625" s="172" t="e">
        <f>SUM(D620:D623)</f>
        <v>#REF!</v>
      </c>
      <c r="H625" s="169"/>
      <c r="I625" s="197">
        <f>SUM(I620:I623)</f>
        <v>4099500</v>
      </c>
      <c r="J625" s="197">
        <f>SUM(J620:J624)</f>
        <v>353733818</v>
      </c>
      <c r="K625" s="198">
        <f>SUM(K620:K624)</f>
        <v>357833318</v>
      </c>
    </row>
    <row r="626" spans="1:15" ht="16.5">
      <c r="A626" s="49" t="s">
        <v>88</v>
      </c>
      <c r="B626" s="50"/>
      <c r="H626" s="49" t="s">
        <v>88</v>
      </c>
      <c r="I626" s="50"/>
    </row>
    <row r="627" spans="1:15" ht="12.75" customHeight="1">
      <c r="A627" s="51" t="s">
        <v>89</v>
      </c>
      <c r="H627" s="51" t="s">
        <v>89</v>
      </c>
    </row>
    <row r="628" spans="1:15" ht="13.5" customHeight="1">
      <c r="A628" s="51" t="s">
        <v>90</v>
      </c>
      <c r="H628" s="51" t="s">
        <v>90</v>
      </c>
    </row>
    <row r="629" spans="1:15" ht="12.75" customHeight="1">
      <c r="A629" s="51" t="s">
        <v>91</v>
      </c>
      <c r="H629" s="51" t="s">
        <v>91</v>
      </c>
    </row>
    <row r="630" spans="1:15" ht="6" customHeight="1">
      <c r="A630" s="50"/>
      <c r="B630" s="50"/>
      <c r="H630" s="50"/>
      <c r="I630" s="50"/>
    </row>
    <row r="631" spans="1:15" ht="13.5" customHeight="1">
      <c r="A631" s="52" t="s">
        <v>344</v>
      </c>
      <c r="G631" s="52"/>
      <c r="H631" s="52" t="s">
        <v>185</v>
      </c>
      <c r="N631" s="52"/>
    </row>
    <row r="632" spans="1:15" ht="14.25" customHeight="1">
      <c r="A632" s="53" t="s">
        <v>92</v>
      </c>
      <c r="G632" s="53"/>
      <c r="H632" s="53" t="s">
        <v>2270</v>
      </c>
      <c r="N632" s="53"/>
    </row>
    <row r="633" spans="1:15" ht="16.5">
      <c r="A633" s="894" t="s">
        <v>347</v>
      </c>
      <c r="B633" s="894"/>
      <c r="C633" s="894"/>
      <c r="D633" s="894"/>
      <c r="E633" s="894"/>
      <c r="F633" s="894"/>
      <c r="G633" s="894"/>
      <c r="H633" s="894" t="s">
        <v>2244</v>
      </c>
      <c r="I633" s="894"/>
      <c r="J633" s="894"/>
      <c r="K633" s="894"/>
      <c r="L633" s="894"/>
      <c r="M633" s="894"/>
      <c r="N633" s="894"/>
      <c r="O633" s="894"/>
    </row>
    <row r="634" spans="1:15" ht="9" customHeight="1" thickBot="1"/>
    <row r="635" spans="1:15">
      <c r="A635" s="895" t="s">
        <v>94</v>
      </c>
      <c r="B635" s="897" t="s">
        <v>95</v>
      </c>
      <c r="C635" s="897" t="s">
        <v>96</v>
      </c>
      <c r="D635" s="897" t="s">
        <v>3</v>
      </c>
      <c r="E635" s="897" t="s">
        <v>97</v>
      </c>
      <c r="F635" s="897" t="s">
        <v>98</v>
      </c>
      <c r="G635" s="500" t="s">
        <v>99</v>
      </c>
      <c r="H635" s="895" t="s">
        <v>94</v>
      </c>
      <c r="I635" s="897" t="s">
        <v>95</v>
      </c>
      <c r="J635" s="897" t="s">
        <v>96</v>
      </c>
      <c r="K635" s="897" t="s">
        <v>3</v>
      </c>
      <c r="L635" s="897" t="s">
        <v>97</v>
      </c>
      <c r="M635" s="897" t="s">
        <v>98</v>
      </c>
      <c r="N635" s="897" t="s">
        <v>99</v>
      </c>
      <c r="O635" s="899"/>
    </row>
    <row r="636" spans="1:15" ht="15.75" thickBot="1">
      <c r="A636" s="896"/>
      <c r="B636" s="898"/>
      <c r="C636" s="898"/>
      <c r="D636" s="898"/>
      <c r="E636" s="898"/>
      <c r="F636" s="898"/>
      <c r="G636" s="240" t="s">
        <v>100</v>
      </c>
      <c r="H636" s="896"/>
      <c r="I636" s="898"/>
      <c r="J636" s="898"/>
      <c r="K636" s="898"/>
      <c r="L636" s="898"/>
      <c r="M636" s="898"/>
      <c r="N636" s="240" t="s">
        <v>100</v>
      </c>
      <c r="O636" s="182" t="s">
        <v>101</v>
      </c>
    </row>
    <row r="637" spans="1:15" ht="12.75" customHeight="1">
      <c r="A637" s="881" t="e">
        <f>+#REF!+1</f>
        <v>#REF!</v>
      </c>
      <c r="B637" s="875">
        <v>42293</v>
      </c>
      <c r="C637" s="877" t="s">
        <v>325</v>
      </c>
      <c r="D637" s="877" t="s">
        <v>324</v>
      </c>
      <c r="E637" s="881" t="s">
        <v>145</v>
      </c>
      <c r="F637" s="883">
        <v>20276705</v>
      </c>
      <c r="G637" s="55">
        <v>719</v>
      </c>
      <c r="H637" s="873" t="s">
        <v>2405</v>
      </c>
      <c r="I637" s="875">
        <v>45278</v>
      </c>
      <c r="J637" s="877" t="s">
        <v>1315</v>
      </c>
      <c r="K637" s="881" t="s">
        <v>2410</v>
      </c>
      <c r="L637" s="881" t="s">
        <v>148</v>
      </c>
      <c r="M637" s="883">
        <v>3284750</v>
      </c>
      <c r="N637" s="55">
        <v>719</v>
      </c>
      <c r="O637" s="258">
        <v>0</v>
      </c>
    </row>
    <row r="638" spans="1:15" ht="14.25" customHeight="1" thickBot="1">
      <c r="A638" s="882"/>
      <c r="B638" s="876"/>
      <c r="C638" s="878"/>
      <c r="D638" s="878"/>
      <c r="E638" s="882"/>
      <c r="F638" s="884"/>
      <c r="G638" s="56">
        <v>721</v>
      </c>
      <c r="H638" s="882"/>
      <c r="I638" s="876"/>
      <c r="J638" s="878"/>
      <c r="K638" s="882"/>
      <c r="L638" s="882"/>
      <c r="M638" s="884"/>
      <c r="N638" s="56">
        <v>723</v>
      </c>
      <c r="O638" s="79">
        <f>+M637-O637</f>
        <v>3284750</v>
      </c>
    </row>
    <row r="639" spans="1:15" ht="14.25" customHeight="1">
      <c r="A639" s="251"/>
      <c r="B639" s="252"/>
      <c r="C639" s="253"/>
      <c r="D639" s="253"/>
      <c r="E639" s="251"/>
      <c r="F639" s="254"/>
      <c r="G639" s="255"/>
      <c r="H639" s="873" t="s">
        <v>2406</v>
      </c>
      <c r="I639" s="875">
        <v>45278</v>
      </c>
      <c r="J639" s="877" t="s">
        <v>1315</v>
      </c>
      <c r="K639" s="881" t="s">
        <v>2411</v>
      </c>
      <c r="L639" s="881" t="s">
        <v>148</v>
      </c>
      <c r="M639" s="883">
        <v>1541750</v>
      </c>
      <c r="N639" s="55">
        <v>719</v>
      </c>
      <c r="O639" s="258">
        <v>0</v>
      </c>
    </row>
    <row r="640" spans="1:15" ht="14.25" customHeight="1" thickBot="1">
      <c r="A640" s="251"/>
      <c r="B640" s="252"/>
      <c r="C640" s="253"/>
      <c r="D640" s="253"/>
      <c r="E640" s="251"/>
      <c r="F640" s="254"/>
      <c r="G640" s="255"/>
      <c r="H640" s="882"/>
      <c r="I640" s="876"/>
      <c r="J640" s="878"/>
      <c r="K640" s="882"/>
      <c r="L640" s="882"/>
      <c r="M640" s="884"/>
      <c r="N640" s="56">
        <v>723</v>
      </c>
      <c r="O640" s="79">
        <f>+M639-O639</f>
        <v>1541750</v>
      </c>
    </row>
    <row r="641" spans="1:15" ht="12.75" customHeight="1">
      <c r="A641" s="881" t="e">
        <f>+A637+1</f>
        <v>#REF!</v>
      </c>
      <c r="B641" s="875">
        <v>42293</v>
      </c>
      <c r="C641" s="877" t="s">
        <v>345</v>
      </c>
      <c r="D641" s="877" t="s">
        <v>346</v>
      </c>
      <c r="E641" s="881" t="s">
        <v>165</v>
      </c>
      <c r="F641" s="883">
        <v>200000</v>
      </c>
      <c r="G641" s="55">
        <v>719</v>
      </c>
      <c r="H641" s="873" t="s">
        <v>1856</v>
      </c>
      <c r="I641" s="875">
        <v>45278</v>
      </c>
      <c r="J641" s="877" t="s">
        <v>2408</v>
      </c>
      <c r="K641" s="881" t="s">
        <v>2412</v>
      </c>
      <c r="L641" s="881" t="s">
        <v>148</v>
      </c>
      <c r="M641" s="883">
        <v>580500</v>
      </c>
      <c r="N641" s="55">
        <v>719</v>
      </c>
      <c r="O641" s="78">
        <v>430000</v>
      </c>
    </row>
    <row r="642" spans="1:15" ht="13.5" customHeight="1" thickBot="1">
      <c r="A642" s="882"/>
      <c r="B642" s="876"/>
      <c r="C642" s="878"/>
      <c r="D642" s="878"/>
      <c r="E642" s="882"/>
      <c r="F642" s="884"/>
      <c r="G642" s="56">
        <v>723</v>
      </c>
      <c r="H642" s="882"/>
      <c r="I642" s="876"/>
      <c r="J642" s="878"/>
      <c r="K642" s="882"/>
      <c r="L642" s="882"/>
      <c r="M642" s="884"/>
      <c r="N642" s="56">
        <v>721</v>
      </c>
      <c r="O642" s="79">
        <f>+M641-O641</f>
        <v>150500</v>
      </c>
    </row>
    <row r="643" spans="1:15" ht="12.75" customHeight="1">
      <c r="A643" s="881"/>
      <c r="B643" s="875"/>
      <c r="C643" s="877"/>
      <c r="D643" s="881"/>
      <c r="E643" s="881"/>
      <c r="F643" s="883"/>
      <c r="G643" s="55">
        <v>719</v>
      </c>
      <c r="H643" s="873" t="s">
        <v>2407</v>
      </c>
      <c r="I643" s="875">
        <v>45278</v>
      </c>
      <c r="J643" s="877" t="s">
        <v>1079</v>
      </c>
      <c r="K643" s="881" t="s">
        <v>2413</v>
      </c>
      <c r="L643" s="881" t="s">
        <v>148</v>
      </c>
      <c r="M643" s="883">
        <v>1390500</v>
      </c>
      <c r="N643" s="55">
        <v>719</v>
      </c>
      <c r="O643" s="258">
        <v>1030000</v>
      </c>
    </row>
    <row r="644" spans="1:15" ht="12.75" customHeight="1" thickBot="1">
      <c r="A644" s="882"/>
      <c r="B644" s="876"/>
      <c r="C644" s="878"/>
      <c r="D644" s="882"/>
      <c r="E644" s="882"/>
      <c r="F644" s="884"/>
      <c r="G644" s="56">
        <v>721</v>
      </c>
      <c r="H644" s="882"/>
      <c r="I644" s="876"/>
      <c r="J644" s="878"/>
      <c r="K644" s="882"/>
      <c r="L644" s="882"/>
      <c r="M644" s="884"/>
      <c r="N644" s="56">
        <v>721</v>
      </c>
      <c r="O644" s="79">
        <f>+M643-O643</f>
        <v>360500</v>
      </c>
    </row>
    <row r="645" spans="1:15" ht="12.75" customHeight="1">
      <c r="A645" s="251"/>
      <c r="B645" s="252"/>
      <c r="C645" s="253"/>
      <c r="D645" s="251"/>
      <c r="E645" s="251"/>
      <c r="F645" s="254"/>
      <c r="G645" s="255"/>
      <c r="H645" s="873" t="s">
        <v>2409</v>
      </c>
      <c r="I645" s="875">
        <v>45278</v>
      </c>
      <c r="J645" s="877" t="s">
        <v>2414</v>
      </c>
      <c r="K645" s="881" t="s">
        <v>2415</v>
      </c>
      <c r="L645" s="881" t="s">
        <v>1908</v>
      </c>
      <c r="M645" s="883">
        <v>93500</v>
      </c>
      <c r="N645" s="55">
        <v>719</v>
      </c>
      <c r="O645" s="258">
        <v>0</v>
      </c>
    </row>
    <row r="646" spans="1:15" ht="15" customHeight="1" thickBot="1">
      <c r="A646" s="251"/>
      <c r="B646" s="252"/>
      <c r="C646" s="253"/>
      <c r="D646" s="251"/>
      <c r="E646" s="251"/>
      <c r="F646" s="254"/>
      <c r="G646" s="255"/>
      <c r="H646" s="882"/>
      <c r="I646" s="876"/>
      <c r="J646" s="878"/>
      <c r="K646" s="882"/>
      <c r="L646" s="882"/>
      <c r="M646" s="884"/>
      <c r="N646" s="56">
        <v>723</v>
      </c>
      <c r="O646" s="79">
        <f>+M645-O645</f>
        <v>93500</v>
      </c>
    </row>
    <row r="647" spans="1:15" ht="16.5" thickBot="1">
      <c r="A647" s="901" t="s">
        <v>102</v>
      </c>
      <c r="B647" s="902"/>
      <c r="C647" s="902"/>
      <c r="D647" s="902"/>
      <c r="E647" s="903"/>
      <c r="F647" s="81">
        <f>SUM(F637:F646)</f>
        <v>20476705</v>
      </c>
      <c r="H647" s="901" t="s">
        <v>102</v>
      </c>
      <c r="I647" s="902"/>
      <c r="J647" s="902"/>
      <c r="K647" s="902"/>
      <c r="L647" s="903"/>
      <c r="M647" s="81">
        <f>SUM(M637:M646)</f>
        <v>6891000</v>
      </c>
    </row>
    <row r="648" spans="1:15" ht="16.5" thickBot="1">
      <c r="A648" s="885" t="s">
        <v>103</v>
      </c>
      <c r="B648" s="886"/>
      <c r="C648" s="886"/>
      <c r="D648" s="886"/>
      <c r="E648" s="887"/>
      <c r="F648" s="69" t="e">
        <f>+F612</f>
        <v>#REF!</v>
      </c>
      <c r="H648" s="885" t="s">
        <v>103</v>
      </c>
      <c r="I648" s="886"/>
      <c r="J648" s="886"/>
      <c r="K648" s="886"/>
      <c r="L648" s="887"/>
      <c r="M648" s="239">
        <f>+M612</f>
        <v>357833318</v>
      </c>
      <c r="N648" s="241" t="s">
        <v>561</v>
      </c>
      <c r="O648" s="242">
        <v>1239</v>
      </c>
    </row>
    <row r="649" spans="1:15" ht="16.5" thickBot="1">
      <c r="A649" s="888" t="s">
        <v>104</v>
      </c>
      <c r="B649" s="889"/>
      <c r="C649" s="889"/>
      <c r="D649" s="889"/>
      <c r="E649" s="890"/>
      <c r="F649" s="183" t="e">
        <f>SUM(F647:F648)</f>
        <v>#REF!</v>
      </c>
      <c r="H649" s="888" t="s">
        <v>104</v>
      </c>
      <c r="I649" s="889"/>
      <c r="J649" s="889"/>
      <c r="K649" s="889"/>
      <c r="L649" s="890"/>
      <c r="M649" s="183">
        <f>SUM(M647:M648)</f>
        <v>364724318</v>
      </c>
    </row>
    <row r="650" spans="1:15" ht="7.5" customHeight="1">
      <c r="A650" s="61"/>
      <c r="B650" s="61"/>
      <c r="C650" s="61"/>
      <c r="D650" s="61"/>
      <c r="E650" s="61"/>
      <c r="H650" s="61"/>
      <c r="I650" s="61"/>
      <c r="J650" s="61"/>
      <c r="K650" s="61"/>
      <c r="L650" s="61"/>
    </row>
    <row r="651" spans="1:15">
      <c r="A651" s="51" t="s">
        <v>349</v>
      </c>
      <c r="H651" s="51" t="s">
        <v>2419</v>
      </c>
    </row>
    <row r="652" spans="1:15" ht="5.25" customHeight="1">
      <c r="F652" s="139"/>
      <c r="M652" s="139"/>
    </row>
    <row r="653" spans="1:15">
      <c r="A653" s="50" t="s">
        <v>105</v>
      </c>
      <c r="D653" s="146"/>
      <c r="F653" s="139"/>
      <c r="H653" s="50" t="s">
        <v>105</v>
      </c>
      <c r="K653" s="146"/>
      <c r="M653" s="139"/>
    </row>
    <row r="654" spans="1:15" ht="10.5" customHeight="1" thickBot="1"/>
    <row r="655" spans="1:15" ht="15.75" thickBot="1">
      <c r="A655" s="891" t="s">
        <v>106</v>
      </c>
      <c r="B655" s="892"/>
      <c r="C655" s="892"/>
      <c r="D655" s="893"/>
      <c r="F655" s="50" t="s">
        <v>270</v>
      </c>
      <c r="H655" s="891" t="s">
        <v>106</v>
      </c>
      <c r="I655" s="892"/>
      <c r="J655" s="892"/>
      <c r="K655" s="893"/>
    </row>
    <row r="656" spans="1:15" ht="30.75" thickBot="1">
      <c r="A656" s="57" t="s">
        <v>100</v>
      </c>
      <c r="B656" s="58" t="s">
        <v>108</v>
      </c>
      <c r="C656" s="59" t="s">
        <v>109</v>
      </c>
      <c r="D656" s="60" t="s">
        <v>110</v>
      </c>
      <c r="H656" s="57" t="s">
        <v>100</v>
      </c>
      <c r="I656" s="58" t="s">
        <v>108</v>
      </c>
      <c r="J656" s="59" t="s">
        <v>109</v>
      </c>
      <c r="K656" s="60" t="s">
        <v>110</v>
      </c>
      <c r="M656" s="605" t="s">
        <v>288</v>
      </c>
      <c r="N656" s="605"/>
      <c r="O656" s="605"/>
    </row>
    <row r="657" spans="1:15" ht="13.5" customHeight="1">
      <c r="A657" s="71">
        <v>719</v>
      </c>
      <c r="B657" s="73" t="e">
        <f>+#REF!+#REF!+#REF!+#REF!+#REF!</f>
        <v>#REF!</v>
      </c>
      <c r="C657" s="74" t="e">
        <f>+D620</f>
        <v>#REF!</v>
      </c>
      <c r="D657" s="195" t="e">
        <f>+B657+C657</f>
        <v>#REF!</v>
      </c>
      <c r="H657" s="71">
        <v>719</v>
      </c>
      <c r="I657" s="73">
        <f>+O641+O643</f>
        <v>1460000</v>
      </c>
      <c r="J657" s="74">
        <f>+K620</f>
        <v>25430000</v>
      </c>
      <c r="K657" s="195">
        <f>+I657+J657</f>
        <v>26890000</v>
      </c>
      <c r="M657" s="202"/>
      <c r="N657" s="202"/>
      <c r="O657" s="202"/>
    </row>
    <row r="658" spans="1:15" ht="12.75" customHeight="1">
      <c r="A658" s="72">
        <v>721</v>
      </c>
      <c r="B658" s="80" t="e">
        <f>+#REF!</f>
        <v>#REF!</v>
      </c>
      <c r="C658" s="74" t="e">
        <f>+D621</f>
        <v>#REF!</v>
      </c>
      <c r="D658" s="195" t="e">
        <f>+B658+C658</f>
        <v>#REF!</v>
      </c>
      <c r="H658" s="72">
        <v>721</v>
      </c>
      <c r="I658" s="80">
        <f>+O642+O644</f>
        <v>511000</v>
      </c>
      <c r="J658" s="74">
        <f>+K621</f>
        <v>8846500</v>
      </c>
      <c r="K658" s="195">
        <f>+I658+J658</f>
        <v>9357500</v>
      </c>
      <c r="M658" s="202"/>
      <c r="N658" s="202"/>
      <c r="O658" s="202"/>
    </row>
    <row r="659" spans="1:15" ht="14.25" customHeight="1">
      <c r="A659" s="72">
        <v>722</v>
      </c>
      <c r="B659" s="80"/>
      <c r="C659" s="74" t="e">
        <f>+D622</f>
        <v>#REF!</v>
      </c>
      <c r="D659" s="195" t="e">
        <f>+B659+C659</f>
        <v>#REF!</v>
      </c>
      <c r="H659" s="72">
        <v>722</v>
      </c>
      <c r="I659" s="80"/>
      <c r="J659" s="74">
        <f>+K622</f>
        <v>12949788</v>
      </c>
      <c r="K659" s="195">
        <f>+I659+J659</f>
        <v>12949788</v>
      </c>
      <c r="M659" s="202"/>
      <c r="N659" s="202"/>
      <c r="O659" s="202"/>
    </row>
    <row r="660" spans="1:15" ht="16.5" thickBot="1">
      <c r="A660" s="72">
        <v>723</v>
      </c>
      <c r="B660" s="80" t="e">
        <f>+#REF!</f>
        <v>#REF!</v>
      </c>
      <c r="C660" s="74" t="e">
        <f>+D623</f>
        <v>#REF!</v>
      </c>
      <c r="D660" s="195" t="e">
        <f>+B660+C660</f>
        <v>#REF!</v>
      </c>
      <c r="F660" s="193" t="s">
        <v>348</v>
      </c>
      <c r="G660" s="175"/>
      <c r="H660" s="72">
        <v>723</v>
      </c>
      <c r="I660" s="80">
        <f>+O638+O640+O646</f>
        <v>4920000</v>
      </c>
      <c r="J660" s="74">
        <f>+K623</f>
        <v>310607030</v>
      </c>
      <c r="K660" s="195">
        <f>+I660+J660</f>
        <v>315527030</v>
      </c>
      <c r="M660" s="918" t="s">
        <v>2347</v>
      </c>
      <c r="N660" s="608"/>
      <c r="O660" s="608"/>
    </row>
    <row r="661" spans="1:15" ht="16.5" hidden="1" thickBot="1">
      <c r="A661" s="164" t="s">
        <v>181</v>
      </c>
      <c r="B661" s="165"/>
      <c r="C661" s="74" t="e">
        <f>+#REF!</f>
        <v>#REF!</v>
      </c>
      <c r="D661" s="196" t="e">
        <f>+B661+C661</f>
        <v>#REF!</v>
      </c>
      <c r="F661" s="52"/>
      <c r="H661" s="164" t="s">
        <v>181</v>
      </c>
      <c r="I661" s="165"/>
      <c r="J661" s="74">
        <f>+J624</f>
        <v>0</v>
      </c>
      <c r="K661" s="195">
        <f>+I661+J661</f>
        <v>0</v>
      </c>
      <c r="M661" s="918" t="s">
        <v>2147</v>
      </c>
      <c r="N661" s="608"/>
      <c r="O661" s="608"/>
    </row>
    <row r="662" spans="1:15" ht="16.5" thickBot="1">
      <c r="A662" s="169"/>
      <c r="B662" s="170" t="e">
        <f>SUM(B657:B661)</f>
        <v>#REF!</v>
      </c>
      <c r="C662" s="171" t="e">
        <f>SUM(C657:C661)</f>
        <v>#REF!</v>
      </c>
      <c r="D662" s="172" t="e">
        <f>SUM(D657:D661)</f>
        <v>#REF!</v>
      </c>
      <c r="H662" s="169"/>
      <c r="I662" s="197">
        <f>SUM(I657:I661)</f>
        <v>6891000</v>
      </c>
      <c r="J662" s="197">
        <f>SUM(J657:J661)</f>
        <v>357833318</v>
      </c>
      <c r="K662" s="198">
        <f>SUM(K657:K661)</f>
        <v>364724318</v>
      </c>
    </row>
    <row r="663" spans="1:15" ht="16.5">
      <c r="A663" s="49" t="s">
        <v>88</v>
      </c>
      <c r="B663" s="50"/>
      <c r="H663" s="49" t="s">
        <v>88</v>
      </c>
      <c r="I663" s="50"/>
    </row>
    <row r="664" spans="1:15" ht="13.5" customHeight="1">
      <c r="A664" s="51" t="s">
        <v>89</v>
      </c>
      <c r="H664" s="51" t="s">
        <v>89</v>
      </c>
    </row>
    <row r="665" spans="1:15" ht="13.5" customHeight="1">
      <c r="A665" s="51" t="s">
        <v>90</v>
      </c>
      <c r="H665" s="51" t="s">
        <v>90</v>
      </c>
    </row>
    <row r="666" spans="1:15" ht="14.25" customHeight="1">
      <c r="A666" s="51" t="s">
        <v>91</v>
      </c>
      <c r="H666" s="51" t="s">
        <v>91</v>
      </c>
    </row>
    <row r="667" spans="1:15" ht="7.5" customHeight="1">
      <c r="A667" s="50"/>
      <c r="B667" s="50"/>
      <c r="H667" s="50"/>
      <c r="I667" s="50"/>
    </row>
    <row r="668" spans="1:15" ht="16.5">
      <c r="A668" s="52" t="s">
        <v>351</v>
      </c>
      <c r="G668" s="52"/>
      <c r="H668" s="52" t="s">
        <v>870</v>
      </c>
      <c r="N668" s="52"/>
    </row>
    <row r="669" spans="1:15" ht="15.75">
      <c r="A669" s="53" t="s">
        <v>92</v>
      </c>
      <c r="G669" s="53"/>
      <c r="H669" s="53" t="s">
        <v>2270</v>
      </c>
      <c r="N669" s="53"/>
    </row>
    <row r="670" spans="1:15" ht="15" customHeight="1">
      <c r="A670" s="894" t="s">
        <v>93</v>
      </c>
      <c r="B670" s="894"/>
      <c r="C670" s="894"/>
      <c r="D670" s="894"/>
      <c r="E670" s="894"/>
      <c r="F670" s="894"/>
      <c r="G670" s="894"/>
      <c r="H670" s="933" t="s">
        <v>2253</v>
      </c>
      <c r="I670" s="933"/>
      <c r="J670" s="933"/>
      <c r="K670" s="933"/>
      <c r="L670" s="933"/>
      <c r="M670" s="933"/>
      <c r="N670" s="933"/>
      <c r="O670" s="933"/>
    </row>
    <row r="671" spans="1:15" ht="7.5" customHeight="1" thickBot="1"/>
    <row r="672" spans="1:15">
      <c r="A672" s="895" t="s">
        <v>94</v>
      </c>
      <c r="B672" s="897" t="s">
        <v>95</v>
      </c>
      <c r="C672" s="897" t="s">
        <v>96</v>
      </c>
      <c r="D672" s="897" t="s">
        <v>3</v>
      </c>
      <c r="E672" s="897" t="s">
        <v>97</v>
      </c>
      <c r="F672" s="897" t="s">
        <v>98</v>
      </c>
      <c r="G672" s="500" t="s">
        <v>99</v>
      </c>
      <c r="H672" s="895" t="s">
        <v>94</v>
      </c>
      <c r="I672" s="897" t="s">
        <v>95</v>
      </c>
      <c r="J672" s="897" t="s">
        <v>96</v>
      </c>
      <c r="K672" s="897" t="s">
        <v>3</v>
      </c>
      <c r="L672" s="897" t="s">
        <v>97</v>
      </c>
      <c r="M672" s="897" t="s">
        <v>98</v>
      </c>
      <c r="N672" s="897" t="s">
        <v>99</v>
      </c>
      <c r="O672" s="899"/>
    </row>
    <row r="673" spans="1:16" ht="15.75" thickBot="1">
      <c r="A673" s="896"/>
      <c r="B673" s="898"/>
      <c r="C673" s="898"/>
      <c r="D673" s="898"/>
      <c r="E673" s="898"/>
      <c r="F673" s="898"/>
      <c r="G673" s="240" t="s">
        <v>100</v>
      </c>
      <c r="H673" s="896"/>
      <c r="I673" s="898"/>
      <c r="J673" s="898"/>
      <c r="K673" s="898"/>
      <c r="L673" s="898"/>
      <c r="M673" s="898"/>
      <c r="N673" s="240" t="s">
        <v>100</v>
      </c>
      <c r="O673" s="182" t="s">
        <v>101</v>
      </c>
    </row>
    <row r="674" spans="1:16" ht="14.25" customHeight="1">
      <c r="A674" s="881" t="e">
        <f>+A641+1</f>
        <v>#REF!</v>
      </c>
      <c r="B674" s="875">
        <v>42296</v>
      </c>
      <c r="C674" s="877" t="s">
        <v>267</v>
      </c>
      <c r="D674" s="881" t="s">
        <v>359</v>
      </c>
      <c r="E674" s="881" t="s">
        <v>148</v>
      </c>
      <c r="F674" s="883">
        <v>154000</v>
      </c>
      <c r="G674" s="55">
        <v>719</v>
      </c>
      <c r="H674" s="873" t="s">
        <v>1605</v>
      </c>
      <c r="I674" s="875">
        <v>45293</v>
      </c>
      <c r="J674" s="877" t="s">
        <v>1079</v>
      </c>
      <c r="K674" s="881" t="s">
        <v>2423</v>
      </c>
      <c r="L674" s="881" t="s">
        <v>148</v>
      </c>
      <c r="M674" s="883">
        <v>148500</v>
      </c>
      <c r="N674" s="55">
        <v>719</v>
      </c>
      <c r="O674" s="78">
        <v>110000</v>
      </c>
    </row>
    <row r="675" spans="1:16" ht="13.5" customHeight="1" thickBot="1">
      <c r="A675" s="882"/>
      <c r="B675" s="876"/>
      <c r="C675" s="878"/>
      <c r="D675" s="882"/>
      <c r="E675" s="882"/>
      <c r="F675" s="884"/>
      <c r="G675" s="56">
        <v>721</v>
      </c>
      <c r="H675" s="882"/>
      <c r="I675" s="876"/>
      <c r="J675" s="878"/>
      <c r="K675" s="882"/>
      <c r="L675" s="882"/>
      <c r="M675" s="884"/>
      <c r="N675" s="56">
        <v>721</v>
      </c>
      <c r="O675" s="79">
        <f>+M674-O674</f>
        <v>38500</v>
      </c>
      <c r="P675" s="139"/>
    </row>
    <row r="676" spans="1:16" ht="12.75" customHeight="1">
      <c r="A676" s="881" t="e">
        <f>+A674+1</f>
        <v>#REF!</v>
      </c>
      <c r="B676" s="875">
        <v>42296</v>
      </c>
      <c r="C676" s="881" t="s">
        <v>28</v>
      </c>
      <c r="D676" s="881" t="s">
        <v>357</v>
      </c>
      <c r="E676" s="881" t="s">
        <v>148</v>
      </c>
      <c r="F676" s="883">
        <v>280000</v>
      </c>
      <c r="G676" s="55">
        <v>719</v>
      </c>
      <c r="H676" s="873" t="s">
        <v>1604</v>
      </c>
      <c r="I676" s="875">
        <v>45293</v>
      </c>
      <c r="J676" s="877" t="s">
        <v>1079</v>
      </c>
      <c r="K676" s="881" t="s">
        <v>2424</v>
      </c>
      <c r="L676" s="881" t="s">
        <v>148</v>
      </c>
      <c r="M676" s="883">
        <v>702000</v>
      </c>
      <c r="N676" s="55">
        <v>719</v>
      </c>
      <c r="O676" s="78">
        <v>520000</v>
      </c>
    </row>
    <row r="677" spans="1:16" ht="12.75" customHeight="1" thickBot="1">
      <c r="A677" s="882"/>
      <c r="B677" s="876"/>
      <c r="C677" s="882"/>
      <c r="D677" s="882"/>
      <c r="E677" s="882"/>
      <c r="F677" s="884"/>
      <c r="G677" s="56">
        <v>721</v>
      </c>
      <c r="H677" s="882"/>
      <c r="I677" s="876"/>
      <c r="J677" s="878"/>
      <c r="K677" s="882"/>
      <c r="L677" s="882"/>
      <c r="M677" s="884"/>
      <c r="N677" s="56">
        <v>721</v>
      </c>
      <c r="O677" s="79">
        <f>+M676-O676</f>
        <v>182000</v>
      </c>
      <c r="P677" s="139"/>
    </row>
    <row r="678" spans="1:16" ht="12" customHeight="1">
      <c r="A678" s="881" t="e">
        <f>+A676+1</f>
        <v>#REF!</v>
      </c>
      <c r="B678" s="875">
        <v>42296</v>
      </c>
      <c r="C678" s="877" t="s">
        <v>32</v>
      </c>
      <c r="D678" s="881" t="s">
        <v>357</v>
      </c>
      <c r="E678" s="881" t="s">
        <v>148</v>
      </c>
      <c r="F678" s="883">
        <v>98000</v>
      </c>
      <c r="G678" s="55">
        <v>719</v>
      </c>
      <c r="H678" s="873" t="s">
        <v>1509</v>
      </c>
      <c r="I678" s="875">
        <v>45293</v>
      </c>
      <c r="J678" s="877" t="s">
        <v>1079</v>
      </c>
      <c r="K678" s="881" t="s">
        <v>2425</v>
      </c>
      <c r="L678" s="881" t="s">
        <v>148</v>
      </c>
      <c r="M678" s="883">
        <v>783000</v>
      </c>
      <c r="N678" s="55">
        <v>719</v>
      </c>
      <c r="O678" s="78">
        <v>580000</v>
      </c>
    </row>
    <row r="679" spans="1:16" ht="14.25" customHeight="1" thickBot="1">
      <c r="A679" s="882"/>
      <c r="B679" s="876"/>
      <c r="C679" s="878"/>
      <c r="D679" s="882"/>
      <c r="E679" s="882"/>
      <c r="F679" s="884"/>
      <c r="G679" s="56">
        <v>721</v>
      </c>
      <c r="H679" s="882"/>
      <c r="I679" s="876"/>
      <c r="J679" s="878"/>
      <c r="K679" s="882"/>
      <c r="L679" s="882"/>
      <c r="M679" s="884"/>
      <c r="N679" s="56">
        <v>721</v>
      </c>
      <c r="O679" s="79">
        <f>+M678-O678</f>
        <v>203000</v>
      </c>
    </row>
    <row r="680" spans="1:16" ht="14.25" customHeight="1">
      <c r="A680" s="251"/>
      <c r="B680" s="252"/>
      <c r="C680" s="253"/>
      <c r="D680" s="251"/>
      <c r="E680" s="251"/>
      <c r="F680" s="254"/>
      <c r="G680" s="255"/>
      <c r="H680" s="873" t="s">
        <v>2421</v>
      </c>
      <c r="I680" s="875">
        <v>45293</v>
      </c>
      <c r="J680" s="877" t="s">
        <v>2408</v>
      </c>
      <c r="K680" s="881" t="s">
        <v>2426</v>
      </c>
      <c r="L680" s="881" t="s">
        <v>115</v>
      </c>
      <c r="M680" s="883">
        <v>742500</v>
      </c>
      <c r="N680" s="55">
        <v>719</v>
      </c>
      <c r="O680" s="78">
        <v>550000</v>
      </c>
    </row>
    <row r="681" spans="1:16" ht="14.25" customHeight="1" thickBot="1">
      <c r="A681" s="251"/>
      <c r="B681" s="252"/>
      <c r="C681" s="253"/>
      <c r="D681" s="251"/>
      <c r="E681" s="251"/>
      <c r="F681" s="254"/>
      <c r="G681" s="255"/>
      <c r="H681" s="882"/>
      <c r="I681" s="876"/>
      <c r="J681" s="878"/>
      <c r="K681" s="882"/>
      <c r="L681" s="882"/>
      <c r="M681" s="884"/>
      <c r="N681" s="56">
        <v>721</v>
      </c>
      <c r="O681" s="79">
        <f>+M680-O680</f>
        <v>192500</v>
      </c>
    </row>
    <row r="682" spans="1:16" ht="11.25" customHeight="1">
      <c r="A682" s="881" t="e">
        <f>+#REF!+1</f>
        <v>#REF!</v>
      </c>
      <c r="B682" s="875">
        <v>42296</v>
      </c>
      <c r="C682" s="877" t="s">
        <v>272</v>
      </c>
      <c r="D682" s="881" t="s">
        <v>357</v>
      </c>
      <c r="E682" s="881" t="s">
        <v>148</v>
      </c>
      <c r="F682" s="883">
        <v>616000</v>
      </c>
      <c r="G682" s="55">
        <v>719</v>
      </c>
      <c r="H682" s="873" t="s">
        <v>2422</v>
      </c>
      <c r="I682" s="875">
        <v>45293</v>
      </c>
      <c r="J682" s="877" t="s">
        <v>1538</v>
      </c>
      <c r="K682" s="881" t="s">
        <v>2415</v>
      </c>
      <c r="L682" s="881" t="s">
        <v>148</v>
      </c>
      <c r="M682" s="883">
        <v>1605300</v>
      </c>
      <c r="N682" s="55">
        <v>719</v>
      </c>
      <c r="O682" s="78">
        <v>0</v>
      </c>
    </row>
    <row r="683" spans="1:16" ht="15.75" customHeight="1" thickBot="1">
      <c r="A683" s="882"/>
      <c r="B683" s="876"/>
      <c r="C683" s="878"/>
      <c r="D683" s="882"/>
      <c r="E683" s="882"/>
      <c r="F683" s="884"/>
      <c r="G683" s="56">
        <v>721</v>
      </c>
      <c r="H683" s="882"/>
      <c r="I683" s="876"/>
      <c r="J683" s="878"/>
      <c r="K683" s="882"/>
      <c r="L683" s="882"/>
      <c r="M683" s="884"/>
      <c r="N683" s="56">
        <v>723</v>
      </c>
      <c r="O683" s="79">
        <f>+M682-O682</f>
        <v>1605300</v>
      </c>
    </row>
    <row r="684" spans="1:16" ht="16.5" thickBot="1">
      <c r="A684" s="901" t="s">
        <v>102</v>
      </c>
      <c r="B684" s="902"/>
      <c r="C684" s="902"/>
      <c r="D684" s="902"/>
      <c r="E684" s="903"/>
      <c r="F684" s="81">
        <f>SUM(F674:F683)</f>
        <v>1148000</v>
      </c>
      <c r="H684" s="901" t="s">
        <v>102</v>
      </c>
      <c r="I684" s="902"/>
      <c r="J684" s="902"/>
      <c r="K684" s="902"/>
      <c r="L684" s="903"/>
      <c r="M684" s="81">
        <f>SUM(M674:M683)</f>
        <v>3981300</v>
      </c>
    </row>
    <row r="685" spans="1:16" ht="16.5" thickBot="1">
      <c r="A685" s="885" t="s">
        <v>103</v>
      </c>
      <c r="B685" s="886"/>
      <c r="C685" s="886"/>
      <c r="D685" s="886"/>
      <c r="E685" s="887"/>
      <c r="F685" s="69" t="e">
        <f>+F649</f>
        <v>#REF!</v>
      </c>
      <c r="H685" s="885" t="s">
        <v>103</v>
      </c>
      <c r="I685" s="886"/>
      <c r="J685" s="886"/>
      <c r="K685" s="886"/>
      <c r="L685" s="887"/>
      <c r="M685" s="239">
        <f>+M649</f>
        <v>364724318</v>
      </c>
      <c r="N685" s="241" t="s">
        <v>561</v>
      </c>
      <c r="O685" s="242">
        <f>911+331+344+76</f>
        <v>1662</v>
      </c>
    </row>
    <row r="686" spans="1:16" ht="16.5" thickBot="1">
      <c r="A686" s="888" t="s">
        <v>104</v>
      </c>
      <c r="B686" s="889"/>
      <c r="C686" s="889"/>
      <c r="D686" s="889"/>
      <c r="E686" s="890"/>
      <c r="F686" s="183" t="e">
        <f>SUM(F684:F685)</f>
        <v>#REF!</v>
      </c>
      <c r="H686" s="888" t="s">
        <v>104</v>
      </c>
      <c r="I686" s="889"/>
      <c r="J686" s="889"/>
      <c r="K686" s="889"/>
      <c r="L686" s="890"/>
      <c r="M686" s="183">
        <f>SUM(M684:M685)</f>
        <v>368705618</v>
      </c>
    </row>
    <row r="687" spans="1:16" ht="8.25" customHeight="1">
      <c r="A687" s="61"/>
      <c r="B687" s="61"/>
      <c r="C687" s="61"/>
      <c r="D687" s="61"/>
      <c r="E687" s="61"/>
      <c r="H687" s="61"/>
      <c r="I687" s="61"/>
      <c r="J687" s="61"/>
      <c r="K687" s="61"/>
      <c r="L687" s="61"/>
    </row>
    <row r="688" spans="1:16">
      <c r="A688" s="51" t="s">
        <v>353</v>
      </c>
      <c r="H688" s="51" t="s">
        <v>2432</v>
      </c>
    </row>
    <row r="689" spans="1:20" ht="6.75" customHeight="1">
      <c r="F689" s="139"/>
      <c r="M689" s="139"/>
    </row>
    <row r="690" spans="1:20">
      <c r="A690" s="50" t="s">
        <v>105</v>
      </c>
      <c r="D690" s="146"/>
      <c r="F690" s="139"/>
      <c r="H690" s="50" t="s">
        <v>105</v>
      </c>
      <c r="K690" s="146"/>
      <c r="M690" s="139"/>
    </row>
    <row r="691" spans="1:20" ht="9" customHeight="1" thickBot="1"/>
    <row r="692" spans="1:20" ht="15.75" customHeight="1" thickBot="1">
      <c r="A692" s="891" t="s">
        <v>106</v>
      </c>
      <c r="B692" s="892"/>
      <c r="C692" s="892"/>
      <c r="D692" s="893"/>
      <c r="F692" s="50" t="s">
        <v>270</v>
      </c>
      <c r="H692" s="891" t="s">
        <v>106</v>
      </c>
      <c r="I692" s="892"/>
      <c r="J692" s="892"/>
      <c r="K692" s="893"/>
      <c r="M692" s="605" t="s">
        <v>288</v>
      </c>
      <c r="N692" s="605"/>
      <c r="O692" s="605"/>
    </row>
    <row r="693" spans="1:20" ht="28.5" customHeight="1" thickBot="1">
      <c r="A693" s="57" t="s">
        <v>100</v>
      </c>
      <c r="B693" s="58" t="s">
        <v>108</v>
      </c>
      <c r="C693" s="59" t="s">
        <v>109</v>
      </c>
      <c r="D693" s="60" t="s">
        <v>110</v>
      </c>
      <c r="H693" s="57" t="s">
        <v>100</v>
      </c>
      <c r="I693" s="58" t="s">
        <v>108</v>
      </c>
      <c r="J693" s="59" t="s">
        <v>109</v>
      </c>
      <c r="K693" s="60" t="s">
        <v>110</v>
      </c>
      <c r="M693" s="202"/>
      <c r="N693" s="202"/>
      <c r="O693" s="202"/>
    </row>
    <row r="694" spans="1:20" ht="14.25" customHeight="1">
      <c r="A694" s="71">
        <v>719</v>
      </c>
      <c r="B694" s="73" t="e">
        <f>+#REF!+#REF!+#REF!+#REF!+#REF!</f>
        <v>#REF!</v>
      </c>
      <c r="C694" s="74" t="e">
        <f>+D657</f>
        <v>#REF!</v>
      </c>
      <c r="D694" s="195" t="e">
        <f>+B694+C694</f>
        <v>#REF!</v>
      </c>
      <c r="H694" s="71">
        <v>719</v>
      </c>
      <c r="I694" s="73">
        <f>+O674+O676+O678+O680</f>
        <v>1760000</v>
      </c>
      <c r="J694" s="74">
        <f>+K657</f>
        <v>26890000</v>
      </c>
      <c r="K694" s="195">
        <f>+I694+J694</f>
        <v>28650000</v>
      </c>
      <c r="M694" s="202"/>
      <c r="N694" s="202"/>
      <c r="O694" s="202"/>
    </row>
    <row r="695" spans="1:20" ht="12.75" customHeight="1">
      <c r="A695" s="72">
        <v>721</v>
      </c>
      <c r="B695" s="80" t="e">
        <f>+#REF!+#REF!+#REF!+#REF!+#REF!</f>
        <v>#REF!</v>
      </c>
      <c r="C695" s="74" t="e">
        <f>+D658</f>
        <v>#REF!</v>
      </c>
      <c r="D695" s="195" t="e">
        <f>+B695+C695</f>
        <v>#REF!</v>
      </c>
      <c r="H695" s="72">
        <v>721</v>
      </c>
      <c r="I695" s="80">
        <f>+O675+O677+O679+O681</f>
        <v>616000</v>
      </c>
      <c r="J695" s="74">
        <f>+K658</f>
        <v>9357500</v>
      </c>
      <c r="K695" s="195">
        <f>+I695+J695</f>
        <v>9973500</v>
      </c>
      <c r="M695" s="918" t="s">
        <v>2347</v>
      </c>
      <c r="N695" s="608"/>
      <c r="O695" s="608"/>
    </row>
    <row r="696" spans="1:20" ht="12.75" customHeight="1">
      <c r="A696" s="72">
        <v>722</v>
      </c>
      <c r="B696" s="80"/>
      <c r="C696" s="74" t="e">
        <f>+D659</f>
        <v>#REF!</v>
      </c>
      <c r="D696" s="195" t="e">
        <f>+B696+C696</f>
        <v>#REF!</v>
      </c>
      <c r="H696" s="72">
        <v>722</v>
      </c>
      <c r="I696" s="80"/>
      <c r="J696" s="74">
        <f>+K659</f>
        <v>12949788</v>
      </c>
      <c r="K696" s="195">
        <f>+I696+J696</f>
        <v>12949788</v>
      </c>
      <c r="M696" s="202"/>
      <c r="N696" s="202"/>
      <c r="O696" s="202"/>
    </row>
    <row r="697" spans="1:20" ht="13.5" customHeight="1" thickBot="1">
      <c r="A697" s="72">
        <v>723</v>
      </c>
      <c r="B697" s="80"/>
      <c r="C697" s="74" t="e">
        <f>+D660</f>
        <v>#REF!</v>
      </c>
      <c r="D697" s="195" t="e">
        <f>+B697+C697</f>
        <v>#REF!</v>
      </c>
      <c r="F697" s="193" t="s">
        <v>348</v>
      </c>
      <c r="G697" s="175"/>
      <c r="H697" s="72">
        <v>723</v>
      </c>
      <c r="I697" s="80">
        <f>+O683</f>
        <v>1605300</v>
      </c>
      <c r="J697" s="74">
        <f>+K660</f>
        <v>315527030</v>
      </c>
      <c r="K697" s="195">
        <f>+I697+J697</f>
        <v>317132330</v>
      </c>
      <c r="M697" s="918"/>
      <c r="N697" s="608"/>
      <c r="O697" s="608"/>
    </row>
    <row r="698" spans="1:20" ht="12.75" hidden="1" customHeight="1" thickBot="1">
      <c r="A698" s="164" t="s">
        <v>181</v>
      </c>
      <c r="B698" s="165"/>
      <c r="C698" s="74" t="e">
        <f>+D661</f>
        <v>#REF!</v>
      </c>
      <c r="D698" s="196" t="e">
        <f>+B698+C698</f>
        <v>#REF!</v>
      </c>
      <c r="F698" s="52"/>
      <c r="H698" s="164" t="s">
        <v>181</v>
      </c>
      <c r="I698" s="165"/>
      <c r="J698" s="74">
        <f>+K661</f>
        <v>0</v>
      </c>
      <c r="K698" s="196">
        <f>+I698+J698</f>
        <v>0</v>
      </c>
      <c r="M698" s="52"/>
    </row>
    <row r="699" spans="1:20" ht="16.5" thickBot="1">
      <c r="A699" s="169"/>
      <c r="B699" s="170" t="e">
        <f>SUM(B694:B698)</f>
        <v>#REF!</v>
      </c>
      <c r="C699" s="171" t="e">
        <f>SUM(C694:C698)</f>
        <v>#REF!</v>
      </c>
      <c r="D699" s="172" t="e">
        <f>SUM(D694:D698)</f>
        <v>#REF!</v>
      </c>
      <c r="H699" s="169"/>
      <c r="I699" s="197">
        <f>SUM(I694:I698)</f>
        <v>3981300</v>
      </c>
      <c r="J699" s="197">
        <f>SUM(J694:J698)</f>
        <v>364724318</v>
      </c>
      <c r="K699" s="198">
        <f>SUM(K694:K698)</f>
        <v>368705618</v>
      </c>
    </row>
    <row r="700" spans="1:20" ht="16.5">
      <c r="A700" s="49" t="s">
        <v>88</v>
      </c>
      <c r="B700" s="50"/>
      <c r="H700" s="49" t="s">
        <v>88</v>
      </c>
      <c r="I700" s="50"/>
    </row>
    <row r="701" spans="1:20">
      <c r="A701" s="51" t="s">
        <v>89</v>
      </c>
      <c r="H701" s="51" t="s">
        <v>89</v>
      </c>
    </row>
    <row r="702" spans="1:20">
      <c r="A702" s="51" t="s">
        <v>90</v>
      </c>
      <c r="H702" s="51" t="s">
        <v>90</v>
      </c>
    </row>
    <row r="703" spans="1:20" ht="16.5">
      <c r="A703" s="51" t="s">
        <v>91</v>
      </c>
      <c r="H703" s="51" t="s">
        <v>91</v>
      </c>
      <c r="T703" s="505"/>
    </row>
    <row r="704" spans="1:20" ht="10.5" customHeight="1">
      <c r="A704" s="50"/>
      <c r="B704" s="50"/>
      <c r="H704" s="50"/>
      <c r="I704" s="50"/>
    </row>
    <row r="705" spans="1:20" ht="16.5">
      <c r="A705" s="52" t="s">
        <v>352</v>
      </c>
      <c r="G705" s="52"/>
      <c r="H705" s="260" t="s">
        <v>200</v>
      </c>
      <c r="I705" s="262"/>
      <c r="N705" s="52"/>
    </row>
    <row r="706" spans="1:20" ht="16.5">
      <c r="A706" s="53" t="s">
        <v>92</v>
      </c>
      <c r="G706" s="53"/>
      <c r="H706" s="261" t="s">
        <v>2270</v>
      </c>
      <c r="I706" s="262"/>
      <c r="N706" s="53"/>
      <c r="T706" s="506"/>
    </row>
    <row r="707" spans="1:20" ht="17.25" customHeight="1">
      <c r="A707" s="894" t="s">
        <v>93</v>
      </c>
      <c r="B707" s="894"/>
      <c r="C707" s="894"/>
      <c r="D707" s="894"/>
      <c r="E707" s="894"/>
      <c r="F707" s="894"/>
      <c r="G707" s="894"/>
      <c r="H707" s="894" t="s">
        <v>2429</v>
      </c>
      <c r="I707" s="894"/>
      <c r="J707" s="894"/>
      <c r="K707" s="894"/>
      <c r="L707" s="894"/>
      <c r="M707" s="894"/>
      <c r="N707" s="894"/>
      <c r="O707" s="894"/>
    </row>
    <row r="708" spans="1:20" ht="12.75" customHeight="1" thickBot="1"/>
    <row r="709" spans="1:20">
      <c r="A709" s="895" t="s">
        <v>94</v>
      </c>
      <c r="B709" s="897" t="s">
        <v>95</v>
      </c>
      <c r="C709" s="897" t="s">
        <v>96</v>
      </c>
      <c r="D709" s="897" t="s">
        <v>3</v>
      </c>
      <c r="E709" s="897" t="s">
        <v>97</v>
      </c>
      <c r="F709" s="897" t="s">
        <v>98</v>
      </c>
      <c r="G709" s="500" t="s">
        <v>99</v>
      </c>
      <c r="H709" s="895" t="s">
        <v>94</v>
      </c>
      <c r="I709" s="897" t="s">
        <v>95</v>
      </c>
      <c r="J709" s="897" t="s">
        <v>96</v>
      </c>
      <c r="K709" s="897" t="s">
        <v>3</v>
      </c>
      <c r="L709" s="897" t="s">
        <v>97</v>
      </c>
      <c r="M709" s="897" t="s">
        <v>98</v>
      </c>
      <c r="N709" s="897" t="s">
        <v>99</v>
      </c>
      <c r="O709" s="899"/>
    </row>
    <row r="710" spans="1:20" ht="15.75" thickBot="1">
      <c r="A710" s="896"/>
      <c r="B710" s="898"/>
      <c r="C710" s="898"/>
      <c r="D710" s="898"/>
      <c r="E710" s="898"/>
      <c r="F710" s="898"/>
      <c r="G710" s="240" t="s">
        <v>100</v>
      </c>
      <c r="H710" s="896"/>
      <c r="I710" s="898"/>
      <c r="J710" s="898"/>
      <c r="K710" s="898"/>
      <c r="L710" s="898"/>
      <c r="M710" s="898"/>
      <c r="N710" s="240" t="s">
        <v>100</v>
      </c>
      <c r="O710" s="182" t="s">
        <v>101</v>
      </c>
    </row>
    <row r="711" spans="1:20" ht="15" customHeight="1">
      <c r="A711" s="881" t="e">
        <f>+A682+1</f>
        <v>#REF!</v>
      </c>
      <c r="B711" s="875">
        <v>42296</v>
      </c>
      <c r="C711" s="877" t="s">
        <v>272</v>
      </c>
      <c r="D711" s="881" t="s">
        <v>356</v>
      </c>
      <c r="E711" s="881" t="s">
        <v>115</v>
      </c>
      <c r="F711" s="883">
        <v>100000</v>
      </c>
      <c r="G711" s="55">
        <v>719</v>
      </c>
      <c r="H711" s="873" t="s">
        <v>2427</v>
      </c>
      <c r="I711" s="875">
        <v>45293</v>
      </c>
      <c r="J711" s="877" t="s">
        <v>120</v>
      </c>
      <c r="K711" s="881" t="s">
        <v>2411</v>
      </c>
      <c r="L711" s="881" t="s">
        <v>115</v>
      </c>
      <c r="M711" s="883">
        <v>1026000</v>
      </c>
      <c r="N711" s="55">
        <v>719</v>
      </c>
      <c r="O711" s="78">
        <v>760000</v>
      </c>
    </row>
    <row r="712" spans="1:20" ht="13.5" customHeight="1" thickBot="1">
      <c r="A712" s="882"/>
      <c r="B712" s="876"/>
      <c r="C712" s="878"/>
      <c r="D712" s="882"/>
      <c r="E712" s="882"/>
      <c r="F712" s="884"/>
      <c r="G712" s="56">
        <v>721</v>
      </c>
      <c r="H712" s="882"/>
      <c r="I712" s="876"/>
      <c r="J712" s="878"/>
      <c r="K712" s="882"/>
      <c r="L712" s="882"/>
      <c r="M712" s="884"/>
      <c r="N712" s="56">
        <v>721</v>
      </c>
      <c r="O712" s="79">
        <f>+M711-O711</f>
        <v>266000</v>
      </c>
    </row>
    <row r="713" spans="1:20" ht="13.5" customHeight="1">
      <c r="A713" s="881" t="e">
        <f>+A711+1</f>
        <v>#REF!</v>
      </c>
      <c r="B713" s="875">
        <v>42296</v>
      </c>
      <c r="C713" s="881" t="s">
        <v>28</v>
      </c>
      <c r="D713" s="881" t="s">
        <v>355</v>
      </c>
      <c r="E713" s="881" t="s">
        <v>115</v>
      </c>
      <c r="F713" s="883">
        <v>50000</v>
      </c>
      <c r="G713" s="55">
        <v>719</v>
      </c>
      <c r="H713" s="873" t="s">
        <v>812</v>
      </c>
      <c r="I713" s="875">
        <v>45293</v>
      </c>
      <c r="J713" s="877" t="s">
        <v>120</v>
      </c>
      <c r="K713" s="881" t="s">
        <v>2415</v>
      </c>
      <c r="L713" s="881" t="s">
        <v>115</v>
      </c>
      <c r="M713" s="883">
        <v>1053000</v>
      </c>
      <c r="N713" s="55">
        <v>719</v>
      </c>
      <c r="O713" s="78">
        <v>780000</v>
      </c>
    </row>
    <row r="714" spans="1:20" ht="12.75" customHeight="1" thickBot="1">
      <c r="A714" s="882"/>
      <c r="B714" s="876"/>
      <c r="C714" s="882"/>
      <c r="D714" s="882"/>
      <c r="E714" s="882"/>
      <c r="F714" s="884"/>
      <c r="G714" s="56">
        <v>721</v>
      </c>
      <c r="H714" s="882"/>
      <c r="I714" s="876"/>
      <c r="J714" s="878"/>
      <c r="K714" s="882"/>
      <c r="L714" s="882"/>
      <c r="M714" s="884"/>
      <c r="N714" s="56">
        <v>721</v>
      </c>
      <c r="O714" s="79">
        <f>+M713-O713</f>
        <v>273000</v>
      </c>
    </row>
    <row r="715" spans="1:20" ht="12.75" customHeight="1">
      <c r="A715" s="251"/>
      <c r="B715" s="252"/>
      <c r="C715" s="251"/>
      <c r="D715" s="251"/>
      <c r="E715" s="251"/>
      <c r="F715" s="254"/>
      <c r="G715" s="255"/>
      <c r="H715" s="873" t="s">
        <v>1606</v>
      </c>
      <c r="I715" s="875">
        <v>45293</v>
      </c>
      <c r="J715" s="910" t="s">
        <v>555</v>
      </c>
      <c r="K715" s="881" t="s">
        <v>2415</v>
      </c>
      <c r="L715" s="881" t="s">
        <v>115</v>
      </c>
      <c r="M715" s="883">
        <v>348000</v>
      </c>
      <c r="N715" s="55">
        <v>719</v>
      </c>
      <c r="O715" s="78">
        <v>0</v>
      </c>
    </row>
    <row r="716" spans="1:20" ht="12.75" customHeight="1" thickBot="1">
      <c r="A716" s="251"/>
      <c r="B716" s="252"/>
      <c r="C716" s="251"/>
      <c r="D716" s="251"/>
      <c r="E716" s="251"/>
      <c r="F716" s="254"/>
      <c r="G716" s="255"/>
      <c r="H716" s="882"/>
      <c r="I716" s="876"/>
      <c r="J716" s="911"/>
      <c r="K716" s="882"/>
      <c r="L716" s="882"/>
      <c r="M716" s="884"/>
      <c r="N716" s="56">
        <v>723</v>
      </c>
      <c r="O716" s="79">
        <f>+M715-O715</f>
        <v>348000</v>
      </c>
    </row>
    <row r="717" spans="1:20" ht="15" customHeight="1">
      <c r="A717" s="881" t="e">
        <f>+#REF!+1</f>
        <v>#REF!</v>
      </c>
      <c r="B717" s="875">
        <v>42296</v>
      </c>
      <c r="C717" s="877" t="s">
        <v>272</v>
      </c>
      <c r="D717" s="881" t="s">
        <v>427</v>
      </c>
      <c r="E717" s="881" t="s">
        <v>115</v>
      </c>
      <c r="F717" s="883">
        <v>90000</v>
      </c>
      <c r="G717" s="55">
        <v>719</v>
      </c>
      <c r="H717" s="873" t="s">
        <v>1519</v>
      </c>
      <c r="I717" s="875">
        <v>45293</v>
      </c>
      <c r="J717" s="877" t="s">
        <v>2428</v>
      </c>
      <c r="K717" s="881" t="s">
        <v>2415</v>
      </c>
      <c r="L717" s="881" t="s">
        <v>1908</v>
      </c>
      <c r="M717" s="883">
        <v>59900</v>
      </c>
      <c r="N717" s="55">
        <v>719</v>
      </c>
      <c r="O717" s="78"/>
    </row>
    <row r="718" spans="1:20" ht="13.5" customHeight="1" thickBot="1">
      <c r="A718" s="882"/>
      <c r="B718" s="876"/>
      <c r="C718" s="878"/>
      <c r="D718" s="882"/>
      <c r="E718" s="882"/>
      <c r="F718" s="884"/>
      <c r="G718" s="56">
        <v>721</v>
      </c>
      <c r="H718" s="882"/>
      <c r="I718" s="876"/>
      <c r="J718" s="878"/>
      <c r="K718" s="882"/>
      <c r="L718" s="882"/>
      <c r="M718" s="884"/>
      <c r="N718" s="56">
        <v>723</v>
      </c>
      <c r="O718" s="79">
        <f>+M717</f>
        <v>59900</v>
      </c>
    </row>
    <row r="719" spans="1:20" ht="15" customHeight="1" thickBot="1">
      <c r="A719" s="881" t="e">
        <f>+A717+1</f>
        <v>#REF!</v>
      </c>
      <c r="B719" s="875">
        <v>42296</v>
      </c>
      <c r="C719" s="881" t="s">
        <v>28</v>
      </c>
      <c r="D719" s="881" t="s">
        <v>355</v>
      </c>
      <c r="E719" s="881" t="s">
        <v>115</v>
      </c>
      <c r="F719" s="883">
        <v>50000</v>
      </c>
      <c r="G719" s="55">
        <v>719</v>
      </c>
      <c r="H719" s="901" t="s">
        <v>102</v>
      </c>
      <c r="I719" s="902"/>
      <c r="J719" s="902"/>
      <c r="K719" s="902"/>
      <c r="L719" s="903"/>
      <c r="M719" s="81">
        <f>SUM(M711:M718)</f>
        <v>2486900</v>
      </c>
    </row>
    <row r="720" spans="1:20" ht="12.75" customHeight="1" thickBot="1">
      <c r="A720" s="882"/>
      <c r="B720" s="876"/>
      <c r="C720" s="882"/>
      <c r="D720" s="882"/>
      <c r="E720" s="882"/>
      <c r="F720" s="884"/>
      <c r="G720" s="56">
        <v>721</v>
      </c>
      <c r="H720" s="885" t="s">
        <v>103</v>
      </c>
      <c r="I720" s="886"/>
      <c r="J720" s="886"/>
      <c r="K720" s="886"/>
      <c r="L720" s="887"/>
      <c r="M720" s="239">
        <f>+M686</f>
        <v>368705618</v>
      </c>
      <c r="N720" s="241" t="s">
        <v>561</v>
      </c>
      <c r="O720" s="242">
        <f>1914+1966</f>
        <v>3880</v>
      </c>
    </row>
    <row r="721" spans="1:15" ht="16.5" thickBot="1">
      <c r="A721" s="901" t="s">
        <v>102</v>
      </c>
      <c r="B721" s="902"/>
      <c r="C721" s="902"/>
      <c r="D721" s="902"/>
      <c r="E721" s="903"/>
      <c r="F721" s="81">
        <f>SUM(F711:F720)</f>
        <v>290000</v>
      </c>
      <c r="H721" s="888" t="s">
        <v>104</v>
      </c>
      <c r="I721" s="889"/>
      <c r="J721" s="889"/>
      <c r="K721" s="889"/>
      <c r="L721" s="890"/>
      <c r="M721" s="183">
        <f>SUM(M719:M720)</f>
        <v>371192518</v>
      </c>
    </row>
    <row r="722" spans="1:15" ht="12.75" customHeight="1" thickBot="1">
      <c r="A722" s="885" t="s">
        <v>103</v>
      </c>
      <c r="B722" s="886"/>
      <c r="C722" s="886"/>
      <c r="D722" s="886"/>
      <c r="E722" s="887"/>
      <c r="F722" s="69" t="e">
        <f>+F686</f>
        <v>#REF!</v>
      </c>
      <c r="H722" s="61"/>
      <c r="I722" s="61"/>
      <c r="J722" s="61"/>
      <c r="K722" s="61"/>
      <c r="L722" s="61"/>
    </row>
    <row r="723" spans="1:15" ht="18" customHeight="1" thickBot="1">
      <c r="A723" s="888" t="s">
        <v>104</v>
      </c>
      <c r="B723" s="889"/>
      <c r="C723" s="889"/>
      <c r="D723" s="889"/>
      <c r="E723" s="890"/>
      <c r="F723" s="183" t="e">
        <f>SUM(F721:F722)</f>
        <v>#REF!</v>
      </c>
      <c r="H723" s="51" t="s">
        <v>2430</v>
      </c>
    </row>
    <row r="724" spans="1:15" ht="9.75" customHeight="1">
      <c r="A724" s="61"/>
      <c r="B724" s="61"/>
      <c r="C724" s="61"/>
      <c r="D724" s="61"/>
      <c r="E724" s="61"/>
      <c r="M724" s="139"/>
    </row>
    <row r="725" spans="1:15">
      <c r="A725" s="51" t="s">
        <v>428</v>
      </c>
      <c r="H725" s="50" t="s">
        <v>105</v>
      </c>
      <c r="K725" s="146"/>
      <c r="M725" s="139"/>
    </row>
    <row r="726" spans="1:15" ht="10.5" customHeight="1" thickBot="1">
      <c r="F726" s="139"/>
    </row>
    <row r="727" spans="1:15" ht="17.25" thickBot="1">
      <c r="A727" s="50" t="s">
        <v>105</v>
      </c>
      <c r="D727" s="146"/>
      <c r="F727" s="139"/>
      <c r="H727" s="891" t="s">
        <v>106</v>
      </c>
      <c r="I727" s="892"/>
      <c r="J727" s="892"/>
      <c r="K727" s="893"/>
      <c r="M727" s="605" t="s">
        <v>288</v>
      </c>
      <c r="N727" s="605"/>
      <c r="O727" s="605"/>
    </row>
    <row r="728" spans="1:15" ht="26.25" customHeight="1" thickBot="1">
      <c r="H728" s="57" t="s">
        <v>100</v>
      </c>
      <c r="I728" s="58" t="s">
        <v>108</v>
      </c>
      <c r="J728" s="59" t="s">
        <v>109</v>
      </c>
      <c r="K728" s="60" t="s">
        <v>110</v>
      </c>
      <c r="M728" s="202"/>
      <c r="N728" s="202"/>
      <c r="O728" s="202"/>
    </row>
    <row r="729" spans="1:15" ht="15" customHeight="1" thickBot="1">
      <c r="A729" s="891" t="s">
        <v>106</v>
      </c>
      <c r="B729" s="892"/>
      <c r="C729" s="892"/>
      <c r="D729" s="893"/>
      <c r="F729" s="50" t="s">
        <v>288</v>
      </c>
      <c r="H729" s="71">
        <v>719</v>
      </c>
      <c r="I729" s="73">
        <f>+O711+O713</f>
        <v>1540000</v>
      </c>
      <c r="J729" s="74">
        <f>+K694</f>
        <v>28650000</v>
      </c>
      <c r="K729" s="195">
        <f>+I729+J729</f>
        <v>30190000</v>
      </c>
      <c r="M729" s="202"/>
      <c r="N729" s="202"/>
      <c r="O729" s="202"/>
    </row>
    <row r="730" spans="1:15" ht="14.25" customHeight="1" thickBot="1">
      <c r="A730" s="57" t="s">
        <v>100</v>
      </c>
      <c r="B730" s="58" t="s">
        <v>108</v>
      </c>
      <c r="C730" s="59" t="s">
        <v>109</v>
      </c>
      <c r="D730" s="60" t="s">
        <v>110</v>
      </c>
      <c r="H730" s="72">
        <v>721</v>
      </c>
      <c r="I730" s="257">
        <f>+O712+O714</f>
        <v>539000</v>
      </c>
      <c r="J730" s="74">
        <f>+K695</f>
        <v>9973500</v>
      </c>
      <c r="K730" s="195">
        <f>+I730+J730</f>
        <v>10512500</v>
      </c>
      <c r="M730" s="202"/>
      <c r="N730" s="202"/>
      <c r="O730" s="202"/>
    </row>
    <row r="731" spans="1:15" ht="13.5" customHeight="1">
      <c r="A731" s="71">
        <v>719</v>
      </c>
      <c r="B731" s="73" t="e">
        <f>+#REF!+#REF!+#REF!+#REF!+#REF!+#REF!</f>
        <v>#REF!</v>
      </c>
      <c r="C731" s="74" t="e">
        <f>+D694</f>
        <v>#REF!</v>
      </c>
      <c r="D731" s="195" t="e">
        <f>+B731+C731</f>
        <v>#REF!</v>
      </c>
      <c r="H731" s="72">
        <v>722</v>
      </c>
      <c r="I731" s="257"/>
      <c r="J731" s="74">
        <f>+K696</f>
        <v>12949788</v>
      </c>
      <c r="K731" s="195">
        <f>+I731+J731</f>
        <v>12949788</v>
      </c>
      <c r="M731" s="202"/>
      <c r="N731" s="202"/>
      <c r="O731" s="202"/>
    </row>
    <row r="732" spans="1:15" ht="14.25" customHeight="1" thickBot="1">
      <c r="A732" s="72">
        <v>721</v>
      </c>
      <c r="B732" s="80" t="e">
        <f>+#REF!</f>
        <v>#REF!</v>
      </c>
      <c r="C732" s="74" t="e">
        <f>+D695</f>
        <v>#REF!</v>
      </c>
      <c r="D732" s="195" t="e">
        <f>+B732+C732</f>
        <v>#REF!</v>
      </c>
      <c r="H732" s="72">
        <v>723</v>
      </c>
      <c r="I732" s="257">
        <f>+O716+O718</f>
        <v>407900</v>
      </c>
      <c r="J732" s="74">
        <f>+K697</f>
        <v>317132330</v>
      </c>
      <c r="K732" s="195">
        <f>+I732+J732</f>
        <v>317540230</v>
      </c>
      <c r="M732" s="918" t="s">
        <v>2347</v>
      </c>
      <c r="N732" s="608"/>
      <c r="O732" s="608"/>
    </row>
    <row r="733" spans="1:15" ht="15" hidden="1" customHeight="1" thickBot="1">
      <c r="A733" s="72">
        <v>722</v>
      </c>
      <c r="B733" s="80"/>
      <c r="C733" s="74" t="e">
        <f>+D696</f>
        <v>#REF!</v>
      </c>
      <c r="D733" s="195" t="e">
        <f>+B733+C733</f>
        <v>#REF!</v>
      </c>
      <c r="H733" s="164" t="s">
        <v>181</v>
      </c>
      <c r="I733" s="165"/>
      <c r="J733" s="74">
        <f>+K698</f>
        <v>0</v>
      </c>
      <c r="K733" s="196">
        <f>+I733+J733</f>
        <v>0</v>
      </c>
      <c r="M733" s="52"/>
    </row>
    <row r="734" spans="1:15" ht="16.5" thickBot="1">
      <c r="A734" s="72">
        <v>723</v>
      </c>
      <c r="B734" s="80" t="e">
        <f>+#REF!</f>
        <v>#REF!</v>
      </c>
      <c r="C734" s="74" t="e">
        <f>+D697</f>
        <v>#REF!</v>
      </c>
      <c r="D734" s="195" t="e">
        <f>+B734+C734</f>
        <v>#REF!</v>
      </c>
      <c r="F734" s="193" t="s">
        <v>23</v>
      </c>
      <c r="G734" s="175"/>
      <c r="H734" s="169"/>
      <c r="I734" s="197">
        <f>SUM(I729:I733)</f>
        <v>2486900</v>
      </c>
      <c r="J734" s="197">
        <f>SUM(J729:J733)</f>
        <v>368705618</v>
      </c>
      <c r="K734" s="198">
        <f>SUM(K729:K733)</f>
        <v>371192518</v>
      </c>
    </row>
    <row r="735" spans="1:15" ht="17.25" thickBot="1">
      <c r="A735" s="164" t="s">
        <v>181</v>
      </c>
      <c r="B735" s="165"/>
      <c r="C735" s="74" t="e">
        <f>+D698</f>
        <v>#REF!</v>
      </c>
      <c r="D735" s="196" t="e">
        <f>+B735+C735</f>
        <v>#REF!</v>
      </c>
      <c r="F735" s="52"/>
      <c r="H735" s="49" t="s">
        <v>88</v>
      </c>
      <c r="I735" s="50"/>
    </row>
    <row r="736" spans="1:15" ht="15" customHeight="1" thickBot="1">
      <c r="A736" s="169"/>
      <c r="B736" s="170" t="e">
        <f>SUM(B731:B735)</f>
        <v>#REF!</v>
      </c>
      <c r="C736" s="171" t="e">
        <f>SUM(C731:C735)</f>
        <v>#REF!</v>
      </c>
      <c r="D736" s="172" t="e">
        <f>SUM(D731:D735)</f>
        <v>#REF!</v>
      </c>
      <c r="H736" s="51" t="s">
        <v>89</v>
      </c>
      <c r="K736" s="139"/>
    </row>
    <row r="737" spans="1:15" ht="13.5" customHeight="1">
      <c r="A737" s="49" t="s">
        <v>88</v>
      </c>
      <c r="B737" s="50"/>
      <c r="H737" s="51" t="s">
        <v>90</v>
      </c>
    </row>
    <row r="738" spans="1:15" ht="13.5" customHeight="1">
      <c r="A738" s="51" t="s">
        <v>89</v>
      </c>
      <c r="H738" s="51" t="s">
        <v>91</v>
      </c>
    </row>
    <row r="739" spans="1:15" ht="3" customHeight="1">
      <c r="A739" s="51" t="s">
        <v>90</v>
      </c>
      <c r="H739" s="50"/>
      <c r="I739" s="50"/>
    </row>
    <row r="740" spans="1:15" ht="16.5">
      <c r="A740" s="51" t="s">
        <v>91</v>
      </c>
      <c r="H740" s="260" t="s">
        <v>761</v>
      </c>
      <c r="I740" s="262"/>
      <c r="N740" s="52"/>
    </row>
    <row r="741" spans="1:15" ht="15.75" customHeight="1">
      <c r="A741" s="50"/>
      <c r="B741" s="50"/>
      <c r="H741" s="261" t="s">
        <v>2012</v>
      </c>
      <c r="I741" s="262"/>
      <c r="N741" s="53"/>
    </row>
    <row r="742" spans="1:15" ht="14.25" customHeight="1">
      <c r="A742" s="52" t="s">
        <v>431</v>
      </c>
      <c r="G742" s="52"/>
      <c r="H742" s="894" t="s">
        <v>170</v>
      </c>
      <c r="I742" s="894"/>
      <c r="J742" s="894"/>
      <c r="K742" s="894"/>
      <c r="L742" s="894"/>
      <c r="M742" s="894"/>
      <c r="N742" s="894"/>
      <c r="O742" s="894"/>
    </row>
    <row r="743" spans="1:15" ht="9.75" customHeight="1" thickBot="1">
      <c r="A743" s="53" t="s">
        <v>92</v>
      </c>
      <c r="G743" s="53"/>
    </row>
    <row r="744" spans="1:15" ht="16.5">
      <c r="A744" s="894" t="s">
        <v>93</v>
      </c>
      <c r="B744" s="894"/>
      <c r="C744" s="894"/>
      <c r="D744" s="894"/>
      <c r="E744" s="894"/>
      <c r="F744" s="894"/>
      <c r="G744" s="894"/>
      <c r="H744" s="895" t="s">
        <v>94</v>
      </c>
      <c r="I744" s="897" t="s">
        <v>95</v>
      </c>
      <c r="J744" s="897" t="s">
        <v>96</v>
      </c>
      <c r="K744" s="897" t="s">
        <v>3</v>
      </c>
      <c r="L744" s="897" t="s">
        <v>97</v>
      </c>
      <c r="M744" s="897" t="s">
        <v>98</v>
      </c>
      <c r="N744" s="897" t="s">
        <v>99</v>
      </c>
      <c r="O744" s="899"/>
    </row>
    <row r="745" spans="1:15" ht="13.5" customHeight="1" thickBot="1">
      <c r="H745" s="896"/>
      <c r="I745" s="898"/>
      <c r="J745" s="898"/>
      <c r="K745" s="898"/>
      <c r="L745" s="898"/>
      <c r="M745" s="898"/>
      <c r="N745" s="240" t="s">
        <v>100</v>
      </c>
      <c r="O745" s="182" t="s">
        <v>101</v>
      </c>
    </row>
    <row r="746" spans="1:15" ht="13.5" customHeight="1">
      <c r="A746" s="895" t="s">
        <v>94</v>
      </c>
      <c r="B746" s="897" t="s">
        <v>95</v>
      </c>
      <c r="C746" s="897" t="s">
        <v>96</v>
      </c>
      <c r="D746" s="897" t="s">
        <v>3</v>
      </c>
      <c r="E746" s="897" t="s">
        <v>97</v>
      </c>
      <c r="F746" s="897" t="s">
        <v>98</v>
      </c>
      <c r="G746" s="500" t="s">
        <v>99</v>
      </c>
      <c r="H746" s="873" t="s">
        <v>717</v>
      </c>
      <c r="I746" s="875">
        <v>44549</v>
      </c>
      <c r="J746" s="877" t="s">
        <v>815</v>
      </c>
      <c r="K746" s="881" t="s">
        <v>2127</v>
      </c>
      <c r="L746" s="881" t="s">
        <v>775</v>
      </c>
      <c r="M746" s="883">
        <v>1053000</v>
      </c>
      <c r="N746" s="55">
        <v>719</v>
      </c>
      <c r="O746" s="78">
        <v>780000</v>
      </c>
    </row>
    <row r="747" spans="1:15" ht="13.5" customHeight="1" thickBot="1">
      <c r="A747" s="896"/>
      <c r="B747" s="898"/>
      <c r="C747" s="898"/>
      <c r="D747" s="898"/>
      <c r="E747" s="898"/>
      <c r="F747" s="898"/>
      <c r="G747" s="240" t="s">
        <v>100</v>
      </c>
      <c r="H747" s="882"/>
      <c r="I747" s="876"/>
      <c r="J747" s="878"/>
      <c r="K747" s="882"/>
      <c r="L747" s="882"/>
      <c r="M747" s="884"/>
      <c r="N747" s="56">
        <v>721</v>
      </c>
      <c r="O747" s="79">
        <f>+M746-O746</f>
        <v>273000</v>
      </c>
    </row>
    <row r="748" spans="1:15" ht="13.5" customHeight="1">
      <c r="A748" s="478"/>
      <c r="B748" s="479"/>
      <c r="C748" s="479"/>
      <c r="D748" s="479"/>
      <c r="E748" s="479"/>
      <c r="F748" s="479"/>
      <c r="G748" s="479"/>
      <c r="H748" s="873" t="s">
        <v>718</v>
      </c>
      <c r="I748" s="875">
        <v>44549</v>
      </c>
      <c r="J748" s="877" t="s">
        <v>815</v>
      </c>
      <c r="K748" s="881" t="s">
        <v>2128</v>
      </c>
      <c r="L748" s="881" t="s">
        <v>775</v>
      </c>
      <c r="M748" s="883">
        <v>135000</v>
      </c>
      <c r="N748" s="55">
        <v>719</v>
      </c>
      <c r="O748" s="78">
        <v>100000</v>
      </c>
    </row>
    <row r="749" spans="1:15" ht="13.5" customHeight="1" thickBot="1">
      <c r="A749" s="478"/>
      <c r="B749" s="479"/>
      <c r="C749" s="479"/>
      <c r="D749" s="479"/>
      <c r="E749" s="479"/>
      <c r="F749" s="479"/>
      <c r="G749" s="479"/>
      <c r="H749" s="882"/>
      <c r="I749" s="876"/>
      <c r="J749" s="878"/>
      <c r="K749" s="882"/>
      <c r="L749" s="882"/>
      <c r="M749" s="884"/>
      <c r="N749" s="56">
        <v>723</v>
      </c>
      <c r="O749" s="79">
        <f>+M748-O748</f>
        <v>35000</v>
      </c>
    </row>
    <row r="750" spans="1:15" ht="12.75" customHeight="1">
      <c r="A750" s="881" t="e">
        <f>+A719+1</f>
        <v>#REF!</v>
      </c>
      <c r="B750" s="875">
        <v>42306</v>
      </c>
      <c r="C750" s="877" t="s">
        <v>267</v>
      </c>
      <c r="D750" s="881" t="s">
        <v>436</v>
      </c>
      <c r="E750" s="881" t="s">
        <v>148</v>
      </c>
      <c r="F750" s="883">
        <v>112000</v>
      </c>
      <c r="G750" s="55">
        <v>719</v>
      </c>
      <c r="H750" s="873" t="s">
        <v>719</v>
      </c>
      <c r="I750" s="875">
        <v>44549</v>
      </c>
      <c r="J750" s="877" t="s">
        <v>2129</v>
      </c>
      <c r="K750" s="881" t="s">
        <v>2130</v>
      </c>
      <c r="L750" s="881" t="s">
        <v>165</v>
      </c>
      <c r="M750" s="883">
        <v>600000</v>
      </c>
      <c r="N750" s="55">
        <v>719</v>
      </c>
      <c r="O750" s="78">
        <v>0</v>
      </c>
    </row>
    <row r="751" spans="1:15" ht="13.5" customHeight="1" thickBot="1">
      <c r="A751" s="882"/>
      <c r="B751" s="876"/>
      <c r="C751" s="878"/>
      <c r="D751" s="882"/>
      <c r="E751" s="882"/>
      <c r="F751" s="884"/>
      <c r="G751" s="56">
        <v>721</v>
      </c>
      <c r="H751" s="882"/>
      <c r="I751" s="876"/>
      <c r="J751" s="878"/>
      <c r="K751" s="882"/>
      <c r="L751" s="882"/>
      <c r="M751" s="884"/>
      <c r="N751" s="56">
        <v>723</v>
      </c>
      <c r="O751" s="79">
        <f>+M750-O750</f>
        <v>600000</v>
      </c>
    </row>
    <row r="752" spans="1:15" ht="13.5" customHeight="1">
      <c r="A752" s="881" t="e">
        <f>+A750+1</f>
        <v>#REF!</v>
      </c>
      <c r="B752" s="875">
        <v>42306</v>
      </c>
      <c r="C752" s="881" t="s">
        <v>28</v>
      </c>
      <c r="D752" s="881" t="s">
        <v>437</v>
      </c>
      <c r="E752" s="881" t="s">
        <v>148</v>
      </c>
      <c r="F752" s="883">
        <v>210000</v>
      </c>
      <c r="G752" s="55">
        <v>719</v>
      </c>
      <c r="H752" s="873" t="s">
        <v>720</v>
      </c>
      <c r="I752" s="875">
        <v>44549</v>
      </c>
      <c r="J752" s="877" t="s">
        <v>1315</v>
      </c>
      <c r="K752" s="881" t="s">
        <v>1989</v>
      </c>
      <c r="L752" s="881" t="s">
        <v>148</v>
      </c>
      <c r="M752" s="883">
        <v>3031000</v>
      </c>
      <c r="N752" s="55">
        <v>719</v>
      </c>
      <c r="O752" s="78">
        <v>0</v>
      </c>
    </row>
    <row r="753" spans="1:15" ht="13.5" customHeight="1" thickBot="1">
      <c r="A753" s="882"/>
      <c r="B753" s="876"/>
      <c r="C753" s="882"/>
      <c r="D753" s="882"/>
      <c r="E753" s="882"/>
      <c r="F753" s="884"/>
      <c r="G753" s="56">
        <v>721</v>
      </c>
      <c r="H753" s="882"/>
      <c r="I753" s="876"/>
      <c r="J753" s="878"/>
      <c r="K753" s="882"/>
      <c r="L753" s="882"/>
      <c r="M753" s="884"/>
      <c r="N753" s="56">
        <v>723</v>
      </c>
      <c r="O753" s="79">
        <f>+M752-O752</f>
        <v>3031000</v>
      </c>
    </row>
    <row r="754" spans="1:15" ht="15" customHeight="1">
      <c r="A754" s="881" t="e">
        <f>+#REF!+1</f>
        <v>#REF!</v>
      </c>
      <c r="B754" s="875">
        <v>42306</v>
      </c>
      <c r="C754" s="877" t="s">
        <v>111</v>
      </c>
      <c r="D754" s="881" t="s">
        <v>439</v>
      </c>
      <c r="E754" s="881" t="s">
        <v>148</v>
      </c>
      <c r="F754" s="883">
        <v>56000</v>
      </c>
      <c r="G754" s="55">
        <v>719</v>
      </c>
      <c r="H754" s="873" t="s">
        <v>721</v>
      </c>
      <c r="I754" s="875">
        <v>44549</v>
      </c>
      <c r="J754" s="877" t="s">
        <v>2131</v>
      </c>
      <c r="K754" s="881" t="s">
        <v>2132</v>
      </c>
      <c r="L754" s="881" t="s">
        <v>145</v>
      </c>
      <c r="M754" s="883">
        <v>7560000</v>
      </c>
      <c r="N754" s="55">
        <v>719</v>
      </c>
      <c r="O754" s="78">
        <v>0</v>
      </c>
    </row>
    <row r="755" spans="1:15" ht="13.5" customHeight="1" thickBot="1">
      <c r="A755" s="882"/>
      <c r="B755" s="876"/>
      <c r="C755" s="878"/>
      <c r="D755" s="882"/>
      <c r="E755" s="882"/>
      <c r="F755" s="884"/>
      <c r="G755" s="56">
        <v>721</v>
      </c>
      <c r="H755" s="882"/>
      <c r="I755" s="876"/>
      <c r="J755" s="878"/>
      <c r="K755" s="882"/>
      <c r="L755" s="882"/>
      <c r="M755" s="884"/>
      <c r="N755" s="56">
        <v>721</v>
      </c>
      <c r="O755" s="79">
        <f>+M754-O754</f>
        <v>7560000</v>
      </c>
    </row>
    <row r="756" spans="1:15" ht="15" customHeight="1" thickBot="1">
      <c r="A756" s="881" t="e">
        <f>+A754+1</f>
        <v>#REF!</v>
      </c>
      <c r="B756" s="875">
        <v>42306</v>
      </c>
      <c r="C756" s="877" t="s">
        <v>272</v>
      </c>
      <c r="D756" s="881" t="s">
        <v>437</v>
      </c>
      <c r="E756" s="881" t="s">
        <v>115</v>
      </c>
      <c r="F756" s="931">
        <v>714000</v>
      </c>
      <c r="G756" s="55">
        <v>719</v>
      </c>
      <c r="H756" s="901" t="s">
        <v>102</v>
      </c>
      <c r="I756" s="902"/>
      <c r="J756" s="902"/>
      <c r="K756" s="902"/>
      <c r="L756" s="903"/>
      <c r="M756" s="81">
        <f>SUM(M746:M755)</f>
        <v>12379000</v>
      </c>
    </row>
    <row r="757" spans="1:15" ht="15.75" customHeight="1" thickBot="1">
      <c r="A757" s="882"/>
      <c r="B757" s="876"/>
      <c r="C757" s="878"/>
      <c r="D757" s="882"/>
      <c r="E757" s="882"/>
      <c r="F757" s="932"/>
      <c r="G757" s="56">
        <v>721</v>
      </c>
      <c r="H757" s="885" t="s">
        <v>103</v>
      </c>
      <c r="I757" s="886"/>
      <c r="J757" s="886"/>
      <c r="K757" s="886"/>
      <c r="L757" s="887"/>
      <c r="M757" s="239">
        <f>+M721</f>
        <v>371192518</v>
      </c>
      <c r="N757" s="241" t="s">
        <v>561</v>
      </c>
      <c r="O757" s="242">
        <f>228+1562</f>
        <v>1790</v>
      </c>
    </row>
    <row r="758" spans="1:15" ht="16.5" thickBot="1">
      <c r="A758" s="901" t="s">
        <v>102</v>
      </c>
      <c r="B758" s="902"/>
      <c r="C758" s="902"/>
      <c r="D758" s="902"/>
      <c r="E758" s="903"/>
      <c r="F758" s="81">
        <f>SUM(F750:F757)</f>
        <v>1092000</v>
      </c>
      <c r="H758" s="888" t="s">
        <v>104</v>
      </c>
      <c r="I758" s="889"/>
      <c r="J758" s="889"/>
      <c r="K758" s="889"/>
      <c r="L758" s="890"/>
      <c r="M758" s="183">
        <f>SUM(M756:M757)</f>
        <v>383571518</v>
      </c>
    </row>
    <row r="759" spans="1:15" ht="8.25" customHeight="1" thickBot="1">
      <c r="A759" s="885" t="s">
        <v>103</v>
      </c>
      <c r="B759" s="886"/>
      <c r="C759" s="886"/>
      <c r="D759" s="886"/>
      <c r="E759" s="887"/>
      <c r="F759" s="69" t="e">
        <f>+F723</f>
        <v>#REF!</v>
      </c>
      <c r="H759" s="61"/>
      <c r="I759" s="61"/>
      <c r="J759" s="61"/>
      <c r="K759" s="61"/>
      <c r="L759" s="61"/>
    </row>
    <row r="760" spans="1:15" ht="16.5" thickBot="1">
      <c r="A760" s="888" t="s">
        <v>104</v>
      </c>
      <c r="B760" s="889"/>
      <c r="C760" s="889"/>
      <c r="D760" s="889"/>
      <c r="E760" s="890"/>
      <c r="F760" s="183" t="e">
        <f>SUM(F758:F759)</f>
        <v>#REF!</v>
      </c>
      <c r="H760" s="51" t="s">
        <v>2133</v>
      </c>
    </row>
    <row r="761" spans="1:15" ht="6.75" customHeight="1">
      <c r="A761" s="61"/>
      <c r="B761" s="61"/>
      <c r="C761" s="61"/>
      <c r="D761" s="61"/>
      <c r="E761" s="61"/>
      <c r="M761" s="139"/>
    </row>
    <row r="762" spans="1:15">
      <c r="A762" s="51" t="s">
        <v>440</v>
      </c>
      <c r="H762" s="50" t="s">
        <v>105</v>
      </c>
      <c r="K762" s="146"/>
      <c r="M762" s="139"/>
    </row>
    <row r="763" spans="1:15" ht="6.75" customHeight="1" thickBot="1">
      <c r="F763" s="139"/>
    </row>
    <row r="764" spans="1:15" ht="17.25" thickBot="1">
      <c r="A764" s="50" t="s">
        <v>105</v>
      </c>
      <c r="D764" s="146"/>
      <c r="F764" s="139"/>
      <c r="H764" s="891" t="s">
        <v>106</v>
      </c>
      <c r="I764" s="892"/>
      <c r="J764" s="892"/>
      <c r="K764" s="893"/>
      <c r="M764" s="605" t="s">
        <v>288</v>
      </c>
      <c r="N764" s="605"/>
      <c r="O764" s="605"/>
    </row>
    <row r="765" spans="1:15" ht="29.25" customHeight="1" thickBot="1">
      <c r="H765" s="57" t="s">
        <v>100</v>
      </c>
      <c r="I765" s="58" t="s">
        <v>108</v>
      </c>
      <c r="J765" s="263" t="s">
        <v>109</v>
      </c>
      <c r="K765" s="60" t="s">
        <v>110</v>
      </c>
      <c r="M765" s="202"/>
      <c r="N765" s="202"/>
      <c r="O765" s="202"/>
    </row>
    <row r="766" spans="1:15" ht="13.5" customHeight="1" thickBot="1">
      <c r="A766" s="891" t="s">
        <v>106</v>
      </c>
      <c r="B766" s="892"/>
      <c r="C766" s="892"/>
      <c r="D766" s="893"/>
      <c r="F766" s="50" t="s">
        <v>288</v>
      </c>
      <c r="H766" s="71">
        <v>719</v>
      </c>
      <c r="I766" s="73">
        <f>+O746+O748</f>
        <v>880000</v>
      </c>
      <c r="J766" s="74">
        <f>+K729</f>
        <v>30190000</v>
      </c>
      <c r="K766" s="195">
        <f>+I766+J766</f>
        <v>31070000</v>
      </c>
      <c r="M766" s="202"/>
      <c r="N766" s="202"/>
      <c r="O766" s="202"/>
    </row>
    <row r="767" spans="1:15" ht="13.5" customHeight="1" thickBot="1">
      <c r="A767" s="57" t="s">
        <v>100</v>
      </c>
      <c r="B767" s="58" t="s">
        <v>108</v>
      </c>
      <c r="C767" s="59" t="s">
        <v>109</v>
      </c>
      <c r="D767" s="60" t="s">
        <v>110</v>
      </c>
      <c r="H767" s="72">
        <v>721</v>
      </c>
      <c r="I767" s="257">
        <f>+O747+O749+O755</f>
        <v>7868000</v>
      </c>
      <c r="J767" s="74">
        <f>+K730</f>
        <v>10512500</v>
      </c>
      <c r="K767" s="195">
        <f>+I767+J767</f>
        <v>18380500</v>
      </c>
      <c r="M767" s="202"/>
      <c r="N767" s="202"/>
      <c r="O767" s="202"/>
    </row>
    <row r="768" spans="1:15" ht="12" customHeight="1">
      <c r="A768" s="71">
        <v>719</v>
      </c>
      <c r="B768" s="73" t="e">
        <f>+#REF!+#REF!+#REF!+#REF!+#REF!</f>
        <v>#REF!</v>
      </c>
      <c r="C768" s="74" t="e">
        <f>+D731</f>
        <v>#REF!</v>
      </c>
      <c r="D768" s="195" t="e">
        <f>+B768+C768</f>
        <v>#REF!</v>
      </c>
      <c r="H768" s="72">
        <v>722</v>
      </c>
      <c r="I768" s="257"/>
      <c r="J768" s="74">
        <f>+K731</f>
        <v>12949788</v>
      </c>
      <c r="K768" s="195">
        <f>+I768+J768</f>
        <v>12949788</v>
      </c>
      <c r="M768" s="202"/>
      <c r="N768" s="202"/>
      <c r="O768" s="202"/>
    </row>
    <row r="769" spans="1:15" ht="12.75" customHeight="1" thickBot="1">
      <c r="A769" s="72">
        <v>721</v>
      </c>
      <c r="B769" s="80" t="e">
        <f>+#REF!+#REF!+#REF!+#REF!+#REF!</f>
        <v>#REF!</v>
      </c>
      <c r="C769" s="74" t="e">
        <f>+D732</f>
        <v>#REF!</v>
      </c>
      <c r="D769" s="195" t="e">
        <f>+B769+C769</f>
        <v>#REF!</v>
      </c>
      <c r="H769" s="72">
        <v>723</v>
      </c>
      <c r="I769" s="257">
        <f>+O753+O751</f>
        <v>3631000</v>
      </c>
      <c r="J769" s="74">
        <f>+K732</f>
        <v>317540230</v>
      </c>
      <c r="K769" s="195">
        <f>+I769+J769</f>
        <v>321171230</v>
      </c>
      <c r="M769" s="918" t="s">
        <v>1696</v>
      </c>
      <c r="N769" s="608"/>
      <c r="O769" s="608"/>
    </row>
    <row r="770" spans="1:15" ht="12.75" hidden="1" customHeight="1" thickBot="1">
      <c r="A770" s="72">
        <v>722</v>
      </c>
      <c r="B770" s="80"/>
      <c r="C770" s="74" t="e">
        <f>+D733</f>
        <v>#REF!</v>
      </c>
      <c r="D770" s="195" t="e">
        <f>+B770+C770</f>
        <v>#REF!</v>
      </c>
      <c r="H770" s="164" t="s">
        <v>181</v>
      </c>
      <c r="I770" s="165"/>
      <c r="J770" s="74">
        <f>+K733</f>
        <v>0</v>
      </c>
      <c r="K770" s="196">
        <f>+I770+J770</f>
        <v>0</v>
      </c>
      <c r="M770" s="52"/>
    </row>
    <row r="771" spans="1:15" ht="16.5" thickBot="1">
      <c r="A771" s="72">
        <v>723</v>
      </c>
      <c r="B771" s="80"/>
      <c r="C771" s="74" t="e">
        <f>+D734</f>
        <v>#REF!</v>
      </c>
      <c r="D771" s="195" t="e">
        <f>+B771+C771</f>
        <v>#REF!</v>
      </c>
      <c r="F771" s="174" t="s">
        <v>23</v>
      </c>
      <c r="G771" s="175"/>
      <c r="H771" s="169"/>
      <c r="I771" s="197">
        <f>SUM(I766:I770)</f>
        <v>12379000</v>
      </c>
      <c r="J771" s="197">
        <f>SUM(J766:J770)</f>
        <v>371192518</v>
      </c>
      <c r="K771" s="198">
        <f>SUM(K766:K770)</f>
        <v>383571518</v>
      </c>
    </row>
    <row r="772" spans="1:15" ht="17.25" thickBot="1">
      <c r="A772" s="164" t="s">
        <v>181</v>
      </c>
      <c r="B772" s="165"/>
      <c r="C772" s="74" t="e">
        <f>+D735</f>
        <v>#REF!</v>
      </c>
      <c r="D772" s="196" t="e">
        <f>+B772+C772</f>
        <v>#REF!</v>
      </c>
      <c r="F772" s="52"/>
      <c r="H772" s="49" t="s">
        <v>88</v>
      </c>
      <c r="I772" s="50"/>
    </row>
    <row r="773" spans="1:15" ht="16.5" thickBot="1">
      <c r="A773" s="169"/>
      <c r="B773" s="170" t="e">
        <f>SUM(B768:B772)</f>
        <v>#REF!</v>
      </c>
      <c r="C773" s="171" t="e">
        <f>SUM(C768:C772)</f>
        <v>#REF!</v>
      </c>
      <c r="D773" s="172" t="e">
        <f>SUM(D768:D772)</f>
        <v>#REF!</v>
      </c>
      <c r="H773" s="51" t="s">
        <v>89</v>
      </c>
    </row>
    <row r="774" spans="1:15" ht="16.5">
      <c r="A774" s="49" t="s">
        <v>88</v>
      </c>
      <c r="B774" s="50"/>
      <c r="H774" s="51" t="s">
        <v>90</v>
      </c>
    </row>
    <row r="775" spans="1:15">
      <c r="A775" s="51" t="s">
        <v>89</v>
      </c>
      <c r="H775" s="51" t="s">
        <v>91</v>
      </c>
    </row>
    <row r="776" spans="1:15" ht="3" customHeight="1">
      <c r="A776" s="51" t="s">
        <v>90</v>
      </c>
      <c r="H776" s="50"/>
      <c r="I776" s="50"/>
    </row>
    <row r="777" spans="1:15" ht="16.5">
      <c r="A777" s="51" t="s">
        <v>91</v>
      </c>
      <c r="H777" s="260" t="s">
        <v>762</v>
      </c>
      <c r="I777" s="262"/>
      <c r="N777" s="52"/>
    </row>
    <row r="778" spans="1:15" ht="15" customHeight="1">
      <c r="A778" s="50"/>
      <c r="B778" s="50"/>
      <c r="H778" s="261" t="s">
        <v>2012</v>
      </c>
      <c r="I778" s="262"/>
      <c r="N778" s="53"/>
    </row>
    <row r="779" spans="1:15" ht="16.5">
      <c r="A779" s="52" t="s">
        <v>432</v>
      </c>
      <c r="G779" s="52"/>
      <c r="H779" s="894" t="s">
        <v>2138</v>
      </c>
      <c r="I779" s="894"/>
      <c r="J779" s="894"/>
      <c r="K779" s="894"/>
      <c r="L779" s="894"/>
      <c r="M779" s="894"/>
      <c r="N779" s="894"/>
      <c r="O779" s="894"/>
    </row>
    <row r="780" spans="1:15" ht="10.5" customHeight="1" thickBot="1">
      <c r="A780" s="53" t="s">
        <v>92</v>
      </c>
      <c r="G780" s="53"/>
    </row>
    <row r="781" spans="1:15" ht="16.5">
      <c r="A781" s="894" t="s">
        <v>93</v>
      </c>
      <c r="B781" s="894"/>
      <c r="C781" s="894"/>
      <c r="D781" s="894"/>
      <c r="E781" s="894"/>
      <c r="F781" s="894"/>
      <c r="G781" s="894"/>
      <c r="H781" s="895" t="s">
        <v>94</v>
      </c>
      <c r="I781" s="897" t="s">
        <v>95</v>
      </c>
      <c r="J781" s="897" t="s">
        <v>96</v>
      </c>
      <c r="K781" s="897" t="s">
        <v>3</v>
      </c>
      <c r="L781" s="897" t="s">
        <v>97</v>
      </c>
      <c r="M781" s="897" t="s">
        <v>98</v>
      </c>
      <c r="N781" s="897" t="s">
        <v>99</v>
      </c>
      <c r="O781" s="899"/>
    </row>
    <row r="782" spans="1:15" ht="13.5" customHeight="1" thickBot="1">
      <c r="H782" s="896"/>
      <c r="I782" s="898"/>
      <c r="J782" s="898"/>
      <c r="K782" s="898"/>
      <c r="L782" s="898"/>
      <c r="M782" s="898"/>
      <c r="N782" s="240" t="s">
        <v>100</v>
      </c>
      <c r="O782" s="182" t="s">
        <v>101</v>
      </c>
    </row>
    <row r="783" spans="1:15" ht="13.5" customHeight="1">
      <c r="A783" s="895" t="s">
        <v>94</v>
      </c>
      <c r="B783" s="897" t="s">
        <v>95</v>
      </c>
      <c r="C783" s="897" t="s">
        <v>96</v>
      </c>
      <c r="D783" s="897" t="s">
        <v>3</v>
      </c>
      <c r="E783" s="897" t="s">
        <v>97</v>
      </c>
      <c r="F783" s="897" t="s">
        <v>98</v>
      </c>
      <c r="G783" s="500" t="s">
        <v>99</v>
      </c>
      <c r="H783" s="873" t="s">
        <v>732</v>
      </c>
      <c r="I783" s="875">
        <v>44523</v>
      </c>
      <c r="J783" s="905" t="s">
        <v>2134</v>
      </c>
      <c r="K783" s="881" t="s">
        <v>2135</v>
      </c>
      <c r="L783" s="881" t="s">
        <v>115</v>
      </c>
      <c r="M783" s="883">
        <v>6000000</v>
      </c>
      <c r="N783" s="55">
        <v>719</v>
      </c>
      <c r="O783" s="78">
        <v>0</v>
      </c>
    </row>
    <row r="784" spans="1:15" ht="27" customHeight="1" thickBot="1">
      <c r="A784" s="896"/>
      <c r="B784" s="898"/>
      <c r="C784" s="898"/>
      <c r="D784" s="898"/>
      <c r="E784" s="898"/>
      <c r="F784" s="898"/>
      <c r="G784" s="240" t="s">
        <v>100</v>
      </c>
      <c r="H784" s="882"/>
      <c r="I784" s="876"/>
      <c r="J784" s="906"/>
      <c r="K784" s="882"/>
      <c r="L784" s="882"/>
      <c r="M784" s="884"/>
      <c r="N784" s="56">
        <v>723</v>
      </c>
      <c r="O784" s="352">
        <f>+M783-O783</f>
        <v>6000000</v>
      </c>
    </row>
    <row r="785" spans="1:15" ht="12.75" customHeight="1">
      <c r="A785" s="881" t="e">
        <f>+A756+1</f>
        <v>#REF!</v>
      </c>
      <c r="B785" s="875">
        <v>42306</v>
      </c>
      <c r="C785" s="877" t="s">
        <v>272</v>
      </c>
      <c r="D785" s="881" t="s">
        <v>433</v>
      </c>
      <c r="E785" s="881" t="s">
        <v>115</v>
      </c>
      <c r="F785" s="883">
        <v>40000</v>
      </c>
      <c r="G785" s="55">
        <v>719</v>
      </c>
      <c r="H785" s="873"/>
      <c r="I785" s="875"/>
      <c r="J785" s="877"/>
      <c r="K785" s="881"/>
      <c r="L785" s="881"/>
      <c r="M785" s="883"/>
      <c r="N785" s="55"/>
      <c r="O785" s="78"/>
    </row>
    <row r="786" spans="1:15" ht="14.25" customHeight="1" thickBot="1">
      <c r="A786" s="882"/>
      <c r="B786" s="876"/>
      <c r="C786" s="878"/>
      <c r="D786" s="882"/>
      <c r="E786" s="882"/>
      <c r="F786" s="884"/>
      <c r="G786" s="56">
        <v>721</v>
      </c>
      <c r="H786" s="882"/>
      <c r="I786" s="876"/>
      <c r="J786" s="878"/>
      <c r="K786" s="882"/>
      <c r="L786" s="882"/>
      <c r="M786" s="884"/>
      <c r="N786" s="56"/>
      <c r="O786" s="79"/>
    </row>
    <row r="787" spans="1:15" ht="14.25" customHeight="1">
      <c r="A787" s="251"/>
      <c r="B787" s="252"/>
      <c r="C787" s="251"/>
      <c r="D787" s="251"/>
      <c r="E787" s="251"/>
      <c r="F787" s="254"/>
      <c r="G787" s="255"/>
      <c r="H787" s="873"/>
      <c r="I787" s="875"/>
      <c r="J787" s="877"/>
      <c r="K787" s="881"/>
      <c r="L787" s="881"/>
      <c r="M787" s="883"/>
      <c r="N787" s="471"/>
      <c r="O787" s="78"/>
    </row>
    <row r="788" spans="1:15" ht="14.25" customHeight="1" thickBot="1">
      <c r="A788" s="251"/>
      <c r="B788" s="252"/>
      <c r="C788" s="251"/>
      <c r="D788" s="251"/>
      <c r="E788" s="251"/>
      <c r="F788" s="254"/>
      <c r="G788" s="255"/>
      <c r="H788" s="882"/>
      <c r="I788" s="876"/>
      <c r="J788" s="878"/>
      <c r="K788" s="882"/>
      <c r="L788" s="882"/>
      <c r="M788" s="884"/>
      <c r="N788" s="461"/>
      <c r="O788" s="79"/>
    </row>
    <row r="789" spans="1:15" ht="12" customHeight="1">
      <c r="A789" s="881"/>
      <c r="B789" s="875"/>
      <c r="C789" s="877"/>
      <c r="D789" s="881"/>
      <c r="E789" s="881"/>
      <c r="F789" s="883"/>
      <c r="G789" s="55">
        <v>719</v>
      </c>
      <c r="H789" s="873"/>
      <c r="I789" s="875"/>
      <c r="J789" s="877"/>
      <c r="K789" s="881"/>
      <c r="L789" s="881"/>
      <c r="M789" s="883"/>
      <c r="N789" s="471"/>
      <c r="O789" s="78"/>
    </row>
    <row r="790" spans="1:15" ht="12.75" customHeight="1" thickBot="1">
      <c r="A790" s="882"/>
      <c r="B790" s="876"/>
      <c r="C790" s="878"/>
      <c r="D790" s="882"/>
      <c r="E790" s="882"/>
      <c r="F790" s="884"/>
      <c r="G790" s="56">
        <v>721</v>
      </c>
      <c r="H790" s="882"/>
      <c r="I790" s="876"/>
      <c r="J790" s="878"/>
      <c r="K790" s="882"/>
      <c r="L790" s="882"/>
      <c r="M790" s="884"/>
      <c r="N790" s="461"/>
      <c r="O790" s="79"/>
    </row>
    <row r="791" spans="1:15" ht="15" customHeight="1" thickBot="1">
      <c r="A791" s="881"/>
      <c r="B791" s="875"/>
      <c r="C791" s="881"/>
      <c r="D791" s="881"/>
      <c r="E791" s="881"/>
      <c r="F791" s="883"/>
      <c r="G791" s="55">
        <v>719</v>
      </c>
      <c r="H791" s="901" t="s">
        <v>102</v>
      </c>
      <c r="I791" s="902"/>
      <c r="J791" s="902"/>
      <c r="K791" s="902"/>
      <c r="L791" s="903"/>
      <c r="M791" s="81">
        <f>SUM(M783:M790)</f>
        <v>6000000</v>
      </c>
    </row>
    <row r="792" spans="1:15" ht="15.75" customHeight="1" thickBot="1">
      <c r="A792" s="882"/>
      <c r="B792" s="876"/>
      <c r="C792" s="882"/>
      <c r="D792" s="882"/>
      <c r="E792" s="882"/>
      <c r="F792" s="884"/>
      <c r="G792" s="56">
        <v>721</v>
      </c>
      <c r="H792" s="885" t="s">
        <v>103</v>
      </c>
      <c r="I792" s="886"/>
      <c r="J792" s="886"/>
      <c r="K792" s="886"/>
      <c r="L792" s="887"/>
      <c r="M792" s="239">
        <f>+M758</f>
        <v>383571518</v>
      </c>
      <c r="N792" s="241" t="s">
        <v>561</v>
      </c>
      <c r="O792" s="242"/>
    </row>
    <row r="793" spans="1:15" ht="16.5" thickBot="1">
      <c r="A793" s="901" t="s">
        <v>102</v>
      </c>
      <c r="B793" s="902"/>
      <c r="C793" s="902"/>
      <c r="D793" s="902"/>
      <c r="E793" s="903"/>
      <c r="F793" s="81">
        <f>SUM(F785:F792)</f>
        <v>40000</v>
      </c>
      <c r="H793" s="888" t="s">
        <v>104</v>
      </c>
      <c r="I793" s="889"/>
      <c r="J793" s="889"/>
      <c r="K793" s="889"/>
      <c r="L793" s="890"/>
      <c r="M793" s="183">
        <f>SUM(M791:M792)</f>
        <v>389571518</v>
      </c>
    </row>
    <row r="794" spans="1:15" ht="8.25" customHeight="1" thickBot="1">
      <c r="A794" s="885" t="s">
        <v>103</v>
      </c>
      <c r="B794" s="886"/>
      <c r="C794" s="886"/>
      <c r="D794" s="886"/>
      <c r="E794" s="887"/>
      <c r="F794" s="69" t="e">
        <f>+F760</f>
        <v>#REF!</v>
      </c>
      <c r="H794" s="61"/>
      <c r="I794" s="61"/>
      <c r="J794" s="61"/>
      <c r="K794" s="61"/>
      <c r="L794" s="61"/>
    </row>
    <row r="795" spans="1:15" ht="16.5" thickBot="1">
      <c r="A795" s="888" t="s">
        <v>104</v>
      </c>
      <c r="B795" s="889"/>
      <c r="C795" s="889"/>
      <c r="D795" s="889"/>
      <c r="E795" s="890"/>
      <c r="F795" s="183" t="e">
        <f>SUM(F793:F794)</f>
        <v>#REF!</v>
      </c>
      <c r="H795" s="51" t="s">
        <v>2136</v>
      </c>
    </row>
    <row r="796" spans="1:15" ht="2.25" customHeight="1">
      <c r="A796" s="61"/>
      <c r="B796" s="61"/>
      <c r="C796" s="61"/>
      <c r="D796" s="61"/>
      <c r="E796" s="61"/>
      <c r="M796" s="139"/>
    </row>
    <row r="797" spans="1:15">
      <c r="A797" s="51" t="s">
        <v>441</v>
      </c>
      <c r="H797" s="50" t="s">
        <v>105</v>
      </c>
      <c r="K797" s="146"/>
      <c r="M797" s="139"/>
    </row>
    <row r="798" spans="1:15" ht="7.5" customHeight="1" thickBot="1">
      <c r="F798" s="139"/>
    </row>
    <row r="799" spans="1:15" ht="17.25" thickBot="1">
      <c r="A799" s="50" t="s">
        <v>105</v>
      </c>
      <c r="D799" s="146"/>
      <c r="F799" s="139"/>
      <c r="H799" s="891" t="s">
        <v>106</v>
      </c>
      <c r="I799" s="892"/>
      <c r="J799" s="892"/>
      <c r="K799" s="893"/>
      <c r="M799" s="605" t="s">
        <v>288</v>
      </c>
      <c r="N799" s="605"/>
      <c r="O799" s="605"/>
    </row>
    <row r="800" spans="1:15" ht="27" customHeight="1" thickBot="1">
      <c r="H800" s="57" t="s">
        <v>100</v>
      </c>
      <c r="I800" s="58" t="s">
        <v>108</v>
      </c>
      <c r="J800" s="264" t="s">
        <v>109</v>
      </c>
      <c r="K800" s="60" t="s">
        <v>110</v>
      </c>
      <c r="M800" s="202"/>
      <c r="N800" s="202"/>
      <c r="O800" s="202"/>
    </row>
    <row r="801" spans="1:15" ht="13.5" customHeight="1" thickBot="1">
      <c r="A801" s="891" t="s">
        <v>106</v>
      </c>
      <c r="B801" s="892"/>
      <c r="C801" s="892"/>
      <c r="D801" s="893"/>
      <c r="F801" s="50" t="s">
        <v>288</v>
      </c>
      <c r="H801" s="71">
        <v>719</v>
      </c>
      <c r="I801" s="73"/>
      <c r="J801" s="74">
        <f>+K766</f>
        <v>31070000</v>
      </c>
      <c r="K801" s="195">
        <f>+I801+J801</f>
        <v>31070000</v>
      </c>
      <c r="M801" s="202"/>
      <c r="N801" s="202"/>
      <c r="O801" s="202"/>
    </row>
    <row r="802" spans="1:15" ht="15" customHeight="1" thickBot="1">
      <c r="A802" s="57" t="s">
        <v>100</v>
      </c>
      <c r="B802" s="58" t="s">
        <v>108</v>
      </c>
      <c r="C802" s="59" t="s">
        <v>109</v>
      </c>
      <c r="D802" s="60" t="s">
        <v>110</v>
      </c>
      <c r="H802" s="72">
        <v>721</v>
      </c>
      <c r="I802" s="257"/>
      <c r="J802" s="74">
        <f>+K767</f>
        <v>18380500</v>
      </c>
      <c r="K802" s="195">
        <f>+I802+J802</f>
        <v>18380500</v>
      </c>
      <c r="M802" s="202"/>
      <c r="N802" s="202"/>
      <c r="O802" s="202"/>
    </row>
    <row r="803" spans="1:15" ht="12" customHeight="1">
      <c r="A803" s="71">
        <v>719</v>
      </c>
      <c r="B803" s="73" t="e">
        <f>+#REF!+#REF!+#REF!+#REF!+#REF!</f>
        <v>#REF!</v>
      </c>
      <c r="C803" s="74" t="e">
        <f>+D768</f>
        <v>#REF!</v>
      </c>
      <c r="D803" s="195" t="e">
        <f>+B803+C803</f>
        <v>#REF!</v>
      </c>
      <c r="H803" s="72">
        <v>722</v>
      </c>
      <c r="I803" s="257"/>
      <c r="J803" s="74">
        <f>+K768</f>
        <v>12949788</v>
      </c>
      <c r="K803" s="195">
        <f>+I803+J803</f>
        <v>12949788</v>
      </c>
      <c r="M803" s="202"/>
      <c r="N803" s="202"/>
      <c r="O803" s="202"/>
    </row>
    <row r="804" spans="1:15" ht="13.5" customHeight="1" thickBot="1">
      <c r="A804" s="72">
        <v>721</v>
      </c>
      <c r="B804" s="80" t="e">
        <f>+#REF!</f>
        <v>#REF!</v>
      </c>
      <c r="C804" s="74" t="e">
        <f>+D769</f>
        <v>#REF!</v>
      </c>
      <c r="D804" s="195" t="e">
        <f>+B804+C804</f>
        <v>#REF!</v>
      </c>
      <c r="H804" s="72">
        <v>723</v>
      </c>
      <c r="I804" s="257">
        <f>+M791</f>
        <v>6000000</v>
      </c>
      <c r="J804" s="74">
        <f>+K769</f>
        <v>321171230</v>
      </c>
      <c r="K804" s="195">
        <f>+I804+J804</f>
        <v>327171230</v>
      </c>
      <c r="M804" s="918" t="s">
        <v>1696</v>
      </c>
      <c r="N804" s="608"/>
      <c r="O804" s="608"/>
    </row>
    <row r="805" spans="1:15" ht="13.5" hidden="1" customHeight="1" thickBot="1">
      <c r="A805" s="72">
        <v>722</v>
      </c>
      <c r="B805" s="80"/>
      <c r="C805" s="74" t="e">
        <f>+D770</f>
        <v>#REF!</v>
      </c>
      <c r="D805" s="195" t="e">
        <f>+B805+C805</f>
        <v>#REF!</v>
      </c>
      <c r="H805" s="164" t="s">
        <v>181</v>
      </c>
      <c r="I805" s="165"/>
      <c r="J805" s="74">
        <f>+K770</f>
        <v>0</v>
      </c>
      <c r="K805" s="196">
        <f>+I805+J805</f>
        <v>0</v>
      </c>
      <c r="M805" s="52"/>
    </row>
    <row r="806" spans="1:15" ht="16.5" thickBot="1">
      <c r="A806" s="72">
        <v>723</v>
      </c>
      <c r="B806" s="80" t="e">
        <f>+#REF!</f>
        <v>#REF!</v>
      </c>
      <c r="C806" s="74" t="e">
        <f>+D771</f>
        <v>#REF!</v>
      </c>
      <c r="D806" s="195" t="e">
        <f>+B806+C806</f>
        <v>#REF!</v>
      </c>
      <c r="F806" s="174" t="s">
        <v>23</v>
      </c>
      <c r="G806" s="175"/>
      <c r="H806" s="169"/>
      <c r="I806" s="197">
        <f>SUM(I801:I805)</f>
        <v>6000000</v>
      </c>
      <c r="J806" s="197">
        <f>SUM(J801:J805)</f>
        <v>383571518</v>
      </c>
      <c r="K806" s="198">
        <f>SUM(K801:K805)</f>
        <v>389571518</v>
      </c>
    </row>
    <row r="807" spans="1:15" ht="17.25" thickBot="1">
      <c r="A807" s="164" t="s">
        <v>181</v>
      </c>
      <c r="B807" s="165"/>
      <c r="C807" s="74" t="e">
        <f>+D772</f>
        <v>#REF!</v>
      </c>
      <c r="D807" s="196" t="e">
        <f>+B807+C807</f>
        <v>#REF!</v>
      </c>
      <c r="F807" s="52"/>
      <c r="H807" s="49" t="s">
        <v>88</v>
      </c>
      <c r="I807" s="50"/>
    </row>
    <row r="808" spans="1:15" ht="15" customHeight="1" thickBot="1">
      <c r="A808" s="169"/>
      <c r="B808" s="170" t="e">
        <f>SUM(B803:B807)</f>
        <v>#REF!</v>
      </c>
      <c r="C808" s="171" t="e">
        <f>SUM(C803:C807)</f>
        <v>#REF!</v>
      </c>
      <c r="D808" s="172" t="e">
        <f>SUM(D803:D807)</f>
        <v>#REF!</v>
      </c>
      <c r="H808" s="51" t="s">
        <v>89</v>
      </c>
    </row>
    <row r="809" spans="1:15" ht="15" customHeight="1">
      <c r="A809" s="49" t="s">
        <v>88</v>
      </c>
      <c r="B809" s="50"/>
      <c r="H809" s="51" t="s">
        <v>90</v>
      </c>
    </row>
    <row r="810" spans="1:15">
      <c r="A810" s="51" t="s">
        <v>89</v>
      </c>
      <c r="H810" s="51" t="s">
        <v>91</v>
      </c>
    </row>
    <row r="811" spans="1:15" ht="4.5" customHeight="1">
      <c r="A811" s="51" t="s">
        <v>90</v>
      </c>
      <c r="H811" s="50"/>
      <c r="I811" s="50"/>
    </row>
    <row r="812" spans="1:15" ht="16.5">
      <c r="A812" s="51" t="s">
        <v>91</v>
      </c>
      <c r="H812" s="260" t="s">
        <v>763</v>
      </c>
      <c r="I812" s="262"/>
      <c r="N812" s="52"/>
    </row>
    <row r="813" spans="1:15" ht="14.25" customHeight="1">
      <c r="A813" s="50"/>
      <c r="B813" s="50"/>
      <c r="H813" s="261" t="s">
        <v>1866</v>
      </c>
      <c r="I813" s="262"/>
      <c r="N813" s="53"/>
    </row>
    <row r="814" spans="1:15" ht="16.5">
      <c r="A814" s="52" t="s">
        <v>442</v>
      </c>
      <c r="G814" s="52"/>
      <c r="H814" s="894" t="s">
        <v>2000</v>
      </c>
      <c r="I814" s="894"/>
      <c r="J814" s="894"/>
      <c r="K814" s="894"/>
      <c r="L814" s="894"/>
      <c r="M814" s="894"/>
      <c r="N814" s="894"/>
      <c r="O814" s="894"/>
    </row>
    <row r="815" spans="1:15" ht="9" customHeight="1" thickBot="1">
      <c r="A815" s="53" t="s">
        <v>92</v>
      </c>
      <c r="G815" s="53"/>
    </row>
    <row r="816" spans="1:15" ht="16.5">
      <c r="A816" s="894" t="s">
        <v>93</v>
      </c>
      <c r="B816" s="894"/>
      <c r="C816" s="894"/>
      <c r="D816" s="894"/>
      <c r="E816" s="894"/>
      <c r="F816" s="894"/>
      <c r="G816" s="894"/>
      <c r="H816" s="895" t="s">
        <v>94</v>
      </c>
      <c r="I816" s="897" t="s">
        <v>95</v>
      </c>
      <c r="J816" s="897" t="s">
        <v>96</v>
      </c>
      <c r="K816" s="897" t="s">
        <v>3</v>
      </c>
      <c r="L816" s="897" t="s">
        <v>97</v>
      </c>
      <c r="M816" s="897" t="s">
        <v>98</v>
      </c>
      <c r="N816" s="897" t="s">
        <v>99</v>
      </c>
      <c r="O816" s="899"/>
    </row>
    <row r="817" spans="1:15" ht="15.75" thickBot="1">
      <c r="H817" s="896"/>
      <c r="I817" s="898"/>
      <c r="J817" s="898"/>
      <c r="K817" s="898"/>
      <c r="L817" s="898"/>
      <c r="M817" s="898"/>
      <c r="N817" s="240" t="s">
        <v>100</v>
      </c>
      <c r="O817" s="182" t="s">
        <v>101</v>
      </c>
    </row>
    <row r="818" spans="1:15" ht="14.25" customHeight="1">
      <c r="A818" s="881" t="e">
        <f>+#REF!+1</f>
        <v>#REF!</v>
      </c>
      <c r="B818" s="875">
        <v>42317</v>
      </c>
      <c r="C818" s="877" t="s">
        <v>267</v>
      </c>
      <c r="D818" s="881" t="s">
        <v>444</v>
      </c>
      <c r="E818" s="881" t="s">
        <v>148</v>
      </c>
      <c r="F818" s="883">
        <v>252000</v>
      </c>
      <c r="G818" s="55">
        <v>719</v>
      </c>
      <c r="H818" s="873" t="s">
        <v>2001</v>
      </c>
      <c r="I818" s="875">
        <v>44195</v>
      </c>
      <c r="J818" s="877" t="s">
        <v>1571</v>
      </c>
      <c r="K818" s="879" t="s">
        <v>1225</v>
      </c>
      <c r="L818" s="881" t="s">
        <v>148</v>
      </c>
      <c r="M818" s="883">
        <v>-3980000</v>
      </c>
      <c r="N818" s="55">
        <v>719</v>
      </c>
      <c r="O818" s="78"/>
    </row>
    <row r="819" spans="1:15" ht="12.75" customHeight="1" thickBot="1">
      <c r="A819" s="882"/>
      <c r="B819" s="876"/>
      <c r="C819" s="878"/>
      <c r="D819" s="882"/>
      <c r="E819" s="882"/>
      <c r="F819" s="884"/>
      <c r="G819" s="56">
        <v>721</v>
      </c>
      <c r="H819" s="874"/>
      <c r="I819" s="876"/>
      <c r="J819" s="878"/>
      <c r="K819" s="880"/>
      <c r="L819" s="882"/>
      <c r="M819" s="884"/>
      <c r="N819" s="56">
        <v>723</v>
      </c>
      <c r="O819" s="79">
        <f>+M818</f>
        <v>-3980000</v>
      </c>
    </row>
    <row r="820" spans="1:15" ht="12.75" customHeight="1">
      <c r="A820" s="881" t="e">
        <f>+A818+1</f>
        <v>#REF!</v>
      </c>
      <c r="B820" s="875">
        <v>42317</v>
      </c>
      <c r="C820" s="881" t="s">
        <v>28</v>
      </c>
      <c r="D820" s="881" t="s">
        <v>445</v>
      </c>
      <c r="E820" s="881" t="s">
        <v>148</v>
      </c>
      <c r="F820" s="883">
        <v>574000</v>
      </c>
      <c r="G820" s="55">
        <v>719</v>
      </c>
      <c r="H820" s="873" t="s">
        <v>2002</v>
      </c>
      <c r="I820" s="875">
        <v>44195</v>
      </c>
      <c r="J820" s="877" t="s">
        <v>117</v>
      </c>
      <c r="K820" s="881" t="s">
        <v>1887</v>
      </c>
      <c r="L820" s="881" t="s">
        <v>148</v>
      </c>
      <c r="M820" s="883">
        <v>-1512000</v>
      </c>
      <c r="N820" s="55">
        <v>719</v>
      </c>
      <c r="O820" s="78"/>
    </row>
    <row r="821" spans="1:15" ht="12.75" customHeight="1" thickBot="1">
      <c r="A821" s="882"/>
      <c r="B821" s="876"/>
      <c r="C821" s="882"/>
      <c r="D821" s="882"/>
      <c r="E821" s="882"/>
      <c r="F821" s="884"/>
      <c r="G821" s="56">
        <v>721</v>
      </c>
      <c r="H821" s="874"/>
      <c r="I821" s="876"/>
      <c r="J821" s="878"/>
      <c r="K821" s="882"/>
      <c r="L821" s="882"/>
      <c r="M821" s="884"/>
      <c r="N821" s="56">
        <v>723</v>
      </c>
      <c r="O821" s="79">
        <f>+M820</f>
        <v>-1512000</v>
      </c>
    </row>
    <row r="822" spans="1:15" ht="12.75" customHeight="1">
      <c r="A822" s="881" t="e">
        <f>+A820+1</f>
        <v>#REF!</v>
      </c>
      <c r="B822" s="875">
        <v>42317</v>
      </c>
      <c r="C822" s="877" t="s">
        <v>32</v>
      </c>
      <c r="D822" s="881" t="s">
        <v>446</v>
      </c>
      <c r="E822" s="881" t="s">
        <v>148</v>
      </c>
      <c r="F822" s="883">
        <v>28000</v>
      </c>
      <c r="G822" s="55">
        <v>719</v>
      </c>
      <c r="H822" s="873" t="s">
        <v>2003</v>
      </c>
      <c r="I822" s="875">
        <v>44195</v>
      </c>
      <c r="J822" s="877" t="s">
        <v>1889</v>
      </c>
      <c r="K822" s="881" t="s">
        <v>1887</v>
      </c>
      <c r="L822" s="881" t="s">
        <v>148</v>
      </c>
      <c r="M822" s="883">
        <v>-2400000</v>
      </c>
      <c r="N822" s="55">
        <v>719</v>
      </c>
      <c r="O822" s="78"/>
    </row>
    <row r="823" spans="1:15" ht="13.5" customHeight="1" thickBot="1">
      <c r="A823" s="882"/>
      <c r="B823" s="876"/>
      <c r="C823" s="878"/>
      <c r="D823" s="882"/>
      <c r="E823" s="882"/>
      <c r="F823" s="884"/>
      <c r="G823" s="56">
        <v>721</v>
      </c>
      <c r="H823" s="874"/>
      <c r="I823" s="876"/>
      <c r="J823" s="878"/>
      <c r="K823" s="882"/>
      <c r="L823" s="882"/>
      <c r="M823" s="884"/>
      <c r="N823" s="56">
        <v>723</v>
      </c>
      <c r="O823" s="79">
        <f>+M822</f>
        <v>-2400000</v>
      </c>
    </row>
    <row r="824" spans="1:15" ht="13.5" customHeight="1">
      <c r="A824" s="251"/>
      <c r="B824" s="252"/>
      <c r="C824" s="253"/>
      <c r="D824" s="251"/>
      <c r="E824" s="251"/>
      <c r="F824" s="254"/>
      <c r="G824" s="255"/>
      <c r="H824" s="873" t="s">
        <v>2004</v>
      </c>
      <c r="I824" s="875">
        <v>44195</v>
      </c>
      <c r="J824" s="877" t="s">
        <v>117</v>
      </c>
      <c r="K824" s="881" t="s">
        <v>1887</v>
      </c>
      <c r="L824" s="881" t="s">
        <v>115</v>
      </c>
      <c r="M824" s="883">
        <v>-870000</v>
      </c>
      <c r="N824" s="55">
        <v>719</v>
      </c>
      <c r="O824" s="78"/>
    </row>
    <row r="825" spans="1:15" ht="13.5" customHeight="1" thickBot="1">
      <c r="A825" s="251"/>
      <c r="B825" s="252"/>
      <c r="C825" s="253"/>
      <c r="D825" s="251"/>
      <c r="E825" s="251"/>
      <c r="F825" s="254"/>
      <c r="G825" s="255"/>
      <c r="H825" s="874"/>
      <c r="I825" s="876"/>
      <c r="J825" s="878"/>
      <c r="K825" s="882"/>
      <c r="L825" s="882"/>
      <c r="M825" s="884"/>
      <c r="N825" s="56">
        <v>723</v>
      </c>
      <c r="O825" s="79">
        <f>+M824</f>
        <v>-870000</v>
      </c>
    </row>
    <row r="826" spans="1:15" ht="12" customHeight="1">
      <c r="A826" s="881" t="e">
        <f>+A822+1</f>
        <v>#REF!</v>
      </c>
      <c r="B826" s="875">
        <v>42317</v>
      </c>
      <c r="C826" s="877" t="s">
        <v>111</v>
      </c>
      <c r="D826" s="881" t="s">
        <v>447</v>
      </c>
      <c r="E826" s="881" t="s">
        <v>148</v>
      </c>
      <c r="F826" s="883">
        <v>140000</v>
      </c>
      <c r="G826" s="55">
        <v>719</v>
      </c>
      <c r="H826" s="873" t="s">
        <v>2007</v>
      </c>
      <c r="I826" s="875">
        <v>44195</v>
      </c>
      <c r="J826" s="877" t="s">
        <v>2008</v>
      </c>
      <c r="K826" s="881" t="s">
        <v>1887</v>
      </c>
      <c r="L826" s="881" t="s">
        <v>1908</v>
      </c>
      <c r="M826" s="883">
        <v>-90000</v>
      </c>
      <c r="N826" s="55">
        <v>719</v>
      </c>
      <c r="O826" s="78"/>
    </row>
    <row r="827" spans="1:15" ht="12.75" customHeight="1" thickBot="1">
      <c r="A827" s="882"/>
      <c r="B827" s="876"/>
      <c r="C827" s="878"/>
      <c r="D827" s="882"/>
      <c r="E827" s="882"/>
      <c r="F827" s="884"/>
      <c r="G827" s="56">
        <v>721</v>
      </c>
      <c r="H827" s="874"/>
      <c r="I827" s="876"/>
      <c r="J827" s="878"/>
      <c r="K827" s="882"/>
      <c r="L827" s="882"/>
      <c r="M827" s="884"/>
      <c r="N827" s="56">
        <v>723</v>
      </c>
      <c r="O827" s="79">
        <f>+M826</f>
        <v>-90000</v>
      </c>
    </row>
    <row r="828" spans="1:15" ht="15" customHeight="1" thickBot="1">
      <c r="A828" s="881" t="e">
        <f>+A826+1</f>
        <v>#REF!</v>
      </c>
      <c r="B828" s="875">
        <v>42317</v>
      </c>
      <c r="C828" s="877" t="s">
        <v>272</v>
      </c>
      <c r="D828" s="881" t="s">
        <v>444</v>
      </c>
      <c r="E828" s="881" t="s">
        <v>148</v>
      </c>
      <c r="F828" s="883">
        <v>756000</v>
      </c>
      <c r="G828" s="55">
        <v>719</v>
      </c>
      <c r="H828" s="901" t="s">
        <v>102</v>
      </c>
      <c r="I828" s="902"/>
      <c r="J828" s="902"/>
      <c r="K828" s="902"/>
      <c r="L828" s="903"/>
      <c r="M828" s="81">
        <f>SUM(M818:M827)</f>
        <v>-8852000</v>
      </c>
    </row>
    <row r="829" spans="1:15" ht="15.75" customHeight="1" thickBot="1">
      <c r="A829" s="882"/>
      <c r="B829" s="876"/>
      <c r="C829" s="878"/>
      <c r="D829" s="882"/>
      <c r="E829" s="882"/>
      <c r="F829" s="884"/>
      <c r="G829" s="56">
        <v>721</v>
      </c>
      <c r="H829" s="885" t="s">
        <v>103</v>
      </c>
      <c r="I829" s="886"/>
      <c r="J829" s="886"/>
      <c r="K829" s="886"/>
      <c r="L829" s="887"/>
      <c r="M829" s="239">
        <f>+M793</f>
        <v>389571518</v>
      </c>
      <c r="N829" s="241" t="s">
        <v>561</v>
      </c>
      <c r="O829" s="242"/>
    </row>
    <row r="830" spans="1:15" ht="16.5" thickBot="1">
      <c r="A830" s="901" t="s">
        <v>102</v>
      </c>
      <c r="B830" s="902"/>
      <c r="C830" s="902"/>
      <c r="D830" s="902"/>
      <c r="E830" s="903"/>
      <c r="F830" s="81">
        <f>SUM(F818:F829)</f>
        <v>1750000</v>
      </c>
      <c r="H830" s="888" t="s">
        <v>104</v>
      </c>
      <c r="I830" s="889"/>
      <c r="J830" s="889"/>
      <c r="K830" s="889"/>
      <c r="L830" s="890"/>
      <c r="M830" s="183">
        <f>SUM(M828:M829)</f>
        <v>380719518</v>
      </c>
    </row>
    <row r="831" spans="1:15" ht="6.75" customHeight="1" thickBot="1">
      <c r="A831" s="885" t="s">
        <v>103</v>
      </c>
      <c r="B831" s="886"/>
      <c r="C831" s="886"/>
      <c r="D831" s="886"/>
      <c r="E831" s="887"/>
      <c r="F831" s="69" t="e">
        <f>+F795</f>
        <v>#REF!</v>
      </c>
      <c r="H831" s="61"/>
      <c r="I831" s="61"/>
      <c r="J831" s="61"/>
      <c r="K831" s="61"/>
      <c r="L831" s="61"/>
    </row>
    <row r="832" spans="1:15" ht="16.5" thickBot="1">
      <c r="A832" s="888" t="s">
        <v>104</v>
      </c>
      <c r="B832" s="889"/>
      <c r="C832" s="889"/>
      <c r="D832" s="889"/>
      <c r="E832" s="890"/>
      <c r="F832" s="183" t="e">
        <f>SUM(F830:F831)</f>
        <v>#REF!</v>
      </c>
      <c r="H832" s="51" t="s">
        <v>2009</v>
      </c>
    </row>
    <row r="833" spans="1:15" ht="6" customHeight="1">
      <c r="A833" s="61"/>
      <c r="B833" s="61"/>
      <c r="C833" s="61"/>
      <c r="D833" s="61"/>
      <c r="E833" s="61"/>
      <c r="M833" s="139"/>
    </row>
    <row r="834" spans="1:15">
      <c r="A834" s="51" t="s">
        <v>448</v>
      </c>
      <c r="H834" s="50" t="s">
        <v>105</v>
      </c>
      <c r="K834" s="146"/>
      <c r="M834" s="139"/>
    </row>
    <row r="835" spans="1:15" ht="7.5" customHeight="1" thickBot="1">
      <c r="F835" s="139"/>
    </row>
    <row r="836" spans="1:15" ht="15.75" thickBot="1">
      <c r="A836" s="50" t="s">
        <v>105</v>
      </c>
      <c r="D836" s="146"/>
      <c r="F836" s="139"/>
      <c r="H836" s="891" t="s">
        <v>106</v>
      </c>
      <c r="I836" s="892"/>
      <c r="J836" s="892"/>
      <c r="K836" s="893"/>
    </row>
    <row r="837" spans="1:15" ht="28.5" customHeight="1" thickBot="1">
      <c r="H837" s="57" t="s">
        <v>100</v>
      </c>
      <c r="I837" s="58" t="s">
        <v>108</v>
      </c>
      <c r="J837" s="263" t="s">
        <v>109</v>
      </c>
      <c r="K837" s="60" t="s">
        <v>110</v>
      </c>
      <c r="M837" s="202"/>
      <c r="N837" s="202"/>
      <c r="O837" s="202"/>
    </row>
    <row r="838" spans="1:15" ht="15" customHeight="1" thickBot="1">
      <c r="A838" s="891" t="s">
        <v>106</v>
      </c>
      <c r="B838" s="892"/>
      <c r="C838" s="892"/>
      <c r="D838" s="893"/>
      <c r="F838" s="50" t="s">
        <v>288</v>
      </c>
      <c r="H838" s="71">
        <v>719</v>
      </c>
      <c r="I838" s="73"/>
      <c r="J838" s="74">
        <f>+K801</f>
        <v>31070000</v>
      </c>
      <c r="K838" s="195">
        <f>+I838+J838</f>
        <v>31070000</v>
      </c>
      <c r="M838" s="605" t="s">
        <v>288</v>
      </c>
      <c r="N838" s="605"/>
      <c r="O838" s="605"/>
    </row>
    <row r="839" spans="1:15" ht="14.25" customHeight="1" thickBot="1">
      <c r="A839" s="57" t="s">
        <v>100</v>
      </c>
      <c r="B839" s="58" t="s">
        <v>108</v>
      </c>
      <c r="C839" s="59" t="s">
        <v>109</v>
      </c>
      <c r="D839" s="60" t="s">
        <v>110</v>
      </c>
      <c r="H839" s="72">
        <v>721</v>
      </c>
      <c r="I839" s="257"/>
      <c r="J839" s="74">
        <f>+K802</f>
        <v>18380500</v>
      </c>
      <c r="K839" s="195">
        <f>+I839+J839</f>
        <v>18380500</v>
      </c>
      <c r="M839" s="202"/>
      <c r="N839" s="202"/>
      <c r="O839" s="202"/>
    </row>
    <row r="840" spans="1:15" ht="14.25" customHeight="1">
      <c r="A840" s="71">
        <v>719</v>
      </c>
      <c r="B840" s="73" t="e">
        <f>+#REF!+#REF!+#REF!+#REF!+#REF!</f>
        <v>#REF!</v>
      </c>
      <c r="C840" s="74" t="e">
        <f>+D803</f>
        <v>#REF!</v>
      </c>
      <c r="D840" s="195" t="e">
        <f>+B840+C840</f>
        <v>#REF!</v>
      </c>
      <c r="H840" s="72">
        <v>722</v>
      </c>
      <c r="I840" s="257"/>
      <c r="J840" s="74">
        <f>+K803</f>
        <v>12949788</v>
      </c>
      <c r="K840" s="195">
        <f>+I840+J840</f>
        <v>12949788</v>
      </c>
      <c r="M840" s="288"/>
      <c r="N840" s="288"/>
      <c r="O840" s="288"/>
    </row>
    <row r="841" spans="1:15" ht="14.25" customHeight="1" thickBot="1">
      <c r="A841" s="72">
        <v>721</v>
      </c>
      <c r="B841" s="80" t="e">
        <f>+#REF!+#REF!+#REF!+#REF!+#REF!</f>
        <v>#REF!</v>
      </c>
      <c r="C841" s="74" t="e">
        <f>+D804</f>
        <v>#REF!</v>
      </c>
      <c r="D841" s="195" t="e">
        <f>+B841+C841</f>
        <v>#REF!</v>
      </c>
      <c r="H841" s="72">
        <v>723</v>
      </c>
      <c r="I841" s="257">
        <f>+O819+O821+O823+O827+O825</f>
        <v>-8852000</v>
      </c>
      <c r="J841" s="74">
        <f>+K804</f>
        <v>327171230</v>
      </c>
      <c r="K841" s="195">
        <f>+I841+J841</f>
        <v>318319230</v>
      </c>
      <c r="M841" s="288"/>
      <c r="N841" s="288"/>
      <c r="O841" s="288"/>
    </row>
    <row r="842" spans="1:15" ht="15" hidden="1" customHeight="1" thickBot="1">
      <c r="A842" s="72">
        <v>722</v>
      </c>
      <c r="B842" s="80"/>
      <c r="C842" s="74" t="e">
        <f>+D805</f>
        <v>#REF!</v>
      </c>
      <c r="D842" s="195" t="e">
        <f>+B842+C842</f>
        <v>#REF!</v>
      </c>
      <c r="H842" s="164" t="s">
        <v>181</v>
      </c>
      <c r="I842" s="165"/>
      <c r="J842" s="74">
        <f>+K805</f>
        <v>0</v>
      </c>
      <c r="K842" s="196">
        <f>+I842+J842</f>
        <v>0</v>
      </c>
      <c r="M842" s="918"/>
      <c r="N842" s="918"/>
      <c r="O842" s="918"/>
    </row>
    <row r="843" spans="1:15" ht="16.5" thickBot="1">
      <c r="A843" s="72">
        <v>723</v>
      </c>
      <c r="B843" s="80"/>
      <c r="C843" s="74" t="e">
        <f>+D806</f>
        <v>#REF!</v>
      </c>
      <c r="D843" s="195" t="e">
        <f>+B843+C843</f>
        <v>#REF!</v>
      </c>
      <c r="F843" s="174" t="s">
        <v>23</v>
      </c>
      <c r="G843" s="175"/>
      <c r="H843" s="169"/>
      <c r="I843" s="197">
        <f>SUM(I838:I842)</f>
        <v>-8852000</v>
      </c>
      <c r="J843" s="197">
        <f>SUM(J838:J842)</f>
        <v>389571518</v>
      </c>
      <c r="K843" s="198">
        <f>SUM(K838:K842)</f>
        <v>380719518</v>
      </c>
      <c r="M843" s="918" t="s">
        <v>1696</v>
      </c>
      <c r="N843" s="918"/>
      <c r="O843" s="918"/>
    </row>
    <row r="844" spans="1:15" ht="17.25" thickBot="1">
      <c r="A844" s="164" t="s">
        <v>181</v>
      </c>
      <c r="B844" s="165"/>
      <c r="C844" s="74" t="e">
        <f>+D807</f>
        <v>#REF!</v>
      </c>
      <c r="D844" s="196" t="e">
        <f>+B844+C844</f>
        <v>#REF!</v>
      </c>
      <c r="F844" s="52"/>
      <c r="H844" s="49" t="s">
        <v>88</v>
      </c>
      <c r="I844" s="50"/>
    </row>
    <row r="845" spans="1:15" ht="16.5" thickBot="1">
      <c r="A845" s="169"/>
      <c r="B845" s="170" t="e">
        <f>SUM(B840:B844)</f>
        <v>#REF!</v>
      </c>
      <c r="C845" s="171" t="e">
        <f>SUM(C840:C844)</f>
        <v>#REF!</v>
      </c>
      <c r="D845" s="172" t="e">
        <f>SUM(D840:D844)</f>
        <v>#REF!</v>
      </c>
      <c r="H845" s="51" t="s">
        <v>89</v>
      </c>
    </row>
    <row r="846" spans="1:15" ht="16.5">
      <c r="A846" s="49" t="s">
        <v>88</v>
      </c>
      <c r="B846" s="50"/>
      <c r="H846" s="51" t="s">
        <v>90</v>
      </c>
    </row>
    <row r="847" spans="1:15">
      <c r="A847" s="51" t="s">
        <v>89</v>
      </c>
      <c r="H847" s="51" t="s">
        <v>91</v>
      </c>
    </row>
    <row r="848" spans="1:15" ht="8.25" customHeight="1">
      <c r="A848" s="51" t="s">
        <v>90</v>
      </c>
      <c r="H848" s="50"/>
      <c r="I848" s="50"/>
    </row>
    <row r="849" spans="1:15" ht="16.5">
      <c r="A849" s="51" t="s">
        <v>91</v>
      </c>
      <c r="H849" s="260" t="s">
        <v>789</v>
      </c>
      <c r="I849" s="262"/>
      <c r="N849" s="52"/>
    </row>
    <row r="850" spans="1:15" ht="14.25" customHeight="1">
      <c r="A850" s="50"/>
      <c r="B850" s="50"/>
      <c r="H850" s="261" t="s">
        <v>1702</v>
      </c>
      <c r="I850" s="262"/>
      <c r="N850" s="53"/>
    </row>
    <row r="851" spans="1:15" ht="16.5">
      <c r="A851" s="52" t="s">
        <v>443</v>
      </c>
      <c r="G851" s="52"/>
      <c r="H851" s="894" t="s">
        <v>1823</v>
      </c>
      <c r="I851" s="894"/>
      <c r="J851" s="894"/>
      <c r="K851" s="894"/>
      <c r="L851" s="894"/>
      <c r="M851" s="894"/>
      <c r="N851" s="894"/>
      <c r="O851" s="894"/>
    </row>
    <row r="852" spans="1:15" ht="9.75" customHeight="1" thickBot="1">
      <c r="A852" s="53" t="s">
        <v>92</v>
      </c>
      <c r="G852" s="53"/>
    </row>
    <row r="853" spans="1:15" ht="16.5">
      <c r="A853" s="894" t="s">
        <v>93</v>
      </c>
      <c r="B853" s="894"/>
      <c r="C853" s="894"/>
      <c r="D853" s="894"/>
      <c r="E853" s="894"/>
      <c r="F853" s="894"/>
      <c r="G853" s="894"/>
      <c r="H853" s="895" t="s">
        <v>94</v>
      </c>
      <c r="I853" s="897" t="s">
        <v>95</v>
      </c>
      <c r="J853" s="897" t="s">
        <v>96</v>
      </c>
      <c r="K853" s="897" t="s">
        <v>3</v>
      </c>
      <c r="L853" s="897" t="s">
        <v>97</v>
      </c>
      <c r="M853" s="897" t="s">
        <v>98</v>
      </c>
      <c r="N853" s="897" t="s">
        <v>99</v>
      </c>
      <c r="O853" s="899"/>
    </row>
    <row r="854" spans="1:15" ht="12.75" customHeight="1" thickBot="1">
      <c r="H854" s="896"/>
      <c r="I854" s="898"/>
      <c r="J854" s="898"/>
      <c r="K854" s="898"/>
      <c r="L854" s="898"/>
      <c r="M854" s="898"/>
      <c r="N854" s="240" t="s">
        <v>100</v>
      </c>
      <c r="O854" s="182" t="s">
        <v>101</v>
      </c>
    </row>
    <row r="855" spans="1:15" ht="14.25" customHeight="1">
      <c r="A855" s="895" t="s">
        <v>94</v>
      </c>
      <c r="B855" s="897" t="s">
        <v>95</v>
      </c>
      <c r="C855" s="897" t="s">
        <v>96</v>
      </c>
      <c r="D855" s="897" t="s">
        <v>3</v>
      </c>
      <c r="E855" s="897" t="s">
        <v>97</v>
      </c>
      <c r="F855" s="897" t="s">
        <v>98</v>
      </c>
      <c r="G855" s="500" t="s">
        <v>99</v>
      </c>
      <c r="H855" s="928">
        <f>+H826+1</f>
        <v>10</v>
      </c>
      <c r="I855" s="875">
        <v>43669</v>
      </c>
      <c r="J855" s="877" t="s">
        <v>1079</v>
      </c>
      <c r="K855" s="881" t="s">
        <v>1825</v>
      </c>
      <c r="L855" s="881" t="s">
        <v>148</v>
      </c>
      <c r="M855" s="883">
        <v>860000</v>
      </c>
      <c r="N855" s="55">
        <v>719</v>
      </c>
      <c r="O855" s="78">
        <v>860000</v>
      </c>
    </row>
    <row r="856" spans="1:15" ht="13.5" customHeight="1" thickBot="1">
      <c r="A856" s="896"/>
      <c r="B856" s="898"/>
      <c r="C856" s="898"/>
      <c r="D856" s="898"/>
      <c r="E856" s="898"/>
      <c r="F856" s="898"/>
      <c r="G856" s="240" t="s">
        <v>100</v>
      </c>
      <c r="H856" s="929"/>
      <c r="I856" s="876"/>
      <c r="J856" s="878"/>
      <c r="K856" s="882"/>
      <c r="L856" s="882"/>
      <c r="M856" s="884"/>
      <c r="N856" s="56">
        <v>721</v>
      </c>
      <c r="O856" s="79">
        <f>+M855-O855</f>
        <v>0</v>
      </c>
    </row>
    <row r="857" spans="1:15" ht="13.5" customHeight="1">
      <c r="A857" s="881" t="e">
        <f>+A828+1</f>
        <v>#REF!</v>
      </c>
      <c r="B857" s="875">
        <v>42317</v>
      </c>
      <c r="C857" s="877" t="s">
        <v>272</v>
      </c>
      <c r="D857" s="881" t="s">
        <v>449</v>
      </c>
      <c r="E857" s="881" t="s">
        <v>115</v>
      </c>
      <c r="F857" s="883">
        <v>210000</v>
      </c>
      <c r="G857" s="55">
        <v>719</v>
      </c>
      <c r="H857" s="928">
        <f>+H855+1</f>
        <v>11</v>
      </c>
      <c r="I857" s="875">
        <v>43669</v>
      </c>
      <c r="J857" s="877" t="s">
        <v>111</v>
      </c>
      <c r="K857" s="881" t="s">
        <v>1827</v>
      </c>
      <c r="L857" s="881" t="s">
        <v>148</v>
      </c>
      <c r="M857" s="883">
        <v>240000</v>
      </c>
      <c r="N857" s="55">
        <v>719</v>
      </c>
      <c r="O857" s="78">
        <v>240000</v>
      </c>
    </row>
    <row r="858" spans="1:15" ht="13.5" customHeight="1" thickBot="1">
      <c r="A858" s="882"/>
      <c r="B858" s="876"/>
      <c r="C858" s="878"/>
      <c r="D858" s="882"/>
      <c r="E858" s="882"/>
      <c r="F858" s="884"/>
      <c r="G858" s="56">
        <v>721</v>
      </c>
      <c r="H858" s="929"/>
      <c r="I858" s="876"/>
      <c r="J858" s="878"/>
      <c r="K858" s="882"/>
      <c r="L858" s="882"/>
      <c r="M858" s="884"/>
      <c r="N858" s="56">
        <v>721</v>
      </c>
      <c r="O858" s="79">
        <f>+M857-O857</f>
        <v>0</v>
      </c>
    </row>
    <row r="859" spans="1:15" ht="13.5" customHeight="1">
      <c r="A859" s="881" t="e">
        <f>+A857+1</f>
        <v>#REF!</v>
      </c>
      <c r="B859" s="875">
        <v>42317</v>
      </c>
      <c r="C859" s="881" t="s">
        <v>28</v>
      </c>
      <c r="D859" s="881" t="s">
        <v>450</v>
      </c>
      <c r="E859" s="881" t="s">
        <v>115</v>
      </c>
      <c r="F859" s="883">
        <v>20000</v>
      </c>
      <c r="G859" s="55">
        <v>719</v>
      </c>
      <c r="H859" s="928">
        <f>+H857+1</f>
        <v>12</v>
      </c>
      <c r="I859" s="875">
        <v>43669</v>
      </c>
      <c r="J859" s="877" t="s">
        <v>267</v>
      </c>
      <c r="K859" s="881" t="s">
        <v>1826</v>
      </c>
      <c r="L859" s="881" t="s">
        <v>148</v>
      </c>
      <c r="M859" s="883">
        <v>340000</v>
      </c>
      <c r="N859" s="55">
        <v>719</v>
      </c>
      <c r="O859" s="78">
        <v>340000</v>
      </c>
    </row>
    <row r="860" spans="1:15" ht="12.75" customHeight="1" thickBot="1">
      <c r="A860" s="882"/>
      <c r="B860" s="876"/>
      <c r="C860" s="882"/>
      <c r="D860" s="882"/>
      <c r="E860" s="882"/>
      <c r="F860" s="884"/>
      <c r="G860" s="56">
        <v>721</v>
      </c>
      <c r="H860" s="929"/>
      <c r="I860" s="876"/>
      <c r="J860" s="878"/>
      <c r="K860" s="882"/>
      <c r="L860" s="882"/>
      <c r="M860" s="884"/>
      <c r="N860" s="56">
        <v>721</v>
      </c>
      <c r="O860" s="79">
        <f>+M859-O859</f>
        <v>0</v>
      </c>
    </row>
    <row r="861" spans="1:15" ht="13.5" customHeight="1">
      <c r="A861" s="881" t="e">
        <f>+A859+1</f>
        <v>#REF!</v>
      </c>
      <c r="B861" s="875">
        <v>42317</v>
      </c>
      <c r="C861" s="877" t="s">
        <v>32</v>
      </c>
      <c r="D861" s="881" t="s">
        <v>451</v>
      </c>
      <c r="E861" s="881" t="s">
        <v>115</v>
      </c>
      <c r="F861" s="883">
        <v>30000</v>
      </c>
      <c r="G861" s="55">
        <v>719</v>
      </c>
      <c r="H861" s="928">
        <f>+H859+1</f>
        <v>13</v>
      </c>
      <c r="I861" s="875">
        <v>43669</v>
      </c>
      <c r="J861" s="877" t="s">
        <v>267</v>
      </c>
      <c r="K861" s="881" t="s">
        <v>1824</v>
      </c>
      <c r="L861" s="881" t="s">
        <v>115</v>
      </c>
      <c r="M861" s="883">
        <v>108000</v>
      </c>
      <c r="N861" s="55">
        <v>719</v>
      </c>
      <c r="O861" s="78">
        <v>80000</v>
      </c>
    </row>
    <row r="862" spans="1:15" ht="13.5" customHeight="1" thickBot="1">
      <c r="A862" s="882"/>
      <c r="B862" s="876"/>
      <c r="C862" s="878"/>
      <c r="D862" s="882"/>
      <c r="E862" s="882"/>
      <c r="F862" s="884"/>
      <c r="G862" s="56">
        <v>721</v>
      </c>
      <c r="H862" s="929"/>
      <c r="I862" s="876"/>
      <c r="J862" s="878"/>
      <c r="K862" s="882"/>
      <c r="L862" s="882"/>
      <c r="M862" s="884"/>
      <c r="N862" s="56">
        <v>721</v>
      </c>
      <c r="O862" s="79">
        <f>+M861-O861</f>
        <v>28000</v>
      </c>
    </row>
    <row r="863" spans="1:15" ht="13.5" customHeight="1">
      <c r="A863" s="251"/>
      <c r="B863" s="252"/>
      <c r="C863" s="253"/>
      <c r="D863" s="251"/>
      <c r="E863" s="251"/>
      <c r="F863" s="254"/>
      <c r="G863" s="255"/>
      <c r="H863" s="928">
        <f>+H861+1</f>
        <v>14</v>
      </c>
      <c r="I863" s="875">
        <v>43669</v>
      </c>
      <c r="J863" s="877" t="s">
        <v>815</v>
      </c>
      <c r="K863" s="881" t="s">
        <v>1828</v>
      </c>
      <c r="L863" s="881" t="s">
        <v>148</v>
      </c>
      <c r="M863" s="883">
        <v>459000</v>
      </c>
      <c r="N863" s="55">
        <v>719</v>
      </c>
      <c r="O863" s="78">
        <f>+M863-O864</f>
        <v>340000</v>
      </c>
    </row>
    <row r="864" spans="1:15" ht="13.5" customHeight="1" thickBot="1">
      <c r="A864" s="251"/>
      <c r="B864" s="252"/>
      <c r="C864" s="253"/>
      <c r="D864" s="251"/>
      <c r="E864" s="251"/>
      <c r="F864" s="254"/>
      <c r="G864" s="255"/>
      <c r="H864" s="929"/>
      <c r="I864" s="876"/>
      <c r="J864" s="878"/>
      <c r="K864" s="882"/>
      <c r="L864" s="882"/>
      <c r="M864" s="884"/>
      <c r="N864" s="56">
        <v>721</v>
      </c>
      <c r="O864" s="79">
        <v>119000</v>
      </c>
    </row>
    <row r="865" spans="1:15" ht="13.5" customHeight="1">
      <c r="A865" s="881" t="e">
        <f>+A861+1</f>
        <v>#REF!</v>
      </c>
      <c r="B865" s="875">
        <v>42317</v>
      </c>
      <c r="C865" s="881" t="s">
        <v>28</v>
      </c>
      <c r="D865" s="881" t="s">
        <v>452</v>
      </c>
      <c r="E865" s="881" t="s">
        <v>115</v>
      </c>
      <c r="F865" s="883">
        <v>30000</v>
      </c>
      <c r="G865" s="55">
        <v>719</v>
      </c>
      <c r="H865" s="928">
        <f>+H863+1</f>
        <v>15</v>
      </c>
      <c r="I865" s="875">
        <v>43669</v>
      </c>
      <c r="J865" s="877" t="s">
        <v>1315</v>
      </c>
      <c r="K865" s="881" t="s">
        <v>1829</v>
      </c>
      <c r="L865" s="881" t="s">
        <v>148</v>
      </c>
      <c r="M865" s="883">
        <v>1787750</v>
      </c>
      <c r="N865" s="55">
        <v>723</v>
      </c>
      <c r="O865" s="78">
        <v>1787750</v>
      </c>
    </row>
    <row r="866" spans="1:15" ht="14.25" customHeight="1" thickBot="1">
      <c r="A866" s="882"/>
      <c r="B866" s="876"/>
      <c r="C866" s="882"/>
      <c r="D866" s="882"/>
      <c r="E866" s="882"/>
      <c r="F866" s="884"/>
      <c r="G866" s="56">
        <v>721</v>
      </c>
      <c r="H866" s="929"/>
      <c r="I866" s="876"/>
      <c r="J866" s="878"/>
      <c r="K866" s="882"/>
      <c r="L866" s="882"/>
      <c r="M866" s="884"/>
      <c r="N866" s="56">
        <v>721</v>
      </c>
      <c r="O866" s="79">
        <f>+M865-O865</f>
        <v>0</v>
      </c>
    </row>
    <row r="867" spans="1:15" ht="15" customHeight="1" thickBot="1">
      <c r="A867" s="881" t="e">
        <f>+A865+1</f>
        <v>#REF!</v>
      </c>
      <c r="B867" s="875">
        <v>42317</v>
      </c>
      <c r="C867" s="877" t="s">
        <v>272</v>
      </c>
      <c r="D867" s="881" t="s">
        <v>453</v>
      </c>
      <c r="E867" s="881" t="s">
        <v>115</v>
      </c>
      <c r="F867" s="883">
        <v>50000</v>
      </c>
      <c r="G867" s="55">
        <v>719</v>
      </c>
      <c r="H867" s="901" t="s">
        <v>102</v>
      </c>
      <c r="I867" s="902"/>
      <c r="J867" s="902"/>
      <c r="K867" s="902"/>
      <c r="L867" s="903"/>
      <c r="M867" s="81">
        <f>SUM(M855:M866)</f>
        <v>3794750</v>
      </c>
    </row>
    <row r="868" spans="1:15" ht="15.75" customHeight="1" thickBot="1">
      <c r="A868" s="882"/>
      <c r="B868" s="876"/>
      <c r="C868" s="878"/>
      <c r="D868" s="882"/>
      <c r="E868" s="882"/>
      <c r="F868" s="884"/>
      <c r="G868" s="56">
        <v>721</v>
      </c>
      <c r="H868" s="885" t="s">
        <v>103</v>
      </c>
      <c r="I868" s="886"/>
      <c r="J868" s="886"/>
      <c r="K868" s="886"/>
      <c r="L868" s="887"/>
      <c r="M868" s="239">
        <f>+M830</f>
        <v>380719518</v>
      </c>
      <c r="N868" s="241" t="s">
        <v>561</v>
      </c>
      <c r="O868" s="242">
        <f>99+240+722+586+170</f>
        <v>1817</v>
      </c>
    </row>
    <row r="869" spans="1:15" ht="16.5" thickBot="1">
      <c r="A869" s="901" t="s">
        <v>102</v>
      </c>
      <c r="B869" s="902"/>
      <c r="C869" s="902"/>
      <c r="D869" s="902"/>
      <c r="E869" s="903"/>
      <c r="F869" s="81">
        <f>SUM(F857:F868)</f>
        <v>340000</v>
      </c>
      <c r="H869" s="888" t="s">
        <v>104</v>
      </c>
      <c r="I869" s="889"/>
      <c r="J869" s="889"/>
      <c r="K869" s="889"/>
      <c r="L869" s="890"/>
      <c r="M869" s="183">
        <f>SUM(M867:M868)</f>
        <v>384514268</v>
      </c>
    </row>
    <row r="870" spans="1:15" ht="9.75" customHeight="1" thickBot="1">
      <c r="A870" s="885" t="s">
        <v>103</v>
      </c>
      <c r="B870" s="886"/>
      <c r="C870" s="886"/>
      <c r="D870" s="886"/>
      <c r="E870" s="887"/>
      <c r="F870" s="69" t="e">
        <f>+F832</f>
        <v>#REF!</v>
      </c>
      <c r="H870" s="61"/>
      <c r="I870" s="61"/>
      <c r="J870" s="61"/>
      <c r="K870" s="61"/>
      <c r="L870" s="61"/>
    </row>
    <row r="871" spans="1:15" ht="16.5" thickBot="1">
      <c r="A871" s="888" t="s">
        <v>104</v>
      </c>
      <c r="B871" s="889"/>
      <c r="C871" s="889"/>
      <c r="D871" s="889"/>
      <c r="E871" s="890"/>
      <c r="F871" s="183" t="e">
        <f>SUM(F869:F870)</f>
        <v>#REF!</v>
      </c>
      <c r="H871" s="51" t="s">
        <v>1502</v>
      </c>
    </row>
    <row r="872" spans="1:15" ht="8.25" customHeight="1">
      <c r="A872" s="61"/>
      <c r="B872" s="61"/>
      <c r="C872" s="61"/>
      <c r="D872" s="61"/>
      <c r="E872" s="61"/>
      <c r="M872" s="139"/>
    </row>
    <row r="873" spans="1:15">
      <c r="A873" s="51" t="s">
        <v>454</v>
      </c>
      <c r="H873" s="50" t="s">
        <v>105</v>
      </c>
      <c r="K873" s="146"/>
      <c r="M873" s="139"/>
    </row>
    <row r="874" spans="1:15" ht="11.25" customHeight="1" thickBot="1">
      <c r="F874" s="139"/>
    </row>
    <row r="875" spans="1:15" ht="17.25" thickBot="1">
      <c r="A875" s="50" t="s">
        <v>105</v>
      </c>
      <c r="D875" s="146"/>
      <c r="F875" s="139"/>
      <c r="H875" s="891" t="s">
        <v>106</v>
      </c>
      <c r="I875" s="892"/>
      <c r="J875" s="892"/>
      <c r="K875" s="893"/>
      <c r="M875" s="605" t="s">
        <v>288</v>
      </c>
      <c r="N875" s="605"/>
      <c r="O875" s="605"/>
    </row>
    <row r="876" spans="1:15" ht="30.75" thickBot="1">
      <c r="H876" s="57" t="s">
        <v>100</v>
      </c>
      <c r="I876" s="58" t="s">
        <v>108</v>
      </c>
      <c r="J876" s="59" t="s">
        <v>109</v>
      </c>
      <c r="K876" s="60" t="s">
        <v>110</v>
      </c>
      <c r="M876" s="202"/>
      <c r="N876" s="202"/>
      <c r="O876" s="202"/>
    </row>
    <row r="877" spans="1:15" ht="15.75" customHeight="1" thickBot="1">
      <c r="A877" s="891" t="s">
        <v>106</v>
      </c>
      <c r="B877" s="892"/>
      <c r="C877" s="892"/>
      <c r="D877" s="893"/>
      <c r="F877" s="50" t="s">
        <v>288</v>
      </c>
      <c r="H877" s="71">
        <v>719</v>
      </c>
      <c r="I877" s="73">
        <f>+O855+O857+O859+O861+O863</f>
        <v>1860000</v>
      </c>
      <c r="J877" s="74">
        <f>+K838</f>
        <v>31070000</v>
      </c>
      <c r="K877" s="195">
        <f>+I877+J877</f>
        <v>32930000</v>
      </c>
      <c r="M877" s="918"/>
      <c r="N877" s="918"/>
      <c r="O877" s="918"/>
    </row>
    <row r="878" spans="1:15" ht="12.75" customHeight="1" thickBot="1">
      <c r="A878" s="57" t="s">
        <v>100</v>
      </c>
      <c r="B878" s="58" t="s">
        <v>108</v>
      </c>
      <c r="C878" s="59" t="s">
        <v>109</v>
      </c>
      <c r="D878" s="60" t="s">
        <v>110</v>
      </c>
      <c r="H878" s="72">
        <v>721</v>
      </c>
      <c r="I878" s="257">
        <f>+O862+O864</f>
        <v>147000</v>
      </c>
      <c r="J878" s="74">
        <f>+K839</f>
        <v>18380500</v>
      </c>
      <c r="K878" s="195">
        <f>+I878+J878</f>
        <v>18527500</v>
      </c>
      <c r="M878" s="918"/>
      <c r="N878" s="918"/>
      <c r="O878" s="918"/>
    </row>
    <row r="879" spans="1:15" ht="14.25" customHeight="1">
      <c r="A879" s="71">
        <v>719</v>
      </c>
      <c r="B879" s="73" t="e">
        <f>+#REF!+#REF!+#REF!+#REF!+#REF!</f>
        <v>#REF!</v>
      </c>
      <c r="C879" s="74" t="e">
        <f>+D840</f>
        <v>#REF!</v>
      </c>
      <c r="D879" s="195" t="e">
        <f>+B879+C879</f>
        <v>#REF!</v>
      </c>
      <c r="H879" s="72">
        <v>722</v>
      </c>
      <c r="I879" s="257"/>
      <c r="J879" s="74">
        <f>+K840</f>
        <v>12949788</v>
      </c>
      <c r="K879" s="195">
        <f>+I879+J879</f>
        <v>12949788</v>
      </c>
      <c r="M879" s="918" t="s">
        <v>1696</v>
      </c>
      <c r="N879" s="918"/>
      <c r="O879" s="918"/>
    </row>
    <row r="880" spans="1:15" ht="13.5" customHeight="1" thickBot="1">
      <c r="A880" s="72">
        <v>721</v>
      </c>
      <c r="B880" s="80" t="e">
        <f>+#REF!</f>
        <v>#REF!</v>
      </c>
      <c r="C880" s="74" t="e">
        <f>+D841</f>
        <v>#REF!</v>
      </c>
      <c r="D880" s="195" t="e">
        <f>+B880+C880</f>
        <v>#REF!</v>
      </c>
      <c r="H880" s="72">
        <v>723</v>
      </c>
      <c r="I880" s="257">
        <f>+O865</f>
        <v>1787750</v>
      </c>
      <c r="J880" s="74">
        <f>+K841</f>
        <v>318319230</v>
      </c>
      <c r="K880" s="195">
        <f>+I880+J880</f>
        <v>320106980</v>
      </c>
      <c r="M880" s="930"/>
      <c r="N880" s="930"/>
      <c r="O880" s="930"/>
    </row>
    <row r="881" spans="1:15" ht="15" hidden="1" customHeight="1" thickBot="1">
      <c r="A881" s="72">
        <v>722</v>
      </c>
      <c r="B881" s="80"/>
      <c r="C881" s="74" t="e">
        <f>+D842</f>
        <v>#REF!</v>
      </c>
      <c r="D881" s="195" t="e">
        <f>+B881+C881</f>
        <v>#REF!</v>
      </c>
      <c r="H881" s="164" t="s">
        <v>181</v>
      </c>
      <c r="I881" s="165"/>
      <c r="J881" s="74">
        <f>+K842</f>
        <v>0</v>
      </c>
      <c r="K881" s="196">
        <f>+I881+J881</f>
        <v>0</v>
      </c>
      <c r="M881" s="52"/>
    </row>
    <row r="882" spans="1:15" ht="16.5" thickBot="1">
      <c r="A882" s="72">
        <v>723</v>
      </c>
      <c r="B882" s="80" t="e">
        <f>+#REF!</f>
        <v>#REF!</v>
      </c>
      <c r="C882" s="74" t="e">
        <f>+D843</f>
        <v>#REF!</v>
      </c>
      <c r="D882" s="195" t="e">
        <f>+B882+C882</f>
        <v>#REF!</v>
      </c>
      <c r="F882" s="174" t="s">
        <v>23</v>
      </c>
      <c r="G882" s="175"/>
      <c r="H882" s="169"/>
      <c r="I882" s="197">
        <f>SUM(I877:I881)</f>
        <v>3794750</v>
      </c>
      <c r="J882" s="197">
        <f>SUM(J877:J881)</f>
        <v>380719518</v>
      </c>
      <c r="K882" s="198">
        <f>SUM(K877:K881)</f>
        <v>384514268</v>
      </c>
    </row>
    <row r="883" spans="1:15" ht="17.25" thickBot="1">
      <c r="A883" s="164" t="s">
        <v>181</v>
      </c>
      <c r="B883" s="165"/>
      <c r="C883" s="74" t="e">
        <f>+D844</f>
        <v>#REF!</v>
      </c>
      <c r="D883" s="196" t="e">
        <f>+B883+C883</f>
        <v>#REF!</v>
      </c>
      <c r="F883" s="52"/>
      <c r="H883" s="49" t="s">
        <v>88</v>
      </c>
      <c r="I883" s="50"/>
    </row>
    <row r="884" spans="1:15" ht="14.25" customHeight="1" thickBot="1">
      <c r="A884" s="169"/>
      <c r="B884" s="170" t="e">
        <f>SUM(B879:B883)</f>
        <v>#REF!</v>
      </c>
      <c r="C884" s="171" t="e">
        <f>SUM(C879:C883)</f>
        <v>#REF!</v>
      </c>
      <c r="D884" s="172" t="e">
        <f>SUM(D879:D883)</f>
        <v>#REF!</v>
      </c>
      <c r="H884" s="51" t="s">
        <v>89</v>
      </c>
    </row>
    <row r="885" spans="1:15" ht="14.25" customHeight="1">
      <c r="A885" s="49" t="s">
        <v>88</v>
      </c>
      <c r="B885" s="50"/>
      <c r="H885" s="51" t="s">
        <v>90</v>
      </c>
    </row>
    <row r="886" spans="1:15">
      <c r="A886" s="51" t="s">
        <v>89</v>
      </c>
      <c r="H886" s="51" t="s">
        <v>91</v>
      </c>
    </row>
    <row r="887" spans="1:15" ht="6" customHeight="1">
      <c r="A887" s="51" t="s">
        <v>90</v>
      </c>
      <c r="H887" s="50"/>
      <c r="I887" s="50"/>
    </row>
    <row r="888" spans="1:15" ht="16.5">
      <c r="A888" s="51" t="s">
        <v>91</v>
      </c>
      <c r="H888" s="260" t="s">
        <v>795</v>
      </c>
      <c r="N888" s="52"/>
    </row>
    <row r="889" spans="1:15" ht="15" customHeight="1">
      <c r="A889" s="50"/>
      <c r="B889" s="50"/>
      <c r="H889" s="261" t="s">
        <v>1702</v>
      </c>
      <c r="N889" s="53"/>
    </row>
    <row r="890" spans="1:15" ht="15" customHeight="1">
      <c r="A890" s="52" t="s">
        <v>455</v>
      </c>
      <c r="G890" s="52"/>
      <c r="H890" s="894" t="s">
        <v>1278</v>
      </c>
      <c r="I890" s="894"/>
      <c r="J890" s="894"/>
      <c r="K890" s="894"/>
      <c r="L890" s="894"/>
      <c r="M890" s="894"/>
      <c r="N890" s="894"/>
      <c r="O890" s="894"/>
    </row>
    <row r="891" spans="1:15" ht="14.25" customHeight="1" thickBot="1">
      <c r="A891" s="53" t="s">
        <v>92</v>
      </c>
      <c r="G891" s="53"/>
    </row>
    <row r="892" spans="1:15" ht="16.5">
      <c r="A892" s="894" t="s">
        <v>93</v>
      </c>
      <c r="B892" s="894"/>
      <c r="C892" s="894"/>
      <c r="D892" s="894"/>
      <c r="E892" s="894"/>
      <c r="F892" s="894"/>
      <c r="G892" s="894"/>
      <c r="H892" s="895" t="s">
        <v>94</v>
      </c>
      <c r="I892" s="897" t="s">
        <v>95</v>
      </c>
      <c r="J892" s="897" t="s">
        <v>96</v>
      </c>
      <c r="K892" s="897" t="s">
        <v>3</v>
      </c>
      <c r="L892" s="897" t="s">
        <v>97</v>
      </c>
      <c r="M892" s="897" t="s">
        <v>98</v>
      </c>
      <c r="N892" s="897" t="s">
        <v>99</v>
      </c>
      <c r="O892" s="899"/>
    </row>
    <row r="893" spans="1:15" ht="15.75" thickBot="1">
      <c r="H893" s="896"/>
      <c r="I893" s="898"/>
      <c r="J893" s="898"/>
      <c r="K893" s="898"/>
      <c r="L893" s="898"/>
      <c r="M893" s="898"/>
      <c r="N893" s="240" t="s">
        <v>100</v>
      </c>
      <c r="O893" s="182" t="s">
        <v>101</v>
      </c>
    </row>
    <row r="894" spans="1:15" ht="15" customHeight="1">
      <c r="A894" s="895" t="s">
        <v>94</v>
      </c>
      <c r="B894" s="897" t="s">
        <v>95</v>
      </c>
      <c r="C894" s="897" t="s">
        <v>96</v>
      </c>
      <c r="D894" s="897" t="s">
        <v>3</v>
      </c>
      <c r="E894" s="897" t="s">
        <v>97</v>
      </c>
      <c r="F894" s="897" t="s">
        <v>98</v>
      </c>
      <c r="G894" s="500" t="s">
        <v>99</v>
      </c>
      <c r="H894" s="928">
        <f>+H865+1</f>
        <v>16</v>
      </c>
      <c r="I894" s="875">
        <v>43711</v>
      </c>
      <c r="J894" s="877" t="s">
        <v>1315</v>
      </c>
      <c r="K894" s="881" t="s">
        <v>1830</v>
      </c>
      <c r="L894" s="881" t="s">
        <v>148</v>
      </c>
      <c r="M894" s="883">
        <v>1884800</v>
      </c>
      <c r="N894" s="55">
        <v>719</v>
      </c>
      <c r="O894" s="78"/>
    </row>
    <row r="895" spans="1:15" ht="15.75" customHeight="1" thickBot="1">
      <c r="A895" s="896"/>
      <c r="B895" s="898"/>
      <c r="C895" s="898"/>
      <c r="D895" s="898"/>
      <c r="E895" s="898"/>
      <c r="F895" s="898"/>
      <c r="G895" s="240" t="s">
        <v>100</v>
      </c>
      <c r="H895" s="929"/>
      <c r="I895" s="876"/>
      <c r="J895" s="878"/>
      <c r="K895" s="882"/>
      <c r="L895" s="882"/>
      <c r="M895" s="884"/>
      <c r="N895" s="56">
        <v>723</v>
      </c>
      <c r="O895" s="79">
        <f>+M894-O894</f>
        <v>1884800</v>
      </c>
    </row>
    <row r="896" spans="1:15" ht="15" customHeight="1">
      <c r="A896" s="881" t="e">
        <f>+A867+1</f>
        <v>#REF!</v>
      </c>
      <c r="B896" s="875">
        <v>42320</v>
      </c>
      <c r="C896" s="877" t="s">
        <v>272</v>
      </c>
      <c r="D896" s="881" t="s">
        <v>456</v>
      </c>
      <c r="E896" s="881" t="s">
        <v>115</v>
      </c>
      <c r="F896" s="883">
        <v>60000</v>
      </c>
      <c r="G896" s="55">
        <v>719</v>
      </c>
      <c r="H896" s="928">
        <f>+H894+1</f>
        <v>17</v>
      </c>
      <c r="I896" s="875">
        <v>43005</v>
      </c>
      <c r="J896" s="877" t="s">
        <v>350</v>
      </c>
      <c r="K896" s="881" t="s">
        <v>1832</v>
      </c>
      <c r="L896" s="881" t="s">
        <v>115</v>
      </c>
      <c r="M896" s="883">
        <v>783000</v>
      </c>
      <c r="N896" s="55">
        <v>719</v>
      </c>
      <c r="O896" s="78">
        <v>580000</v>
      </c>
    </row>
    <row r="897" spans="1:15" ht="15.75" customHeight="1" thickBot="1">
      <c r="A897" s="882"/>
      <c r="B897" s="876"/>
      <c r="C897" s="878"/>
      <c r="D897" s="882"/>
      <c r="E897" s="882"/>
      <c r="F897" s="884"/>
      <c r="G897" s="56">
        <v>721</v>
      </c>
      <c r="H897" s="929"/>
      <c r="I897" s="876"/>
      <c r="J897" s="878"/>
      <c r="K897" s="882"/>
      <c r="L897" s="882"/>
      <c r="M897" s="884"/>
      <c r="N897" s="56">
        <v>721</v>
      </c>
      <c r="O897" s="79">
        <f>+M896-O896</f>
        <v>203000</v>
      </c>
    </row>
    <row r="898" spans="1:15" ht="15" customHeight="1">
      <c r="A898" s="881" t="e">
        <f>+A896+1</f>
        <v>#REF!</v>
      </c>
      <c r="B898" s="875">
        <v>42320</v>
      </c>
      <c r="C898" s="881" t="s">
        <v>28</v>
      </c>
      <c r="D898" s="881" t="s">
        <v>456</v>
      </c>
      <c r="E898" s="881" t="s">
        <v>115</v>
      </c>
      <c r="F898" s="883">
        <v>30000</v>
      </c>
      <c r="G898" s="55">
        <v>719</v>
      </c>
      <c r="H898" s="928">
        <f>+H896+1</f>
        <v>18</v>
      </c>
      <c r="I898" s="875">
        <v>43005</v>
      </c>
      <c r="J898" s="877" t="s">
        <v>267</v>
      </c>
      <c r="K898" s="881" t="s">
        <v>1831</v>
      </c>
      <c r="L898" s="881" t="s">
        <v>115</v>
      </c>
      <c r="M898" s="883">
        <v>54000</v>
      </c>
      <c r="N898" s="55">
        <v>719</v>
      </c>
      <c r="O898" s="78">
        <v>40000</v>
      </c>
    </row>
    <row r="899" spans="1:15" ht="15.75" customHeight="1" thickBot="1">
      <c r="A899" s="882"/>
      <c r="B899" s="876"/>
      <c r="C899" s="882"/>
      <c r="D899" s="882"/>
      <c r="E899" s="882"/>
      <c r="F899" s="884"/>
      <c r="G899" s="56">
        <v>721</v>
      </c>
      <c r="H899" s="929"/>
      <c r="I899" s="876"/>
      <c r="J899" s="878"/>
      <c r="K899" s="882"/>
      <c r="L899" s="882"/>
      <c r="M899" s="884"/>
      <c r="N899" s="56">
        <v>721</v>
      </c>
      <c r="O899" s="79">
        <f>+M898-O898</f>
        <v>14000</v>
      </c>
    </row>
    <row r="900" spans="1:15" ht="15" customHeight="1">
      <c r="A900" s="881" t="e">
        <f>+A898+1</f>
        <v>#REF!</v>
      </c>
      <c r="B900" s="875">
        <v>42320</v>
      </c>
      <c r="C900" s="877" t="s">
        <v>32</v>
      </c>
      <c r="D900" s="881" t="s">
        <v>457</v>
      </c>
      <c r="E900" s="881" t="s">
        <v>115</v>
      </c>
      <c r="F900" s="883">
        <v>20000</v>
      </c>
      <c r="G900" s="55">
        <v>719</v>
      </c>
      <c r="H900" s="928"/>
      <c r="I900" s="875"/>
      <c r="J900" s="877"/>
      <c r="K900" s="881"/>
      <c r="L900" s="881"/>
      <c r="M900" s="883"/>
      <c r="N900" s="55">
        <v>719</v>
      </c>
      <c r="O900" s="78"/>
    </row>
    <row r="901" spans="1:15" ht="13.5" customHeight="1" thickBot="1">
      <c r="A901" s="882"/>
      <c r="B901" s="876"/>
      <c r="C901" s="878"/>
      <c r="D901" s="882"/>
      <c r="E901" s="882"/>
      <c r="F901" s="884"/>
      <c r="G901" s="56">
        <v>721</v>
      </c>
      <c r="H901" s="929"/>
      <c r="I901" s="876"/>
      <c r="J901" s="878"/>
      <c r="K901" s="882"/>
      <c r="L901" s="882"/>
      <c r="M901" s="884"/>
      <c r="N901" s="56">
        <v>721</v>
      </c>
      <c r="O901" s="79">
        <f>+M900-O900</f>
        <v>0</v>
      </c>
    </row>
    <row r="902" spans="1:15" ht="12" customHeight="1">
      <c r="A902" s="881"/>
      <c r="B902" s="875"/>
      <c r="C902" s="881"/>
      <c r="D902" s="881"/>
      <c r="E902" s="881"/>
      <c r="F902" s="883"/>
      <c r="G902" s="55">
        <v>719</v>
      </c>
      <c r="H902" s="928"/>
      <c r="I902" s="875"/>
      <c r="J902" s="877"/>
      <c r="K902" s="881"/>
      <c r="L902" s="881"/>
      <c r="M902" s="883"/>
      <c r="N902" s="55">
        <v>719</v>
      </c>
      <c r="O902" s="78"/>
    </row>
    <row r="903" spans="1:15" ht="12" customHeight="1" thickBot="1">
      <c r="A903" s="882"/>
      <c r="B903" s="876"/>
      <c r="C903" s="882"/>
      <c r="D903" s="882"/>
      <c r="E903" s="882"/>
      <c r="F903" s="884"/>
      <c r="G903" s="56">
        <v>721</v>
      </c>
      <c r="H903" s="929"/>
      <c r="I903" s="876"/>
      <c r="J903" s="878"/>
      <c r="K903" s="882"/>
      <c r="L903" s="882"/>
      <c r="M903" s="884"/>
      <c r="N903" s="56">
        <v>721</v>
      </c>
      <c r="O903" s="79">
        <f>+M902-O902</f>
        <v>0</v>
      </c>
    </row>
    <row r="904" spans="1:15" ht="16.5" thickBot="1">
      <c r="A904" s="881"/>
      <c r="B904" s="875"/>
      <c r="C904" s="877"/>
      <c r="D904" s="881"/>
      <c r="E904" s="881"/>
      <c r="F904" s="883"/>
      <c r="G904" s="55">
        <v>719</v>
      </c>
      <c r="H904" s="901" t="s">
        <v>102</v>
      </c>
      <c r="I904" s="902"/>
      <c r="J904" s="902"/>
      <c r="K904" s="902"/>
      <c r="L904" s="903"/>
      <c r="M904" s="81">
        <f>SUM(M894:M903)</f>
        <v>2721800</v>
      </c>
    </row>
    <row r="905" spans="1:15" ht="16.5" thickBot="1">
      <c r="A905" s="882"/>
      <c r="B905" s="876"/>
      <c r="C905" s="878"/>
      <c r="D905" s="882"/>
      <c r="E905" s="882"/>
      <c r="F905" s="884"/>
      <c r="G905" s="56">
        <v>721</v>
      </c>
      <c r="H905" s="885" t="s">
        <v>103</v>
      </c>
      <c r="I905" s="886"/>
      <c r="J905" s="886"/>
      <c r="K905" s="886"/>
      <c r="L905" s="887"/>
      <c r="M905" s="239">
        <f>+M869</f>
        <v>384514268</v>
      </c>
      <c r="N905" s="241" t="s">
        <v>561</v>
      </c>
      <c r="O905" s="242">
        <f>1327+136</f>
        <v>1463</v>
      </c>
    </row>
    <row r="906" spans="1:15" ht="15" customHeight="1" thickBot="1">
      <c r="A906" s="901" t="s">
        <v>102</v>
      </c>
      <c r="B906" s="902"/>
      <c r="C906" s="902"/>
      <c r="D906" s="902"/>
      <c r="E906" s="903"/>
      <c r="F906" s="81">
        <f>SUM(F896:F905)</f>
        <v>110000</v>
      </c>
      <c r="H906" s="888" t="s">
        <v>104</v>
      </c>
      <c r="I906" s="889"/>
      <c r="J906" s="889"/>
      <c r="K906" s="889"/>
      <c r="L906" s="890"/>
      <c r="M906" s="183">
        <f>SUM(M904:M905)</f>
        <v>387236068</v>
      </c>
    </row>
    <row r="907" spans="1:15" ht="13.5" customHeight="1" thickBot="1">
      <c r="A907" s="885" t="s">
        <v>103</v>
      </c>
      <c r="B907" s="886"/>
      <c r="C907" s="886"/>
      <c r="D907" s="886"/>
      <c r="E907" s="887"/>
      <c r="F907" s="69" t="e">
        <f>+F871</f>
        <v>#REF!</v>
      </c>
      <c r="H907" s="61"/>
      <c r="I907" s="61"/>
      <c r="J907" s="61"/>
      <c r="K907" s="61"/>
      <c r="L907" s="61"/>
    </row>
    <row r="908" spans="1:15" ht="16.5" thickBot="1">
      <c r="A908" s="888" t="s">
        <v>104</v>
      </c>
      <c r="B908" s="889"/>
      <c r="C908" s="889"/>
      <c r="D908" s="889"/>
      <c r="E908" s="890"/>
      <c r="F908" s="183" t="e">
        <f>SUM(F906:F907)</f>
        <v>#REF!</v>
      </c>
      <c r="H908" s="51" t="s">
        <v>1833</v>
      </c>
    </row>
    <row r="909" spans="1:15" ht="6.75" customHeight="1">
      <c r="A909" s="61"/>
      <c r="B909" s="61"/>
      <c r="C909" s="61"/>
      <c r="D909" s="61"/>
      <c r="E909" s="61"/>
      <c r="M909" s="139"/>
    </row>
    <row r="910" spans="1:15">
      <c r="A910" s="51" t="s">
        <v>458</v>
      </c>
      <c r="H910" s="50" t="s">
        <v>105</v>
      </c>
      <c r="K910" s="146"/>
      <c r="M910" s="139"/>
    </row>
    <row r="911" spans="1:15" ht="8.25" customHeight="1" thickBot="1">
      <c r="F911" s="139"/>
    </row>
    <row r="912" spans="1:15" ht="15.75" thickBot="1">
      <c r="A912" s="50" t="s">
        <v>105</v>
      </c>
      <c r="D912" s="146"/>
      <c r="F912" s="139"/>
      <c r="H912" s="891" t="s">
        <v>106</v>
      </c>
      <c r="I912" s="892"/>
      <c r="J912" s="892"/>
      <c r="K912" s="893"/>
      <c r="M912" s="925" t="s">
        <v>288</v>
      </c>
      <c r="N912" s="925"/>
      <c r="O912" s="925"/>
    </row>
    <row r="913" spans="1:15" ht="28.5" customHeight="1" thickBot="1">
      <c r="H913" s="57" t="s">
        <v>100</v>
      </c>
      <c r="I913" s="58" t="s">
        <v>108</v>
      </c>
      <c r="J913" s="59" t="s">
        <v>109</v>
      </c>
      <c r="K913" s="60" t="s">
        <v>110</v>
      </c>
    </row>
    <row r="914" spans="1:15" ht="14.25" customHeight="1" thickBot="1">
      <c r="A914" s="891" t="s">
        <v>106</v>
      </c>
      <c r="B914" s="892"/>
      <c r="C914" s="892"/>
      <c r="D914" s="893"/>
      <c r="F914" s="50" t="s">
        <v>288</v>
      </c>
      <c r="H914" s="71">
        <v>719</v>
      </c>
      <c r="I914" s="73">
        <f>+O894+O896+O898+O900+O902</f>
        <v>620000</v>
      </c>
      <c r="J914" s="74">
        <f>+K877</f>
        <v>32930000</v>
      </c>
      <c r="K914" s="195">
        <f>+I914+J914</f>
        <v>33550000</v>
      </c>
    </row>
    <row r="915" spans="1:15" ht="16.5" customHeight="1" thickBot="1">
      <c r="A915" s="57" t="s">
        <v>100</v>
      </c>
      <c r="B915" s="58" t="s">
        <v>108</v>
      </c>
      <c r="C915" s="59" t="s">
        <v>109</v>
      </c>
      <c r="D915" s="60" t="s">
        <v>110</v>
      </c>
      <c r="H915" s="72">
        <v>721</v>
      </c>
      <c r="I915" s="257">
        <f>+O897+O899</f>
        <v>217000</v>
      </c>
      <c r="J915" s="74">
        <f>+K878</f>
        <v>18527500</v>
      </c>
      <c r="K915" s="195">
        <f>+I915+J915</f>
        <v>18744500</v>
      </c>
    </row>
    <row r="916" spans="1:15" ht="13.5" customHeight="1">
      <c r="A916" s="71">
        <v>719</v>
      </c>
      <c r="B916" s="73" t="e">
        <f>+#REF!+#REF!+#REF!+#REF!+#REF!</f>
        <v>#REF!</v>
      </c>
      <c r="C916" s="74" t="e">
        <f>+D879</f>
        <v>#REF!</v>
      </c>
      <c r="D916" s="195" t="e">
        <f>+B916+C916</f>
        <v>#REF!</v>
      </c>
      <c r="H916" s="72">
        <v>722</v>
      </c>
      <c r="I916" s="257"/>
      <c r="J916" s="74">
        <f>+K879</f>
        <v>12949788</v>
      </c>
      <c r="K916" s="195">
        <f>+I916+J916</f>
        <v>12949788</v>
      </c>
    </row>
    <row r="917" spans="1:15" ht="15.75">
      <c r="A917" s="72">
        <v>721</v>
      </c>
      <c r="B917" s="80" t="e">
        <f>+#REF!</f>
        <v>#REF!</v>
      </c>
      <c r="C917" s="74" t="e">
        <f>+D880</f>
        <v>#REF!</v>
      </c>
      <c r="D917" s="195" t="e">
        <f>+B917+C917</f>
        <v>#REF!</v>
      </c>
      <c r="H917" s="72">
        <v>723</v>
      </c>
      <c r="I917" s="257">
        <f>+O895</f>
        <v>1884800</v>
      </c>
      <c r="J917" s="74">
        <f>+K880</f>
        <v>320106980</v>
      </c>
      <c r="K917" s="195">
        <f>+I917+J917</f>
        <v>321991780</v>
      </c>
      <c r="M917" s="918" t="s">
        <v>1696</v>
      </c>
      <c r="N917" s="918"/>
      <c r="O917" s="918"/>
    </row>
    <row r="918" spans="1:15" ht="14.25" customHeight="1" thickBot="1">
      <c r="A918" s="72">
        <v>722</v>
      </c>
      <c r="B918" s="80"/>
      <c r="C918" s="74" t="e">
        <f>+D881</f>
        <v>#REF!</v>
      </c>
      <c r="D918" s="195" t="e">
        <f>+B918+C918</f>
        <v>#REF!</v>
      </c>
      <c r="H918" s="164" t="s">
        <v>181</v>
      </c>
      <c r="I918" s="165"/>
      <c r="J918" s="74">
        <f>+K881</f>
        <v>0</v>
      </c>
      <c r="K918" s="196">
        <f>+I918+J918</f>
        <v>0</v>
      </c>
      <c r="M918" s="52"/>
    </row>
    <row r="919" spans="1:15" ht="16.5" thickBot="1">
      <c r="A919" s="72">
        <v>723</v>
      </c>
      <c r="B919" s="80" t="e">
        <f>+#REF!</f>
        <v>#REF!</v>
      </c>
      <c r="C919" s="74" t="e">
        <f>+D882</f>
        <v>#REF!</v>
      </c>
      <c r="D919" s="195" t="e">
        <f>+B919+C919</f>
        <v>#REF!</v>
      </c>
      <c r="F919" s="174" t="s">
        <v>23</v>
      </c>
      <c r="G919" s="175"/>
      <c r="H919" s="169"/>
      <c r="I919" s="197">
        <f>SUM(I914:I918)</f>
        <v>2721800</v>
      </c>
      <c r="J919" s="197">
        <f>SUM(J914:J918)</f>
        <v>384514268</v>
      </c>
      <c r="K919" s="198">
        <f>SUM(K914:K918)</f>
        <v>387236068</v>
      </c>
    </row>
    <row r="920" spans="1:15" ht="17.25" thickBot="1">
      <c r="A920" s="164" t="s">
        <v>181</v>
      </c>
      <c r="B920" s="165"/>
      <c r="C920" s="74" t="e">
        <f>+D883</f>
        <v>#REF!</v>
      </c>
      <c r="D920" s="196" t="e">
        <f>+B920+C920</f>
        <v>#REF!</v>
      </c>
      <c r="F920" s="52"/>
      <c r="H920" s="49" t="s">
        <v>88</v>
      </c>
      <c r="I920" s="50"/>
    </row>
    <row r="921" spans="1:15" ht="15" customHeight="1" thickBot="1">
      <c r="A921" s="169"/>
      <c r="B921" s="170" t="e">
        <f>SUM(B916:B920)</f>
        <v>#REF!</v>
      </c>
      <c r="C921" s="171" t="e">
        <f>SUM(C916:C920)</f>
        <v>#REF!</v>
      </c>
      <c r="D921" s="172" t="e">
        <f>SUM(D916:D920)</f>
        <v>#REF!</v>
      </c>
      <c r="H921" s="51" t="s">
        <v>89</v>
      </c>
    </row>
    <row r="922" spans="1:15" ht="15" customHeight="1">
      <c r="A922" s="49" t="s">
        <v>88</v>
      </c>
      <c r="B922" s="50"/>
      <c r="H922" s="51" t="s">
        <v>90</v>
      </c>
    </row>
    <row r="923" spans="1:15" ht="12.75" customHeight="1">
      <c r="A923" s="51" t="s">
        <v>89</v>
      </c>
      <c r="H923" s="51" t="s">
        <v>91</v>
      </c>
    </row>
    <row r="924" spans="1:15" ht="12.75" customHeight="1">
      <c r="A924" s="51" t="s">
        <v>90</v>
      </c>
      <c r="H924" s="50"/>
      <c r="I924" s="50"/>
    </row>
    <row r="925" spans="1:15" ht="16.5">
      <c r="A925" s="51" t="s">
        <v>91</v>
      </c>
      <c r="H925" s="52" t="s">
        <v>813</v>
      </c>
      <c r="N925" s="52"/>
    </row>
    <row r="926" spans="1:15" ht="13.5" customHeight="1">
      <c r="A926" s="50"/>
      <c r="B926" s="50"/>
      <c r="H926" s="53" t="s">
        <v>1702</v>
      </c>
      <c r="N926" s="53"/>
    </row>
    <row r="927" spans="1:15" ht="16.5">
      <c r="A927" s="52" t="s">
        <v>460</v>
      </c>
      <c r="G927" s="52"/>
      <c r="H927" s="894" t="s">
        <v>261</v>
      </c>
      <c r="I927" s="894"/>
      <c r="J927" s="894"/>
      <c r="K927" s="894"/>
      <c r="L927" s="894"/>
      <c r="M927" s="894"/>
      <c r="N927" s="894"/>
      <c r="O927" s="894"/>
    </row>
    <row r="928" spans="1:15" ht="13.5" customHeight="1" thickBot="1">
      <c r="A928" s="53" t="s">
        <v>92</v>
      </c>
      <c r="G928" s="53"/>
    </row>
    <row r="929" spans="1:15" ht="16.5">
      <c r="A929" s="894" t="s">
        <v>462</v>
      </c>
      <c r="B929" s="894"/>
      <c r="C929" s="894"/>
      <c r="D929" s="894"/>
      <c r="E929" s="894"/>
      <c r="F929" s="894"/>
      <c r="G929" s="894"/>
      <c r="H929" s="895" t="s">
        <v>94</v>
      </c>
      <c r="I929" s="897" t="s">
        <v>95</v>
      </c>
      <c r="J929" s="897" t="s">
        <v>96</v>
      </c>
      <c r="K929" s="897" t="s">
        <v>3</v>
      </c>
      <c r="L929" s="897" t="s">
        <v>97</v>
      </c>
      <c r="M929" s="897" t="s">
        <v>98</v>
      </c>
      <c r="N929" s="897" t="s">
        <v>99</v>
      </c>
      <c r="O929" s="899"/>
    </row>
    <row r="930" spans="1:15" ht="15.75" thickBot="1">
      <c r="H930" s="896"/>
      <c r="I930" s="898"/>
      <c r="J930" s="898"/>
      <c r="K930" s="898"/>
      <c r="L930" s="898"/>
      <c r="M930" s="898"/>
      <c r="N930" s="240" t="s">
        <v>100</v>
      </c>
      <c r="O930" s="182" t="s">
        <v>101</v>
      </c>
    </row>
    <row r="931" spans="1:15" ht="12.75" customHeight="1">
      <c r="A931" s="895" t="s">
        <v>94</v>
      </c>
      <c r="B931" s="897" t="s">
        <v>95</v>
      </c>
      <c r="C931" s="897" t="s">
        <v>96</v>
      </c>
      <c r="D931" s="897" t="s">
        <v>3</v>
      </c>
      <c r="E931" s="897" t="s">
        <v>97</v>
      </c>
      <c r="F931" s="897" t="s">
        <v>98</v>
      </c>
      <c r="G931" s="500" t="s">
        <v>99</v>
      </c>
      <c r="H931" s="873" t="s">
        <v>770</v>
      </c>
      <c r="I931" s="875">
        <v>43713</v>
      </c>
      <c r="J931" s="877" t="s">
        <v>120</v>
      </c>
      <c r="K931" s="881" t="s">
        <v>1834</v>
      </c>
      <c r="L931" s="881" t="s">
        <v>115</v>
      </c>
      <c r="M931" s="883">
        <v>1215000</v>
      </c>
      <c r="N931" s="55">
        <v>719</v>
      </c>
      <c r="O931" s="78">
        <v>900000</v>
      </c>
    </row>
    <row r="932" spans="1:15" ht="13.5" customHeight="1" thickBot="1">
      <c r="A932" s="896"/>
      <c r="B932" s="898"/>
      <c r="C932" s="898"/>
      <c r="D932" s="898"/>
      <c r="E932" s="898"/>
      <c r="F932" s="898"/>
      <c r="G932" s="240" t="s">
        <v>100</v>
      </c>
      <c r="H932" s="882"/>
      <c r="I932" s="876"/>
      <c r="J932" s="878"/>
      <c r="K932" s="882"/>
      <c r="L932" s="882"/>
      <c r="M932" s="884"/>
      <c r="N932" s="56">
        <v>721</v>
      </c>
      <c r="O932" s="79">
        <f>+M931-O931</f>
        <v>315000</v>
      </c>
    </row>
    <row r="933" spans="1:15" ht="12" customHeight="1">
      <c r="A933" s="881" t="e">
        <f>+A900+1</f>
        <v>#REF!</v>
      </c>
      <c r="B933" s="875">
        <v>42328</v>
      </c>
      <c r="C933" s="877" t="s">
        <v>469</v>
      </c>
      <c r="D933" s="881" t="s">
        <v>459</v>
      </c>
      <c r="E933" s="881" t="s">
        <v>148</v>
      </c>
      <c r="F933" s="883">
        <v>1764708</v>
      </c>
      <c r="G933" s="55">
        <v>723</v>
      </c>
      <c r="H933" s="881">
        <f>+H931+1</f>
        <v>101</v>
      </c>
      <c r="I933" s="875">
        <v>43713</v>
      </c>
      <c r="J933" s="881" t="s">
        <v>1315</v>
      </c>
      <c r="K933" s="881" t="s">
        <v>1835</v>
      </c>
      <c r="L933" s="881" t="s">
        <v>148</v>
      </c>
      <c r="M933" s="883">
        <v>1180850</v>
      </c>
      <c r="N933" s="55">
        <v>723</v>
      </c>
      <c r="O933" s="78">
        <v>1180850</v>
      </c>
    </row>
    <row r="934" spans="1:15" ht="13.5" customHeight="1" thickBot="1">
      <c r="A934" s="882"/>
      <c r="B934" s="876"/>
      <c r="C934" s="878"/>
      <c r="D934" s="882"/>
      <c r="E934" s="882"/>
      <c r="F934" s="884"/>
      <c r="G934" s="56">
        <v>721</v>
      </c>
      <c r="H934" s="882"/>
      <c r="I934" s="876"/>
      <c r="J934" s="882"/>
      <c r="K934" s="882"/>
      <c r="L934" s="882"/>
      <c r="M934" s="884"/>
      <c r="N934" s="56">
        <v>721</v>
      </c>
      <c r="O934" s="79">
        <f>+M933-O933</f>
        <v>0</v>
      </c>
    </row>
    <row r="935" spans="1:15" ht="15" customHeight="1">
      <c r="A935" s="881"/>
      <c r="B935" s="875"/>
      <c r="C935" s="881"/>
      <c r="D935" s="881"/>
      <c r="E935" s="881"/>
      <c r="F935" s="883"/>
      <c r="G935" s="55">
        <v>719</v>
      </c>
      <c r="H935" s="881"/>
      <c r="I935" s="875"/>
      <c r="J935" s="881"/>
      <c r="K935" s="881"/>
      <c r="L935" s="881"/>
      <c r="M935" s="883"/>
      <c r="N935" s="55"/>
      <c r="O935" s="78"/>
    </row>
    <row r="936" spans="1:15" ht="13.5" customHeight="1" thickBot="1">
      <c r="A936" s="882"/>
      <c r="B936" s="876"/>
      <c r="C936" s="882"/>
      <c r="D936" s="882"/>
      <c r="E936" s="882"/>
      <c r="F936" s="884"/>
      <c r="G936" s="56">
        <v>721</v>
      </c>
      <c r="H936" s="882"/>
      <c r="I936" s="876"/>
      <c r="J936" s="882"/>
      <c r="K936" s="882"/>
      <c r="L936" s="882"/>
      <c r="M936" s="884"/>
      <c r="N936" s="56"/>
      <c r="O936" s="79"/>
    </row>
    <row r="937" spans="1:15" ht="14.25" customHeight="1">
      <c r="A937" s="251"/>
      <c r="B937" s="252"/>
      <c r="C937" s="251"/>
      <c r="D937" s="251"/>
      <c r="E937" s="251"/>
      <c r="F937" s="254"/>
      <c r="G937" s="255"/>
      <c r="H937" s="881"/>
      <c r="I937" s="875"/>
      <c r="J937" s="881"/>
      <c r="K937" s="881"/>
      <c r="L937" s="881"/>
      <c r="M937" s="883"/>
      <c r="N937" s="55"/>
      <c r="O937" s="78"/>
    </row>
    <row r="938" spans="1:15" ht="14.25" customHeight="1" thickBot="1">
      <c r="A938" s="251"/>
      <c r="B938" s="252"/>
      <c r="C938" s="251"/>
      <c r="D938" s="251"/>
      <c r="E938" s="251"/>
      <c r="F938" s="254"/>
      <c r="G938" s="255"/>
      <c r="H938" s="882"/>
      <c r="I938" s="876"/>
      <c r="J938" s="882"/>
      <c r="K938" s="882"/>
      <c r="L938" s="882"/>
      <c r="M938" s="884"/>
      <c r="N938" s="56"/>
      <c r="O938" s="79"/>
    </row>
    <row r="939" spans="1:15" ht="15" customHeight="1">
      <c r="A939" s="881"/>
      <c r="B939" s="875"/>
      <c r="C939" s="877"/>
      <c r="D939" s="881"/>
      <c r="E939" s="881"/>
      <c r="F939" s="883"/>
      <c r="G939" s="55">
        <v>719</v>
      </c>
      <c r="H939" s="881"/>
      <c r="I939" s="875"/>
      <c r="J939" s="881"/>
      <c r="K939" s="881"/>
      <c r="L939" s="881"/>
      <c r="M939" s="883"/>
      <c r="N939" s="55"/>
      <c r="O939" s="78"/>
    </row>
    <row r="940" spans="1:15" ht="12" customHeight="1" thickBot="1">
      <c r="A940" s="882"/>
      <c r="B940" s="876"/>
      <c r="C940" s="878"/>
      <c r="D940" s="882"/>
      <c r="E940" s="882"/>
      <c r="F940" s="884"/>
      <c r="G940" s="56">
        <v>721</v>
      </c>
      <c r="H940" s="882"/>
      <c r="I940" s="876"/>
      <c r="J940" s="882"/>
      <c r="K940" s="882"/>
      <c r="L940" s="882"/>
      <c r="M940" s="884"/>
      <c r="N940" s="56"/>
      <c r="O940" s="79"/>
    </row>
    <row r="941" spans="1:15" ht="12" customHeight="1">
      <c r="A941" s="881"/>
      <c r="B941" s="875"/>
      <c r="C941" s="881"/>
      <c r="D941" s="881"/>
      <c r="E941" s="881"/>
      <c r="F941" s="883"/>
      <c r="G941" s="55">
        <v>719</v>
      </c>
      <c r="H941" s="881"/>
      <c r="I941" s="875"/>
      <c r="J941" s="881"/>
      <c r="K941" s="881"/>
      <c r="L941" s="881"/>
      <c r="M941" s="883"/>
      <c r="N941" s="55"/>
      <c r="O941" s="78"/>
    </row>
    <row r="942" spans="1:15" ht="13.5" customHeight="1" thickBot="1">
      <c r="A942" s="882"/>
      <c r="B942" s="876"/>
      <c r="C942" s="882"/>
      <c r="D942" s="882"/>
      <c r="E942" s="882"/>
      <c r="F942" s="884"/>
      <c r="G942" s="56">
        <v>721</v>
      </c>
      <c r="H942" s="882"/>
      <c r="I942" s="876"/>
      <c r="J942" s="882"/>
      <c r="K942" s="882"/>
      <c r="L942" s="882"/>
      <c r="M942" s="884"/>
      <c r="N942" s="56"/>
      <c r="O942" s="79"/>
    </row>
    <row r="943" spans="1:15" ht="16.5" thickBot="1">
      <c r="A943" s="881"/>
      <c r="B943" s="875"/>
      <c r="C943" s="877"/>
      <c r="D943" s="881"/>
      <c r="E943" s="881"/>
      <c r="F943" s="883"/>
      <c r="G943" s="55">
        <v>719</v>
      </c>
      <c r="H943" s="901" t="s">
        <v>102</v>
      </c>
      <c r="I943" s="902"/>
      <c r="J943" s="902"/>
      <c r="K943" s="902"/>
      <c r="L943" s="903"/>
      <c r="M943" s="81">
        <f>SUM(M931:M942)</f>
        <v>2395850</v>
      </c>
    </row>
    <row r="944" spans="1:15" ht="16.5" thickBot="1">
      <c r="A944" s="882"/>
      <c r="B944" s="876"/>
      <c r="C944" s="878"/>
      <c r="D944" s="882"/>
      <c r="E944" s="882"/>
      <c r="F944" s="884"/>
      <c r="G944" s="56">
        <v>721</v>
      </c>
      <c r="H944" s="885" t="s">
        <v>103</v>
      </c>
      <c r="I944" s="886"/>
      <c r="J944" s="886"/>
      <c r="K944" s="886"/>
      <c r="L944" s="887"/>
      <c r="M944" s="239">
        <f>+M906</f>
        <v>387236068</v>
      </c>
      <c r="N944" s="241" t="s">
        <v>561</v>
      </c>
      <c r="O944" s="242">
        <f>426+85+72+16+624</f>
        <v>1223</v>
      </c>
    </row>
    <row r="945" spans="1:15" ht="16.5" thickBot="1">
      <c r="A945" s="901" t="s">
        <v>102</v>
      </c>
      <c r="B945" s="902"/>
      <c r="C945" s="902"/>
      <c r="D945" s="902"/>
      <c r="E945" s="903"/>
      <c r="F945" s="81">
        <f>SUM(F933:F944)</f>
        <v>1764708</v>
      </c>
      <c r="H945" s="888" t="s">
        <v>104</v>
      </c>
      <c r="I945" s="889"/>
      <c r="J945" s="889"/>
      <c r="K945" s="889"/>
      <c r="L945" s="890"/>
      <c r="M945" s="183">
        <f>SUM(M943:M944)</f>
        <v>389631918</v>
      </c>
    </row>
    <row r="946" spans="1:15" ht="12" customHeight="1" thickBot="1">
      <c r="A946" s="885" t="s">
        <v>103</v>
      </c>
      <c r="B946" s="886"/>
      <c r="C946" s="886"/>
      <c r="D946" s="886"/>
      <c r="E946" s="887"/>
      <c r="F946" s="69" t="e">
        <f>+F908</f>
        <v>#REF!</v>
      </c>
      <c r="H946" s="61"/>
      <c r="I946" s="61"/>
      <c r="J946" s="61"/>
      <c r="K946" s="61"/>
      <c r="L946" s="61"/>
    </row>
    <row r="947" spans="1:15" ht="16.5" thickBot="1">
      <c r="A947" s="888" t="s">
        <v>104</v>
      </c>
      <c r="B947" s="889"/>
      <c r="C947" s="889"/>
      <c r="D947" s="889"/>
      <c r="E947" s="890"/>
      <c r="F947" s="183" t="e">
        <f>SUM(F945:F946)</f>
        <v>#REF!</v>
      </c>
      <c r="H947" s="51" t="s">
        <v>1518</v>
      </c>
    </row>
    <row r="948" spans="1:15" ht="9" customHeight="1">
      <c r="A948" s="61"/>
      <c r="B948" s="61"/>
      <c r="C948" s="61"/>
      <c r="D948" s="61"/>
      <c r="E948" s="61"/>
      <c r="M948" s="139"/>
    </row>
    <row r="949" spans="1:15">
      <c r="A949" s="51" t="s">
        <v>461</v>
      </c>
      <c r="H949" s="50" t="s">
        <v>105</v>
      </c>
      <c r="K949" s="146"/>
      <c r="M949" s="139"/>
    </row>
    <row r="950" spans="1:15" ht="12.75" customHeight="1" thickBot="1">
      <c r="F950" s="139"/>
    </row>
    <row r="951" spans="1:15" ht="15.75" thickBot="1">
      <c r="A951" s="50" t="s">
        <v>105</v>
      </c>
      <c r="D951" s="146"/>
      <c r="F951" s="139"/>
      <c r="H951" s="891" t="s">
        <v>106</v>
      </c>
      <c r="I951" s="892"/>
      <c r="J951" s="892"/>
      <c r="K951" s="893"/>
      <c r="M951" s="50" t="s">
        <v>288</v>
      </c>
    </row>
    <row r="952" spans="1:15" ht="12.75" customHeight="1" thickBot="1">
      <c r="H952" s="57" t="s">
        <v>100</v>
      </c>
      <c r="I952" s="58" t="s">
        <v>108</v>
      </c>
      <c r="J952" s="59" t="s">
        <v>109</v>
      </c>
      <c r="K952" s="60" t="s">
        <v>110</v>
      </c>
    </row>
    <row r="953" spans="1:15" ht="13.5" customHeight="1" thickBot="1">
      <c r="A953" s="891" t="s">
        <v>106</v>
      </c>
      <c r="B953" s="892"/>
      <c r="C953" s="892"/>
      <c r="D953" s="893"/>
      <c r="F953" s="50" t="s">
        <v>288</v>
      </c>
      <c r="H953" s="71">
        <v>719</v>
      </c>
      <c r="I953" s="73">
        <f>+O931+O935+O939+O941+O937</f>
        <v>900000</v>
      </c>
      <c r="J953" s="74">
        <f>+K914</f>
        <v>33550000</v>
      </c>
      <c r="K953" s="195">
        <f>+I953+J953</f>
        <v>34450000</v>
      </c>
    </row>
    <row r="954" spans="1:15" ht="13.5" customHeight="1" thickBot="1">
      <c r="A954" s="57" t="s">
        <v>100</v>
      </c>
      <c r="B954" s="58" t="s">
        <v>108</v>
      </c>
      <c r="C954" s="59" t="s">
        <v>109</v>
      </c>
      <c r="D954" s="60" t="s">
        <v>110</v>
      </c>
      <c r="H954" s="72">
        <v>721</v>
      </c>
      <c r="I954" s="80">
        <f>+O932+O934+O936+O940+O942+O938</f>
        <v>315000</v>
      </c>
      <c r="J954" s="74">
        <f>+K915</f>
        <v>18744500</v>
      </c>
      <c r="K954" s="195">
        <f>+I954+J954</f>
        <v>19059500</v>
      </c>
    </row>
    <row r="955" spans="1:15" ht="12.75" customHeight="1">
      <c r="A955" s="71">
        <v>719</v>
      </c>
      <c r="B955" s="73">
        <f>0</f>
        <v>0</v>
      </c>
      <c r="C955" s="74" t="e">
        <f>+D916</f>
        <v>#REF!</v>
      </c>
      <c r="D955" s="195" t="e">
        <f>+B955+C955</f>
        <v>#REF!</v>
      </c>
      <c r="H955" s="72">
        <v>722</v>
      </c>
      <c r="I955" s="80"/>
      <c r="J955" s="74">
        <f>+K916</f>
        <v>12949788</v>
      </c>
      <c r="K955" s="195">
        <f>+I955+J955</f>
        <v>12949788</v>
      </c>
    </row>
    <row r="956" spans="1:15" ht="14.25" customHeight="1">
      <c r="A956" s="72">
        <v>721</v>
      </c>
      <c r="B956" s="80" t="e">
        <f>+#REF!</f>
        <v>#REF!</v>
      </c>
      <c r="C956" s="74" t="e">
        <f>+D917</f>
        <v>#REF!</v>
      </c>
      <c r="D956" s="195" t="e">
        <f>+B956+C956</f>
        <v>#REF!</v>
      </c>
      <c r="H956" s="72">
        <v>723</v>
      </c>
      <c r="I956" s="80">
        <f>+O933</f>
        <v>1180850</v>
      </c>
      <c r="J956" s="74">
        <f>+K917</f>
        <v>321991780</v>
      </c>
      <c r="K956" s="195">
        <f>+I956+J956</f>
        <v>323172630</v>
      </c>
      <c r="M956" s="918" t="s">
        <v>1481</v>
      </c>
      <c r="N956" s="918"/>
      <c r="O956" s="918"/>
    </row>
    <row r="957" spans="1:15" ht="13.5" customHeight="1" thickBot="1">
      <c r="A957" s="72">
        <v>722</v>
      </c>
      <c r="B957" s="80"/>
      <c r="C957" s="74" t="e">
        <f>+D918</f>
        <v>#REF!</v>
      </c>
      <c r="D957" s="195" t="e">
        <f>+B957+C957</f>
        <v>#REF!</v>
      </c>
      <c r="H957" s="164" t="s">
        <v>181</v>
      </c>
      <c r="I957" s="165"/>
      <c r="J957" s="74">
        <f>+K918</f>
        <v>0</v>
      </c>
      <c r="K957" s="196">
        <f>+I957+J957</f>
        <v>0</v>
      </c>
      <c r="M957" s="52"/>
    </row>
    <row r="958" spans="1:15" ht="16.5" thickBot="1">
      <c r="A958" s="72">
        <v>723</v>
      </c>
      <c r="B958" s="80" t="e">
        <f>+#REF!</f>
        <v>#REF!</v>
      </c>
      <c r="C958" s="74" t="e">
        <f>+D919</f>
        <v>#REF!</v>
      </c>
      <c r="D958" s="195" t="e">
        <f>+B958+C958</f>
        <v>#REF!</v>
      </c>
      <c r="F958" s="174" t="s">
        <v>23</v>
      </c>
      <c r="G958" s="175"/>
      <c r="H958" s="169"/>
      <c r="I958" s="197">
        <f>SUM(I953:I957)</f>
        <v>2395850</v>
      </c>
      <c r="J958" s="197">
        <f>SUM(J953:J957)</f>
        <v>387236068</v>
      </c>
      <c r="K958" s="198">
        <f>SUM(K953:K957)</f>
        <v>389631918</v>
      </c>
    </row>
    <row r="959" spans="1:15" ht="17.25" thickBot="1">
      <c r="A959" s="164" t="s">
        <v>181</v>
      </c>
      <c r="B959" s="165"/>
      <c r="C959" s="74" t="e">
        <f>+D920</f>
        <v>#REF!</v>
      </c>
      <c r="D959" s="196" t="e">
        <f>+B959+C959</f>
        <v>#REF!</v>
      </c>
      <c r="F959" s="52"/>
      <c r="H959" s="49" t="s">
        <v>88</v>
      </c>
      <c r="I959" s="50"/>
    </row>
    <row r="960" spans="1:15" ht="16.5" thickBot="1">
      <c r="A960" s="169"/>
      <c r="B960" s="170" t="e">
        <f>SUM(B955:B959)</f>
        <v>#REF!</v>
      </c>
      <c r="C960" s="171" t="e">
        <f>SUM(C955:C959)</f>
        <v>#REF!</v>
      </c>
      <c r="D960" s="172" t="e">
        <f>SUM(D955:D959)</f>
        <v>#REF!</v>
      </c>
      <c r="H960" s="51" t="s">
        <v>89</v>
      </c>
    </row>
    <row r="961" spans="1:15" ht="16.5">
      <c r="A961" s="49" t="s">
        <v>88</v>
      </c>
      <c r="B961" s="50"/>
      <c r="H961" s="51" t="s">
        <v>90</v>
      </c>
    </row>
    <row r="962" spans="1:15">
      <c r="A962" s="51" t="s">
        <v>89</v>
      </c>
      <c r="H962" s="51" t="s">
        <v>91</v>
      </c>
    </row>
    <row r="963" spans="1:15" ht="13.5" customHeight="1">
      <c r="A963" s="51" t="s">
        <v>90</v>
      </c>
      <c r="H963" s="50"/>
      <c r="I963" s="50"/>
    </row>
    <row r="964" spans="1:15" ht="16.5">
      <c r="A964" s="51" t="s">
        <v>91</v>
      </c>
      <c r="H964" s="52" t="s">
        <v>814</v>
      </c>
      <c r="N964" s="52"/>
    </row>
    <row r="965" spans="1:15" ht="13.5" customHeight="1">
      <c r="A965" s="50"/>
      <c r="B965" s="50"/>
      <c r="H965" s="53" t="s">
        <v>1702</v>
      </c>
      <c r="N965" s="53"/>
    </row>
    <row r="966" spans="1:15" ht="16.5">
      <c r="A966" s="52" t="s">
        <v>463</v>
      </c>
      <c r="G966" s="52"/>
      <c r="H966" s="894" t="s">
        <v>903</v>
      </c>
      <c r="I966" s="894"/>
      <c r="J966" s="894"/>
      <c r="K966" s="894"/>
      <c r="L966" s="894"/>
      <c r="M966" s="894"/>
      <c r="N966" s="894"/>
      <c r="O966" s="894"/>
    </row>
    <row r="967" spans="1:15" ht="13.5" customHeight="1" thickBot="1">
      <c r="A967" s="53" t="s">
        <v>92</v>
      </c>
      <c r="G967" s="53"/>
    </row>
    <row r="968" spans="1:15" ht="16.5">
      <c r="A968" s="894" t="s">
        <v>462</v>
      </c>
      <c r="B968" s="894"/>
      <c r="C968" s="894"/>
      <c r="D968" s="894"/>
      <c r="E968" s="894"/>
      <c r="F968" s="894"/>
      <c r="G968" s="894"/>
      <c r="H968" s="895" t="s">
        <v>94</v>
      </c>
      <c r="I968" s="897" t="s">
        <v>95</v>
      </c>
      <c r="J968" s="897" t="s">
        <v>96</v>
      </c>
      <c r="K968" s="897" t="s">
        <v>3</v>
      </c>
      <c r="L968" s="897" t="s">
        <v>97</v>
      </c>
      <c r="M968" s="897" t="s">
        <v>98</v>
      </c>
      <c r="N968" s="897" t="s">
        <v>99</v>
      </c>
      <c r="O968" s="899"/>
    </row>
    <row r="969" spans="1:15" ht="15.75" thickBot="1">
      <c r="H969" s="896"/>
      <c r="I969" s="898"/>
      <c r="J969" s="898"/>
      <c r="K969" s="898"/>
      <c r="L969" s="898"/>
      <c r="M969" s="898"/>
      <c r="N969" s="240" t="s">
        <v>100</v>
      </c>
      <c r="O969" s="182" t="s">
        <v>101</v>
      </c>
    </row>
    <row r="970" spans="1:15" ht="12.75" customHeight="1">
      <c r="A970" s="895" t="s">
        <v>94</v>
      </c>
      <c r="B970" s="897" t="s">
        <v>95</v>
      </c>
      <c r="C970" s="897" t="s">
        <v>96</v>
      </c>
      <c r="D970" s="897" t="s">
        <v>3</v>
      </c>
      <c r="E970" s="897" t="s">
        <v>97</v>
      </c>
      <c r="F970" s="897" t="s">
        <v>98</v>
      </c>
      <c r="G970" s="500" t="s">
        <v>99</v>
      </c>
      <c r="H970" s="873" t="s">
        <v>772</v>
      </c>
      <c r="I970" s="875">
        <v>43742</v>
      </c>
      <c r="J970" s="881" t="s">
        <v>1836</v>
      </c>
      <c r="K970" s="881" t="s">
        <v>1837</v>
      </c>
      <c r="L970" s="881" t="s">
        <v>148</v>
      </c>
      <c r="M970" s="883">
        <v>800000</v>
      </c>
      <c r="N970" s="55">
        <v>723</v>
      </c>
      <c r="O970" s="78">
        <v>800000</v>
      </c>
    </row>
    <row r="971" spans="1:15" ht="12.75" customHeight="1" thickBot="1">
      <c r="A971" s="896"/>
      <c r="B971" s="898"/>
      <c r="C971" s="898"/>
      <c r="D971" s="898"/>
      <c r="E971" s="898"/>
      <c r="F971" s="898"/>
      <c r="G971" s="240" t="s">
        <v>100</v>
      </c>
      <c r="H971" s="874"/>
      <c r="I971" s="876"/>
      <c r="J971" s="882"/>
      <c r="K971" s="882"/>
      <c r="L971" s="882"/>
      <c r="M971" s="884"/>
      <c r="N971" s="56">
        <v>721</v>
      </c>
      <c r="O971" s="79">
        <f>+M970-O970</f>
        <v>0</v>
      </c>
    </row>
    <row r="972" spans="1:15" ht="13.5" customHeight="1">
      <c r="A972" s="881" t="e">
        <f>+A933+1</f>
        <v>#REF!</v>
      </c>
      <c r="B972" s="875">
        <v>42332</v>
      </c>
      <c r="C972" s="877" t="s">
        <v>272</v>
      </c>
      <c r="D972" s="881" t="s">
        <v>467</v>
      </c>
      <c r="E972" s="881" t="s">
        <v>115</v>
      </c>
      <c r="F972" s="883">
        <v>120000</v>
      </c>
      <c r="G972" s="55">
        <v>719</v>
      </c>
      <c r="H972" s="881">
        <f>+H970+1</f>
        <v>103</v>
      </c>
      <c r="I972" s="875">
        <v>43742</v>
      </c>
      <c r="J972" s="910" t="s">
        <v>555</v>
      </c>
      <c r="K972" s="881" t="s">
        <v>1819</v>
      </c>
      <c r="L972" s="881" t="s">
        <v>148</v>
      </c>
      <c r="M972" s="883">
        <v>1750000</v>
      </c>
      <c r="N972" s="55">
        <v>723</v>
      </c>
      <c r="O972" s="78">
        <v>1750000</v>
      </c>
    </row>
    <row r="973" spans="1:15" ht="13.5" customHeight="1" thickBot="1">
      <c r="A973" s="882"/>
      <c r="B973" s="876"/>
      <c r="C973" s="878"/>
      <c r="D973" s="882"/>
      <c r="E973" s="882"/>
      <c r="F973" s="884"/>
      <c r="G973" s="56">
        <v>721</v>
      </c>
      <c r="H973" s="882"/>
      <c r="I973" s="876"/>
      <c r="J973" s="911"/>
      <c r="K973" s="882"/>
      <c r="L973" s="882"/>
      <c r="M973" s="884"/>
      <c r="N973" s="56">
        <v>721</v>
      </c>
      <c r="O973" s="79">
        <f>+M972-O972</f>
        <v>0</v>
      </c>
    </row>
    <row r="974" spans="1:15" ht="12.75" customHeight="1">
      <c r="A974" s="881" t="e">
        <f>+A972+1</f>
        <v>#REF!</v>
      </c>
      <c r="B974" s="875">
        <v>42332</v>
      </c>
      <c r="C974" s="881" t="s">
        <v>28</v>
      </c>
      <c r="D974" s="881" t="s">
        <v>466</v>
      </c>
      <c r="E974" s="881" t="s">
        <v>115</v>
      </c>
      <c r="F974" s="883">
        <v>50000</v>
      </c>
      <c r="G974" s="55">
        <v>719</v>
      </c>
      <c r="H974" s="881">
        <f>+H972+1</f>
        <v>104</v>
      </c>
      <c r="I974" s="875">
        <v>43742</v>
      </c>
      <c r="J974" s="910" t="s">
        <v>1838</v>
      </c>
      <c r="K974" s="881" t="s">
        <v>1716</v>
      </c>
      <c r="L974" s="881" t="s">
        <v>148</v>
      </c>
      <c r="M974" s="883">
        <v>552000</v>
      </c>
      <c r="N974" s="55">
        <v>723</v>
      </c>
      <c r="O974" s="78">
        <v>552000</v>
      </c>
    </row>
    <row r="975" spans="1:15" ht="10.5" customHeight="1" thickBot="1">
      <c r="A975" s="882"/>
      <c r="B975" s="876"/>
      <c r="C975" s="882"/>
      <c r="D975" s="882"/>
      <c r="E975" s="882"/>
      <c r="F975" s="884"/>
      <c r="G975" s="56">
        <v>721</v>
      </c>
      <c r="H975" s="882"/>
      <c r="I975" s="876"/>
      <c r="J975" s="911"/>
      <c r="K975" s="882"/>
      <c r="L975" s="882"/>
      <c r="M975" s="884"/>
      <c r="N975" s="56">
        <v>721</v>
      </c>
      <c r="O975" s="79">
        <f>+M974-O974</f>
        <v>0</v>
      </c>
    </row>
    <row r="976" spans="1:15" ht="11.25" customHeight="1">
      <c r="A976" s="251"/>
      <c r="B976" s="252"/>
      <c r="C976" s="251"/>
      <c r="D976" s="251"/>
      <c r="E976" s="251"/>
      <c r="F976" s="254"/>
      <c r="G976" s="255"/>
      <c r="H976" s="881">
        <f>+H974+1</f>
        <v>105</v>
      </c>
      <c r="I976" s="875">
        <v>43742</v>
      </c>
      <c r="J976" s="910" t="s">
        <v>677</v>
      </c>
      <c r="K976" s="881" t="s">
        <v>1716</v>
      </c>
      <c r="L976" s="881" t="s">
        <v>148</v>
      </c>
      <c r="M976" s="883">
        <v>369410</v>
      </c>
      <c r="N976" s="55">
        <v>723</v>
      </c>
      <c r="O976" s="78">
        <v>369410</v>
      </c>
    </row>
    <row r="977" spans="1:15" ht="12" customHeight="1" thickBot="1">
      <c r="A977" s="251"/>
      <c r="B977" s="252"/>
      <c r="C977" s="251"/>
      <c r="D977" s="251"/>
      <c r="E977" s="251"/>
      <c r="F977" s="254"/>
      <c r="G977" s="255"/>
      <c r="H977" s="882"/>
      <c r="I977" s="876"/>
      <c r="J977" s="911"/>
      <c r="K977" s="882"/>
      <c r="L977" s="882"/>
      <c r="M977" s="884"/>
      <c r="N977" s="56">
        <v>721</v>
      </c>
      <c r="O977" s="79">
        <f>+M976-O976</f>
        <v>0</v>
      </c>
    </row>
    <row r="978" spans="1:15" ht="11.25" customHeight="1">
      <c r="A978" s="881" t="e">
        <f>+A974+1</f>
        <v>#REF!</v>
      </c>
      <c r="B978" s="875">
        <v>42332</v>
      </c>
      <c r="C978" s="877" t="s">
        <v>32</v>
      </c>
      <c r="D978" s="881" t="s">
        <v>465</v>
      </c>
      <c r="E978" s="881" t="s">
        <v>115</v>
      </c>
      <c r="F978" s="883">
        <v>20000</v>
      </c>
      <c r="G978" s="55">
        <v>719</v>
      </c>
      <c r="H978" s="881"/>
      <c r="I978" s="875"/>
      <c r="J978" s="881"/>
      <c r="K978" s="881"/>
      <c r="L978" s="881"/>
      <c r="M978" s="883"/>
      <c r="N978" s="55">
        <v>719</v>
      </c>
      <c r="O978" s="78"/>
    </row>
    <row r="979" spans="1:15" ht="12.75" customHeight="1" thickBot="1">
      <c r="A979" s="882"/>
      <c r="B979" s="876"/>
      <c r="C979" s="878"/>
      <c r="D979" s="882"/>
      <c r="E979" s="882"/>
      <c r="F979" s="884"/>
      <c r="G979" s="56">
        <v>721</v>
      </c>
      <c r="H979" s="882"/>
      <c r="I979" s="876"/>
      <c r="J979" s="882"/>
      <c r="K979" s="882"/>
      <c r="L979" s="882"/>
      <c r="M979" s="884"/>
      <c r="N979" s="56">
        <v>721</v>
      </c>
      <c r="O979" s="79"/>
    </row>
    <row r="980" spans="1:15" ht="13.5" customHeight="1">
      <c r="A980" s="881" t="e">
        <f>+A978+1</f>
        <v>#REF!</v>
      </c>
      <c r="B980" s="875">
        <v>42332</v>
      </c>
      <c r="C980" s="877" t="s">
        <v>120</v>
      </c>
      <c r="D980" s="881" t="s">
        <v>464</v>
      </c>
      <c r="E980" s="881" t="s">
        <v>115</v>
      </c>
      <c r="F980" s="883">
        <v>120000</v>
      </c>
      <c r="G980" s="55">
        <v>719</v>
      </c>
      <c r="H980" s="881"/>
      <c r="I980" s="875"/>
      <c r="J980" s="881"/>
      <c r="K980" s="881"/>
      <c r="L980" s="881"/>
      <c r="M980" s="883"/>
      <c r="N980" s="55">
        <v>719</v>
      </c>
      <c r="O980" s="78">
        <v>0</v>
      </c>
    </row>
    <row r="981" spans="1:15" ht="13.5" customHeight="1" thickBot="1">
      <c r="A981" s="882"/>
      <c r="B981" s="876"/>
      <c r="C981" s="878"/>
      <c r="D981" s="882"/>
      <c r="E981" s="882"/>
      <c r="F981" s="884"/>
      <c r="G981" s="56">
        <v>721</v>
      </c>
      <c r="H981" s="882"/>
      <c r="I981" s="876"/>
      <c r="J981" s="882"/>
      <c r="K981" s="882"/>
      <c r="L981" s="882"/>
      <c r="M981" s="884"/>
      <c r="N981" s="56">
        <v>721</v>
      </c>
      <c r="O981" s="79">
        <f>+M980-O980</f>
        <v>0</v>
      </c>
    </row>
    <row r="982" spans="1:15" ht="16.5" thickBot="1">
      <c r="A982" s="881"/>
      <c r="B982" s="875"/>
      <c r="C982" s="877"/>
      <c r="D982" s="881"/>
      <c r="E982" s="881"/>
      <c r="F982" s="883"/>
      <c r="G982" s="55">
        <v>719</v>
      </c>
      <c r="H982" s="901" t="s">
        <v>102</v>
      </c>
      <c r="I982" s="902"/>
      <c r="J982" s="902"/>
      <c r="K982" s="902"/>
      <c r="L982" s="903"/>
      <c r="M982" s="81">
        <f>SUM(M970:M981)</f>
        <v>3471410</v>
      </c>
    </row>
    <row r="983" spans="1:15" ht="16.5" thickBot="1">
      <c r="A983" s="882"/>
      <c r="B983" s="876"/>
      <c r="C983" s="878"/>
      <c r="D983" s="882"/>
      <c r="E983" s="882"/>
      <c r="F983" s="884"/>
      <c r="G983" s="56">
        <v>721</v>
      </c>
      <c r="H983" s="885" t="s">
        <v>103</v>
      </c>
      <c r="I983" s="886"/>
      <c r="J983" s="886"/>
      <c r="K983" s="886"/>
      <c r="L983" s="887"/>
      <c r="M983" s="239">
        <f>+M945</f>
        <v>389631918</v>
      </c>
      <c r="N983" s="241" t="s">
        <v>561</v>
      </c>
      <c r="O983" s="242">
        <f>701+647+663+279+406+423</f>
        <v>3119</v>
      </c>
    </row>
    <row r="984" spans="1:15" ht="16.5" thickBot="1">
      <c r="A984" s="901" t="s">
        <v>102</v>
      </c>
      <c r="B984" s="902"/>
      <c r="C984" s="902"/>
      <c r="D984" s="902"/>
      <c r="E984" s="903"/>
      <c r="F984" s="81">
        <f>SUM(F972:F983)</f>
        <v>310000</v>
      </c>
      <c r="H984" s="888" t="s">
        <v>104</v>
      </c>
      <c r="I984" s="889"/>
      <c r="J984" s="889"/>
      <c r="K984" s="889"/>
      <c r="L984" s="890"/>
      <c r="M984" s="183">
        <f>SUM(M982:M983)</f>
        <v>393103328</v>
      </c>
    </row>
    <row r="985" spans="1:15" ht="12.75" customHeight="1" thickBot="1">
      <c r="A985" s="885" t="s">
        <v>103</v>
      </c>
      <c r="B985" s="886"/>
      <c r="C985" s="886"/>
      <c r="D985" s="886"/>
      <c r="E985" s="887"/>
      <c r="F985" s="69" t="e">
        <f>+F947</f>
        <v>#REF!</v>
      </c>
      <c r="H985" s="61"/>
      <c r="I985" s="61"/>
      <c r="J985" s="61"/>
      <c r="K985" s="61"/>
      <c r="L985" s="61"/>
    </row>
    <row r="986" spans="1:15" ht="16.5" thickBot="1">
      <c r="A986" s="888" t="s">
        <v>104</v>
      </c>
      <c r="B986" s="889"/>
      <c r="C986" s="889"/>
      <c r="D986" s="889"/>
      <c r="E986" s="890"/>
      <c r="F986" s="183" t="e">
        <f>SUM(F984:F985)</f>
        <v>#REF!</v>
      </c>
      <c r="H986" s="51" t="s">
        <v>1525</v>
      </c>
    </row>
    <row r="987" spans="1:15" ht="7.5" customHeight="1">
      <c r="A987" s="61"/>
      <c r="B987" s="61"/>
      <c r="C987" s="61"/>
      <c r="D987" s="61"/>
      <c r="E987" s="61"/>
      <c r="M987" s="139"/>
    </row>
    <row r="988" spans="1:15">
      <c r="A988" s="51" t="s">
        <v>468</v>
      </c>
      <c r="H988" s="50" t="s">
        <v>105</v>
      </c>
      <c r="K988" s="146"/>
      <c r="M988" s="139"/>
    </row>
    <row r="989" spans="1:15" ht="12" customHeight="1" thickBot="1">
      <c r="F989" s="139"/>
    </row>
    <row r="990" spans="1:15" ht="15.75" customHeight="1" thickBot="1">
      <c r="A990" s="50" t="s">
        <v>105</v>
      </c>
      <c r="D990" s="146"/>
      <c r="F990" s="139"/>
      <c r="H990" s="891" t="s">
        <v>106</v>
      </c>
      <c r="I990" s="892"/>
      <c r="J990" s="892"/>
      <c r="K990" s="893"/>
      <c r="M990" s="50" t="s">
        <v>288</v>
      </c>
    </row>
    <row r="991" spans="1:15" ht="12" customHeight="1" thickBot="1">
      <c r="H991" s="57" t="s">
        <v>100</v>
      </c>
      <c r="I991" s="58" t="s">
        <v>108</v>
      </c>
      <c r="J991" s="59" t="s">
        <v>109</v>
      </c>
      <c r="K991" s="60" t="s">
        <v>110</v>
      </c>
    </row>
    <row r="992" spans="1:15" ht="14.25" customHeight="1" thickBot="1">
      <c r="A992" s="891" t="s">
        <v>106</v>
      </c>
      <c r="B992" s="892"/>
      <c r="C992" s="892"/>
      <c r="D992" s="893"/>
      <c r="F992" s="50" t="s">
        <v>288</v>
      </c>
      <c r="H992" s="71">
        <v>719</v>
      </c>
      <c r="I992" s="73"/>
      <c r="J992" s="74">
        <f>+K953</f>
        <v>34450000</v>
      </c>
      <c r="K992" s="195">
        <f>+I992+J992</f>
        <v>34450000</v>
      </c>
    </row>
    <row r="993" spans="1:15" ht="14.25" customHeight="1" thickBot="1">
      <c r="A993" s="57" t="s">
        <v>100</v>
      </c>
      <c r="B993" s="58" t="s">
        <v>108</v>
      </c>
      <c r="C993" s="59" t="s">
        <v>109</v>
      </c>
      <c r="D993" s="60" t="s">
        <v>110</v>
      </c>
      <c r="H993" s="72">
        <v>721</v>
      </c>
      <c r="I993" s="80">
        <f>+O971+O973+O975+O979+O981</f>
        <v>0</v>
      </c>
      <c r="J993" s="74">
        <f>+K954</f>
        <v>19059500</v>
      </c>
      <c r="K993" s="195">
        <f>+I993+J993</f>
        <v>19059500</v>
      </c>
    </row>
    <row r="994" spans="1:15" ht="15.75" customHeight="1">
      <c r="A994" s="71">
        <v>719</v>
      </c>
      <c r="B994" s="73" t="e">
        <f>+#REF!+#REF!+#REF!+#REF!</f>
        <v>#REF!</v>
      </c>
      <c r="C994" s="74" t="e">
        <f>+D955</f>
        <v>#REF!</v>
      </c>
      <c r="D994" s="195" t="e">
        <f>+B994+C994</f>
        <v>#REF!</v>
      </c>
      <c r="H994" s="72">
        <v>722</v>
      </c>
      <c r="I994" s="80"/>
      <c r="J994" s="74">
        <f>+K955</f>
        <v>12949788</v>
      </c>
      <c r="K994" s="195">
        <f>+I994+J994</f>
        <v>12949788</v>
      </c>
    </row>
    <row r="995" spans="1:15" ht="15.75" customHeight="1" thickBot="1">
      <c r="A995" s="72">
        <v>721</v>
      </c>
      <c r="B995" s="80" t="e">
        <f>+#REF!</f>
        <v>#REF!</v>
      </c>
      <c r="C995" s="74" t="e">
        <f>+D956</f>
        <v>#REF!</v>
      </c>
      <c r="D995" s="195" t="e">
        <f>+B995+C995</f>
        <v>#REF!</v>
      </c>
      <c r="H995" s="72">
        <v>723</v>
      </c>
      <c r="I995" s="80">
        <f>+O970+O972+O974+O976</f>
        <v>3471410</v>
      </c>
      <c r="J995" s="74">
        <f>+K956</f>
        <v>323172630</v>
      </c>
      <c r="K995" s="195">
        <f>+I995+J995</f>
        <v>326644040</v>
      </c>
      <c r="M995" s="918" t="s">
        <v>1696</v>
      </c>
      <c r="N995" s="918"/>
      <c r="O995" s="918"/>
    </row>
    <row r="996" spans="1:15" ht="14.25" hidden="1" customHeight="1" thickBot="1">
      <c r="A996" s="72">
        <v>722</v>
      </c>
      <c r="B996" s="80"/>
      <c r="C996" s="74" t="e">
        <f>+D957</f>
        <v>#REF!</v>
      </c>
      <c r="D996" s="195" t="e">
        <f>+B996+C996</f>
        <v>#REF!</v>
      </c>
      <c r="H996" s="164" t="s">
        <v>181</v>
      </c>
      <c r="I996" s="165"/>
      <c r="J996" s="74">
        <f>+K957</f>
        <v>0</v>
      </c>
      <c r="K996" s="196">
        <f>+I996+J996</f>
        <v>0</v>
      </c>
      <c r="M996" s="52"/>
    </row>
    <row r="997" spans="1:15" ht="16.5" customHeight="1" thickBot="1">
      <c r="A997" s="72">
        <v>723</v>
      </c>
      <c r="B997" s="80"/>
      <c r="C997" s="74" t="e">
        <f>+D958</f>
        <v>#REF!</v>
      </c>
      <c r="D997" s="195" t="e">
        <f>+B997+C997</f>
        <v>#REF!</v>
      </c>
      <c r="F997" s="174" t="s">
        <v>23</v>
      </c>
      <c r="G997" s="175"/>
      <c r="H997" s="169"/>
      <c r="I997" s="197">
        <f>SUM(I992:I996)</f>
        <v>3471410</v>
      </c>
      <c r="J997" s="197">
        <f>SUM(J992:J996)</f>
        <v>389631918</v>
      </c>
      <c r="K997" s="198">
        <f>SUM(K992:K996)</f>
        <v>393103328</v>
      </c>
    </row>
    <row r="998" spans="1:15" ht="16.5" customHeight="1" thickBot="1">
      <c r="A998" s="164" t="s">
        <v>181</v>
      </c>
      <c r="B998" s="165"/>
      <c r="C998" s="74" t="e">
        <f>+D959</f>
        <v>#REF!</v>
      </c>
      <c r="D998" s="196" t="e">
        <f>+B998+C998</f>
        <v>#REF!</v>
      </c>
      <c r="F998" s="52"/>
      <c r="H998" s="49" t="s">
        <v>88</v>
      </c>
      <c r="I998" s="50"/>
    </row>
    <row r="999" spans="1:15" ht="16.5" thickBot="1">
      <c r="A999" s="169"/>
      <c r="B999" s="170" t="e">
        <f>SUM(B994:B998)</f>
        <v>#REF!</v>
      </c>
      <c r="C999" s="171" t="e">
        <f>SUM(C994:C998)</f>
        <v>#REF!</v>
      </c>
      <c r="D999" s="172" t="e">
        <f>SUM(D994:D998)</f>
        <v>#REF!</v>
      </c>
      <c r="H999" s="51" t="s">
        <v>89</v>
      </c>
    </row>
    <row r="1000" spans="1:15" ht="16.5">
      <c r="A1000" s="49" t="s">
        <v>88</v>
      </c>
      <c r="B1000" s="50"/>
      <c r="H1000" s="51" t="s">
        <v>90</v>
      </c>
    </row>
    <row r="1001" spans="1:15">
      <c r="A1001" s="51" t="s">
        <v>89</v>
      </c>
      <c r="H1001" s="51" t="s">
        <v>91</v>
      </c>
    </row>
    <row r="1002" spans="1:15" ht="6" customHeight="1">
      <c r="A1002" s="51" t="s">
        <v>90</v>
      </c>
      <c r="H1002" s="50"/>
      <c r="I1002" s="50"/>
    </row>
    <row r="1003" spans="1:15" ht="16.5">
      <c r="A1003" s="51" t="s">
        <v>91</v>
      </c>
      <c r="H1003" s="52" t="s">
        <v>836</v>
      </c>
      <c r="N1003" s="52"/>
    </row>
    <row r="1004" spans="1:15" ht="14.25" customHeight="1">
      <c r="A1004" s="50"/>
      <c r="B1004" s="50"/>
      <c r="H1004" s="53" t="s">
        <v>1702</v>
      </c>
      <c r="N1004" s="53"/>
    </row>
    <row r="1005" spans="1:15" ht="16.5">
      <c r="A1005" s="52" t="s">
        <v>470</v>
      </c>
      <c r="G1005" s="52"/>
      <c r="H1005" s="894" t="s">
        <v>1842</v>
      </c>
      <c r="I1005" s="894"/>
      <c r="J1005" s="894"/>
      <c r="K1005" s="894"/>
      <c r="L1005" s="894"/>
      <c r="M1005" s="894"/>
      <c r="N1005" s="894"/>
      <c r="O1005" s="894"/>
    </row>
    <row r="1006" spans="1:15" ht="17.25" customHeight="1" thickBot="1">
      <c r="A1006" s="53" t="s">
        <v>92</v>
      </c>
      <c r="G1006" s="53"/>
    </row>
    <row r="1007" spans="1:15" ht="16.5">
      <c r="A1007" s="894" t="s">
        <v>462</v>
      </c>
      <c r="B1007" s="894"/>
      <c r="C1007" s="894"/>
      <c r="D1007" s="894"/>
      <c r="E1007" s="894"/>
      <c r="F1007" s="894"/>
      <c r="G1007" s="894"/>
      <c r="H1007" s="895" t="s">
        <v>94</v>
      </c>
      <c r="I1007" s="897" t="s">
        <v>95</v>
      </c>
      <c r="J1007" s="897" t="s">
        <v>96</v>
      </c>
      <c r="K1007" s="897" t="s">
        <v>3</v>
      </c>
      <c r="L1007" s="897" t="s">
        <v>97</v>
      </c>
      <c r="M1007" s="897" t="s">
        <v>98</v>
      </c>
      <c r="N1007" s="897" t="s">
        <v>99</v>
      </c>
      <c r="O1007" s="899"/>
    </row>
    <row r="1008" spans="1:15" ht="15.75" thickBot="1">
      <c r="H1008" s="896"/>
      <c r="I1008" s="898"/>
      <c r="J1008" s="898"/>
      <c r="K1008" s="898"/>
      <c r="L1008" s="898"/>
      <c r="M1008" s="898"/>
      <c r="N1008" s="240" t="s">
        <v>100</v>
      </c>
      <c r="O1008" s="182" t="s">
        <v>101</v>
      </c>
    </row>
    <row r="1009" spans="1:15" ht="14.25" customHeight="1">
      <c r="A1009" s="895" t="s">
        <v>94</v>
      </c>
      <c r="B1009" s="897" t="s">
        <v>95</v>
      </c>
      <c r="C1009" s="897" t="s">
        <v>96</v>
      </c>
      <c r="D1009" s="897" t="s">
        <v>3</v>
      </c>
      <c r="E1009" s="897" t="s">
        <v>97</v>
      </c>
      <c r="F1009" s="897" t="s">
        <v>98</v>
      </c>
      <c r="G1009" s="500" t="s">
        <v>99</v>
      </c>
      <c r="H1009" s="873" t="s">
        <v>545</v>
      </c>
      <c r="I1009" s="875">
        <v>43749</v>
      </c>
      <c r="J1009" s="910" t="s">
        <v>555</v>
      </c>
      <c r="K1009" s="881" t="s">
        <v>1819</v>
      </c>
      <c r="L1009" s="881" t="s">
        <v>148</v>
      </c>
      <c r="M1009" s="883">
        <v>-1750000</v>
      </c>
      <c r="N1009" s="55">
        <v>723</v>
      </c>
      <c r="O1009" s="78">
        <f>M1009</f>
        <v>-1750000</v>
      </c>
    </row>
    <row r="1010" spans="1:15" ht="12" customHeight="1" thickBot="1">
      <c r="A1010" s="896"/>
      <c r="B1010" s="898"/>
      <c r="C1010" s="898"/>
      <c r="D1010" s="898"/>
      <c r="E1010" s="898"/>
      <c r="F1010" s="898"/>
      <c r="G1010" s="240" t="s">
        <v>100</v>
      </c>
      <c r="H1010" s="874"/>
      <c r="I1010" s="876"/>
      <c r="J1010" s="911"/>
      <c r="K1010" s="882"/>
      <c r="L1010" s="882"/>
      <c r="M1010" s="884"/>
      <c r="N1010" s="56">
        <v>721</v>
      </c>
      <c r="O1010" s="79">
        <v>0</v>
      </c>
    </row>
    <row r="1011" spans="1:15" ht="12.75" customHeight="1">
      <c r="A1011" s="881" t="e">
        <f>+A972+1</f>
        <v>#REF!</v>
      </c>
      <c r="B1011" s="875">
        <v>42345</v>
      </c>
      <c r="C1011" s="877" t="s">
        <v>267</v>
      </c>
      <c r="D1011" s="881" t="s">
        <v>475</v>
      </c>
      <c r="E1011" s="881" t="s">
        <v>148</v>
      </c>
      <c r="F1011" s="883">
        <v>420000</v>
      </c>
      <c r="G1011" s="55">
        <v>719</v>
      </c>
      <c r="H1011" s="873" t="s">
        <v>1843</v>
      </c>
      <c r="I1011" s="875">
        <v>43749</v>
      </c>
      <c r="J1011" s="881" t="s">
        <v>1091</v>
      </c>
      <c r="K1011" s="881" t="s">
        <v>1844</v>
      </c>
      <c r="L1011" s="881" t="s">
        <v>148</v>
      </c>
      <c r="M1011" s="883">
        <v>1020000</v>
      </c>
      <c r="N1011" s="55">
        <v>719</v>
      </c>
      <c r="O1011" s="78">
        <v>1020000</v>
      </c>
    </row>
    <row r="1012" spans="1:15" ht="13.5" customHeight="1" thickBot="1">
      <c r="A1012" s="882"/>
      <c r="B1012" s="876"/>
      <c r="C1012" s="878"/>
      <c r="D1012" s="882"/>
      <c r="E1012" s="882"/>
      <c r="F1012" s="884"/>
      <c r="G1012" s="56">
        <v>721</v>
      </c>
      <c r="H1012" s="874"/>
      <c r="I1012" s="876"/>
      <c r="J1012" s="882"/>
      <c r="K1012" s="882"/>
      <c r="L1012" s="882"/>
      <c r="M1012" s="884"/>
      <c r="N1012" s="56">
        <v>721</v>
      </c>
      <c r="O1012" s="79">
        <f>+M1011-O1011</f>
        <v>0</v>
      </c>
    </row>
    <row r="1013" spans="1:15" ht="13.5" customHeight="1">
      <c r="A1013" s="881" t="e">
        <f>+A1011+1</f>
        <v>#REF!</v>
      </c>
      <c r="B1013" s="875">
        <v>42345</v>
      </c>
      <c r="C1013" s="881" t="s">
        <v>28</v>
      </c>
      <c r="D1013" s="881" t="s">
        <v>476</v>
      </c>
      <c r="E1013" s="881" t="s">
        <v>148</v>
      </c>
      <c r="F1013" s="883">
        <v>714000</v>
      </c>
      <c r="G1013" s="55">
        <v>719</v>
      </c>
      <c r="H1013" s="881">
        <f>+H1011+1</f>
        <v>107</v>
      </c>
      <c r="I1013" s="875">
        <v>43749</v>
      </c>
      <c r="J1013" s="881" t="s">
        <v>1091</v>
      </c>
      <c r="K1013" s="881" t="s">
        <v>1845</v>
      </c>
      <c r="L1013" s="881" t="s">
        <v>148</v>
      </c>
      <c r="M1013" s="883">
        <v>2430000</v>
      </c>
      <c r="N1013" s="55">
        <v>719</v>
      </c>
      <c r="O1013" s="78">
        <v>2430000</v>
      </c>
    </row>
    <row r="1014" spans="1:15" ht="13.5" customHeight="1" thickBot="1">
      <c r="A1014" s="882"/>
      <c r="B1014" s="876"/>
      <c r="C1014" s="882"/>
      <c r="D1014" s="882"/>
      <c r="E1014" s="882"/>
      <c r="F1014" s="884"/>
      <c r="G1014" s="56">
        <v>721</v>
      </c>
      <c r="H1014" s="882"/>
      <c r="I1014" s="876"/>
      <c r="J1014" s="882"/>
      <c r="K1014" s="882"/>
      <c r="L1014" s="882"/>
      <c r="M1014" s="884"/>
      <c r="N1014" s="56">
        <v>721</v>
      </c>
      <c r="O1014" s="79">
        <f>+M1013-O1013</f>
        <v>0</v>
      </c>
    </row>
    <row r="1015" spans="1:15" ht="13.5" customHeight="1">
      <c r="A1015" s="881" t="e">
        <f>+A1013+1</f>
        <v>#REF!</v>
      </c>
      <c r="B1015" s="875">
        <v>42345</v>
      </c>
      <c r="C1015" s="877" t="s">
        <v>32</v>
      </c>
      <c r="D1015" s="881" t="s">
        <v>476</v>
      </c>
      <c r="E1015" s="881" t="s">
        <v>148</v>
      </c>
      <c r="F1015" s="883">
        <v>140000</v>
      </c>
      <c r="G1015" s="55">
        <v>719</v>
      </c>
      <c r="H1015" s="881">
        <f>+H1013+1</f>
        <v>108</v>
      </c>
      <c r="I1015" s="875">
        <v>43749</v>
      </c>
      <c r="J1015" s="881" t="s">
        <v>1091</v>
      </c>
      <c r="K1015" s="881" t="s">
        <v>1846</v>
      </c>
      <c r="L1015" s="881" t="s">
        <v>148</v>
      </c>
      <c r="M1015" s="883">
        <v>370000</v>
      </c>
      <c r="N1015" s="55">
        <v>719</v>
      </c>
      <c r="O1015" s="78">
        <v>370000</v>
      </c>
    </row>
    <row r="1016" spans="1:15" ht="12.75" customHeight="1" thickBot="1">
      <c r="A1016" s="882"/>
      <c r="B1016" s="876"/>
      <c r="C1016" s="878"/>
      <c r="D1016" s="882"/>
      <c r="E1016" s="882"/>
      <c r="F1016" s="884"/>
      <c r="G1016" s="56">
        <v>721</v>
      </c>
      <c r="H1016" s="882"/>
      <c r="I1016" s="876"/>
      <c r="J1016" s="882"/>
      <c r="K1016" s="882"/>
      <c r="L1016" s="882"/>
      <c r="M1016" s="884"/>
      <c r="N1016" s="56">
        <v>721</v>
      </c>
      <c r="O1016" s="79">
        <f>+M1015-O1015</f>
        <v>0</v>
      </c>
    </row>
    <row r="1017" spans="1:15" ht="13.5" customHeight="1">
      <c r="A1017" s="881" t="e">
        <f>+A1015+1</f>
        <v>#REF!</v>
      </c>
      <c r="B1017" s="875">
        <v>42345</v>
      </c>
      <c r="C1017" s="877" t="s">
        <v>111</v>
      </c>
      <c r="D1017" s="881" t="s">
        <v>474</v>
      </c>
      <c r="E1017" s="881" t="s">
        <v>148</v>
      </c>
      <c r="F1017" s="883">
        <v>336000</v>
      </c>
      <c r="G1017" s="55">
        <v>719</v>
      </c>
      <c r="H1017" s="881">
        <f>+H1015+1</f>
        <v>109</v>
      </c>
      <c r="I1017" s="875">
        <v>43749</v>
      </c>
      <c r="J1017" s="881" t="s">
        <v>815</v>
      </c>
      <c r="K1017" s="881" t="s">
        <v>1851</v>
      </c>
      <c r="L1017" s="881" t="s">
        <v>148</v>
      </c>
      <c r="M1017" s="883">
        <v>1039500</v>
      </c>
      <c r="N1017" s="55">
        <v>719</v>
      </c>
      <c r="O1017" s="78">
        <v>770000</v>
      </c>
    </row>
    <row r="1018" spans="1:15" ht="14.25" customHeight="1" thickBot="1">
      <c r="A1018" s="882"/>
      <c r="B1018" s="876"/>
      <c r="C1018" s="878"/>
      <c r="D1018" s="882"/>
      <c r="E1018" s="882"/>
      <c r="F1018" s="884"/>
      <c r="G1018" s="56">
        <v>721</v>
      </c>
      <c r="H1018" s="882"/>
      <c r="I1018" s="876"/>
      <c r="J1018" s="882"/>
      <c r="K1018" s="882"/>
      <c r="L1018" s="882"/>
      <c r="M1018" s="884"/>
      <c r="N1018" s="56">
        <v>721</v>
      </c>
      <c r="O1018" s="79">
        <f>+M1017-O1017</f>
        <v>269500</v>
      </c>
    </row>
    <row r="1019" spans="1:15" ht="16.5" customHeight="1" thickBot="1">
      <c r="A1019" s="881" t="e">
        <f>+A1017+1</f>
        <v>#REF!</v>
      </c>
      <c r="B1019" s="875">
        <v>42345</v>
      </c>
      <c r="C1019" s="877" t="s">
        <v>272</v>
      </c>
      <c r="D1019" s="881" t="s">
        <v>474</v>
      </c>
      <c r="E1019" s="881" t="s">
        <v>148</v>
      </c>
      <c r="F1019" s="883">
        <v>2058000</v>
      </c>
      <c r="G1019" s="55">
        <v>719</v>
      </c>
      <c r="H1019" s="901" t="s">
        <v>102</v>
      </c>
      <c r="I1019" s="902"/>
      <c r="J1019" s="902"/>
      <c r="K1019" s="902"/>
      <c r="L1019" s="903"/>
      <c r="M1019" s="81">
        <f>SUM(M1009:M1018)</f>
        <v>3109500</v>
      </c>
    </row>
    <row r="1020" spans="1:15" ht="16.5" customHeight="1" thickBot="1">
      <c r="A1020" s="882"/>
      <c r="B1020" s="876"/>
      <c r="C1020" s="878"/>
      <c r="D1020" s="882"/>
      <c r="E1020" s="882"/>
      <c r="F1020" s="884"/>
      <c r="G1020" s="56">
        <v>721</v>
      </c>
      <c r="H1020" s="885" t="s">
        <v>103</v>
      </c>
      <c r="I1020" s="886"/>
      <c r="J1020" s="886"/>
      <c r="K1020" s="886"/>
      <c r="L1020" s="887"/>
      <c r="M1020" s="69">
        <f>+M984</f>
        <v>393103328</v>
      </c>
      <c r="N1020" s="241" t="s">
        <v>561</v>
      </c>
      <c r="O1020" s="242">
        <f>211+326+266+410+2+7+113</f>
        <v>1335</v>
      </c>
    </row>
    <row r="1021" spans="1:15" ht="16.5" thickBot="1">
      <c r="A1021" s="901" t="s">
        <v>102</v>
      </c>
      <c r="B1021" s="902"/>
      <c r="C1021" s="902"/>
      <c r="D1021" s="902"/>
      <c r="E1021" s="903"/>
      <c r="F1021" s="81">
        <f>SUM(F1011:F1020)</f>
        <v>3668000</v>
      </c>
      <c r="H1021" s="888" t="s">
        <v>104</v>
      </c>
      <c r="I1021" s="889"/>
      <c r="J1021" s="889"/>
      <c r="K1021" s="889"/>
      <c r="L1021" s="890"/>
      <c r="M1021" s="183">
        <f>SUM(M1019:M1020)</f>
        <v>396212828</v>
      </c>
    </row>
    <row r="1022" spans="1:15" ht="16.5" thickBot="1">
      <c r="A1022" s="885" t="s">
        <v>103</v>
      </c>
      <c r="B1022" s="886"/>
      <c r="C1022" s="886"/>
      <c r="D1022" s="886"/>
      <c r="E1022" s="887"/>
      <c r="F1022" s="69" t="e">
        <f>+F986</f>
        <v>#REF!</v>
      </c>
      <c r="H1022" s="61"/>
      <c r="I1022" s="61"/>
      <c r="J1022" s="61"/>
      <c r="K1022" s="61"/>
      <c r="L1022" s="61"/>
    </row>
    <row r="1023" spans="1:15" ht="16.5" thickBot="1">
      <c r="A1023" s="888" t="s">
        <v>104</v>
      </c>
      <c r="B1023" s="889"/>
      <c r="C1023" s="889"/>
      <c r="D1023" s="889"/>
      <c r="E1023" s="890"/>
      <c r="F1023" s="183" t="e">
        <f>SUM(F1021:F1022)</f>
        <v>#REF!</v>
      </c>
      <c r="H1023" s="51" t="s">
        <v>1849</v>
      </c>
    </row>
    <row r="1024" spans="1:15" ht="8.25" customHeight="1">
      <c r="A1024" s="61"/>
      <c r="B1024" s="61"/>
      <c r="C1024" s="61"/>
      <c r="D1024" s="61"/>
      <c r="E1024" s="61"/>
      <c r="M1024" s="139"/>
    </row>
    <row r="1025" spans="1:15" ht="18" customHeight="1">
      <c r="A1025" s="51" t="s">
        <v>477</v>
      </c>
      <c r="H1025" s="50" t="s">
        <v>105</v>
      </c>
      <c r="K1025" s="146"/>
      <c r="M1025" s="139"/>
    </row>
    <row r="1026" spans="1:15" ht="9.75" customHeight="1" thickBot="1">
      <c r="F1026" s="139"/>
    </row>
    <row r="1027" spans="1:15" ht="16.5" customHeight="1" thickBot="1">
      <c r="A1027" s="50" t="s">
        <v>105</v>
      </c>
      <c r="D1027" s="146"/>
      <c r="F1027" s="139"/>
      <c r="H1027" s="891" t="s">
        <v>106</v>
      </c>
      <c r="I1027" s="892"/>
      <c r="J1027" s="892"/>
      <c r="K1027" s="893"/>
      <c r="M1027" s="30" t="s">
        <v>1126</v>
      </c>
    </row>
    <row r="1028" spans="1:15" ht="11.25" customHeight="1" thickBot="1">
      <c r="H1028" s="57" t="s">
        <v>100</v>
      </c>
      <c r="I1028" s="58" t="s">
        <v>108</v>
      </c>
      <c r="J1028" s="59" t="s">
        <v>109</v>
      </c>
      <c r="K1028" s="60" t="s">
        <v>110</v>
      </c>
    </row>
    <row r="1029" spans="1:15" ht="15.75" thickBot="1">
      <c r="A1029" s="891" t="s">
        <v>106</v>
      </c>
      <c r="B1029" s="892"/>
      <c r="C1029" s="892"/>
      <c r="D1029" s="893"/>
      <c r="F1029" s="50" t="s">
        <v>288</v>
      </c>
      <c r="H1029" s="71">
        <v>719</v>
      </c>
      <c r="I1029" s="73">
        <f>+O1011+O1013+O1015+O1017</f>
        <v>4590000</v>
      </c>
      <c r="J1029" s="74">
        <f>+K992</f>
        <v>34450000</v>
      </c>
      <c r="K1029" s="195">
        <f>+I1029+J1029</f>
        <v>39040000</v>
      </c>
    </row>
    <row r="1030" spans="1:15" ht="15.75" customHeight="1" thickBot="1">
      <c r="A1030" s="57" t="s">
        <v>100</v>
      </c>
      <c r="B1030" s="58" t="s">
        <v>108</v>
      </c>
      <c r="C1030" s="59" t="s">
        <v>109</v>
      </c>
      <c r="D1030" s="60" t="s">
        <v>110</v>
      </c>
      <c r="H1030" s="72">
        <v>721</v>
      </c>
      <c r="I1030" s="80">
        <f>+O1010+O1012+O1014+O1016+O1018</f>
        <v>269500</v>
      </c>
      <c r="J1030" s="74">
        <f>+K993</f>
        <v>19059500</v>
      </c>
      <c r="K1030" s="195">
        <f>+I1030+J1030</f>
        <v>19329000</v>
      </c>
    </row>
    <row r="1031" spans="1:15">
      <c r="A1031" s="71">
        <v>719</v>
      </c>
      <c r="B1031" s="73" t="e">
        <f>+#REF!+#REF!+#REF!+#REF!+#REF!</f>
        <v>#REF!</v>
      </c>
      <c r="C1031" s="74" t="e">
        <f>+D994</f>
        <v>#REF!</v>
      </c>
      <c r="D1031" s="195" t="e">
        <f>+B1031+C1031</f>
        <v>#REF!</v>
      </c>
      <c r="H1031" s="72">
        <v>722</v>
      </c>
      <c r="I1031" s="80"/>
      <c r="J1031" s="74">
        <f>+K994</f>
        <v>12949788</v>
      </c>
      <c r="K1031" s="195">
        <f>+I1031+J1031</f>
        <v>12949788</v>
      </c>
    </row>
    <row r="1032" spans="1:15" ht="15.75">
      <c r="A1032" s="72">
        <v>721</v>
      </c>
      <c r="B1032" s="80" t="e">
        <f>+#REF!+#REF!+#REF!+#REF!+#REF!</f>
        <v>#REF!</v>
      </c>
      <c r="C1032" s="74" t="e">
        <f>+D995</f>
        <v>#REF!</v>
      </c>
      <c r="D1032" s="195" t="e">
        <f>+B1032+C1032</f>
        <v>#REF!</v>
      </c>
      <c r="H1032" s="72">
        <v>723</v>
      </c>
      <c r="I1032" s="80">
        <f>+O1009</f>
        <v>-1750000</v>
      </c>
      <c r="J1032" s="74">
        <f>+K995</f>
        <v>326644040</v>
      </c>
      <c r="K1032" s="195">
        <f>+I1032+J1032</f>
        <v>324894040</v>
      </c>
      <c r="M1032" s="918" t="s">
        <v>1850</v>
      </c>
      <c r="N1032" s="918"/>
      <c r="O1032" s="918"/>
    </row>
    <row r="1033" spans="1:15" ht="16.5" thickBot="1">
      <c r="A1033" s="72">
        <v>722</v>
      </c>
      <c r="B1033" s="80"/>
      <c r="C1033" s="74" t="e">
        <f>+D996</f>
        <v>#REF!</v>
      </c>
      <c r="D1033" s="195" t="e">
        <f>+B1033+C1033</f>
        <v>#REF!</v>
      </c>
      <c r="H1033" s="164" t="s">
        <v>181</v>
      </c>
      <c r="I1033" s="165"/>
      <c r="J1033" s="74">
        <f>+K996</f>
        <v>0</v>
      </c>
      <c r="K1033" s="196">
        <f>+I1033+J1033</f>
        <v>0</v>
      </c>
      <c r="M1033" s="52"/>
    </row>
    <row r="1034" spans="1:15" ht="16.5" thickBot="1">
      <c r="A1034" s="72">
        <v>723</v>
      </c>
      <c r="B1034" s="80"/>
      <c r="C1034" s="74" t="e">
        <f>+D997</f>
        <v>#REF!</v>
      </c>
      <c r="D1034" s="195" t="e">
        <f>+B1034+C1034</f>
        <v>#REF!</v>
      </c>
      <c r="F1034" s="174" t="s">
        <v>23</v>
      </c>
      <c r="G1034" s="175"/>
      <c r="H1034" s="169"/>
      <c r="I1034" s="197">
        <f>SUM(I1029:I1033)</f>
        <v>3109500</v>
      </c>
      <c r="J1034" s="197">
        <f>SUM(J1029:J1033)</f>
        <v>393103328</v>
      </c>
      <c r="K1034" s="198">
        <f>SUM(K1029:K1033)</f>
        <v>396212828</v>
      </c>
    </row>
    <row r="1035" spans="1:15" ht="16.5">
      <c r="A1035" s="49" t="s">
        <v>88</v>
      </c>
      <c r="B1035" s="50"/>
      <c r="H1035" s="49" t="s">
        <v>88</v>
      </c>
      <c r="I1035" s="50"/>
    </row>
    <row r="1036" spans="1:15">
      <c r="A1036" s="51" t="s">
        <v>89</v>
      </c>
      <c r="H1036" s="51" t="s">
        <v>89</v>
      </c>
    </row>
    <row r="1037" spans="1:15">
      <c r="A1037" s="51" t="s">
        <v>90</v>
      </c>
      <c r="H1037" s="51" t="s">
        <v>90</v>
      </c>
    </row>
    <row r="1038" spans="1:15">
      <c r="A1038" s="51" t="s">
        <v>91</v>
      </c>
      <c r="H1038" s="51" t="s">
        <v>91</v>
      </c>
    </row>
    <row r="1039" spans="1:15" ht="12" customHeight="1">
      <c r="A1039" s="50"/>
      <c r="B1039" s="50"/>
      <c r="H1039" s="50"/>
      <c r="I1039" s="50"/>
    </row>
    <row r="1040" spans="1:15" ht="16.5">
      <c r="A1040" s="52" t="s">
        <v>471</v>
      </c>
      <c r="G1040" s="52"/>
      <c r="H1040" s="260" t="s">
        <v>840</v>
      </c>
      <c r="N1040" s="52"/>
    </row>
    <row r="1041" spans="1:15" ht="15.75">
      <c r="A1041" s="53" t="s">
        <v>92</v>
      </c>
      <c r="G1041" s="53"/>
      <c r="H1041" s="53" t="s">
        <v>1702</v>
      </c>
      <c r="N1041" s="53"/>
    </row>
    <row r="1042" spans="1:15" ht="16.5">
      <c r="A1042" s="894" t="s">
        <v>462</v>
      </c>
      <c r="B1042" s="894"/>
      <c r="C1042" s="894"/>
      <c r="D1042" s="894"/>
      <c r="E1042" s="894"/>
      <c r="F1042" s="894"/>
      <c r="G1042" s="894"/>
      <c r="H1042" s="894" t="s">
        <v>1852</v>
      </c>
      <c r="I1042" s="894"/>
      <c r="J1042" s="894"/>
      <c r="K1042" s="894"/>
      <c r="L1042" s="894"/>
      <c r="M1042" s="894"/>
      <c r="N1042" s="894"/>
      <c r="O1042" s="894"/>
    </row>
    <row r="1043" spans="1:15" ht="11.25" customHeight="1" thickBot="1"/>
    <row r="1044" spans="1:15">
      <c r="A1044" s="895" t="s">
        <v>94</v>
      </c>
      <c r="B1044" s="897" t="s">
        <v>95</v>
      </c>
      <c r="C1044" s="897" t="s">
        <v>96</v>
      </c>
      <c r="D1044" s="897" t="s">
        <v>3</v>
      </c>
      <c r="E1044" s="897" t="s">
        <v>97</v>
      </c>
      <c r="F1044" s="897" t="s">
        <v>98</v>
      </c>
      <c r="G1044" s="500" t="s">
        <v>99</v>
      </c>
      <c r="H1044" s="895" t="s">
        <v>94</v>
      </c>
      <c r="I1044" s="897" t="s">
        <v>95</v>
      </c>
      <c r="J1044" s="897" t="s">
        <v>96</v>
      </c>
      <c r="K1044" s="897" t="s">
        <v>3</v>
      </c>
      <c r="L1044" s="897" t="s">
        <v>97</v>
      </c>
      <c r="M1044" s="897" t="s">
        <v>98</v>
      </c>
      <c r="N1044" s="897" t="s">
        <v>99</v>
      </c>
      <c r="O1044" s="899"/>
    </row>
    <row r="1045" spans="1:15" ht="15.75" thickBot="1">
      <c r="A1045" s="896"/>
      <c r="B1045" s="898"/>
      <c r="C1045" s="898"/>
      <c r="D1045" s="898"/>
      <c r="E1045" s="898"/>
      <c r="F1045" s="898"/>
      <c r="G1045" s="240" t="s">
        <v>100</v>
      </c>
      <c r="H1045" s="896"/>
      <c r="I1045" s="898"/>
      <c r="J1045" s="898"/>
      <c r="K1045" s="898"/>
      <c r="L1045" s="898"/>
      <c r="M1045" s="898"/>
      <c r="N1045" s="240" t="s">
        <v>100</v>
      </c>
      <c r="O1045" s="182" t="s">
        <v>101</v>
      </c>
    </row>
    <row r="1046" spans="1:15" ht="15" customHeight="1">
      <c r="A1046" s="881" t="e">
        <f>+A1019+1</f>
        <v>#REF!</v>
      </c>
      <c r="B1046" s="875">
        <v>42345</v>
      </c>
      <c r="C1046" s="877" t="s">
        <v>31</v>
      </c>
      <c r="D1046" s="881" t="s">
        <v>478</v>
      </c>
      <c r="E1046" s="881" t="s">
        <v>115</v>
      </c>
      <c r="F1046" s="883">
        <v>110000</v>
      </c>
      <c r="G1046" s="55">
        <v>719</v>
      </c>
      <c r="H1046" s="873" t="s">
        <v>1856</v>
      </c>
      <c r="I1046" s="875">
        <v>43007</v>
      </c>
      <c r="J1046" s="877" t="s">
        <v>1315</v>
      </c>
      <c r="K1046" s="881" t="s">
        <v>1854</v>
      </c>
      <c r="L1046" s="881" t="s">
        <v>148</v>
      </c>
      <c r="M1046" s="883">
        <v>4005550</v>
      </c>
      <c r="N1046" s="55">
        <v>723</v>
      </c>
      <c r="O1046" s="78">
        <v>4005550</v>
      </c>
    </row>
    <row r="1047" spans="1:15" ht="15.75" customHeight="1" thickBot="1">
      <c r="A1047" s="882"/>
      <c r="B1047" s="876"/>
      <c r="C1047" s="878"/>
      <c r="D1047" s="882"/>
      <c r="E1047" s="882"/>
      <c r="F1047" s="884"/>
      <c r="G1047" s="56">
        <v>721</v>
      </c>
      <c r="H1047" s="874"/>
      <c r="I1047" s="876"/>
      <c r="J1047" s="878"/>
      <c r="K1047" s="882"/>
      <c r="L1047" s="882"/>
      <c r="M1047" s="884"/>
      <c r="N1047" s="56">
        <v>721</v>
      </c>
      <c r="O1047" s="79">
        <f>+M1046-O1046</f>
        <v>0</v>
      </c>
    </row>
    <row r="1048" spans="1:15" ht="12.75" customHeight="1">
      <c r="A1048" s="881" t="e">
        <f>+A1046+1</f>
        <v>#REF!</v>
      </c>
      <c r="B1048" s="875">
        <v>42345</v>
      </c>
      <c r="C1048" s="881" t="s">
        <v>472</v>
      </c>
      <c r="D1048" s="881" t="s">
        <v>479</v>
      </c>
      <c r="E1048" s="881" t="s">
        <v>115</v>
      </c>
      <c r="F1048" s="883">
        <v>60000</v>
      </c>
      <c r="G1048" s="55">
        <v>719</v>
      </c>
      <c r="H1048" s="881">
        <f>+H1046+1</f>
        <v>111</v>
      </c>
      <c r="I1048" s="875">
        <v>43007</v>
      </c>
      <c r="J1048" s="877" t="s">
        <v>1853</v>
      </c>
      <c r="K1048" s="881" t="s">
        <v>1660</v>
      </c>
      <c r="L1048" s="881" t="s">
        <v>145</v>
      </c>
      <c r="M1048" s="883">
        <v>42881706</v>
      </c>
      <c r="N1048" s="55">
        <v>722</v>
      </c>
      <c r="O1048" s="78">
        <v>42881706</v>
      </c>
    </row>
    <row r="1049" spans="1:15" ht="15.75" customHeight="1" thickBot="1">
      <c r="A1049" s="882"/>
      <c r="B1049" s="876"/>
      <c r="C1049" s="882"/>
      <c r="D1049" s="882"/>
      <c r="E1049" s="882"/>
      <c r="F1049" s="884"/>
      <c r="G1049" s="56">
        <v>721</v>
      </c>
      <c r="H1049" s="882"/>
      <c r="I1049" s="876"/>
      <c r="J1049" s="878"/>
      <c r="K1049" s="882"/>
      <c r="L1049" s="882"/>
      <c r="M1049" s="884"/>
      <c r="N1049" s="56">
        <v>721</v>
      </c>
      <c r="O1049" s="79">
        <f>+M1048-O1048</f>
        <v>0</v>
      </c>
    </row>
    <row r="1050" spans="1:15" ht="15" customHeight="1">
      <c r="A1050" s="881"/>
      <c r="B1050" s="875"/>
      <c r="C1050" s="877"/>
      <c r="D1050" s="881"/>
      <c r="E1050" s="881"/>
      <c r="F1050" s="883"/>
      <c r="G1050" s="55">
        <v>719</v>
      </c>
      <c r="H1050" s="881">
        <f>+H1048+1</f>
        <v>112</v>
      </c>
      <c r="I1050" s="875">
        <v>43007</v>
      </c>
      <c r="J1050" s="877" t="s">
        <v>815</v>
      </c>
      <c r="K1050" s="881" t="s">
        <v>1855</v>
      </c>
      <c r="L1050" s="881" t="s">
        <v>775</v>
      </c>
      <c r="M1050" s="883">
        <v>1012500</v>
      </c>
      <c r="N1050" s="55">
        <v>719</v>
      </c>
      <c r="O1050" s="78">
        <v>750000</v>
      </c>
    </row>
    <row r="1051" spans="1:15" ht="15" customHeight="1" thickBot="1">
      <c r="A1051" s="882"/>
      <c r="B1051" s="876"/>
      <c r="C1051" s="878"/>
      <c r="D1051" s="882"/>
      <c r="E1051" s="882"/>
      <c r="F1051" s="884"/>
      <c r="G1051" s="56">
        <v>721</v>
      </c>
      <c r="H1051" s="882"/>
      <c r="I1051" s="876"/>
      <c r="J1051" s="878"/>
      <c r="K1051" s="882"/>
      <c r="L1051" s="882"/>
      <c r="M1051" s="884"/>
      <c r="N1051" s="56">
        <v>721</v>
      </c>
      <c r="O1051" s="79">
        <f>+M1050-O1050</f>
        <v>262500</v>
      </c>
    </row>
    <row r="1052" spans="1:15" ht="13.5" customHeight="1">
      <c r="A1052" s="881"/>
      <c r="B1052" s="875"/>
      <c r="C1052" s="877"/>
      <c r="D1052" s="881"/>
      <c r="E1052" s="881"/>
      <c r="F1052" s="883"/>
      <c r="G1052" s="55">
        <v>719</v>
      </c>
      <c r="H1052" s="881">
        <f>+H1050+1</f>
        <v>113</v>
      </c>
      <c r="I1052" s="875">
        <v>43007</v>
      </c>
      <c r="J1052" s="877" t="s">
        <v>899</v>
      </c>
      <c r="K1052" s="881" t="s">
        <v>1495</v>
      </c>
      <c r="L1052" s="881" t="s">
        <v>165</v>
      </c>
      <c r="M1052" s="883"/>
      <c r="N1052" s="55">
        <v>723</v>
      </c>
      <c r="O1052" s="78"/>
    </row>
    <row r="1053" spans="1:15" ht="14.25" customHeight="1" thickBot="1">
      <c r="A1053" s="882"/>
      <c r="B1053" s="876"/>
      <c r="C1053" s="878"/>
      <c r="D1053" s="882"/>
      <c r="E1053" s="882"/>
      <c r="F1053" s="884"/>
      <c r="G1053" s="56">
        <v>721</v>
      </c>
      <c r="H1053" s="882"/>
      <c r="I1053" s="876"/>
      <c r="J1053" s="878"/>
      <c r="K1053" s="882"/>
      <c r="L1053" s="882"/>
      <c r="M1053" s="884"/>
      <c r="N1053" s="56">
        <v>721</v>
      </c>
      <c r="O1053" s="79">
        <f>+M1052-O1052</f>
        <v>0</v>
      </c>
    </row>
    <row r="1054" spans="1:15" ht="16.5" thickBot="1">
      <c r="A1054" s="901" t="s">
        <v>102</v>
      </c>
      <c r="B1054" s="902"/>
      <c r="C1054" s="902"/>
      <c r="D1054" s="902"/>
      <c r="E1054" s="903"/>
      <c r="F1054" s="81">
        <f>SUM(F1046:F1053)</f>
        <v>170000</v>
      </c>
      <c r="H1054" s="901" t="s">
        <v>102</v>
      </c>
      <c r="I1054" s="902"/>
      <c r="J1054" s="902"/>
      <c r="K1054" s="902"/>
      <c r="L1054" s="903"/>
      <c r="M1054" s="81">
        <f>SUM(M1046:M1053)</f>
        <v>47899756</v>
      </c>
    </row>
    <row r="1055" spans="1:15" ht="16.5" thickBot="1">
      <c r="A1055" s="885" t="s">
        <v>103</v>
      </c>
      <c r="B1055" s="886"/>
      <c r="C1055" s="886"/>
      <c r="D1055" s="886"/>
      <c r="E1055" s="887"/>
      <c r="F1055" s="69" t="e">
        <f>+F1023</f>
        <v>#REF!</v>
      </c>
      <c r="H1055" s="885" t="s">
        <v>103</v>
      </c>
      <c r="I1055" s="886"/>
      <c r="J1055" s="886"/>
      <c r="K1055" s="886"/>
      <c r="L1055" s="887"/>
      <c r="M1055" s="69">
        <f>+M1021</f>
        <v>396212828</v>
      </c>
      <c r="N1055" s="241" t="s">
        <v>561</v>
      </c>
      <c r="O1055" s="242"/>
    </row>
    <row r="1056" spans="1:15" ht="16.5" thickBot="1">
      <c r="A1056" s="888" t="s">
        <v>104</v>
      </c>
      <c r="B1056" s="889"/>
      <c r="C1056" s="889"/>
      <c r="D1056" s="889"/>
      <c r="E1056" s="890"/>
      <c r="F1056" s="183" t="e">
        <f>SUM(F1054:F1055)</f>
        <v>#REF!</v>
      </c>
      <c r="H1056" s="888" t="s">
        <v>104</v>
      </c>
      <c r="I1056" s="889"/>
      <c r="J1056" s="889"/>
      <c r="K1056" s="889"/>
      <c r="L1056" s="890"/>
      <c r="M1056" s="183">
        <f>SUM(M1054:M1055)</f>
        <v>444112584</v>
      </c>
    </row>
    <row r="1057" spans="1:15" ht="11.25" customHeight="1">
      <c r="A1057" s="61"/>
      <c r="B1057" s="61"/>
      <c r="C1057" s="61"/>
      <c r="D1057" s="61"/>
      <c r="E1057" s="61"/>
      <c r="H1057" s="61"/>
      <c r="I1057" s="61"/>
      <c r="J1057" s="61"/>
      <c r="K1057" s="61"/>
      <c r="L1057" s="61"/>
    </row>
    <row r="1058" spans="1:15">
      <c r="A1058" s="51" t="s">
        <v>480</v>
      </c>
      <c r="H1058" s="51" t="s">
        <v>849</v>
      </c>
    </row>
    <row r="1059" spans="1:15" ht="9.75" customHeight="1">
      <c r="F1059" s="139"/>
      <c r="M1059" s="139"/>
    </row>
    <row r="1060" spans="1:15">
      <c r="A1060" s="50" t="s">
        <v>105</v>
      </c>
      <c r="D1060" s="146"/>
      <c r="F1060" s="139"/>
      <c r="H1060" s="50" t="s">
        <v>105</v>
      </c>
      <c r="K1060" s="146"/>
      <c r="M1060" s="139"/>
    </row>
    <row r="1061" spans="1:15" ht="12" customHeight="1" thickBot="1"/>
    <row r="1062" spans="1:15" ht="15.75" thickBot="1">
      <c r="A1062" s="891" t="s">
        <v>106</v>
      </c>
      <c r="B1062" s="892"/>
      <c r="C1062" s="892"/>
      <c r="D1062" s="893"/>
      <c r="F1062" s="50" t="s">
        <v>288</v>
      </c>
      <c r="H1062" s="891" t="s">
        <v>106</v>
      </c>
      <c r="I1062" s="892"/>
      <c r="J1062" s="892"/>
      <c r="K1062" s="893"/>
      <c r="M1062" s="50" t="s">
        <v>1126</v>
      </c>
    </row>
    <row r="1063" spans="1:15" ht="30.75" thickBot="1">
      <c r="A1063" s="57" t="s">
        <v>100</v>
      </c>
      <c r="B1063" s="58" t="s">
        <v>108</v>
      </c>
      <c r="C1063" s="59" t="s">
        <v>109</v>
      </c>
      <c r="D1063" s="60" t="s">
        <v>110</v>
      </c>
      <c r="H1063" s="57" t="s">
        <v>100</v>
      </c>
      <c r="I1063" s="58" t="s">
        <v>108</v>
      </c>
      <c r="J1063" s="59" t="s">
        <v>109</v>
      </c>
      <c r="K1063" s="60" t="s">
        <v>110</v>
      </c>
    </row>
    <row r="1064" spans="1:15" ht="13.5" customHeight="1">
      <c r="A1064" s="71">
        <v>719</v>
      </c>
      <c r="B1064" s="73" t="e">
        <f>+#REF!+#REF!+#REF!+#REF!</f>
        <v>#REF!</v>
      </c>
      <c r="C1064" s="74" t="e">
        <f>+D1031</f>
        <v>#REF!</v>
      </c>
      <c r="D1064" s="195" t="e">
        <f>+B1064+C1064</f>
        <v>#REF!</v>
      </c>
      <c r="H1064" s="71">
        <v>719</v>
      </c>
      <c r="I1064" s="73">
        <f>+O1050</f>
        <v>750000</v>
      </c>
      <c r="J1064" s="74">
        <f>+K1029</f>
        <v>39040000</v>
      </c>
      <c r="K1064" s="195">
        <f>+I1064+J1064</f>
        <v>39790000</v>
      </c>
    </row>
    <row r="1065" spans="1:15" ht="13.5" customHeight="1">
      <c r="A1065" s="72">
        <v>721</v>
      </c>
      <c r="B1065" s="80" t="e">
        <f>+#REF!</f>
        <v>#REF!</v>
      </c>
      <c r="C1065" s="74" t="e">
        <f>+D1032</f>
        <v>#REF!</v>
      </c>
      <c r="D1065" s="195" t="e">
        <f>+B1065+C1065</f>
        <v>#REF!</v>
      </c>
      <c r="H1065" s="72">
        <v>721</v>
      </c>
      <c r="I1065" s="80">
        <f>+O1051</f>
        <v>262500</v>
      </c>
      <c r="J1065" s="74">
        <f>+K1030</f>
        <v>19329000</v>
      </c>
      <c r="K1065" s="195">
        <f>+I1065+J1065</f>
        <v>19591500</v>
      </c>
    </row>
    <row r="1066" spans="1:15">
      <c r="A1066" s="72">
        <v>722</v>
      </c>
      <c r="B1066" s="80"/>
      <c r="C1066" s="74" t="e">
        <f>+D1033</f>
        <v>#REF!</v>
      </c>
      <c r="D1066" s="195" t="e">
        <f>+B1066+C1066</f>
        <v>#REF!</v>
      </c>
      <c r="H1066" s="72">
        <v>722</v>
      </c>
      <c r="I1066" s="80">
        <f>+O1048</f>
        <v>42881706</v>
      </c>
      <c r="J1066" s="74">
        <f>+K1031</f>
        <v>12949788</v>
      </c>
      <c r="K1066" s="195">
        <f>+I1066+J1066</f>
        <v>55831494</v>
      </c>
    </row>
    <row r="1067" spans="1:15" ht="14.25" customHeight="1">
      <c r="A1067" s="72">
        <v>723</v>
      </c>
      <c r="B1067" s="80"/>
      <c r="C1067" s="74" t="e">
        <f>+D1034</f>
        <v>#REF!</v>
      </c>
      <c r="D1067" s="195" t="e">
        <f>+B1067+C1067</f>
        <v>#REF!</v>
      </c>
      <c r="F1067" s="174" t="s">
        <v>23</v>
      </c>
      <c r="G1067" s="175"/>
      <c r="H1067" s="72">
        <v>723</v>
      </c>
      <c r="I1067" s="80">
        <f>+O1046</f>
        <v>4005550</v>
      </c>
      <c r="J1067" s="74">
        <f>+K1032</f>
        <v>324894040</v>
      </c>
      <c r="K1067" s="195">
        <f>+I1067+J1067</f>
        <v>328899590</v>
      </c>
      <c r="M1067" s="918" t="s">
        <v>1857</v>
      </c>
      <c r="N1067" s="918"/>
      <c r="O1067" s="918"/>
    </row>
    <row r="1068" spans="1:15" ht="13.5" customHeight="1" thickBot="1">
      <c r="A1068" s="164" t="s">
        <v>181</v>
      </c>
      <c r="B1068" s="165"/>
      <c r="C1068" s="74" t="e">
        <f>+#REF!</f>
        <v>#REF!</v>
      </c>
      <c r="D1068" s="196" t="e">
        <f>+B1068+C1068</f>
        <v>#REF!</v>
      </c>
      <c r="F1068" s="52"/>
      <c r="H1068" s="164" t="s">
        <v>181</v>
      </c>
      <c r="I1068" s="165"/>
      <c r="J1068" s="74">
        <f>+K1033</f>
        <v>0</v>
      </c>
      <c r="K1068" s="196">
        <f>+I1068+J1068</f>
        <v>0</v>
      </c>
      <c r="M1068" s="52"/>
    </row>
    <row r="1069" spans="1:15" ht="16.5" thickBot="1">
      <c r="A1069" s="169"/>
      <c r="B1069" s="170" t="e">
        <f>SUM(B1064:B1068)</f>
        <v>#REF!</v>
      </c>
      <c r="C1069" s="171" t="e">
        <f>SUM(C1064:C1068)</f>
        <v>#REF!</v>
      </c>
      <c r="D1069" s="172" t="e">
        <f>SUM(D1064:D1068)</f>
        <v>#REF!</v>
      </c>
      <c r="H1069" s="169"/>
      <c r="I1069" s="197">
        <f>SUM(I1064:I1068)</f>
        <v>47899756</v>
      </c>
      <c r="J1069" s="197">
        <f>SUM(J1064:J1068)</f>
        <v>396212828</v>
      </c>
      <c r="K1069" s="198">
        <f>SUM(K1064:K1068)</f>
        <v>444112584</v>
      </c>
    </row>
    <row r="1070" spans="1:15" ht="16.5">
      <c r="A1070" s="49" t="s">
        <v>88</v>
      </c>
      <c r="B1070" s="50"/>
      <c r="H1070" s="49" t="s">
        <v>88</v>
      </c>
      <c r="I1070" s="50"/>
    </row>
    <row r="1071" spans="1:15">
      <c r="A1071" s="51" t="s">
        <v>89</v>
      </c>
      <c r="H1071" s="51" t="s">
        <v>89</v>
      </c>
    </row>
    <row r="1072" spans="1:15">
      <c r="A1072" s="51" t="s">
        <v>90</v>
      </c>
      <c r="H1072" s="51" t="s">
        <v>90</v>
      </c>
    </row>
    <row r="1073" spans="1:15">
      <c r="A1073" s="51" t="s">
        <v>91</v>
      </c>
      <c r="H1073" s="51" t="s">
        <v>91</v>
      </c>
    </row>
    <row r="1074" spans="1:15" ht="12.75" customHeight="1">
      <c r="A1074" s="50"/>
      <c r="B1074" s="50"/>
      <c r="H1074" s="50"/>
      <c r="I1074" s="50"/>
    </row>
    <row r="1075" spans="1:15" ht="16.5">
      <c r="A1075" s="52" t="s">
        <v>473</v>
      </c>
      <c r="G1075" s="52"/>
      <c r="H1075" s="260" t="s">
        <v>841</v>
      </c>
      <c r="N1075" s="52"/>
    </row>
    <row r="1076" spans="1:15" ht="15.75">
      <c r="A1076" s="53" t="s">
        <v>92</v>
      </c>
      <c r="G1076" s="53"/>
      <c r="H1076" s="53" t="s">
        <v>1702</v>
      </c>
      <c r="N1076" s="53"/>
    </row>
    <row r="1077" spans="1:15" ht="16.5">
      <c r="A1077" s="894" t="s">
        <v>462</v>
      </c>
      <c r="B1077" s="894"/>
      <c r="C1077" s="894"/>
      <c r="D1077" s="894"/>
      <c r="E1077" s="894"/>
      <c r="F1077" s="894"/>
      <c r="G1077" s="894"/>
      <c r="H1077" s="894" t="s">
        <v>261</v>
      </c>
      <c r="I1077" s="894"/>
      <c r="J1077" s="894"/>
      <c r="K1077" s="894"/>
      <c r="L1077" s="894"/>
      <c r="M1077" s="894"/>
      <c r="N1077" s="894"/>
      <c r="O1077" s="894"/>
    </row>
    <row r="1078" spans="1:15" ht="15.75" thickBot="1"/>
    <row r="1079" spans="1:15">
      <c r="A1079" s="895" t="s">
        <v>94</v>
      </c>
      <c r="B1079" s="897" t="s">
        <v>95</v>
      </c>
      <c r="C1079" s="897" t="s">
        <v>96</v>
      </c>
      <c r="D1079" s="897" t="s">
        <v>3</v>
      </c>
      <c r="E1079" s="897" t="s">
        <v>97</v>
      </c>
      <c r="F1079" s="897" t="s">
        <v>98</v>
      </c>
      <c r="G1079" s="500" t="s">
        <v>99</v>
      </c>
      <c r="H1079" s="895" t="s">
        <v>94</v>
      </c>
      <c r="I1079" s="897" t="s">
        <v>95</v>
      </c>
      <c r="J1079" s="897" t="s">
        <v>96</v>
      </c>
      <c r="K1079" s="897" t="s">
        <v>3</v>
      </c>
      <c r="L1079" s="897" t="s">
        <v>97</v>
      </c>
      <c r="M1079" s="897" t="s">
        <v>98</v>
      </c>
      <c r="N1079" s="897" t="s">
        <v>99</v>
      </c>
      <c r="O1079" s="899"/>
    </row>
    <row r="1080" spans="1:15" ht="15.75" thickBot="1">
      <c r="A1080" s="896"/>
      <c r="B1080" s="898"/>
      <c r="C1080" s="898"/>
      <c r="D1080" s="898"/>
      <c r="E1080" s="898"/>
      <c r="F1080" s="898"/>
      <c r="G1080" s="240" t="s">
        <v>100</v>
      </c>
      <c r="H1080" s="896"/>
      <c r="I1080" s="898"/>
      <c r="J1080" s="898"/>
      <c r="K1080" s="898"/>
      <c r="L1080" s="898"/>
      <c r="M1080" s="898"/>
      <c r="N1080" s="240" t="s">
        <v>100</v>
      </c>
      <c r="O1080" s="182" t="s">
        <v>101</v>
      </c>
    </row>
    <row r="1081" spans="1:15" ht="15" customHeight="1">
      <c r="A1081" s="881" t="e">
        <f>+A1048+1</f>
        <v>#REF!</v>
      </c>
      <c r="B1081" s="875">
        <v>42345</v>
      </c>
      <c r="C1081" s="877" t="s">
        <v>267</v>
      </c>
      <c r="D1081" s="881" t="s">
        <v>481</v>
      </c>
      <c r="E1081" s="881" t="s">
        <v>148</v>
      </c>
      <c r="F1081" s="883">
        <v>182000</v>
      </c>
      <c r="G1081" s="55">
        <v>719</v>
      </c>
      <c r="H1081" s="873" t="s">
        <v>1604</v>
      </c>
      <c r="I1081" s="875">
        <v>43817</v>
      </c>
      <c r="J1081" s="881" t="s">
        <v>815</v>
      </c>
      <c r="K1081" s="881" t="s">
        <v>1858</v>
      </c>
      <c r="L1081" s="881" t="s">
        <v>115</v>
      </c>
      <c r="M1081" s="883">
        <v>945000</v>
      </c>
      <c r="N1081" s="55">
        <v>719</v>
      </c>
      <c r="O1081" s="78">
        <v>700000</v>
      </c>
    </row>
    <row r="1082" spans="1:15" ht="13.5" customHeight="1" thickBot="1">
      <c r="A1082" s="882"/>
      <c r="B1082" s="876"/>
      <c r="C1082" s="878"/>
      <c r="D1082" s="882"/>
      <c r="E1082" s="882"/>
      <c r="F1082" s="884"/>
      <c r="G1082" s="56">
        <v>721</v>
      </c>
      <c r="H1082" s="874"/>
      <c r="I1082" s="876"/>
      <c r="J1082" s="882"/>
      <c r="K1082" s="882"/>
      <c r="L1082" s="882"/>
      <c r="M1082" s="884"/>
      <c r="N1082" s="56">
        <v>721</v>
      </c>
      <c r="O1082" s="79">
        <f>+M1081-O1081</f>
        <v>245000</v>
      </c>
    </row>
    <row r="1083" spans="1:15" ht="12.75" customHeight="1">
      <c r="A1083" s="881" t="e">
        <f>+A1081+1</f>
        <v>#REF!</v>
      </c>
      <c r="B1083" s="875">
        <v>42345</v>
      </c>
      <c r="C1083" s="881" t="s">
        <v>28</v>
      </c>
      <c r="D1083" s="881" t="s">
        <v>482</v>
      </c>
      <c r="E1083" s="881" t="s">
        <v>148</v>
      </c>
      <c r="F1083" s="883">
        <v>266000</v>
      </c>
      <c r="G1083" s="55">
        <v>719</v>
      </c>
      <c r="H1083" s="881">
        <f>+H1081+1</f>
        <v>115</v>
      </c>
      <c r="I1083" s="875">
        <v>43817</v>
      </c>
      <c r="J1083" s="910" t="s">
        <v>1864</v>
      </c>
      <c r="K1083" s="881" t="s">
        <v>1859</v>
      </c>
      <c r="L1083" s="881" t="s">
        <v>148</v>
      </c>
      <c r="M1083" s="883">
        <v>500000</v>
      </c>
      <c r="N1083" s="55">
        <v>719</v>
      </c>
      <c r="O1083" s="78">
        <v>500000</v>
      </c>
    </row>
    <row r="1084" spans="1:15" ht="13.5" customHeight="1" thickBot="1">
      <c r="A1084" s="882"/>
      <c r="B1084" s="876"/>
      <c r="C1084" s="882"/>
      <c r="D1084" s="882"/>
      <c r="E1084" s="882"/>
      <c r="F1084" s="884"/>
      <c r="G1084" s="56">
        <v>721</v>
      </c>
      <c r="H1084" s="882"/>
      <c r="I1084" s="876"/>
      <c r="J1084" s="911"/>
      <c r="K1084" s="882"/>
      <c r="L1084" s="882"/>
      <c r="M1084" s="884"/>
      <c r="N1084" s="56">
        <v>721</v>
      </c>
      <c r="O1084" s="79">
        <f>+M1083-O1083</f>
        <v>0</v>
      </c>
    </row>
    <row r="1085" spans="1:15" ht="13.5" customHeight="1">
      <c r="A1085" s="881" t="e">
        <f>+A1083+1</f>
        <v>#REF!</v>
      </c>
      <c r="B1085" s="875">
        <v>42345</v>
      </c>
      <c r="C1085" s="877" t="s">
        <v>32</v>
      </c>
      <c r="D1085" s="881" t="s">
        <v>481</v>
      </c>
      <c r="E1085" s="881" t="s">
        <v>148</v>
      </c>
      <c r="F1085" s="883">
        <v>70000</v>
      </c>
      <c r="G1085" s="55">
        <v>719</v>
      </c>
      <c r="H1085" s="881">
        <f>+H1083+1</f>
        <v>116</v>
      </c>
      <c r="I1085" s="875">
        <v>43817</v>
      </c>
      <c r="J1085" s="877" t="s">
        <v>111</v>
      </c>
      <c r="K1085" s="881" t="s">
        <v>1860</v>
      </c>
      <c r="L1085" s="881" t="s">
        <v>148</v>
      </c>
      <c r="M1085" s="883">
        <v>580000</v>
      </c>
      <c r="N1085" s="55">
        <v>719</v>
      </c>
      <c r="O1085" s="78">
        <v>580000</v>
      </c>
    </row>
    <row r="1086" spans="1:15" ht="12.75" customHeight="1" thickBot="1">
      <c r="A1086" s="882"/>
      <c r="B1086" s="876"/>
      <c r="C1086" s="878"/>
      <c r="D1086" s="882"/>
      <c r="E1086" s="882"/>
      <c r="F1086" s="884"/>
      <c r="G1086" s="56">
        <v>721</v>
      </c>
      <c r="H1086" s="882"/>
      <c r="I1086" s="876"/>
      <c r="J1086" s="878"/>
      <c r="K1086" s="882"/>
      <c r="L1086" s="882"/>
      <c r="M1086" s="884"/>
      <c r="N1086" s="56">
        <v>721</v>
      </c>
      <c r="O1086" s="79">
        <f>+M1085-O1085</f>
        <v>0</v>
      </c>
    </row>
    <row r="1087" spans="1:15" ht="12.75" customHeight="1">
      <c r="A1087" s="251"/>
      <c r="B1087" s="252"/>
      <c r="C1087" s="253"/>
      <c r="D1087" s="251"/>
      <c r="E1087" s="251"/>
      <c r="F1087" s="254"/>
      <c r="G1087" s="255"/>
      <c r="H1087" s="881">
        <f>+H1085+1</f>
        <v>117</v>
      </c>
      <c r="I1087" s="875">
        <v>43817</v>
      </c>
      <c r="J1087" s="877" t="s">
        <v>267</v>
      </c>
      <c r="K1087" s="881" t="s">
        <v>1861</v>
      </c>
      <c r="L1087" s="881" t="s">
        <v>148</v>
      </c>
      <c r="M1087" s="883">
        <v>440000</v>
      </c>
      <c r="N1087" s="55">
        <v>719</v>
      </c>
      <c r="O1087" s="78">
        <v>440000</v>
      </c>
    </row>
    <row r="1088" spans="1:15" ht="12.75" customHeight="1" thickBot="1">
      <c r="A1088" s="251"/>
      <c r="B1088" s="252"/>
      <c r="C1088" s="253"/>
      <c r="D1088" s="251"/>
      <c r="E1088" s="251"/>
      <c r="F1088" s="254"/>
      <c r="G1088" s="255"/>
      <c r="H1088" s="882"/>
      <c r="I1088" s="876"/>
      <c r="J1088" s="878"/>
      <c r="K1088" s="882"/>
      <c r="L1088" s="882"/>
      <c r="M1088" s="884"/>
      <c r="N1088" s="56">
        <v>721</v>
      </c>
      <c r="O1088" s="79">
        <f>+M1087-O1087</f>
        <v>0</v>
      </c>
    </row>
    <row r="1089" spans="1:15" ht="12.75" customHeight="1">
      <c r="A1089" s="251"/>
      <c r="B1089" s="252"/>
      <c r="C1089" s="253"/>
      <c r="D1089" s="251"/>
      <c r="E1089" s="251"/>
      <c r="F1089" s="254"/>
      <c r="G1089" s="255"/>
      <c r="H1089" s="881">
        <f>+H1087+1</f>
        <v>118</v>
      </c>
      <c r="I1089" s="875">
        <v>43817</v>
      </c>
      <c r="J1089" s="877" t="s">
        <v>1079</v>
      </c>
      <c r="K1089" s="881" t="s">
        <v>1863</v>
      </c>
      <c r="L1089" s="881" t="s">
        <v>148</v>
      </c>
      <c r="M1089" s="883">
        <v>3280000</v>
      </c>
      <c r="N1089" s="55">
        <v>719</v>
      </c>
      <c r="O1089" s="78">
        <v>3280000</v>
      </c>
    </row>
    <row r="1090" spans="1:15" ht="12.75" customHeight="1" thickBot="1">
      <c r="A1090" s="251"/>
      <c r="B1090" s="252"/>
      <c r="C1090" s="253"/>
      <c r="D1090" s="251"/>
      <c r="E1090" s="251"/>
      <c r="F1090" s="254"/>
      <c r="G1090" s="255"/>
      <c r="H1090" s="882"/>
      <c r="I1090" s="876"/>
      <c r="J1090" s="878"/>
      <c r="K1090" s="882"/>
      <c r="L1090" s="882"/>
      <c r="M1090" s="884"/>
      <c r="N1090" s="56">
        <v>721</v>
      </c>
      <c r="O1090" s="79">
        <f>+M1089-O1089</f>
        <v>0</v>
      </c>
    </row>
    <row r="1091" spans="1:15" ht="12.75" customHeight="1">
      <c r="A1091" s="251"/>
      <c r="B1091" s="252"/>
      <c r="C1091" s="253"/>
      <c r="D1091" s="251"/>
      <c r="E1091" s="251"/>
      <c r="F1091" s="254"/>
      <c r="G1091" s="255"/>
      <c r="H1091" s="881">
        <f>+H1089+1</f>
        <v>119</v>
      </c>
      <c r="I1091" s="875">
        <v>43817</v>
      </c>
      <c r="J1091" s="877" t="s">
        <v>1315</v>
      </c>
      <c r="K1091" s="881" t="s">
        <v>1858</v>
      </c>
      <c r="L1091" s="881" t="s">
        <v>148</v>
      </c>
      <c r="M1091" s="883">
        <v>1803150</v>
      </c>
      <c r="N1091" s="55">
        <v>723</v>
      </c>
      <c r="O1091" s="78">
        <v>1803150</v>
      </c>
    </row>
    <row r="1092" spans="1:15" ht="12.75" customHeight="1" thickBot="1">
      <c r="A1092" s="251"/>
      <c r="B1092" s="252"/>
      <c r="C1092" s="253"/>
      <c r="D1092" s="251"/>
      <c r="E1092" s="251"/>
      <c r="F1092" s="254"/>
      <c r="G1092" s="255"/>
      <c r="H1092" s="882"/>
      <c r="I1092" s="876"/>
      <c r="J1092" s="878"/>
      <c r="K1092" s="882"/>
      <c r="L1092" s="882"/>
      <c r="M1092" s="884"/>
      <c r="N1092" s="56">
        <v>721</v>
      </c>
      <c r="O1092" s="79">
        <f>+M1091-O1091</f>
        <v>0</v>
      </c>
    </row>
    <row r="1093" spans="1:15" ht="16.5" thickBot="1">
      <c r="A1093" s="901" t="s">
        <v>102</v>
      </c>
      <c r="B1093" s="902"/>
      <c r="C1093" s="902"/>
      <c r="D1093" s="902"/>
      <c r="E1093" s="903"/>
      <c r="F1093" s="81">
        <f>SUM(F1081:F1092)</f>
        <v>518000</v>
      </c>
      <c r="H1093" s="901" t="s">
        <v>102</v>
      </c>
      <c r="I1093" s="902"/>
      <c r="J1093" s="902"/>
      <c r="K1093" s="902"/>
      <c r="L1093" s="903"/>
      <c r="M1093" s="81">
        <f>SUM(M1081:M1092)</f>
        <v>7548150</v>
      </c>
    </row>
    <row r="1094" spans="1:15" ht="16.5" thickBot="1">
      <c r="A1094" s="885" t="s">
        <v>103</v>
      </c>
      <c r="B1094" s="886"/>
      <c r="C1094" s="886"/>
      <c r="D1094" s="886"/>
      <c r="E1094" s="887"/>
      <c r="F1094" s="69" t="e">
        <f>+F1056</f>
        <v>#REF!</v>
      </c>
      <c r="H1094" s="885" t="s">
        <v>103</v>
      </c>
      <c r="I1094" s="886"/>
      <c r="J1094" s="886"/>
      <c r="K1094" s="886"/>
      <c r="L1094" s="887"/>
      <c r="M1094" s="69">
        <f>+M1056</f>
        <v>444112584</v>
      </c>
      <c r="N1094" s="241" t="s">
        <v>561</v>
      </c>
      <c r="O1094" s="242"/>
    </row>
    <row r="1095" spans="1:15" ht="16.5" thickBot="1">
      <c r="A1095" s="888" t="s">
        <v>104</v>
      </c>
      <c r="B1095" s="889"/>
      <c r="C1095" s="889"/>
      <c r="D1095" s="889"/>
      <c r="E1095" s="890"/>
      <c r="F1095" s="183" t="e">
        <f>SUM(F1093:F1094)</f>
        <v>#REF!</v>
      </c>
      <c r="H1095" s="888" t="s">
        <v>104</v>
      </c>
      <c r="I1095" s="889"/>
      <c r="J1095" s="889"/>
      <c r="K1095" s="889"/>
      <c r="L1095" s="890"/>
      <c r="M1095" s="183">
        <f>SUM(M1093:M1094)</f>
        <v>451660734</v>
      </c>
    </row>
    <row r="1096" spans="1:15" ht="12.75" customHeight="1">
      <c r="A1096" s="61"/>
      <c r="B1096" s="61"/>
      <c r="C1096" s="61"/>
      <c r="D1096" s="61"/>
      <c r="E1096" s="61"/>
      <c r="H1096" s="61"/>
      <c r="I1096" s="61"/>
      <c r="J1096" s="61"/>
      <c r="K1096" s="61"/>
      <c r="L1096" s="61"/>
    </row>
    <row r="1097" spans="1:15">
      <c r="A1097" s="51" t="s">
        <v>484</v>
      </c>
      <c r="H1097" s="51" t="s">
        <v>1865</v>
      </c>
    </row>
    <row r="1098" spans="1:15" ht="7.5" customHeight="1">
      <c r="F1098" s="139"/>
      <c r="M1098" s="139"/>
    </row>
    <row r="1099" spans="1:15">
      <c r="A1099" s="50" t="s">
        <v>105</v>
      </c>
      <c r="D1099" s="146"/>
      <c r="F1099" s="139"/>
      <c r="H1099" s="50" t="s">
        <v>105</v>
      </c>
      <c r="K1099" s="146"/>
      <c r="M1099" s="139"/>
    </row>
    <row r="1100" spans="1:15" ht="13.5" customHeight="1" thickBot="1"/>
    <row r="1101" spans="1:15" ht="15.75" thickBot="1">
      <c r="A1101" s="891" t="s">
        <v>106</v>
      </c>
      <c r="B1101" s="892"/>
      <c r="C1101" s="892"/>
      <c r="D1101" s="893"/>
      <c r="F1101" s="50" t="s">
        <v>288</v>
      </c>
      <c r="H1101" s="891" t="s">
        <v>106</v>
      </c>
      <c r="I1101" s="892"/>
      <c r="J1101" s="892"/>
      <c r="K1101" s="893"/>
      <c r="M1101" s="925" t="s">
        <v>288</v>
      </c>
      <c r="N1101" s="925"/>
      <c r="O1101" s="925"/>
    </row>
    <row r="1102" spans="1:15" ht="30.75" thickBot="1">
      <c r="A1102" s="57" t="s">
        <v>100</v>
      </c>
      <c r="B1102" s="58" t="s">
        <v>108</v>
      </c>
      <c r="C1102" s="59" t="s">
        <v>109</v>
      </c>
      <c r="D1102" s="60" t="s">
        <v>110</v>
      </c>
      <c r="H1102" s="57" t="s">
        <v>100</v>
      </c>
      <c r="I1102" s="58" t="s">
        <v>108</v>
      </c>
      <c r="J1102" s="59" t="s">
        <v>109</v>
      </c>
      <c r="K1102" s="60" t="s">
        <v>110</v>
      </c>
    </row>
    <row r="1103" spans="1:15">
      <c r="A1103" s="71">
        <v>719</v>
      </c>
      <c r="B1103" s="73" t="e">
        <f>+#REF!+#REF!+#REF!+#REF!+#REF!</f>
        <v>#REF!</v>
      </c>
      <c r="C1103" s="74" t="e">
        <f>+D1064</f>
        <v>#REF!</v>
      </c>
      <c r="D1103" s="195" t="e">
        <f>+B1103+C1103</f>
        <v>#REF!</v>
      </c>
      <c r="H1103" s="71">
        <v>719</v>
      </c>
      <c r="I1103" s="73">
        <f>+O1081+O1085+O1087+O1083+O1089</f>
        <v>5500000</v>
      </c>
      <c r="J1103" s="74">
        <f>+K1064</f>
        <v>39790000</v>
      </c>
      <c r="K1103" s="195">
        <f>+I1103+J1103</f>
        <v>45290000</v>
      </c>
    </row>
    <row r="1104" spans="1:15" ht="12.75" customHeight="1">
      <c r="A1104" s="72">
        <v>721</v>
      </c>
      <c r="B1104" s="80" t="e">
        <f>+#REF!+#REF!+#REF!+#REF!+#REF!</f>
        <v>#REF!</v>
      </c>
      <c r="C1104" s="74" t="e">
        <f>+D1065</f>
        <v>#REF!</v>
      </c>
      <c r="D1104" s="195" t="e">
        <f>+B1104+C1104</f>
        <v>#REF!</v>
      </c>
      <c r="H1104" s="72">
        <v>721</v>
      </c>
      <c r="I1104" s="80">
        <f>+O1082+O1084+O1086</f>
        <v>245000</v>
      </c>
      <c r="J1104" s="74">
        <f>+K1065</f>
        <v>19591500</v>
      </c>
      <c r="K1104" s="195">
        <f>+I1104+J1104</f>
        <v>19836500</v>
      </c>
    </row>
    <row r="1105" spans="1:15" ht="13.5" customHeight="1">
      <c r="A1105" s="72">
        <v>722</v>
      </c>
      <c r="B1105" s="80"/>
      <c r="C1105" s="74" t="e">
        <f>+D1066</f>
        <v>#REF!</v>
      </c>
      <c r="D1105" s="195" t="e">
        <f>+B1105+C1105</f>
        <v>#REF!</v>
      </c>
      <c r="H1105" s="72">
        <v>722</v>
      </c>
      <c r="I1105" s="80"/>
      <c r="J1105" s="74">
        <f>+K1066</f>
        <v>55831494</v>
      </c>
      <c r="K1105" s="195">
        <f>+I1105+J1105</f>
        <v>55831494</v>
      </c>
    </row>
    <row r="1106" spans="1:15" ht="13.5" customHeight="1">
      <c r="A1106" s="72">
        <v>723</v>
      </c>
      <c r="B1106" s="80"/>
      <c r="C1106" s="74" t="e">
        <f>+D1067</f>
        <v>#REF!</v>
      </c>
      <c r="D1106" s="195" t="e">
        <f>+B1106+C1106</f>
        <v>#REF!</v>
      </c>
      <c r="F1106" s="174" t="s">
        <v>23</v>
      </c>
      <c r="G1106" s="175"/>
      <c r="H1106" s="72">
        <v>723</v>
      </c>
      <c r="I1106" s="80">
        <f>+O1091</f>
        <v>1803150</v>
      </c>
      <c r="J1106" s="74">
        <f>+K1067</f>
        <v>328899590</v>
      </c>
      <c r="K1106" s="195">
        <f>+I1106+J1106</f>
        <v>330702740</v>
      </c>
      <c r="M1106" s="918" t="s">
        <v>1862</v>
      </c>
      <c r="N1106" s="918"/>
      <c r="O1106" s="918"/>
    </row>
    <row r="1107" spans="1:15" ht="14.25" customHeight="1" thickBot="1">
      <c r="A1107" s="164" t="s">
        <v>181</v>
      </c>
      <c r="B1107" s="165"/>
      <c r="C1107" s="74" t="e">
        <f>+D1068</f>
        <v>#REF!</v>
      </c>
      <c r="D1107" s="196" t="e">
        <f>+B1107+C1107</f>
        <v>#REF!</v>
      </c>
      <c r="F1107" s="52"/>
      <c r="H1107" s="164" t="s">
        <v>181</v>
      </c>
      <c r="I1107" s="165"/>
      <c r="J1107" s="74">
        <f>+K1068</f>
        <v>0</v>
      </c>
      <c r="K1107" s="196">
        <f>+I1107+J1107</f>
        <v>0</v>
      </c>
      <c r="M1107" s="52"/>
    </row>
    <row r="1108" spans="1:15" ht="16.5" thickBot="1">
      <c r="A1108" s="169"/>
      <c r="B1108" s="170" t="e">
        <f>SUM(B1103:B1107)</f>
        <v>#REF!</v>
      </c>
      <c r="C1108" s="171" t="e">
        <f>SUM(C1103:C1107)</f>
        <v>#REF!</v>
      </c>
      <c r="D1108" s="172" t="e">
        <f>SUM(D1103:D1107)</f>
        <v>#REF!</v>
      </c>
      <c r="H1108" s="169"/>
      <c r="I1108" s="197">
        <f>SUM(I1103:I1107)</f>
        <v>7548150</v>
      </c>
      <c r="J1108" s="197">
        <f>SUM(J1103:J1107)</f>
        <v>444112584</v>
      </c>
      <c r="K1108" s="198">
        <f>SUM(K1103:K1107)</f>
        <v>451660734</v>
      </c>
    </row>
    <row r="1109" spans="1:15" ht="16.5">
      <c r="A1109" s="49" t="s">
        <v>88</v>
      </c>
      <c r="B1109" s="50"/>
      <c r="H1109" s="49" t="s">
        <v>88</v>
      </c>
      <c r="I1109" s="50"/>
    </row>
    <row r="1110" spans="1:15">
      <c r="A1110" s="51" t="s">
        <v>89</v>
      </c>
      <c r="H1110" s="51" t="s">
        <v>89</v>
      </c>
    </row>
    <row r="1111" spans="1:15">
      <c r="A1111" s="51" t="s">
        <v>90</v>
      </c>
      <c r="H1111" s="51" t="s">
        <v>90</v>
      </c>
    </row>
    <row r="1112" spans="1:15">
      <c r="A1112" s="51" t="s">
        <v>91</v>
      </c>
      <c r="H1112" s="51" t="s">
        <v>91</v>
      </c>
    </row>
    <row r="1113" spans="1:15" ht="10.5" customHeight="1">
      <c r="A1113" s="50"/>
      <c r="B1113" s="50"/>
      <c r="H1113" s="50"/>
      <c r="I1113" s="50"/>
    </row>
    <row r="1114" spans="1:15" ht="16.5">
      <c r="A1114" s="52" t="s">
        <v>486</v>
      </c>
      <c r="G1114" s="52"/>
      <c r="H1114" s="260" t="s">
        <v>855</v>
      </c>
      <c r="N1114" s="52"/>
    </row>
    <row r="1115" spans="1:15" ht="15.75">
      <c r="A1115" s="53" t="s">
        <v>92</v>
      </c>
      <c r="G1115" s="53"/>
      <c r="H1115" s="53" t="s">
        <v>1333</v>
      </c>
      <c r="N1115" s="53"/>
    </row>
    <row r="1116" spans="1:15" ht="16.5">
      <c r="A1116" s="894" t="s">
        <v>485</v>
      </c>
      <c r="B1116" s="894"/>
      <c r="C1116" s="894"/>
      <c r="D1116" s="894"/>
      <c r="E1116" s="894"/>
      <c r="F1116" s="894"/>
      <c r="G1116" s="894"/>
      <c r="H1116" s="894" t="s">
        <v>1546</v>
      </c>
      <c r="I1116" s="894"/>
      <c r="J1116" s="894"/>
      <c r="K1116" s="894"/>
      <c r="L1116" s="894"/>
      <c r="M1116" s="894"/>
      <c r="N1116" s="894"/>
      <c r="O1116" s="894"/>
    </row>
    <row r="1117" spans="1:15" ht="15.75" thickBot="1"/>
    <row r="1118" spans="1:15">
      <c r="A1118" s="895" t="s">
        <v>94</v>
      </c>
      <c r="B1118" s="897" t="s">
        <v>95</v>
      </c>
      <c r="C1118" s="897" t="s">
        <v>96</v>
      </c>
      <c r="D1118" s="897" t="s">
        <v>3</v>
      </c>
      <c r="E1118" s="897" t="s">
        <v>97</v>
      </c>
      <c r="F1118" s="897" t="s">
        <v>98</v>
      </c>
      <c r="G1118" s="500" t="s">
        <v>99</v>
      </c>
      <c r="H1118" s="895" t="s">
        <v>94</v>
      </c>
      <c r="I1118" s="897" t="s">
        <v>95</v>
      </c>
      <c r="J1118" s="897" t="s">
        <v>96</v>
      </c>
      <c r="K1118" s="897" t="s">
        <v>3</v>
      </c>
      <c r="L1118" s="897" t="s">
        <v>97</v>
      </c>
      <c r="M1118" s="897" t="s">
        <v>98</v>
      </c>
      <c r="N1118" s="897" t="s">
        <v>99</v>
      </c>
      <c r="O1118" s="899"/>
    </row>
    <row r="1119" spans="1:15" ht="15.75" thickBot="1">
      <c r="A1119" s="896"/>
      <c r="B1119" s="898"/>
      <c r="C1119" s="898"/>
      <c r="D1119" s="898"/>
      <c r="E1119" s="898"/>
      <c r="F1119" s="898"/>
      <c r="G1119" s="240" t="s">
        <v>100</v>
      </c>
      <c r="H1119" s="896"/>
      <c r="I1119" s="898"/>
      <c r="J1119" s="898"/>
      <c r="K1119" s="898"/>
      <c r="L1119" s="898"/>
      <c r="M1119" s="898"/>
      <c r="N1119" s="240" t="s">
        <v>100</v>
      </c>
      <c r="O1119" s="182" t="s">
        <v>101</v>
      </c>
    </row>
    <row r="1120" spans="1:15" ht="13.5" customHeight="1">
      <c r="A1120" s="919">
        <v>1</v>
      </c>
      <c r="B1120" s="875">
        <v>42345</v>
      </c>
      <c r="C1120" s="877" t="s">
        <v>487</v>
      </c>
      <c r="D1120" s="877" t="s">
        <v>251</v>
      </c>
      <c r="E1120" s="881" t="s">
        <v>145</v>
      </c>
      <c r="F1120" s="883">
        <v>-4280256</v>
      </c>
      <c r="G1120" s="55">
        <v>719</v>
      </c>
      <c r="H1120" s="873" t="s">
        <v>1542</v>
      </c>
      <c r="I1120" s="875">
        <v>43062</v>
      </c>
      <c r="J1120" s="881" t="s">
        <v>1544</v>
      </c>
      <c r="K1120" s="881" t="s">
        <v>1548</v>
      </c>
      <c r="L1120" s="881" t="s">
        <v>115</v>
      </c>
      <c r="M1120" s="883">
        <v>250000</v>
      </c>
      <c r="N1120" s="55">
        <v>719</v>
      </c>
      <c r="O1120" s="78">
        <f>+M1120</f>
        <v>250000</v>
      </c>
    </row>
    <row r="1121" spans="1:15" ht="12.75" customHeight="1" thickBot="1">
      <c r="A1121" s="920"/>
      <c r="B1121" s="876"/>
      <c r="C1121" s="878"/>
      <c r="D1121" s="878"/>
      <c r="E1121" s="882"/>
      <c r="F1121" s="884"/>
      <c r="G1121" s="56">
        <v>721</v>
      </c>
      <c r="H1121" s="874"/>
      <c r="I1121" s="876"/>
      <c r="J1121" s="882"/>
      <c r="K1121" s="882"/>
      <c r="L1121" s="882"/>
      <c r="M1121" s="884"/>
      <c r="N1121" s="56">
        <v>721</v>
      </c>
      <c r="O1121" s="79">
        <f>+M1120-O1120</f>
        <v>0</v>
      </c>
    </row>
    <row r="1122" spans="1:15" ht="13.5" customHeight="1">
      <c r="A1122" s="919">
        <v>2</v>
      </c>
      <c r="B1122" s="875">
        <v>42345</v>
      </c>
      <c r="C1122" s="877" t="s">
        <v>249</v>
      </c>
      <c r="D1122" s="877" t="s">
        <v>251</v>
      </c>
      <c r="E1122" s="881" t="s">
        <v>145</v>
      </c>
      <c r="F1122" s="883">
        <v>-2140128</v>
      </c>
      <c r="G1122" s="55">
        <v>719</v>
      </c>
      <c r="H1122" s="881">
        <f>+H1120+1</f>
        <v>141</v>
      </c>
      <c r="I1122" s="875">
        <v>43062</v>
      </c>
      <c r="J1122" s="881" t="s">
        <v>1544</v>
      </c>
      <c r="K1122" s="879" t="s">
        <v>1549</v>
      </c>
      <c r="L1122" s="881" t="s">
        <v>115</v>
      </c>
      <c r="M1122" s="883">
        <v>100000</v>
      </c>
      <c r="N1122" s="55">
        <v>719</v>
      </c>
      <c r="O1122" s="78">
        <v>100000</v>
      </c>
    </row>
    <row r="1123" spans="1:15" ht="12.75" customHeight="1" thickBot="1">
      <c r="A1123" s="920"/>
      <c r="B1123" s="876"/>
      <c r="C1123" s="878"/>
      <c r="D1123" s="878"/>
      <c r="E1123" s="882"/>
      <c r="F1123" s="884"/>
      <c r="G1123" s="56">
        <v>721</v>
      </c>
      <c r="H1123" s="882"/>
      <c r="I1123" s="876"/>
      <c r="J1123" s="882"/>
      <c r="K1123" s="880"/>
      <c r="L1123" s="882"/>
      <c r="M1123" s="884"/>
      <c r="N1123" s="56">
        <v>721</v>
      </c>
      <c r="O1123" s="79">
        <v>0</v>
      </c>
    </row>
    <row r="1124" spans="1:15" ht="13.5" customHeight="1">
      <c r="A1124" s="881"/>
      <c r="B1124" s="875"/>
      <c r="C1124" s="877"/>
      <c r="D1124" s="881"/>
      <c r="E1124" s="881"/>
      <c r="F1124" s="883"/>
      <c r="G1124" s="55">
        <v>719</v>
      </c>
      <c r="H1124" s="881">
        <f>+H1122+1</f>
        <v>142</v>
      </c>
      <c r="I1124" s="875">
        <v>43062</v>
      </c>
      <c r="J1124" s="877" t="s">
        <v>28</v>
      </c>
      <c r="K1124" s="879" t="s">
        <v>1543</v>
      </c>
      <c r="L1124" s="881" t="s">
        <v>115</v>
      </c>
      <c r="M1124" s="883">
        <v>80000</v>
      </c>
      <c r="N1124" s="55">
        <v>719</v>
      </c>
      <c r="O1124" s="78">
        <v>80000</v>
      </c>
    </row>
    <row r="1125" spans="1:15" ht="13.5" customHeight="1" thickBot="1">
      <c r="A1125" s="882"/>
      <c r="B1125" s="876"/>
      <c r="C1125" s="878"/>
      <c r="D1125" s="882"/>
      <c r="E1125" s="882"/>
      <c r="F1125" s="884"/>
      <c r="G1125" s="56">
        <v>721</v>
      </c>
      <c r="H1125" s="882"/>
      <c r="I1125" s="876"/>
      <c r="J1125" s="878"/>
      <c r="K1125" s="880"/>
      <c r="L1125" s="882"/>
      <c r="M1125" s="884"/>
      <c r="N1125" s="56">
        <v>721</v>
      </c>
      <c r="O1125" s="79">
        <f>+M1124-O1124</f>
        <v>0</v>
      </c>
    </row>
    <row r="1126" spans="1:15" ht="12.75" customHeight="1">
      <c r="A1126" s="881"/>
      <c r="B1126" s="875"/>
      <c r="C1126" s="877"/>
      <c r="D1126" s="881"/>
      <c r="E1126" s="881"/>
      <c r="F1126" s="883"/>
      <c r="G1126" s="55">
        <v>719</v>
      </c>
      <c r="H1126" s="881">
        <f>+H1124+1</f>
        <v>143</v>
      </c>
      <c r="I1126" s="875">
        <v>43062</v>
      </c>
      <c r="J1126" s="877" t="s">
        <v>28</v>
      </c>
      <c r="K1126" s="879" t="s">
        <v>1550</v>
      </c>
      <c r="L1126" s="881" t="s">
        <v>115</v>
      </c>
      <c r="M1126" s="883">
        <v>200000</v>
      </c>
      <c r="N1126" s="55">
        <v>719</v>
      </c>
      <c r="O1126" s="78">
        <v>200000</v>
      </c>
    </row>
    <row r="1127" spans="1:15" ht="12.75" customHeight="1" thickBot="1">
      <c r="A1127" s="882"/>
      <c r="B1127" s="876"/>
      <c r="C1127" s="878"/>
      <c r="D1127" s="882"/>
      <c r="E1127" s="882"/>
      <c r="F1127" s="884"/>
      <c r="G1127" s="56">
        <v>721</v>
      </c>
      <c r="H1127" s="882"/>
      <c r="I1127" s="876"/>
      <c r="J1127" s="878"/>
      <c r="K1127" s="880"/>
      <c r="L1127" s="882"/>
      <c r="M1127" s="884"/>
      <c r="N1127" s="56">
        <v>721</v>
      </c>
      <c r="O1127" s="79">
        <f>+M1126-O1126</f>
        <v>0</v>
      </c>
    </row>
    <row r="1128" spans="1:15" ht="14.25" customHeight="1">
      <c r="A1128" s="881"/>
      <c r="B1128" s="875"/>
      <c r="C1128" s="877"/>
      <c r="D1128" s="881"/>
      <c r="E1128" s="881"/>
      <c r="F1128" s="883"/>
      <c r="G1128" s="55">
        <v>719</v>
      </c>
      <c r="H1128" s="881">
        <f>+H1126+1</f>
        <v>144</v>
      </c>
      <c r="I1128" s="875">
        <v>43062</v>
      </c>
      <c r="J1128" s="877" t="s">
        <v>28</v>
      </c>
      <c r="K1128" s="879" t="s">
        <v>1552</v>
      </c>
      <c r="L1128" s="881" t="s">
        <v>115</v>
      </c>
      <c r="M1128" s="883">
        <v>290000</v>
      </c>
      <c r="N1128" s="55">
        <v>719</v>
      </c>
      <c r="O1128" s="78">
        <v>290000</v>
      </c>
    </row>
    <row r="1129" spans="1:15" ht="13.5" customHeight="1" thickBot="1">
      <c r="A1129" s="882"/>
      <c r="B1129" s="876"/>
      <c r="C1129" s="878"/>
      <c r="D1129" s="882"/>
      <c r="E1129" s="882"/>
      <c r="F1129" s="884"/>
      <c r="G1129" s="56">
        <v>721</v>
      </c>
      <c r="H1129" s="882"/>
      <c r="I1129" s="876"/>
      <c r="J1129" s="878"/>
      <c r="K1129" s="880"/>
      <c r="L1129" s="882"/>
      <c r="M1129" s="884"/>
      <c r="N1129" s="56">
        <v>721</v>
      </c>
      <c r="O1129" s="79">
        <f>+M1128-O1128</f>
        <v>0</v>
      </c>
    </row>
    <row r="1130" spans="1:15" ht="16.5" thickBot="1">
      <c r="A1130" s="901" t="s">
        <v>102</v>
      </c>
      <c r="B1130" s="902"/>
      <c r="C1130" s="902"/>
      <c r="D1130" s="902"/>
      <c r="E1130" s="903"/>
      <c r="F1130" s="81">
        <f>SUM(F1120:F1129)</f>
        <v>-6420384</v>
      </c>
      <c r="H1130" s="901" t="s">
        <v>102</v>
      </c>
      <c r="I1130" s="902"/>
      <c r="J1130" s="902"/>
      <c r="K1130" s="902"/>
      <c r="L1130" s="903"/>
      <c r="M1130" s="81">
        <f>SUM(M1120:M1129)</f>
        <v>920000</v>
      </c>
    </row>
    <row r="1131" spans="1:15" ht="16.5" thickBot="1">
      <c r="A1131" s="885" t="s">
        <v>103</v>
      </c>
      <c r="B1131" s="886"/>
      <c r="C1131" s="886"/>
      <c r="D1131" s="886"/>
      <c r="E1131" s="887"/>
      <c r="F1131" s="69" t="e">
        <f>+F1095</f>
        <v>#REF!</v>
      </c>
      <c r="H1131" s="885" t="s">
        <v>103</v>
      </c>
      <c r="I1131" s="886"/>
      <c r="J1131" s="886"/>
      <c r="K1131" s="886"/>
      <c r="L1131" s="887"/>
      <c r="M1131" s="69">
        <f>+M1095</f>
        <v>451660734</v>
      </c>
      <c r="N1131" s="241" t="s">
        <v>561</v>
      </c>
      <c r="O1131" s="242"/>
    </row>
    <row r="1132" spans="1:15" ht="16.5" thickBot="1">
      <c r="A1132" s="888" t="s">
        <v>104</v>
      </c>
      <c r="B1132" s="889"/>
      <c r="C1132" s="889"/>
      <c r="D1132" s="889"/>
      <c r="E1132" s="890"/>
      <c r="F1132" s="183" t="e">
        <f>SUM(F1130:F1131)</f>
        <v>#REF!</v>
      </c>
      <c r="H1132" s="888" t="s">
        <v>104</v>
      </c>
      <c r="I1132" s="889"/>
      <c r="J1132" s="889"/>
      <c r="K1132" s="889"/>
      <c r="L1132" s="890"/>
      <c r="M1132" s="183">
        <f>SUM(M1130:M1131)</f>
        <v>452580734</v>
      </c>
    </row>
    <row r="1133" spans="1:15" ht="12.75" customHeight="1">
      <c r="A1133" s="61"/>
      <c r="B1133" s="61"/>
      <c r="C1133" s="61"/>
      <c r="D1133" s="61"/>
      <c r="E1133" s="61"/>
      <c r="H1133" s="61"/>
      <c r="I1133" s="61"/>
      <c r="J1133" s="61"/>
      <c r="K1133" s="61"/>
      <c r="L1133" s="61"/>
    </row>
    <row r="1134" spans="1:15">
      <c r="A1134" s="51" t="s">
        <v>488</v>
      </c>
      <c r="H1134" s="51" t="s">
        <v>1551</v>
      </c>
    </row>
    <row r="1135" spans="1:15" ht="12" customHeight="1">
      <c r="F1135" s="139"/>
      <c r="M1135" s="139"/>
    </row>
    <row r="1136" spans="1:15">
      <c r="A1136" s="50" t="s">
        <v>105</v>
      </c>
      <c r="D1136" s="146"/>
      <c r="F1136" s="139"/>
      <c r="H1136" s="50" t="s">
        <v>105</v>
      </c>
      <c r="K1136" s="146"/>
      <c r="M1136" s="139"/>
    </row>
    <row r="1137" spans="1:15" ht="12.75" customHeight="1" thickBot="1"/>
    <row r="1138" spans="1:15" ht="15.75" thickBot="1">
      <c r="A1138" s="891" t="s">
        <v>106</v>
      </c>
      <c r="B1138" s="892"/>
      <c r="C1138" s="892"/>
      <c r="D1138" s="893"/>
      <c r="F1138" s="50" t="s">
        <v>288</v>
      </c>
      <c r="H1138" s="891" t="s">
        <v>106</v>
      </c>
      <c r="I1138" s="892"/>
      <c r="J1138" s="892"/>
      <c r="K1138" s="893"/>
      <c r="M1138" s="925" t="s">
        <v>288</v>
      </c>
      <c r="N1138" s="925"/>
      <c r="O1138" s="925"/>
    </row>
    <row r="1139" spans="1:15" ht="30.75" thickBot="1">
      <c r="A1139" s="57" t="s">
        <v>100</v>
      </c>
      <c r="B1139" s="58" t="s">
        <v>108</v>
      </c>
      <c r="C1139" s="59" t="s">
        <v>109</v>
      </c>
      <c r="D1139" s="60" t="s">
        <v>110</v>
      </c>
      <c r="H1139" s="57" t="s">
        <v>100</v>
      </c>
      <c r="I1139" s="58" t="s">
        <v>108</v>
      </c>
      <c r="J1139" s="59" t="s">
        <v>109</v>
      </c>
      <c r="K1139" s="60" t="s">
        <v>110</v>
      </c>
    </row>
    <row r="1140" spans="1:15">
      <c r="A1140" s="71">
        <v>719</v>
      </c>
      <c r="B1140" s="73" t="e">
        <f>+#REF!+#REF!+#REF!+#REF!+#REF!</f>
        <v>#REF!</v>
      </c>
      <c r="C1140" s="74" t="e">
        <f>+D1103</f>
        <v>#REF!</v>
      </c>
      <c r="D1140" s="195" t="e">
        <f>+B1140+C1140</f>
        <v>#REF!</v>
      </c>
      <c r="H1140" s="71">
        <v>719</v>
      </c>
      <c r="I1140" s="73">
        <f>+O1120+O1122+O1124+O1128+O1126</f>
        <v>920000</v>
      </c>
      <c r="J1140" s="74">
        <f>+K1103</f>
        <v>45290000</v>
      </c>
      <c r="K1140" s="195">
        <f>+I1140+J1140</f>
        <v>46210000</v>
      </c>
    </row>
    <row r="1141" spans="1:15">
      <c r="A1141" s="72">
        <v>721</v>
      </c>
      <c r="B1141" s="80" t="e">
        <f>(+#REF!+#REF!+#REF!+#REF!+#REF!)</f>
        <v>#REF!</v>
      </c>
      <c r="C1141" s="74" t="e">
        <f>+D1104</f>
        <v>#REF!</v>
      </c>
      <c r="D1141" s="195" t="e">
        <f>+B1141+C1141</f>
        <v>#REF!</v>
      </c>
      <c r="H1141" s="72">
        <v>721</v>
      </c>
      <c r="I1141" s="80">
        <f>+O1121+O1123+O1125+O1127+O1129</f>
        <v>0</v>
      </c>
      <c r="J1141" s="74">
        <f>+K1104</f>
        <v>19836500</v>
      </c>
      <c r="K1141" s="195">
        <f>+I1141+J1141</f>
        <v>19836500</v>
      </c>
    </row>
    <row r="1142" spans="1:15" ht="15.75">
      <c r="A1142" s="72">
        <v>722</v>
      </c>
      <c r="B1142" s="80"/>
      <c r="C1142" s="74" t="e">
        <f>+D1105</f>
        <v>#REF!</v>
      </c>
      <c r="D1142" s="195" t="e">
        <f>+B1142+C1142</f>
        <v>#REF!</v>
      </c>
      <c r="H1142" s="72">
        <v>722</v>
      </c>
      <c r="I1142" s="80"/>
      <c r="J1142" s="74">
        <f>+K1105</f>
        <v>55831494</v>
      </c>
      <c r="K1142" s="195">
        <f>+I1142+J1142</f>
        <v>55831494</v>
      </c>
      <c r="M1142" s="918" t="s">
        <v>1481</v>
      </c>
      <c r="N1142" s="918"/>
      <c r="O1142" s="918"/>
    </row>
    <row r="1143" spans="1:15" ht="14.25" customHeight="1">
      <c r="A1143" s="72">
        <v>723</v>
      </c>
      <c r="B1143" s="80"/>
      <c r="C1143" s="74" t="e">
        <f>+D1106</f>
        <v>#REF!</v>
      </c>
      <c r="D1143" s="195" t="e">
        <f>+B1143+C1143</f>
        <v>#REF!</v>
      </c>
      <c r="F1143" s="174" t="s">
        <v>23</v>
      </c>
      <c r="G1143" s="175"/>
      <c r="H1143" s="72">
        <v>723</v>
      </c>
      <c r="I1143" s="80"/>
      <c r="J1143" s="74">
        <f>+K1106</f>
        <v>330702740</v>
      </c>
      <c r="K1143" s="195">
        <f>+I1143+J1143</f>
        <v>330702740</v>
      </c>
      <c r="M1143" s="193"/>
      <c r="N1143" s="175"/>
    </row>
    <row r="1144" spans="1:15" ht="13.5" customHeight="1" thickBot="1">
      <c r="A1144" s="164" t="s">
        <v>181</v>
      </c>
      <c r="B1144" s="165"/>
      <c r="C1144" s="74" t="e">
        <f>+D1107</f>
        <v>#REF!</v>
      </c>
      <c r="D1144" s="196" t="e">
        <f>+B1144+C1144</f>
        <v>#REF!</v>
      </c>
      <c r="F1144" s="52"/>
      <c r="H1144" s="164" t="s">
        <v>181</v>
      </c>
      <c r="I1144" s="165"/>
      <c r="J1144" s="74">
        <f>+K1107</f>
        <v>0</v>
      </c>
      <c r="K1144" s="196">
        <f>+I1144+J1144</f>
        <v>0</v>
      </c>
      <c r="M1144" s="52"/>
    </row>
    <row r="1145" spans="1:15" ht="16.5" thickBot="1">
      <c r="A1145" s="169"/>
      <c r="B1145" s="170" t="e">
        <f>SUM(B1140:B1144)</f>
        <v>#REF!</v>
      </c>
      <c r="C1145" s="171" t="e">
        <f>SUM(C1140:C1144)</f>
        <v>#REF!</v>
      </c>
      <c r="D1145" s="172" t="e">
        <f>SUM(D1140:D1144)</f>
        <v>#REF!</v>
      </c>
      <c r="H1145" s="169"/>
      <c r="I1145" s="197">
        <f>SUM(I1140:I1144)</f>
        <v>920000</v>
      </c>
      <c r="J1145" s="197">
        <f>SUM(J1140:J1144)</f>
        <v>451660734</v>
      </c>
      <c r="K1145" s="198">
        <f>SUM(K1140:K1144)</f>
        <v>452580734</v>
      </c>
    </row>
    <row r="1146" spans="1:15" ht="16.5">
      <c r="A1146" s="49" t="s">
        <v>88</v>
      </c>
      <c r="B1146" s="50"/>
      <c r="H1146" s="49" t="s">
        <v>88</v>
      </c>
      <c r="I1146" s="50"/>
    </row>
    <row r="1147" spans="1:15" ht="14.25" customHeight="1">
      <c r="A1147" s="51" t="s">
        <v>89</v>
      </c>
      <c r="H1147" s="51" t="s">
        <v>89</v>
      </c>
    </row>
    <row r="1148" spans="1:15" ht="12.75" customHeight="1">
      <c r="A1148" s="51" t="s">
        <v>90</v>
      </c>
      <c r="H1148" s="51" t="s">
        <v>90</v>
      </c>
    </row>
    <row r="1149" spans="1:15">
      <c r="A1149" s="51" t="s">
        <v>91</v>
      </c>
      <c r="H1149" s="51" t="s">
        <v>91</v>
      </c>
    </row>
    <row r="1150" spans="1:15" ht="11.25" customHeight="1">
      <c r="A1150" s="50"/>
      <c r="B1150" s="50"/>
      <c r="H1150" s="50"/>
      <c r="I1150" s="50"/>
    </row>
    <row r="1151" spans="1:15" ht="16.5">
      <c r="A1151" s="52" t="s">
        <v>489</v>
      </c>
      <c r="G1151" s="52"/>
      <c r="H1151" s="260" t="s">
        <v>185</v>
      </c>
      <c r="N1151" s="52"/>
    </row>
    <row r="1152" spans="1:15" ht="15.75">
      <c r="A1152" s="53" t="s">
        <v>92</v>
      </c>
      <c r="G1152" s="53"/>
      <c r="H1152" s="53" t="s">
        <v>1333</v>
      </c>
      <c r="N1152" s="53"/>
    </row>
    <row r="1153" spans="1:15" ht="16.5">
      <c r="A1153" s="894" t="s">
        <v>462</v>
      </c>
      <c r="B1153" s="894"/>
      <c r="C1153" s="894"/>
      <c r="D1153" s="894"/>
      <c r="E1153" s="894"/>
      <c r="F1153" s="894"/>
      <c r="G1153" s="894"/>
      <c r="H1153" s="894" t="s">
        <v>1547</v>
      </c>
      <c r="I1153" s="894"/>
      <c r="J1153" s="894"/>
      <c r="K1153" s="894"/>
      <c r="L1153" s="894"/>
      <c r="M1153" s="894"/>
      <c r="N1153" s="894"/>
      <c r="O1153" s="894"/>
    </row>
    <row r="1154" spans="1:15" ht="15.75" thickBot="1"/>
    <row r="1155" spans="1:15">
      <c r="A1155" s="895" t="s">
        <v>94</v>
      </c>
      <c r="B1155" s="897" t="s">
        <v>95</v>
      </c>
      <c r="C1155" s="897" t="s">
        <v>96</v>
      </c>
      <c r="D1155" s="897" t="s">
        <v>3</v>
      </c>
      <c r="E1155" s="897" t="s">
        <v>97</v>
      </c>
      <c r="F1155" s="897" t="s">
        <v>98</v>
      </c>
      <c r="G1155" s="500" t="s">
        <v>99</v>
      </c>
      <c r="H1155" s="895" t="s">
        <v>94</v>
      </c>
      <c r="I1155" s="897" t="s">
        <v>95</v>
      </c>
      <c r="J1155" s="897" t="s">
        <v>96</v>
      </c>
      <c r="K1155" s="897" t="s">
        <v>3</v>
      </c>
      <c r="L1155" s="897" t="s">
        <v>97</v>
      </c>
      <c r="M1155" s="897" t="s">
        <v>98</v>
      </c>
      <c r="N1155" s="897" t="s">
        <v>99</v>
      </c>
      <c r="O1155" s="899"/>
    </row>
    <row r="1156" spans="1:15" ht="15.75" thickBot="1">
      <c r="A1156" s="896"/>
      <c r="B1156" s="898"/>
      <c r="C1156" s="898"/>
      <c r="D1156" s="898"/>
      <c r="E1156" s="898"/>
      <c r="F1156" s="898"/>
      <c r="G1156" s="240" t="s">
        <v>100</v>
      </c>
      <c r="H1156" s="896"/>
      <c r="I1156" s="898"/>
      <c r="J1156" s="898"/>
      <c r="K1156" s="898"/>
      <c r="L1156" s="898"/>
      <c r="M1156" s="898"/>
      <c r="N1156" s="240" t="s">
        <v>100</v>
      </c>
      <c r="O1156" s="182" t="s">
        <v>101</v>
      </c>
    </row>
    <row r="1157" spans="1:15" ht="12" customHeight="1">
      <c r="A1157" s="919" t="e">
        <f>+#REF!+1</f>
        <v>#REF!</v>
      </c>
      <c r="B1157" s="875">
        <v>42355</v>
      </c>
      <c r="C1157" s="877" t="s">
        <v>31</v>
      </c>
      <c r="D1157" s="877" t="s">
        <v>490</v>
      </c>
      <c r="E1157" s="881" t="s">
        <v>115</v>
      </c>
      <c r="F1157" s="883">
        <v>50000</v>
      </c>
      <c r="G1157" s="55">
        <v>719</v>
      </c>
      <c r="H1157" s="873" t="s">
        <v>856</v>
      </c>
      <c r="I1157" s="875">
        <v>43062</v>
      </c>
      <c r="J1157" s="881" t="s">
        <v>472</v>
      </c>
      <c r="K1157" s="879" t="s">
        <v>1553</v>
      </c>
      <c r="L1157" s="881" t="s">
        <v>148</v>
      </c>
      <c r="M1157" s="883">
        <v>364000</v>
      </c>
      <c r="N1157" s="55">
        <v>719</v>
      </c>
      <c r="O1157" s="78">
        <f>+M1157-O1158</f>
        <v>280000</v>
      </c>
    </row>
    <row r="1158" spans="1:15" ht="14.25" customHeight="1" thickBot="1">
      <c r="A1158" s="920"/>
      <c r="B1158" s="876"/>
      <c r="C1158" s="878"/>
      <c r="D1158" s="878"/>
      <c r="E1158" s="882"/>
      <c r="F1158" s="884"/>
      <c r="G1158" s="56">
        <v>721</v>
      </c>
      <c r="H1158" s="874"/>
      <c r="I1158" s="876"/>
      <c r="J1158" s="882"/>
      <c r="K1158" s="880"/>
      <c r="L1158" s="882"/>
      <c r="M1158" s="884"/>
      <c r="N1158" s="56">
        <v>721</v>
      </c>
      <c r="O1158" s="79">
        <v>84000</v>
      </c>
    </row>
    <row r="1159" spans="1:15" ht="11.25" customHeight="1">
      <c r="A1159" s="919" t="e">
        <f>+A1157+1</f>
        <v>#REF!</v>
      </c>
      <c r="B1159" s="875">
        <v>42355</v>
      </c>
      <c r="C1159" s="877" t="s">
        <v>32</v>
      </c>
      <c r="D1159" s="877" t="s">
        <v>491</v>
      </c>
      <c r="E1159" s="881" t="s">
        <v>115</v>
      </c>
      <c r="F1159" s="883">
        <v>20000</v>
      </c>
      <c r="G1159" s="55">
        <v>719</v>
      </c>
      <c r="H1159" s="881">
        <f>+H1157+1</f>
        <v>146</v>
      </c>
      <c r="I1159" s="875">
        <v>43062</v>
      </c>
      <c r="J1159" s="877" t="s">
        <v>40</v>
      </c>
      <c r="K1159" s="881" t="s">
        <v>1439</v>
      </c>
      <c r="L1159" s="881" t="s">
        <v>148</v>
      </c>
      <c r="M1159" s="883">
        <v>-7821240</v>
      </c>
      <c r="N1159" s="55">
        <v>719</v>
      </c>
      <c r="O1159" s="78"/>
    </row>
    <row r="1160" spans="1:15" ht="15.75" customHeight="1" thickBot="1">
      <c r="A1160" s="920"/>
      <c r="B1160" s="876"/>
      <c r="C1160" s="878"/>
      <c r="D1160" s="878"/>
      <c r="E1160" s="882"/>
      <c r="F1160" s="884"/>
      <c r="G1160" s="56">
        <v>721</v>
      </c>
      <c r="H1160" s="882"/>
      <c r="I1160" s="876"/>
      <c r="J1160" s="878"/>
      <c r="K1160" s="882"/>
      <c r="L1160" s="882"/>
      <c r="M1160" s="884"/>
      <c r="N1160" s="56">
        <v>723</v>
      </c>
      <c r="O1160" s="79">
        <f>+M1159-O1159</f>
        <v>-7821240</v>
      </c>
    </row>
    <row r="1161" spans="1:15" ht="12.75" customHeight="1">
      <c r="A1161" s="919"/>
      <c r="B1161" s="875"/>
      <c r="C1161" s="877"/>
      <c r="D1161" s="881"/>
      <c r="E1161" s="881"/>
      <c r="F1161" s="883"/>
      <c r="G1161" s="55">
        <v>719</v>
      </c>
      <c r="H1161" s="881">
        <f>+H1159+1</f>
        <v>147</v>
      </c>
      <c r="I1161" s="875">
        <v>43062</v>
      </c>
      <c r="J1161" s="881" t="s">
        <v>472</v>
      </c>
      <c r="K1161" s="879" t="s">
        <v>1554</v>
      </c>
      <c r="L1161" s="881" t="s">
        <v>148</v>
      </c>
      <c r="M1161" s="883">
        <v>299000</v>
      </c>
      <c r="N1161" s="55">
        <v>719</v>
      </c>
      <c r="O1161" s="78">
        <f>+M1161-O1162</f>
        <v>230000</v>
      </c>
    </row>
    <row r="1162" spans="1:15" ht="13.5" customHeight="1" thickBot="1">
      <c r="A1162" s="920"/>
      <c r="B1162" s="876"/>
      <c r="C1162" s="878"/>
      <c r="D1162" s="882"/>
      <c r="E1162" s="882"/>
      <c r="F1162" s="884"/>
      <c r="G1162" s="56">
        <v>721</v>
      </c>
      <c r="H1162" s="882"/>
      <c r="I1162" s="876"/>
      <c r="J1162" s="882"/>
      <c r="K1162" s="880"/>
      <c r="L1162" s="882"/>
      <c r="M1162" s="884"/>
      <c r="N1162" s="56">
        <v>721</v>
      </c>
      <c r="O1162" s="79">
        <v>69000</v>
      </c>
    </row>
    <row r="1163" spans="1:15" ht="12" customHeight="1">
      <c r="A1163" s="881"/>
      <c r="B1163" s="875"/>
      <c r="C1163" s="877"/>
      <c r="D1163" s="881"/>
      <c r="E1163" s="881"/>
      <c r="F1163" s="883"/>
      <c r="G1163" s="55">
        <v>719</v>
      </c>
      <c r="H1163" s="881">
        <f>+H1161+1</f>
        <v>148</v>
      </c>
      <c r="I1163" s="875">
        <v>43062</v>
      </c>
      <c r="J1163" s="881" t="s">
        <v>472</v>
      </c>
      <c r="K1163" s="879" t="s">
        <v>1555</v>
      </c>
      <c r="L1163" s="881" t="s">
        <v>148</v>
      </c>
      <c r="M1163" s="883">
        <v>559000</v>
      </c>
      <c r="N1163" s="55">
        <v>719</v>
      </c>
      <c r="O1163" s="78">
        <f>+M1163-O1164</f>
        <v>430000</v>
      </c>
    </row>
    <row r="1164" spans="1:15" ht="12.75" customHeight="1" thickBot="1">
      <c r="A1164" s="882"/>
      <c r="B1164" s="876"/>
      <c r="C1164" s="878"/>
      <c r="D1164" s="882"/>
      <c r="E1164" s="882"/>
      <c r="F1164" s="884"/>
      <c r="G1164" s="56">
        <v>721</v>
      </c>
      <c r="H1164" s="882"/>
      <c r="I1164" s="876"/>
      <c r="J1164" s="882"/>
      <c r="K1164" s="880"/>
      <c r="L1164" s="882"/>
      <c r="M1164" s="884"/>
      <c r="N1164" s="56">
        <v>721</v>
      </c>
      <c r="O1164" s="79">
        <v>129000</v>
      </c>
    </row>
    <row r="1165" spans="1:15" ht="12.75" customHeight="1">
      <c r="A1165" s="881"/>
      <c r="B1165" s="875"/>
      <c r="C1165" s="877"/>
      <c r="D1165" s="881"/>
      <c r="E1165" s="881"/>
      <c r="F1165" s="883"/>
      <c r="G1165" s="55">
        <v>719</v>
      </c>
      <c r="H1165" s="881">
        <f>+H1163+1</f>
        <v>149</v>
      </c>
      <c r="I1165" s="875">
        <v>43062</v>
      </c>
      <c r="J1165" s="881" t="s">
        <v>472</v>
      </c>
      <c r="K1165" s="879" t="s">
        <v>1556</v>
      </c>
      <c r="L1165" s="881" t="s">
        <v>148</v>
      </c>
      <c r="M1165" s="883">
        <v>637000</v>
      </c>
      <c r="N1165" s="55">
        <v>719</v>
      </c>
      <c r="O1165" s="78">
        <f>+M1165-O1166</f>
        <v>490000</v>
      </c>
    </row>
    <row r="1166" spans="1:15" ht="13.5" customHeight="1" thickBot="1">
      <c r="A1166" s="882"/>
      <c r="B1166" s="876"/>
      <c r="C1166" s="878"/>
      <c r="D1166" s="882"/>
      <c r="E1166" s="882"/>
      <c r="F1166" s="884"/>
      <c r="G1166" s="56">
        <v>721</v>
      </c>
      <c r="H1166" s="882"/>
      <c r="I1166" s="876"/>
      <c r="J1166" s="882"/>
      <c r="K1166" s="880"/>
      <c r="L1166" s="882"/>
      <c r="M1166" s="884"/>
      <c r="N1166" s="56">
        <v>721</v>
      </c>
      <c r="O1166" s="79">
        <v>147000</v>
      </c>
    </row>
    <row r="1167" spans="1:15" ht="16.5" thickBot="1">
      <c r="A1167" s="901" t="s">
        <v>102</v>
      </c>
      <c r="B1167" s="902"/>
      <c r="C1167" s="902"/>
      <c r="D1167" s="902"/>
      <c r="E1167" s="903"/>
      <c r="F1167" s="81">
        <f>SUM(F1157:F1166)</f>
        <v>70000</v>
      </c>
      <c r="H1167" s="901" t="s">
        <v>102</v>
      </c>
      <c r="I1167" s="902"/>
      <c r="J1167" s="902"/>
      <c r="K1167" s="902"/>
      <c r="L1167" s="903"/>
      <c r="M1167" s="81">
        <f>SUM(M1157:M1166)</f>
        <v>-5962240</v>
      </c>
    </row>
    <row r="1168" spans="1:15" ht="16.5" thickBot="1">
      <c r="A1168" s="885" t="s">
        <v>103</v>
      </c>
      <c r="B1168" s="886"/>
      <c r="C1168" s="886"/>
      <c r="D1168" s="886"/>
      <c r="E1168" s="887"/>
      <c r="F1168" s="69" t="e">
        <f>+F1132</f>
        <v>#REF!</v>
      </c>
      <c r="H1168" s="885" t="s">
        <v>103</v>
      </c>
      <c r="I1168" s="886"/>
      <c r="J1168" s="886"/>
      <c r="K1168" s="886"/>
      <c r="L1168" s="887"/>
      <c r="M1168" s="69">
        <f>+M1132</f>
        <v>452580734</v>
      </c>
      <c r="N1168" s="241" t="s">
        <v>561</v>
      </c>
      <c r="O1168" s="242"/>
    </row>
    <row r="1169" spans="1:15" ht="16.5" thickBot="1">
      <c r="A1169" s="888" t="s">
        <v>104</v>
      </c>
      <c r="B1169" s="889"/>
      <c r="C1169" s="889"/>
      <c r="D1169" s="889"/>
      <c r="E1169" s="890"/>
      <c r="F1169" s="183" t="e">
        <f>SUM(F1167:F1168)</f>
        <v>#REF!</v>
      </c>
      <c r="H1169" s="888" t="s">
        <v>104</v>
      </c>
      <c r="I1169" s="889"/>
      <c r="J1169" s="889"/>
      <c r="K1169" s="889"/>
      <c r="L1169" s="890"/>
      <c r="M1169" s="183">
        <f>SUM(M1167:M1168)</f>
        <v>446618494</v>
      </c>
    </row>
    <row r="1170" spans="1:15" ht="13.5" customHeight="1">
      <c r="A1170" s="61"/>
      <c r="B1170" s="61"/>
      <c r="C1170" s="61"/>
      <c r="D1170" s="61"/>
      <c r="E1170" s="61"/>
      <c r="H1170" s="61"/>
      <c r="I1170" s="61"/>
      <c r="J1170" s="61"/>
      <c r="K1170" s="61"/>
      <c r="L1170" s="61"/>
    </row>
    <row r="1171" spans="1:15">
      <c r="A1171" s="51" t="s">
        <v>492</v>
      </c>
      <c r="H1171" s="51" t="s">
        <v>1557</v>
      </c>
    </row>
    <row r="1172" spans="1:15" ht="11.25" customHeight="1">
      <c r="F1172" s="139"/>
      <c r="M1172" s="139"/>
    </row>
    <row r="1173" spans="1:15">
      <c r="A1173" s="50" t="s">
        <v>105</v>
      </c>
      <c r="D1173" s="146"/>
      <c r="F1173" s="139"/>
      <c r="H1173" s="50" t="s">
        <v>105</v>
      </c>
      <c r="K1173" s="146"/>
      <c r="M1173" s="139"/>
    </row>
    <row r="1174" spans="1:15" ht="13.5" customHeight="1" thickBot="1"/>
    <row r="1175" spans="1:15" ht="15.75" thickBot="1">
      <c r="A1175" s="891" t="s">
        <v>106</v>
      </c>
      <c r="B1175" s="892"/>
      <c r="C1175" s="892"/>
      <c r="D1175" s="893"/>
      <c r="F1175" s="50" t="s">
        <v>288</v>
      </c>
      <c r="H1175" s="891" t="s">
        <v>106</v>
      </c>
      <c r="I1175" s="892"/>
      <c r="J1175" s="892"/>
      <c r="K1175" s="893"/>
      <c r="M1175" s="925" t="s">
        <v>288</v>
      </c>
      <c r="N1175" s="925"/>
      <c r="O1175" s="925"/>
    </row>
    <row r="1176" spans="1:15" ht="30.75" thickBot="1">
      <c r="A1176" s="57" t="s">
        <v>100</v>
      </c>
      <c r="B1176" s="58" t="s">
        <v>108</v>
      </c>
      <c r="C1176" s="59" t="s">
        <v>109</v>
      </c>
      <c r="D1176" s="60" t="s">
        <v>110</v>
      </c>
      <c r="H1176" s="57" t="s">
        <v>100</v>
      </c>
      <c r="I1176" s="58" t="s">
        <v>108</v>
      </c>
      <c r="J1176" s="59" t="s">
        <v>109</v>
      </c>
      <c r="K1176" s="60" t="s">
        <v>110</v>
      </c>
    </row>
    <row r="1177" spans="1:15" ht="13.5" customHeight="1">
      <c r="A1177" s="71">
        <v>719</v>
      </c>
      <c r="B1177" s="73" t="e">
        <f>+#REF!+#REF!+#REF!+#REF!+#REF!</f>
        <v>#REF!</v>
      </c>
      <c r="C1177" s="74" t="e">
        <f>+D1140</f>
        <v>#REF!</v>
      </c>
      <c r="D1177" s="195" t="e">
        <f>+B1177+C1177</f>
        <v>#REF!</v>
      </c>
      <c r="H1177" s="71">
        <v>719</v>
      </c>
      <c r="I1177" s="73">
        <f>+O1157+O1159+O1161+O1163+O1165</f>
        <v>1430000</v>
      </c>
      <c r="J1177" s="74">
        <f>+K1140</f>
        <v>46210000</v>
      </c>
      <c r="K1177" s="195">
        <f>+I1177+J1177</f>
        <v>47640000</v>
      </c>
    </row>
    <row r="1178" spans="1:15">
      <c r="A1178" s="72">
        <v>721</v>
      </c>
      <c r="B1178" s="80" t="e">
        <f>(+#REF!+#REF!+#REF!+#REF!+#REF!)</f>
        <v>#REF!</v>
      </c>
      <c r="C1178" s="74" t="e">
        <f>+D1141</f>
        <v>#REF!</v>
      </c>
      <c r="D1178" s="195" t="e">
        <f>+B1178+C1178</f>
        <v>#REF!</v>
      </c>
      <c r="H1178" s="72">
        <v>721</v>
      </c>
      <c r="I1178" s="80">
        <f>+O1158+O1162+O1164+O1166</f>
        <v>429000</v>
      </c>
      <c r="J1178" s="74">
        <f>+K1141</f>
        <v>19836500</v>
      </c>
      <c r="K1178" s="195">
        <f>+I1178+J1178</f>
        <v>20265500</v>
      </c>
    </row>
    <row r="1179" spans="1:15" ht="13.5" customHeight="1">
      <c r="A1179" s="72">
        <v>722</v>
      </c>
      <c r="B1179" s="80"/>
      <c r="C1179" s="74" t="e">
        <f>+D1142</f>
        <v>#REF!</v>
      </c>
      <c r="D1179" s="195" t="e">
        <f>+B1179+C1179</f>
        <v>#REF!</v>
      </c>
      <c r="H1179" s="72">
        <v>722</v>
      </c>
      <c r="I1179" s="80"/>
      <c r="J1179" s="74">
        <f>+K1142</f>
        <v>55831494</v>
      </c>
      <c r="K1179" s="195">
        <f>+I1179+J1179</f>
        <v>55831494</v>
      </c>
      <c r="M1179" s="918" t="s">
        <v>1481</v>
      </c>
      <c r="N1179" s="918"/>
      <c r="O1179" s="918"/>
    </row>
    <row r="1180" spans="1:15" ht="15.75">
      <c r="A1180" s="72">
        <v>723</v>
      </c>
      <c r="B1180" s="80"/>
      <c r="C1180" s="74" t="e">
        <f>+D1143</f>
        <v>#REF!</v>
      </c>
      <c r="D1180" s="195" t="e">
        <f>+B1180+C1180</f>
        <v>#REF!</v>
      </c>
      <c r="F1180" s="174" t="s">
        <v>23</v>
      </c>
      <c r="G1180" s="175"/>
      <c r="H1180" s="72">
        <v>723</v>
      </c>
      <c r="I1180" s="80">
        <f>+O1160</f>
        <v>-7821240</v>
      </c>
      <c r="J1180" s="74">
        <f>+K1143</f>
        <v>330702740</v>
      </c>
      <c r="K1180" s="195">
        <f>+I1180+J1180</f>
        <v>322881500</v>
      </c>
      <c r="M1180" s="193"/>
      <c r="N1180" s="175"/>
    </row>
    <row r="1181" spans="1:15" ht="14.25" customHeight="1" thickBot="1">
      <c r="A1181" s="164" t="s">
        <v>181</v>
      </c>
      <c r="B1181" s="165"/>
      <c r="C1181" s="74" t="e">
        <f>+D1144</f>
        <v>#REF!</v>
      </c>
      <c r="D1181" s="196" t="e">
        <f>+B1181+C1181</f>
        <v>#REF!</v>
      </c>
      <c r="F1181" s="52"/>
      <c r="H1181" s="164" t="s">
        <v>181</v>
      </c>
      <c r="I1181" s="165"/>
      <c r="J1181" s="74">
        <f>+K1144</f>
        <v>0</v>
      </c>
      <c r="K1181" s="196">
        <f>+I1181+J1181</f>
        <v>0</v>
      </c>
      <c r="M1181" s="52"/>
    </row>
    <row r="1182" spans="1:15" ht="16.5" thickBot="1">
      <c r="A1182" s="169"/>
      <c r="B1182" s="170" t="e">
        <f>SUM(B1177:B1181)</f>
        <v>#REF!</v>
      </c>
      <c r="C1182" s="171" t="e">
        <f>SUM(C1177:C1181)</f>
        <v>#REF!</v>
      </c>
      <c r="D1182" s="172" t="e">
        <f>SUM(D1177:D1181)</f>
        <v>#REF!</v>
      </c>
      <c r="H1182" s="169"/>
      <c r="I1182" s="197">
        <f>SUM(I1177:I1181)</f>
        <v>-5962240</v>
      </c>
      <c r="J1182" s="197">
        <f>SUM(J1177:J1181)</f>
        <v>452580734</v>
      </c>
      <c r="K1182" s="198">
        <f>SUM(K1177:K1181)</f>
        <v>446618494</v>
      </c>
    </row>
    <row r="1183" spans="1:15" ht="16.5">
      <c r="A1183" s="49" t="s">
        <v>88</v>
      </c>
      <c r="B1183" s="50"/>
      <c r="H1183" s="49" t="s">
        <v>88</v>
      </c>
      <c r="I1183" s="50"/>
    </row>
    <row r="1184" spans="1:15">
      <c r="A1184" s="51" t="s">
        <v>89</v>
      </c>
      <c r="H1184" s="51" t="s">
        <v>89</v>
      </c>
    </row>
    <row r="1185" spans="1:15">
      <c r="A1185" s="51" t="s">
        <v>90</v>
      </c>
      <c r="H1185" s="51" t="s">
        <v>90</v>
      </c>
    </row>
    <row r="1186" spans="1:15" ht="14.25" customHeight="1">
      <c r="A1186" s="51" t="s">
        <v>91</v>
      </c>
      <c r="H1186" s="51" t="s">
        <v>91</v>
      </c>
    </row>
    <row r="1187" spans="1:15" ht="10.5" customHeight="1">
      <c r="A1187" s="50"/>
      <c r="B1187" s="50"/>
      <c r="H1187" s="50"/>
      <c r="I1187" s="50"/>
    </row>
    <row r="1188" spans="1:15" ht="16.5">
      <c r="A1188" s="52" t="s">
        <v>493</v>
      </c>
      <c r="G1188" s="52"/>
      <c r="H1188" s="260" t="s">
        <v>870</v>
      </c>
      <c r="N1188" s="52"/>
    </row>
    <row r="1189" spans="1:15" ht="15.75">
      <c r="A1189" s="53" t="s">
        <v>92</v>
      </c>
      <c r="G1189" s="53"/>
      <c r="H1189" s="53" t="s">
        <v>1333</v>
      </c>
      <c r="N1189" s="53"/>
    </row>
    <row r="1190" spans="1:15" ht="16.5">
      <c r="A1190" s="894" t="s">
        <v>261</v>
      </c>
      <c r="B1190" s="894"/>
      <c r="C1190" s="894"/>
      <c r="D1190" s="894"/>
      <c r="E1190" s="894"/>
      <c r="F1190" s="894"/>
      <c r="G1190" s="894"/>
      <c r="H1190" s="894" t="s">
        <v>261</v>
      </c>
      <c r="I1190" s="894"/>
      <c r="J1190" s="894"/>
      <c r="K1190" s="894"/>
      <c r="L1190" s="894"/>
      <c r="M1190" s="894"/>
      <c r="N1190" s="894"/>
      <c r="O1190" s="894"/>
    </row>
    <row r="1191" spans="1:15" ht="15.75" thickBot="1"/>
    <row r="1192" spans="1:15">
      <c r="A1192" s="895" t="s">
        <v>94</v>
      </c>
      <c r="B1192" s="897" t="s">
        <v>95</v>
      </c>
      <c r="C1192" s="897" t="s">
        <v>96</v>
      </c>
      <c r="D1192" s="897" t="s">
        <v>3</v>
      </c>
      <c r="E1192" s="897" t="s">
        <v>97</v>
      </c>
      <c r="F1192" s="897" t="s">
        <v>98</v>
      </c>
      <c r="G1192" s="500" t="s">
        <v>99</v>
      </c>
      <c r="H1192" s="895" t="s">
        <v>94</v>
      </c>
      <c r="I1192" s="897" t="s">
        <v>95</v>
      </c>
      <c r="J1192" s="897" t="s">
        <v>96</v>
      </c>
      <c r="K1192" s="897" t="s">
        <v>3</v>
      </c>
      <c r="L1192" s="897" t="s">
        <v>97</v>
      </c>
      <c r="M1192" s="897" t="s">
        <v>98</v>
      </c>
      <c r="N1192" s="897" t="s">
        <v>99</v>
      </c>
      <c r="O1192" s="899"/>
    </row>
    <row r="1193" spans="1:15" ht="15.75" thickBot="1">
      <c r="A1193" s="896"/>
      <c r="B1193" s="898"/>
      <c r="C1193" s="898"/>
      <c r="D1193" s="898"/>
      <c r="E1193" s="898"/>
      <c r="F1193" s="898"/>
      <c r="G1193" s="240" t="s">
        <v>100</v>
      </c>
      <c r="H1193" s="896"/>
      <c r="I1193" s="898"/>
      <c r="J1193" s="898"/>
      <c r="K1193" s="898"/>
      <c r="L1193" s="898"/>
      <c r="M1193" s="898"/>
      <c r="N1193" s="240" t="s">
        <v>100</v>
      </c>
      <c r="O1193" s="182" t="s">
        <v>101</v>
      </c>
    </row>
    <row r="1194" spans="1:15" ht="12.75" customHeight="1">
      <c r="A1194" s="919" t="e">
        <f>+A1159+1</f>
        <v>#REF!</v>
      </c>
      <c r="B1194" s="875">
        <v>42360</v>
      </c>
      <c r="C1194" s="877" t="s">
        <v>31</v>
      </c>
      <c r="D1194" s="877" t="s">
        <v>494</v>
      </c>
      <c r="E1194" s="881" t="s">
        <v>115</v>
      </c>
      <c r="F1194" s="883">
        <v>70000</v>
      </c>
      <c r="G1194" s="55">
        <v>719</v>
      </c>
      <c r="H1194" s="873" t="s">
        <v>863</v>
      </c>
      <c r="I1194" s="875">
        <v>43062</v>
      </c>
      <c r="J1194" s="881" t="s">
        <v>28</v>
      </c>
      <c r="K1194" s="881" t="s">
        <v>1558</v>
      </c>
      <c r="L1194" s="881" t="s">
        <v>148</v>
      </c>
      <c r="M1194" s="883">
        <v>741000</v>
      </c>
      <c r="N1194" s="55">
        <v>719</v>
      </c>
      <c r="O1194" s="78">
        <f>+M1194-O1195</f>
        <v>570000</v>
      </c>
    </row>
    <row r="1195" spans="1:15" ht="12.75" customHeight="1" thickBot="1">
      <c r="A1195" s="920"/>
      <c r="B1195" s="876"/>
      <c r="C1195" s="878"/>
      <c r="D1195" s="878"/>
      <c r="E1195" s="882"/>
      <c r="F1195" s="884"/>
      <c r="G1195" s="56">
        <v>721</v>
      </c>
      <c r="H1195" s="874"/>
      <c r="I1195" s="876"/>
      <c r="J1195" s="882"/>
      <c r="K1195" s="882"/>
      <c r="L1195" s="882"/>
      <c r="M1195" s="884"/>
      <c r="N1195" s="56">
        <v>721</v>
      </c>
      <c r="O1195" s="79">
        <v>171000</v>
      </c>
    </row>
    <row r="1196" spans="1:15" ht="12" customHeight="1">
      <c r="A1196" s="919" t="e">
        <f>+A1194+1</f>
        <v>#REF!</v>
      </c>
      <c r="B1196" s="875">
        <v>42360</v>
      </c>
      <c r="C1196" s="877" t="s">
        <v>472</v>
      </c>
      <c r="D1196" s="877" t="s">
        <v>495</v>
      </c>
      <c r="E1196" s="881" t="s">
        <v>115</v>
      </c>
      <c r="F1196" s="883">
        <v>60000</v>
      </c>
      <c r="G1196" s="55">
        <v>719</v>
      </c>
      <c r="H1196" s="873">
        <f>+H1194+1</f>
        <v>151</v>
      </c>
      <c r="I1196" s="875">
        <v>43062</v>
      </c>
      <c r="J1196" s="881" t="s">
        <v>28</v>
      </c>
      <c r="K1196" s="881" t="s">
        <v>1559</v>
      </c>
      <c r="L1196" s="881" t="s">
        <v>148</v>
      </c>
      <c r="M1196" s="883">
        <v>299000</v>
      </c>
      <c r="N1196" s="55">
        <v>719</v>
      </c>
      <c r="O1196" s="78">
        <f>+M1196-O1197</f>
        <v>230000</v>
      </c>
    </row>
    <row r="1197" spans="1:15" ht="12" customHeight="1" thickBot="1">
      <c r="A1197" s="920"/>
      <c r="B1197" s="876"/>
      <c r="C1197" s="878"/>
      <c r="D1197" s="878"/>
      <c r="E1197" s="882"/>
      <c r="F1197" s="884"/>
      <c r="G1197" s="56">
        <v>721</v>
      </c>
      <c r="H1197" s="882"/>
      <c r="I1197" s="876"/>
      <c r="J1197" s="882"/>
      <c r="K1197" s="882"/>
      <c r="L1197" s="882"/>
      <c r="M1197" s="884"/>
      <c r="N1197" s="56">
        <v>721</v>
      </c>
      <c r="O1197" s="79">
        <v>69000</v>
      </c>
    </row>
    <row r="1198" spans="1:15" ht="12" customHeight="1">
      <c r="A1198" s="919" t="e">
        <f>+A1196+1</f>
        <v>#REF!</v>
      </c>
      <c r="B1198" s="875">
        <v>42360</v>
      </c>
      <c r="C1198" s="877" t="s">
        <v>32</v>
      </c>
      <c r="D1198" s="877" t="s">
        <v>496</v>
      </c>
      <c r="E1198" s="881" t="s">
        <v>115</v>
      </c>
      <c r="F1198" s="883">
        <v>50000</v>
      </c>
      <c r="G1198" s="55">
        <v>719</v>
      </c>
      <c r="H1198" s="873">
        <f>+H1196+1</f>
        <v>152</v>
      </c>
      <c r="I1198" s="875">
        <v>43062</v>
      </c>
      <c r="J1198" s="881" t="s">
        <v>120</v>
      </c>
      <c r="K1198" s="881" t="s">
        <v>1560</v>
      </c>
      <c r="L1198" s="881" t="s">
        <v>115</v>
      </c>
      <c r="M1198" s="883">
        <v>320000</v>
      </c>
      <c r="N1198" s="55">
        <v>719</v>
      </c>
      <c r="O1198" s="78">
        <v>320000</v>
      </c>
    </row>
    <row r="1199" spans="1:15" ht="10.5" customHeight="1" thickBot="1">
      <c r="A1199" s="920"/>
      <c r="B1199" s="876"/>
      <c r="C1199" s="878"/>
      <c r="D1199" s="878"/>
      <c r="E1199" s="882"/>
      <c r="F1199" s="884"/>
      <c r="G1199" s="56">
        <v>721</v>
      </c>
      <c r="H1199" s="882"/>
      <c r="I1199" s="876"/>
      <c r="J1199" s="882"/>
      <c r="K1199" s="882"/>
      <c r="L1199" s="882"/>
      <c r="M1199" s="884"/>
      <c r="N1199" s="56">
        <v>721</v>
      </c>
      <c r="O1199" s="79">
        <v>0</v>
      </c>
    </row>
    <row r="1200" spans="1:15" ht="12" customHeight="1">
      <c r="A1200" s="919"/>
      <c r="B1200" s="875"/>
      <c r="C1200" s="877"/>
      <c r="D1200" s="881"/>
      <c r="E1200" s="881"/>
      <c r="F1200" s="883"/>
      <c r="G1200" s="55">
        <v>719</v>
      </c>
      <c r="H1200" s="873">
        <f>+H1198+1</f>
        <v>153</v>
      </c>
      <c r="I1200" s="875">
        <v>43062</v>
      </c>
      <c r="J1200" s="881" t="s">
        <v>120</v>
      </c>
      <c r="K1200" s="881" t="s">
        <v>1561</v>
      </c>
      <c r="L1200" s="881" t="s">
        <v>115</v>
      </c>
      <c r="M1200" s="883">
        <v>230000</v>
      </c>
      <c r="N1200" s="55">
        <v>719</v>
      </c>
      <c r="O1200" s="78">
        <v>230000</v>
      </c>
    </row>
    <row r="1201" spans="1:15" ht="11.25" customHeight="1" thickBot="1">
      <c r="A1201" s="920"/>
      <c r="B1201" s="876"/>
      <c r="C1201" s="878"/>
      <c r="D1201" s="882"/>
      <c r="E1201" s="882"/>
      <c r="F1201" s="884"/>
      <c r="G1201" s="56">
        <v>721</v>
      </c>
      <c r="H1201" s="882"/>
      <c r="I1201" s="876"/>
      <c r="J1201" s="882"/>
      <c r="K1201" s="882"/>
      <c r="L1201" s="882"/>
      <c r="M1201" s="884"/>
      <c r="N1201" s="56">
        <v>721</v>
      </c>
      <c r="O1201" s="79">
        <v>0</v>
      </c>
    </row>
    <row r="1202" spans="1:15" ht="13.5" customHeight="1">
      <c r="A1202" s="439"/>
      <c r="B1202" s="252"/>
      <c r="C1202" s="253"/>
      <c r="D1202" s="251"/>
      <c r="E1202" s="251"/>
      <c r="F1202" s="254"/>
      <c r="G1202" s="255"/>
      <c r="H1202" s="873">
        <f>+H1198+1</f>
        <v>153</v>
      </c>
      <c r="I1202" s="875">
        <v>43062</v>
      </c>
      <c r="J1202" s="881" t="s">
        <v>120</v>
      </c>
      <c r="K1202" s="879" t="s">
        <v>1562</v>
      </c>
      <c r="L1202" s="881" t="s">
        <v>115</v>
      </c>
      <c r="M1202" s="883">
        <v>320000</v>
      </c>
      <c r="N1202" s="55">
        <v>719</v>
      </c>
      <c r="O1202" s="78">
        <v>320000</v>
      </c>
    </row>
    <row r="1203" spans="1:15" ht="13.5" customHeight="1" thickBot="1">
      <c r="A1203" s="439"/>
      <c r="B1203" s="252"/>
      <c r="C1203" s="253"/>
      <c r="D1203" s="251"/>
      <c r="E1203" s="251"/>
      <c r="F1203" s="254"/>
      <c r="G1203" s="255"/>
      <c r="H1203" s="882"/>
      <c r="I1203" s="876"/>
      <c r="J1203" s="882"/>
      <c r="K1203" s="880"/>
      <c r="L1203" s="882"/>
      <c r="M1203" s="884"/>
      <c r="N1203" s="56">
        <v>721</v>
      </c>
      <c r="O1203" s="79">
        <f>+M1202-O1202</f>
        <v>0</v>
      </c>
    </row>
    <row r="1204" spans="1:15" ht="12" customHeight="1">
      <c r="A1204" s="881"/>
      <c r="B1204" s="875"/>
      <c r="C1204" s="877"/>
      <c r="D1204" s="881"/>
      <c r="E1204" s="881"/>
      <c r="F1204" s="883"/>
      <c r="G1204" s="55">
        <v>719</v>
      </c>
      <c r="H1204" s="873" t="s">
        <v>872</v>
      </c>
      <c r="I1204" s="875">
        <v>43062</v>
      </c>
      <c r="J1204" s="881" t="s">
        <v>120</v>
      </c>
      <c r="K1204" s="881" t="s">
        <v>1545</v>
      </c>
      <c r="L1204" s="881" t="s">
        <v>115</v>
      </c>
      <c r="M1204" s="883">
        <v>160000</v>
      </c>
      <c r="N1204" s="55">
        <v>719</v>
      </c>
      <c r="O1204" s="78">
        <v>160000</v>
      </c>
    </row>
    <row r="1205" spans="1:15" ht="12" customHeight="1" thickBot="1">
      <c r="A1205" s="882"/>
      <c r="B1205" s="876"/>
      <c r="C1205" s="878"/>
      <c r="D1205" s="882"/>
      <c r="E1205" s="882"/>
      <c r="F1205" s="884"/>
      <c r="G1205" s="56">
        <v>721</v>
      </c>
      <c r="H1205" s="874"/>
      <c r="I1205" s="876"/>
      <c r="J1205" s="882"/>
      <c r="K1205" s="882"/>
      <c r="L1205" s="882"/>
      <c r="M1205" s="884"/>
      <c r="N1205" s="56">
        <v>721</v>
      </c>
      <c r="O1205" s="79">
        <v>0</v>
      </c>
    </row>
    <row r="1206" spans="1:15" ht="15" customHeight="1" thickBot="1">
      <c r="A1206" s="901" t="s">
        <v>102</v>
      </c>
      <c r="B1206" s="902"/>
      <c r="C1206" s="902"/>
      <c r="D1206" s="902"/>
      <c r="E1206" s="903"/>
      <c r="F1206" s="81">
        <f>SUM(F1194:F1205)</f>
        <v>180000</v>
      </c>
      <c r="H1206" s="901" t="s">
        <v>102</v>
      </c>
      <c r="I1206" s="902"/>
      <c r="J1206" s="902"/>
      <c r="K1206" s="902"/>
      <c r="L1206" s="903"/>
      <c r="M1206" s="81">
        <f>SUM(M1194:M1205)</f>
        <v>2070000</v>
      </c>
    </row>
    <row r="1207" spans="1:15" ht="16.5" thickBot="1">
      <c r="A1207" s="885" t="s">
        <v>103</v>
      </c>
      <c r="B1207" s="886"/>
      <c r="C1207" s="886"/>
      <c r="D1207" s="886"/>
      <c r="E1207" s="887"/>
      <c r="F1207" s="69" t="e">
        <f>+F1169</f>
        <v>#REF!</v>
      </c>
      <c r="H1207" s="885" t="s">
        <v>103</v>
      </c>
      <c r="I1207" s="886"/>
      <c r="J1207" s="886"/>
      <c r="K1207" s="886"/>
      <c r="L1207" s="887"/>
      <c r="M1207" s="69">
        <f>+M1169</f>
        <v>446618494</v>
      </c>
      <c r="N1207" s="241" t="s">
        <v>561</v>
      </c>
      <c r="O1207" s="242">
        <f>557+418+511+644</f>
        <v>2130</v>
      </c>
    </row>
    <row r="1208" spans="1:15" ht="16.5" thickBot="1">
      <c r="A1208" s="888" t="s">
        <v>104</v>
      </c>
      <c r="B1208" s="889"/>
      <c r="C1208" s="889"/>
      <c r="D1208" s="889"/>
      <c r="E1208" s="890"/>
      <c r="F1208" s="183" t="e">
        <f>SUM(F1206:F1207)</f>
        <v>#REF!</v>
      </c>
      <c r="H1208" s="888" t="s">
        <v>104</v>
      </c>
      <c r="I1208" s="889"/>
      <c r="J1208" s="889"/>
      <c r="K1208" s="889"/>
      <c r="L1208" s="890"/>
      <c r="M1208" s="183">
        <f>SUM(M1206:M1207)</f>
        <v>448688494</v>
      </c>
    </row>
    <row r="1209" spans="1:15" ht="11.25" customHeight="1">
      <c r="A1209" s="61"/>
      <c r="B1209" s="61"/>
      <c r="C1209" s="61"/>
      <c r="D1209" s="61"/>
      <c r="E1209" s="61"/>
      <c r="H1209" s="61"/>
      <c r="I1209" s="61"/>
      <c r="J1209" s="61"/>
      <c r="K1209" s="61"/>
      <c r="L1209" s="61"/>
    </row>
    <row r="1210" spans="1:15">
      <c r="A1210" s="51" t="s">
        <v>497</v>
      </c>
      <c r="H1210" s="51" t="s">
        <v>1577</v>
      </c>
    </row>
    <row r="1211" spans="1:15" ht="9.75" customHeight="1">
      <c r="F1211" s="139"/>
      <c r="M1211" s="139"/>
    </row>
    <row r="1212" spans="1:15">
      <c r="A1212" s="50" t="s">
        <v>105</v>
      </c>
      <c r="D1212" s="146"/>
      <c r="F1212" s="139"/>
      <c r="H1212" s="50" t="s">
        <v>105</v>
      </c>
      <c r="K1212" s="146"/>
      <c r="M1212" s="139"/>
    </row>
    <row r="1213" spans="1:15" ht="9.75" customHeight="1" thickBot="1"/>
    <row r="1214" spans="1:15" ht="17.25" thickBot="1">
      <c r="A1214" s="891" t="s">
        <v>106</v>
      </c>
      <c r="B1214" s="892"/>
      <c r="C1214" s="892"/>
      <c r="D1214" s="893"/>
      <c r="F1214" s="50" t="s">
        <v>288</v>
      </c>
      <c r="H1214" s="891" t="s">
        <v>106</v>
      </c>
      <c r="I1214" s="892"/>
      <c r="J1214" s="892"/>
      <c r="K1214" s="893"/>
      <c r="M1214" s="604" t="s">
        <v>288</v>
      </c>
      <c r="N1214" s="604"/>
      <c r="O1214" s="604"/>
    </row>
    <row r="1215" spans="1:15" ht="30.75" thickBot="1">
      <c r="A1215" s="57" t="s">
        <v>100</v>
      </c>
      <c r="B1215" s="58" t="s">
        <v>108</v>
      </c>
      <c r="C1215" s="59" t="s">
        <v>109</v>
      </c>
      <c r="D1215" s="60" t="s">
        <v>110</v>
      </c>
      <c r="H1215" s="57" t="s">
        <v>100</v>
      </c>
      <c r="I1215" s="58" t="s">
        <v>108</v>
      </c>
      <c r="J1215" s="59" t="s">
        <v>109</v>
      </c>
      <c r="K1215" s="60" t="s">
        <v>110</v>
      </c>
    </row>
    <row r="1216" spans="1:15" ht="14.25" customHeight="1">
      <c r="A1216" s="71">
        <v>719</v>
      </c>
      <c r="B1216" s="73" t="e">
        <f>+#REF!+#REF!+#REF!+#REF!+#REF!</f>
        <v>#REF!</v>
      </c>
      <c r="C1216" s="74" t="e">
        <f>+D1177</f>
        <v>#REF!</v>
      </c>
      <c r="D1216" s="195" t="e">
        <f>+B1216+C1216</f>
        <v>#REF!</v>
      </c>
      <c r="H1216" s="71">
        <v>719</v>
      </c>
      <c r="I1216" s="73">
        <f>+O1194+O1196+O1198+O1200+O1204+O1202</f>
        <v>1830000</v>
      </c>
      <c r="J1216" s="74">
        <f>+K1177</f>
        <v>47640000</v>
      </c>
      <c r="K1216" s="195">
        <f>+I1216+J1216</f>
        <v>49470000</v>
      </c>
    </row>
    <row r="1217" spans="1:15" ht="13.5" customHeight="1">
      <c r="A1217" s="72">
        <v>721</v>
      </c>
      <c r="B1217" s="80" t="e">
        <f>(+#REF!+#REF!+#REF!+#REF!+#REF!)</f>
        <v>#REF!</v>
      </c>
      <c r="C1217" s="74" t="e">
        <f>+D1178</f>
        <v>#REF!</v>
      </c>
      <c r="D1217" s="195" t="e">
        <f>+B1217+C1217</f>
        <v>#REF!</v>
      </c>
      <c r="H1217" s="72">
        <v>721</v>
      </c>
      <c r="I1217" s="80">
        <f>+O1205+O1201+O1199+O1197+O1195</f>
        <v>240000</v>
      </c>
      <c r="J1217" s="74">
        <f>+K1178</f>
        <v>20265500</v>
      </c>
      <c r="K1217" s="195">
        <f>+I1217+J1217</f>
        <v>20505500</v>
      </c>
    </row>
    <row r="1218" spans="1:15" ht="12.75" customHeight="1">
      <c r="A1218" s="72">
        <v>722</v>
      </c>
      <c r="B1218" s="80"/>
      <c r="C1218" s="74" t="e">
        <f>+D1179</f>
        <v>#REF!</v>
      </c>
      <c r="D1218" s="195" t="e">
        <f>+B1218+C1218</f>
        <v>#REF!</v>
      </c>
      <c r="H1218" s="72">
        <v>722</v>
      </c>
      <c r="I1218" s="80"/>
      <c r="J1218" s="74">
        <f>+K1179</f>
        <v>55831494</v>
      </c>
      <c r="K1218" s="195">
        <f>+I1218+J1218</f>
        <v>55831494</v>
      </c>
    </row>
    <row r="1219" spans="1:15" ht="14.25" customHeight="1">
      <c r="A1219" s="72">
        <v>723</v>
      </c>
      <c r="B1219" s="80"/>
      <c r="C1219" s="74" t="e">
        <f>+D1180</f>
        <v>#REF!</v>
      </c>
      <c r="D1219" s="195" t="e">
        <f>+B1219+C1219</f>
        <v>#REF!</v>
      </c>
      <c r="F1219" s="174" t="s">
        <v>23</v>
      </c>
      <c r="G1219" s="175"/>
      <c r="H1219" s="72">
        <v>723</v>
      </c>
      <c r="I1219" s="80"/>
      <c r="J1219" s="74">
        <f>+K1180</f>
        <v>322881500</v>
      </c>
      <c r="K1219" s="195">
        <f>+I1219+J1219</f>
        <v>322881500</v>
      </c>
      <c r="M1219" s="918" t="s">
        <v>1481</v>
      </c>
      <c r="N1219" s="918"/>
      <c r="O1219" s="918"/>
    </row>
    <row r="1220" spans="1:15" ht="14.25" customHeight="1" thickBot="1">
      <c r="A1220" s="164" t="s">
        <v>181</v>
      </c>
      <c r="B1220" s="165"/>
      <c r="C1220" s="74" t="e">
        <f>+D1181</f>
        <v>#REF!</v>
      </c>
      <c r="D1220" s="196" t="e">
        <f>+B1220+C1220</f>
        <v>#REF!</v>
      </c>
      <c r="F1220" s="52"/>
      <c r="H1220" s="164" t="s">
        <v>181</v>
      </c>
      <c r="I1220" s="165"/>
      <c r="J1220" s="74">
        <f>+K1181</f>
        <v>0</v>
      </c>
      <c r="K1220" s="196">
        <f>+I1220+J1220</f>
        <v>0</v>
      </c>
      <c r="M1220" s="52"/>
    </row>
    <row r="1221" spans="1:15" ht="15" customHeight="1" thickBot="1">
      <c r="A1221" s="169"/>
      <c r="B1221" s="170" t="e">
        <f>SUM(B1216:B1220)</f>
        <v>#REF!</v>
      </c>
      <c r="C1221" s="171" t="e">
        <f>SUM(C1216:C1220)</f>
        <v>#REF!</v>
      </c>
      <c r="D1221" s="172" t="e">
        <f>SUM(D1216:D1220)</f>
        <v>#REF!</v>
      </c>
      <c r="H1221" s="169"/>
      <c r="I1221" s="197">
        <f>SUM(I1216:I1220)</f>
        <v>2070000</v>
      </c>
      <c r="J1221" s="197">
        <f>SUM(J1216:J1220)</f>
        <v>446618494</v>
      </c>
      <c r="K1221" s="198">
        <f>SUM(K1216:K1220)</f>
        <v>448688494</v>
      </c>
    </row>
    <row r="1222" spans="1:15" ht="16.5">
      <c r="A1222" s="49" t="s">
        <v>88</v>
      </c>
      <c r="B1222" s="50"/>
      <c r="H1222" s="49" t="s">
        <v>88</v>
      </c>
      <c r="I1222" s="50"/>
    </row>
    <row r="1223" spans="1:15">
      <c r="A1223" s="51" t="s">
        <v>89</v>
      </c>
      <c r="H1223" s="51" t="s">
        <v>89</v>
      </c>
    </row>
    <row r="1224" spans="1:15">
      <c r="A1224" s="51" t="s">
        <v>90</v>
      </c>
      <c r="H1224" s="51" t="s">
        <v>90</v>
      </c>
    </row>
    <row r="1225" spans="1:15">
      <c r="A1225" s="51" t="s">
        <v>91</v>
      </c>
      <c r="H1225" s="51" t="s">
        <v>91</v>
      </c>
    </row>
    <row r="1226" spans="1:15" ht="12" customHeight="1">
      <c r="A1226" s="50"/>
      <c r="B1226" s="50"/>
      <c r="H1226" s="50"/>
      <c r="I1226" s="50"/>
    </row>
    <row r="1227" spans="1:15" ht="16.5">
      <c r="A1227" s="52" t="s">
        <v>498</v>
      </c>
      <c r="G1227" s="52"/>
      <c r="H1227" s="260" t="s">
        <v>200</v>
      </c>
      <c r="N1227" s="52"/>
    </row>
    <row r="1228" spans="1:15" ht="15.75">
      <c r="A1228" s="53" t="s">
        <v>92</v>
      </c>
      <c r="G1228" s="53"/>
      <c r="H1228" s="53" t="s">
        <v>1333</v>
      </c>
      <c r="N1228" s="53"/>
    </row>
    <row r="1229" spans="1:15" ht="16.5">
      <c r="A1229" s="894" t="s">
        <v>261</v>
      </c>
      <c r="B1229" s="894"/>
      <c r="C1229" s="894"/>
      <c r="D1229" s="894"/>
      <c r="E1229" s="894"/>
      <c r="F1229" s="894"/>
      <c r="G1229" s="894"/>
      <c r="H1229" s="894" t="s">
        <v>1564</v>
      </c>
      <c r="I1229" s="894"/>
      <c r="J1229" s="894"/>
      <c r="K1229" s="894"/>
      <c r="L1229" s="894"/>
      <c r="M1229" s="894"/>
      <c r="N1229" s="894"/>
      <c r="O1229" s="894"/>
    </row>
    <row r="1230" spans="1:15" ht="15.75" thickBot="1"/>
    <row r="1231" spans="1:15">
      <c r="A1231" s="895" t="s">
        <v>94</v>
      </c>
      <c r="B1231" s="897" t="s">
        <v>95</v>
      </c>
      <c r="C1231" s="897" t="s">
        <v>96</v>
      </c>
      <c r="D1231" s="897" t="s">
        <v>3</v>
      </c>
      <c r="E1231" s="897" t="s">
        <v>97</v>
      </c>
      <c r="F1231" s="897" t="s">
        <v>98</v>
      </c>
      <c r="G1231" s="500" t="s">
        <v>99</v>
      </c>
      <c r="H1231" s="895" t="s">
        <v>94</v>
      </c>
      <c r="I1231" s="897" t="s">
        <v>95</v>
      </c>
      <c r="J1231" s="897" t="s">
        <v>96</v>
      </c>
      <c r="K1231" s="897" t="s">
        <v>3</v>
      </c>
      <c r="L1231" s="897" t="s">
        <v>97</v>
      </c>
      <c r="M1231" s="897" t="s">
        <v>98</v>
      </c>
      <c r="N1231" s="897" t="s">
        <v>99</v>
      </c>
      <c r="O1231" s="899"/>
    </row>
    <row r="1232" spans="1:15" ht="15.75" thickBot="1">
      <c r="A1232" s="896"/>
      <c r="B1232" s="898"/>
      <c r="C1232" s="898"/>
      <c r="D1232" s="898"/>
      <c r="E1232" s="898"/>
      <c r="F1232" s="898"/>
      <c r="G1232" s="240" t="s">
        <v>100</v>
      </c>
      <c r="H1232" s="896"/>
      <c r="I1232" s="898"/>
      <c r="J1232" s="898"/>
      <c r="K1232" s="898"/>
      <c r="L1232" s="898"/>
      <c r="M1232" s="898"/>
      <c r="N1232" s="240" t="s">
        <v>100</v>
      </c>
      <c r="O1232" s="182" t="s">
        <v>101</v>
      </c>
    </row>
    <row r="1233" spans="1:15" ht="12" customHeight="1">
      <c r="A1233" s="919" t="e">
        <f>+A1198+1</f>
        <v>#REF!</v>
      </c>
      <c r="B1233" s="875">
        <v>42361</v>
      </c>
      <c r="C1233" s="877" t="s">
        <v>267</v>
      </c>
      <c r="D1233" s="877" t="s">
        <v>499</v>
      </c>
      <c r="E1233" s="881" t="s">
        <v>148</v>
      </c>
      <c r="F1233" s="883">
        <v>126000</v>
      </c>
      <c r="G1233" s="55">
        <v>719</v>
      </c>
      <c r="H1233" s="873" t="s">
        <v>1569</v>
      </c>
      <c r="I1233" s="875">
        <v>43062</v>
      </c>
      <c r="J1233" s="881" t="s">
        <v>28</v>
      </c>
      <c r="K1233" s="879" t="s">
        <v>1566</v>
      </c>
      <c r="L1233" s="881" t="s">
        <v>115</v>
      </c>
      <c r="M1233" s="883">
        <v>50000</v>
      </c>
      <c r="N1233" s="55">
        <v>719</v>
      </c>
      <c r="O1233" s="78">
        <f>+M1233</f>
        <v>50000</v>
      </c>
    </row>
    <row r="1234" spans="1:15" ht="14.25" customHeight="1" thickBot="1">
      <c r="A1234" s="920"/>
      <c r="B1234" s="876"/>
      <c r="C1234" s="878"/>
      <c r="D1234" s="878"/>
      <c r="E1234" s="882"/>
      <c r="F1234" s="884"/>
      <c r="G1234" s="56">
        <v>721</v>
      </c>
      <c r="H1234" s="874"/>
      <c r="I1234" s="876"/>
      <c r="J1234" s="882"/>
      <c r="K1234" s="880"/>
      <c r="L1234" s="882"/>
      <c r="M1234" s="884"/>
      <c r="N1234" s="56">
        <v>721</v>
      </c>
      <c r="O1234" s="79"/>
    </row>
    <row r="1235" spans="1:15" ht="15" customHeight="1">
      <c r="A1235" s="919" t="e">
        <f>+A1233+1</f>
        <v>#REF!</v>
      </c>
      <c r="B1235" s="875">
        <v>42361</v>
      </c>
      <c r="C1235" s="881" t="s">
        <v>28</v>
      </c>
      <c r="D1235" s="877" t="s">
        <v>500</v>
      </c>
      <c r="E1235" s="881" t="s">
        <v>148</v>
      </c>
      <c r="F1235" s="883">
        <v>196000</v>
      </c>
      <c r="G1235" s="55">
        <v>719</v>
      </c>
      <c r="H1235" s="873" t="s">
        <v>1570</v>
      </c>
      <c r="I1235" s="875">
        <v>43062</v>
      </c>
      <c r="J1235" s="881" t="s">
        <v>120</v>
      </c>
      <c r="K1235" s="879" t="s">
        <v>1567</v>
      </c>
      <c r="L1235" s="881" t="s">
        <v>115</v>
      </c>
      <c r="M1235" s="883">
        <v>190000</v>
      </c>
      <c r="N1235" s="55">
        <v>719</v>
      </c>
      <c r="O1235" s="78">
        <f>+M1235</f>
        <v>190000</v>
      </c>
    </row>
    <row r="1236" spans="1:15" ht="13.5" customHeight="1" thickBot="1">
      <c r="A1236" s="920"/>
      <c r="B1236" s="876"/>
      <c r="C1236" s="882"/>
      <c r="D1236" s="878"/>
      <c r="E1236" s="882"/>
      <c r="F1236" s="884"/>
      <c r="G1236" s="56">
        <v>721</v>
      </c>
      <c r="H1236" s="882"/>
      <c r="I1236" s="876"/>
      <c r="J1236" s="882"/>
      <c r="K1236" s="880"/>
      <c r="L1236" s="882"/>
      <c r="M1236" s="884"/>
      <c r="N1236" s="56">
        <v>721</v>
      </c>
      <c r="O1236" s="79"/>
    </row>
    <row r="1237" spans="1:15" ht="12.75" customHeight="1">
      <c r="A1237" s="919" t="e">
        <f>+A1235+1</f>
        <v>#REF!</v>
      </c>
      <c r="B1237" s="875">
        <v>42361</v>
      </c>
      <c r="C1237" s="877" t="s">
        <v>32</v>
      </c>
      <c r="D1237" s="877" t="s">
        <v>500</v>
      </c>
      <c r="E1237" s="881" t="s">
        <v>148</v>
      </c>
      <c r="F1237" s="883">
        <v>42000</v>
      </c>
      <c r="G1237" s="55">
        <v>719</v>
      </c>
      <c r="H1237" s="873" t="s">
        <v>1568</v>
      </c>
      <c r="I1237" s="875">
        <v>43062</v>
      </c>
      <c r="J1237" s="877" t="s">
        <v>1571</v>
      </c>
      <c r="K1237" s="879" t="s">
        <v>1225</v>
      </c>
      <c r="L1237" s="881" t="s">
        <v>115</v>
      </c>
      <c r="M1237" s="883">
        <v>3980000</v>
      </c>
      <c r="N1237" s="55">
        <v>719</v>
      </c>
      <c r="O1237" s="78"/>
    </row>
    <row r="1238" spans="1:15" ht="15.75" customHeight="1" thickBot="1">
      <c r="A1238" s="920"/>
      <c r="B1238" s="876"/>
      <c r="C1238" s="878"/>
      <c r="D1238" s="878"/>
      <c r="E1238" s="882"/>
      <c r="F1238" s="884"/>
      <c r="G1238" s="56">
        <v>721</v>
      </c>
      <c r="H1238" s="882"/>
      <c r="I1238" s="876"/>
      <c r="J1238" s="878"/>
      <c r="K1238" s="880"/>
      <c r="L1238" s="882"/>
      <c r="M1238" s="884"/>
      <c r="N1238" s="56">
        <v>723</v>
      </c>
      <c r="O1238" s="79">
        <f>+M1237</f>
        <v>3980000</v>
      </c>
    </row>
    <row r="1239" spans="1:15" ht="12" customHeight="1">
      <c r="A1239" s="919" t="e">
        <f>+A1237+1</f>
        <v>#REF!</v>
      </c>
      <c r="B1239" s="875">
        <v>42361</v>
      </c>
      <c r="C1239" s="877" t="s">
        <v>111</v>
      </c>
      <c r="D1239" s="877" t="s">
        <v>499</v>
      </c>
      <c r="E1239" s="881" t="s">
        <v>148</v>
      </c>
      <c r="F1239" s="883">
        <v>112000</v>
      </c>
      <c r="G1239" s="55">
        <v>719</v>
      </c>
      <c r="H1239" s="873" t="s">
        <v>1563</v>
      </c>
      <c r="I1239" s="875">
        <v>43062</v>
      </c>
      <c r="J1239" s="881" t="s">
        <v>385</v>
      </c>
      <c r="K1239" s="879" t="s">
        <v>1188</v>
      </c>
      <c r="L1239" s="881" t="s">
        <v>148</v>
      </c>
      <c r="M1239" s="883">
        <v>22479749</v>
      </c>
      <c r="N1239" s="55">
        <v>719</v>
      </c>
      <c r="O1239" s="78"/>
    </row>
    <row r="1240" spans="1:15" ht="14.25" customHeight="1" thickBot="1">
      <c r="A1240" s="920"/>
      <c r="B1240" s="876"/>
      <c r="C1240" s="878"/>
      <c r="D1240" s="878"/>
      <c r="E1240" s="882"/>
      <c r="F1240" s="884"/>
      <c r="G1240" s="56">
        <v>721</v>
      </c>
      <c r="H1240" s="882"/>
      <c r="I1240" s="876"/>
      <c r="J1240" s="882"/>
      <c r="K1240" s="880"/>
      <c r="L1240" s="882"/>
      <c r="M1240" s="884"/>
      <c r="N1240" s="56">
        <v>721</v>
      </c>
      <c r="O1240" s="79">
        <f>+M1239</f>
        <v>22479749</v>
      </c>
    </row>
    <row r="1241" spans="1:15" ht="12" customHeight="1">
      <c r="A1241" s="919" t="e">
        <f>+A1239+1</f>
        <v>#REF!</v>
      </c>
      <c r="B1241" s="875">
        <v>42361</v>
      </c>
      <c r="C1241" s="877" t="s">
        <v>272</v>
      </c>
      <c r="D1241" s="877" t="s">
        <v>500</v>
      </c>
      <c r="E1241" s="881" t="s">
        <v>148</v>
      </c>
      <c r="F1241" s="883">
        <v>588000</v>
      </c>
      <c r="G1241" s="55">
        <v>719</v>
      </c>
      <c r="H1241" s="873" t="s">
        <v>873</v>
      </c>
      <c r="I1241" s="875">
        <v>43062</v>
      </c>
      <c r="J1241" s="881" t="s">
        <v>385</v>
      </c>
      <c r="K1241" s="879" t="s">
        <v>1245</v>
      </c>
      <c r="L1241" s="881" t="s">
        <v>148</v>
      </c>
      <c r="M1241" s="883">
        <v>55554732</v>
      </c>
      <c r="N1241" s="55">
        <v>719</v>
      </c>
      <c r="O1241" s="78"/>
    </row>
    <row r="1242" spans="1:15" ht="13.5" customHeight="1" thickBot="1">
      <c r="A1242" s="920"/>
      <c r="B1242" s="876"/>
      <c r="C1242" s="878"/>
      <c r="D1242" s="878"/>
      <c r="E1242" s="882"/>
      <c r="F1242" s="884"/>
      <c r="G1242" s="56">
        <v>721</v>
      </c>
      <c r="H1242" s="882"/>
      <c r="I1242" s="876"/>
      <c r="J1242" s="882"/>
      <c r="K1242" s="880"/>
      <c r="L1242" s="882"/>
      <c r="M1242" s="884"/>
      <c r="N1242" s="56">
        <v>721</v>
      </c>
      <c r="O1242" s="79">
        <f>+M1241-O1241</f>
        <v>55554732</v>
      </c>
    </row>
    <row r="1243" spans="1:15" ht="16.5" thickBot="1">
      <c r="A1243" s="901" t="s">
        <v>102</v>
      </c>
      <c r="B1243" s="902"/>
      <c r="C1243" s="902"/>
      <c r="D1243" s="902"/>
      <c r="E1243" s="903"/>
      <c r="F1243" s="81">
        <f>SUM(F1233:F1242)</f>
        <v>1064000</v>
      </c>
      <c r="H1243" s="901" t="s">
        <v>102</v>
      </c>
      <c r="I1243" s="902"/>
      <c r="J1243" s="902"/>
      <c r="K1243" s="902"/>
      <c r="L1243" s="903"/>
      <c r="M1243" s="81">
        <f>SUM(M1233:M1242)</f>
        <v>82254481</v>
      </c>
    </row>
    <row r="1244" spans="1:15" ht="16.5" thickBot="1">
      <c r="A1244" s="885" t="s">
        <v>103</v>
      </c>
      <c r="B1244" s="886"/>
      <c r="C1244" s="886"/>
      <c r="D1244" s="886"/>
      <c r="E1244" s="887"/>
      <c r="F1244" s="69" t="e">
        <f>+F1208</f>
        <v>#REF!</v>
      </c>
      <c r="H1244" s="885" t="s">
        <v>103</v>
      </c>
      <c r="I1244" s="886"/>
      <c r="J1244" s="886"/>
      <c r="K1244" s="886"/>
      <c r="L1244" s="887"/>
      <c r="M1244" s="69">
        <f>+M1208</f>
        <v>448688494</v>
      </c>
      <c r="N1244" s="241" t="s">
        <v>561</v>
      </c>
      <c r="O1244" s="242"/>
    </row>
    <row r="1245" spans="1:15" ht="16.5" thickBot="1">
      <c r="A1245" s="888" t="s">
        <v>104</v>
      </c>
      <c r="B1245" s="889"/>
      <c r="C1245" s="889"/>
      <c r="D1245" s="889"/>
      <c r="E1245" s="890"/>
      <c r="F1245" s="183" t="e">
        <f>SUM(F1243:F1244)</f>
        <v>#REF!</v>
      </c>
      <c r="H1245" s="888" t="s">
        <v>104</v>
      </c>
      <c r="I1245" s="889"/>
      <c r="J1245" s="889"/>
      <c r="K1245" s="889"/>
      <c r="L1245" s="890"/>
      <c r="M1245" s="183">
        <f>SUM(M1243:M1244)</f>
        <v>530942975</v>
      </c>
    </row>
    <row r="1246" spans="1:15">
      <c r="A1246" s="61"/>
      <c r="B1246" s="61"/>
      <c r="C1246" s="61"/>
      <c r="D1246" s="61"/>
      <c r="E1246" s="61"/>
      <c r="H1246" s="61"/>
      <c r="I1246" s="61"/>
      <c r="J1246" s="61"/>
      <c r="K1246" s="61"/>
      <c r="L1246" s="61"/>
    </row>
    <row r="1247" spans="1:15">
      <c r="A1247" s="51" t="s">
        <v>501</v>
      </c>
      <c r="H1247" s="51" t="s">
        <v>1565</v>
      </c>
    </row>
    <row r="1248" spans="1:15" ht="11.25" customHeight="1">
      <c r="F1248" s="139"/>
      <c r="M1248" s="139"/>
    </row>
    <row r="1249" spans="1:15">
      <c r="A1249" s="50" t="s">
        <v>105</v>
      </c>
      <c r="D1249" s="146"/>
      <c r="F1249" s="139"/>
      <c r="H1249" s="50" t="s">
        <v>105</v>
      </c>
      <c r="K1249" s="146"/>
      <c r="M1249" s="139"/>
    </row>
    <row r="1250" spans="1:15" ht="13.5" customHeight="1" thickBot="1"/>
    <row r="1251" spans="1:15" ht="17.25" thickBot="1">
      <c r="A1251" s="891" t="s">
        <v>106</v>
      </c>
      <c r="B1251" s="892"/>
      <c r="C1251" s="892"/>
      <c r="D1251" s="893"/>
      <c r="F1251" s="50" t="s">
        <v>288</v>
      </c>
      <c r="H1251" s="891" t="s">
        <v>106</v>
      </c>
      <c r="I1251" s="892"/>
      <c r="J1251" s="892"/>
      <c r="K1251" s="893"/>
      <c r="M1251" s="604" t="s">
        <v>288</v>
      </c>
      <c r="N1251" s="604"/>
      <c r="O1251" s="604"/>
    </row>
    <row r="1252" spans="1:15" ht="26.25" customHeight="1" thickBot="1">
      <c r="A1252" s="57" t="s">
        <v>100</v>
      </c>
      <c r="B1252" s="58" t="s">
        <v>108</v>
      </c>
      <c r="C1252" s="59" t="s">
        <v>109</v>
      </c>
      <c r="D1252" s="60" t="s">
        <v>110</v>
      </c>
      <c r="H1252" s="57" t="s">
        <v>100</v>
      </c>
      <c r="I1252" s="58" t="s">
        <v>108</v>
      </c>
      <c r="J1252" s="59" t="s">
        <v>109</v>
      </c>
      <c r="K1252" s="60" t="s">
        <v>110</v>
      </c>
    </row>
    <row r="1253" spans="1:15">
      <c r="A1253" s="71">
        <v>719</v>
      </c>
      <c r="B1253" s="73" t="e">
        <f>+#REF!+#REF!+#REF!+#REF!+#REF!</f>
        <v>#REF!</v>
      </c>
      <c r="C1253" s="74" t="e">
        <f>+D1216</f>
        <v>#REF!</v>
      </c>
      <c r="D1253" s="195" t="e">
        <f>+B1253+C1253</f>
        <v>#REF!</v>
      </c>
      <c r="H1253" s="71">
        <v>719</v>
      </c>
      <c r="I1253" s="73">
        <f>+O1233+O1235+O1237+O1239+O1241</f>
        <v>240000</v>
      </c>
      <c r="J1253" s="74">
        <f>+K1216</f>
        <v>49470000</v>
      </c>
      <c r="K1253" s="195">
        <f>+I1253+J1253</f>
        <v>49710000</v>
      </c>
    </row>
    <row r="1254" spans="1:15" ht="14.25" customHeight="1">
      <c r="A1254" s="72">
        <v>721</v>
      </c>
      <c r="B1254" s="80" t="e">
        <f>(+#REF!+#REF!+#REF!+#REF!+#REF!)</f>
        <v>#REF!</v>
      </c>
      <c r="C1254" s="74" t="e">
        <f>+D1217</f>
        <v>#REF!</v>
      </c>
      <c r="D1254" s="195" t="e">
        <f>+B1254+C1254</f>
        <v>#REF!</v>
      </c>
      <c r="H1254" s="72">
        <v>721</v>
      </c>
      <c r="I1254" s="80">
        <f>+O1234+O1236++O1240+O1242</f>
        <v>78034481</v>
      </c>
      <c r="J1254" s="74">
        <f>+K1217</f>
        <v>20505500</v>
      </c>
      <c r="K1254" s="195">
        <f>+I1254+J1254</f>
        <v>98539981</v>
      </c>
    </row>
    <row r="1255" spans="1:15" ht="12.75" customHeight="1">
      <c r="A1255" s="72">
        <v>722</v>
      </c>
      <c r="B1255" s="80"/>
      <c r="C1255" s="74" t="e">
        <f>+D1218</f>
        <v>#REF!</v>
      </c>
      <c r="D1255" s="195" t="e">
        <f>+B1255+C1255</f>
        <v>#REF!</v>
      </c>
      <c r="H1255" s="72">
        <v>722</v>
      </c>
      <c r="I1255" s="80"/>
      <c r="J1255" s="74">
        <f>+K1218</f>
        <v>55831494</v>
      </c>
      <c r="K1255" s="195">
        <f>+I1255+J1255</f>
        <v>55831494</v>
      </c>
      <c r="M1255" s="918" t="s">
        <v>1481</v>
      </c>
      <c r="N1255" s="918"/>
      <c r="O1255" s="918"/>
    </row>
    <row r="1256" spans="1:15" ht="14.25" customHeight="1">
      <c r="A1256" s="72">
        <v>723</v>
      </c>
      <c r="B1256" s="80"/>
      <c r="C1256" s="74" t="e">
        <f>+D1219</f>
        <v>#REF!</v>
      </c>
      <c r="D1256" s="195" t="e">
        <f>+B1256+C1256</f>
        <v>#REF!</v>
      </c>
      <c r="F1256" s="174" t="s">
        <v>23</v>
      </c>
      <c r="G1256" s="175"/>
      <c r="H1256" s="72">
        <v>723</v>
      </c>
      <c r="I1256" s="80">
        <f>+O1238</f>
        <v>3980000</v>
      </c>
      <c r="J1256" s="74">
        <f>+K1219</f>
        <v>322881500</v>
      </c>
      <c r="K1256" s="195">
        <f>+I1256+J1256</f>
        <v>326861500</v>
      </c>
      <c r="M1256" s="918"/>
      <c r="N1256" s="918"/>
      <c r="O1256" s="918"/>
    </row>
    <row r="1257" spans="1:15" ht="14.25" customHeight="1" thickBot="1">
      <c r="A1257" s="164" t="s">
        <v>181</v>
      </c>
      <c r="B1257" s="165"/>
      <c r="C1257" s="74" t="e">
        <f>+D1220</f>
        <v>#REF!</v>
      </c>
      <c r="D1257" s="196" t="e">
        <f>+B1257+C1257</f>
        <v>#REF!</v>
      </c>
      <c r="F1257" s="52"/>
      <c r="H1257" s="164" t="s">
        <v>181</v>
      </c>
      <c r="I1257" s="165"/>
      <c r="J1257" s="74">
        <f>+K1220</f>
        <v>0</v>
      </c>
      <c r="K1257" s="196">
        <f>+I1257+J1257</f>
        <v>0</v>
      </c>
      <c r="M1257" s="52"/>
    </row>
    <row r="1258" spans="1:15" ht="16.5" thickBot="1">
      <c r="A1258" s="169"/>
      <c r="B1258" s="170" t="e">
        <f>SUM(B1253:B1257)</f>
        <v>#REF!</v>
      </c>
      <c r="C1258" s="171" t="e">
        <f>SUM(C1253:C1257)</f>
        <v>#REF!</v>
      </c>
      <c r="D1258" s="172" t="e">
        <f>SUM(D1253:D1257)</f>
        <v>#REF!</v>
      </c>
      <c r="H1258" s="169"/>
      <c r="I1258" s="197">
        <f>SUM(I1253:I1257)</f>
        <v>82254481</v>
      </c>
      <c r="J1258" s="197">
        <f>SUM(J1253:J1257)</f>
        <v>448688494</v>
      </c>
      <c r="K1258" s="198">
        <f>SUM(K1253:K1257)</f>
        <v>530942975</v>
      </c>
    </row>
    <row r="1259" spans="1:15" ht="16.5">
      <c r="A1259" s="49" t="s">
        <v>88</v>
      </c>
      <c r="B1259" s="50"/>
      <c r="H1259" s="49" t="s">
        <v>88</v>
      </c>
      <c r="I1259" s="50"/>
    </row>
    <row r="1260" spans="1:15">
      <c r="A1260" s="51" t="s">
        <v>89</v>
      </c>
      <c r="H1260" s="51" t="s">
        <v>89</v>
      </c>
    </row>
    <row r="1261" spans="1:15">
      <c r="A1261" s="51" t="s">
        <v>90</v>
      </c>
      <c r="H1261" s="51" t="s">
        <v>90</v>
      </c>
    </row>
    <row r="1262" spans="1:15">
      <c r="A1262" s="51" t="s">
        <v>91</v>
      </c>
      <c r="H1262" s="51" t="s">
        <v>91</v>
      </c>
    </row>
    <row r="1263" spans="1:15" ht="12" customHeight="1">
      <c r="A1263" s="50"/>
      <c r="B1263" s="50"/>
      <c r="H1263" s="50"/>
      <c r="I1263" s="50"/>
    </row>
    <row r="1264" spans="1:15" ht="16.5">
      <c r="A1264" s="52" t="s">
        <v>502</v>
      </c>
      <c r="G1264" s="52"/>
      <c r="H1264" s="260" t="s">
        <v>871</v>
      </c>
      <c r="N1264" s="52"/>
    </row>
    <row r="1265" spans="1:15" ht="15.75">
      <c r="A1265" s="53" t="s">
        <v>92</v>
      </c>
      <c r="G1265" s="53"/>
      <c r="H1265" s="53" t="s">
        <v>1333</v>
      </c>
      <c r="N1265" s="53"/>
    </row>
    <row r="1266" spans="1:15" ht="16.5">
      <c r="A1266" s="894" t="s">
        <v>261</v>
      </c>
      <c r="B1266" s="894"/>
      <c r="C1266" s="894"/>
      <c r="D1266" s="894"/>
      <c r="E1266" s="894"/>
      <c r="F1266" s="894"/>
      <c r="G1266" s="894"/>
      <c r="H1266" s="894" t="s">
        <v>903</v>
      </c>
      <c r="I1266" s="894"/>
      <c r="J1266" s="894"/>
      <c r="K1266" s="894"/>
      <c r="L1266" s="894"/>
      <c r="M1266" s="894"/>
      <c r="N1266" s="894"/>
      <c r="O1266" s="894"/>
    </row>
    <row r="1267" spans="1:15" ht="12.75" customHeight="1" thickBot="1"/>
    <row r="1268" spans="1:15">
      <c r="A1268" s="895" t="s">
        <v>94</v>
      </c>
      <c r="B1268" s="897" t="s">
        <v>95</v>
      </c>
      <c r="C1268" s="897" t="s">
        <v>96</v>
      </c>
      <c r="D1268" s="897" t="s">
        <v>3</v>
      </c>
      <c r="E1268" s="897" t="s">
        <v>97</v>
      </c>
      <c r="F1268" s="897" t="s">
        <v>98</v>
      </c>
      <c r="G1268" s="500" t="s">
        <v>99</v>
      </c>
      <c r="H1268" s="895" t="s">
        <v>94</v>
      </c>
      <c r="I1268" s="897" t="s">
        <v>95</v>
      </c>
      <c r="J1268" s="897" t="s">
        <v>96</v>
      </c>
      <c r="K1268" s="897" t="s">
        <v>3</v>
      </c>
      <c r="L1268" s="897" t="s">
        <v>97</v>
      </c>
      <c r="M1268" s="897" t="s">
        <v>98</v>
      </c>
      <c r="N1268" s="897" t="s">
        <v>99</v>
      </c>
      <c r="O1268" s="899"/>
    </row>
    <row r="1269" spans="1:15" ht="15.75" thickBot="1">
      <c r="A1269" s="896"/>
      <c r="B1269" s="898"/>
      <c r="C1269" s="898"/>
      <c r="D1269" s="898"/>
      <c r="E1269" s="898"/>
      <c r="F1269" s="898"/>
      <c r="G1269" s="240" t="s">
        <v>100</v>
      </c>
      <c r="H1269" s="896"/>
      <c r="I1269" s="898"/>
      <c r="J1269" s="898"/>
      <c r="K1269" s="898"/>
      <c r="L1269" s="898"/>
      <c r="M1269" s="898"/>
      <c r="N1269" s="240" t="s">
        <v>100</v>
      </c>
      <c r="O1269" s="182" t="s">
        <v>101</v>
      </c>
    </row>
    <row r="1270" spans="1:15" ht="15" customHeight="1">
      <c r="A1270" s="919" t="e">
        <f>+A1241+1</f>
        <v>#REF!</v>
      </c>
      <c r="B1270" s="875">
        <v>42361</v>
      </c>
      <c r="C1270" s="877" t="s">
        <v>267</v>
      </c>
      <c r="D1270" s="877" t="s">
        <v>490</v>
      </c>
      <c r="E1270" s="881" t="s">
        <v>148</v>
      </c>
      <c r="F1270" s="883">
        <v>168000</v>
      </c>
      <c r="G1270" s="55">
        <v>719</v>
      </c>
      <c r="H1270" s="873" t="s">
        <v>1578</v>
      </c>
      <c r="I1270" s="875">
        <v>43062</v>
      </c>
      <c r="J1270" s="877" t="s">
        <v>28</v>
      </c>
      <c r="K1270" s="881" t="s">
        <v>1582</v>
      </c>
      <c r="L1270" s="881" t="s">
        <v>115</v>
      </c>
      <c r="M1270" s="883">
        <v>80000</v>
      </c>
      <c r="N1270" s="55">
        <v>719</v>
      </c>
      <c r="O1270" s="78">
        <f>+M1270</f>
        <v>80000</v>
      </c>
    </row>
    <row r="1271" spans="1:15" ht="15.75" customHeight="1" thickBot="1">
      <c r="A1271" s="920"/>
      <c r="B1271" s="876"/>
      <c r="C1271" s="878"/>
      <c r="D1271" s="878"/>
      <c r="E1271" s="882"/>
      <c r="F1271" s="884"/>
      <c r="G1271" s="56">
        <v>721</v>
      </c>
      <c r="H1271" s="874"/>
      <c r="I1271" s="876"/>
      <c r="J1271" s="878"/>
      <c r="K1271" s="882"/>
      <c r="L1271" s="882"/>
      <c r="M1271" s="884"/>
      <c r="N1271" s="56">
        <v>723</v>
      </c>
      <c r="O1271" s="79"/>
    </row>
    <row r="1272" spans="1:15" ht="15" customHeight="1">
      <c r="A1272" s="919" t="e">
        <f>+A1270+1</f>
        <v>#REF!</v>
      </c>
      <c r="B1272" s="875">
        <v>42361</v>
      </c>
      <c r="C1272" s="881" t="s">
        <v>28</v>
      </c>
      <c r="D1272" s="877" t="s">
        <v>503</v>
      </c>
      <c r="E1272" s="881" t="s">
        <v>148</v>
      </c>
      <c r="F1272" s="883">
        <v>182000</v>
      </c>
      <c r="G1272" s="55">
        <v>719</v>
      </c>
      <c r="H1272" s="873" t="s">
        <v>1579</v>
      </c>
      <c r="I1272" s="875">
        <v>43062</v>
      </c>
      <c r="J1272" s="881" t="s">
        <v>120</v>
      </c>
      <c r="K1272" s="881" t="s">
        <v>1581</v>
      </c>
      <c r="L1272" s="881" t="s">
        <v>115</v>
      </c>
      <c r="M1272" s="883">
        <v>300000</v>
      </c>
      <c r="N1272" s="55">
        <v>719</v>
      </c>
      <c r="O1272" s="78">
        <f>+M1272</f>
        <v>300000</v>
      </c>
    </row>
    <row r="1273" spans="1:15" ht="15.75" customHeight="1" thickBot="1">
      <c r="A1273" s="920"/>
      <c r="B1273" s="876"/>
      <c r="C1273" s="882"/>
      <c r="D1273" s="878"/>
      <c r="E1273" s="882"/>
      <c r="F1273" s="884"/>
      <c r="G1273" s="56">
        <v>721</v>
      </c>
      <c r="H1273" s="874"/>
      <c r="I1273" s="876"/>
      <c r="J1273" s="882"/>
      <c r="K1273" s="882"/>
      <c r="L1273" s="882"/>
      <c r="M1273" s="884"/>
      <c r="N1273" s="56">
        <v>723</v>
      </c>
      <c r="O1273" s="79">
        <v>0</v>
      </c>
    </row>
    <row r="1274" spans="1:15" ht="12.75" customHeight="1">
      <c r="A1274" s="919" t="e">
        <f>+A1272+1</f>
        <v>#REF!</v>
      </c>
      <c r="B1274" s="875">
        <v>42361</v>
      </c>
      <c r="C1274" s="877" t="s">
        <v>32</v>
      </c>
      <c r="D1274" s="877" t="s">
        <v>504</v>
      </c>
      <c r="E1274" s="881" t="s">
        <v>148</v>
      </c>
      <c r="F1274" s="883">
        <v>98000</v>
      </c>
      <c r="G1274" s="55">
        <v>719</v>
      </c>
      <c r="H1274" s="881"/>
      <c r="I1274" s="875"/>
      <c r="J1274" s="877"/>
      <c r="K1274" s="881"/>
      <c r="L1274" s="881"/>
      <c r="M1274" s="883"/>
      <c r="N1274" s="55"/>
      <c r="O1274" s="78"/>
    </row>
    <row r="1275" spans="1:15" ht="12" customHeight="1" thickBot="1">
      <c r="A1275" s="920"/>
      <c r="B1275" s="876"/>
      <c r="C1275" s="878"/>
      <c r="D1275" s="878"/>
      <c r="E1275" s="882"/>
      <c r="F1275" s="884"/>
      <c r="G1275" s="56">
        <v>721</v>
      </c>
      <c r="H1275" s="882"/>
      <c r="I1275" s="876"/>
      <c r="J1275" s="878"/>
      <c r="K1275" s="882"/>
      <c r="L1275" s="882"/>
      <c r="M1275" s="884"/>
      <c r="N1275" s="56"/>
      <c r="O1275" s="79"/>
    </row>
    <row r="1276" spans="1:15" ht="12.75" customHeight="1">
      <c r="A1276" s="919" t="e">
        <f>+A1274+1</f>
        <v>#REF!</v>
      </c>
      <c r="B1276" s="875">
        <v>42361</v>
      </c>
      <c r="C1276" s="877" t="s">
        <v>111</v>
      </c>
      <c r="D1276" s="877" t="s">
        <v>505</v>
      </c>
      <c r="E1276" s="881" t="s">
        <v>148</v>
      </c>
      <c r="F1276" s="883">
        <v>168000</v>
      </c>
      <c r="G1276" s="55">
        <v>719</v>
      </c>
      <c r="H1276" s="881"/>
      <c r="I1276" s="875"/>
      <c r="J1276" s="877"/>
      <c r="K1276" s="881"/>
      <c r="L1276" s="881"/>
      <c r="M1276" s="883"/>
      <c r="N1276" s="55"/>
      <c r="O1276" s="78"/>
    </row>
    <row r="1277" spans="1:15" ht="12" customHeight="1" thickBot="1">
      <c r="A1277" s="920"/>
      <c r="B1277" s="876"/>
      <c r="C1277" s="878"/>
      <c r="D1277" s="878"/>
      <c r="E1277" s="882"/>
      <c r="F1277" s="884"/>
      <c r="G1277" s="56">
        <v>721</v>
      </c>
      <c r="H1277" s="882"/>
      <c r="I1277" s="876"/>
      <c r="J1277" s="878"/>
      <c r="K1277" s="882"/>
      <c r="L1277" s="882"/>
      <c r="M1277" s="884"/>
      <c r="N1277" s="56"/>
      <c r="O1277" s="79"/>
    </row>
    <row r="1278" spans="1:15" ht="12" customHeight="1">
      <c r="A1278" s="919" t="e">
        <f>+A1276+1</f>
        <v>#REF!</v>
      </c>
      <c r="B1278" s="875">
        <v>42361</v>
      </c>
      <c r="C1278" s="877" t="s">
        <v>272</v>
      </c>
      <c r="D1278" s="877" t="s">
        <v>504</v>
      </c>
      <c r="E1278" s="881" t="s">
        <v>148</v>
      </c>
      <c r="F1278" s="883">
        <v>700000</v>
      </c>
      <c r="G1278" s="55">
        <v>719</v>
      </c>
      <c r="H1278" s="881"/>
      <c r="I1278" s="875"/>
      <c r="J1278" s="877"/>
      <c r="K1278" s="881"/>
      <c r="L1278" s="881"/>
      <c r="M1278" s="883"/>
      <c r="N1278" s="55"/>
      <c r="O1278" s="78"/>
    </row>
    <row r="1279" spans="1:15" ht="13.5" customHeight="1" thickBot="1">
      <c r="A1279" s="920"/>
      <c r="B1279" s="876"/>
      <c r="C1279" s="878"/>
      <c r="D1279" s="878"/>
      <c r="E1279" s="882"/>
      <c r="F1279" s="884"/>
      <c r="G1279" s="56">
        <v>721</v>
      </c>
      <c r="H1279" s="882"/>
      <c r="I1279" s="876"/>
      <c r="J1279" s="878"/>
      <c r="K1279" s="882"/>
      <c r="L1279" s="882"/>
      <c r="M1279" s="884"/>
      <c r="N1279" s="56"/>
      <c r="O1279" s="79"/>
    </row>
    <row r="1280" spans="1:15" ht="16.5" thickBot="1">
      <c r="A1280" s="901" t="s">
        <v>102</v>
      </c>
      <c r="B1280" s="902"/>
      <c r="C1280" s="902"/>
      <c r="D1280" s="902"/>
      <c r="E1280" s="903"/>
      <c r="F1280" s="81">
        <f>SUM(F1270:F1279)</f>
        <v>1316000</v>
      </c>
      <c r="H1280" s="901" t="s">
        <v>102</v>
      </c>
      <c r="I1280" s="902"/>
      <c r="J1280" s="902"/>
      <c r="K1280" s="902"/>
      <c r="L1280" s="903"/>
      <c r="M1280" s="81">
        <f>SUM(M1270:M1279)</f>
        <v>380000</v>
      </c>
    </row>
    <row r="1281" spans="1:15" ht="16.5" thickBot="1">
      <c r="A1281" s="885" t="s">
        <v>103</v>
      </c>
      <c r="B1281" s="886"/>
      <c r="C1281" s="886"/>
      <c r="D1281" s="886"/>
      <c r="E1281" s="887"/>
      <c r="F1281" s="69" t="e">
        <f>+F1245</f>
        <v>#REF!</v>
      </c>
      <c r="H1281" s="885" t="s">
        <v>103</v>
      </c>
      <c r="I1281" s="886"/>
      <c r="J1281" s="886"/>
      <c r="K1281" s="886"/>
      <c r="L1281" s="887"/>
      <c r="M1281" s="69">
        <f>+M1245</f>
        <v>530942975</v>
      </c>
      <c r="N1281" s="241" t="s">
        <v>561</v>
      </c>
      <c r="O1281" s="242"/>
    </row>
    <row r="1282" spans="1:15" ht="16.5" thickBot="1">
      <c r="A1282" s="888" t="s">
        <v>104</v>
      </c>
      <c r="B1282" s="889"/>
      <c r="C1282" s="889"/>
      <c r="D1282" s="889"/>
      <c r="E1282" s="890"/>
      <c r="F1282" s="183" t="e">
        <f>SUM(F1280:F1281)</f>
        <v>#REF!</v>
      </c>
      <c r="H1282" s="888" t="s">
        <v>104</v>
      </c>
      <c r="I1282" s="889"/>
      <c r="J1282" s="889"/>
      <c r="K1282" s="889"/>
      <c r="L1282" s="890"/>
      <c r="M1282" s="183">
        <f>SUM(M1280:M1281)</f>
        <v>531322975</v>
      </c>
    </row>
    <row r="1283" spans="1:15">
      <c r="A1283" s="61"/>
      <c r="B1283" s="61"/>
      <c r="C1283" s="61"/>
      <c r="D1283" s="61"/>
      <c r="E1283" s="61"/>
      <c r="H1283" s="61"/>
      <c r="I1283" s="61"/>
      <c r="J1283" s="61"/>
      <c r="K1283" s="61"/>
      <c r="L1283" s="61"/>
    </row>
    <row r="1284" spans="1:15">
      <c r="A1284" s="51" t="s">
        <v>506</v>
      </c>
      <c r="H1284" s="51" t="s">
        <v>1580</v>
      </c>
    </row>
    <row r="1285" spans="1:15" ht="12" customHeight="1">
      <c r="F1285" s="139"/>
      <c r="M1285" s="139"/>
    </row>
    <row r="1286" spans="1:15">
      <c r="A1286" s="50" t="s">
        <v>105</v>
      </c>
      <c r="D1286" s="146"/>
      <c r="F1286" s="139"/>
      <c r="H1286" s="50" t="s">
        <v>105</v>
      </c>
      <c r="K1286" s="146"/>
      <c r="M1286" s="139"/>
    </row>
    <row r="1287" spans="1:15" ht="12" customHeight="1" thickBot="1"/>
    <row r="1288" spans="1:15" ht="15.75" thickBot="1">
      <c r="A1288" s="891" t="s">
        <v>106</v>
      </c>
      <c r="B1288" s="892"/>
      <c r="C1288" s="892"/>
      <c r="D1288" s="893"/>
      <c r="F1288" s="50" t="s">
        <v>288</v>
      </c>
      <c r="H1288" s="891" t="s">
        <v>106</v>
      </c>
      <c r="I1288" s="892"/>
      <c r="J1288" s="892"/>
      <c r="K1288" s="893"/>
      <c r="M1288" s="50" t="s">
        <v>288</v>
      </c>
    </row>
    <row r="1289" spans="1:15" ht="30.75" thickBot="1">
      <c r="A1289" s="57" t="s">
        <v>100</v>
      </c>
      <c r="B1289" s="58" t="s">
        <v>108</v>
      </c>
      <c r="C1289" s="59" t="s">
        <v>109</v>
      </c>
      <c r="D1289" s="60" t="s">
        <v>110</v>
      </c>
      <c r="H1289" s="57" t="s">
        <v>100</v>
      </c>
      <c r="I1289" s="58" t="s">
        <v>108</v>
      </c>
      <c r="J1289" s="59" t="s">
        <v>109</v>
      </c>
      <c r="K1289" s="60" t="s">
        <v>110</v>
      </c>
    </row>
    <row r="1290" spans="1:15" ht="12.75" customHeight="1">
      <c r="A1290" s="71">
        <v>719</v>
      </c>
      <c r="B1290" s="73" t="e">
        <f>+#REF!+#REF!+#REF!+#REF!+#REF!</f>
        <v>#REF!</v>
      </c>
      <c r="C1290" s="74" t="e">
        <f>+D1253</f>
        <v>#REF!</v>
      </c>
      <c r="D1290" s="195" t="e">
        <f>+B1290+C1290</f>
        <v>#REF!</v>
      </c>
      <c r="H1290" s="71">
        <v>719</v>
      </c>
      <c r="I1290" s="73">
        <f>+O1270+O1272+O1274+O1276+O1278</f>
        <v>380000</v>
      </c>
      <c r="J1290" s="74">
        <f>+K1253</f>
        <v>49710000</v>
      </c>
      <c r="K1290" s="195">
        <f>+I1290+J1290</f>
        <v>50090000</v>
      </c>
    </row>
    <row r="1291" spans="1:15" ht="13.5" customHeight="1">
      <c r="A1291" s="72">
        <v>721</v>
      </c>
      <c r="B1291" s="80" t="e">
        <f>(+#REF!+#REF!+#REF!+#REF!+#REF!)</f>
        <v>#REF!</v>
      </c>
      <c r="C1291" s="74" t="e">
        <f>+D1254</f>
        <v>#REF!</v>
      </c>
      <c r="D1291" s="195" t="e">
        <f>+B1291+C1291</f>
        <v>#REF!</v>
      </c>
      <c r="H1291" s="72">
        <v>721</v>
      </c>
      <c r="I1291" s="80">
        <v>0</v>
      </c>
      <c r="J1291" s="74">
        <f>+K1254</f>
        <v>98539981</v>
      </c>
      <c r="K1291" s="195">
        <f>+I1291+J1291</f>
        <v>98539981</v>
      </c>
    </row>
    <row r="1292" spans="1:15" ht="14.25" customHeight="1">
      <c r="A1292" s="72">
        <v>722</v>
      </c>
      <c r="B1292" s="80"/>
      <c r="C1292" s="74" t="e">
        <f>+D1255</f>
        <v>#REF!</v>
      </c>
      <c r="D1292" s="195" t="e">
        <f>+B1292+C1292</f>
        <v>#REF!</v>
      </c>
      <c r="H1292" s="72">
        <v>722</v>
      </c>
      <c r="I1292" s="80"/>
      <c r="J1292" s="74">
        <f>+K1255</f>
        <v>55831494</v>
      </c>
      <c r="K1292" s="195">
        <f>+I1292+J1292</f>
        <v>55831494</v>
      </c>
    </row>
    <row r="1293" spans="1:15" ht="15.75">
      <c r="A1293" s="72">
        <v>723</v>
      </c>
      <c r="B1293" s="80"/>
      <c r="C1293" s="74" t="e">
        <f>+D1256</f>
        <v>#REF!</v>
      </c>
      <c r="D1293" s="195" t="e">
        <f>+B1293+C1293</f>
        <v>#REF!</v>
      </c>
      <c r="F1293" s="174" t="s">
        <v>23</v>
      </c>
      <c r="G1293" s="175"/>
      <c r="H1293" s="72">
        <v>723</v>
      </c>
      <c r="I1293" s="80">
        <f>+O1279+O1277+O1275+O1273+O1271</f>
        <v>0</v>
      </c>
      <c r="J1293" s="74">
        <f>+K1256</f>
        <v>326861500</v>
      </c>
      <c r="K1293" s="195">
        <f>+I1293+J1293</f>
        <v>326861500</v>
      </c>
      <c r="M1293" s="918" t="s">
        <v>1481</v>
      </c>
      <c r="N1293" s="918"/>
      <c r="O1293" s="918"/>
    </row>
    <row r="1294" spans="1:15" ht="13.5" customHeight="1" thickBot="1">
      <c r="A1294" s="164" t="s">
        <v>181</v>
      </c>
      <c r="B1294" s="165"/>
      <c r="C1294" s="74" t="e">
        <f>+D1257</f>
        <v>#REF!</v>
      </c>
      <c r="D1294" s="196" t="e">
        <f>+B1294+C1294</f>
        <v>#REF!</v>
      </c>
      <c r="F1294" s="52"/>
      <c r="H1294" s="164" t="s">
        <v>181</v>
      </c>
      <c r="I1294" s="165"/>
      <c r="J1294" s="74">
        <f>+K1257</f>
        <v>0</v>
      </c>
      <c r="K1294" s="196">
        <f>+I1294+J1294</f>
        <v>0</v>
      </c>
      <c r="M1294" s="52"/>
    </row>
    <row r="1295" spans="1:15" ht="16.5" thickBot="1">
      <c r="A1295" s="169"/>
      <c r="B1295" s="170" t="e">
        <f>SUM(B1290:B1294)</f>
        <v>#REF!</v>
      </c>
      <c r="C1295" s="171" t="e">
        <f>SUM(C1290:C1294)</f>
        <v>#REF!</v>
      </c>
      <c r="D1295" s="172" t="e">
        <f>SUM(D1290:D1294)</f>
        <v>#REF!</v>
      </c>
      <c r="H1295" s="169"/>
      <c r="I1295" s="197">
        <f>SUM(I1290:I1294)</f>
        <v>380000</v>
      </c>
      <c r="J1295" s="197">
        <f>SUM(J1290:J1294)</f>
        <v>530942975</v>
      </c>
      <c r="K1295" s="198">
        <f>SUM(K1290:K1294)</f>
        <v>531322975</v>
      </c>
    </row>
    <row r="1296" spans="1:15" ht="16.5">
      <c r="A1296" s="49" t="s">
        <v>88</v>
      </c>
      <c r="B1296" s="50"/>
      <c r="H1296" s="49" t="s">
        <v>88</v>
      </c>
      <c r="I1296" s="50"/>
    </row>
    <row r="1297" spans="1:15">
      <c r="A1297" s="51" t="s">
        <v>89</v>
      </c>
      <c r="H1297" s="51" t="s">
        <v>89</v>
      </c>
    </row>
    <row r="1298" spans="1:15">
      <c r="A1298" s="51" t="s">
        <v>90</v>
      </c>
      <c r="H1298" s="51" t="s">
        <v>90</v>
      </c>
    </row>
    <row r="1299" spans="1:15">
      <c r="A1299" s="51" t="s">
        <v>91</v>
      </c>
      <c r="H1299" s="51" t="s">
        <v>91</v>
      </c>
    </row>
    <row r="1300" spans="1:15" ht="12" customHeight="1">
      <c r="A1300" s="50"/>
      <c r="B1300" s="50"/>
      <c r="H1300" s="50"/>
      <c r="I1300" s="50"/>
    </row>
    <row r="1301" spans="1:15" ht="16.5">
      <c r="A1301" s="52" t="s">
        <v>507</v>
      </c>
      <c r="G1301" s="52"/>
      <c r="H1301" s="260" t="s">
        <v>209</v>
      </c>
      <c r="N1301" s="52"/>
    </row>
    <row r="1302" spans="1:15" ht="15.75">
      <c r="A1302" s="53" t="s">
        <v>92</v>
      </c>
      <c r="G1302" s="53"/>
      <c r="H1302" s="53" t="s">
        <v>1333</v>
      </c>
      <c r="N1302" s="53"/>
    </row>
    <row r="1303" spans="1:15" ht="16.5">
      <c r="A1303" s="894" t="s">
        <v>261</v>
      </c>
      <c r="B1303" s="894"/>
      <c r="C1303" s="894"/>
      <c r="D1303" s="894"/>
      <c r="E1303" s="894"/>
      <c r="F1303" s="894"/>
      <c r="G1303" s="894"/>
      <c r="H1303" s="894" t="s">
        <v>903</v>
      </c>
      <c r="I1303" s="894"/>
      <c r="J1303" s="894"/>
      <c r="K1303" s="894"/>
      <c r="L1303" s="894"/>
      <c r="M1303" s="894"/>
      <c r="N1303" s="894"/>
      <c r="O1303" s="894"/>
    </row>
    <row r="1304" spans="1:15" ht="15.75" thickBot="1"/>
    <row r="1305" spans="1:15">
      <c r="A1305" s="895" t="s">
        <v>94</v>
      </c>
      <c r="B1305" s="897" t="s">
        <v>95</v>
      </c>
      <c r="C1305" s="897" t="s">
        <v>96</v>
      </c>
      <c r="D1305" s="897" t="s">
        <v>3</v>
      </c>
      <c r="E1305" s="897" t="s">
        <v>97</v>
      </c>
      <c r="F1305" s="897" t="s">
        <v>98</v>
      </c>
      <c r="G1305" s="500" t="s">
        <v>99</v>
      </c>
      <c r="H1305" s="895" t="s">
        <v>94</v>
      </c>
      <c r="I1305" s="897" t="s">
        <v>95</v>
      </c>
      <c r="J1305" s="897" t="s">
        <v>96</v>
      </c>
      <c r="K1305" s="897" t="s">
        <v>3</v>
      </c>
      <c r="L1305" s="897" t="s">
        <v>97</v>
      </c>
      <c r="M1305" s="897" t="s">
        <v>98</v>
      </c>
      <c r="N1305" s="897" t="s">
        <v>99</v>
      </c>
      <c r="O1305" s="899"/>
    </row>
    <row r="1306" spans="1:15" ht="15.75" thickBot="1">
      <c r="A1306" s="896"/>
      <c r="B1306" s="898"/>
      <c r="C1306" s="898"/>
      <c r="D1306" s="898"/>
      <c r="E1306" s="898"/>
      <c r="F1306" s="898"/>
      <c r="G1306" s="240" t="s">
        <v>100</v>
      </c>
      <c r="H1306" s="896"/>
      <c r="I1306" s="898"/>
      <c r="J1306" s="898"/>
      <c r="K1306" s="898"/>
      <c r="L1306" s="898"/>
      <c r="M1306" s="898"/>
      <c r="N1306" s="240" t="s">
        <v>100</v>
      </c>
      <c r="O1306" s="182" t="s">
        <v>101</v>
      </c>
    </row>
    <row r="1307" spans="1:15" ht="13.5" customHeight="1">
      <c r="A1307" s="919" t="e">
        <f>+A1278+1</f>
        <v>#REF!</v>
      </c>
      <c r="B1307" s="875">
        <v>42364</v>
      </c>
      <c r="C1307" s="877" t="s">
        <v>267</v>
      </c>
      <c r="D1307" s="877" t="s">
        <v>509</v>
      </c>
      <c r="E1307" s="881" t="s">
        <v>148</v>
      </c>
      <c r="F1307" s="883">
        <v>112000</v>
      </c>
      <c r="G1307" s="55">
        <v>719</v>
      </c>
      <c r="H1307" s="873" t="s">
        <v>1589</v>
      </c>
      <c r="I1307" s="875">
        <v>43088</v>
      </c>
      <c r="J1307" s="877" t="s">
        <v>472</v>
      </c>
      <c r="K1307" s="881" t="s">
        <v>1522</v>
      </c>
      <c r="L1307" s="881" t="s">
        <v>148</v>
      </c>
      <c r="M1307" s="883">
        <v>325000</v>
      </c>
      <c r="N1307" s="55">
        <v>719</v>
      </c>
      <c r="O1307" s="78">
        <v>250000</v>
      </c>
    </row>
    <row r="1308" spans="1:15" ht="12.75" customHeight="1" thickBot="1">
      <c r="A1308" s="920"/>
      <c r="B1308" s="876"/>
      <c r="C1308" s="878"/>
      <c r="D1308" s="878"/>
      <c r="E1308" s="882"/>
      <c r="F1308" s="884"/>
      <c r="G1308" s="56">
        <v>721</v>
      </c>
      <c r="H1308" s="874"/>
      <c r="I1308" s="876"/>
      <c r="J1308" s="878"/>
      <c r="K1308" s="882"/>
      <c r="L1308" s="882"/>
      <c r="M1308" s="884"/>
      <c r="N1308" s="56">
        <v>723</v>
      </c>
      <c r="O1308" s="79">
        <f>+M1307-O1307</f>
        <v>75000</v>
      </c>
    </row>
    <row r="1309" spans="1:15" ht="12" customHeight="1">
      <c r="A1309" s="919" t="e">
        <f>+A1307+1</f>
        <v>#REF!</v>
      </c>
      <c r="B1309" s="875">
        <v>42364</v>
      </c>
      <c r="C1309" s="881" t="s">
        <v>28</v>
      </c>
      <c r="D1309" s="877" t="s">
        <v>510</v>
      </c>
      <c r="E1309" s="881" t="s">
        <v>148</v>
      </c>
      <c r="F1309" s="883">
        <v>238000</v>
      </c>
      <c r="G1309" s="55">
        <v>719</v>
      </c>
      <c r="H1309" s="881">
        <f>+H1307+1</f>
        <v>164</v>
      </c>
      <c r="I1309" s="875">
        <v>43088</v>
      </c>
      <c r="J1309" s="877" t="s">
        <v>472</v>
      </c>
      <c r="K1309" s="881" t="s">
        <v>1590</v>
      </c>
      <c r="L1309" s="881" t="s">
        <v>148</v>
      </c>
      <c r="M1309" s="883">
        <v>312000</v>
      </c>
      <c r="N1309" s="55">
        <v>719</v>
      </c>
      <c r="O1309" s="78">
        <v>240000</v>
      </c>
    </row>
    <row r="1310" spans="1:15" ht="13.5" customHeight="1" thickBot="1">
      <c r="A1310" s="920"/>
      <c r="B1310" s="876"/>
      <c r="C1310" s="882"/>
      <c r="D1310" s="878"/>
      <c r="E1310" s="882"/>
      <c r="F1310" s="884"/>
      <c r="G1310" s="56">
        <v>721</v>
      </c>
      <c r="H1310" s="882"/>
      <c r="I1310" s="876"/>
      <c r="J1310" s="878"/>
      <c r="K1310" s="882"/>
      <c r="L1310" s="882"/>
      <c r="M1310" s="884"/>
      <c r="N1310" s="56">
        <v>723</v>
      </c>
      <c r="O1310" s="79">
        <f>+M1309-O1309</f>
        <v>72000</v>
      </c>
    </row>
    <row r="1311" spans="1:15" ht="12.75" customHeight="1">
      <c r="A1311" s="919" t="e">
        <f>+A1309+1</f>
        <v>#REF!</v>
      </c>
      <c r="B1311" s="875">
        <v>42364</v>
      </c>
      <c r="C1311" s="877" t="s">
        <v>32</v>
      </c>
      <c r="D1311" s="877" t="s">
        <v>510</v>
      </c>
      <c r="E1311" s="881" t="s">
        <v>148</v>
      </c>
      <c r="F1311" s="883">
        <v>112000</v>
      </c>
      <c r="G1311" s="55">
        <v>719</v>
      </c>
      <c r="H1311" s="881">
        <f>+H1309+1</f>
        <v>165</v>
      </c>
      <c r="I1311" s="875">
        <v>43088</v>
      </c>
      <c r="J1311" s="877" t="s">
        <v>472</v>
      </c>
      <c r="K1311" s="881" t="s">
        <v>1507</v>
      </c>
      <c r="L1311" s="881" t="s">
        <v>148</v>
      </c>
      <c r="M1311" s="883">
        <v>247000</v>
      </c>
      <c r="N1311" s="55">
        <v>719</v>
      </c>
      <c r="O1311" s="78">
        <v>190000</v>
      </c>
    </row>
    <row r="1312" spans="1:15" ht="12.75" customHeight="1" thickBot="1">
      <c r="A1312" s="920"/>
      <c r="B1312" s="876"/>
      <c r="C1312" s="878"/>
      <c r="D1312" s="878"/>
      <c r="E1312" s="882"/>
      <c r="F1312" s="884"/>
      <c r="G1312" s="56">
        <v>721</v>
      </c>
      <c r="H1312" s="882"/>
      <c r="I1312" s="876"/>
      <c r="J1312" s="878"/>
      <c r="K1312" s="882"/>
      <c r="L1312" s="882"/>
      <c r="M1312" s="884"/>
      <c r="N1312" s="56">
        <v>723</v>
      </c>
      <c r="O1312" s="79">
        <f>+M1311-O1311</f>
        <v>57000</v>
      </c>
    </row>
    <row r="1313" spans="1:15" ht="13.5" customHeight="1">
      <c r="A1313" s="919" t="e">
        <f>+A1311+1</f>
        <v>#REF!</v>
      </c>
      <c r="B1313" s="875">
        <v>42364</v>
      </c>
      <c r="C1313" s="877" t="s">
        <v>111</v>
      </c>
      <c r="D1313" s="877" t="s">
        <v>511</v>
      </c>
      <c r="E1313" s="881" t="s">
        <v>148</v>
      </c>
      <c r="F1313" s="883">
        <v>112000</v>
      </c>
      <c r="G1313" s="55">
        <v>719</v>
      </c>
      <c r="H1313" s="881">
        <f>+H1311+1</f>
        <v>166</v>
      </c>
      <c r="I1313" s="875">
        <v>43088</v>
      </c>
      <c r="J1313" s="877" t="s">
        <v>472</v>
      </c>
      <c r="K1313" s="881" t="s">
        <v>1506</v>
      </c>
      <c r="L1313" s="881" t="s">
        <v>148</v>
      </c>
      <c r="M1313" s="883">
        <v>208000</v>
      </c>
      <c r="N1313" s="55">
        <v>719</v>
      </c>
      <c r="O1313" s="78">
        <v>160000</v>
      </c>
    </row>
    <row r="1314" spans="1:15" ht="13.5" customHeight="1" thickBot="1">
      <c r="A1314" s="920"/>
      <c r="B1314" s="876"/>
      <c r="C1314" s="878"/>
      <c r="D1314" s="878"/>
      <c r="E1314" s="882"/>
      <c r="F1314" s="884"/>
      <c r="G1314" s="56">
        <v>721</v>
      </c>
      <c r="H1314" s="882"/>
      <c r="I1314" s="876"/>
      <c r="J1314" s="878"/>
      <c r="K1314" s="882"/>
      <c r="L1314" s="882"/>
      <c r="M1314" s="884"/>
      <c r="N1314" s="56">
        <v>723</v>
      </c>
      <c r="O1314" s="79">
        <f>+M1313-O1313</f>
        <v>48000</v>
      </c>
    </row>
    <row r="1315" spans="1:15" ht="12.75" customHeight="1">
      <c r="A1315" s="919" t="e">
        <f>+A1313+1</f>
        <v>#REF!</v>
      </c>
      <c r="B1315" s="875">
        <v>42364</v>
      </c>
      <c r="C1315" s="877" t="s">
        <v>272</v>
      </c>
      <c r="D1315" s="877" t="s">
        <v>510</v>
      </c>
      <c r="E1315" s="881" t="s">
        <v>148</v>
      </c>
      <c r="F1315" s="883">
        <v>616000</v>
      </c>
      <c r="G1315" s="55">
        <v>719</v>
      </c>
      <c r="H1315" s="881">
        <f>+H1313+1</f>
        <v>167</v>
      </c>
      <c r="I1315" s="875">
        <v>43088</v>
      </c>
      <c r="J1315" s="877" t="s">
        <v>472</v>
      </c>
      <c r="K1315" s="881" t="s">
        <v>1510</v>
      </c>
      <c r="L1315" s="881" t="s">
        <v>148</v>
      </c>
      <c r="M1315" s="883">
        <v>234000</v>
      </c>
      <c r="N1315" s="55">
        <v>719</v>
      </c>
      <c r="O1315" s="78">
        <v>180000</v>
      </c>
    </row>
    <row r="1316" spans="1:15" ht="12.75" customHeight="1" thickBot="1">
      <c r="A1316" s="920"/>
      <c r="B1316" s="876"/>
      <c r="C1316" s="878"/>
      <c r="D1316" s="878"/>
      <c r="E1316" s="882"/>
      <c r="F1316" s="884"/>
      <c r="G1316" s="56">
        <v>721</v>
      </c>
      <c r="H1316" s="882"/>
      <c r="I1316" s="876"/>
      <c r="J1316" s="878"/>
      <c r="K1316" s="882"/>
      <c r="L1316" s="882"/>
      <c r="M1316" s="884"/>
      <c r="N1316" s="56">
        <v>723</v>
      </c>
      <c r="O1316" s="79">
        <f>+M1315-O1315</f>
        <v>54000</v>
      </c>
    </row>
    <row r="1317" spans="1:15" ht="16.5" thickBot="1">
      <c r="A1317" s="901" t="s">
        <v>102</v>
      </c>
      <c r="B1317" s="902"/>
      <c r="C1317" s="902"/>
      <c r="D1317" s="902"/>
      <c r="E1317" s="903"/>
      <c r="F1317" s="81">
        <f>SUM(F1307:F1316)</f>
        <v>1190000</v>
      </c>
      <c r="H1317" s="901" t="s">
        <v>102</v>
      </c>
      <c r="I1317" s="902"/>
      <c r="J1317" s="902"/>
      <c r="K1317" s="902"/>
      <c r="L1317" s="903"/>
      <c r="M1317" s="81">
        <f>SUM(M1307:M1316)</f>
        <v>1326000</v>
      </c>
    </row>
    <row r="1318" spans="1:15" ht="16.5" thickBot="1">
      <c r="A1318" s="885" t="s">
        <v>103</v>
      </c>
      <c r="B1318" s="886"/>
      <c r="C1318" s="886"/>
      <c r="D1318" s="886"/>
      <c r="E1318" s="887"/>
      <c r="F1318" s="69" t="e">
        <f>+F1282</f>
        <v>#REF!</v>
      </c>
      <c r="H1318" s="885" t="s">
        <v>103</v>
      </c>
      <c r="I1318" s="886"/>
      <c r="J1318" s="886"/>
      <c r="K1318" s="886"/>
      <c r="L1318" s="887"/>
      <c r="M1318" s="69">
        <f>+M1282</f>
        <v>531322975</v>
      </c>
      <c r="N1318" s="241" t="s">
        <v>561</v>
      </c>
      <c r="O1318" s="242">
        <f>426+320+398+660+676</f>
        <v>2480</v>
      </c>
    </row>
    <row r="1319" spans="1:15" ht="16.5" thickBot="1">
      <c r="A1319" s="888" t="s">
        <v>104</v>
      </c>
      <c r="B1319" s="889"/>
      <c r="C1319" s="889"/>
      <c r="D1319" s="889"/>
      <c r="E1319" s="890"/>
      <c r="F1319" s="183" t="e">
        <f>SUM(F1317:F1318)</f>
        <v>#REF!</v>
      </c>
      <c r="H1319" s="888" t="s">
        <v>104</v>
      </c>
      <c r="I1319" s="889"/>
      <c r="J1319" s="889"/>
      <c r="K1319" s="889"/>
      <c r="L1319" s="890"/>
      <c r="M1319" s="183">
        <f>SUM(M1317:M1318)</f>
        <v>532648975</v>
      </c>
    </row>
    <row r="1320" spans="1:15">
      <c r="A1320" s="61"/>
      <c r="B1320" s="61"/>
      <c r="C1320" s="61"/>
      <c r="D1320" s="61"/>
      <c r="E1320" s="61"/>
      <c r="H1320" s="61"/>
      <c r="I1320" s="61"/>
      <c r="J1320" s="61"/>
      <c r="K1320" s="61"/>
      <c r="L1320" s="61"/>
    </row>
    <row r="1321" spans="1:15">
      <c r="A1321" s="51" t="s">
        <v>512</v>
      </c>
      <c r="H1321" s="51" t="s">
        <v>1598</v>
      </c>
    </row>
    <row r="1322" spans="1:15" ht="9.75" customHeight="1">
      <c r="F1322" s="139"/>
      <c r="M1322" s="139"/>
    </row>
    <row r="1323" spans="1:15">
      <c r="A1323" s="50" t="s">
        <v>105</v>
      </c>
      <c r="D1323" s="146"/>
      <c r="F1323" s="139"/>
      <c r="H1323" s="50" t="s">
        <v>105</v>
      </c>
      <c r="K1323" s="146"/>
      <c r="M1323" s="139"/>
    </row>
    <row r="1324" spans="1:15" ht="10.5" customHeight="1" thickBot="1"/>
    <row r="1325" spans="1:15" ht="15.75" thickBot="1">
      <c r="A1325" s="891" t="s">
        <v>106</v>
      </c>
      <c r="B1325" s="892"/>
      <c r="C1325" s="892"/>
      <c r="D1325" s="893"/>
      <c r="F1325" s="50" t="s">
        <v>288</v>
      </c>
      <c r="H1325" s="891" t="s">
        <v>106</v>
      </c>
      <c r="I1325" s="892"/>
      <c r="J1325" s="892"/>
      <c r="K1325" s="893"/>
      <c r="M1325" s="50" t="s">
        <v>288</v>
      </c>
    </row>
    <row r="1326" spans="1:15" ht="30.75" thickBot="1">
      <c r="A1326" s="57" t="s">
        <v>100</v>
      </c>
      <c r="B1326" s="58" t="s">
        <v>108</v>
      </c>
      <c r="C1326" s="59" t="s">
        <v>109</v>
      </c>
      <c r="D1326" s="60" t="s">
        <v>110</v>
      </c>
      <c r="H1326" s="57" t="s">
        <v>100</v>
      </c>
      <c r="I1326" s="58" t="s">
        <v>108</v>
      </c>
      <c r="J1326" s="59" t="s">
        <v>109</v>
      </c>
      <c r="K1326" s="60" t="s">
        <v>110</v>
      </c>
    </row>
    <row r="1327" spans="1:15">
      <c r="A1327" s="71">
        <v>719</v>
      </c>
      <c r="B1327" s="73" t="e">
        <f>+#REF!+#REF!+#REF!+#REF!+#REF!</f>
        <v>#REF!</v>
      </c>
      <c r="C1327" s="74" t="e">
        <f>+D1290</f>
        <v>#REF!</v>
      </c>
      <c r="D1327" s="195" t="e">
        <f>+B1327+C1327</f>
        <v>#REF!</v>
      </c>
      <c r="H1327" s="71">
        <v>719</v>
      </c>
      <c r="I1327" s="73">
        <f>+O1307+O1309+O1311+O1313+O1315</f>
        <v>1020000</v>
      </c>
      <c r="J1327" s="74">
        <f>+K1290</f>
        <v>50090000</v>
      </c>
      <c r="K1327" s="195">
        <f>+I1327+J1327</f>
        <v>51110000</v>
      </c>
    </row>
    <row r="1328" spans="1:15">
      <c r="A1328" s="72">
        <v>721</v>
      </c>
      <c r="B1328" s="80" t="e">
        <f>(+#REF!+#REF!+#REF!+#REF!+#REF!)</f>
        <v>#REF!</v>
      </c>
      <c r="C1328" s="74" t="e">
        <f>+D1291</f>
        <v>#REF!</v>
      </c>
      <c r="D1328" s="195" t="e">
        <f>+B1328+C1328</f>
        <v>#REF!</v>
      </c>
      <c r="H1328" s="72">
        <v>721</v>
      </c>
      <c r="I1328" s="80">
        <f>+O1308+O1310+O1312+O1314+O1316</f>
        <v>306000</v>
      </c>
      <c r="J1328" s="74">
        <f>+K1291</f>
        <v>98539981</v>
      </c>
      <c r="K1328" s="195">
        <f>+I1328+J1328</f>
        <v>98845981</v>
      </c>
    </row>
    <row r="1329" spans="1:15" ht="13.5" customHeight="1">
      <c r="A1329" s="72">
        <v>722</v>
      </c>
      <c r="B1329" s="80"/>
      <c r="C1329" s="74" t="e">
        <f>+D1292</f>
        <v>#REF!</v>
      </c>
      <c r="D1329" s="195" t="e">
        <f>+B1329+C1329</f>
        <v>#REF!</v>
      </c>
      <c r="H1329" s="72">
        <v>722</v>
      </c>
      <c r="I1329" s="80"/>
      <c r="J1329" s="74">
        <f>+K1292</f>
        <v>55831494</v>
      </c>
      <c r="K1329" s="195">
        <f>+I1329+J1329</f>
        <v>55831494</v>
      </c>
    </row>
    <row r="1330" spans="1:15" ht="15.75">
      <c r="A1330" s="72">
        <v>723</v>
      </c>
      <c r="B1330" s="80"/>
      <c r="C1330" s="74" t="e">
        <f>+D1293</f>
        <v>#REF!</v>
      </c>
      <c r="D1330" s="195" t="e">
        <f>+B1330+C1330</f>
        <v>#REF!</v>
      </c>
      <c r="F1330" s="174" t="s">
        <v>23</v>
      </c>
      <c r="G1330" s="175"/>
      <c r="H1330" s="72">
        <v>723</v>
      </c>
      <c r="I1330" s="80"/>
      <c r="J1330" s="74">
        <f>+K1293</f>
        <v>326861500</v>
      </c>
      <c r="K1330" s="195">
        <f>+I1330+J1330</f>
        <v>326861500</v>
      </c>
      <c r="M1330" s="918" t="s">
        <v>1481</v>
      </c>
      <c r="N1330" s="918"/>
      <c r="O1330" s="918"/>
    </row>
    <row r="1331" spans="1:15" ht="15" customHeight="1" thickBot="1">
      <c r="A1331" s="164" t="s">
        <v>181</v>
      </c>
      <c r="B1331" s="165"/>
      <c r="C1331" s="74" t="e">
        <f>+D1294</f>
        <v>#REF!</v>
      </c>
      <c r="D1331" s="196" t="e">
        <f>+B1331+C1331</f>
        <v>#REF!</v>
      </c>
      <c r="F1331" s="52"/>
      <c r="H1331" s="164" t="s">
        <v>181</v>
      </c>
      <c r="I1331" s="165"/>
      <c r="J1331" s="74">
        <f>+K1294</f>
        <v>0</v>
      </c>
      <c r="K1331" s="196">
        <f>+I1331+J1331</f>
        <v>0</v>
      </c>
      <c r="M1331" s="52"/>
    </row>
    <row r="1332" spans="1:15" ht="16.5" thickBot="1">
      <c r="A1332" s="169"/>
      <c r="B1332" s="170" t="e">
        <f>SUM(B1327:B1331)</f>
        <v>#REF!</v>
      </c>
      <c r="C1332" s="171" t="e">
        <f>SUM(C1327:C1331)</f>
        <v>#REF!</v>
      </c>
      <c r="D1332" s="172" t="e">
        <f>SUM(D1327:D1331)</f>
        <v>#REF!</v>
      </c>
      <c r="H1332" s="169"/>
      <c r="I1332" s="197">
        <f>SUM(I1327:I1331)</f>
        <v>1326000</v>
      </c>
      <c r="J1332" s="197">
        <f>SUM(J1327:J1331)</f>
        <v>531322975</v>
      </c>
      <c r="K1332" s="198">
        <f>SUM(K1327:K1331)</f>
        <v>532648975</v>
      </c>
    </row>
    <row r="1333" spans="1:15" ht="16.5">
      <c r="A1333" s="49" t="s">
        <v>88</v>
      </c>
      <c r="B1333" s="50"/>
      <c r="H1333" s="49" t="s">
        <v>88</v>
      </c>
      <c r="I1333" s="50"/>
    </row>
    <row r="1334" spans="1:15">
      <c r="A1334" s="51" t="s">
        <v>89</v>
      </c>
      <c r="H1334" s="51" t="s">
        <v>89</v>
      </c>
    </row>
    <row r="1335" spans="1:15">
      <c r="A1335" s="51" t="s">
        <v>90</v>
      </c>
      <c r="H1335" s="51" t="s">
        <v>90</v>
      </c>
    </row>
    <row r="1336" spans="1:15">
      <c r="A1336" s="51" t="s">
        <v>91</v>
      </c>
      <c r="H1336" s="51" t="s">
        <v>91</v>
      </c>
    </row>
    <row r="1337" spans="1:15" ht="9.75" customHeight="1">
      <c r="A1337" s="50"/>
      <c r="B1337" s="50"/>
      <c r="H1337" s="50"/>
      <c r="I1337" s="50"/>
    </row>
    <row r="1338" spans="1:15" ht="16.5">
      <c r="A1338" s="52" t="s">
        <v>508</v>
      </c>
      <c r="G1338" s="52"/>
      <c r="H1338" s="260" t="s">
        <v>898</v>
      </c>
      <c r="N1338" s="52"/>
    </row>
    <row r="1339" spans="1:15" ht="14.25" customHeight="1">
      <c r="A1339" s="53" t="s">
        <v>92</v>
      </c>
      <c r="G1339" s="53"/>
      <c r="H1339" s="53" t="s">
        <v>1333</v>
      </c>
      <c r="N1339" s="53"/>
    </row>
    <row r="1340" spans="1:15" ht="16.5">
      <c r="A1340" s="894" t="s">
        <v>261</v>
      </c>
      <c r="B1340" s="894"/>
      <c r="C1340" s="894"/>
      <c r="D1340" s="894"/>
      <c r="E1340" s="894"/>
      <c r="F1340" s="894"/>
      <c r="G1340" s="894"/>
      <c r="H1340" s="894" t="s">
        <v>903</v>
      </c>
      <c r="I1340" s="894"/>
      <c r="J1340" s="894"/>
      <c r="K1340" s="894"/>
      <c r="L1340" s="894"/>
      <c r="M1340" s="894"/>
      <c r="N1340" s="894"/>
      <c r="O1340" s="894"/>
    </row>
    <row r="1341" spans="1:15" ht="13.5" customHeight="1" thickBot="1"/>
    <row r="1342" spans="1:15">
      <c r="A1342" s="895" t="s">
        <v>94</v>
      </c>
      <c r="B1342" s="897" t="s">
        <v>95</v>
      </c>
      <c r="C1342" s="897" t="s">
        <v>96</v>
      </c>
      <c r="D1342" s="897" t="s">
        <v>3</v>
      </c>
      <c r="E1342" s="897" t="s">
        <v>97</v>
      </c>
      <c r="F1342" s="897" t="s">
        <v>98</v>
      </c>
      <c r="G1342" s="500" t="s">
        <v>99</v>
      </c>
      <c r="H1342" s="895" t="s">
        <v>94</v>
      </c>
      <c r="I1342" s="897" t="s">
        <v>95</v>
      </c>
      <c r="J1342" s="897" t="s">
        <v>96</v>
      </c>
      <c r="K1342" s="897" t="s">
        <v>3</v>
      </c>
      <c r="L1342" s="897" t="s">
        <v>97</v>
      </c>
      <c r="M1342" s="897" t="s">
        <v>98</v>
      </c>
      <c r="N1342" s="897" t="s">
        <v>99</v>
      </c>
      <c r="O1342" s="899"/>
    </row>
    <row r="1343" spans="1:15" ht="15.75" thickBot="1">
      <c r="A1343" s="896"/>
      <c r="B1343" s="898"/>
      <c r="C1343" s="898"/>
      <c r="D1343" s="898"/>
      <c r="E1343" s="898"/>
      <c r="F1343" s="898"/>
      <c r="G1343" s="240" t="s">
        <v>100</v>
      </c>
      <c r="H1343" s="896"/>
      <c r="I1343" s="898"/>
      <c r="J1343" s="898"/>
      <c r="K1343" s="898"/>
      <c r="L1343" s="898"/>
      <c r="M1343" s="898"/>
      <c r="N1343" s="240" t="s">
        <v>100</v>
      </c>
      <c r="O1343" s="182" t="s">
        <v>101</v>
      </c>
    </row>
    <row r="1344" spans="1:15" ht="12.75" customHeight="1">
      <c r="A1344" s="919" t="e">
        <f>+A1315+1</f>
        <v>#REF!</v>
      </c>
      <c r="B1344" s="875">
        <v>42364</v>
      </c>
      <c r="C1344" s="877" t="s">
        <v>31</v>
      </c>
      <c r="D1344" s="877" t="s">
        <v>513</v>
      </c>
      <c r="E1344" s="881" t="s">
        <v>115</v>
      </c>
      <c r="F1344" s="883">
        <v>100000</v>
      </c>
      <c r="G1344" s="55">
        <v>719</v>
      </c>
      <c r="H1344" s="873" t="s">
        <v>1591</v>
      </c>
      <c r="I1344" s="875">
        <v>42723</v>
      </c>
      <c r="J1344" s="877" t="s">
        <v>28</v>
      </c>
      <c r="K1344" s="881" t="s">
        <v>1592</v>
      </c>
      <c r="L1344" s="881" t="s">
        <v>775</v>
      </c>
      <c r="M1344" s="883">
        <v>230000</v>
      </c>
      <c r="N1344" s="55">
        <v>719</v>
      </c>
      <c r="O1344" s="78">
        <v>230000</v>
      </c>
    </row>
    <row r="1345" spans="1:15" ht="13.5" customHeight="1" thickBot="1">
      <c r="A1345" s="920"/>
      <c r="B1345" s="876"/>
      <c r="C1345" s="878"/>
      <c r="D1345" s="878"/>
      <c r="E1345" s="882"/>
      <c r="F1345" s="884"/>
      <c r="G1345" s="56">
        <v>721</v>
      </c>
      <c r="H1345" s="874"/>
      <c r="I1345" s="876"/>
      <c r="J1345" s="878"/>
      <c r="K1345" s="882"/>
      <c r="L1345" s="882"/>
      <c r="M1345" s="884"/>
      <c r="N1345" s="56">
        <v>723</v>
      </c>
      <c r="O1345" s="79">
        <f>+M1344-O1344</f>
        <v>0</v>
      </c>
    </row>
    <row r="1346" spans="1:15" ht="15" customHeight="1">
      <c r="A1346" s="919" t="e">
        <f>+A1344+1</f>
        <v>#REF!</v>
      </c>
      <c r="B1346" s="875">
        <v>42364</v>
      </c>
      <c r="C1346" s="877" t="s">
        <v>472</v>
      </c>
      <c r="D1346" s="877" t="s">
        <v>517</v>
      </c>
      <c r="E1346" s="881" t="s">
        <v>115</v>
      </c>
      <c r="F1346" s="883">
        <v>40000</v>
      </c>
      <c r="G1346" s="55">
        <v>719</v>
      </c>
      <c r="H1346" s="881">
        <f>+H1344+1</f>
        <v>169</v>
      </c>
      <c r="I1346" s="875">
        <v>42723</v>
      </c>
      <c r="J1346" s="877" t="s">
        <v>28</v>
      </c>
      <c r="K1346" s="881" t="s">
        <v>1516</v>
      </c>
      <c r="L1346" s="881" t="s">
        <v>775</v>
      </c>
      <c r="M1346" s="883">
        <v>90000</v>
      </c>
      <c r="N1346" s="55">
        <v>719</v>
      </c>
      <c r="O1346" s="78">
        <v>90000</v>
      </c>
    </row>
    <row r="1347" spans="1:15" ht="13.5" customHeight="1" thickBot="1">
      <c r="A1347" s="920"/>
      <c r="B1347" s="876"/>
      <c r="C1347" s="878"/>
      <c r="D1347" s="878"/>
      <c r="E1347" s="882"/>
      <c r="F1347" s="884"/>
      <c r="G1347" s="56">
        <v>721</v>
      </c>
      <c r="H1347" s="882"/>
      <c r="I1347" s="876"/>
      <c r="J1347" s="878"/>
      <c r="K1347" s="882"/>
      <c r="L1347" s="882"/>
      <c r="M1347" s="884"/>
      <c r="N1347" s="56">
        <v>723</v>
      </c>
      <c r="O1347" s="79">
        <f>+M1346-O1346</f>
        <v>0</v>
      </c>
    </row>
    <row r="1348" spans="1:15" ht="14.25" customHeight="1">
      <c r="A1348" s="919" t="e">
        <f>+A1346+1</f>
        <v>#REF!</v>
      </c>
      <c r="B1348" s="875">
        <v>42364</v>
      </c>
      <c r="C1348" s="877" t="s">
        <v>32</v>
      </c>
      <c r="D1348" s="877" t="s">
        <v>518</v>
      </c>
      <c r="E1348" s="881" t="s">
        <v>115</v>
      </c>
      <c r="F1348" s="883">
        <v>40000</v>
      </c>
      <c r="G1348" s="55">
        <v>719</v>
      </c>
      <c r="H1348" s="881">
        <f>+H1346+1</f>
        <v>170</v>
      </c>
      <c r="I1348" s="875">
        <v>42723</v>
      </c>
      <c r="J1348" s="877" t="s">
        <v>28</v>
      </c>
      <c r="K1348" s="881" t="s">
        <v>1517</v>
      </c>
      <c r="L1348" s="881" t="s">
        <v>775</v>
      </c>
      <c r="M1348" s="883">
        <v>220000</v>
      </c>
      <c r="N1348" s="55">
        <v>719</v>
      </c>
      <c r="O1348" s="78">
        <v>220000</v>
      </c>
    </row>
    <row r="1349" spans="1:15" ht="13.5" customHeight="1" thickBot="1">
      <c r="A1349" s="920"/>
      <c r="B1349" s="876"/>
      <c r="C1349" s="878"/>
      <c r="D1349" s="878"/>
      <c r="E1349" s="882"/>
      <c r="F1349" s="884"/>
      <c r="G1349" s="56">
        <v>721</v>
      </c>
      <c r="H1349" s="882"/>
      <c r="I1349" s="876"/>
      <c r="J1349" s="878"/>
      <c r="K1349" s="882"/>
      <c r="L1349" s="882"/>
      <c r="M1349" s="884"/>
      <c r="N1349" s="56">
        <v>723</v>
      </c>
      <c r="O1349" s="79">
        <f>+M1348-O1348</f>
        <v>0</v>
      </c>
    </row>
    <row r="1350" spans="1:15" ht="15" customHeight="1">
      <c r="A1350" s="919" t="e">
        <f>+A1348+1</f>
        <v>#REF!</v>
      </c>
      <c r="B1350" s="875">
        <v>42364</v>
      </c>
      <c r="C1350" s="877" t="s">
        <v>120</v>
      </c>
      <c r="D1350" s="877" t="s">
        <v>519</v>
      </c>
      <c r="E1350" s="881" t="s">
        <v>115</v>
      </c>
      <c r="F1350" s="883">
        <v>20000</v>
      </c>
      <c r="G1350" s="55">
        <v>719</v>
      </c>
      <c r="H1350" s="881">
        <f>+H1348+1</f>
        <v>171</v>
      </c>
      <c r="I1350" s="875">
        <v>42723</v>
      </c>
      <c r="J1350" s="877" t="s">
        <v>28</v>
      </c>
      <c r="K1350" s="881" t="s">
        <v>1593</v>
      </c>
      <c r="L1350" s="881" t="s">
        <v>775</v>
      </c>
      <c r="M1350" s="883">
        <v>80000</v>
      </c>
      <c r="N1350" s="55">
        <v>719</v>
      </c>
      <c r="O1350" s="78">
        <v>80000</v>
      </c>
    </row>
    <row r="1351" spans="1:15" ht="12" customHeight="1" thickBot="1">
      <c r="A1351" s="920"/>
      <c r="B1351" s="876"/>
      <c r="C1351" s="878"/>
      <c r="D1351" s="878"/>
      <c r="E1351" s="882"/>
      <c r="F1351" s="884"/>
      <c r="G1351" s="56">
        <v>721</v>
      </c>
      <c r="H1351" s="882"/>
      <c r="I1351" s="876"/>
      <c r="J1351" s="878"/>
      <c r="K1351" s="882"/>
      <c r="L1351" s="882"/>
      <c r="M1351" s="884"/>
      <c r="N1351" s="56">
        <v>723</v>
      </c>
      <c r="O1351" s="79">
        <f>+M1350-O1350</f>
        <v>0</v>
      </c>
    </row>
    <row r="1352" spans="1:15" ht="14.25" customHeight="1">
      <c r="A1352" s="919" t="e">
        <f>+A1350+1</f>
        <v>#REF!</v>
      </c>
      <c r="B1352" s="875">
        <v>42364</v>
      </c>
      <c r="C1352" s="877" t="s">
        <v>31</v>
      </c>
      <c r="D1352" s="877" t="s">
        <v>514</v>
      </c>
      <c r="E1352" s="881" t="s">
        <v>115</v>
      </c>
      <c r="F1352" s="883">
        <v>50000</v>
      </c>
      <c r="G1352" s="55">
        <v>719</v>
      </c>
      <c r="H1352" s="881">
        <f>+H1350+1</f>
        <v>172</v>
      </c>
      <c r="I1352" s="875">
        <v>42723</v>
      </c>
      <c r="J1352" s="877" t="s">
        <v>120</v>
      </c>
      <c r="K1352" s="881" t="s">
        <v>1594</v>
      </c>
      <c r="L1352" s="881" t="s">
        <v>775</v>
      </c>
      <c r="M1352" s="883">
        <v>370000</v>
      </c>
      <c r="N1352" s="55">
        <v>719</v>
      </c>
      <c r="O1352" s="78">
        <v>370000</v>
      </c>
    </row>
    <row r="1353" spans="1:15" ht="12.75" customHeight="1" thickBot="1">
      <c r="A1353" s="920"/>
      <c r="B1353" s="876"/>
      <c r="C1353" s="878"/>
      <c r="D1353" s="878"/>
      <c r="E1353" s="882"/>
      <c r="F1353" s="884"/>
      <c r="G1353" s="56">
        <v>721</v>
      </c>
      <c r="H1353" s="882"/>
      <c r="I1353" s="876"/>
      <c r="J1353" s="878"/>
      <c r="K1353" s="882"/>
      <c r="L1353" s="882"/>
      <c r="M1353" s="884"/>
      <c r="N1353" s="56">
        <v>723</v>
      </c>
      <c r="O1353" s="79">
        <f>+M1352-O1352</f>
        <v>0</v>
      </c>
    </row>
    <row r="1354" spans="1:15" ht="14.25" customHeight="1" thickBot="1">
      <c r="A1354" s="919" t="e">
        <f>+A1352+1</f>
        <v>#REF!</v>
      </c>
      <c r="B1354" s="875">
        <v>42364</v>
      </c>
      <c r="C1354" s="877" t="s">
        <v>472</v>
      </c>
      <c r="D1354" s="877" t="s">
        <v>515</v>
      </c>
      <c r="E1354" s="881" t="s">
        <v>115</v>
      </c>
      <c r="F1354" s="883">
        <v>20000</v>
      </c>
      <c r="G1354" s="55">
        <v>719</v>
      </c>
      <c r="H1354" s="901" t="s">
        <v>102</v>
      </c>
      <c r="I1354" s="902"/>
      <c r="J1354" s="902"/>
      <c r="K1354" s="902"/>
      <c r="L1354" s="903"/>
      <c r="M1354" s="81">
        <f>SUM(M1344:M1353)</f>
        <v>990000</v>
      </c>
    </row>
    <row r="1355" spans="1:15" ht="14.25" customHeight="1" thickBot="1">
      <c r="A1355" s="920"/>
      <c r="B1355" s="876"/>
      <c r="C1355" s="878"/>
      <c r="D1355" s="878"/>
      <c r="E1355" s="882"/>
      <c r="F1355" s="884"/>
      <c r="G1355" s="56">
        <v>721</v>
      </c>
      <c r="H1355" s="885" t="s">
        <v>103</v>
      </c>
      <c r="I1355" s="886"/>
      <c r="J1355" s="886"/>
      <c r="K1355" s="886"/>
      <c r="L1355" s="887"/>
      <c r="M1355" s="69">
        <f>+M1319</f>
        <v>532648975</v>
      </c>
      <c r="N1355" s="241" t="s">
        <v>561</v>
      </c>
      <c r="O1355" s="242">
        <f>754+171+406+173+423</f>
        <v>1927</v>
      </c>
    </row>
    <row r="1356" spans="1:15" ht="16.5" thickBot="1">
      <c r="A1356" s="901" t="s">
        <v>102</v>
      </c>
      <c r="B1356" s="902"/>
      <c r="C1356" s="902"/>
      <c r="D1356" s="902"/>
      <c r="E1356" s="903"/>
      <c r="F1356" s="81">
        <f>SUM(F1344:F1355)</f>
        <v>270000</v>
      </c>
      <c r="H1356" s="888" t="s">
        <v>104</v>
      </c>
      <c r="I1356" s="889"/>
      <c r="J1356" s="889"/>
      <c r="K1356" s="889"/>
      <c r="L1356" s="890"/>
      <c r="M1356" s="183">
        <f>SUM(M1354:M1355)</f>
        <v>533638975</v>
      </c>
    </row>
    <row r="1357" spans="1:15" ht="12.75" customHeight="1" thickBot="1">
      <c r="A1357" s="885" t="s">
        <v>103</v>
      </c>
      <c r="B1357" s="886"/>
      <c r="C1357" s="886"/>
      <c r="D1357" s="886"/>
      <c r="E1357" s="887"/>
      <c r="F1357" s="69" t="e">
        <f>+F1319</f>
        <v>#REF!</v>
      </c>
      <c r="H1357" s="61"/>
      <c r="I1357" s="61"/>
      <c r="J1357" s="61"/>
      <c r="K1357" s="61"/>
      <c r="L1357" s="61"/>
    </row>
    <row r="1358" spans="1:15" ht="16.5" thickBot="1">
      <c r="A1358" s="888" t="s">
        <v>104</v>
      </c>
      <c r="B1358" s="889"/>
      <c r="C1358" s="889"/>
      <c r="D1358" s="889"/>
      <c r="E1358" s="890"/>
      <c r="F1358" s="183" t="e">
        <f>SUM(F1356:F1357)</f>
        <v>#REF!</v>
      </c>
      <c r="H1358" s="51" t="s">
        <v>1599</v>
      </c>
    </row>
    <row r="1359" spans="1:15" ht="13.5" customHeight="1">
      <c r="A1359" s="61"/>
      <c r="B1359" s="61"/>
      <c r="C1359" s="61"/>
      <c r="D1359" s="61"/>
      <c r="E1359" s="61"/>
      <c r="M1359" s="139"/>
    </row>
    <row r="1360" spans="1:15">
      <c r="A1360" s="51" t="s">
        <v>516</v>
      </c>
      <c r="H1360" s="50" t="s">
        <v>105</v>
      </c>
      <c r="K1360" s="146"/>
      <c r="M1360" s="139"/>
    </row>
    <row r="1361" spans="1:15" ht="14.25" customHeight="1" thickBot="1">
      <c r="F1361" s="139"/>
    </row>
    <row r="1362" spans="1:15" ht="15.75" thickBot="1">
      <c r="A1362" s="50" t="s">
        <v>105</v>
      </c>
      <c r="D1362" s="146"/>
      <c r="F1362" s="139"/>
      <c r="H1362" s="891" t="s">
        <v>106</v>
      </c>
      <c r="I1362" s="892"/>
      <c r="J1362" s="892"/>
      <c r="K1362" s="893"/>
      <c r="M1362" s="50" t="s">
        <v>288</v>
      </c>
    </row>
    <row r="1363" spans="1:15" ht="28.5" customHeight="1" thickBot="1">
      <c r="H1363" s="57" t="s">
        <v>100</v>
      </c>
      <c r="I1363" s="58" t="s">
        <v>108</v>
      </c>
      <c r="J1363" s="287" t="s">
        <v>109</v>
      </c>
      <c r="K1363" s="60" t="s">
        <v>110</v>
      </c>
    </row>
    <row r="1364" spans="1:15" ht="15.75" thickBot="1">
      <c r="A1364" s="891" t="s">
        <v>106</v>
      </c>
      <c r="B1364" s="892"/>
      <c r="C1364" s="892"/>
      <c r="D1364" s="893"/>
      <c r="F1364" s="50" t="s">
        <v>288</v>
      </c>
      <c r="H1364" s="71">
        <v>719</v>
      </c>
      <c r="I1364" s="73">
        <f>+O1344+O1346+O1348+O1350+O1352</f>
        <v>990000</v>
      </c>
      <c r="J1364" s="74">
        <f>+K1327</f>
        <v>51110000</v>
      </c>
      <c r="K1364" s="195">
        <f>+I1364+J1364</f>
        <v>52100000</v>
      </c>
    </row>
    <row r="1365" spans="1:15" ht="14.25" customHeight="1" thickBot="1">
      <c r="A1365" s="57" t="s">
        <v>100</v>
      </c>
      <c r="B1365" s="58" t="s">
        <v>108</v>
      </c>
      <c r="C1365" s="59" t="s">
        <v>109</v>
      </c>
      <c r="D1365" s="60" t="s">
        <v>110</v>
      </c>
      <c r="H1365" s="72">
        <v>721</v>
      </c>
      <c r="I1365" s="80">
        <v>0</v>
      </c>
      <c r="J1365" s="74">
        <f>+K1328</f>
        <v>98845981</v>
      </c>
      <c r="K1365" s="195">
        <f>+I1365+J1365</f>
        <v>98845981</v>
      </c>
    </row>
    <row r="1366" spans="1:15" ht="13.5" customHeight="1">
      <c r="A1366" s="71">
        <v>719</v>
      </c>
      <c r="B1366" s="73" t="e">
        <f>+#REF!+#REF!+#REF!+#REF!+#REF!+#REF!+#REF!+#REF!</f>
        <v>#REF!</v>
      </c>
      <c r="C1366" s="74" t="e">
        <f>+D1327</f>
        <v>#REF!</v>
      </c>
      <c r="D1366" s="195" t="e">
        <f>+B1366+C1366</f>
        <v>#REF!</v>
      </c>
      <c r="H1366" s="72">
        <v>722</v>
      </c>
      <c r="I1366" s="80"/>
      <c r="J1366" s="74">
        <f>+K1329</f>
        <v>55831494</v>
      </c>
      <c r="K1366" s="195">
        <f>+I1366+J1366</f>
        <v>55831494</v>
      </c>
    </row>
    <row r="1367" spans="1:15" ht="15.75">
      <c r="A1367" s="72">
        <v>721</v>
      </c>
      <c r="B1367" s="80" t="e">
        <f>(+#REF!+#REF!+#REF!+#REF!+#REF!)</f>
        <v>#REF!</v>
      </c>
      <c r="C1367" s="74" t="e">
        <f>+D1328</f>
        <v>#REF!</v>
      </c>
      <c r="D1367" s="195" t="e">
        <f>+B1367+C1367</f>
        <v>#REF!</v>
      </c>
      <c r="H1367" s="72">
        <v>723</v>
      </c>
      <c r="I1367" s="80"/>
      <c r="J1367" s="74">
        <f>+K1330</f>
        <v>326861500</v>
      </c>
      <c r="K1367" s="195">
        <f>+I1367+J1367</f>
        <v>326861500</v>
      </c>
      <c r="M1367" s="918" t="s">
        <v>1481</v>
      </c>
      <c r="N1367" s="918"/>
      <c r="O1367" s="918"/>
    </row>
    <row r="1368" spans="1:15" ht="16.5" thickBot="1">
      <c r="A1368" s="72">
        <v>722</v>
      </c>
      <c r="B1368" s="80"/>
      <c r="C1368" s="74" t="e">
        <f>+D1329</f>
        <v>#REF!</v>
      </c>
      <c r="D1368" s="195" t="e">
        <f>+B1368+C1368</f>
        <v>#REF!</v>
      </c>
      <c r="H1368" s="164" t="s">
        <v>181</v>
      </c>
      <c r="I1368" s="165"/>
      <c r="J1368" s="74">
        <f>+K1331</f>
        <v>0</v>
      </c>
      <c r="K1368" s="196">
        <f>+I1368+J1368</f>
        <v>0</v>
      </c>
      <c r="M1368" s="52"/>
    </row>
    <row r="1369" spans="1:15" ht="16.5" thickBot="1">
      <c r="A1369" s="72">
        <v>723</v>
      </c>
      <c r="B1369" s="80"/>
      <c r="C1369" s="74" t="e">
        <f>+D1330</f>
        <v>#REF!</v>
      </c>
      <c r="D1369" s="195" t="e">
        <f>+B1369+C1369</f>
        <v>#REF!</v>
      </c>
      <c r="F1369" s="174" t="s">
        <v>23</v>
      </c>
      <c r="G1369" s="175"/>
      <c r="H1369" s="169"/>
      <c r="I1369" s="197">
        <f>SUM(I1364:I1368)</f>
        <v>990000</v>
      </c>
      <c r="J1369" s="197">
        <f>SUM(J1364:J1368)</f>
        <v>532648975</v>
      </c>
      <c r="K1369" s="198">
        <f>SUM(K1364:K1368)</f>
        <v>533638975</v>
      </c>
    </row>
    <row r="1370" spans="1:15" ht="17.25" thickBot="1">
      <c r="A1370" s="164" t="s">
        <v>181</v>
      </c>
      <c r="B1370" s="165"/>
      <c r="C1370" s="74" t="e">
        <f>+D1331</f>
        <v>#REF!</v>
      </c>
      <c r="D1370" s="196" t="e">
        <f>+B1370+C1370</f>
        <v>#REF!</v>
      </c>
      <c r="F1370" s="52"/>
      <c r="H1370" s="49" t="s">
        <v>88</v>
      </c>
      <c r="I1370" s="50"/>
    </row>
    <row r="1371" spans="1:15" ht="16.5" thickBot="1">
      <c r="A1371" s="169"/>
      <c r="B1371" s="170" t="e">
        <f>SUM(B1366:B1370)</f>
        <v>#REF!</v>
      </c>
      <c r="C1371" s="171" t="e">
        <f>SUM(C1366:C1370)</f>
        <v>#REF!</v>
      </c>
      <c r="D1371" s="172" t="e">
        <f>SUM(D1366:D1370)</f>
        <v>#REF!</v>
      </c>
      <c r="H1371" s="51" t="s">
        <v>89</v>
      </c>
    </row>
    <row r="1372" spans="1:15" ht="16.5">
      <c r="A1372" s="49" t="s">
        <v>88</v>
      </c>
      <c r="B1372" s="50"/>
      <c r="H1372" s="51" t="s">
        <v>90</v>
      </c>
    </row>
    <row r="1373" spans="1:15">
      <c r="A1373" s="51" t="s">
        <v>89</v>
      </c>
      <c r="H1373" s="51" t="s">
        <v>91</v>
      </c>
    </row>
    <row r="1374" spans="1:15" ht="11.25" customHeight="1">
      <c r="A1374" s="51" t="s">
        <v>90</v>
      </c>
      <c r="H1374" s="50"/>
      <c r="I1374" s="50"/>
    </row>
    <row r="1375" spans="1:15" ht="16.5">
      <c r="A1375" s="51" t="s">
        <v>91</v>
      </c>
      <c r="H1375" s="260" t="s">
        <v>908</v>
      </c>
      <c r="N1375" s="52"/>
    </row>
    <row r="1376" spans="1:15" ht="12.75" customHeight="1">
      <c r="A1376" s="50"/>
      <c r="B1376" s="50"/>
      <c r="H1376" s="53" t="s">
        <v>1333</v>
      </c>
      <c r="N1376" s="53"/>
    </row>
    <row r="1377" spans="1:15" ht="16.5">
      <c r="A1377" s="52" t="s">
        <v>520</v>
      </c>
      <c r="G1377" s="52"/>
      <c r="H1377" s="894" t="s">
        <v>909</v>
      </c>
      <c r="I1377" s="894"/>
      <c r="J1377" s="894"/>
      <c r="K1377" s="894"/>
      <c r="L1377" s="894"/>
      <c r="M1377" s="894"/>
      <c r="N1377" s="894"/>
      <c r="O1377" s="894"/>
    </row>
    <row r="1378" spans="1:15" ht="16.5" thickBot="1">
      <c r="A1378" s="53" t="s">
        <v>92</v>
      </c>
      <c r="G1378" s="53"/>
    </row>
    <row r="1379" spans="1:15" ht="16.5">
      <c r="A1379" s="894" t="s">
        <v>261</v>
      </c>
      <c r="B1379" s="894"/>
      <c r="C1379" s="894"/>
      <c r="D1379" s="894"/>
      <c r="E1379" s="894"/>
      <c r="F1379" s="894"/>
      <c r="G1379" s="894"/>
      <c r="H1379" s="895" t="s">
        <v>94</v>
      </c>
      <c r="I1379" s="897" t="s">
        <v>95</v>
      </c>
      <c r="J1379" s="897" t="s">
        <v>96</v>
      </c>
      <c r="K1379" s="897" t="s">
        <v>3</v>
      </c>
      <c r="L1379" s="897" t="s">
        <v>97</v>
      </c>
      <c r="M1379" s="897" t="s">
        <v>98</v>
      </c>
      <c r="N1379" s="897" t="s">
        <v>99</v>
      </c>
      <c r="O1379" s="899"/>
    </row>
    <row r="1380" spans="1:15" ht="15.75" thickBot="1">
      <c r="H1380" s="896"/>
      <c r="I1380" s="898"/>
      <c r="J1380" s="898"/>
      <c r="K1380" s="898"/>
      <c r="L1380" s="898"/>
      <c r="M1380" s="898"/>
      <c r="N1380" s="240" t="s">
        <v>100</v>
      </c>
      <c r="O1380" s="182" t="s">
        <v>101</v>
      </c>
    </row>
    <row r="1381" spans="1:15" ht="15" customHeight="1">
      <c r="A1381" s="895" t="s">
        <v>94</v>
      </c>
      <c r="B1381" s="897" t="s">
        <v>95</v>
      </c>
      <c r="C1381" s="897" t="s">
        <v>96</v>
      </c>
      <c r="D1381" s="897" t="s">
        <v>3</v>
      </c>
      <c r="E1381" s="897" t="s">
        <v>97</v>
      </c>
      <c r="F1381" s="897" t="s">
        <v>98</v>
      </c>
      <c r="G1381" s="500" t="s">
        <v>99</v>
      </c>
      <c r="H1381" s="873" t="s">
        <v>1595</v>
      </c>
      <c r="I1381" s="875">
        <v>42723</v>
      </c>
      <c r="J1381" s="877" t="s">
        <v>472</v>
      </c>
      <c r="K1381" s="881" t="s">
        <v>1524</v>
      </c>
      <c r="L1381" s="881" t="s">
        <v>148</v>
      </c>
      <c r="M1381" s="883">
        <v>507000</v>
      </c>
      <c r="N1381" s="55">
        <v>719</v>
      </c>
      <c r="O1381" s="78">
        <v>390000</v>
      </c>
    </row>
    <row r="1382" spans="1:15" ht="15.75" customHeight="1" thickBot="1">
      <c r="A1382" s="896"/>
      <c r="B1382" s="898"/>
      <c r="C1382" s="898"/>
      <c r="D1382" s="898"/>
      <c r="E1382" s="898"/>
      <c r="F1382" s="898"/>
      <c r="G1382" s="240" t="s">
        <v>100</v>
      </c>
      <c r="H1382" s="874"/>
      <c r="I1382" s="876"/>
      <c r="J1382" s="878"/>
      <c r="K1382" s="882"/>
      <c r="L1382" s="882"/>
      <c r="M1382" s="884"/>
      <c r="N1382" s="56">
        <v>721</v>
      </c>
      <c r="O1382" s="79">
        <f>+M1381-O1381</f>
        <v>117000</v>
      </c>
    </row>
    <row r="1383" spans="1:15" ht="15" customHeight="1">
      <c r="A1383" s="919" t="e">
        <f>+A1354+1</f>
        <v>#REF!</v>
      </c>
      <c r="B1383" s="875">
        <v>42369</v>
      </c>
      <c r="C1383" s="877" t="s">
        <v>31</v>
      </c>
      <c r="D1383" s="877" t="s">
        <v>523</v>
      </c>
      <c r="E1383" s="881" t="s">
        <v>115</v>
      </c>
      <c r="F1383" s="883">
        <v>180000</v>
      </c>
      <c r="G1383" s="55">
        <v>719</v>
      </c>
      <c r="H1383" s="881">
        <f>+H1381+1</f>
        <v>174</v>
      </c>
      <c r="I1383" s="875">
        <v>42723</v>
      </c>
      <c r="J1383" s="877" t="s">
        <v>472</v>
      </c>
      <c r="K1383" s="881" t="s">
        <v>913</v>
      </c>
      <c r="L1383" s="881" t="s">
        <v>148</v>
      </c>
      <c r="M1383" s="883">
        <v>312000</v>
      </c>
      <c r="N1383" s="55">
        <v>719</v>
      </c>
      <c r="O1383" s="78">
        <v>240000</v>
      </c>
    </row>
    <row r="1384" spans="1:15" ht="15.75" customHeight="1" thickBot="1">
      <c r="A1384" s="920"/>
      <c r="B1384" s="876"/>
      <c r="C1384" s="878"/>
      <c r="D1384" s="878"/>
      <c r="E1384" s="882"/>
      <c r="F1384" s="884"/>
      <c r="G1384" s="56">
        <v>721</v>
      </c>
      <c r="H1384" s="882"/>
      <c r="I1384" s="876"/>
      <c r="J1384" s="878"/>
      <c r="K1384" s="882"/>
      <c r="L1384" s="882"/>
      <c r="M1384" s="884"/>
      <c r="N1384" s="56">
        <v>721</v>
      </c>
      <c r="O1384" s="79">
        <f>+M1383-O1383</f>
        <v>72000</v>
      </c>
    </row>
    <row r="1385" spans="1:15" ht="15" customHeight="1">
      <c r="A1385" s="919" t="e">
        <f>+A1383+1</f>
        <v>#REF!</v>
      </c>
      <c r="B1385" s="875">
        <v>42369</v>
      </c>
      <c r="C1385" s="877" t="s">
        <v>472</v>
      </c>
      <c r="D1385" s="877" t="s">
        <v>524</v>
      </c>
      <c r="E1385" s="881" t="s">
        <v>115</v>
      </c>
      <c r="F1385" s="883">
        <v>40000</v>
      </c>
      <c r="G1385" s="55">
        <v>719</v>
      </c>
      <c r="H1385" s="881">
        <f>+H1383+1</f>
        <v>175</v>
      </c>
      <c r="I1385" s="875">
        <v>42723</v>
      </c>
      <c r="J1385" s="877" t="s">
        <v>472</v>
      </c>
      <c r="K1385" s="881" t="s">
        <v>914</v>
      </c>
      <c r="L1385" s="881" t="s">
        <v>148</v>
      </c>
      <c r="M1385" s="883">
        <v>338000</v>
      </c>
      <c r="N1385" s="55">
        <v>719</v>
      </c>
      <c r="O1385" s="78">
        <v>260000</v>
      </c>
    </row>
    <row r="1386" spans="1:15" ht="15.75" customHeight="1" thickBot="1">
      <c r="A1386" s="920"/>
      <c r="B1386" s="876"/>
      <c r="C1386" s="878"/>
      <c r="D1386" s="878"/>
      <c r="E1386" s="882"/>
      <c r="F1386" s="884"/>
      <c r="G1386" s="56">
        <v>721</v>
      </c>
      <c r="H1386" s="882"/>
      <c r="I1386" s="876"/>
      <c r="J1386" s="878"/>
      <c r="K1386" s="882"/>
      <c r="L1386" s="882"/>
      <c r="M1386" s="884"/>
      <c r="N1386" s="56">
        <v>721</v>
      </c>
      <c r="O1386" s="79">
        <f>+M1385-O1385</f>
        <v>78000</v>
      </c>
    </row>
    <row r="1387" spans="1:15" ht="11.25" customHeight="1">
      <c r="A1387" s="919" t="e">
        <f>+A1385+1</f>
        <v>#REF!</v>
      </c>
      <c r="B1387" s="875">
        <v>42369</v>
      </c>
      <c r="C1387" s="877" t="s">
        <v>32</v>
      </c>
      <c r="D1387" s="877" t="s">
        <v>521</v>
      </c>
      <c r="E1387" s="881" t="s">
        <v>115</v>
      </c>
      <c r="F1387" s="883">
        <v>40000</v>
      </c>
      <c r="G1387" s="55">
        <v>719</v>
      </c>
      <c r="H1387" s="881"/>
      <c r="I1387" s="875"/>
      <c r="J1387" s="877"/>
      <c r="K1387" s="881"/>
      <c r="L1387" s="881"/>
      <c r="M1387" s="883"/>
      <c r="N1387" s="55">
        <v>719</v>
      </c>
      <c r="O1387" s="78"/>
    </row>
    <row r="1388" spans="1:15" ht="13.5" customHeight="1" thickBot="1">
      <c r="A1388" s="920"/>
      <c r="B1388" s="876"/>
      <c r="C1388" s="878"/>
      <c r="D1388" s="878"/>
      <c r="E1388" s="882"/>
      <c r="F1388" s="884"/>
      <c r="G1388" s="56">
        <v>721</v>
      </c>
      <c r="H1388" s="882"/>
      <c r="I1388" s="876"/>
      <c r="J1388" s="878"/>
      <c r="K1388" s="882"/>
      <c r="L1388" s="882"/>
      <c r="M1388" s="884"/>
      <c r="N1388" s="56">
        <v>721</v>
      </c>
      <c r="O1388" s="79">
        <f>+M1387-O1387</f>
        <v>0</v>
      </c>
    </row>
    <row r="1389" spans="1:15" ht="12.75" customHeight="1">
      <c r="A1389" s="919" t="e">
        <f>+A1387+1</f>
        <v>#REF!</v>
      </c>
      <c r="B1389" s="875">
        <v>42369</v>
      </c>
      <c r="C1389" s="877" t="s">
        <v>120</v>
      </c>
      <c r="D1389" s="877" t="s">
        <v>522</v>
      </c>
      <c r="E1389" s="881" t="s">
        <v>115</v>
      </c>
      <c r="F1389" s="883">
        <v>20000</v>
      </c>
      <c r="G1389" s="55">
        <v>719</v>
      </c>
      <c r="H1389" s="881"/>
      <c r="I1389" s="875"/>
      <c r="J1389" s="877"/>
      <c r="K1389" s="881"/>
      <c r="L1389" s="881"/>
      <c r="M1389" s="883"/>
      <c r="N1389" s="55">
        <v>719</v>
      </c>
      <c r="O1389" s="78"/>
    </row>
    <row r="1390" spans="1:15" ht="12.75" customHeight="1" thickBot="1">
      <c r="A1390" s="920"/>
      <c r="B1390" s="876"/>
      <c r="C1390" s="878"/>
      <c r="D1390" s="878"/>
      <c r="E1390" s="882"/>
      <c r="F1390" s="884"/>
      <c r="G1390" s="56">
        <v>721</v>
      </c>
      <c r="H1390" s="882"/>
      <c r="I1390" s="876"/>
      <c r="J1390" s="878"/>
      <c r="K1390" s="882"/>
      <c r="L1390" s="882"/>
      <c r="M1390" s="884"/>
      <c r="N1390" s="56">
        <v>721</v>
      </c>
      <c r="O1390" s="79">
        <f>+M1389-O1389</f>
        <v>0</v>
      </c>
    </row>
    <row r="1391" spans="1:15" ht="15" customHeight="1" thickBot="1">
      <c r="A1391" s="919"/>
      <c r="B1391" s="875"/>
      <c r="C1391" s="877"/>
      <c r="D1391" s="877"/>
      <c r="E1391" s="881"/>
      <c r="F1391" s="883"/>
      <c r="G1391" s="55">
        <v>719</v>
      </c>
      <c r="H1391" s="901" t="s">
        <v>102</v>
      </c>
      <c r="I1391" s="902"/>
      <c r="J1391" s="902"/>
      <c r="K1391" s="902"/>
      <c r="L1391" s="903"/>
      <c r="M1391" s="81">
        <f>SUM(M1381:M1390)</f>
        <v>1157000</v>
      </c>
    </row>
    <row r="1392" spans="1:15" ht="15.75" customHeight="1" thickBot="1">
      <c r="A1392" s="920"/>
      <c r="B1392" s="876"/>
      <c r="C1392" s="878"/>
      <c r="D1392" s="878"/>
      <c r="E1392" s="882"/>
      <c r="F1392" s="884"/>
      <c r="G1392" s="56">
        <v>721</v>
      </c>
      <c r="H1392" s="885" t="s">
        <v>103</v>
      </c>
      <c r="I1392" s="886"/>
      <c r="J1392" s="886"/>
      <c r="K1392" s="886"/>
      <c r="L1392" s="887"/>
      <c r="M1392" s="69">
        <f>+M1356</f>
        <v>533638975</v>
      </c>
      <c r="N1392" s="241" t="s">
        <v>561</v>
      </c>
      <c r="O1392" s="242">
        <f>753+65+288</f>
        <v>1106</v>
      </c>
    </row>
    <row r="1393" spans="1:15" ht="15" customHeight="1" thickBot="1">
      <c r="A1393" s="901" t="s">
        <v>102</v>
      </c>
      <c r="B1393" s="902"/>
      <c r="C1393" s="902"/>
      <c r="D1393" s="902"/>
      <c r="E1393" s="903"/>
      <c r="F1393" s="81">
        <f>SUM(F1383:F1392)</f>
        <v>280000</v>
      </c>
      <c r="H1393" s="888" t="s">
        <v>104</v>
      </c>
      <c r="I1393" s="889"/>
      <c r="J1393" s="889"/>
      <c r="K1393" s="889"/>
      <c r="L1393" s="890"/>
      <c r="M1393" s="183">
        <f>SUM(M1391:M1392)</f>
        <v>534795975</v>
      </c>
    </row>
    <row r="1394" spans="1:15" ht="15.75" customHeight="1" thickBot="1">
      <c r="A1394" s="885" t="s">
        <v>103</v>
      </c>
      <c r="B1394" s="886"/>
      <c r="C1394" s="886"/>
      <c r="D1394" s="886"/>
      <c r="E1394" s="887"/>
      <c r="F1394" s="69" t="e">
        <f>+F1358</f>
        <v>#REF!</v>
      </c>
      <c r="H1394" s="61"/>
      <c r="I1394" s="61"/>
      <c r="J1394" s="61"/>
      <c r="K1394" s="61"/>
      <c r="L1394" s="61"/>
    </row>
    <row r="1395" spans="1:15" ht="16.5" thickBot="1">
      <c r="A1395" s="888" t="s">
        <v>104</v>
      </c>
      <c r="B1395" s="889"/>
      <c r="C1395" s="889"/>
      <c r="D1395" s="889"/>
      <c r="E1395" s="890"/>
      <c r="F1395" s="183" t="e">
        <f>SUM(F1393:F1394)</f>
        <v>#REF!</v>
      </c>
      <c r="H1395" s="51" t="s">
        <v>1596</v>
      </c>
    </row>
    <row r="1396" spans="1:15" ht="12" customHeight="1">
      <c r="A1396" s="61"/>
      <c r="B1396" s="61"/>
      <c r="C1396" s="61"/>
      <c r="D1396" s="61"/>
      <c r="E1396" s="61"/>
      <c r="M1396" s="139"/>
    </row>
    <row r="1397" spans="1:15">
      <c r="A1397" s="51" t="s">
        <v>525</v>
      </c>
      <c r="H1397" s="50" t="s">
        <v>105</v>
      </c>
      <c r="K1397" s="146"/>
      <c r="M1397" s="139"/>
    </row>
    <row r="1398" spans="1:15" ht="14.25" customHeight="1" thickBot="1">
      <c r="F1398" s="139"/>
    </row>
    <row r="1399" spans="1:15" ht="15.75" thickBot="1">
      <c r="A1399" s="50" t="s">
        <v>105</v>
      </c>
      <c r="D1399" s="146"/>
      <c r="F1399" s="139"/>
      <c r="H1399" s="891" t="s">
        <v>106</v>
      </c>
      <c r="I1399" s="892"/>
      <c r="J1399" s="892"/>
      <c r="K1399" s="893"/>
      <c r="M1399" s="50" t="s">
        <v>288</v>
      </c>
    </row>
    <row r="1400" spans="1:15" ht="11.25" customHeight="1" thickBot="1">
      <c r="H1400" s="57" t="s">
        <v>100</v>
      </c>
      <c r="I1400" s="58" t="s">
        <v>108</v>
      </c>
      <c r="J1400" s="287" t="s">
        <v>109</v>
      </c>
      <c r="K1400" s="60" t="s">
        <v>110</v>
      </c>
    </row>
    <row r="1401" spans="1:15" ht="15.75" thickBot="1">
      <c r="A1401" s="891" t="s">
        <v>106</v>
      </c>
      <c r="B1401" s="892"/>
      <c r="C1401" s="892"/>
      <c r="D1401" s="893"/>
      <c r="F1401" s="50" t="s">
        <v>288</v>
      </c>
      <c r="H1401" s="71">
        <v>719</v>
      </c>
      <c r="I1401" s="73">
        <f>+O1381+O1383+O1385+O1387+O1389</f>
        <v>890000</v>
      </c>
      <c r="J1401" s="74">
        <f>+K1364</f>
        <v>52100000</v>
      </c>
      <c r="K1401" s="195">
        <f>+I1401+J1401</f>
        <v>52990000</v>
      </c>
    </row>
    <row r="1402" spans="1:15" ht="12.75" customHeight="1" thickBot="1">
      <c r="A1402" s="57" t="s">
        <v>100</v>
      </c>
      <c r="B1402" s="58" t="s">
        <v>108</v>
      </c>
      <c r="C1402" s="59" t="s">
        <v>109</v>
      </c>
      <c r="D1402" s="60" t="s">
        <v>110</v>
      </c>
      <c r="H1402" s="72">
        <v>721</v>
      </c>
      <c r="I1402" s="80">
        <f>+O1382+O1384+O1386</f>
        <v>267000</v>
      </c>
      <c r="J1402" s="74">
        <f>+K1365</f>
        <v>98845981</v>
      </c>
      <c r="K1402" s="195">
        <f>+I1402+J1402</f>
        <v>99112981</v>
      </c>
    </row>
    <row r="1403" spans="1:15">
      <c r="A1403" s="71">
        <v>719</v>
      </c>
      <c r="B1403" s="73" t="e">
        <f>+#REF!+#REF!+#REF!+#REF!+#REF!</f>
        <v>#REF!</v>
      </c>
      <c r="C1403" s="74" t="e">
        <f>+D1366</f>
        <v>#REF!</v>
      </c>
      <c r="D1403" s="195" t="e">
        <f>+B1403+C1403</f>
        <v>#REF!</v>
      </c>
      <c r="H1403" s="72">
        <v>722</v>
      </c>
      <c r="I1403" s="80"/>
      <c r="J1403" s="74">
        <f>+K1366</f>
        <v>55831494</v>
      </c>
      <c r="K1403" s="195">
        <f>+I1403+J1403</f>
        <v>55831494</v>
      </c>
    </row>
    <row r="1404" spans="1:15" ht="15.75">
      <c r="A1404" s="72">
        <v>721</v>
      </c>
      <c r="B1404" s="80" t="e">
        <f>(+#REF!+#REF!+#REF!+#REF!+#REF!)</f>
        <v>#REF!</v>
      </c>
      <c r="C1404" s="74" t="e">
        <f>+D1367</f>
        <v>#REF!</v>
      </c>
      <c r="D1404" s="195" t="e">
        <f>+B1404+C1404</f>
        <v>#REF!</v>
      </c>
      <c r="H1404" s="72">
        <v>723</v>
      </c>
      <c r="I1404" s="80"/>
      <c r="J1404" s="74">
        <f>+K1367</f>
        <v>326861500</v>
      </c>
      <c r="K1404" s="195">
        <f>+I1404+J1404</f>
        <v>326861500</v>
      </c>
      <c r="M1404" s="918" t="s">
        <v>1481</v>
      </c>
      <c r="N1404" s="918"/>
      <c r="O1404" s="918"/>
    </row>
    <row r="1405" spans="1:15" ht="16.5" thickBot="1">
      <c r="A1405" s="72">
        <v>722</v>
      </c>
      <c r="B1405" s="80"/>
      <c r="C1405" s="74" t="e">
        <f>+D1368</f>
        <v>#REF!</v>
      </c>
      <c r="D1405" s="195" t="e">
        <f>+B1405+C1405</f>
        <v>#REF!</v>
      </c>
      <c r="H1405" s="164" t="s">
        <v>181</v>
      </c>
      <c r="I1405" s="165"/>
      <c r="J1405" s="74">
        <f>+K1368</f>
        <v>0</v>
      </c>
      <c r="K1405" s="196">
        <f>+I1405+J1405</f>
        <v>0</v>
      </c>
      <c r="M1405" s="52"/>
    </row>
    <row r="1406" spans="1:15" ht="16.5" thickBot="1">
      <c r="A1406" s="72">
        <v>723</v>
      </c>
      <c r="B1406" s="80"/>
      <c r="C1406" s="74" t="e">
        <f>+D1369</f>
        <v>#REF!</v>
      </c>
      <c r="D1406" s="195" t="e">
        <f>+B1406+C1406</f>
        <v>#REF!</v>
      </c>
      <c r="F1406" s="174" t="s">
        <v>23</v>
      </c>
      <c r="G1406" s="175"/>
      <c r="H1406" s="169"/>
      <c r="I1406" s="197">
        <f>SUM(I1401:I1405)</f>
        <v>1157000</v>
      </c>
      <c r="J1406" s="197">
        <f>SUM(J1401:J1405)</f>
        <v>533638975</v>
      </c>
      <c r="K1406" s="198">
        <f>SUM(K1401:K1405)</f>
        <v>534795975</v>
      </c>
    </row>
    <row r="1407" spans="1:15" ht="17.25" thickBot="1">
      <c r="A1407" s="164" t="s">
        <v>181</v>
      </c>
      <c r="B1407" s="165"/>
      <c r="C1407" s="74" t="e">
        <f>+D1370</f>
        <v>#REF!</v>
      </c>
      <c r="D1407" s="196" t="e">
        <f>+B1407+C1407</f>
        <v>#REF!</v>
      </c>
      <c r="F1407" s="52"/>
      <c r="H1407" s="49" t="s">
        <v>88</v>
      </c>
      <c r="I1407" s="50"/>
    </row>
    <row r="1408" spans="1:15" ht="16.5" thickBot="1">
      <c r="A1408" s="169"/>
      <c r="B1408" s="170" t="e">
        <f>SUM(B1403:B1407)</f>
        <v>#REF!</v>
      </c>
      <c r="C1408" s="171" t="e">
        <f>SUM(C1403:C1407)</f>
        <v>#REF!</v>
      </c>
      <c r="D1408" s="172" t="e">
        <f>SUM(D1403:D1407)</f>
        <v>#REF!</v>
      </c>
      <c r="H1408" s="51" t="s">
        <v>89</v>
      </c>
    </row>
    <row r="1409" spans="1:15" ht="16.5">
      <c r="A1409" s="49" t="s">
        <v>88</v>
      </c>
      <c r="B1409" s="50"/>
      <c r="H1409" s="51" t="s">
        <v>90</v>
      </c>
    </row>
    <row r="1410" spans="1:15">
      <c r="A1410" s="51" t="s">
        <v>89</v>
      </c>
      <c r="H1410" s="51" t="s">
        <v>91</v>
      </c>
    </row>
    <row r="1411" spans="1:15">
      <c r="A1411" s="51" t="s">
        <v>90</v>
      </c>
      <c r="H1411" s="50"/>
      <c r="I1411" s="50"/>
    </row>
    <row r="1412" spans="1:15" ht="16.5">
      <c r="A1412" s="51" t="s">
        <v>91</v>
      </c>
      <c r="H1412" s="260" t="s">
        <v>917</v>
      </c>
      <c r="N1412" s="52"/>
    </row>
    <row r="1413" spans="1:15" ht="15" customHeight="1">
      <c r="A1413" s="50"/>
      <c r="B1413" s="50"/>
      <c r="H1413" s="53" t="s">
        <v>1333</v>
      </c>
      <c r="N1413" s="53"/>
    </row>
    <row r="1414" spans="1:15" ht="16.5">
      <c r="A1414" s="52" t="s">
        <v>528</v>
      </c>
      <c r="G1414" s="52"/>
      <c r="H1414" s="894" t="s">
        <v>1600</v>
      </c>
      <c r="I1414" s="894"/>
      <c r="J1414" s="894"/>
      <c r="K1414" s="894"/>
      <c r="L1414" s="894"/>
      <c r="M1414" s="894"/>
      <c r="N1414" s="894"/>
      <c r="O1414" s="894"/>
    </row>
    <row r="1415" spans="1:15" ht="12" customHeight="1" thickBot="1">
      <c r="A1415" s="53" t="s">
        <v>92</v>
      </c>
      <c r="G1415" s="53"/>
    </row>
    <row r="1416" spans="1:15" ht="16.5">
      <c r="A1416" s="894" t="s">
        <v>261</v>
      </c>
      <c r="B1416" s="894"/>
      <c r="C1416" s="894"/>
      <c r="D1416" s="894"/>
      <c r="E1416" s="894"/>
      <c r="F1416" s="894"/>
      <c r="G1416" s="894"/>
      <c r="H1416" s="895" t="s">
        <v>94</v>
      </c>
      <c r="I1416" s="897" t="s">
        <v>95</v>
      </c>
      <c r="J1416" s="897" t="s">
        <v>96</v>
      </c>
      <c r="K1416" s="897" t="s">
        <v>3</v>
      </c>
      <c r="L1416" s="897" t="s">
        <v>97</v>
      </c>
      <c r="M1416" s="897" t="s">
        <v>98</v>
      </c>
      <c r="N1416" s="897" t="s">
        <v>99</v>
      </c>
      <c r="O1416" s="899"/>
    </row>
    <row r="1417" spans="1:15" ht="15.75" thickBot="1">
      <c r="H1417" s="896"/>
      <c r="I1417" s="898"/>
      <c r="J1417" s="898"/>
      <c r="K1417" s="898"/>
      <c r="L1417" s="898"/>
      <c r="M1417" s="898"/>
      <c r="N1417" s="240" t="s">
        <v>100</v>
      </c>
      <c r="O1417" s="182" t="s">
        <v>101</v>
      </c>
    </row>
    <row r="1418" spans="1:15" ht="13.5" customHeight="1">
      <c r="A1418" s="895" t="s">
        <v>94</v>
      </c>
      <c r="B1418" s="897" t="s">
        <v>95</v>
      </c>
      <c r="C1418" s="897" t="s">
        <v>96</v>
      </c>
      <c r="D1418" s="897" t="s">
        <v>3</v>
      </c>
      <c r="E1418" s="897" t="s">
        <v>97</v>
      </c>
      <c r="F1418" s="897" t="s">
        <v>98</v>
      </c>
      <c r="G1418" s="500" t="s">
        <v>99</v>
      </c>
      <c r="H1418" s="873" t="s">
        <v>1526</v>
      </c>
      <c r="I1418" s="875">
        <v>43088</v>
      </c>
      <c r="J1418" s="877" t="s">
        <v>472</v>
      </c>
      <c r="K1418" s="881" t="s">
        <v>1522</v>
      </c>
      <c r="L1418" s="881" t="s">
        <v>148</v>
      </c>
      <c r="M1418" s="883">
        <v>-637000</v>
      </c>
      <c r="N1418" s="55">
        <v>719</v>
      </c>
      <c r="O1418" s="78">
        <v>-490000</v>
      </c>
    </row>
    <row r="1419" spans="1:15" ht="12.75" customHeight="1" thickBot="1">
      <c r="A1419" s="896"/>
      <c r="B1419" s="898"/>
      <c r="C1419" s="898"/>
      <c r="D1419" s="898"/>
      <c r="E1419" s="898"/>
      <c r="F1419" s="898"/>
      <c r="G1419" s="240" t="s">
        <v>100</v>
      </c>
      <c r="H1419" s="874"/>
      <c r="I1419" s="876"/>
      <c r="J1419" s="878"/>
      <c r="K1419" s="882"/>
      <c r="L1419" s="882"/>
      <c r="M1419" s="884"/>
      <c r="N1419" s="56">
        <v>721</v>
      </c>
      <c r="O1419" s="79">
        <f>+M1418-O1418</f>
        <v>-147000</v>
      </c>
    </row>
    <row r="1420" spans="1:15" ht="13.5" customHeight="1">
      <c r="A1420" s="919" t="e">
        <f>+A1389+1</f>
        <v>#REF!</v>
      </c>
      <c r="B1420" s="875">
        <v>42369</v>
      </c>
      <c r="C1420" s="877" t="s">
        <v>267</v>
      </c>
      <c r="D1420" s="877" t="s">
        <v>526</v>
      </c>
      <c r="E1420" s="881" t="s">
        <v>148</v>
      </c>
      <c r="F1420" s="883">
        <v>224000</v>
      </c>
      <c r="G1420" s="55">
        <v>719</v>
      </c>
      <c r="H1420" s="873" t="s">
        <v>1603</v>
      </c>
      <c r="I1420" s="875">
        <v>43088</v>
      </c>
      <c r="J1420" s="877" t="s">
        <v>472</v>
      </c>
      <c r="K1420" s="881" t="s">
        <v>1590</v>
      </c>
      <c r="L1420" s="881" t="s">
        <v>148</v>
      </c>
      <c r="M1420" s="883">
        <v>-572000</v>
      </c>
      <c r="N1420" s="55">
        <v>719</v>
      </c>
      <c r="O1420" s="78">
        <v>-440000</v>
      </c>
    </row>
    <row r="1421" spans="1:15" ht="13.5" customHeight="1" thickBot="1">
      <c r="A1421" s="920"/>
      <c r="B1421" s="876"/>
      <c r="C1421" s="878"/>
      <c r="D1421" s="878"/>
      <c r="E1421" s="882"/>
      <c r="F1421" s="884"/>
      <c r="G1421" s="56">
        <v>721</v>
      </c>
      <c r="H1421" s="874"/>
      <c r="I1421" s="876"/>
      <c r="J1421" s="878"/>
      <c r="K1421" s="882"/>
      <c r="L1421" s="882"/>
      <c r="M1421" s="884"/>
      <c r="N1421" s="56">
        <v>723</v>
      </c>
      <c r="O1421" s="79">
        <f>+M1420-O1420</f>
        <v>-132000</v>
      </c>
    </row>
    <row r="1422" spans="1:15" ht="12.75" customHeight="1">
      <c r="A1422" s="919" t="e">
        <f>+A1420+1</f>
        <v>#REF!</v>
      </c>
      <c r="B1422" s="875">
        <v>42369</v>
      </c>
      <c r="C1422" s="881" t="s">
        <v>28</v>
      </c>
      <c r="D1422" s="877" t="s">
        <v>526</v>
      </c>
      <c r="E1422" s="881" t="s">
        <v>148</v>
      </c>
      <c r="F1422" s="883">
        <v>224000</v>
      </c>
      <c r="G1422" s="55">
        <v>719</v>
      </c>
      <c r="H1422" s="873" t="s">
        <v>1604</v>
      </c>
      <c r="I1422" s="875">
        <v>43088</v>
      </c>
      <c r="J1422" s="877" t="s">
        <v>472</v>
      </c>
      <c r="K1422" s="881" t="s">
        <v>1507</v>
      </c>
      <c r="L1422" s="881" t="s">
        <v>148</v>
      </c>
      <c r="M1422" s="883">
        <v>-481000</v>
      </c>
      <c r="N1422" s="55">
        <v>719</v>
      </c>
      <c r="O1422" s="78">
        <v>-370000</v>
      </c>
    </row>
    <row r="1423" spans="1:15" ht="14.25" customHeight="1" thickBot="1">
      <c r="A1423" s="920"/>
      <c r="B1423" s="876"/>
      <c r="C1423" s="882"/>
      <c r="D1423" s="878"/>
      <c r="E1423" s="882"/>
      <c r="F1423" s="884"/>
      <c r="G1423" s="56">
        <v>721</v>
      </c>
      <c r="H1423" s="874"/>
      <c r="I1423" s="876"/>
      <c r="J1423" s="878"/>
      <c r="K1423" s="882"/>
      <c r="L1423" s="882"/>
      <c r="M1423" s="884"/>
      <c r="N1423" s="56">
        <v>723</v>
      </c>
      <c r="O1423" s="79">
        <f>+M1422-O1422</f>
        <v>-111000</v>
      </c>
    </row>
    <row r="1424" spans="1:15" ht="12.75" customHeight="1">
      <c r="A1424" s="919" t="e">
        <f>+A1422+1</f>
        <v>#REF!</v>
      </c>
      <c r="B1424" s="875">
        <v>42369</v>
      </c>
      <c r="C1424" s="877" t="s">
        <v>32</v>
      </c>
      <c r="D1424" s="877" t="s">
        <v>521</v>
      </c>
      <c r="E1424" s="881" t="s">
        <v>148</v>
      </c>
      <c r="F1424" s="883">
        <v>154000</v>
      </c>
      <c r="G1424" s="55">
        <v>719</v>
      </c>
      <c r="H1424" s="873" t="s">
        <v>1605</v>
      </c>
      <c r="I1424" s="875">
        <v>43088</v>
      </c>
      <c r="J1424" s="877" t="s">
        <v>472</v>
      </c>
      <c r="K1424" s="881" t="s">
        <v>1506</v>
      </c>
      <c r="L1424" s="881" t="s">
        <v>148</v>
      </c>
      <c r="M1424" s="883">
        <v>-403000</v>
      </c>
      <c r="N1424" s="55">
        <v>719</v>
      </c>
      <c r="O1424" s="78">
        <v>-310000</v>
      </c>
    </row>
    <row r="1425" spans="1:15" ht="12.75" customHeight="1" thickBot="1">
      <c r="A1425" s="920"/>
      <c r="B1425" s="876"/>
      <c r="C1425" s="878"/>
      <c r="D1425" s="878"/>
      <c r="E1425" s="882"/>
      <c r="F1425" s="884"/>
      <c r="G1425" s="56">
        <v>721</v>
      </c>
      <c r="H1425" s="874"/>
      <c r="I1425" s="876"/>
      <c r="J1425" s="878"/>
      <c r="K1425" s="882"/>
      <c r="L1425" s="882"/>
      <c r="M1425" s="884"/>
      <c r="N1425" s="56">
        <v>722</v>
      </c>
      <c r="O1425" s="79">
        <f>+M1424-O1424</f>
        <v>-93000</v>
      </c>
    </row>
    <row r="1426" spans="1:15" ht="12.75" customHeight="1">
      <c r="A1426" s="919" t="e">
        <f>+A1424+1</f>
        <v>#REF!</v>
      </c>
      <c r="B1426" s="875">
        <v>42369</v>
      </c>
      <c r="C1426" s="877" t="s">
        <v>272</v>
      </c>
      <c r="D1426" s="877" t="s">
        <v>526</v>
      </c>
      <c r="E1426" s="881" t="s">
        <v>148</v>
      </c>
      <c r="F1426" s="883">
        <v>644000</v>
      </c>
      <c r="G1426" s="55">
        <v>719</v>
      </c>
      <c r="H1426" s="873" t="s">
        <v>1509</v>
      </c>
      <c r="I1426" s="875">
        <v>43088</v>
      </c>
      <c r="J1426" s="877" t="s">
        <v>472</v>
      </c>
      <c r="K1426" s="881" t="s">
        <v>1510</v>
      </c>
      <c r="L1426" s="881" t="s">
        <v>148</v>
      </c>
      <c r="M1426" s="883">
        <v>-429000</v>
      </c>
      <c r="N1426" s="55">
        <v>719</v>
      </c>
      <c r="O1426" s="78">
        <v>-330000</v>
      </c>
    </row>
    <row r="1427" spans="1:15" ht="14.25" customHeight="1" thickBot="1">
      <c r="A1427" s="920"/>
      <c r="B1427" s="876"/>
      <c r="C1427" s="878"/>
      <c r="D1427" s="878"/>
      <c r="E1427" s="882"/>
      <c r="F1427" s="884"/>
      <c r="G1427" s="56">
        <v>721</v>
      </c>
      <c r="H1427" s="874"/>
      <c r="I1427" s="876"/>
      <c r="J1427" s="878"/>
      <c r="K1427" s="882"/>
      <c r="L1427" s="882"/>
      <c r="M1427" s="884"/>
      <c r="N1427" s="56">
        <v>721</v>
      </c>
      <c r="O1427" s="79">
        <f>+M1426-O1426</f>
        <v>-99000</v>
      </c>
    </row>
    <row r="1428" spans="1:15" ht="15" customHeight="1" thickBot="1">
      <c r="A1428" s="919"/>
      <c r="B1428" s="875"/>
      <c r="C1428" s="877"/>
      <c r="D1428" s="877"/>
      <c r="E1428" s="881"/>
      <c r="F1428" s="883"/>
      <c r="G1428" s="55">
        <v>719</v>
      </c>
      <c r="H1428" s="901" t="s">
        <v>102</v>
      </c>
      <c r="I1428" s="902"/>
      <c r="J1428" s="902"/>
      <c r="K1428" s="902"/>
      <c r="L1428" s="903"/>
      <c r="M1428" s="81">
        <f>SUM(M1418:M1427)</f>
        <v>-2522000</v>
      </c>
    </row>
    <row r="1429" spans="1:15" ht="15.75" customHeight="1" thickBot="1">
      <c r="A1429" s="920"/>
      <c r="B1429" s="876"/>
      <c r="C1429" s="878"/>
      <c r="D1429" s="878"/>
      <c r="E1429" s="882"/>
      <c r="F1429" s="884"/>
      <c r="G1429" s="56">
        <v>721</v>
      </c>
      <c r="H1429" s="885" t="s">
        <v>103</v>
      </c>
      <c r="I1429" s="886"/>
      <c r="J1429" s="886"/>
      <c r="K1429" s="886"/>
      <c r="L1429" s="887"/>
      <c r="M1429" s="69">
        <f>+M1393</f>
        <v>534795975</v>
      </c>
      <c r="N1429" s="241" t="s">
        <v>561</v>
      </c>
      <c r="O1429" s="242">
        <v>124</v>
      </c>
    </row>
    <row r="1430" spans="1:15" ht="16.5" thickBot="1">
      <c r="A1430" s="901" t="s">
        <v>102</v>
      </c>
      <c r="B1430" s="902"/>
      <c r="C1430" s="902"/>
      <c r="D1430" s="902"/>
      <c r="E1430" s="903"/>
      <c r="F1430" s="81">
        <f>SUM(F1420:F1429)</f>
        <v>1246000</v>
      </c>
      <c r="H1430" s="888" t="s">
        <v>104</v>
      </c>
      <c r="I1430" s="889"/>
      <c r="J1430" s="889"/>
      <c r="K1430" s="889"/>
      <c r="L1430" s="890"/>
      <c r="M1430" s="183">
        <f>SUM(M1428:M1429)</f>
        <v>532273975</v>
      </c>
    </row>
    <row r="1431" spans="1:15" ht="12.75" customHeight="1" thickBot="1">
      <c r="A1431" s="885" t="s">
        <v>103</v>
      </c>
      <c r="B1431" s="886"/>
      <c r="C1431" s="886"/>
      <c r="D1431" s="886"/>
      <c r="E1431" s="887"/>
      <c r="F1431" s="69" t="e">
        <f>+F1395</f>
        <v>#REF!</v>
      </c>
      <c r="H1431" s="61"/>
      <c r="I1431" s="61"/>
      <c r="J1431" s="61"/>
      <c r="K1431" s="61"/>
      <c r="L1431" s="61"/>
    </row>
    <row r="1432" spans="1:15" ht="16.5" thickBot="1">
      <c r="A1432" s="888" t="s">
        <v>104</v>
      </c>
      <c r="B1432" s="889"/>
      <c r="C1432" s="889"/>
      <c r="D1432" s="889"/>
      <c r="E1432" s="890"/>
      <c r="F1432" s="183" t="e">
        <f>SUM(F1430:F1431)</f>
        <v>#REF!</v>
      </c>
      <c r="H1432" s="51" t="s">
        <v>1601</v>
      </c>
    </row>
    <row r="1433" spans="1:15" ht="9.75" customHeight="1">
      <c r="A1433" s="61"/>
      <c r="B1433" s="61"/>
      <c r="C1433" s="61"/>
      <c r="D1433" s="61"/>
      <c r="E1433" s="61"/>
      <c r="M1433" s="139"/>
    </row>
    <row r="1434" spans="1:15">
      <c r="A1434" s="51" t="s">
        <v>527</v>
      </c>
      <c r="H1434" s="50" t="s">
        <v>105</v>
      </c>
      <c r="K1434" s="146"/>
      <c r="M1434" s="139"/>
    </row>
    <row r="1435" spans="1:15" ht="12.75" customHeight="1" thickBot="1">
      <c r="F1435" s="139"/>
    </row>
    <row r="1436" spans="1:15" ht="15.75" thickBot="1">
      <c r="A1436" s="50" t="s">
        <v>105</v>
      </c>
      <c r="D1436" s="146"/>
      <c r="F1436" s="139"/>
      <c r="H1436" s="891" t="s">
        <v>106</v>
      </c>
      <c r="I1436" s="892"/>
      <c r="J1436" s="892"/>
      <c r="K1436" s="893"/>
      <c r="M1436" s="50" t="s">
        <v>288</v>
      </c>
    </row>
    <row r="1437" spans="1:15" ht="30.75" thickBot="1">
      <c r="H1437" s="57" t="s">
        <v>100</v>
      </c>
      <c r="I1437" s="58" t="s">
        <v>108</v>
      </c>
      <c r="J1437" s="287" t="s">
        <v>109</v>
      </c>
      <c r="K1437" s="60" t="s">
        <v>110</v>
      </c>
    </row>
    <row r="1438" spans="1:15" ht="15.75" thickBot="1">
      <c r="A1438" s="891" t="s">
        <v>106</v>
      </c>
      <c r="B1438" s="892"/>
      <c r="C1438" s="892"/>
      <c r="D1438" s="893"/>
      <c r="F1438" s="50" t="s">
        <v>288</v>
      </c>
      <c r="H1438" s="71">
        <v>719</v>
      </c>
      <c r="I1438" s="73">
        <f>+O1418+O1420+O1422+O1424+O1426</f>
        <v>-1940000</v>
      </c>
      <c r="J1438" s="74">
        <f>+K1401</f>
        <v>52990000</v>
      </c>
      <c r="K1438" s="195">
        <f>+I1438+J1438</f>
        <v>51050000</v>
      </c>
    </row>
    <row r="1439" spans="1:15" ht="17.25" customHeight="1" thickBot="1">
      <c r="A1439" s="57" t="s">
        <v>100</v>
      </c>
      <c r="B1439" s="58" t="s">
        <v>108</v>
      </c>
      <c r="C1439" s="59" t="s">
        <v>109</v>
      </c>
      <c r="D1439" s="60" t="s">
        <v>110</v>
      </c>
      <c r="H1439" s="72">
        <v>721</v>
      </c>
      <c r="I1439" s="80">
        <v>0</v>
      </c>
      <c r="J1439" s="74">
        <f>+K1402</f>
        <v>99112981</v>
      </c>
      <c r="K1439" s="195">
        <f>+I1439+J1439</f>
        <v>99112981</v>
      </c>
    </row>
    <row r="1440" spans="1:15" ht="11.25" customHeight="1">
      <c r="A1440" s="71">
        <v>719</v>
      </c>
      <c r="B1440" s="73" t="e">
        <f>+#REF!+#REF!+#REF!+#REF!</f>
        <v>#REF!</v>
      </c>
      <c r="C1440" s="74" t="e">
        <f>+D1403</f>
        <v>#REF!</v>
      </c>
      <c r="D1440" s="195" t="e">
        <f>+B1440+C1440</f>
        <v>#REF!</v>
      </c>
      <c r="H1440" s="72">
        <v>722</v>
      </c>
      <c r="I1440" s="80"/>
      <c r="J1440" s="74">
        <f>+K1403</f>
        <v>55831494</v>
      </c>
      <c r="K1440" s="195">
        <f>+I1440+J1440</f>
        <v>55831494</v>
      </c>
    </row>
    <row r="1441" spans="1:15" ht="15.75">
      <c r="A1441" s="72">
        <v>721</v>
      </c>
      <c r="B1441" s="80" t="e">
        <f>+#REF!+#REF!+#REF!+#REF!</f>
        <v>#REF!</v>
      </c>
      <c r="C1441" s="74" t="e">
        <f>+D1404</f>
        <v>#REF!</v>
      </c>
      <c r="D1441" s="195" t="e">
        <f>+B1441+C1441</f>
        <v>#REF!</v>
      </c>
      <c r="H1441" s="72">
        <v>723</v>
      </c>
      <c r="I1441" s="80">
        <f>+O1421+O1423+O1425+O1427+O1419</f>
        <v>-582000</v>
      </c>
      <c r="J1441" s="74">
        <f>+K1404</f>
        <v>326861500</v>
      </c>
      <c r="K1441" s="195">
        <f>+I1441+J1441</f>
        <v>326279500</v>
      </c>
      <c r="M1441" s="918" t="s">
        <v>1481</v>
      </c>
      <c r="N1441" s="918"/>
      <c r="O1441" s="918"/>
    </row>
    <row r="1442" spans="1:15" ht="12" customHeight="1" thickBot="1">
      <c r="A1442" s="72">
        <v>722</v>
      </c>
      <c r="B1442" s="80"/>
      <c r="C1442" s="74" t="e">
        <f>+D1405</f>
        <v>#REF!</v>
      </c>
      <c r="D1442" s="195" t="e">
        <f>+B1442+C1442</f>
        <v>#REF!</v>
      </c>
      <c r="H1442" s="164" t="s">
        <v>181</v>
      </c>
      <c r="I1442" s="165"/>
      <c r="J1442" s="74">
        <f>+K1405</f>
        <v>0</v>
      </c>
      <c r="K1442" s="196">
        <f>+I1442+J1442</f>
        <v>0</v>
      </c>
      <c r="M1442" s="52"/>
    </row>
    <row r="1443" spans="1:15" ht="14.25" customHeight="1" thickBot="1">
      <c r="A1443" s="72">
        <v>723</v>
      </c>
      <c r="B1443" s="80"/>
      <c r="C1443" s="74" t="e">
        <f>+D1406</f>
        <v>#REF!</v>
      </c>
      <c r="D1443" s="195" t="e">
        <f>+B1443+C1443</f>
        <v>#REF!</v>
      </c>
      <c r="F1443" s="174" t="s">
        <v>23</v>
      </c>
      <c r="G1443" s="175"/>
      <c r="H1443" s="169"/>
      <c r="I1443" s="197">
        <f>SUM(I1438:I1442)</f>
        <v>-2522000</v>
      </c>
      <c r="J1443" s="197">
        <f>SUM(J1438:J1442)</f>
        <v>534795975</v>
      </c>
      <c r="K1443" s="198">
        <f>SUM(K1438:K1442)</f>
        <v>532273975</v>
      </c>
    </row>
    <row r="1444" spans="1:15" ht="15.75" customHeight="1" thickBot="1">
      <c r="A1444" s="169"/>
      <c r="B1444" s="170" t="e">
        <f>SUM(#REF!)</f>
        <v>#REF!</v>
      </c>
      <c r="C1444" s="171" t="e">
        <f>SUM(#REF!)</f>
        <v>#REF!</v>
      </c>
      <c r="D1444" s="172" t="e">
        <f>SUM(#REF!)</f>
        <v>#REF!</v>
      </c>
      <c r="H1444" s="49" t="s">
        <v>88</v>
      </c>
      <c r="I1444" s="50"/>
    </row>
    <row r="1445" spans="1:15" ht="13.5" customHeight="1">
      <c r="A1445" s="49" t="s">
        <v>88</v>
      </c>
      <c r="B1445" s="50"/>
      <c r="H1445" s="51" t="s">
        <v>89</v>
      </c>
    </row>
    <row r="1446" spans="1:15" ht="14.25" customHeight="1">
      <c r="A1446" s="51" t="s">
        <v>89</v>
      </c>
      <c r="H1446" s="51" t="s">
        <v>90</v>
      </c>
    </row>
    <row r="1447" spans="1:15" ht="12" customHeight="1">
      <c r="A1447" s="51" t="s">
        <v>90</v>
      </c>
      <c r="H1447" s="51" t="s">
        <v>91</v>
      </c>
    </row>
    <row r="1448" spans="1:15" ht="8.25" customHeight="1">
      <c r="A1448" s="51" t="s">
        <v>91</v>
      </c>
      <c r="H1448" s="50"/>
      <c r="I1448" s="50"/>
    </row>
    <row r="1449" spans="1:15" ht="12" customHeight="1">
      <c r="A1449" s="50"/>
      <c r="B1449" s="50"/>
      <c r="H1449" s="260" t="s">
        <v>927</v>
      </c>
      <c r="N1449" s="52"/>
    </row>
    <row r="1450" spans="1:15" ht="16.5">
      <c r="A1450" s="52" t="s">
        <v>544</v>
      </c>
      <c r="G1450" s="52"/>
      <c r="H1450" s="53" t="s">
        <v>535</v>
      </c>
      <c r="N1450" s="53"/>
    </row>
    <row r="1451" spans="1:15" ht="16.5">
      <c r="A1451" s="53" t="s">
        <v>92</v>
      </c>
      <c r="G1451" s="53"/>
      <c r="H1451" s="894" t="s">
        <v>1600</v>
      </c>
      <c r="I1451" s="894"/>
      <c r="J1451" s="894"/>
      <c r="K1451" s="894"/>
      <c r="L1451" s="894"/>
      <c r="M1451" s="894"/>
      <c r="N1451" s="894"/>
      <c r="O1451" s="894"/>
    </row>
    <row r="1452" spans="1:15" ht="7.5" customHeight="1" thickBot="1">
      <c r="A1452" s="894" t="s">
        <v>261</v>
      </c>
      <c r="B1452" s="894"/>
      <c r="C1452" s="894"/>
      <c r="D1452" s="894"/>
      <c r="E1452" s="894"/>
      <c r="F1452" s="894"/>
      <c r="G1452" s="894"/>
    </row>
    <row r="1453" spans="1:15" ht="15.75" thickBot="1">
      <c r="H1453" s="895" t="s">
        <v>94</v>
      </c>
      <c r="I1453" s="897" t="s">
        <v>95</v>
      </c>
      <c r="J1453" s="897" t="s">
        <v>96</v>
      </c>
      <c r="K1453" s="897" t="s">
        <v>3</v>
      </c>
      <c r="L1453" s="897" t="s">
        <v>97</v>
      </c>
      <c r="M1453" s="897" t="s">
        <v>98</v>
      </c>
      <c r="N1453" s="897" t="s">
        <v>99</v>
      </c>
      <c r="O1453" s="899"/>
    </row>
    <row r="1454" spans="1:15" ht="15.75" thickBot="1">
      <c r="A1454" s="895" t="s">
        <v>94</v>
      </c>
      <c r="B1454" s="897" t="s">
        <v>95</v>
      </c>
      <c r="C1454" s="897" t="s">
        <v>96</v>
      </c>
      <c r="D1454" s="897" t="s">
        <v>3</v>
      </c>
      <c r="E1454" s="897" t="s">
        <v>97</v>
      </c>
      <c r="F1454" s="897" t="s">
        <v>98</v>
      </c>
      <c r="G1454" s="500" t="s">
        <v>99</v>
      </c>
      <c r="H1454" s="896"/>
      <c r="I1454" s="898"/>
      <c r="J1454" s="898"/>
      <c r="K1454" s="898"/>
      <c r="L1454" s="898"/>
      <c r="M1454" s="898"/>
      <c r="N1454" s="240" t="s">
        <v>100</v>
      </c>
      <c r="O1454" s="182" t="s">
        <v>101</v>
      </c>
    </row>
    <row r="1455" spans="1:15" ht="14.25" customHeight="1" thickBot="1">
      <c r="A1455" s="896"/>
      <c r="B1455" s="898"/>
      <c r="C1455" s="898"/>
      <c r="D1455" s="898"/>
      <c r="E1455" s="898"/>
      <c r="F1455" s="898"/>
      <c r="G1455" s="240" t="s">
        <v>100</v>
      </c>
      <c r="H1455" s="873" t="s">
        <v>1519</v>
      </c>
      <c r="I1455" s="875">
        <v>42723</v>
      </c>
      <c r="J1455" s="877" t="s">
        <v>28</v>
      </c>
      <c r="K1455" s="881" t="s">
        <v>1592</v>
      </c>
      <c r="L1455" s="881" t="s">
        <v>775</v>
      </c>
      <c r="M1455" s="883">
        <v>-170000</v>
      </c>
      <c r="N1455" s="55">
        <v>719</v>
      </c>
      <c r="O1455" s="78">
        <v>-170000</v>
      </c>
    </row>
    <row r="1456" spans="1:15" ht="12" customHeight="1" thickBot="1">
      <c r="A1456" s="919" t="e">
        <f>+#REF!+1</f>
        <v>#REF!</v>
      </c>
      <c r="B1456" s="875">
        <v>42369</v>
      </c>
      <c r="C1456" s="877" t="s">
        <v>267</v>
      </c>
      <c r="D1456" s="881" t="s">
        <v>530</v>
      </c>
      <c r="E1456" s="881" t="s">
        <v>148</v>
      </c>
      <c r="F1456" s="883">
        <v>70000</v>
      </c>
      <c r="G1456" s="55">
        <v>719</v>
      </c>
      <c r="H1456" s="874"/>
      <c r="I1456" s="876"/>
      <c r="J1456" s="878"/>
      <c r="K1456" s="882"/>
      <c r="L1456" s="882"/>
      <c r="M1456" s="884"/>
      <c r="N1456" s="56">
        <v>721</v>
      </c>
      <c r="O1456" s="79">
        <f>+M1455-O1455</f>
        <v>0</v>
      </c>
    </row>
    <row r="1457" spans="1:15" ht="14.25" customHeight="1" thickBot="1">
      <c r="A1457" s="920"/>
      <c r="B1457" s="876"/>
      <c r="C1457" s="878"/>
      <c r="D1457" s="882"/>
      <c r="E1457" s="882"/>
      <c r="F1457" s="884"/>
      <c r="G1457" s="56">
        <v>721</v>
      </c>
      <c r="H1457" s="873" t="s">
        <v>1606</v>
      </c>
      <c r="I1457" s="875">
        <v>42723</v>
      </c>
      <c r="J1457" s="877" t="s">
        <v>28</v>
      </c>
      <c r="K1457" s="881" t="s">
        <v>1516</v>
      </c>
      <c r="L1457" s="881" t="s">
        <v>775</v>
      </c>
      <c r="M1457" s="883">
        <v>-70000</v>
      </c>
      <c r="N1457" s="55">
        <v>719</v>
      </c>
      <c r="O1457" s="78">
        <v>-70000</v>
      </c>
    </row>
    <row r="1458" spans="1:15" ht="12.75" customHeight="1" thickBot="1">
      <c r="A1458" s="919" t="e">
        <f>+A1456+1</f>
        <v>#REF!</v>
      </c>
      <c r="B1458" s="875">
        <v>42369</v>
      </c>
      <c r="C1458" s="881" t="s">
        <v>28</v>
      </c>
      <c r="D1458" s="881" t="s">
        <v>530</v>
      </c>
      <c r="E1458" s="881" t="s">
        <v>148</v>
      </c>
      <c r="F1458" s="883">
        <v>70000</v>
      </c>
      <c r="G1458" s="55">
        <v>719</v>
      </c>
      <c r="H1458" s="874"/>
      <c r="I1458" s="876"/>
      <c r="J1458" s="878"/>
      <c r="K1458" s="882"/>
      <c r="L1458" s="882"/>
      <c r="M1458" s="884"/>
      <c r="N1458" s="56">
        <v>721</v>
      </c>
      <c r="O1458" s="79">
        <f>+M1457-O1457</f>
        <v>0</v>
      </c>
    </row>
    <row r="1459" spans="1:15" ht="14.25" customHeight="1" thickBot="1">
      <c r="A1459" s="920"/>
      <c r="B1459" s="876"/>
      <c r="C1459" s="882"/>
      <c r="D1459" s="882"/>
      <c r="E1459" s="882"/>
      <c r="F1459" s="884"/>
      <c r="G1459" s="56">
        <v>721</v>
      </c>
      <c r="H1459" s="873" t="s">
        <v>1607</v>
      </c>
      <c r="I1459" s="875">
        <v>42723</v>
      </c>
      <c r="J1459" s="877" t="s">
        <v>28</v>
      </c>
      <c r="K1459" s="881" t="s">
        <v>1517</v>
      </c>
      <c r="L1459" s="881" t="s">
        <v>775</v>
      </c>
      <c r="M1459" s="883">
        <v>-160000</v>
      </c>
      <c r="N1459" s="55">
        <v>719</v>
      </c>
      <c r="O1459" s="78">
        <v>-160000</v>
      </c>
    </row>
    <row r="1460" spans="1:15" ht="11.25" customHeight="1" thickBot="1">
      <c r="A1460" s="919" t="e">
        <f>+A1458+1</f>
        <v>#REF!</v>
      </c>
      <c r="B1460" s="875">
        <v>42369</v>
      </c>
      <c r="C1460" s="877" t="s">
        <v>32</v>
      </c>
      <c r="D1460" s="881" t="s">
        <v>530</v>
      </c>
      <c r="E1460" s="881" t="s">
        <v>148</v>
      </c>
      <c r="F1460" s="883">
        <v>84000</v>
      </c>
      <c r="G1460" s="55">
        <v>719</v>
      </c>
      <c r="H1460" s="874"/>
      <c r="I1460" s="876"/>
      <c r="J1460" s="878"/>
      <c r="K1460" s="882"/>
      <c r="L1460" s="882"/>
      <c r="M1460" s="884"/>
      <c r="N1460" s="56">
        <v>721</v>
      </c>
      <c r="O1460" s="79"/>
    </row>
    <row r="1461" spans="1:15" ht="13.5" customHeight="1">
      <c r="A1461" s="921"/>
      <c r="B1461" s="922"/>
      <c r="C1461" s="900"/>
      <c r="D1461" s="923"/>
      <c r="E1461" s="923"/>
      <c r="F1461" s="924"/>
      <c r="G1461" s="255"/>
      <c r="H1461" s="873" t="s">
        <v>1608</v>
      </c>
      <c r="I1461" s="875">
        <v>42723</v>
      </c>
      <c r="J1461" s="877" t="s">
        <v>28</v>
      </c>
      <c r="K1461" s="881" t="s">
        <v>1524</v>
      </c>
      <c r="L1461" s="881" t="s">
        <v>148</v>
      </c>
      <c r="M1461" s="883">
        <v>-1001000</v>
      </c>
      <c r="N1461" s="55">
        <v>719</v>
      </c>
      <c r="O1461" s="78">
        <v>-770000</v>
      </c>
    </row>
    <row r="1462" spans="1:15" ht="13.5" customHeight="1" thickBot="1">
      <c r="A1462" s="921"/>
      <c r="B1462" s="922"/>
      <c r="C1462" s="900"/>
      <c r="D1462" s="923"/>
      <c r="E1462" s="923"/>
      <c r="F1462" s="924"/>
      <c r="G1462" s="255"/>
      <c r="H1462" s="874"/>
      <c r="I1462" s="876"/>
      <c r="J1462" s="878"/>
      <c r="K1462" s="882"/>
      <c r="L1462" s="882"/>
      <c r="M1462" s="884"/>
      <c r="N1462" s="56">
        <v>721</v>
      </c>
      <c r="O1462" s="79">
        <v>-231000</v>
      </c>
    </row>
    <row r="1463" spans="1:15" ht="14.25" customHeight="1" thickBot="1">
      <c r="A1463" s="920"/>
      <c r="B1463" s="876"/>
      <c r="C1463" s="878"/>
      <c r="D1463" s="882"/>
      <c r="E1463" s="882"/>
      <c r="F1463" s="884"/>
      <c r="G1463" s="56">
        <v>721</v>
      </c>
      <c r="H1463" s="873" t="s">
        <v>1609</v>
      </c>
      <c r="I1463" s="875">
        <v>42723</v>
      </c>
      <c r="J1463" s="877" t="s">
        <v>28</v>
      </c>
      <c r="K1463" s="881" t="s">
        <v>1527</v>
      </c>
      <c r="L1463" s="881" t="s">
        <v>148</v>
      </c>
      <c r="M1463" s="883">
        <v>-559000</v>
      </c>
      <c r="N1463" s="55">
        <v>719</v>
      </c>
      <c r="O1463" s="78">
        <v>-430000</v>
      </c>
    </row>
    <row r="1464" spans="1:15" ht="15" customHeight="1" thickBot="1">
      <c r="A1464" s="919" t="e">
        <f>+A1460+1</f>
        <v>#REF!</v>
      </c>
      <c r="B1464" s="875">
        <v>42369</v>
      </c>
      <c r="C1464" s="877" t="s">
        <v>272</v>
      </c>
      <c r="D1464" s="881" t="s">
        <v>530</v>
      </c>
      <c r="E1464" s="881" t="s">
        <v>148</v>
      </c>
      <c r="F1464" s="883">
        <v>294000</v>
      </c>
      <c r="G1464" s="55">
        <v>719</v>
      </c>
      <c r="H1464" s="874"/>
      <c r="I1464" s="876"/>
      <c r="J1464" s="878"/>
      <c r="K1464" s="882"/>
      <c r="L1464" s="882"/>
      <c r="M1464" s="884"/>
      <c r="N1464" s="56">
        <v>721</v>
      </c>
      <c r="O1464" s="79">
        <f>+M1463-O1463</f>
        <v>-129000</v>
      </c>
    </row>
    <row r="1465" spans="1:15" ht="13.5" customHeight="1" thickBot="1">
      <c r="A1465" s="920"/>
      <c r="B1465" s="876"/>
      <c r="C1465" s="878"/>
      <c r="D1465" s="882"/>
      <c r="E1465" s="882"/>
      <c r="F1465" s="884"/>
      <c r="G1465" s="56">
        <v>721</v>
      </c>
      <c r="H1465" s="873" t="s">
        <v>1610</v>
      </c>
      <c r="I1465" s="875">
        <v>42723</v>
      </c>
      <c r="J1465" s="877" t="s">
        <v>28</v>
      </c>
      <c r="K1465" s="881" t="s">
        <v>1529</v>
      </c>
      <c r="L1465" s="881" t="s">
        <v>148</v>
      </c>
      <c r="M1465" s="883">
        <v>-624000</v>
      </c>
      <c r="N1465" s="55">
        <v>719</v>
      </c>
      <c r="O1465" s="78">
        <v>-480000</v>
      </c>
    </row>
    <row r="1466" spans="1:15" ht="14.25" customHeight="1" thickBot="1">
      <c r="A1466" s="919"/>
      <c r="B1466" s="875"/>
      <c r="C1466" s="877"/>
      <c r="D1466" s="877"/>
      <c r="E1466" s="881"/>
      <c r="F1466" s="883"/>
      <c r="G1466" s="55">
        <v>719</v>
      </c>
      <c r="H1466" s="874"/>
      <c r="I1466" s="876"/>
      <c r="J1466" s="878"/>
      <c r="K1466" s="882"/>
      <c r="L1466" s="882"/>
      <c r="M1466" s="884"/>
      <c r="N1466" s="56">
        <v>721</v>
      </c>
      <c r="O1466" s="79">
        <f>+M1465-O1465</f>
        <v>-144000</v>
      </c>
    </row>
    <row r="1467" spans="1:15" ht="16.5" thickBot="1">
      <c r="A1467" s="920"/>
      <c r="B1467" s="876"/>
      <c r="C1467" s="878"/>
      <c r="D1467" s="878"/>
      <c r="E1467" s="882"/>
      <c r="F1467" s="884"/>
      <c r="G1467" s="56">
        <v>721</v>
      </c>
      <c r="H1467" s="901" t="s">
        <v>102</v>
      </c>
      <c r="I1467" s="902"/>
      <c r="J1467" s="902"/>
      <c r="K1467" s="902"/>
      <c r="L1467" s="903"/>
      <c r="M1467" s="81">
        <f>SUM(M1455:M1466)</f>
        <v>-2584000</v>
      </c>
    </row>
    <row r="1468" spans="1:15" ht="16.5" thickBot="1">
      <c r="A1468" s="901" t="s">
        <v>102</v>
      </c>
      <c r="B1468" s="902"/>
      <c r="C1468" s="902"/>
      <c r="D1468" s="902"/>
      <c r="E1468" s="903"/>
      <c r="F1468" s="81">
        <f>SUM(F1456:F1467)</f>
        <v>518000</v>
      </c>
      <c r="H1468" s="885" t="s">
        <v>103</v>
      </c>
      <c r="I1468" s="886"/>
      <c r="J1468" s="886"/>
      <c r="K1468" s="886"/>
      <c r="L1468" s="887"/>
      <c r="M1468" s="69">
        <f>+M1430</f>
        <v>532273975</v>
      </c>
      <c r="N1468" s="241" t="s">
        <v>561</v>
      </c>
      <c r="O1468" s="242"/>
    </row>
    <row r="1469" spans="1:15" ht="16.5" thickBot="1">
      <c r="A1469" s="885" t="s">
        <v>103</v>
      </c>
      <c r="B1469" s="886"/>
      <c r="C1469" s="886"/>
      <c r="D1469" s="886"/>
      <c r="E1469" s="887"/>
      <c r="F1469" s="69" t="e">
        <f>+#REF!</f>
        <v>#REF!</v>
      </c>
      <c r="H1469" s="888" t="s">
        <v>104</v>
      </c>
      <c r="I1469" s="889"/>
      <c r="J1469" s="889"/>
      <c r="K1469" s="889"/>
      <c r="L1469" s="890"/>
      <c r="M1469" s="183">
        <f>SUM(M1467:M1468)</f>
        <v>529689975</v>
      </c>
    </row>
    <row r="1470" spans="1:15" ht="14.25" customHeight="1" thickBot="1">
      <c r="A1470" s="888" t="s">
        <v>104</v>
      </c>
      <c r="B1470" s="889"/>
      <c r="C1470" s="889"/>
      <c r="D1470" s="889"/>
      <c r="E1470" s="890"/>
      <c r="F1470" s="183" t="e">
        <f>SUM(F1468:F1469)</f>
        <v>#REF!</v>
      </c>
      <c r="H1470" s="61"/>
      <c r="I1470" s="61"/>
      <c r="J1470" s="61"/>
      <c r="K1470" s="61"/>
      <c r="L1470" s="61"/>
    </row>
    <row r="1471" spans="1:15">
      <c r="A1471" s="61"/>
      <c r="B1471" s="61"/>
      <c r="C1471" s="61"/>
      <c r="D1471" s="61"/>
      <c r="E1471" s="61"/>
      <c r="H1471" s="51" t="s">
        <v>1602</v>
      </c>
    </row>
    <row r="1472" spans="1:15" ht="9" customHeight="1">
      <c r="A1472" s="51" t="s">
        <v>546</v>
      </c>
      <c r="M1472" s="139"/>
    </row>
    <row r="1473" spans="1:15" ht="12.75" customHeight="1">
      <c r="F1473" s="139"/>
      <c r="H1473" s="50" t="s">
        <v>105</v>
      </c>
      <c r="K1473" s="146"/>
      <c r="M1473" s="139"/>
    </row>
    <row r="1474" spans="1:15" ht="12" customHeight="1" thickBot="1">
      <c r="A1474" s="50" t="s">
        <v>105</v>
      </c>
      <c r="D1474" s="146"/>
      <c r="F1474" s="139"/>
    </row>
    <row r="1475" spans="1:15" ht="12" customHeight="1" thickBot="1">
      <c r="H1475" s="891" t="s">
        <v>106</v>
      </c>
      <c r="I1475" s="892"/>
      <c r="J1475" s="892"/>
      <c r="K1475" s="893"/>
      <c r="M1475" s="50" t="s">
        <v>288</v>
      </c>
    </row>
    <row r="1476" spans="1:15" ht="28.5" customHeight="1" thickBot="1">
      <c r="A1476" s="891" t="s">
        <v>106</v>
      </c>
      <c r="B1476" s="892"/>
      <c r="C1476" s="892"/>
      <c r="D1476" s="893"/>
      <c r="F1476" s="50" t="s">
        <v>288</v>
      </c>
      <c r="H1476" s="57" t="s">
        <v>100</v>
      </c>
      <c r="I1476" s="58" t="s">
        <v>108</v>
      </c>
      <c r="J1476" s="59" t="s">
        <v>109</v>
      </c>
      <c r="K1476" s="60" t="s">
        <v>110</v>
      </c>
    </row>
    <row r="1477" spans="1:15" ht="14.25" customHeight="1" thickBot="1">
      <c r="A1477" s="57" t="s">
        <v>100</v>
      </c>
      <c r="B1477" s="58" t="s">
        <v>108</v>
      </c>
      <c r="C1477" s="59" t="s">
        <v>109</v>
      </c>
      <c r="D1477" s="60" t="s">
        <v>110</v>
      </c>
      <c r="H1477" s="71">
        <v>719</v>
      </c>
      <c r="I1477" s="73">
        <f>+O1455+O1457+O1459+O1461+O1463+O1465</f>
        <v>-2080000</v>
      </c>
      <c r="J1477" s="74">
        <f>+K1438</f>
        <v>51050000</v>
      </c>
      <c r="K1477" s="195">
        <f>+I1477+J1477</f>
        <v>48970000</v>
      </c>
    </row>
    <row r="1478" spans="1:15" ht="13.5" customHeight="1">
      <c r="A1478" s="71">
        <v>719</v>
      </c>
      <c r="B1478" s="73" t="e">
        <f>+#REF!+#REF!+#REF!+#REF!</f>
        <v>#REF!</v>
      </c>
      <c r="C1478" s="74" t="e">
        <f>+#REF!</f>
        <v>#REF!</v>
      </c>
      <c r="D1478" s="195" t="e">
        <f>+B1478+C1478</f>
        <v>#REF!</v>
      </c>
      <c r="H1478" s="72">
        <v>721</v>
      </c>
      <c r="I1478" s="80">
        <f>+O1466+O1464+O1462</f>
        <v>-504000</v>
      </c>
      <c r="J1478" s="74">
        <f>+K1439</f>
        <v>99112981</v>
      </c>
      <c r="K1478" s="195">
        <f>+I1478+J1478</f>
        <v>98608981</v>
      </c>
    </row>
    <row r="1479" spans="1:15" ht="13.5" customHeight="1">
      <c r="A1479" s="72">
        <v>721</v>
      </c>
      <c r="B1479" s="80" t="e">
        <f>+#REF!+#REF!+#REF!+#REF!+#REF!</f>
        <v>#REF!</v>
      </c>
      <c r="C1479" s="74" t="e">
        <f>+#REF!</f>
        <v>#REF!</v>
      </c>
      <c r="D1479" s="195" t="e">
        <f>+B1479+C1479</f>
        <v>#REF!</v>
      </c>
      <c r="H1479" s="72">
        <v>722</v>
      </c>
      <c r="I1479" s="80"/>
      <c r="J1479" s="74">
        <f>+K1440</f>
        <v>55831494</v>
      </c>
      <c r="K1479" s="195">
        <f>+I1479+J1479</f>
        <v>55831494</v>
      </c>
    </row>
    <row r="1480" spans="1:15" ht="15" customHeight="1">
      <c r="A1480" s="72">
        <v>722</v>
      </c>
      <c r="B1480" s="80"/>
      <c r="C1480" s="74" t="e">
        <f>+#REF!</f>
        <v>#REF!</v>
      </c>
      <c r="D1480" s="195" t="e">
        <f>+B1480+C1480</f>
        <v>#REF!</v>
      </c>
      <c r="H1480" s="72">
        <v>723</v>
      </c>
      <c r="I1480" s="80"/>
      <c r="J1480" s="74">
        <f>+K1441</f>
        <v>326279500</v>
      </c>
      <c r="K1480" s="195">
        <f>+I1480+J1480</f>
        <v>326279500</v>
      </c>
      <c r="M1480" s="918" t="s">
        <v>1481</v>
      </c>
      <c r="N1480" s="918"/>
      <c r="O1480" s="918"/>
    </row>
    <row r="1481" spans="1:15" ht="16.5" thickBot="1">
      <c r="A1481" s="72">
        <v>723</v>
      </c>
      <c r="B1481" s="80"/>
      <c r="C1481" s="74" t="e">
        <f>+#REF!</f>
        <v>#REF!</v>
      </c>
      <c r="D1481" s="195" t="e">
        <f>+B1481+C1481</f>
        <v>#REF!</v>
      </c>
      <c r="F1481" s="174" t="s">
        <v>23</v>
      </c>
      <c r="G1481" s="175"/>
      <c r="H1481" s="164" t="s">
        <v>181</v>
      </c>
      <c r="I1481" s="165"/>
      <c r="J1481" s="74">
        <f>+K1442</f>
        <v>0</v>
      </c>
      <c r="K1481" s="196">
        <f>+I1481+J1481</f>
        <v>0</v>
      </c>
      <c r="M1481" s="52"/>
    </row>
    <row r="1482" spans="1:15" ht="16.5" thickBot="1">
      <c r="A1482" s="164" t="s">
        <v>181</v>
      </c>
      <c r="B1482" s="165"/>
      <c r="C1482" s="74" t="e">
        <f>+#REF!</f>
        <v>#REF!</v>
      </c>
      <c r="D1482" s="196" t="e">
        <f>+B1482+C1482</f>
        <v>#REF!</v>
      </c>
      <c r="F1482" s="52"/>
      <c r="H1482" s="169"/>
      <c r="I1482" s="197">
        <f>SUM(I1477:I1481)</f>
        <v>-2584000</v>
      </c>
      <c r="J1482" s="197">
        <f>SUM(J1477:J1481)</f>
        <v>532273975</v>
      </c>
      <c r="K1482" s="198">
        <f>SUM(K1477:K1481)</f>
        <v>529689975</v>
      </c>
    </row>
    <row r="1483" spans="1:15" ht="17.25" thickBot="1">
      <c r="A1483" s="169"/>
      <c r="B1483" s="170" t="e">
        <f>SUM(B1478:B1482)</f>
        <v>#REF!</v>
      </c>
      <c r="C1483" s="171" t="e">
        <f>SUM(C1478:C1482)</f>
        <v>#REF!</v>
      </c>
      <c r="D1483" s="172" t="e">
        <f>SUM(D1478:D1482)</f>
        <v>#REF!</v>
      </c>
      <c r="H1483" s="49" t="s">
        <v>88</v>
      </c>
      <c r="I1483" s="50"/>
    </row>
    <row r="1484" spans="1:15">
      <c r="H1484" s="51" t="s">
        <v>89</v>
      </c>
    </row>
    <row r="1485" spans="1:15">
      <c r="H1485" s="51" t="s">
        <v>90</v>
      </c>
    </row>
    <row r="1486" spans="1:15">
      <c r="H1486" s="51" t="s">
        <v>91</v>
      </c>
    </row>
    <row r="1487" spans="1:15">
      <c r="H1487" s="50"/>
      <c r="I1487" s="50"/>
    </row>
    <row r="1488" spans="1:15" ht="15.75">
      <c r="H1488" s="260" t="s">
        <v>928</v>
      </c>
      <c r="N1488" s="52"/>
    </row>
    <row r="1489" spans="8:15" ht="15.75">
      <c r="H1489" s="53" t="s">
        <v>1333</v>
      </c>
      <c r="N1489" s="53"/>
    </row>
    <row r="1490" spans="8:15" ht="16.5">
      <c r="H1490" s="894" t="s">
        <v>909</v>
      </c>
      <c r="I1490" s="894"/>
      <c r="J1490" s="894"/>
      <c r="K1490" s="894"/>
      <c r="L1490" s="894"/>
      <c r="M1490" s="894"/>
      <c r="N1490" s="894"/>
      <c r="O1490" s="894"/>
    </row>
    <row r="1491" spans="8:15" ht="15.75" thickBot="1"/>
    <row r="1492" spans="8:15">
      <c r="H1492" s="895" t="s">
        <v>94</v>
      </c>
      <c r="I1492" s="897" t="s">
        <v>95</v>
      </c>
      <c r="J1492" s="897" t="s">
        <v>96</v>
      </c>
      <c r="K1492" s="897" t="s">
        <v>3</v>
      </c>
      <c r="L1492" s="897" t="s">
        <v>97</v>
      </c>
      <c r="M1492" s="897" t="s">
        <v>98</v>
      </c>
      <c r="N1492" s="897" t="s">
        <v>99</v>
      </c>
      <c r="O1492" s="899"/>
    </row>
    <row r="1493" spans="8:15" ht="15.75" thickBot="1">
      <c r="H1493" s="896"/>
      <c r="I1493" s="898"/>
      <c r="J1493" s="898"/>
      <c r="K1493" s="898"/>
      <c r="L1493" s="898"/>
      <c r="M1493" s="898"/>
      <c r="N1493" s="240" t="s">
        <v>100</v>
      </c>
      <c r="O1493" s="182" t="s">
        <v>101</v>
      </c>
    </row>
    <row r="1494" spans="8:15" ht="12" customHeight="1">
      <c r="H1494" s="873" t="s">
        <v>1611</v>
      </c>
      <c r="I1494" s="875">
        <v>43096</v>
      </c>
      <c r="J1494" s="881" t="s">
        <v>28</v>
      </c>
      <c r="K1494" s="881" t="s">
        <v>1615</v>
      </c>
      <c r="L1494" s="881" t="s">
        <v>148</v>
      </c>
      <c r="M1494" s="883">
        <v>650000</v>
      </c>
      <c r="N1494" s="55">
        <v>719</v>
      </c>
      <c r="O1494" s="78">
        <v>500000</v>
      </c>
    </row>
    <row r="1495" spans="8:15" ht="13.5" customHeight="1" thickBot="1">
      <c r="H1495" s="874"/>
      <c r="I1495" s="876"/>
      <c r="J1495" s="882"/>
      <c r="K1495" s="882"/>
      <c r="L1495" s="882"/>
      <c r="M1495" s="884"/>
      <c r="N1495" s="56">
        <v>721</v>
      </c>
      <c r="O1495" s="79">
        <f>+M1494-O1494</f>
        <v>150000</v>
      </c>
    </row>
    <row r="1496" spans="8:15" ht="12" customHeight="1">
      <c r="H1496" s="881">
        <f>+H1494+1</f>
        <v>177</v>
      </c>
      <c r="I1496" s="875">
        <v>43096</v>
      </c>
      <c r="J1496" s="881" t="s">
        <v>28</v>
      </c>
      <c r="K1496" s="879" t="s">
        <v>1614</v>
      </c>
      <c r="L1496" s="881" t="s">
        <v>148</v>
      </c>
      <c r="M1496" s="883">
        <v>650000</v>
      </c>
      <c r="N1496" s="55">
        <v>719</v>
      </c>
      <c r="O1496" s="78">
        <v>500000</v>
      </c>
    </row>
    <row r="1497" spans="8:15" ht="12.75" customHeight="1" thickBot="1">
      <c r="H1497" s="882"/>
      <c r="I1497" s="876"/>
      <c r="J1497" s="882"/>
      <c r="K1497" s="880"/>
      <c r="L1497" s="882"/>
      <c r="M1497" s="884"/>
      <c r="N1497" s="56">
        <v>721</v>
      </c>
      <c r="O1497" s="79">
        <f>+M1496-O1496</f>
        <v>150000</v>
      </c>
    </row>
    <row r="1498" spans="8:15" ht="12.75" customHeight="1">
      <c r="H1498" s="881">
        <f>+H1496+1</f>
        <v>178</v>
      </c>
      <c r="I1498" s="875">
        <v>43096</v>
      </c>
      <c r="J1498" s="877" t="s">
        <v>1079</v>
      </c>
      <c r="K1498" s="881" t="s">
        <v>1613</v>
      </c>
      <c r="L1498" s="881" t="s">
        <v>148</v>
      </c>
      <c r="M1498" s="883">
        <v>650000</v>
      </c>
      <c r="N1498" s="55">
        <v>719</v>
      </c>
      <c r="O1498" s="78">
        <v>500000</v>
      </c>
    </row>
    <row r="1499" spans="8:15" ht="12.75" customHeight="1" thickBot="1">
      <c r="H1499" s="882"/>
      <c r="I1499" s="876"/>
      <c r="J1499" s="878"/>
      <c r="K1499" s="882"/>
      <c r="L1499" s="882"/>
      <c r="M1499" s="884"/>
      <c r="N1499" s="56">
        <v>721</v>
      </c>
      <c r="O1499" s="79">
        <f>+M1498-O1498</f>
        <v>150000</v>
      </c>
    </row>
    <row r="1500" spans="8:15" ht="12" customHeight="1">
      <c r="H1500" s="881">
        <f>+H1498+1</f>
        <v>179</v>
      </c>
      <c r="I1500" s="875">
        <v>43096</v>
      </c>
      <c r="J1500" s="877" t="s">
        <v>1079</v>
      </c>
      <c r="K1500" s="879" t="s">
        <v>1612</v>
      </c>
      <c r="L1500" s="881" t="s">
        <v>148</v>
      </c>
      <c r="M1500" s="883">
        <v>650000</v>
      </c>
      <c r="N1500" s="55">
        <v>719</v>
      </c>
      <c r="O1500" s="78">
        <v>500000</v>
      </c>
    </row>
    <row r="1501" spans="8:15" ht="13.5" customHeight="1" thickBot="1">
      <c r="H1501" s="882"/>
      <c r="I1501" s="876"/>
      <c r="J1501" s="878"/>
      <c r="K1501" s="880"/>
      <c r="L1501" s="882"/>
      <c r="M1501" s="884"/>
      <c r="N1501" s="56">
        <v>721</v>
      </c>
      <c r="O1501" s="79">
        <f>+M1500-O1500</f>
        <v>150000</v>
      </c>
    </row>
    <row r="1502" spans="8:15" ht="13.5" customHeight="1">
      <c r="H1502" s="881">
        <f>+H1500+1</f>
        <v>180</v>
      </c>
      <c r="I1502" s="875">
        <v>43096</v>
      </c>
      <c r="J1502" s="881" t="s">
        <v>28</v>
      </c>
      <c r="K1502" s="879" t="s">
        <v>1616</v>
      </c>
      <c r="L1502" s="881" t="s">
        <v>115</v>
      </c>
      <c r="M1502" s="883">
        <v>70000</v>
      </c>
      <c r="N1502" s="55">
        <v>719</v>
      </c>
      <c r="O1502" s="78">
        <v>70000</v>
      </c>
    </row>
    <row r="1503" spans="8:15" ht="12.75" customHeight="1" thickBot="1">
      <c r="H1503" s="882"/>
      <c r="I1503" s="876"/>
      <c r="J1503" s="882"/>
      <c r="K1503" s="880"/>
      <c r="L1503" s="882"/>
      <c r="M1503" s="884"/>
      <c r="N1503" s="56">
        <v>721</v>
      </c>
      <c r="O1503" s="79">
        <f>+M1502-O1502</f>
        <v>0</v>
      </c>
    </row>
    <row r="1504" spans="8:15" ht="15" customHeight="1">
      <c r="H1504" s="881">
        <f>+H1502+1</f>
        <v>181</v>
      </c>
      <c r="I1504" s="875">
        <v>43096</v>
      </c>
      <c r="J1504" s="877" t="s">
        <v>120</v>
      </c>
      <c r="K1504" s="879" t="s">
        <v>1616</v>
      </c>
      <c r="L1504" s="881" t="s">
        <v>115</v>
      </c>
      <c r="M1504" s="883">
        <v>250000</v>
      </c>
      <c r="N1504" s="55">
        <v>719</v>
      </c>
      <c r="O1504" s="78">
        <v>250000</v>
      </c>
    </row>
    <row r="1505" spans="8:15" ht="12.75" customHeight="1" thickBot="1">
      <c r="H1505" s="882"/>
      <c r="I1505" s="876"/>
      <c r="J1505" s="878"/>
      <c r="K1505" s="880"/>
      <c r="L1505" s="882"/>
      <c r="M1505" s="884"/>
      <c r="N1505" s="56">
        <v>721</v>
      </c>
      <c r="O1505" s="79">
        <f>+M1504-O1504</f>
        <v>0</v>
      </c>
    </row>
    <row r="1506" spans="8:15" ht="16.5" thickBot="1">
      <c r="H1506" s="901" t="s">
        <v>102</v>
      </c>
      <c r="I1506" s="902"/>
      <c r="J1506" s="902"/>
      <c r="K1506" s="902"/>
      <c r="L1506" s="903"/>
      <c r="M1506" s="81">
        <f>SUM(M1494:M1505)</f>
        <v>2920000</v>
      </c>
    </row>
    <row r="1507" spans="8:15" ht="16.5" thickBot="1">
      <c r="H1507" s="885" t="s">
        <v>103</v>
      </c>
      <c r="I1507" s="886"/>
      <c r="J1507" s="886"/>
      <c r="K1507" s="886"/>
      <c r="L1507" s="887"/>
      <c r="M1507" s="69">
        <f>+M1469</f>
        <v>529689975</v>
      </c>
      <c r="N1507" s="241" t="s">
        <v>561</v>
      </c>
      <c r="O1507" s="242">
        <f>1207+1207+235+235+162+310</f>
        <v>3356</v>
      </c>
    </row>
    <row r="1508" spans="8:15" ht="16.5" thickBot="1">
      <c r="H1508" s="888" t="s">
        <v>104</v>
      </c>
      <c r="I1508" s="889"/>
      <c r="J1508" s="889"/>
      <c r="K1508" s="889"/>
      <c r="L1508" s="890"/>
      <c r="M1508" s="183">
        <f>SUM(M1506:M1507)</f>
        <v>532609975</v>
      </c>
    </row>
    <row r="1509" spans="8:15">
      <c r="H1509" s="61"/>
      <c r="I1509" s="61"/>
      <c r="J1509" s="61"/>
      <c r="K1509" s="61"/>
      <c r="L1509" s="61"/>
    </row>
    <row r="1510" spans="8:15">
      <c r="H1510" s="51" t="s">
        <v>1617</v>
      </c>
    </row>
    <row r="1511" spans="8:15" ht="9.75" customHeight="1">
      <c r="M1511" s="139"/>
    </row>
    <row r="1512" spans="8:15">
      <c r="H1512" s="50" t="s">
        <v>105</v>
      </c>
      <c r="K1512" s="146"/>
      <c r="M1512" s="139"/>
    </row>
    <row r="1513" spans="8:15" ht="13.5" customHeight="1" thickBot="1"/>
    <row r="1514" spans="8:15" ht="15.75" thickBot="1">
      <c r="H1514" s="891" t="s">
        <v>106</v>
      </c>
      <c r="I1514" s="892"/>
      <c r="J1514" s="892"/>
      <c r="K1514" s="893"/>
      <c r="M1514" s="50" t="s">
        <v>288</v>
      </c>
    </row>
    <row r="1515" spans="8:15" ht="30.75" thickBot="1">
      <c r="H1515" s="57" t="s">
        <v>100</v>
      </c>
      <c r="I1515" s="58" t="s">
        <v>108</v>
      </c>
      <c r="J1515" s="287" t="s">
        <v>109</v>
      </c>
      <c r="K1515" s="60" t="s">
        <v>110</v>
      </c>
    </row>
    <row r="1516" spans="8:15" ht="13.5" customHeight="1">
      <c r="H1516" s="71">
        <v>719</v>
      </c>
      <c r="I1516" s="73">
        <f>+O1494+O1496+O1498+O1500+O1504</f>
        <v>2250000</v>
      </c>
      <c r="J1516" s="74">
        <f>+K1477</f>
        <v>48970000</v>
      </c>
      <c r="K1516" s="195">
        <f>+I1516+J1516</f>
        <v>51220000</v>
      </c>
    </row>
    <row r="1517" spans="8:15" ht="12.75" customHeight="1">
      <c r="H1517" s="72">
        <v>721</v>
      </c>
      <c r="I1517" s="80">
        <f>+O1505+O1501+O1499+O1497+O1495</f>
        <v>600000</v>
      </c>
      <c r="J1517" s="74">
        <f>+K1478</f>
        <v>98608981</v>
      </c>
      <c r="K1517" s="195">
        <f>+I1517+J1517</f>
        <v>99208981</v>
      </c>
    </row>
    <row r="1518" spans="8:15" ht="12.75" customHeight="1">
      <c r="H1518" s="72">
        <v>722</v>
      </c>
      <c r="I1518" s="80"/>
      <c r="J1518" s="74">
        <f>+K1479</f>
        <v>55831494</v>
      </c>
      <c r="K1518" s="195">
        <f>+I1518+J1518</f>
        <v>55831494</v>
      </c>
    </row>
    <row r="1519" spans="8:15" ht="15.75">
      <c r="H1519" s="72">
        <v>723</v>
      </c>
      <c r="I1519" s="80"/>
      <c r="J1519" s="74">
        <f>+K1480</f>
        <v>326279500</v>
      </c>
      <c r="K1519" s="195">
        <f>+I1519+J1519</f>
        <v>326279500</v>
      </c>
      <c r="M1519" s="918" t="s">
        <v>1481</v>
      </c>
      <c r="N1519" s="918"/>
      <c r="O1519" s="918"/>
    </row>
    <row r="1520" spans="8:15" ht="13.5" customHeight="1" thickBot="1">
      <c r="H1520" s="164" t="s">
        <v>181</v>
      </c>
      <c r="I1520" s="165"/>
      <c r="J1520" s="74">
        <f>+K1481</f>
        <v>0</v>
      </c>
      <c r="K1520" s="196">
        <f>+I1520+J1520</f>
        <v>0</v>
      </c>
      <c r="M1520" s="52"/>
    </row>
    <row r="1521" spans="8:15" ht="16.5" thickBot="1">
      <c r="H1521" s="169"/>
      <c r="I1521" s="197">
        <f>SUM(I1516:I1520)</f>
        <v>2850000</v>
      </c>
      <c r="J1521" s="197">
        <f>SUM(J1516:J1520)</f>
        <v>529689975</v>
      </c>
      <c r="K1521" s="198">
        <f>SUM(K1516:K1520)</f>
        <v>532539975</v>
      </c>
    </row>
    <row r="1522" spans="8:15" ht="16.5">
      <c r="H1522" s="49" t="s">
        <v>88</v>
      </c>
      <c r="I1522" s="50"/>
    </row>
    <row r="1523" spans="8:15">
      <c r="H1523" s="51" t="s">
        <v>89</v>
      </c>
    </row>
    <row r="1524" spans="8:15">
      <c r="H1524" s="51" t="s">
        <v>90</v>
      </c>
    </row>
    <row r="1525" spans="8:15">
      <c r="H1525" s="51" t="s">
        <v>91</v>
      </c>
    </row>
    <row r="1526" spans="8:15" ht="10.5" customHeight="1">
      <c r="H1526" s="50"/>
      <c r="I1526" s="50"/>
    </row>
    <row r="1527" spans="8:15" ht="15.75">
      <c r="H1527" s="260" t="s">
        <v>929</v>
      </c>
      <c r="N1527" s="52"/>
    </row>
    <row r="1528" spans="8:15" ht="15.75">
      <c r="H1528" s="53" t="s">
        <v>1333</v>
      </c>
      <c r="N1528" s="53"/>
    </row>
    <row r="1529" spans="8:15" ht="16.5">
      <c r="H1529" s="894" t="s">
        <v>909</v>
      </c>
      <c r="I1529" s="894"/>
      <c r="J1529" s="894"/>
      <c r="K1529" s="894"/>
      <c r="L1529" s="894"/>
      <c r="M1529" s="894"/>
      <c r="N1529" s="894"/>
      <c r="O1529" s="894"/>
    </row>
    <row r="1530" spans="8:15" ht="13.5" customHeight="1" thickBot="1"/>
    <row r="1531" spans="8:15">
      <c r="H1531" s="895" t="s">
        <v>94</v>
      </c>
      <c r="I1531" s="897" t="s">
        <v>95</v>
      </c>
      <c r="J1531" s="897" t="s">
        <v>96</v>
      </c>
      <c r="K1531" s="897" t="s">
        <v>3</v>
      </c>
      <c r="L1531" s="897" t="s">
        <v>97</v>
      </c>
      <c r="M1531" s="897" t="s">
        <v>98</v>
      </c>
      <c r="N1531" s="897" t="s">
        <v>99</v>
      </c>
      <c r="O1531" s="899"/>
    </row>
    <row r="1532" spans="8:15" ht="15.75" thickBot="1">
      <c r="H1532" s="896"/>
      <c r="I1532" s="898"/>
      <c r="J1532" s="898"/>
      <c r="K1532" s="898"/>
      <c r="L1532" s="898"/>
      <c r="M1532" s="898"/>
      <c r="N1532" s="240" t="s">
        <v>100</v>
      </c>
      <c r="O1532" s="182" t="s">
        <v>101</v>
      </c>
    </row>
    <row r="1533" spans="8:15" ht="15" customHeight="1">
      <c r="H1533" s="881">
        <v>182</v>
      </c>
      <c r="I1533" s="875">
        <v>43097</v>
      </c>
      <c r="J1533" s="881" t="s">
        <v>28</v>
      </c>
      <c r="K1533" s="879" t="s">
        <v>1618</v>
      </c>
      <c r="L1533" s="881" t="s">
        <v>115</v>
      </c>
      <c r="M1533" s="883">
        <v>110000</v>
      </c>
      <c r="N1533" s="55">
        <v>719</v>
      </c>
      <c r="O1533" s="78">
        <v>110000</v>
      </c>
    </row>
    <row r="1534" spans="8:15" ht="15.75" customHeight="1" thickBot="1">
      <c r="H1534" s="882"/>
      <c r="I1534" s="876"/>
      <c r="J1534" s="882"/>
      <c r="K1534" s="880"/>
      <c r="L1534" s="882"/>
      <c r="M1534" s="884"/>
      <c r="N1534" s="56">
        <v>721</v>
      </c>
      <c r="O1534" s="79"/>
    </row>
    <row r="1535" spans="8:15" ht="15" customHeight="1">
      <c r="H1535" s="881">
        <v>183</v>
      </c>
      <c r="I1535" s="875">
        <v>43097</v>
      </c>
      <c r="J1535" s="881" t="s">
        <v>120</v>
      </c>
      <c r="K1535" s="879" t="s">
        <v>1618</v>
      </c>
      <c r="L1535" s="881" t="s">
        <v>115</v>
      </c>
      <c r="M1535" s="883">
        <v>440000</v>
      </c>
      <c r="N1535" s="55">
        <v>719</v>
      </c>
      <c r="O1535" s="78">
        <v>440000</v>
      </c>
    </row>
    <row r="1536" spans="8:15" ht="15.75" customHeight="1" thickBot="1">
      <c r="H1536" s="882"/>
      <c r="I1536" s="876"/>
      <c r="J1536" s="882"/>
      <c r="K1536" s="880"/>
      <c r="L1536" s="882"/>
      <c r="M1536" s="884"/>
      <c r="N1536" s="56">
        <v>721</v>
      </c>
      <c r="O1536" s="79">
        <f>+M1535-O1535</f>
        <v>0</v>
      </c>
    </row>
    <row r="1537" spans="8:15" ht="15" customHeight="1">
      <c r="H1537" s="881">
        <v>184</v>
      </c>
      <c r="I1537" s="875">
        <v>43097</v>
      </c>
      <c r="J1537" s="877" t="s">
        <v>385</v>
      </c>
      <c r="K1537" s="879" t="s">
        <v>1619</v>
      </c>
      <c r="L1537" s="881" t="s">
        <v>148</v>
      </c>
      <c r="M1537" s="883">
        <v>4500000</v>
      </c>
      <c r="N1537" s="55">
        <v>719</v>
      </c>
      <c r="O1537" s="78"/>
    </row>
    <row r="1538" spans="8:15" ht="15.75" customHeight="1" thickBot="1">
      <c r="H1538" s="882"/>
      <c r="I1538" s="876"/>
      <c r="J1538" s="878"/>
      <c r="K1538" s="880"/>
      <c r="L1538" s="882"/>
      <c r="M1538" s="884"/>
      <c r="N1538" s="56">
        <v>721</v>
      </c>
      <c r="O1538" s="79">
        <f>+M1537-O1537</f>
        <v>4500000</v>
      </c>
    </row>
    <row r="1539" spans="8:15">
      <c r="H1539" s="881">
        <v>185</v>
      </c>
      <c r="I1539" s="875"/>
      <c r="J1539" s="877"/>
      <c r="K1539" s="879"/>
      <c r="L1539" s="881"/>
      <c r="M1539" s="883"/>
      <c r="N1539" s="55">
        <v>719</v>
      </c>
      <c r="O1539" s="78"/>
    </row>
    <row r="1540" spans="8:15" ht="15.75" thickBot="1">
      <c r="H1540" s="882"/>
      <c r="I1540" s="876"/>
      <c r="J1540" s="878"/>
      <c r="K1540" s="880"/>
      <c r="L1540" s="882"/>
      <c r="M1540" s="884"/>
      <c r="N1540" s="56">
        <v>721</v>
      </c>
      <c r="O1540" s="79">
        <f>+M1539-O1539</f>
        <v>0</v>
      </c>
    </row>
    <row r="1541" spans="8:15">
      <c r="H1541" s="881"/>
      <c r="I1541" s="875"/>
      <c r="J1541" s="877"/>
      <c r="K1541" s="881"/>
      <c r="L1541" s="881"/>
      <c r="M1541" s="883"/>
      <c r="N1541" s="55">
        <v>719</v>
      </c>
      <c r="O1541" s="78"/>
    </row>
    <row r="1542" spans="8:15" ht="15.75" thickBot="1">
      <c r="H1542" s="882"/>
      <c r="I1542" s="876"/>
      <c r="J1542" s="878"/>
      <c r="K1542" s="882"/>
      <c r="L1542" s="882"/>
      <c r="M1542" s="884"/>
      <c r="N1542" s="56">
        <v>721</v>
      </c>
      <c r="O1542" s="79">
        <f>+M1541-O1541</f>
        <v>0</v>
      </c>
    </row>
    <row r="1543" spans="8:15" ht="16.5" thickBot="1">
      <c r="H1543" s="901" t="s">
        <v>102</v>
      </c>
      <c r="I1543" s="902"/>
      <c r="J1543" s="902"/>
      <c r="K1543" s="902"/>
      <c r="L1543" s="903"/>
      <c r="M1543" s="81">
        <f>SUM(M1533:M1542)</f>
        <v>5050000</v>
      </c>
    </row>
    <row r="1544" spans="8:15" ht="16.5" thickBot="1">
      <c r="H1544" s="885" t="s">
        <v>103</v>
      </c>
      <c r="I1544" s="886"/>
      <c r="J1544" s="886"/>
      <c r="K1544" s="886"/>
      <c r="L1544" s="887"/>
      <c r="M1544" s="69">
        <f>+M1508</f>
        <v>532609975</v>
      </c>
      <c r="N1544" s="241" t="s">
        <v>561</v>
      </c>
      <c r="O1544" s="242">
        <f>246+617</f>
        <v>863</v>
      </c>
    </row>
    <row r="1545" spans="8:15" ht="16.5" thickBot="1">
      <c r="H1545" s="888" t="s">
        <v>104</v>
      </c>
      <c r="I1545" s="889"/>
      <c r="J1545" s="889"/>
      <c r="K1545" s="889"/>
      <c r="L1545" s="890"/>
      <c r="M1545" s="183">
        <f>SUM(M1543:M1544)</f>
        <v>537659975</v>
      </c>
    </row>
    <row r="1546" spans="8:15">
      <c r="H1546" s="61"/>
      <c r="I1546" s="61"/>
      <c r="J1546" s="61"/>
      <c r="K1546" s="61"/>
      <c r="L1546" s="61"/>
    </row>
    <row r="1547" spans="8:15">
      <c r="H1547" s="51" t="s">
        <v>1620</v>
      </c>
    </row>
    <row r="1548" spans="8:15">
      <c r="M1548" s="139"/>
    </row>
    <row r="1549" spans="8:15">
      <c r="H1549" s="50" t="s">
        <v>105</v>
      </c>
      <c r="K1549" s="146"/>
      <c r="M1549" s="139"/>
    </row>
    <row r="1550" spans="8:15" ht="13.5" customHeight="1" thickBot="1"/>
    <row r="1551" spans="8:15" ht="15.75" thickBot="1">
      <c r="H1551" s="891" t="s">
        <v>106</v>
      </c>
      <c r="I1551" s="892"/>
      <c r="J1551" s="892"/>
      <c r="K1551" s="893"/>
      <c r="M1551" s="50" t="s">
        <v>288</v>
      </c>
    </row>
    <row r="1552" spans="8:15" ht="30.75" thickBot="1">
      <c r="H1552" s="57" t="s">
        <v>100</v>
      </c>
      <c r="I1552" s="58" t="s">
        <v>108</v>
      </c>
      <c r="J1552" s="287" t="s">
        <v>109</v>
      </c>
      <c r="K1552" s="60" t="s">
        <v>110</v>
      </c>
    </row>
    <row r="1553" spans="8:15">
      <c r="H1553" s="71">
        <v>719</v>
      </c>
      <c r="I1553" s="73">
        <f>+O1533+O1535+O1537+O1539+O1541</f>
        <v>550000</v>
      </c>
      <c r="J1553" s="74">
        <f>+K1516</f>
        <v>51220000</v>
      </c>
      <c r="K1553" s="195">
        <f>+I1553+J1553</f>
        <v>51770000</v>
      </c>
    </row>
    <row r="1554" spans="8:15">
      <c r="H1554" s="72">
        <v>721</v>
      </c>
      <c r="I1554" s="80">
        <v>0</v>
      </c>
      <c r="J1554" s="74">
        <f>+K1517</f>
        <v>99208981</v>
      </c>
      <c r="K1554" s="195">
        <f>+I1554+J1554</f>
        <v>99208981</v>
      </c>
    </row>
    <row r="1555" spans="8:15">
      <c r="H1555" s="72">
        <v>722</v>
      </c>
      <c r="I1555" s="80"/>
      <c r="J1555" s="74">
        <f>+K1518</f>
        <v>55831494</v>
      </c>
      <c r="K1555" s="195">
        <f>+I1555+J1555</f>
        <v>55831494</v>
      </c>
    </row>
    <row r="1556" spans="8:15" ht="15.75">
      <c r="H1556" s="72">
        <v>723</v>
      </c>
      <c r="I1556" s="80">
        <f>+O1542+O1540+O1538+O1536+O1534</f>
        <v>4500000</v>
      </c>
      <c r="J1556" s="74">
        <f>+K1519</f>
        <v>326279500</v>
      </c>
      <c r="K1556" s="195">
        <f>+I1556+J1556</f>
        <v>330779500</v>
      </c>
      <c r="M1556" s="193" t="s">
        <v>289</v>
      </c>
      <c r="N1556" s="175"/>
    </row>
    <row r="1557" spans="8:15" ht="16.5" thickBot="1">
      <c r="H1557" s="164" t="s">
        <v>181</v>
      </c>
      <c r="I1557" s="165"/>
      <c r="J1557" s="74">
        <f>+K1520</f>
        <v>0</v>
      </c>
      <c r="K1557" s="196">
        <f>+I1557+J1557</f>
        <v>0</v>
      </c>
      <c r="M1557" s="52"/>
    </row>
    <row r="1558" spans="8:15" ht="16.5" thickBot="1">
      <c r="H1558" s="169"/>
      <c r="I1558" s="197">
        <f>SUM(I1553:I1557)</f>
        <v>5050000</v>
      </c>
      <c r="J1558" s="197">
        <f>SUM(J1553:J1557)</f>
        <v>532539975</v>
      </c>
      <c r="K1558" s="198">
        <f>SUM(K1553:K1557)</f>
        <v>537589975</v>
      </c>
    </row>
    <row r="1559" spans="8:15" ht="16.5">
      <c r="H1559" s="49" t="s">
        <v>88</v>
      </c>
      <c r="I1559" s="50"/>
    </row>
    <row r="1560" spans="8:15">
      <c r="H1560" s="51" t="s">
        <v>89</v>
      </c>
    </row>
    <row r="1561" spans="8:15">
      <c r="H1561" s="51" t="s">
        <v>90</v>
      </c>
    </row>
    <row r="1562" spans="8:15">
      <c r="H1562" s="51" t="s">
        <v>91</v>
      </c>
    </row>
    <row r="1563" spans="8:15" ht="12" customHeight="1">
      <c r="H1563" s="50"/>
      <c r="I1563" s="50"/>
    </row>
    <row r="1564" spans="8:15" ht="15.75">
      <c r="H1564" s="260" t="s">
        <v>944</v>
      </c>
      <c r="N1564" s="52"/>
    </row>
    <row r="1565" spans="8:15" ht="15.75">
      <c r="H1565" s="53" t="s">
        <v>535</v>
      </c>
      <c r="N1565" s="53"/>
    </row>
    <row r="1566" spans="8:15" ht="16.5">
      <c r="H1566" s="894" t="s">
        <v>909</v>
      </c>
      <c r="I1566" s="894"/>
      <c r="J1566" s="894"/>
      <c r="K1566" s="894"/>
      <c r="L1566" s="894"/>
      <c r="M1566" s="894"/>
      <c r="N1566" s="894"/>
      <c r="O1566" s="894"/>
    </row>
    <row r="1567" spans="8:15" ht="15.75" thickBot="1"/>
    <row r="1568" spans="8:15">
      <c r="H1568" s="895" t="s">
        <v>94</v>
      </c>
      <c r="I1568" s="897" t="s">
        <v>95</v>
      </c>
      <c r="J1568" s="897" t="s">
        <v>96</v>
      </c>
      <c r="K1568" s="897" t="s">
        <v>3</v>
      </c>
      <c r="L1568" s="897" t="s">
        <v>97</v>
      </c>
      <c r="M1568" s="897" t="s">
        <v>98</v>
      </c>
      <c r="N1568" s="897" t="s">
        <v>99</v>
      </c>
      <c r="O1568" s="899"/>
    </row>
    <row r="1569" spans="8:15" ht="15.75" thickBot="1">
      <c r="H1569" s="896"/>
      <c r="I1569" s="898"/>
      <c r="J1569" s="898"/>
      <c r="K1569" s="898"/>
      <c r="L1569" s="898"/>
      <c r="M1569" s="898"/>
      <c r="N1569" s="240" t="s">
        <v>100</v>
      </c>
      <c r="O1569" s="182" t="s">
        <v>101</v>
      </c>
    </row>
    <row r="1570" spans="8:15">
      <c r="H1570" s="881">
        <v>194</v>
      </c>
      <c r="I1570" s="875">
        <v>42515</v>
      </c>
      <c r="J1570" s="877" t="s">
        <v>272</v>
      </c>
      <c r="K1570" s="879" t="s">
        <v>945</v>
      </c>
      <c r="L1570" s="881" t="s">
        <v>115</v>
      </c>
      <c r="M1570" s="883">
        <v>100000</v>
      </c>
      <c r="N1570" s="55">
        <v>719</v>
      </c>
      <c r="O1570" s="78">
        <v>100000</v>
      </c>
    </row>
    <row r="1571" spans="8:15" ht="15.75" thickBot="1">
      <c r="H1571" s="882"/>
      <c r="I1571" s="876"/>
      <c r="J1571" s="878"/>
      <c r="K1571" s="880"/>
      <c r="L1571" s="882"/>
      <c r="M1571" s="884"/>
      <c r="N1571" s="56">
        <v>721</v>
      </c>
      <c r="O1571" s="79">
        <f>+M1570-O1570</f>
        <v>0</v>
      </c>
    </row>
    <row r="1572" spans="8:15" ht="15" customHeight="1">
      <c r="H1572" s="881">
        <v>195</v>
      </c>
      <c r="I1572" s="875">
        <v>42515</v>
      </c>
      <c r="J1572" s="877" t="s">
        <v>28</v>
      </c>
      <c r="K1572" s="879" t="s">
        <v>946</v>
      </c>
      <c r="L1572" s="881" t="s">
        <v>115</v>
      </c>
      <c r="M1572" s="883">
        <v>70000</v>
      </c>
      <c r="N1572" s="55">
        <v>719</v>
      </c>
      <c r="O1572" s="78">
        <v>70000</v>
      </c>
    </row>
    <row r="1573" spans="8:15" ht="15.75" customHeight="1" thickBot="1">
      <c r="H1573" s="882"/>
      <c r="I1573" s="876"/>
      <c r="J1573" s="878"/>
      <c r="K1573" s="880"/>
      <c r="L1573" s="882"/>
      <c r="M1573" s="884"/>
      <c r="N1573" s="56">
        <v>721</v>
      </c>
      <c r="O1573" s="79">
        <f>+M1572-O1572</f>
        <v>0</v>
      </c>
    </row>
    <row r="1574" spans="8:15">
      <c r="H1574" s="881"/>
      <c r="I1574" s="875"/>
      <c r="J1574" s="877"/>
      <c r="K1574" s="881"/>
      <c r="L1574" s="881"/>
      <c r="M1574" s="883"/>
      <c r="N1574" s="55">
        <v>719</v>
      </c>
      <c r="O1574" s="78"/>
    </row>
    <row r="1575" spans="8:15" ht="15.75" thickBot="1">
      <c r="H1575" s="882"/>
      <c r="I1575" s="876"/>
      <c r="J1575" s="878"/>
      <c r="K1575" s="882"/>
      <c r="L1575" s="882"/>
      <c r="M1575" s="884"/>
      <c r="N1575" s="56">
        <v>721</v>
      </c>
      <c r="O1575" s="79">
        <f>+M1574-O1574</f>
        <v>0</v>
      </c>
    </row>
    <row r="1576" spans="8:15">
      <c r="H1576" s="881"/>
      <c r="I1576" s="875"/>
      <c r="J1576" s="877"/>
      <c r="K1576" s="879"/>
      <c r="L1576" s="881"/>
      <c r="M1576" s="883"/>
      <c r="N1576" s="55">
        <v>719</v>
      </c>
      <c r="O1576" s="78"/>
    </row>
    <row r="1577" spans="8:15" ht="15.75" thickBot="1">
      <c r="H1577" s="882"/>
      <c r="I1577" s="876"/>
      <c r="J1577" s="878"/>
      <c r="K1577" s="880"/>
      <c r="L1577" s="882"/>
      <c r="M1577" s="884"/>
      <c r="N1577" s="56">
        <v>721</v>
      </c>
      <c r="O1577" s="79">
        <f>+M1576-O1576</f>
        <v>0</v>
      </c>
    </row>
    <row r="1578" spans="8:15">
      <c r="H1578" s="881"/>
      <c r="I1578" s="875"/>
      <c r="J1578" s="877"/>
      <c r="K1578" s="881"/>
      <c r="L1578" s="881"/>
      <c r="M1578" s="883"/>
      <c r="N1578" s="55">
        <v>719</v>
      </c>
      <c r="O1578" s="78"/>
    </row>
    <row r="1579" spans="8:15" ht="15.75" thickBot="1">
      <c r="H1579" s="882"/>
      <c r="I1579" s="876"/>
      <c r="J1579" s="878"/>
      <c r="K1579" s="882"/>
      <c r="L1579" s="882"/>
      <c r="M1579" s="884"/>
      <c r="N1579" s="56">
        <v>721</v>
      </c>
      <c r="O1579" s="79">
        <f>+M1578-O1578</f>
        <v>0</v>
      </c>
    </row>
    <row r="1580" spans="8:15" ht="16.5" thickBot="1">
      <c r="H1580" s="901" t="s">
        <v>102</v>
      </c>
      <c r="I1580" s="902"/>
      <c r="J1580" s="902"/>
      <c r="K1580" s="902"/>
      <c r="L1580" s="903"/>
      <c r="M1580" s="81">
        <f>SUM(M1570:M1579)</f>
        <v>170000</v>
      </c>
    </row>
    <row r="1581" spans="8:15" ht="16.5" thickBot="1">
      <c r="H1581" s="885" t="s">
        <v>103</v>
      </c>
      <c r="I1581" s="886"/>
      <c r="J1581" s="886"/>
      <c r="K1581" s="886"/>
      <c r="L1581" s="887"/>
      <c r="M1581" s="69">
        <f>+M1545</f>
        <v>537659975</v>
      </c>
      <c r="N1581" s="241" t="s">
        <v>561</v>
      </c>
      <c r="O1581" s="242">
        <f>108+281</f>
        <v>389</v>
      </c>
    </row>
    <row r="1582" spans="8:15" ht="16.5" thickBot="1">
      <c r="H1582" s="888" t="s">
        <v>104</v>
      </c>
      <c r="I1582" s="889"/>
      <c r="J1582" s="889"/>
      <c r="K1582" s="889"/>
      <c r="L1582" s="890"/>
      <c r="M1582" s="183">
        <f>SUM(M1580:M1581)</f>
        <v>537829975</v>
      </c>
    </row>
    <row r="1583" spans="8:15">
      <c r="H1583" s="61"/>
      <c r="I1583" s="61"/>
      <c r="J1583" s="61"/>
      <c r="K1583" s="61"/>
      <c r="L1583" s="61"/>
    </row>
    <row r="1584" spans="8:15">
      <c r="H1584" s="51" t="s">
        <v>947</v>
      </c>
    </row>
    <row r="1585" spans="8:14" ht="12.75" customHeight="1">
      <c r="M1585" s="139"/>
    </row>
    <row r="1586" spans="8:14">
      <c r="H1586" s="50" t="s">
        <v>105</v>
      </c>
      <c r="K1586" s="146"/>
      <c r="M1586" s="139"/>
    </row>
    <row r="1587" spans="8:14" ht="10.5" customHeight="1" thickBot="1"/>
    <row r="1588" spans="8:14" ht="15.75" thickBot="1">
      <c r="H1588" s="891" t="s">
        <v>106</v>
      </c>
      <c r="I1588" s="892"/>
      <c r="J1588" s="892"/>
      <c r="K1588" s="893"/>
      <c r="M1588" s="50" t="s">
        <v>288</v>
      </c>
    </row>
    <row r="1589" spans="8:14" ht="30.75" thickBot="1">
      <c r="H1589" s="57" t="s">
        <v>100</v>
      </c>
      <c r="I1589" s="58" t="s">
        <v>108</v>
      </c>
      <c r="J1589" s="287" t="s">
        <v>109</v>
      </c>
      <c r="K1589" s="60" t="s">
        <v>110</v>
      </c>
    </row>
    <row r="1590" spans="8:14">
      <c r="H1590" s="71">
        <v>719</v>
      </c>
      <c r="I1590" s="73">
        <f>+O1570+O1572+O1574+O1576+O1578</f>
        <v>170000</v>
      </c>
      <c r="J1590" s="74">
        <f>+K1553</f>
        <v>51770000</v>
      </c>
      <c r="K1590" s="195">
        <f>+I1590+J1590</f>
        <v>51940000</v>
      </c>
    </row>
    <row r="1591" spans="8:14">
      <c r="H1591" s="72">
        <v>721</v>
      </c>
      <c r="I1591" s="80">
        <v>0</v>
      </c>
      <c r="J1591" s="74">
        <f>+K1554</f>
        <v>99208981</v>
      </c>
      <c r="K1591" s="195">
        <f>+I1591+J1591</f>
        <v>99208981</v>
      </c>
    </row>
    <row r="1592" spans="8:14">
      <c r="H1592" s="72">
        <v>722</v>
      </c>
      <c r="I1592" s="80"/>
      <c r="J1592" s="74">
        <f>+K1555</f>
        <v>55831494</v>
      </c>
      <c r="K1592" s="195">
        <f>+I1592+J1592</f>
        <v>55831494</v>
      </c>
    </row>
    <row r="1593" spans="8:14" ht="15.75">
      <c r="H1593" s="72">
        <v>723</v>
      </c>
      <c r="I1593" s="80">
        <f>+O1579+O1577+O1575+O1573+O1571</f>
        <v>0</v>
      </c>
      <c r="J1593" s="74">
        <f>+K1556</f>
        <v>330779500</v>
      </c>
      <c r="K1593" s="195">
        <f>+I1593+J1593</f>
        <v>330779500</v>
      </c>
      <c r="M1593" s="193" t="s">
        <v>289</v>
      </c>
      <c r="N1593" s="175"/>
    </row>
    <row r="1594" spans="8:14" ht="16.5" thickBot="1">
      <c r="H1594" s="164" t="s">
        <v>181</v>
      </c>
      <c r="I1594" s="165"/>
      <c r="J1594" s="74">
        <f>+K1557</f>
        <v>0</v>
      </c>
      <c r="K1594" s="196">
        <f>+I1594+J1594</f>
        <v>0</v>
      </c>
      <c r="M1594" s="52"/>
    </row>
    <row r="1595" spans="8:14" ht="16.5" thickBot="1">
      <c r="H1595" s="169"/>
      <c r="I1595" s="197">
        <f>SUM(I1590:I1594)</f>
        <v>170000</v>
      </c>
      <c r="J1595" s="197">
        <f>SUM(J1590:J1594)</f>
        <v>537589975</v>
      </c>
      <c r="K1595" s="198">
        <f>SUM(K1590:K1594)</f>
        <v>537759975</v>
      </c>
    </row>
    <row r="1596" spans="8:14" ht="16.5">
      <c r="H1596" s="49" t="s">
        <v>88</v>
      </c>
      <c r="I1596" s="50"/>
    </row>
    <row r="1597" spans="8:14">
      <c r="H1597" s="51" t="s">
        <v>89</v>
      </c>
    </row>
    <row r="1598" spans="8:14">
      <c r="H1598" s="51" t="s">
        <v>90</v>
      </c>
    </row>
    <row r="1599" spans="8:14">
      <c r="H1599" s="51" t="s">
        <v>91</v>
      </c>
    </row>
    <row r="1600" spans="8:14" ht="12" customHeight="1">
      <c r="H1600" s="50"/>
      <c r="I1600" s="50"/>
    </row>
    <row r="1601" spans="8:15" ht="15.75">
      <c r="H1601" s="260" t="s">
        <v>948</v>
      </c>
      <c r="N1601" s="52"/>
    </row>
    <row r="1602" spans="8:15" ht="15.75">
      <c r="H1602" s="53" t="s">
        <v>535</v>
      </c>
      <c r="N1602" s="53"/>
    </row>
    <row r="1603" spans="8:15" ht="16.5">
      <c r="H1603" s="894" t="s">
        <v>909</v>
      </c>
      <c r="I1603" s="894"/>
      <c r="J1603" s="894"/>
      <c r="K1603" s="894"/>
      <c r="L1603" s="894"/>
      <c r="M1603" s="894"/>
      <c r="N1603" s="894"/>
      <c r="O1603" s="894"/>
    </row>
    <row r="1604" spans="8:15" ht="15.75" thickBot="1"/>
    <row r="1605" spans="8:15">
      <c r="H1605" s="895" t="s">
        <v>94</v>
      </c>
      <c r="I1605" s="897" t="s">
        <v>95</v>
      </c>
      <c r="J1605" s="897" t="s">
        <v>96</v>
      </c>
      <c r="K1605" s="897" t="s">
        <v>3</v>
      </c>
      <c r="L1605" s="897" t="s">
        <v>97</v>
      </c>
      <c r="M1605" s="897" t="s">
        <v>98</v>
      </c>
      <c r="N1605" s="897" t="s">
        <v>99</v>
      </c>
      <c r="O1605" s="899"/>
    </row>
    <row r="1606" spans="8:15" ht="15.75" thickBot="1">
      <c r="H1606" s="896"/>
      <c r="I1606" s="898"/>
      <c r="J1606" s="898"/>
      <c r="K1606" s="898"/>
      <c r="L1606" s="898"/>
      <c r="M1606" s="898"/>
      <c r="N1606" s="240" t="s">
        <v>100</v>
      </c>
      <c r="O1606" s="182" t="s">
        <v>101</v>
      </c>
    </row>
    <row r="1607" spans="8:15">
      <c r="H1607" s="881">
        <v>196</v>
      </c>
      <c r="I1607" s="875">
        <v>42520</v>
      </c>
      <c r="J1607" s="877" t="s">
        <v>272</v>
      </c>
      <c r="K1607" s="879" t="s">
        <v>951</v>
      </c>
      <c r="L1607" s="881" t="s">
        <v>115</v>
      </c>
      <c r="M1607" s="883">
        <v>140000</v>
      </c>
      <c r="N1607" s="55">
        <v>719</v>
      </c>
      <c r="O1607" s="78">
        <v>140000</v>
      </c>
    </row>
    <row r="1608" spans="8:15" ht="15.75" thickBot="1">
      <c r="H1608" s="882"/>
      <c r="I1608" s="876"/>
      <c r="J1608" s="878"/>
      <c r="K1608" s="880"/>
      <c r="L1608" s="882"/>
      <c r="M1608" s="884"/>
      <c r="N1608" s="56">
        <v>721</v>
      </c>
      <c r="O1608" s="79">
        <f>+M1607-O1607</f>
        <v>0</v>
      </c>
    </row>
    <row r="1609" spans="8:15">
      <c r="H1609" s="881">
        <v>197</v>
      </c>
      <c r="I1609" s="875">
        <v>42520</v>
      </c>
      <c r="J1609" s="877" t="s">
        <v>28</v>
      </c>
      <c r="K1609" s="879" t="s">
        <v>952</v>
      </c>
      <c r="L1609" s="881" t="s">
        <v>115</v>
      </c>
      <c r="M1609" s="883">
        <v>60000</v>
      </c>
      <c r="N1609" s="55">
        <v>719</v>
      </c>
      <c r="O1609" s="78">
        <v>60000</v>
      </c>
    </row>
    <row r="1610" spans="8:15" ht="15.75" thickBot="1">
      <c r="H1610" s="882"/>
      <c r="I1610" s="876"/>
      <c r="J1610" s="878"/>
      <c r="K1610" s="880"/>
      <c r="L1610" s="882"/>
      <c r="M1610" s="884"/>
      <c r="N1610" s="56">
        <v>721</v>
      </c>
      <c r="O1610" s="79">
        <f>+M1609-O1609</f>
        <v>0</v>
      </c>
    </row>
    <row r="1611" spans="8:15" ht="15" customHeight="1">
      <c r="H1611" s="881">
        <v>198</v>
      </c>
      <c r="I1611" s="875">
        <v>42520</v>
      </c>
      <c r="J1611" s="877" t="s">
        <v>120</v>
      </c>
      <c r="K1611" s="879" t="s">
        <v>953</v>
      </c>
      <c r="L1611" s="881" t="s">
        <v>115</v>
      </c>
      <c r="M1611" s="883">
        <v>60000</v>
      </c>
      <c r="N1611" s="55">
        <v>719</v>
      </c>
      <c r="O1611" s="78">
        <v>60000</v>
      </c>
    </row>
    <row r="1612" spans="8:15" ht="15.75" customHeight="1" thickBot="1">
      <c r="H1612" s="882"/>
      <c r="I1612" s="876"/>
      <c r="J1612" s="878"/>
      <c r="K1612" s="880"/>
      <c r="L1612" s="882"/>
      <c r="M1612" s="884"/>
      <c r="N1612" s="56">
        <v>721</v>
      </c>
      <c r="O1612" s="79">
        <f>+M1611-O1611</f>
        <v>0</v>
      </c>
    </row>
    <row r="1613" spans="8:15">
      <c r="H1613" s="881"/>
      <c r="I1613" s="875"/>
      <c r="J1613" s="877"/>
      <c r="K1613" s="879"/>
      <c r="L1613" s="881"/>
      <c r="M1613" s="883"/>
      <c r="N1613" s="55">
        <v>719</v>
      </c>
      <c r="O1613" s="78"/>
    </row>
    <row r="1614" spans="8:15" ht="15.75" thickBot="1">
      <c r="H1614" s="882"/>
      <c r="I1614" s="876"/>
      <c r="J1614" s="878"/>
      <c r="K1614" s="880"/>
      <c r="L1614" s="882"/>
      <c r="M1614" s="884"/>
      <c r="N1614" s="56">
        <v>721</v>
      </c>
      <c r="O1614" s="79">
        <f>+M1613-O1613</f>
        <v>0</v>
      </c>
    </row>
    <row r="1615" spans="8:15">
      <c r="H1615" s="881"/>
      <c r="I1615" s="875"/>
      <c r="J1615" s="877"/>
      <c r="K1615" s="881"/>
      <c r="L1615" s="881"/>
      <c r="M1615" s="883"/>
      <c r="N1615" s="55">
        <v>719</v>
      </c>
      <c r="O1615" s="78"/>
    </row>
    <row r="1616" spans="8:15" ht="15.75" thickBot="1">
      <c r="H1616" s="882"/>
      <c r="I1616" s="876"/>
      <c r="J1616" s="878"/>
      <c r="K1616" s="882"/>
      <c r="L1616" s="882"/>
      <c r="M1616" s="884"/>
      <c r="N1616" s="56">
        <v>721</v>
      </c>
      <c r="O1616" s="79">
        <f>+M1615-O1615</f>
        <v>0</v>
      </c>
    </row>
    <row r="1617" spans="8:15" ht="16.5" thickBot="1">
      <c r="H1617" s="901" t="s">
        <v>102</v>
      </c>
      <c r="I1617" s="902"/>
      <c r="J1617" s="902"/>
      <c r="K1617" s="902"/>
      <c r="L1617" s="903"/>
      <c r="M1617" s="81">
        <f>SUM(M1607:M1616)</f>
        <v>260000</v>
      </c>
    </row>
    <row r="1618" spans="8:15" ht="16.5" thickBot="1">
      <c r="H1618" s="885" t="s">
        <v>103</v>
      </c>
      <c r="I1618" s="886"/>
      <c r="J1618" s="886"/>
      <c r="K1618" s="886"/>
      <c r="L1618" s="887"/>
      <c r="M1618" s="69">
        <f>+M1582</f>
        <v>537829975</v>
      </c>
      <c r="N1618" s="241" t="s">
        <v>561</v>
      </c>
      <c r="O1618" s="242">
        <f>108+281</f>
        <v>389</v>
      </c>
    </row>
    <row r="1619" spans="8:15" ht="16.5" thickBot="1">
      <c r="H1619" s="888" t="s">
        <v>104</v>
      </c>
      <c r="I1619" s="889"/>
      <c r="J1619" s="889"/>
      <c r="K1619" s="889"/>
      <c r="L1619" s="890"/>
      <c r="M1619" s="183">
        <f>SUM(M1617:M1618)</f>
        <v>538089975</v>
      </c>
    </row>
    <row r="1620" spans="8:15">
      <c r="H1620" s="61"/>
      <c r="I1620" s="61"/>
      <c r="J1620" s="61"/>
      <c r="K1620" s="61"/>
      <c r="L1620" s="61"/>
    </row>
    <row r="1621" spans="8:15">
      <c r="H1621" s="51" t="s">
        <v>954</v>
      </c>
    </row>
    <row r="1622" spans="8:15" ht="12.75" customHeight="1">
      <c r="M1622" s="139"/>
    </row>
    <row r="1623" spans="8:15">
      <c r="H1623" s="50" t="s">
        <v>105</v>
      </c>
      <c r="K1623" s="146"/>
      <c r="M1623" s="139"/>
    </row>
    <row r="1624" spans="8:15" ht="11.25" customHeight="1" thickBot="1"/>
    <row r="1625" spans="8:15" ht="15.75" thickBot="1">
      <c r="H1625" s="891" t="s">
        <v>106</v>
      </c>
      <c r="I1625" s="892"/>
      <c r="J1625" s="892"/>
      <c r="K1625" s="893"/>
      <c r="M1625" s="50" t="s">
        <v>288</v>
      </c>
    </row>
    <row r="1626" spans="8:15" ht="30.75" thickBot="1">
      <c r="H1626" s="57" t="s">
        <v>100</v>
      </c>
      <c r="I1626" s="58" t="s">
        <v>108</v>
      </c>
      <c r="J1626" s="287" t="s">
        <v>109</v>
      </c>
      <c r="K1626" s="60" t="s">
        <v>110</v>
      </c>
    </row>
    <row r="1627" spans="8:15">
      <c r="H1627" s="71">
        <v>719</v>
      </c>
      <c r="I1627" s="73">
        <f>+O1607+O1609+O1611+O1613+O1615</f>
        <v>260000</v>
      </c>
      <c r="J1627" s="74">
        <f>+K1590</f>
        <v>51940000</v>
      </c>
      <c r="K1627" s="195">
        <f>+I1627+J1627</f>
        <v>52200000</v>
      </c>
    </row>
    <row r="1628" spans="8:15">
      <c r="H1628" s="72">
        <v>721</v>
      </c>
      <c r="I1628" s="80">
        <v>0</v>
      </c>
      <c r="J1628" s="74">
        <f>+K1591</f>
        <v>99208981</v>
      </c>
      <c r="K1628" s="195">
        <f>+I1628+J1628</f>
        <v>99208981</v>
      </c>
    </row>
    <row r="1629" spans="8:15">
      <c r="H1629" s="72">
        <v>722</v>
      </c>
      <c r="I1629" s="80"/>
      <c r="J1629" s="74">
        <f>+K1592</f>
        <v>55831494</v>
      </c>
      <c r="K1629" s="195">
        <f>+I1629+J1629</f>
        <v>55831494</v>
      </c>
    </row>
    <row r="1630" spans="8:15" ht="15.75">
      <c r="H1630" s="72">
        <v>723</v>
      </c>
      <c r="I1630" s="80">
        <f>+O1616+O1614+O1612+O1610+O1608</f>
        <v>0</v>
      </c>
      <c r="J1630" s="74">
        <f>+K1593</f>
        <v>330779500</v>
      </c>
      <c r="K1630" s="195">
        <f>+I1630+J1630</f>
        <v>330779500</v>
      </c>
      <c r="M1630" s="193" t="s">
        <v>289</v>
      </c>
      <c r="N1630" s="175"/>
    </row>
    <row r="1631" spans="8:15" ht="16.5" thickBot="1">
      <c r="H1631" s="164" t="s">
        <v>181</v>
      </c>
      <c r="I1631" s="165"/>
      <c r="J1631" s="74">
        <f>+K1594</f>
        <v>0</v>
      </c>
      <c r="K1631" s="196">
        <f>+I1631+J1631</f>
        <v>0</v>
      </c>
      <c r="M1631" s="52"/>
    </row>
    <row r="1632" spans="8:15" ht="16.5" thickBot="1">
      <c r="H1632" s="169"/>
      <c r="I1632" s="197">
        <f>SUM(I1627:I1631)</f>
        <v>260000</v>
      </c>
      <c r="J1632" s="197">
        <f>SUM(J1627:J1631)</f>
        <v>537759975</v>
      </c>
      <c r="K1632" s="198">
        <f>SUM(K1627:K1631)</f>
        <v>538019975</v>
      </c>
    </row>
    <row r="1633" spans="8:15" ht="16.5">
      <c r="H1633" s="49" t="s">
        <v>88</v>
      </c>
      <c r="I1633" s="50"/>
    </row>
    <row r="1634" spans="8:15">
      <c r="H1634" s="51" t="s">
        <v>89</v>
      </c>
    </row>
    <row r="1635" spans="8:15">
      <c r="H1635" s="51" t="s">
        <v>90</v>
      </c>
    </row>
    <row r="1636" spans="8:15">
      <c r="H1636" s="51" t="s">
        <v>91</v>
      </c>
    </row>
    <row r="1637" spans="8:15" ht="12" customHeight="1">
      <c r="H1637" s="50"/>
      <c r="I1637" s="50"/>
    </row>
    <row r="1638" spans="8:15" ht="15.75">
      <c r="H1638" s="260" t="s">
        <v>949</v>
      </c>
      <c r="N1638" s="52"/>
    </row>
    <row r="1639" spans="8:15" ht="15.75">
      <c r="H1639" s="53" t="s">
        <v>535</v>
      </c>
      <c r="N1639" s="53"/>
    </row>
    <row r="1640" spans="8:15" ht="16.5">
      <c r="H1640" s="894" t="s">
        <v>909</v>
      </c>
      <c r="I1640" s="894"/>
      <c r="J1640" s="894"/>
      <c r="K1640" s="894"/>
      <c r="L1640" s="894"/>
      <c r="M1640" s="894"/>
      <c r="N1640" s="894"/>
      <c r="O1640" s="894"/>
    </row>
    <row r="1641" spans="8:15" ht="15.75" thickBot="1"/>
    <row r="1642" spans="8:15">
      <c r="H1642" s="895" t="s">
        <v>94</v>
      </c>
      <c r="I1642" s="897" t="s">
        <v>95</v>
      </c>
      <c r="J1642" s="897" t="s">
        <v>96</v>
      </c>
      <c r="K1642" s="897" t="s">
        <v>3</v>
      </c>
      <c r="L1642" s="897" t="s">
        <v>97</v>
      </c>
      <c r="M1642" s="897" t="s">
        <v>98</v>
      </c>
      <c r="N1642" s="897" t="s">
        <v>99</v>
      </c>
      <c r="O1642" s="899"/>
    </row>
    <row r="1643" spans="8:15" ht="15.75" thickBot="1">
      <c r="H1643" s="896"/>
      <c r="I1643" s="898"/>
      <c r="J1643" s="898"/>
      <c r="K1643" s="898"/>
      <c r="L1643" s="898"/>
      <c r="M1643" s="898"/>
      <c r="N1643" s="240" t="s">
        <v>100</v>
      </c>
      <c r="O1643" s="182" t="s">
        <v>101</v>
      </c>
    </row>
    <row r="1644" spans="8:15" ht="15" customHeight="1">
      <c r="H1644" s="881">
        <v>199</v>
      </c>
      <c r="I1644" s="875">
        <v>42520</v>
      </c>
      <c r="J1644" s="877" t="s">
        <v>267</v>
      </c>
      <c r="K1644" s="879" t="s">
        <v>955</v>
      </c>
      <c r="L1644" s="881" t="s">
        <v>148</v>
      </c>
      <c r="M1644" s="883">
        <v>42000</v>
      </c>
      <c r="N1644" s="55">
        <v>719</v>
      </c>
      <c r="O1644" s="78">
        <v>30000</v>
      </c>
    </row>
    <row r="1645" spans="8:15" ht="15.75" customHeight="1" thickBot="1">
      <c r="H1645" s="882"/>
      <c r="I1645" s="876"/>
      <c r="J1645" s="878"/>
      <c r="K1645" s="880"/>
      <c r="L1645" s="882"/>
      <c r="M1645" s="884"/>
      <c r="N1645" s="56">
        <v>721</v>
      </c>
      <c r="O1645" s="79">
        <f>+M1644-O1644</f>
        <v>12000</v>
      </c>
    </row>
    <row r="1646" spans="8:15" ht="15" customHeight="1">
      <c r="H1646" s="881">
        <v>200</v>
      </c>
      <c r="I1646" s="875">
        <v>42520</v>
      </c>
      <c r="J1646" s="877" t="s">
        <v>28</v>
      </c>
      <c r="K1646" s="879" t="s">
        <v>956</v>
      </c>
      <c r="L1646" s="881" t="s">
        <v>148</v>
      </c>
      <c r="M1646" s="883">
        <v>224000</v>
      </c>
      <c r="N1646" s="55">
        <v>719</v>
      </c>
      <c r="O1646" s="78">
        <v>160000</v>
      </c>
    </row>
    <row r="1647" spans="8:15" ht="15.75" customHeight="1" thickBot="1">
      <c r="H1647" s="882"/>
      <c r="I1647" s="876"/>
      <c r="J1647" s="878"/>
      <c r="K1647" s="880"/>
      <c r="L1647" s="882"/>
      <c r="M1647" s="884"/>
      <c r="N1647" s="56">
        <v>721</v>
      </c>
      <c r="O1647" s="79">
        <f>+M1646-O1646</f>
        <v>64000</v>
      </c>
    </row>
    <row r="1648" spans="8:15" ht="15" customHeight="1">
      <c r="H1648" s="881">
        <v>201</v>
      </c>
      <c r="I1648" s="875">
        <v>42520</v>
      </c>
      <c r="J1648" s="877" t="s">
        <v>111</v>
      </c>
      <c r="K1648" s="879" t="s">
        <v>957</v>
      </c>
      <c r="L1648" s="881" t="s">
        <v>148</v>
      </c>
      <c r="M1648" s="883">
        <v>56000</v>
      </c>
      <c r="N1648" s="55">
        <v>719</v>
      </c>
      <c r="O1648" s="78">
        <v>40000</v>
      </c>
    </row>
    <row r="1649" spans="8:15" ht="15.75" customHeight="1" thickBot="1">
      <c r="H1649" s="882"/>
      <c r="I1649" s="876"/>
      <c r="J1649" s="878"/>
      <c r="K1649" s="880"/>
      <c r="L1649" s="882"/>
      <c r="M1649" s="884"/>
      <c r="N1649" s="56">
        <v>721</v>
      </c>
      <c r="O1649" s="79">
        <f>+M1648-O1648</f>
        <v>16000</v>
      </c>
    </row>
    <row r="1650" spans="8:15" ht="15" customHeight="1">
      <c r="H1650" s="881">
        <v>202</v>
      </c>
      <c r="I1650" s="875">
        <v>42520</v>
      </c>
      <c r="J1650" s="877" t="s">
        <v>272</v>
      </c>
      <c r="K1650" s="879" t="s">
        <v>956</v>
      </c>
      <c r="L1650" s="881" t="s">
        <v>148</v>
      </c>
      <c r="M1650" s="883">
        <v>546000</v>
      </c>
      <c r="N1650" s="55">
        <v>719</v>
      </c>
      <c r="O1650" s="78">
        <v>390000</v>
      </c>
    </row>
    <row r="1651" spans="8:15" ht="15.75" customHeight="1" thickBot="1">
      <c r="H1651" s="882"/>
      <c r="I1651" s="876"/>
      <c r="J1651" s="878"/>
      <c r="K1651" s="880"/>
      <c r="L1651" s="882"/>
      <c r="M1651" s="884"/>
      <c r="N1651" s="56">
        <v>721</v>
      </c>
      <c r="O1651" s="79">
        <f>+M1650-O1650</f>
        <v>156000</v>
      </c>
    </row>
    <row r="1652" spans="8:15">
      <c r="H1652" s="881"/>
      <c r="I1652" s="875"/>
      <c r="J1652" s="877"/>
      <c r="K1652" s="881"/>
      <c r="L1652" s="881"/>
      <c r="M1652" s="883"/>
      <c r="N1652" s="55">
        <v>719</v>
      </c>
      <c r="O1652" s="78"/>
    </row>
    <row r="1653" spans="8:15" ht="15.75" thickBot="1">
      <c r="H1653" s="882"/>
      <c r="I1653" s="876"/>
      <c r="J1653" s="878"/>
      <c r="K1653" s="882"/>
      <c r="L1653" s="882"/>
      <c r="M1653" s="884"/>
      <c r="N1653" s="56">
        <v>721</v>
      </c>
      <c r="O1653" s="79">
        <f>+M1652-O1652</f>
        <v>0</v>
      </c>
    </row>
    <row r="1654" spans="8:15" ht="16.5" thickBot="1">
      <c r="H1654" s="901" t="s">
        <v>102</v>
      </c>
      <c r="I1654" s="902"/>
      <c r="J1654" s="902"/>
      <c r="K1654" s="902"/>
      <c r="L1654" s="903"/>
      <c r="M1654" s="81">
        <f>SUM(M1644:M1653)</f>
        <v>868000</v>
      </c>
    </row>
    <row r="1655" spans="8:15" ht="16.5" thickBot="1">
      <c r="H1655" s="885" t="s">
        <v>103</v>
      </c>
      <c r="I1655" s="886"/>
      <c r="J1655" s="886"/>
      <c r="K1655" s="886"/>
      <c r="L1655" s="887"/>
      <c r="M1655" s="69">
        <f>+M1619</f>
        <v>538089975</v>
      </c>
      <c r="N1655" s="241" t="s">
        <v>561</v>
      </c>
      <c r="O1655" s="242">
        <f>941+20+470+17</f>
        <v>1448</v>
      </c>
    </row>
    <row r="1656" spans="8:15" ht="16.5" thickBot="1">
      <c r="H1656" s="888" t="s">
        <v>104</v>
      </c>
      <c r="I1656" s="889"/>
      <c r="J1656" s="889"/>
      <c r="K1656" s="889"/>
      <c r="L1656" s="890"/>
      <c r="M1656" s="183">
        <f>SUM(M1654:M1655)</f>
        <v>538957975</v>
      </c>
    </row>
    <row r="1657" spans="8:15">
      <c r="H1657" s="61"/>
      <c r="I1657" s="61"/>
      <c r="J1657" s="61"/>
      <c r="K1657" s="61"/>
      <c r="L1657" s="61"/>
    </row>
    <row r="1658" spans="8:15">
      <c r="H1658" s="51" t="s">
        <v>962</v>
      </c>
    </row>
    <row r="1659" spans="8:15" ht="11.25" customHeight="1">
      <c r="M1659" s="139"/>
    </row>
    <row r="1660" spans="8:15">
      <c r="H1660" s="50" t="s">
        <v>105</v>
      </c>
      <c r="K1660" s="146"/>
      <c r="M1660" s="139"/>
    </row>
    <row r="1661" spans="8:15" ht="13.5" customHeight="1" thickBot="1"/>
    <row r="1662" spans="8:15" ht="15.75" thickBot="1">
      <c r="H1662" s="891" t="s">
        <v>106</v>
      </c>
      <c r="I1662" s="892"/>
      <c r="J1662" s="892"/>
      <c r="K1662" s="893"/>
      <c r="M1662" s="50" t="s">
        <v>288</v>
      </c>
    </row>
    <row r="1663" spans="8:15" ht="30.75" thickBot="1">
      <c r="H1663" s="57" t="s">
        <v>100</v>
      </c>
      <c r="I1663" s="58" t="s">
        <v>108</v>
      </c>
      <c r="J1663" s="287" t="s">
        <v>109</v>
      </c>
      <c r="K1663" s="60" t="s">
        <v>110</v>
      </c>
    </row>
    <row r="1664" spans="8:15">
      <c r="H1664" s="71">
        <v>719</v>
      </c>
      <c r="I1664" s="73">
        <f>+O1644+O1646+O1648+O1650+O1652</f>
        <v>620000</v>
      </c>
      <c r="J1664" s="74">
        <f>+K1627</f>
        <v>52200000</v>
      </c>
      <c r="K1664" s="195">
        <f>+I1664+J1664</f>
        <v>52820000</v>
      </c>
    </row>
    <row r="1665" spans="8:15">
      <c r="H1665" s="72">
        <v>721</v>
      </c>
      <c r="I1665" s="80">
        <f>+O1645+O1647+O1649+O1651</f>
        <v>248000</v>
      </c>
      <c r="J1665" s="74">
        <f>+K1628</f>
        <v>99208981</v>
      </c>
      <c r="K1665" s="195">
        <f>+I1665+J1665</f>
        <v>99456981</v>
      </c>
    </row>
    <row r="1666" spans="8:15">
      <c r="H1666" s="72">
        <v>722</v>
      </c>
      <c r="I1666" s="80"/>
      <c r="J1666" s="74">
        <f>+K1629</f>
        <v>55831494</v>
      </c>
      <c r="K1666" s="195">
        <f>+I1666+J1666</f>
        <v>55831494</v>
      </c>
    </row>
    <row r="1667" spans="8:15" ht="15.75">
      <c r="H1667" s="72">
        <v>723</v>
      </c>
      <c r="I1667" s="80"/>
      <c r="J1667" s="74">
        <f>+K1630</f>
        <v>330779500</v>
      </c>
      <c r="K1667" s="195">
        <f>+I1667+J1667</f>
        <v>330779500</v>
      </c>
      <c r="M1667" s="193" t="s">
        <v>289</v>
      </c>
      <c r="N1667" s="175"/>
    </row>
    <row r="1668" spans="8:15" ht="16.5" thickBot="1">
      <c r="H1668" s="164" t="s">
        <v>181</v>
      </c>
      <c r="I1668" s="165"/>
      <c r="J1668" s="74">
        <f>+K1631</f>
        <v>0</v>
      </c>
      <c r="K1668" s="196">
        <f>+I1668+J1668</f>
        <v>0</v>
      </c>
      <c r="M1668" s="52"/>
    </row>
    <row r="1669" spans="8:15" ht="16.5" thickBot="1">
      <c r="H1669" s="169"/>
      <c r="I1669" s="197">
        <f>SUM(I1664:I1668)</f>
        <v>868000</v>
      </c>
      <c r="J1669" s="197">
        <f>SUM(J1664:J1668)</f>
        <v>538019975</v>
      </c>
      <c r="K1669" s="198">
        <f>SUM(K1664:K1668)</f>
        <v>538887975</v>
      </c>
    </row>
    <row r="1670" spans="8:15" ht="16.5">
      <c r="H1670" s="49" t="s">
        <v>88</v>
      </c>
      <c r="I1670" s="50"/>
    </row>
    <row r="1671" spans="8:15">
      <c r="H1671" s="51" t="s">
        <v>89</v>
      </c>
    </row>
    <row r="1672" spans="8:15">
      <c r="H1672" s="51" t="s">
        <v>90</v>
      </c>
    </row>
    <row r="1673" spans="8:15">
      <c r="H1673" s="51" t="s">
        <v>91</v>
      </c>
    </row>
    <row r="1674" spans="8:15" ht="12.75" customHeight="1">
      <c r="H1674" s="50"/>
      <c r="I1674" s="50"/>
    </row>
    <row r="1675" spans="8:15" ht="15.75">
      <c r="H1675" s="260" t="s">
        <v>950</v>
      </c>
      <c r="N1675" s="52"/>
    </row>
    <row r="1676" spans="8:15" ht="15.75">
      <c r="H1676" s="53" t="s">
        <v>535</v>
      </c>
      <c r="N1676" s="53"/>
    </row>
    <row r="1677" spans="8:15" ht="16.5">
      <c r="H1677" s="894" t="s">
        <v>909</v>
      </c>
      <c r="I1677" s="894"/>
      <c r="J1677" s="894"/>
      <c r="K1677" s="894"/>
      <c r="L1677" s="894"/>
      <c r="M1677" s="894"/>
      <c r="N1677" s="894"/>
      <c r="O1677" s="894"/>
    </row>
    <row r="1678" spans="8:15" ht="15.75" thickBot="1"/>
    <row r="1679" spans="8:15">
      <c r="H1679" s="895" t="s">
        <v>94</v>
      </c>
      <c r="I1679" s="897" t="s">
        <v>95</v>
      </c>
      <c r="J1679" s="897" t="s">
        <v>96</v>
      </c>
      <c r="K1679" s="897" t="s">
        <v>3</v>
      </c>
      <c r="L1679" s="897" t="s">
        <v>97</v>
      </c>
      <c r="M1679" s="897" t="s">
        <v>98</v>
      </c>
      <c r="N1679" s="897" t="s">
        <v>99</v>
      </c>
      <c r="O1679" s="899"/>
    </row>
    <row r="1680" spans="8:15" ht="15.75" thickBot="1">
      <c r="H1680" s="896"/>
      <c r="I1680" s="898"/>
      <c r="J1680" s="898"/>
      <c r="K1680" s="898"/>
      <c r="L1680" s="898"/>
      <c r="M1680" s="898"/>
      <c r="N1680" s="240" t="s">
        <v>100</v>
      </c>
      <c r="O1680" s="182" t="s">
        <v>101</v>
      </c>
    </row>
    <row r="1681" spans="8:15" ht="15" customHeight="1">
      <c r="H1681" s="881">
        <v>203</v>
      </c>
      <c r="I1681" s="875">
        <v>42520</v>
      </c>
      <c r="J1681" s="877" t="s">
        <v>267</v>
      </c>
      <c r="K1681" s="879" t="s">
        <v>958</v>
      </c>
      <c r="L1681" s="881" t="s">
        <v>148</v>
      </c>
      <c r="M1681" s="883">
        <v>28000</v>
      </c>
      <c r="N1681" s="55">
        <v>719</v>
      </c>
      <c r="O1681" s="78">
        <v>20000</v>
      </c>
    </row>
    <row r="1682" spans="8:15" ht="15.75" customHeight="1" thickBot="1">
      <c r="H1682" s="882"/>
      <c r="I1682" s="876"/>
      <c r="J1682" s="878"/>
      <c r="K1682" s="880"/>
      <c r="L1682" s="882"/>
      <c r="M1682" s="884"/>
      <c r="N1682" s="56">
        <v>721</v>
      </c>
      <c r="O1682" s="79">
        <f>+M1681-O1681</f>
        <v>8000</v>
      </c>
    </row>
    <row r="1683" spans="8:15" ht="15" customHeight="1">
      <c r="H1683" s="881">
        <v>204</v>
      </c>
      <c r="I1683" s="875">
        <v>42520</v>
      </c>
      <c r="J1683" s="877" t="s">
        <v>28</v>
      </c>
      <c r="K1683" s="879" t="s">
        <v>959</v>
      </c>
      <c r="L1683" s="881" t="s">
        <v>148</v>
      </c>
      <c r="M1683" s="883">
        <v>238000</v>
      </c>
      <c r="N1683" s="55">
        <v>719</v>
      </c>
      <c r="O1683" s="78">
        <v>170000</v>
      </c>
    </row>
    <row r="1684" spans="8:15" ht="15.75" customHeight="1" thickBot="1">
      <c r="H1684" s="882"/>
      <c r="I1684" s="876"/>
      <c r="J1684" s="878"/>
      <c r="K1684" s="880"/>
      <c r="L1684" s="882"/>
      <c r="M1684" s="884"/>
      <c r="N1684" s="56">
        <v>721</v>
      </c>
      <c r="O1684" s="79">
        <f>+M1683-O1683</f>
        <v>68000</v>
      </c>
    </row>
    <row r="1685" spans="8:15" ht="15" customHeight="1">
      <c r="H1685" s="881">
        <v>205</v>
      </c>
      <c r="I1685" s="875">
        <v>42520</v>
      </c>
      <c r="J1685" s="877" t="s">
        <v>111</v>
      </c>
      <c r="K1685" s="879" t="s">
        <v>960</v>
      </c>
      <c r="L1685" s="881" t="s">
        <v>148</v>
      </c>
      <c r="M1685" s="883">
        <v>84000</v>
      </c>
      <c r="N1685" s="55">
        <v>719</v>
      </c>
      <c r="O1685" s="78">
        <v>60000</v>
      </c>
    </row>
    <row r="1686" spans="8:15" ht="15.75" customHeight="1" thickBot="1">
      <c r="H1686" s="882"/>
      <c r="I1686" s="876"/>
      <c r="J1686" s="878"/>
      <c r="K1686" s="880"/>
      <c r="L1686" s="882"/>
      <c r="M1686" s="884"/>
      <c r="N1686" s="56">
        <v>721</v>
      </c>
      <c r="O1686" s="79">
        <f>+M1685-O1685</f>
        <v>24000</v>
      </c>
    </row>
    <row r="1687" spans="8:15" ht="15" customHeight="1">
      <c r="H1687" s="881">
        <v>206</v>
      </c>
      <c r="I1687" s="875">
        <v>42520</v>
      </c>
      <c r="J1687" s="877" t="s">
        <v>272</v>
      </c>
      <c r="K1687" s="879" t="s">
        <v>959</v>
      </c>
      <c r="L1687" s="881" t="s">
        <v>148</v>
      </c>
      <c r="M1687" s="883">
        <v>504000</v>
      </c>
      <c r="N1687" s="55">
        <v>719</v>
      </c>
      <c r="O1687" s="78">
        <v>360000</v>
      </c>
    </row>
    <row r="1688" spans="8:15" ht="15.75" customHeight="1" thickBot="1">
      <c r="H1688" s="882"/>
      <c r="I1688" s="876"/>
      <c r="J1688" s="878"/>
      <c r="K1688" s="880"/>
      <c r="L1688" s="882"/>
      <c r="M1688" s="884"/>
      <c r="N1688" s="56">
        <v>721</v>
      </c>
      <c r="O1688" s="79">
        <f>+M1687-O1687</f>
        <v>144000</v>
      </c>
    </row>
    <row r="1689" spans="8:15">
      <c r="H1689" s="881"/>
      <c r="I1689" s="875"/>
      <c r="J1689" s="877"/>
      <c r="K1689" s="881"/>
      <c r="L1689" s="881"/>
      <c r="M1689" s="883"/>
      <c r="N1689" s="55">
        <v>719</v>
      </c>
      <c r="O1689" s="78"/>
    </row>
    <row r="1690" spans="8:15" ht="15.75" thickBot="1">
      <c r="H1690" s="882"/>
      <c r="I1690" s="876"/>
      <c r="J1690" s="878"/>
      <c r="K1690" s="882"/>
      <c r="L1690" s="882"/>
      <c r="M1690" s="884"/>
      <c r="N1690" s="56">
        <v>721</v>
      </c>
      <c r="O1690" s="79">
        <f>+M1689-O1689</f>
        <v>0</v>
      </c>
    </row>
    <row r="1691" spans="8:15" ht="16.5" thickBot="1">
      <c r="H1691" s="901" t="s">
        <v>102</v>
      </c>
      <c r="I1691" s="902"/>
      <c r="J1691" s="902"/>
      <c r="K1691" s="902"/>
      <c r="L1691" s="903"/>
      <c r="M1691" s="81">
        <f>SUM(M1681:M1690)</f>
        <v>854000</v>
      </c>
    </row>
    <row r="1692" spans="8:15" ht="16.5" thickBot="1">
      <c r="H1692" s="885" t="s">
        <v>103</v>
      </c>
      <c r="I1692" s="886"/>
      <c r="J1692" s="886"/>
      <c r="K1692" s="886"/>
      <c r="L1692" s="887"/>
      <c r="M1692" s="69">
        <f>+M1656</f>
        <v>538957975</v>
      </c>
      <c r="N1692" s="241" t="s">
        <v>561</v>
      </c>
      <c r="O1692" s="242">
        <f>746+26+428+20</f>
        <v>1220</v>
      </c>
    </row>
    <row r="1693" spans="8:15" ht="16.5" thickBot="1">
      <c r="H1693" s="888" t="s">
        <v>104</v>
      </c>
      <c r="I1693" s="889"/>
      <c r="J1693" s="889"/>
      <c r="K1693" s="889"/>
      <c r="L1693" s="890"/>
      <c r="M1693" s="183">
        <f>SUM(M1691:M1692)</f>
        <v>539811975</v>
      </c>
    </row>
    <row r="1694" spans="8:15">
      <c r="H1694" s="61"/>
      <c r="I1694" s="61"/>
      <c r="J1694" s="61"/>
      <c r="K1694" s="61"/>
      <c r="L1694" s="61"/>
    </row>
    <row r="1695" spans="8:15">
      <c r="H1695" s="51" t="s">
        <v>961</v>
      </c>
    </row>
    <row r="1696" spans="8:15" ht="12" customHeight="1">
      <c r="M1696" s="139"/>
    </row>
    <row r="1697" spans="8:14">
      <c r="H1697" s="50" t="s">
        <v>105</v>
      </c>
      <c r="K1697" s="146"/>
      <c r="M1697" s="139"/>
    </row>
    <row r="1698" spans="8:14" ht="11.25" customHeight="1" thickBot="1"/>
    <row r="1699" spans="8:14" ht="15.75" thickBot="1">
      <c r="H1699" s="891" t="s">
        <v>106</v>
      </c>
      <c r="I1699" s="892"/>
      <c r="J1699" s="892"/>
      <c r="K1699" s="893"/>
      <c r="M1699" s="50" t="s">
        <v>288</v>
      </c>
    </row>
    <row r="1700" spans="8:14" ht="30.75" thickBot="1">
      <c r="H1700" s="57" t="s">
        <v>100</v>
      </c>
      <c r="I1700" s="58" t="s">
        <v>108</v>
      </c>
      <c r="J1700" s="287" t="s">
        <v>109</v>
      </c>
      <c r="K1700" s="60" t="s">
        <v>110</v>
      </c>
    </row>
    <row r="1701" spans="8:14">
      <c r="H1701" s="71">
        <v>719</v>
      </c>
      <c r="I1701" s="73">
        <f>+O1681+O1683+O1685+O1687+O1689</f>
        <v>610000</v>
      </c>
      <c r="J1701" s="74">
        <f>+K1664</f>
        <v>52820000</v>
      </c>
      <c r="K1701" s="195">
        <f>+I1701+J1701</f>
        <v>53430000</v>
      </c>
    </row>
    <row r="1702" spans="8:14">
      <c r="H1702" s="72">
        <v>721</v>
      </c>
      <c r="I1702" s="80">
        <f>+O1682+O1684+O1686+O1688</f>
        <v>244000</v>
      </c>
      <c r="J1702" s="74">
        <f>+K1665</f>
        <v>99456981</v>
      </c>
      <c r="K1702" s="195">
        <f>+I1702+J1702</f>
        <v>99700981</v>
      </c>
    </row>
    <row r="1703" spans="8:14">
      <c r="H1703" s="72">
        <v>722</v>
      </c>
      <c r="I1703" s="80"/>
      <c r="J1703" s="74">
        <f>+K1666</f>
        <v>55831494</v>
      </c>
      <c r="K1703" s="195">
        <f>+I1703+J1703</f>
        <v>55831494</v>
      </c>
    </row>
    <row r="1704" spans="8:14" ht="15.75">
      <c r="H1704" s="72">
        <v>723</v>
      </c>
      <c r="I1704" s="80"/>
      <c r="J1704" s="74">
        <f>+K1667</f>
        <v>330779500</v>
      </c>
      <c r="K1704" s="195">
        <f>+I1704+J1704</f>
        <v>330779500</v>
      </c>
      <c r="M1704" s="193" t="s">
        <v>289</v>
      </c>
      <c r="N1704" s="175"/>
    </row>
    <row r="1705" spans="8:14" ht="16.5" thickBot="1">
      <c r="H1705" s="164" t="s">
        <v>181</v>
      </c>
      <c r="I1705" s="165"/>
      <c r="J1705" s="74">
        <f>+K1668</f>
        <v>0</v>
      </c>
      <c r="K1705" s="196">
        <f>+I1705+J1705</f>
        <v>0</v>
      </c>
      <c r="M1705" s="52"/>
    </row>
    <row r="1706" spans="8:14" ht="16.5" thickBot="1">
      <c r="H1706" s="169"/>
      <c r="I1706" s="197">
        <f>SUM(I1701:I1705)</f>
        <v>854000</v>
      </c>
      <c r="J1706" s="197">
        <f>SUM(J1701:J1705)</f>
        <v>538887975</v>
      </c>
      <c r="K1706" s="198">
        <f>SUM(K1701:K1705)</f>
        <v>539741975</v>
      </c>
    </row>
    <row r="1707" spans="8:14" ht="16.5">
      <c r="H1707" s="49" t="s">
        <v>88</v>
      </c>
      <c r="I1707" s="50"/>
    </row>
    <row r="1708" spans="8:14">
      <c r="H1708" s="51" t="s">
        <v>89</v>
      </c>
    </row>
    <row r="1709" spans="8:14">
      <c r="H1709" s="51" t="s">
        <v>90</v>
      </c>
    </row>
    <row r="1710" spans="8:14">
      <c r="H1710" s="51" t="s">
        <v>91</v>
      </c>
    </row>
    <row r="1711" spans="8:14" ht="12.75" customHeight="1">
      <c r="H1711" s="50"/>
      <c r="I1711" s="50"/>
    </row>
    <row r="1712" spans="8:14" ht="15.75">
      <c r="H1712" s="260" t="s">
        <v>976</v>
      </c>
      <c r="N1712" s="52"/>
    </row>
    <row r="1713" spans="8:15" ht="15.75">
      <c r="H1713" s="53" t="s">
        <v>535</v>
      </c>
      <c r="N1713" s="53"/>
    </row>
    <row r="1714" spans="8:15" ht="16.5">
      <c r="H1714" s="894" t="s">
        <v>967</v>
      </c>
      <c r="I1714" s="894"/>
      <c r="J1714" s="894"/>
      <c r="K1714" s="894"/>
      <c r="L1714" s="894"/>
      <c r="M1714" s="894"/>
      <c r="N1714" s="894"/>
      <c r="O1714" s="894"/>
    </row>
    <row r="1715" spans="8:15" ht="15.75" thickBot="1"/>
    <row r="1716" spans="8:15">
      <c r="H1716" s="916" t="s">
        <v>968</v>
      </c>
      <c r="I1716" s="912" t="s">
        <v>95</v>
      </c>
      <c r="J1716" s="912" t="s">
        <v>96</v>
      </c>
      <c r="K1716" s="912" t="s">
        <v>3</v>
      </c>
      <c r="L1716" s="912" t="s">
        <v>97</v>
      </c>
      <c r="M1716" s="912" t="s">
        <v>98</v>
      </c>
      <c r="N1716" s="914" t="s">
        <v>99</v>
      </c>
      <c r="O1716" s="915"/>
    </row>
    <row r="1717" spans="8:15" ht="15.75" thickBot="1">
      <c r="H1717" s="917"/>
      <c r="I1717" s="913"/>
      <c r="J1717" s="913"/>
      <c r="K1717" s="913"/>
      <c r="L1717" s="913"/>
      <c r="M1717" s="913"/>
      <c r="N1717" s="240" t="s">
        <v>100</v>
      </c>
      <c r="O1717" s="182" t="s">
        <v>101</v>
      </c>
    </row>
    <row r="1718" spans="8:15" ht="12" customHeight="1">
      <c r="H1718" s="873" t="s">
        <v>545</v>
      </c>
      <c r="I1718" s="875">
        <v>42520</v>
      </c>
      <c r="J1718" s="910" t="s">
        <v>695</v>
      </c>
      <c r="K1718" s="879" t="s">
        <v>556</v>
      </c>
      <c r="L1718" s="881" t="s">
        <v>148</v>
      </c>
      <c r="M1718" s="883"/>
      <c r="N1718" s="55">
        <v>719</v>
      </c>
      <c r="O1718" s="78"/>
    </row>
    <row r="1719" spans="8:15" ht="12.75" customHeight="1" thickBot="1">
      <c r="H1719" s="874"/>
      <c r="I1719" s="876"/>
      <c r="J1719" s="911"/>
      <c r="K1719" s="880"/>
      <c r="L1719" s="882"/>
      <c r="M1719" s="884"/>
      <c r="N1719" s="56">
        <v>723</v>
      </c>
      <c r="O1719" s="79">
        <f>+M1718-O1718</f>
        <v>0</v>
      </c>
    </row>
    <row r="1720" spans="8:15" ht="12.75" customHeight="1">
      <c r="H1720" s="873" t="s">
        <v>547</v>
      </c>
      <c r="I1720" s="875">
        <v>42520</v>
      </c>
      <c r="J1720" s="910" t="s">
        <v>695</v>
      </c>
      <c r="K1720" s="879" t="s">
        <v>556</v>
      </c>
      <c r="L1720" s="881" t="s">
        <v>115</v>
      </c>
      <c r="M1720" s="883"/>
      <c r="N1720" s="55">
        <v>719</v>
      </c>
      <c r="O1720" s="78"/>
    </row>
    <row r="1721" spans="8:15" ht="13.5" customHeight="1" thickBot="1">
      <c r="H1721" s="874"/>
      <c r="I1721" s="876"/>
      <c r="J1721" s="911"/>
      <c r="K1721" s="880"/>
      <c r="L1721" s="882"/>
      <c r="M1721" s="884"/>
      <c r="N1721" s="56">
        <v>723</v>
      </c>
      <c r="O1721" s="79">
        <f>+M1720-O1720</f>
        <v>0</v>
      </c>
    </row>
    <row r="1722" spans="8:15" ht="11.25" customHeight="1">
      <c r="H1722" s="873" t="s">
        <v>548</v>
      </c>
      <c r="I1722" s="875">
        <v>42520</v>
      </c>
      <c r="J1722" s="877" t="s">
        <v>701</v>
      </c>
      <c r="K1722" s="879" t="s">
        <v>556</v>
      </c>
      <c r="L1722" s="881" t="s">
        <v>148</v>
      </c>
      <c r="M1722" s="883"/>
      <c r="N1722" s="55">
        <v>719</v>
      </c>
      <c r="O1722" s="78"/>
    </row>
    <row r="1723" spans="8:15" ht="13.5" customHeight="1" thickBot="1">
      <c r="H1723" s="874"/>
      <c r="I1723" s="876"/>
      <c r="J1723" s="878"/>
      <c r="K1723" s="880"/>
      <c r="L1723" s="882"/>
      <c r="M1723" s="884"/>
      <c r="N1723" s="56">
        <v>723</v>
      </c>
      <c r="O1723" s="79">
        <f>+M1722-O1722</f>
        <v>0</v>
      </c>
    </row>
    <row r="1724" spans="8:15" ht="12.75" customHeight="1">
      <c r="H1724" s="873" t="s">
        <v>549</v>
      </c>
      <c r="I1724" s="875">
        <v>42520</v>
      </c>
      <c r="J1724" s="877" t="s">
        <v>673</v>
      </c>
      <c r="K1724" s="879" t="s">
        <v>556</v>
      </c>
      <c r="L1724" s="881" t="s">
        <v>148</v>
      </c>
      <c r="M1724" s="883"/>
      <c r="N1724" s="55">
        <v>719</v>
      </c>
      <c r="O1724" s="78"/>
    </row>
    <row r="1725" spans="8:15" ht="14.25" customHeight="1" thickBot="1">
      <c r="H1725" s="874"/>
      <c r="I1725" s="876"/>
      <c r="J1725" s="878"/>
      <c r="K1725" s="880"/>
      <c r="L1725" s="882"/>
      <c r="M1725" s="884"/>
      <c r="N1725" s="56">
        <v>723</v>
      </c>
      <c r="O1725" s="79">
        <f>+M1724-O1724</f>
        <v>0</v>
      </c>
    </row>
    <row r="1726" spans="8:15" ht="12" customHeight="1">
      <c r="H1726" s="873" t="s">
        <v>550</v>
      </c>
      <c r="I1726" s="875">
        <v>42520</v>
      </c>
      <c r="J1726" s="877" t="s">
        <v>729</v>
      </c>
      <c r="K1726" s="879" t="s">
        <v>556</v>
      </c>
      <c r="L1726" s="881" t="s">
        <v>148</v>
      </c>
      <c r="M1726" s="883"/>
      <c r="N1726" s="55">
        <v>719</v>
      </c>
      <c r="O1726" s="78"/>
    </row>
    <row r="1727" spans="8:15" ht="12.75" customHeight="1" thickBot="1">
      <c r="H1727" s="874"/>
      <c r="I1727" s="876"/>
      <c r="J1727" s="878"/>
      <c r="K1727" s="880"/>
      <c r="L1727" s="882"/>
      <c r="M1727" s="884"/>
      <c r="N1727" s="56">
        <v>723</v>
      </c>
      <c r="O1727" s="79">
        <f>+M1726-O1726</f>
        <v>0</v>
      </c>
    </row>
    <row r="1728" spans="8:15" ht="12.75" customHeight="1">
      <c r="H1728" s="873" t="s">
        <v>551</v>
      </c>
      <c r="I1728" s="875">
        <v>42520</v>
      </c>
      <c r="J1728" s="877" t="s">
        <v>694</v>
      </c>
      <c r="K1728" s="879" t="s">
        <v>556</v>
      </c>
      <c r="L1728" s="881" t="s">
        <v>148</v>
      </c>
      <c r="M1728" s="883"/>
      <c r="N1728" s="55">
        <v>719</v>
      </c>
      <c r="O1728" s="78"/>
    </row>
    <row r="1729" spans="8:18" ht="13.5" customHeight="1" thickBot="1">
      <c r="H1729" s="874"/>
      <c r="I1729" s="876"/>
      <c r="J1729" s="878"/>
      <c r="K1729" s="880"/>
      <c r="L1729" s="882"/>
      <c r="M1729" s="884"/>
      <c r="N1729" s="56">
        <v>723</v>
      </c>
      <c r="O1729" s="79">
        <f>+M1728-O1728</f>
        <v>0</v>
      </c>
    </row>
    <row r="1730" spans="8:18" ht="16.5" thickBot="1">
      <c r="H1730" s="888" t="s">
        <v>102</v>
      </c>
      <c r="I1730" s="889"/>
      <c r="J1730" s="889"/>
      <c r="K1730" s="889"/>
      <c r="L1730" s="890"/>
      <c r="M1730" s="81">
        <f>SUM(M1718:M1729)</f>
        <v>0</v>
      </c>
    </row>
    <row r="1731" spans="8:18" ht="16.5" thickBot="1">
      <c r="H1731" s="885" t="s">
        <v>103</v>
      </c>
      <c r="I1731" s="886"/>
      <c r="J1731" s="886"/>
      <c r="K1731" s="886"/>
      <c r="L1731" s="887"/>
      <c r="M1731" s="69">
        <f>+M1693</f>
        <v>539811975</v>
      </c>
      <c r="N1731" s="241" t="s">
        <v>561</v>
      </c>
      <c r="O1731" s="242"/>
    </row>
    <row r="1732" spans="8:18" ht="16.5" thickBot="1">
      <c r="H1732" s="888" t="s">
        <v>104</v>
      </c>
      <c r="I1732" s="889"/>
      <c r="J1732" s="889"/>
      <c r="K1732" s="889"/>
      <c r="L1732" s="890"/>
      <c r="M1732" s="183">
        <f>SUM(M1730:M1731)</f>
        <v>539811975</v>
      </c>
      <c r="R1732" s="51">
        <f>1945*1.05^4.5</f>
        <v>2422.5427600461721</v>
      </c>
    </row>
    <row r="1733" spans="8:18" ht="13.5" customHeight="1">
      <c r="H1733" s="61"/>
      <c r="I1733" s="61"/>
      <c r="J1733" s="61"/>
      <c r="K1733" s="61"/>
      <c r="L1733" s="61"/>
    </row>
    <row r="1734" spans="8:18">
      <c r="H1734" s="51" t="s">
        <v>966</v>
      </c>
    </row>
    <row r="1735" spans="8:18" ht="12.75" customHeight="1">
      <c r="M1735" s="139"/>
    </row>
    <row r="1736" spans="8:18">
      <c r="H1736" s="50" t="s">
        <v>105</v>
      </c>
      <c r="K1736" s="146"/>
      <c r="M1736" s="139"/>
    </row>
    <row r="1737" spans="8:18" ht="13.5" customHeight="1" thickBot="1"/>
    <row r="1738" spans="8:18" ht="15.75" thickBot="1">
      <c r="H1738" s="891" t="s">
        <v>106</v>
      </c>
      <c r="I1738" s="892"/>
      <c r="J1738" s="892"/>
      <c r="K1738" s="893"/>
      <c r="M1738" s="50" t="s">
        <v>288</v>
      </c>
    </row>
    <row r="1739" spans="8:18" ht="30.75" thickBot="1">
      <c r="H1739" s="57" t="s">
        <v>100</v>
      </c>
      <c r="I1739" s="58" t="s">
        <v>108</v>
      </c>
      <c r="J1739" s="287" t="s">
        <v>109</v>
      </c>
      <c r="K1739" s="60" t="s">
        <v>110</v>
      </c>
    </row>
    <row r="1740" spans="8:18">
      <c r="H1740" s="71">
        <v>719</v>
      </c>
      <c r="I1740" s="73">
        <f>+O1718+O1720+O1724+O1726+O1728</f>
        <v>0</v>
      </c>
      <c r="J1740" s="74">
        <f>+K1701</f>
        <v>53430000</v>
      </c>
      <c r="K1740" s="195">
        <f>+I1740+J1740</f>
        <v>53430000</v>
      </c>
    </row>
    <row r="1741" spans="8:18">
      <c r="H1741" s="72">
        <v>721</v>
      </c>
      <c r="I1741" s="80">
        <v>0</v>
      </c>
      <c r="J1741" s="74">
        <f>+K1702</f>
        <v>99700981</v>
      </c>
      <c r="K1741" s="195">
        <f>+I1741+J1741</f>
        <v>99700981</v>
      </c>
    </row>
    <row r="1742" spans="8:18">
      <c r="H1742" s="72">
        <v>722</v>
      </c>
      <c r="I1742" s="80"/>
      <c r="J1742" s="74">
        <f>+K1703</f>
        <v>55831494</v>
      </c>
      <c r="K1742" s="195">
        <f>+I1742+J1742</f>
        <v>55831494</v>
      </c>
    </row>
    <row r="1743" spans="8:18" ht="15.75">
      <c r="H1743" s="72">
        <v>723</v>
      </c>
      <c r="I1743" s="80">
        <f>+O1729+O1727+O1725+O1721+O1719+O1723</f>
        <v>0</v>
      </c>
      <c r="J1743" s="74">
        <f>+K1704</f>
        <v>330779500</v>
      </c>
      <c r="K1743" s="195">
        <f>+I1743+J1743</f>
        <v>330779500</v>
      </c>
      <c r="M1743" s="193" t="s">
        <v>289</v>
      </c>
      <c r="N1743" s="175"/>
    </row>
    <row r="1744" spans="8:18" ht="16.5" thickBot="1">
      <c r="H1744" s="164" t="s">
        <v>181</v>
      </c>
      <c r="I1744" s="165"/>
      <c r="J1744" s="74">
        <f>+K1705</f>
        <v>0</v>
      </c>
      <c r="K1744" s="196">
        <f>+I1744+J1744</f>
        <v>0</v>
      </c>
      <c r="M1744" s="52"/>
    </row>
    <row r="1745" spans="8:15" ht="16.5" thickBot="1">
      <c r="H1745" s="169"/>
      <c r="I1745" s="197">
        <f>SUM(I1740:I1744)</f>
        <v>0</v>
      </c>
      <c r="J1745" s="197">
        <f>SUM(J1740:J1744)</f>
        <v>539741975</v>
      </c>
      <c r="K1745" s="198">
        <f>SUM(K1740:K1744)</f>
        <v>539741975</v>
      </c>
    </row>
    <row r="1746" spans="8:15" ht="16.5">
      <c r="H1746" s="49" t="s">
        <v>88</v>
      </c>
      <c r="I1746" s="50"/>
    </row>
    <row r="1747" spans="8:15">
      <c r="H1747" s="51" t="s">
        <v>89</v>
      </c>
    </row>
    <row r="1748" spans="8:15">
      <c r="H1748" s="51" t="s">
        <v>90</v>
      </c>
    </row>
    <row r="1749" spans="8:15">
      <c r="H1749" s="51" t="s">
        <v>91</v>
      </c>
    </row>
    <row r="1750" spans="8:15" ht="9" customHeight="1">
      <c r="H1750" s="50"/>
      <c r="I1750" s="50"/>
    </row>
    <row r="1751" spans="8:15" ht="15.75">
      <c r="H1751" s="260" t="s">
        <v>964</v>
      </c>
      <c r="N1751" s="52"/>
    </row>
    <row r="1752" spans="8:15" ht="15.75">
      <c r="H1752" s="53" t="s">
        <v>535</v>
      </c>
      <c r="N1752" s="53"/>
    </row>
    <row r="1753" spans="8:15" ht="16.5">
      <c r="H1753" s="894" t="s">
        <v>909</v>
      </c>
      <c r="I1753" s="894"/>
      <c r="J1753" s="894"/>
      <c r="K1753" s="894"/>
      <c r="L1753" s="894"/>
      <c r="M1753" s="894"/>
      <c r="N1753" s="894"/>
      <c r="O1753" s="894"/>
    </row>
    <row r="1754" spans="8:15" ht="15.75" thickBot="1"/>
    <row r="1755" spans="8:15">
      <c r="H1755" s="895" t="s">
        <v>94</v>
      </c>
      <c r="I1755" s="897" t="s">
        <v>95</v>
      </c>
      <c r="J1755" s="897" t="s">
        <v>96</v>
      </c>
      <c r="K1755" s="897" t="s">
        <v>3</v>
      </c>
      <c r="L1755" s="897" t="s">
        <v>97</v>
      </c>
      <c r="M1755" s="897" t="s">
        <v>98</v>
      </c>
      <c r="N1755" s="897" t="s">
        <v>99</v>
      </c>
      <c r="O1755" s="899"/>
    </row>
    <row r="1756" spans="8:15" ht="15.75" thickBot="1">
      <c r="H1756" s="896"/>
      <c r="I1756" s="898"/>
      <c r="J1756" s="898"/>
      <c r="K1756" s="898"/>
      <c r="L1756" s="898"/>
      <c r="M1756" s="898"/>
      <c r="N1756" s="240" t="s">
        <v>100</v>
      </c>
      <c r="O1756" s="182" t="s">
        <v>101</v>
      </c>
    </row>
    <row r="1757" spans="8:15">
      <c r="H1757" s="881">
        <v>207</v>
      </c>
      <c r="I1757" s="875">
        <v>42521</v>
      </c>
      <c r="J1757" s="877" t="s">
        <v>267</v>
      </c>
      <c r="K1757" s="879" t="s">
        <v>971</v>
      </c>
      <c r="L1757" s="881" t="s">
        <v>148</v>
      </c>
      <c r="M1757" s="883">
        <v>28000</v>
      </c>
      <c r="N1757" s="55">
        <v>719</v>
      </c>
      <c r="O1757" s="78">
        <v>20000</v>
      </c>
    </row>
    <row r="1758" spans="8:15" ht="15.75" thickBot="1">
      <c r="H1758" s="882"/>
      <c r="I1758" s="876"/>
      <c r="J1758" s="878"/>
      <c r="K1758" s="880"/>
      <c r="L1758" s="882"/>
      <c r="M1758" s="884"/>
      <c r="N1758" s="56">
        <v>721</v>
      </c>
      <c r="O1758" s="79">
        <f>+M1757-O1757</f>
        <v>8000</v>
      </c>
    </row>
    <row r="1759" spans="8:15">
      <c r="H1759" s="881">
        <v>208</v>
      </c>
      <c r="I1759" s="875">
        <v>42521</v>
      </c>
      <c r="J1759" s="877" t="s">
        <v>28</v>
      </c>
      <c r="K1759" s="879" t="s">
        <v>970</v>
      </c>
      <c r="L1759" s="881" t="s">
        <v>148</v>
      </c>
      <c r="M1759" s="883">
        <v>294000</v>
      </c>
      <c r="N1759" s="55">
        <v>719</v>
      </c>
      <c r="O1759" s="78">
        <v>210000</v>
      </c>
    </row>
    <row r="1760" spans="8:15" ht="15.75" thickBot="1">
      <c r="H1760" s="882"/>
      <c r="I1760" s="876"/>
      <c r="J1760" s="878"/>
      <c r="K1760" s="880"/>
      <c r="L1760" s="882"/>
      <c r="M1760" s="884"/>
      <c r="N1760" s="56">
        <v>721</v>
      </c>
      <c r="O1760" s="79">
        <f>+M1759-O1759</f>
        <v>84000</v>
      </c>
    </row>
    <row r="1761" spans="8:15">
      <c r="H1761" s="881">
        <v>209</v>
      </c>
      <c r="I1761" s="875">
        <v>42521</v>
      </c>
      <c r="J1761" s="877" t="s">
        <v>111</v>
      </c>
      <c r="K1761" s="879" t="s">
        <v>951</v>
      </c>
      <c r="L1761" s="881" t="s">
        <v>148</v>
      </c>
      <c r="M1761" s="883">
        <v>56000</v>
      </c>
      <c r="N1761" s="55">
        <v>719</v>
      </c>
      <c r="O1761" s="78">
        <v>40000</v>
      </c>
    </row>
    <row r="1762" spans="8:15" ht="15.75" thickBot="1">
      <c r="H1762" s="882"/>
      <c r="I1762" s="876"/>
      <c r="J1762" s="878"/>
      <c r="K1762" s="880"/>
      <c r="L1762" s="882"/>
      <c r="M1762" s="884"/>
      <c r="N1762" s="56">
        <v>721</v>
      </c>
      <c r="O1762" s="79">
        <f>+M1761-O1761</f>
        <v>16000</v>
      </c>
    </row>
    <row r="1763" spans="8:15">
      <c r="H1763" s="881">
        <v>210</v>
      </c>
      <c r="I1763" s="875">
        <v>42521</v>
      </c>
      <c r="J1763" s="877" t="s">
        <v>272</v>
      </c>
      <c r="K1763" s="879" t="s">
        <v>970</v>
      </c>
      <c r="L1763" s="881" t="s">
        <v>148</v>
      </c>
      <c r="M1763" s="883">
        <v>672000</v>
      </c>
      <c r="N1763" s="55">
        <v>719</v>
      </c>
      <c r="O1763" s="78">
        <v>480000</v>
      </c>
    </row>
    <row r="1764" spans="8:15" ht="15.75" thickBot="1">
      <c r="H1764" s="882"/>
      <c r="I1764" s="876"/>
      <c r="J1764" s="878"/>
      <c r="K1764" s="880"/>
      <c r="L1764" s="882"/>
      <c r="M1764" s="884"/>
      <c r="N1764" s="56">
        <v>721</v>
      </c>
      <c r="O1764" s="79">
        <f>+M1763-O1763</f>
        <v>192000</v>
      </c>
    </row>
    <row r="1765" spans="8:15" ht="12.75" customHeight="1">
      <c r="H1765" s="881"/>
      <c r="I1765" s="875"/>
      <c r="J1765" s="877"/>
      <c r="K1765" s="881"/>
      <c r="L1765" s="881"/>
      <c r="M1765" s="883"/>
      <c r="N1765" s="55">
        <v>719</v>
      </c>
      <c r="O1765" s="78"/>
    </row>
    <row r="1766" spans="8:15" ht="13.5" customHeight="1" thickBot="1">
      <c r="H1766" s="882"/>
      <c r="I1766" s="876"/>
      <c r="J1766" s="878"/>
      <c r="K1766" s="882"/>
      <c r="L1766" s="882"/>
      <c r="M1766" s="884"/>
      <c r="N1766" s="56">
        <v>721</v>
      </c>
      <c r="O1766" s="79">
        <f>+M1765-O1765</f>
        <v>0</v>
      </c>
    </row>
    <row r="1767" spans="8:15" ht="16.5" thickBot="1">
      <c r="H1767" s="901" t="s">
        <v>102</v>
      </c>
      <c r="I1767" s="902"/>
      <c r="J1767" s="902"/>
      <c r="K1767" s="902"/>
      <c r="L1767" s="903"/>
      <c r="M1767" s="81">
        <f>SUM(M1757:M1766)</f>
        <v>1050000</v>
      </c>
    </row>
    <row r="1768" spans="8:15" ht="16.5" thickBot="1">
      <c r="H1768" s="885" t="s">
        <v>103</v>
      </c>
      <c r="I1768" s="886"/>
      <c r="J1768" s="886"/>
      <c r="K1768" s="886"/>
      <c r="L1768" s="887"/>
      <c r="M1768" s="69">
        <f>+M1732</f>
        <v>539811975</v>
      </c>
      <c r="N1768" s="241" t="s">
        <v>561</v>
      </c>
      <c r="O1768" s="242">
        <f>22+651+13+1233</f>
        <v>1919</v>
      </c>
    </row>
    <row r="1769" spans="8:15" ht="16.5" thickBot="1">
      <c r="H1769" s="888" t="s">
        <v>104</v>
      </c>
      <c r="I1769" s="889"/>
      <c r="J1769" s="889"/>
      <c r="K1769" s="889"/>
      <c r="L1769" s="890"/>
      <c r="M1769" s="183">
        <f>SUM(M1767:M1768)</f>
        <v>540861975</v>
      </c>
    </row>
    <row r="1770" spans="8:15">
      <c r="H1770" s="61"/>
      <c r="I1770" s="61"/>
      <c r="J1770" s="61"/>
      <c r="K1770" s="61"/>
      <c r="L1770" s="61"/>
    </row>
    <row r="1771" spans="8:15">
      <c r="H1771" s="51" t="s">
        <v>972</v>
      </c>
    </row>
    <row r="1772" spans="8:15" ht="12" customHeight="1">
      <c r="M1772" s="139"/>
    </row>
    <row r="1773" spans="8:15">
      <c r="H1773" s="50" t="s">
        <v>105</v>
      </c>
      <c r="K1773" s="146"/>
      <c r="M1773" s="139"/>
    </row>
    <row r="1774" spans="8:15" ht="15.75" thickBot="1"/>
    <row r="1775" spans="8:15" ht="15.75" thickBot="1">
      <c r="H1775" s="891" t="s">
        <v>106</v>
      </c>
      <c r="I1775" s="892"/>
      <c r="J1775" s="892"/>
      <c r="K1775" s="893"/>
      <c r="M1775" s="50" t="s">
        <v>288</v>
      </c>
    </row>
    <row r="1776" spans="8:15" ht="30.75" thickBot="1">
      <c r="H1776" s="57" t="s">
        <v>100</v>
      </c>
      <c r="I1776" s="58" t="s">
        <v>108</v>
      </c>
      <c r="J1776" s="287" t="s">
        <v>109</v>
      </c>
      <c r="K1776" s="60" t="s">
        <v>110</v>
      </c>
    </row>
    <row r="1777" spans="8:15">
      <c r="H1777" s="71">
        <v>719</v>
      </c>
      <c r="I1777" s="73">
        <f>+O1757+O1759+O1761+O1763+O1765</f>
        <v>750000</v>
      </c>
      <c r="J1777" s="74">
        <f>+K1740</f>
        <v>53430000</v>
      </c>
      <c r="K1777" s="195">
        <f>+I1777+J1777</f>
        <v>54180000</v>
      </c>
    </row>
    <row r="1778" spans="8:15">
      <c r="H1778" s="72">
        <v>721</v>
      </c>
      <c r="I1778" s="80">
        <f>+O1758+O1760+O1762+O1764</f>
        <v>300000</v>
      </c>
      <c r="J1778" s="74">
        <f>+K1741</f>
        <v>99700981</v>
      </c>
      <c r="K1778" s="195">
        <f>+I1778+J1778</f>
        <v>100000981</v>
      </c>
    </row>
    <row r="1779" spans="8:15">
      <c r="H1779" s="72">
        <v>722</v>
      </c>
      <c r="I1779" s="80"/>
      <c r="J1779" s="74">
        <f>+K1742</f>
        <v>55831494</v>
      </c>
      <c r="K1779" s="195">
        <f>+I1779+J1779</f>
        <v>55831494</v>
      </c>
    </row>
    <row r="1780" spans="8:15" ht="15.75">
      <c r="H1780" s="72">
        <v>723</v>
      </c>
      <c r="I1780" s="80"/>
      <c r="J1780" s="74">
        <f>+K1743</f>
        <v>330779500</v>
      </c>
      <c r="K1780" s="195">
        <f>+I1780+J1780</f>
        <v>330779500</v>
      </c>
      <c r="M1780" s="193" t="s">
        <v>289</v>
      </c>
      <c r="N1780" s="175"/>
    </row>
    <row r="1781" spans="8:15" ht="16.5" thickBot="1">
      <c r="H1781" s="164" t="s">
        <v>181</v>
      </c>
      <c r="I1781" s="165"/>
      <c r="J1781" s="74">
        <f>+K1744</f>
        <v>0</v>
      </c>
      <c r="K1781" s="196">
        <f>+I1781+J1781</f>
        <v>0</v>
      </c>
      <c r="M1781" s="52"/>
    </row>
    <row r="1782" spans="8:15" ht="16.5" thickBot="1">
      <c r="H1782" s="169"/>
      <c r="I1782" s="197">
        <f>SUM(I1777:I1781)</f>
        <v>1050000</v>
      </c>
      <c r="J1782" s="197">
        <f>SUM(J1777:J1781)</f>
        <v>539741975</v>
      </c>
      <c r="K1782" s="198">
        <f>SUM(K1777:K1781)</f>
        <v>540791975</v>
      </c>
    </row>
    <row r="1783" spans="8:15" ht="16.5">
      <c r="H1783" s="49" t="s">
        <v>88</v>
      </c>
      <c r="I1783" s="50"/>
    </row>
    <row r="1784" spans="8:15">
      <c r="H1784" s="51" t="s">
        <v>89</v>
      </c>
    </row>
    <row r="1785" spans="8:15">
      <c r="H1785" s="51" t="s">
        <v>90</v>
      </c>
    </row>
    <row r="1786" spans="8:15">
      <c r="H1786" s="51" t="s">
        <v>91</v>
      </c>
    </row>
    <row r="1787" spans="8:15" ht="12" customHeight="1">
      <c r="H1787" s="50"/>
      <c r="I1787" s="50"/>
    </row>
    <row r="1788" spans="8:15" ht="15.75">
      <c r="H1788" s="260" t="s">
        <v>969</v>
      </c>
      <c r="N1788" s="52"/>
    </row>
    <row r="1789" spans="8:15" ht="15.75">
      <c r="H1789" s="53" t="s">
        <v>535</v>
      </c>
      <c r="N1789" s="53"/>
    </row>
    <row r="1790" spans="8:15" ht="16.5">
      <c r="H1790" s="894" t="s">
        <v>979</v>
      </c>
      <c r="I1790" s="894"/>
      <c r="J1790" s="894"/>
      <c r="K1790" s="894"/>
      <c r="L1790" s="894"/>
      <c r="M1790" s="894"/>
      <c r="N1790" s="894"/>
      <c r="O1790" s="894"/>
    </row>
    <row r="1791" spans="8:15" ht="15.75" thickBot="1"/>
    <row r="1792" spans="8:15">
      <c r="H1792" s="895" t="s">
        <v>94</v>
      </c>
      <c r="I1792" s="897" t="s">
        <v>95</v>
      </c>
      <c r="J1792" s="897" t="s">
        <v>96</v>
      </c>
      <c r="K1792" s="897" t="s">
        <v>3</v>
      </c>
      <c r="L1792" s="897" t="s">
        <v>97</v>
      </c>
      <c r="M1792" s="897" t="s">
        <v>98</v>
      </c>
      <c r="N1792" s="897" t="s">
        <v>99</v>
      </c>
      <c r="O1792" s="899"/>
    </row>
    <row r="1793" spans="8:15" ht="15.75" thickBot="1">
      <c r="H1793" s="896"/>
      <c r="I1793" s="898"/>
      <c r="J1793" s="898"/>
      <c r="K1793" s="898"/>
      <c r="L1793" s="898"/>
      <c r="M1793" s="898"/>
      <c r="N1793" s="240" t="s">
        <v>100</v>
      </c>
      <c r="O1793" s="182" t="s">
        <v>101</v>
      </c>
    </row>
    <row r="1794" spans="8:15">
      <c r="H1794" s="881">
        <v>211</v>
      </c>
      <c r="I1794" s="875">
        <v>42521</v>
      </c>
      <c r="J1794" s="910" t="s">
        <v>974</v>
      </c>
      <c r="K1794" s="879" t="s">
        <v>556</v>
      </c>
      <c r="L1794" s="881" t="s">
        <v>145</v>
      </c>
      <c r="M1794" s="883">
        <v>2941578</v>
      </c>
      <c r="N1794" s="55">
        <v>719</v>
      </c>
      <c r="O1794" s="78">
        <v>0</v>
      </c>
    </row>
    <row r="1795" spans="8:15" ht="15.75" thickBot="1">
      <c r="H1795" s="882"/>
      <c r="I1795" s="876"/>
      <c r="J1795" s="911"/>
      <c r="K1795" s="880"/>
      <c r="L1795" s="882"/>
      <c r="M1795" s="884"/>
      <c r="N1795" s="56">
        <v>721</v>
      </c>
      <c r="O1795" s="79">
        <f>+M1794-O1794</f>
        <v>2941578</v>
      </c>
    </row>
    <row r="1796" spans="8:15">
      <c r="H1796" s="881"/>
      <c r="I1796" s="875"/>
      <c r="J1796" s="910"/>
      <c r="K1796" s="879"/>
      <c r="L1796" s="881"/>
      <c r="M1796" s="883"/>
      <c r="N1796" s="55">
        <v>719</v>
      </c>
      <c r="O1796" s="78">
        <v>0</v>
      </c>
    </row>
    <row r="1797" spans="8:15" ht="15.75" thickBot="1">
      <c r="H1797" s="882"/>
      <c r="I1797" s="876"/>
      <c r="J1797" s="911"/>
      <c r="K1797" s="880"/>
      <c r="L1797" s="882"/>
      <c r="M1797" s="884"/>
      <c r="N1797" s="56">
        <v>723</v>
      </c>
      <c r="O1797" s="79">
        <f>+M1796-O1796</f>
        <v>0</v>
      </c>
    </row>
    <row r="1798" spans="8:15">
      <c r="H1798" s="881"/>
      <c r="I1798" s="875"/>
      <c r="J1798" s="877"/>
      <c r="K1798" s="879"/>
      <c r="L1798" s="881"/>
      <c r="M1798" s="883"/>
      <c r="N1798" s="55">
        <v>719</v>
      </c>
      <c r="O1798" s="78"/>
    </row>
    <row r="1799" spans="8:15" ht="15.75" thickBot="1">
      <c r="H1799" s="882"/>
      <c r="I1799" s="876"/>
      <c r="J1799" s="878"/>
      <c r="K1799" s="880"/>
      <c r="L1799" s="882"/>
      <c r="M1799" s="884"/>
      <c r="N1799" s="56">
        <v>721</v>
      </c>
      <c r="O1799" s="79">
        <f>+M1798-O1798</f>
        <v>0</v>
      </c>
    </row>
    <row r="1800" spans="8:15" ht="12.75" customHeight="1">
      <c r="H1800" s="881"/>
      <c r="I1800" s="875"/>
      <c r="J1800" s="877"/>
      <c r="K1800" s="879"/>
      <c r="L1800" s="881"/>
      <c r="M1800" s="883"/>
      <c r="N1800" s="55">
        <v>719</v>
      </c>
      <c r="O1800" s="78"/>
    </row>
    <row r="1801" spans="8:15" ht="15.75" thickBot="1">
      <c r="H1801" s="882"/>
      <c r="I1801" s="876"/>
      <c r="J1801" s="878"/>
      <c r="K1801" s="880"/>
      <c r="L1801" s="882"/>
      <c r="M1801" s="884"/>
      <c r="N1801" s="56">
        <v>721</v>
      </c>
      <c r="O1801" s="79">
        <f>+M1800-O1800</f>
        <v>0</v>
      </c>
    </row>
    <row r="1802" spans="8:15">
      <c r="H1802" s="881"/>
      <c r="I1802" s="875"/>
      <c r="J1802" s="877"/>
      <c r="K1802" s="881"/>
      <c r="L1802" s="881"/>
      <c r="M1802" s="883"/>
      <c r="N1802" s="55">
        <v>719</v>
      </c>
      <c r="O1802" s="78"/>
    </row>
    <row r="1803" spans="8:15" ht="14.25" customHeight="1" thickBot="1">
      <c r="H1803" s="882"/>
      <c r="I1803" s="876"/>
      <c r="J1803" s="878"/>
      <c r="K1803" s="882"/>
      <c r="L1803" s="882"/>
      <c r="M1803" s="884"/>
      <c r="N1803" s="56">
        <v>721</v>
      </c>
      <c r="O1803" s="79">
        <f>+M1802-O1802</f>
        <v>0</v>
      </c>
    </row>
    <row r="1804" spans="8:15" ht="16.5" thickBot="1">
      <c r="H1804" s="901" t="s">
        <v>102</v>
      </c>
      <c r="I1804" s="902"/>
      <c r="J1804" s="902"/>
      <c r="K1804" s="902"/>
      <c r="L1804" s="903"/>
      <c r="M1804" s="81">
        <f>SUM(M1794:M1803)</f>
        <v>2941578</v>
      </c>
    </row>
    <row r="1805" spans="8:15" ht="16.5" thickBot="1">
      <c r="H1805" s="885" t="s">
        <v>103</v>
      </c>
      <c r="I1805" s="886"/>
      <c r="J1805" s="886"/>
      <c r="K1805" s="886"/>
      <c r="L1805" s="887"/>
      <c r="M1805" s="69">
        <f>+M1769</f>
        <v>540861975</v>
      </c>
      <c r="N1805" s="241" t="s">
        <v>561</v>
      </c>
      <c r="O1805" s="242"/>
    </row>
    <row r="1806" spans="8:15" ht="16.5" thickBot="1">
      <c r="H1806" s="888" t="s">
        <v>104</v>
      </c>
      <c r="I1806" s="889"/>
      <c r="J1806" s="889"/>
      <c r="K1806" s="889"/>
      <c r="L1806" s="890"/>
      <c r="M1806" s="183">
        <f>SUM(M1804:M1805)</f>
        <v>543803553</v>
      </c>
    </row>
    <row r="1807" spans="8:15">
      <c r="H1807" s="61"/>
      <c r="I1807" s="61"/>
      <c r="J1807" s="61"/>
      <c r="K1807" s="61"/>
      <c r="L1807" s="61"/>
    </row>
    <row r="1808" spans="8:15">
      <c r="H1808" s="51" t="s">
        <v>975</v>
      </c>
    </row>
    <row r="1809" spans="8:14">
      <c r="M1809" s="139"/>
    </row>
    <row r="1810" spans="8:14">
      <c r="H1810" s="50" t="s">
        <v>105</v>
      </c>
      <c r="K1810" s="146"/>
      <c r="M1810" s="139"/>
    </row>
    <row r="1811" spans="8:14" ht="12" customHeight="1" thickBot="1"/>
    <row r="1812" spans="8:14" ht="15.75" thickBot="1">
      <c r="H1812" s="891" t="s">
        <v>106</v>
      </c>
      <c r="I1812" s="892"/>
      <c r="J1812" s="892"/>
      <c r="K1812" s="893"/>
      <c r="M1812" s="50" t="s">
        <v>288</v>
      </c>
    </row>
    <row r="1813" spans="8:14" ht="30.75" thickBot="1">
      <c r="H1813" s="57" t="s">
        <v>100</v>
      </c>
      <c r="I1813" s="58" t="s">
        <v>108</v>
      </c>
      <c r="J1813" s="287" t="s">
        <v>109</v>
      </c>
      <c r="K1813" s="60" t="s">
        <v>110</v>
      </c>
    </row>
    <row r="1814" spans="8:14">
      <c r="H1814" s="71">
        <v>719</v>
      </c>
      <c r="I1814" s="73">
        <f>+O1794+O1796+O1798+O1800+O1802</f>
        <v>0</v>
      </c>
      <c r="J1814" s="74">
        <f>+K1777</f>
        <v>54180000</v>
      </c>
      <c r="K1814" s="195">
        <f>+I1814+J1814</f>
        <v>54180000</v>
      </c>
    </row>
    <row r="1815" spans="8:14">
      <c r="H1815" s="72">
        <v>721</v>
      </c>
      <c r="I1815" s="80">
        <f>+O1795</f>
        <v>2941578</v>
      </c>
      <c r="J1815" s="74">
        <f>+K1778</f>
        <v>100000981</v>
      </c>
      <c r="K1815" s="195">
        <f>+I1815+J1815</f>
        <v>102942559</v>
      </c>
    </row>
    <row r="1816" spans="8:14">
      <c r="H1816" s="72">
        <v>722</v>
      </c>
      <c r="I1816" s="80"/>
      <c r="J1816" s="74">
        <f>+K1779</f>
        <v>55831494</v>
      </c>
      <c r="K1816" s="195">
        <f>+I1816+J1816</f>
        <v>55831494</v>
      </c>
    </row>
    <row r="1817" spans="8:14" ht="15.75">
      <c r="H1817" s="72">
        <v>723</v>
      </c>
      <c r="I1817" s="80"/>
      <c r="J1817" s="74">
        <f>+K1780</f>
        <v>330779500</v>
      </c>
      <c r="K1817" s="195">
        <f>+I1817+J1817</f>
        <v>330779500</v>
      </c>
      <c r="M1817" s="193" t="s">
        <v>289</v>
      </c>
      <c r="N1817" s="175"/>
    </row>
    <row r="1818" spans="8:14" ht="16.5" thickBot="1">
      <c r="H1818" s="164" t="s">
        <v>181</v>
      </c>
      <c r="I1818" s="165"/>
      <c r="J1818" s="74">
        <f>+K1781</f>
        <v>0</v>
      </c>
      <c r="K1818" s="196">
        <f>+I1818+J1818</f>
        <v>0</v>
      </c>
      <c r="M1818" s="52"/>
    </row>
    <row r="1819" spans="8:14" ht="16.5" thickBot="1">
      <c r="H1819" s="169"/>
      <c r="I1819" s="197">
        <f>SUM(I1814:I1818)</f>
        <v>2941578</v>
      </c>
      <c r="J1819" s="197">
        <f>SUM(J1814:J1818)</f>
        <v>540791975</v>
      </c>
      <c r="K1819" s="198">
        <f>SUM(K1814:K1818)</f>
        <v>543733553</v>
      </c>
    </row>
    <row r="1820" spans="8:14" ht="16.5">
      <c r="H1820" s="49" t="s">
        <v>88</v>
      </c>
      <c r="I1820" s="50"/>
    </row>
    <row r="1821" spans="8:14">
      <c r="H1821" s="51" t="s">
        <v>89</v>
      </c>
    </row>
    <row r="1822" spans="8:14">
      <c r="H1822" s="51" t="s">
        <v>90</v>
      </c>
    </row>
    <row r="1823" spans="8:14">
      <c r="H1823" s="51" t="s">
        <v>91</v>
      </c>
    </row>
    <row r="1824" spans="8:14" ht="12" customHeight="1">
      <c r="H1824" s="50"/>
      <c r="I1824" s="50"/>
    </row>
    <row r="1825" spans="8:15" ht="15.75">
      <c r="H1825" s="260" t="s">
        <v>973</v>
      </c>
      <c r="N1825" s="52"/>
    </row>
    <row r="1826" spans="8:15" ht="15.75">
      <c r="H1826" s="53" t="s">
        <v>535</v>
      </c>
      <c r="N1826" s="53"/>
    </row>
    <row r="1827" spans="8:15" ht="16.5">
      <c r="H1827" s="894" t="s">
        <v>967</v>
      </c>
      <c r="I1827" s="894"/>
      <c r="J1827" s="894"/>
      <c r="K1827" s="894"/>
      <c r="L1827" s="894"/>
      <c r="M1827" s="894"/>
      <c r="N1827" s="894"/>
      <c r="O1827" s="894"/>
    </row>
    <row r="1828" spans="8:15" ht="15.75" thickBot="1"/>
    <row r="1829" spans="8:15">
      <c r="H1829" s="895" t="s">
        <v>968</v>
      </c>
      <c r="I1829" s="897" t="s">
        <v>95</v>
      </c>
      <c r="J1829" s="897" t="s">
        <v>96</v>
      </c>
      <c r="K1829" s="897" t="s">
        <v>3</v>
      </c>
      <c r="L1829" s="897" t="s">
        <v>97</v>
      </c>
      <c r="M1829" s="897" t="s">
        <v>98</v>
      </c>
      <c r="N1829" s="897" t="s">
        <v>99</v>
      </c>
      <c r="O1829" s="899"/>
    </row>
    <row r="1830" spans="8:15" ht="15.75" thickBot="1">
      <c r="H1830" s="896"/>
      <c r="I1830" s="898"/>
      <c r="J1830" s="898"/>
      <c r="K1830" s="898"/>
      <c r="L1830" s="898"/>
      <c r="M1830" s="898"/>
      <c r="N1830" s="240" t="s">
        <v>100</v>
      </c>
      <c r="O1830" s="182" t="s">
        <v>101</v>
      </c>
    </row>
    <row r="1831" spans="8:15">
      <c r="H1831" s="873" t="s">
        <v>545</v>
      </c>
      <c r="I1831" s="875">
        <v>42520</v>
      </c>
      <c r="J1831" s="910" t="s">
        <v>695</v>
      </c>
      <c r="K1831" s="879" t="s">
        <v>556</v>
      </c>
      <c r="L1831" s="881" t="s">
        <v>148</v>
      </c>
      <c r="M1831" s="883">
        <v>-241240</v>
      </c>
      <c r="N1831" s="55">
        <v>719</v>
      </c>
      <c r="O1831" s="78"/>
    </row>
    <row r="1832" spans="8:15" ht="15.75" thickBot="1">
      <c r="H1832" s="874"/>
      <c r="I1832" s="876"/>
      <c r="J1832" s="911"/>
      <c r="K1832" s="880"/>
      <c r="L1832" s="882"/>
      <c r="M1832" s="884"/>
      <c r="N1832" s="56">
        <v>723</v>
      </c>
      <c r="O1832" s="79">
        <f>+M1831-O1831</f>
        <v>-241240</v>
      </c>
    </row>
    <row r="1833" spans="8:15">
      <c r="H1833" s="873" t="s">
        <v>547</v>
      </c>
      <c r="I1833" s="875">
        <v>42520</v>
      </c>
      <c r="J1833" s="910" t="s">
        <v>695</v>
      </c>
      <c r="K1833" s="879" t="s">
        <v>556</v>
      </c>
      <c r="L1833" s="881" t="s">
        <v>115</v>
      </c>
      <c r="M1833" s="883">
        <v>-525000</v>
      </c>
      <c r="N1833" s="55">
        <v>719</v>
      </c>
      <c r="O1833" s="78"/>
    </row>
    <row r="1834" spans="8:15" ht="15.75" thickBot="1">
      <c r="H1834" s="874"/>
      <c r="I1834" s="876"/>
      <c r="J1834" s="911"/>
      <c r="K1834" s="880"/>
      <c r="L1834" s="882"/>
      <c r="M1834" s="884"/>
      <c r="N1834" s="56">
        <v>723</v>
      </c>
      <c r="O1834" s="79">
        <f>+M1833-O1833</f>
        <v>-525000</v>
      </c>
    </row>
    <row r="1835" spans="8:15" ht="12.75" customHeight="1">
      <c r="H1835" s="873"/>
      <c r="I1835" s="875"/>
      <c r="J1835" s="877"/>
      <c r="K1835" s="879"/>
      <c r="L1835" s="881"/>
      <c r="M1835" s="883"/>
      <c r="N1835" s="55">
        <v>719</v>
      </c>
      <c r="O1835" s="78"/>
    </row>
    <row r="1836" spans="8:15" ht="14.25" customHeight="1" thickBot="1">
      <c r="H1836" s="874"/>
      <c r="I1836" s="876"/>
      <c r="J1836" s="878"/>
      <c r="K1836" s="880"/>
      <c r="L1836" s="882"/>
      <c r="M1836" s="884"/>
      <c r="N1836" s="56">
        <v>723</v>
      </c>
      <c r="O1836" s="79">
        <f>+M1835-O1835</f>
        <v>0</v>
      </c>
    </row>
    <row r="1837" spans="8:15">
      <c r="H1837" s="873"/>
      <c r="I1837" s="875"/>
      <c r="J1837" s="877"/>
      <c r="K1837" s="879"/>
      <c r="L1837" s="881"/>
      <c r="M1837" s="883"/>
      <c r="N1837" s="55">
        <v>719</v>
      </c>
      <c r="O1837" s="78"/>
    </row>
    <row r="1838" spans="8:15" ht="15.75" thickBot="1">
      <c r="H1838" s="874"/>
      <c r="I1838" s="876"/>
      <c r="J1838" s="878"/>
      <c r="K1838" s="880"/>
      <c r="L1838" s="882"/>
      <c r="M1838" s="884"/>
      <c r="N1838" s="56">
        <v>723</v>
      </c>
      <c r="O1838" s="79">
        <f>+M1837-O1837</f>
        <v>0</v>
      </c>
    </row>
    <row r="1839" spans="8:15" ht="12.75" customHeight="1">
      <c r="H1839" s="873"/>
      <c r="I1839" s="875"/>
      <c r="J1839" s="877"/>
      <c r="K1839" s="879"/>
      <c r="L1839" s="881"/>
      <c r="M1839" s="883"/>
      <c r="N1839" s="55">
        <v>719</v>
      </c>
      <c r="O1839" s="78"/>
    </row>
    <row r="1840" spans="8:15" ht="15.75" thickBot="1">
      <c r="H1840" s="874"/>
      <c r="I1840" s="876"/>
      <c r="J1840" s="878"/>
      <c r="K1840" s="880"/>
      <c r="L1840" s="882"/>
      <c r="M1840" s="884"/>
      <c r="N1840" s="56">
        <v>723</v>
      </c>
      <c r="O1840" s="79">
        <f>+M1839-O1839</f>
        <v>0</v>
      </c>
    </row>
    <row r="1841" spans="8:15" ht="16.5" thickBot="1">
      <c r="H1841" s="901" t="s">
        <v>102</v>
      </c>
      <c r="I1841" s="902"/>
      <c r="J1841" s="902"/>
      <c r="K1841" s="902"/>
      <c r="L1841" s="903"/>
      <c r="M1841" s="81">
        <f>SUM(M1831:M1840)</f>
        <v>-766240</v>
      </c>
    </row>
    <row r="1842" spans="8:15" ht="16.5" thickBot="1">
      <c r="H1842" s="885" t="s">
        <v>103</v>
      </c>
      <c r="I1842" s="886"/>
      <c r="J1842" s="886"/>
      <c r="K1842" s="886"/>
      <c r="L1842" s="887"/>
      <c r="M1842" s="69">
        <f>+M1806</f>
        <v>543803553</v>
      </c>
      <c r="N1842" s="241" t="s">
        <v>561</v>
      </c>
      <c r="O1842" s="242"/>
    </row>
    <row r="1843" spans="8:15" ht="16.5" thickBot="1">
      <c r="H1843" s="888" t="s">
        <v>104</v>
      </c>
      <c r="I1843" s="889"/>
      <c r="J1843" s="889"/>
      <c r="K1843" s="889"/>
      <c r="L1843" s="890"/>
      <c r="M1843" s="183">
        <f>SUM(M1841:M1842)</f>
        <v>543037313</v>
      </c>
    </row>
    <row r="1844" spans="8:15">
      <c r="H1844" s="61"/>
      <c r="I1844" s="61"/>
      <c r="J1844" s="61"/>
      <c r="K1844" s="61"/>
      <c r="L1844" s="61"/>
    </row>
    <row r="1845" spans="8:15">
      <c r="H1845" s="51" t="s">
        <v>978</v>
      </c>
    </row>
    <row r="1846" spans="8:15" ht="12" customHeight="1">
      <c r="M1846" s="139"/>
    </row>
    <row r="1847" spans="8:15">
      <c r="H1847" s="50" t="s">
        <v>105</v>
      </c>
      <c r="K1847" s="146"/>
      <c r="M1847" s="139"/>
    </row>
    <row r="1848" spans="8:15" ht="12" customHeight="1" thickBot="1"/>
    <row r="1849" spans="8:15" ht="15.75" thickBot="1">
      <c r="H1849" s="891" t="s">
        <v>106</v>
      </c>
      <c r="I1849" s="892"/>
      <c r="J1849" s="892"/>
      <c r="K1849" s="893"/>
      <c r="M1849" s="50" t="s">
        <v>288</v>
      </c>
    </row>
    <row r="1850" spans="8:15" ht="30.75" thickBot="1">
      <c r="H1850" s="57" t="s">
        <v>100</v>
      </c>
      <c r="I1850" s="58" t="s">
        <v>108</v>
      </c>
      <c r="J1850" s="287" t="s">
        <v>109</v>
      </c>
      <c r="K1850" s="60" t="s">
        <v>110</v>
      </c>
    </row>
    <row r="1851" spans="8:15">
      <c r="H1851" s="71">
        <v>719</v>
      </c>
      <c r="I1851" s="73">
        <f>+O1831+O1833+O1835+O1837+O1839</f>
        <v>0</v>
      </c>
      <c r="J1851" s="74">
        <f>+K1814</f>
        <v>54180000</v>
      </c>
      <c r="K1851" s="195">
        <f>+I1851+J1851</f>
        <v>54180000</v>
      </c>
    </row>
    <row r="1852" spans="8:15">
      <c r="H1852" s="72">
        <v>721</v>
      </c>
      <c r="I1852" s="80">
        <v>0</v>
      </c>
      <c r="J1852" s="74">
        <f>+K1815</f>
        <v>102942559</v>
      </c>
      <c r="K1852" s="195">
        <f>+I1852+J1852</f>
        <v>102942559</v>
      </c>
    </row>
    <row r="1853" spans="8:15">
      <c r="H1853" s="72">
        <v>722</v>
      </c>
      <c r="I1853" s="80"/>
      <c r="J1853" s="74">
        <f>+K1816</f>
        <v>55831494</v>
      </c>
      <c r="K1853" s="195">
        <f>+I1853+J1853</f>
        <v>55831494</v>
      </c>
    </row>
    <row r="1854" spans="8:15" ht="15.75">
      <c r="H1854" s="72">
        <v>723</v>
      </c>
      <c r="I1854" s="80">
        <f>+O1840+O1838+O1836+O1834+O1832</f>
        <v>-766240</v>
      </c>
      <c r="J1854" s="74">
        <f>+K1817</f>
        <v>330779500</v>
      </c>
      <c r="K1854" s="195">
        <f>+I1854+J1854</f>
        <v>330013260</v>
      </c>
      <c r="M1854" s="193" t="s">
        <v>289</v>
      </c>
      <c r="N1854" s="175"/>
    </row>
    <row r="1855" spans="8:15" ht="16.5" thickBot="1">
      <c r="H1855" s="164" t="s">
        <v>181</v>
      </c>
      <c r="I1855" s="165"/>
      <c r="J1855" s="74">
        <f>+K1818</f>
        <v>0</v>
      </c>
      <c r="K1855" s="196">
        <f>+I1855+J1855</f>
        <v>0</v>
      </c>
      <c r="M1855" s="52"/>
    </row>
    <row r="1856" spans="8:15" ht="16.5" thickBot="1">
      <c r="H1856" s="169"/>
      <c r="I1856" s="197">
        <f>SUM(I1851:I1855)</f>
        <v>-766240</v>
      </c>
      <c r="J1856" s="197">
        <f>SUM(J1851:J1855)</f>
        <v>543733553</v>
      </c>
      <c r="K1856" s="198">
        <f>SUM(K1851:K1855)</f>
        <v>542967313</v>
      </c>
    </row>
    <row r="1857" spans="8:15" ht="16.5">
      <c r="H1857" s="49" t="s">
        <v>88</v>
      </c>
      <c r="I1857" s="50"/>
    </row>
    <row r="1858" spans="8:15">
      <c r="H1858" s="51" t="s">
        <v>89</v>
      </c>
    </row>
    <row r="1859" spans="8:15">
      <c r="H1859" s="51" t="s">
        <v>90</v>
      </c>
    </row>
    <row r="1860" spans="8:15">
      <c r="H1860" s="51" t="s">
        <v>91</v>
      </c>
    </row>
    <row r="1861" spans="8:15">
      <c r="H1861" s="50"/>
      <c r="I1861" s="50"/>
    </row>
    <row r="1862" spans="8:15" ht="15.75">
      <c r="H1862" s="260" t="s">
        <v>977</v>
      </c>
      <c r="N1862" s="52"/>
    </row>
    <row r="1863" spans="8:15" ht="15.75">
      <c r="H1863" s="53" t="s">
        <v>535</v>
      </c>
      <c r="N1863" s="53"/>
    </row>
    <row r="1864" spans="8:15" ht="16.5">
      <c r="H1864" s="894" t="s">
        <v>967</v>
      </c>
      <c r="I1864" s="894"/>
      <c r="J1864" s="894"/>
      <c r="K1864" s="894"/>
      <c r="L1864" s="894"/>
      <c r="M1864" s="894"/>
      <c r="N1864" s="894"/>
      <c r="O1864" s="894"/>
    </row>
    <row r="1865" spans="8:15" ht="15.75" thickBot="1"/>
    <row r="1866" spans="8:15">
      <c r="H1866" s="895" t="s">
        <v>968</v>
      </c>
      <c r="I1866" s="897" t="s">
        <v>95</v>
      </c>
      <c r="J1866" s="897" t="s">
        <v>96</v>
      </c>
      <c r="K1866" s="897" t="s">
        <v>3</v>
      </c>
      <c r="L1866" s="897" t="s">
        <v>97</v>
      </c>
      <c r="M1866" s="897" t="s">
        <v>98</v>
      </c>
      <c r="N1866" s="897" t="s">
        <v>99</v>
      </c>
      <c r="O1866" s="899"/>
    </row>
    <row r="1867" spans="8:15" ht="15.75" thickBot="1">
      <c r="H1867" s="896"/>
      <c r="I1867" s="898"/>
      <c r="J1867" s="898"/>
      <c r="K1867" s="898"/>
      <c r="L1867" s="898"/>
      <c r="M1867" s="898"/>
      <c r="N1867" s="240" t="s">
        <v>100</v>
      </c>
      <c r="O1867" s="182" t="s">
        <v>101</v>
      </c>
    </row>
    <row r="1868" spans="8:15" ht="13.5" customHeight="1">
      <c r="H1868" s="873" t="s">
        <v>548</v>
      </c>
      <c r="I1868" s="875">
        <v>42520</v>
      </c>
      <c r="J1868" s="877" t="s">
        <v>701</v>
      </c>
      <c r="K1868" s="879" t="s">
        <v>556</v>
      </c>
      <c r="L1868" s="881" t="s">
        <v>148</v>
      </c>
      <c r="M1868" s="883">
        <v>-630000</v>
      </c>
      <c r="N1868" s="55">
        <v>719</v>
      </c>
      <c r="O1868" s="78"/>
    </row>
    <row r="1869" spans="8:15" ht="15.75" customHeight="1" thickBot="1">
      <c r="H1869" s="874"/>
      <c r="I1869" s="876"/>
      <c r="J1869" s="878"/>
      <c r="K1869" s="880"/>
      <c r="L1869" s="882"/>
      <c r="M1869" s="884"/>
      <c r="N1869" s="56">
        <v>723</v>
      </c>
      <c r="O1869" s="79">
        <f>+M1868-O1868</f>
        <v>-630000</v>
      </c>
    </row>
    <row r="1870" spans="8:15" ht="15" customHeight="1">
      <c r="H1870" s="873" t="s">
        <v>549</v>
      </c>
      <c r="I1870" s="875">
        <v>42520</v>
      </c>
      <c r="J1870" s="877" t="s">
        <v>673</v>
      </c>
      <c r="K1870" s="879" t="s">
        <v>556</v>
      </c>
      <c r="L1870" s="881" t="s">
        <v>148</v>
      </c>
      <c r="M1870" s="883">
        <v>-630000</v>
      </c>
      <c r="N1870" s="55">
        <v>719</v>
      </c>
      <c r="O1870" s="78"/>
    </row>
    <row r="1871" spans="8:15" ht="13.5" customHeight="1" thickBot="1">
      <c r="H1871" s="874"/>
      <c r="I1871" s="876"/>
      <c r="J1871" s="878"/>
      <c r="K1871" s="880"/>
      <c r="L1871" s="882"/>
      <c r="M1871" s="884"/>
      <c r="N1871" s="56">
        <v>723</v>
      </c>
      <c r="O1871" s="79">
        <f>+M1870-O1870</f>
        <v>-630000</v>
      </c>
    </row>
    <row r="1872" spans="8:15" ht="15" customHeight="1">
      <c r="H1872" s="873" t="s">
        <v>550</v>
      </c>
      <c r="I1872" s="875">
        <v>42520</v>
      </c>
      <c r="J1872" s="877" t="s">
        <v>729</v>
      </c>
      <c r="K1872" s="879" t="s">
        <v>556</v>
      </c>
      <c r="L1872" s="881" t="s">
        <v>148</v>
      </c>
      <c r="M1872" s="883">
        <v>-945000</v>
      </c>
      <c r="N1872" s="55">
        <v>719</v>
      </c>
      <c r="O1872" s="78"/>
    </row>
    <row r="1873" spans="8:15" ht="15.75" customHeight="1" thickBot="1">
      <c r="H1873" s="874"/>
      <c r="I1873" s="876"/>
      <c r="J1873" s="878"/>
      <c r="K1873" s="880"/>
      <c r="L1873" s="882"/>
      <c r="M1873" s="884"/>
      <c r="N1873" s="56">
        <v>723</v>
      </c>
      <c r="O1873" s="79">
        <f>+M1872-O1872</f>
        <v>-945000</v>
      </c>
    </row>
    <row r="1874" spans="8:15" ht="15" customHeight="1">
      <c r="H1874" s="873" t="s">
        <v>551</v>
      </c>
      <c r="I1874" s="875">
        <v>42520</v>
      </c>
      <c r="J1874" s="877" t="s">
        <v>694</v>
      </c>
      <c r="K1874" s="879" t="s">
        <v>556</v>
      </c>
      <c r="L1874" s="881" t="s">
        <v>148</v>
      </c>
      <c r="M1874" s="883">
        <v>-25611697</v>
      </c>
      <c r="N1874" s="55">
        <v>719</v>
      </c>
      <c r="O1874" s="78"/>
    </row>
    <row r="1875" spans="8:15" ht="15.75" customHeight="1" thickBot="1">
      <c r="H1875" s="874"/>
      <c r="I1875" s="876"/>
      <c r="J1875" s="878"/>
      <c r="K1875" s="880"/>
      <c r="L1875" s="882"/>
      <c r="M1875" s="884"/>
      <c r="N1875" s="56">
        <v>723</v>
      </c>
      <c r="O1875" s="79">
        <f>+M1874-O1874</f>
        <v>-25611697</v>
      </c>
    </row>
    <row r="1876" spans="8:15" ht="12" customHeight="1">
      <c r="H1876" s="873"/>
      <c r="I1876" s="875"/>
      <c r="J1876" s="877"/>
      <c r="K1876" s="879"/>
      <c r="L1876" s="881"/>
      <c r="M1876" s="883"/>
      <c r="N1876" s="55">
        <v>719</v>
      </c>
      <c r="O1876" s="78"/>
    </row>
    <row r="1877" spans="8:15" ht="12" customHeight="1" thickBot="1">
      <c r="H1877" s="874"/>
      <c r="I1877" s="876"/>
      <c r="J1877" s="878"/>
      <c r="K1877" s="880"/>
      <c r="L1877" s="882"/>
      <c r="M1877" s="884"/>
      <c r="N1877" s="56">
        <v>723</v>
      </c>
      <c r="O1877" s="79">
        <f>+M1876-O1876</f>
        <v>0</v>
      </c>
    </row>
    <row r="1878" spans="8:15" ht="16.5" thickBot="1">
      <c r="H1878" s="901" t="s">
        <v>102</v>
      </c>
      <c r="I1878" s="902"/>
      <c r="J1878" s="902"/>
      <c r="K1878" s="902"/>
      <c r="L1878" s="903"/>
      <c r="M1878" s="81">
        <f>SUM(M1868:M1877)</f>
        <v>-27816697</v>
      </c>
    </row>
    <row r="1879" spans="8:15" ht="16.5" thickBot="1">
      <c r="H1879" s="885" t="s">
        <v>103</v>
      </c>
      <c r="I1879" s="886"/>
      <c r="J1879" s="886"/>
      <c r="K1879" s="886"/>
      <c r="L1879" s="887"/>
      <c r="M1879" s="69">
        <f>+M1843</f>
        <v>543037313</v>
      </c>
      <c r="N1879" s="241" t="s">
        <v>561</v>
      </c>
      <c r="O1879" s="242"/>
    </row>
    <row r="1880" spans="8:15" ht="16.5" thickBot="1">
      <c r="H1880" s="888" t="s">
        <v>104</v>
      </c>
      <c r="I1880" s="889"/>
      <c r="J1880" s="889"/>
      <c r="K1880" s="889"/>
      <c r="L1880" s="890"/>
      <c r="M1880" s="183">
        <f>SUM(M1878:M1879)</f>
        <v>515220616</v>
      </c>
    </row>
    <row r="1881" spans="8:15">
      <c r="H1881" s="61"/>
      <c r="I1881" s="61"/>
      <c r="J1881" s="61"/>
      <c r="K1881" s="61"/>
      <c r="L1881" s="61"/>
    </row>
    <row r="1882" spans="8:15">
      <c r="H1882" s="51" t="s">
        <v>989</v>
      </c>
    </row>
    <row r="1883" spans="8:15">
      <c r="M1883" s="139"/>
    </row>
    <row r="1884" spans="8:15">
      <c r="H1884" s="50" t="s">
        <v>105</v>
      </c>
      <c r="K1884" s="146"/>
      <c r="M1884" s="139"/>
    </row>
    <row r="1885" spans="8:15" ht="15.75" thickBot="1"/>
    <row r="1886" spans="8:15" ht="15.75" thickBot="1">
      <c r="H1886" s="891" t="s">
        <v>106</v>
      </c>
      <c r="I1886" s="892"/>
      <c r="J1886" s="892"/>
      <c r="K1886" s="893"/>
      <c r="M1886" s="50" t="s">
        <v>288</v>
      </c>
    </row>
    <row r="1887" spans="8:15" ht="30.75" thickBot="1">
      <c r="H1887" s="57" t="s">
        <v>100</v>
      </c>
      <c r="I1887" s="58" t="s">
        <v>108</v>
      </c>
      <c r="J1887" s="287" t="s">
        <v>109</v>
      </c>
      <c r="K1887" s="60" t="s">
        <v>110</v>
      </c>
    </row>
    <row r="1888" spans="8:15">
      <c r="H1888" s="71">
        <v>719</v>
      </c>
      <c r="I1888" s="73">
        <f>+O1868+O1870+O1874</f>
        <v>0</v>
      </c>
      <c r="J1888" s="74">
        <f>+K1851</f>
        <v>54180000</v>
      </c>
      <c r="K1888" s="195">
        <f>+I1888+J1888</f>
        <v>54180000</v>
      </c>
    </row>
    <row r="1889" spans="8:15">
      <c r="H1889" s="72">
        <v>721</v>
      </c>
      <c r="I1889" s="80">
        <v>0</v>
      </c>
      <c r="J1889" s="74">
        <f>+K1852</f>
        <v>102942559</v>
      </c>
      <c r="K1889" s="195">
        <f>+I1889+J1889</f>
        <v>102942559</v>
      </c>
    </row>
    <row r="1890" spans="8:15">
      <c r="H1890" s="72">
        <v>722</v>
      </c>
      <c r="I1890" s="80"/>
      <c r="J1890" s="74">
        <f>+K1853</f>
        <v>55831494</v>
      </c>
      <c r="K1890" s="195">
        <f>+I1890+J1890</f>
        <v>55831494</v>
      </c>
    </row>
    <row r="1891" spans="8:15" ht="15.75">
      <c r="H1891" s="72">
        <v>723</v>
      </c>
      <c r="I1891" s="80">
        <f>+O1875+O1871+O1869+O1873</f>
        <v>-27816697</v>
      </c>
      <c r="J1891" s="74">
        <f>+K1854</f>
        <v>330013260</v>
      </c>
      <c r="K1891" s="195">
        <f>+I1891+J1891</f>
        <v>302196563</v>
      </c>
      <c r="M1891" s="193" t="s">
        <v>289</v>
      </c>
      <c r="N1891" s="175"/>
    </row>
    <row r="1892" spans="8:15" ht="16.5" thickBot="1">
      <c r="H1892" s="164" t="s">
        <v>181</v>
      </c>
      <c r="I1892" s="165"/>
      <c r="J1892" s="74">
        <f>+K1855</f>
        <v>0</v>
      </c>
      <c r="K1892" s="196">
        <f>+I1892+J1892</f>
        <v>0</v>
      </c>
      <c r="M1892" s="52"/>
    </row>
    <row r="1893" spans="8:15" ht="16.5" thickBot="1">
      <c r="H1893" s="169"/>
      <c r="I1893" s="197">
        <f>SUM(I1888:I1892)</f>
        <v>-27816697</v>
      </c>
      <c r="J1893" s="197">
        <f>SUM(J1888:J1892)</f>
        <v>542967313</v>
      </c>
      <c r="K1893" s="198">
        <f>SUM(K1888:K1892)</f>
        <v>515150616</v>
      </c>
    </row>
    <row r="1894" spans="8:15" ht="16.5">
      <c r="H1894" s="49" t="s">
        <v>88</v>
      </c>
      <c r="I1894" s="50"/>
    </row>
    <row r="1895" spans="8:15">
      <c r="H1895" s="51" t="s">
        <v>89</v>
      </c>
    </row>
    <row r="1896" spans="8:15">
      <c r="H1896" s="51" t="s">
        <v>90</v>
      </c>
    </row>
    <row r="1897" spans="8:15">
      <c r="H1897" s="51" t="s">
        <v>91</v>
      </c>
    </row>
    <row r="1898" spans="8:15">
      <c r="H1898" s="50"/>
      <c r="I1898" s="50"/>
    </row>
    <row r="1899" spans="8:15" ht="15.75">
      <c r="H1899" s="260" t="s">
        <v>980</v>
      </c>
      <c r="N1899" s="52"/>
    </row>
    <row r="1900" spans="8:15" ht="15.75">
      <c r="H1900" s="53" t="s">
        <v>535</v>
      </c>
      <c r="N1900" s="53"/>
    </row>
    <row r="1901" spans="8:15" ht="16.5">
      <c r="H1901" s="894" t="s">
        <v>909</v>
      </c>
      <c r="I1901" s="894"/>
      <c r="J1901" s="894"/>
      <c r="K1901" s="894"/>
      <c r="L1901" s="894"/>
      <c r="M1901" s="894"/>
      <c r="N1901" s="894"/>
      <c r="O1901" s="894"/>
    </row>
    <row r="1902" spans="8:15" ht="15.75" thickBot="1"/>
    <row r="1903" spans="8:15">
      <c r="H1903" s="895" t="s">
        <v>94</v>
      </c>
      <c r="I1903" s="897" t="s">
        <v>95</v>
      </c>
      <c r="J1903" s="897" t="s">
        <v>96</v>
      </c>
      <c r="K1903" s="897" t="s">
        <v>3</v>
      </c>
      <c r="L1903" s="897" t="s">
        <v>97</v>
      </c>
      <c r="M1903" s="897" t="s">
        <v>98</v>
      </c>
      <c r="N1903" s="897" t="s">
        <v>99</v>
      </c>
      <c r="O1903" s="899"/>
    </row>
    <row r="1904" spans="8:15" ht="15.75" thickBot="1">
      <c r="H1904" s="896"/>
      <c r="I1904" s="898"/>
      <c r="J1904" s="898"/>
      <c r="K1904" s="898"/>
      <c r="L1904" s="898"/>
      <c r="M1904" s="898"/>
      <c r="N1904" s="240" t="s">
        <v>100</v>
      </c>
      <c r="O1904" s="182" t="s">
        <v>101</v>
      </c>
    </row>
    <row r="1905" spans="8:15">
      <c r="H1905" s="881">
        <v>212</v>
      </c>
      <c r="I1905" s="875">
        <v>42549</v>
      </c>
      <c r="J1905" s="877" t="s">
        <v>272</v>
      </c>
      <c r="K1905" s="879" t="s">
        <v>983</v>
      </c>
      <c r="L1905" s="881" t="s">
        <v>115</v>
      </c>
      <c r="M1905" s="883">
        <v>140000</v>
      </c>
      <c r="N1905" s="55">
        <v>719</v>
      </c>
      <c r="O1905" s="78">
        <v>140000</v>
      </c>
    </row>
    <row r="1906" spans="8:15" ht="15.75" thickBot="1">
      <c r="H1906" s="882"/>
      <c r="I1906" s="876"/>
      <c r="J1906" s="878"/>
      <c r="K1906" s="880"/>
      <c r="L1906" s="882"/>
      <c r="M1906" s="884"/>
      <c r="N1906" s="56">
        <v>721</v>
      </c>
      <c r="O1906" s="79">
        <f>+M1905-O1905</f>
        <v>0</v>
      </c>
    </row>
    <row r="1907" spans="8:15" ht="15" customHeight="1">
      <c r="H1907" s="881">
        <v>213</v>
      </c>
      <c r="I1907" s="875">
        <v>42549</v>
      </c>
      <c r="J1907" s="877" t="s">
        <v>28</v>
      </c>
      <c r="K1907" s="879" t="s">
        <v>982</v>
      </c>
      <c r="L1907" s="881" t="s">
        <v>115</v>
      </c>
      <c r="M1907" s="883">
        <v>40000</v>
      </c>
      <c r="N1907" s="55">
        <v>719</v>
      </c>
      <c r="O1907" s="78">
        <v>40000</v>
      </c>
    </row>
    <row r="1908" spans="8:15" ht="15.75" customHeight="1" thickBot="1">
      <c r="H1908" s="882"/>
      <c r="I1908" s="876"/>
      <c r="J1908" s="878"/>
      <c r="K1908" s="880"/>
      <c r="L1908" s="882"/>
      <c r="M1908" s="884"/>
      <c r="N1908" s="56">
        <v>721</v>
      </c>
      <c r="O1908" s="79">
        <f>+M1907-O1907</f>
        <v>0</v>
      </c>
    </row>
    <row r="1909" spans="8:15" ht="15" customHeight="1">
      <c r="H1909" s="881">
        <v>214</v>
      </c>
      <c r="I1909" s="875">
        <v>42549</v>
      </c>
      <c r="J1909" s="877" t="s">
        <v>120</v>
      </c>
      <c r="K1909" s="879" t="s">
        <v>984</v>
      </c>
      <c r="L1909" s="881" t="s">
        <v>115</v>
      </c>
      <c r="M1909" s="883">
        <v>30000</v>
      </c>
      <c r="N1909" s="55">
        <v>719</v>
      </c>
      <c r="O1909" s="78">
        <v>30000</v>
      </c>
    </row>
    <row r="1910" spans="8:15" ht="15.75" customHeight="1" thickBot="1">
      <c r="H1910" s="882"/>
      <c r="I1910" s="876"/>
      <c r="J1910" s="878"/>
      <c r="K1910" s="880"/>
      <c r="L1910" s="882"/>
      <c r="M1910" s="884"/>
      <c r="N1910" s="56">
        <v>721</v>
      </c>
      <c r="O1910" s="79">
        <f>+M1909-O1909</f>
        <v>0</v>
      </c>
    </row>
    <row r="1911" spans="8:15" ht="15" customHeight="1">
      <c r="H1911" s="881">
        <v>215</v>
      </c>
      <c r="I1911" s="875">
        <v>42549</v>
      </c>
      <c r="J1911" s="877" t="s">
        <v>272</v>
      </c>
      <c r="K1911" s="879" t="s">
        <v>985</v>
      </c>
      <c r="L1911" s="881" t="s">
        <v>115</v>
      </c>
      <c r="M1911" s="883">
        <v>200000</v>
      </c>
      <c r="N1911" s="55">
        <v>719</v>
      </c>
      <c r="O1911" s="78">
        <v>200000</v>
      </c>
    </row>
    <row r="1912" spans="8:15" ht="15.75" customHeight="1" thickBot="1">
      <c r="H1912" s="882"/>
      <c r="I1912" s="876"/>
      <c r="J1912" s="878"/>
      <c r="K1912" s="880"/>
      <c r="L1912" s="882"/>
      <c r="M1912" s="884"/>
      <c r="N1912" s="56">
        <v>721</v>
      </c>
      <c r="O1912" s="79">
        <f>+M1911-O1911</f>
        <v>0</v>
      </c>
    </row>
    <row r="1913" spans="8:15" ht="15" customHeight="1">
      <c r="H1913" s="881"/>
      <c r="I1913" s="875"/>
      <c r="J1913" s="877"/>
      <c r="K1913" s="881"/>
      <c r="L1913" s="881"/>
      <c r="M1913" s="883"/>
      <c r="N1913" s="55">
        <v>719</v>
      </c>
      <c r="O1913" s="78"/>
    </row>
    <row r="1914" spans="8:15" ht="12" customHeight="1" thickBot="1">
      <c r="H1914" s="882"/>
      <c r="I1914" s="876"/>
      <c r="J1914" s="878"/>
      <c r="K1914" s="882"/>
      <c r="L1914" s="882"/>
      <c r="M1914" s="884"/>
      <c r="N1914" s="56">
        <v>721</v>
      </c>
      <c r="O1914" s="79">
        <f>+M1913-O1913</f>
        <v>0</v>
      </c>
    </row>
    <row r="1915" spans="8:15" ht="16.5" thickBot="1">
      <c r="H1915" s="901" t="s">
        <v>102</v>
      </c>
      <c r="I1915" s="902"/>
      <c r="J1915" s="902"/>
      <c r="K1915" s="902"/>
      <c r="L1915" s="903"/>
      <c r="M1915" s="81">
        <f>SUM(M1905:M1914)</f>
        <v>410000</v>
      </c>
    </row>
    <row r="1916" spans="8:15" ht="16.5" thickBot="1">
      <c r="H1916" s="885" t="s">
        <v>103</v>
      </c>
      <c r="I1916" s="886"/>
      <c r="J1916" s="886"/>
      <c r="K1916" s="886"/>
      <c r="L1916" s="887"/>
      <c r="M1916" s="69">
        <f>+M1880</f>
        <v>515220616</v>
      </c>
      <c r="N1916" s="241" t="s">
        <v>561</v>
      </c>
      <c r="O1916" s="242">
        <f>649+441+67+12</f>
        <v>1169</v>
      </c>
    </row>
    <row r="1917" spans="8:15" ht="16.5" thickBot="1">
      <c r="H1917" s="888" t="s">
        <v>104</v>
      </c>
      <c r="I1917" s="889"/>
      <c r="J1917" s="889"/>
      <c r="K1917" s="889"/>
      <c r="L1917" s="890"/>
      <c r="M1917" s="183">
        <f>SUM(M1915:M1916)</f>
        <v>515630616</v>
      </c>
    </row>
    <row r="1918" spans="8:15">
      <c r="H1918" s="61"/>
      <c r="I1918" s="61"/>
      <c r="J1918" s="61"/>
      <c r="K1918" s="61"/>
      <c r="L1918" s="61"/>
    </row>
    <row r="1919" spans="8:15">
      <c r="H1919" s="51" t="s">
        <v>990</v>
      </c>
    </row>
    <row r="1920" spans="8:15" ht="12" customHeight="1">
      <c r="M1920" s="139"/>
    </row>
    <row r="1921" spans="8:14">
      <c r="H1921" s="50" t="s">
        <v>105</v>
      </c>
      <c r="K1921" s="146"/>
      <c r="M1921" s="139"/>
    </row>
    <row r="1922" spans="8:14" ht="12.75" customHeight="1" thickBot="1"/>
    <row r="1923" spans="8:14" ht="15.75" thickBot="1">
      <c r="H1923" s="891" t="s">
        <v>106</v>
      </c>
      <c r="I1923" s="892"/>
      <c r="J1923" s="892"/>
      <c r="K1923" s="893"/>
      <c r="M1923" s="50" t="s">
        <v>288</v>
      </c>
    </row>
    <row r="1924" spans="8:14" ht="30.75" thickBot="1">
      <c r="H1924" s="57" t="s">
        <v>100</v>
      </c>
      <c r="I1924" s="58" t="s">
        <v>108</v>
      </c>
      <c r="J1924" s="287" t="s">
        <v>109</v>
      </c>
      <c r="K1924" s="60" t="s">
        <v>110</v>
      </c>
    </row>
    <row r="1925" spans="8:14">
      <c r="H1925" s="71">
        <v>719</v>
      </c>
      <c r="I1925" s="73">
        <f>+O1905+O1907+O1909+O1911+O1913</f>
        <v>410000</v>
      </c>
      <c r="J1925" s="74">
        <f>+K1888</f>
        <v>54180000</v>
      </c>
      <c r="K1925" s="195">
        <f>+I1925+J1925</f>
        <v>54590000</v>
      </c>
    </row>
    <row r="1926" spans="8:14">
      <c r="H1926" s="72">
        <v>721</v>
      </c>
      <c r="I1926" s="80">
        <f>+O1906+O1908+O1910+O1912</f>
        <v>0</v>
      </c>
      <c r="J1926" s="74">
        <f>+K1889</f>
        <v>102942559</v>
      </c>
      <c r="K1926" s="195">
        <f>+I1926+J1926</f>
        <v>102942559</v>
      </c>
    </row>
    <row r="1927" spans="8:14">
      <c r="H1927" s="72">
        <v>722</v>
      </c>
      <c r="I1927" s="80"/>
      <c r="J1927" s="74">
        <f>+K1890</f>
        <v>55831494</v>
      </c>
      <c r="K1927" s="195">
        <f>+I1927+J1927</f>
        <v>55831494</v>
      </c>
    </row>
    <row r="1928" spans="8:14" ht="15.75">
      <c r="H1928" s="72">
        <v>723</v>
      </c>
      <c r="I1928" s="80"/>
      <c r="J1928" s="74">
        <f>+K1891</f>
        <v>302196563</v>
      </c>
      <c r="K1928" s="195">
        <f>+I1928+J1928</f>
        <v>302196563</v>
      </c>
      <c r="M1928" s="193" t="s">
        <v>289</v>
      </c>
      <c r="N1928" s="175"/>
    </row>
    <row r="1929" spans="8:14" ht="16.5" thickBot="1">
      <c r="H1929" s="164" t="s">
        <v>181</v>
      </c>
      <c r="I1929" s="165"/>
      <c r="J1929" s="74">
        <f>+K1892</f>
        <v>0</v>
      </c>
      <c r="K1929" s="196">
        <f>+I1929+J1929</f>
        <v>0</v>
      </c>
      <c r="M1929" s="52"/>
    </row>
    <row r="1930" spans="8:14" ht="16.5" thickBot="1">
      <c r="H1930" s="169"/>
      <c r="I1930" s="197">
        <f>SUM(I1925:I1929)</f>
        <v>410000</v>
      </c>
      <c r="J1930" s="197">
        <f>SUM(J1925:J1929)</f>
        <v>515150616</v>
      </c>
      <c r="K1930" s="198">
        <f>SUM(K1925:K1929)</f>
        <v>515560616</v>
      </c>
    </row>
    <row r="1931" spans="8:14" ht="16.5">
      <c r="H1931" s="49" t="s">
        <v>88</v>
      </c>
      <c r="I1931" s="50"/>
    </row>
    <row r="1932" spans="8:14">
      <c r="H1932" s="51" t="s">
        <v>89</v>
      </c>
    </row>
    <row r="1933" spans="8:14">
      <c r="H1933" s="51" t="s">
        <v>90</v>
      </c>
    </row>
    <row r="1934" spans="8:14">
      <c r="H1934" s="51" t="s">
        <v>91</v>
      </c>
    </row>
    <row r="1935" spans="8:14" ht="11.25" customHeight="1">
      <c r="H1935" s="50"/>
      <c r="I1935" s="50"/>
    </row>
    <row r="1936" spans="8:14" ht="15.75">
      <c r="H1936" s="260" t="s">
        <v>981</v>
      </c>
      <c r="N1936" s="52"/>
    </row>
    <row r="1937" spans="8:15" ht="15.75">
      <c r="H1937" s="53" t="s">
        <v>535</v>
      </c>
      <c r="N1937" s="53"/>
    </row>
    <row r="1938" spans="8:15" ht="16.5">
      <c r="H1938" s="894" t="s">
        <v>909</v>
      </c>
      <c r="I1938" s="894"/>
      <c r="J1938" s="894"/>
      <c r="K1938" s="894"/>
      <c r="L1938" s="894"/>
      <c r="M1938" s="894"/>
      <c r="N1938" s="894"/>
      <c r="O1938" s="894"/>
    </row>
    <row r="1939" spans="8:15" ht="15.75" thickBot="1"/>
    <row r="1940" spans="8:15">
      <c r="H1940" s="895" t="s">
        <v>94</v>
      </c>
      <c r="I1940" s="897" t="s">
        <v>95</v>
      </c>
      <c r="J1940" s="897" t="s">
        <v>96</v>
      </c>
      <c r="K1940" s="897" t="s">
        <v>3</v>
      </c>
      <c r="L1940" s="897" t="s">
        <v>97</v>
      </c>
      <c r="M1940" s="897" t="s">
        <v>98</v>
      </c>
      <c r="N1940" s="897" t="s">
        <v>99</v>
      </c>
      <c r="O1940" s="899"/>
    </row>
    <row r="1941" spans="8:15" ht="15.75" thickBot="1">
      <c r="H1941" s="896"/>
      <c r="I1941" s="898"/>
      <c r="J1941" s="898"/>
      <c r="K1941" s="898"/>
      <c r="L1941" s="898"/>
      <c r="M1941" s="898"/>
      <c r="N1941" s="240" t="s">
        <v>100</v>
      </c>
      <c r="O1941" s="182" t="s">
        <v>101</v>
      </c>
    </row>
    <row r="1942" spans="8:15" ht="15" customHeight="1">
      <c r="H1942" s="881">
        <v>216</v>
      </c>
      <c r="I1942" s="875">
        <v>42549</v>
      </c>
      <c r="J1942" s="877" t="s">
        <v>272</v>
      </c>
      <c r="K1942" s="879" t="s">
        <v>986</v>
      </c>
      <c r="L1942" s="881" t="s">
        <v>115</v>
      </c>
      <c r="M1942" s="883">
        <v>60000</v>
      </c>
      <c r="N1942" s="55">
        <v>719</v>
      </c>
      <c r="O1942" s="78">
        <v>60000</v>
      </c>
    </row>
    <row r="1943" spans="8:15" ht="15.75" customHeight="1" thickBot="1">
      <c r="H1943" s="882"/>
      <c r="I1943" s="876"/>
      <c r="J1943" s="878"/>
      <c r="K1943" s="880"/>
      <c r="L1943" s="882"/>
      <c r="M1943" s="884"/>
      <c r="N1943" s="56">
        <v>721</v>
      </c>
      <c r="O1943" s="79">
        <f>+M1942-O1942</f>
        <v>0</v>
      </c>
    </row>
    <row r="1944" spans="8:15" ht="15" customHeight="1">
      <c r="H1944" s="881">
        <v>217</v>
      </c>
      <c r="I1944" s="875">
        <v>42549</v>
      </c>
      <c r="J1944" s="877" t="s">
        <v>28</v>
      </c>
      <c r="K1944" s="879" t="s">
        <v>987</v>
      </c>
      <c r="L1944" s="881" t="s">
        <v>115</v>
      </c>
      <c r="M1944" s="883">
        <v>50000</v>
      </c>
      <c r="N1944" s="55">
        <v>719</v>
      </c>
      <c r="O1944" s="78">
        <v>50000</v>
      </c>
    </row>
    <row r="1945" spans="8:15" ht="15.75" customHeight="1" thickBot="1">
      <c r="H1945" s="882"/>
      <c r="I1945" s="876"/>
      <c r="J1945" s="878"/>
      <c r="K1945" s="880"/>
      <c r="L1945" s="882"/>
      <c r="M1945" s="884"/>
      <c r="N1945" s="56">
        <v>721</v>
      </c>
      <c r="O1945" s="79">
        <f>+M1944-O1944</f>
        <v>0</v>
      </c>
    </row>
    <row r="1946" spans="8:15" ht="15" customHeight="1">
      <c r="H1946" s="881">
        <v>218</v>
      </c>
      <c r="I1946" s="875">
        <v>42549</v>
      </c>
      <c r="J1946" s="877" t="s">
        <v>28</v>
      </c>
      <c r="K1946" s="879" t="s">
        <v>988</v>
      </c>
      <c r="L1946" s="881" t="s">
        <v>115</v>
      </c>
      <c r="M1946" s="883">
        <v>40000</v>
      </c>
      <c r="N1946" s="55">
        <v>719</v>
      </c>
      <c r="O1946" s="78">
        <v>40000</v>
      </c>
    </row>
    <row r="1947" spans="8:15" ht="15.75" customHeight="1" thickBot="1">
      <c r="H1947" s="882"/>
      <c r="I1947" s="876"/>
      <c r="J1947" s="878"/>
      <c r="K1947" s="880"/>
      <c r="L1947" s="882"/>
      <c r="M1947" s="884"/>
      <c r="N1947" s="56">
        <v>721</v>
      </c>
      <c r="O1947" s="79">
        <f>+M1946-O1946</f>
        <v>0</v>
      </c>
    </row>
    <row r="1948" spans="8:15" ht="15" customHeight="1">
      <c r="H1948" s="881"/>
      <c r="I1948" s="875"/>
      <c r="J1948" s="877"/>
      <c r="K1948" s="879"/>
      <c r="L1948" s="881"/>
      <c r="M1948" s="883"/>
      <c r="N1948" s="55">
        <v>719</v>
      </c>
      <c r="O1948" s="78">
        <v>0</v>
      </c>
    </row>
    <row r="1949" spans="8:15" ht="15.75" customHeight="1" thickBot="1">
      <c r="H1949" s="882"/>
      <c r="I1949" s="876"/>
      <c r="J1949" s="878"/>
      <c r="K1949" s="880"/>
      <c r="L1949" s="882"/>
      <c r="M1949" s="884"/>
      <c r="N1949" s="56">
        <v>721</v>
      </c>
      <c r="O1949" s="79">
        <f>+M1948-O1948</f>
        <v>0</v>
      </c>
    </row>
    <row r="1950" spans="8:15">
      <c r="H1950" s="881"/>
      <c r="I1950" s="875"/>
      <c r="J1950" s="877"/>
      <c r="K1950" s="881"/>
      <c r="L1950" s="881"/>
      <c r="M1950" s="883"/>
      <c r="N1950" s="55">
        <v>719</v>
      </c>
      <c r="O1950" s="78"/>
    </row>
    <row r="1951" spans="8:15" ht="15.75" thickBot="1">
      <c r="H1951" s="882"/>
      <c r="I1951" s="876"/>
      <c r="J1951" s="878"/>
      <c r="K1951" s="882"/>
      <c r="L1951" s="882"/>
      <c r="M1951" s="884"/>
      <c r="N1951" s="56">
        <v>721</v>
      </c>
      <c r="O1951" s="79">
        <f>+M1950-O1950</f>
        <v>0</v>
      </c>
    </row>
    <row r="1952" spans="8:15" ht="16.5" thickBot="1">
      <c r="H1952" s="901" t="s">
        <v>102</v>
      </c>
      <c r="I1952" s="902"/>
      <c r="J1952" s="902"/>
      <c r="K1952" s="902"/>
      <c r="L1952" s="903"/>
      <c r="M1952" s="81">
        <f>SUM(M1942:M1951)</f>
        <v>150000</v>
      </c>
    </row>
    <row r="1953" spans="8:15" ht="16.5" thickBot="1">
      <c r="H1953" s="885" t="s">
        <v>103</v>
      </c>
      <c r="I1953" s="886"/>
      <c r="J1953" s="886"/>
      <c r="K1953" s="886"/>
      <c r="L1953" s="887"/>
      <c r="M1953" s="69">
        <f>+M1917</f>
        <v>515630616</v>
      </c>
      <c r="N1953" s="241" t="s">
        <v>561</v>
      </c>
      <c r="O1953" s="242">
        <f>314+120+93</f>
        <v>527</v>
      </c>
    </row>
    <row r="1954" spans="8:15" ht="16.5" thickBot="1">
      <c r="H1954" s="888" t="s">
        <v>104</v>
      </c>
      <c r="I1954" s="889"/>
      <c r="J1954" s="889"/>
      <c r="K1954" s="889"/>
      <c r="L1954" s="890"/>
      <c r="M1954" s="183">
        <f>SUM(M1952:M1953)</f>
        <v>515780616</v>
      </c>
    </row>
    <row r="1955" spans="8:15" ht="14.25" customHeight="1">
      <c r="H1955" s="61"/>
      <c r="I1955" s="61"/>
      <c r="J1955" s="61"/>
      <c r="K1955" s="61"/>
      <c r="L1955" s="61"/>
    </row>
    <row r="1956" spans="8:15">
      <c r="H1956" s="51" t="s">
        <v>991</v>
      </c>
    </row>
    <row r="1957" spans="8:15" ht="11.25" customHeight="1">
      <c r="M1957" s="139"/>
    </row>
    <row r="1958" spans="8:15">
      <c r="H1958" s="50" t="s">
        <v>105</v>
      </c>
      <c r="K1958" s="146"/>
      <c r="M1958" s="139"/>
    </row>
    <row r="1959" spans="8:15" ht="12" customHeight="1" thickBot="1"/>
    <row r="1960" spans="8:15" ht="15.75" thickBot="1">
      <c r="H1960" s="891" t="s">
        <v>106</v>
      </c>
      <c r="I1960" s="892"/>
      <c r="J1960" s="892"/>
      <c r="K1960" s="893"/>
      <c r="M1960" s="50" t="s">
        <v>288</v>
      </c>
    </row>
    <row r="1961" spans="8:15" ht="30.75" thickBot="1">
      <c r="H1961" s="57" t="s">
        <v>100</v>
      </c>
      <c r="I1961" s="58" t="s">
        <v>108</v>
      </c>
      <c r="J1961" s="287" t="s">
        <v>109</v>
      </c>
      <c r="K1961" s="60" t="s">
        <v>110</v>
      </c>
    </row>
    <row r="1962" spans="8:15">
      <c r="H1962" s="71">
        <v>719</v>
      </c>
      <c r="I1962" s="73">
        <f>+O1942+O1944+O1946+O1948+O1950</f>
        <v>150000</v>
      </c>
      <c r="J1962" s="74">
        <f>+K1925</f>
        <v>54590000</v>
      </c>
      <c r="K1962" s="195">
        <f>+I1962+J1962</f>
        <v>54740000</v>
      </c>
    </row>
    <row r="1963" spans="8:15">
      <c r="H1963" s="72">
        <v>721</v>
      </c>
      <c r="I1963" s="80">
        <f>+O1943+O1945+O1947+O1949</f>
        <v>0</v>
      </c>
      <c r="J1963" s="74">
        <f>+K1926</f>
        <v>102942559</v>
      </c>
      <c r="K1963" s="195">
        <f>+I1963+J1963</f>
        <v>102942559</v>
      </c>
    </row>
    <row r="1964" spans="8:15">
      <c r="H1964" s="72">
        <v>722</v>
      </c>
      <c r="I1964" s="80"/>
      <c r="J1964" s="74">
        <f>+K1927</f>
        <v>55831494</v>
      </c>
      <c r="K1964" s="195">
        <f>+I1964+J1964</f>
        <v>55831494</v>
      </c>
    </row>
    <row r="1965" spans="8:15" ht="15.75">
      <c r="H1965" s="72">
        <v>723</v>
      </c>
      <c r="I1965" s="80"/>
      <c r="J1965" s="74">
        <f>+K1928</f>
        <v>302196563</v>
      </c>
      <c r="K1965" s="195">
        <f>+I1965+J1965</f>
        <v>302196563</v>
      </c>
      <c r="M1965" s="193" t="s">
        <v>289</v>
      </c>
      <c r="N1965" s="175"/>
    </row>
    <row r="1966" spans="8:15" ht="16.5" thickBot="1">
      <c r="H1966" s="164" t="s">
        <v>181</v>
      </c>
      <c r="I1966" s="165"/>
      <c r="J1966" s="74">
        <f>+K1929</f>
        <v>0</v>
      </c>
      <c r="K1966" s="196">
        <f>+I1966+J1966</f>
        <v>0</v>
      </c>
      <c r="M1966" s="52"/>
    </row>
    <row r="1967" spans="8:15" ht="16.5" thickBot="1">
      <c r="H1967" s="169"/>
      <c r="I1967" s="197">
        <f>SUM(I1962:I1966)</f>
        <v>150000</v>
      </c>
      <c r="J1967" s="197">
        <f>SUM(J1962:J1966)</f>
        <v>515560616</v>
      </c>
      <c r="K1967" s="198">
        <f>SUM(K1962:K1966)</f>
        <v>515710616</v>
      </c>
    </row>
    <row r="1968" spans="8:15" ht="16.5">
      <c r="H1968" s="49" t="s">
        <v>88</v>
      </c>
      <c r="I1968" s="50"/>
    </row>
    <row r="1969" spans="8:15">
      <c r="H1969" s="51" t="s">
        <v>89</v>
      </c>
    </row>
    <row r="1970" spans="8:15">
      <c r="H1970" s="51" t="s">
        <v>90</v>
      </c>
    </row>
    <row r="1971" spans="8:15">
      <c r="H1971" s="51" t="s">
        <v>91</v>
      </c>
    </row>
    <row r="1972" spans="8:15" ht="11.25" customHeight="1">
      <c r="H1972" s="50"/>
      <c r="I1972" s="50"/>
    </row>
    <row r="1973" spans="8:15" ht="15.75">
      <c r="H1973" s="260" t="s">
        <v>992</v>
      </c>
      <c r="N1973" s="52"/>
    </row>
    <row r="1974" spans="8:15" ht="15.75">
      <c r="H1974" s="53" t="s">
        <v>535</v>
      </c>
      <c r="N1974" s="53"/>
    </row>
    <row r="1975" spans="8:15" ht="16.5">
      <c r="H1975" s="894" t="s">
        <v>909</v>
      </c>
      <c r="I1975" s="894"/>
      <c r="J1975" s="894"/>
      <c r="K1975" s="894"/>
      <c r="L1975" s="894"/>
      <c r="M1975" s="894"/>
      <c r="N1975" s="894"/>
      <c r="O1975" s="894"/>
    </row>
    <row r="1976" spans="8:15" ht="15.75" thickBot="1"/>
    <row r="1977" spans="8:15">
      <c r="H1977" s="895" t="s">
        <v>94</v>
      </c>
      <c r="I1977" s="897" t="s">
        <v>95</v>
      </c>
      <c r="J1977" s="897" t="s">
        <v>96</v>
      </c>
      <c r="K1977" s="897" t="s">
        <v>3</v>
      </c>
      <c r="L1977" s="897" t="s">
        <v>97</v>
      </c>
      <c r="M1977" s="897" t="s">
        <v>98</v>
      </c>
      <c r="N1977" s="897" t="s">
        <v>99</v>
      </c>
      <c r="O1977" s="899"/>
    </row>
    <row r="1978" spans="8:15" ht="15.75" thickBot="1">
      <c r="H1978" s="896"/>
      <c r="I1978" s="898"/>
      <c r="J1978" s="898"/>
      <c r="K1978" s="898"/>
      <c r="L1978" s="898"/>
      <c r="M1978" s="898"/>
      <c r="N1978" s="240" t="s">
        <v>100</v>
      </c>
      <c r="O1978" s="182" t="s">
        <v>101</v>
      </c>
    </row>
    <row r="1979" spans="8:15">
      <c r="H1979" s="881">
        <v>219</v>
      </c>
      <c r="I1979" s="875">
        <v>42549</v>
      </c>
      <c r="J1979" s="877" t="s">
        <v>272</v>
      </c>
      <c r="K1979" s="879" t="s">
        <v>996</v>
      </c>
      <c r="L1979" s="881" t="s">
        <v>115</v>
      </c>
      <c r="M1979" s="883">
        <v>190000</v>
      </c>
      <c r="N1979" s="55">
        <v>719</v>
      </c>
      <c r="O1979" s="78">
        <v>190000</v>
      </c>
    </row>
    <row r="1980" spans="8:15" ht="15.75" thickBot="1">
      <c r="H1980" s="882"/>
      <c r="I1980" s="876"/>
      <c r="J1980" s="878"/>
      <c r="K1980" s="880"/>
      <c r="L1980" s="882"/>
      <c r="M1980" s="884"/>
      <c r="N1980" s="56">
        <v>721</v>
      </c>
      <c r="O1980" s="79">
        <f>+M1979-O1979</f>
        <v>0</v>
      </c>
    </row>
    <row r="1981" spans="8:15">
      <c r="H1981" s="881">
        <v>220</v>
      </c>
      <c r="I1981" s="875">
        <v>42549</v>
      </c>
      <c r="J1981" s="877" t="s">
        <v>28</v>
      </c>
      <c r="K1981" s="879" t="s">
        <v>993</v>
      </c>
      <c r="L1981" s="881" t="s">
        <v>115</v>
      </c>
      <c r="M1981" s="883">
        <v>60000</v>
      </c>
      <c r="N1981" s="55">
        <v>719</v>
      </c>
      <c r="O1981" s="78">
        <v>60000</v>
      </c>
    </row>
    <row r="1982" spans="8:15" ht="15.75" thickBot="1">
      <c r="H1982" s="882"/>
      <c r="I1982" s="876"/>
      <c r="J1982" s="878"/>
      <c r="K1982" s="880"/>
      <c r="L1982" s="882"/>
      <c r="M1982" s="884"/>
      <c r="N1982" s="56">
        <v>721</v>
      </c>
      <c r="O1982" s="79">
        <f>+M1981-O1981</f>
        <v>0</v>
      </c>
    </row>
    <row r="1983" spans="8:15">
      <c r="H1983" s="881">
        <v>221</v>
      </c>
      <c r="I1983" s="875">
        <v>42549</v>
      </c>
      <c r="J1983" s="877" t="s">
        <v>120</v>
      </c>
      <c r="K1983" s="879" t="s">
        <v>994</v>
      </c>
      <c r="L1983" s="881" t="s">
        <v>115</v>
      </c>
      <c r="M1983" s="883">
        <v>50000</v>
      </c>
      <c r="N1983" s="55">
        <v>719</v>
      </c>
      <c r="O1983" s="78">
        <v>50000</v>
      </c>
    </row>
    <row r="1984" spans="8:15" ht="15.75" thickBot="1">
      <c r="H1984" s="882"/>
      <c r="I1984" s="876"/>
      <c r="J1984" s="878"/>
      <c r="K1984" s="880"/>
      <c r="L1984" s="882"/>
      <c r="M1984" s="884"/>
      <c r="N1984" s="56">
        <v>721</v>
      </c>
      <c r="O1984" s="79">
        <f>+M1983-O1983</f>
        <v>0</v>
      </c>
    </row>
    <row r="1985" spans="8:15">
      <c r="H1985" s="881"/>
      <c r="I1985" s="875"/>
      <c r="J1985" s="877"/>
      <c r="K1985" s="879"/>
      <c r="L1985" s="881"/>
      <c r="M1985" s="883"/>
      <c r="N1985" s="55">
        <v>719</v>
      </c>
      <c r="O1985" s="78">
        <v>0</v>
      </c>
    </row>
    <row r="1986" spans="8:15" ht="13.5" customHeight="1" thickBot="1">
      <c r="H1986" s="882"/>
      <c r="I1986" s="876"/>
      <c r="J1986" s="878"/>
      <c r="K1986" s="880"/>
      <c r="L1986" s="882"/>
      <c r="M1986" s="884"/>
      <c r="N1986" s="56">
        <v>721</v>
      </c>
      <c r="O1986" s="79">
        <f>+M1985-O1985</f>
        <v>0</v>
      </c>
    </row>
    <row r="1987" spans="8:15">
      <c r="H1987" s="881"/>
      <c r="I1987" s="875"/>
      <c r="J1987" s="877"/>
      <c r="K1987" s="881"/>
      <c r="L1987" s="881"/>
      <c r="M1987" s="883"/>
      <c r="N1987" s="55">
        <v>719</v>
      </c>
      <c r="O1987" s="78"/>
    </row>
    <row r="1988" spans="8:15" ht="12" customHeight="1" thickBot="1">
      <c r="H1988" s="882"/>
      <c r="I1988" s="876"/>
      <c r="J1988" s="878"/>
      <c r="K1988" s="882"/>
      <c r="L1988" s="882"/>
      <c r="M1988" s="884"/>
      <c r="N1988" s="56">
        <v>721</v>
      </c>
      <c r="O1988" s="79">
        <f>+M1987-O1987</f>
        <v>0</v>
      </c>
    </row>
    <row r="1989" spans="8:15" ht="16.5" thickBot="1">
      <c r="H1989" s="901" t="s">
        <v>102</v>
      </c>
      <c r="I1989" s="902"/>
      <c r="J1989" s="902"/>
      <c r="K1989" s="902"/>
      <c r="L1989" s="903"/>
      <c r="M1989" s="81">
        <f>SUM(M1979:M1988)</f>
        <v>300000</v>
      </c>
    </row>
    <row r="1990" spans="8:15" ht="16.5" thickBot="1">
      <c r="H1990" s="885" t="s">
        <v>103</v>
      </c>
      <c r="I1990" s="886"/>
      <c r="J1990" s="886"/>
      <c r="K1990" s="886"/>
      <c r="L1990" s="887"/>
      <c r="M1990" s="69">
        <f>+M1954</f>
        <v>515780616</v>
      </c>
      <c r="N1990" s="241" t="s">
        <v>561</v>
      </c>
      <c r="O1990" s="242">
        <f>50+174+606</f>
        <v>830</v>
      </c>
    </row>
    <row r="1991" spans="8:15" ht="16.5" thickBot="1">
      <c r="H1991" s="888" t="s">
        <v>104</v>
      </c>
      <c r="I1991" s="889"/>
      <c r="J1991" s="889"/>
      <c r="K1991" s="889"/>
      <c r="L1991" s="890"/>
      <c r="M1991" s="183">
        <f>SUM(M1989:M1990)</f>
        <v>516080616</v>
      </c>
    </row>
    <row r="1992" spans="8:15">
      <c r="H1992" s="61"/>
      <c r="I1992" s="61"/>
      <c r="J1992" s="61"/>
      <c r="K1992" s="61"/>
      <c r="L1992" s="61"/>
    </row>
    <row r="1993" spans="8:15">
      <c r="H1993" s="51" t="s">
        <v>995</v>
      </c>
    </row>
    <row r="1994" spans="8:15">
      <c r="M1994" s="139"/>
    </row>
    <row r="1995" spans="8:15">
      <c r="H1995" s="50" t="s">
        <v>105</v>
      </c>
      <c r="K1995" s="146"/>
      <c r="M1995" s="139"/>
    </row>
    <row r="1996" spans="8:15" ht="12.75" customHeight="1" thickBot="1"/>
    <row r="1997" spans="8:15" ht="15.75" thickBot="1">
      <c r="H1997" s="891" t="s">
        <v>106</v>
      </c>
      <c r="I1997" s="892"/>
      <c r="J1997" s="892"/>
      <c r="K1997" s="893"/>
      <c r="M1997" s="50" t="s">
        <v>288</v>
      </c>
    </row>
    <row r="1998" spans="8:15" ht="30.75" thickBot="1">
      <c r="H1998" s="57" t="s">
        <v>100</v>
      </c>
      <c r="I1998" s="58" t="s">
        <v>108</v>
      </c>
      <c r="J1998" s="287" t="s">
        <v>109</v>
      </c>
      <c r="K1998" s="60" t="s">
        <v>110</v>
      </c>
    </row>
    <row r="1999" spans="8:15">
      <c r="H1999" s="71">
        <v>719</v>
      </c>
      <c r="I1999" s="73">
        <f>+O1979+O1981+O1983+O1985+O1987</f>
        <v>300000</v>
      </c>
      <c r="J1999" s="74">
        <f>+K1962</f>
        <v>54740000</v>
      </c>
      <c r="K1999" s="195">
        <f>+I1999+J1999</f>
        <v>55040000</v>
      </c>
    </row>
    <row r="2000" spans="8:15">
      <c r="H2000" s="72">
        <v>721</v>
      </c>
      <c r="I2000" s="80">
        <f>+O1980+O1982+O1984+O1986</f>
        <v>0</v>
      </c>
      <c r="J2000" s="74">
        <f>+K1963</f>
        <v>102942559</v>
      </c>
      <c r="K2000" s="195">
        <f>+I2000+J2000</f>
        <v>102942559</v>
      </c>
    </row>
    <row r="2001" spans="8:15">
      <c r="H2001" s="72">
        <v>722</v>
      </c>
      <c r="I2001" s="80"/>
      <c r="J2001" s="74">
        <f>+K1964</f>
        <v>55831494</v>
      </c>
      <c r="K2001" s="195">
        <f>+I2001+J2001</f>
        <v>55831494</v>
      </c>
    </row>
    <row r="2002" spans="8:15" ht="15.75">
      <c r="H2002" s="72">
        <v>723</v>
      </c>
      <c r="I2002" s="80"/>
      <c r="J2002" s="74">
        <f>+K1965</f>
        <v>302196563</v>
      </c>
      <c r="K2002" s="195">
        <f>+I2002+J2002</f>
        <v>302196563</v>
      </c>
      <c r="M2002" s="193" t="s">
        <v>289</v>
      </c>
      <c r="N2002" s="175"/>
    </row>
    <row r="2003" spans="8:15" ht="16.5" thickBot="1">
      <c r="H2003" s="164" t="s">
        <v>181</v>
      </c>
      <c r="I2003" s="165"/>
      <c r="J2003" s="74">
        <f>+K1966</f>
        <v>0</v>
      </c>
      <c r="K2003" s="196">
        <f>+I2003+J2003</f>
        <v>0</v>
      </c>
      <c r="M2003" s="52"/>
    </row>
    <row r="2004" spans="8:15" ht="16.5" thickBot="1">
      <c r="H2004" s="169"/>
      <c r="I2004" s="197">
        <f>SUM(I1999:I2003)</f>
        <v>300000</v>
      </c>
      <c r="J2004" s="197">
        <f>SUM(J1999:J2003)</f>
        <v>515710616</v>
      </c>
      <c r="K2004" s="198">
        <f>SUM(K1999:K2003)</f>
        <v>516010616</v>
      </c>
    </row>
    <row r="2005" spans="8:15" ht="16.5">
      <c r="H2005" s="49" t="s">
        <v>88</v>
      </c>
      <c r="I2005" s="50"/>
    </row>
    <row r="2006" spans="8:15">
      <c r="H2006" s="51" t="s">
        <v>89</v>
      </c>
    </row>
    <row r="2007" spans="8:15">
      <c r="H2007" s="51" t="s">
        <v>90</v>
      </c>
    </row>
    <row r="2008" spans="8:15">
      <c r="H2008" s="51" t="s">
        <v>91</v>
      </c>
    </row>
    <row r="2009" spans="8:15" ht="12.75" customHeight="1">
      <c r="H2009" s="50"/>
      <c r="I2009" s="50"/>
    </row>
    <row r="2010" spans="8:15" ht="15.75">
      <c r="H2010" s="260" t="s">
        <v>997</v>
      </c>
      <c r="N2010" s="52"/>
    </row>
    <row r="2011" spans="8:15" ht="15.75">
      <c r="H2011" s="53" t="s">
        <v>535</v>
      </c>
      <c r="N2011" s="53"/>
    </row>
    <row r="2012" spans="8:15" ht="16.5">
      <c r="H2012" s="894" t="s">
        <v>909</v>
      </c>
      <c r="I2012" s="894"/>
      <c r="J2012" s="894"/>
      <c r="K2012" s="894"/>
      <c r="L2012" s="894"/>
      <c r="M2012" s="894"/>
      <c r="N2012" s="894"/>
      <c r="O2012" s="894"/>
    </row>
    <row r="2013" spans="8:15" ht="15.75" thickBot="1"/>
    <row r="2014" spans="8:15">
      <c r="H2014" s="895" t="s">
        <v>94</v>
      </c>
      <c r="I2014" s="897" t="s">
        <v>95</v>
      </c>
      <c r="J2014" s="897" t="s">
        <v>96</v>
      </c>
      <c r="K2014" s="897" t="s">
        <v>3</v>
      </c>
      <c r="L2014" s="897" t="s">
        <v>97</v>
      </c>
      <c r="M2014" s="897" t="s">
        <v>98</v>
      </c>
      <c r="N2014" s="897" t="s">
        <v>99</v>
      </c>
      <c r="O2014" s="899"/>
    </row>
    <row r="2015" spans="8:15" ht="15.75" thickBot="1">
      <c r="H2015" s="896"/>
      <c r="I2015" s="898"/>
      <c r="J2015" s="898"/>
      <c r="K2015" s="898"/>
      <c r="L2015" s="898"/>
      <c r="M2015" s="898"/>
      <c r="N2015" s="240" t="s">
        <v>100</v>
      </c>
      <c r="O2015" s="182" t="s">
        <v>101</v>
      </c>
    </row>
    <row r="2016" spans="8:15">
      <c r="H2016" s="881">
        <v>222</v>
      </c>
      <c r="I2016" s="875">
        <v>42551</v>
      </c>
      <c r="J2016" s="877" t="s">
        <v>40</v>
      </c>
      <c r="K2016" s="879" t="s">
        <v>999</v>
      </c>
      <c r="L2016" s="881" t="s">
        <v>148</v>
      </c>
      <c r="M2016" s="883">
        <v>28000</v>
      </c>
      <c r="N2016" s="55">
        <v>719</v>
      </c>
      <c r="O2016" s="78">
        <v>20000</v>
      </c>
    </row>
    <row r="2017" spans="8:15" ht="15.75" thickBot="1">
      <c r="H2017" s="882"/>
      <c r="I2017" s="876"/>
      <c r="J2017" s="878"/>
      <c r="K2017" s="880"/>
      <c r="L2017" s="882"/>
      <c r="M2017" s="884"/>
      <c r="N2017" s="56">
        <v>721</v>
      </c>
      <c r="O2017" s="79">
        <f>+M2016-O2016</f>
        <v>8000</v>
      </c>
    </row>
    <row r="2018" spans="8:15" ht="15" customHeight="1">
      <c r="H2018" s="881">
        <v>223</v>
      </c>
      <c r="I2018" s="875">
        <v>42551</v>
      </c>
      <c r="J2018" s="877" t="s">
        <v>28</v>
      </c>
      <c r="K2018" s="879" t="s">
        <v>983</v>
      </c>
      <c r="L2018" s="881" t="s">
        <v>148</v>
      </c>
      <c r="M2018" s="883">
        <v>294000</v>
      </c>
      <c r="N2018" s="55">
        <v>719</v>
      </c>
      <c r="O2018" s="78">
        <v>210000</v>
      </c>
    </row>
    <row r="2019" spans="8:15" ht="15.75" customHeight="1" thickBot="1">
      <c r="H2019" s="882"/>
      <c r="I2019" s="876"/>
      <c r="J2019" s="878"/>
      <c r="K2019" s="880"/>
      <c r="L2019" s="882"/>
      <c r="M2019" s="884"/>
      <c r="N2019" s="56">
        <v>721</v>
      </c>
      <c r="O2019" s="79">
        <f>+M2018-O2018</f>
        <v>84000</v>
      </c>
    </row>
    <row r="2020" spans="8:15" ht="15" customHeight="1">
      <c r="H2020" s="881">
        <v>224</v>
      </c>
      <c r="I2020" s="875">
        <v>42551</v>
      </c>
      <c r="J2020" s="877" t="s">
        <v>111</v>
      </c>
      <c r="K2020" s="879" t="s">
        <v>1000</v>
      </c>
      <c r="L2020" s="881" t="s">
        <v>148</v>
      </c>
      <c r="M2020" s="883">
        <v>84000</v>
      </c>
      <c r="N2020" s="55">
        <v>719</v>
      </c>
      <c r="O2020" s="78">
        <v>60000</v>
      </c>
    </row>
    <row r="2021" spans="8:15" ht="15.75" customHeight="1" thickBot="1">
      <c r="H2021" s="882"/>
      <c r="I2021" s="876"/>
      <c r="J2021" s="878"/>
      <c r="K2021" s="880"/>
      <c r="L2021" s="882"/>
      <c r="M2021" s="884"/>
      <c r="N2021" s="56">
        <v>721</v>
      </c>
      <c r="O2021" s="79">
        <f>+M2020-O2020</f>
        <v>24000</v>
      </c>
    </row>
    <row r="2022" spans="8:15" ht="15" customHeight="1">
      <c r="H2022" s="881">
        <v>225</v>
      </c>
      <c r="I2022" s="875">
        <v>42551</v>
      </c>
      <c r="J2022" s="877" t="s">
        <v>272</v>
      </c>
      <c r="K2022" s="879" t="s">
        <v>983</v>
      </c>
      <c r="L2022" s="881" t="s">
        <v>148</v>
      </c>
      <c r="M2022" s="883">
        <v>672000</v>
      </c>
      <c r="N2022" s="55">
        <v>719</v>
      </c>
      <c r="O2022" s="78">
        <v>480000</v>
      </c>
    </row>
    <row r="2023" spans="8:15" ht="15.75" customHeight="1" thickBot="1">
      <c r="H2023" s="882"/>
      <c r="I2023" s="876"/>
      <c r="J2023" s="878"/>
      <c r="K2023" s="880"/>
      <c r="L2023" s="882"/>
      <c r="M2023" s="884"/>
      <c r="N2023" s="56">
        <v>721</v>
      </c>
      <c r="O2023" s="79">
        <f>+M2022-O2022</f>
        <v>192000</v>
      </c>
    </row>
    <row r="2024" spans="8:15" ht="14.25" customHeight="1">
      <c r="H2024" s="881"/>
      <c r="I2024" s="875"/>
      <c r="J2024" s="877"/>
      <c r="K2024" s="881"/>
      <c r="L2024" s="881"/>
      <c r="M2024" s="883"/>
      <c r="N2024" s="55">
        <v>719</v>
      </c>
      <c r="O2024" s="78"/>
    </row>
    <row r="2025" spans="8:15" ht="12.75" customHeight="1" thickBot="1">
      <c r="H2025" s="882"/>
      <c r="I2025" s="876"/>
      <c r="J2025" s="878"/>
      <c r="K2025" s="882"/>
      <c r="L2025" s="882"/>
      <c r="M2025" s="884"/>
      <c r="N2025" s="56">
        <v>721</v>
      </c>
      <c r="O2025" s="79">
        <f>+M2024-O2024</f>
        <v>0</v>
      </c>
    </row>
    <row r="2026" spans="8:15" ht="16.5" thickBot="1">
      <c r="H2026" s="901" t="s">
        <v>102</v>
      </c>
      <c r="I2026" s="902"/>
      <c r="J2026" s="902"/>
      <c r="K2026" s="902"/>
      <c r="L2026" s="903"/>
      <c r="M2026" s="81">
        <f>SUM(M2016:M2025)</f>
        <v>1078000</v>
      </c>
    </row>
    <row r="2027" spans="8:15" ht="16.5" thickBot="1">
      <c r="H2027" s="885" t="s">
        <v>103</v>
      </c>
      <c r="I2027" s="886"/>
      <c r="J2027" s="886"/>
      <c r="K2027" s="886"/>
      <c r="L2027" s="887"/>
      <c r="M2027" s="69">
        <f>+M1991</f>
        <v>516080616</v>
      </c>
      <c r="N2027" s="241" t="s">
        <v>561</v>
      </c>
      <c r="O2027" s="242">
        <f>22+571+21+917</f>
        <v>1531</v>
      </c>
    </row>
    <row r="2028" spans="8:15" ht="16.5" thickBot="1">
      <c r="H2028" s="888" t="s">
        <v>104</v>
      </c>
      <c r="I2028" s="889"/>
      <c r="J2028" s="889"/>
      <c r="K2028" s="889"/>
      <c r="L2028" s="890"/>
      <c r="M2028" s="183">
        <f>SUM(M2026:M2027)</f>
        <v>517158616</v>
      </c>
    </row>
    <row r="2029" spans="8:15">
      <c r="H2029" s="61"/>
      <c r="I2029" s="61"/>
      <c r="J2029" s="61"/>
      <c r="K2029" s="61"/>
      <c r="L2029" s="61"/>
    </row>
    <row r="2030" spans="8:15">
      <c r="H2030" s="51" t="s">
        <v>1006</v>
      </c>
    </row>
    <row r="2031" spans="8:15" ht="12.75" customHeight="1">
      <c r="M2031" s="139"/>
    </row>
    <row r="2032" spans="8:15">
      <c r="H2032" s="50" t="s">
        <v>105</v>
      </c>
      <c r="K2032" s="146"/>
      <c r="M2032" s="139"/>
    </row>
    <row r="2033" spans="8:14" ht="15.75" thickBot="1"/>
    <row r="2034" spans="8:14" ht="15.75" thickBot="1">
      <c r="H2034" s="891" t="s">
        <v>106</v>
      </c>
      <c r="I2034" s="892"/>
      <c r="J2034" s="892"/>
      <c r="K2034" s="893"/>
      <c r="M2034" s="50" t="s">
        <v>288</v>
      </c>
    </row>
    <row r="2035" spans="8:14" ht="30.75" thickBot="1">
      <c r="H2035" s="57" t="s">
        <v>100</v>
      </c>
      <c r="I2035" s="58" t="s">
        <v>108</v>
      </c>
      <c r="J2035" s="287" t="s">
        <v>109</v>
      </c>
      <c r="K2035" s="60" t="s">
        <v>110</v>
      </c>
    </row>
    <row r="2036" spans="8:14">
      <c r="H2036" s="71">
        <v>719</v>
      </c>
      <c r="I2036" s="73">
        <f>+O2016+O2018+O2020+O2022+O2024</f>
        <v>770000</v>
      </c>
      <c r="J2036" s="74">
        <f>+K1999</f>
        <v>55040000</v>
      </c>
      <c r="K2036" s="195">
        <f>+I2036+J2036</f>
        <v>55810000</v>
      </c>
    </row>
    <row r="2037" spans="8:14">
      <c r="H2037" s="72">
        <v>721</v>
      </c>
      <c r="I2037" s="80">
        <f>+O2017+O2019+O2021+O2023</f>
        <v>308000</v>
      </c>
      <c r="J2037" s="74">
        <f>+K2000</f>
        <v>102942559</v>
      </c>
      <c r="K2037" s="195">
        <f>+I2037+J2037</f>
        <v>103250559</v>
      </c>
    </row>
    <row r="2038" spans="8:14">
      <c r="H2038" s="72">
        <v>722</v>
      </c>
      <c r="I2038" s="80"/>
      <c r="J2038" s="74">
        <f>+K2001</f>
        <v>55831494</v>
      </c>
      <c r="K2038" s="195">
        <f>+I2038+J2038</f>
        <v>55831494</v>
      </c>
    </row>
    <row r="2039" spans="8:14" ht="15.75">
      <c r="H2039" s="72">
        <v>723</v>
      </c>
      <c r="I2039" s="80"/>
      <c r="J2039" s="74">
        <f>+K2002</f>
        <v>302196563</v>
      </c>
      <c r="K2039" s="195">
        <f>+I2039+J2039</f>
        <v>302196563</v>
      </c>
      <c r="M2039" s="193" t="s">
        <v>289</v>
      </c>
      <c r="N2039" s="175"/>
    </row>
    <row r="2040" spans="8:14" ht="16.5" thickBot="1">
      <c r="H2040" s="164" t="s">
        <v>181</v>
      </c>
      <c r="I2040" s="165"/>
      <c r="J2040" s="74">
        <f>+K2003</f>
        <v>0</v>
      </c>
      <c r="K2040" s="196">
        <f>+I2040+J2040</f>
        <v>0</v>
      </c>
      <c r="M2040" s="52"/>
    </row>
    <row r="2041" spans="8:14" ht="16.5" thickBot="1">
      <c r="H2041" s="169"/>
      <c r="I2041" s="197">
        <f>SUM(I2036:I2040)</f>
        <v>1078000</v>
      </c>
      <c r="J2041" s="197">
        <f>SUM(J2036:J2040)</f>
        <v>516010616</v>
      </c>
      <c r="K2041" s="198">
        <f>SUM(K2036:K2040)</f>
        <v>517088616</v>
      </c>
    </row>
    <row r="2042" spans="8:14" ht="16.5">
      <c r="H2042" s="49" t="s">
        <v>88</v>
      </c>
      <c r="I2042" s="50"/>
    </row>
    <row r="2043" spans="8:14">
      <c r="H2043" s="51" t="s">
        <v>89</v>
      </c>
    </row>
    <row r="2044" spans="8:14">
      <c r="H2044" s="51" t="s">
        <v>90</v>
      </c>
    </row>
    <row r="2045" spans="8:14">
      <c r="H2045" s="51" t="s">
        <v>91</v>
      </c>
    </row>
    <row r="2046" spans="8:14" ht="12.75" customHeight="1">
      <c r="H2046" s="50"/>
      <c r="I2046" s="50"/>
    </row>
    <row r="2047" spans="8:14" ht="15.75">
      <c r="H2047" s="260" t="s">
        <v>998</v>
      </c>
      <c r="N2047" s="52"/>
    </row>
    <row r="2048" spans="8:14" ht="15.75">
      <c r="H2048" s="53" t="s">
        <v>535</v>
      </c>
      <c r="N2048" s="53"/>
    </row>
    <row r="2049" spans="8:15" ht="16.5">
      <c r="H2049" s="894" t="s">
        <v>909</v>
      </c>
      <c r="I2049" s="894"/>
      <c r="J2049" s="894"/>
      <c r="K2049" s="894"/>
      <c r="L2049" s="894"/>
      <c r="M2049" s="894"/>
      <c r="N2049" s="894"/>
      <c r="O2049" s="894"/>
    </row>
    <row r="2050" spans="8:15" ht="15.75" thickBot="1"/>
    <row r="2051" spans="8:15">
      <c r="H2051" s="895" t="s">
        <v>94</v>
      </c>
      <c r="I2051" s="897" t="s">
        <v>95</v>
      </c>
      <c r="J2051" s="897" t="s">
        <v>96</v>
      </c>
      <c r="K2051" s="897" t="s">
        <v>3</v>
      </c>
      <c r="L2051" s="897" t="s">
        <v>97</v>
      </c>
      <c r="M2051" s="897" t="s">
        <v>98</v>
      </c>
      <c r="N2051" s="897" t="s">
        <v>99</v>
      </c>
      <c r="O2051" s="899"/>
    </row>
    <row r="2052" spans="8:15" ht="15.75" thickBot="1">
      <c r="H2052" s="896"/>
      <c r="I2052" s="898"/>
      <c r="J2052" s="898"/>
      <c r="K2052" s="898"/>
      <c r="L2052" s="898"/>
      <c r="M2052" s="898"/>
      <c r="N2052" s="240" t="s">
        <v>100</v>
      </c>
      <c r="O2052" s="182" t="s">
        <v>101</v>
      </c>
    </row>
    <row r="2053" spans="8:15" ht="15" customHeight="1">
      <c r="H2053" s="881">
        <v>226</v>
      </c>
      <c r="I2053" s="875">
        <v>42551</v>
      </c>
      <c r="J2053" s="877" t="s">
        <v>40</v>
      </c>
      <c r="K2053" s="879" t="s">
        <v>1001</v>
      </c>
      <c r="L2053" s="881" t="s">
        <v>148</v>
      </c>
      <c r="M2053" s="883">
        <v>140000</v>
      </c>
      <c r="N2053" s="55">
        <v>719</v>
      </c>
      <c r="O2053" s="78">
        <v>100000</v>
      </c>
    </row>
    <row r="2054" spans="8:15" ht="15.75" customHeight="1" thickBot="1">
      <c r="H2054" s="882"/>
      <c r="I2054" s="876"/>
      <c r="J2054" s="878"/>
      <c r="K2054" s="880"/>
      <c r="L2054" s="882"/>
      <c r="M2054" s="884"/>
      <c r="N2054" s="56">
        <v>721</v>
      </c>
      <c r="O2054" s="79">
        <f>+M2053-O2053</f>
        <v>40000</v>
      </c>
    </row>
    <row r="2055" spans="8:15" ht="15" customHeight="1">
      <c r="H2055" s="881">
        <v>227</v>
      </c>
      <c r="I2055" s="875">
        <v>42551</v>
      </c>
      <c r="J2055" s="877" t="s">
        <v>28</v>
      </c>
      <c r="K2055" s="879" t="s">
        <v>1002</v>
      </c>
      <c r="L2055" s="881" t="s">
        <v>148</v>
      </c>
      <c r="M2055" s="883">
        <v>966000</v>
      </c>
      <c r="N2055" s="55">
        <v>719</v>
      </c>
      <c r="O2055" s="78">
        <v>690000</v>
      </c>
    </row>
    <row r="2056" spans="8:15" ht="15.75" customHeight="1" thickBot="1">
      <c r="H2056" s="882"/>
      <c r="I2056" s="876"/>
      <c r="J2056" s="878"/>
      <c r="K2056" s="880"/>
      <c r="L2056" s="882"/>
      <c r="M2056" s="884"/>
      <c r="N2056" s="56">
        <v>721</v>
      </c>
      <c r="O2056" s="79">
        <f>+M2055-O2055</f>
        <v>276000</v>
      </c>
    </row>
    <row r="2057" spans="8:15" ht="15" customHeight="1">
      <c r="H2057" s="881">
        <v>228</v>
      </c>
      <c r="I2057" s="875">
        <v>42551</v>
      </c>
      <c r="J2057" s="877" t="s">
        <v>111</v>
      </c>
      <c r="K2057" s="879" t="s">
        <v>1003</v>
      </c>
      <c r="L2057" s="881" t="s">
        <v>148</v>
      </c>
      <c r="M2057" s="883">
        <v>252000</v>
      </c>
      <c r="N2057" s="55">
        <v>719</v>
      </c>
      <c r="O2057" s="78">
        <v>180000</v>
      </c>
    </row>
    <row r="2058" spans="8:15" ht="15.75" customHeight="1" thickBot="1">
      <c r="H2058" s="882"/>
      <c r="I2058" s="876"/>
      <c r="J2058" s="878"/>
      <c r="K2058" s="880"/>
      <c r="L2058" s="882"/>
      <c r="M2058" s="884"/>
      <c r="N2058" s="56">
        <v>721</v>
      </c>
      <c r="O2058" s="79">
        <f>+M2057-O2057</f>
        <v>72000</v>
      </c>
    </row>
    <row r="2059" spans="8:15" ht="15" customHeight="1">
      <c r="H2059" s="881">
        <v>229</v>
      </c>
      <c r="I2059" s="875">
        <v>42551</v>
      </c>
      <c r="J2059" s="877" t="s">
        <v>272</v>
      </c>
      <c r="K2059" s="879" t="s">
        <v>1004</v>
      </c>
      <c r="L2059" s="881" t="s">
        <v>148</v>
      </c>
      <c r="M2059" s="883">
        <v>1946000</v>
      </c>
      <c r="N2059" s="55">
        <v>719</v>
      </c>
      <c r="O2059" s="78">
        <v>1390000</v>
      </c>
    </row>
    <row r="2060" spans="8:15" ht="15.75" customHeight="1" thickBot="1">
      <c r="H2060" s="882"/>
      <c r="I2060" s="876"/>
      <c r="J2060" s="878"/>
      <c r="K2060" s="880"/>
      <c r="L2060" s="882"/>
      <c r="M2060" s="884"/>
      <c r="N2060" s="56">
        <v>721</v>
      </c>
      <c r="O2060" s="79">
        <f>+M2059-O2059</f>
        <v>556000</v>
      </c>
    </row>
    <row r="2061" spans="8:15">
      <c r="H2061" s="881"/>
      <c r="I2061" s="875"/>
      <c r="J2061" s="877"/>
      <c r="K2061" s="881"/>
      <c r="L2061" s="881"/>
      <c r="M2061" s="883"/>
      <c r="N2061" s="55">
        <v>719</v>
      </c>
      <c r="O2061" s="78"/>
    </row>
    <row r="2062" spans="8:15" ht="12" customHeight="1" thickBot="1">
      <c r="H2062" s="882"/>
      <c r="I2062" s="876"/>
      <c r="J2062" s="878"/>
      <c r="K2062" s="882"/>
      <c r="L2062" s="882"/>
      <c r="M2062" s="884"/>
      <c r="N2062" s="56">
        <v>721</v>
      </c>
      <c r="O2062" s="79">
        <f>+M2061-O2061</f>
        <v>0</v>
      </c>
    </row>
    <row r="2063" spans="8:15" ht="16.5" thickBot="1">
      <c r="H2063" s="901" t="s">
        <v>102</v>
      </c>
      <c r="I2063" s="902"/>
      <c r="J2063" s="902"/>
      <c r="K2063" s="902"/>
      <c r="L2063" s="903"/>
      <c r="M2063" s="81">
        <f>SUM(M2053:M2062)</f>
        <v>3304000</v>
      </c>
    </row>
    <row r="2064" spans="8:15" ht="16.5" thickBot="1">
      <c r="H2064" s="885" t="s">
        <v>103</v>
      </c>
      <c r="I2064" s="886"/>
      <c r="J2064" s="886"/>
      <c r="K2064" s="886"/>
      <c r="L2064" s="887"/>
      <c r="M2064" s="69">
        <f>+M2028</f>
        <v>517158616</v>
      </c>
      <c r="N2064" s="241" t="s">
        <v>561</v>
      </c>
      <c r="O2064" s="242">
        <f>89+1849+70+3374</f>
        <v>5382</v>
      </c>
    </row>
    <row r="2065" spans="8:14" ht="16.5" thickBot="1">
      <c r="H2065" s="888" t="s">
        <v>104</v>
      </c>
      <c r="I2065" s="889"/>
      <c r="J2065" s="889"/>
      <c r="K2065" s="889"/>
      <c r="L2065" s="890"/>
      <c r="M2065" s="183">
        <f>SUM(M2063:M2064)</f>
        <v>520462616</v>
      </c>
    </row>
    <row r="2066" spans="8:14">
      <c r="H2066" s="61"/>
      <c r="I2066" s="61"/>
      <c r="J2066" s="61"/>
      <c r="K2066" s="61"/>
      <c r="L2066" s="61"/>
    </row>
    <row r="2067" spans="8:14">
      <c r="H2067" s="51" t="s">
        <v>1005</v>
      </c>
    </row>
    <row r="2068" spans="8:14" ht="12.75" customHeight="1">
      <c r="M2068" s="139"/>
    </row>
    <row r="2069" spans="8:14">
      <c r="H2069" s="50" t="s">
        <v>105</v>
      </c>
      <c r="K2069" s="146"/>
      <c r="M2069" s="139"/>
    </row>
    <row r="2070" spans="8:14" ht="15.75" thickBot="1"/>
    <row r="2071" spans="8:14" ht="15.75" thickBot="1">
      <c r="H2071" s="891" t="s">
        <v>106</v>
      </c>
      <c r="I2071" s="892"/>
      <c r="J2071" s="892"/>
      <c r="K2071" s="893"/>
      <c r="M2071" s="50" t="s">
        <v>288</v>
      </c>
    </row>
    <row r="2072" spans="8:14" ht="30.75" thickBot="1">
      <c r="H2072" s="57" t="s">
        <v>100</v>
      </c>
      <c r="I2072" s="58" t="s">
        <v>108</v>
      </c>
      <c r="J2072" s="287" t="s">
        <v>109</v>
      </c>
      <c r="K2072" s="60" t="s">
        <v>110</v>
      </c>
    </row>
    <row r="2073" spans="8:14">
      <c r="H2073" s="71">
        <v>719</v>
      </c>
      <c r="I2073" s="73">
        <f>+O2053+O2055+O2057+O2059+O2061</f>
        <v>2360000</v>
      </c>
      <c r="J2073" s="74">
        <f>+K2036</f>
        <v>55810000</v>
      </c>
      <c r="K2073" s="195">
        <f>+I2073+J2073</f>
        <v>58170000</v>
      </c>
    </row>
    <row r="2074" spans="8:14">
      <c r="H2074" s="72">
        <v>721</v>
      </c>
      <c r="I2074" s="80">
        <f>+O2054+O2056+O2058+O2060</f>
        <v>944000</v>
      </c>
      <c r="J2074" s="74">
        <f>+K2037</f>
        <v>103250559</v>
      </c>
      <c r="K2074" s="195">
        <f>+I2074+J2074</f>
        <v>104194559</v>
      </c>
    </row>
    <row r="2075" spans="8:14">
      <c r="H2075" s="72">
        <v>722</v>
      </c>
      <c r="I2075" s="80"/>
      <c r="J2075" s="74">
        <f>+K2038</f>
        <v>55831494</v>
      </c>
      <c r="K2075" s="195">
        <f>+I2075+J2075</f>
        <v>55831494</v>
      </c>
    </row>
    <row r="2076" spans="8:14" ht="15.75">
      <c r="H2076" s="72">
        <v>723</v>
      </c>
      <c r="I2076" s="80"/>
      <c r="J2076" s="74">
        <f>+K2039</f>
        <v>302196563</v>
      </c>
      <c r="K2076" s="195">
        <f>+I2076+J2076</f>
        <v>302196563</v>
      </c>
      <c r="M2076" s="193" t="s">
        <v>289</v>
      </c>
      <c r="N2076" s="175"/>
    </row>
    <row r="2077" spans="8:14" ht="16.5" thickBot="1">
      <c r="H2077" s="164" t="s">
        <v>181</v>
      </c>
      <c r="I2077" s="165"/>
      <c r="J2077" s="74">
        <f>+K2040</f>
        <v>0</v>
      </c>
      <c r="K2077" s="196">
        <f>+I2077+J2077</f>
        <v>0</v>
      </c>
      <c r="M2077" s="52"/>
    </row>
    <row r="2078" spans="8:14" ht="16.5" thickBot="1">
      <c r="H2078" s="169"/>
      <c r="I2078" s="197">
        <f>SUM(I2073:I2077)</f>
        <v>3304000</v>
      </c>
      <c r="J2078" s="197">
        <f>SUM(J2073:J2077)</f>
        <v>517088616</v>
      </c>
      <c r="K2078" s="198">
        <f>SUM(K2073:K2077)</f>
        <v>520392616</v>
      </c>
    </row>
    <row r="2079" spans="8:14" ht="16.5">
      <c r="H2079" s="49" t="s">
        <v>88</v>
      </c>
      <c r="I2079" s="50"/>
    </row>
    <row r="2080" spans="8:14">
      <c r="H2080" s="51" t="s">
        <v>89</v>
      </c>
    </row>
    <row r="2081" spans="8:15">
      <c r="H2081" s="51" t="s">
        <v>90</v>
      </c>
    </row>
    <row r="2082" spans="8:15">
      <c r="H2082" s="51" t="s">
        <v>91</v>
      </c>
    </row>
    <row r="2083" spans="8:15" ht="12.75" customHeight="1">
      <c r="H2083" s="50"/>
      <c r="I2083" s="50"/>
    </row>
    <row r="2084" spans="8:15" ht="15.75">
      <c r="H2084" s="260" t="s">
        <v>1007</v>
      </c>
      <c r="N2084" s="52"/>
    </row>
    <row r="2085" spans="8:15" ht="15.75">
      <c r="H2085" s="53" t="s">
        <v>535</v>
      </c>
      <c r="N2085" s="53"/>
    </row>
    <row r="2086" spans="8:15" ht="16.5">
      <c r="H2086" s="894" t="s">
        <v>1011</v>
      </c>
      <c r="I2086" s="894"/>
      <c r="J2086" s="894"/>
      <c r="K2086" s="894"/>
      <c r="L2086" s="894"/>
      <c r="M2086" s="894"/>
      <c r="N2086" s="894"/>
      <c r="O2086" s="894"/>
    </row>
    <row r="2087" spans="8:15" ht="15.75" thickBot="1"/>
    <row r="2088" spans="8:15">
      <c r="H2088" s="895" t="s">
        <v>94</v>
      </c>
      <c r="I2088" s="897" t="s">
        <v>95</v>
      </c>
      <c r="J2088" s="897" t="s">
        <v>96</v>
      </c>
      <c r="K2088" s="897" t="s">
        <v>3</v>
      </c>
      <c r="L2088" s="897" t="s">
        <v>97</v>
      </c>
      <c r="M2088" s="897" t="s">
        <v>98</v>
      </c>
      <c r="N2088" s="897" t="s">
        <v>99</v>
      </c>
      <c r="O2088" s="899"/>
    </row>
    <row r="2089" spans="8:15" ht="15.75" thickBot="1">
      <c r="H2089" s="896"/>
      <c r="I2089" s="898"/>
      <c r="J2089" s="898"/>
      <c r="K2089" s="898"/>
      <c r="L2089" s="898"/>
      <c r="M2089" s="898"/>
      <c r="N2089" s="240" t="s">
        <v>100</v>
      </c>
      <c r="O2089" s="182" t="s">
        <v>101</v>
      </c>
    </row>
    <row r="2090" spans="8:15">
      <c r="H2090" s="881">
        <v>230</v>
      </c>
      <c r="I2090" s="875">
        <v>42551</v>
      </c>
      <c r="J2090" s="877" t="s">
        <v>1008</v>
      </c>
      <c r="K2090" s="879" t="s">
        <v>1010</v>
      </c>
      <c r="L2090" s="881" t="s">
        <v>145</v>
      </c>
      <c r="M2090" s="883">
        <v>100000</v>
      </c>
      <c r="N2090" s="55">
        <v>719</v>
      </c>
      <c r="O2090" s="78">
        <v>0</v>
      </c>
    </row>
    <row r="2091" spans="8:15" ht="15.75" thickBot="1">
      <c r="H2091" s="882"/>
      <c r="I2091" s="876"/>
      <c r="J2091" s="878"/>
      <c r="K2091" s="880"/>
      <c r="L2091" s="882"/>
      <c r="M2091" s="884"/>
      <c r="N2091" s="56">
        <v>721</v>
      </c>
      <c r="O2091" s="79">
        <v>100000</v>
      </c>
    </row>
    <row r="2092" spans="8:15" ht="15" customHeight="1">
      <c r="H2092" s="881">
        <v>231</v>
      </c>
      <c r="I2092" s="875">
        <v>42551</v>
      </c>
      <c r="J2092" s="877" t="s">
        <v>1009</v>
      </c>
      <c r="K2092" s="879" t="s">
        <v>1010</v>
      </c>
      <c r="L2092" s="881" t="s">
        <v>145</v>
      </c>
      <c r="M2092" s="883">
        <v>100000</v>
      </c>
      <c r="N2092" s="55">
        <v>719</v>
      </c>
      <c r="O2092" s="78">
        <v>0</v>
      </c>
    </row>
    <row r="2093" spans="8:15" ht="15.75" customHeight="1" thickBot="1">
      <c r="H2093" s="882"/>
      <c r="I2093" s="876"/>
      <c r="J2093" s="878"/>
      <c r="K2093" s="880"/>
      <c r="L2093" s="882"/>
      <c r="M2093" s="884"/>
      <c r="N2093" s="56">
        <v>721</v>
      </c>
      <c r="O2093" s="79">
        <v>100000</v>
      </c>
    </row>
    <row r="2094" spans="8:15">
      <c r="H2094" s="881"/>
      <c r="I2094" s="875"/>
      <c r="J2094" s="877"/>
      <c r="K2094" s="879"/>
      <c r="L2094" s="881"/>
      <c r="M2094" s="883"/>
      <c r="N2094" s="55">
        <v>719</v>
      </c>
      <c r="O2094" s="78">
        <v>0</v>
      </c>
    </row>
    <row r="2095" spans="8:15" ht="14.25" customHeight="1" thickBot="1">
      <c r="H2095" s="882"/>
      <c r="I2095" s="876"/>
      <c r="J2095" s="878"/>
      <c r="K2095" s="880"/>
      <c r="L2095" s="882"/>
      <c r="M2095" s="884"/>
      <c r="N2095" s="56">
        <v>721</v>
      </c>
      <c r="O2095" s="79">
        <f>+M2094-O2094</f>
        <v>0</v>
      </c>
    </row>
    <row r="2096" spans="8:15" ht="15" customHeight="1">
      <c r="H2096" s="881"/>
      <c r="I2096" s="875"/>
      <c r="J2096" s="877"/>
      <c r="K2096" s="879"/>
      <c r="L2096" s="881"/>
      <c r="M2096" s="883"/>
      <c r="N2096" s="55">
        <v>719</v>
      </c>
      <c r="O2096" s="78">
        <v>0</v>
      </c>
    </row>
    <row r="2097" spans="8:15" ht="15.75" customHeight="1" thickBot="1">
      <c r="H2097" s="882"/>
      <c r="I2097" s="876"/>
      <c r="J2097" s="878"/>
      <c r="K2097" s="880"/>
      <c r="L2097" s="882"/>
      <c r="M2097" s="884"/>
      <c r="N2097" s="56">
        <v>721</v>
      </c>
      <c r="O2097" s="79">
        <f>+M2096-O2096</f>
        <v>0</v>
      </c>
    </row>
    <row r="2098" spans="8:15" ht="10.5" customHeight="1">
      <c r="H2098" s="881"/>
      <c r="I2098" s="875"/>
      <c r="J2098" s="877"/>
      <c r="K2098" s="881"/>
      <c r="L2098" s="881"/>
      <c r="M2098" s="883"/>
      <c r="N2098" s="55">
        <v>719</v>
      </c>
      <c r="O2098" s="78"/>
    </row>
    <row r="2099" spans="8:15" ht="14.25" customHeight="1" thickBot="1">
      <c r="H2099" s="882"/>
      <c r="I2099" s="876"/>
      <c r="J2099" s="878"/>
      <c r="K2099" s="882"/>
      <c r="L2099" s="882"/>
      <c r="M2099" s="884"/>
      <c r="N2099" s="56">
        <v>721</v>
      </c>
      <c r="O2099" s="79">
        <f>+M2098-O2098</f>
        <v>0</v>
      </c>
    </row>
    <row r="2100" spans="8:15" ht="16.5" customHeight="1" thickBot="1">
      <c r="H2100" s="901" t="s">
        <v>102</v>
      </c>
      <c r="I2100" s="902"/>
      <c r="J2100" s="902"/>
      <c r="K2100" s="902"/>
      <c r="L2100" s="903"/>
      <c r="M2100" s="81">
        <f>SUM(M2090:M2099)</f>
        <v>200000</v>
      </c>
    </row>
    <row r="2101" spans="8:15" ht="16.5" customHeight="1" thickBot="1">
      <c r="H2101" s="885" t="s">
        <v>103</v>
      </c>
      <c r="I2101" s="886"/>
      <c r="J2101" s="886"/>
      <c r="K2101" s="886"/>
      <c r="L2101" s="887"/>
      <c r="M2101" s="69">
        <f>+M2065</f>
        <v>520462616</v>
      </c>
      <c r="N2101" s="241" t="s">
        <v>561</v>
      </c>
      <c r="O2101" s="242"/>
    </row>
    <row r="2102" spans="8:15" ht="16.5" customHeight="1" thickBot="1">
      <c r="H2102" s="888" t="s">
        <v>104</v>
      </c>
      <c r="I2102" s="889"/>
      <c r="J2102" s="889"/>
      <c r="K2102" s="889"/>
      <c r="L2102" s="890"/>
      <c r="M2102" s="183">
        <f>SUM(M2100:M2101)</f>
        <v>520662616</v>
      </c>
    </row>
    <row r="2103" spans="8:15" ht="15.75" customHeight="1">
      <c r="H2103" s="61"/>
      <c r="I2103" s="61"/>
      <c r="J2103" s="61"/>
      <c r="K2103" s="61"/>
      <c r="L2103" s="61"/>
    </row>
    <row r="2104" spans="8:15" ht="15" customHeight="1">
      <c r="H2104" s="51" t="s">
        <v>1012</v>
      </c>
    </row>
    <row r="2105" spans="8:15" ht="14.25" customHeight="1">
      <c r="M2105" s="139"/>
    </row>
    <row r="2106" spans="8:15">
      <c r="H2106" s="50" t="s">
        <v>105</v>
      </c>
      <c r="K2106" s="146"/>
      <c r="M2106" s="139"/>
    </row>
    <row r="2107" spans="8:15" ht="14.25" customHeight="1" thickBot="1"/>
    <row r="2108" spans="8:15" ht="15.75" thickBot="1">
      <c r="H2108" s="891" t="s">
        <v>106</v>
      </c>
      <c r="I2108" s="892"/>
      <c r="J2108" s="892"/>
      <c r="K2108" s="893"/>
      <c r="M2108" s="50" t="s">
        <v>288</v>
      </c>
    </row>
    <row r="2109" spans="8:15" ht="30.75" thickBot="1">
      <c r="H2109" s="57" t="s">
        <v>100</v>
      </c>
      <c r="I2109" s="58" t="s">
        <v>108</v>
      </c>
      <c r="J2109" s="287" t="s">
        <v>109</v>
      </c>
      <c r="K2109" s="60" t="s">
        <v>110</v>
      </c>
    </row>
    <row r="2110" spans="8:15">
      <c r="H2110" s="71">
        <v>719</v>
      </c>
      <c r="I2110" s="73">
        <f>+O2090+O2092+O2094+O2096+O2098</f>
        <v>0</v>
      </c>
      <c r="J2110" s="74">
        <f>+K2073</f>
        <v>58170000</v>
      </c>
      <c r="K2110" s="195">
        <f>+I2110+J2110</f>
        <v>58170000</v>
      </c>
    </row>
    <row r="2111" spans="8:15">
      <c r="H2111" s="72">
        <v>721</v>
      </c>
      <c r="I2111" s="80">
        <f>+O2091+O2093+O2095+O2097</f>
        <v>200000</v>
      </c>
      <c r="J2111" s="74">
        <f>+K2074</f>
        <v>104194559</v>
      </c>
      <c r="K2111" s="195">
        <f>+I2111+J2111</f>
        <v>104394559</v>
      </c>
    </row>
    <row r="2112" spans="8:15">
      <c r="H2112" s="72">
        <v>722</v>
      </c>
      <c r="I2112" s="80"/>
      <c r="J2112" s="74">
        <f>+K2075</f>
        <v>55831494</v>
      </c>
      <c r="K2112" s="195">
        <f>+I2112+J2112</f>
        <v>55831494</v>
      </c>
    </row>
    <row r="2113" spans="8:17" ht="15.75">
      <c r="H2113" s="72">
        <v>723</v>
      </c>
      <c r="I2113" s="80"/>
      <c r="J2113" s="74">
        <f>+K2076</f>
        <v>302196563</v>
      </c>
      <c r="K2113" s="195">
        <f>+I2113+J2113</f>
        <v>302196563</v>
      </c>
      <c r="M2113" s="193" t="s">
        <v>289</v>
      </c>
      <c r="N2113" s="175"/>
    </row>
    <row r="2114" spans="8:17" ht="16.5" thickBot="1">
      <c r="H2114" s="164" t="s">
        <v>181</v>
      </c>
      <c r="I2114" s="165"/>
      <c r="J2114" s="74">
        <f>+K2077</f>
        <v>0</v>
      </c>
      <c r="K2114" s="196">
        <f>+I2114+J2114</f>
        <v>0</v>
      </c>
      <c r="M2114" s="52"/>
    </row>
    <row r="2115" spans="8:17" ht="16.5" thickBot="1">
      <c r="H2115" s="169"/>
      <c r="I2115" s="197">
        <f>SUM(I2110:I2114)</f>
        <v>200000</v>
      </c>
      <c r="J2115" s="197">
        <f>SUM(J2110:J2114)</f>
        <v>520392616</v>
      </c>
      <c r="K2115" s="198">
        <f>SUM(K2110:K2114)</f>
        <v>520592616</v>
      </c>
    </row>
    <row r="2116" spans="8:17" ht="16.5">
      <c r="H2116" s="49" t="s">
        <v>88</v>
      </c>
      <c r="I2116" s="50"/>
    </row>
    <row r="2117" spans="8:17">
      <c r="H2117" s="51" t="s">
        <v>89</v>
      </c>
    </row>
    <row r="2118" spans="8:17">
      <c r="H2118" s="51" t="s">
        <v>90</v>
      </c>
    </row>
    <row r="2119" spans="8:17">
      <c r="H2119" s="51" t="s">
        <v>91</v>
      </c>
    </row>
    <row r="2120" spans="8:17">
      <c r="H2120" s="50"/>
      <c r="I2120" s="50"/>
    </row>
    <row r="2121" spans="8:17" ht="15.75">
      <c r="H2121" s="260" t="s">
        <v>1013</v>
      </c>
      <c r="N2121" s="52"/>
    </row>
    <row r="2122" spans="8:17" ht="15.75">
      <c r="H2122" s="53" t="s">
        <v>535</v>
      </c>
      <c r="N2122" s="53"/>
    </row>
    <row r="2123" spans="8:17" ht="16.5">
      <c r="H2123" s="894" t="s">
        <v>1011</v>
      </c>
      <c r="I2123" s="894"/>
      <c r="J2123" s="894"/>
      <c r="K2123" s="894"/>
      <c r="L2123" s="894"/>
      <c r="M2123" s="894"/>
      <c r="N2123" s="894"/>
      <c r="O2123" s="894"/>
    </row>
    <row r="2124" spans="8:17" ht="15.75" thickBot="1"/>
    <row r="2125" spans="8:17">
      <c r="H2125" s="895" t="s">
        <v>94</v>
      </c>
      <c r="I2125" s="897" t="s">
        <v>95</v>
      </c>
      <c r="J2125" s="897" t="s">
        <v>96</v>
      </c>
      <c r="K2125" s="897" t="s">
        <v>3</v>
      </c>
      <c r="L2125" s="897" t="s">
        <v>97</v>
      </c>
      <c r="M2125" s="897" t="s">
        <v>98</v>
      </c>
      <c r="N2125" s="897" t="s">
        <v>99</v>
      </c>
      <c r="O2125" s="899"/>
    </row>
    <row r="2126" spans="8:17" ht="15.75" thickBot="1">
      <c r="H2126" s="896"/>
      <c r="I2126" s="898"/>
      <c r="J2126" s="898"/>
      <c r="K2126" s="898"/>
      <c r="L2126" s="898"/>
      <c r="M2126" s="898"/>
      <c r="N2126" s="240" t="s">
        <v>100</v>
      </c>
      <c r="O2126" s="182" t="s">
        <v>101</v>
      </c>
      <c r="Q2126" s="51" t="s">
        <v>631</v>
      </c>
    </row>
    <row r="2127" spans="8:17">
      <c r="H2127" s="881">
        <v>232</v>
      </c>
      <c r="I2127" s="875">
        <v>42556</v>
      </c>
      <c r="J2127" s="877" t="s">
        <v>1014</v>
      </c>
      <c r="K2127" s="879" t="s">
        <v>1010</v>
      </c>
      <c r="L2127" s="881" t="s">
        <v>115</v>
      </c>
      <c r="M2127" s="883">
        <v>50000</v>
      </c>
      <c r="N2127" s="55">
        <v>719</v>
      </c>
      <c r="O2127" s="78">
        <v>50000</v>
      </c>
    </row>
    <row r="2128" spans="8:17" ht="15.75" thickBot="1">
      <c r="H2128" s="882"/>
      <c r="I2128" s="876"/>
      <c r="J2128" s="878"/>
      <c r="K2128" s="880"/>
      <c r="L2128" s="882"/>
      <c r="M2128" s="884"/>
      <c r="N2128" s="56">
        <v>721</v>
      </c>
      <c r="O2128" s="79"/>
    </row>
    <row r="2129" spans="8:15">
      <c r="H2129" s="881">
        <v>233</v>
      </c>
      <c r="I2129" s="875">
        <v>42556</v>
      </c>
      <c r="J2129" s="877" t="s">
        <v>120</v>
      </c>
      <c r="K2129" s="879" t="s">
        <v>1015</v>
      </c>
      <c r="L2129" s="881" t="s">
        <v>115</v>
      </c>
      <c r="M2129" s="883">
        <v>10000</v>
      </c>
      <c r="N2129" s="55">
        <v>719</v>
      </c>
      <c r="O2129" s="78">
        <v>10000</v>
      </c>
    </row>
    <row r="2130" spans="8:15" ht="15.75" thickBot="1">
      <c r="H2130" s="882"/>
      <c r="I2130" s="876"/>
      <c r="J2130" s="878"/>
      <c r="K2130" s="880"/>
      <c r="L2130" s="882"/>
      <c r="M2130" s="884"/>
      <c r="N2130" s="56">
        <v>721</v>
      </c>
      <c r="O2130" s="79"/>
    </row>
    <row r="2131" spans="8:15">
      <c r="H2131" s="881"/>
      <c r="I2131" s="875"/>
      <c r="J2131" s="877"/>
      <c r="K2131" s="879"/>
      <c r="L2131" s="881"/>
      <c r="M2131" s="883"/>
      <c r="N2131" s="55">
        <v>719</v>
      </c>
      <c r="O2131" s="78">
        <v>0</v>
      </c>
    </row>
    <row r="2132" spans="8:15" ht="12.75" customHeight="1" thickBot="1">
      <c r="H2132" s="882"/>
      <c r="I2132" s="876"/>
      <c r="J2132" s="878"/>
      <c r="K2132" s="880"/>
      <c r="L2132" s="882"/>
      <c r="M2132" s="884"/>
      <c r="N2132" s="56">
        <v>721</v>
      </c>
      <c r="O2132" s="79">
        <f>+M2131-O2131</f>
        <v>0</v>
      </c>
    </row>
    <row r="2133" spans="8:15">
      <c r="H2133" s="881"/>
      <c r="I2133" s="875"/>
      <c r="J2133" s="877"/>
      <c r="K2133" s="879"/>
      <c r="L2133" s="881"/>
      <c r="M2133" s="883"/>
      <c r="N2133" s="55">
        <v>719</v>
      </c>
      <c r="O2133" s="78">
        <v>0</v>
      </c>
    </row>
    <row r="2134" spans="8:15" ht="12.75" customHeight="1" thickBot="1">
      <c r="H2134" s="882"/>
      <c r="I2134" s="876"/>
      <c r="J2134" s="878"/>
      <c r="K2134" s="880"/>
      <c r="L2134" s="882"/>
      <c r="M2134" s="884"/>
      <c r="N2134" s="56">
        <v>721</v>
      </c>
      <c r="O2134" s="79">
        <f>+M2133-O2133</f>
        <v>0</v>
      </c>
    </row>
    <row r="2135" spans="8:15">
      <c r="H2135" s="881"/>
      <c r="I2135" s="875"/>
      <c r="J2135" s="877"/>
      <c r="K2135" s="881"/>
      <c r="L2135" s="881"/>
      <c r="M2135" s="883"/>
      <c r="N2135" s="55">
        <v>719</v>
      </c>
      <c r="O2135" s="78"/>
    </row>
    <row r="2136" spans="8:15" ht="12.75" customHeight="1" thickBot="1">
      <c r="H2136" s="882"/>
      <c r="I2136" s="876"/>
      <c r="J2136" s="878"/>
      <c r="K2136" s="882"/>
      <c r="L2136" s="882"/>
      <c r="M2136" s="884"/>
      <c r="N2136" s="56">
        <v>721</v>
      </c>
      <c r="O2136" s="79">
        <f>+M2135-O2135</f>
        <v>0</v>
      </c>
    </row>
    <row r="2137" spans="8:15" ht="16.5" thickBot="1">
      <c r="H2137" s="901" t="s">
        <v>102</v>
      </c>
      <c r="I2137" s="902"/>
      <c r="J2137" s="902"/>
      <c r="K2137" s="902"/>
      <c r="L2137" s="903"/>
      <c r="M2137" s="81">
        <f>SUM(M2127:M2136)</f>
        <v>60000</v>
      </c>
    </row>
    <row r="2138" spans="8:15" ht="16.5" thickBot="1">
      <c r="H2138" s="885" t="s">
        <v>103</v>
      </c>
      <c r="I2138" s="886"/>
      <c r="J2138" s="886"/>
      <c r="K2138" s="886"/>
      <c r="L2138" s="887"/>
      <c r="M2138" s="69">
        <f>+M2102</f>
        <v>520662616</v>
      </c>
      <c r="N2138" s="241" t="s">
        <v>561</v>
      </c>
      <c r="O2138" s="242">
        <v>161</v>
      </c>
    </row>
    <row r="2139" spans="8:15" ht="16.5" thickBot="1">
      <c r="H2139" s="888" t="s">
        <v>104</v>
      </c>
      <c r="I2139" s="889"/>
      <c r="J2139" s="889"/>
      <c r="K2139" s="889"/>
      <c r="L2139" s="890"/>
      <c r="M2139" s="183">
        <f>SUM(M2137:M2138)</f>
        <v>520722616</v>
      </c>
    </row>
    <row r="2140" spans="8:15">
      <c r="H2140" s="61"/>
      <c r="I2140" s="61"/>
      <c r="J2140" s="61"/>
      <c r="K2140" s="61"/>
      <c r="L2140" s="61"/>
    </row>
    <row r="2141" spans="8:15">
      <c r="H2141" s="51" t="s">
        <v>1016</v>
      </c>
    </row>
    <row r="2142" spans="8:15">
      <c r="M2142" s="139"/>
    </row>
    <row r="2143" spans="8:15">
      <c r="H2143" s="50" t="s">
        <v>105</v>
      </c>
      <c r="K2143" s="146"/>
      <c r="M2143" s="139"/>
    </row>
    <row r="2144" spans="8:15" ht="15.75" thickBot="1"/>
    <row r="2145" spans="8:15" ht="15.75" thickBot="1">
      <c r="H2145" s="891" t="s">
        <v>106</v>
      </c>
      <c r="I2145" s="892"/>
      <c r="J2145" s="892"/>
      <c r="K2145" s="893"/>
      <c r="M2145" s="50" t="s">
        <v>288</v>
      </c>
    </row>
    <row r="2146" spans="8:15" ht="30.75" thickBot="1">
      <c r="H2146" s="57" t="s">
        <v>100</v>
      </c>
      <c r="I2146" s="58" t="s">
        <v>108</v>
      </c>
      <c r="J2146" s="287" t="s">
        <v>109</v>
      </c>
      <c r="K2146" s="60" t="s">
        <v>110</v>
      </c>
    </row>
    <row r="2147" spans="8:15">
      <c r="H2147" s="71">
        <v>719</v>
      </c>
      <c r="I2147" s="73">
        <f>+O2127+O2129+O2131+O2133+O2135</f>
        <v>60000</v>
      </c>
      <c r="J2147" s="74">
        <f>+K2110</f>
        <v>58170000</v>
      </c>
      <c r="K2147" s="195">
        <f>+I2147+J2147</f>
        <v>58230000</v>
      </c>
    </row>
    <row r="2148" spans="8:15">
      <c r="H2148" s="72">
        <v>721</v>
      </c>
      <c r="I2148" s="80">
        <f>+O2128+O2130+O2132+O2134</f>
        <v>0</v>
      </c>
      <c r="J2148" s="74">
        <f>+K2111</f>
        <v>104394559</v>
      </c>
      <c r="K2148" s="195">
        <f>+I2148+J2148</f>
        <v>104394559</v>
      </c>
    </row>
    <row r="2149" spans="8:15">
      <c r="H2149" s="72">
        <v>722</v>
      </c>
      <c r="I2149" s="80"/>
      <c r="J2149" s="74">
        <f>+K2112</f>
        <v>55831494</v>
      </c>
      <c r="K2149" s="195">
        <f>+I2149+J2149</f>
        <v>55831494</v>
      </c>
    </row>
    <row r="2150" spans="8:15" ht="15.75">
      <c r="H2150" s="72">
        <v>723</v>
      </c>
      <c r="I2150" s="80"/>
      <c r="J2150" s="74">
        <f>+K2113</f>
        <v>302196563</v>
      </c>
      <c r="K2150" s="195">
        <f>+I2150+J2150</f>
        <v>302196563</v>
      </c>
      <c r="M2150" s="193" t="s">
        <v>289</v>
      </c>
      <c r="N2150" s="175"/>
    </row>
    <row r="2151" spans="8:15" ht="16.5" thickBot="1">
      <c r="H2151" s="164" t="s">
        <v>181</v>
      </c>
      <c r="I2151" s="165"/>
      <c r="J2151" s="74">
        <f>+K2114</f>
        <v>0</v>
      </c>
      <c r="K2151" s="196">
        <f>+I2151+J2151</f>
        <v>0</v>
      </c>
      <c r="M2151" s="52"/>
    </row>
    <row r="2152" spans="8:15" ht="16.5" thickBot="1">
      <c r="H2152" s="169"/>
      <c r="I2152" s="197">
        <f>SUM(I2147:I2151)</f>
        <v>60000</v>
      </c>
      <c r="J2152" s="197">
        <f>SUM(J2147:J2151)</f>
        <v>520592616</v>
      </c>
      <c r="K2152" s="198">
        <f>SUM(K2147:K2151)</f>
        <v>520652616</v>
      </c>
    </row>
    <row r="2153" spans="8:15" ht="16.5">
      <c r="H2153" s="49" t="s">
        <v>88</v>
      </c>
      <c r="I2153" s="50"/>
    </row>
    <row r="2154" spans="8:15">
      <c r="H2154" s="51" t="s">
        <v>89</v>
      </c>
    </row>
    <row r="2155" spans="8:15">
      <c r="H2155" s="51" t="s">
        <v>90</v>
      </c>
    </row>
    <row r="2156" spans="8:15">
      <c r="H2156" s="51" t="s">
        <v>91</v>
      </c>
    </row>
    <row r="2157" spans="8:15" ht="10.5" customHeight="1">
      <c r="H2157" s="50"/>
      <c r="I2157" s="50"/>
    </row>
    <row r="2158" spans="8:15" ht="15.75">
      <c r="H2158" s="260" t="s">
        <v>1017</v>
      </c>
      <c r="N2158" s="52"/>
    </row>
    <row r="2159" spans="8:15" ht="15.75">
      <c r="H2159" s="53" t="s">
        <v>535</v>
      </c>
      <c r="N2159" s="53"/>
    </row>
    <row r="2160" spans="8:15" ht="15.75" customHeight="1">
      <c r="H2160" s="894" t="s">
        <v>909</v>
      </c>
      <c r="I2160" s="894"/>
      <c r="J2160" s="894"/>
      <c r="K2160" s="894"/>
      <c r="L2160" s="894"/>
      <c r="M2160" s="894"/>
      <c r="N2160" s="894"/>
      <c r="O2160" s="894"/>
    </row>
    <row r="2161" spans="8:15" ht="12.75" customHeight="1" thickBot="1"/>
    <row r="2162" spans="8:15">
      <c r="H2162" s="895" t="s">
        <v>94</v>
      </c>
      <c r="I2162" s="897" t="s">
        <v>95</v>
      </c>
      <c r="J2162" s="897" t="s">
        <v>96</v>
      </c>
      <c r="K2162" s="897" t="s">
        <v>3</v>
      </c>
      <c r="L2162" s="897" t="s">
        <v>97</v>
      </c>
      <c r="M2162" s="897" t="s">
        <v>98</v>
      </c>
      <c r="N2162" s="897" t="s">
        <v>99</v>
      </c>
      <c r="O2162" s="899"/>
    </row>
    <row r="2163" spans="8:15" ht="15.75" thickBot="1">
      <c r="H2163" s="896"/>
      <c r="I2163" s="898"/>
      <c r="J2163" s="898"/>
      <c r="K2163" s="898"/>
      <c r="L2163" s="898"/>
      <c r="M2163" s="898"/>
      <c r="N2163" s="240" t="s">
        <v>100</v>
      </c>
      <c r="O2163" s="182" t="s">
        <v>101</v>
      </c>
    </row>
    <row r="2164" spans="8:15">
      <c r="H2164" s="881">
        <v>234</v>
      </c>
      <c r="I2164" s="875">
        <v>42573</v>
      </c>
      <c r="J2164" s="877" t="s">
        <v>1014</v>
      </c>
      <c r="K2164" s="879" t="s">
        <v>1018</v>
      </c>
      <c r="L2164" s="881" t="s">
        <v>115</v>
      </c>
      <c r="M2164" s="883">
        <v>100000</v>
      </c>
      <c r="N2164" s="55">
        <v>719</v>
      </c>
      <c r="O2164" s="78">
        <v>100000</v>
      </c>
    </row>
    <row r="2165" spans="8:15" ht="11.25" customHeight="1" thickBot="1">
      <c r="H2165" s="882"/>
      <c r="I2165" s="876"/>
      <c r="J2165" s="878"/>
      <c r="K2165" s="880"/>
      <c r="L2165" s="882"/>
      <c r="M2165" s="884"/>
      <c r="N2165" s="56">
        <v>721</v>
      </c>
      <c r="O2165" s="79"/>
    </row>
    <row r="2166" spans="8:15" ht="15" customHeight="1">
      <c r="H2166" s="881">
        <v>235</v>
      </c>
      <c r="I2166" s="875">
        <v>42573</v>
      </c>
      <c r="J2166" s="877" t="s">
        <v>28</v>
      </c>
      <c r="K2166" s="879" t="s">
        <v>1019</v>
      </c>
      <c r="L2166" s="881" t="s">
        <v>115</v>
      </c>
      <c r="M2166" s="883">
        <v>10000</v>
      </c>
      <c r="N2166" s="55">
        <v>719</v>
      </c>
      <c r="O2166" s="78">
        <v>10000</v>
      </c>
    </row>
    <row r="2167" spans="8:15" ht="12.75" customHeight="1" thickBot="1">
      <c r="H2167" s="882"/>
      <c r="I2167" s="876"/>
      <c r="J2167" s="878"/>
      <c r="K2167" s="880"/>
      <c r="L2167" s="882"/>
      <c r="M2167" s="884"/>
      <c r="N2167" s="56">
        <v>721</v>
      </c>
      <c r="O2167" s="79"/>
    </row>
    <row r="2168" spans="8:15" ht="15" customHeight="1">
      <c r="H2168" s="881">
        <v>236</v>
      </c>
      <c r="I2168" s="875">
        <v>42573</v>
      </c>
      <c r="J2168" s="877" t="s">
        <v>1014</v>
      </c>
      <c r="K2168" s="879" t="s">
        <v>1020</v>
      </c>
      <c r="L2168" s="881" t="s">
        <v>115</v>
      </c>
      <c r="M2168" s="883">
        <v>140000</v>
      </c>
      <c r="N2168" s="55">
        <v>719</v>
      </c>
      <c r="O2168" s="78">
        <v>140000</v>
      </c>
    </row>
    <row r="2169" spans="8:15" ht="12.75" customHeight="1" thickBot="1">
      <c r="H2169" s="882"/>
      <c r="I2169" s="876"/>
      <c r="J2169" s="878"/>
      <c r="K2169" s="880"/>
      <c r="L2169" s="882"/>
      <c r="M2169" s="884"/>
      <c r="N2169" s="56">
        <v>721</v>
      </c>
      <c r="O2169" s="79">
        <f>+M2168-O2168</f>
        <v>0</v>
      </c>
    </row>
    <row r="2170" spans="8:15">
      <c r="H2170" s="881">
        <v>237</v>
      </c>
      <c r="I2170" s="875">
        <v>42573</v>
      </c>
      <c r="J2170" s="877" t="s">
        <v>28</v>
      </c>
      <c r="K2170" s="879" t="s">
        <v>1022</v>
      </c>
      <c r="L2170" s="881" t="s">
        <v>115</v>
      </c>
      <c r="M2170" s="883">
        <v>60000</v>
      </c>
      <c r="N2170" s="55">
        <v>719</v>
      </c>
      <c r="O2170" s="78">
        <v>60000</v>
      </c>
    </row>
    <row r="2171" spans="8:15" ht="13.5" customHeight="1" thickBot="1">
      <c r="H2171" s="882"/>
      <c r="I2171" s="876"/>
      <c r="J2171" s="878"/>
      <c r="K2171" s="880"/>
      <c r="L2171" s="882"/>
      <c r="M2171" s="884"/>
      <c r="N2171" s="56">
        <v>721</v>
      </c>
      <c r="O2171" s="79">
        <f>+M2170-O2170</f>
        <v>0</v>
      </c>
    </row>
    <row r="2172" spans="8:15" ht="15" customHeight="1">
      <c r="H2172" s="881">
        <v>238</v>
      </c>
      <c r="I2172" s="875">
        <v>42573</v>
      </c>
      <c r="J2172" s="877" t="s">
        <v>28</v>
      </c>
      <c r="K2172" s="879" t="s">
        <v>1021</v>
      </c>
      <c r="L2172" s="881" t="s">
        <v>115</v>
      </c>
      <c r="M2172" s="883">
        <v>40000</v>
      </c>
      <c r="N2172" s="55">
        <v>719</v>
      </c>
      <c r="O2172" s="78">
        <v>40000</v>
      </c>
    </row>
    <row r="2173" spans="8:15" ht="12" customHeight="1" thickBot="1">
      <c r="H2173" s="882"/>
      <c r="I2173" s="876"/>
      <c r="J2173" s="878"/>
      <c r="K2173" s="880"/>
      <c r="L2173" s="882"/>
      <c r="M2173" s="884"/>
      <c r="N2173" s="56">
        <v>721</v>
      </c>
      <c r="O2173" s="79">
        <f>+M2172-O2172</f>
        <v>0</v>
      </c>
    </row>
    <row r="2174" spans="8:15" ht="15" customHeight="1">
      <c r="H2174" s="881">
        <v>239</v>
      </c>
      <c r="I2174" s="875">
        <v>42573</v>
      </c>
      <c r="J2174" s="877" t="s">
        <v>120</v>
      </c>
      <c r="K2174" s="879" t="s">
        <v>1010</v>
      </c>
      <c r="L2174" s="881" t="s">
        <v>115</v>
      </c>
      <c r="M2174" s="883">
        <v>1259900</v>
      </c>
      <c r="N2174" s="55">
        <v>719</v>
      </c>
      <c r="O2174" s="78"/>
    </row>
    <row r="2175" spans="8:15" ht="12.75" customHeight="1" thickBot="1">
      <c r="H2175" s="882"/>
      <c r="I2175" s="876"/>
      <c r="J2175" s="878"/>
      <c r="K2175" s="880"/>
      <c r="L2175" s="882"/>
      <c r="M2175" s="884"/>
      <c r="N2175" s="56">
        <v>723</v>
      </c>
      <c r="O2175" s="79">
        <f>+M2174-O2174</f>
        <v>1259900</v>
      </c>
    </row>
    <row r="2176" spans="8:15" ht="16.5" thickBot="1">
      <c r="H2176" s="901" t="s">
        <v>102</v>
      </c>
      <c r="I2176" s="902"/>
      <c r="J2176" s="902"/>
      <c r="K2176" s="902"/>
      <c r="L2176" s="903"/>
      <c r="M2176" s="81">
        <f>SUM(M2164:M2175)</f>
        <v>1609900</v>
      </c>
    </row>
    <row r="2177" spans="8:15" ht="16.5" thickBot="1">
      <c r="H2177" s="885" t="s">
        <v>103</v>
      </c>
      <c r="I2177" s="886"/>
      <c r="J2177" s="886"/>
      <c r="K2177" s="886"/>
      <c r="L2177" s="887"/>
      <c r="M2177" s="69">
        <f>+M2139</f>
        <v>520722616</v>
      </c>
      <c r="N2177" s="241" t="s">
        <v>561</v>
      </c>
      <c r="O2177" s="242">
        <f>28+324+91+533+198</f>
        <v>1174</v>
      </c>
    </row>
    <row r="2178" spans="8:15" ht="16.5" thickBot="1">
      <c r="H2178" s="888" t="s">
        <v>104</v>
      </c>
      <c r="I2178" s="889"/>
      <c r="J2178" s="889"/>
      <c r="K2178" s="889"/>
      <c r="L2178" s="890"/>
      <c r="M2178" s="183">
        <f>SUM(M2176:M2177)</f>
        <v>522332516</v>
      </c>
    </row>
    <row r="2179" spans="8:15" ht="12.75" customHeight="1">
      <c r="H2179" s="61"/>
      <c r="I2179" s="61"/>
      <c r="J2179" s="61"/>
      <c r="K2179" s="61"/>
      <c r="L2179" s="61"/>
    </row>
    <row r="2180" spans="8:15">
      <c r="H2180" s="51" t="s">
        <v>1023</v>
      </c>
    </row>
    <row r="2181" spans="8:15" ht="12" customHeight="1">
      <c r="M2181" s="139"/>
    </row>
    <row r="2182" spans="8:15">
      <c r="H2182" s="50" t="s">
        <v>105</v>
      </c>
      <c r="K2182" s="146"/>
      <c r="M2182" s="139"/>
    </row>
    <row r="2183" spans="8:15" ht="12.75" customHeight="1" thickBot="1"/>
    <row r="2184" spans="8:15" ht="15.75" thickBot="1">
      <c r="H2184" s="891" t="s">
        <v>106</v>
      </c>
      <c r="I2184" s="892"/>
      <c r="J2184" s="892"/>
      <c r="K2184" s="893"/>
      <c r="M2184" s="50" t="s">
        <v>288</v>
      </c>
    </row>
    <row r="2185" spans="8:15" ht="30.75" thickBot="1">
      <c r="H2185" s="57" t="s">
        <v>100</v>
      </c>
      <c r="I2185" s="58" t="s">
        <v>108</v>
      </c>
      <c r="J2185" s="287" t="s">
        <v>109</v>
      </c>
      <c r="K2185" s="60" t="s">
        <v>110</v>
      </c>
    </row>
    <row r="2186" spans="8:15">
      <c r="H2186" s="71">
        <v>719</v>
      </c>
      <c r="I2186" s="73">
        <f>+O2164+O2166+O2168+O2172+O2174+O2170</f>
        <v>350000</v>
      </c>
      <c r="J2186" s="74">
        <f>+K2147</f>
        <v>58230000</v>
      </c>
      <c r="K2186" s="195">
        <f>+I2186+J2186</f>
        <v>58580000</v>
      </c>
    </row>
    <row r="2187" spans="8:15" ht="13.5" customHeight="1">
      <c r="H2187" s="72">
        <v>721</v>
      </c>
      <c r="I2187" s="80">
        <f>+O2165+O2167+O2169+O2173+O2171</f>
        <v>0</v>
      </c>
      <c r="J2187" s="74">
        <f>+K2148</f>
        <v>104394559</v>
      </c>
      <c r="K2187" s="195">
        <f>+I2187+J2187</f>
        <v>104394559</v>
      </c>
    </row>
    <row r="2188" spans="8:15">
      <c r="H2188" s="72">
        <v>722</v>
      </c>
      <c r="I2188" s="80"/>
      <c r="J2188" s="74">
        <f>+K2149</f>
        <v>55831494</v>
      </c>
      <c r="K2188" s="195">
        <f>+I2188+J2188</f>
        <v>55831494</v>
      </c>
    </row>
    <row r="2189" spans="8:15" ht="15" customHeight="1">
      <c r="H2189" s="72">
        <v>723</v>
      </c>
      <c r="I2189" s="80">
        <f>+O2175</f>
        <v>1259900</v>
      </c>
      <c r="J2189" s="74">
        <f>+K2150</f>
        <v>302196563</v>
      </c>
      <c r="K2189" s="195">
        <f>+I2189+J2189</f>
        <v>303456463</v>
      </c>
      <c r="M2189" s="193" t="s">
        <v>289</v>
      </c>
      <c r="N2189" s="175"/>
    </row>
    <row r="2190" spans="8:15" ht="13.5" customHeight="1" thickBot="1">
      <c r="H2190" s="164" t="s">
        <v>181</v>
      </c>
      <c r="I2190" s="165"/>
      <c r="J2190" s="74">
        <f>+K2151</f>
        <v>0</v>
      </c>
      <c r="K2190" s="196">
        <f>+I2190+J2190</f>
        <v>0</v>
      </c>
      <c r="M2190" s="52"/>
    </row>
    <row r="2191" spans="8:15" ht="16.5" thickBot="1">
      <c r="H2191" s="169"/>
      <c r="I2191" s="197">
        <f>SUM(I2186:I2190)</f>
        <v>1609900</v>
      </c>
      <c r="J2191" s="197">
        <f>SUM(J2186:J2190)</f>
        <v>520652616</v>
      </c>
      <c r="K2191" s="198">
        <f>SUM(K2186:K2190)</f>
        <v>522262516</v>
      </c>
    </row>
    <row r="2192" spans="8:15" ht="16.5">
      <c r="H2192" s="49" t="s">
        <v>88</v>
      </c>
      <c r="I2192" s="50"/>
    </row>
    <row r="2193" spans="8:15">
      <c r="H2193" s="51" t="s">
        <v>89</v>
      </c>
    </row>
    <row r="2194" spans="8:15">
      <c r="H2194" s="51" t="s">
        <v>90</v>
      </c>
    </row>
    <row r="2195" spans="8:15">
      <c r="H2195" s="51" t="s">
        <v>91</v>
      </c>
    </row>
    <row r="2196" spans="8:15" ht="10.5" customHeight="1">
      <c r="H2196" s="50"/>
      <c r="I2196" s="50"/>
    </row>
    <row r="2197" spans="8:15" ht="15.75">
      <c r="H2197" s="260" t="s">
        <v>1024</v>
      </c>
      <c r="N2197" s="52"/>
    </row>
    <row r="2198" spans="8:15" ht="15.75">
      <c r="H2198" s="53" t="s">
        <v>535</v>
      </c>
      <c r="N2198" s="53"/>
    </row>
    <row r="2199" spans="8:15" ht="16.5">
      <c r="H2199" s="894" t="s">
        <v>909</v>
      </c>
      <c r="I2199" s="894"/>
      <c r="J2199" s="894"/>
      <c r="K2199" s="894"/>
      <c r="L2199" s="894"/>
      <c r="M2199" s="894"/>
      <c r="N2199" s="894"/>
      <c r="O2199" s="894"/>
    </row>
    <row r="2200" spans="8:15" ht="15.75" thickBot="1"/>
    <row r="2201" spans="8:15">
      <c r="H2201" s="895" t="s">
        <v>94</v>
      </c>
      <c r="I2201" s="897" t="s">
        <v>95</v>
      </c>
      <c r="J2201" s="897" t="s">
        <v>96</v>
      </c>
      <c r="K2201" s="897" t="s">
        <v>3</v>
      </c>
      <c r="L2201" s="897" t="s">
        <v>97</v>
      </c>
      <c r="M2201" s="897" t="s">
        <v>98</v>
      </c>
      <c r="N2201" s="897" t="s">
        <v>99</v>
      </c>
      <c r="O2201" s="899"/>
    </row>
    <row r="2202" spans="8:15" ht="15.75" thickBot="1">
      <c r="H2202" s="896"/>
      <c r="I2202" s="898"/>
      <c r="J2202" s="898"/>
      <c r="K2202" s="898"/>
      <c r="L2202" s="898"/>
      <c r="M2202" s="898"/>
      <c r="N2202" s="240" t="s">
        <v>100</v>
      </c>
      <c r="O2202" s="182" t="s">
        <v>101</v>
      </c>
    </row>
    <row r="2203" spans="8:15">
      <c r="H2203" s="881">
        <v>240</v>
      </c>
      <c r="I2203" s="875">
        <v>42592</v>
      </c>
      <c r="J2203" s="877" t="s">
        <v>1014</v>
      </c>
      <c r="K2203" s="879" t="s">
        <v>1025</v>
      </c>
      <c r="L2203" s="881" t="s">
        <v>115</v>
      </c>
      <c r="M2203" s="883">
        <v>110000</v>
      </c>
      <c r="N2203" s="55">
        <v>719</v>
      </c>
      <c r="O2203" s="78">
        <f>+M2203</f>
        <v>110000</v>
      </c>
    </row>
    <row r="2204" spans="8:15" ht="15.75" thickBot="1">
      <c r="H2204" s="882"/>
      <c r="I2204" s="876"/>
      <c r="J2204" s="878"/>
      <c r="K2204" s="880"/>
      <c r="L2204" s="882"/>
      <c r="M2204" s="884"/>
      <c r="N2204" s="56">
        <v>721</v>
      </c>
      <c r="O2204" s="79"/>
    </row>
    <row r="2205" spans="8:15" ht="15" customHeight="1">
      <c r="H2205" s="881">
        <v>241</v>
      </c>
      <c r="I2205" s="875">
        <v>42592</v>
      </c>
      <c r="J2205" s="877" t="s">
        <v>28</v>
      </c>
      <c r="K2205" s="879" t="s">
        <v>1026</v>
      </c>
      <c r="L2205" s="881" t="s">
        <v>115</v>
      </c>
      <c r="M2205" s="883">
        <v>70000</v>
      </c>
      <c r="N2205" s="55">
        <v>719</v>
      </c>
      <c r="O2205" s="78">
        <f>+M2205</f>
        <v>70000</v>
      </c>
    </row>
    <row r="2206" spans="8:15" ht="15.75" customHeight="1" thickBot="1">
      <c r="H2206" s="882"/>
      <c r="I2206" s="876"/>
      <c r="J2206" s="878"/>
      <c r="K2206" s="880"/>
      <c r="L2206" s="882"/>
      <c r="M2206" s="884"/>
      <c r="N2206" s="56">
        <v>721</v>
      </c>
      <c r="O2206" s="79"/>
    </row>
    <row r="2207" spans="8:15" ht="15" customHeight="1">
      <c r="H2207" s="881">
        <v>242</v>
      </c>
      <c r="I2207" s="875">
        <v>42592</v>
      </c>
      <c r="J2207" s="877" t="s">
        <v>1014</v>
      </c>
      <c r="K2207" s="879" t="s">
        <v>1027</v>
      </c>
      <c r="L2207" s="881" t="s">
        <v>115</v>
      </c>
      <c r="M2207" s="883">
        <v>260000</v>
      </c>
      <c r="N2207" s="55">
        <v>719</v>
      </c>
      <c r="O2207" s="78">
        <v>260000</v>
      </c>
    </row>
    <row r="2208" spans="8:15" ht="15.75" customHeight="1" thickBot="1">
      <c r="H2208" s="882"/>
      <c r="I2208" s="876"/>
      <c r="J2208" s="878"/>
      <c r="K2208" s="880"/>
      <c r="L2208" s="882"/>
      <c r="M2208" s="884"/>
      <c r="N2208" s="56">
        <v>721</v>
      </c>
      <c r="O2208" s="79">
        <f>+M2207-O2207</f>
        <v>0</v>
      </c>
    </row>
    <row r="2209" spans="8:15" ht="15" customHeight="1">
      <c r="H2209" s="881"/>
      <c r="I2209" s="875"/>
      <c r="J2209" s="877"/>
      <c r="K2209" s="879"/>
      <c r="L2209" s="881"/>
      <c r="M2209" s="883"/>
      <c r="N2209" s="55">
        <v>719</v>
      </c>
      <c r="O2209" s="78">
        <v>0</v>
      </c>
    </row>
    <row r="2210" spans="8:15" ht="15.75" customHeight="1" thickBot="1">
      <c r="H2210" s="882"/>
      <c r="I2210" s="876"/>
      <c r="J2210" s="878"/>
      <c r="K2210" s="880"/>
      <c r="L2210" s="882"/>
      <c r="M2210" s="884"/>
      <c r="N2210" s="56">
        <v>721</v>
      </c>
      <c r="O2210" s="79">
        <f>+M2209-O2209</f>
        <v>0</v>
      </c>
    </row>
    <row r="2211" spans="8:15">
      <c r="H2211" s="881"/>
      <c r="I2211" s="875"/>
      <c r="J2211" s="877"/>
      <c r="K2211" s="879"/>
      <c r="L2211" s="881"/>
      <c r="M2211" s="883"/>
      <c r="N2211" s="55">
        <v>719</v>
      </c>
      <c r="O2211" s="78"/>
    </row>
    <row r="2212" spans="8:15" ht="15.75" thickBot="1">
      <c r="H2212" s="882"/>
      <c r="I2212" s="876"/>
      <c r="J2212" s="878"/>
      <c r="K2212" s="880"/>
      <c r="L2212" s="882"/>
      <c r="M2212" s="884"/>
      <c r="N2212" s="56">
        <v>723</v>
      </c>
      <c r="O2212" s="79">
        <f>+M2211-O2211</f>
        <v>0</v>
      </c>
    </row>
    <row r="2213" spans="8:15" ht="16.5" thickBot="1">
      <c r="H2213" s="901" t="s">
        <v>102</v>
      </c>
      <c r="I2213" s="902"/>
      <c r="J2213" s="902"/>
      <c r="K2213" s="902"/>
      <c r="L2213" s="903"/>
      <c r="M2213" s="81">
        <f>SUM(M2203:M2212)</f>
        <v>440000</v>
      </c>
    </row>
    <row r="2214" spans="8:15" ht="16.5" thickBot="1">
      <c r="H2214" s="885" t="s">
        <v>103</v>
      </c>
      <c r="I2214" s="886"/>
      <c r="J2214" s="886"/>
      <c r="K2214" s="886"/>
      <c r="L2214" s="887"/>
      <c r="M2214" s="69">
        <f>+M2178</f>
        <v>522332516</v>
      </c>
      <c r="N2214" s="241" t="s">
        <v>561</v>
      </c>
      <c r="O2214" s="242">
        <f>742+165+273</f>
        <v>1180</v>
      </c>
    </row>
    <row r="2215" spans="8:15" ht="16.5" thickBot="1">
      <c r="H2215" s="888" t="s">
        <v>104</v>
      </c>
      <c r="I2215" s="889"/>
      <c r="J2215" s="889"/>
      <c r="K2215" s="889"/>
      <c r="L2215" s="890"/>
      <c r="M2215" s="183">
        <f>SUM(M2213:M2214)</f>
        <v>522772516</v>
      </c>
    </row>
    <row r="2216" spans="8:15">
      <c r="H2216" s="61"/>
      <c r="I2216" s="61"/>
      <c r="J2216" s="61"/>
      <c r="K2216" s="61"/>
      <c r="L2216" s="61"/>
    </row>
    <row r="2217" spans="8:15">
      <c r="H2217" s="51" t="s">
        <v>1029</v>
      </c>
    </row>
    <row r="2218" spans="8:15" ht="12.75" customHeight="1">
      <c r="M2218" s="139"/>
    </row>
    <row r="2219" spans="8:15">
      <c r="H2219" s="50" t="s">
        <v>105</v>
      </c>
      <c r="K2219" s="146"/>
      <c r="M2219" s="139"/>
    </row>
    <row r="2220" spans="8:15" ht="12.75" customHeight="1" thickBot="1"/>
    <row r="2221" spans="8:15" ht="15.75" thickBot="1">
      <c r="H2221" s="891" t="s">
        <v>106</v>
      </c>
      <c r="I2221" s="892"/>
      <c r="J2221" s="892"/>
      <c r="K2221" s="893"/>
      <c r="M2221" s="50" t="s">
        <v>270</v>
      </c>
    </row>
    <row r="2222" spans="8:15" ht="30.75" thickBot="1">
      <c r="H2222" s="57" t="s">
        <v>100</v>
      </c>
      <c r="I2222" s="58" t="s">
        <v>108</v>
      </c>
      <c r="J2222" s="287" t="s">
        <v>109</v>
      </c>
      <c r="K2222" s="60" t="s">
        <v>110</v>
      </c>
    </row>
    <row r="2223" spans="8:15">
      <c r="H2223" s="71">
        <v>719</v>
      </c>
      <c r="I2223" s="73">
        <f>+O2203+O2205+O2207+O2209+O2211</f>
        <v>440000</v>
      </c>
      <c r="J2223" s="74">
        <f>+K2186</f>
        <v>58580000</v>
      </c>
      <c r="K2223" s="195">
        <f>+I2223+J2223</f>
        <v>59020000</v>
      </c>
    </row>
    <row r="2224" spans="8:15">
      <c r="H2224" s="72">
        <v>721</v>
      </c>
      <c r="I2224" s="80">
        <f>+O2204+O2206+O2208+O2210</f>
        <v>0</v>
      </c>
      <c r="J2224" s="74">
        <f>+K2187</f>
        <v>104394559</v>
      </c>
      <c r="K2224" s="195">
        <f>+I2224+J2224</f>
        <v>104394559</v>
      </c>
    </row>
    <row r="2225" spans="8:15">
      <c r="H2225" s="72">
        <v>722</v>
      </c>
      <c r="I2225" s="80"/>
      <c r="J2225" s="74">
        <f>+K2188</f>
        <v>55831494</v>
      </c>
      <c r="K2225" s="195">
        <f>+I2225+J2225</f>
        <v>55831494</v>
      </c>
    </row>
    <row r="2226" spans="8:15" ht="15.75">
      <c r="H2226" s="72">
        <v>723</v>
      </c>
      <c r="I2226" s="80">
        <f>+O2212</f>
        <v>0</v>
      </c>
      <c r="J2226" s="74">
        <f>+K2189</f>
        <v>303456463</v>
      </c>
      <c r="K2226" s="195">
        <f>+I2226+J2226</f>
        <v>303456463</v>
      </c>
      <c r="M2226" s="193" t="s">
        <v>1028</v>
      </c>
      <c r="N2226" s="175"/>
    </row>
    <row r="2227" spans="8:15" ht="16.5" thickBot="1">
      <c r="H2227" s="164" t="s">
        <v>181</v>
      </c>
      <c r="I2227" s="165"/>
      <c r="J2227" s="74">
        <f>+K2190</f>
        <v>0</v>
      </c>
      <c r="K2227" s="196">
        <f>+I2227+J2227</f>
        <v>0</v>
      </c>
      <c r="M2227" s="52"/>
    </row>
    <row r="2228" spans="8:15" ht="16.5" thickBot="1">
      <c r="H2228" s="169"/>
      <c r="I2228" s="197">
        <f>SUM(I2223:I2227)</f>
        <v>440000</v>
      </c>
      <c r="J2228" s="197">
        <f>SUM(J2223:J2227)</f>
        <v>522262516</v>
      </c>
      <c r="K2228" s="198">
        <f>SUM(K2223:K2227)</f>
        <v>522702516</v>
      </c>
    </row>
    <row r="2229" spans="8:15" ht="16.5">
      <c r="H2229" s="49" t="s">
        <v>88</v>
      </c>
      <c r="I2229" s="50"/>
    </row>
    <row r="2230" spans="8:15">
      <c r="H2230" s="51" t="s">
        <v>89</v>
      </c>
    </row>
    <row r="2231" spans="8:15">
      <c r="H2231" s="51" t="s">
        <v>90</v>
      </c>
    </row>
    <row r="2232" spans="8:15">
      <c r="H2232" s="51" t="s">
        <v>91</v>
      </c>
    </row>
    <row r="2233" spans="8:15" ht="10.5" customHeight="1">
      <c r="H2233" s="50"/>
      <c r="I2233" s="50"/>
    </row>
    <row r="2234" spans="8:15" ht="15.75">
      <c r="H2234" s="260" t="s">
        <v>1030</v>
      </c>
      <c r="N2234" s="52"/>
    </row>
    <row r="2235" spans="8:15" ht="15.75">
      <c r="H2235" s="53" t="s">
        <v>535</v>
      </c>
      <c r="N2235" s="53"/>
    </row>
    <row r="2236" spans="8:15" ht="16.5">
      <c r="H2236" s="894" t="s">
        <v>909</v>
      </c>
      <c r="I2236" s="894"/>
      <c r="J2236" s="894"/>
      <c r="K2236" s="894"/>
      <c r="L2236" s="894"/>
      <c r="M2236" s="894"/>
      <c r="N2236" s="894"/>
      <c r="O2236" s="894"/>
    </row>
    <row r="2237" spans="8:15" ht="12" customHeight="1" thickBot="1"/>
    <row r="2238" spans="8:15">
      <c r="H2238" s="895" t="s">
        <v>94</v>
      </c>
      <c r="I2238" s="897" t="s">
        <v>95</v>
      </c>
      <c r="J2238" s="897" t="s">
        <v>96</v>
      </c>
      <c r="K2238" s="897" t="s">
        <v>3</v>
      </c>
      <c r="L2238" s="897" t="s">
        <v>97</v>
      </c>
      <c r="M2238" s="897" t="s">
        <v>98</v>
      </c>
      <c r="N2238" s="897" t="s">
        <v>99</v>
      </c>
      <c r="O2238" s="899"/>
    </row>
    <row r="2239" spans="8:15" ht="15.75" thickBot="1">
      <c r="H2239" s="896"/>
      <c r="I2239" s="898"/>
      <c r="J2239" s="898"/>
      <c r="K2239" s="898"/>
      <c r="L2239" s="898"/>
      <c r="M2239" s="898"/>
      <c r="N2239" s="240" t="s">
        <v>100</v>
      </c>
      <c r="O2239" s="182" t="s">
        <v>101</v>
      </c>
    </row>
    <row r="2240" spans="8:15">
      <c r="H2240" s="881">
        <v>243</v>
      </c>
      <c r="I2240" s="875">
        <v>42621</v>
      </c>
      <c r="J2240" s="877" t="s">
        <v>1014</v>
      </c>
      <c r="K2240" s="879" t="s">
        <v>1033</v>
      </c>
      <c r="L2240" s="881" t="s">
        <v>115</v>
      </c>
      <c r="M2240" s="883">
        <v>190000</v>
      </c>
      <c r="N2240" s="55">
        <v>719</v>
      </c>
      <c r="O2240" s="78">
        <f>+M2240</f>
        <v>190000</v>
      </c>
    </row>
    <row r="2241" spans="8:15" ht="15.75" thickBot="1">
      <c r="H2241" s="882"/>
      <c r="I2241" s="876"/>
      <c r="J2241" s="878"/>
      <c r="K2241" s="880"/>
      <c r="L2241" s="882"/>
      <c r="M2241" s="884"/>
      <c r="N2241" s="56">
        <v>721</v>
      </c>
      <c r="O2241" s="79"/>
    </row>
    <row r="2242" spans="8:15" ht="15" customHeight="1">
      <c r="H2242" s="881">
        <v>244</v>
      </c>
      <c r="I2242" s="875">
        <v>42621</v>
      </c>
      <c r="J2242" s="877" t="s">
        <v>28</v>
      </c>
      <c r="K2242" s="879" t="s">
        <v>1033</v>
      </c>
      <c r="L2242" s="881" t="s">
        <v>115</v>
      </c>
      <c r="M2242" s="883">
        <v>60000</v>
      </c>
      <c r="N2242" s="55">
        <v>719</v>
      </c>
      <c r="O2242" s="78">
        <f>+M2242</f>
        <v>60000</v>
      </c>
    </row>
    <row r="2243" spans="8:15" ht="15.75" customHeight="1" thickBot="1">
      <c r="H2243" s="882"/>
      <c r="I2243" s="876"/>
      <c r="J2243" s="878"/>
      <c r="K2243" s="880"/>
      <c r="L2243" s="882"/>
      <c r="M2243" s="884"/>
      <c r="N2243" s="56">
        <v>721</v>
      </c>
      <c r="O2243" s="79"/>
    </row>
    <row r="2244" spans="8:15" ht="15" customHeight="1">
      <c r="H2244" s="881">
        <v>245</v>
      </c>
      <c r="I2244" s="875">
        <v>42621</v>
      </c>
      <c r="J2244" s="877" t="s">
        <v>1014</v>
      </c>
      <c r="K2244" s="879" t="s">
        <v>1034</v>
      </c>
      <c r="L2244" s="881" t="s">
        <v>115</v>
      </c>
      <c r="M2244" s="883">
        <v>560000</v>
      </c>
      <c r="N2244" s="55">
        <v>719</v>
      </c>
      <c r="O2244" s="78">
        <v>560000</v>
      </c>
    </row>
    <row r="2245" spans="8:15" ht="15.75" customHeight="1" thickBot="1">
      <c r="H2245" s="882"/>
      <c r="I2245" s="876"/>
      <c r="J2245" s="878"/>
      <c r="K2245" s="880"/>
      <c r="L2245" s="882"/>
      <c r="M2245" s="884"/>
      <c r="N2245" s="56">
        <v>721</v>
      </c>
      <c r="O2245" s="79">
        <f>+M2244-O2244</f>
        <v>0</v>
      </c>
    </row>
    <row r="2246" spans="8:15" ht="15" customHeight="1">
      <c r="H2246" s="881">
        <v>246</v>
      </c>
      <c r="I2246" s="875">
        <v>42621</v>
      </c>
      <c r="J2246" s="877" t="s">
        <v>28</v>
      </c>
      <c r="K2246" s="879" t="s">
        <v>1035</v>
      </c>
      <c r="L2246" s="881" t="s">
        <v>115</v>
      </c>
      <c r="M2246" s="883">
        <v>70000</v>
      </c>
      <c r="N2246" s="55">
        <v>719</v>
      </c>
      <c r="O2246" s="78">
        <v>70000</v>
      </c>
    </row>
    <row r="2247" spans="8:15" ht="15.75" customHeight="1" thickBot="1">
      <c r="H2247" s="882"/>
      <c r="I2247" s="876"/>
      <c r="J2247" s="878"/>
      <c r="K2247" s="880"/>
      <c r="L2247" s="882"/>
      <c r="M2247" s="884"/>
      <c r="N2247" s="56">
        <v>721</v>
      </c>
      <c r="O2247" s="79">
        <f>+M2246-O2246</f>
        <v>0</v>
      </c>
    </row>
    <row r="2248" spans="8:15" ht="15" customHeight="1">
      <c r="H2248" s="881"/>
      <c r="I2248" s="875"/>
      <c r="J2248" s="877"/>
      <c r="K2248" s="879"/>
      <c r="L2248" s="881"/>
      <c r="M2248" s="883"/>
      <c r="N2248" s="55">
        <v>719</v>
      </c>
      <c r="O2248" s="78"/>
    </row>
    <row r="2249" spans="8:15" ht="15.75" customHeight="1" thickBot="1">
      <c r="H2249" s="882"/>
      <c r="I2249" s="876"/>
      <c r="J2249" s="878"/>
      <c r="K2249" s="880"/>
      <c r="L2249" s="882"/>
      <c r="M2249" s="884"/>
      <c r="N2249" s="56">
        <v>723</v>
      </c>
      <c r="O2249" s="79">
        <f>+M2248-O2248</f>
        <v>0</v>
      </c>
    </row>
    <row r="2250" spans="8:15" ht="16.5" thickBot="1">
      <c r="H2250" s="901" t="s">
        <v>102</v>
      </c>
      <c r="I2250" s="902"/>
      <c r="J2250" s="902"/>
      <c r="K2250" s="902"/>
      <c r="L2250" s="903"/>
      <c r="M2250" s="81">
        <f>SUM(M2240:M2249)</f>
        <v>880000</v>
      </c>
    </row>
    <row r="2251" spans="8:15" ht="16.5" thickBot="1">
      <c r="H2251" s="885" t="s">
        <v>103</v>
      </c>
      <c r="I2251" s="886"/>
      <c r="J2251" s="886"/>
      <c r="K2251" s="886"/>
      <c r="L2251" s="887"/>
      <c r="M2251" s="69">
        <f>+M2215</f>
        <v>522772516</v>
      </c>
      <c r="N2251" s="241" t="s">
        <v>561</v>
      </c>
      <c r="O2251" s="242">
        <f>86+1021+143+512</f>
        <v>1762</v>
      </c>
    </row>
    <row r="2252" spans="8:15" ht="16.5" thickBot="1">
      <c r="H2252" s="888" t="s">
        <v>104</v>
      </c>
      <c r="I2252" s="889"/>
      <c r="J2252" s="889"/>
      <c r="K2252" s="889"/>
      <c r="L2252" s="890"/>
      <c r="M2252" s="183">
        <f>SUM(M2250:M2251)</f>
        <v>523652516</v>
      </c>
    </row>
    <row r="2253" spans="8:15">
      <c r="H2253" s="61"/>
      <c r="I2253" s="61"/>
      <c r="J2253" s="61"/>
      <c r="K2253" s="61"/>
      <c r="L2253" s="61"/>
    </row>
    <row r="2254" spans="8:15">
      <c r="H2254" s="51" t="s">
        <v>1036</v>
      </c>
    </row>
    <row r="2255" spans="8:15" ht="12.75" customHeight="1">
      <c r="M2255" s="139"/>
    </row>
    <row r="2256" spans="8:15">
      <c r="H2256" s="50" t="s">
        <v>105</v>
      </c>
      <c r="K2256" s="146"/>
      <c r="M2256" s="139"/>
    </row>
    <row r="2257" spans="8:14" ht="13.5" customHeight="1" thickBot="1"/>
    <row r="2258" spans="8:14" ht="15.75" thickBot="1">
      <c r="H2258" s="891" t="s">
        <v>106</v>
      </c>
      <c r="I2258" s="892"/>
      <c r="J2258" s="892"/>
      <c r="K2258" s="893"/>
      <c r="M2258" s="50" t="s">
        <v>288</v>
      </c>
    </row>
    <row r="2259" spans="8:14" ht="30.75" thickBot="1">
      <c r="H2259" s="57" t="s">
        <v>100</v>
      </c>
      <c r="I2259" s="58" t="s">
        <v>108</v>
      </c>
      <c r="J2259" s="287" t="s">
        <v>109</v>
      </c>
      <c r="K2259" s="60" t="s">
        <v>110</v>
      </c>
    </row>
    <row r="2260" spans="8:14">
      <c r="H2260" s="71">
        <v>719</v>
      </c>
      <c r="I2260" s="73">
        <f>+O2240+O2242+O2244+O2246+O2248</f>
        <v>880000</v>
      </c>
      <c r="J2260" s="74">
        <f>+K2223</f>
        <v>59020000</v>
      </c>
      <c r="K2260" s="195">
        <f>+I2260+J2260</f>
        <v>59900000</v>
      </c>
    </row>
    <row r="2261" spans="8:14">
      <c r="H2261" s="72">
        <v>721</v>
      </c>
      <c r="I2261" s="80">
        <f>+O2241+O2243+O2245+O2247</f>
        <v>0</v>
      </c>
      <c r="J2261" s="74">
        <f>+K2224</f>
        <v>104394559</v>
      </c>
      <c r="K2261" s="195">
        <f>+I2261+J2261</f>
        <v>104394559</v>
      </c>
    </row>
    <row r="2262" spans="8:14">
      <c r="H2262" s="72">
        <v>722</v>
      </c>
      <c r="I2262" s="80"/>
      <c r="J2262" s="74">
        <f>+K2225</f>
        <v>55831494</v>
      </c>
      <c r="K2262" s="195">
        <f>+I2262+J2262</f>
        <v>55831494</v>
      </c>
    </row>
    <row r="2263" spans="8:14" ht="15.75">
      <c r="H2263" s="72">
        <v>723</v>
      </c>
      <c r="I2263" s="80">
        <f>+O2249</f>
        <v>0</v>
      </c>
      <c r="J2263" s="74">
        <f>+K2226</f>
        <v>303456463</v>
      </c>
      <c r="K2263" s="195">
        <f>+I2263+J2263</f>
        <v>303456463</v>
      </c>
      <c r="M2263" s="193" t="s">
        <v>289</v>
      </c>
      <c r="N2263" s="175"/>
    </row>
    <row r="2264" spans="8:14" ht="16.5" thickBot="1">
      <c r="H2264" s="164" t="s">
        <v>181</v>
      </c>
      <c r="I2264" s="165"/>
      <c r="J2264" s="74">
        <f>+K2227</f>
        <v>0</v>
      </c>
      <c r="K2264" s="196">
        <f>+I2264+J2264</f>
        <v>0</v>
      </c>
      <c r="M2264" s="52"/>
    </row>
    <row r="2265" spans="8:14" ht="16.5" thickBot="1">
      <c r="H2265" s="169"/>
      <c r="I2265" s="197">
        <f>SUM(I2260:I2264)</f>
        <v>880000</v>
      </c>
      <c r="J2265" s="197">
        <f>SUM(J2260:J2264)</f>
        <v>522702516</v>
      </c>
      <c r="K2265" s="198">
        <f>SUM(K2260:K2264)</f>
        <v>523582516</v>
      </c>
    </row>
    <row r="2266" spans="8:14" ht="16.5">
      <c r="H2266" s="49" t="s">
        <v>88</v>
      </c>
      <c r="I2266" s="50"/>
    </row>
    <row r="2267" spans="8:14">
      <c r="H2267" s="51" t="s">
        <v>89</v>
      </c>
    </row>
    <row r="2268" spans="8:14">
      <c r="H2268" s="51" t="s">
        <v>90</v>
      </c>
    </row>
    <row r="2269" spans="8:14">
      <c r="H2269" s="51" t="s">
        <v>91</v>
      </c>
    </row>
    <row r="2270" spans="8:14" ht="11.25" customHeight="1">
      <c r="H2270" s="50"/>
      <c r="I2270" s="50"/>
    </row>
    <row r="2271" spans="8:14" ht="15.75">
      <c r="H2271" s="260" t="s">
        <v>1031</v>
      </c>
      <c r="N2271" s="52"/>
    </row>
    <row r="2272" spans="8:14" ht="15.75">
      <c r="H2272" s="53" t="s">
        <v>535</v>
      </c>
      <c r="N2272" s="53"/>
    </row>
    <row r="2273" spans="8:15" ht="16.5">
      <c r="H2273" s="894" t="s">
        <v>909</v>
      </c>
      <c r="I2273" s="894"/>
      <c r="J2273" s="894"/>
      <c r="K2273" s="894"/>
      <c r="L2273" s="894"/>
      <c r="M2273" s="894"/>
      <c r="N2273" s="894"/>
      <c r="O2273" s="894"/>
    </row>
    <row r="2274" spans="8:15" ht="15.75" thickBot="1"/>
    <row r="2275" spans="8:15">
      <c r="H2275" s="895" t="s">
        <v>94</v>
      </c>
      <c r="I2275" s="897" t="s">
        <v>95</v>
      </c>
      <c r="J2275" s="897" t="s">
        <v>96</v>
      </c>
      <c r="K2275" s="897" t="s">
        <v>3</v>
      </c>
      <c r="L2275" s="897" t="s">
        <v>97</v>
      </c>
      <c r="M2275" s="897" t="s">
        <v>98</v>
      </c>
      <c r="N2275" s="897" t="s">
        <v>99</v>
      </c>
      <c r="O2275" s="899"/>
    </row>
    <row r="2276" spans="8:15" ht="15.75" thickBot="1">
      <c r="H2276" s="896"/>
      <c r="I2276" s="898"/>
      <c r="J2276" s="898"/>
      <c r="K2276" s="898"/>
      <c r="L2276" s="898"/>
      <c r="M2276" s="898"/>
      <c r="N2276" s="240" t="s">
        <v>100</v>
      </c>
      <c r="O2276" s="182" t="s">
        <v>101</v>
      </c>
    </row>
    <row r="2277" spans="8:15">
      <c r="H2277" s="881">
        <v>247</v>
      </c>
      <c r="I2277" s="875">
        <v>42623</v>
      </c>
      <c r="J2277" s="877" t="s">
        <v>40</v>
      </c>
      <c r="K2277" s="879" t="s">
        <v>1037</v>
      </c>
      <c r="L2277" s="881" t="s">
        <v>148</v>
      </c>
      <c r="M2277" s="883">
        <v>140000</v>
      </c>
      <c r="N2277" s="55">
        <v>719</v>
      </c>
      <c r="O2277" s="78">
        <v>100000</v>
      </c>
    </row>
    <row r="2278" spans="8:15" ht="15.75" thickBot="1">
      <c r="H2278" s="882"/>
      <c r="I2278" s="876"/>
      <c r="J2278" s="878"/>
      <c r="K2278" s="880"/>
      <c r="L2278" s="882"/>
      <c r="M2278" s="884"/>
      <c r="N2278" s="56">
        <v>721</v>
      </c>
      <c r="O2278" s="79">
        <f>+M2277-O2277</f>
        <v>40000</v>
      </c>
    </row>
    <row r="2279" spans="8:15">
      <c r="H2279" s="881">
        <v>248</v>
      </c>
      <c r="I2279" s="875">
        <v>42623</v>
      </c>
      <c r="J2279" s="877" t="s">
        <v>28</v>
      </c>
      <c r="K2279" s="879" t="s">
        <v>1038</v>
      </c>
      <c r="L2279" s="881" t="s">
        <v>148</v>
      </c>
      <c r="M2279" s="883">
        <v>714000</v>
      </c>
      <c r="N2279" s="55">
        <v>719</v>
      </c>
      <c r="O2279" s="78">
        <f>+M2279-O2280</f>
        <v>510000</v>
      </c>
    </row>
    <row r="2280" spans="8:15" ht="15.75" thickBot="1">
      <c r="H2280" s="882"/>
      <c r="I2280" s="876"/>
      <c r="J2280" s="878"/>
      <c r="K2280" s="880"/>
      <c r="L2280" s="882"/>
      <c r="M2280" s="884"/>
      <c r="N2280" s="56">
        <v>721</v>
      </c>
      <c r="O2280" s="79">
        <v>204000</v>
      </c>
    </row>
    <row r="2281" spans="8:15">
      <c r="H2281" s="881">
        <v>249</v>
      </c>
      <c r="I2281" s="875">
        <v>42623</v>
      </c>
      <c r="J2281" s="877" t="s">
        <v>111</v>
      </c>
      <c r="K2281" s="879" t="s">
        <v>1039</v>
      </c>
      <c r="L2281" s="881" t="s">
        <v>148</v>
      </c>
      <c r="M2281" s="883">
        <v>252000</v>
      </c>
      <c r="N2281" s="55">
        <v>719</v>
      </c>
      <c r="O2281" s="78">
        <v>180000</v>
      </c>
    </row>
    <row r="2282" spans="8:15" ht="15.75" thickBot="1">
      <c r="H2282" s="882"/>
      <c r="I2282" s="876"/>
      <c r="J2282" s="878"/>
      <c r="K2282" s="880"/>
      <c r="L2282" s="882"/>
      <c r="M2282" s="884"/>
      <c r="N2282" s="56">
        <v>721</v>
      </c>
      <c r="O2282" s="79">
        <f>+M2281-O2281</f>
        <v>72000</v>
      </c>
    </row>
    <row r="2283" spans="8:15">
      <c r="H2283" s="881">
        <v>250</v>
      </c>
      <c r="I2283" s="875">
        <v>42623</v>
      </c>
      <c r="J2283" s="877" t="s">
        <v>40</v>
      </c>
      <c r="K2283" s="879" t="s">
        <v>1040</v>
      </c>
      <c r="L2283" s="881" t="s">
        <v>148</v>
      </c>
      <c r="M2283" s="883">
        <v>112000</v>
      </c>
      <c r="N2283" s="55">
        <v>719</v>
      </c>
      <c r="O2283" s="78">
        <v>80000</v>
      </c>
    </row>
    <row r="2284" spans="8:15" ht="15.75" thickBot="1">
      <c r="H2284" s="882"/>
      <c r="I2284" s="876"/>
      <c r="J2284" s="878"/>
      <c r="K2284" s="880"/>
      <c r="L2284" s="882"/>
      <c r="M2284" s="884"/>
      <c r="N2284" s="56">
        <v>721</v>
      </c>
      <c r="O2284" s="79">
        <f>+M2283-O2283</f>
        <v>32000</v>
      </c>
    </row>
    <row r="2285" spans="8:15">
      <c r="H2285" s="881">
        <v>251</v>
      </c>
      <c r="I2285" s="875">
        <v>42623</v>
      </c>
      <c r="J2285" s="877" t="s">
        <v>28</v>
      </c>
      <c r="K2285" s="879" t="s">
        <v>1041</v>
      </c>
      <c r="L2285" s="881" t="s">
        <v>148</v>
      </c>
      <c r="M2285" s="883">
        <v>504000</v>
      </c>
      <c r="N2285" s="55">
        <v>719</v>
      </c>
      <c r="O2285" s="78">
        <v>360000</v>
      </c>
    </row>
    <row r="2286" spans="8:15" ht="15.75" thickBot="1">
      <c r="H2286" s="882"/>
      <c r="I2286" s="876"/>
      <c r="J2286" s="878"/>
      <c r="K2286" s="880"/>
      <c r="L2286" s="882"/>
      <c r="M2286" s="884"/>
      <c r="N2286" s="56">
        <v>723</v>
      </c>
      <c r="O2286" s="79">
        <f>+M2285-O2285</f>
        <v>144000</v>
      </c>
    </row>
    <row r="2287" spans="8:15" ht="16.5" thickBot="1">
      <c r="H2287" s="901" t="s">
        <v>102</v>
      </c>
      <c r="I2287" s="902"/>
      <c r="J2287" s="902"/>
      <c r="K2287" s="902"/>
      <c r="L2287" s="903"/>
      <c r="M2287" s="81">
        <f>SUM(M2277:M2286)</f>
        <v>1722000</v>
      </c>
    </row>
    <row r="2288" spans="8:15" ht="16.5" thickBot="1">
      <c r="H2288" s="885" t="s">
        <v>103</v>
      </c>
      <c r="I2288" s="886"/>
      <c r="J2288" s="886"/>
      <c r="K2288" s="886"/>
      <c r="L2288" s="887"/>
      <c r="M2288" s="69">
        <f>+M2252</f>
        <v>523652516</v>
      </c>
      <c r="N2288" s="241" t="s">
        <v>561</v>
      </c>
      <c r="O2288" s="242">
        <f>875+40+72+1421+61</f>
        <v>2469</v>
      </c>
    </row>
    <row r="2289" spans="8:14" ht="16.5" thickBot="1">
      <c r="H2289" s="888" t="s">
        <v>104</v>
      </c>
      <c r="I2289" s="889"/>
      <c r="J2289" s="889"/>
      <c r="K2289" s="889"/>
      <c r="L2289" s="890"/>
      <c r="M2289" s="183">
        <f>SUM(M2287:M2288)</f>
        <v>525374516</v>
      </c>
    </row>
    <row r="2290" spans="8:14">
      <c r="H2290" s="61"/>
      <c r="I2290" s="61"/>
      <c r="J2290" s="61"/>
      <c r="K2290" s="61"/>
      <c r="L2290" s="61"/>
    </row>
    <row r="2291" spans="8:14">
      <c r="H2291" s="51" t="s">
        <v>1042</v>
      </c>
    </row>
    <row r="2292" spans="8:14" ht="12.75" customHeight="1">
      <c r="M2292" s="139"/>
    </row>
    <row r="2293" spans="8:14">
      <c r="H2293" s="50" t="s">
        <v>105</v>
      </c>
      <c r="K2293" s="146"/>
      <c r="M2293" s="139"/>
    </row>
    <row r="2294" spans="8:14" ht="13.5" customHeight="1" thickBot="1"/>
    <row r="2295" spans="8:14" ht="15.75" thickBot="1">
      <c r="H2295" s="891" t="s">
        <v>106</v>
      </c>
      <c r="I2295" s="892"/>
      <c r="J2295" s="892"/>
      <c r="K2295" s="893"/>
      <c r="M2295" s="50" t="s">
        <v>288</v>
      </c>
    </row>
    <row r="2296" spans="8:14" ht="30.75" thickBot="1">
      <c r="H2296" s="57" t="s">
        <v>100</v>
      </c>
      <c r="I2296" s="58" t="s">
        <v>108</v>
      </c>
      <c r="J2296" s="287" t="s">
        <v>109</v>
      </c>
      <c r="K2296" s="60" t="s">
        <v>110</v>
      </c>
    </row>
    <row r="2297" spans="8:14">
      <c r="H2297" s="71">
        <v>719</v>
      </c>
      <c r="I2297" s="73">
        <f>+O2277+O2279+O2281+O2283+O2285</f>
        <v>1230000</v>
      </c>
      <c r="J2297" s="74">
        <f>+K2260</f>
        <v>59900000</v>
      </c>
      <c r="K2297" s="195">
        <f>+I2297+J2297</f>
        <v>61130000</v>
      </c>
    </row>
    <row r="2298" spans="8:14">
      <c r="H2298" s="72">
        <v>721</v>
      </c>
      <c r="I2298" s="80">
        <f>+O2278+O2280+O2282+O2284+O2286</f>
        <v>492000</v>
      </c>
      <c r="J2298" s="74">
        <f>+K2261</f>
        <v>104394559</v>
      </c>
      <c r="K2298" s="195">
        <f>+I2298+J2298</f>
        <v>104886559</v>
      </c>
    </row>
    <row r="2299" spans="8:14">
      <c r="H2299" s="72">
        <v>722</v>
      </c>
      <c r="I2299" s="80"/>
      <c r="J2299" s="74">
        <f>+K2262</f>
        <v>55831494</v>
      </c>
      <c r="K2299" s="195">
        <f>+I2299+J2299</f>
        <v>55831494</v>
      </c>
    </row>
    <row r="2300" spans="8:14" ht="15.75">
      <c r="H2300" s="72">
        <v>723</v>
      </c>
      <c r="I2300" s="80"/>
      <c r="J2300" s="74">
        <f>+K2263</f>
        <v>303456463</v>
      </c>
      <c r="K2300" s="195">
        <f>+I2300+J2300</f>
        <v>303456463</v>
      </c>
      <c r="M2300" s="193" t="s">
        <v>289</v>
      </c>
      <c r="N2300" s="175"/>
    </row>
    <row r="2301" spans="8:14" ht="16.5" thickBot="1">
      <c r="H2301" s="164" t="s">
        <v>181</v>
      </c>
      <c r="I2301" s="165"/>
      <c r="J2301" s="74">
        <f>+K2264</f>
        <v>0</v>
      </c>
      <c r="K2301" s="196">
        <f>+I2301+J2301</f>
        <v>0</v>
      </c>
      <c r="M2301" s="52"/>
    </row>
    <row r="2302" spans="8:14" ht="16.5" thickBot="1">
      <c r="H2302" s="169"/>
      <c r="I2302" s="197">
        <f>SUM(I2297:I2301)</f>
        <v>1722000</v>
      </c>
      <c r="J2302" s="197">
        <f>SUM(J2297:J2301)</f>
        <v>523582516</v>
      </c>
      <c r="K2302" s="198">
        <f>SUM(K2297:K2301)</f>
        <v>525304516</v>
      </c>
    </row>
    <row r="2303" spans="8:14" ht="16.5">
      <c r="H2303" s="49" t="s">
        <v>88</v>
      </c>
      <c r="I2303" s="50"/>
    </row>
    <row r="2304" spans="8:14">
      <c r="H2304" s="51" t="s">
        <v>89</v>
      </c>
    </row>
    <row r="2305" spans="8:15">
      <c r="H2305" s="51" t="s">
        <v>90</v>
      </c>
    </row>
    <row r="2306" spans="8:15">
      <c r="H2306" s="51" t="s">
        <v>91</v>
      </c>
    </row>
    <row r="2307" spans="8:15" ht="12.75" customHeight="1">
      <c r="H2307" s="50"/>
      <c r="I2307" s="50"/>
    </row>
    <row r="2308" spans="8:15" ht="15.75">
      <c r="H2308" s="260" t="s">
        <v>1032</v>
      </c>
      <c r="N2308" s="52"/>
    </row>
    <row r="2309" spans="8:15" ht="15.75">
      <c r="H2309" s="53" t="s">
        <v>535</v>
      </c>
      <c r="N2309" s="53"/>
    </row>
    <row r="2310" spans="8:15" ht="16.5">
      <c r="H2310" s="894" t="s">
        <v>909</v>
      </c>
      <c r="I2310" s="894"/>
      <c r="J2310" s="894"/>
      <c r="K2310" s="894"/>
      <c r="L2310" s="894"/>
      <c r="M2310" s="894"/>
      <c r="N2310" s="894"/>
      <c r="O2310" s="894"/>
    </row>
    <row r="2311" spans="8:15" ht="15.75" thickBot="1"/>
    <row r="2312" spans="8:15">
      <c r="H2312" s="895" t="s">
        <v>94</v>
      </c>
      <c r="I2312" s="897" t="s">
        <v>95</v>
      </c>
      <c r="J2312" s="897" t="s">
        <v>96</v>
      </c>
      <c r="K2312" s="897" t="s">
        <v>3</v>
      </c>
      <c r="L2312" s="897" t="s">
        <v>97</v>
      </c>
      <c r="M2312" s="897" t="s">
        <v>98</v>
      </c>
      <c r="N2312" s="897" t="s">
        <v>99</v>
      </c>
      <c r="O2312" s="899"/>
    </row>
    <row r="2313" spans="8:15" ht="15.75" thickBot="1">
      <c r="H2313" s="896"/>
      <c r="I2313" s="898"/>
      <c r="J2313" s="898"/>
      <c r="K2313" s="898"/>
      <c r="L2313" s="898"/>
      <c r="M2313" s="898"/>
      <c r="N2313" s="240" t="s">
        <v>100</v>
      </c>
      <c r="O2313" s="182" t="s">
        <v>101</v>
      </c>
    </row>
    <row r="2314" spans="8:15" ht="15" customHeight="1">
      <c r="H2314" s="881">
        <v>252</v>
      </c>
      <c r="I2314" s="875">
        <v>42621</v>
      </c>
      <c r="J2314" s="877" t="s">
        <v>40</v>
      </c>
      <c r="K2314" s="879" t="s">
        <v>1043</v>
      </c>
      <c r="L2314" s="881" t="s">
        <v>148</v>
      </c>
      <c r="M2314" s="883">
        <v>56000</v>
      </c>
      <c r="N2314" s="55">
        <v>719</v>
      </c>
      <c r="O2314" s="78">
        <v>40000</v>
      </c>
    </row>
    <row r="2315" spans="8:15" ht="15.75" customHeight="1" thickBot="1">
      <c r="H2315" s="882"/>
      <c r="I2315" s="876"/>
      <c r="J2315" s="878"/>
      <c r="K2315" s="880"/>
      <c r="L2315" s="882"/>
      <c r="M2315" s="884"/>
      <c r="N2315" s="56">
        <v>721</v>
      </c>
      <c r="O2315" s="79">
        <f>+M2314-O2314</f>
        <v>16000</v>
      </c>
    </row>
    <row r="2316" spans="8:15" ht="15" customHeight="1">
      <c r="H2316" s="881">
        <v>253</v>
      </c>
      <c r="I2316" s="875">
        <v>42621</v>
      </c>
      <c r="J2316" s="877" t="s">
        <v>28</v>
      </c>
      <c r="K2316" s="879" t="s">
        <v>1044</v>
      </c>
      <c r="L2316" s="881" t="s">
        <v>148</v>
      </c>
      <c r="M2316" s="883">
        <v>252000</v>
      </c>
      <c r="N2316" s="55">
        <v>719</v>
      </c>
      <c r="O2316" s="78">
        <v>180000</v>
      </c>
    </row>
    <row r="2317" spans="8:15" ht="15.75" customHeight="1" thickBot="1">
      <c r="H2317" s="882"/>
      <c r="I2317" s="876"/>
      <c r="J2317" s="878"/>
      <c r="K2317" s="880"/>
      <c r="L2317" s="882"/>
      <c r="M2317" s="884"/>
      <c r="N2317" s="56">
        <v>721</v>
      </c>
      <c r="O2317" s="79">
        <f>+M2316-O2316</f>
        <v>72000</v>
      </c>
    </row>
    <row r="2318" spans="8:15" ht="15" customHeight="1">
      <c r="H2318" s="881">
        <v>254</v>
      </c>
      <c r="I2318" s="875">
        <v>42621</v>
      </c>
      <c r="J2318" s="877" t="s">
        <v>111</v>
      </c>
      <c r="K2318" s="879" t="s">
        <v>1045</v>
      </c>
      <c r="L2318" s="881" t="s">
        <v>148</v>
      </c>
      <c r="M2318" s="883">
        <v>112000</v>
      </c>
      <c r="N2318" s="55">
        <v>719</v>
      </c>
      <c r="O2318" s="78">
        <v>80000</v>
      </c>
    </row>
    <row r="2319" spans="8:15" ht="15.75" customHeight="1" thickBot="1">
      <c r="H2319" s="882"/>
      <c r="I2319" s="876"/>
      <c r="J2319" s="878"/>
      <c r="K2319" s="880"/>
      <c r="L2319" s="882"/>
      <c r="M2319" s="884"/>
      <c r="N2319" s="56">
        <v>721</v>
      </c>
      <c r="O2319" s="79">
        <f>+M2318-O2318</f>
        <v>32000</v>
      </c>
    </row>
    <row r="2320" spans="8:15" ht="15" customHeight="1">
      <c r="H2320" s="881">
        <v>255</v>
      </c>
      <c r="I2320" s="875">
        <v>42621</v>
      </c>
      <c r="J2320" s="877" t="s">
        <v>111</v>
      </c>
      <c r="K2320" s="879" t="s">
        <v>1044</v>
      </c>
      <c r="L2320" s="881" t="s">
        <v>148</v>
      </c>
      <c r="M2320" s="883">
        <v>56000</v>
      </c>
      <c r="N2320" s="55">
        <v>719</v>
      </c>
      <c r="O2320" s="78">
        <v>40000</v>
      </c>
    </row>
    <row r="2321" spans="8:15" ht="15.75" customHeight="1" thickBot="1">
      <c r="H2321" s="882"/>
      <c r="I2321" s="876"/>
      <c r="J2321" s="878"/>
      <c r="K2321" s="880"/>
      <c r="L2321" s="882"/>
      <c r="M2321" s="884"/>
      <c r="N2321" s="56">
        <v>721</v>
      </c>
      <c r="O2321" s="79">
        <f>+M2320-O2320</f>
        <v>16000</v>
      </c>
    </row>
    <row r="2322" spans="8:15">
      <c r="H2322" s="881"/>
      <c r="I2322" s="875"/>
      <c r="J2322" s="877"/>
      <c r="K2322" s="879"/>
      <c r="L2322" s="881"/>
      <c r="M2322" s="883"/>
      <c r="N2322" s="55">
        <v>719</v>
      </c>
      <c r="O2322" s="78"/>
    </row>
    <row r="2323" spans="8:15" ht="15.75" thickBot="1">
      <c r="H2323" s="882"/>
      <c r="I2323" s="876"/>
      <c r="J2323" s="878"/>
      <c r="K2323" s="880"/>
      <c r="L2323" s="882"/>
      <c r="M2323" s="884"/>
      <c r="N2323" s="56">
        <v>723</v>
      </c>
      <c r="O2323" s="79">
        <f>+M2322-O2322</f>
        <v>0</v>
      </c>
    </row>
    <row r="2324" spans="8:15" ht="16.5" thickBot="1">
      <c r="H2324" s="901" t="s">
        <v>102</v>
      </c>
      <c r="I2324" s="902"/>
      <c r="J2324" s="902"/>
      <c r="K2324" s="902"/>
      <c r="L2324" s="903"/>
      <c r="M2324" s="81">
        <f>SUM(M2314:M2323)</f>
        <v>476000</v>
      </c>
    </row>
    <row r="2325" spans="8:15" ht="16.5" thickBot="1">
      <c r="H2325" s="885" t="s">
        <v>103</v>
      </c>
      <c r="I2325" s="886"/>
      <c r="J2325" s="886"/>
      <c r="K2325" s="886"/>
      <c r="L2325" s="887"/>
      <c r="M2325" s="69">
        <f>+M2289</f>
        <v>525374516</v>
      </c>
      <c r="N2325" s="241" t="s">
        <v>561</v>
      </c>
      <c r="O2325" s="242">
        <f>451+25+37+18</f>
        <v>531</v>
      </c>
    </row>
    <row r="2326" spans="8:15" ht="16.5" thickBot="1">
      <c r="H2326" s="888" t="s">
        <v>104</v>
      </c>
      <c r="I2326" s="889"/>
      <c r="J2326" s="889"/>
      <c r="K2326" s="889"/>
      <c r="L2326" s="890"/>
      <c r="M2326" s="183">
        <f>SUM(M2324:M2325)</f>
        <v>525850516</v>
      </c>
    </row>
    <row r="2327" spans="8:15">
      <c r="H2327" s="61"/>
      <c r="I2327" s="61"/>
      <c r="J2327" s="61"/>
      <c r="K2327" s="61"/>
      <c r="L2327" s="61"/>
    </row>
    <row r="2328" spans="8:15">
      <c r="H2328" s="51" t="s">
        <v>1065</v>
      </c>
    </row>
    <row r="2329" spans="8:15" ht="12" customHeight="1">
      <c r="M2329" s="139"/>
    </row>
    <row r="2330" spans="8:15">
      <c r="H2330" s="50" t="s">
        <v>105</v>
      </c>
      <c r="K2330" s="146"/>
      <c r="M2330" s="139"/>
    </row>
    <row r="2331" spans="8:15" ht="12.75" customHeight="1" thickBot="1"/>
    <row r="2332" spans="8:15" ht="15.75" thickBot="1">
      <c r="H2332" s="891" t="s">
        <v>106</v>
      </c>
      <c r="I2332" s="892"/>
      <c r="J2332" s="892"/>
      <c r="K2332" s="893"/>
      <c r="M2332" s="50" t="s">
        <v>288</v>
      </c>
    </row>
    <row r="2333" spans="8:15" ht="30.75" thickBot="1">
      <c r="H2333" s="57" t="s">
        <v>100</v>
      </c>
      <c r="I2333" s="58" t="s">
        <v>108</v>
      </c>
      <c r="J2333" s="287" t="s">
        <v>109</v>
      </c>
      <c r="K2333" s="60" t="s">
        <v>110</v>
      </c>
    </row>
    <row r="2334" spans="8:15">
      <c r="H2334" s="71">
        <v>719</v>
      </c>
      <c r="I2334" s="73">
        <f>+O2314+O2316+O2318+O2320+O2322</f>
        <v>340000</v>
      </c>
      <c r="J2334" s="74">
        <f>+K2297</f>
        <v>61130000</v>
      </c>
      <c r="K2334" s="195">
        <f>+I2334+J2334</f>
        <v>61470000</v>
      </c>
    </row>
    <row r="2335" spans="8:15">
      <c r="H2335" s="72">
        <v>721</v>
      </c>
      <c r="I2335" s="80">
        <f>+O2315+O2317+O2319+O2321+O2323</f>
        <v>136000</v>
      </c>
      <c r="J2335" s="74">
        <f>+K2298</f>
        <v>104886559</v>
      </c>
      <c r="K2335" s="195">
        <f>+I2335+J2335</f>
        <v>105022559</v>
      </c>
    </row>
    <row r="2336" spans="8:15">
      <c r="H2336" s="72">
        <v>722</v>
      </c>
      <c r="I2336" s="80"/>
      <c r="J2336" s="74">
        <f>+K2299</f>
        <v>55831494</v>
      </c>
      <c r="K2336" s="195">
        <f>+I2336+J2336</f>
        <v>55831494</v>
      </c>
    </row>
    <row r="2337" spans="8:15" ht="15.75">
      <c r="H2337" s="72">
        <v>723</v>
      </c>
      <c r="I2337" s="80"/>
      <c r="J2337" s="74">
        <f>+K2300</f>
        <v>303456463</v>
      </c>
      <c r="K2337" s="195">
        <f>+I2337+J2337</f>
        <v>303456463</v>
      </c>
      <c r="M2337" s="193" t="s">
        <v>289</v>
      </c>
      <c r="N2337" s="175"/>
    </row>
    <row r="2338" spans="8:15" ht="16.5" thickBot="1">
      <c r="H2338" s="164" t="s">
        <v>181</v>
      </c>
      <c r="I2338" s="165"/>
      <c r="J2338" s="74">
        <f>+K2301</f>
        <v>0</v>
      </c>
      <c r="K2338" s="196">
        <f>+I2338+J2338</f>
        <v>0</v>
      </c>
      <c r="M2338" s="52"/>
    </row>
    <row r="2339" spans="8:15" ht="16.5" thickBot="1">
      <c r="H2339" s="169"/>
      <c r="I2339" s="197">
        <f>SUM(I2334:I2338)</f>
        <v>476000</v>
      </c>
      <c r="J2339" s="197">
        <f>SUM(J2334:J2338)</f>
        <v>525304516</v>
      </c>
      <c r="K2339" s="198">
        <f>SUM(K2334:K2338)</f>
        <v>525780516</v>
      </c>
    </row>
    <row r="2340" spans="8:15" ht="16.5">
      <c r="H2340" s="49" t="s">
        <v>88</v>
      </c>
      <c r="I2340" s="50"/>
    </row>
    <row r="2341" spans="8:15">
      <c r="H2341" s="51" t="s">
        <v>89</v>
      </c>
    </row>
    <row r="2342" spans="8:15">
      <c r="H2342" s="51" t="s">
        <v>90</v>
      </c>
    </row>
    <row r="2343" spans="8:15">
      <c r="H2343" s="51" t="s">
        <v>91</v>
      </c>
    </row>
    <row r="2344" spans="8:15" ht="12" customHeight="1">
      <c r="H2344" s="50"/>
      <c r="I2344" s="50"/>
    </row>
    <row r="2345" spans="8:15" ht="15.75">
      <c r="H2345" s="260" t="s">
        <v>1059</v>
      </c>
      <c r="N2345" s="52"/>
    </row>
    <row r="2346" spans="8:15" ht="15.75">
      <c r="H2346" s="53" t="s">
        <v>535</v>
      </c>
      <c r="N2346" s="53"/>
    </row>
    <row r="2347" spans="8:15" ht="16.5">
      <c r="H2347" s="894" t="s">
        <v>1063</v>
      </c>
      <c r="I2347" s="894"/>
      <c r="J2347" s="894"/>
      <c r="K2347" s="894"/>
      <c r="L2347" s="894"/>
      <c r="M2347" s="894"/>
      <c r="N2347" s="894"/>
      <c r="O2347" s="894"/>
    </row>
    <row r="2348" spans="8:15" ht="15.75" thickBot="1"/>
    <row r="2349" spans="8:15">
      <c r="H2349" s="895" t="s">
        <v>94</v>
      </c>
      <c r="I2349" s="897" t="s">
        <v>95</v>
      </c>
      <c r="J2349" s="897" t="s">
        <v>96</v>
      </c>
      <c r="K2349" s="897" t="s">
        <v>3</v>
      </c>
      <c r="L2349" s="897" t="s">
        <v>97</v>
      </c>
      <c r="M2349" s="897" t="s">
        <v>98</v>
      </c>
      <c r="N2349" s="897" t="s">
        <v>99</v>
      </c>
      <c r="O2349" s="899"/>
    </row>
    <row r="2350" spans="8:15" ht="15.75" thickBot="1">
      <c r="H2350" s="896"/>
      <c r="I2350" s="898"/>
      <c r="J2350" s="898"/>
      <c r="K2350" s="898"/>
      <c r="L2350" s="898"/>
      <c r="M2350" s="898"/>
      <c r="N2350" s="240" t="s">
        <v>100</v>
      </c>
      <c r="O2350" s="182" t="s">
        <v>101</v>
      </c>
    </row>
    <row r="2351" spans="8:15">
      <c r="H2351" s="881">
        <v>256</v>
      </c>
      <c r="I2351" s="875">
        <v>42622</v>
      </c>
      <c r="J2351" s="877" t="s">
        <v>1060</v>
      </c>
      <c r="K2351" s="879" t="s">
        <v>1061</v>
      </c>
      <c r="L2351" s="881" t="s">
        <v>148</v>
      </c>
      <c r="M2351" s="883">
        <v>2000000</v>
      </c>
      <c r="N2351" s="55">
        <v>722</v>
      </c>
      <c r="O2351" s="78">
        <v>2000000</v>
      </c>
    </row>
    <row r="2352" spans="8:15" ht="15.75" thickBot="1">
      <c r="H2352" s="882"/>
      <c r="I2352" s="876"/>
      <c r="J2352" s="878"/>
      <c r="K2352" s="880"/>
      <c r="L2352" s="882"/>
      <c r="M2352" s="884"/>
      <c r="N2352" s="56">
        <v>721</v>
      </c>
      <c r="O2352" s="79">
        <f>+M2351-O2351</f>
        <v>0</v>
      </c>
    </row>
    <row r="2353" spans="8:15">
      <c r="H2353" s="881"/>
      <c r="I2353" s="875"/>
      <c r="J2353" s="877"/>
      <c r="K2353" s="879"/>
      <c r="L2353" s="881"/>
      <c r="M2353" s="883"/>
      <c r="N2353" s="55">
        <v>719</v>
      </c>
      <c r="O2353" s="78"/>
    </row>
    <row r="2354" spans="8:15" ht="15.75" thickBot="1">
      <c r="H2354" s="882"/>
      <c r="I2354" s="876"/>
      <c r="J2354" s="878"/>
      <c r="K2354" s="880"/>
      <c r="L2354" s="882"/>
      <c r="M2354" s="884"/>
      <c r="N2354" s="56">
        <v>721</v>
      </c>
      <c r="O2354" s="79">
        <f>+M2353-O2353</f>
        <v>0</v>
      </c>
    </row>
    <row r="2355" spans="8:15">
      <c r="H2355" s="881"/>
      <c r="I2355" s="875"/>
      <c r="J2355" s="877"/>
      <c r="K2355" s="879"/>
      <c r="L2355" s="881"/>
      <c r="M2355" s="883"/>
      <c r="N2355" s="55">
        <v>719</v>
      </c>
      <c r="O2355" s="78"/>
    </row>
    <row r="2356" spans="8:15" ht="13.5" customHeight="1" thickBot="1">
      <c r="H2356" s="882"/>
      <c r="I2356" s="876"/>
      <c r="J2356" s="878"/>
      <c r="K2356" s="880"/>
      <c r="L2356" s="882"/>
      <c r="M2356" s="884"/>
      <c r="N2356" s="56">
        <v>721</v>
      </c>
      <c r="O2356" s="79">
        <f>+M2355-O2355</f>
        <v>0</v>
      </c>
    </row>
    <row r="2357" spans="8:15">
      <c r="H2357" s="881"/>
      <c r="I2357" s="875"/>
      <c r="J2357" s="877"/>
      <c r="K2357" s="879"/>
      <c r="L2357" s="881"/>
      <c r="M2357" s="883"/>
      <c r="N2357" s="55">
        <v>719</v>
      </c>
      <c r="O2357" s="78"/>
    </row>
    <row r="2358" spans="8:15" ht="15.75" thickBot="1">
      <c r="H2358" s="882"/>
      <c r="I2358" s="876"/>
      <c r="J2358" s="878"/>
      <c r="K2358" s="880"/>
      <c r="L2358" s="882"/>
      <c r="M2358" s="884"/>
      <c r="N2358" s="56">
        <v>721</v>
      </c>
      <c r="O2358" s="79">
        <f>+M2357-O2357</f>
        <v>0</v>
      </c>
    </row>
    <row r="2359" spans="8:15">
      <c r="H2359" s="881"/>
      <c r="I2359" s="875"/>
      <c r="J2359" s="877"/>
      <c r="K2359" s="879"/>
      <c r="L2359" s="881"/>
      <c r="M2359" s="883"/>
      <c r="N2359" s="55">
        <v>719</v>
      </c>
      <c r="O2359" s="78"/>
    </row>
    <row r="2360" spans="8:15" ht="12" customHeight="1" thickBot="1">
      <c r="H2360" s="882"/>
      <c r="I2360" s="876"/>
      <c r="J2360" s="878"/>
      <c r="K2360" s="880"/>
      <c r="L2360" s="882"/>
      <c r="M2360" s="884"/>
      <c r="N2360" s="56">
        <v>723</v>
      </c>
      <c r="O2360" s="79">
        <f>+M2359-O2359</f>
        <v>0</v>
      </c>
    </row>
    <row r="2361" spans="8:15" ht="16.5" thickBot="1">
      <c r="H2361" s="901" t="s">
        <v>102</v>
      </c>
      <c r="I2361" s="902"/>
      <c r="J2361" s="902"/>
      <c r="K2361" s="902"/>
      <c r="L2361" s="903"/>
      <c r="M2361" s="81">
        <f>SUM(M2351:M2360)</f>
        <v>2000000</v>
      </c>
    </row>
    <row r="2362" spans="8:15" ht="16.5" thickBot="1">
      <c r="H2362" s="885" t="s">
        <v>103</v>
      </c>
      <c r="I2362" s="886"/>
      <c r="J2362" s="886"/>
      <c r="K2362" s="886"/>
      <c r="L2362" s="887"/>
      <c r="M2362" s="69">
        <f>+M2326</f>
        <v>525850516</v>
      </c>
      <c r="N2362" s="241" t="s">
        <v>561</v>
      </c>
      <c r="O2362" s="242">
        <v>0</v>
      </c>
    </row>
    <row r="2363" spans="8:15" ht="16.5" thickBot="1">
      <c r="H2363" s="888" t="s">
        <v>104</v>
      </c>
      <c r="I2363" s="889"/>
      <c r="J2363" s="889"/>
      <c r="K2363" s="889"/>
      <c r="L2363" s="890"/>
      <c r="M2363" s="183">
        <f>SUM(M2361:M2362)</f>
        <v>527850516</v>
      </c>
    </row>
    <row r="2364" spans="8:15">
      <c r="H2364" s="61"/>
      <c r="I2364" s="61"/>
      <c r="J2364" s="61"/>
      <c r="K2364" s="61"/>
      <c r="L2364" s="61"/>
    </row>
    <row r="2365" spans="8:15">
      <c r="H2365" s="51" t="s">
        <v>1062</v>
      </c>
    </row>
    <row r="2366" spans="8:15" ht="12" customHeight="1">
      <c r="M2366" s="139"/>
    </row>
    <row r="2367" spans="8:15">
      <c r="H2367" s="50" t="s">
        <v>105</v>
      </c>
      <c r="K2367" s="146"/>
      <c r="M2367" s="139"/>
    </row>
    <row r="2368" spans="8:15" ht="15.75" thickBot="1"/>
    <row r="2369" spans="8:15" ht="15.75" thickBot="1">
      <c r="H2369" s="891" t="s">
        <v>106</v>
      </c>
      <c r="I2369" s="892"/>
      <c r="J2369" s="892"/>
      <c r="K2369" s="893"/>
      <c r="M2369" s="50" t="s">
        <v>288</v>
      </c>
    </row>
    <row r="2370" spans="8:15" ht="30.75" thickBot="1">
      <c r="H2370" s="57" t="s">
        <v>100</v>
      </c>
      <c r="I2370" s="58" t="s">
        <v>108</v>
      </c>
      <c r="J2370" s="287" t="s">
        <v>109</v>
      </c>
      <c r="K2370" s="60" t="s">
        <v>110</v>
      </c>
    </row>
    <row r="2371" spans="8:15">
      <c r="H2371" s="71">
        <v>719</v>
      </c>
      <c r="I2371" s="73"/>
      <c r="J2371" s="74">
        <f>+K2334</f>
        <v>61470000</v>
      </c>
      <c r="K2371" s="195">
        <f>+I2371+J2371</f>
        <v>61470000</v>
      </c>
    </row>
    <row r="2372" spans="8:15">
      <c r="H2372" s="72">
        <v>721</v>
      </c>
      <c r="I2372" s="80">
        <f>+O2352+O2354+O2356+O2358+O2360</f>
        <v>0</v>
      </c>
      <c r="J2372" s="74">
        <f>+K2335</f>
        <v>105022559</v>
      </c>
      <c r="K2372" s="195">
        <f>+I2372+J2372</f>
        <v>105022559</v>
      </c>
    </row>
    <row r="2373" spans="8:15">
      <c r="H2373" s="72">
        <v>722</v>
      </c>
      <c r="I2373" s="80">
        <f>+O2351</f>
        <v>2000000</v>
      </c>
      <c r="J2373" s="74">
        <f>+K2336</f>
        <v>55831494</v>
      </c>
      <c r="K2373" s="195">
        <f>+I2373+J2373</f>
        <v>57831494</v>
      </c>
    </row>
    <row r="2374" spans="8:15" ht="15.75">
      <c r="H2374" s="72">
        <v>723</v>
      </c>
      <c r="I2374" s="80"/>
      <c r="J2374" s="74">
        <f>+K2337</f>
        <v>303456463</v>
      </c>
      <c r="K2374" s="195">
        <f>+I2374+J2374</f>
        <v>303456463</v>
      </c>
      <c r="M2374" s="193" t="s">
        <v>289</v>
      </c>
      <c r="N2374" s="175"/>
    </row>
    <row r="2375" spans="8:15" ht="16.5" thickBot="1">
      <c r="H2375" s="164" t="s">
        <v>181</v>
      </c>
      <c r="I2375" s="165"/>
      <c r="J2375" s="74">
        <f>+K2338</f>
        <v>0</v>
      </c>
      <c r="K2375" s="196">
        <f>+I2375+J2375</f>
        <v>0</v>
      </c>
      <c r="M2375" s="52"/>
    </row>
    <row r="2376" spans="8:15" ht="16.5" thickBot="1">
      <c r="H2376" s="169"/>
      <c r="I2376" s="197">
        <f>SUM(I2371:I2375)</f>
        <v>2000000</v>
      </c>
      <c r="J2376" s="197">
        <f>SUM(J2371:J2375)</f>
        <v>525780516</v>
      </c>
      <c r="K2376" s="198">
        <f>SUM(K2371:K2375)</f>
        <v>527780516</v>
      </c>
    </row>
    <row r="2377" spans="8:15" ht="16.5">
      <c r="H2377" s="49" t="s">
        <v>88</v>
      </c>
      <c r="I2377" s="50"/>
    </row>
    <row r="2378" spans="8:15">
      <c r="H2378" s="51" t="s">
        <v>89</v>
      </c>
    </row>
    <row r="2379" spans="8:15">
      <c r="H2379" s="51" t="s">
        <v>90</v>
      </c>
    </row>
    <row r="2380" spans="8:15">
      <c r="H2380" s="51" t="s">
        <v>91</v>
      </c>
    </row>
    <row r="2381" spans="8:15" ht="12" customHeight="1">
      <c r="H2381" s="50"/>
      <c r="I2381" s="50"/>
    </row>
    <row r="2382" spans="8:15" ht="15.75">
      <c r="H2382" s="260" t="s">
        <v>1066</v>
      </c>
      <c r="N2382" s="52"/>
    </row>
    <row r="2383" spans="8:15" ht="15.75">
      <c r="H2383" s="53" t="s">
        <v>535</v>
      </c>
      <c r="N2383" s="53"/>
    </row>
    <row r="2384" spans="8:15" ht="16.5">
      <c r="H2384" s="894" t="s">
        <v>909</v>
      </c>
      <c r="I2384" s="894"/>
      <c r="J2384" s="894"/>
      <c r="K2384" s="894"/>
      <c r="L2384" s="894"/>
      <c r="M2384" s="894"/>
      <c r="N2384" s="894"/>
      <c r="O2384" s="894"/>
    </row>
    <row r="2385" spans="8:15" ht="15.75" thickBot="1"/>
    <row r="2386" spans="8:15">
      <c r="H2386" s="895" t="s">
        <v>94</v>
      </c>
      <c r="I2386" s="897" t="s">
        <v>95</v>
      </c>
      <c r="J2386" s="897" t="s">
        <v>96</v>
      </c>
      <c r="K2386" s="897" t="s">
        <v>3</v>
      </c>
      <c r="L2386" s="897" t="s">
        <v>97</v>
      </c>
      <c r="M2386" s="897" t="s">
        <v>98</v>
      </c>
      <c r="N2386" s="897" t="s">
        <v>99</v>
      </c>
      <c r="O2386" s="899"/>
    </row>
    <row r="2387" spans="8:15" ht="15.75" thickBot="1">
      <c r="H2387" s="896"/>
      <c r="I2387" s="898"/>
      <c r="J2387" s="898"/>
      <c r="K2387" s="898"/>
      <c r="L2387" s="898"/>
      <c r="M2387" s="898"/>
      <c r="N2387" s="240" t="s">
        <v>100</v>
      </c>
      <c r="O2387" s="182" t="s">
        <v>101</v>
      </c>
    </row>
    <row r="2388" spans="8:15" ht="15" customHeight="1">
      <c r="H2388" s="881">
        <v>257</v>
      </c>
      <c r="I2388" s="875">
        <v>42622</v>
      </c>
      <c r="J2388" s="877" t="s">
        <v>1014</v>
      </c>
      <c r="K2388" s="879" t="s">
        <v>1067</v>
      </c>
      <c r="L2388" s="881" t="s">
        <v>115</v>
      </c>
      <c r="M2388" s="883">
        <v>60000</v>
      </c>
      <c r="N2388" s="55">
        <v>719</v>
      </c>
      <c r="O2388" s="78">
        <v>60000</v>
      </c>
    </row>
    <row r="2389" spans="8:15" ht="15.75" customHeight="1" thickBot="1">
      <c r="H2389" s="882"/>
      <c r="I2389" s="876"/>
      <c r="J2389" s="878"/>
      <c r="K2389" s="880"/>
      <c r="L2389" s="882"/>
      <c r="M2389" s="884"/>
      <c r="N2389" s="56">
        <v>721</v>
      </c>
      <c r="O2389" s="79">
        <f>+M2388-O2388</f>
        <v>0</v>
      </c>
    </row>
    <row r="2390" spans="8:15" ht="15" customHeight="1">
      <c r="H2390" s="881">
        <v>258</v>
      </c>
      <c r="I2390" s="875">
        <v>42622</v>
      </c>
      <c r="J2390" s="877" t="s">
        <v>28</v>
      </c>
      <c r="K2390" s="879" t="s">
        <v>1069</v>
      </c>
      <c r="L2390" s="881" t="s">
        <v>115</v>
      </c>
      <c r="M2390" s="883">
        <v>50000</v>
      </c>
      <c r="N2390" s="55">
        <v>719</v>
      </c>
      <c r="O2390" s="78">
        <v>50000</v>
      </c>
    </row>
    <row r="2391" spans="8:15" ht="15.75" customHeight="1" thickBot="1">
      <c r="H2391" s="882"/>
      <c r="I2391" s="876"/>
      <c r="J2391" s="878"/>
      <c r="K2391" s="880"/>
      <c r="L2391" s="882"/>
      <c r="M2391" s="884"/>
      <c r="N2391" s="56">
        <v>721</v>
      </c>
      <c r="O2391" s="79">
        <f>+M2390-O2390</f>
        <v>0</v>
      </c>
    </row>
    <row r="2392" spans="8:15">
      <c r="H2392" s="881"/>
      <c r="I2392" s="875"/>
      <c r="J2392" s="877"/>
      <c r="K2392" s="879"/>
      <c r="L2392" s="881"/>
      <c r="M2392" s="883"/>
      <c r="N2392" s="55">
        <v>719</v>
      </c>
      <c r="O2392" s="78"/>
    </row>
    <row r="2393" spans="8:15" ht="15.75" thickBot="1">
      <c r="H2393" s="882"/>
      <c r="I2393" s="876"/>
      <c r="J2393" s="878"/>
      <c r="K2393" s="880"/>
      <c r="L2393" s="882"/>
      <c r="M2393" s="884"/>
      <c r="N2393" s="56">
        <v>721</v>
      </c>
      <c r="O2393" s="79">
        <f>+M2392-O2392</f>
        <v>0</v>
      </c>
    </row>
    <row r="2394" spans="8:15">
      <c r="H2394" s="881"/>
      <c r="I2394" s="875"/>
      <c r="J2394" s="877"/>
      <c r="K2394" s="879"/>
      <c r="L2394" s="881"/>
      <c r="M2394" s="883"/>
      <c r="N2394" s="55">
        <v>719</v>
      </c>
      <c r="O2394" s="78"/>
    </row>
    <row r="2395" spans="8:15" ht="15.75" thickBot="1">
      <c r="H2395" s="882"/>
      <c r="I2395" s="876"/>
      <c r="J2395" s="878"/>
      <c r="K2395" s="880"/>
      <c r="L2395" s="882"/>
      <c r="M2395" s="884"/>
      <c r="N2395" s="56">
        <v>721</v>
      </c>
      <c r="O2395" s="79">
        <f>+M2394-O2394</f>
        <v>0</v>
      </c>
    </row>
    <row r="2396" spans="8:15">
      <c r="H2396" s="881"/>
      <c r="I2396" s="875"/>
      <c r="J2396" s="877"/>
      <c r="K2396" s="879"/>
      <c r="L2396" s="881"/>
      <c r="M2396" s="883"/>
      <c r="N2396" s="55">
        <v>719</v>
      </c>
      <c r="O2396" s="78"/>
    </row>
    <row r="2397" spans="8:15" ht="15.75" thickBot="1">
      <c r="H2397" s="882"/>
      <c r="I2397" s="876"/>
      <c r="J2397" s="878"/>
      <c r="K2397" s="880"/>
      <c r="L2397" s="882"/>
      <c r="M2397" s="884"/>
      <c r="N2397" s="56">
        <v>723</v>
      </c>
      <c r="O2397" s="79">
        <f>+M2396-O2396</f>
        <v>0</v>
      </c>
    </row>
    <row r="2398" spans="8:15" ht="16.5" thickBot="1">
      <c r="H2398" s="901" t="s">
        <v>102</v>
      </c>
      <c r="I2398" s="902"/>
      <c r="J2398" s="902"/>
      <c r="K2398" s="902"/>
      <c r="L2398" s="903"/>
      <c r="M2398" s="81">
        <f>SUM(M2388:M2397)</f>
        <v>110000</v>
      </c>
    </row>
    <row r="2399" spans="8:15" ht="16.5" thickBot="1">
      <c r="H2399" s="885" t="s">
        <v>103</v>
      </c>
      <c r="I2399" s="886"/>
      <c r="J2399" s="886"/>
      <c r="K2399" s="886"/>
      <c r="L2399" s="887"/>
      <c r="M2399" s="69">
        <f>+M2363</f>
        <v>527850516</v>
      </c>
      <c r="N2399" s="241" t="s">
        <v>561</v>
      </c>
      <c r="O2399" s="242">
        <f>123+195</f>
        <v>318</v>
      </c>
    </row>
    <row r="2400" spans="8:15" ht="16.5" thickBot="1">
      <c r="H2400" s="888" t="s">
        <v>104</v>
      </c>
      <c r="I2400" s="889"/>
      <c r="J2400" s="889"/>
      <c r="K2400" s="889"/>
      <c r="L2400" s="890"/>
      <c r="M2400" s="183">
        <f>SUM(M2398:M2399)</f>
        <v>527960516</v>
      </c>
    </row>
    <row r="2401" spans="8:14">
      <c r="H2401" s="61"/>
      <c r="I2401" s="61"/>
      <c r="J2401" s="61"/>
      <c r="K2401" s="61"/>
      <c r="L2401" s="61"/>
    </row>
    <row r="2402" spans="8:14">
      <c r="H2402" s="51" t="s">
        <v>1068</v>
      </c>
    </row>
    <row r="2403" spans="8:14" ht="12" customHeight="1">
      <c r="M2403" s="139"/>
    </row>
    <row r="2404" spans="8:14">
      <c r="H2404" s="50" t="s">
        <v>105</v>
      </c>
      <c r="K2404" s="146"/>
      <c r="M2404" s="139"/>
    </row>
    <row r="2405" spans="8:14" ht="12.75" customHeight="1" thickBot="1"/>
    <row r="2406" spans="8:14" ht="15.75" thickBot="1">
      <c r="H2406" s="891" t="s">
        <v>106</v>
      </c>
      <c r="I2406" s="892"/>
      <c r="J2406" s="892"/>
      <c r="K2406" s="893"/>
      <c r="M2406" s="50" t="s">
        <v>288</v>
      </c>
    </row>
    <row r="2407" spans="8:14" ht="30.75" thickBot="1">
      <c r="H2407" s="57" t="s">
        <v>100</v>
      </c>
      <c r="I2407" s="58" t="s">
        <v>108</v>
      </c>
      <c r="J2407" s="287" t="s">
        <v>109</v>
      </c>
      <c r="K2407" s="60" t="s">
        <v>110</v>
      </c>
    </row>
    <row r="2408" spans="8:14">
      <c r="H2408" s="71">
        <v>719</v>
      </c>
      <c r="I2408" s="73">
        <f>+O2388+O2390</f>
        <v>110000</v>
      </c>
      <c r="J2408" s="74">
        <f>+K2371</f>
        <v>61470000</v>
      </c>
      <c r="K2408" s="195">
        <f>+I2408+J2408</f>
        <v>61580000</v>
      </c>
    </row>
    <row r="2409" spans="8:14">
      <c r="H2409" s="72">
        <v>721</v>
      </c>
      <c r="I2409" s="80">
        <f>+O2389+O2391+O2393+O2395+O2397</f>
        <v>0</v>
      </c>
      <c r="J2409" s="74">
        <f>+K2372</f>
        <v>105022559</v>
      </c>
      <c r="K2409" s="195">
        <f>+I2409+J2409</f>
        <v>105022559</v>
      </c>
    </row>
    <row r="2410" spans="8:14">
      <c r="H2410" s="72">
        <v>722</v>
      </c>
      <c r="I2410" s="80"/>
      <c r="J2410" s="74">
        <f>+K2373</f>
        <v>57831494</v>
      </c>
      <c r="K2410" s="195">
        <f>+I2410+J2410</f>
        <v>57831494</v>
      </c>
    </row>
    <row r="2411" spans="8:14" ht="15.75">
      <c r="H2411" s="72">
        <v>723</v>
      </c>
      <c r="I2411" s="80"/>
      <c r="J2411" s="74">
        <f>+K2374</f>
        <v>303456463</v>
      </c>
      <c r="K2411" s="195">
        <f>+I2411+J2411</f>
        <v>303456463</v>
      </c>
      <c r="M2411" s="193" t="s">
        <v>289</v>
      </c>
      <c r="N2411" s="175"/>
    </row>
    <row r="2412" spans="8:14" ht="16.5" thickBot="1">
      <c r="H2412" s="164" t="s">
        <v>181</v>
      </c>
      <c r="I2412" s="165"/>
      <c r="J2412" s="74">
        <f>+K2375</f>
        <v>0</v>
      </c>
      <c r="K2412" s="196">
        <f>+I2412+J2412</f>
        <v>0</v>
      </c>
      <c r="M2412" s="52"/>
    </row>
    <row r="2413" spans="8:14" ht="16.5" thickBot="1">
      <c r="H2413" s="169"/>
      <c r="I2413" s="197">
        <f>SUM(I2408:I2412)</f>
        <v>110000</v>
      </c>
      <c r="J2413" s="197">
        <f>SUM(J2408:J2412)</f>
        <v>527780516</v>
      </c>
      <c r="K2413" s="198">
        <f>SUM(K2408:K2412)</f>
        <v>527890516</v>
      </c>
    </row>
    <row r="2414" spans="8:14" ht="16.5">
      <c r="H2414" s="49" t="s">
        <v>88</v>
      </c>
      <c r="I2414" s="50"/>
    </row>
    <row r="2415" spans="8:14">
      <c r="H2415" s="51" t="s">
        <v>89</v>
      </c>
    </row>
    <row r="2416" spans="8:14">
      <c r="H2416" s="51" t="s">
        <v>90</v>
      </c>
    </row>
    <row r="2417" spans="8:15">
      <c r="H2417" s="51" t="s">
        <v>91</v>
      </c>
    </row>
    <row r="2418" spans="8:15" ht="11.25" customHeight="1">
      <c r="H2418" s="50"/>
      <c r="I2418" s="50"/>
    </row>
    <row r="2419" spans="8:15" ht="15.75">
      <c r="H2419" s="260" t="s">
        <v>1070</v>
      </c>
      <c r="N2419" s="52"/>
    </row>
    <row r="2420" spans="8:15" ht="15.75">
      <c r="H2420" s="53" t="s">
        <v>535</v>
      </c>
      <c r="N2420" s="53"/>
    </row>
    <row r="2421" spans="8:15" ht="16.5">
      <c r="H2421" s="894" t="s">
        <v>909</v>
      </c>
      <c r="I2421" s="894"/>
      <c r="J2421" s="894"/>
      <c r="K2421" s="894"/>
      <c r="L2421" s="894"/>
      <c r="M2421" s="894"/>
      <c r="N2421" s="894"/>
      <c r="O2421" s="894"/>
    </row>
    <row r="2422" spans="8:15" ht="15.75" thickBot="1"/>
    <row r="2423" spans="8:15">
      <c r="H2423" s="895" t="s">
        <v>94</v>
      </c>
      <c r="I2423" s="897" t="s">
        <v>95</v>
      </c>
      <c r="J2423" s="897" t="s">
        <v>96</v>
      </c>
      <c r="K2423" s="897" t="s">
        <v>3</v>
      </c>
      <c r="L2423" s="897" t="s">
        <v>97</v>
      </c>
      <c r="M2423" s="897" t="s">
        <v>98</v>
      </c>
      <c r="N2423" s="897" t="s">
        <v>99</v>
      </c>
      <c r="O2423" s="899"/>
    </row>
    <row r="2424" spans="8:15" ht="15.75" thickBot="1">
      <c r="H2424" s="896"/>
      <c r="I2424" s="898"/>
      <c r="J2424" s="898"/>
      <c r="K2424" s="898"/>
      <c r="L2424" s="898"/>
      <c r="M2424" s="898"/>
      <c r="N2424" s="240" t="s">
        <v>100</v>
      </c>
      <c r="O2424" s="182" t="s">
        <v>101</v>
      </c>
    </row>
    <row r="2425" spans="8:15">
      <c r="H2425" s="881">
        <v>259</v>
      </c>
      <c r="I2425" s="875">
        <v>42632</v>
      </c>
      <c r="J2425" s="877" t="s">
        <v>1014</v>
      </c>
      <c r="K2425" s="879" t="s">
        <v>1072</v>
      </c>
      <c r="L2425" s="881" t="s">
        <v>115</v>
      </c>
      <c r="M2425" s="883">
        <v>150000</v>
      </c>
      <c r="N2425" s="55">
        <v>719</v>
      </c>
      <c r="O2425" s="78">
        <v>150000</v>
      </c>
    </row>
    <row r="2426" spans="8:15" ht="15.75" thickBot="1">
      <c r="H2426" s="882"/>
      <c r="I2426" s="876"/>
      <c r="J2426" s="878"/>
      <c r="K2426" s="880"/>
      <c r="L2426" s="882"/>
      <c r="M2426" s="884"/>
      <c r="N2426" s="56">
        <v>721</v>
      </c>
      <c r="O2426" s="79">
        <f>+M2425-O2425</f>
        <v>0</v>
      </c>
    </row>
    <row r="2427" spans="8:15">
      <c r="H2427" s="881">
        <v>260</v>
      </c>
      <c r="I2427" s="875">
        <v>42632</v>
      </c>
      <c r="J2427" s="877" t="s">
        <v>120</v>
      </c>
      <c r="K2427" s="879" t="s">
        <v>1071</v>
      </c>
      <c r="L2427" s="881" t="s">
        <v>115</v>
      </c>
      <c r="M2427" s="883">
        <v>110000</v>
      </c>
      <c r="N2427" s="55">
        <v>719</v>
      </c>
      <c r="O2427" s="78">
        <v>110000</v>
      </c>
    </row>
    <row r="2428" spans="8:15" ht="15.75" thickBot="1">
      <c r="H2428" s="882"/>
      <c r="I2428" s="876"/>
      <c r="J2428" s="878"/>
      <c r="K2428" s="880"/>
      <c r="L2428" s="882"/>
      <c r="M2428" s="884"/>
      <c r="N2428" s="56">
        <v>721</v>
      </c>
      <c r="O2428" s="79">
        <f>+M2427-O2427</f>
        <v>0</v>
      </c>
    </row>
    <row r="2429" spans="8:15">
      <c r="H2429" s="881"/>
      <c r="I2429" s="875"/>
      <c r="J2429" s="877"/>
      <c r="K2429" s="879"/>
      <c r="L2429" s="881"/>
      <c r="M2429" s="883"/>
      <c r="N2429" s="55">
        <v>719</v>
      </c>
      <c r="O2429" s="78"/>
    </row>
    <row r="2430" spans="8:15" ht="14.25" customHeight="1" thickBot="1">
      <c r="H2430" s="882"/>
      <c r="I2430" s="876"/>
      <c r="J2430" s="878"/>
      <c r="K2430" s="880"/>
      <c r="L2430" s="882"/>
      <c r="M2430" s="884"/>
      <c r="N2430" s="56">
        <v>721</v>
      </c>
      <c r="O2430" s="79">
        <f>+M2429-O2429</f>
        <v>0</v>
      </c>
    </row>
    <row r="2431" spans="8:15">
      <c r="H2431" s="881"/>
      <c r="I2431" s="875"/>
      <c r="J2431" s="877"/>
      <c r="K2431" s="879"/>
      <c r="L2431" s="881"/>
      <c r="M2431" s="883"/>
      <c r="N2431" s="55">
        <v>719</v>
      </c>
      <c r="O2431" s="78"/>
    </row>
    <row r="2432" spans="8:15" ht="13.5" customHeight="1" thickBot="1">
      <c r="H2432" s="882"/>
      <c r="I2432" s="876"/>
      <c r="J2432" s="878"/>
      <c r="K2432" s="880"/>
      <c r="L2432" s="882"/>
      <c r="M2432" s="884"/>
      <c r="N2432" s="56">
        <v>721</v>
      </c>
      <c r="O2432" s="79">
        <f>+M2431-O2431</f>
        <v>0</v>
      </c>
    </row>
    <row r="2433" spans="8:15">
      <c r="H2433" s="881"/>
      <c r="I2433" s="875"/>
      <c r="J2433" s="877"/>
      <c r="K2433" s="879"/>
      <c r="L2433" s="881"/>
      <c r="M2433" s="883"/>
      <c r="N2433" s="55">
        <v>719</v>
      </c>
      <c r="O2433" s="78"/>
    </row>
    <row r="2434" spans="8:15" ht="14.25" customHeight="1" thickBot="1">
      <c r="H2434" s="882"/>
      <c r="I2434" s="876"/>
      <c r="J2434" s="878"/>
      <c r="K2434" s="880"/>
      <c r="L2434" s="882"/>
      <c r="M2434" s="884"/>
      <c r="N2434" s="56">
        <v>723</v>
      </c>
      <c r="O2434" s="79">
        <f>+M2433-O2433</f>
        <v>0</v>
      </c>
    </row>
    <row r="2435" spans="8:15" ht="16.5" thickBot="1">
      <c r="H2435" s="901" t="s">
        <v>102</v>
      </c>
      <c r="I2435" s="902"/>
      <c r="J2435" s="902"/>
      <c r="K2435" s="902"/>
      <c r="L2435" s="903"/>
      <c r="M2435" s="81">
        <f>SUM(M2425:M2434)</f>
        <v>260000</v>
      </c>
    </row>
    <row r="2436" spans="8:15" ht="16.5" thickBot="1">
      <c r="H2436" s="885" t="s">
        <v>103</v>
      </c>
      <c r="I2436" s="886"/>
      <c r="J2436" s="886"/>
      <c r="K2436" s="886"/>
      <c r="L2436" s="887"/>
      <c r="M2436" s="69">
        <f>+M2400</f>
        <v>527960516</v>
      </c>
      <c r="N2436" s="241" t="s">
        <v>561</v>
      </c>
      <c r="O2436" s="242">
        <f>528+24</f>
        <v>552</v>
      </c>
    </row>
    <row r="2437" spans="8:15" ht="16.5" thickBot="1">
      <c r="H2437" s="888" t="s">
        <v>104</v>
      </c>
      <c r="I2437" s="889"/>
      <c r="J2437" s="889"/>
      <c r="K2437" s="889"/>
      <c r="L2437" s="890"/>
      <c r="M2437" s="183">
        <f>SUM(M2435:M2436)</f>
        <v>528220516</v>
      </c>
    </row>
    <row r="2438" spans="8:15">
      <c r="H2438" s="61"/>
      <c r="I2438" s="61"/>
      <c r="J2438" s="61"/>
      <c r="K2438" s="61"/>
      <c r="L2438" s="61"/>
    </row>
    <row r="2439" spans="8:15">
      <c r="H2439" s="51" t="s">
        <v>1073</v>
      </c>
    </row>
    <row r="2440" spans="8:15">
      <c r="M2440" s="139"/>
    </row>
    <row r="2441" spans="8:15">
      <c r="H2441" s="50" t="s">
        <v>105</v>
      </c>
      <c r="K2441" s="146"/>
      <c r="M2441" s="139"/>
    </row>
    <row r="2442" spans="8:15" ht="15.75" thickBot="1"/>
    <row r="2443" spans="8:15" ht="15.75" thickBot="1">
      <c r="H2443" s="891" t="s">
        <v>106</v>
      </c>
      <c r="I2443" s="892"/>
      <c r="J2443" s="892"/>
      <c r="K2443" s="893"/>
      <c r="M2443" s="50" t="s">
        <v>288</v>
      </c>
    </row>
    <row r="2444" spans="8:15" ht="30.75" thickBot="1">
      <c r="H2444" s="57" t="s">
        <v>100</v>
      </c>
      <c r="I2444" s="58" t="s">
        <v>108</v>
      </c>
      <c r="J2444" s="287" t="s">
        <v>109</v>
      </c>
      <c r="K2444" s="60" t="s">
        <v>110</v>
      </c>
    </row>
    <row r="2445" spans="8:15">
      <c r="H2445" s="71">
        <v>719</v>
      </c>
      <c r="I2445" s="73">
        <f>+O2425+O2427</f>
        <v>260000</v>
      </c>
      <c r="J2445" s="74">
        <f>+K2408</f>
        <v>61580000</v>
      </c>
      <c r="K2445" s="195">
        <f>+I2445+J2445</f>
        <v>61840000</v>
      </c>
    </row>
    <row r="2446" spans="8:15">
      <c r="H2446" s="72">
        <v>721</v>
      </c>
      <c r="I2446" s="80">
        <f>+O2426+O2428+O2430+O2432+O2434</f>
        <v>0</v>
      </c>
      <c r="J2446" s="74">
        <f>+K2409</f>
        <v>105022559</v>
      </c>
      <c r="K2446" s="195">
        <f>+I2446+J2446</f>
        <v>105022559</v>
      </c>
    </row>
    <row r="2447" spans="8:15">
      <c r="H2447" s="72">
        <v>722</v>
      </c>
      <c r="I2447" s="80"/>
      <c r="J2447" s="74">
        <f>+K2410</f>
        <v>57831494</v>
      </c>
      <c r="K2447" s="195">
        <f>+I2447+J2447</f>
        <v>57831494</v>
      </c>
    </row>
    <row r="2448" spans="8:15" ht="15.75">
      <c r="H2448" s="72">
        <v>723</v>
      </c>
      <c r="I2448" s="80"/>
      <c r="J2448" s="74">
        <f>+K2411</f>
        <v>303456463</v>
      </c>
      <c r="K2448" s="195">
        <f>+I2448+J2448</f>
        <v>303456463</v>
      </c>
      <c r="M2448" s="193" t="s">
        <v>289</v>
      </c>
      <c r="N2448" s="175"/>
    </row>
    <row r="2449" spans="8:15" ht="16.5" thickBot="1">
      <c r="H2449" s="164" t="s">
        <v>181</v>
      </c>
      <c r="I2449" s="165"/>
      <c r="J2449" s="74">
        <f>+K2412</f>
        <v>0</v>
      </c>
      <c r="K2449" s="196">
        <f>+I2449+J2449</f>
        <v>0</v>
      </c>
      <c r="M2449" s="52"/>
    </row>
    <row r="2450" spans="8:15" ht="16.5" thickBot="1">
      <c r="H2450" s="169"/>
      <c r="I2450" s="197">
        <f>SUM(I2445:I2449)</f>
        <v>260000</v>
      </c>
      <c r="J2450" s="197">
        <f>SUM(J2445:J2449)</f>
        <v>527890516</v>
      </c>
      <c r="K2450" s="198">
        <f>SUM(K2445:K2449)</f>
        <v>528150516</v>
      </c>
    </row>
    <row r="2451" spans="8:15" ht="16.5">
      <c r="H2451" s="49" t="s">
        <v>88</v>
      </c>
      <c r="I2451" s="50"/>
    </row>
    <row r="2452" spans="8:15">
      <c r="H2452" s="51" t="s">
        <v>89</v>
      </c>
    </row>
    <row r="2453" spans="8:15">
      <c r="H2453" s="51" t="s">
        <v>90</v>
      </c>
    </row>
    <row r="2454" spans="8:15">
      <c r="H2454" s="51" t="s">
        <v>91</v>
      </c>
    </row>
    <row r="2455" spans="8:15" ht="6.75" customHeight="1">
      <c r="H2455" s="50"/>
      <c r="I2455" s="50"/>
    </row>
    <row r="2456" spans="8:15" ht="15.75">
      <c r="H2456" s="260" t="s">
        <v>1074</v>
      </c>
      <c r="N2456" s="52"/>
    </row>
    <row r="2457" spans="8:15" ht="15.75">
      <c r="H2457" s="53" t="s">
        <v>535</v>
      </c>
      <c r="N2457" s="53"/>
    </row>
    <row r="2458" spans="8:15" ht="15.75" customHeight="1">
      <c r="H2458" s="894" t="s">
        <v>1078</v>
      </c>
      <c r="I2458" s="894"/>
      <c r="J2458" s="894"/>
      <c r="K2458" s="894"/>
      <c r="L2458" s="894"/>
      <c r="M2458" s="894"/>
      <c r="N2458" s="894"/>
      <c r="O2458" s="894"/>
    </row>
    <row r="2459" spans="8:15" ht="15.75" thickBot="1"/>
    <row r="2460" spans="8:15">
      <c r="H2460" s="895" t="s">
        <v>94</v>
      </c>
      <c r="I2460" s="897" t="s">
        <v>95</v>
      </c>
      <c r="J2460" s="897" t="s">
        <v>96</v>
      </c>
      <c r="K2460" s="897" t="s">
        <v>3</v>
      </c>
      <c r="L2460" s="897" t="s">
        <v>97</v>
      </c>
      <c r="M2460" s="897" t="s">
        <v>98</v>
      </c>
      <c r="N2460" s="897" t="s">
        <v>99</v>
      </c>
      <c r="O2460" s="899"/>
    </row>
    <row r="2461" spans="8:15" ht="15.75" thickBot="1">
      <c r="H2461" s="896"/>
      <c r="I2461" s="898"/>
      <c r="J2461" s="898"/>
      <c r="K2461" s="898"/>
      <c r="L2461" s="898"/>
      <c r="M2461" s="898"/>
      <c r="N2461" s="240" t="s">
        <v>100</v>
      </c>
      <c r="O2461" s="182" t="s">
        <v>101</v>
      </c>
    </row>
    <row r="2462" spans="8:15" ht="15" customHeight="1">
      <c r="H2462" s="881">
        <v>261</v>
      </c>
      <c r="I2462" s="875">
        <v>42641</v>
      </c>
      <c r="J2462" s="877" t="s">
        <v>1079</v>
      </c>
      <c r="K2462" s="879" t="s">
        <v>1080</v>
      </c>
      <c r="L2462" s="881" t="s">
        <v>783</v>
      </c>
      <c r="M2462" s="883">
        <v>145000</v>
      </c>
      <c r="N2462" s="55">
        <v>719</v>
      </c>
      <c r="O2462" s="78">
        <v>145000</v>
      </c>
    </row>
    <row r="2463" spans="8:15" ht="12.75" customHeight="1" thickBot="1">
      <c r="H2463" s="882"/>
      <c r="I2463" s="876"/>
      <c r="J2463" s="878"/>
      <c r="K2463" s="880"/>
      <c r="L2463" s="882"/>
      <c r="M2463" s="884"/>
      <c r="N2463" s="56">
        <v>721</v>
      </c>
      <c r="O2463" s="79">
        <f>+M2462-O2462</f>
        <v>0</v>
      </c>
    </row>
    <row r="2464" spans="8:15" ht="15" customHeight="1">
      <c r="H2464" s="881">
        <v>262</v>
      </c>
      <c r="I2464" s="875">
        <v>42641</v>
      </c>
      <c r="J2464" s="877" t="s">
        <v>1079</v>
      </c>
      <c r="K2464" s="879" t="s">
        <v>1081</v>
      </c>
      <c r="L2464" s="881" t="s">
        <v>783</v>
      </c>
      <c r="M2464" s="883">
        <v>72500</v>
      </c>
      <c r="N2464" s="55">
        <v>719</v>
      </c>
      <c r="O2464" s="78">
        <v>72500</v>
      </c>
    </row>
    <row r="2465" spans="8:15" ht="13.5" customHeight="1" thickBot="1">
      <c r="H2465" s="882"/>
      <c r="I2465" s="876"/>
      <c r="J2465" s="878"/>
      <c r="K2465" s="880"/>
      <c r="L2465" s="882"/>
      <c r="M2465" s="884"/>
      <c r="N2465" s="56">
        <v>721</v>
      </c>
      <c r="O2465" s="79">
        <f>+M2464-O2464</f>
        <v>0</v>
      </c>
    </row>
    <row r="2466" spans="8:15" ht="15" customHeight="1">
      <c r="H2466" s="881">
        <v>263</v>
      </c>
      <c r="I2466" s="875">
        <v>42641</v>
      </c>
      <c r="J2466" s="877" t="s">
        <v>1079</v>
      </c>
      <c r="K2466" s="879" t="s">
        <v>1082</v>
      </c>
      <c r="L2466" s="881" t="s">
        <v>783</v>
      </c>
      <c r="M2466" s="883">
        <v>72500</v>
      </c>
      <c r="N2466" s="55">
        <v>719</v>
      </c>
      <c r="O2466" s="78">
        <v>72500</v>
      </c>
    </row>
    <row r="2467" spans="8:15" ht="14.25" customHeight="1" thickBot="1">
      <c r="H2467" s="882"/>
      <c r="I2467" s="876"/>
      <c r="J2467" s="878"/>
      <c r="K2467" s="880"/>
      <c r="L2467" s="882"/>
      <c r="M2467" s="884"/>
      <c r="N2467" s="56">
        <v>721</v>
      </c>
      <c r="O2467" s="79">
        <f>+M2466-O2466</f>
        <v>0</v>
      </c>
    </row>
    <row r="2468" spans="8:15" ht="15" customHeight="1">
      <c r="H2468" s="881">
        <v>264</v>
      </c>
      <c r="I2468" s="875">
        <v>42641</v>
      </c>
      <c r="J2468" s="877" t="s">
        <v>1079</v>
      </c>
      <c r="K2468" s="879" t="s">
        <v>1084</v>
      </c>
      <c r="L2468" s="881" t="s">
        <v>783</v>
      </c>
      <c r="M2468" s="883">
        <v>217500</v>
      </c>
      <c r="N2468" s="55">
        <v>719</v>
      </c>
      <c r="O2468" s="78">
        <v>217500</v>
      </c>
    </row>
    <row r="2469" spans="8:15" ht="13.5" customHeight="1" thickBot="1">
      <c r="H2469" s="882"/>
      <c r="I2469" s="876"/>
      <c r="J2469" s="878"/>
      <c r="K2469" s="880"/>
      <c r="L2469" s="882"/>
      <c r="M2469" s="884"/>
      <c r="N2469" s="56">
        <v>721</v>
      </c>
      <c r="O2469" s="79">
        <f>+M2468-O2468</f>
        <v>0</v>
      </c>
    </row>
    <row r="2470" spans="8:15" ht="15.75" customHeight="1">
      <c r="H2470" s="881">
        <v>265</v>
      </c>
      <c r="I2470" s="875">
        <v>42641</v>
      </c>
      <c r="J2470" s="877" t="s">
        <v>1079</v>
      </c>
      <c r="K2470" s="879" t="s">
        <v>1095</v>
      </c>
      <c r="L2470" s="881" t="s">
        <v>783</v>
      </c>
      <c r="M2470" s="883">
        <f>72500*2</f>
        <v>145000</v>
      </c>
      <c r="N2470" s="55">
        <v>719</v>
      </c>
      <c r="O2470" s="78">
        <v>145000</v>
      </c>
    </row>
    <row r="2471" spans="8:15" ht="13.5" customHeight="1" thickBot="1">
      <c r="H2471" s="882"/>
      <c r="I2471" s="876"/>
      <c r="J2471" s="878"/>
      <c r="K2471" s="880"/>
      <c r="L2471" s="882"/>
      <c r="M2471" s="884"/>
      <c r="N2471" s="56">
        <v>721</v>
      </c>
      <c r="O2471" s="79">
        <f>+M2470-O2470</f>
        <v>0</v>
      </c>
    </row>
    <row r="2472" spans="8:15" ht="15" customHeight="1">
      <c r="H2472" s="881">
        <v>266</v>
      </c>
      <c r="I2472" s="875">
        <v>42641</v>
      </c>
      <c r="J2472" s="877" t="s">
        <v>1079</v>
      </c>
      <c r="K2472" s="879" t="s">
        <v>1086</v>
      </c>
      <c r="L2472" s="881" t="s">
        <v>783</v>
      </c>
      <c r="M2472" s="883">
        <v>145000</v>
      </c>
      <c r="N2472" s="55">
        <v>719</v>
      </c>
      <c r="O2472" s="78">
        <v>145000</v>
      </c>
    </row>
    <row r="2473" spans="8:15" ht="13.5" customHeight="1" thickBot="1">
      <c r="H2473" s="882"/>
      <c r="I2473" s="876"/>
      <c r="J2473" s="878"/>
      <c r="K2473" s="880"/>
      <c r="L2473" s="882"/>
      <c r="M2473" s="884"/>
      <c r="N2473" s="56">
        <v>721</v>
      </c>
      <c r="O2473" s="79">
        <f>+M2472-O2472</f>
        <v>0</v>
      </c>
    </row>
    <row r="2474" spans="8:15" ht="16.5" thickBot="1">
      <c r="H2474" s="901" t="s">
        <v>102</v>
      </c>
      <c r="I2474" s="902"/>
      <c r="J2474" s="902"/>
      <c r="K2474" s="902"/>
      <c r="L2474" s="903"/>
      <c r="M2474" s="81">
        <f>SUM(M2462:M2473)</f>
        <v>797500</v>
      </c>
    </row>
    <row r="2475" spans="8:15" ht="16.5" thickBot="1">
      <c r="H2475" s="885" t="s">
        <v>103</v>
      </c>
      <c r="I2475" s="886"/>
      <c r="J2475" s="886"/>
      <c r="K2475" s="886"/>
      <c r="L2475" s="887"/>
      <c r="M2475" s="69">
        <f>+M2437</f>
        <v>528220516</v>
      </c>
      <c r="N2475" s="241" t="s">
        <v>561</v>
      </c>
      <c r="O2475" s="242"/>
    </row>
    <row r="2476" spans="8:15" ht="16.5" thickBot="1">
      <c r="H2476" s="888" t="s">
        <v>104</v>
      </c>
      <c r="I2476" s="889"/>
      <c r="J2476" s="889"/>
      <c r="K2476" s="889"/>
      <c r="L2476" s="890"/>
      <c r="M2476" s="183">
        <f>SUM(M2474:M2475)</f>
        <v>529018016</v>
      </c>
    </row>
    <row r="2477" spans="8:15" ht="9.75" customHeight="1">
      <c r="H2477" s="61"/>
      <c r="I2477" s="61"/>
      <c r="J2477" s="61"/>
      <c r="K2477" s="61"/>
      <c r="L2477" s="61"/>
    </row>
    <row r="2478" spans="8:15">
      <c r="H2478" s="51" t="s">
        <v>1101</v>
      </c>
    </row>
    <row r="2479" spans="8:15" ht="9.75" customHeight="1">
      <c r="M2479" s="139"/>
    </row>
    <row r="2480" spans="8:15">
      <c r="H2480" s="50" t="s">
        <v>105</v>
      </c>
      <c r="K2480" s="146"/>
      <c r="M2480" s="139"/>
    </row>
    <row r="2481" spans="8:14" ht="12" customHeight="1" thickBot="1"/>
    <row r="2482" spans="8:14" ht="15.75" thickBot="1">
      <c r="H2482" s="891" t="s">
        <v>106</v>
      </c>
      <c r="I2482" s="892"/>
      <c r="J2482" s="892"/>
      <c r="K2482" s="893"/>
      <c r="M2482" s="50" t="s">
        <v>288</v>
      </c>
    </row>
    <row r="2483" spans="8:14" ht="28.5" customHeight="1" thickBot="1">
      <c r="H2483" s="57" t="s">
        <v>100</v>
      </c>
      <c r="I2483" s="58" t="s">
        <v>108</v>
      </c>
      <c r="J2483" s="287" t="s">
        <v>109</v>
      </c>
      <c r="K2483" s="60" t="s">
        <v>110</v>
      </c>
    </row>
    <row r="2484" spans="8:14">
      <c r="H2484" s="71">
        <v>719</v>
      </c>
      <c r="I2484" s="73"/>
      <c r="J2484" s="74">
        <f>+K2445</f>
        <v>61840000</v>
      </c>
      <c r="K2484" s="195">
        <f>+I2484+J2484</f>
        <v>61840000</v>
      </c>
    </row>
    <row r="2485" spans="8:14">
      <c r="H2485" s="72">
        <v>721</v>
      </c>
      <c r="I2485" s="80"/>
      <c r="J2485" s="74">
        <f>+K2446</f>
        <v>105022559</v>
      </c>
      <c r="K2485" s="195">
        <f>+I2485+J2485</f>
        <v>105022559</v>
      </c>
    </row>
    <row r="2486" spans="8:14">
      <c r="H2486" s="72">
        <v>722</v>
      </c>
      <c r="I2486" s="80"/>
      <c r="J2486" s="74">
        <f>+K2447</f>
        <v>57831494</v>
      </c>
      <c r="K2486" s="195">
        <f>+I2486+J2486</f>
        <v>57831494</v>
      </c>
    </row>
    <row r="2487" spans="8:14" ht="15" customHeight="1">
      <c r="H2487" s="72">
        <v>723</v>
      </c>
      <c r="I2487" s="80"/>
      <c r="J2487" s="74">
        <f>+K2448</f>
        <v>303456463</v>
      </c>
      <c r="K2487" s="195">
        <f>+I2487+J2487</f>
        <v>303456463</v>
      </c>
      <c r="M2487" s="193" t="s">
        <v>289</v>
      </c>
      <c r="N2487" s="175"/>
    </row>
    <row r="2488" spans="8:14" ht="16.5" thickBot="1">
      <c r="H2488" s="164" t="s">
        <v>1077</v>
      </c>
      <c r="I2488" s="165">
        <f>+O2462+O2464+O2466+O2468+O2472+O2470</f>
        <v>797500</v>
      </c>
      <c r="J2488" s="74">
        <f>+K2449</f>
        <v>0</v>
      </c>
      <c r="K2488" s="196">
        <f>+I2488+J2488</f>
        <v>797500</v>
      </c>
      <c r="M2488" s="52"/>
    </row>
    <row r="2489" spans="8:14" ht="16.5" thickBot="1">
      <c r="H2489" s="316" t="s">
        <v>147</v>
      </c>
      <c r="I2489" s="197">
        <f>SUM(I2484:I2488)</f>
        <v>797500</v>
      </c>
      <c r="J2489" s="197">
        <f>SUM(J2484:J2488)</f>
        <v>528150516</v>
      </c>
      <c r="K2489" s="198">
        <f>SUM(K2484:K2488)</f>
        <v>528948016</v>
      </c>
    </row>
    <row r="2490" spans="8:14" ht="16.5">
      <c r="H2490" s="49" t="s">
        <v>88</v>
      </c>
      <c r="I2490" s="50"/>
    </row>
    <row r="2491" spans="8:14">
      <c r="H2491" s="51" t="s">
        <v>89</v>
      </c>
    </row>
    <row r="2492" spans="8:14">
      <c r="H2492" s="51" t="s">
        <v>90</v>
      </c>
    </row>
    <row r="2493" spans="8:14">
      <c r="H2493" s="51" t="s">
        <v>91</v>
      </c>
    </row>
    <row r="2494" spans="8:14" ht="12.75" customHeight="1">
      <c r="H2494" s="50"/>
      <c r="I2494" s="50"/>
    </row>
    <row r="2495" spans="8:14" ht="15.75">
      <c r="H2495" s="260" t="s">
        <v>1075</v>
      </c>
      <c r="N2495" s="52"/>
    </row>
    <row r="2496" spans="8:14" ht="15.75">
      <c r="H2496" s="53" t="s">
        <v>535</v>
      </c>
      <c r="N2496" s="53"/>
    </row>
    <row r="2497" spans="8:15" ht="16.5">
      <c r="H2497" s="894" t="s">
        <v>1098</v>
      </c>
      <c r="I2497" s="894"/>
      <c r="J2497" s="894"/>
      <c r="K2497" s="894"/>
      <c r="L2497" s="894"/>
      <c r="M2497" s="894"/>
      <c r="N2497" s="894"/>
      <c r="O2497" s="894"/>
    </row>
    <row r="2498" spans="8:15" ht="15.75" thickBot="1"/>
    <row r="2499" spans="8:15">
      <c r="H2499" s="895" t="s">
        <v>94</v>
      </c>
      <c r="I2499" s="897" t="s">
        <v>95</v>
      </c>
      <c r="J2499" s="897" t="s">
        <v>96</v>
      </c>
      <c r="K2499" s="897" t="s">
        <v>3</v>
      </c>
      <c r="L2499" s="897" t="s">
        <v>97</v>
      </c>
      <c r="M2499" s="897" t="s">
        <v>98</v>
      </c>
      <c r="N2499" s="897" t="s">
        <v>99</v>
      </c>
      <c r="O2499" s="899"/>
    </row>
    <row r="2500" spans="8:15" ht="15.75" thickBot="1">
      <c r="H2500" s="896"/>
      <c r="I2500" s="898"/>
      <c r="J2500" s="898"/>
      <c r="K2500" s="898"/>
      <c r="L2500" s="898"/>
      <c r="M2500" s="898"/>
      <c r="N2500" s="240" t="s">
        <v>100</v>
      </c>
      <c r="O2500" s="182" t="s">
        <v>101</v>
      </c>
    </row>
    <row r="2501" spans="8:15" ht="15" customHeight="1">
      <c r="H2501" s="881">
        <v>267</v>
      </c>
      <c r="I2501" s="875">
        <v>42641</v>
      </c>
      <c r="J2501" s="877" t="s">
        <v>738</v>
      </c>
      <c r="K2501" s="879" t="s">
        <v>1097</v>
      </c>
      <c r="L2501" s="881" t="s">
        <v>148</v>
      </c>
      <c r="M2501" s="883">
        <v>2672700</v>
      </c>
      <c r="N2501" s="55">
        <v>719</v>
      </c>
      <c r="O2501" s="78"/>
    </row>
    <row r="2502" spans="8:15" ht="15.75" customHeight="1" thickBot="1">
      <c r="H2502" s="882"/>
      <c r="I2502" s="876"/>
      <c r="J2502" s="878"/>
      <c r="K2502" s="880"/>
      <c r="L2502" s="882"/>
      <c r="M2502" s="884"/>
      <c r="N2502" s="56">
        <v>721</v>
      </c>
      <c r="O2502" s="79">
        <f>+M2501</f>
        <v>2672700</v>
      </c>
    </row>
    <row r="2503" spans="8:15" ht="15" customHeight="1">
      <c r="H2503" s="881">
        <v>268</v>
      </c>
      <c r="I2503" s="875">
        <v>42641</v>
      </c>
      <c r="J2503" s="877" t="s">
        <v>738</v>
      </c>
      <c r="K2503" s="879" t="s">
        <v>1099</v>
      </c>
      <c r="L2503" s="881" t="s">
        <v>148</v>
      </c>
      <c r="M2503" s="883">
        <v>773675</v>
      </c>
      <c r="N2503" s="55">
        <v>719</v>
      </c>
      <c r="O2503" s="78"/>
    </row>
    <row r="2504" spans="8:15" ht="15.75" customHeight="1" thickBot="1">
      <c r="H2504" s="882"/>
      <c r="I2504" s="876"/>
      <c r="J2504" s="878"/>
      <c r="K2504" s="880"/>
      <c r="L2504" s="882"/>
      <c r="M2504" s="884"/>
      <c r="N2504" s="56">
        <v>721</v>
      </c>
      <c r="O2504" s="79">
        <f>+M2503-O2503</f>
        <v>773675</v>
      </c>
    </row>
    <row r="2505" spans="8:15" ht="15" customHeight="1">
      <c r="H2505" s="881">
        <v>269</v>
      </c>
      <c r="I2505" s="875">
        <v>42641</v>
      </c>
      <c r="J2505" s="877" t="s">
        <v>738</v>
      </c>
      <c r="K2505" s="879" t="s">
        <v>1100</v>
      </c>
      <c r="L2505" s="881" t="s">
        <v>148</v>
      </c>
      <c r="M2505" s="883">
        <v>2672700</v>
      </c>
      <c r="N2505" s="55">
        <v>719</v>
      </c>
      <c r="O2505" s="78"/>
    </row>
    <row r="2506" spans="8:15" ht="14.25" customHeight="1" thickBot="1">
      <c r="H2506" s="882"/>
      <c r="I2506" s="876"/>
      <c r="J2506" s="878"/>
      <c r="K2506" s="880"/>
      <c r="L2506" s="882"/>
      <c r="M2506" s="884"/>
      <c r="N2506" s="56">
        <v>721</v>
      </c>
      <c r="O2506" s="79">
        <f>+M2505-O2505</f>
        <v>2672700</v>
      </c>
    </row>
    <row r="2507" spans="8:15" ht="14.25" customHeight="1">
      <c r="H2507" s="881"/>
      <c r="I2507" s="875"/>
      <c r="J2507" s="877"/>
      <c r="K2507" s="879"/>
      <c r="L2507" s="881"/>
      <c r="M2507" s="883"/>
      <c r="N2507" s="55">
        <v>719</v>
      </c>
      <c r="O2507" s="78"/>
    </row>
    <row r="2508" spans="8:15" ht="14.25" customHeight="1" thickBot="1">
      <c r="H2508" s="882"/>
      <c r="I2508" s="876"/>
      <c r="J2508" s="878"/>
      <c r="K2508" s="880"/>
      <c r="L2508" s="882"/>
      <c r="M2508" s="884"/>
      <c r="N2508" s="56">
        <v>721</v>
      </c>
      <c r="O2508" s="79">
        <f>+M2507-O2507</f>
        <v>0</v>
      </c>
    </row>
    <row r="2509" spans="8:15" ht="15" customHeight="1">
      <c r="H2509" s="881"/>
      <c r="I2509" s="875"/>
      <c r="J2509" s="877"/>
      <c r="K2509" s="879"/>
      <c r="L2509" s="881"/>
      <c r="M2509" s="883"/>
      <c r="N2509" s="55">
        <v>719</v>
      </c>
      <c r="O2509" s="78"/>
    </row>
    <row r="2510" spans="8:15" ht="11.25" customHeight="1" thickBot="1">
      <c r="H2510" s="882"/>
      <c r="I2510" s="876"/>
      <c r="J2510" s="878"/>
      <c r="K2510" s="880"/>
      <c r="L2510" s="882"/>
      <c r="M2510" s="884"/>
      <c r="N2510" s="56">
        <v>723</v>
      </c>
      <c r="O2510" s="79">
        <f>+M2509-O2509</f>
        <v>0</v>
      </c>
    </row>
    <row r="2511" spans="8:15" ht="16.5" thickBot="1">
      <c r="H2511" s="901" t="s">
        <v>102</v>
      </c>
      <c r="I2511" s="902"/>
      <c r="J2511" s="902"/>
      <c r="K2511" s="902"/>
      <c r="L2511" s="903"/>
      <c r="M2511" s="81">
        <f>SUM(M2501:M2510)</f>
        <v>6119075</v>
      </c>
    </row>
    <row r="2512" spans="8:15" ht="16.5" thickBot="1">
      <c r="H2512" s="885" t="s">
        <v>103</v>
      </c>
      <c r="I2512" s="886"/>
      <c r="J2512" s="886"/>
      <c r="K2512" s="886"/>
      <c r="L2512" s="887"/>
      <c r="M2512" s="69">
        <f>+M2476</f>
        <v>529018016</v>
      </c>
      <c r="N2512" s="241" t="s">
        <v>561</v>
      </c>
      <c r="O2512" s="242"/>
    </row>
    <row r="2513" spans="8:14" ht="16.5" thickBot="1">
      <c r="H2513" s="888" t="s">
        <v>104</v>
      </c>
      <c r="I2513" s="889"/>
      <c r="J2513" s="889"/>
      <c r="K2513" s="889"/>
      <c r="L2513" s="890"/>
      <c r="M2513" s="183">
        <f>SUM(M2511:M2512)</f>
        <v>535137091</v>
      </c>
    </row>
    <row r="2514" spans="8:14">
      <c r="H2514" s="61"/>
      <c r="I2514" s="61"/>
      <c r="J2514" s="61"/>
      <c r="K2514" s="61"/>
      <c r="L2514" s="61"/>
    </row>
    <row r="2515" spans="8:14">
      <c r="H2515" s="51" t="s">
        <v>1110</v>
      </c>
    </row>
    <row r="2516" spans="8:14" ht="12.75" customHeight="1">
      <c r="M2516" s="139"/>
    </row>
    <row r="2517" spans="8:14">
      <c r="H2517" s="50" t="s">
        <v>105</v>
      </c>
      <c r="K2517" s="146"/>
      <c r="M2517" s="139"/>
    </row>
    <row r="2518" spans="8:14" ht="14.25" customHeight="1" thickBot="1"/>
    <row r="2519" spans="8:14" ht="15.75" thickBot="1">
      <c r="H2519" s="891" t="s">
        <v>106</v>
      </c>
      <c r="I2519" s="892"/>
      <c r="J2519" s="892"/>
      <c r="K2519" s="893"/>
      <c r="M2519" s="50" t="s">
        <v>288</v>
      </c>
    </row>
    <row r="2520" spans="8:14" ht="30.75" thickBot="1">
      <c r="H2520" s="57" t="s">
        <v>100</v>
      </c>
      <c r="I2520" s="58" t="s">
        <v>108</v>
      </c>
      <c r="J2520" s="287" t="s">
        <v>109</v>
      </c>
      <c r="K2520" s="60" t="s">
        <v>110</v>
      </c>
    </row>
    <row r="2521" spans="8:14">
      <c r="H2521" s="71">
        <v>719</v>
      </c>
      <c r="I2521" s="73">
        <v>0</v>
      </c>
      <c r="J2521" s="74">
        <f>+K2484</f>
        <v>61840000</v>
      </c>
      <c r="K2521" s="195">
        <f>+I2521+J2521</f>
        <v>61840000</v>
      </c>
    </row>
    <row r="2522" spans="8:14">
      <c r="H2522" s="72">
        <v>721</v>
      </c>
      <c r="I2522" s="80">
        <f>+O2502+O2504+O2506+O2508+O2510</f>
        <v>6119075</v>
      </c>
      <c r="J2522" s="74">
        <f>+K2485</f>
        <v>105022559</v>
      </c>
      <c r="K2522" s="195">
        <f>+I2522+J2522</f>
        <v>111141634</v>
      </c>
    </row>
    <row r="2523" spans="8:14">
      <c r="H2523" s="72">
        <v>722</v>
      </c>
      <c r="I2523" s="80"/>
      <c r="J2523" s="74">
        <f>+K2486</f>
        <v>57831494</v>
      </c>
      <c r="K2523" s="195">
        <f>+I2523+J2523</f>
        <v>57831494</v>
      </c>
    </row>
    <row r="2524" spans="8:14" ht="15.75">
      <c r="H2524" s="72">
        <v>723</v>
      </c>
      <c r="I2524" s="80"/>
      <c r="J2524" s="74">
        <f>+K2487</f>
        <v>303456463</v>
      </c>
      <c r="K2524" s="195">
        <f>+I2524+J2524</f>
        <v>303456463</v>
      </c>
      <c r="M2524" s="193" t="s">
        <v>289</v>
      </c>
      <c r="N2524" s="175"/>
    </row>
    <row r="2525" spans="8:14" ht="16.5" thickBot="1">
      <c r="H2525" s="164" t="s">
        <v>1077</v>
      </c>
      <c r="I2525" s="165">
        <f>+O2501+O2503+O2505</f>
        <v>0</v>
      </c>
      <c r="J2525" s="74">
        <f>+K2488</f>
        <v>797500</v>
      </c>
      <c r="K2525" s="196">
        <f>+I2525+J2525</f>
        <v>797500</v>
      </c>
      <c r="M2525" s="52"/>
    </row>
    <row r="2526" spans="8:14" ht="16.5" thickBot="1">
      <c r="H2526" s="169"/>
      <c r="I2526" s="197">
        <f>SUM(I2521:I2525)</f>
        <v>6119075</v>
      </c>
      <c r="J2526" s="197">
        <f>SUM(J2521:J2525)</f>
        <v>528948016</v>
      </c>
      <c r="K2526" s="198">
        <f>SUM(K2521:K2525)</f>
        <v>535067091</v>
      </c>
    </row>
    <row r="2527" spans="8:14" ht="16.5">
      <c r="H2527" s="49" t="s">
        <v>88</v>
      </c>
      <c r="I2527" s="50"/>
    </row>
    <row r="2528" spans="8:14">
      <c r="H2528" s="51" t="s">
        <v>89</v>
      </c>
    </row>
    <row r="2529" spans="8:15">
      <c r="H2529" s="51" t="s">
        <v>90</v>
      </c>
    </row>
    <row r="2530" spans="8:15">
      <c r="H2530" s="51" t="s">
        <v>91</v>
      </c>
    </row>
    <row r="2531" spans="8:15" ht="11.25" customHeight="1">
      <c r="H2531" s="50"/>
      <c r="I2531" s="50"/>
    </row>
    <row r="2532" spans="8:15" ht="15.75">
      <c r="H2532" s="260" t="s">
        <v>1076</v>
      </c>
      <c r="N2532" s="52"/>
    </row>
    <row r="2533" spans="8:15" ht="15.75">
      <c r="H2533" s="53" t="s">
        <v>535</v>
      </c>
      <c r="N2533" s="53"/>
    </row>
    <row r="2534" spans="8:15" ht="16.5">
      <c r="H2534" s="894" t="s">
        <v>1121</v>
      </c>
      <c r="I2534" s="894"/>
      <c r="J2534" s="894"/>
      <c r="K2534" s="894"/>
      <c r="L2534" s="894"/>
      <c r="M2534" s="894"/>
      <c r="N2534" s="894"/>
      <c r="O2534" s="894"/>
    </row>
    <row r="2535" spans="8:15" ht="15.75" thickBot="1"/>
    <row r="2536" spans="8:15">
      <c r="H2536" s="895" t="s">
        <v>94</v>
      </c>
      <c r="I2536" s="897" t="s">
        <v>95</v>
      </c>
      <c r="J2536" s="897" t="s">
        <v>96</v>
      </c>
      <c r="K2536" s="897" t="s">
        <v>3</v>
      </c>
      <c r="L2536" s="897" t="s">
        <v>97</v>
      </c>
      <c r="M2536" s="897" t="s">
        <v>98</v>
      </c>
      <c r="N2536" s="897" t="s">
        <v>99</v>
      </c>
      <c r="O2536" s="899"/>
    </row>
    <row r="2537" spans="8:15" ht="15.75" thickBot="1">
      <c r="H2537" s="896"/>
      <c r="I2537" s="898"/>
      <c r="J2537" s="898"/>
      <c r="K2537" s="898"/>
      <c r="L2537" s="898"/>
      <c r="M2537" s="898"/>
      <c r="N2537" s="240" t="s">
        <v>100</v>
      </c>
      <c r="O2537" s="182" t="s">
        <v>101</v>
      </c>
    </row>
    <row r="2538" spans="8:15" ht="15" customHeight="1">
      <c r="H2538" s="881">
        <v>270</v>
      </c>
      <c r="I2538" s="875">
        <v>42641</v>
      </c>
      <c r="J2538" s="877" t="s">
        <v>1014</v>
      </c>
      <c r="K2538" s="879" t="s">
        <v>1120</v>
      </c>
      <c r="L2538" s="881" t="s">
        <v>115</v>
      </c>
      <c r="M2538" s="883">
        <v>90000</v>
      </c>
      <c r="N2538" s="55">
        <v>719</v>
      </c>
      <c r="O2538" s="78">
        <v>90000</v>
      </c>
    </row>
    <row r="2539" spans="8:15" ht="15.75" customHeight="1" thickBot="1">
      <c r="H2539" s="882"/>
      <c r="I2539" s="876"/>
      <c r="J2539" s="878"/>
      <c r="K2539" s="880"/>
      <c r="L2539" s="882"/>
      <c r="M2539" s="884"/>
      <c r="N2539" s="56">
        <v>721</v>
      </c>
      <c r="O2539" s="79">
        <f>+M2538-O2538</f>
        <v>0</v>
      </c>
    </row>
    <row r="2540" spans="8:15" ht="15" customHeight="1">
      <c r="H2540" s="881">
        <v>271</v>
      </c>
      <c r="I2540" s="875">
        <v>42641</v>
      </c>
      <c r="J2540" s="877" t="s">
        <v>28</v>
      </c>
      <c r="K2540" s="879" t="s">
        <v>1119</v>
      </c>
      <c r="L2540" s="881" t="s">
        <v>115</v>
      </c>
      <c r="M2540" s="883">
        <v>80000</v>
      </c>
      <c r="N2540" s="55">
        <v>719</v>
      </c>
      <c r="O2540" s="78">
        <v>80000</v>
      </c>
    </row>
    <row r="2541" spans="8:15" ht="15.75" customHeight="1" thickBot="1">
      <c r="H2541" s="882"/>
      <c r="I2541" s="876"/>
      <c r="J2541" s="878"/>
      <c r="K2541" s="880"/>
      <c r="L2541" s="882"/>
      <c r="M2541" s="884"/>
      <c r="N2541" s="56">
        <v>721</v>
      </c>
      <c r="O2541" s="79">
        <f>+M2540-O2540</f>
        <v>0</v>
      </c>
    </row>
    <row r="2542" spans="8:15" ht="13.5" customHeight="1">
      <c r="H2542" s="881">
        <v>272</v>
      </c>
      <c r="I2542" s="875">
        <v>42641</v>
      </c>
      <c r="J2542" s="877" t="s">
        <v>1116</v>
      </c>
      <c r="K2542" s="879" t="s">
        <v>1118</v>
      </c>
      <c r="L2542" s="881" t="s">
        <v>115</v>
      </c>
      <c r="M2542" s="883">
        <v>80000</v>
      </c>
      <c r="N2542" s="55">
        <v>719</v>
      </c>
      <c r="O2542" s="78">
        <v>80000</v>
      </c>
    </row>
    <row r="2543" spans="8:15" ht="14.25" customHeight="1" thickBot="1">
      <c r="H2543" s="882"/>
      <c r="I2543" s="876"/>
      <c r="J2543" s="878"/>
      <c r="K2543" s="880"/>
      <c r="L2543" s="882"/>
      <c r="M2543" s="884"/>
      <c r="N2543" s="56">
        <v>721</v>
      </c>
      <c r="O2543" s="79">
        <f>+M2542-O2542</f>
        <v>0</v>
      </c>
    </row>
    <row r="2544" spans="8:15" ht="14.25" customHeight="1">
      <c r="H2544" s="881"/>
      <c r="I2544" s="875"/>
      <c r="J2544" s="875"/>
      <c r="K2544" s="877"/>
      <c r="L2544" s="879"/>
      <c r="M2544" s="883"/>
      <c r="N2544" s="55">
        <v>719</v>
      </c>
      <c r="O2544" s="78"/>
    </row>
    <row r="2545" spans="8:15" ht="13.5" customHeight="1" thickBot="1">
      <c r="H2545" s="882"/>
      <c r="I2545" s="876"/>
      <c r="J2545" s="876"/>
      <c r="K2545" s="878"/>
      <c r="L2545" s="880"/>
      <c r="M2545" s="884"/>
      <c r="N2545" s="56">
        <v>721</v>
      </c>
      <c r="O2545" s="79">
        <f>+M2544-O2544</f>
        <v>0</v>
      </c>
    </row>
    <row r="2546" spans="8:15" ht="14.25" customHeight="1">
      <c r="H2546" s="881"/>
      <c r="I2546" s="875"/>
      <c r="J2546" s="877"/>
      <c r="K2546" s="879"/>
      <c r="L2546" s="881"/>
      <c r="M2546" s="883"/>
      <c r="N2546" s="55">
        <v>719</v>
      </c>
      <c r="O2546" s="78"/>
    </row>
    <row r="2547" spans="8:15" ht="13.5" customHeight="1" thickBot="1">
      <c r="H2547" s="882"/>
      <c r="I2547" s="876"/>
      <c r="J2547" s="878"/>
      <c r="K2547" s="880"/>
      <c r="L2547" s="882"/>
      <c r="M2547" s="884"/>
      <c r="N2547" s="56">
        <v>723</v>
      </c>
      <c r="O2547" s="79">
        <f>+M2546-O2546</f>
        <v>0</v>
      </c>
    </row>
    <row r="2548" spans="8:15" ht="16.5" thickBot="1">
      <c r="H2548" s="901" t="s">
        <v>102</v>
      </c>
      <c r="I2548" s="902"/>
      <c r="J2548" s="902"/>
      <c r="K2548" s="902"/>
      <c r="L2548" s="903"/>
      <c r="M2548" s="81">
        <f>SUM(M2538:M2547)</f>
        <v>250000</v>
      </c>
    </row>
    <row r="2549" spans="8:15" ht="16.5" thickBot="1">
      <c r="H2549" s="885" t="s">
        <v>103</v>
      </c>
      <c r="I2549" s="886"/>
      <c r="J2549" s="886"/>
      <c r="K2549" s="886"/>
      <c r="L2549" s="887"/>
      <c r="M2549" s="69">
        <f>+M2513</f>
        <v>535137091</v>
      </c>
      <c r="N2549" s="241" t="s">
        <v>561</v>
      </c>
      <c r="O2549" s="242">
        <f>325+46+159</f>
        <v>530</v>
      </c>
    </row>
    <row r="2550" spans="8:15" ht="16.5" thickBot="1">
      <c r="H2550" s="888" t="s">
        <v>104</v>
      </c>
      <c r="I2550" s="889"/>
      <c r="J2550" s="889"/>
      <c r="K2550" s="889"/>
      <c r="L2550" s="890"/>
      <c r="M2550" s="183">
        <f>SUM(M2548:M2549)</f>
        <v>535387091</v>
      </c>
    </row>
    <row r="2551" spans="8:15">
      <c r="H2551" s="61"/>
      <c r="I2551" s="61"/>
      <c r="J2551" s="61"/>
      <c r="K2551" s="61"/>
      <c r="L2551" s="61"/>
    </row>
    <row r="2552" spans="8:15">
      <c r="H2552" s="51" t="s">
        <v>1117</v>
      </c>
    </row>
    <row r="2553" spans="8:15" ht="12.75" customHeight="1">
      <c r="M2553" s="139"/>
    </row>
    <row r="2554" spans="8:15">
      <c r="H2554" s="50" t="s">
        <v>105</v>
      </c>
      <c r="K2554" s="146"/>
      <c r="M2554" s="139"/>
    </row>
    <row r="2555" spans="8:15" ht="14.25" customHeight="1" thickBot="1"/>
    <row r="2556" spans="8:15" ht="15.75" thickBot="1">
      <c r="H2556" s="891" t="s">
        <v>106</v>
      </c>
      <c r="I2556" s="892"/>
      <c r="J2556" s="892"/>
      <c r="K2556" s="893"/>
      <c r="M2556" s="50" t="s">
        <v>288</v>
      </c>
    </row>
    <row r="2557" spans="8:15" ht="30.75" thickBot="1">
      <c r="H2557" s="57" t="s">
        <v>100</v>
      </c>
      <c r="I2557" s="58" t="s">
        <v>108</v>
      </c>
      <c r="J2557" s="287" t="s">
        <v>109</v>
      </c>
      <c r="K2557" s="60" t="s">
        <v>110</v>
      </c>
    </row>
    <row r="2558" spans="8:15">
      <c r="H2558" s="71">
        <v>719</v>
      </c>
      <c r="I2558" s="73">
        <f>+O2538+O2540+O2542</f>
        <v>250000</v>
      </c>
      <c r="J2558" s="74">
        <f>+K2521</f>
        <v>61840000</v>
      </c>
      <c r="K2558" s="195">
        <f>+I2558+J2558</f>
        <v>62090000</v>
      </c>
    </row>
    <row r="2559" spans="8:15">
      <c r="H2559" s="72">
        <v>721</v>
      </c>
      <c r="I2559" s="80">
        <f>+O2539+O2541+O2543+O2545+O2547</f>
        <v>0</v>
      </c>
      <c r="J2559" s="74">
        <f>+K2522</f>
        <v>111141634</v>
      </c>
      <c r="K2559" s="195">
        <f>+I2559+J2559</f>
        <v>111141634</v>
      </c>
    </row>
    <row r="2560" spans="8:15">
      <c r="H2560" s="72">
        <v>722</v>
      </c>
      <c r="I2560" s="80"/>
      <c r="J2560" s="74">
        <f>+K2523</f>
        <v>57831494</v>
      </c>
      <c r="K2560" s="195">
        <f>+I2560+J2560</f>
        <v>57831494</v>
      </c>
    </row>
    <row r="2561" spans="8:15" ht="15.75">
      <c r="H2561" s="72">
        <v>723</v>
      </c>
      <c r="I2561" s="80"/>
      <c r="J2561" s="74">
        <f>+K2524</f>
        <v>303456463</v>
      </c>
      <c r="K2561" s="195">
        <f>+I2561+J2561</f>
        <v>303456463</v>
      </c>
      <c r="M2561" s="193" t="s">
        <v>289</v>
      </c>
      <c r="N2561" s="175"/>
    </row>
    <row r="2562" spans="8:15" ht="16.5" thickBot="1">
      <c r="H2562" s="164" t="s">
        <v>1077</v>
      </c>
      <c r="I2562" s="165"/>
      <c r="J2562" s="74">
        <f>+K2525</f>
        <v>797500</v>
      </c>
      <c r="K2562" s="196">
        <f>+I2562+J2562</f>
        <v>797500</v>
      </c>
      <c r="M2562" s="52"/>
    </row>
    <row r="2563" spans="8:15" ht="16.5" thickBot="1">
      <c r="H2563" s="169"/>
      <c r="I2563" s="197">
        <f>SUM(I2558:I2562)</f>
        <v>250000</v>
      </c>
      <c r="J2563" s="197">
        <f>SUM(J2558:J2562)</f>
        <v>535067091</v>
      </c>
      <c r="K2563" s="198">
        <f>SUM(K2558:K2562)</f>
        <v>535317091</v>
      </c>
    </row>
    <row r="2564" spans="8:15" ht="16.5">
      <c r="H2564" s="49" t="s">
        <v>88</v>
      </c>
      <c r="I2564" s="50"/>
    </row>
    <row r="2565" spans="8:15">
      <c r="H2565" s="51" t="s">
        <v>89</v>
      </c>
    </row>
    <row r="2566" spans="8:15">
      <c r="H2566" s="51" t="s">
        <v>90</v>
      </c>
    </row>
    <row r="2567" spans="8:15">
      <c r="H2567" s="51" t="s">
        <v>91</v>
      </c>
    </row>
    <row r="2568" spans="8:15" ht="14.25" customHeight="1">
      <c r="H2568" s="50"/>
      <c r="I2568" s="50"/>
    </row>
    <row r="2569" spans="8:15" ht="15.75">
      <c r="H2569" s="260" t="s">
        <v>1083</v>
      </c>
      <c r="N2569" s="52"/>
    </row>
    <row r="2570" spans="8:15" ht="15.75">
      <c r="H2570" s="53" t="s">
        <v>535</v>
      </c>
      <c r="N2570" s="53"/>
    </row>
    <row r="2571" spans="8:15" ht="16.5">
      <c r="H2571" s="894" t="s">
        <v>1121</v>
      </c>
      <c r="I2571" s="894"/>
      <c r="J2571" s="894"/>
      <c r="K2571" s="894"/>
      <c r="L2571" s="894"/>
      <c r="M2571" s="894"/>
      <c r="N2571" s="894"/>
      <c r="O2571" s="894"/>
    </row>
    <row r="2572" spans="8:15" ht="12.75" customHeight="1" thickBot="1"/>
    <row r="2573" spans="8:15">
      <c r="H2573" s="895" t="s">
        <v>94</v>
      </c>
      <c r="I2573" s="897" t="s">
        <v>95</v>
      </c>
      <c r="J2573" s="897" t="s">
        <v>96</v>
      </c>
      <c r="K2573" s="897" t="s">
        <v>3</v>
      </c>
      <c r="L2573" s="897" t="s">
        <v>97</v>
      </c>
      <c r="M2573" s="897" t="s">
        <v>98</v>
      </c>
      <c r="N2573" s="897" t="s">
        <v>99</v>
      </c>
      <c r="O2573" s="899"/>
    </row>
    <row r="2574" spans="8:15" ht="15.75" thickBot="1">
      <c r="H2574" s="896"/>
      <c r="I2574" s="898"/>
      <c r="J2574" s="898"/>
      <c r="K2574" s="898"/>
      <c r="L2574" s="898"/>
      <c r="M2574" s="898"/>
      <c r="N2574" s="240" t="s">
        <v>100</v>
      </c>
      <c r="O2574" s="182" t="s">
        <v>101</v>
      </c>
    </row>
    <row r="2575" spans="8:15" ht="15" customHeight="1">
      <c r="H2575" s="881">
        <v>273</v>
      </c>
      <c r="I2575" s="875">
        <v>42648</v>
      </c>
      <c r="J2575" s="877" t="s">
        <v>1014</v>
      </c>
      <c r="K2575" s="879" t="s">
        <v>1122</v>
      </c>
      <c r="L2575" s="881" t="s">
        <v>115</v>
      </c>
      <c r="M2575" s="883">
        <v>60000</v>
      </c>
      <c r="N2575" s="55">
        <v>719</v>
      </c>
      <c r="O2575" s="78">
        <v>60000</v>
      </c>
    </row>
    <row r="2576" spans="8:15" ht="15.75" customHeight="1" thickBot="1">
      <c r="H2576" s="882"/>
      <c r="I2576" s="876"/>
      <c r="J2576" s="878"/>
      <c r="K2576" s="880"/>
      <c r="L2576" s="882"/>
      <c r="M2576" s="884"/>
      <c r="N2576" s="56">
        <v>721</v>
      </c>
      <c r="O2576" s="79">
        <f>+M2575-O2575</f>
        <v>0</v>
      </c>
    </row>
    <row r="2577" spans="8:15" ht="15" customHeight="1">
      <c r="H2577" s="881">
        <v>274</v>
      </c>
      <c r="I2577" s="875">
        <v>42648</v>
      </c>
      <c r="J2577" s="877" t="s">
        <v>28</v>
      </c>
      <c r="K2577" s="879" t="s">
        <v>1123</v>
      </c>
      <c r="L2577" s="881" t="s">
        <v>115</v>
      </c>
      <c r="M2577" s="883">
        <v>40000</v>
      </c>
      <c r="N2577" s="55">
        <v>719</v>
      </c>
      <c r="O2577" s="78">
        <v>40000</v>
      </c>
    </row>
    <row r="2578" spans="8:15" ht="15.75" customHeight="1" thickBot="1">
      <c r="H2578" s="882"/>
      <c r="I2578" s="876"/>
      <c r="J2578" s="878"/>
      <c r="K2578" s="880"/>
      <c r="L2578" s="882"/>
      <c r="M2578" s="884"/>
      <c r="N2578" s="56">
        <v>721</v>
      </c>
      <c r="O2578" s="79">
        <f>+M2577-O2577</f>
        <v>0</v>
      </c>
    </row>
    <row r="2579" spans="8:15" ht="15" customHeight="1">
      <c r="H2579" s="881">
        <v>275</v>
      </c>
      <c r="I2579" s="875">
        <v>42648</v>
      </c>
      <c r="J2579" s="877" t="s">
        <v>120</v>
      </c>
      <c r="K2579" s="879" t="s">
        <v>1122</v>
      </c>
      <c r="L2579" s="881" t="s">
        <v>115</v>
      </c>
      <c r="M2579" s="883">
        <v>100000</v>
      </c>
      <c r="N2579" s="55">
        <v>719</v>
      </c>
      <c r="O2579" s="78">
        <v>100000</v>
      </c>
    </row>
    <row r="2580" spans="8:15" ht="15.75" customHeight="1" thickBot="1">
      <c r="H2580" s="882"/>
      <c r="I2580" s="876"/>
      <c r="J2580" s="878"/>
      <c r="K2580" s="880"/>
      <c r="L2580" s="882"/>
      <c r="M2580" s="884"/>
      <c r="N2580" s="56">
        <v>721</v>
      </c>
      <c r="O2580" s="79">
        <f>+M2579-O2579</f>
        <v>0</v>
      </c>
    </row>
    <row r="2581" spans="8:15" ht="15" customHeight="1">
      <c r="H2581" s="881"/>
      <c r="I2581" s="875"/>
      <c r="J2581" s="877"/>
      <c r="K2581" s="879"/>
      <c r="L2581" s="881"/>
      <c r="M2581" s="883"/>
      <c r="N2581" s="55">
        <v>719</v>
      </c>
      <c r="O2581" s="78">
        <v>0</v>
      </c>
    </row>
    <row r="2582" spans="8:15" ht="15.75" customHeight="1" thickBot="1">
      <c r="H2582" s="882"/>
      <c r="I2582" s="876"/>
      <c r="J2582" s="878"/>
      <c r="K2582" s="880"/>
      <c r="L2582" s="882"/>
      <c r="M2582" s="884"/>
      <c r="N2582" s="56">
        <v>721</v>
      </c>
      <c r="O2582" s="79">
        <f>+M2581-O2581</f>
        <v>0</v>
      </c>
    </row>
    <row r="2583" spans="8:15" ht="15" customHeight="1">
      <c r="H2583" s="881"/>
      <c r="I2583" s="875"/>
      <c r="J2583" s="877"/>
      <c r="K2583" s="879"/>
      <c r="L2583" s="881"/>
      <c r="M2583" s="883"/>
      <c r="N2583" s="55">
        <v>719</v>
      </c>
      <c r="O2583" s="78"/>
    </row>
    <row r="2584" spans="8:15" ht="15.75" customHeight="1" thickBot="1">
      <c r="H2584" s="882"/>
      <c r="I2584" s="876"/>
      <c r="J2584" s="878"/>
      <c r="K2584" s="880"/>
      <c r="L2584" s="882"/>
      <c r="M2584" s="884"/>
      <c r="N2584" s="56">
        <v>723</v>
      </c>
      <c r="O2584" s="79">
        <f>+M2583-O2583</f>
        <v>0</v>
      </c>
    </row>
    <row r="2585" spans="8:15" ht="16.5" thickBot="1">
      <c r="H2585" s="901" t="s">
        <v>102</v>
      </c>
      <c r="I2585" s="902"/>
      <c r="J2585" s="902"/>
      <c r="K2585" s="902"/>
      <c r="L2585" s="903"/>
      <c r="M2585" s="81">
        <f>SUM(M2575:M2584)</f>
        <v>200000</v>
      </c>
    </row>
    <row r="2586" spans="8:15" ht="16.5" thickBot="1">
      <c r="H2586" s="885" t="s">
        <v>103</v>
      </c>
      <c r="I2586" s="886"/>
      <c r="J2586" s="886"/>
      <c r="K2586" s="886"/>
      <c r="L2586" s="887"/>
      <c r="M2586" s="69">
        <f>+M2550</f>
        <v>535387091</v>
      </c>
      <c r="N2586" s="241" t="s">
        <v>561</v>
      </c>
      <c r="O2586" s="242"/>
    </row>
    <row r="2587" spans="8:15" ht="16.5" thickBot="1">
      <c r="H2587" s="888" t="s">
        <v>104</v>
      </c>
      <c r="I2587" s="889"/>
      <c r="J2587" s="889"/>
      <c r="K2587" s="889"/>
      <c r="L2587" s="890"/>
      <c r="M2587" s="183">
        <f>SUM(M2585:M2586)</f>
        <v>535587091</v>
      </c>
    </row>
    <row r="2588" spans="8:15">
      <c r="H2588" s="61"/>
      <c r="I2588" s="61"/>
      <c r="J2588" s="61"/>
      <c r="K2588" s="61"/>
      <c r="L2588" s="61"/>
    </row>
    <row r="2589" spans="8:15">
      <c r="H2589" s="51" t="s">
        <v>1124</v>
      </c>
    </row>
    <row r="2590" spans="8:15" ht="12.75" customHeight="1">
      <c r="M2590" s="139"/>
    </row>
    <row r="2591" spans="8:15">
      <c r="H2591" s="50" t="s">
        <v>105</v>
      </c>
      <c r="K2591" s="146"/>
      <c r="M2591" s="139"/>
    </row>
    <row r="2592" spans="8:15" ht="13.5" customHeight="1" thickBot="1"/>
    <row r="2593" spans="8:15" ht="15.75" thickBot="1">
      <c r="H2593" s="891" t="s">
        <v>106</v>
      </c>
      <c r="I2593" s="892"/>
      <c r="J2593" s="892"/>
      <c r="K2593" s="893"/>
      <c r="M2593" s="908" t="s">
        <v>1126</v>
      </c>
      <c r="N2593" s="908"/>
      <c r="O2593" s="908"/>
    </row>
    <row r="2594" spans="8:15" ht="30.75" thickBot="1">
      <c r="H2594" s="57" t="s">
        <v>100</v>
      </c>
      <c r="I2594" s="58" t="s">
        <v>108</v>
      </c>
      <c r="J2594" s="287" t="s">
        <v>109</v>
      </c>
      <c r="K2594" s="60" t="s">
        <v>110</v>
      </c>
    </row>
    <row r="2595" spans="8:15">
      <c r="H2595" s="71">
        <v>719</v>
      </c>
      <c r="I2595" s="73">
        <f>+O2583+O2581+O2579+O2577+O2575</f>
        <v>200000</v>
      </c>
      <c r="J2595" s="74">
        <f>+K2558</f>
        <v>62090000</v>
      </c>
      <c r="K2595" s="195">
        <f>+I2595+J2595</f>
        <v>62290000</v>
      </c>
    </row>
    <row r="2596" spans="8:15">
      <c r="H2596" s="72">
        <v>721</v>
      </c>
      <c r="I2596" s="80"/>
      <c r="J2596" s="74">
        <f>+K2559</f>
        <v>111141634</v>
      </c>
      <c r="K2596" s="195">
        <f>+I2596+J2596</f>
        <v>111141634</v>
      </c>
    </row>
    <row r="2597" spans="8:15">
      <c r="H2597" s="72">
        <v>722</v>
      </c>
      <c r="I2597" s="80"/>
      <c r="J2597" s="74">
        <f>+K2560</f>
        <v>57831494</v>
      </c>
      <c r="K2597" s="195">
        <f>+I2597+J2597</f>
        <v>57831494</v>
      </c>
    </row>
    <row r="2598" spans="8:15" ht="15.75">
      <c r="H2598" s="72">
        <v>723</v>
      </c>
      <c r="I2598" s="80"/>
      <c r="J2598" s="74">
        <f>+K2561</f>
        <v>303456463</v>
      </c>
      <c r="K2598" s="195">
        <f>+I2598+J2598</f>
        <v>303456463</v>
      </c>
      <c r="M2598" s="909" t="s">
        <v>1125</v>
      </c>
      <c r="N2598" s="909"/>
      <c r="O2598" s="909"/>
    </row>
    <row r="2599" spans="8:15" ht="16.5" thickBot="1">
      <c r="H2599" s="164" t="s">
        <v>1077</v>
      </c>
      <c r="I2599" s="165"/>
      <c r="J2599" s="74">
        <f>+K2562</f>
        <v>797500</v>
      </c>
      <c r="K2599" s="196">
        <f>+I2599+J2599</f>
        <v>797500</v>
      </c>
      <c r="M2599" s="52"/>
    </row>
    <row r="2600" spans="8:15" ht="16.5" thickBot="1">
      <c r="H2600" s="169"/>
      <c r="I2600" s="197">
        <f>SUM(I2595:I2599)</f>
        <v>200000</v>
      </c>
      <c r="J2600" s="197">
        <f>SUM(J2595:J2599)</f>
        <v>535317091</v>
      </c>
      <c r="K2600" s="198">
        <f>SUM(K2595:K2599)</f>
        <v>535517091</v>
      </c>
    </row>
    <row r="2601" spans="8:15" ht="16.5">
      <c r="H2601" s="49" t="s">
        <v>88</v>
      </c>
      <c r="I2601" s="50"/>
    </row>
    <row r="2602" spans="8:15">
      <c r="H2602" s="51" t="s">
        <v>89</v>
      </c>
    </row>
    <row r="2603" spans="8:15">
      <c r="H2603" s="51" t="s">
        <v>90</v>
      </c>
    </row>
    <row r="2604" spans="8:15">
      <c r="H2604" s="51" t="s">
        <v>91</v>
      </c>
    </row>
    <row r="2605" spans="8:15" ht="12" customHeight="1">
      <c r="H2605" s="50"/>
      <c r="I2605" s="50"/>
    </row>
    <row r="2606" spans="8:15" ht="15.75">
      <c r="H2606" s="260" t="s">
        <v>1085</v>
      </c>
      <c r="N2606" s="52"/>
    </row>
    <row r="2607" spans="8:15" ht="15.75">
      <c r="H2607" s="53" t="s">
        <v>535</v>
      </c>
      <c r="N2607" s="53"/>
    </row>
    <row r="2608" spans="8:15" ht="15" customHeight="1">
      <c r="H2608" s="894" t="s">
        <v>1078</v>
      </c>
      <c r="I2608" s="894"/>
      <c r="J2608" s="894"/>
      <c r="K2608" s="894"/>
      <c r="L2608" s="894"/>
      <c r="M2608" s="894"/>
      <c r="N2608" s="894"/>
      <c r="O2608" s="894"/>
    </row>
    <row r="2609" spans="8:15" ht="13.5" customHeight="1" thickBot="1"/>
    <row r="2610" spans="8:15">
      <c r="H2610" s="895" t="s">
        <v>94</v>
      </c>
      <c r="I2610" s="897" t="s">
        <v>95</v>
      </c>
      <c r="J2610" s="897" t="s">
        <v>96</v>
      </c>
      <c r="K2610" s="897" t="s">
        <v>3</v>
      </c>
      <c r="L2610" s="897" t="s">
        <v>97</v>
      </c>
      <c r="M2610" s="897" t="s">
        <v>98</v>
      </c>
      <c r="N2610" s="897" t="s">
        <v>99</v>
      </c>
      <c r="O2610" s="899"/>
    </row>
    <row r="2611" spans="8:15" ht="15.75" thickBot="1">
      <c r="H2611" s="896"/>
      <c r="I2611" s="898"/>
      <c r="J2611" s="898"/>
      <c r="K2611" s="898"/>
      <c r="L2611" s="898"/>
      <c r="M2611" s="898"/>
      <c r="N2611" s="240" t="s">
        <v>100</v>
      </c>
      <c r="O2611" s="182" t="s">
        <v>101</v>
      </c>
    </row>
    <row r="2612" spans="8:15" ht="12.75" customHeight="1">
      <c r="H2612" s="881">
        <v>276</v>
      </c>
      <c r="I2612" s="875">
        <v>42650</v>
      </c>
      <c r="J2612" s="877" t="s">
        <v>350</v>
      </c>
      <c r="K2612" s="879" t="s">
        <v>1127</v>
      </c>
      <c r="L2612" s="881" t="s">
        <v>148</v>
      </c>
      <c r="M2612" s="883">
        <v>598000</v>
      </c>
      <c r="N2612" s="55">
        <v>719</v>
      </c>
      <c r="O2612" s="78">
        <v>460000</v>
      </c>
    </row>
    <row r="2613" spans="8:15" ht="12" customHeight="1" thickBot="1">
      <c r="H2613" s="882"/>
      <c r="I2613" s="876"/>
      <c r="J2613" s="878"/>
      <c r="K2613" s="880"/>
      <c r="L2613" s="882"/>
      <c r="M2613" s="884"/>
      <c r="N2613" s="56">
        <v>721</v>
      </c>
      <c r="O2613" s="351">
        <f>+M2612-O2612</f>
        <v>138000</v>
      </c>
    </row>
    <row r="2614" spans="8:15" ht="12.75" customHeight="1">
      <c r="H2614" s="881">
        <v>277</v>
      </c>
      <c r="I2614" s="875">
        <v>42650</v>
      </c>
      <c r="J2614" s="877" t="s">
        <v>350</v>
      </c>
      <c r="K2614" s="879" t="s">
        <v>1038</v>
      </c>
      <c r="L2614" s="881" t="s">
        <v>148</v>
      </c>
      <c r="M2614" s="883">
        <v>1521000</v>
      </c>
      <c r="N2614" s="55">
        <v>719</v>
      </c>
      <c r="O2614" s="78">
        <v>1170000</v>
      </c>
    </row>
    <row r="2615" spans="8:15" ht="12" customHeight="1" thickBot="1">
      <c r="H2615" s="882"/>
      <c r="I2615" s="876"/>
      <c r="J2615" s="878"/>
      <c r="K2615" s="880"/>
      <c r="L2615" s="882"/>
      <c r="M2615" s="884"/>
      <c r="N2615" s="56">
        <v>721</v>
      </c>
      <c r="O2615" s="352">
        <f>+M2614-O2614</f>
        <v>351000</v>
      </c>
    </row>
    <row r="2616" spans="8:15" ht="15" customHeight="1">
      <c r="H2616" s="881">
        <v>278</v>
      </c>
      <c r="I2616" s="875">
        <v>42650</v>
      </c>
      <c r="J2616" s="877" t="s">
        <v>350</v>
      </c>
      <c r="K2616" s="879" t="s">
        <v>1122</v>
      </c>
      <c r="L2616" s="881" t="s">
        <v>148</v>
      </c>
      <c r="M2616" s="883">
        <v>923000</v>
      </c>
      <c r="N2616" s="55">
        <v>719</v>
      </c>
      <c r="O2616" s="78">
        <v>710000</v>
      </c>
    </row>
    <row r="2617" spans="8:15" ht="12" customHeight="1" thickBot="1">
      <c r="H2617" s="882"/>
      <c r="I2617" s="876"/>
      <c r="J2617" s="878"/>
      <c r="K2617" s="880"/>
      <c r="L2617" s="882"/>
      <c r="M2617" s="884"/>
      <c r="N2617" s="56">
        <v>721</v>
      </c>
      <c r="O2617" s="352">
        <f>+M2616-O2616</f>
        <v>213000</v>
      </c>
    </row>
    <row r="2618" spans="8:15" ht="15" customHeight="1">
      <c r="H2618" s="881">
        <v>279</v>
      </c>
      <c r="I2618" s="875">
        <v>42650</v>
      </c>
      <c r="J2618" s="877" t="s">
        <v>350</v>
      </c>
      <c r="K2618" s="879" t="s">
        <v>1122</v>
      </c>
      <c r="L2618" s="881" t="s">
        <v>148</v>
      </c>
      <c r="M2618" s="883">
        <v>715000</v>
      </c>
      <c r="N2618" s="55">
        <v>719</v>
      </c>
      <c r="O2618" s="78">
        <v>550000</v>
      </c>
    </row>
    <row r="2619" spans="8:15" ht="13.5" customHeight="1" thickBot="1">
      <c r="H2619" s="882"/>
      <c r="I2619" s="876"/>
      <c r="J2619" s="878"/>
      <c r="K2619" s="880"/>
      <c r="L2619" s="882"/>
      <c r="M2619" s="884"/>
      <c r="N2619" s="56">
        <v>721</v>
      </c>
      <c r="O2619" s="79">
        <f>+M2618-O2618</f>
        <v>165000</v>
      </c>
    </row>
    <row r="2620" spans="8:15" ht="15" customHeight="1">
      <c r="H2620" s="881">
        <v>280</v>
      </c>
      <c r="I2620" s="875">
        <v>42650</v>
      </c>
      <c r="J2620" s="877" t="s">
        <v>350</v>
      </c>
      <c r="K2620" s="879" t="s">
        <v>1122</v>
      </c>
      <c r="L2620" s="881" t="s">
        <v>148</v>
      </c>
      <c r="M2620" s="883">
        <v>879000</v>
      </c>
      <c r="N2620" s="55">
        <v>719</v>
      </c>
      <c r="O2620" s="78">
        <v>720000</v>
      </c>
    </row>
    <row r="2621" spans="8:15" ht="15" customHeight="1" thickBot="1">
      <c r="H2621" s="882"/>
      <c r="I2621" s="876"/>
      <c r="J2621" s="878"/>
      <c r="K2621" s="880"/>
      <c r="L2621" s="882"/>
      <c r="M2621" s="884"/>
      <c r="N2621" s="56">
        <v>721</v>
      </c>
      <c r="O2621" s="79">
        <f>+M2620-O2620</f>
        <v>159000</v>
      </c>
    </row>
    <row r="2622" spans="8:15" ht="12.75" customHeight="1">
      <c r="H2622" s="881">
        <v>281</v>
      </c>
      <c r="I2622" s="875">
        <v>42650</v>
      </c>
      <c r="J2622" s="877" t="s">
        <v>350</v>
      </c>
      <c r="K2622" s="879" t="s">
        <v>1122</v>
      </c>
      <c r="L2622" s="881" t="s">
        <v>148</v>
      </c>
      <c r="M2622" s="883">
        <v>300000</v>
      </c>
      <c r="N2622" s="55">
        <v>719</v>
      </c>
      <c r="O2622" s="78">
        <v>300000</v>
      </c>
    </row>
    <row r="2623" spans="8:15" ht="13.5" customHeight="1" thickBot="1">
      <c r="H2623" s="882"/>
      <c r="I2623" s="876"/>
      <c r="J2623" s="878"/>
      <c r="K2623" s="880"/>
      <c r="L2623" s="882"/>
      <c r="M2623" s="884"/>
      <c r="N2623" s="56">
        <v>723</v>
      </c>
      <c r="O2623" s="79">
        <f>+M2622-O2622</f>
        <v>0</v>
      </c>
    </row>
    <row r="2624" spans="8:15" ht="16.5" thickBot="1">
      <c r="H2624" s="901" t="s">
        <v>102</v>
      </c>
      <c r="I2624" s="902"/>
      <c r="J2624" s="902"/>
      <c r="K2624" s="902"/>
      <c r="L2624" s="903"/>
      <c r="M2624" s="81">
        <f>SUM(M2612:M2623)</f>
        <v>4936000</v>
      </c>
    </row>
    <row r="2625" spans="8:15" ht="16.5" thickBot="1">
      <c r="H2625" s="885" t="s">
        <v>103</v>
      </c>
      <c r="I2625" s="886"/>
      <c r="J2625" s="886"/>
      <c r="K2625" s="886"/>
      <c r="L2625" s="887"/>
      <c r="M2625" s="69">
        <f>+M2587</f>
        <v>535587091</v>
      </c>
      <c r="N2625" s="241" t="s">
        <v>561</v>
      </c>
      <c r="O2625" s="242">
        <v>6648</v>
      </c>
    </row>
    <row r="2626" spans="8:15" ht="16.5" thickBot="1">
      <c r="H2626" s="888" t="s">
        <v>104</v>
      </c>
      <c r="I2626" s="889"/>
      <c r="J2626" s="889"/>
      <c r="K2626" s="889"/>
      <c r="L2626" s="890"/>
      <c r="M2626" s="183">
        <f>SUM(M2624:M2625)</f>
        <v>540523091</v>
      </c>
    </row>
    <row r="2627" spans="8:15" ht="13.5" customHeight="1">
      <c r="H2627" s="61"/>
      <c r="I2627" s="61"/>
      <c r="J2627" s="61"/>
      <c r="K2627" s="61"/>
      <c r="L2627" s="61"/>
    </row>
    <row r="2628" spans="8:15">
      <c r="H2628" s="51" t="s">
        <v>1158</v>
      </c>
    </row>
    <row r="2629" spans="8:15" ht="10.5" customHeight="1">
      <c r="M2629" s="139"/>
    </row>
    <row r="2630" spans="8:15">
      <c r="H2630" s="50" t="s">
        <v>105</v>
      </c>
      <c r="K2630" s="146"/>
      <c r="M2630" s="139"/>
    </row>
    <row r="2631" spans="8:15" ht="10.5" customHeight="1" thickBot="1"/>
    <row r="2632" spans="8:15" ht="15.75" thickBot="1">
      <c r="H2632" s="891" t="s">
        <v>106</v>
      </c>
      <c r="I2632" s="892"/>
      <c r="J2632" s="892"/>
      <c r="K2632" s="893"/>
      <c r="M2632" s="50" t="s">
        <v>288</v>
      </c>
    </row>
    <row r="2633" spans="8:15" ht="30.75" thickBot="1">
      <c r="H2633" s="57" t="s">
        <v>100</v>
      </c>
      <c r="I2633" s="58" t="s">
        <v>108</v>
      </c>
      <c r="J2633" s="287" t="s">
        <v>109</v>
      </c>
      <c r="K2633" s="60" t="s">
        <v>110</v>
      </c>
    </row>
    <row r="2634" spans="8:15">
      <c r="H2634" s="71">
        <v>719</v>
      </c>
      <c r="I2634" s="73">
        <f>+O2612+O2614+O2616+O2618+O2620+O2622</f>
        <v>3910000</v>
      </c>
      <c r="J2634" s="74">
        <f>+K2595</f>
        <v>62290000</v>
      </c>
      <c r="K2634" s="195">
        <f>+I2634+J2634</f>
        <v>66200000</v>
      </c>
    </row>
    <row r="2635" spans="8:15">
      <c r="H2635" s="72">
        <v>721</v>
      </c>
      <c r="I2635" s="80">
        <f>+O2613+O2615+O2617+O2619+O2623+O2621</f>
        <v>1026000</v>
      </c>
      <c r="J2635" s="74">
        <f>+K2596</f>
        <v>111141634</v>
      </c>
      <c r="K2635" s="195">
        <f>+I2635+J2635</f>
        <v>112167634</v>
      </c>
    </row>
    <row r="2636" spans="8:15">
      <c r="H2636" s="72">
        <v>722</v>
      </c>
      <c r="I2636" s="80"/>
      <c r="J2636" s="74">
        <f>+K2597</f>
        <v>57831494</v>
      </c>
      <c r="K2636" s="195">
        <f>+I2636+J2636</f>
        <v>57831494</v>
      </c>
    </row>
    <row r="2637" spans="8:15" ht="15.75">
      <c r="H2637" s="72">
        <v>723</v>
      </c>
      <c r="I2637" s="80"/>
      <c r="J2637" s="74">
        <f>+K2598</f>
        <v>303456463</v>
      </c>
      <c r="K2637" s="195">
        <f>+I2637+J2637</f>
        <v>303456463</v>
      </c>
      <c r="M2637" s="193" t="s">
        <v>289</v>
      </c>
      <c r="N2637" s="175"/>
    </row>
    <row r="2638" spans="8:15" ht="16.5" thickBot="1">
      <c r="H2638" s="164" t="s">
        <v>1077</v>
      </c>
      <c r="I2638" s="165"/>
      <c r="J2638" s="74">
        <f>+K2599</f>
        <v>797500</v>
      </c>
      <c r="K2638" s="196">
        <f>+I2638+J2638</f>
        <v>797500</v>
      </c>
      <c r="M2638" s="52"/>
    </row>
    <row r="2639" spans="8:15" ht="16.5" thickBot="1">
      <c r="H2639" s="169"/>
      <c r="I2639" s="197">
        <f>SUM(I2634:I2638)</f>
        <v>4936000</v>
      </c>
      <c r="J2639" s="197">
        <f>SUM(J2634:J2638)</f>
        <v>535517091</v>
      </c>
      <c r="K2639" s="198">
        <f>SUM(K2634:K2638)</f>
        <v>540453091</v>
      </c>
    </row>
    <row r="2640" spans="8:15" ht="16.5">
      <c r="H2640" s="49" t="s">
        <v>88</v>
      </c>
      <c r="I2640" s="50"/>
    </row>
    <row r="2641" spans="8:15">
      <c r="H2641" s="51" t="s">
        <v>89</v>
      </c>
    </row>
    <row r="2642" spans="8:15">
      <c r="H2642" s="51" t="s">
        <v>90</v>
      </c>
    </row>
    <row r="2643" spans="8:15">
      <c r="H2643" s="51" t="s">
        <v>91</v>
      </c>
    </row>
    <row r="2644" spans="8:15" ht="14.25" customHeight="1">
      <c r="H2644" s="50"/>
      <c r="I2644" s="50"/>
    </row>
    <row r="2645" spans="8:15" ht="15.75">
      <c r="H2645" s="260" t="s">
        <v>1087</v>
      </c>
      <c r="N2645" s="52"/>
    </row>
    <row r="2646" spans="8:15" ht="15.75">
      <c r="H2646" s="53" t="s">
        <v>535</v>
      </c>
      <c r="N2646" s="53"/>
    </row>
    <row r="2647" spans="8:15" ht="16.5">
      <c r="H2647" s="894" t="s">
        <v>1078</v>
      </c>
      <c r="I2647" s="894"/>
      <c r="J2647" s="894"/>
      <c r="K2647" s="894"/>
      <c r="L2647" s="894"/>
      <c r="M2647" s="894"/>
      <c r="N2647" s="894"/>
      <c r="O2647" s="894"/>
    </row>
    <row r="2648" spans="8:15" ht="15.75" thickBot="1"/>
    <row r="2649" spans="8:15">
      <c r="H2649" s="895" t="s">
        <v>94</v>
      </c>
      <c r="I2649" s="897" t="s">
        <v>95</v>
      </c>
      <c r="J2649" s="897" t="s">
        <v>96</v>
      </c>
      <c r="K2649" s="897" t="s">
        <v>3</v>
      </c>
      <c r="L2649" s="897" t="s">
        <v>97</v>
      </c>
      <c r="M2649" s="897" t="s">
        <v>98</v>
      </c>
      <c r="N2649" s="897" t="s">
        <v>99</v>
      </c>
      <c r="O2649" s="899"/>
    </row>
    <row r="2650" spans="8:15" ht="15.75" thickBot="1">
      <c r="H2650" s="896"/>
      <c r="I2650" s="898"/>
      <c r="J2650" s="898"/>
      <c r="K2650" s="898"/>
      <c r="L2650" s="898"/>
      <c r="M2650" s="898"/>
      <c r="N2650" s="240" t="s">
        <v>100</v>
      </c>
      <c r="O2650" s="182" t="s">
        <v>101</v>
      </c>
    </row>
    <row r="2651" spans="8:15" ht="15" customHeight="1">
      <c r="H2651" s="881">
        <v>282</v>
      </c>
      <c r="I2651" s="875">
        <v>42655</v>
      </c>
      <c r="J2651" s="877" t="s">
        <v>267</v>
      </c>
      <c r="K2651" s="879" t="s">
        <v>1129</v>
      </c>
      <c r="L2651" s="881" t="s">
        <v>148</v>
      </c>
      <c r="M2651" s="883">
        <v>26000</v>
      </c>
      <c r="N2651" s="55">
        <v>719</v>
      </c>
      <c r="O2651" s="78">
        <v>20000</v>
      </c>
    </row>
    <row r="2652" spans="8:15" ht="15.75" customHeight="1" thickBot="1">
      <c r="H2652" s="882"/>
      <c r="I2652" s="876"/>
      <c r="J2652" s="878"/>
      <c r="K2652" s="880"/>
      <c r="L2652" s="882"/>
      <c r="M2652" s="884"/>
      <c r="N2652" s="56">
        <v>721</v>
      </c>
      <c r="O2652" s="79">
        <f>+M2651-O2651</f>
        <v>6000</v>
      </c>
    </row>
    <row r="2653" spans="8:15" ht="15" customHeight="1">
      <c r="H2653" s="881">
        <v>283</v>
      </c>
      <c r="I2653" s="875">
        <v>42655</v>
      </c>
      <c r="J2653" s="877" t="s">
        <v>267</v>
      </c>
      <c r="K2653" s="879" t="s">
        <v>1130</v>
      </c>
      <c r="L2653" s="881" t="s">
        <v>148</v>
      </c>
      <c r="M2653" s="883">
        <v>130000</v>
      </c>
      <c r="N2653" s="55">
        <v>719</v>
      </c>
      <c r="O2653" s="78">
        <v>100000</v>
      </c>
    </row>
    <row r="2654" spans="8:15" ht="15.75" customHeight="1" thickBot="1">
      <c r="H2654" s="882"/>
      <c r="I2654" s="876"/>
      <c r="J2654" s="878"/>
      <c r="K2654" s="880"/>
      <c r="L2654" s="882"/>
      <c r="M2654" s="884"/>
      <c r="N2654" s="56">
        <v>721</v>
      </c>
      <c r="O2654" s="79">
        <f>+M2653-O2653</f>
        <v>30000</v>
      </c>
    </row>
    <row r="2655" spans="8:15" ht="15" customHeight="1">
      <c r="H2655" s="881">
        <v>284</v>
      </c>
      <c r="I2655" s="875">
        <v>42655</v>
      </c>
      <c r="J2655" s="877" t="s">
        <v>267</v>
      </c>
      <c r="K2655" s="879" t="s">
        <v>1131</v>
      </c>
      <c r="L2655" s="881" t="s">
        <v>148</v>
      </c>
      <c r="M2655" s="883">
        <v>130000</v>
      </c>
      <c r="N2655" s="55">
        <v>719</v>
      </c>
      <c r="O2655" s="78">
        <v>100000</v>
      </c>
    </row>
    <row r="2656" spans="8:15" ht="15.75" customHeight="1" thickBot="1">
      <c r="H2656" s="882"/>
      <c r="I2656" s="876"/>
      <c r="J2656" s="878"/>
      <c r="K2656" s="880"/>
      <c r="L2656" s="882"/>
      <c r="M2656" s="884"/>
      <c r="N2656" s="56">
        <v>721</v>
      </c>
      <c r="O2656" s="79">
        <f>+M2655-O2655</f>
        <v>30000</v>
      </c>
    </row>
    <row r="2657" spans="8:15" ht="15" customHeight="1">
      <c r="H2657" s="881">
        <v>285</v>
      </c>
      <c r="I2657" s="875">
        <v>42655</v>
      </c>
      <c r="J2657" s="877" t="s">
        <v>267</v>
      </c>
      <c r="K2657" s="879" t="s">
        <v>1132</v>
      </c>
      <c r="L2657" s="881" t="s">
        <v>148</v>
      </c>
      <c r="M2657" s="883">
        <v>30000</v>
      </c>
      <c r="N2657" s="55">
        <v>719</v>
      </c>
      <c r="O2657" s="78">
        <v>30000</v>
      </c>
    </row>
    <row r="2658" spans="8:15" ht="15.75" customHeight="1" thickBot="1">
      <c r="H2658" s="882"/>
      <c r="I2658" s="876"/>
      <c r="J2658" s="878"/>
      <c r="K2658" s="880"/>
      <c r="L2658" s="882"/>
      <c r="M2658" s="884"/>
      <c r="N2658" s="56">
        <v>721</v>
      </c>
      <c r="O2658" s="79">
        <f>+M2657-O2657</f>
        <v>0</v>
      </c>
    </row>
    <row r="2659" spans="8:15" ht="13.5" customHeight="1">
      <c r="H2659" s="881"/>
      <c r="I2659" s="875"/>
      <c r="J2659" s="877"/>
      <c r="K2659" s="879"/>
      <c r="L2659" s="881"/>
      <c r="M2659" s="883"/>
      <c r="N2659" s="55">
        <v>719</v>
      </c>
      <c r="O2659" s="78"/>
    </row>
    <row r="2660" spans="8:15" ht="13.5" customHeight="1" thickBot="1">
      <c r="H2660" s="882"/>
      <c r="I2660" s="876"/>
      <c r="J2660" s="878"/>
      <c r="K2660" s="880"/>
      <c r="L2660" s="882"/>
      <c r="M2660" s="884"/>
      <c r="N2660" s="56">
        <v>723</v>
      </c>
      <c r="O2660" s="79">
        <f>+M2659-O2659</f>
        <v>0</v>
      </c>
    </row>
    <row r="2661" spans="8:15" ht="16.5" thickBot="1">
      <c r="H2661" s="901" t="s">
        <v>102</v>
      </c>
      <c r="I2661" s="902"/>
      <c r="J2661" s="902"/>
      <c r="K2661" s="902"/>
      <c r="L2661" s="903"/>
      <c r="M2661" s="81">
        <f>SUM(M2651:M2660)</f>
        <v>316000</v>
      </c>
    </row>
    <row r="2662" spans="8:15" ht="16.5" thickBot="1">
      <c r="H2662" s="885" t="s">
        <v>103</v>
      </c>
      <c r="I2662" s="886"/>
      <c r="J2662" s="886"/>
      <c r="K2662" s="886"/>
      <c r="L2662" s="887"/>
      <c r="M2662" s="69">
        <f>+M2626</f>
        <v>540523091</v>
      </c>
      <c r="N2662" s="241" t="s">
        <v>561</v>
      </c>
      <c r="O2662" s="242"/>
    </row>
    <row r="2663" spans="8:15" ht="16.5" thickBot="1">
      <c r="H2663" s="888" t="s">
        <v>104</v>
      </c>
      <c r="I2663" s="889"/>
      <c r="J2663" s="889"/>
      <c r="K2663" s="889"/>
      <c r="L2663" s="890"/>
      <c r="M2663" s="183">
        <f>SUM(M2661:M2662)</f>
        <v>540839091</v>
      </c>
    </row>
    <row r="2664" spans="8:15">
      <c r="H2664" s="61"/>
      <c r="I2664" s="61"/>
      <c r="J2664" s="61"/>
      <c r="K2664" s="61"/>
      <c r="L2664" s="61"/>
    </row>
    <row r="2665" spans="8:15">
      <c r="H2665" s="51" t="s">
        <v>1159</v>
      </c>
    </row>
    <row r="2666" spans="8:15" ht="12.75" customHeight="1">
      <c r="M2666" s="139"/>
    </row>
    <row r="2667" spans="8:15">
      <c r="H2667" s="50" t="s">
        <v>105</v>
      </c>
      <c r="K2667" s="146"/>
      <c r="M2667" s="139"/>
    </row>
    <row r="2668" spans="8:15" ht="13.5" customHeight="1" thickBot="1"/>
    <row r="2669" spans="8:15" ht="15.75" thickBot="1">
      <c r="H2669" s="891" t="s">
        <v>106</v>
      </c>
      <c r="I2669" s="892"/>
      <c r="J2669" s="892"/>
      <c r="K2669" s="893"/>
      <c r="M2669" s="50" t="s">
        <v>288</v>
      </c>
    </row>
    <row r="2670" spans="8:15" ht="30.75" thickBot="1">
      <c r="H2670" s="57" t="s">
        <v>100</v>
      </c>
      <c r="I2670" s="58" t="s">
        <v>108</v>
      </c>
      <c r="J2670" s="287" t="s">
        <v>109</v>
      </c>
      <c r="K2670" s="60" t="s">
        <v>110</v>
      </c>
    </row>
    <row r="2671" spans="8:15">
      <c r="H2671" s="71">
        <v>719</v>
      </c>
      <c r="I2671" s="73">
        <f>+O2651+O2653+O2655+O2657</f>
        <v>250000</v>
      </c>
      <c r="J2671" s="74">
        <f>+K2634</f>
        <v>66200000</v>
      </c>
      <c r="K2671" s="195">
        <f>+I2671+J2671</f>
        <v>66450000</v>
      </c>
    </row>
    <row r="2672" spans="8:15">
      <c r="H2672" s="72">
        <v>721</v>
      </c>
      <c r="I2672" s="80">
        <f>+O2652+O2654+O2656+O2658+O2660</f>
        <v>66000</v>
      </c>
      <c r="J2672" s="74">
        <f>+K2635</f>
        <v>112167634</v>
      </c>
      <c r="K2672" s="195">
        <f>+I2672+J2672</f>
        <v>112233634</v>
      </c>
    </row>
    <row r="2673" spans="8:15">
      <c r="H2673" s="72">
        <v>722</v>
      </c>
      <c r="I2673" s="80"/>
      <c r="J2673" s="74">
        <f>+K2636</f>
        <v>57831494</v>
      </c>
      <c r="K2673" s="195">
        <f>+I2673+J2673</f>
        <v>57831494</v>
      </c>
    </row>
    <row r="2674" spans="8:15" ht="15.75">
      <c r="H2674" s="72">
        <v>723</v>
      </c>
      <c r="I2674" s="80"/>
      <c r="J2674" s="74">
        <f>+K2637</f>
        <v>303456463</v>
      </c>
      <c r="K2674" s="195">
        <f>+I2674+J2674</f>
        <v>303456463</v>
      </c>
      <c r="M2674" s="193" t="s">
        <v>289</v>
      </c>
      <c r="N2674" s="175"/>
    </row>
    <row r="2675" spans="8:15" ht="16.5" thickBot="1">
      <c r="H2675" s="164" t="s">
        <v>1077</v>
      </c>
      <c r="I2675" s="165"/>
      <c r="J2675" s="74">
        <f>+K2638</f>
        <v>797500</v>
      </c>
      <c r="K2675" s="196">
        <f>+I2675+J2675</f>
        <v>797500</v>
      </c>
      <c r="M2675" s="52"/>
    </row>
    <row r="2676" spans="8:15" ht="16.5" thickBot="1">
      <c r="H2676" s="169"/>
      <c r="I2676" s="197">
        <f>SUM(I2671:I2675)</f>
        <v>316000</v>
      </c>
      <c r="J2676" s="197">
        <f>SUM(J2671:J2675)</f>
        <v>540453091</v>
      </c>
      <c r="K2676" s="198">
        <f>SUM(K2671:K2675)</f>
        <v>540769091</v>
      </c>
    </row>
    <row r="2677" spans="8:15" ht="16.5">
      <c r="H2677" s="49" t="s">
        <v>88</v>
      </c>
      <c r="I2677" s="50"/>
    </row>
    <row r="2678" spans="8:15">
      <c r="H2678" s="51" t="s">
        <v>89</v>
      </c>
    </row>
    <row r="2679" spans="8:15">
      <c r="H2679" s="51" t="s">
        <v>90</v>
      </c>
    </row>
    <row r="2680" spans="8:15">
      <c r="H2680" s="51" t="s">
        <v>91</v>
      </c>
    </row>
    <row r="2681" spans="8:15" ht="10.5" customHeight="1">
      <c r="H2681" s="50"/>
      <c r="I2681" s="50"/>
    </row>
    <row r="2682" spans="8:15" ht="15.75">
      <c r="H2682" s="260" t="s">
        <v>1157</v>
      </c>
      <c r="N2682" s="52"/>
    </row>
    <row r="2683" spans="8:15" ht="15.75">
      <c r="H2683" s="53" t="s">
        <v>535</v>
      </c>
      <c r="N2683" s="53"/>
    </row>
    <row r="2684" spans="8:15" ht="16.5">
      <c r="H2684" s="894" t="s">
        <v>1078</v>
      </c>
      <c r="I2684" s="894"/>
      <c r="J2684" s="894"/>
      <c r="K2684" s="894"/>
      <c r="L2684" s="894"/>
      <c r="M2684" s="894"/>
      <c r="N2684" s="894"/>
      <c r="O2684" s="894"/>
    </row>
    <row r="2685" spans="8:15" ht="15.75" thickBot="1"/>
    <row r="2686" spans="8:15">
      <c r="H2686" s="895" t="s">
        <v>94</v>
      </c>
      <c r="I2686" s="897" t="s">
        <v>95</v>
      </c>
      <c r="J2686" s="897" t="s">
        <v>96</v>
      </c>
      <c r="K2686" s="897" t="s">
        <v>3</v>
      </c>
      <c r="L2686" s="897" t="s">
        <v>97</v>
      </c>
      <c r="M2686" s="897" t="s">
        <v>98</v>
      </c>
      <c r="N2686" s="897" t="s">
        <v>99</v>
      </c>
      <c r="O2686" s="899"/>
    </row>
    <row r="2687" spans="8:15" ht="15.75" thickBot="1">
      <c r="H2687" s="896"/>
      <c r="I2687" s="898"/>
      <c r="J2687" s="898"/>
      <c r="K2687" s="898"/>
      <c r="L2687" s="898"/>
      <c r="M2687" s="898"/>
      <c r="N2687" s="240" t="s">
        <v>100</v>
      </c>
      <c r="O2687" s="182" t="s">
        <v>101</v>
      </c>
    </row>
    <row r="2688" spans="8:15">
      <c r="H2688" s="881">
        <v>286</v>
      </c>
      <c r="I2688" s="875">
        <v>42655</v>
      </c>
      <c r="J2688" s="877" t="s">
        <v>472</v>
      </c>
      <c r="K2688" s="879" t="s">
        <v>1160</v>
      </c>
      <c r="L2688" s="881" t="s">
        <v>148</v>
      </c>
      <c r="M2688" s="883">
        <v>208000</v>
      </c>
      <c r="N2688" s="55">
        <v>719</v>
      </c>
      <c r="O2688" s="78">
        <v>160000</v>
      </c>
    </row>
    <row r="2689" spans="8:15" ht="15.75" thickBot="1">
      <c r="H2689" s="882"/>
      <c r="I2689" s="876"/>
      <c r="J2689" s="878"/>
      <c r="K2689" s="880"/>
      <c r="L2689" s="882"/>
      <c r="M2689" s="884"/>
      <c r="N2689" s="56">
        <v>721</v>
      </c>
      <c r="O2689" s="79">
        <f>+M2688-O2688</f>
        <v>48000</v>
      </c>
    </row>
    <row r="2690" spans="8:15">
      <c r="H2690" s="881">
        <v>287</v>
      </c>
      <c r="I2690" s="875">
        <v>42655</v>
      </c>
      <c r="J2690" s="877" t="s">
        <v>472</v>
      </c>
      <c r="K2690" s="879" t="s">
        <v>1133</v>
      </c>
      <c r="L2690" s="881" t="s">
        <v>148</v>
      </c>
      <c r="M2690" s="883">
        <v>390000</v>
      </c>
      <c r="N2690" s="55">
        <v>719</v>
      </c>
      <c r="O2690" s="78">
        <v>300000</v>
      </c>
    </row>
    <row r="2691" spans="8:15" ht="15.75" thickBot="1">
      <c r="H2691" s="882"/>
      <c r="I2691" s="876"/>
      <c r="J2691" s="878"/>
      <c r="K2691" s="880"/>
      <c r="L2691" s="882"/>
      <c r="M2691" s="884"/>
      <c r="N2691" s="56">
        <v>721</v>
      </c>
      <c r="O2691" s="79">
        <f>+M2690-O2690</f>
        <v>90000</v>
      </c>
    </row>
    <row r="2692" spans="8:15">
      <c r="H2692" s="881">
        <v>288</v>
      </c>
      <c r="I2692" s="875">
        <v>42655</v>
      </c>
      <c r="J2692" s="877" t="s">
        <v>472</v>
      </c>
      <c r="K2692" s="879" t="s">
        <v>1135</v>
      </c>
      <c r="L2692" s="881" t="s">
        <v>148</v>
      </c>
      <c r="M2692" s="883">
        <v>286000</v>
      </c>
      <c r="N2692" s="55">
        <v>719</v>
      </c>
      <c r="O2692" s="78">
        <v>220000</v>
      </c>
    </row>
    <row r="2693" spans="8:15" ht="15.75" thickBot="1">
      <c r="H2693" s="882"/>
      <c r="I2693" s="876"/>
      <c r="J2693" s="878"/>
      <c r="K2693" s="880"/>
      <c r="L2693" s="882"/>
      <c r="M2693" s="884"/>
      <c r="N2693" s="56">
        <v>721</v>
      </c>
      <c r="O2693" s="79">
        <f>+M2692-O2692</f>
        <v>66000</v>
      </c>
    </row>
    <row r="2694" spans="8:15">
      <c r="H2694" s="881">
        <v>289</v>
      </c>
      <c r="I2694" s="875">
        <v>42655</v>
      </c>
      <c r="J2694" s="877" t="s">
        <v>472</v>
      </c>
      <c r="K2694" s="879" t="s">
        <v>1128</v>
      </c>
      <c r="L2694" s="881" t="s">
        <v>148</v>
      </c>
      <c r="M2694" s="883">
        <v>100000</v>
      </c>
      <c r="N2694" s="55">
        <v>719</v>
      </c>
      <c r="O2694" s="78">
        <v>100000</v>
      </c>
    </row>
    <row r="2695" spans="8:15" ht="15.75" thickBot="1">
      <c r="H2695" s="882"/>
      <c r="I2695" s="876"/>
      <c r="J2695" s="878"/>
      <c r="K2695" s="880"/>
      <c r="L2695" s="882"/>
      <c r="M2695" s="884"/>
      <c r="N2695" s="56">
        <v>721</v>
      </c>
      <c r="O2695" s="79">
        <f>+M2694-O2694</f>
        <v>0</v>
      </c>
    </row>
    <row r="2696" spans="8:15">
      <c r="H2696" s="881"/>
      <c r="I2696" s="875"/>
      <c r="J2696" s="877"/>
      <c r="K2696" s="879"/>
      <c r="L2696" s="881"/>
      <c r="M2696" s="883"/>
      <c r="N2696" s="55">
        <v>719</v>
      </c>
      <c r="O2696" s="78"/>
    </row>
    <row r="2697" spans="8:15" ht="15.75" thickBot="1">
      <c r="H2697" s="882"/>
      <c r="I2697" s="876"/>
      <c r="J2697" s="878"/>
      <c r="K2697" s="880"/>
      <c r="L2697" s="882"/>
      <c r="M2697" s="884"/>
      <c r="N2697" s="56">
        <v>721</v>
      </c>
      <c r="O2697" s="79">
        <f>+M2696-O2696</f>
        <v>0</v>
      </c>
    </row>
    <row r="2698" spans="8:15" ht="16.5" thickBot="1">
      <c r="H2698" s="901" t="s">
        <v>102</v>
      </c>
      <c r="I2698" s="902"/>
      <c r="J2698" s="902"/>
      <c r="K2698" s="902"/>
      <c r="L2698" s="903"/>
      <c r="M2698" s="81">
        <f>SUM(M2688:M2697)</f>
        <v>984000</v>
      </c>
    </row>
    <row r="2699" spans="8:15" ht="16.5" thickBot="1">
      <c r="H2699" s="885" t="s">
        <v>103</v>
      </c>
      <c r="I2699" s="886"/>
      <c r="J2699" s="886"/>
      <c r="K2699" s="886"/>
      <c r="L2699" s="887"/>
      <c r="M2699" s="69">
        <f>+M2663</f>
        <v>540839091</v>
      </c>
      <c r="N2699" s="241" t="s">
        <v>561</v>
      </c>
      <c r="O2699" s="242">
        <f>183+395+650+498</f>
        <v>1726</v>
      </c>
    </row>
    <row r="2700" spans="8:15" ht="16.5" thickBot="1">
      <c r="H2700" s="888" t="s">
        <v>104</v>
      </c>
      <c r="I2700" s="889"/>
      <c r="J2700" s="889"/>
      <c r="K2700" s="889"/>
      <c r="L2700" s="890"/>
      <c r="M2700" s="183">
        <f>SUM(M2698:M2699)</f>
        <v>541823091</v>
      </c>
    </row>
    <row r="2701" spans="8:15">
      <c r="H2701" s="61"/>
      <c r="I2701" s="61"/>
      <c r="J2701" s="61"/>
      <c r="K2701" s="61"/>
      <c r="L2701" s="61"/>
    </row>
    <row r="2702" spans="8:15">
      <c r="H2702" s="51" t="s">
        <v>1161</v>
      </c>
    </row>
    <row r="2703" spans="8:15" ht="12.75" customHeight="1">
      <c r="M2703" s="139"/>
    </row>
    <row r="2704" spans="8:15">
      <c r="H2704" s="50" t="s">
        <v>105</v>
      </c>
      <c r="K2704" s="146"/>
      <c r="M2704" s="139"/>
    </row>
    <row r="2705" spans="8:14" ht="14.25" customHeight="1" thickBot="1"/>
    <row r="2706" spans="8:14" ht="15.75" thickBot="1">
      <c r="H2706" s="891" t="s">
        <v>106</v>
      </c>
      <c r="I2706" s="892"/>
      <c r="J2706" s="892"/>
      <c r="K2706" s="893"/>
      <c r="M2706" s="50" t="s">
        <v>288</v>
      </c>
    </row>
    <row r="2707" spans="8:14" ht="30.75" thickBot="1">
      <c r="H2707" s="57" t="s">
        <v>100</v>
      </c>
      <c r="I2707" s="58" t="s">
        <v>108</v>
      </c>
      <c r="J2707" s="287" t="s">
        <v>109</v>
      </c>
      <c r="K2707" s="60" t="s">
        <v>110</v>
      </c>
    </row>
    <row r="2708" spans="8:14">
      <c r="H2708" s="71">
        <v>719</v>
      </c>
      <c r="I2708" s="73">
        <f>+O2688+O2690+O2692+O2694</f>
        <v>780000</v>
      </c>
      <c r="J2708" s="74">
        <f>+K2671</f>
        <v>66450000</v>
      </c>
      <c r="K2708" s="195">
        <f>+I2708+J2708</f>
        <v>67230000</v>
      </c>
    </row>
    <row r="2709" spans="8:14">
      <c r="H2709" s="72">
        <v>721</v>
      </c>
      <c r="I2709" s="80">
        <f>+O2689+O2691+O2693+O2695+O2697</f>
        <v>204000</v>
      </c>
      <c r="J2709" s="74">
        <f>+K2672</f>
        <v>112233634</v>
      </c>
      <c r="K2709" s="195">
        <f>+I2709+J2709</f>
        <v>112437634</v>
      </c>
    </row>
    <row r="2710" spans="8:14">
      <c r="H2710" s="72">
        <v>722</v>
      </c>
      <c r="I2710" s="80"/>
      <c r="J2710" s="74">
        <f>+K2673</f>
        <v>57831494</v>
      </c>
      <c r="K2710" s="195">
        <f>+I2710+J2710</f>
        <v>57831494</v>
      </c>
    </row>
    <row r="2711" spans="8:14" ht="15.75">
      <c r="H2711" s="72">
        <v>723</v>
      </c>
      <c r="I2711" s="80"/>
      <c r="J2711" s="74">
        <f>+K2674</f>
        <v>303456463</v>
      </c>
      <c r="K2711" s="195">
        <f>+I2711+J2711</f>
        <v>303456463</v>
      </c>
      <c r="M2711" s="193" t="s">
        <v>289</v>
      </c>
      <c r="N2711" s="175"/>
    </row>
    <row r="2712" spans="8:14" ht="16.5" thickBot="1">
      <c r="H2712" s="164" t="s">
        <v>1077</v>
      </c>
      <c r="I2712" s="165"/>
      <c r="J2712" s="74">
        <f>+K2675</f>
        <v>797500</v>
      </c>
      <c r="K2712" s="196">
        <f>+I2712+J2712</f>
        <v>797500</v>
      </c>
      <c r="M2712" s="52"/>
    </row>
    <row r="2713" spans="8:14" ht="16.5" thickBot="1">
      <c r="H2713" s="169"/>
      <c r="I2713" s="197">
        <f>SUM(I2708:I2712)</f>
        <v>984000</v>
      </c>
      <c r="J2713" s="197">
        <f>SUM(J2708:J2712)</f>
        <v>540769091</v>
      </c>
      <c r="K2713" s="198">
        <f>SUM(K2708:K2712)</f>
        <v>541753091</v>
      </c>
    </row>
    <row r="2714" spans="8:14" ht="16.5">
      <c r="H2714" s="49" t="s">
        <v>88</v>
      </c>
      <c r="I2714" s="50"/>
    </row>
    <row r="2715" spans="8:14">
      <c r="H2715" s="51" t="s">
        <v>89</v>
      </c>
    </row>
    <row r="2716" spans="8:14">
      <c r="H2716" s="51" t="s">
        <v>90</v>
      </c>
    </row>
    <row r="2717" spans="8:14">
      <c r="H2717" s="51" t="s">
        <v>91</v>
      </c>
    </row>
    <row r="2718" spans="8:14" ht="11.25" customHeight="1">
      <c r="H2718" s="50"/>
      <c r="I2718" s="50"/>
    </row>
    <row r="2719" spans="8:14" ht="15.75">
      <c r="H2719" s="260" t="s">
        <v>1162</v>
      </c>
      <c r="N2719" s="52"/>
    </row>
    <row r="2720" spans="8:14" ht="15.75">
      <c r="H2720" s="53" t="s">
        <v>535</v>
      </c>
      <c r="N2720" s="53"/>
    </row>
    <row r="2721" spans="8:15" ht="16.5">
      <c r="H2721" s="894" t="s">
        <v>1078</v>
      </c>
      <c r="I2721" s="894"/>
      <c r="J2721" s="894"/>
      <c r="K2721" s="894"/>
      <c r="L2721" s="894"/>
      <c r="M2721" s="894"/>
      <c r="N2721" s="894"/>
      <c r="O2721" s="894"/>
    </row>
    <row r="2722" spans="8:15" ht="13.5" customHeight="1" thickBot="1"/>
    <row r="2723" spans="8:15">
      <c r="H2723" s="895" t="s">
        <v>94</v>
      </c>
      <c r="I2723" s="897" t="s">
        <v>95</v>
      </c>
      <c r="J2723" s="897" t="s">
        <v>96</v>
      </c>
      <c r="K2723" s="897" t="s">
        <v>3</v>
      </c>
      <c r="L2723" s="897" t="s">
        <v>97</v>
      </c>
      <c r="M2723" s="897" t="s">
        <v>98</v>
      </c>
      <c r="N2723" s="897" t="s">
        <v>99</v>
      </c>
      <c r="O2723" s="899"/>
    </row>
    <row r="2724" spans="8:15" ht="15.75" thickBot="1">
      <c r="H2724" s="896"/>
      <c r="I2724" s="898"/>
      <c r="J2724" s="898"/>
      <c r="K2724" s="898"/>
      <c r="L2724" s="898"/>
      <c r="M2724" s="898"/>
      <c r="N2724" s="240" t="s">
        <v>100</v>
      </c>
      <c r="O2724" s="182" t="s">
        <v>101</v>
      </c>
    </row>
    <row r="2725" spans="8:15">
      <c r="H2725" s="881">
        <v>290</v>
      </c>
      <c r="I2725" s="875">
        <v>42655</v>
      </c>
      <c r="J2725" s="877" t="s">
        <v>1139</v>
      </c>
      <c r="K2725" s="879" t="s">
        <v>1146</v>
      </c>
      <c r="L2725" s="881" t="s">
        <v>148</v>
      </c>
      <c r="M2725" s="883">
        <v>52000</v>
      </c>
      <c r="N2725" s="55">
        <v>719</v>
      </c>
      <c r="O2725" s="78">
        <v>40000</v>
      </c>
    </row>
    <row r="2726" spans="8:15" ht="13.5" customHeight="1" thickBot="1">
      <c r="H2726" s="882"/>
      <c r="I2726" s="876"/>
      <c r="J2726" s="878"/>
      <c r="K2726" s="880"/>
      <c r="L2726" s="882"/>
      <c r="M2726" s="884"/>
      <c r="N2726" s="56">
        <v>721</v>
      </c>
      <c r="O2726" s="79">
        <f>+M2725-O2725</f>
        <v>12000</v>
      </c>
    </row>
    <row r="2727" spans="8:15">
      <c r="H2727" s="881">
        <v>291</v>
      </c>
      <c r="I2727" s="875">
        <v>42655</v>
      </c>
      <c r="J2727" s="877" t="s">
        <v>1139</v>
      </c>
      <c r="K2727" s="879" t="s">
        <v>1150</v>
      </c>
      <c r="L2727" s="881" t="s">
        <v>148</v>
      </c>
      <c r="M2727" s="883">
        <v>78000</v>
      </c>
      <c r="N2727" s="55">
        <v>719</v>
      </c>
      <c r="O2727" s="78">
        <v>60000</v>
      </c>
    </row>
    <row r="2728" spans="8:15" ht="15.75" thickBot="1">
      <c r="H2728" s="882"/>
      <c r="I2728" s="876"/>
      <c r="J2728" s="878"/>
      <c r="K2728" s="880"/>
      <c r="L2728" s="882"/>
      <c r="M2728" s="884"/>
      <c r="N2728" s="56">
        <v>721</v>
      </c>
      <c r="O2728" s="79">
        <f>+M2727-O2727</f>
        <v>18000</v>
      </c>
    </row>
    <row r="2729" spans="8:15" ht="14.25" customHeight="1">
      <c r="H2729" s="881">
        <v>292</v>
      </c>
      <c r="I2729" s="875">
        <v>42655</v>
      </c>
      <c r="J2729" s="877" t="s">
        <v>1139</v>
      </c>
      <c r="K2729" s="879" t="s">
        <v>1141</v>
      </c>
      <c r="L2729" s="881" t="s">
        <v>148</v>
      </c>
      <c r="M2729" s="883">
        <v>46000</v>
      </c>
      <c r="N2729" s="55">
        <v>719</v>
      </c>
      <c r="O2729" s="78">
        <v>40000</v>
      </c>
    </row>
    <row r="2730" spans="8:15" ht="14.25" customHeight="1" thickBot="1">
      <c r="H2730" s="882"/>
      <c r="I2730" s="876"/>
      <c r="J2730" s="878"/>
      <c r="K2730" s="880"/>
      <c r="L2730" s="882"/>
      <c r="M2730" s="884"/>
      <c r="N2730" s="56">
        <v>721</v>
      </c>
      <c r="O2730" s="79">
        <f>+M2729-O2729</f>
        <v>6000</v>
      </c>
    </row>
    <row r="2731" spans="8:15">
      <c r="H2731" s="881">
        <v>293</v>
      </c>
      <c r="I2731" s="875">
        <v>42655</v>
      </c>
      <c r="J2731" s="877" t="s">
        <v>31</v>
      </c>
      <c r="K2731" s="879" t="s">
        <v>1155</v>
      </c>
      <c r="L2731" s="881" t="s">
        <v>148</v>
      </c>
      <c r="M2731" s="883">
        <v>1326000</v>
      </c>
      <c r="N2731" s="55">
        <v>719</v>
      </c>
      <c r="O2731" s="78">
        <v>1020000</v>
      </c>
    </row>
    <row r="2732" spans="8:15" ht="15.75" thickBot="1">
      <c r="H2732" s="882"/>
      <c r="I2732" s="876"/>
      <c r="J2732" s="878"/>
      <c r="K2732" s="880"/>
      <c r="L2732" s="882"/>
      <c r="M2732" s="884"/>
      <c r="N2732" s="56">
        <v>721</v>
      </c>
      <c r="O2732" s="79">
        <f>+M2731-O2731</f>
        <v>306000</v>
      </c>
    </row>
    <row r="2733" spans="8:15" ht="13.5" customHeight="1">
      <c r="H2733" s="881"/>
      <c r="I2733" s="875"/>
      <c r="J2733" s="877"/>
      <c r="K2733" s="879"/>
      <c r="L2733" s="881"/>
      <c r="M2733" s="883"/>
      <c r="N2733" s="55">
        <v>719</v>
      </c>
      <c r="O2733" s="78"/>
    </row>
    <row r="2734" spans="8:15" ht="13.5" customHeight="1" thickBot="1">
      <c r="H2734" s="882"/>
      <c r="I2734" s="876"/>
      <c r="J2734" s="878"/>
      <c r="K2734" s="880"/>
      <c r="L2734" s="882"/>
      <c r="M2734" s="884"/>
      <c r="N2734" s="56">
        <v>721</v>
      </c>
      <c r="O2734" s="79">
        <f>+M2733-O2733</f>
        <v>0</v>
      </c>
    </row>
    <row r="2735" spans="8:15" ht="16.5" thickBot="1">
      <c r="H2735" s="901" t="s">
        <v>102</v>
      </c>
      <c r="I2735" s="902"/>
      <c r="J2735" s="902"/>
      <c r="K2735" s="902"/>
      <c r="L2735" s="903"/>
      <c r="M2735" s="81">
        <f>SUM(M2725:M2734)</f>
        <v>1502000</v>
      </c>
    </row>
    <row r="2736" spans="8:15" ht="16.5" thickBot="1">
      <c r="H2736" s="885" t="s">
        <v>103</v>
      </c>
      <c r="I2736" s="886"/>
      <c r="J2736" s="886"/>
      <c r="K2736" s="886"/>
      <c r="L2736" s="887"/>
      <c r="M2736" s="69">
        <f>+M2700</f>
        <v>541823091</v>
      </c>
      <c r="N2736" s="241" t="s">
        <v>561</v>
      </c>
      <c r="O2736" s="242">
        <v>1556</v>
      </c>
    </row>
    <row r="2737" spans="8:14" ht="16.5" thickBot="1">
      <c r="H2737" s="888" t="s">
        <v>104</v>
      </c>
      <c r="I2737" s="889"/>
      <c r="J2737" s="889"/>
      <c r="K2737" s="889"/>
      <c r="L2737" s="890"/>
      <c r="M2737" s="183">
        <f>SUM(M2735:M2736)</f>
        <v>543325091</v>
      </c>
    </row>
    <row r="2738" spans="8:14" ht="12.75" customHeight="1">
      <c r="H2738" s="61"/>
      <c r="I2738" s="61"/>
      <c r="J2738" s="61"/>
      <c r="K2738" s="61"/>
      <c r="L2738" s="61"/>
    </row>
    <row r="2739" spans="8:14">
      <c r="H2739" s="51" t="s">
        <v>1163</v>
      </c>
    </row>
    <row r="2740" spans="8:14" ht="14.25" customHeight="1">
      <c r="M2740" s="139"/>
    </row>
    <row r="2741" spans="8:14">
      <c r="H2741" s="50" t="s">
        <v>105</v>
      </c>
      <c r="K2741" s="146"/>
      <c r="M2741" s="139"/>
    </row>
    <row r="2742" spans="8:14" ht="13.5" customHeight="1" thickBot="1"/>
    <row r="2743" spans="8:14" ht="15.75" thickBot="1">
      <c r="H2743" s="891" t="s">
        <v>106</v>
      </c>
      <c r="I2743" s="892"/>
      <c r="J2743" s="892"/>
      <c r="K2743" s="893"/>
      <c r="M2743" s="50" t="s">
        <v>288</v>
      </c>
    </row>
    <row r="2744" spans="8:14" ht="30.75" thickBot="1">
      <c r="H2744" s="57" t="s">
        <v>100</v>
      </c>
      <c r="I2744" s="58" t="s">
        <v>108</v>
      </c>
      <c r="J2744" s="287" t="s">
        <v>109</v>
      </c>
      <c r="K2744" s="60" t="s">
        <v>110</v>
      </c>
    </row>
    <row r="2745" spans="8:14">
      <c r="H2745" s="71">
        <v>719</v>
      </c>
      <c r="I2745" s="73">
        <f>+O2725+O2727+O2729+O2731</f>
        <v>1160000</v>
      </c>
      <c r="J2745" s="74">
        <f>+K2708</f>
        <v>67230000</v>
      </c>
      <c r="K2745" s="195">
        <f>+I2745+J2745</f>
        <v>68390000</v>
      </c>
    </row>
    <row r="2746" spans="8:14">
      <c r="H2746" s="72">
        <v>721</v>
      </c>
      <c r="I2746" s="80">
        <f>+O2726+O2728+O2730+O2732+O2734</f>
        <v>342000</v>
      </c>
      <c r="J2746" s="74">
        <f>+K2709</f>
        <v>112437634</v>
      </c>
      <c r="K2746" s="195">
        <f>+I2746+J2746</f>
        <v>112779634</v>
      </c>
    </row>
    <row r="2747" spans="8:14">
      <c r="H2747" s="72">
        <v>722</v>
      </c>
      <c r="I2747" s="80"/>
      <c r="J2747" s="74">
        <f>+K2710</f>
        <v>57831494</v>
      </c>
      <c r="K2747" s="195">
        <f>+I2747+J2747</f>
        <v>57831494</v>
      </c>
    </row>
    <row r="2748" spans="8:14" ht="15.75">
      <c r="H2748" s="72">
        <v>723</v>
      </c>
      <c r="I2748" s="80"/>
      <c r="J2748" s="74">
        <f>+K2711</f>
        <v>303456463</v>
      </c>
      <c r="K2748" s="195">
        <f>+I2748+J2748</f>
        <v>303456463</v>
      </c>
      <c r="M2748" s="193" t="s">
        <v>289</v>
      </c>
      <c r="N2748" s="175"/>
    </row>
    <row r="2749" spans="8:14" ht="16.5" thickBot="1">
      <c r="H2749" s="164" t="s">
        <v>1077</v>
      </c>
      <c r="I2749" s="165"/>
      <c r="J2749" s="74">
        <f>+K2712</f>
        <v>797500</v>
      </c>
      <c r="K2749" s="196">
        <f>+I2749+J2749</f>
        <v>797500</v>
      </c>
      <c r="M2749" s="52"/>
    </row>
    <row r="2750" spans="8:14" ht="16.5" thickBot="1">
      <c r="H2750" s="169"/>
      <c r="I2750" s="197">
        <f>SUM(I2745:I2749)</f>
        <v>1502000</v>
      </c>
      <c r="J2750" s="197">
        <f>SUM(J2745:J2749)</f>
        <v>541753091</v>
      </c>
      <c r="K2750" s="198">
        <f>SUM(K2745:K2749)</f>
        <v>543255091</v>
      </c>
    </row>
    <row r="2751" spans="8:14" ht="16.5">
      <c r="H2751" s="49" t="s">
        <v>88</v>
      </c>
      <c r="I2751" s="50"/>
    </row>
    <row r="2752" spans="8:14">
      <c r="H2752" s="51" t="s">
        <v>89</v>
      </c>
    </row>
    <row r="2753" spans="8:15">
      <c r="H2753" s="51" t="s">
        <v>90</v>
      </c>
    </row>
    <row r="2754" spans="8:15">
      <c r="H2754" s="51" t="s">
        <v>91</v>
      </c>
    </row>
    <row r="2755" spans="8:15" ht="11.25" customHeight="1">
      <c r="H2755" s="50"/>
      <c r="I2755" s="50"/>
    </row>
    <row r="2756" spans="8:15" ht="15.75">
      <c r="H2756" s="260" t="s">
        <v>1164</v>
      </c>
      <c r="N2756" s="52"/>
    </row>
    <row r="2757" spans="8:15" ht="15.75">
      <c r="H2757" s="53" t="s">
        <v>535</v>
      </c>
      <c r="N2757" s="53"/>
    </row>
    <row r="2758" spans="8:15" ht="16.5">
      <c r="H2758" s="894" t="s">
        <v>1078</v>
      </c>
      <c r="I2758" s="894"/>
      <c r="J2758" s="894"/>
      <c r="K2758" s="894"/>
      <c r="L2758" s="894"/>
      <c r="M2758" s="894"/>
      <c r="N2758" s="894"/>
      <c r="O2758" s="894"/>
    </row>
    <row r="2759" spans="8:15" ht="15.75" thickBot="1"/>
    <row r="2760" spans="8:15">
      <c r="H2760" s="895" t="s">
        <v>94</v>
      </c>
      <c r="I2760" s="897" t="s">
        <v>95</v>
      </c>
      <c r="J2760" s="897" t="s">
        <v>96</v>
      </c>
      <c r="K2760" s="897" t="s">
        <v>3</v>
      </c>
      <c r="L2760" s="897" t="s">
        <v>97</v>
      </c>
      <c r="M2760" s="897" t="s">
        <v>98</v>
      </c>
      <c r="N2760" s="897" t="s">
        <v>99</v>
      </c>
      <c r="O2760" s="899"/>
    </row>
    <row r="2761" spans="8:15" ht="15.75" thickBot="1">
      <c r="H2761" s="896"/>
      <c r="I2761" s="898"/>
      <c r="J2761" s="898"/>
      <c r="K2761" s="898"/>
      <c r="L2761" s="898"/>
      <c r="M2761" s="898"/>
      <c r="N2761" s="240" t="s">
        <v>100</v>
      </c>
      <c r="O2761" s="182" t="s">
        <v>101</v>
      </c>
    </row>
    <row r="2762" spans="8:15">
      <c r="H2762" s="881">
        <v>294</v>
      </c>
      <c r="I2762" s="875">
        <v>42657</v>
      </c>
      <c r="J2762" s="877" t="s">
        <v>1014</v>
      </c>
      <c r="K2762" s="879" t="s">
        <v>1167</v>
      </c>
      <c r="L2762" s="881" t="s">
        <v>115</v>
      </c>
      <c r="M2762" s="883">
        <v>110000</v>
      </c>
      <c r="N2762" s="55">
        <v>719</v>
      </c>
      <c r="O2762" s="78">
        <v>110000</v>
      </c>
    </row>
    <row r="2763" spans="8:15" ht="15.75" thickBot="1">
      <c r="H2763" s="882"/>
      <c r="I2763" s="876"/>
      <c r="J2763" s="878"/>
      <c r="K2763" s="880"/>
      <c r="L2763" s="882"/>
      <c r="M2763" s="884"/>
      <c r="N2763" s="56">
        <v>721</v>
      </c>
      <c r="O2763" s="79">
        <f>+M2762-O2762</f>
        <v>0</v>
      </c>
    </row>
    <row r="2764" spans="8:15" ht="15" customHeight="1">
      <c r="H2764" s="881">
        <v>295</v>
      </c>
      <c r="I2764" s="875">
        <v>42657</v>
      </c>
      <c r="J2764" s="877" t="s">
        <v>28</v>
      </c>
      <c r="K2764" s="879" t="s">
        <v>1166</v>
      </c>
      <c r="L2764" s="881" t="s">
        <v>115</v>
      </c>
      <c r="M2764" s="883">
        <v>70000</v>
      </c>
      <c r="N2764" s="55">
        <v>719</v>
      </c>
      <c r="O2764" s="78">
        <v>70000</v>
      </c>
    </row>
    <row r="2765" spans="8:15" ht="14.25" customHeight="1" thickBot="1">
      <c r="H2765" s="882"/>
      <c r="I2765" s="876"/>
      <c r="J2765" s="878"/>
      <c r="K2765" s="880"/>
      <c r="L2765" s="882"/>
      <c r="M2765" s="884"/>
      <c r="N2765" s="56">
        <v>721</v>
      </c>
      <c r="O2765" s="79">
        <f>+M2764-O2764</f>
        <v>0</v>
      </c>
    </row>
    <row r="2766" spans="8:15" ht="14.25" customHeight="1">
      <c r="H2766" s="881">
        <v>296</v>
      </c>
      <c r="I2766" s="875">
        <v>42657</v>
      </c>
      <c r="J2766" s="877" t="s">
        <v>120</v>
      </c>
      <c r="K2766" s="879" t="s">
        <v>1165</v>
      </c>
      <c r="L2766" s="881" t="s">
        <v>115</v>
      </c>
      <c r="M2766" s="883">
        <v>200000</v>
      </c>
      <c r="N2766" s="55">
        <v>719</v>
      </c>
      <c r="O2766" s="78">
        <v>200000</v>
      </c>
    </row>
    <row r="2767" spans="8:15" ht="15.75" customHeight="1" thickBot="1">
      <c r="H2767" s="882"/>
      <c r="I2767" s="876"/>
      <c r="J2767" s="878"/>
      <c r="K2767" s="880"/>
      <c r="L2767" s="882"/>
      <c r="M2767" s="884"/>
      <c r="N2767" s="56">
        <v>721</v>
      </c>
      <c r="O2767" s="79">
        <f>+M2766-O2766</f>
        <v>0</v>
      </c>
    </row>
    <row r="2768" spans="8:15">
      <c r="H2768" s="881"/>
      <c r="I2768" s="875"/>
      <c r="J2768" s="877"/>
      <c r="K2768" s="879"/>
      <c r="L2768" s="881"/>
      <c r="M2768" s="883"/>
      <c r="N2768" s="55">
        <v>719</v>
      </c>
      <c r="O2768" s="78">
        <v>0</v>
      </c>
    </row>
    <row r="2769" spans="8:15" ht="13.5" customHeight="1" thickBot="1">
      <c r="H2769" s="882"/>
      <c r="I2769" s="876"/>
      <c r="J2769" s="878"/>
      <c r="K2769" s="880"/>
      <c r="L2769" s="882"/>
      <c r="M2769" s="884"/>
      <c r="N2769" s="56">
        <v>721</v>
      </c>
      <c r="O2769" s="79">
        <f>+M2768-O2768</f>
        <v>0</v>
      </c>
    </row>
    <row r="2770" spans="8:15">
      <c r="H2770" s="881"/>
      <c r="I2770" s="875"/>
      <c r="J2770" s="877"/>
      <c r="K2770" s="879"/>
      <c r="L2770" s="881"/>
      <c r="M2770" s="883"/>
      <c r="N2770" s="55">
        <v>719</v>
      </c>
      <c r="O2770" s="78"/>
    </row>
    <row r="2771" spans="8:15" ht="14.25" customHeight="1" thickBot="1">
      <c r="H2771" s="882"/>
      <c r="I2771" s="876"/>
      <c r="J2771" s="878"/>
      <c r="K2771" s="880"/>
      <c r="L2771" s="882"/>
      <c r="M2771" s="884"/>
      <c r="N2771" s="56">
        <v>721</v>
      </c>
      <c r="O2771" s="79">
        <f>+M2770-O2770</f>
        <v>0</v>
      </c>
    </row>
    <row r="2772" spans="8:15" ht="16.5" thickBot="1">
      <c r="H2772" s="901" t="s">
        <v>102</v>
      </c>
      <c r="I2772" s="902"/>
      <c r="J2772" s="902"/>
      <c r="K2772" s="902"/>
      <c r="L2772" s="903"/>
      <c r="M2772" s="81">
        <f>SUM(M2762:M2771)</f>
        <v>380000</v>
      </c>
    </row>
    <row r="2773" spans="8:15" ht="16.5" thickBot="1">
      <c r="H2773" s="885" t="s">
        <v>103</v>
      </c>
      <c r="I2773" s="886"/>
      <c r="J2773" s="886"/>
      <c r="K2773" s="886"/>
      <c r="L2773" s="887"/>
      <c r="M2773" s="69">
        <f>+M2737</f>
        <v>543325091</v>
      </c>
      <c r="N2773" s="241" t="s">
        <v>561</v>
      </c>
      <c r="O2773" s="242">
        <f>328+189+267</f>
        <v>784</v>
      </c>
    </row>
    <row r="2774" spans="8:15" ht="16.5" thickBot="1">
      <c r="H2774" s="888" t="s">
        <v>104</v>
      </c>
      <c r="I2774" s="889"/>
      <c r="J2774" s="889"/>
      <c r="K2774" s="889"/>
      <c r="L2774" s="890"/>
      <c r="M2774" s="183">
        <f>SUM(M2772:M2773)</f>
        <v>543705091</v>
      </c>
    </row>
    <row r="2775" spans="8:15">
      <c r="H2775" s="61"/>
      <c r="I2775" s="61"/>
      <c r="J2775" s="61"/>
      <c r="K2775" s="61"/>
      <c r="L2775" s="61"/>
    </row>
    <row r="2776" spans="8:15">
      <c r="H2776" s="51" t="s">
        <v>1168</v>
      </c>
    </row>
    <row r="2777" spans="8:15" ht="12.75" customHeight="1">
      <c r="M2777" s="139"/>
    </row>
    <row r="2778" spans="8:15">
      <c r="H2778" s="50" t="s">
        <v>105</v>
      </c>
      <c r="K2778" s="146"/>
      <c r="M2778" s="139"/>
    </row>
    <row r="2779" spans="8:15" ht="13.5" customHeight="1" thickBot="1"/>
    <row r="2780" spans="8:15" ht="15.75" thickBot="1">
      <c r="H2780" s="891" t="s">
        <v>106</v>
      </c>
      <c r="I2780" s="892"/>
      <c r="J2780" s="892"/>
      <c r="K2780" s="893"/>
      <c r="M2780" s="50" t="s">
        <v>288</v>
      </c>
    </row>
    <row r="2781" spans="8:15" ht="30.75" thickBot="1">
      <c r="H2781" s="57" t="s">
        <v>100</v>
      </c>
      <c r="I2781" s="58" t="s">
        <v>108</v>
      </c>
      <c r="J2781" s="287" t="s">
        <v>109</v>
      </c>
      <c r="K2781" s="60" t="s">
        <v>110</v>
      </c>
    </row>
    <row r="2782" spans="8:15">
      <c r="H2782" s="71">
        <v>719</v>
      </c>
      <c r="I2782" s="73">
        <f>+O2762+O2764+O2766+O2768</f>
        <v>380000</v>
      </c>
      <c r="J2782" s="74">
        <f>+K2745</f>
        <v>68390000</v>
      </c>
      <c r="K2782" s="195">
        <f>+I2782+J2782</f>
        <v>68770000</v>
      </c>
    </row>
    <row r="2783" spans="8:15">
      <c r="H2783" s="72">
        <v>721</v>
      </c>
      <c r="I2783" s="80">
        <f>+O2763+O2765+O2767+O2769+O2771</f>
        <v>0</v>
      </c>
      <c r="J2783" s="74">
        <f>+K2746</f>
        <v>112779634</v>
      </c>
      <c r="K2783" s="195">
        <f>+I2783+J2783</f>
        <v>112779634</v>
      </c>
    </row>
    <row r="2784" spans="8:15">
      <c r="H2784" s="72">
        <v>722</v>
      </c>
      <c r="I2784" s="80"/>
      <c r="J2784" s="74">
        <f>+K2747</f>
        <v>57831494</v>
      </c>
      <c r="K2784" s="195">
        <f>+I2784+J2784</f>
        <v>57831494</v>
      </c>
    </row>
    <row r="2785" spans="8:15" ht="15.75">
      <c r="H2785" s="72">
        <v>723</v>
      </c>
      <c r="I2785" s="80"/>
      <c r="J2785" s="74">
        <f>+K2748</f>
        <v>303456463</v>
      </c>
      <c r="K2785" s="195">
        <f>+I2785+J2785</f>
        <v>303456463</v>
      </c>
      <c r="M2785" s="193" t="s">
        <v>289</v>
      </c>
      <c r="N2785" s="175"/>
    </row>
    <row r="2786" spans="8:15" ht="16.5" thickBot="1">
      <c r="H2786" s="164" t="s">
        <v>1077</v>
      </c>
      <c r="I2786" s="165"/>
      <c r="J2786" s="74">
        <f>+K2749</f>
        <v>797500</v>
      </c>
      <c r="K2786" s="196">
        <f>+I2786+J2786</f>
        <v>797500</v>
      </c>
      <c r="M2786" s="52"/>
    </row>
    <row r="2787" spans="8:15" ht="16.5" thickBot="1">
      <c r="H2787" s="169"/>
      <c r="I2787" s="197">
        <f>SUM(I2782:I2786)</f>
        <v>380000</v>
      </c>
      <c r="J2787" s="197">
        <f>SUM(J2782:J2786)</f>
        <v>543255091</v>
      </c>
      <c r="K2787" s="198">
        <f>SUM(K2782:K2786)</f>
        <v>543635091</v>
      </c>
    </row>
    <row r="2788" spans="8:15" ht="16.5">
      <c r="H2788" s="49" t="s">
        <v>88</v>
      </c>
      <c r="I2788" s="50"/>
    </row>
    <row r="2789" spans="8:15">
      <c r="H2789" s="51" t="s">
        <v>89</v>
      </c>
    </row>
    <row r="2790" spans="8:15">
      <c r="H2790" s="51" t="s">
        <v>90</v>
      </c>
    </row>
    <row r="2791" spans="8:15">
      <c r="H2791" s="51" t="s">
        <v>91</v>
      </c>
    </row>
    <row r="2792" spans="8:15" ht="10.5" customHeight="1">
      <c r="H2792" s="50"/>
      <c r="I2792" s="50"/>
    </row>
    <row r="2793" spans="8:15" ht="15.75">
      <c r="H2793" s="260" t="s">
        <v>1169</v>
      </c>
      <c r="N2793" s="52"/>
    </row>
    <row r="2794" spans="8:15" ht="15.75">
      <c r="H2794" s="53" t="s">
        <v>535</v>
      </c>
      <c r="N2794" s="53"/>
    </row>
    <row r="2795" spans="8:15" ht="16.5">
      <c r="H2795" s="894" t="s">
        <v>1205</v>
      </c>
      <c r="I2795" s="894"/>
      <c r="J2795" s="894"/>
      <c r="K2795" s="894"/>
      <c r="L2795" s="894"/>
      <c r="M2795" s="894"/>
      <c r="N2795" s="894"/>
      <c r="O2795" s="894"/>
    </row>
    <row r="2796" spans="8:15" ht="15.75" thickBot="1"/>
    <row r="2797" spans="8:15">
      <c r="H2797" s="895" t="s">
        <v>94</v>
      </c>
      <c r="I2797" s="897" t="s">
        <v>95</v>
      </c>
      <c r="J2797" s="897" t="s">
        <v>96</v>
      </c>
      <c r="K2797" s="897" t="s">
        <v>3</v>
      </c>
      <c r="L2797" s="897" t="s">
        <v>97</v>
      </c>
      <c r="M2797" s="897" t="s">
        <v>98</v>
      </c>
      <c r="N2797" s="897" t="s">
        <v>99</v>
      </c>
      <c r="O2797" s="899"/>
    </row>
    <row r="2798" spans="8:15" ht="15.75" thickBot="1">
      <c r="H2798" s="896"/>
      <c r="I2798" s="898"/>
      <c r="J2798" s="898"/>
      <c r="K2798" s="898"/>
      <c r="L2798" s="898"/>
      <c r="M2798" s="898"/>
      <c r="N2798" s="240" t="s">
        <v>100</v>
      </c>
      <c r="O2798" s="182" t="s">
        <v>101</v>
      </c>
    </row>
    <row r="2799" spans="8:15" ht="14.25" customHeight="1">
      <c r="H2799" s="881">
        <v>297</v>
      </c>
      <c r="I2799" s="875">
        <v>42660</v>
      </c>
      <c r="J2799" s="877" t="s">
        <v>350</v>
      </c>
      <c r="K2799" s="879" t="s">
        <v>921</v>
      </c>
      <c r="L2799" s="881" t="s">
        <v>148</v>
      </c>
      <c r="M2799" s="883">
        <v>260000</v>
      </c>
      <c r="N2799" s="55">
        <v>722</v>
      </c>
      <c r="O2799" s="78">
        <v>260000</v>
      </c>
    </row>
    <row r="2800" spans="8:15" ht="14.25" customHeight="1" thickBot="1">
      <c r="H2800" s="882"/>
      <c r="I2800" s="876"/>
      <c r="J2800" s="878"/>
      <c r="K2800" s="880"/>
      <c r="L2800" s="882"/>
      <c r="M2800" s="884"/>
      <c r="N2800" s="56">
        <v>721</v>
      </c>
      <c r="O2800" s="351">
        <f>+M2799-O2799</f>
        <v>0</v>
      </c>
    </row>
    <row r="2801" spans="8:15" ht="14.25" customHeight="1">
      <c r="H2801" s="881">
        <v>298</v>
      </c>
      <c r="I2801" s="875">
        <v>42660</v>
      </c>
      <c r="J2801" s="877" t="s">
        <v>1091</v>
      </c>
      <c r="K2801" s="879" t="s">
        <v>921</v>
      </c>
      <c r="L2801" s="881" t="s">
        <v>148</v>
      </c>
      <c r="M2801" s="883">
        <v>600000</v>
      </c>
      <c r="N2801" s="55">
        <v>722</v>
      </c>
      <c r="O2801" s="78">
        <v>600000</v>
      </c>
    </row>
    <row r="2802" spans="8:15" ht="13.5" customHeight="1" thickBot="1">
      <c r="H2802" s="882"/>
      <c r="I2802" s="876"/>
      <c r="J2802" s="878"/>
      <c r="K2802" s="880"/>
      <c r="L2802" s="882"/>
      <c r="M2802" s="884"/>
      <c r="N2802" s="56">
        <v>721</v>
      </c>
      <c r="O2802" s="352">
        <f>+M2801-O2801</f>
        <v>0</v>
      </c>
    </row>
    <row r="2803" spans="8:15" ht="15" customHeight="1">
      <c r="H2803" s="881">
        <v>299</v>
      </c>
      <c r="I2803" s="875">
        <v>42660</v>
      </c>
      <c r="J2803" s="877" t="s">
        <v>120</v>
      </c>
      <c r="K2803" s="879" t="s">
        <v>921</v>
      </c>
      <c r="L2803" s="881" t="s">
        <v>148</v>
      </c>
      <c r="M2803" s="883">
        <v>560000</v>
      </c>
      <c r="N2803" s="55">
        <v>722</v>
      </c>
      <c r="O2803" s="78">
        <v>560000</v>
      </c>
    </row>
    <row r="2804" spans="8:15" ht="13.5" customHeight="1" thickBot="1">
      <c r="H2804" s="882"/>
      <c r="I2804" s="876"/>
      <c r="J2804" s="878"/>
      <c r="K2804" s="880"/>
      <c r="L2804" s="882"/>
      <c r="M2804" s="884"/>
      <c r="N2804" s="56">
        <v>721</v>
      </c>
      <c r="O2804" s="352">
        <f>+M2803-O2803</f>
        <v>0</v>
      </c>
    </row>
    <row r="2805" spans="8:15" ht="15" customHeight="1">
      <c r="H2805" s="881">
        <v>300</v>
      </c>
      <c r="I2805" s="875">
        <v>42660</v>
      </c>
      <c r="J2805" s="877" t="s">
        <v>1171</v>
      </c>
      <c r="K2805" s="879" t="s">
        <v>921</v>
      </c>
      <c r="L2805" s="881" t="s">
        <v>148</v>
      </c>
      <c r="M2805" s="883">
        <v>1000000</v>
      </c>
      <c r="N2805" s="55">
        <v>722</v>
      </c>
      <c r="O2805" s="78">
        <v>1000000</v>
      </c>
    </row>
    <row r="2806" spans="8:15" ht="13.5" customHeight="1" thickBot="1">
      <c r="H2806" s="882"/>
      <c r="I2806" s="876"/>
      <c r="J2806" s="878"/>
      <c r="K2806" s="880"/>
      <c r="L2806" s="882"/>
      <c r="M2806" s="884"/>
      <c r="N2806" s="56">
        <v>721</v>
      </c>
      <c r="O2806" s="79">
        <f>+M2805-O2805</f>
        <v>0</v>
      </c>
    </row>
    <row r="2807" spans="8:15" ht="15" customHeight="1">
      <c r="H2807" s="881">
        <v>301</v>
      </c>
      <c r="I2807" s="875">
        <v>42660</v>
      </c>
      <c r="J2807" s="877" t="s">
        <v>40</v>
      </c>
      <c r="K2807" s="879" t="s">
        <v>921</v>
      </c>
      <c r="L2807" s="881" t="s">
        <v>148</v>
      </c>
      <c r="M2807" s="883">
        <v>200000</v>
      </c>
      <c r="N2807" s="55">
        <v>722</v>
      </c>
      <c r="O2807" s="78">
        <v>200000</v>
      </c>
    </row>
    <row r="2808" spans="8:15" ht="13.5" customHeight="1" thickBot="1">
      <c r="H2808" s="882"/>
      <c r="I2808" s="876"/>
      <c r="J2808" s="878"/>
      <c r="K2808" s="880"/>
      <c r="L2808" s="882"/>
      <c r="M2808" s="884"/>
      <c r="N2808" s="56">
        <v>721</v>
      </c>
      <c r="O2808" s="79">
        <f>+M2807-O2807</f>
        <v>0</v>
      </c>
    </row>
    <row r="2809" spans="8:15" ht="15" customHeight="1">
      <c r="H2809" s="881">
        <v>302</v>
      </c>
      <c r="I2809" s="875">
        <v>42660</v>
      </c>
      <c r="J2809" s="877" t="s">
        <v>1172</v>
      </c>
      <c r="K2809" s="879" t="s">
        <v>921</v>
      </c>
      <c r="L2809" s="881" t="s">
        <v>148</v>
      </c>
      <c r="M2809" s="883">
        <v>220000</v>
      </c>
      <c r="N2809" s="55">
        <v>722</v>
      </c>
      <c r="O2809" s="78">
        <v>220000</v>
      </c>
    </row>
    <row r="2810" spans="8:15" ht="13.5" customHeight="1" thickBot="1">
      <c r="H2810" s="882"/>
      <c r="I2810" s="876"/>
      <c r="J2810" s="878"/>
      <c r="K2810" s="880"/>
      <c r="L2810" s="882"/>
      <c r="M2810" s="884"/>
      <c r="N2810" s="56">
        <v>721</v>
      </c>
      <c r="O2810" s="79">
        <f>+M2809-O2809</f>
        <v>0</v>
      </c>
    </row>
    <row r="2811" spans="8:15" ht="15" customHeight="1" thickBot="1">
      <c r="H2811" s="901" t="s">
        <v>102</v>
      </c>
      <c r="I2811" s="902"/>
      <c r="J2811" s="902"/>
      <c r="K2811" s="902"/>
      <c r="L2811" s="903"/>
      <c r="M2811" s="81">
        <f>SUM(M2799:M2810)</f>
        <v>2840000</v>
      </c>
    </row>
    <row r="2812" spans="8:15" ht="16.5" thickBot="1">
      <c r="H2812" s="885" t="s">
        <v>103</v>
      </c>
      <c r="I2812" s="886"/>
      <c r="J2812" s="886"/>
      <c r="K2812" s="886"/>
      <c r="L2812" s="887"/>
      <c r="M2812" s="69">
        <f>+M2774</f>
        <v>543705091</v>
      </c>
      <c r="N2812" s="241" t="s">
        <v>561</v>
      </c>
      <c r="O2812" s="242"/>
    </row>
    <row r="2813" spans="8:15" ht="16.5" thickBot="1">
      <c r="H2813" s="888" t="s">
        <v>104</v>
      </c>
      <c r="I2813" s="889"/>
      <c r="J2813" s="889"/>
      <c r="K2813" s="889"/>
      <c r="L2813" s="890"/>
      <c r="M2813" s="183">
        <f>SUM(M2811:M2812)</f>
        <v>546545091</v>
      </c>
    </row>
    <row r="2814" spans="8:15" ht="12.75" customHeight="1">
      <c r="H2814" s="61"/>
      <c r="I2814" s="61"/>
      <c r="J2814" s="61"/>
      <c r="K2814" s="61"/>
      <c r="L2814" s="61"/>
    </row>
    <row r="2815" spans="8:15">
      <c r="H2815" s="51" t="s">
        <v>1173</v>
      </c>
    </row>
    <row r="2816" spans="8:15" ht="10.5" customHeight="1">
      <c r="M2816" s="139"/>
    </row>
    <row r="2817" spans="8:14">
      <c r="H2817" s="50" t="s">
        <v>105</v>
      </c>
      <c r="K2817" s="146"/>
      <c r="M2817" s="139"/>
    </row>
    <row r="2818" spans="8:14" ht="9" customHeight="1" thickBot="1"/>
    <row r="2819" spans="8:14" ht="15.75" thickBot="1">
      <c r="H2819" s="891" t="s">
        <v>106</v>
      </c>
      <c r="I2819" s="892"/>
      <c r="J2819" s="892"/>
      <c r="K2819" s="893"/>
      <c r="M2819" s="50" t="s">
        <v>288</v>
      </c>
    </row>
    <row r="2820" spans="8:14" ht="29.25" customHeight="1" thickBot="1">
      <c r="H2820" s="57" t="s">
        <v>100</v>
      </c>
      <c r="I2820" s="58" t="s">
        <v>108</v>
      </c>
      <c r="J2820" s="287" t="s">
        <v>109</v>
      </c>
      <c r="K2820" s="60" t="s">
        <v>110</v>
      </c>
    </row>
    <row r="2821" spans="8:14" ht="14.25" customHeight="1">
      <c r="H2821" s="71">
        <v>719</v>
      </c>
      <c r="I2821" s="73"/>
      <c r="J2821" s="74">
        <f>+K2782</f>
        <v>68770000</v>
      </c>
      <c r="K2821" s="195">
        <f>+I2821+J2821</f>
        <v>68770000</v>
      </c>
    </row>
    <row r="2822" spans="8:14">
      <c r="H2822" s="72">
        <v>721</v>
      </c>
      <c r="I2822" s="80">
        <f>+O2800+O2802+O2804+O2806+O2810+O2808</f>
        <v>0</v>
      </c>
      <c r="J2822" s="74">
        <f>+K2783</f>
        <v>112779634</v>
      </c>
      <c r="K2822" s="195">
        <f>+I2822+J2822</f>
        <v>112779634</v>
      </c>
    </row>
    <row r="2823" spans="8:14">
      <c r="H2823" s="72">
        <v>722</v>
      </c>
      <c r="I2823" s="80">
        <f>+O2799+O2801+O2803+O2805+O2807+O2809</f>
        <v>2840000</v>
      </c>
      <c r="J2823" s="74">
        <f>+K2784</f>
        <v>57831494</v>
      </c>
      <c r="K2823" s="195">
        <f>+I2823+J2823</f>
        <v>60671494</v>
      </c>
    </row>
    <row r="2824" spans="8:14" ht="15" customHeight="1">
      <c r="H2824" s="72">
        <v>723</v>
      </c>
      <c r="I2824" s="80"/>
      <c r="J2824" s="74">
        <f>+K2785</f>
        <v>303456463</v>
      </c>
      <c r="K2824" s="195">
        <f>+I2824+J2824</f>
        <v>303456463</v>
      </c>
      <c r="M2824" s="193" t="s">
        <v>289</v>
      </c>
      <c r="N2824" s="175"/>
    </row>
    <row r="2825" spans="8:14" ht="14.25" customHeight="1" thickBot="1">
      <c r="H2825" s="164" t="s">
        <v>1077</v>
      </c>
      <c r="I2825" s="165"/>
      <c r="J2825" s="74">
        <f>+K2786</f>
        <v>797500</v>
      </c>
      <c r="K2825" s="196">
        <f>+I2825+J2825</f>
        <v>797500</v>
      </c>
      <c r="M2825" s="52"/>
    </row>
    <row r="2826" spans="8:14" ht="16.5" thickBot="1">
      <c r="H2826" s="169"/>
      <c r="I2826" s="197">
        <f>SUM(I2821:I2825)</f>
        <v>2840000</v>
      </c>
      <c r="J2826" s="197">
        <f>SUM(J2821:J2825)</f>
        <v>543635091</v>
      </c>
      <c r="K2826" s="198">
        <f>SUM(K2821:K2825)</f>
        <v>546475091</v>
      </c>
    </row>
    <row r="2827" spans="8:14" ht="16.5">
      <c r="H2827" s="49" t="s">
        <v>88</v>
      </c>
      <c r="I2827" s="50"/>
    </row>
    <row r="2828" spans="8:14">
      <c r="H2828" s="51" t="s">
        <v>89</v>
      </c>
    </row>
    <row r="2829" spans="8:14">
      <c r="H2829" s="51" t="s">
        <v>90</v>
      </c>
    </row>
    <row r="2830" spans="8:14">
      <c r="H2830" s="51" t="s">
        <v>91</v>
      </c>
    </row>
    <row r="2831" spans="8:14" ht="10.5" customHeight="1">
      <c r="H2831" s="50"/>
      <c r="I2831" s="50"/>
    </row>
    <row r="2832" spans="8:14" ht="15.75">
      <c r="H2832" s="260" t="s">
        <v>1170</v>
      </c>
      <c r="N2832" s="52"/>
    </row>
    <row r="2833" spans="8:15" ht="15.75">
      <c r="H2833" s="53" t="s">
        <v>535</v>
      </c>
      <c r="N2833" s="53"/>
    </row>
    <row r="2834" spans="8:15" ht="16.5">
      <c r="H2834" s="894" t="s">
        <v>1205</v>
      </c>
      <c r="I2834" s="894"/>
      <c r="J2834" s="894"/>
      <c r="K2834" s="894"/>
      <c r="L2834" s="894"/>
      <c r="M2834" s="894"/>
      <c r="N2834" s="894"/>
      <c r="O2834" s="894"/>
    </row>
    <row r="2835" spans="8:15" ht="12.75" customHeight="1" thickBot="1"/>
    <row r="2836" spans="8:15">
      <c r="H2836" s="895" t="s">
        <v>94</v>
      </c>
      <c r="I2836" s="897" t="s">
        <v>95</v>
      </c>
      <c r="J2836" s="897" t="s">
        <v>96</v>
      </c>
      <c r="K2836" s="897" t="s">
        <v>3</v>
      </c>
      <c r="L2836" s="897" t="s">
        <v>97</v>
      </c>
      <c r="M2836" s="897" t="s">
        <v>98</v>
      </c>
      <c r="N2836" s="897" t="s">
        <v>99</v>
      </c>
      <c r="O2836" s="899"/>
    </row>
    <row r="2837" spans="8:15" ht="15.75" thickBot="1">
      <c r="H2837" s="896"/>
      <c r="I2837" s="898"/>
      <c r="J2837" s="898"/>
      <c r="K2837" s="898"/>
      <c r="L2837" s="898"/>
      <c r="M2837" s="898"/>
      <c r="N2837" s="240" t="s">
        <v>100</v>
      </c>
      <c r="O2837" s="182" t="s">
        <v>101</v>
      </c>
    </row>
    <row r="2838" spans="8:15" ht="14.25" customHeight="1">
      <c r="H2838" s="881">
        <v>303</v>
      </c>
      <c r="I2838" s="875">
        <v>42660</v>
      </c>
      <c r="J2838" s="877" t="s">
        <v>1174</v>
      </c>
      <c r="K2838" s="879" t="s">
        <v>921</v>
      </c>
      <c r="L2838" s="881" t="s">
        <v>148</v>
      </c>
      <c r="M2838" s="883">
        <v>180000</v>
      </c>
      <c r="N2838" s="55">
        <v>722</v>
      </c>
      <c r="O2838" s="78">
        <v>180000</v>
      </c>
    </row>
    <row r="2839" spans="8:15" ht="12.75" customHeight="1" thickBot="1">
      <c r="H2839" s="882"/>
      <c r="I2839" s="876"/>
      <c r="J2839" s="878"/>
      <c r="K2839" s="880"/>
      <c r="L2839" s="882"/>
      <c r="M2839" s="884"/>
      <c r="N2839" s="56">
        <v>721</v>
      </c>
      <c r="O2839" s="351">
        <f>+M2838-O2838</f>
        <v>0</v>
      </c>
    </row>
    <row r="2840" spans="8:15">
      <c r="H2840" s="881">
        <v>304</v>
      </c>
      <c r="I2840" s="875">
        <v>42660</v>
      </c>
      <c r="J2840" s="877" t="s">
        <v>1175</v>
      </c>
      <c r="K2840" s="879" t="s">
        <v>921</v>
      </c>
      <c r="L2840" s="881" t="s">
        <v>148</v>
      </c>
      <c r="M2840" s="883">
        <v>160000</v>
      </c>
      <c r="N2840" s="55">
        <v>722</v>
      </c>
      <c r="O2840" s="78">
        <v>160000</v>
      </c>
    </row>
    <row r="2841" spans="8:15" ht="13.5" customHeight="1" thickBot="1">
      <c r="H2841" s="882"/>
      <c r="I2841" s="876"/>
      <c r="J2841" s="878"/>
      <c r="K2841" s="880"/>
      <c r="L2841" s="882"/>
      <c r="M2841" s="884"/>
      <c r="N2841" s="56">
        <v>721</v>
      </c>
      <c r="O2841" s="352">
        <f>+M2840-O2840</f>
        <v>0</v>
      </c>
    </row>
    <row r="2842" spans="8:15" ht="13.5" customHeight="1">
      <c r="H2842" s="881">
        <v>305</v>
      </c>
      <c r="I2842" s="875">
        <v>42660</v>
      </c>
      <c r="J2842" s="877" t="s">
        <v>1177</v>
      </c>
      <c r="K2842" s="879" t="s">
        <v>921</v>
      </c>
      <c r="L2842" s="881" t="s">
        <v>148</v>
      </c>
      <c r="M2842" s="883">
        <v>220000</v>
      </c>
      <c r="N2842" s="55">
        <v>722</v>
      </c>
      <c r="O2842" s="78">
        <v>220000</v>
      </c>
    </row>
    <row r="2843" spans="8:15" ht="12.75" customHeight="1" thickBot="1">
      <c r="H2843" s="882"/>
      <c r="I2843" s="876"/>
      <c r="J2843" s="878"/>
      <c r="K2843" s="880"/>
      <c r="L2843" s="882"/>
      <c r="M2843" s="884"/>
      <c r="N2843" s="56">
        <v>721</v>
      </c>
      <c r="O2843" s="352">
        <f>+M2842-O2842</f>
        <v>0</v>
      </c>
    </row>
    <row r="2844" spans="8:15">
      <c r="H2844" s="881">
        <v>306</v>
      </c>
      <c r="I2844" s="875">
        <v>42660</v>
      </c>
      <c r="J2844" s="877" t="s">
        <v>1176</v>
      </c>
      <c r="K2844" s="879" t="s">
        <v>921</v>
      </c>
      <c r="L2844" s="881" t="s">
        <v>148</v>
      </c>
      <c r="M2844" s="883">
        <v>40000</v>
      </c>
      <c r="N2844" s="55">
        <v>722</v>
      </c>
      <c r="O2844" s="78">
        <v>40000</v>
      </c>
    </row>
    <row r="2845" spans="8:15" ht="12" customHeight="1" thickBot="1">
      <c r="H2845" s="882"/>
      <c r="I2845" s="876"/>
      <c r="J2845" s="878"/>
      <c r="K2845" s="880"/>
      <c r="L2845" s="882"/>
      <c r="M2845" s="884"/>
      <c r="N2845" s="56">
        <v>721</v>
      </c>
      <c r="O2845" s="79">
        <f>+M2844-O2844</f>
        <v>0</v>
      </c>
    </row>
    <row r="2846" spans="8:15">
      <c r="H2846" s="881">
        <v>307</v>
      </c>
      <c r="I2846" s="875">
        <v>42660</v>
      </c>
      <c r="J2846" s="877" t="s">
        <v>738</v>
      </c>
      <c r="K2846" s="879" t="s">
        <v>921</v>
      </c>
      <c r="L2846" s="881" t="s">
        <v>148</v>
      </c>
      <c r="M2846" s="883">
        <v>20000</v>
      </c>
      <c r="N2846" s="55">
        <v>722</v>
      </c>
      <c r="O2846" s="78">
        <v>20000</v>
      </c>
    </row>
    <row r="2847" spans="8:15" ht="14.25" customHeight="1" thickBot="1">
      <c r="H2847" s="882"/>
      <c r="I2847" s="876"/>
      <c r="J2847" s="878"/>
      <c r="K2847" s="880"/>
      <c r="L2847" s="882"/>
      <c r="M2847" s="884"/>
      <c r="N2847" s="56">
        <v>721</v>
      </c>
      <c r="O2847" s="79">
        <f>+M2846-O2846</f>
        <v>0</v>
      </c>
    </row>
    <row r="2848" spans="8:15" ht="14.25" customHeight="1">
      <c r="H2848" s="881">
        <v>308</v>
      </c>
      <c r="I2848" s="875">
        <v>42660</v>
      </c>
      <c r="J2848" s="877" t="s">
        <v>1178</v>
      </c>
      <c r="K2848" s="879" t="s">
        <v>921</v>
      </c>
      <c r="L2848" s="881" t="s">
        <v>148</v>
      </c>
      <c r="M2848" s="883">
        <v>120000</v>
      </c>
      <c r="N2848" s="55">
        <v>722</v>
      </c>
      <c r="O2848" s="78">
        <v>120000</v>
      </c>
    </row>
    <row r="2849" spans="8:15" ht="13.5" customHeight="1" thickBot="1">
      <c r="H2849" s="882"/>
      <c r="I2849" s="876"/>
      <c r="J2849" s="878"/>
      <c r="K2849" s="880"/>
      <c r="L2849" s="882"/>
      <c r="M2849" s="884"/>
      <c r="N2849" s="56">
        <v>721</v>
      </c>
      <c r="O2849" s="79">
        <f>+M2848-O2848</f>
        <v>0</v>
      </c>
    </row>
    <row r="2850" spans="8:15" ht="16.5" thickBot="1">
      <c r="H2850" s="901" t="s">
        <v>102</v>
      </c>
      <c r="I2850" s="902"/>
      <c r="J2850" s="902"/>
      <c r="K2850" s="902"/>
      <c r="L2850" s="903"/>
      <c r="M2850" s="81">
        <f>SUM(M2838:M2849)</f>
        <v>740000</v>
      </c>
    </row>
    <row r="2851" spans="8:15" ht="16.5" thickBot="1">
      <c r="H2851" s="885" t="s">
        <v>103</v>
      </c>
      <c r="I2851" s="886"/>
      <c r="J2851" s="886"/>
      <c r="K2851" s="886"/>
      <c r="L2851" s="887"/>
      <c r="M2851" s="69">
        <f>+M2813</f>
        <v>546545091</v>
      </c>
      <c r="N2851" s="241" t="s">
        <v>561</v>
      </c>
      <c r="O2851" s="242"/>
    </row>
    <row r="2852" spans="8:15" ht="14.25" customHeight="1" thickBot="1">
      <c r="H2852" s="888" t="s">
        <v>104</v>
      </c>
      <c r="I2852" s="889"/>
      <c r="J2852" s="889"/>
      <c r="K2852" s="889"/>
      <c r="L2852" s="890"/>
      <c r="M2852" s="183">
        <f>SUM(M2850:M2851)</f>
        <v>547285091</v>
      </c>
    </row>
    <row r="2853" spans="8:15" ht="12.75" customHeight="1">
      <c r="H2853" s="61"/>
      <c r="I2853" s="61"/>
      <c r="J2853" s="61"/>
      <c r="K2853" s="61"/>
      <c r="L2853" s="61"/>
    </row>
    <row r="2854" spans="8:15">
      <c r="H2854" s="51" t="s">
        <v>1179</v>
      </c>
    </row>
    <row r="2855" spans="8:15" ht="10.5" customHeight="1">
      <c r="M2855" s="139"/>
    </row>
    <row r="2856" spans="8:15">
      <c r="H2856" s="50" t="s">
        <v>105</v>
      </c>
      <c r="K2856" s="146"/>
      <c r="M2856" s="139"/>
    </row>
    <row r="2857" spans="8:15" ht="12" customHeight="1" thickBot="1"/>
    <row r="2858" spans="8:15" ht="15.75" thickBot="1">
      <c r="H2858" s="891" t="s">
        <v>106</v>
      </c>
      <c r="I2858" s="892"/>
      <c r="J2858" s="892"/>
      <c r="K2858" s="893"/>
      <c r="M2858" s="50" t="s">
        <v>288</v>
      </c>
    </row>
    <row r="2859" spans="8:15" ht="30.75" thickBot="1">
      <c r="H2859" s="57" t="s">
        <v>100</v>
      </c>
      <c r="I2859" s="58" t="s">
        <v>108</v>
      </c>
      <c r="J2859" s="287" t="s">
        <v>109</v>
      </c>
      <c r="K2859" s="60" t="s">
        <v>110</v>
      </c>
    </row>
    <row r="2860" spans="8:15">
      <c r="H2860" s="71">
        <v>719</v>
      </c>
      <c r="I2860" s="73"/>
      <c r="J2860" s="74">
        <f>+K2821</f>
        <v>68770000</v>
      </c>
      <c r="K2860" s="195">
        <f>+I2860+J2860</f>
        <v>68770000</v>
      </c>
    </row>
    <row r="2861" spans="8:15">
      <c r="H2861" s="72">
        <v>721</v>
      </c>
      <c r="I2861" s="80">
        <f>+O2839+O2841+O2843+O2845+O2849+O2847</f>
        <v>0</v>
      </c>
      <c r="J2861" s="74">
        <f>+K2822</f>
        <v>112779634</v>
      </c>
      <c r="K2861" s="195">
        <f>+I2861+J2861</f>
        <v>112779634</v>
      </c>
    </row>
    <row r="2862" spans="8:15">
      <c r="H2862" s="72">
        <v>722</v>
      </c>
      <c r="I2862" s="80">
        <f>+O2838+O2840+O2842+O2844+O2846+O2848</f>
        <v>740000</v>
      </c>
      <c r="J2862" s="74">
        <f>+K2823</f>
        <v>60671494</v>
      </c>
      <c r="K2862" s="195">
        <f>+I2862+J2862</f>
        <v>61411494</v>
      </c>
    </row>
    <row r="2863" spans="8:15" ht="15.75">
      <c r="H2863" s="72">
        <v>723</v>
      </c>
      <c r="I2863" s="80"/>
      <c r="J2863" s="74">
        <f>+K2824</f>
        <v>303456463</v>
      </c>
      <c r="K2863" s="195">
        <f>+I2863+J2863</f>
        <v>303456463</v>
      </c>
      <c r="M2863" s="193" t="s">
        <v>289</v>
      </c>
      <c r="N2863" s="175"/>
    </row>
    <row r="2864" spans="8:15" ht="16.5" thickBot="1">
      <c r="H2864" s="164" t="s">
        <v>1077</v>
      </c>
      <c r="I2864" s="165"/>
      <c r="J2864" s="74">
        <f>+K2825</f>
        <v>797500</v>
      </c>
      <c r="K2864" s="196">
        <f>+I2864+J2864</f>
        <v>797500</v>
      </c>
      <c r="M2864" s="52"/>
    </row>
    <row r="2865" spans="8:15" ht="16.5" thickBot="1">
      <c r="H2865" s="169"/>
      <c r="I2865" s="197">
        <f>SUM(I2860:I2864)</f>
        <v>740000</v>
      </c>
      <c r="J2865" s="197">
        <f>SUM(J2860:J2864)</f>
        <v>546475091</v>
      </c>
      <c r="K2865" s="198">
        <f>SUM(K2860:K2864)</f>
        <v>547215091</v>
      </c>
    </row>
    <row r="2866" spans="8:15" ht="16.5">
      <c r="H2866" s="49" t="s">
        <v>88</v>
      </c>
      <c r="I2866" s="50"/>
    </row>
    <row r="2867" spans="8:15">
      <c r="H2867" s="51" t="s">
        <v>89</v>
      </c>
    </row>
    <row r="2868" spans="8:15">
      <c r="H2868" s="51" t="s">
        <v>90</v>
      </c>
    </row>
    <row r="2869" spans="8:15">
      <c r="H2869" s="51" t="s">
        <v>91</v>
      </c>
    </row>
    <row r="2870" spans="8:15" ht="9.75" customHeight="1">
      <c r="H2870" s="50"/>
      <c r="I2870" s="50"/>
    </row>
    <row r="2871" spans="8:15" ht="15.75">
      <c r="H2871" s="260" t="s">
        <v>1186</v>
      </c>
      <c r="N2871" s="52"/>
    </row>
    <row r="2872" spans="8:15" ht="15.75">
      <c r="H2872" s="53" t="s">
        <v>535</v>
      </c>
      <c r="N2872" s="53"/>
    </row>
    <row r="2873" spans="8:15" ht="16.5">
      <c r="H2873" s="894" t="s">
        <v>1190</v>
      </c>
      <c r="I2873" s="894"/>
      <c r="J2873" s="894"/>
      <c r="K2873" s="894"/>
      <c r="L2873" s="894"/>
      <c r="M2873" s="894"/>
      <c r="N2873" s="894"/>
      <c r="O2873" s="894"/>
    </row>
    <row r="2874" spans="8:15" ht="15.75" thickBot="1"/>
    <row r="2875" spans="8:15">
      <c r="H2875" s="895" t="s">
        <v>94</v>
      </c>
      <c r="I2875" s="897" t="s">
        <v>95</v>
      </c>
      <c r="J2875" s="897" t="s">
        <v>96</v>
      </c>
      <c r="K2875" s="897" t="s">
        <v>3</v>
      </c>
      <c r="L2875" s="897" t="s">
        <v>97</v>
      </c>
      <c r="M2875" s="897" t="s">
        <v>98</v>
      </c>
      <c r="N2875" s="897" t="s">
        <v>99</v>
      </c>
      <c r="O2875" s="899"/>
    </row>
    <row r="2876" spans="8:15" ht="15.75" thickBot="1">
      <c r="H2876" s="896"/>
      <c r="I2876" s="898"/>
      <c r="J2876" s="898"/>
      <c r="K2876" s="898"/>
      <c r="L2876" s="898"/>
      <c r="M2876" s="898"/>
      <c r="N2876" s="240" t="s">
        <v>100</v>
      </c>
      <c r="O2876" s="182" t="s">
        <v>101</v>
      </c>
    </row>
    <row r="2877" spans="8:15">
      <c r="H2877" s="881">
        <v>309</v>
      </c>
      <c r="I2877" s="875">
        <v>42674</v>
      </c>
      <c r="J2877" s="877" t="s">
        <v>738</v>
      </c>
      <c r="K2877" s="879" t="s">
        <v>1184</v>
      </c>
      <c r="L2877" s="881" t="s">
        <v>148</v>
      </c>
      <c r="M2877" s="883">
        <v>2672700</v>
      </c>
      <c r="N2877" s="55">
        <v>722</v>
      </c>
      <c r="O2877" s="78">
        <v>0</v>
      </c>
    </row>
    <row r="2878" spans="8:15" ht="15.75" thickBot="1">
      <c r="H2878" s="882"/>
      <c r="I2878" s="876"/>
      <c r="J2878" s="878"/>
      <c r="K2878" s="880"/>
      <c r="L2878" s="882"/>
      <c r="M2878" s="884"/>
      <c r="N2878" s="56">
        <v>721</v>
      </c>
      <c r="O2878" s="351">
        <f>+M2877-O2877</f>
        <v>2672700</v>
      </c>
    </row>
    <row r="2879" spans="8:15" ht="15" customHeight="1">
      <c r="H2879" s="881">
        <v>310</v>
      </c>
      <c r="I2879" s="875">
        <v>42674</v>
      </c>
      <c r="J2879" s="877" t="s">
        <v>738</v>
      </c>
      <c r="K2879" s="879" t="s">
        <v>1185</v>
      </c>
      <c r="L2879" s="881" t="s">
        <v>148</v>
      </c>
      <c r="M2879" s="883">
        <v>28216212</v>
      </c>
      <c r="N2879" s="55">
        <v>722</v>
      </c>
      <c r="O2879" s="78"/>
    </row>
    <row r="2880" spans="8:15" ht="15.75" customHeight="1" thickBot="1">
      <c r="H2880" s="882"/>
      <c r="I2880" s="876"/>
      <c r="J2880" s="878"/>
      <c r="K2880" s="880"/>
      <c r="L2880" s="882"/>
      <c r="M2880" s="884"/>
      <c r="N2880" s="56">
        <v>721</v>
      </c>
      <c r="O2880" s="352">
        <f>+M2879-O2879</f>
        <v>28216212</v>
      </c>
    </row>
    <row r="2881" spans="8:15" ht="15" customHeight="1">
      <c r="H2881" s="881">
        <v>311</v>
      </c>
      <c r="I2881" s="875">
        <v>42674</v>
      </c>
      <c r="J2881" s="877" t="s">
        <v>738</v>
      </c>
      <c r="K2881" s="879" t="s">
        <v>1187</v>
      </c>
      <c r="L2881" s="881" t="s">
        <v>148</v>
      </c>
      <c r="M2881" s="883">
        <v>16677173</v>
      </c>
      <c r="N2881" s="55">
        <v>722</v>
      </c>
      <c r="O2881" s="78"/>
    </row>
    <row r="2882" spans="8:15" ht="15.75" customHeight="1" thickBot="1">
      <c r="H2882" s="882"/>
      <c r="I2882" s="876"/>
      <c r="J2882" s="878"/>
      <c r="K2882" s="880"/>
      <c r="L2882" s="882"/>
      <c r="M2882" s="884"/>
      <c r="N2882" s="56">
        <v>721</v>
      </c>
      <c r="O2882" s="352">
        <f>+M2881-O2881</f>
        <v>16677173</v>
      </c>
    </row>
    <row r="2883" spans="8:15" ht="15" customHeight="1">
      <c r="H2883" s="881">
        <v>312</v>
      </c>
      <c r="I2883" s="875">
        <v>42675</v>
      </c>
      <c r="J2883" s="877" t="s">
        <v>738</v>
      </c>
      <c r="K2883" s="879" t="s">
        <v>1188</v>
      </c>
      <c r="L2883" s="881" t="s">
        <v>148</v>
      </c>
      <c r="M2883" s="883">
        <v>24662327</v>
      </c>
      <c r="N2883" s="55">
        <v>722</v>
      </c>
      <c r="O2883" s="78"/>
    </row>
    <row r="2884" spans="8:15" ht="13.5" customHeight="1" thickBot="1">
      <c r="H2884" s="882"/>
      <c r="I2884" s="876"/>
      <c r="J2884" s="878"/>
      <c r="K2884" s="880"/>
      <c r="L2884" s="882"/>
      <c r="M2884" s="884"/>
      <c r="N2884" s="56">
        <v>721</v>
      </c>
      <c r="O2884" s="79">
        <f>+M2883-O2883</f>
        <v>24662327</v>
      </c>
    </row>
    <row r="2885" spans="8:15">
      <c r="H2885" s="881"/>
      <c r="I2885" s="875"/>
      <c r="J2885" s="877"/>
      <c r="K2885" s="879"/>
      <c r="L2885" s="881"/>
      <c r="M2885" s="883"/>
      <c r="N2885" s="55">
        <v>722</v>
      </c>
      <c r="O2885" s="78"/>
    </row>
    <row r="2886" spans="8:15" ht="13.5" customHeight="1" thickBot="1">
      <c r="H2886" s="882"/>
      <c r="I2886" s="876"/>
      <c r="J2886" s="878"/>
      <c r="K2886" s="880"/>
      <c r="L2886" s="882"/>
      <c r="M2886" s="884"/>
      <c r="N2886" s="56">
        <v>721</v>
      </c>
      <c r="O2886" s="79">
        <f>+M2885-O2885</f>
        <v>0</v>
      </c>
    </row>
    <row r="2887" spans="8:15" ht="16.5" thickBot="1">
      <c r="H2887" s="901" t="s">
        <v>102</v>
      </c>
      <c r="I2887" s="902"/>
      <c r="J2887" s="902"/>
      <c r="K2887" s="902"/>
      <c r="L2887" s="903"/>
      <c r="M2887" s="81">
        <f>SUM(M2877:M2886)</f>
        <v>72228412</v>
      </c>
    </row>
    <row r="2888" spans="8:15" ht="16.5" thickBot="1">
      <c r="H2888" s="885" t="s">
        <v>103</v>
      </c>
      <c r="I2888" s="886"/>
      <c r="J2888" s="886"/>
      <c r="K2888" s="886"/>
      <c r="L2888" s="887"/>
      <c r="M2888" s="69">
        <f>+M2852</f>
        <v>547285091</v>
      </c>
      <c r="N2888" s="241" t="s">
        <v>561</v>
      </c>
      <c r="O2888" s="242"/>
    </row>
    <row r="2889" spans="8:15" ht="16.5" thickBot="1">
      <c r="H2889" s="888" t="s">
        <v>104</v>
      </c>
      <c r="I2889" s="889"/>
      <c r="J2889" s="889"/>
      <c r="K2889" s="889"/>
      <c r="L2889" s="890"/>
      <c r="M2889" s="183">
        <f>SUM(M2887:M2888)</f>
        <v>619513503</v>
      </c>
    </row>
    <row r="2890" spans="8:15">
      <c r="H2890" s="61"/>
      <c r="I2890" s="61"/>
      <c r="J2890" s="61"/>
      <c r="K2890" s="61"/>
      <c r="L2890" s="61"/>
    </row>
    <row r="2891" spans="8:15">
      <c r="H2891" s="51" t="s">
        <v>1189</v>
      </c>
    </row>
    <row r="2892" spans="8:15">
      <c r="M2892" s="139"/>
    </row>
    <row r="2893" spans="8:15">
      <c r="H2893" s="50" t="s">
        <v>105</v>
      </c>
      <c r="K2893" s="146"/>
      <c r="M2893" s="139"/>
    </row>
    <row r="2894" spans="8:15" ht="13.5" customHeight="1" thickBot="1"/>
    <row r="2895" spans="8:15" ht="15.75" thickBot="1">
      <c r="H2895" s="891" t="s">
        <v>106</v>
      </c>
      <c r="I2895" s="892"/>
      <c r="J2895" s="892"/>
      <c r="K2895" s="893"/>
      <c r="M2895" s="50" t="s">
        <v>1126</v>
      </c>
    </row>
    <row r="2896" spans="8:15" ht="30.75" thickBot="1">
      <c r="H2896" s="57" t="s">
        <v>100</v>
      </c>
      <c r="I2896" s="58" t="s">
        <v>108</v>
      </c>
      <c r="J2896" s="287" t="s">
        <v>109</v>
      </c>
      <c r="K2896" s="60" t="s">
        <v>110</v>
      </c>
    </row>
    <row r="2897" spans="8:15">
      <c r="H2897" s="71">
        <v>719</v>
      </c>
      <c r="I2897" s="73"/>
      <c r="J2897" s="74">
        <f>+K2860</f>
        <v>68770000</v>
      </c>
      <c r="K2897" s="195">
        <f>+I2897+J2897</f>
        <v>68770000</v>
      </c>
    </row>
    <row r="2898" spans="8:15">
      <c r="H2898" s="72">
        <v>721</v>
      </c>
      <c r="I2898" s="80">
        <f>+O2878+O2880+O2882+O2884+O2886</f>
        <v>72228412</v>
      </c>
      <c r="J2898" s="74">
        <f>+K2861</f>
        <v>112779634</v>
      </c>
      <c r="K2898" s="195">
        <f>+I2898+J2898</f>
        <v>185008046</v>
      </c>
    </row>
    <row r="2899" spans="8:15">
      <c r="H2899" s="72">
        <v>722</v>
      </c>
      <c r="I2899" s="80">
        <f>+O2877+O2879+O2881+O2883+O2885</f>
        <v>0</v>
      </c>
      <c r="J2899" s="74">
        <f>+K2862</f>
        <v>61411494</v>
      </c>
      <c r="K2899" s="195">
        <f>+I2899+J2899</f>
        <v>61411494</v>
      </c>
    </row>
    <row r="2900" spans="8:15" ht="15.75">
      <c r="H2900" s="72">
        <v>723</v>
      </c>
      <c r="I2900" s="80"/>
      <c r="J2900" s="74">
        <f>+K2863</f>
        <v>303456463</v>
      </c>
      <c r="K2900" s="195">
        <f>+I2900+J2900</f>
        <v>303456463</v>
      </c>
      <c r="M2900" s="193" t="s">
        <v>1028</v>
      </c>
      <c r="N2900" s="175"/>
    </row>
    <row r="2901" spans="8:15" ht="16.5" thickBot="1">
      <c r="H2901" s="164" t="s">
        <v>1077</v>
      </c>
      <c r="I2901" s="165"/>
      <c r="J2901" s="74">
        <f>+K2864</f>
        <v>797500</v>
      </c>
      <c r="K2901" s="196">
        <f>+I2901+J2901</f>
        <v>797500</v>
      </c>
      <c r="M2901" s="52"/>
    </row>
    <row r="2902" spans="8:15" ht="16.5" thickBot="1">
      <c r="H2902" s="169"/>
      <c r="I2902" s="197">
        <f>SUM(I2897:I2901)</f>
        <v>72228412</v>
      </c>
      <c r="J2902" s="197">
        <f>SUM(J2897:J2901)</f>
        <v>547215091</v>
      </c>
      <c r="K2902" s="198">
        <f>SUM(K2897:K2901)</f>
        <v>619443503</v>
      </c>
    </row>
    <row r="2903" spans="8:15" ht="16.5">
      <c r="H2903" s="49" t="s">
        <v>88</v>
      </c>
      <c r="I2903" s="50"/>
    </row>
    <row r="2904" spans="8:15">
      <c r="H2904" s="51" t="s">
        <v>89</v>
      </c>
    </row>
    <row r="2905" spans="8:15">
      <c r="H2905" s="51" t="s">
        <v>90</v>
      </c>
    </row>
    <row r="2906" spans="8:15">
      <c r="H2906" s="51" t="s">
        <v>91</v>
      </c>
    </row>
    <row r="2907" spans="8:15" ht="10.5" customHeight="1">
      <c r="H2907" s="50"/>
      <c r="I2907" s="50"/>
    </row>
    <row r="2908" spans="8:15" ht="15.75">
      <c r="H2908" s="260" t="s">
        <v>1191</v>
      </c>
      <c r="N2908" s="52"/>
    </row>
    <row r="2909" spans="8:15" ht="15.75">
      <c r="H2909" s="53" t="s">
        <v>535</v>
      </c>
      <c r="N2909" s="53"/>
    </row>
    <row r="2910" spans="8:15" ht="16.5">
      <c r="H2910" s="894" t="s">
        <v>909</v>
      </c>
      <c r="I2910" s="894"/>
      <c r="J2910" s="894"/>
      <c r="K2910" s="894"/>
      <c r="L2910" s="894"/>
      <c r="M2910" s="894"/>
      <c r="N2910" s="894"/>
      <c r="O2910" s="894"/>
    </row>
    <row r="2911" spans="8:15" ht="15.75" thickBot="1"/>
    <row r="2912" spans="8:15">
      <c r="H2912" s="895" t="s">
        <v>94</v>
      </c>
      <c r="I2912" s="897" t="s">
        <v>95</v>
      </c>
      <c r="J2912" s="897" t="s">
        <v>96</v>
      </c>
      <c r="K2912" s="897" t="s">
        <v>3</v>
      </c>
      <c r="L2912" s="897" t="s">
        <v>97</v>
      </c>
      <c r="M2912" s="897" t="s">
        <v>98</v>
      </c>
      <c r="N2912" s="897" t="s">
        <v>99</v>
      </c>
      <c r="O2912" s="899"/>
    </row>
    <row r="2913" spans="8:15" ht="15.75" thickBot="1">
      <c r="H2913" s="896"/>
      <c r="I2913" s="898"/>
      <c r="J2913" s="898"/>
      <c r="K2913" s="898"/>
      <c r="L2913" s="898"/>
      <c r="M2913" s="898"/>
      <c r="N2913" s="240" t="s">
        <v>100</v>
      </c>
      <c r="O2913" s="182" t="s">
        <v>101</v>
      </c>
    </row>
    <row r="2914" spans="8:15">
      <c r="H2914" s="881">
        <v>313</v>
      </c>
      <c r="I2914" s="875">
        <v>42657</v>
      </c>
      <c r="J2914" s="877" t="s">
        <v>1014</v>
      </c>
      <c r="K2914" s="879" t="s">
        <v>1192</v>
      </c>
      <c r="L2914" s="881" t="s">
        <v>115</v>
      </c>
      <c r="M2914" s="883">
        <v>70000</v>
      </c>
      <c r="N2914" s="55">
        <v>719</v>
      </c>
      <c r="O2914" s="78">
        <v>70000</v>
      </c>
    </row>
    <row r="2915" spans="8:15" ht="15.75" thickBot="1">
      <c r="H2915" s="882"/>
      <c r="I2915" s="876"/>
      <c r="J2915" s="878"/>
      <c r="K2915" s="880"/>
      <c r="L2915" s="882"/>
      <c r="M2915" s="884"/>
      <c r="N2915" s="56">
        <v>721</v>
      </c>
      <c r="O2915" s="79">
        <f>+M2914-O2914</f>
        <v>0</v>
      </c>
    </row>
    <row r="2916" spans="8:15">
      <c r="H2916" s="881">
        <v>314</v>
      </c>
      <c r="I2916" s="875">
        <v>42657</v>
      </c>
      <c r="J2916" s="877" t="s">
        <v>28</v>
      </c>
      <c r="K2916" s="879" t="s">
        <v>1193</v>
      </c>
      <c r="L2916" s="881" t="s">
        <v>115</v>
      </c>
      <c r="M2916" s="883">
        <v>30000</v>
      </c>
      <c r="N2916" s="55">
        <v>719</v>
      </c>
      <c r="O2916" s="78">
        <v>30000</v>
      </c>
    </row>
    <row r="2917" spans="8:15" ht="15.75" thickBot="1">
      <c r="H2917" s="882"/>
      <c r="I2917" s="876"/>
      <c r="J2917" s="878"/>
      <c r="K2917" s="880"/>
      <c r="L2917" s="882"/>
      <c r="M2917" s="884"/>
      <c r="N2917" s="56">
        <v>721</v>
      </c>
      <c r="O2917" s="79">
        <f>+M2916-O2916</f>
        <v>0</v>
      </c>
    </row>
    <row r="2918" spans="8:15">
      <c r="H2918" s="881">
        <v>315</v>
      </c>
      <c r="I2918" s="875">
        <v>42657</v>
      </c>
      <c r="J2918" s="877" t="s">
        <v>120</v>
      </c>
      <c r="K2918" s="879" t="s">
        <v>1165</v>
      </c>
      <c r="L2918" s="881" t="s">
        <v>115</v>
      </c>
      <c r="M2918" s="883">
        <v>50000</v>
      </c>
      <c r="N2918" s="55">
        <v>719</v>
      </c>
      <c r="O2918" s="78">
        <v>50000</v>
      </c>
    </row>
    <row r="2919" spans="8:15" ht="15.75" thickBot="1">
      <c r="H2919" s="882"/>
      <c r="I2919" s="876"/>
      <c r="J2919" s="878"/>
      <c r="K2919" s="880"/>
      <c r="L2919" s="882"/>
      <c r="M2919" s="884"/>
      <c r="N2919" s="56">
        <v>721</v>
      </c>
      <c r="O2919" s="79">
        <f>+M2918-O2918</f>
        <v>0</v>
      </c>
    </row>
    <row r="2920" spans="8:15">
      <c r="H2920" s="881"/>
      <c r="I2920" s="875"/>
      <c r="J2920" s="877"/>
      <c r="K2920" s="879"/>
      <c r="L2920" s="881"/>
      <c r="M2920" s="883"/>
      <c r="N2920" s="55">
        <v>719</v>
      </c>
      <c r="O2920" s="78">
        <v>0</v>
      </c>
    </row>
    <row r="2921" spans="8:15" ht="14.25" customHeight="1" thickBot="1">
      <c r="H2921" s="882"/>
      <c r="I2921" s="876"/>
      <c r="J2921" s="878"/>
      <c r="K2921" s="880"/>
      <c r="L2921" s="882"/>
      <c r="M2921" s="884"/>
      <c r="N2921" s="56">
        <v>721</v>
      </c>
      <c r="O2921" s="79">
        <f>+M2920-O2920</f>
        <v>0</v>
      </c>
    </row>
    <row r="2922" spans="8:15" ht="13.5" customHeight="1">
      <c r="H2922" s="881"/>
      <c r="I2922" s="875"/>
      <c r="J2922" s="877"/>
      <c r="K2922" s="879"/>
      <c r="L2922" s="881"/>
      <c r="M2922" s="883"/>
      <c r="N2922" s="55">
        <v>719</v>
      </c>
      <c r="O2922" s="78"/>
    </row>
    <row r="2923" spans="8:15" ht="12.75" customHeight="1" thickBot="1">
      <c r="H2923" s="882"/>
      <c r="I2923" s="876"/>
      <c r="J2923" s="878"/>
      <c r="K2923" s="880"/>
      <c r="L2923" s="882"/>
      <c r="M2923" s="884"/>
      <c r="N2923" s="56">
        <v>721</v>
      </c>
      <c r="O2923" s="79">
        <f>+M2922-O2922</f>
        <v>0</v>
      </c>
    </row>
    <row r="2924" spans="8:15" ht="16.5" thickBot="1">
      <c r="H2924" s="901" t="s">
        <v>102</v>
      </c>
      <c r="I2924" s="902"/>
      <c r="J2924" s="902"/>
      <c r="K2924" s="902"/>
      <c r="L2924" s="903"/>
      <c r="M2924" s="81">
        <f>SUM(M2914:M2923)</f>
        <v>150000</v>
      </c>
    </row>
    <row r="2925" spans="8:15" ht="16.5" thickBot="1">
      <c r="H2925" s="885" t="s">
        <v>103</v>
      </c>
      <c r="I2925" s="886"/>
      <c r="J2925" s="886"/>
      <c r="K2925" s="886"/>
      <c r="L2925" s="887"/>
      <c r="M2925" s="69">
        <f>+M2889</f>
        <v>619513503</v>
      </c>
      <c r="N2925" s="241" t="s">
        <v>561</v>
      </c>
      <c r="O2925" s="242">
        <f>76+80+291</f>
        <v>447</v>
      </c>
    </row>
    <row r="2926" spans="8:15" ht="16.5" thickBot="1">
      <c r="H2926" s="888" t="s">
        <v>104</v>
      </c>
      <c r="I2926" s="889"/>
      <c r="J2926" s="889"/>
      <c r="K2926" s="889"/>
      <c r="L2926" s="890"/>
      <c r="M2926" s="183">
        <f>SUM(M2924:M2925)</f>
        <v>619663503</v>
      </c>
    </row>
    <row r="2927" spans="8:15">
      <c r="H2927" s="61"/>
      <c r="I2927" s="61"/>
      <c r="J2927" s="61"/>
      <c r="K2927" s="61"/>
      <c r="L2927" s="61"/>
    </row>
    <row r="2928" spans="8:15">
      <c r="H2928" s="51" t="s">
        <v>1194</v>
      </c>
    </row>
    <row r="2929" spans="8:14">
      <c r="M2929" s="139"/>
    </row>
    <row r="2930" spans="8:14">
      <c r="H2930" s="50" t="s">
        <v>105</v>
      </c>
      <c r="K2930" s="146"/>
      <c r="M2930" s="139"/>
    </row>
    <row r="2931" spans="8:14" ht="12.75" customHeight="1" thickBot="1"/>
    <row r="2932" spans="8:14" ht="15.75" thickBot="1">
      <c r="H2932" s="891" t="s">
        <v>106</v>
      </c>
      <c r="I2932" s="892"/>
      <c r="J2932" s="892"/>
      <c r="K2932" s="893"/>
      <c r="M2932" s="50" t="s">
        <v>1126</v>
      </c>
    </row>
    <row r="2933" spans="8:14" ht="30.75" thickBot="1">
      <c r="H2933" s="57" t="s">
        <v>100</v>
      </c>
      <c r="I2933" s="58" t="s">
        <v>108</v>
      </c>
      <c r="J2933" s="287" t="s">
        <v>109</v>
      </c>
      <c r="K2933" s="60" t="s">
        <v>110</v>
      </c>
    </row>
    <row r="2934" spans="8:14">
      <c r="H2934" s="71">
        <v>719</v>
      </c>
      <c r="I2934" s="73">
        <f>+O2914+O2916+O2918+O2920</f>
        <v>150000</v>
      </c>
      <c r="J2934" s="74">
        <f>+K2897</f>
        <v>68770000</v>
      </c>
      <c r="K2934" s="195">
        <f>+I2934+J2934</f>
        <v>68920000</v>
      </c>
    </row>
    <row r="2935" spans="8:14">
      <c r="H2935" s="72">
        <v>721</v>
      </c>
      <c r="I2935" s="80">
        <f>+O2915+O2917+O2919+O2921+O2923</f>
        <v>0</v>
      </c>
      <c r="J2935" s="74">
        <f>+K2898</f>
        <v>185008046</v>
      </c>
      <c r="K2935" s="195">
        <f>+I2935+J2935</f>
        <v>185008046</v>
      </c>
    </row>
    <row r="2936" spans="8:14">
      <c r="H2936" s="72">
        <v>722</v>
      </c>
      <c r="I2936" s="80"/>
      <c r="J2936" s="74">
        <f>+K2899</f>
        <v>61411494</v>
      </c>
      <c r="K2936" s="195">
        <f>+I2936+J2936</f>
        <v>61411494</v>
      </c>
    </row>
    <row r="2937" spans="8:14" ht="15.75">
      <c r="H2937" s="72">
        <v>723</v>
      </c>
      <c r="I2937" s="80"/>
      <c r="J2937" s="74">
        <f>+K2900</f>
        <v>303456463</v>
      </c>
      <c r="K2937" s="195">
        <f>+I2937+J2937</f>
        <v>303456463</v>
      </c>
      <c r="M2937" s="193" t="s">
        <v>1028</v>
      </c>
      <c r="N2937" s="175"/>
    </row>
    <row r="2938" spans="8:14" ht="16.5" thickBot="1">
      <c r="H2938" s="164" t="s">
        <v>1077</v>
      </c>
      <c r="I2938" s="165"/>
      <c r="J2938" s="74">
        <f>+K2901</f>
        <v>797500</v>
      </c>
      <c r="K2938" s="196">
        <f>+I2938+J2938</f>
        <v>797500</v>
      </c>
      <c r="M2938" s="52"/>
    </row>
    <row r="2939" spans="8:14" ht="16.5" thickBot="1">
      <c r="H2939" s="169"/>
      <c r="I2939" s="197">
        <f>SUM(I2934:I2938)</f>
        <v>150000</v>
      </c>
      <c r="J2939" s="197">
        <f>SUM(J2934:J2938)</f>
        <v>619443503</v>
      </c>
      <c r="K2939" s="198">
        <f>SUM(K2934:K2938)</f>
        <v>619593503</v>
      </c>
    </row>
    <row r="2940" spans="8:14" ht="16.5">
      <c r="H2940" s="49" t="s">
        <v>88</v>
      </c>
      <c r="I2940" s="50"/>
    </row>
    <row r="2941" spans="8:14">
      <c r="H2941" s="51" t="s">
        <v>89</v>
      </c>
    </row>
    <row r="2942" spans="8:14">
      <c r="H2942" s="51" t="s">
        <v>90</v>
      </c>
    </row>
    <row r="2943" spans="8:14">
      <c r="H2943" s="51" t="s">
        <v>91</v>
      </c>
    </row>
    <row r="2944" spans="8:14" ht="9.75" customHeight="1">
      <c r="H2944" s="50"/>
      <c r="I2944" s="50"/>
    </row>
    <row r="2945" spans="8:15" ht="15.75">
      <c r="H2945" s="260" t="s">
        <v>1197</v>
      </c>
      <c r="N2945" s="52"/>
    </row>
    <row r="2946" spans="8:15" ht="15.75">
      <c r="H2946" s="53" t="s">
        <v>535</v>
      </c>
      <c r="N2946" s="53"/>
    </row>
    <row r="2947" spans="8:15" ht="16.5">
      <c r="H2947" s="894" t="s">
        <v>909</v>
      </c>
      <c r="I2947" s="894"/>
      <c r="J2947" s="894"/>
      <c r="K2947" s="894"/>
      <c r="L2947" s="894"/>
      <c r="M2947" s="894"/>
      <c r="N2947" s="894"/>
      <c r="O2947" s="894"/>
    </row>
    <row r="2948" spans="8:15" ht="15.75" thickBot="1"/>
    <row r="2949" spans="8:15">
      <c r="H2949" s="895" t="s">
        <v>94</v>
      </c>
      <c r="I2949" s="897" t="s">
        <v>95</v>
      </c>
      <c r="J2949" s="897" t="s">
        <v>96</v>
      </c>
      <c r="K2949" s="897" t="s">
        <v>3</v>
      </c>
      <c r="L2949" s="897" t="s">
        <v>97</v>
      </c>
      <c r="M2949" s="897" t="s">
        <v>98</v>
      </c>
      <c r="N2949" s="897" t="s">
        <v>99</v>
      </c>
      <c r="O2949" s="899"/>
    </row>
    <row r="2950" spans="8:15" ht="15.75" thickBot="1">
      <c r="H2950" s="896"/>
      <c r="I2950" s="898"/>
      <c r="J2950" s="898"/>
      <c r="K2950" s="898"/>
      <c r="L2950" s="898"/>
      <c r="M2950" s="898"/>
      <c r="N2950" s="240" t="s">
        <v>100</v>
      </c>
      <c r="O2950" s="182" t="s">
        <v>101</v>
      </c>
    </row>
    <row r="2951" spans="8:15">
      <c r="H2951" s="881">
        <v>316</v>
      </c>
      <c r="I2951" s="875">
        <v>42684</v>
      </c>
      <c r="J2951" s="877" t="s">
        <v>267</v>
      </c>
      <c r="K2951" s="879" t="s">
        <v>1195</v>
      </c>
      <c r="L2951" s="881" t="s">
        <v>148</v>
      </c>
      <c r="M2951" s="883">
        <v>130000</v>
      </c>
      <c r="N2951" s="55">
        <v>719</v>
      </c>
      <c r="O2951" s="78">
        <v>100000</v>
      </c>
    </row>
    <row r="2952" spans="8:15" ht="15.75" thickBot="1">
      <c r="H2952" s="882"/>
      <c r="I2952" s="876"/>
      <c r="J2952" s="878"/>
      <c r="K2952" s="880"/>
      <c r="L2952" s="882"/>
      <c r="M2952" s="884"/>
      <c r="N2952" s="56">
        <v>721</v>
      </c>
      <c r="O2952" s="79">
        <f>+M2951-O2951</f>
        <v>30000</v>
      </c>
    </row>
    <row r="2953" spans="8:15" ht="15" customHeight="1">
      <c r="H2953" s="881">
        <v>317</v>
      </c>
      <c r="I2953" s="875">
        <v>42684</v>
      </c>
      <c r="J2953" s="877" t="s">
        <v>28</v>
      </c>
      <c r="K2953" s="879" t="s">
        <v>1196</v>
      </c>
      <c r="L2953" s="881" t="s">
        <v>148</v>
      </c>
      <c r="M2953" s="883">
        <v>559000</v>
      </c>
      <c r="N2953" s="55">
        <v>719</v>
      </c>
      <c r="O2953" s="78">
        <v>430000</v>
      </c>
    </row>
    <row r="2954" spans="8:15" ht="15.75" customHeight="1" thickBot="1">
      <c r="H2954" s="882"/>
      <c r="I2954" s="876"/>
      <c r="J2954" s="878"/>
      <c r="K2954" s="880"/>
      <c r="L2954" s="882"/>
      <c r="M2954" s="884"/>
      <c r="N2954" s="56">
        <v>721</v>
      </c>
      <c r="O2954" s="79">
        <f>+M2953-O2953</f>
        <v>129000</v>
      </c>
    </row>
    <row r="2955" spans="8:15" ht="15" customHeight="1">
      <c r="H2955" s="881">
        <v>318</v>
      </c>
      <c r="I2955" s="875">
        <v>42684</v>
      </c>
      <c r="J2955" s="877" t="s">
        <v>111</v>
      </c>
      <c r="K2955" s="879" t="s">
        <v>1198</v>
      </c>
      <c r="L2955" s="881" t="s">
        <v>148</v>
      </c>
      <c r="M2955" s="883">
        <v>104000</v>
      </c>
      <c r="N2955" s="55">
        <v>719</v>
      </c>
      <c r="O2955" s="78">
        <v>80000</v>
      </c>
    </row>
    <row r="2956" spans="8:15" ht="15.75" customHeight="1" thickBot="1">
      <c r="H2956" s="882"/>
      <c r="I2956" s="876"/>
      <c r="J2956" s="878"/>
      <c r="K2956" s="880"/>
      <c r="L2956" s="882"/>
      <c r="M2956" s="884"/>
      <c r="N2956" s="56">
        <v>721</v>
      </c>
      <c r="O2956" s="79">
        <f>+M2955-O2955</f>
        <v>24000</v>
      </c>
    </row>
    <row r="2957" spans="8:15" ht="15" customHeight="1">
      <c r="H2957" s="881">
        <v>319</v>
      </c>
      <c r="I2957" s="875">
        <v>42684</v>
      </c>
      <c r="J2957" s="877" t="s">
        <v>1014</v>
      </c>
      <c r="K2957" s="879" t="s">
        <v>1196</v>
      </c>
      <c r="L2957" s="881" t="s">
        <v>148</v>
      </c>
      <c r="M2957" s="883">
        <v>1105000</v>
      </c>
      <c r="N2957" s="55">
        <v>719</v>
      </c>
      <c r="O2957" s="78">
        <v>850000</v>
      </c>
    </row>
    <row r="2958" spans="8:15" ht="15.75" customHeight="1" thickBot="1">
      <c r="H2958" s="882"/>
      <c r="I2958" s="876"/>
      <c r="J2958" s="878"/>
      <c r="K2958" s="880"/>
      <c r="L2958" s="882"/>
      <c r="M2958" s="884"/>
      <c r="N2958" s="56">
        <v>721</v>
      </c>
      <c r="O2958" s="79">
        <f>+M2957-O2957</f>
        <v>255000</v>
      </c>
    </row>
    <row r="2959" spans="8:15">
      <c r="H2959" s="881"/>
      <c r="I2959" s="875"/>
      <c r="J2959" s="877"/>
      <c r="K2959" s="879"/>
      <c r="L2959" s="881"/>
      <c r="M2959" s="883"/>
      <c r="N2959" s="55">
        <v>719</v>
      </c>
      <c r="O2959" s="78"/>
    </row>
    <row r="2960" spans="8:15" ht="15.75" thickBot="1">
      <c r="H2960" s="882"/>
      <c r="I2960" s="876"/>
      <c r="J2960" s="878"/>
      <c r="K2960" s="880"/>
      <c r="L2960" s="882"/>
      <c r="M2960" s="884"/>
      <c r="N2960" s="56">
        <v>721</v>
      </c>
      <c r="O2960" s="79">
        <f>+M2959-O2959</f>
        <v>0</v>
      </c>
    </row>
    <row r="2961" spans="8:15" ht="16.5" thickBot="1">
      <c r="H2961" s="901" t="s">
        <v>102</v>
      </c>
      <c r="I2961" s="902"/>
      <c r="J2961" s="902"/>
      <c r="K2961" s="902"/>
      <c r="L2961" s="903"/>
      <c r="M2961" s="81">
        <f>SUM(M2951:M2960)</f>
        <v>1898000</v>
      </c>
    </row>
    <row r="2962" spans="8:15" ht="16.5" thickBot="1">
      <c r="H2962" s="885" t="s">
        <v>103</v>
      </c>
      <c r="I2962" s="886"/>
      <c r="J2962" s="886"/>
      <c r="K2962" s="886"/>
      <c r="L2962" s="887"/>
      <c r="M2962" s="69">
        <f>+M2926</f>
        <v>619663503</v>
      </c>
      <c r="N2962" s="241" t="s">
        <v>561</v>
      </c>
      <c r="O2962" s="242">
        <f>1061+35+841+56</f>
        <v>1993</v>
      </c>
    </row>
    <row r="2963" spans="8:15" ht="16.5" thickBot="1">
      <c r="H2963" s="888" t="s">
        <v>104</v>
      </c>
      <c r="I2963" s="889"/>
      <c r="J2963" s="889"/>
      <c r="K2963" s="889"/>
      <c r="L2963" s="890"/>
      <c r="M2963" s="183">
        <f>SUM(M2961:M2962)</f>
        <v>621561503</v>
      </c>
    </row>
    <row r="2964" spans="8:15">
      <c r="H2964" s="61"/>
      <c r="I2964" s="61"/>
      <c r="J2964" s="61"/>
      <c r="K2964" s="61"/>
      <c r="L2964" s="61"/>
    </row>
    <row r="2965" spans="8:15">
      <c r="H2965" s="51" t="s">
        <v>1199</v>
      </c>
    </row>
    <row r="2966" spans="8:15">
      <c r="M2966" s="139"/>
    </row>
    <row r="2967" spans="8:15">
      <c r="H2967" s="50" t="s">
        <v>105</v>
      </c>
      <c r="K2967" s="146"/>
      <c r="M2967" s="139"/>
    </row>
    <row r="2968" spans="8:15" ht="10.5" customHeight="1" thickBot="1"/>
    <row r="2969" spans="8:15" ht="15.75" thickBot="1">
      <c r="H2969" s="891" t="s">
        <v>106</v>
      </c>
      <c r="I2969" s="892"/>
      <c r="J2969" s="892"/>
      <c r="K2969" s="893"/>
      <c r="M2969" s="50" t="s">
        <v>1126</v>
      </c>
    </row>
    <row r="2970" spans="8:15" ht="30.75" thickBot="1">
      <c r="H2970" s="57" t="s">
        <v>100</v>
      </c>
      <c r="I2970" s="58" t="s">
        <v>108</v>
      </c>
      <c r="J2970" s="287" t="s">
        <v>109</v>
      </c>
      <c r="K2970" s="60" t="s">
        <v>110</v>
      </c>
    </row>
    <row r="2971" spans="8:15">
      <c r="H2971" s="71">
        <v>719</v>
      </c>
      <c r="I2971" s="73">
        <f>+O2951+O2953+O2955+O2957</f>
        <v>1460000</v>
      </c>
      <c r="J2971" s="74">
        <f>+K2934</f>
        <v>68920000</v>
      </c>
      <c r="K2971" s="195">
        <f>+I2971+J2971</f>
        <v>70380000</v>
      </c>
    </row>
    <row r="2972" spans="8:15">
      <c r="H2972" s="72">
        <v>721</v>
      </c>
      <c r="I2972" s="80">
        <f>+O2952+O2954+O2956+O2958+O2960</f>
        <v>438000</v>
      </c>
      <c r="J2972" s="74">
        <f>+K2935</f>
        <v>185008046</v>
      </c>
      <c r="K2972" s="195">
        <f>+I2972+J2972</f>
        <v>185446046</v>
      </c>
    </row>
    <row r="2973" spans="8:15">
      <c r="H2973" s="72">
        <v>722</v>
      </c>
      <c r="I2973" s="80"/>
      <c r="J2973" s="74">
        <f>+K2936</f>
        <v>61411494</v>
      </c>
      <c r="K2973" s="195">
        <f>+I2973+J2973</f>
        <v>61411494</v>
      </c>
    </row>
    <row r="2974" spans="8:15" ht="15.75">
      <c r="H2974" s="72">
        <v>723</v>
      </c>
      <c r="I2974" s="80"/>
      <c r="J2974" s="74">
        <f>+K2937</f>
        <v>303456463</v>
      </c>
      <c r="K2974" s="195">
        <f>+I2974+J2974</f>
        <v>303456463</v>
      </c>
      <c r="M2974" s="193" t="s">
        <v>1028</v>
      </c>
      <c r="N2974" s="175"/>
    </row>
    <row r="2975" spans="8:15" ht="16.5" thickBot="1">
      <c r="H2975" s="164" t="s">
        <v>1077</v>
      </c>
      <c r="I2975" s="165"/>
      <c r="J2975" s="74">
        <f>+K2938</f>
        <v>797500</v>
      </c>
      <c r="K2975" s="196">
        <f>+I2975+J2975</f>
        <v>797500</v>
      </c>
      <c r="M2975" s="52"/>
    </row>
    <row r="2976" spans="8:15" ht="16.5" thickBot="1">
      <c r="H2976" s="169"/>
      <c r="I2976" s="197">
        <f>SUM(I2971:I2975)</f>
        <v>1898000</v>
      </c>
      <c r="J2976" s="197">
        <f>SUM(J2971:J2975)</f>
        <v>619593503</v>
      </c>
      <c r="K2976" s="198">
        <f>SUM(K2971:K2975)</f>
        <v>621491503</v>
      </c>
    </row>
    <row r="2977" spans="8:15" ht="16.5">
      <c r="H2977" s="49" t="s">
        <v>88</v>
      </c>
      <c r="I2977" s="50"/>
    </row>
    <row r="2978" spans="8:15">
      <c r="H2978" s="51" t="s">
        <v>89</v>
      </c>
    </row>
    <row r="2979" spans="8:15">
      <c r="H2979" s="51" t="s">
        <v>90</v>
      </c>
    </row>
    <row r="2980" spans="8:15">
      <c r="H2980" s="51" t="s">
        <v>91</v>
      </c>
    </row>
    <row r="2981" spans="8:15" ht="12" customHeight="1">
      <c r="H2981" s="50"/>
      <c r="I2981" s="50"/>
    </row>
    <row r="2982" spans="8:15" ht="15.75">
      <c r="H2982" s="260" t="s">
        <v>1200</v>
      </c>
      <c r="N2982" s="52"/>
    </row>
    <row r="2983" spans="8:15" ht="15.75">
      <c r="H2983" s="53" t="s">
        <v>535</v>
      </c>
      <c r="N2983" s="53"/>
    </row>
    <row r="2984" spans="8:15" ht="16.5">
      <c r="H2984" s="894" t="s">
        <v>909</v>
      </c>
      <c r="I2984" s="894"/>
      <c r="J2984" s="894"/>
      <c r="K2984" s="894"/>
      <c r="L2984" s="894"/>
      <c r="M2984" s="894"/>
      <c r="N2984" s="894"/>
      <c r="O2984" s="894"/>
    </row>
    <row r="2985" spans="8:15" ht="15.75" thickBot="1"/>
    <row r="2986" spans="8:15">
      <c r="H2986" s="895" t="s">
        <v>94</v>
      </c>
      <c r="I2986" s="897" t="s">
        <v>95</v>
      </c>
      <c r="J2986" s="897" t="s">
        <v>96</v>
      </c>
      <c r="K2986" s="897" t="s">
        <v>3</v>
      </c>
      <c r="L2986" s="897" t="s">
        <v>97</v>
      </c>
      <c r="M2986" s="897" t="s">
        <v>98</v>
      </c>
      <c r="N2986" s="897" t="s">
        <v>99</v>
      </c>
      <c r="O2986" s="899"/>
    </row>
    <row r="2987" spans="8:15" ht="15.75" thickBot="1">
      <c r="H2987" s="896"/>
      <c r="I2987" s="898"/>
      <c r="J2987" s="898"/>
      <c r="K2987" s="898"/>
      <c r="L2987" s="898"/>
      <c r="M2987" s="898"/>
      <c r="N2987" s="240" t="s">
        <v>100</v>
      </c>
      <c r="O2987" s="182" t="s">
        <v>101</v>
      </c>
    </row>
    <row r="2988" spans="8:15">
      <c r="H2988" s="881">
        <v>320</v>
      </c>
      <c r="I2988" s="875">
        <v>42684</v>
      </c>
      <c r="J2988" s="877" t="s">
        <v>267</v>
      </c>
      <c r="K2988" s="879" t="s">
        <v>1201</v>
      </c>
      <c r="L2988" s="881" t="s">
        <v>148</v>
      </c>
      <c r="M2988" s="883">
        <v>52000</v>
      </c>
      <c r="N2988" s="55">
        <v>719</v>
      </c>
      <c r="O2988" s="78">
        <v>40000</v>
      </c>
    </row>
    <row r="2989" spans="8:15" ht="15.75" thickBot="1">
      <c r="H2989" s="882"/>
      <c r="I2989" s="876"/>
      <c r="J2989" s="878"/>
      <c r="K2989" s="880"/>
      <c r="L2989" s="882"/>
      <c r="M2989" s="884"/>
      <c r="N2989" s="56">
        <v>721</v>
      </c>
      <c r="O2989" s="79">
        <f>+M2988-O2988</f>
        <v>12000</v>
      </c>
    </row>
    <row r="2990" spans="8:15">
      <c r="H2990" s="881">
        <v>321</v>
      </c>
      <c r="I2990" s="875">
        <v>42684</v>
      </c>
      <c r="J2990" s="877" t="s">
        <v>28</v>
      </c>
      <c r="K2990" s="879" t="s">
        <v>1202</v>
      </c>
      <c r="L2990" s="881" t="s">
        <v>148</v>
      </c>
      <c r="M2990" s="883">
        <v>442000</v>
      </c>
      <c r="N2990" s="55">
        <v>719</v>
      </c>
      <c r="O2990" s="78">
        <v>340000</v>
      </c>
    </row>
    <row r="2991" spans="8:15" ht="15.75" thickBot="1">
      <c r="H2991" s="882"/>
      <c r="I2991" s="876"/>
      <c r="J2991" s="878"/>
      <c r="K2991" s="880"/>
      <c r="L2991" s="882"/>
      <c r="M2991" s="884"/>
      <c r="N2991" s="56">
        <v>721</v>
      </c>
      <c r="O2991" s="79">
        <f>+M2990-O2990</f>
        <v>102000</v>
      </c>
    </row>
    <row r="2992" spans="8:15">
      <c r="H2992" s="881">
        <v>322</v>
      </c>
      <c r="I2992" s="875">
        <v>42684</v>
      </c>
      <c r="J2992" s="877" t="s">
        <v>111</v>
      </c>
      <c r="K2992" s="879" t="s">
        <v>1203</v>
      </c>
      <c r="L2992" s="881" t="s">
        <v>148</v>
      </c>
      <c r="M2992" s="883">
        <v>104000</v>
      </c>
      <c r="N2992" s="55">
        <v>719</v>
      </c>
      <c r="O2992" s="78">
        <v>80000</v>
      </c>
    </row>
    <row r="2993" spans="8:15" ht="15.75" thickBot="1">
      <c r="H2993" s="882"/>
      <c r="I2993" s="876"/>
      <c r="J2993" s="878"/>
      <c r="K2993" s="880"/>
      <c r="L2993" s="882"/>
      <c r="M2993" s="884"/>
      <c r="N2993" s="56">
        <v>721</v>
      </c>
      <c r="O2993" s="79">
        <f>+M2992-O2992</f>
        <v>24000</v>
      </c>
    </row>
    <row r="2994" spans="8:15">
      <c r="H2994" s="881">
        <v>323</v>
      </c>
      <c r="I2994" s="875">
        <v>42684</v>
      </c>
      <c r="J2994" s="877" t="s">
        <v>1014</v>
      </c>
      <c r="K2994" s="879" t="s">
        <v>1202</v>
      </c>
      <c r="L2994" s="881" t="s">
        <v>148</v>
      </c>
      <c r="M2994" s="883">
        <v>1053000</v>
      </c>
      <c r="N2994" s="55">
        <v>719</v>
      </c>
      <c r="O2994" s="78">
        <v>810000</v>
      </c>
    </row>
    <row r="2995" spans="8:15" ht="15.75" thickBot="1">
      <c r="H2995" s="882"/>
      <c r="I2995" s="876"/>
      <c r="J2995" s="878"/>
      <c r="K2995" s="880"/>
      <c r="L2995" s="882"/>
      <c r="M2995" s="884"/>
      <c r="N2995" s="56">
        <v>721</v>
      </c>
      <c r="O2995" s="79">
        <f>+M2994-O2994</f>
        <v>243000</v>
      </c>
    </row>
    <row r="2996" spans="8:15">
      <c r="H2996" s="881"/>
      <c r="I2996" s="875"/>
      <c r="J2996" s="877"/>
      <c r="K2996" s="879"/>
      <c r="L2996" s="881"/>
      <c r="M2996" s="883"/>
      <c r="N2996" s="55">
        <v>719</v>
      </c>
      <c r="O2996" s="78"/>
    </row>
    <row r="2997" spans="8:15" ht="15.75" thickBot="1">
      <c r="H2997" s="882"/>
      <c r="I2997" s="876"/>
      <c r="J2997" s="878"/>
      <c r="K2997" s="880"/>
      <c r="L2997" s="882"/>
      <c r="M2997" s="884"/>
      <c r="N2997" s="56">
        <v>721</v>
      </c>
      <c r="O2997" s="79">
        <f>+M2996-O2996</f>
        <v>0</v>
      </c>
    </row>
    <row r="2998" spans="8:15" ht="16.5" thickBot="1">
      <c r="H2998" s="901" t="s">
        <v>102</v>
      </c>
      <c r="I2998" s="902"/>
      <c r="J2998" s="902"/>
      <c r="K2998" s="902"/>
      <c r="L2998" s="903"/>
      <c r="M2998" s="81">
        <f>SUM(M2988:M2997)</f>
        <v>1651000</v>
      </c>
    </row>
    <row r="2999" spans="8:15" ht="16.5" thickBot="1">
      <c r="H2999" s="885" t="s">
        <v>103</v>
      </c>
      <c r="I2999" s="886"/>
      <c r="J2999" s="886"/>
      <c r="K2999" s="886"/>
      <c r="L2999" s="887"/>
      <c r="M2999" s="69">
        <f>+M2963</f>
        <v>621561503</v>
      </c>
      <c r="N2999" s="241" t="s">
        <v>561</v>
      </c>
      <c r="O2999" s="242">
        <f>1174+29+720+29</f>
        <v>1952</v>
      </c>
    </row>
    <row r="3000" spans="8:15" ht="16.5" thickBot="1">
      <c r="H3000" s="888" t="s">
        <v>104</v>
      </c>
      <c r="I3000" s="889"/>
      <c r="J3000" s="889"/>
      <c r="K3000" s="889"/>
      <c r="L3000" s="890"/>
      <c r="M3000" s="183">
        <f>SUM(M2998:M2999)</f>
        <v>623212503</v>
      </c>
    </row>
    <row r="3001" spans="8:15" ht="11.25" customHeight="1">
      <c r="H3001" s="61"/>
      <c r="I3001" s="61"/>
      <c r="J3001" s="61"/>
      <c r="K3001" s="61"/>
      <c r="L3001" s="61"/>
    </row>
    <row r="3002" spans="8:15">
      <c r="H3002" s="51" t="s">
        <v>1204</v>
      </c>
    </row>
    <row r="3003" spans="8:15">
      <c r="M3003" s="139"/>
    </row>
    <row r="3004" spans="8:15">
      <c r="H3004" s="50" t="s">
        <v>105</v>
      </c>
      <c r="K3004" s="146"/>
      <c r="M3004" s="139"/>
    </row>
    <row r="3005" spans="8:15" ht="14.25" customHeight="1" thickBot="1"/>
    <row r="3006" spans="8:15" ht="15.75" thickBot="1">
      <c r="H3006" s="891" t="s">
        <v>106</v>
      </c>
      <c r="I3006" s="892"/>
      <c r="J3006" s="892"/>
      <c r="K3006" s="893"/>
      <c r="M3006" s="50" t="s">
        <v>1126</v>
      </c>
    </row>
    <row r="3007" spans="8:15" ht="30.75" thickBot="1">
      <c r="H3007" s="57" t="s">
        <v>100</v>
      </c>
      <c r="I3007" s="58" t="s">
        <v>108</v>
      </c>
      <c r="J3007" s="287" t="s">
        <v>109</v>
      </c>
      <c r="K3007" s="60" t="s">
        <v>110</v>
      </c>
    </row>
    <row r="3008" spans="8:15">
      <c r="H3008" s="71">
        <v>719</v>
      </c>
      <c r="I3008" s="73">
        <f>+O2988+O2990+O2992+O2994</f>
        <v>1270000</v>
      </c>
      <c r="J3008" s="74">
        <f>+K2971</f>
        <v>70380000</v>
      </c>
      <c r="K3008" s="195">
        <f>+I3008+J3008</f>
        <v>71650000</v>
      </c>
    </row>
    <row r="3009" spans="8:15">
      <c r="H3009" s="72">
        <v>721</v>
      </c>
      <c r="I3009" s="80">
        <f>+O2989+O2991+O2993+O2995+O2997</f>
        <v>381000</v>
      </c>
      <c r="J3009" s="74">
        <f>+K2972</f>
        <v>185446046</v>
      </c>
      <c r="K3009" s="195">
        <f>+I3009+J3009</f>
        <v>185827046</v>
      </c>
    </row>
    <row r="3010" spans="8:15">
      <c r="H3010" s="72">
        <v>722</v>
      </c>
      <c r="I3010" s="80"/>
      <c r="J3010" s="74">
        <f>+K2973</f>
        <v>61411494</v>
      </c>
      <c r="K3010" s="195">
        <f>+I3010+J3010</f>
        <v>61411494</v>
      </c>
    </row>
    <row r="3011" spans="8:15" ht="15.75">
      <c r="H3011" s="72">
        <v>723</v>
      </c>
      <c r="I3011" s="80"/>
      <c r="J3011" s="74">
        <f>+K2974</f>
        <v>303456463</v>
      </c>
      <c r="K3011" s="195">
        <f>+I3011+J3011</f>
        <v>303456463</v>
      </c>
      <c r="M3011" s="193" t="s">
        <v>1028</v>
      </c>
      <c r="N3011" s="175"/>
    </row>
    <row r="3012" spans="8:15" ht="16.5" thickBot="1">
      <c r="H3012" s="164" t="s">
        <v>1077</v>
      </c>
      <c r="I3012" s="165"/>
      <c r="J3012" s="74">
        <f>+K2975</f>
        <v>797500</v>
      </c>
      <c r="K3012" s="196">
        <f>+I3012+J3012</f>
        <v>797500</v>
      </c>
      <c r="M3012" s="52"/>
    </row>
    <row r="3013" spans="8:15" ht="16.5" thickBot="1">
      <c r="H3013" s="169"/>
      <c r="I3013" s="197">
        <f>SUM(I3008:I3012)</f>
        <v>1651000</v>
      </c>
      <c r="J3013" s="197">
        <f>SUM(J3008:J3012)</f>
        <v>621491503</v>
      </c>
      <c r="K3013" s="198">
        <f>SUM(K3008:K3012)</f>
        <v>623142503</v>
      </c>
    </row>
    <row r="3014" spans="8:15" ht="16.5">
      <c r="H3014" s="49" t="s">
        <v>88</v>
      </c>
      <c r="I3014" s="50"/>
    </row>
    <row r="3015" spans="8:15">
      <c r="H3015" s="51" t="s">
        <v>89</v>
      </c>
    </row>
    <row r="3016" spans="8:15">
      <c r="H3016" s="51" t="s">
        <v>90</v>
      </c>
    </row>
    <row r="3017" spans="8:15">
      <c r="H3017" s="51" t="s">
        <v>91</v>
      </c>
    </row>
    <row r="3018" spans="8:15" ht="12" customHeight="1">
      <c r="H3018" s="50"/>
      <c r="I3018" s="50"/>
    </row>
    <row r="3019" spans="8:15" ht="15.75">
      <c r="H3019" s="260" t="s">
        <v>1206</v>
      </c>
      <c r="N3019" s="52"/>
    </row>
    <row r="3020" spans="8:15" ht="15.75">
      <c r="H3020" s="53" t="s">
        <v>535</v>
      </c>
      <c r="N3020" s="53"/>
    </row>
    <row r="3021" spans="8:15" ht="16.5">
      <c r="H3021" s="894" t="s">
        <v>909</v>
      </c>
      <c r="I3021" s="894"/>
      <c r="J3021" s="894"/>
      <c r="K3021" s="894"/>
      <c r="L3021" s="894"/>
      <c r="M3021" s="894"/>
      <c r="N3021" s="894"/>
      <c r="O3021" s="894"/>
    </row>
    <row r="3022" spans="8:15" ht="15.75" thickBot="1"/>
    <row r="3023" spans="8:15">
      <c r="H3023" s="895" t="s">
        <v>94</v>
      </c>
      <c r="I3023" s="897" t="s">
        <v>95</v>
      </c>
      <c r="J3023" s="897" t="s">
        <v>96</v>
      </c>
      <c r="K3023" s="897" t="s">
        <v>3</v>
      </c>
      <c r="L3023" s="897" t="s">
        <v>97</v>
      </c>
      <c r="M3023" s="897" t="s">
        <v>98</v>
      </c>
      <c r="N3023" s="897" t="s">
        <v>99</v>
      </c>
      <c r="O3023" s="899"/>
    </row>
    <row r="3024" spans="8:15" ht="15.75" thickBot="1">
      <c r="H3024" s="896"/>
      <c r="I3024" s="898"/>
      <c r="J3024" s="898"/>
      <c r="K3024" s="898"/>
      <c r="L3024" s="898"/>
      <c r="M3024" s="898"/>
      <c r="N3024" s="240" t="s">
        <v>100</v>
      </c>
      <c r="O3024" s="182" t="s">
        <v>101</v>
      </c>
    </row>
    <row r="3025" spans="8:15">
      <c r="H3025" s="881">
        <v>324</v>
      </c>
      <c r="I3025" s="875">
        <v>42692</v>
      </c>
      <c r="J3025" s="877" t="s">
        <v>1014</v>
      </c>
      <c r="K3025" s="879" t="s">
        <v>1207</v>
      </c>
      <c r="L3025" s="881" t="s">
        <v>115</v>
      </c>
      <c r="M3025" s="883">
        <v>70000</v>
      </c>
      <c r="N3025" s="55">
        <v>719</v>
      </c>
      <c r="O3025" s="78">
        <v>70000</v>
      </c>
    </row>
    <row r="3026" spans="8:15" ht="15.75" thickBot="1">
      <c r="H3026" s="882"/>
      <c r="I3026" s="876"/>
      <c r="J3026" s="878"/>
      <c r="K3026" s="880"/>
      <c r="L3026" s="882"/>
      <c r="M3026" s="884"/>
      <c r="N3026" s="56">
        <v>721</v>
      </c>
      <c r="O3026" s="79">
        <f>+M3025-O3025</f>
        <v>0</v>
      </c>
    </row>
    <row r="3027" spans="8:15" ht="15" customHeight="1">
      <c r="H3027" s="881">
        <v>325</v>
      </c>
      <c r="I3027" s="875">
        <v>42692</v>
      </c>
      <c r="J3027" s="877" t="s">
        <v>28</v>
      </c>
      <c r="K3027" s="879" t="s">
        <v>1208</v>
      </c>
      <c r="L3027" s="881" t="s">
        <v>115</v>
      </c>
      <c r="M3027" s="883">
        <v>80000</v>
      </c>
      <c r="N3027" s="55">
        <v>719</v>
      </c>
      <c r="O3027" s="78">
        <v>80000</v>
      </c>
    </row>
    <row r="3028" spans="8:15" ht="15.75" customHeight="1" thickBot="1">
      <c r="H3028" s="882"/>
      <c r="I3028" s="876"/>
      <c r="J3028" s="878"/>
      <c r="K3028" s="880"/>
      <c r="L3028" s="882"/>
      <c r="M3028" s="884"/>
      <c r="N3028" s="56">
        <v>721</v>
      </c>
      <c r="O3028" s="79">
        <f>+M3027-O3027</f>
        <v>0</v>
      </c>
    </row>
    <row r="3029" spans="8:15" ht="15" customHeight="1">
      <c r="H3029" s="881">
        <v>326</v>
      </c>
      <c r="I3029" s="875">
        <v>42692</v>
      </c>
      <c r="J3029" s="877" t="s">
        <v>120</v>
      </c>
      <c r="K3029" s="879" t="s">
        <v>1209</v>
      </c>
      <c r="L3029" s="881" t="s">
        <v>115</v>
      </c>
      <c r="M3029" s="883">
        <v>110000</v>
      </c>
      <c r="N3029" s="55">
        <v>719</v>
      </c>
      <c r="O3029" s="78">
        <v>110000</v>
      </c>
    </row>
    <row r="3030" spans="8:15" ht="15.75" customHeight="1" thickBot="1">
      <c r="H3030" s="882"/>
      <c r="I3030" s="876"/>
      <c r="J3030" s="878"/>
      <c r="K3030" s="880"/>
      <c r="L3030" s="882"/>
      <c r="M3030" s="884"/>
      <c r="N3030" s="56">
        <v>721</v>
      </c>
      <c r="O3030" s="79">
        <f>+M3029-O3029</f>
        <v>0</v>
      </c>
    </row>
    <row r="3031" spans="8:15">
      <c r="H3031" s="881"/>
      <c r="I3031" s="875"/>
      <c r="J3031" s="877"/>
      <c r="K3031" s="879"/>
      <c r="L3031" s="881"/>
      <c r="M3031" s="883"/>
      <c r="N3031" s="55">
        <v>719</v>
      </c>
      <c r="O3031" s="78">
        <v>0</v>
      </c>
    </row>
    <row r="3032" spans="8:15" ht="15.75" thickBot="1">
      <c r="H3032" s="882"/>
      <c r="I3032" s="876"/>
      <c r="J3032" s="878"/>
      <c r="K3032" s="880"/>
      <c r="L3032" s="882"/>
      <c r="M3032" s="884"/>
      <c r="N3032" s="56">
        <v>721</v>
      </c>
      <c r="O3032" s="79">
        <f>+M3031-O3031</f>
        <v>0</v>
      </c>
    </row>
    <row r="3033" spans="8:15">
      <c r="H3033" s="881"/>
      <c r="I3033" s="875"/>
      <c r="J3033" s="877"/>
      <c r="K3033" s="879"/>
      <c r="L3033" s="881"/>
      <c r="M3033" s="883"/>
      <c r="N3033" s="55">
        <v>719</v>
      </c>
      <c r="O3033" s="78"/>
    </row>
    <row r="3034" spans="8:15" ht="15.75" thickBot="1">
      <c r="H3034" s="882"/>
      <c r="I3034" s="876"/>
      <c r="J3034" s="878"/>
      <c r="K3034" s="880"/>
      <c r="L3034" s="882"/>
      <c r="M3034" s="884"/>
      <c r="N3034" s="56">
        <v>721</v>
      </c>
      <c r="O3034" s="79">
        <f>+M3033-O3033</f>
        <v>0</v>
      </c>
    </row>
    <row r="3035" spans="8:15" ht="16.5" thickBot="1">
      <c r="H3035" s="901" t="s">
        <v>102</v>
      </c>
      <c r="I3035" s="902"/>
      <c r="J3035" s="902"/>
      <c r="K3035" s="902"/>
      <c r="L3035" s="903"/>
      <c r="M3035" s="81">
        <f>SUM(M3025:M3034)</f>
        <v>260000</v>
      </c>
    </row>
    <row r="3036" spans="8:15" ht="16.5" thickBot="1">
      <c r="H3036" s="885" t="s">
        <v>103</v>
      </c>
      <c r="I3036" s="886"/>
      <c r="J3036" s="886"/>
      <c r="K3036" s="886"/>
      <c r="L3036" s="887"/>
      <c r="M3036" s="69">
        <f>+M3000</f>
        <v>623212503</v>
      </c>
      <c r="N3036" s="241" t="s">
        <v>561</v>
      </c>
      <c r="O3036" s="242">
        <f>235+115+352</f>
        <v>702</v>
      </c>
    </row>
    <row r="3037" spans="8:15" ht="16.5" thickBot="1">
      <c r="H3037" s="888" t="s">
        <v>104</v>
      </c>
      <c r="I3037" s="889"/>
      <c r="J3037" s="889"/>
      <c r="K3037" s="889"/>
      <c r="L3037" s="890"/>
      <c r="M3037" s="183">
        <f>SUM(M3035:M3036)</f>
        <v>623472503</v>
      </c>
    </row>
    <row r="3038" spans="8:15">
      <c r="H3038" s="61"/>
      <c r="I3038" s="61"/>
      <c r="J3038" s="61"/>
      <c r="K3038" s="61"/>
      <c r="L3038" s="61"/>
    </row>
    <row r="3039" spans="8:15">
      <c r="H3039" s="51" t="s">
        <v>1210</v>
      </c>
    </row>
    <row r="3040" spans="8:15" ht="11.25" customHeight="1">
      <c r="M3040" s="139"/>
    </row>
    <row r="3041" spans="8:14">
      <c r="H3041" s="50" t="s">
        <v>105</v>
      </c>
      <c r="K3041" s="146"/>
      <c r="M3041" s="139"/>
    </row>
    <row r="3042" spans="8:14" ht="13.5" customHeight="1" thickBot="1"/>
    <row r="3043" spans="8:14" ht="15.75" thickBot="1">
      <c r="H3043" s="891" t="s">
        <v>106</v>
      </c>
      <c r="I3043" s="892"/>
      <c r="J3043" s="892"/>
      <c r="K3043" s="893"/>
      <c r="M3043" s="50" t="s">
        <v>1126</v>
      </c>
    </row>
    <row r="3044" spans="8:14" ht="30.75" thickBot="1">
      <c r="H3044" s="57" t="s">
        <v>100</v>
      </c>
      <c r="I3044" s="58" t="s">
        <v>108</v>
      </c>
      <c r="J3044" s="287" t="s">
        <v>109</v>
      </c>
      <c r="K3044" s="60" t="s">
        <v>110</v>
      </c>
    </row>
    <row r="3045" spans="8:14">
      <c r="H3045" s="71">
        <v>719</v>
      </c>
      <c r="I3045" s="73">
        <f>+O3025+O3027+O3029+O3031</f>
        <v>260000</v>
      </c>
      <c r="J3045" s="74">
        <f>+K3008</f>
        <v>71650000</v>
      </c>
      <c r="K3045" s="195">
        <f>+I3045+J3045</f>
        <v>71910000</v>
      </c>
    </row>
    <row r="3046" spans="8:14">
      <c r="H3046" s="72">
        <v>721</v>
      </c>
      <c r="I3046" s="80">
        <f>+O3026+O3028+O3030+O3032+O3034</f>
        <v>0</v>
      </c>
      <c r="J3046" s="74">
        <f>+K3009</f>
        <v>185827046</v>
      </c>
      <c r="K3046" s="195">
        <f>+I3046+J3046</f>
        <v>185827046</v>
      </c>
    </row>
    <row r="3047" spans="8:14">
      <c r="H3047" s="72">
        <v>722</v>
      </c>
      <c r="I3047" s="80"/>
      <c r="J3047" s="74">
        <f>+K3010</f>
        <v>61411494</v>
      </c>
      <c r="K3047" s="195">
        <f>+I3047+J3047</f>
        <v>61411494</v>
      </c>
    </row>
    <row r="3048" spans="8:14" ht="15.75">
      <c r="H3048" s="72">
        <v>723</v>
      </c>
      <c r="I3048" s="80"/>
      <c r="J3048" s="74">
        <f>+K3011</f>
        <v>303456463</v>
      </c>
      <c r="K3048" s="195">
        <f>+I3048+J3048</f>
        <v>303456463</v>
      </c>
      <c r="M3048" s="193" t="s">
        <v>1028</v>
      </c>
      <c r="N3048" s="175"/>
    </row>
    <row r="3049" spans="8:14" ht="16.5" thickBot="1">
      <c r="H3049" s="164" t="s">
        <v>1077</v>
      </c>
      <c r="I3049" s="165"/>
      <c r="J3049" s="74">
        <f>+K3012</f>
        <v>797500</v>
      </c>
      <c r="K3049" s="196">
        <f>+I3049+J3049</f>
        <v>797500</v>
      </c>
      <c r="M3049" s="52"/>
    </row>
    <row r="3050" spans="8:14" ht="16.5" thickBot="1">
      <c r="H3050" s="169"/>
      <c r="I3050" s="197">
        <f>SUM(I3045:I3049)</f>
        <v>260000</v>
      </c>
      <c r="J3050" s="197">
        <f>SUM(J3045:J3049)</f>
        <v>623142503</v>
      </c>
      <c r="K3050" s="198">
        <f>SUM(K3045:K3049)</f>
        <v>623402503</v>
      </c>
    </row>
    <row r="3051" spans="8:14" ht="16.5">
      <c r="H3051" s="49" t="s">
        <v>88</v>
      </c>
      <c r="I3051" s="50"/>
    </row>
    <row r="3052" spans="8:14">
      <c r="H3052" s="51" t="s">
        <v>89</v>
      </c>
    </row>
    <row r="3053" spans="8:14">
      <c r="H3053" s="51" t="s">
        <v>90</v>
      </c>
    </row>
    <row r="3054" spans="8:14">
      <c r="H3054" s="51" t="s">
        <v>91</v>
      </c>
    </row>
    <row r="3055" spans="8:14" ht="11.25" customHeight="1">
      <c r="H3055" s="50"/>
      <c r="I3055" s="50"/>
    </row>
    <row r="3056" spans="8:14" ht="15.75">
      <c r="H3056" s="260" t="s">
        <v>1217</v>
      </c>
      <c r="N3056" s="52"/>
    </row>
    <row r="3057" spans="8:15" ht="15.75">
      <c r="H3057" s="53" t="s">
        <v>535</v>
      </c>
      <c r="N3057" s="53"/>
    </row>
    <row r="3058" spans="8:15" ht="16.5">
      <c r="H3058" s="894" t="s">
        <v>909</v>
      </c>
      <c r="I3058" s="894"/>
      <c r="J3058" s="894"/>
      <c r="K3058" s="894"/>
      <c r="L3058" s="894"/>
      <c r="M3058" s="894"/>
      <c r="N3058" s="894"/>
      <c r="O3058" s="894"/>
    </row>
    <row r="3059" spans="8:15" ht="15.75" thickBot="1"/>
    <row r="3060" spans="8:15">
      <c r="H3060" s="895" t="s">
        <v>94</v>
      </c>
      <c r="I3060" s="897" t="s">
        <v>95</v>
      </c>
      <c r="J3060" s="897" t="s">
        <v>96</v>
      </c>
      <c r="K3060" s="897" t="s">
        <v>3</v>
      </c>
      <c r="L3060" s="897" t="s">
        <v>97</v>
      </c>
      <c r="M3060" s="897" t="s">
        <v>98</v>
      </c>
      <c r="N3060" s="897" t="s">
        <v>99</v>
      </c>
      <c r="O3060" s="899"/>
    </row>
    <row r="3061" spans="8:15" ht="15.75" thickBot="1">
      <c r="H3061" s="896"/>
      <c r="I3061" s="898"/>
      <c r="J3061" s="898"/>
      <c r="K3061" s="898"/>
      <c r="L3061" s="898"/>
      <c r="M3061" s="898"/>
      <c r="N3061" s="240" t="s">
        <v>100</v>
      </c>
      <c r="O3061" s="182" t="s">
        <v>101</v>
      </c>
    </row>
    <row r="3062" spans="8:15">
      <c r="H3062" s="881">
        <v>327</v>
      </c>
      <c r="I3062" s="875">
        <v>42703</v>
      </c>
      <c r="J3062" s="877" t="s">
        <v>1014</v>
      </c>
      <c r="K3062" s="879" t="s">
        <v>1218</v>
      </c>
      <c r="L3062" s="881" t="s">
        <v>115</v>
      </c>
      <c r="M3062" s="883">
        <v>50000</v>
      </c>
      <c r="N3062" s="55">
        <v>719</v>
      </c>
      <c r="O3062" s="78">
        <v>50000</v>
      </c>
    </row>
    <row r="3063" spans="8:15" ht="15.75" thickBot="1">
      <c r="H3063" s="882"/>
      <c r="I3063" s="876"/>
      <c r="J3063" s="878"/>
      <c r="K3063" s="880"/>
      <c r="L3063" s="882"/>
      <c r="M3063" s="884"/>
      <c r="N3063" s="56">
        <v>721</v>
      </c>
      <c r="O3063" s="79">
        <f>+M3062-O3062</f>
        <v>0</v>
      </c>
    </row>
    <row r="3064" spans="8:15" ht="15" customHeight="1">
      <c r="H3064" s="881">
        <v>328</v>
      </c>
      <c r="I3064" s="875">
        <v>42703</v>
      </c>
      <c r="J3064" s="877" t="s">
        <v>28</v>
      </c>
      <c r="K3064" s="879" t="s">
        <v>1218</v>
      </c>
      <c r="L3064" s="881" t="s">
        <v>115</v>
      </c>
      <c r="M3064" s="883">
        <v>50000</v>
      </c>
      <c r="N3064" s="55">
        <v>719</v>
      </c>
      <c r="O3064" s="78">
        <v>50000</v>
      </c>
    </row>
    <row r="3065" spans="8:15" ht="15.75" customHeight="1" thickBot="1">
      <c r="H3065" s="882"/>
      <c r="I3065" s="876"/>
      <c r="J3065" s="878"/>
      <c r="K3065" s="880"/>
      <c r="L3065" s="882"/>
      <c r="M3065" s="884"/>
      <c r="N3065" s="56">
        <v>721</v>
      </c>
      <c r="O3065" s="79">
        <f>+M3064-O3064</f>
        <v>0</v>
      </c>
    </row>
    <row r="3066" spans="8:15" ht="15" customHeight="1">
      <c r="H3066" s="881">
        <v>329</v>
      </c>
      <c r="I3066" s="875">
        <v>42703</v>
      </c>
      <c r="J3066" s="877" t="s">
        <v>120</v>
      </c>
      <c r="K3066" s="879" t="s">
        <v>1219</v>
      </c>
      <c r="L3066" s="881" t="s">
        <v>115</v>
      </c>
      <c r="M3066" s="883">
        <v>30000</v>
      </c>
      <c r="N3066" s="55">
        <v>719</v>
      </c>
      <c r="O3066" s="78">
        <v>30000</v>
      </c>
    </row>
    <row r="3067" spans="8:15" ht="15.75" customHeight="1" thickBot="1">
      <c r="H3067" s="882"/>
      <c r="I3067" s="876"/>
      <c r="J3067" s="878"/>
      <c r="K3067" s="880"/>
      <c r="L3067" s="882"/>
      <c r="M3067" s="884"/>
      <c r="N3067" s="56">
        <v>721</v>
      </c>
      <c r="O3067" s="79">
        <f>+M3066-O3066</f>
        <v>0</v>
      </c>
    </row>
    <row r="3068" spans="8:15">
      <c r="H3068" s="881">
        <v>330</v>
      </c>
      <c r="I3068" s="875">
        <v>42703</v>
      </c>
      <c r="J3068" s="877" t="s">
        <v>674</v>
      </c>
      <c r="K3068" s="879" t="s">
        <v>1221</v>
      </c>
      <c r="L3068" s="881" t="s">
        <v>148</v>
      </c>
      <c r="M3068" s="883">
        <v>1350000</v>
      </c>
      <c r="N3068" s="55">
        <v>719</v>
      </c>
      <c r="O3068" s="78">
        <v>0</v>
      </c>
    </row>
    <row r="3069" spans="8:15" ht="15.75" thickBot="1">
      <c r="H3069" s="882"/>
      <c r="I3069" s="876"/>
      <c r="J3069" s="878"/>
      <c r="K3069" s="880"/>
      <c r="L3069" s="882"/>
      <c r="M3069" s="884"/>
      <c r="N3069" s="56">
        <v>723</v>
      </c>
      <c r="O3069" s="79">
        <f>+M3068-O3068</f>
        <v>1350000</v>
      </c>
    </row>
    <row r="3070" spans="8:15">
      <c r="H3070" s="881"/>
      <c r="I3070" s="875"/>
      <c r="J3070" s="877"/>
      <c r="K3070" s="879"/>
      <c r="L3070" s="881"/>
      <c r="M3070" s="883"/>
      <c r="N3070" s="55">
        <v>719</v>
      </c>
      <c r="O3070" s="78"/>
    </row>
    <row r="3071" spans="8:15" ht="15.75" thickBot="1">
      <c r="H3071" s="882"/>
      <c r="I3071" s="876"/>
      <c r="J3071" s="878"/>
      <c r="K3071" s="880"/>
      <c r="L3071" s="882"/>
      <c r="M3071" s="884"/>
      <c r="N3071" s="56">
        <v>721</v>
      </c>
      <c r="O3071" s="79">
        <f>+M3070-O3070</f>
        <v>0</v>
      </c>
    </row>
    <row r="3072" spans="8:15" ht="16.5" thickBot="1">
      <c r="H3072" s="901" t="s">
        <v>102</v>
      </c>
      <c r="I3072" s="902"/>
      <c r="J3072" s="902"/>
      <c r="K3072" s="902"/>
      <c r="L3072" s="903"/>
      <c r="M3072" s="81">
        <f>SUM(M3062:M3071)</f>
        <v>1480000</v>
      </c>
    </row>
    <row r="3073" spans="8:15" ht="16.5" thickBot="1">
      <c r="H3073" s="885" t="s">
        <v>103</v>
      </c>
      <c r="I3073" s="886"/>
      <c r="J3073" s="886"/>
      <c r="K3073" s="886"/>
      <c r="L3073" s="887"/>
      <c r="M3073" s="69">
        <f>+M3037</f>
        <v>623472503</v>
      </c>
      <c r="N3073" s="241" t="s">
        <v>561</v>
      </c>
      <c r="O3073" s="242">
        <f>48+92+184</f>
        <v>324</v>
      </c>
    </row>
    <row r="3074" spans="8:15" ht="16.5" thickBot="1">
      <c r="H3074" s="888" t="s">
        <v>104</v>
      </c>
      <c r="I3074" s="889"/>
      <c r="J3074" s="889"/>
      <c r="K3074" s="889"/>
      <c r="L3074" s="890"/>
      <c r="M3074" s="183">
        <f>SUM(M3072:M3073)</f>
        <v>624952503</v>
      </c>
    </row>
    <row r="3075" spans="8:15" ht="12" customHeight="1">
      <c r="H3075" s="61"/>
      <c r="I3075" s="61"/>
      <c r="J3075" s="61"/>
      <c r="K3075" s="61"/>
      <c r="L3075" s="61"/>
    </row>
    <row r="3076" spans="8:15">
      <c r="H3076" s="51" t="s">
        <v>1220</v>
      </c>
    </row>
    <row r="3077" spans="8:15" ht="12" customHeight="1">
      <c r="M3077" s="139"/>
    </row>
    <row r="3078" spans="8:15">
      <c r="H3078" s="50" t="s">
        <v>105</v>
      </c>
      <c r="K3078" s="146"/>
      <c r="M3078" s="139"/>
    </row>
    <row r="3079" spans="8:15" ht="12.75" customHeight="1" thickBot="1"/>
    <row r="3080" spans="8:15" ht="15.75" thickBot="1">
      <c r="H3080" s="891" t="s">
        <v>106</v>
      </c>
      <c r="I3080" s="892"/>
      <c r="J3080" s="892"/>
      <c r="K3080" s="893"/>
      <c r="M3080" s="50" t="s">
        <v>288</v>
      </c>
    </row>
    <row r="3081" spans="8:15" ht="30.75" thickBot="1">
      <c r="H3081" s="57" t="s">
        <v>100</v>
      </c>
      <c r="I3081" s="58" t="s">
        <v>108</v>
      </c>
      <c r="J3081" s="287" t="s">
        <v>109</v>
      </c>
      <c r="K3081" s="60" t="s">
        <v>110</v>
      </c>
    </row>
    <row r="3082" spans="8:15">
      <c r="H3082" s="71">
        <v>719</v>
      </c>
      <c r="I3082" s="73">
        <f>+O3062+O3064+O3066+O3068</f>
        <v>130000</v>
      </c>
      <c r="J3082" s="74">
        <f>+K3045</f>
        <v>71910000</v>
      </c>
      <c r="K3082" s="195">
        <f>+I3082+J3082</f>
        <v>72040000</v>
      </c>
    </row>
    <row r="3083" spans="8:15">
      <c r="H3083" s="72">
        <v>721</v>
      </c>
      <c r="I3083" s="80"/>
      <c r="J3083" s="74">
        <f>+K3046</f>
        <v>185827046</v>
      </c>
      <c r="K3083" s="195">
        <f>+I3083+J3083</f>
        <v>185827046</v>
      </c>
    </row>
    <row r="3084" spans="8:15">
      <c r="H3084" s="72">
        <v>722</v>
      </c>
      <c r="I3084" s="80"/>
      <c r="J3084" s="74">
        <f>+K3047</f>
        <v>61411494</v>
      </c>
      <c r="K3084" s="195">
        <f>+I3084+J3084</f>
        <v>61411494</v>
      </c>
    </row>
    <row r="3085" spans="8:15" ht="15.75">
      <c r="H3085" s="72">
        <v>723</v>
      </c>
      <c r="I3085" s="80">
        <f>+O3069</f>
        <v>1350000</v>
      </c>
      <c r="J3085" s="74">
        <f>+K3048</f>
        <v>303456463</v>
      </c>
      <c r="K3085" s="195">
        <f>+I3085+J3085</f>
        <v>304806463</v>
      </c>
      <c r="M3085" s="193" t="s">
        <v>289</v>
      </c>
      <c r="N3085" s="175"/>
    </row>
    <row r="3086" spans="8:15" ht="16.5" thickBot="1">
      <c r="H3086" s="164" t="s">
        <v>1077</v>
      </c>
      <c r="I3086" s="165"/>
      <c r="J3086" s="74">
        <f>+K3049</f>
        <v>797500</v>
      </c>
      <c r="K3086" s="196">
        <f>+I3086+J3086</f>
        <v>797500</v>
      </c>
      <c r="M3086" s="52"/>
    </row>
    <row r="3087" spans="8:15" ht="16.5" thickBot="1">
      <c r="H3087" s="169"/>
      <c r="I3087" s="197">
        <f>SUM(I3082:I3086)</f>
        <v>1480000</v>
      </c>
      <c r="J3087" s="197">
        <f>SUM(J3082:J3086)</f>
        <v>623402503</v>
      </c>
      <c r="K3087" s="198">
        <f>SUM(K3082:K3086)</f>
        <v>624882503</v>
      </c>
    </row>
    <row r="3088" spans="8:15" ht="16.5">
      <c r="H3088" s="49" t="s">
        <v>88</v>
      </c>
      <c r="I3088" s="50"/>
    </row>
    <row r="3089" spans="8:15">
      <c r="H3089" s="51" t="s">
        <v>89</v>
      </c>
    </row>
    <row r="3090" spans="8:15">
      <c r="H3090" s="51" t="s">
        <v>90</v>
      </c>
    </row>
    <row r="3091" spans="8:15">
      <c r="H3091" s="51" t="s">
        <v>91</v>
      </c>
    </row>
    <row r="3092" spans="8:15" ht="12" customHeight="1">
      <c r="H3092" s="50"/>
      <c r="I3092" s="50"/>
    </row>
    <row r="3093" spans="8:15" ht="15.75">
      <c r="H3093" s="260" t="s">
        <v>1222</v>
      </c>
      <c r="N3093" s="52"/>
    </row>
    <row r="3094" spans="8:15" ht="15.75">
      <c r="H3094" s="53" t="s">
        <v>535</v>
      </c>
      <c r="N3094" s="53"/>
    </row>
    <row r="3095" spans="8:15" ht="16.5">
      <c r="H3095" s="894" t="s">
        <v>170</v>
      </c>
      <c r="I3095" s="894"/>
      <c r="J3095" s="894"/>
      <c r="K3095" s="894"/>
      <c r="L3095" s="894"/>
      <c r="M3095" s="894"/>
      <c r="N3095" s="894"/>
      <c r="O3095" s="894"/>
    </row>
    <row r="3096" spans="8:15" ht="15.75" thickBot="1"/>
    <row r="3097" spans="8:15">
      <c r="H3097" s="895" t="s">
        <v>94</v>
      </c>
      <c r="I3097" s="897" t="s">
        <v>95</v>
      </c>
      <c r="J3097" s="897" t="s">
        <v>96</v>
      </c>
      <c r="K3097" s="897" t="s">
        <v>3</v>
      </c>
      <c r="L3097" s="897" t="s">
        <v>97</v>
      </c>
      <c r="M3097" s="897" t="s">
        <v>98</v>
      </c>
      <c r="N3097" s="897" t="s">
        <v>99</v>
      </c>
      <c r="O3097" s="899"/>
    </row>
    <row r="3098" spans="8:15" ht="15.75" thickBot="1">
      <c r="H3098" s="896"/>
      <c r="I3098" s="898"/>
      <c r="J3098" s="898"/>
      <c r="K3098" s="898"/>
      <c r="L3098" s="898"/>
      <c r="M3098" s="898"/>
      <c r="N3098" s="240" t="s">
        <v>100</v>
      </c>
      <c r="O3098" s="182" t="s">
        <v>101</v>
      </c>
    </row>
    <row r="3099" spans="8:15">
      <c r="H3099" s="881">
        <v>331</v>
      </c>
      <c r="I3099" s="875">
        <v>42704</v>
      </c>
      <c r="J3099" s="877" t="s">
        <v>1014</v>
      </c>
      <c r="K3099" s="879" t="s">
        <v>1224</v>
      </c>
      <c r="L3099" s="881" t="s">
        <v>115</v>
      </c>
      <c r="M3099" s="883">
        <v>70000</v>
      </c>
      <c r="N3099" s="55">
        <v>719</v>
      </c>
      <c r="O3099" s="78">
        <v>70000</v>
      </c>
    </row>
    <row r="3100" spans="8:15" ht="15.75" thickBot="1">
      <c r="H3100" s="882"/>
      <c r="I3100" s="876"/>
      <c r="J3100" s="878"/>
      <c r="K3100" s="880"/>
      <c r="L3100" s="882"/>
      <c r="M3100" s="884"/>
      <c r="N3100" s="56">
        <v>721</v>
      </c>
      <c r="O3100" s="79">
        <f>+M3099-O3099</f>
        <v>0</v>
      </c>
    </row>
    <row r="3101" spans="8:15" ht="15" customHeight="1">
      <c r="H3101" s="881">
        <v>332</v>
      </c>
      <c r="I3101" s="875">
        <v>42704</v>
      </c>
      <c r="J3101" s="877" t="s">
        <v>28</v>
      </c>
      <c r="K3101" s="879" t="s">
        <v>1224</v>
      </c>
      <c r="L3101" s="881" t="s">
        <v>115</v>
      </c>
      <c r="M3101" s="883">
        <v>70000</v>
      </c>
      <c r="N3101" s="55">
        <v>719</v>
      </c>
      <c r="O3101" s="78">
        <v>70000</v>
      </c>
    </row>
    <row r="3102" spans="8:15" ht="15.75" customHeight="1" thickBot="1">
      <c r="H3102" s="882"/>
      <c r="I3102" s="876"/>
      <c r="J3102" s="878"/>
      <c r="K3102" s="880"/>
      <c r="L3102" s="882"/>
      <c r="M3102" s="884"/>
      <c r="N3102" s="56">
        <v>721</v>
      </c>
      <c r="O3102" s="79">
        <f>+M3101-O3101</f>
        <v>0</v>
      </c>
    </row>
    <row r="3103" spans="8:15" ht="15" customHeight="1">
      <c r="H3103" s="881">
        <v>333</v>
      </c>
      <c r="I3103" s="875">
        <v>42704</v>
      </c>
      <c r="J3103" s="877" t="s">
        <v>120</v>
      </c>
      <c r="K3103" s="879" t="s">
        <v>1224</v>
      </c>
      <c r="L3103" s="881" t="s">
        <v>115</v>
      </c>
      <c r="M3103" s="883">
        <v>110000</v>
      </c>
      <c r="N3103" s="55">
        <v>719</v>
      </c>
      <c r="O3103" s="78">
        <v>110000</v>
      </c>
    </row>
    <row r="3104" spans="8:15" ht="15.75" customHeight="1" thickBot="1">
      <c r="H3104" s="882"/>
      <c r="I3104" s="876"/>
      <c r="J3104" s="878"/>
      <c r="K3104" s="880"/>
      <c r="L3104" s="882"/>
      <c r="M3104" s="884"/>
      <c r="N3104" s="56">
        <v>721</v>
      </c>
      <c r="O3104" s="79">
        <f>+M3103-O3103</f>
        <v>0</v>
      </c>
    </row>
    <row r="3105" spans="8:15" ht="15" customHeight="1">
      <c r="H3105" s="881"/>
      <c r="I3105" s="875"/>
      <c r="J3105" s="877"/>
      <c r="K3105" s="879"/>
      <c r="L3105" s="881"/>
      <c r="M3105" s="883"/>
      <c r="N3105" s="55"/>
      <c r="O3105" s="78"/>
    </row>
    <row r="3106" spans="8:15" ht="15.75" customHeight="1" thickBot="1">
      <c r="H3106" s="882"/>
      <c r="I3106" s="876"/>
      <c r="J3106" s="878"/>
      <c r="K3106" s="880"/>
      <c r="L3106" s="882"/>
      <c r="M3106" s="884"/>
      <c r="N3106" s="56"/>
      <c r="O3106" s="79"/>
    </row>
    <row r="3107" spans="8:15" ht="14.25" customHeight="1">
      <c r="H3107" s="881"/>
      <c r="I3107" s="875"/>
      <c r="J3107" s="877"/>
      <c r="K3107" s="879"/>
      <c r="L3107" s="881"/>
      <c r="M3107" s="883"/>
      <c r="N3107" s="55">
        <v>719</v>
      </c>
      <c r="O3107" s="78"/>
    </row>
    <row r="3108" spans="8:15" ht="13.5" customHeight="1" thickBot="1">
      <c r="H3108" s="882"/>
      <c r="I3108" s="876"/>
      <c r="J3108" s="878"/>
      <c r="K3108" s="880"/>
      <c r="L3108" s="882"/>
      <c r="M3108" s="884"/>
      <c r="N3108" s="56">
        <v>721</v>
      </c>
      <c r="O3108" s="79">
        <f>+M3107-O3107</f>
        <v>0</v>
      </c>
    </row>
    <row r="3109" spans="8:15" ht="16.5" thickBot="1">
      <c r="H3109" s="901" t="s">
        <v>102</v>
      </c>
      <c r="I3109" s="902"/>
      <c r="J3109" s="902"/>
      <c r="K3109" s="902"/>
      <c r="L3109" s="903"/>
      <c r="M3109" s="81">
        <f>SUM(M3099:M3108)</f>
        <v>250000</v>
      </c>
    </row>
    <row r="3110" spans="8:15" ht="16.5" thickBot="1">
      <c r="H3110" s="885" t="s">
        <v>103</v>
      </c>
      <c r="I3110" s="886"/>
      <c r="J3110" s="886"/>
      <c r="K3110" s="886"/>
      <c r="L3110" s="887"/>
      <c r="M3110" s="69">
        <f>+M3074</f>
        <v>624952503</v>
      </c>
      <c r="N3110" s="241" t="s">
        <v>561</v>
      </c>
      <c r="O3110" s="242">
        <f>158+308+108</f>
        <v>574</v>
      </c>
    </row>
    <row r="3111" spans="8:15" ht="16.5" thickBot="1">
      <c r="H3111" s="888" t="s">
        <v>104</v>
      </c>
      <c r="I3111" s="889"/>
      <c r="J3111" s="889"/>
      <c r="K3111" s="889"/>
      <c r="L3111" s="890"/>
      <c r="M3111" s="183">
        <f>SUM(M3109:M3110)</f>
        <v>625202503</v>
      </c>
    </row>
    <row r="3112" spans="8:15">
      <c r="H3112" s="61"/>
      <c r="I3112" s="61"/>
      <c r="J3112" s="61"/>
      <c r="K3112" s="61"/>
      <c r="L3112" s="61"/>
    </row>
    <row r="3113" spans="8:15">
      <c r="H3113" s="51" t="s">
        <v>1228</v>
      </c>
    </row>
    <row r="3114" spans="8:15" ht="12.75" customHeight="1">
      <c r="M3114" s="139"/>
    </row>
    <row r="3115" spans="8:15">
      <c r="H3115" s="50" t="s">
        <v>105</v>
      </c>
      <c r="K3115" s="146"/>
      <c r="M3115" s="139"/>
    </row>
    <row r="3116" spans="8:15" ht="12.75" customHeight="1" thickBot="1"/>
    <row r="3117" spans="8:15" ht="15.75" thickBot="1">
      <c r="H3117" s="891" t="s">
        <v>106</v>
      </c>
      <c r="I3117" s="892"/>
      <c r="J3117" s="892"/>
      <c r="K3117" s="893"/>
      <c r="M3117" s="50" t="s">
        <v>288</v>
      </c>
    </row>
    <row r="3118" spans="8:15" ht="30.75" thickBot="1">
      <c r="H3118" s="57" t="s">
        <v>100</v>
      </c>
      <c r="I3118" s="58" t="s">
        <v>108</v>
      </c>
      <c r="J3118" s="287" t="s">
        <v>109</v>
      </c>
      <c r="K3118" s="60" t="s">
        <v>110</v>
      </c>
    </row>
    <row r="3119" spans="8:15">
      <c r="H3119" s="71">
        <v>719</v>
      </c>
      <c r="I3119" s="73">
        <f>+O3099+O3101+O3103+O3105</f>
        <v>250000</v>
      </c>
      <c r="J3119" s="74">
        <f>+K3082</f>
        <v>72040000</v>
      </c>
      <c r="K3119" s="195">
        <f>+I3119+J3119</f>
        <v>72290000</v>
      </c>
    </row>
    <row r="3120" spans="8:15">
      <c r="H3120" s="72">
        <v>721</v>
      </c>
      <c r="I3120" s="80"/>
      <c r="J3120" s="74">
        <f>+K3083</f>
        <v>185827046</v>
      </c>
      <c r="K3120" s="195">
        <f>+I3120+J3120</f>
        <v>185827046</v>
      </c>
    </row>
    <row r="3121" spans="8:15">
      <c r="H3121" s="72">
        <v>722</v>
      </c>
      <c r="I3121" s="80"/>
      <c r="J3121" s="74">
        <f>+K3084</f>
        <v>61411494</v>
      </c>
      <c r="K3121" s="195">
        <f>+I3121+J3121</f>
        <v>61411494</v>
      </c>
    </row>
    <row r="3122" spans="8:15" ht="15.75">
      <c r="H3122" s="72">
        <v>723</v>
      </c>
      <c r="I3122" s="80">
        <f>+O3106</f>
        <v>0</v>
      </c>
      <c r="J3122" s="74">
        <f>+K3085</f>
        <v>304806463</v>
      </c>
      <c r="K3122" s="195">
        <f>+I3122+J3122</f>
        <v>304806463</v>
      </c>
      <c r="M3122" s="193" t="s">
        <v>289</v>
      </c>
      <c r="N3122" s="175"/>
    </row>
    <row r="3123" spans="8:15" ht="16.5" thickBot="1">
      <c r="H3123" s="164" t="s">
        <v>1077</v>
      </c>
      <c r="I3123" s="165"/>
      <c r="J3123" s="74">
        <f>+K3086</f>
        <v>797500</v>
      </c>
      <c r="K3123" s="196">
        <f>+I3123+J3123</f>
        <v>797500</v>
      </c>
      <c r="M3123" s="52"/>
    </row>
    <row r="3124" spans="8:15" ht="16.5" thickBot="1">
      <c r="H3124" s="169"/>
      <c r="I3124" s="197">
        <f>SUM(I3119:I3123)</f>
        <v>250000</v>
      </c>
      <c r="J3124" s="197">
        <f>SUM(J3119:J3123)</f>
        <v>624882503</v>
      </c>
      <c r="K3124" s="198">
        <f>SUM(K3119:K3123)</f>
        <v>625132503</v>
      </c>
    </row>
    <row r="3125" spans="8:15" ht="16.5">
      <c r="H3125" s="49" t="s">
        <v>88</v>
      </c>
      <c r="I3125" s="50"/>
    </row>
    <row r="3126" spans="8:15">
      <c r="H3126" s="51" t="s">
        <v>89</v>
      </c>
    </row>
    <row r="3127" spans="8:15">
      <c r="H3127" s="51" t="s">
        <v>90</v>
      </c>
    </row>
    <row r="3128" spans="8:15">
      <c r="H3128" s="51" t="s">
        <v>91</v>
      </c>
    </row>
    <row r="3129" spans="8:15" ht="12" customHeight="1">
      <c r="H3129" s="50"/>
      <c r="I3129" s="50"/>
    </row>
    <row r="3130" spans="8:15" ht="15.75">
      <c r="H3130" s="260" t="s">
        <v>1227</v>
      </c>
      <c r="N3130" s="52"/>
    </row>
    <row r="3131" spans="8:15" ht="15.75">
      <c r="H3131" s="53" t="s">
        <v>535</v>
      </c>
      <c r="N3131" s="53"/>
    </row>
    <row r="3132" spans="8:15" ht="16.5">
      <c r="H3132" s="894" t="s">
        <v>1226</v>
      </c>
      <c r="I3132" s="894"/>
      <c r="J3132" s="894"/>
      <c r="K3132" s="894"/>
      <c r="L3132" s="894"/>
      <c r="M3132" s="894"/>
      <c r="N3132" s="894"/>
      <c r="O3132" s="894"/>
    </row>
    <row r="3133" spans="8:15" ht="15.75" thickBot="1"/>
    <row r="3134" spans="8:15">
      <c r="H3134" s="895" t="s">
        <v>94</v>
      </c>
      <c r="I3134" s="897" t="s">
        <v>95</v>
      </c>
      <c r="J3134" s="897" t="s">
        <v>96</v>
      </c>
      <c r="K3134" s="897" t="s">
        <v>3</v>
      </c>
      <c r="L3134" s="897" t="s">
        <v>97</v>
      </c>
      <c r="M3134" s="897" t="s">
        <v>98</v>
      </c>
      <c r="N3134" s="897" t="s">
        <v>99</v>
      </c>
      <c r="O3134" s="899"/>
    </row>
    <row r="3135" spans="8:15" ht="15.75" thickBot="1">
      <c r="H3135" s="896"/>
      <c r="I3135" s="898"/>
      <c r="J3135" s="898"/>
      <c r="K3135" s="898"/>
      <c r="L3135" s="898"/>
      <c r="M3135" s="898"/>
      <c r="N3135" s="240" t="s">
        <v>100</v>
      </c>
      <c r="O3135" s="182" t="s">
        <v>101</v>
      </c>
    </row>
    <row r="3136" spans="8:15">
      <c r="H3136" s="881">
        <v>334</v>
      </c>
      <c r="I3136" s="875">
        <v>42704</v>
      </c>
      <c r="J3136" s="877" t="s">
        <v>267</v>
      </c>
      <c r="K3136" s="879" t="s">
        <v>1233</v>
      </c>
      <c r="L3136" s="881" t="s">
        <v>148</v>
      </c>
      <c r="M3136" s="883">
        <v>65000</v>
      </c>
      <c r="N3136" s="55">
        <v>719</v>
      </c>
      <c r="O3136" s="78">
        <v>50000</v>
      </c>
    </row>
    <row r="3137" spans="8:15" ht="15.75" thickBot="1">
      <c r="H3137" s="882"/>
      <c r="I3137" s="876"/>
      <c r="J3137" s="878"/>
      <c r="K3137" s="880"/>
      <c r="L3137" s="882"/>
      <c r="M3137" s="884"/>
      <c r="N3137" s="56">
        <v>721</v>
      </c>
      <c r="O3137" s="79">
        <f>+M3136-O3136</f>
        <v>15000</v>
      </c>
    </row>
    <row r="3138" spans="8:15" ht="15" customHeight="1">
      <c r="H3138" s="881">
        <v>335</v>
      </c>
      <c r="I3138" s="875">
        <v>42704</v>
      </c>
      <c r="J3138" s="877" t="s">
        <v>28</v>
      </c>
      <c r="K3138" s="879" t="s">
        <v>1234</v>
      </c>
      <c r="L3138" s="881" t="s">
        <v>148</v>
      </c>
      <c r="M3138" s="883">
        <v>390000</v>
      </c>
      <c r="N3138" s="55">
        <v>719</v>
      </c>
      <c r="O3138" s="78">
        <v>300000</v>
      </c>
    </row>
    <row r="3139" spans="8:15" ht="15.75" customHeight="1" thickBot="1">
      <c r="H3139" s="882"/>
      <c r="I3139" s="876"/>
      <c r="J3139" s="878"/>
      <c r="K3139" s="880"/>
      <c r="L3139" s="882"/>
      <c r="M3139" s="884"/>
      <c r="N3139" s="56">
        <v>721</v>
      </c>
      <c r="O3139" s="79">
        <f>+M3138-O3138</f>
        <v>90000</v>
      </c>
    </row>
    <row r="3140" spans="8:15" ht="15" customHeight="1">
      <c r="H3140" s="881">
        <v>336</v>
      </c>
      <c r="I3140" s="875">
        <v>42704</v>
      </c>
      <c r="J3140" s="877" t="s">
        <v>111</v>
      </c>
      <c r="K3140" s="879" t="s">
        <v>1232</v>
      </c>
      <c r="L3140" s="881" t="s">
        <v>148</v>
      </c>
      <c r="M3140" s="883">
        <v>104000</v>
      </c>
      <c r="N3140" s="55">
        <v>719</v>
      </c>
      <c r="O3140" s="78">
        <v>80000</v>
      </c>
    </row>
    <row r="3141" spans="8:15" ht="15.75" customHeight="1" thickBot="1">
      <c r="H3141" s="882"/>
      <c r="I3141" s="876"/>
      <c r="J3141" s="878"/>
      <c r="K3141" s="880"/>
      <c r="L3141" s="882"/>
      <c r="M3141" s="884"/>
      <c r="N3141" s="56">
        <v>721</v>
      </c>
      <c r="O3141" s="79">
        <f>+M3140-O3140</f>
        <v>24000</v>
      </c>
    </row>
    <row r="3142" spans="8:15" ht="15" customHeight="1">
      <c r="H3142" s="881">
        <v>337</v>
      </c>
      <c r="I3142" s="875">
        <v>42704</v>
      </c>
      <c r="J3142" s="877" t="s">
        <v>1014</v>
      </c>
      <c r="K3142" s="879" t="s">
        <v>1231</v>
      </c>
      <c r="L3142" s="881" t="s">
        <v>148</v>
      </c>
      <c r="M3142" s="883">
        <v>676000</v>
      </c>
      <c r="N3142" s="55">
        <v>719</v>
      </c>
      <c r="O3142" s="78">
        <v>520000</v>
      </c>
    </row>
    <row r="3143" spans="8:15" ht="15.75" customHeight="1" thickBot="1">
      <c r="H3143" s="882"/>
      <c r="I3143" s="876"/>
      <c r="J3143" s="878"/>
      <c r="K3143" s="880"/>
      <c r="L3143" s="882"/>
      <c r="M3143" s="884"/>
      <c r="N3143" s="56">
        <v>721</v>
      </c>
      <c r="O3143" s="79">
        <f>+M3142-O3142</f>
        <v>156000</v>
      </c>
    </row>
    <row r="3144" spans="8:15" ht="15" customHeight="1">
      <c r="H3144" s="881">
        <v>338</v>
      </c>
      <c r="I3144" s="875">
        <v>42704</v>
      </c>
      <c r="J3144" s="877" t="s">
        <v>1223</v>
      </c>
      <c r="K3144" s="879" t="s">
        <v>1225</v>
      </c>
      <c r="L3144" s="881" t="s">
        <v>148</v>
      </c>
      <c r="M3144" s="883">
        <v>6240000</v>
      </c>
      <c r="N3144" s="55">
        <v>719</v>
      </c>
      <c r="O3144" s="78">
        <v>0</v>
      </c>
    </row>
    <row r="3145" spans="8:15" ht="15.75" customHeight="1" thickBot="1">
      <c r="H3145" s="882"/>
      <c r="I3145" s="876"/>
      <c r="J3145" s="878"/>
      <c r="K3145" s="880"/>
      <c r="L3145" s="882"/>
      <c r="M3145" s="884"/>
      <c r="N3145" s="56">
        <v>723</v>
      </c>
      <c r="O3145" s="79">
        <f>+M3144-O3144</f>
        <v>6240000</v>
      </c>
    </row>
    <row r="3146" spans="8:15" ht="16.5" thickBot="1">
      <c r="H3146" s="901" t="s">
        <v>102</v>
      </c>
      <c r="I3146" s="902"/>
      <c r="J3146" s="902"/>
      <c r="K3146" s="902"/>
      <c r="L3146" s="903"/>
      <c r="M3146" s="81">
        <f>SUM(M3136:M3145)</f>
        <v>7475000</v>
      </c>
    </row>
    <row r="3147" spans="8:15" ht="16.5" thickBot="1">
      <c r="H3147" s="885" t="s">
        <v>103</v>
      </c>
      <c r="I3147" s="886"/>
      <c r="J3147" s="886"/>
      <c r="K3147" s="886"/>
      <c r="L3147" s="887"/>
      <c r="M3147" s="69">
        <f>+M3111</f>
        <v>625202503</v>
      </c>
      <c r="N3147" s="241" t="s">
        <v>561</v>
      </c>
      <c r="O3147" s="242">
        <f>33+37+514+915</f>
        <v>1499</v>
      </c>
    </row>
    <row r="3148" spans="8:15" ht="16.5" thickBot="1">
      <c r="H3148" s="888" t="s">
        <v>104</v>
      </c>
      <c r="I3148" s="889"/>
      <c r="J3148" s="889"/>
      <c r="K3148" s="889"/>
      <c r="L3148" s="890"/>
      <c r="M3148" s="183">
        <f>SUM(M3146:M3147)</f>
        <v>632677503</v>
      </c>
    </row>
    <row r="3149" spans="8:15" ht="12.75" customHeight="1">
      <c r="H3149" s="61"/>
      <c r="I3149" s="61"/>
      <c r="J3149" s="61"/>
      <c r="K3149" s="61"/>
      <c r="L3149" s="61"/>
    </row>
    <row r="3150" spans="8:15">
      <c r="H3150" s="51" t="s">
        <v>1230</v>
      </c>
    </row>
    <row r="3151" spans="8:15" ht="13.5" customHeight="1">
      <c r="M3151" s="139"/>
    </row>
    <row r="3152" spans="8:15">
      <c r="H3152" s="50" t="s">
        <v>105</v>
      </c>
      <c r="K3152" s="146"/>
      <c r="M3152" s="139"/>
    </row>
    <row r="3153" spans="8:14" ht="13.5" customHeight="1" thickBot="1"/>
    <row r="3154" spans="8:14" ht="15.75" thickBot="1">
      <c r="H3154" s="891" t="s">
        <v>106</v>
      </c>
      <c r="I3154" s="892"/>
      <c r="J3154" s="892"/>
      <c r="K3154" s="893"/>
      <c r="M3154" s="50" t="s">
        <v>288</v>
      </c>
    </row>
    <row r="3155" spans="8:14" ht="30.75" thickBot="1">
      <c r="H3155" s="57" t="s">
        <v>100</v>
      </c>
      <c r="I3155" s="58" t="s">
        <v>108</v>
      </c>
      <c r="J3155" s="287" t="s">
        <v>109</v>
      </c>
      <c r="K3155" s="60" t="s">
        <v>110</v>
      </c>
    </row>
    <row r="3156" spans="8:14">
      <c r="H3156" s="71">
        <v>719</v>
      </c>
      <c r="I3156" s="73">
        <f>+O3136+O3138+O3140+O3142</f>
        <v>950000</v>
      </c>
      <c r="J3156" s="74">
        <f>+K3119</f>
        <v>72290000</v>
      </c>
      <c r="K3156" s="195">
        <f>+I3156+J3156</f>
        <v>73240000</v>
      </c>
    </row>
    <row r="3157" spans="8:14">
      <c r="H3157" s="72">
        <v>721</v>
      </c>
      <c r="I3157" s="80">
        <f>+O3143+O3141+O3139+O3137</f>
        <v>285000</v>
      </c>
      <c r="J3157" s="74">
        <f>+K3120</f>
        <v>185827046</v>
      </c>
      <c r="K3157" s="195">
        <f>+I3157+J3157</f>
        <v>186112046</v>
      </c>
    </row>
    <row r="3158" spans="8:14">
      <c r="H3158" s="72">
        <v>722</v>
      </c>
      <c r="I3158" s="80"/>
      <c r="J3158" s="74">
        <f>+K3121</f>
        <v>61411494</v>
      </c>
      <c r="K3158" s="195">
        <f>+I3158+J3158</f>
        <v>61411494</v>
      </c>
    </row>
    <row r="3159" spans="8:14" ht="15.75">
      <c r="H3159" s="72">
        <v>723</v>
      </c>
      <c r="I3159" s="80">
        <f>+O3145</f>
        <v>6240000</v>
      </c>
      <c r="J3159" s="74">
        <f>+K3122</f>
        <v>304806463</v>
      </c>
      <c r="K3159" s="195">
        <f>+I3159+J3159</f>
        <v>311046463</v>
      </c>
      <c r="M3159" s="193" t="s">
        <v>289</v>
      </c>
      <c r="N3159" s="175"/>
    </row>
    <row r="3160" spans="8:14" ht="16.5" thickBot="1">
      <c r="H3160" s="164" t="s">
        <v>1077</v>
      </c>
      <c r="I3160" s="165"/>
      <c r="J3160" s="74">
        <f>+K3123</f>
        <v>797500</v>
      </c>
      <c r="K3160" s="196">
        <f>+I3160+J3160</f>
        <v>797500</v>
      </c>
      <c r="M3160" s="52"/>
    </row>
    <row r="3161" spans="8:14" ht="16.5" thickBot="1">
      <c r="H3161" s="169"/>
      <c r="I3161" s="197">
        <f>SUM(I3156:I3160)</f>
        <v>7475000</v>
      </c>
      <c r="J3161" s="197">
        <f>SUM(J3156:J3160)</f>
        <v>625132503</v>
      </c>
      <c r="K3161" s="198">
        <f>SUM(K3156:K3160)</f>
        <v>632607503</v>
      </c>
    </row>
    <row r="3162" spans="8:14" ht="16.5">
      <c r="H3162" s="49" t="s">
        <v>88</v>
      </c>
      <c r="I3162" s="50"/>
    </row>
    <row r="3163" spans="8:14">
      <c r="H3163" s="51" t="s">
        <v>89</v>
      </c>
      <c r="K3163" s="139"/>
    </row>
    <row r="3164" spans="8:14">
      <c r="H3164" s="51" t="s">
        <v>90</v>
      </c>
    </row>
    <row r="3165" spans="8:14">
      <c r="H3165" s="51" t="s">
        <v>91</v>
      </c>
    </row>
    <row r="3166" spans="8:14" ht="9.75" customHeight="1">
      <c r="H3166" s="50"/>
      <c r="I3166" s="50"/>
    </row>
    <row r="3167" spans="8:14" ht="15.75">
      <c r="H3167" s="260" t="s">
        <v>1238</v>
      </c>
      <c r="N3167" s="52"/>
    </row>
    <row r="3168" spans="8:14" ht="15.75">
      <c r="H3168" s="53" t="s">
        <v>535</v>
      </c>
      <c r="N3168" s="53"/>
    </row>
    <row r="3169" spans="8:15" ht="16.5">
      <c r="H3169" s="894" t="s">
        <v>1243</v>
      </c>
      <c r="I3169" s="894"/>
      <c r="J3169" s="894"/>
      <c r="K3169" s="894"/>
      <c r="L3169" s="894"/>
      <c r="M3169" s="894"/>
      <c r="N3169" s="894"/>
      <c r="O3169" s="894"/>
    </row>
    <row r="3170" spans="8:15" ht="13.5" customHeight="1" thickBot="1"/>
    <row r="3171" spans="8:15">
      <c r="H3171" s="895" t="s">
        <v>94</v>
      </c>
      <c r="I3171" s="897" t="s">
        <v>95</v>
      </c>
      <c r="J3171" s="897" t="s">
        <v>96</v>
      </c>
      <c r="K3171" s="897" t="s">
        <v>3</v>
      </c>
      <c r="L3171" s="897" t="s">
        <v>97</v>
      </c>
      <c r="M3171" s="897" t="s">
        <v>98</v>
      </c>
      <c r="N3171" s="897" t="s">
        <v>99</v>
      </c>
      <c r="O3171" s="899"/>
    </row>
    <row r="3172" spans="8:15" ht="15.75" thickBot="1">
      <c r="H3172" s="896"/>
      <c r="I3172" s="898"/>
      <c r="J3172" s="898"/>
      <c r="K3172" s="898"/>
      <c r="L3172" s="898"/>
      <c r="M3172" s="898"/>
      <c r="N3172" s="240" t="s">
        <v>100</v>
      </c>
      <c r="O3172" s="182" t="s">
        <v>101</v>
      </c>
    </row>
    <row r="3173" spans="8:15" ht="13.5" customHeight="1">
      <c r="H3173" s="881">
        <v>339</v>
      </c>
      <c r="I3173" s="875">
        <v>42712</v>
      </c>
      <c r="J3173" s="877" t="s">
        <v>1014</v>
      </c>
      <c r="K3173" s="879" t="s">
        <v>1239</v>
      </c>
      <c r="L3173" s="881" t="s">
        <v>115</v>
      </c>
      <c r="M3173" s="883">
        <v>80000</v>
      </c>
      <c r="N3173" s="55">
        <v>719</v>
      </c>
      <c r="O3173" s="78">
        <v>80000</v>
      </c>
    </row>
    <row r="3174" spans="8:15" ht="13.5" customHeight="1" thickBot="1">
      <c r="H3174" s="882"/>
      <c r="I3174" s="876"/>
      <c r="J3174" s="878"/>
      <c r="K3174" s="880"/>
      <c r="L3174" s="882"/>
      <c r="M3174" s="884"/>
      <c r="N3174" s="56">
        <v>721</v>
      </c>
      <c r="O3174" s="79">
        <f>+M3173-O3173</f>
        <v>0</v>
      </c>
    </row>
    <row r="3175" spans="8:15" ht="14.25" customHeight="1">
      <c r="H3175" s="881">
        <v>340</v>
      </c>
      <c r="I3175" s="875">
        <v>42712</v>
      </c>
      <c r="J3175" s="877" t="s">
        <v>120</v>
      </c>
      <c r="K3175" s="879" t="s">
        <v>1239</v>
      </c>
      <c r="L3175" s="881" t="s">
        <v>115</v>
      </c>
      <c r="M3175" s="883">
        <v>140000</v>
      </c>
      <c r="N3175" s="55">
        <v>719</v>
      </c>
      <c r="O3175" s="78">
        <v>140000</v>
      </c>
    </row>
    <row r="3176" spans="8:15" ht="14.25" customHeight="1" thickBot="1">
      <c r="H3176" s="882"/>
      <c r="I3176" s="876"/>
      <c r="J3176" s="878"/>
      <c r="K3176" s="880"/>
      <c r="L3176" s="882"/>
      <c r="M3176" s="884"/>
      <c r="N3176" s="56">
        <v>721</v>
      </c>
      <c r="O3176" s="79">
        <f>+M3175-O3175</f>
        <v>0</v>
      </c>
    </row>
    <row r="3177" spans="8:15" ht="12.75" customHeight="1">
      <c r="H3177" s="881">
        <v>341</v>
      </c>
      <c r="I3177" s="875">
        <v>42712</v>
      </c>
      <c r="J3177" s="877" t="s">
        <v>28</v>
      </c>
      <c r="K3177" s="879" t="s">
        <v>1239</v>
      </c>
      <c r="L3177" s="881" t="s">
        <v>115</v>
      </c>
      <c r="M3177" s="883">
        <v>60000</v>
      </c>
      <c r="N3177" s="55">
        <v>719</v>
      </c>
      <c r="O3177" s="78">
        <v>60000</v>
      </c>
    </row>
    <row r="3178" spans="8:15" ht="13.5" customHeight="1" thickBot="1">
      <c r="H3178" s="882"/>
      <c r="I3178" s="876"/>
      <c r="J3178" s="878"/>
      <c r="K3178" s="880"/>
      <c r="L3178" s="882"/>
      <c r="M3178" s="884"/>
      <c r="N3178" s="56">
        <v>721</v>
      </c>
      <c r="O3178" s="79">
        <f>+M3177-O3177</f>
        <v>0</v>
      </c>
    </row>
    <row r="3179" spans="8:15" ht="13.5" customHeight="1">
      <c r="H3179" s="881">
        <v>342</v>
      </c>
      <c r="I3179" s="875">
        <v>42712</v>
      </c>
      <c r="J3179" s="877" t="s">
        <v>1174</v>
      </c>
      <c r="K3179" s="879" t="s">
        <v>1240</v>
      </c>
      <c r="L3179" s="881" t="s">
        <v>148</v>
      </c>
      <c r="M3179" s="883">
        <v>6287553</v>
      </c>
      <c r="N3179" s="55">
        <v>719</v>
      </c>
      <c r="O3179" s="78"/>
    </row>
    <row r="3180" spans="8:15" ht="15.75" customHeight="1" thickBot="1">
      <c r="H3180" s="882"/>
      <c r="I3180" s="876"/>
      <c r="J3180" s="878"/>
      <c r="K3180" s="880"/>
      <c r="L3180" s="882"/>
      <c r="M3180" s="884"/>
      <c r="N3180" s="56">
        <v>723</v>
      </c>
      <c r="O3180" s="79">
        <f>+M3179-O3179</f>
        <v>6287553</v>
      </c>
    </row>
    <row r="3181" spans="8:15" ht="14.25" customHeight="1">
      <c r="H3181" s="881">
        <v>343</v>
      </c>
      <c r="I3181" s="875">
        <v>42712</v>
      </c>
      <c r="J3181" s="877" t="s">
        <v>738</v>
      </c>
      <c r="K3181" s="879" t="s">
        <v>1244</v>
      </c>
      <c r="L3181" s="881" t="s">
        <v>148</v>
      </c>
      <c r="M3181" s="883">
        <v>5345430</v>
      </c>
      <c r="N3181" s="55">
        <v>719</v>
      </c>
      <c r="O3181" s="78">
        <v>0</v>
      </c>
    </row>
    <row r="3182" spans="8:15" ht="14.25" customHeight="1" thickBot="1">
      <c r="H3182" s="882"/>
      <c r="I3182" s="876"/>
      <c r="J3182" s="878"/>
      <c r="K3182" s="880"/>
      <c r="L3182" s="882"/>
      <c r="M3182" s="884"/>
      <c r="N3182" s="56">
        <v>721</v>
      </c>
      <c r="O3182" s="351">
        <f>+M3181-O3181</f>
        <v>5345430</v>
      </c>
    </row>
    <row r="3183" spans="8:15" ht="13.5" customHeight="1">
      <c r="H3183" s="881">
        <v>344</v>
      </c>
      <c r="I3183" s="875">
        <v>42712</v>
      </c>
      <c r="J3183" s="877" t="s">
        <v>738</v>
      </c>
      <c r="K3183" s="879" t="s">
        <v>1245</v>
      </c>
      <c r="L3183" s="881" t="s">
        <v>148</v>
      </c>
      <c r="M3183" s="883">
        <v>64517844</v>
      </c>
      <c r="N3183" s="55">
        <v>719</v>
      </c>
      <c r="O3183" s="78">
        <v>0</v>
      </c>
    </row>
    <row r="3184" spans="8:15" ht="13.5" customHeight="1" thickBot="1">
      <c r="H3184" s="882"/>
      <c r="I3184" s="876"/>
      <c r="J3184" s="878"/>
      <c r="K3184" s="880"/>
      <c r="L3184" s="882"/>
      <c r="M3184" s="884"/>
      <c r="N3184" s="56">
        <v>721</v>
      </c>
      <c r="O3184" s="351">
        <f>+M3183-O3183</f>
        <v>64517844</v>
      </c>
    </row>
    <row r="3185" spans="8:15" ht="16.5" thickBot="1">
      <c r="H3185" s="901" t="s">
        <v>102</v>
      </c>
      <c r="I3185" s="902"/>
      <c r="J3185" s="902"/>
      <c r="K3185" s="902"/>
      <c r="L3185" s="903"/>
      <c r="M3185" s="81">
        <f>SUM(M3173:M3184)</f>
        <v>76430827</v>
      </c>
    </row>
    <row r="3186" spans="8:15" ht="16.5" thickBot="1">
      <c r="H3186" s="885" t="s">
        <v>103</v>
      </c>
      <c r="I3186" s="886"/>
      <c r="J3186" s="886"/>
      <c r="K3186" s="886"/>
      <c r="L3186" s="887"/>
      <c r="M3186" s="69">
        <f>+M3148</f>
        <v>632677503</v>
      </c>
      <c r="N3186" s="241" t="s">
        <v>561</v>
      </c>
      <c r="O3186" s="242">
        <f>95+174+227</f>
        <v>496</v>
      </c>
    </row>
    <row r="3187" spans="8:15" ht="16.5" thickBot="1">
      <c r="H3187" s="888" t="s">
        <v>104</v>
      </c>
      <c r="I3187" s="889"/>
      <c r="J3187" s="889"/>
      <c r="K3187" s="889"/>
      <c r="L3187" s="890"/>
      <c r="M3187" s="183">
        <f>SUM(M3185:M3186)</f>
        <v>709108330</v>
      </c>
    </row>
    <row r="3188" spans="8:15" ht="13.5" customHeight="1">
      <c r="H3188" s="61"/>
      <c r="I3188" s="61"/>
      <c r="J3188" s="61"/>
      <c r="K3188" s="61"/>
      <c r="L3188" s="61"/>
    </row>
    <row r="3189" spans="8:15">
      <c r="H3189" s="51" t="s">
        <v>1246</v>
      </c>
    </row>
    <row r="3190" spans="8:15" ht="11.25" customHeight="1">
      <c r="M3190" s="139"/>
    </row>
    <row r="3191" spans="8:15">
      <c r="H3191" s="50" t="s">
        <v>105</v>
      </c>
      <c r="K3191" s="146"/>
      <c r="M3191" s="139"/>
    </row>
    <row r="3192" spans="8:15" ht="11.25" customHeight="1" thickBot="1"/>
    <row r="3193" spans="8:15" ht="15.75" thickBot="1">
      <c r="H3193" s="891" t="s">
        <v>106</v>
      </c>
      <c r="I3193" s="892"/>
      <c r="J3193" s="892"/>
      <c r="K3193" s="893"/>
      <c r="M3193" s="50" t="s">
        <v>1126</v>
      </c>
    </row>
    <row r="3194" spans="8:15" ht="30.75" thickBot="1">
      <c r="H3194" s="57" t="s">
        <v>100</v>
      </c>
      <c r="I3194" s="58" t="s">
        <v>108</v>
      </c>
      <c r="J3194" s="287" t="s">
        <v>109</v>
      </c>
      <c r="K3194" s="60" t="s">
        <v>110</v>
      </c>
    </row>
    <row r="3195" spans="8:15">
      <c r="H3195" s="71">
        <v>719</v>
      </c>
      <c r="I3195" s="73">
        <f>+O3173+O3177+O3179+O3175</f>
        <v>280000</v>
      </c>
      <c r="J3195" s="74">
        <f>+K3156</f>
        <v>73240000</v>
      </c>
      <c r="K3195" s="195">
        <f>+I3195+J3195</f>
        <v>73520000</v>
      </c>
    </row>
    <row r="3196" spans="8:15">
      <c r="H3196" s="72">
        <v>721</v>
      </c>
      <c r="I3196" s="80">
        <f>+O3184</f>
        <v>64517844</v>
      </c>
      <c r="J3196" s="74">
        <f>+K3157</f>
        <v>186112046</v>
      </c>
      <c r="K3196" s="195">
        <f>+I3196+J3196</f>
        <v>250629890</v>
      </c>
    </row>
    <row r="3197" spans="8:15" ht="13.5" customHeight="1">
      <c r="H3197" s="72">
        <v>722</v>
      </c>
      <c r="I3197" s="80"/>
      <c r="J3197" s="74">
        <f>+K3158</f>
        <v>61411494</v>
      </c>
      <c r="K3197" s="195">
        <f>+I3197+J3197</f>
        <v>61411494</v>
      </c>
    </row>
    <row r="3198" spans="8:15" ht="14.25" customHeight="1">
      <c r="H3198" s="72">
        <v>723</v>
      </c>
      <c r="I3198" s="80">
        <f>+O3180+O3182</f>
        <v>11632983</v>
      </c>
      <c r="J3198" s="74">
        <f>+K3159</f>
        <v>311046463</v>
      </c>
      <c r="K3198" s="195">
        <f>+I3198+J3198</f>
        <v>322679446</v>
      </c>
      <c r="L3198" s="139"/>
      <c r="M3198" s="193" t="s">
        <v>1125</v>
      </c>
      <c r="N3198" s="175"/>
    </row>
    <row r="3199" spans="8:15" ht="15" customHeight="1" thickBot="1">
      <c r="H3199" s="164" t="s">
        <v>1077</v>
      </c>
      <c r="I3199" s="165"/>
      <c r="J3199" s="74">
        <f>+K3160</f>
        <v>797500</v>
      </c>
      <c r="K3199" s="196">
        <f>+I3199+J3199</f>
        <v>797500</v>
      </c>
      <c r="M3199" s="52"/>
    </row>
    <row r="3200" spans="8:15" ht="16.5" thickBot="1">
      <c r="H3200" s="169"/>
      <c r="I3200" s="197">
        <f>SUM(I3195:I3199)</f>
        <v>76430827</v>
      </c>
      <c r="J3200" s="197">
        <f>SUM(J3195:J3199)</f>
        <v>632607503</v>
      </c>
      <c r="K3200" s="198">
        <f>SUM(K3195:K3199)</f>
        <v>709038330</v>
      </c>
    </row>
    <row r="3201" spans="8:17" ht="16.5">
      <c r="H3201" s="49" t="s">
        <v>88</v>
      </c>
      <c r="I3201" s="50"/>
    </row>
    <row r="3202" spans="8:17">
      <c r="H3202" s="51" t="s">
        <v>89</v>
      </c>
    </row>
    <row r="3203" spans="8:17">
      <c r="H3203" s="51" t="s">
        <v>90</v>
      </c>
    </row>
    <row r="3204" spans="8:17">
      <c r="H3204" s="51" t="s">
        <v>91</v>
      </c>
    </row>
    <row r="3205" spans="8:17" ht="17.25" customHeight="1">
      <c r="H3205" s="50"/>
      <c r="I3205" s="50"/>
    </row>
    <row r="3206" spans="8:17" ht="15.75">
      <c r="H3206" s="260" t="s">
        <v>1242</v>
      </c>
      <c r="N3206" s="52"/>
    </row>
    <row r="3207" spans="8:17" ht="18" customHeight="1">
      <c r="H3207" s="53" t="s">
        <v>535</v>
      </c>
      <c r="N3207" s="53"/>
    </row>
    <row r="3208" spans="8:17" ht="16.5">
      <c r="H3208" s="894" t="s">
        <v>1278</v>
      </c>
      <c r="I3208" s="894"/>
      <c r="J3208" s="894"/>
      <c r="K3208" s="894"/>
      <c r="L3208" s="894"/>
      <c r="M3208" s="894"/>
      <c r="N3208" s="894"/>
      <c r="O3208" s="894"/>
    </row>
    <row r="3209" spans="8:17" ht="15.75" thickBot="1"/>
    <row r="3210" spans="8:17">
      <c r="H3210" s="895" t="s">
        <v>94</v>
      </c>
      <c r="I3210" s="897" t="s">
        <v>95</v>
      </c>
      <c r="J3210" s="897" t="s">
        <v>96</v>
      </c>
      <c r="K3210" s="897" t="s">
        <v>3</v>
      </c>
      <c r="L3210" s="897" t="s">
        <v>97</v>
      </c>
      <c r="M3210" s="897" t="s">
        <v>98</v>
      </c>
      <c r="N3210" s="897" t="s">
        <v>99</v>
      </c>
      <c r="O3210" s="899"/>
    </row>
    <row r="3211" spans="8:17" ht="15.75" thickBot="1">
      <c r="H3211" s="896"/>
      <c r="I3211" s="898"/>
      <c r="J3211" s="898"/>
      <c r="K3211" s="898"/>
      <c r="L3211" s="898"/>
      <c r="M3211" s="898"/>
      <c r="N3211" s="240" t="s">
        <v>100</v>
      </c>
      <c r="O3211" s="182" t="s">
        <v>101</v>
      </c>
    </row>
    <row r="3212" spans="8:17">
      <c r="H3212" s="881">
        <v>345</v>
      </c>
      <c r="I3212" s="875">
        <v>42725</v>
      </c>
      <c r="J3212" s="877" t="s">
        <v>1014</v>
      </c>
      <c r="K3212" s="879" t="s">
        <v>1260</v>
      </c>
      <c r="L3212" s="881" t="s">
        <v>115</v>
      </c>
      <c r="M3212" s="883">
        <v>160000</v>
      </c>
      <c r="N3212" s="55">
        <v>719</v>
      </c>
      <c r="O3212" s="78">
        <v>160000</v>
      </c>
    </row>
    <row r="3213" spans="8:17" ht="15.75" thickBot="1">
      <c r="H3213" s="882"/>
      <c r="I3213" s="876"/>
      <c r="J3213" s="878"/>
      <c r="K3213" s="880"/>
      <c r="L3213" s="882"/>
      <c r="M3213" s="884"/>
      <c r="N3213" s="56">
        <v>721</v>
      </c>
      <c r="O3213" s="351">
        <f>+M3212-O3212</f>
        <v>0</v>
      </c>
    </row>
    <row r="3214" spans="8:17" ht="15" customHeight="1">
      <c r="H3214" s="881">
        <f>+H3212+1</f>
        <v>346</v>
      </c>
      <c r="I3214" s="875">
        <v>42725</v>
      </c>
      <c r="J3214" s="877" t="s">
        <v>28</v>
      </c>
      <c r="K3214" s="879" t="s">
        <v>1276</v>
      </c>
      <c r="L3214" s="881" t="s">
        <v>115</v>
      </c>
      <c r="M3214" s="883">
        <v>60000</v>
      </c>
      <c r="N3214" s="55">
        <v>722</v>
      </c>
      <c r="O3214" s="78">
        <v>60000</v>
      </c>
    </row>
    <row r="3215" spans="8:17" ht="15.75" customHeight="1" thickBot="1">
      <c r="H3215" s="882"/>
      <c r="I3215" s="876"/>
      <c r="J3215" s="878"/>
      <c r="K3215" s="880"/>
      <c r="L3215" s="882"/>
      <c r="M3215" s="884"/>
      <c r="N3215" s="56">
        <v>721</v>
      </c>
      <c r="O3215" s="352">
        <f>+M3214-O3214</f>
        <v>0</v>
      </c>
    </row>
    <row r="3216" spans="8:17" ht="15" customHeight="1">
      <c r="H3216" s="881">
        <f>+H3214+1</f>
        <v>347</v>
      </c>
      <c r="I3216" s="875">
        <v>42725</v>
      </c>
      <c r="J3216" s="877" t="s">
        <v>120</v>
      </c>
      <c r="K3216" s="879" t="s">
        <v>1276</v>
      </c>
      <c r="L3216" s="881" t="s">
        <v>115</v>
      </c>
      <c r="M3216" s="883">
        <v>140000</v>
      </c>
      <c r="N3216" s="55">
        <v>722</v>
      </c>
      <c r="O3216" s="78">
        <v>140000</v>
      </c>
      <c r="Q3216" s="875"/>
    </row>
    <row r="3217" spans="8:17" ht="15.75" customHeight="1" thickBot="1">
      <c r="H3217" s="882"/>
      <c r="I3217" s="876"/>
      <c r="J3217" s="878"/>
      <c r="K3217" s="880"/>
      <c r="L3217" s="882"/>
      <c r="M3217" s="884"/>
      <c r="N3217" s="56">
        <v>721</v>
      </c>
      <c r="O3217" s="352">
        <f>+M3216-O3216</f>
        <v>0</v>
      </c>
      <c r="Q3217" s="876"/>
    </row>
    <row r="3218" spans="8:17" ht="15" customHeight="1">
      <c r="H3218" s="881"/>
      <c r="I3218" s="875"/>
      <c r="J3218" s="877"/>
      <c r="K3218" s="879"/>
      <c r="L3218" s="881"/>
      <c r="M3218" s="883"/>
      <c r="N3218" s="55">
        <v>722</v>
      </c>
      <c r="O3218" s="78"/>
    </row>
    <row r="3219" spans="8:17" ht="15.75" customHeight="1" thickBot="1">
      <c r="H3219" s="882"/>
      <c r="I3219" s="876"/>
      <c r="J3219" s="878"/>
      <c r="K3219" s="880"/>
      <c r="L3219" s="882"/>
      <c r="M3219" s="884"/>
      <c r="N3219" s="56">
        <v>721</v>
      </c>
      <c r="O3219" s="79">
        <f>+M3218-O3218</f>
        <v>0</v>
      </c>
    </row>
    <row r="3220" spans="8:17" ht="16.5" thickBot="1">
      <c r="H3220" s="901" t="s">
        <v>102</v>
      </c>
      <c r="I3220" s="902"/>
      <c r="J3220" s="902"/>
      <c r="K3220" s="902"/>
      <c r="L3220" s="903"/>
      <c r="M3220" s="81">
        <f>SUM(M3212:M3219)</f>
        <v>360000</v>
      </c>
    </row>
    <row r="3221" spans="8:17" ht="16.5" thickBot="1">
      <c r="H3221" s="885" t="s">
        <v>103</v>
      </c>
      <c r="I3221" s="886"/>
      <c r="J3221" s="886"/>
      <c r="K3221" s="886"/>
      <c r="L3221" s="887"/>
      <c r="M3221" s="69">
        <f>+M3187</f>
        <v>709108330</v>
      </c>
      <c r="N3221" s="241" t="s">
        <v>561</v>
      </c>
      <c r="O3221" s="242">
        <f>108+107+310</f>
        <v>525</v>
      </c>
    </row>
    <row r="3222" spans="8:17" ht="16.5" thickBot="1">
      <c r="H3222" s="888" t="s">
        <v>104</v>
      </c>
      <c r="I3222" s="889"/>
      <c r="J3222" s="889"/>
      <c r="K3222" s="889"/>
      <c r="L3222" s="890"/>
      <c r="M3222" s="183">
        <f>SUM(M3220:M3221)</f>
        <v>709468330</v>
      </c>
    </row>
    <row r="3223" spans="8:17">
      <c r="H3223" s="61"/>
      <c r="I3223" s="61"/>
      <c r="J3223" s="61"/>
      <c r="K3223" s="61"/>
      <c r="L3223" s="61"/>
    </row>
    <row r="3224" spans="8:17">
      <c r="H3224" s="51" t="s">
        <v>1261</v>
      </c>
    </row>
    <row r="3225" spans="8:17" ht="19.5" customHeight="1">
      <c r="M3225" s="139"/>
    </row>
    <row r="3226" spans="8:17">
      <c r="H3226" s="50" t="s">
        <v>105</v>
      </c>
      <c r="K3226" s="146"/>
      <c r="M3226" s="139"/>
    </row>
    <row r="3227" spans="8:17" ht="15.75" thickBot="1"/>
    <row r="3228" spans="8:17" ht="15.75" thickBot="1">
      <c r="H3228" s="891" t="s">
        <v>106</v>
      </c>
      <c r="I3228" s="892"/>
      <c r="J3228" s="892"/>
      <c r="K3228" s="893"/>
      <c r="M3228" s="50" t="s">
        <v>288</v>
      </c>
    </row>
    <row r="3229" spans="8:17" ht="30.75" thickBot="1">
      <c r="H3229" s="57" t="s">
        <v>100</v>
      </c>
      <c r="I3229" s="58" t="s">
        <v>108</v>
      </c>
      <c r="J3229" s="287" t="s">
        <v>109</v>
      </c>
      <c r="K3229" s="60" t="s">
        <v>110</v>
      </c>
    </row>
    <row r="3230" spans="8:17">
      <c r="H3230" s="71">
        <v>719</v>
      </c>
      <c r="I3230" s="73">
        <f>+O3212+O3214+O3216+O3218</f>
        <v>360000</v>
      </c>
      <c r="J3230" s="74">
        <f>+K3195</f>
        <v>73520000</v>
      </c>
      <c r="K3230" s="195">
        <f>+I3230+J3230</f>
        <v>73880000</v>
      </c>
    </row>
    <row r="3231" spans="8:17">
      <c r="H3231" s="72">
        <v>721</v>
      </c>
      <c r="I3231" s="80"/>
      <c r="J3231" s="74">
        <f>+K3196</f>
        <v>250629890</v>
      </c>
      <c r="K3231" s="195">
        <f>+I3231+J3231</f>
        <v>250629890</v>
      </c>
    </row>
    <row r="3232" spans="8:17">
      <c r="H3232" s="72">
        <v>722</v>
      </c>
      <c r="I3232" s="80"/>
      <c r="J3232" s="74">
        <f>+K3197</f>
        <v>61411494</v>
      </c>
      <c r="K3232" s="195">
        <f>+I3232+J3232</f>
        <v>61411494</v>
      </c>
    </row>
    <row r="3233" spans="8:15" ht="15.75">
      <c r="H3233" s="72">
        <v>723</v>
      </c>
      <c r="I3233" s="80"/>
      <c r="J3233" s="74">
        <f>+K3198</f>
        <v>322679446</v>
      </c>
      <c r="K3233" s="195">
        <f>+I3233+J3233</f>
        <v>322679446</v>
      </c>
      <c r="M3233" s="193" t="s">
        <v>289</v>
      </c>
      <c r="N3233" s="175"/>
    </row>
    <row r="3234" spans="8:15" ht="16.5" thickBot="1">
      <c r="H3234" s="164" t="s">
        <v>1077</v>
      </c>
      <c r="I3234" s="165"/>
      <c r="J3234" s="74">
        <f>+K3199</f>
        <v>797500</v>
      </c>
      <c r="K3234" s="196">
        <f>+I3234+J3234</f>
        <v>797500</v>
      </c>
      <c r="M3234" s="52"/>
    </row>
    <row r="3235" spans="8:15" ht="16.5" thickBot="1">
      <c r="H3235" s="169"/>
      <c r="I3235" s="197">
        <f>SUM(I3230:I3234)</f>
        <v>360000</v>
      </c>
      <c r="J3235" s="197">
        <f>SUM(J3230:J3234)</f>
        <v>709038330</v>
      </c>
      <c r="K3235" s="198">
        <f>SUM(K3230:K3234)</f>
        <v>709398330</v>
      </c>
    </row>
    <row r="3236" spans="8:15" ht="16.5">
      <c r="H3236" s="49" t="s">
        <v>88</v>
      </c>
      <c r="I3236" s="50"/>
    </row>
    <row r="3237" spans="8:15">
      <c r="H3237" s="51" t="s">
        <v>89</v>
      </c>
    </row>
    <row r="3238" spans="8:15">
      <c r="H3238" s="51" t="s">
        <v>90</v>
      </c>
    </row>
    <row r="3239" spans="8:15">
      <c r="H3239" s="51" t="s">
        <v>91</v>
      </c>
    </row>
    <row r="3240" spans="8:15" ht="14.25" customHeight="1">
      <c r="H3240" s="50"/>
      <c r="I3240" s="50"/>
    </row>
    <row r="3241" spans="8:15" ht="15.75">
      <c r="H3241" s="260" t="s">
        <v>1264</v>
      </c>
      <c r="N3241" s="52"/>
    </row>
    <row r="3242" spans="8:15" ht="15.75">
      <c r="H3242" s="53" t="s">
        <v>535</v>
      </c>
      <c r="N3242" s="53"/>
    </row>
    <row r="3243" spans="8:15" ht="16.5">
      <c r="H3243" s="894" t="s">
        <v>1278</v>
      </c>
      <c r="I3243" s="894"/>
      <c r="J3243" s="894"/>
      <c r="K3243" s="894"/>
      <c r="L3243" s="894"/>
      <c r="M3243" s="894"/>
      <c r="N3243" s="894"/>
      <c r="O3243" s="894"/>
    </row>
    <row r="3244" spans="8:15" ht="15.75" thickBot="1"/>
    <row r="3245" spans="8:15">
      <c r="H3245" s="895" t="s">
        <v>94</v>
      </c>
      <c r="I3245" s="897" t="s">
        <v>95</v>
      </c>
      <c r="J3245" s="897" t="s">
        <v>96</v>
      </c>
      <c r="K3245" s="897" t="s">
        <v>3</v>
      </c>
      <c r="L3245" s="897" t="s">
        <v>97</v>
      </c>
      <c r="M3245" s="897" t="s">
        <v>98</v>
      </c>
      <c r="N3245" s="897" t="s">
        <v>99</v>
      </c>
      <c r="O3245" s="899"/>
    </row>
    <row r="3246" spans="8:15" ht="15.75" thickBot="1">
      <c r="H3246" s="896"/>
      <c r="I3246" s="898"/>
      <c r="J3246" s="898"/>
      <c r="K3246" s="898"/>
      <c r="L3246" s="898"/>
      <c r="M3246" s="898"/>
      <c r="N3246" s="240" t="s">
        <v>100</v>
      </c>
      <c r="O3246" s="182" t="s">
        <v>101</v>
      </c>
    </row>
    <row r="3247" spans="8:15">
      <c r="H3247" s="881">
        <v>348</v>
      </c>
      <c r="I3247" s="875">
        <v>42725</v>
      </c>
      <c r="J3247" s="877" t="s">
        <v>1014</v>
      </c>
      <c r="K3247" s="879" t="s">
        <v>1263</v>
      </c>
      <c r="L3247" s="881" t="s">
        <v>115</v>
      </c>
      <c r="M3247" s="883">
        <v>140000</v>
      </c>
      <c r="N3247" s="55">
        <v>719</v>
      </c>
      <c r="O3247" s="78">
        <v>140000</v>
      </c>
    </row>
    <row r="3248" spans="8:15" ht="15.75" thickBot="1">
      <c r="H3248" s="882"/>
      <c r="I3248" s="876"/>
      <c r="J3248" s="878"/>
      <c r="K3248" s="880"/>
      <c r="L3248" s="882"/>
      <c r="M3248" s="884"/>
      <c r="N3248" s="56">
        <v>721</v>
      </c>
      <c r="O3248" s="351">
        <f>+M3247-O3247</f>
        <v>0</v>
      </c>
    </row>
    <row r="3249" spans="8:15">
      <c r="H3249" s="881">
        <f>+H3247+1</f>
        <v>349</v>
      </c>
      <c r="I3249" s="875">
        <v>42725</v>
      </c>
      <c r="J3249" s="877" t="s">
        <v>28</v>
      </c>
      <c r="K3249" s="879" t="s">
        <v>1266</v>
      </c>
      <c r="L3249" s="881" t="s">
        <v>115</v>
      </c>
      <c r="M3249" s="883">
        <v>50000</v>
      </c>
      <c r="N3249" s="55">
        <v>722</v>
      </c>
      <c r="O3249" s="78">
        <v>50000</v>
      </c>
    </row>
    <row r="3250" spans="8:15" ht="15.75" thickBot="1">
      <c r="H3250" s="882"/>
      <c r="I3250" s="876"/>
      <c r="J3250" s="878"/>
      <c r="K3250" s="880"/>
      <c r="L3250" s="882"/>
      <c r="M3250" s="884"/>
      <c r="N3250" s="56">
        <v>721</v>
      </c>
      <c r="O3250" s="352"/>
    </row>
    <row r="3251" spans="8:15">
      <c r="H3251" s="881">
        <f>+H3249+1</f>
        <v>350</v>
      </c>
      <c r="I3251" s="875">
        <v>42725</v>
      </c>
      <c r="J3251" s="877" t="s">
        <v>120</v>
      </c>
      <c r="K3251" s="879" t="s">
        <v>1262</v>
      </c>
      <c r="L3251" s="881" t="s">
        <v>115</v>
      </c>
      <c r="M3251" s="883">
        <v>140000</v>
      </c>
      <c r="N3251" s="55">
        <v>722</v>
      </c>
      <c r="O3251" s="78">
        <v>140000</v>
      </c>
    </row>
    <row r="3252" spans="8:15" ht="15.75" thickBot="1">
      <c r="H3252" s="882"/>
      <c r="I3252" s="876"/>
      <c r="J3252" s="878"/>
      <c r="K3252" s="880"/>
      <c r="L3252" s="882"/>
      <c r="M3252" s="884"/>
      <c r="N3252" s="56">
        <v>721</v>
      </c>
      <c r="O3252" s="352">
        <f>+M3251-O3251</f>
        <v>0</v>
      </c>
    </row>
    <row r="3253" spans="8:15">
      <c r="H3253" s="881"/>
      <c r="I3253" s="875"/>
      <c r="J3253" s="877"/>
      <c r="K3253" s="879"/>
      <c r="L3253" s="881"/>
      <c r="M3253" s="883"/>
      <c r="N3253" s="55">
        <v>722</v>
      </c>
      <c r="O3253" s="78"/>
    </row>
    <row r="3254" spans="8:15" ht="15.75" thickBot="1">
      <c r="H3254" s="882"/>
      <c r="I3254" s="876"/>
      <c r="J3254" s="878"/>
      <c r="K3254" s="880"/>
      <c r="L3254" s="882"/>
      <c r="M3254" s="884"/>
      <c r="N3254" s="56">
        <v>721</v>
      </c>
      <c r="O3254" s="79">
        <f>+M3253-O3253</f>
        <v>0</v>
      </c>
    </row>
    <row r="3255" spans="8:15" ht="16.5" thickBot="1">
      <c r="H3255" s="901" t="s">
        <v>102</v>
      </c>
      <c r="I3255" s="902"/>
      <c r="J3255" s="902"/>
      <c r="K3255" s="902"/>
      <c r="L3255" s="903"/>
      <c r="M3255" s="81">
        <f>SUM(M3247:M3254)</f>
        <v>330000</v>
      </c>
    </row>
    <row r="3256" spans="8:15" ht="16.5" thickBot="1">
      <c r="H3256" s="885" t="s">
        <v>103</v>
      </c>
      <c r="I3256" s="886"/>
      <c r="J3256" s="886"/>
      <c r="K3256" s="886"/>
      <c r="L3256" s="887"/>
      <c r="M3256" s="69">
        <f>+M3222</f>
        <v>709468330</v>
      </c>
      <c r="N3256" s="241" t="s">
        <v>561</v>
      </c>
      <c r="O3256" s="242">
        <f>404+83+122</f>
        <v>609</v>
      </c>
    </row>
    <row r="3257" spans="8:15" ht="16.5" thickBot="1">
      <c r="H3257" s="888" t="s">
        <v>104</v>
      </c>
      <c r="I3257" s="889"/>
      <c r="J3257" s="889"/>
      <c r="K3257" s="889"/>
      <c r="L3257" s="890"/>
      <c r="M3257" s="183">
        <f>SUM(M3255:M3256)</f>
        <v>709798330</v>
      </c>
    </row>
    <row r="3258" spans="8:15">
      <c r="H3258" s="61"/>
      <c r="I3258" s="61"/>
      <c r="J3258" s="61"/>
      <c r="K3258" s="61"/>
      <c r="L3258" s="61"/>
    </row>
    <row r="3259" spans="8:15">
      <c r="H3259" s="51" t="s">
        <v>1265</v>
      </c>
    </row>
    <row r="3260" spans="8:15">
      <c r="M3260" s="139"/>
    </row>
    <row r="3261" spans="8:15">
      <c r="H3261" s="50" t="s">
        <v>105</v>
      </c>
      <c r="K3261" s="146"/>
      <c r="M3261" s="139"/>
    </row>
    <row r="3262" spans="8:15" ht="15.75" thickBot="1"/>
    <row r="3263" spans="8:15" ht="15.75" thickBot="1">
      <c r="H3263" s="891" t="s">
        <v>106</v>
      </c>
      <c r="I3263" s="892"/>
      <c r="J3263" s="892"/>
      <c r="K3263" s="893"/>
      <c r="M3263" s="50" t="s">
        <v>288</v>
      </c>
    </row>
    <row r="3264" spans="8:15" ht="30.75" thickBot="1">
      <c r="H3264" s="57" t="s">
        <v>100</v>
      </c>
      <c r="I3264" s="58" t="s">
        <v>108</v>
      </c>
      <c r="J3264" s="287" t="s">
        <v>109</v>
      </c>
      <c r="K3264" s="60" t="s">
        <v>110</v>
      </c>
    </row>
    <row r="3265" spans="8:15">
      <c r="H3265" s="71">
        <v>719</v>
      </c>
      <c r="I3265" s="73">
        <f>+O3247+O3249+O3251+O3253</f>
        <v>330000</v>
      </c>
      <c r="J3265" s="74">
        <f>+K3230</f>
        <v>73880000</v>
      </c>
      <c r="K3265" s="195">
        <f>+I3265+J3265</f>
        <v>74210000</v>
      </c>
    </row>
    <row r="3266" spans="8:15">
      <c r="H3266" s="72">
        <v>721</v>
      </c>
      <c r="I3266" s="80"/>
      <c r="J3266" s="74">
        <f>+K3231</f>
        <v>250629890</v>
      </c>
      <c r="K3266" s="195">
        <f>+I3266+J3266</f>
        <v>250629890</v>
      </c>
    </row>
    <row r="3267" spans="8:15">
      <c r="H3267" s="72">
        <v>722</v>
      </c>
      <c r="I3267" s="80"/>
      <c r="J3267" s="74">
        <f>+K3232</f>
        <v>61411494</v>
      </c>
      <c r="K3267" s="195">
        <f>+I3267+J3267</f>
        <v>61411494</v>
      </c>
    </row>
    <row r="3268" spans="8:15" ht="15.75">
      <c r="H3268" s="72">
        <v>723</v>
      </c>
      <c r="I3268" s="80"/>
      <c r="J3268" s="74">
        <f>+K3233</f>
        <v>322679446</v>
      </c>
      <c r="K3268" s="195">
        <f>+I3268+J3268</f>
        <v>322679446</v>
      </c>
      <c r="M3268" s="193" t="s">
        <v>289</v>
      </c>
      <c r="N3268" s="175"/>
    </row>
    <row r="3269" spans="8:15" ht="16.5" thickBot="1">
      <c r="H3269" s="164" t="s">
        <v>1077</v>
      </c>
      <c r="I3269" s="165"/>
      <c r="J3269" s="74">
        <f>+K3234</f>
        <v>797500</v>
      </c>
      <c r="K3269" s="196">
        <f>+I3269+J3269</f>
        <v>797500</v>
      </c>
      <c r="M3269" s="52"/>
    </row>
    <row r="3270" spans="8:15" ht="16.5" thickBot="1">
      <c r="H3270" s="169"/>
      <c r="I3270" s="197">
        <f>SUM(I3265:I3269)</f>
        <v>330000</v>
      </c>
      <c r="J3270" s="197">
        <f>SUM(J3265:J3269)</f>
        <v>709398330</v>
      </c>
      <c r="K3270" s="198">
        <f>SUM(K3265:K3269)</f>
        <v>709728330</v>
      </c>
    </row>
    <row r="3272" spans="8:15" ht="16.5">
      <c r="H3272" s="49" t="s">
        <v>88</v>
      </c>
      <c r="I3272" s="50"/>
    </row>
    <row r="3273" spans="8:15">
      <c r="H3273" s="51" t="s">
        <v>89</v>
      </c>
    </row>
    <row r="3274" spans="8:15">
      <c r="H3274" s="51" t="s">
        <v>90</v>
      </c>
    </row>
    <row r="3275" spans="8:15">
      <c r="H3275" s="51" t="s">
        <v>91</v>
      </c>
    </row>
    <row r="3276" spans="8:15">
      <c r="H3276" s="50"/>
      <c r="I3276" s="50"/>
    </row>
    <row r="3277" spans="8:15" ht="15.75">
      <c r="H3277" s="260" t="s">
        <v>1272</v>
      </c>
      <c r="N3277" s="52"/>
    </row>
    <row r="3278" spans="8:15" ht="15.75">
      <c r="H3278" s="53" t="s">
        <v>535</v>
      </c>
      <c r="N3278" s="53"/>
    </row>
    <row r="3279" spans="8:15" ht="16.5">
      <c r="H3279" s="894" t="s">
        <v>1277</v>
      </c>
      <c r="I3279" s="894"/>
      <c r="J3279" s="894"/>
      <c r="K3279" s="894"/>
      <c r="L3279" s="894"/>
      <c r="M3279" s="894"/>
      <c r="N3279" s="894"/>
      <c r="O3279" s="894"/>
    </row>
    <row r="3280" spans="8:15" ht="15.75" thickBot="1"/>
    <row r="3281" spans="8:15">
      <c r="H3281" s="895" t="s">
        <v>94</v>
      </c>
      <c r="I3281" s="897" t="s">
        <v>95</v>
      </c>
      <c r="J3281" s="897" t="s">
        <v>96</v>
      </c>
      <c r="K3281" s="897" t="s">
        <v>3</v>
      </c>
      <c r="L3281" s="897" t="s">
        <v>97</v>
      </c>
      <c r="M3281" s="897" t="s">
        <v>98</v>
      </c>
      <c r="N3281" s="897" t="s">
        <v>99</v>
      </c>
      <c r="O3281" s="899"/>
    </row>
    <row r="3282" spans="8:15" ht="15.75" thickBot="1">
      <c r="H3282" s="896"/>
      <c r="I3282" s="898"/>
      <c r="J3282" s="898"/>
      <c r="K3282" s="898"/>
      <c r="L3282" s="898"/>
      <c r="M3282" s="898"/>
      <c r="N3282" s="240" t="s">
        <v>100</v>
      </c>
      <c r="O3282" s="182" t="s">
        <v>101</v>
      </c>
    </row>
    <row r="3283" spans="8:15" ht="15" customHeight="1">
      <c r="H3283" s="881">
        <v>351</v>
      </c>
      <c r="I3283" s="875">
        <v>42732</v>
      </c>
      <c r="J3283" s="877" t="s">
        <v>1267</v>
      </c>
      <c r="K3283" s="879" t="s">
        <v>1270</v>
      </c>
      <c r="L3283" s="881" t="s">
        <v>115</v>
      </c>
      <c r="M3283" s="883">
        <v>14718204</v>
      </c>
      <c r="N3283" s="55">
        <v>719</v>
      </c>
      <c r="O3283" s="78">
        <v>0</v>
      </c>
    </row>
    <row r="3284" spans="8:15" ht="15.75" thickBot="1">
      <c r="H3284" s="882"/>
      <c r="I3284" s="876"/>
      <c r="J3284" s="900"/>
      <c r="K3284" s="880"/>
      <c r="L3284" s="882"/>
      <c r="M3284" s="884"/>
      <c r="N3284" s="56">
        <v>721</v>
      </c>
      <c r="O3284" s="351">
        <f>+M3283-O3283</f>
        <v>14718204</v>
      </c>
    </row>
    <row r="3285" spans="8:15" ht="15" customHeight="1">
      <c r="H3285" s="881">
        <f>+H3283+1</f>
        <v>352</v>
      </c>
      <c r="I3285" s="875">
        <v>42732</v>
      </c>
      <c r="J3285" s="900"/>
      <c r="K3285" s="879" t="s">
        <v>1271</v>
      </c>
      <c r="L3285" s="881" t="s">
        <v>115</v>
      </c>
      <c r="M3285" s="883">
        <v>3962065</v>
      </c>
      <c r="N3285" s="55">
        <v>722</v>
      </c>
      <c r="O3285" s="78">
        <v>0</v>
      </c>
    </row>
    <row r="3286" spans="8:15" ht="15.75" customHeight="1" thickBot="1">
      <c r="H3286" s="882"/>
      <c r="I3286" s="876"/>
      <c r="J3286" s="878"/>
      <c r="K3286" s="880"/>
      <c r="L3286" s="882"/>
      <c r="M3286" s="884"/>
      <c r="N3286" s="56">
        <v>721</v>
      </c>
      <c r="O3286" s="352">
        <f>+M3285-O3285</f>
        <v>3962065</v>
      </c>
    </row>
    <row r="3287" spans="8:15" ht="15" customHeight="1">
      <c r="H3287" s="881">
        <f>+H3285+1</f>
        <v>353</v>
      </c>
      <c r="I3287" s="875">
        <v>42732</v>
      </c>
      <c r="J3287" s="877" t="s">
        <v>1014</v>
      </c>
      <c r="K3287" s="879" t="s">
        <v>1273</v>
      </c>
      <c r="L3287" s="881" t="s">
        <v>115</v>
      </c>
      <c r="M3287" s="883">
        <v>90000</v>
      </c>
      <c r="N3287" s="55">
        <v>722</v>
      </c>
      <c r="O3287" s="78">
        <v>90000</v>
      </c>
    </row>
    <row r="3288" spans="8:15" ht="15.75" customHeight="1" thickBot="1">
      <c r="H3288" s="882"/>
      <c r="I3288" s="876"/>
      <c r="J3288" s="878"/>
      <c r="K3288" s="880"/>
      <c r="L3288" s="882"/>
      <c r="M3288" s="884"/>
      <c r="N3288" s="56">
        <v>721</v>
      </c>
      <c r="O3288" s="352">
        <f>+M3287-O3287</f>
        <v>0</v>
      </c>
    </row>
    <row r="3289" spans="8:15" ht="15" customHeight="1">
      <c r="H3289" s="881">
        <f>+H3287+1</f>
        <v>354</v>
      </c>
      <c r="I3289" s="875">
        <v>42732</v>
      </c>
      <c r="J3289" s="877" t="s">
        <v>120</v>
      </c>
      <c r="K3289" s="879" t="s">
        <v>1274</v>
      </c>
      <c r="L3289" s="881" t="s">
        <v>115</v>
      </c>
      <c r="M3289" s="883">
        <v>60000</v>
      </c>
      <c r="N3289" s="55">
        <v>722</v>
      </c>
      <c r="O3289" s="78">
        <v>60000</v>
      </c>
    </row>
    <row r="3290" spans="8:15" ht="15.75" customHeight="1" thickBot="1">
      <c r="H3290" s="882"/>
      <c r="I3290" s="876"/>
      <c r="J3290" s="878"/>
      <c r="K3290" s="880"/>
      <c r="L3290" s="882"/>
      <c r="M3290" s="884"/>
      <c r="N3290" s="56">
        <v>721</v>
      </c>
      <c r="O3290" s="79">
        <f>+M3289-O3289</f>
        <v>0</v>
      </c>
    </row>
    <row r="3291" spans="8:15" ht="16.5" thickBot="1">
      <c r="H3291" s="901" t="s">
        <v>102</v>
      </c>
      <c r="I3291" s="902"/>
      <c r="J3291" s="902"/>
      <c r="K3291" s="902"/>
      <c r="L3291" s="903"/>
      <c r="M3291" s="81">
        <f>SUM(M3283:M3290)</f>
        <v>18830269</v>
      </c>
    </row>
    <row r="3292" spans="8:15" ht="16.5" thickBot="1">
      <c r="H3292" s="885" t="s">
        <v>103</v>
      </c>
      <c r="I3292" s="886"/>
      <c r="J3292" s="886"/>
      <c r="K3292" s="886"/>
      <c r="L3292" s="887"/>
      <c r="M3292" s="69">
        <f>+M3257</f>
        <v>709798330</v>
      </c>
      <c r="N3292" s="241" t="s">
        <v>561</v>
      </c>
      <c r="O3292" s="242">
        <f>38+294</f>
        <v>332</v>
      </c>
    </row>
    <row r="3293" spans="8:15" ht="16.5" thickBot="1">
      <c r="H3293" s="888" t="s">
        <v>104</v>
      </c>
      <c r="I3293" s="889"/>
      <c r="J3293" s="889"/>
      <c r="K3293" s="889"/>
      <c r="L3293" s="890"/>
      <c r="M3293" s="183">
        <f>SUM(M3291:M3292)</f>
        <v>728628599</v>
      </c>
    </row>
    <row r="3294" spans="8:15">
      <c r="H3294" s="61"/>
      <c r="I3294" s="61"/>
      <c r="J3294" s="61"/>
      <c r="K3294" s="61"/>
      <c r="L3294" s="61"/>
    </row>
    <row r="3295" spans="8:15">
      <c r="H3295" s="51" t="s">
        <v>1275</v>
      </c>
    </row>
    <row r="3296" spans="8:15">
      <c r="M3296" s="139"/>
    </row>
    <row r="3297" spans="8:14">
      <c r="H3297" s="50" t="s">
        <v>105</v>
      </c>
      <c r="K3297" s="146"/>
      <c r="M3297" s="139"/>
    </row>
    <row r="3298" spans="8:14" ht="15.75" thickBot="1"/>
    <row r="3299" spans="8:14" ht="15.75" thickBot="1">
      <c r="H3299" s="891" t="s">
        <v>106</v>
      </c>
      <c r="I3299" s="892"/>
      <c r="J3299" s="892"/>
      <c r="K3299" s="893"/>
      <c r="M3299" s="50" t="s">
        <v>288</v>
      </c>
    </row>
    <row r="3300" spans="8:14" ht="30.75" thickBot="1">
      <c r="H3300" s="57" t="s">
        <v>100</v>
      </c>
      <c r="I3300" s="58" t="s">
        <v>108</v>
      </c>
      <c r="J3300" s="287" t="s">
        <v>109</v>
      </c>
      <c r="K3300" s="60" t="s">
        <v>110</v>
      </c>
    </row>
    <row r="3301" spans="8:14">
      <c r="H3301" s="71">
        <v>719</v>
      </c>
      <c r="I3301" s="73">
        <f>+O3283+O3285+O3287+O3289</f>
        <v>150000</v>
      </c>
      <c r="J3301" s="74">
        <f>+K3265</f>
        <v>74210000</v>
      </c>
      <c r="K3301" s="195">
        <f>+I3301+J3301</f>
        <v>74360000</v>
      </c>
    </row>
    <row r="3302" spans="8:14">
      <c r="H3302" s="72">
        <v>721</v>
      </c>
      <c r="I3302" s="80">
        <f>+O3284+O3286</f>
        <v>18680269</v>
      </c>
      <c r="J3302" s="74">
        <f>+K3266</f>
        <v>250629890</v>
      </c>
      <c r="K3302" s="195">
        <f>+I3302+J3302</f>
        <v>269310159</v>
      </c>
    </row>
    <row r="3303" spans="8:14">
      <c r="H3303" s="72">
        <v>722</v>
      </c>
      <c r="I3303" s="80"/>
      <c r="J3303" s="74">
        <f>+K3267</f>
        <v>61411494</v>
      </c>
      <c r="K3303" s="195">
        <f>+I3303+J3303</f>
        <v>61411494</v>
      </c>
    </row>
    <row r="3304" spans="8:14" ht="15.75">
      <c r="H3304" s="72">
        <v>723</v>
      </c>
      <c r="I3304" s="80"/>
      <c r="J3304" s="74">
        <f>+K3268</f>
        <v>322679446</v>
      </c>
      <c r="K3304" s="195">
        <f>+I3304+J3304</f>
        <v>322679446</v>
      </c>
      <c r="M3304" s="193" t="s">
        <v>289</v>
      </c>
      <c r="N3304" s="175"/>
    </row>
    <row r="3305" spans="8:14" ht="16.5" thickBot="1">
      <c r="H3305" s="164" t="s">
        <v>1077</v>
      </c>
      <c r="I3305" s="165"/>
      <c r="J3305" s="74">
        <f>+K3269</f>
        <v>797500</v>
      </c>
      <c r="K3305" s="196">
        <f>+I3305+J3305</f>
        <v>797500</v>
      </c>
      <c r="M3305" s="52"/>
    </row>
    <row r="3306" spans="8:14" ht="16.5" thickBot="1">
      <c r="H3306" s="169"/>
      <c r="I3306" s="197">
        <f>SUM(I3301:I3305)</f>
        <v>18830269</v>
      </c>
      <c r="J3306" s="197">
        <f>SUM(J3301:J3305)</f>
        <v>709728330</v>
      </c>
      <c r="K3306" s="198">
        <f>SUM(K3301:K3305)</f>
        <v>728558599</v>
      </c>
    </row>
    <row r="3307" spans="8:14" ht="16.5">
      <c r="H3307" s="49" t="s">
        <v>88</v>
      </c>
      <c r="I3307" s="50"/>
    </row>
    <row r="3308" spans="8:14">
      <c r="H3308" s="51" t="s">
        <v>89</v>
      </c>
    </row>
    <row r="3309" spans="8:14">
      <c r="H3309" s="51" t="s">
        <v>90</v>
      </c>
    </row>
    <row r="3310" spans="8:14">
      <c r="H3310" s="51" t="s">
        <v>91</v>
      </c>
    </row>
    <row r="3311" spans="8:14" ht="12" customHeight="1">
      <c r="H3311" s="50"/>
      <c r="I3311" s="50"/>
    </row>
    <row r="3312" spans="8:14" ht="15.75">
      <c r="H3312" s="260" t="s">
        <v>1279</v>
      </c>
      <c r="N3312" s="52"/>
    </row>
    <row r="3313" spans="8:15" ht="15.75">
      <c r="H3313" s="53" t="s">
        <v>535</v>
      </c>
      <c r="N3313" s="53"/>
    </row>
    <row r="3314" spans="8:15" ht="14.25" customHeight="1">
      <c r="H3314" s="894" t="s">
        <v>1288</v>
      </c>
      <c r="I3314" s="894"/>
      <c r="J3314" s="894"/>
      <c r="K3314" s="894"/>
      <c r="L3314" s="894"/>
      <c r="M3314" s="894"/>
      <c r="N3314" s="894"/>
      <c r="O3314" s="894"/>
    </row>
    <row r="3315" spans="8:15" ht="12.75" customHeight="1" thickBot="1"/>
    <row r="3316" spans="8:15">
      <c r="H3316" s="895" t="s">
        <v>94</v>
      </c>
      <c r="I3316" s="897" t="s">
        <v>95</v>
      </c>
      <c r="J3316" s="897" t="s">
        <v>96</v>
      </c>
      <c r="K3316" s="897" t="s">
        <v>3</v>
      </c>
      <c r="L3316" s="897" t="s">
        <v>97</v>
      </c>
      <c r="M3316" s="897" t="s">
        <v>98</v>
      </c>
      <c r="N3316" s="897" t="s">
        <v>99</v>
      </c>
      <c r="O3316" s="899"/>
    </row>
    <row r="3317" spans="8:15" ht="15.75" thickBot="1">
      <c r="H3317" s="896"/>
      <c r="I3317" s="898"/>
      <c r="J3317" s="898"/>
      <c r="K3317" s="898"/>
      <c r="L3317" s="898"/>
      <c r="M3317" s="898"/>
      <c r="N3317" s="240" t="s">
        <v>100</v>
      </c>
      <c r="O3317" s="182" t="s">
        <v>101</v>
      </c>
    </row>
    <row r="3318" spans="8:15" ht="12.75" customHeight="1">
      <c r="H3318" s="881">
        <v>355</v>
      </c>
      <c r="I3318" s="875">
        <v>42734</v>
      </c>
      <c r="J3318" s="877" t="s">
        <v>1280</v>
      </c>
      <c r="K3318" s="904">
        <v>42569</v>
      </c>
      <c r="L3318" s="881" t="s">
        <v>148</v>
      </c>
      <c r="M3318" s="883">
        <v>100000</v>
      </c>
      <c r="N3318" s="55">
        <v>719</v>
      </c>
      <c r="O3318" s="78">
        <v>0</v>
      </c>
    </row>
    <row r="3319" spans="8:15" ht="15.75" thickBot="1">
      <c r="H3319" s="882"/>
      <c r="I3319" s="876"/>
      <c r="J3319" s="878"/>
      <c r="K3319" s="880"/>
      <c r="L3319" s="882"/>
      <c r="M3319" s="884"/>
      <c r="N3319" s="56">
        <v>722</v>
      </c>
      <c r="O3319" s="351">
        <f>+M3318-O3318</f>
        <v>100000</v>
      </c>
    </row>
    <row r="3320" spans="8:15" ht="12" customHeight="1">
      <c r="H3320" s="881">
        <f>+H3318+1</f>
        <v>356</v>
      </c>
      <c r="I3320" s="875">
        <v>42734</v>
      </c>
      <c r="J3320" s="877" t="s">
        <v>1281</v>
      </c>
      <c r="K3320" s="904">
        <v>42569</v>
      </c>
      <c r="L3320" s="881" t="s">
        <v>148</v>
      </c>
      <c r="M3320" s="883">
        <v>100000</v>
      </c>
      <c r="N3320" s="55">
        <v>719</v>
      </c>
      <c r="O3320" s="78">
        <v>0</v>
      </c>
    </row>
    <row r="3321" spans="8:15" ht="15.75" customHeight="1" thickBot="1">
      <c r="H3321" s="882"/>
      <c r="I3321" s="876"/>
      <c r="J3321" s="878"/>
      <c r="K3321" s="880"/>
      <c r="L3321" s="882"/>
      <c r="M3321" s="884"/>
      <c r="N3321" s="56">
        <v>722</v>
      </c>
      <c r="O3321" s="352">
        <f>+M3320-O3320</f>
        <v>100000</v>
      </c>
    </row>
    <row r="3322" spans="8:15" ht="12.75" customHeight="1">
      <c r="H3322" s="881">
        <f>+H3320+1</f>
        <v>357</v>
      </c>
      <c r="I3322" s="875">
        <v>42734</v>
      </c>
      <c r="J3322" s="877" t="s">
        <v>1282</v>
      </c>
      <c r="K3322" s="904">
        <v>42569</v>
      </c>
      <c r="L3322" s="881" t="s">
        <v>148</v>
      </c>
      <c r="M3322" s="883">
        <v>100000</v>
      </c>
      <c r="N3322" s="55">
        <v>719</v>
      </c>
      <c r="O3322" s="78"/>
    </row>
    <row r="3323" spans="8:15" ht="15.75" customHeight="1" thickBot="1">
      <c r="H3323" s="882"/>
      <c r="I3323" s="876"/>
      <c r="J3323" s="878"/>
      <c r="K3323" s="880"/>
      <c r="L3323" s="882"/>
      <c r="M3323" s="884"/>
      <c r="N3323" s="56">
        <v>722</v>
      </c>
      <c r="O3323" s="352">
        <f>+M3322-O3322</f>
        <v>100000</v>
      </c>
    </row>
    <row r="3324" spans="8:15" ht="16.5" customHeight="1">
      <c r="H3324" s="881">
        <f>+H3322+1</f>
        <v>358</v>
      </c>
      <c r="I3324" s="875">
        <v>42734</v>
      </c>
      <c r="J3324" s="877" t="s">
        <v>1284</v>
      </c>
      <c r="K3324" s="904">
        <v>42569</v>
      </c>
      <c r="L3324" s="881" t="s">
        <v>148</v>
      </c>
      <c r="M3324" s="883">
        <v>100000</v>
      </c>
      <c r="N3324" s="55">
        <v>719</v>
      </c>
      <c r="O3324" s="78"/>
    </row>
    <row r="3325" spans="8:15" ht="15" customHeight="1" thickBot="1">
      <c r="H3325" s="882"/>
      <c r="I3325" s="876"/>
      <c r="J3325" s="878"/>
      <c r="K3325" s="907"/>
      <c r="L3325" s="882"/>
      <c r="M3325" s="884"/>
      <c r="N3325" s="56">
        <v>722</v>
      </c>
      <c r="O3325" s="352">
        <f>+M3324-O3324</f>
        <v>100000</v>
      </c>
    </row>
    <row r="3326" spans="8:15" ht="12.75" customHeight="1">
      <c r="H3326" s="881">
        <f>+H3324+1</f>
        <v>359</v>
      </c>
      <c r="I3326" s="875">
        <v>42734</v>
      </c>
      <c r="J3326" s="905" t="s">
        <v>1285</v>
      </c>
      <c r="K3326" s="904">
        <v>42570</v>
      </c>
      <c r="L3326" s="881" t="s">
        <v>148</v>
      </c>
      <c r="M3326" s="883">
        <v>100000</v>
      </c>
      <c r="N3326" s="55">
        <v>719</v>
      </c>
      <c r="O3326" s="78"/>
    </row>
    <row r="3327" spans="8:15" ht="14.25" customHeight="1" thickBot="1">
      <c r="H3327" s="882"/>
      <c r="I3327" s="876"/>
      <c r="J3327" s="906"/>
      <c r="K3327" s="907"/>
      <c r="L3327" s="882"/>
      <c r="M3327" s="884"/>
      <c r="N3327" s="56">
        <v>722</v>
      </c>
      <c r="O3327" s="352">
        <f>+M3326-O3326</f>
        <v>100000</v>
      </c>
    </row>
    <row r="3328" spans="8:15" ht="15" customHeight="1">
      <c r="H3328" s="881">
        <f>+H3326+1</f>
        <v>360</v>
      </c>
      <c r="I3328" s="875">
        <v>42734</v>
      </c>
      <c r="J3328" s="905" t="s">
        <v>1285</v>
      </c>
      <c r="K3328" s="904">
        <v>42570</v>
      </c>
      <c r="L3328" s="881" t="s">
        <v>148</v>
      </c>
      <c r="M3328" s="883">
        <v>100000</v>
      </c>
      <c r="N3328" s="55">
        <v>719</v>
      </c>
      <c r="O3328" s="78"/>
    </row>
    <row r="3329" spans="8:15" ht="15.75" customHeight="1" thickBot="1">
      <c r="H3329" s="882"/>
      <c r="I3329" s="876"/>
      <c r="J3329" s="906"/>
      <c r="K3329" s="907"/>
      <c r="L3329" s="882"/>
      <c r="M3329" s="884"/>
      <c r="N3329" s="56">
        <v>722</v>
      </c>
      <c r="O3329" s="79">
        <f>+M3328-O3328</f>
        <v>100000</v>
      </c>
    </row>
    <row r="3330" spans="8:15" ht="16.5" thickBot="1">
      <c r="H3330" s="901" t="s">
        <v>102</v>
      </c>
      <c r="I3330" s="902"/>
      <c r="J3330" s="902"/>
      <c r="K3330" s="902"/>
      <c r="L3330" s="903"/>
      <c r="M3330" s="81">
        <f>SUM(M3318:M3329)</f>
        <v>600000</v>
      </c>
    </row>
    <row r="3331" spans="8:15" ht="16.5" thickBot="1">
      <c r="H3331" s="885" t="s">
        <v>103</v>
      </c>
      <c r="I3331" s="886"/>
      <c r="J3331" s="886"/>
      <c r="K3331" s="886"/>
      <c r="L3331" s="887"/>
      <c r="M3331" s="69">
        <f>+M3293</f>
        <v>728628599</v>
      </c>
      <c r="N3331" s="241" t="s">
        <v>561</v>
      </c>
      <c r="O3331" s="242"/>
    </row>
    <row r="3332" spans="8:15" ht="16.5" thickBot="1">
      <c r="H3332" s="888" t="s">
        <v>104</v>
      </c>
      <c r="I3332" s="889"/>
      <c r="J3332" s="889"/>
      <c r="K3332" s="889"/>
      <c r="L3332" s="890"/>
      <c r="M3332" s="183">
        <f>SUM(M3330:M3331)</f>
        <v>729228599</v>
      </c>
    </row>
    <row r="3333" spans="8:15">
      <c r="H3333" s="61"/>
      <c r="I3333" s="61"/>
      <c r="J3333" s="61"/>
      <c r="K3333" s="61"/>
      <c r="L3333" s="61"/>
    </row>
    <row r="3334" spans="8:15">
      <c r="H3334" s="51" t="s">
        <v>1286</v>
      </c>
    </row>
    <row r="3335" spans="8:15" ht="11.25" customHeight="1">
      <c r="M3335" s="139"/>
    </row>
    <row r="3336" spans="8:15">
      <c r="H3336" s="50" t="s">
        <v>105</v>
      </c>
      <c r="K3336" s="146"/>
      <c r="M3336" s="139"/>
    </row>
    <row r="3337" spans="8:15" ht="13.5" customHeight="1" thickBot="1"/>
    <row r="3338" spans="8:15" ht="15.75" thickBot="1">
      <c r="H3338" s="891" t="s">
        <v>106</v>
      </c>
      <c r="I3338" s="892"/>
      <c r="J3338" s="892"/>
      <c r="K3338" s="893"/>
      <c r="M3338" s="50" t="s">
        <v>288</v>
      </c>
    </row>
    <row r="3339" spans="8:15" ht="30.75" thickBot="1">
      <c r="H3339" s="57" t="s">
        <v>100</v>
      </c>
      <c r="I3339" s="58" t="s">
        <v>108</v>
      </c>
      <c r="J3339" s="287" t="s">
        <v>109</v>
      </c>
      <c r="K3339" s="60" t="s">
        <v>110</v>
      </c>
    </row>
    <row r="3340" spans="8:15">
      <c r="H3340" s="71">
        <v>719</v>
      </c>
      <c r="I3340" s="73">
        <f>+O3318+O3320+O3326+O3328</f>
        <v>0</v>
      </c>
      <c r="J3340" s="74">
        <f>+K3301</f>
        <v>74360000</v>
      </c>
      <c r="K3340" s="195">
        <f>+I3340+J3340</f>
        <v>74360000</v>
      </c>
    </row>
    <row r="3341" spans="8:15">
      <c r="H3341" s="72">
        <v>721</v>
      </c>
      <c r="I3341" s="80"/>
      <c r="J3341" s="74">
        <f>+K3302</f>
        <v>269310159</v>
      </c>
      <c r="K3341" s="195">
        <f>+I3341+J3341</f>
        <v>269310159</v>
      </c>
    </row>
    <row r="3342" spans="8:15">
      <c r="H3342" s="72">
        <v>722</v>
      </c>
      <c r="I3342" s="80">
        <f>+O3329+O3327+O3323+O3321+O3319+O3325</f>
        <v>600000</v>
      </c>
      <c r="J3342" s="74">
        <f>+K3303</f>
        <v>61411494</v>
      </c>
      <c r="K3342" s="195">
        <f>+I3342+J3342</f>
        <v>62011494</v>
      </c>
    </row>
    <row r="3343" spans="8:15" ht="15.75">
      <c r="H3343" s="72">
        <v>723</v>
      </c>
      <c r="I3343" s="80"/>
      <c r="J3343" s="74">
        <f>+K3304</f>
        <v>322679446</v>
      </c>
      <c r="K3343" s="195">
        <f>+I3343+J3343</f>
        <v>322679446</v>
      </c>
      <c r="M3343" s="193" t="s">
        <v>289</v>
      </c>
      <c r="N3343" s="175"/>
    </row>
    <row r="3344" spans="8:15" ht="16.5" thickBot="1">
      <c r="H3344" s="164" t="s">
        <v>1077</v>
      </c>
      <c r="I3344" s="165"/>
      <c r="J3344" s="74">
        <f>+K3305</f>
        <v>797500</v>
      </c>
      <c r="K3344" s="196">
        <f>+I3344+J3344</f>
        <v>797500</v>
      </c>
      <c r="M3344" s="52"/>
    </row>
    <row r="3345" spans="8:15" ht="16.5" thickBot="1">
      <c r="H3345" s="169"/>
      <c r="I3345" s="197">
        <f>SUM(I3340:I3344)</f>
        <v>600000</v>
      </c>
      <c r="J3345" s="197">
        <f>SUM(J3340:J3344)</f>
        <v>728558599</v>
      </c>
      <c r="K3345" s="198">
        <f>SUM(K3340:K3344)</f>
        <v>729158599</v>
      </c>
    </row>
    <row r="3346" spans="8:15" ht="16.5">
      <c r="H3346" s="49" t="s">
        <v>88</v>
      </c>
      <c r="I3346" s="50"/>
    </row>
    <row r="3347" spans="8:15">
      <c r="H3347" s="51" t="s">
        <v>89</v>
      </c>
    </row>
    <row r="3348" spans="8:15">
      <c r="H3348" s="51" t="s">
        <v>90</v>
      </c>
    </row>
    <row r="3349" spans="8:15">
      <c r="H3349" s="51" t="s">
        <v>91</v>
      </c>
    </row>
    <row r="3350" spans="8:15">
      <c r="H3350" s="50"/>
      <c r="I3350" s="50"/>
    </row>
    <row r="3351" spans="8:15" ht="15.75">
      <c r="H3351" s="260" t="s">
        <v>1283</v>
      </c>
      <c r="N3351" s="52"/>
    </row>
    <row r="3352" spans="8:15" ht="15.75">
      <c r="H3352" s="53" t="s">
        <v>535</v>
      </c>
      <c r="N3352" s="53"/>
    </row>
    <row r="3353" spans="8:15" ht="16.5">
      <c r="H3353" s="894" t="s">
        <v>1288</v>
      </c>
      <c r="I3353" s="894"/>
      <c r="J3353" s="894"/>
      <c r="K3353" s="894"/>
      <c r="L3353" s="894"/>
      <c r="M3353" s="894"/>
      <c r="N3353" s="894"/>
      <c r="O3353" s="894"/>
    </row>
    <row r="3354" spans="8:15" ht="15.75" thickBot="1"/>
    <row r="3355" spans="8:15">
      <c r="H3355" s="895" t="s">
        <v>94</v>
      </c>
      <c r="I3355" s="897" t="s">
        <v>95</v>
      </c>
      <c r="J3355" s="897" t="s">
        <v>96</v>
      </c>
      <c r="K3355" s="897" t="s">
        <v>3</v>
      </c>
      <c r="L3355" s="897" t="s">
        <v>97</v>
      </c>
      <c r="M3355" s="897" t="s">
        <v>98</v>
      </c>
      <c r="N3355" s="897" t="s">
        <v>99</v>
      </c>
      <c r="O3355" s="899"/>
    </row>
    <row r="3356" spans="8:15" ht="15.75" thickBot="1">
      <c r="H3356" s="896"/>
      <c r="I3356" s="898"/>
      <c r="J3356" s="898"/>
      <c r="K3356" s="898"/>
      <c r="L3356" s="898"/>
      <c r="M3356" s="898"/>
      <c r="N3356" s="240" t="s">
        <v>100</v>
      </c>
      <c r="O3356" s="182" t="s">
        <v>101</v>
      </c>
    </row>
    <row r="3357" spans="8:15" ht="15" customHeight="1">
      <c r="H3357" s="873" t="s">
        <v>552</v>
      </c>
      <c r="I3357" s="875">
        <v>42735</v>
      </c>
      <c r="J3357" s="877" t="s">
        <v>790</v>
      </c>
      <c r="K3357" s="879" t="s">
        <v>1293</v>
      </c>
      <c r="L3357" s="881" t="s">
        <v>165</v>
      </c>
      <c r="M3357" s="883">
        <v>-401330</v>
      </c>
      <c r="N3357" s="55">
        <v>719</v>
      </c>
      <c r="O3357" s="78"/>
    </row>
    <row r="3358" spans="8:15" ht="15.75" thickBot="1">
      <c r="H3358" s="874"/>
      <c r="I3358" s="876"/>
      <c r="J3358" s="878"/>
      <c r="K3358" s="880"/>
      <c r="L3358" s="882"/>
      <c r="M3358" s="884"/>
      <c r="N3358" s="56">
        <v>723</v>
      </c>
      <c r="O3358" s="351">
        <f>+M3357-O3357</f>
        <v>-401330</v>
      </c>
    </row>
    <row r="3359" spans="8:15" ht="15" customHeight="1">
      <c r="H3359" s="873" t="s">
        <v>553</v>
      </c>
      <c r="I3359" s="875">
        <v>42735</v>
      </c>
      <c r="J3359" s="877" t="s">
        <v>791</v>
      </c>
      <c r="K3359" s="879" t="s">
        <v>1294</v>
      </c>
      <c r="L3359" s="881" t="s">
        <v>165</v>
      </c>
      <c r="M3359" s="883">
        <v>-164000</v>
      </c>
      <c r="N3359" s="55">
        <v>719</v>
      </c>
      <c r="O3359" s="78"/>
    </row>
    <row r="3360" spans="8:15" ht="15.75" customHeight="1" thickBot="1">
      <c r="H3360" s="874"/>
      <c r="I3360" s="876"/>
      <c r="J3360" s="878"/>
      <c r="K3360" s="880"/>
      <c r="L3360" s="882"/>
      <c r="M3360" s="884"/>
      <c r="N3360" s="56">
        <v>723</v>
      </c>
      <c r="O3360" s="352">
        <f>+M3359-O3359</f>
        <v>-164000</v>
      </c>
    </row>
    <row r="3361" spans="8:15" ht="15" customHeight="1">
      <c r="H3361" s="873"/>
      <c r="I3361" s="875"/>
      <c r="J3361" s="877"/>
      <c r="K3361" s="879"/>
      <c r="L3361" s="881"/>
      <c r="M3361" s="883"/>
      <c r="N3361" s="55">
        <v>719</v>
      </c>
      <c r="O3361" s="78"/>
    </row>
    <row r="3362" spans="8:15" ht="15.75" customHeight="1" thickBot="1">
      <c r="H3362" s="874"/>
      <c r="I3362" s="876"/>
      <c r="J3362" s="878"/>
      <c r="K3362" s="880"/>
      <c r="L3362" s="882"/>
      <c r="M3362" s="884"/>
      <c r="N3362" s="56">
        <v>722</v>
      </c>
      <c r="O3362" s="352"/>
    </row>
    <row r="3363" spans="8:15" ht="15" customHeight="1">
      <c r="H3363" s="873"/>
      <c r="I3363" s="875"/>
      <c r="J3363" s="877"/>
      <c r="K3363" s="879"/>
      <c r="L3363" s="881"/>
      <c r="M3363" s="883"/>
      <c r="N3363" s="55">
        <v>719</v>
      </c>
      <c r="O3363" s="78"/>
    </row>
    <row r="3364" spans="8:15" ht="15.75" customHeight="1" thickBot="1">
      <c r="H3364" s="874"/>
      <c r="I3364" s="876"/>
      <c r="J3364" s="878"/>
      <c r="K3364" s="880"/>
      <c r="L3364" s="882"/>
      <c r="M3364" s="884"/>
      <c r="N3364" s="56">
        <v>722</v>
      </c>
      <c r="O3364" s="79">
        <f>+M3363-O3363</f>
        <v>0</v>
      </c>
    </row>
    <row r="3365" spans="8:15" ht="16.5" thickBot="1">
      <c r="H3365" s="901" t="s">
        <v>102</v>
      </c>
      <c r="I3365" s="902"/>
      <c r="J3365" s="902"/>
      <c r="K3365" s="902"/>
      <c r="L3365" s="903"/>
      <c r="M3365" s="81">
        <f>SUM(M3357:M3364)</f>
        <v>-565330</v>
      </c>
    </row>
    <row r="3366" spans="8:15" ht="16.5" thickBot="1">
      <c r="H3366" s="885" t="s">
        <v>103</v>
      </c>
      <c r="I3366" s="886"/>
      <c r="J3366" s="886"/>
      <c r="K3366" s="886"/>
      <c r="L3366" s="887"/>
      <c r="M3366" s="69">
        <f>+M3332</f>
        <v>729228599</v>
      </c>
      <c r="N3366" s="241" t="s">
        <v>561</v>
      </c>
      <c r="O3366" s="242"/>
    </row>
    <row r="3367" spans="8:15" ht="16.5" thickBot="1">
      <c r="H3367" s="888" t="s">
        <v>104</v>
      </c>
      <c r="I3367" s="889"/>
      <c r="J3367" s="889"/>
      <c r="K3367" s="889"/>
      <c r="L3367" s="890"/>
      <c r="M3367" s="183">
        <f>SUM(M3365:M3366)</f>
        <v>728663269</v>
      </c>
    </row>
    <row r="3368" spans="8:15">
      <c r="H3368" s="61"/>
      <c r="I3368" s="61"/>
      <c r="J3368" s="61"/>
      <c r="K3368" s="61"/>
      <c r="L3368" s="61"/>
    </row>
    <row r="3369" spans="8:15">
      <c r="H3369" s="51" t="s">
        <v>1287</v>
      </c>
    </row>
    <row r="3370" spans="8:15">
      <c r="M3370" s="139"/>
    </row>
    <row r="3371" spans="8:15">
      <c r="H3371" s="50" t="s">
        <v>105</v>
      </c>
      <c r="K3371" s="146"/>
      <c r="M3371" s="139"/>
    </row>
    <row r="3372" spans="8:15" ht="15.75" thickBot="1"/>
    <row r="3373" spans="8:15" ht="15.75" thickBot="1">
      <c r="H3373" s="891" t="s">
        <v>106</v>
      </c>
      <c r="I3373" s="892"/>
      <c r="J3373" s="892"/>
      <c r="K3373" s="893"/>
      <c r="M3373" s="50" t="s">
        <v>288</v>
      </c>
    </row>
    <row r="3374" spans="8:15" ht="30.75" thickBot="1">
      <c r="H3374" s="57" t="s">
        <v>100</v>
      </c>
      <c r="I3374" s="58" t="s">
        <v>108</v>
      </c>
      <c r="J3374" s="287" t="s">
        <v>109</v>
      </c>
      <c r="K3374" s="60" t="s">
        <v>110</v>
      </c>
    </row>
    <row r="3375" spans="8:15">
      <c r="H3375" s="71">
        <v>719</v>
      </c>
      <c r="I3375" s="73">
        <f>+O3357+O3359+O3363</f>
        <v>0</v>
      </c>
      <c r="J3375" s="74">
        <f>+K3340</f>
        <v>74360000</v>
      </c>
      <c r="K3375" s="195">
        <f>+I3375+J3375</f>
        <v>74360000</v>
      </c>
    </row>
    <row r="3376" spans="8:15">
      <c r="H3376" s="72">
        <v>721</v>
      </c>
      <c r="I3376" s="80"/>
      <c r="J3376" s="74">
        <f>+K3341</f>
        <v>269310159</v>
      </c>
      <c r="K3376" s="195">
        <f>+I3376+J3376</f>
        <v>269310159</v>
      </c>
    </row>
    <row r="3377" spans="8:15">
      <c r="H3377" s="72">
        <v>722</v>
      </c>
      <c r="I3377" s="80"/>
      <c r="J3377" s="74">
        <f>+K3342</f>
        <v>62011494</v>
      </c>
      <c r="K3377" s="195">
        <f>+I3377+J3377</f>
        <v>62011494</v>
      </c>
    </row>
    <row r="3378" spans="8:15" ht="15.75">
      <c r="H3378" s="72">
        <v>723</v>
      </c>
      <c r="I3378" s="80">
        <f>+O3360+O3358</f>
        <v>-565330</v>
      </c>
      <c r="J3378" s="74">
        <f>+K3343</f>
        <v>322679446</v>
      </c>
      <c r="K3378" s="195">
        <f>+I3378+J3378</f>
        <v>322114116</v>
      </c>
      <c r="M3378" s="193" t="s">
        <v>289</v>
      </c>
      <c r="N3378" s="175"/>
    </row>
    <row r="3379" spans="8:15" ht="16.5" thickBot="1">
      <c r="H3379" s="164" t="s">
        <v>1077</v>
      </c>
      <c r="I3379" s="165"/>
      <c r="J3379" s="74">
        <f>+K3344</f>
        <v>797500</v>
      </c>
      <c r="K3379" s="196">
        <f>+I3379+J3379</f>
        <v>797500</v>
      </c>
      <c r="M3379" s="52"/>
    </row>
    <row r="3380" spans="8:15" ht="16.5" thickBot="1">
      <c r="H3380" s="169"/>
      <c r="I3380" s="197">
        <f>SUM(I3375:I3379)</f>
        <v>-565330</v>
      </c>
      <c r="J3380" s="197">
        <f>SUM(J3375:J3379)</f>
        <v>729158599</v>
      </c>
      <c r="K3380" s="198">
        <f>SUM(K3375:K3379)</f>
        <v>728593269</v>
      </c>
    </row>
    <row r="3381" spans="8:15" ht="15.75">
      <c r="H3381" s="397"/>
      <c r="I3381" s="398"/>
      <c r="J3381" s="398"/>
      <c r="K3381" s="399"/>
    </row>
    <row r="3382" spans="8:15" ht="16.5">
      <c r="H3382" s="49" t="s">
        <v>88</v>
      </c>
      <c r="I3382" s="50"/>
    </row>
    <row r="3383" spans="8:15">
      <c r="H3383" s="51" t="s">
        <v>89</v>
      </c>
    </row>
    <row r="3384" spans="8:15">
      <c r="H3384" s="51" t="s">
        <v>90</v>
      </c>
    </row>
    <row r="3385" spans="8:15">
      <c r="H3385" s="51" t="s">
        <v>91</v>
      </c>
    </row>
    <row r="3386" spans="8:15" ht="14.25" customHeight="1">
      <c r="H3386" s="50"/>
      <c r="I3386" s="50"/>
    </row>
    <row r="3387" spans="8:15" ht="15.75">
      <c r="H3387" s="260" t="s">
        <v>1289</v>
      </c>
      <c r="N3387" s="52"/>
    </row>
    <row r="3388" spans="8:15" ht="15.75">
      <c r="H3388" s="53" t="s">
        <v>535</v>
      </c>
      <c r="N3388" s="53"/>
    </row>
    <row r="3389" spans="8:15" ht="16.5">
      <c r="H3389" s="894" t="s">
        <v>1278</v>
      </c>
      <c r="I3389" s="894"/>
      <c r="J3389" s="894"/>
      <c r="K3389" s="894"/>
      <c r="L3389" s="894"/>
      <c r="M3389" s="894"/>
      <c r="N3389" s="894"/>
      <c r="O3389" s="894"/>
    </row>
    <row r="3390" spans="8:15" ht="15.75" thickBot="1"/>
    <row r="3391" spans="8:15">
      <c r="H3391" s="895" t="s">
        <v>94</v>
      </c>
      <c r="I3391" s="897" t="s">
        <v>95</v>
      </c>
      <c r="J3391" s="897" t="s">
        <v>96</v>
      </c>
      <c r="K3391" s="897" t="s">
        <v>3</v>
      </c>
      <c r="L3391" s="897" t="s">
        <v>97</v>
      </c>
      <c r="M3391" s="897" t="s">
        <v>98</v>
      </c>
      <c r="N3391" s="897" t="s">
        <v>99</v>
      </c>
      <c r="O3391" s="899"/>
    </row>
    <row r="3392" spans="8:15" ht="15.75" thickBot="1">
      <c r="H3392" s="896"/>
      <c r="I3392" s="898"/>
      <c r="J3392" s="898"/>
      <c r="K3392" s="898"/>
      <c r="L3392" s="898"/>
      <c r="M3392" s="898"/>
      <c r="N3392" s="240" t="s">
        <v>100</v>
      </c>
      <c r="O3392" s="182" t="s">
        <v>101</v>
      </c>
    </row>
    <row r="3393" spans="8:15" ht="15" customHeight="1">
      <c r="H3393" s="873" t="s">
        <v>1290</v>
      </c>
      <c r="I3393" s="875">
        <v>42734</v>
      </c>
      <c r="J3393" s="877" t="s">
        <v>1014</v>
      </c>
      <c r="K3393" s="879" t="s">
        <v>1293</v>
      </c>
      <c r="L3393" s="881" t="s">
        <v>115</v>
      </c>
      <c r="M3393" s="883">
        <v>50000</v>
      </c>
      <c r="N3393" s="55">
        <v>719</v>
      </c>
      <c r="O3393" s="78">
        <v>50000</v>
      </c>
    </row>
    <row r="3394" spans="8:15" ht="15.75" customHeight="1" thickBot="1">
      <c r="H3394" s="874"/>
      <c r="I3394" s="876"/>
      <c r="J3394" s="878"/>
      <c r="K3394" s="880"/>
      <c r="L3394" s="882"/>
      <c r="M3394" s="884"/>
      <c r="N3394" s="56">
        <v>723</v>
      </c>
      <c r="O3394" s="351">
        <f>+M3393-O3393</f>
        <v>0</v>
      </c>
    </row>
    <row r="3395" spans="8:15" ht="15" customHeight="1">
      <c r="H3395" s="873" t="s">
        <v>1291</v>
      </c>
      <c r="I3395" s="875">
        <v>42734</v>
      </c>
      <c r="J3395" s="877" t="s">
        <v>28</v>
      </c>
      <c r="K3395" s="879" t="s">
        <v>1294</v>
      </c>
      <c r="L3395" s="881" t="s">
        <v>115</v>
      </c>
      <c r="M3395" s="883">
        <v>50000</v>
      </c>
      <c r="N3395" s="55">
        <v>719</v>
      </c>
      <c r="O3395" s="78">
        <v>50000</v>
      </c>
    </row>
    <row r="3396" spans="8:15" ht="15.75" customHeight="1" thickBot="1">
      <c r="H3396" s="874"/>
      <c r="I3396" s="876"/>
      <c r="J3396" s="878"/>
      <c r="K3396" s="880"/>
      <c r="L3396" s="882"/>
      <c r="M3396" s="884"/>
      <c r="N3396" s="56">
        <v>723</v>
      </c>
      <c r="O3396" s="352">
        <f>+M3395-O3395</f>
        <v>0</v>
      </c>
    </row>
    <row r="3397" spans="8:15" ht="15" customHeight="1">
      <c r="H3397" s="873" t="s">
        <v>1292</v>
      </c>
      <c r="I3397" s="875">
        <v>42734</v>
      </c>
      <c r="J3397" s="877" t="s">
        <v>120</v>
      </c>
      <c r="K3397" s="879" t="s">
        <v>1294</v>
      </c>
      <c r="L3397" s="881" t="s">
        <v>115</v>
      </c>
      <c r="M3397" s="883">
        <v>140000</v>
      </c>
      <c r="N3397" s="55">
        <v>719</v>
      </c>
      <c r="O3397" s="78">
        <v>140000</v>
      </c>
    </row>
    <row r="3398" spans="8:15" ht="15.75" customHeight="1" thickBot="1">
      <c r="H3398" s="874"/>
      <c r="I3398" s="876"/>
      <c r="J3398" s="878"/>
      <c r="K3398" s="880"/>
      <c r="L3398" s="882"/>
      <c r="M3398" s="884"/>
      <c r="N3398" s="56">
        <v>722</v>
      </c>
      <c r="O3398" s="352">
        <f>+M3397-O3397</f>
        <v>0</v>
      </c>
    </row>
    <row r="3399" spans="8:15">
      <c r="H3399" s="881"/>
      <c r="I3399" s="875"/>
      <c r="J3399" s="877"/>
      <c r="K3399" s="904"/>
      <c r="L3399" s="881"/>
      <c r="M3399" s="883"/>
      <c r="N3399" s="55">
        <v>719</v>
      </c>
      <c r="O3399" s="78"/>
    </row>
    <row r="3400" spans="8:15" ht="15.75" thickBot="1">
      <c r="H3400" s="882"/>
      <c r="I3400" s="876"/>
      <c r="J3400" s="878"/>
      <c r="K3400" s="880"/>
      <c r="L3400" s="882"/>
      <c r="M3400" s="884"/>
      <c r="N3400" s="56">
        <v>722</v>
      </c>
      <c r="O3400" s="79">
        <f>+M3399-O3399</f>
        <v>0</v>
      </c>
    </row>
    <row r="3401" spans="8:15" ht="16.5" thickBot="1">
      <c r="H3401" s="901" t="s">
        <v>102</v>
      </c>
      <c r="I3401" s="902"/>
      <c r="J3401" s="902"/>
      <c r="K3401" s="902"/>
      <c r="L3401" s="903"/>
      <c r="M3401" s="81">
        <f>SUM(M3393:M3400)</f>
        <v>240000</v>
      </c>
    </row>
    <row r="3402" spans="8:15" ht="16.5" thickBot="1">
      <c r="H3402" s="885" t="s">
        <v>103</v>
      </c>
      <c r="I3402" s="886"/>
      <c r="J3402" s="886"/>
      <c r="K3402" s="886"/>
      <c r="L3402" s="887"/>
      <c r="M3402" s="69">
        <f>+M3367</f>
        <v>728663269</v>
      </c>
      <c r="N3402" s="241" t="s">
        <v>561</v>
      </c>
      <c r="O3402" s="242">
        <v>349</v>
      </c>
    </row>
    <row r="3403" spans="8:15" ht="16.5" thickBot="1">
      <c r="H3403" s="888" t="s">
        <v>104</v>
      </c>
      <c r="I3403" s="889"/>
      <c r="J3403" s="889"/>
      <c r="K3403" s="889"/>
      <c r="L3403" s="890"/>
      <c r="M3403" s="183">
        <f>SUM(M3401:M3402)</f>
        <v>728903269</v>
      </c>
    </row>
    <row r="3404" spans="8:15">
      <c r="H3404" s="61"/>
      <c r="I3404" s="61"/>
      <c r="J3404" s="61"/>
      <c r="K3404" s="61"/>
      <c r="L3404" s="61"/>
    </row>
    <row r="3405" spans="8:15">
      <c r="H3405" s="51" t="s">
        <v>1295</v>
      </c>
    </row>
    <row r="3406" spans="8:15">
      <c r="M3406" s="139"/>
    </row>
    <row r="3407" spans="8:15" ht="19.5" customHeight="1">
      <c r="H3407" s="50" t="s">
        <v>105</v>
      </c>
      <c r="K3407" s="146"/>
      <c r="M3407" s="139"/>
    </row>
    <row r="3408" spans="8:15" ht="18" customHeight="1" thickBot="1"/>
    <row r="3409" spans="8:14" ht="15.75" thickBot="1">
      <c r="H3409" s="891" t="s">
        <v>106</v>
      </c>
      <c r="I3409" s="892"/>
      <c r="J3409" s="892"/>
      <c r="K3409" s="893"/>
      <c r="M3409" s="50" t="s">
        <v>288</v>
      </c>
    </row>
    <row r="3410" spans="8:14" ht="30.75" thickBot="1">
      <c r="H3410" s="57" t="s">
        <v>100</v>
      </c>
      <c r="I3410" s="58" t="s">
        <v>108</v>
      </c>
      <c r="J3410" s="287" t="s">
        <v>109</v>
      </c>
      <c r="K3410" s="60" t="s">
        <v>110</v>
      </c>
    </row>
    <row r="3411" spans="8:14">
      <c r="H3411" s="71">
        <v>719</v>
      </c>
      <c r="I3411" s="73">
        <f>+O3393+O3395+O3399+O3397</f>
        <v>240000</v>
      </c>
      <c r="J3411" s="74">
        <f>+K3375</f>
        <v>74360000</v>
      </c>
      <c r="K3411" s="195">
        <f>+I3411+J3411</f>
        <v>74600000</v>
      </c>
    </row>
    <row r="3412" spans="8:14">
      <c r="H3412" s="72">
        <v>721</v>
      </c>
      <c r="I3412" s="80"/>
      <c r="J3412" s="74">
        <f>+K3376</f>
        <v>269310159</v>
      </c>
      <c r="K3412" s="195">
        <f>+I3412+J3412</f>
        <v>269310159</v>
      </c>
    </row>
    <row r="3413" spans="8:14">
      <c r="H3413" s="72">
        <v>722</v>
      </c>
      <c r="I3413" s="80"/>
      <c r="J3413" s="74">
        <f>+K3377</f>
        <v>62011494</v>
      </c>
      <c r="K3413" s="195">
        <f>+I3413+J3413</f>
        <v>62011494</v>
      </c>
    </row>
    <row r="3414" spans="8:14" ht="15.75">
      <c r="H3414" s="72">
        <v>723</v>
      </c>
      <c r="I3414" s="80">
        <f>+O3396+O3394</f>
        <v>0</v>
      </c>
      <c r="J3414" s="74">
        <f>+K3378</f>
        <v>322114116</v>
      </c>
      <c r="K3414" s="195">
        <f>+I3414+J3414</f>
        <v>322114116</v>
      </c>
      <c r="M3414" s="193" t="s">
        <v>289</v>
      </c>
      <c r="N3414" s="175"/>
    </row>
    <row r="3415" spans="8:14" ht="16.5" thickBot="1">
      <c r="H3415" s="164" t="s">
        <v>1077</v>
      </c>
      <c r="I3415" s="165"/>
      <c r="J3415" s="74">
        <f>+K3379</f>
        <v>797500</v>
      </c>
      <c r="K3415" s="196">
        <f>+I3415+J3415</f>
        <v>797500</v>
      </c>
      <c r="M3415" s="52"/>
    </row>
    <row r="3416" spans="8:14" ht="16.5" thickBot="1">
      <c r="H3416" s="169"/>
      <c r="I3416" s="197">
        <f>SUM(I3411:I3415)</f>
        <v>240000</v>
      </c>
      <c r="J3416" s="197">
        <f>SUM(J3411:J3415)</f>
        <v>728593269</v>
      </c>
      <c r="K3416" s="198">
        <f>SUM(K3411:K3415)</f>
        <v>728833269</v>
      </c>
    </row>
    <row r="3417" spans="8:14" ht="15.75">
      <c r="H3417" s="397"/>
      <c r="I3417" s="398"/>
      <c r="J3417" s="398"/>
      <c r="K3417" s="399"/>
    </row>
    <row r="3418" spans="8:14" ht="16.5">
      <c r="H3418" s="49" t="s">
        <v>88</v>
      </c>
      <c r="I3418" s="50"/>
    </row>
    <row r="3419" spans="8:14">
      <c r="H3419" s="50" t="s">
        <v>89</v>
      </c>
    </row>
    <row r="3420" spans="8:14">
      <c r="H3420" s="51" t="s">
        <v>90</v>
      </c>
    </row>
    <row r="3421" spans="8:14">
      <c r="H3421" s="51" t="s">
        <v>91</v>
      </c>
    </row>
    <row r="3422" spans="8:14" ht="9" customHeight="1">
      <c r="H3422" s="50"/>
      <c r="I3422" s="50"/>
    </row>
    <row r="3423" spans="8:14" ht="15.75">
      <c r="H3423" s="260" t="s">
        <v>1296</v>
      </c>
      <c r="N3423" s="52"/>
    </row>
    <row r="3424" spans="8:14" ht="15.75">
      <c r="H3424" s="53" t="s">
        <v>535</v>
      </c>
      <c r="N3424" s="53"/>
    </row>
    <row r="3425" spans="8:15" ht="15.75" customHeight="1">
      <c r="H3425" s="894" t="s">
        <v>1302</v>
      </c>
      <c r="I3425" s="894"/>
      <c r="J3425" s="894"/>
      <c r="K3425" s="894"/>
      <c r="L3425" s="894"/>
      <c r="M3425" s="894"/>
      <c r="N3425" s="894"/>
      <c r="O3425" s="894"/>
    </row>
    <row r="3426" spans="8:15" ht="12.75" customHeight="1" thickBot="1"/>
    <row r="3427" spans="8:15">
      <c r="H3427" s="895" t="s">
        <v>94</v>
      </c>
      <c r="I3427" s="897" t="s">
        <v>95</v>
      </c>
      <c r="J3427" s="897" t="s">
        <v>96</v>
      </c>
      <c r="K3427" s="897" t="s">
        <v>3</v>
      </c>
      <c r="L3427" s="897" t="s">
        <v>97</v>
      </c>
      <c r="M3427" s="897" t="s">
        <v>98</v>
      </c>
      <c r="N3427" s="897" t="s">
        <v>99</v>
      </c>
      <c r="O3427" s="899"/>
    </row>
    <row r="3428" spans="8:15" ht="15.75" thickBot="1">
      <c r="H3428" s="896"/>
      <c r="I3428" s="898"/>
      <c r="J3428" s="898"/>
      <c r="K3428" s="898"/>
      <c r="L3428" s="898"/>
      <c r="M3428" s="898"/>
      <c r="N3428" s="240" t="s">
        <v>100</v>
      </c>
      <c r="O3428" s="182" t="s">
        <v>101</v>
      </c>
    </row>
    <row r="3429" spans="8:15" ht="13.5" customHeight="1">
      <c r="H3429" s="873" t="s">
        <v>1297</v>
      </c>
      <c r="I3429" s="875">
        <v>42734</v>
      </c>
      <c r="J3429" s="400" t="s">
        <v>1267</v>
      </c>
      <c r="K3429" s="879" t="s">
        <v>1221</v>
      </c>
      <c r="L3429" s="881" t="s">
        <v>145</v>
      </c>
      <c r="M3429" s="883">
        <v>14718204</v>
      </c>
      <c r="N3429" s="55">
        <v>719</v>
      </c>
      <c r="O3429" s="78">
        <v>0</v>
      </c>
    </row>
    <row r="3430" spans="8:15" ht="14.25" customHeight="1" thickBot="1">
      <c r="H3430" s="874"/>
      <c r="I3430" s="876"/>
      <c r="J3430" s="402"/>
      <c r="K3430" s="880"/>
      <c r="L3430" s="882"/>
      <c r="M3430" s="884"/>
      <c r="N3430" s="56">
        <v>721</v>
      </c>
      <c r="O3430" s="351">
        <f>+M3429-O3429</f>
        <v>14718204</v>
      </c>
    </row>
    <row r="3431" spans="8:15" ht="13.5" customHeight="1">
      <c r="H3431" s="873" t="s">
        <v>1298</v>
      </c>
      <c r="I3431" s="875">
        <v>42734</v>
      </c>
      <c r="J3431" s="402"/>
      <c r="K3431" s="879" t="s">
        <v>1304</v>
      </c>
      <c r="L3431" s="881" t="s">
        <v>145</v>
      </c>
      <c r="M3431" s="883">
        <v>4941638</v>
      </c>
      <c r="N3431" s="55">
        <v>719</v>
      </c>
      <c r="O3431" s="78">
        <v>0</v>
      </c>
    </row>
    <row r="3432" spans="8:15" ht="15" customHeight="1" thickBot="1">
      <c r="H3432" s="874"/>
      <c r="I3432" s="876"/>
      <c r="J3432" s="402"/>
      <c r="K3432" s="880"/>
      <c r="L3432" s="882"/>
      <c r="M3432" s="884"/>
      <c r="N3432" s="56">
        <v>721</v>
      </c>
      <c r="O3432" s="352">
        <f>+M3431-O3431</f>
        <v>4941638</v>
      </c>
    </row>
    <row r="3433" spans="8:15" ht="15" customHeight="1">
      <c r="H3433" s="873" t="s">
        <v>1299</v>
      </c>
      <c r="I3433" s="875">
        <v>42734</v>
      </c>
      <c r="J3433" s="402"/>
      <c r="K3433" s="879" t="s">
        <v>1305</v>
      </c>
      <c r="L3433" s="881" t="s">
        <v>145</v>
      </c>
      <c r="M3433" s="883">
        <v>3962065</v>
      </c>
      <c r="N3433" s="55">
        <v>719</v>
      </c>
      <c r="O3433" s="78">
        <v>0</v>
      </c>
    </row>
    <row r="3434" spans="8:15" ht="15.75" customHeight="1" thickBot="1">
      <c r="H3434" s="874"/>
      <c r="I3434" s="876"/>
      <c r="J3434" s="402"/>
      <c r="K3434" s="880"/>
      <c r="L3434" s="882"/>
      <c r="M3434" s="884"/>
      <c r="N3434" s="56">
        <v>721</v>
      </c>
      <c r="O3434" s="352">
        <f>+M3433-O3433</f>
        <v>3962065</v>
      </c>
    </row>
    <row r="3435" spans="8:15" ht="14.25" customHeight="1">
      <c r="H3435" s="873" t="s">
        <v>1300</v>
      </c>
      <c r="I3435" s="875">
        <v>42734</v>
      </c>
      <c r="J3435" s="402"/>
      <c r="K3435" s="879" t="s">
        <v>1303</v>
      </c>
      <c r="L3435" s="881" t="s">
        <v>145</v>
      </c>
      <c r="M3435" s="883">
        <v>2449488</v>
      </c>
      <c r="N3435" s="55">
        <v>719</v>
      </c>
      <c r="O3435" s="78">
        <v>0</v>
      </c>
    </row>
    <row r="3436" spans="8:15" ht="14.25" customHeight="1" thickBot="1">
      <c r="H3436" s="874"/>
      <c r="I3436" s="876"/>
      <c r="J3436" s="402"/>
      <c r="K3436" s="880"/>
      <c r="L3436" s="882"/>
      <c r="M3436" s="884"/>
      <c r="N3436" s="56">
        <v>721</v>
      </c>
      <c r="O3436" s="352">
        <f>+M3435-O3435</f>
        <v>2449488</v>
      </c>
    </row>
    <row r="3437" spans="8:15" ht="13.5" customHeight="1">
      <c r="H3437" s="873" t="s">
        <v>1308</v>
      </c>
      <c r="I3437" s="875">
        <v>42734</v>
      </c>
      <c r="J3437" s="402"/>
      <c r="K3437" s="879" t="s">
        <v>1306</v>
      </c>
      <c r="L3437" s="881" t="s">
        <v>145</v>
      </c>
      <c r="M3437" s="883">
        <v>4151192</v>
      </c>
      <c r="N3437" s="55">
        <v>719</v>
      </c>
      <c r="O3437" s="78">
        <v>0</v>
      </c>
    </row>
    <row r="3438" spans="8:15" ht="15.75" customHeight="1" thickBot="1">
      <c r="H3438" s="874"/>
      <c r="I3438" s="876"/>
      <c r="J3438" s="402"/>
      <c r="K3438" s="880"/>
      <c r="L3438" s="882"/>
      <c r="M3438" s="884"/>
      <c r="N3438" s="56">
        <v>721</v>
      </c>
      <c r="O3438" s="352">
        <f>+M3437-O3437</f>
        <v>4151192</v>
      </c>
    </row>
    <row r="3439" spans="8:15" ht="12.75" customHeight="1">
      <c r="H3439" s="873" t="s">
        <v>1309</v>
      </c>
      <c r="I3439" s="875">
        <v>42734</v>
      </c>
      <c r="J3439" s="402"/>
      <c r="K3439" s="879" t="s">
        <v>1307</v>
      </c>
      <c r="L3439" s="881" t="s">
        <v>145</v>
      </c>
      <c r="M3439" s="883">
        <v>1734563</v>
      </c>
      <c r="N3439" s="55">
        <v>719</v>
      </c>
      <c r="O3439" s="78"/>
    </row>
    <row r="3440" spans="8:15" ht="12.75" customHeight="1" thickBot="1">
      <c r="H3440" s="874"/>
      <c r="I3440" s="876"/>
      <c r="J3440" s="401"/>
      <c r="K3440" s="880"/>
      <c r="L3440" s="882"/>
      <c r="M3440" s="884"/>
      <c r="N3440" s="56">
        <v>721</v>
      </c>
      <c r="O3440" s="79">
        <f>+M3439-O3439</f>
        <v>1734563</v>
      </c>
    </row>
    <row r="3441" spans="8:15" ht="16.5" thickBot="1">
      <c r="H3441" s="901" t="s">
        <v>102</v>
      </c>
      <c r="I3441" s="902"/>
      <c r="J3441" s="902"/>
      <c r="K3441" s="902"/>
      <c r="L3441" s="903"/>
      <c r="M3441" s="81">
        <f>SUM(M3429:M3440)</f>
        <v>31957150</v>
      </c>
    </row>
    <row r="3442" spans="8:15" ht="16.5" thickBot="1">
      <c r="H3442" s="885" t="s">
        <v>103</v>
      </c>
      <c r="I3442" s="886"/>
      <c r="J3442" s="886"/>
      <c r="K3442" s="886"/>
      <c r="L3442" s="887"/>
      <c r="M3442" s="69">
        <f>+M3403</f>
        <v>728903269</v>
      </c>
      <c r="N3442" s="241" t="s">
        <v>561</v>
      </c>
      <c r="O3442" s="242"/>
    </row>
    <row r="3443" spans="8:15" ht="16.5" thickBot="1">
      <c r="H3443" s="888" t="s">
        <v>104</v>
      </c>
      <c r="I3443" s="889"/>
      <c r="J3443" s="889"/>
      <c r="K3443" s="889"/>
      <c r="L3443" s="890"/>
      <c r="M3443" s="183">
        <f>SUM(M3441:M3442)</f>
        <v>760860419</v>
      </c>
    </row>
    <row r="3444" spans="8:15" ht="12.75" customHeight="1">
      <c r="H3444" s="61"/>
      <c r="I3444" s="61"/>
      <c r="J3444" s="61"/>
      <c r="K3444" s="61"/>
      <c r="L3444" s="61"/>
    </row>
    <row r="3445" spans="8:15">
      <c r="H3445" s="51" t="s">
        <v>1310</v>
      </c>
    </row>
    <row r="3446" spans="8:15" ht="8.25" customHeight="1">
      <c r="M3446" s="139"/>
    </row>
    <row r="3447" spans="8:15">
      <c r="H3447" s="50" t="s">
        <v>105</v>
      </c>
      <c r="K3447" s="146"/>
      <c r="M3447" s="139"/>
    </row>
    <row r="3448" spans="8:15" ht="9" customHeight="1" thickBot="1"/>
    <row r="3449" spans="8:15" ht="15.75" thickBot="1">
      <c r="H3449" s="891" t="s">
        <v>106</v>
      </c>
      <c r="I3449" s="892"/>
      <c r="J3449" s="892"/>
      <c r="K3449" s="893"/>
      <c r="M3449" s="50" t="s">
        <v>1126</v>
      </c>
    </row>
    <row r="3450" spans="8:15" ht="30.75" thickBot="1">
      <c r="H3450" s="57" t="s">
        <v>100</v>
      </c>
      <c r="I3450" s="58" t="s">
        <v>108</v>
      </c>
      <c r="J3450" s="287" t="s">
        <v>109</v>
      </c>
      <c r="K3450" s="60" t="s">
        <v>110</v>
      </c>
    </row>
    <row r="3451" spans="8:15">
      <c r="H3451" s="71">
        <v>719</v>
      </c>
      <c r="I3451" s="73">
        <f>+O3433+O3435+O3439+O3437</f>
        <v>0</v>
      </c>
      <c r="J3451" s="74">
        <f>+K3411</f>
        <v>74600000</v>
      </c>
      <c r="K3451" s="195">
        <f>+I3451+J3451</f>
        <v>74600000</v>
      </c>
    </row>
    <row r="3452" spans="8:15">
      <c r="H3452" s="72">
        <v>721</v>
      </c>
      <c r="I3452" s="80">
        <f>+O3440+O3438+O3436+O3434+O3432+O3430</f>
        <v>31957150</v>
      </c>
      <c r="J3452" s="74">
        <f>+K3412</f>
        <v>269310159</v>
      </c>
      <c r="K3452" s="195">
        <f>+I3452+J3452</f>
        <v>301267309</v>
      </c>
    </row>
    <row r="3453" spans="8:15">
      <c r="H3453" s="72">
        <v>722</v>
      </c>
      <c r="I3453" s="80"/>
      <c r="J3453" s="74">
        <f>+K3413</f>
        <v>62011494</v>
      </c>
      <c r="K3453" s="195">
        <f>+I3453+J3453</f>
        <v>62011494</v>
      </c>
    </row>
    <row r="3454" spans="8:15" ht="15.75">
      <c r="H3454" s="72">
        <v>723</v>
      </c>
      <c r="I3454" s="80"/>
      <c r="J3454" s="74">
        <f>+K3414</f>
        <v>322114116</v>
      </c>
      <c r="K3454" s="195">
        <f>+I3454+J3454</f>
        <v>322114116</v>
      </c>
      <c r="M3454" s="193" t="s">
        <v>1125</v>
      </c>
      <c r="N3454" s="175"/>
    </row>
    <row r="3455" spans="8:15" ht="16.5" thickBot="1">
      <c r="H3455" s="164" t="s">
        <v>1077</v>
      </c>
      <c r="I3455" s="165"/>
      <c r="J3455" s="74">
        <f>+K3415</f>
        <v>797500</v>
      </c>
      <c r="K3455" s="196">
        <f>+I3455+J3455</f>
        <v>797500</v>
      </c>
      <c r="M3455" s="52"/>
    </row>
    <row r="3456" spans="8:15" ht="16.5" thickBot="1">
      <c r="H3456" s="169"/>
      <c r="I3456" s="197">
        <f>SUM(I3451:I3455)</f>
        <v>31957150</v>
      </c>
      <c r="J3456" s="197">
        <f>SUM(J3451:J3455)</f>
        <v>728833269</v>
      </c>
      <c r="K3456" s="198">
        <f>SUM(K3451:K3455)</f>
        <v>760790419</v>
      </c>
    </row>
    <row r="3457" spans="8:15" ht="16.5">
      <c r="H3457" s="49" t="s">
        <v>88</v>
      </c>
      <c r="I3457" s="50"/>
    </row>
    <row r="3458" spans="8:15">
      <c r="H3458" s="51" t="s">
        <v>89</v>
      </c>
    </row>
    <row r="3459" spans="8:15">
      <c r="H3459" s="51" t="s">
        <v>90</v>
      </c>
    </row>
    <row r="3460" spans="8:15">
      <c r="H3460" s="51" t="s">
        <v>91</v>
      </c>
    </row>
    <row r="3461" spans="8:15">
      <c r="H3461" s="50"/>
      <c r="I3461" s="50"/>
    </row>
    <row r="3462" spans="8:15" ht="15.75">
      <c r="H3462" s="260" t="s">
        <v>1312</v>
      </c>
      <c r="N3462" s="52"/>
    </row>
    <row r="3463" spans="8:15" ht="15.75">
      <c r="H3463" s="53" t="s">
        <v>535</v>
      </c>
      <c r="N3463" s="53"/>
    </row>
    <row r="3464" spans="8:15" ht="16.5">
      <c r="H3464" s="894" t="s">
        <v>1316</v>
      </c>
      <c r="I3464" s="894"/>
      <c r="J3464" s="894"/>
      <c r="K3464" s="894"/>
      <c r="L3464" s="894"/>
      <c r="M3464" s="894"/>
      <c r="N3464" s="894"/>
      <c r="O3464" s="894"/>
    </row>
    <row r="3465" spans="8:15" ht="15.75" thickBot="1"/>
    <row r="3466" spans="8:15">
      <c r="H3466" s="895" t="s">
        <v>94</v>
      </c>
      <c r="I3466" s="897" t="s">
        <v>95</v>
      </c>
      <c r="J3466" s="897" t="s">
        <v>96</v>
      </c>
      <c r="K3466" s="897" t="s">
        <v>3</v>
      </c>
      <c r="L3466" s="897" t="s">
        <v>97</v>
      </c>
      <c r="M3466" s="897" t="s">
        <v>98</v>
      </c>
      <c r="N3466" s="897" t="s">
        <v>99</v>
      </c>
      <c r="O3466" s="899"/>
    </row>
    <row r="3467" spans="8:15" ht="15.75" thickBot="1">
      <c r="H3467" s="896"/>
      <c r="I3467" s="898"/>
      <c r="J3467" s="898"/>
      <c r="K3467" s="898"/>
      <c r="L3467" s="898"/>
      <c r="M3467" s="898"/>
      <c r="N3467" s="240" t="s">
        <v>100</v>
      </c>
      <c r="O3467" s="182" t="s">
        <v>101</v>
      </c>
    </row>
    <row r="3468" spans="8:15">
      <c r="H3468" s="873" t="s">
        <v>1311</v>
      </c>
      <c r="I3468" s="875">
        <v>42734</v>
      </c>
      <c r="J3468" s="877" t="s">
        <v>1315</v>
      </c>
      <c r="K3468" s="879" t="s">
        <v>1301</v>
      </c>
      <c r="L3468" s="881" t="s">
        <v>148</v>
      </c>
      <c r="M3468" s="883">
        <v>1817700</v>
      </c>
      <c r="N3468" s="55">
        <v>719</v>
      </c>
      <c r="O3468" s="78"/>
    </row>
    <row r="3469" spans="8:15" ht="15.75" thickBot="1">
      <c r="H3469" s="874"/>
      <c r="I3469" s="876"/>
      <c r="J3469" s="878"/>
      <c r="K3469" s="880"/>
      <c r="L3469" s="882"/>
      <c r="M3469" s="884"/>
      <c r="N3469" s="56">
        <v>723</v>
      </c>
      <c r="O3469" s="351">
        <f>+M3468-O3468</f>
        <v>1817700</v>
      </c>
    </row>
    <row r="3470" spans="8:15">
      <c r="H3470" s="873"/>
      <c r="I3470" s="875"/>
      <c r="J3470" s="877"/>
      <c r="K3470" s="879"/>
      <c r="L3470" s="881"/>
      <c r="M3470" s="883"/>
      <c r="N3470" s="55">
        <v>719</v>
      </c>
      <c r="O3470" s="78"/>
    </row>
    <row r="3471" spans="8:15" ht="15.75" thickBot="1">
      <c r="H3471" s="874"/>
      <c r="I3471" s="876"/>
      <c r="J3471" s="878"/>
      <c r="K3471" s="880"/>
      <c r="L3471" s="882"/>
      <c r="M3471" s="884"/>
      <c r="N3471" s="56">
        <v>723</v>
      </c>
      <c r="O3471" s="352">
        <f>+M3470-O3470</f>
        <v>0</v>
      </c>
    </row>
    <row r="3472" spans="8:15">
      <c r="H3472" s="873"/>
      <c r="I3472" s="875"/>
      <c r="J3472" s="877"/>
      <c r="K3472" s="879"/>
      <c r="L3472" s="881"/>
      <c r="M3472" s="883"/>
      <c r="N3472" s="55">
        <v>719</v>
      </c>
      <c r="O3472" s="78"/>
    </row>
    <row r="3473" spans="8:15" ht="15.75" thickBot="1">
      <c r="H3473" s="874"/>
      <c r="I3473" s="876"/>
      <c r="J3473" s="878"/>
      <c r="K3473" s="880"/>
      <c r="L3473" s="882"/>
      <c r="M3473" s="884"/>
      <c r="N3473" s="56">
        <v>722</v>
      </c>
      <c r="O3473" s="352">
        <f>+M3472-O3472</f>
        <v>0</v>
      </c>
    </row>
    <row r="3474" spans="8:15">
      <c r="H3474" s="881"/>
      <c r="I3474" s="875"/>
      <c r="J3474" s="877"/>
      <c r="K3474" s="904"/>
      <c r="L3474" s="881"/>
      <c r="M3474" s="883"/>
      <c r="N3474" s="55">
        <v>719</v>
      </c>
      <c r="O3474" s="78"/>
    </row>
    <row r="3475" spans="8:15" ht="15.75" thickBot="1">
      <c r="H3475" s="882"/>
      <c r="I3475" s="876"/>
      <c r="J3475" s="878"/>
      <c r="K3475" s="880"/>
      <c r="L3475" s="882"/>
      <c r="M3475" s="884"/>
      <c r="N3475" s="56">
        <v>722</v>
      </c>
      <c r="O3475" s="79">
        <f>+M3474-O3474</f>
        <v>0</v>
      </c>
    </row>
    <row r="3476" spans="8:15" ht="16.5" thickBot="1">
      <c r="H3476" s="901" t="s">
        <v>102</v>
      </c>
      <c r="I3476" s="902"/>
      <c r="J3476" s="902"/>
      <c r="K3476" s="902"/>
      <c r="L3476" s="903"/>
      <c r="M3476" s="81">
        <f>SUM(M3468:M3475)</f>
        <v>1817700</v>
      </c>
    </row>
    <row r="3477" spans="8:15" ht="16.5" thickBot="1">
      <c r="H3477" s="885" t="s">
        <v>103</v>
      </c>
      <c r="I3477" s="886"/>
      <c r="J3477" s="886"/>
      <c r="K3477" s="886"/>
      <c r="L3477" s="887"/>
      <c r="M3477" s="69">
        <f>+M3443</f>
        <v>760860419</v>
      </c>
      <c r="N3477" s="241" t="s">
        <v>561</v>
      </c>
      <c r="O3477" s="242"/>
    </row>
    <row r="3478" spans="8:15" ht="16.5" thickBot="1">
      <c r="H3478" s="888" t="s">
        <v>104</v>
      </c>
      <c r="I3478" s="889"/>
      <c r="J3478" s="889"/>
      <c r="K3478" s="889"/>
      <c r="L3478" s="890"/>
      <c r="M3478" s="183">
        <f>SUM(M3476:M3477)</f>
        <v>762678119</v>
      </c>
    </row>
    <row r="3479" spans="8:15">
      <c r="H3479" s="61"/>
      <c r="I3479" s="61"/>
      <c r="J3479" s="61"/>
      <c r="K3479" s="61"/>
      <c r="L3479" s="61"/>
    </row>
    <row r="3480" spans="8:15">
      <c r="H3480" s="51" t="s">
        <v>1314</v>
      </c>
    </row>
    <row r="3481" spans="8:15">
      <c r="M3481" s="139"/>
    </row>
    <row r="3482" spans="8:15">
      <c r="H3482" s="50" t="s">
        <v>105</v>
      </c>
      <c r="K3482" s="146"/>
      <c r="M3482" s="139"/>
    </row>
    <row r="3483" spans="8:15" ht="15.75" thickBot="1"/>
    <row r="3484" spans="8:15" ht="15.75" thickBot="1">
      <c r="H3484" s="891" t="s">
        <v>106</v>
      </c>
      <c r="I3484" s="892"/>
      <c r="J3484" s="892"/>
      <c r="K3484" s="893"/>
      <c r="M3484" s="50" t="s">
        <v>1313</v>
      </c>
    </row>
    <row r="3485" spans="8:15" ht="30.75" thickBot="1">
      <c r="H3485" s="57" t="s">
        <v>100</v>
      </c>
      <c r="I3485" s="58" t="s">
        <v>108</v>
      </c>
      <c r="J3485" s="287" t="s">
        <v>109</v>
      </c>
      <c r="K3485" s="60" t="s">
        <v>110</v>
      </c>
    </row>
    <row r="3486" spans="8:15">
      <c r="H3486" s="71">
        <v>719</v>
      </c>
      <c r="I3486" s="73"/>
      <c r="J3486" s="74">
        <f>+K3451</f>
        <v>74600000</v>
      </c>
      <c r="K3486" s="195">
        <f>+I3486+J3486</f>
        <v>74600000</v>
      </c>
    </row>
    <row r="3487" spans="8:15">
      <c r="H3487" s="72">
        <v>721</v>
      </c>
      <c r="I3487" s="80"/>
      <c r="J3487" s="74">
        <f>+K3452</f>
        <v>301267309</v>
      </c>
      <c r="K3487" s="195">
        <f>+I3487+J3487</f>
        <v>301267309</v>
      </c>
    </row>
    <row r="3488" spans="8:15">
      <c r="H3488" s="72">
        <v>722</v>
      </c>
      <c r="I3488" s="80"/>
      <c r="J3488" s="74">
        <f>+K3453</f>
        <v>62011494</v>
      </c>
      <c r="K3488" s="195">
        <f>+I3488+J3488</f>
        <v>62011494</v>
      </c>
    </row>
    <row r="3489" spans="8:15" ht="15.75">
      <c r="H3489" s="72">
        <v>723</v>
      </c>
      <c r="I3489" s="80">
        <f>+O3469</f>
        <v>1817700</v>
      </c>
      <c r="J3489" s="74">
        <f>+K3454</f>
        <v>322114116</v>
      </c>
      <c r="K3489" s="195">
        <f>+I3489+J3489</f>
        <v>323931816</v>
      </c>
      <c r="M3489" s="193" t="s">
        <v>1125</v>
      </c>
      <c r="N3489" s="175"/>
    </row>
    <row r="3490" spans="8:15" ht="16.5" thickBot="1">
      <c r="H3490" s="164" t="s">
        <v>1077</v>
      </c>
      <c r="I3490" s="165"/>
      <c r="J3490" s="74">
        <f>+K3455</f>
        <v>797500</v>
      </c>
      <c r="K3490" s="196">
        <f>+I3490+J3490</f>
        <v>797500</v>
      </c>
      <c r="M3490" s="52"/>
    </row>
    <row r="3491" spans="8:15" ht="16.5" thickBot="1">
      <c r="H3491" s="169"/>
      <c r="I3491" s="197">
        <f>SUM(I3486:I3490)</f>
        <v>1817700</v>
      </c>
      <c r="J3491" s="197">
        <f>SUM(J3486:J3490)</f>
        <v>760790419</v>
      </c>
      <c r="K3491" s="198">
        <f>SUM(K3486:K3490)</f>
        <v>762608119</v>
      </c>
    </row>
    <row r="3492" spans="8:15" ht="15.75">
      <c r="H3492" s="397"/>
      <c r="I3492" s="398"/>
      <c r="J3492" s="398"/>
      <c r="K3492" s="399"/>
    </row>
    <row r="3493" spans="8:15" ht="16.5">
      <c r="H3493" s="49" t="s">
        <v>88</v>
      </c>
      <c r="I3493" s="50"/>
    </row>
    <row r="3494" spans="8:15">
      <c r="H3494" s="51" t="s">
        <v>89</v>
      </c>
    </row>
    <row r="3495" spans="8:15">
      <c r="H3495" s="51" t="s">
        <v>90</v>
      </c>
    </row>
    <row r="3496" spans="8:15">
      <c r="H3496" s="51" t="s">
        <v>91</v>
      </c>
    </row>
    <row r="3497" spans="8:15">
      <c r="H3497" s="50"/>
      <c r="I3497" s="50"/>
    </row>
    <row r="3498" spans="8:15" ht="15.75">
      <c r="H3498" s="260" t="s">
        <v>1320</v>
      </c>
      <c r="N3498" s="52"/>
    </row>
    <row r="3499" spans="8:15" ht="15.75">
      <c r="H3499" s="53" t="s">
        <v>535</v>
      </c>
      <c r="N3499" s="53"/>
    </row>
    <row r="3500" spans="8:15" ht="16.5">
      <c r="H3500" s="894" t="s">
        <v>1317</v>
      </c>
      <c r="I3500" s="894"/>
      <c r="J3500" s="894"/>
      <c r="K3500" s="894"/>
      <c r="L3500" s="894"/>
      <c r="M3500" s="894"/>
      <c r="N3500" s="894"/>
      <c r="O3500" s="894"/>
    </row>
    <row r="3501" spans="8:15" ht="15.75" thickBot="1"/>
    <row r="3502" spans="8:15">
      <c r="H3502" s="895" t="s">
        <v>94</v>
      </c>
      <c r="I3502" s="897" t="s">
        <v>95</v>
      </c>
      <c r="J3502" s="897" t="s">
        <v>96</v>
      </c>
      <c r="K3502" s="897" t="s">
        <v>3</v>
      </c>
      <c r="L3502" s="897" t="s">
        <v>97</v>
      </c>
      <c r="M3502" s="897" t="s">
        <v>98</v>
      </c>
      <c r="N3502" s="897" t="s">
        <v>99</v>
      </c>
      <c r="O3502" s="899"/>
    </row>
    <row r="3503" spans="8:15" ht="15.75" thickBot="1">
      <c r="H3503" s="896"/>
      <c r="I3503" s="898"/>
      <c r="J3503" s="898"/>
      <c r="K3503" s="898"/>
      <c r="L3503" s="898"/>
      <c r="M3503" s="898"/>
      <c r="N3503" s="240" t="s">
        <v>100</v>
      </c>
      <c r="O3503" s="182" t="s">
        <v>101</v>
      </c>
    </row>
    <row r="3504" spans="8:15" ht="15" customHeight="1">
      <c r="H3504" s="873" t="s">
        <v>554</v>
      </c>
      <c r="I3504" s="875">
        <v>42735</v>
      </c>
      <c r="J3504" s="877" t="s">
        <v>1267</v>
      </c>
      <c r="K3504" s="879" t="s">
        <v>1221</v>
      </c>
      <c r="L3504" s="881" t="s">
        <v>145</v>
      </c>
      <c r="M3504" s="883">
        <v>-14718204</v>
      </c>
      <c r="N3504" s="55">
        <v>719</v>
      </c>
      <c r="O3504" s="78"/>
    </row>
    <row r="3505" spans="8:15" ht="15.75" customHeight="1" thickBot="1">
      <c r="H3505" s="874"/>
      <c r="I3505" s="876"/>
      <c r="J3505" s="900"/>
      <c r="K3505" s="880"/>
      <c r="L3505" s="882"/>
      <c r="M3505" s="884"/>
      <c r="N3505" s="56">
        <v>721</v>
      </c>
      <c r="O3505" s="351">
        <f>+M3504-O3504</f>
        <v>-14718204</v>
      </c>
    </row>
    <row r="3506" spans="8:15" ht="15" customHeight="1">
      <c r="H3506" s="873" t="s">
        <v>1318</v>
      </c>
      <c r="I3506" s="875">
        <v>42735</v>
      </c>
      <c r="J3506" s="900"/>
      <c r="K3506" s="879" t="s">
        <v>1305</v>
      </c>
      <c r="L3506" s="881" t="s">
        <v>145</v>
      </c>
      <c r="M3506" s="883">
        <v>-3962065</v>
      </c>
      <c r="N3506" s="55">
        <v>719</v>
      </c>
      <c r="O3506" s="78"/>
    </row>
    <row r="3507" spans="8:15" ht="15.75" customHeight="1" thickBot="1">
      <c r="H3507" s="874"/>
      <c r="I3507" s="876"/>
      <c r="J3507" s="878"/>
      <c r="K3507" s="880"/>
      <c r="L3507" s="882"/>
      <c r="M3507" s="884"/>
      <c r="N3507" s="56">
        <v>721</v>
      </c>
      <c r="O3507" s="352">
        <f>+M3506-O3506</f>
        <v>-3962065</v>
      </c>
    </row>
    <row r="3508" spans="8:15" ht="15.75" customHeight="1">
      <c r="H3508" s="462"/>
      <c r="I3508" s="252"/>
      <c r="J3508" s="253"/>
      <c r="K3508" s="463"/>
      <c r="L3508" s="251"/>
      <c r="M3508" s="254"/>
      <c r="N3508" s="255"/>
      <c r="O3508" s="464"/>
    </row>
    <row r="3509" spans="8:15" ht="15.75" customHeight="1">
      <c r="H3509" s="462"/>
      <c r="I3509" s="252"/>
      <c r="J3509" s="253"/>
      <c r="K3509" s="463"/>
      <c r="L3509" s="251"/>
      <c r="M3509" s="254"/>
      <c r="N3509" s="255"/>
      <c r="O3509" s="464"/>
    </row>
    <row r="3510" spans="8:15" ht="15.75" customHeight="1">
      <c r="H3510" s="462"/>
      <c r="I3510" s="252"/>
      <c r="J3510" s="253"/>
      <c r="K3510" s="463"/>
      <c r="L3510" s="251"/>
      <c r="M3510" s="254"/>
      <c r="N3510" s="255"/>
      <c r="O3510" s="464"/>
    </row>
    <row r="3511" spans="8:15" ht="15.75" customHeight="1" thickBot="1">
      <c r="H3511" s="462"/>
      <c r="I3511" s="252"/>
      <c r="J3511" s="253"/>
      <c r="K3511" s="463"/>
      <c r="L3511" s="251"/>
      <c r="M3511" s="254"/>
      <c r="N3511" s="255"/>
      <c r="O3511" s="464"/>
    </row>
    <row r="3512" spans="8:15" ht="15" customHeight="1">
      <c r="H3512" s="873"/>
      <c r="I3512" s="875"/>
      <c r="J3512" s="877"/>
      <c r="K3512" s="879"/>
      <c r="L3512" s="881"/>
      <c r="M3512" s="883"/>
      <c r="N3512" s="55">
        <v>719</v>
      </c>
      <c r="O3512" s="78"/>
    </row>
    <row r="3513" spans="8:15" ht="15.75" customHeight="1" thickBot="1">
      <c r="H3513" s="874"/>
      <c r="I3513" s="876"/>
      <c r="J3513" s="878"/>
      <c r="K3513" s="880"/>
      <c r="L3513" s="882"/>
      <c r="M3513" s="884"/>
      <c r="N3513" s="56">
        <v>722</v>
      </c>
      <c r="O3513" s="352"/>
    </row>
    <row r="3514" spans="8:15" ht="15" customHeight="1">
      <c r="H3514" s="873"/>
      <c r="I3514" s="875"/>
      <c r="J3514" s="877"/>
      <c r="K3514" s="879"/>
      <c r="L3514" s="881"/>
      <c r="M3514" s="883"/>
      <c r="N3514" s="55">
        <v>719</v>
      </c>
      <c r="O3514" s="78"/>
    </row>
    <row r="3515" spans="8:15" ht="15.75" customHeight="1" thickBot="1">
      <c r="H3515" s="874"/>
      <c r="I3515" s="876"/>
      <c r="J3515" s="878"/>
      <c r="K3515" s="880"/>
      <c r="L3515" s="882"/>
      <c r="M3515" s="884"/>
      <c r="N3515" s="56">
        <v>722</v>
      </c>
      <c r="O3515" s="79">
        <f>+M3514-O3514</f>
        <v>0</v>
      </c>
    </row>
    <row r="3516" spans="8:15" ht="16.5" thickBot="1">
      <c r="H3516" s="901" t="s">
        <v>102</v>
      </c>
      <c r="I3516" s="902"/>
      <c r="J3516" s="902"/>
      <c r="K3516" s="902"/>
      <c r="L3516" s="903"/>
      <c r="M3516" s="81">
        <f>SUM(M3504:M3515)</f>
        <v>-18680269</v>
      </c>
    </row>
    <row r="3517" spans="8:15" ht="16.5" thickBot="1">
      <c r="H3517" s="885" t="s">
        <v>103</v>
      </c>
      <c r="I3517" s="886"/>
      <c r="J3517" s="886"/>
      <c r="K3517" s="886"/>
      <c r="L3517" s="887"/>
      <c r="M3517" s="69">
        <f>+M3478</f>
        <v>762678119</v>
      </c>
      <c r="N3517" s="241" t="s">
        <v>561</v>
      </c>
      <c r="O3517" s="242"/>
    </row>
    <row r="3518" spans="8:15" ht="16.5" thickBot="1">
      <c r="H3518" s="888" t="s">
        <v>104</v>
      </c>
      <c r="I3518" s="889"/>
      <c r="J3518" s="889"/>
      <c r="K3518" s="889"/>
      <c r="L3518" s="890"/>
      <c r="M3518" s="183">
        <f>SUM(M3516:M3517)</f>
        <v>743997850</v>
      </c>
    </row>
    <row r="3519" spans="8:15">
      <c r="H3519" s="61"/>
      <c r="I3519" s="61"/>
      <c r="J3519" s="61"/>
      <c r="K3519" s="61"/>
      <c r="L3519" s="61"/>
    </row>
    <row r="3520" spans="8:15">
      <c r="H3520" s="51" t="s">
        <v>1319</v>
      </c>
    </row>
    <row r="3521" spans="8:14">
      <c r="M3521" s="139"/>
    </row>
    <row r="3522" spans="8:14">
      <c r="H3522" s="50" t="s">
        <v>105</v>
      </c>
      <c r="K3522" s="146"/>
      <c r="M3522" s="139"/>
    </row>
    <row r="3523" spans="8:14" ht="15.75" thickBot="1"/>
    <row r="3524" spans="8:14" ht="15.75" thickBot="1">
      <c r="H3524" s="891" t="s">
        <v>106</v>
      </c>
      <c r="I3524" s="892"/>
      <c r="J3524" s="892"/>
      <c r="K3524" s="893"/>
      <c r="M3524" s="50" t="s">
        <v>288</v>
      </c>
    </row>
    <row r="3525" spans="8:14" ht="30.75" thickBot="1">
      <c r="H3525" s="57" t="s">
        <v>100</v>
      </c>
      <c r="I3525" s="58" t="s">
        <v>108</v>
      </c>
      <c r="J3525" s="287" t="s">
        <v>109</v>
      </c>
      <c r="K3525" s="60" t="s">
        <v>110</v>
      </c>
    </row>
    <row r="3526" spans="8:14">
      <c r="H3526" s="71">
        <v>719</v>
      </c>
      <c r="I3526" s="73">
        <f>+O3504+O3506+O3514</f>
        <v>0</v>
      </c>
      <c r="J3526" s="74">
        <f>+K3486</f>
        <v>74600000</v>
      </c>
      <c r="K3526" s="195">
        <f>+I3526+J3526</f>
        <v>74600000</v>
      </c>
    </row>
    <row r="3527" spans="8:14">
      <c r="H3527" s="72">
        <v>721</v>
      </c>
      <c r="I3527" s="80">
        <f>+O3505+O3507</f>
        <v>-18680269</v>
      </c>
      <c r="J3527" s="74">
        <f>+K3487</f>
        <v>301267309</v>
      </c>
      <c r="K3527" s="195">
        <f>+I3527+J3527</f>
        <v>282587040</v>
      </c>
    </row>
    <row r="3528" spans="8:14" ht="15.75">
      <c r="H3528" s="72">
        <v>722</v>
      </c>
      <c r="I3528" s="80"/>
      <c r="J3528" s="74">
        <f>+K3488</f>
        <v>62011494</v>
      </c>
      <c r="K3528" s="195">
        <f>+I3528+J3528</f>
        <v>62011494</v>
      </c>
      <c r="M3528" s="193" t="s">
        <v>1125</v>
      </c>
    </row>
    <row r="3529" spans="8:14" ht="15.75">
      <c r="H3529" s="72">
        <v>723</v>
      </c>
      <c r="I3529" s="80"/>
      <c r="J3529" s="74">
        <f>+K3489</f>
        <v>323931816</v>
      </c>
      <c r="K3529" s="195">
        <f>+I3529+J3529</f>
        <v>323931816</v>
      </c>
      <c r="M3529" s="193"/>
      <c r="N3529" s="175"/>
    </row>
    <row r="3530" spans="8:14" ht="16.5" thickBot="1">
      <c r="H3530" s="164" t="s">
        <v>1077</v>
      </c>
      <c r="I3530" s="165"/>
      <c r="J3530" s="74">
        <f>+K3490</f>
        <v>797500</v>
      </c>
      <c r="K3530" s="196">
        <f>+I3530+J3530</f>
        <v>797500</v>
      </c>
      <c r="M3530" s="52"/>
    </row>
    <row r="3531" spans="8:14" ht="16.5" thickBot="1">
      <c r="H3531" s="169"/>
      <c r="I3531" s="197">
        <f>SUM(I3526:I3530)</f>
        <v>-18680269</v>
      </c>
      <c r="J3531" s="197">
        <f>SUM(J3526:J3530)</f>
        <v>762608119</v>
      </c>
      <c r="K3531" s="198">
        <f>SUM(K3526:K3530)</f>
        <v>743927850</v>
      </c>
    </row>
    <row r="3532" spans="8:14" ht="15.75">
      <c r="H3532" s="397"/>
      <c r="I3532" s="398"/>
      <c r="J3532" s="398"/>
      <c r="K3532" s="399"/>
    </row>
    <row r="3533" spans="8:14" ht="16.5">
      <c r="H3533" s="49" t="s">
        <v>88</v>
      </c>
      <c r="I3533" s="50"/>
    </row>
    <row r="3534" spans="8:14">
      <c r="H3534" s="51" t="s">
        <v>89</v>
      </c>
    </row>
    <row r="3535" spans="8:14">
      <c r="H3535" s="51" t="s">
        <v>90</v>
      </c>
    </row>
    <row r="3536" spans="8:14">
      <c r="H3536" s="51" t="s">
        <v>91</v>
      </c>
    </row>
    <row r="3537" spans="8:15">
      <c r="H3537" s="50"/>
      <c r="I3537" s="50"/>
    </row>
    <row r="3538" spans="8:15" ht="15.75">
      <c r="H3538" s="260" t="s">
        <v>1322</v>
      </c>
      <c r="N3538" s="52"/>
    </row>
    <row r="3539" spans="8:15" ht="15.75">
      <c r="H3539" s="53" t="s">
        <v>535</v>
      </c>
      <c r="N3539" s="53"/>
    </row>
    <row r="3540" spans="8:15" ht="16.5">
      <c r="H3540" s="894" t="s">
        <v>1328</v>
      </c>
      <c r="I3540" s="894"/>
      <c r="J3540" s="894"/>
      <c r="K3540" s="894"/>
      <c r="L3540" s="894"/>
      <c r="M3540" s="894"/>
      <c r="N3540" s="894"/>
      <c r="O3540" s="894"/>
    </row>
    <row r="3541" spans="8:15" ht="15.75" thickBot="1"/>
    <row r="3542" spans="8:15">
      <c r="H3542" s="895" t="s">
        <v>94</v>
      </c>
      <c r="I3542" s="897" t="s">
        <v>95</v>
      </c>
      <c r="J3542" s="897" t="s">
        <v>96</v>
      </c>
      <c r="K3542" s="897" t="s">
        <v>3</v>
      </c>
      <c r="L3542" s="897" t="s">
        <v>97</v>
      </c>
      <c r="M3542" s="897" t="s">
        <v>98</v>
      </c>
      <c r="N3542" s="897" t="s">
        <v>99</v>
      </c>
      <c r="O3542" s="899"/>
    </row>
    <row r="3543" spans="8:15" ht="15.75" thickBot="1">
      <c r="H3543" s="896"/>
      <c r="I3543" s="898"/>
      <c r="J3543" s="898"/>
      <c r="K3543" s="898"/>
      <c r="L3543" s="898"/>
      <c r="M3543" s="898"/>
      <c r="N3543" s="240" t="s">
        <v>100</v>
      </c>
      <c r="O3543" s="182" t="s">
        <v>101</v>
      </c>
    </row>
    <row r="3544" spans="8:15">
      <c r="H3544" s="873" t="s">
        <v>1323</v>
      </c>
      <c r="I3544" s="875">
        <v>42735</v>
      </c>
      <c r="J3544" s="877" t="s">
        <v>1267</v>
      </c>
      <c r="K3544" s="879" t="s">
        <v>1325</v>
      </c>
      <c r="L3544" s="881" t="s">
        <v>145</v>
      </c>
      <c r="M3544" s="883">
        <v>3379917</v>
      </c>
      <c r="N3544" s="55">
        <v>719</v>
      </c>
      <c r="O3544" s="78"/>
    </row>
    <row r="3545" spans="8:15" ht="15.75" thickBot="1">
      <c r="H3545" s="874"/>
      <c r="I3545" s="876"/>
      <c r="J3545" s="900"/>
      <c r="K3545" s="880"/>
      <c r="L3545" s="882"/>
      <c r="M3545" s="884"/>
      <c r="N3545" s="56">
        <v>721</v>
      </c>
      <c r="O3545" s="351">
        <f>+M3544-O3544</f>
        <v>3379917</v>
      </c>
    </row>
    <row r="3546" spans="8:15">
      <c r="H3546" s="873" t="s">
        <v>1324</v>
      </c>
      <c r="I3546" s="875">
        <v>42735</v>
      </c>
      <c r="J3546" s="900"/>
      <c r="K3546" s="879" t="s">
        <v>1326</v>
      </c>
      <c r="L3546" s="881" t="s">
        <v>145</v>
      </c>
      <c r="M3546" s="883">
        <v>1673382</v>
      </c>
      <c r="N3546" s="55">
        <v>719</v>
      </c>
      <c r="O3546" s="78"/>
    </row>
    <row r="3547" spans="8:15" ht="15.75" thickBot="1">
      <c r="H3547" s="874"/>
      <c r="I3547" s="876"/>
      <c r="J3547" s="878"/>
      <c r="K3547" s="880"/>
      <c r="L3547" s="882"/>
      <c r="M3547" s="884"/>
      <c r="N3547" s="56">
        <v>721</v>
      </c>
      <c r="O3547" s="352">
        <f>+M3546-O3546</f>
        <v>1673382</v>
      </c>
    </row>
    <row r="3548" spans="8:15" ht="16.5">
      <c r="H3548" s="462"/>
      <c r="I3548" s="252"/>
      <c r="J3548" s="253"/>
      <c r="K3548" s="463"/>
      <c r="L3548" s="251"/>
      <c r="M3548" s="254"/>
      <c r="N3548" s="255"/>
      <c r="O3548" s="464"/>
    </row>
    <row r="3549" spans="8:15" ht="16.5">
      <c r="H3549" s="462"/>
      <c r="I3549" s="252"/>
      <c r="J3549" s="253"/>
      <c r="K3549" s="463"/>
      <c r="L3549" s="251"/>
      <c r="M3549" s="254"/>
      <c r="N3549" s="255"/>
      <c r="O3549" s="464"/>
    </row>
    <row r="3550" spans="8:15" ht="16.5">
      <c r="H3550" s="462"/>
      <c r="I3550" s="252"/>
      <c r="J3550" s="253"/>
      <c r="K3550" s="463"/>
      <c r="L3550" s="251"/>
      <c r="M3550" s="254"/>
      <c r="N3550" s="255"/>
      <c r="O3550" s="464"/>
    </row>
    <row r="3551" spans="8:15" ht="16.5">
      <c r="H3551" s="462"/>
      <c r="I3551" s="252"/>
      <c r="J3551" s="253"/>
      <c r="K3551" s="463"/>
      <c r="L3551" s="251"/>
      <c r="M3551" s="254"/>
      <c r="N3551" s="255"/>
      <c r="O3551" s="464"/>
    </row>
    <row r="3552" spans="8:15" ht="16.5">
      <c r="H3552" s="462"/>
      <c r="I3552" s="252"/>
      <c r="J3552" s="253"/>
      <c r="K3552" s="463"/>
      <c r="L3552" s="251"/>
      <c r="M3552" s="254"/>
      <c r="N3552" s="255"/>
      <c r="O3552" s="464"/>
    </row>
    <row r="3553" spans="8:15" ht="16.5">
      <c r="H3553" s="462"/>
      <c r="I3553" s="252"/>
      <c r="J3553" s="253"/>
      <c r="K3553" s="463"/>
      <c r="L3553" s="251"/>
      <c r="M3553" s="254"/>
      <c r="N3553" s="255"/>
      <c r="O3553" s="464"/>
    </row>
    <row r="3554" spans="8:15" ht="16.5">
      <c r="H3554" s="462"/>
      <c r="I3554" s="252"/>
      <c r="J3554" s="253"/>
      <c r="K3554" s="463"/>
      <c r="L3554" s="251"/>
      <c r="M3554" s="254"/>
      <c r="N3554" s="255"/>
      <c r="O3554" s="464"/>
    </row>
    <row r="3555" spans="8:15" ht="16.5">
      <c r="H3555" s="462"/>
      <c r="I3555" s="252"/>
      <c r="J3555" s="253"/>
      <c r="K3555" s="463"/>
      <c r="L3555" s="251"/>
      <c r="M3555" s="254"/>
      <c r="N3555" s="255"/>
      <c r="O3555" s="464"/>
    </row>
    <row r="3556" spans="8:15" ht="16.5">
      <c r="H3556" s="462"/>
      <c r="I3556" s="252"/>
      <c r="J3556" s="253"/>
      <c r="K3556" s="463"/>
      <c r="L3556" s="251"/>
      <c r="M3556" s="254"/>
      <c r="N3556" s="255"/>
      <c r="O3556" s="464"/>
    </row>
    <row r="3557" spans="8:15" ht="16.5">
      <c r="H3557" s="462"/>
      <c r="I3557" s="252"/>
      <c r="J3557" s="253"/>
      <c r="K3557" s="463"/>
      <c r="L3557" s="251"/>
      <c r="M3557" s="254"/>
      <c r="N3557" s="255"/>
      <c r="O3557" s="464"/>
    </row>
    <row r="3558" spans="8:15" ht="16.5">
      <c r="H3558" s="462"/>
      <c r="I3558" s="252"/>
      <c r="J3558" s="253"/>
      <c r="K3558" s="463"/>
      <c r="L3558" s="251"/>
      <c r="M3558" s="254"/>
      <c r="N3558" s="255"/>
      <c r="O3558" s="464"/>
    </row>
    <row r="3559" spans="8:15" ht="17.25" thickBot="1">
      <c r="H3559" s="462"/>
      <c r="I3559" s="252"/>
      <c r="J3559" s="253"/>
      <c r="K3559" s="463"/>
      <c r="L3559" s="251"/>
      <c r="M3559" s="254"/>
      <c r="N3559" s="255"/>
      <c r="O3559" s="464"/>
    </row>
    <row r="3560" spans="8:15" ht="15" customHeight="1">
      <c r="H3560" s="873"/>
      <c r="I3560" s="875"/>
      <c r="J3560" s="877"/>
      <c r="K3560" s="879"/>
      <c r="L3560" s="881"/>
      <c r="M3560" s="883"/>
      <c r="N3560" s="55">
        <v>719</v>
      </c>
      <c r="O3560" s="78"/>
    </row>
    <row r="3561" spans="8:15" ht="15.75" customHeight="1" thickBot="1">
      <c r="H3561" s="874"/>
      <c r="I3561" s="876"/>
      <c r="J3561" s="878"/>
      <c r="K3561" s="880"/>
      <c r="L3561" s="882"/>
      <c r="M3561" s="884"/>
      <c r="N3561" s="56">
        <v>722</v>
      </c>
      <c r="O3561" s="352"/>
    </row>
    <row r="3562" spans="8:15" ht="15" customHeight="1">
      <c r="H3562" s="873"/>
      <c r="I3562" s="875"/>
      <c r="J3562" s="877"/>
      <c r="K3562" s="879"/>
      <c r="L3562" s="881"/>
      <c r="M3562" s="883"/>
      <c r="N3562" s="55">
        <v>719</v>
      </c>
      <c r="O3562" s="78"/>
    </row>
    <row r="3563" spans="8:15" ht="15.75" customHeight="1" thickBot="1">
      <c r="H3563" s="874"/>
      <c r="I3563" s="876"/>
      <c r="J3563" s="878"/>
      <c r="K3563" s="880"/>
      <c r="L3563" s="882"/>
      <c r="M3563" s="884"/>
      <c r="N3563" s="56">
        <v>722</v>
      </c>
      <c r="O3563" s="79">
        <f>+M3562-O3562</f>
        <v>0</v>
      </c>
    </row>
    <row r="3564" spans="8:15" ht="16.5" thickBot="1">
      <c r="H3564" s="901" t="s">
        <v>102</v>
      </c>
      <c r="I3564" s="902"/>
      <c r="J3564" s="902"/>
      <c r="K3564" s="902"/>
      <c r="L3564" s="903"/>
      <c r="M3564" s="81">
        <f>SUM(M3544:M3563)</f>
        <v>5053299</v>
      </c>
    </row>
    <row r="3565" spans="8:15" ht="16.5" thickBot="1">
      <c r="H3565" s="885" t="s">
        <v>103</v>
      </c>
      <c r="I3565" s="886"/>
      <c r="J3565" s="886"/>
      <c r="K3565" s="886"/>
      <c r="L3565" s="887"/>
      <c r="M3565" s="69">
        <f>+M3518</f>
        <v>743997850</v>
      </c>
      <c r="N3565" s="241" t="s">
        <v>561</v>
      </c>
      <c r="O3565" s="242"/>
    </row>
    <row r="3566" spans="8:15" ht="16.5" thickBot="1">
      <c r="H3566" s="888" t="s">
        <v>104</v>
      </c>
      <c r="I3566" s="889"/>
      <c r="J3566" s="889"/>
      <c r="K3566" s="889"/>
      <c r="L3566" s="890"/>
      <c r="M3566" s="183">
        <f>SUM(M3564:M3565)</f>
        <v>749051149</v>
      </c>
    </row>
    <row r="3567" spans="8:15">
      <c r="H3567" s="61"/>
      <c r="I3567" s="61"/>
      <c r="J3567" s="61"/>
      <c r="K3567" s="61"/>
      <c r="L3567" s="61"/>
    </row>
    <row r="3568" spans="8:15">
      <c r="H3568" s="51" t="s">
        <v>1327</v>
      </c>
    </row>
    <row r="3569" spans="8:14">
      <c r="M3569" s="139"/>
    </row>
    <row r="3570" spans="8:14">
      <c r="H3570" s="50" t="s">
        <v>105</v>
      </c>
      <c r="K3570" s="146"/>
      <c r="M3570" s="139"/>
    </row>
    <row r="3571" spans="8:14" ht="15.75" thickBot="1"/>
    <row r="3572" spans="8:14" ht="15.75" thickBot="1">
      <c r="H3572" s="891" t="s">
        <v>106</v>
      </c>
      <c r="I3572" s="892"/>
      <c r="J3572" s="892"/>
      <c r="K3572" s="893"/>
      <c r="M3572" s="50" t="s">
        <v>288</v>
      </c>
    </row>
    <row r="3573" spans="8:14" ht="30.75" thickBot="1">
      <c r="H3573" s="57" t="s">
        <v>100</v>
      </c>
      <c r="I3573" s="58" t="s">
        <v>108</v>
      </c>
      <c r="J3573" s="287" t="s">
        <v>109</v>
      </c>
      <c r="K3573" s="60" t="s">
        <v>110</v>
      </c>
    </row>
    <row r="3574" spans="8:14">
      <c r="H3574" s="71">
        <v>719</v>
      </c>
      <c r="I3574" s="73">
        <f>+O3544+O3546+O3562</f>
        <v>0</v>
      </c>
      <c r="J3574" s="74">
        <f>+K3526</f>
        <v>74600000</v>
      </c>
      <c r="K3574" s="195">
        <f>+I3574+J3574</f>
        <v>74600000</v>
      </c>
    </row>
    <row r="3575" spans="8:14">
      <c r="H3575" s="72">
        <v>721</v>
      </c>
      <c r="I3575" s="80">
        <f>+O3545+O3547</f>
        <v>5053299</v>
      </c>
      <c r="J3575" s="74">
        <f>+K3527</f>
        <v>282587040</v>
      </c>
      <c r="K3575" s="195">
        <f>+I3575+J3575</f>
        <v>287640339</v>
      </c>
    </row>
    <row r="3576" spans="8:14" ht="15.75">
      <c r="H3576" s="72">
        <v>722</v>
      </c>
      <c r="I3576" s="80"/>
      <c r="J3576" s="74">
        <f>+K3528</f>
        <v>62011494</v>
      </c>
      <c r="K3576" s="195">
        <f>+I3576+J3576</f>
        <v>62011494</v>
      </c>
      <c r="M3576" s="193" t="s">
        <v>23</v>
      </c>
    </row>
    <row r="3577" spans="8:14" ht="15.75">
      <c r="H3577" s="72">
        <v>723</v>
      </c>
      <c r="I3577" s="80"/>
      <c r="J3577" s="74">
        <f>+K3529</f>
        <v>323931816</v>
      </c>
      <c r="K3577" s="195">
        <f>+I3577+J3577</f>
        <v>323931816</v>
      </c>
      <c r="M3577" s="193"/>
      <c r="N3577" s="175"/>
    </row>
    <row r="3578" spans="8:14" ht="16.5" thickBot="1">
      <c r="H3578" s="164" t="s">
        <v>1077</v>
      </c>
      <c r="I3578" s="165"/>
      <c r="J3578" s="74">
        <f>+K3530</f>
        <v>797500</v>
      </c>
      <c r="K3578" s="196">
        <f>+I3578+J3578</f>
        <v>797500</v>
      </c>
      <c r="M3578" s="52"/>
    </row>
    <row r="3579" spans="8:14" ht="16.5" thickBot="1">
      <c r="H3579" s="169"/>
      <c r="I3579" s="197">
        <f>SUM(I3574:I3578)</f>
        <v>5053299</v>
      </c>
      <c r="J3579" s="197">
        <f>SUM(J3574:J3578)</f>
        <v>743927850</v>
      </c>
      <c r="K3579" s="198">
        <f>SUM(K3574:K3578)</f>
        <v>748981149</v>
      </c>
    </row>
    <row r="3580" spans="8:14" ht="16.5">
      <c r="H3580" s="49" t="s">
        <v>88</v>
      </c>
      <c r="I3580" s="50"/>
    </row>
    <row r="3581" spans="8:14">
      <c r="H3581" s="51" t="s">
        <v>89</v>
      </c>
    </row>
    <row r="3582" spans="8:14">
      <c r="H3582" s="51" t="s">
        <v>90</v>
      </c>
    </row>
    <row r="3583" spans="8:14">
      <c r="H3583" s="51" t="s">
        <v>91</v>
      </c>
    </row>
    <row r="3584" spans="8:14" ht="10.5" customHeight="1">
      <c r="H3584" s="50"/>
      <c r="I3584" s="50"/>
    </row>
    <row r="3585" spans="8:15" ht="15.75">
      <c r="H3585" s="260" t="s">
        <v>1699</v>
      </c>
      <c r="N3585" s="52"/>
    </row>
    <row r="3586" spans="8:15" ht="15.75">
      <c r="H3586" s="53" t="s">
        <v>1623</v>
      </c>
      <c r="N3586" s="53"/>
    </row>
    <row r="3587" spans="8:15" ht="16.5">
      <c r="H3587" s="894" t="s">
        <v>1700</v>
      </c>
      <c r="I3587" s="894"/>
      <c r="J3587" s="894"/>
      <c r="K3587" s="894"/>
      <c r="L3587" s="894"/>
      <c r="M3587" s="894"/>
      <c r="N3587" s="894"/>
      <c r="O3587" s="894"/>
    </row>
    <row r="3588" spans="8:15" ht="15.75" thickBot="1"/>
    <row r="3589" spans="8:15">
      <c r="H3589" s="895" t="s">
        <v>94</v>
      </c>
      <c r="I3589" s="897" t="s">
        <v>95</v>
      </c>
      <c r="J3589" s="897" t="s">
        <v>96</v>
      </c>
      <c r="K3589" s="897" t="s">
        <v>3</v>
      </c>
      <c r="L3589" s="897" t="s">
        <v>97</v>
      </c>
      <c r="M3589" s="897" t="s">
        <v>98</v>
      </c>
      <c r="N3589" s="897" t="s">
        <v>99</v>
      </c>
      <c r="O3589" s="899"/>
    </row>
    <row r="3590" spans="8:15" ht="15.75" thickBot="1">
      <c r="H3590" s="896"/>
      <c r="I3590" s="898"/>
      <c r="J3590" s="898"/>
      <c r="K3590" s="898"/>
      <c r="L3590" s="898"/>
      <c r="M3590" s="898"/>
      <c r="N3590" s="240" t="s">
        <v>100</v>
      </c>
      <c r="O3590" s="182" t="s">
        <v>101</v>
      </c>
    </row>
    <row r="3591" spans="8:15">
      <c r="H3591" s="873" t="s">
        <v>1698</v>
      </c>
      <c r="I3591" s="875">
        <v>43464</v>
      </c>
      <c r="J3591" s="877" t="s">
        <v>815</v>
      </c>
      <c r="K3591" s="879" t="s">
        <v>1697</v>
      </c>
      <c r="L3591" s="881" t="s">
        <v>115</v>
      </c>
      <c r="M3591" s="883">
        <v>681500</v>
      </c>
      <c r="N3591" s="55">
        <v>719</v>
      </c>
      <c r="O3591" s="78">
        <v>517000</v>
      </c>
    </row>
    <row r="3592" spans="8:15" ht="15.75" thickBot="1">
      <c r="H3592" s="874"/>
      <c r="I3592" s="876"/>
      <c r="J3592" s="900"/>
      <c r="K3592" s="880"/>
      <c r="L3592" s="882"/>
      <c r="M3592" s="884"/>
      <c r="N3592" s="56">
        <v>721</v>
      </c>
      <c r="O3592" s="351">
        <f>+M3591-O3591</f>
        <v>164500</v>
      </c>
    </row>
    <row r="3593" spans="8:15" ht="15" customHeight="1">
      <c r="H3593" s="873"/>
      <c r="I3593" s="875"/>
      <c r="J3593" s="877"/>
      <c r="K3593" s="879"/>
      <c r="L3593" s="881"/>
      <c r="M3593" s="883"/>
      <c r="N3593" s="55">
        <v>719</v>
      </c>
      <c r="O3593" s="78"/>
    </row>
    <row r="3594" spans="8:15" ht="15.75" customHeight="1" thickBot="1">
      <c r="H3594" s="874"/>
      <c r="I3594" s="876"/>
      <c r="J3594" s="878"/>
      <c r="K3594" s="880"/>
      <c r="L3594" s="882"/>
      <c r="M3594" s="884"/>
      <c r="N3594" s="56">
        <v>722</v>
      </c>
      <c r="O3594" s="352">
        <f>+M3593-O3593</f>
        <v>0</v>
      </c>
    </row>
    <row r="3595" spans="8:15">
      <c r="H3595" s="873"/>
      <c r="I3595" s="875"/>
      <c r="J3595" s="877"/>
      <c r="K3595" s="879"/>
      <c r="L3595" s="881"/>
      <c r="M3595" s="883"/>
      <c r="N3595" s="55">
        <v>719</v>
      </c>
      <c r="O3595" s="78"/>
    </row>
    <row r="3596" spans="8:15" ht="15.75" thickBot="1">
      <c r="H3596" s="874"/>
      <c r="I3596" s="876"/>
      <c r="J3596" s="878"/>
      <c r="K3596" s="880"/>
      <c r="L3596" s="882"/>
      <c r="M3596" s="884"/>
      <c r="N3596" s="56">
        <v>722</v>
      </c>
      <c r="O3596" s="79">
        <f>+M3595-O3595</f>
        <v>0</v>
      </c>
    </row>
    <row r="3597" spans="8:15" ht="16.5" thickBot="1">
      <c r="H3597" s="901" t="s">
        <v>102</v>
      </c>
      <c r="I3597" s="902"/>
      <c r="J3597" s="902"/>
      <c r="K3597" s="902"/>
      <c r="L3597" s="903"/>
      <c r="M3597" s="81">
        <f>SUM(M3591:M3596)</f>
        <v>681500</v>
      </c>
    </row>
    <row r="3598" spans="8:15" ht="16.5" thickBot="1">
      <c r="H3598" s="885" t="s">
        <v>103</v>
      </c>
      <c r="I3598" s="886"/>
      <c r="J3598" s="886"/>
      <c r="K3598" s="886"/>
      <c r="L3598" s="887"/>
      <c r="M3598" s="69">
        <v>514609750</v>
      </c>
      <c r="N3598" s="241" t="s">
        <v>561</v>
      </c>
      <c r="O3598" s="242">
        <v>904</v>
      </c>
    </row>
    <row r="3599" spans="8:15" ht="16.5" thickBot="1">
      <c r="H3599" s="888" t="s">
        <v>104</v>
      </c>
      <c r="I3599" s="889"/>
      <c r="J3599" s="889"/>
      <c r="K3599" s="889"/>
      <c r="L3599" s="890"/>
      <c r="M3599" s="183">
        <f>SUM(M3597:M3598)</f>
        <v>515291250</v>
      </c>
    </row>
    <row r="3600" spans="8:15">
      <c r="H3600" s="61"/>
      <c r="I3600" s="61"/>
      <c r="J3600" s="61"/>
      <c r="K3600" s="61"/>
      <c r="L3600" s="61"/>
    </row>
    <row r="3601" spans="8:17">
      <c r="H3601" s="51" t="s">
        <v>1701</v>
      </c>
    </row>
    <row r="3602" spans="8:17" ht="9.75" customHeight="1">
      <c r="M3602" s="139"/>
    </row>
    <row r="3603" spans="8:17">
      <c r="H3603" s="50" t="s">
        <v>105</v>
      </c>
      <c r="K3603" s="146"/>
      <c r="M3603" s="139"/>
    </row>
    <row r="3604" spans="8:17" ht="11.25" customHeight="1" thickBot="1"/>
    <row r="3605" spans="8:17" ht="15.75" thickBot="1">
      <c r="H3605" s="891" t="s">
        <v>106</v>
      </c>
      <c r="I3605" s="892"/>
      <c r="J3605" s="892"/>
      <c r="K3605" s="893"/>
      <c r="M3605" s="50" t="s">
        <v>288</v>
      </c>
    </row>
    <row r="3606" spans="8:17" ht="30.75" thickBot="1">
      <c r="H3606" s="57" t="s">
        <v>100</v>
      </c>
      <c r="I3606" s="58" t="s">
        <v>108</v>
      </c>
      <c r="J3606" s="287" t="s">
        <v>109</v>
      </c>
      <c r="K3606" s="60" t="s">
        <v>110</v>
      </c>
    </row>
    <row r="3607" spans="8:17">
      <c r="H3607" s="71">
        <v>719</v>
      </c>
      <c r="I3607" s="73">
        <f>+O3591+O3593+O3595</f>
        <v>517000</v>
      </c>
      <c r="J3607" s="74">
        <v>27970000</v>
      </c>
      <c r="K3607" s="195">
        <f>+I3607+J3607</f>
        <v>28487000</v>
      </c>
    </row>
    <row r="3608" spans="8:17">
      <c r="H3608" s="72">
        <v>721</v>
      </c>
      <c r="I3608" s="80">
        <f>+O3592</f>
        <v>164500</v>
      </c>
      <c r="J3608" s="74">
        <v>90116743</v>
      </c>
      <c r="K3608" s="195">
        <f>+I3608+J3608</f>
        <v>90281243</v>
      </c>
    </row>
    <row r="3609" spans="8:17" ht="15.75">
      <c r="H3609" s="72">
        <v>722</v>
      </c>
      <c r="I3609" s="80">
        <f>+O3594</f>
        <v>0</v>
      </c>
      <c r="J3609" s="74">
        <v>30732180</v>
      </c>
      <c r="K3609" s="195">
        <f>+I3609+J3609</f>
        <v>30732180</v>
      </c>
      <c r="M3609" s="872" t="s">
        <v>1696</v>
      </c>
      <c r="N3609" s="872"/>
    </row>
    <row r="3610" spans="8:17" ht="16.5" thickBot="1">
      <c r="H3610" s="72">
        <v>723</v>
      </c>
      <c r="I3610" s="80"/>
      <c r="J3610" s="74">
        <v>365790827</v>
      </c>
      <c r="K3610" s="195">
        <f>+I3610+J3610</f>
        <v>365790827</v>
      </c>
      <c r="M3610" s="193"/>
      <c r="N3610" s="175"/>
    </row>
    <row r="3611" spans="8:17" ht="16.5" hidden="1" thickBot="1">
      <c r="H3611" s="164" t="s">
        <v>1077</v>
      </c>
      <c r="I3611" s="165"/>
      <c r="J3611" s="74"/>
      <c r="K3611" s="196">
        <f>+I3611+J3611</f>
        <v>0</v>
      </c>
      <c r="M3611" s="52"/>
    </row>
    <row r="3612" spans="8:17" ht="16.5" thickBot="1">
      <c r="H3612" s="169"/>
      <c r="I3612" s="197">
        <f>SUM(I3607:I3611)</f>
        <v>681500</v>
      </c>
      <c r="J3612" s="197">
        <f>SUM(J3607:J3611)</f>
        <v>514609750</v>
      </c>
      <c r="K3612" s="198">
        <f>SUM(K3607:K3611)</f>
        <v>515291250</v>
      </c>
    </row>
    <row r="3613" spans="8:17">
      <c r="Q3613" s="139">
        <f>+J3607+J3608+J3609+J3610</f>
        <v>514609750</v>
      </c>
    </row>
  </sheetData>
  <mergeCells count="5619">
    <mergeCell ref="H320:H321"/>
    <mergeCell ref="I320:I321"/>
    <mergeCell ref="J320:J321"/>
    <mergeCell ref="K320:K321"/>
    <mergeCell ref="L320:L321"/>
    <mergeCell ref="M320:M321"/>
    <mergeCell ref="H3597:L3597"/>
    <mergeCell ref="H3598:L3598"/>
    <mergeCell ref="H3599:L3599"/>
    <mergeCell ref="H3605:K3605"/>
    <mergeCell ref="M3609:N3609"/>
    <mergeCell ref="H3595:H3596"/>
    <mergeCell ref="I3595:I3596"/>
    <mergeCell ref="J3595:J3596"/>
    <mergeCell ref="K3595:K3596"/>
    <mergeCell ref="L3595:L3596"/>
    <mergeCell ref="M3595:M3596"/>
    <mergeCell ref="H3593:H3594"/>
    <mergeCell ref="I3593:I3594"/>
    <mergeCell ref="J3593:J3594"/>
    <mergeCell ref="K3593:K3594"/>
    <mergeCell ref="L3593:L3594"/>
    <mergeCell ref="M3593:M3594"/>
    <mergeCell ref="M3589:M3590"/>
    <mergeCell ref="N3589:O3589"/>
    <mergeCell ref="H3591:H3592"/>
    <mergeCell ref="I3591:I3592"/>
    <mergeCell ref="J3591:J3592"/>
    <mergeCell ref="K3591:K3592"/>
    <mergeCell ref="L3591:L3592"/>
    <mergeCell ref="M3591:M3592"/>
    <mergeCell ref="H3564:L3564"/>
    <mergeCell ref="H3565:L3565"/>
    <mergeCell ref="H3566:L3566"/>
    <mergeCell ref="H3572:K3572"/>
    <mergeCell ref="H3587:O3587"/>
    <mergeCell ref="H3589:H3590"/>
    <mergeCell ref="I3589:I3590"/>
    <mergeCell ref="J3589:J3590"/>
    <mergeCell ref="K3589:K3590"/>
    <mergeCell ref="L3589:L3590"/>
    <mergeCell ref="H3562:H3563"/>
    <mergeCell ref="I3562:I3563"/>
    <mergeCell ref="J3562:J3563"/>
    <mergeCell ref="K3562:K3563"/>
    <mergeCell ref="L3562:L3563"/>
    <mergeCell ref="M3562:M3563"/>
    <mergeCell ref="K3546:K3547"/>
    <mergeCell ref="L3546:L3547"/>
    <mergeCell ref="M3546:M3547"/>
    <mergeCell ref="H3560:H3561"/>
    <mergeCell ref="I3560:I3561"/>
    <mergeCell ref="J3560:J3561"/>
    <mergeCell ref="K3560:K3561"/>
    <mergeCell ref="L3560:L3561"/>
    <mergeCell ref="M3560:M3561"/>
    <mergeCell ref="M3542:M3543"/>
    <mergeCell ref="N3542:O3542"/>
    <mergeCell ref="H3544:H3545"/>
    <mergeCell ref="I3544:I3545"/>
    <mergeCell ref="J3544:J3547"/>
    <mergeCell ref="K3544:K3545"/>
    <mergeCell ref="L3544:L3545"/>
    <mergeCell ref="M3544:M3545"/>
    <mergeCell ref="H3546:H3547"/>
    <mergeCell ref="I3546:I3547"/>
    <mergeCell ref="H3516:L3516"/>
    <mergeCell ref="H3517:L3517"/>
    <mergeCell ref="H3518:L3518"/>
    <mergeCell ref="H3524:K3524"/>
    <mergeCell ref="H3540:O3540"/>
    <mergeCell ref="H3542:H3543"/>
    <mergeCell ref="I3542:I3543"/>
    <mergeCell ref="J3542:J3543"/>
    <mergeCell ref="K3542:K3543"/>
    <mergeCell ref="L3542:L3543"/>
    <mergeCell ref="H3514:H3515"/>
    <mergeCell ref="I3514:I3515"/>
    <mergeCell ref="J3514:J3515"/>
    <mergeCell ref="K3514:K3515"/>
    <mergeCell ref="L3514:L3515"/>
    <mergeCell ref="M3514:M3515"/>
    <mergeCell ref="K3506:K3507"/>
    <mergeCell ref="L3506:L3507"/>
    <mergeCell ref="M3506:M3507"/>
    <mergeCell ref="H3512:H3513"/>
    <mergeCell ref="I3512:I3513"/>
    <mergeCell ref="J3512:J3513"/>
    <mergeCell ref="K3512:K3513"/>
    <mergeCell ref="L3512:L3513"/>
    <mergeCell ref="M3512:M3513"/>
    <mergeCell ref="M3502:M3503"/>
    <mergeCell ref="N3502:O3502"/>
    <mergeCell ref="H3504:H3505"/>
    <mergeCell ref="I3504:I3505"/>
    <mergeCell ref="J3504:J3507"/>
    <mergeCell ref="K3504:K3505"/>
    <mergeCell ref="L3504:L3505"/>
    <mergeCell ref="M3504:M3505"/>
    <mergeCell ref="H3506:H3507"/>
    <mergeCell ref="I3506:I3507"/>
    <mergeCell ref="H3476:L3476"/>
    <mergeCell ref="H3477:L3477"/>
    <mergeCell ref="H3478:L3478"/>
    <mergeCell ref="H3484:K3484"/>
    <mergeCell ref="H3500:O3500"/>
    <mergeCell ref="H3502:H3503"/>
    <mergeCell ref="I3502:I3503"/>
    <mergeCell ref="J3502:J3503"/>
    <mergeCell ref="K3502:K3503"/>
    <mergeCell ref="L3502:L3503"/>
    <mergeCell ref="H3474:H3475"/>
    <mergeCell ref="I3474:I3475"/>
    <mergeCell ref="J3474:J3475"/>
    <mergeCell ref="K3474:K3475"/>
    <mergeCell ref="L3474:L3475"/>
    <mergeCell ref="M3474:M3475"/>
    <mergeCell ref="H3472:H3473"/>
    <mergeCell ref="I3472:I3473"/>
    <mergeCell ref="J3472:J3473"/>
    <mergeCell ref="K3472:K3473"/>
    <mergeCell ref="L3472:L3473"/>
    <mergeCell ref="M3472:M3473"/>
    <mergeCell ref="H3470:H3471"/>
    <mergeCell ref="I3470:I3471"/>
    <mergeCell ref="J3470:J3471"/>
    <mergeCell ref="K3470:K3471"/>
    <mergeCell ref="L3470:L3471"/>
    <mergeCell ref="M3470:M3471"/>
    <mergeCell ref="N3466:O3466"/>
    <mergeCell ref="H3468:H3469"/>
    <mergeCell ref="I3468:I3469"/>
    <mergeCell ref="J3468:J3469"/>
    <mergeCell ref="K3468:K3469"/>
    <mergeCell ref="L3468:L3469"/>
    <mergeCell ref="M3468:M3469"/>
    <mergeCell ref="H3442:L3442"/>
    <mergeCell ref="H3443:L3443"/>
    <mergeCell ref="H3449:K3449"/>
    <mergeCell ref="H3464:O3464"/>
    <mergeCell ref="H3466:H3467"/>
    <mergeCell ref="I3466:I3467"/>
    <mergeCell ref="J3466:J3467"/>
    <mergeCell ref="K3466:K3467"/>
    <mergeCell ref="L3466:L3467"/>
    <mergeCell ref="M3466:M3467"/>
    <mergeCell ref="H3439:H3440"/>
    <mergeCell ref="I3439:I3440"/>
    <mergeCell ref="K3439:K3440"/>
    <mergeCell ref="L3439:L3440"/>
    <mergeCell ref="M3439:M3440"/>
    <mergeCell ref="H3441:L3441"/>
    <mergeCell ref="H3435:H3436"/>
    <mergeCell ref="I3435:I3436"/>
    <mergeCell ref="K3435:K3436"/>
    <mergeCell ref="L3435:L3436"/>
    <mergeCell ref="M3435:M3436"/>
    <mergeCell ref="H3437:H3438"/>
    <mergeCell ref="I3437:I3438"/>
    <mergeCell ref="K3437:K3438"/>
    <mergeCell ref="L3437:L3438"/>
    <mergeCell ref="M3437:M3438"/>
    <mergeCell ref="H3431:H3432"/>
    <mergeCell ref="I3431:I3432"/>
    <mergeCell ref="K3431:K3432"/>
    <mergeCell ref="L3431:L3432"/>
    <mergeCell ref="M3431:M3432"/>
    <mergeCell ref="H3433:H3434"/>
    <mergeCell ref="I3433:I3434"/>
    <mergeCell ref="K3433:K3434"/>
    <mergeCell ref="L3433:L3434"/>
    <mergeCell ref="M3433:M3434"/>
    <mergeCell ref="M3427:M3428"/>
    <mergeCell ref="N3427:O3427"/>
    <mergeCell ref="H3429:H3430"/>
    <mergeCell ref="I3429:I3430"/>
    <mergeCell ref="K3429:K3430"/>
    <mergeCell ref="L3429:L3430"/>
    <mergeCell ref="M3429:M3430"/>
    <mergeCell ref="H3401:L3401"/>
    <mergeCell ref="H3402:L3402"/>
    <mergeCell ref="H3403:L3403"/>
    <mergeCell ref="H3409:K3409"/>
    <mergeCell ref="H3425:O3425"/>
    <mergeCell ref="H3427:H3428"/>
    <mergeCell ref="I3427:I3428"/>
    <mergeCell ref="J3427:J3428"/>
    <mergeCell ref="K3427:K3428"/>
    <mergeCell ref="L3427:L3428"/>
    <mergeCell ref="H3399:H3400"/>
    <mergeCell ref="I3399:I3400"/>
    <mergeCell ref="J3399:J3400"/>
    <mergeCell ref="K3399:K3400"/>
    <mergeCell ref="L3399:L3400"/>
    <mergeCell ref="M3399:M3400"/>
    <mergeCell ref="H3397:H3398"/>
    <mergeCell ref="I3397:I3398"/>
    <mergeCell ref="J3397:J3398"/>
    <mergeCell ref="K3397:K3398"/>
    <mergeCell ref="L3397:L3398"/>
    <mergeCell ref="M3397:M3398"/>
    <mergeCell ref="H3395:H3396"/>
    <mergeCell ref="I3395:I3396"/>
    <mergeCell ref="J3395:J3396"/>
    <mergeCell ref="K3395:K3396"/>
    <mergeCell ref="L3395:L3396"/>
    <mergeCell ref="M3395:M3396"/>
    <mergeCell ref="M3391:M3392"/>
    <mergeCell ref="N3391:O3391"/>
    <mergeCell ref="H3393:H3394"/>
    <mergeCell ref="I3393:I3394"/>
    <mergeCell ref="J3393:J3394"/>
    <mergeCell ref="K3393:K3394"/>
    <mergeCell ref="L3393:L3394"/>
    <mergeCell ref="M3393:M3394"/>
    <mergeCell ref="H3365:L3365"/>
    <mergeCell ref="H3366:L3366"/>
    <mergeCell ref="H3367:L3367"/>
    <mergeCell ref="H3373:K3373"/>
    <mergeCell ref="H3389:O3389"/>
    <mergeCell ref="H3391:H3392"/>
    <mergeCell ref="I3391:I3392"/>
    <mergeCell ref="J3391:J3392"/>
    <mergeCell ref="K3391:K3392"/>
    <mergeCell ref="L3391:L3392"/>
    <mergeCell ref="H3363:H3364"/>
    <mergeCell ref="I3363:I3364"/>
    <mergeCell ref="J3363:J3364"/>
    <mergeCell ref="K3363:K3364"/>
    <mergeCell ref="L3363:L3364"/>
    <mergeCell ref="M3363:M3364"/>
    <mergeCell ref="H3361:H3362"/>
    <mergeCell ref="I3361:I3362"/>
    <mergeCell ref="J3361:J3362"/>
    <mergeCell ref="K3361:K3362"/>
    <mergeCell ref="L3361:L3362"/>
    <mergeCell ref="M3361:M3362"/>
    <mergeCell ref="H3359:H3360"/>
    <mergeCell ref="I3359:I3360"/>
    <mergeCell ref="J3359:J3360"/>
    <mergeCell ref="K3359:K3360"/>
    <mergeCell ref="L3359:L3360"/>
    <mergeCell ref="M3359:M3360"/>
    <mergeCell ref="M3355:M3356"/>
    <mergeCell ref="N3355:O3355"/>
    <mergeCell ref="H3357:H3358"/>
    <mergeCell ref="I3357:I3358"/>
    <mergeCell ref="J3357:J3358"/>
    <mergeCell ref="K3357:K3358"/>
    <mergeCell ref="L3357:L3358"/>
    <mergeCell ref="M3357:M3358"/>
    <mergeCell ref="H3330:L3330"/>
    <mergeCell ref="H3331:L3331"/>
    <mergeCell ref="H3332:L3332"/>
    <mergeCell ref="H3338:K3338"/>
    <mergeCell ref="H3353:O3353"/>
    <mergeCell ref="H3355:H3356"/>
    <mergeCell ref="I3355:I3356"/>
    <mergeCell ref="J3355:J3356"/>
    <mergeCell ref="K3355:K3356"/>
    <mergeCell ref="L3355:L3356"/>
    <mergeCell ref="H3328:H3329"/>
    <mergeCell ref="I3328:I3329"/>
    <mergeCell ref="J3328:J3329"/>
    <mergeCell ref="K3328:K3329"/>
    <mergeCell ref="L3328:L3329"/>
    <mergeCell ref="M3328:M3329"/>
    <mergeCell ref="H3326:H3327"/>
    <mergeCell ref="I3326:I3327"/>
    <mergeCell ref="J3326:J3327"/>
    <mergeCell ref="K3326:K3327"/>
    <mergeCell ref="L3326:L3327"/>
    <mergeCell ref="M3326:M3327"/>
    <mergeCell ref="H3324:H3325"/>
    <mergeCell ref="I3324:I3325"/>
    <mergeCell ref="J3324:J3325"/>
    <mergeCell ref="K3324:K3325"/>
    <mergeCell ref="L3324:L3325"/>
    <mergeCell ref="M3324:M3325"/>
    <mergeCell ref="H3322:H3323"/>
    <mergeCell ref="I3322:I3323"/>
    <mergeCell ref="J3322:J3323"/>
    <mergeCell ref="K3322:K3323"/>
    <mergeCell ref="L3322:L3323"/>
    <mergeCell ref="M3322:M3323"/>
    <mergeCell ref="H3320:H3321"/>
    <mergeCell ref="I3320:I3321"/>
    <mergeCell ref="J3320:J3321"/>
    <mergeCell ref="K3320:K3321"/>
    <mergeCell ref="L3320:L3321"/>
    <mergeCell ref="M3320:M3321"/>
    <mergeCell ref="M3316:M3317"/>
    <mergeCell ref="N3316:O3316"/>
    <mergeCell ref="H3318:H3319"/>
    <mergeCell ref="I3318:I3319"/>
    <mergeCell ref="J3318:J3319"/>
    <mergeCell ref="K3318:K3319"/>
    <mergeCell ref="L3318:L3319"/>
    <mergeCell ref="M3318:M3319"/>
    <mergeCell ref="H3291:L3291"/>
    <mergeCell ref="H3292:L3292"/>
    <mergeCell ref="H3293:L3293"/>
    <mergeCell ref="H3299:K3299"/>
    <mergeCell ref="H3314:O3314"/>
    <mergeCell ref="H3316:H3317"/>
    <mergeCell ref="I3316:I3317"/>
    <mergeCell ref="J3316:J3317"/>
    <mergeCell ref="K3316:K3317"/>
    <mergeCell ref="L3316:L3317"/>
    <mergeCell ref="H3289:H3290"/>
    <mergeCell ref="I3289:I3290"/>
    <mergeCell ref="J3289:J3290"/>
    <mergeCell ref="K3289:K3290"/>
    <mergeCell ref="L3289:L3290"/>
    <mergeCell ref="M3289:M3290"/>
    <mergeCell ref="K3285:K3286"/>
    <mergeCell ref="L3285:L3286"/>
    <mergeCell ref="M3285:M3286"/>
    <mergeCell ref="H3287:H3288"/>
    <mergeCell ref="I3287:I3288"/>
    <mergeCell ref="J3287:J3288"/>
    <mergeCell ref="K3287:K3288"/>
    <mergeCell ref="L3287:L3288"/>
    <mergeCell ref="M3287:M3288"/>
    <mergeCell ref="M3281:M3282"/>
    <mergeCell ref="N3281:O3281"/>
    <mergeCell ref="H3283:H3284"/>
    <mergeCell ref="I3283:I3284"/>
    <mergeCell ref="J3283:J3286"/>
    <mergeCell ref="K3283:K3284"/>
    <mergeCell ref="L3283:L3284"/>
    <mergeCell ref="M3283:M3284"/>
    <mergeCell ref="H3285:H3286"/>
    <mergeCell ref="I3285:I3286"/>
    <mergeCell ref="H3255:L3255"/>
    <mergeCell ref="H3256:L3256"/>
    <mergeCell ref="H3257:L3257"/>
    <mergeCell ref="H3263:K3263"/>
    <mergeCell ref="H3279:O3279"/>
    <mergeCell ref="H3281:H3282"/>
    <mergeCell ref="I3281:I3282"/>
    <mergeCell ref="J3281:J3282"/>
    <mergeCell ref="K3281:K3282"/>
    <mergeCell ref="L3281:L3282"/>
    <mergeCell ref="H3253:H3254"/>
    <mergeCell ref="I3253:I3254"/>
    <mergeCell ref="J3253:J3254"/>
    <mergeCell ref="K3253:K3254"/>
    <mergeCell ref="L3253:L3254"/>
    <mergeCell ref="M3253:M3254"/>
    <mergeCell ref="H3251:H3252"/>
    <mergeCell ref="I3251:I3252"/>
    <mergeCell ref="J3251:J3252"/>
    <mergeCell ref="K3251:K3252"/>
    <mergeCell ref="L3251:L3252"/>
    <mergeCell ref="M3251:M3252"/>
    <mergeCell ref="H3249:H3250"/>
    <mergeCell ref="I3249:I3250"/>
    <mergeCell ref="J3249:J3250"/>
    <mergeCell ref="K3249:K3250"/>
    <mergeCell ref="L3249:L3250"/>
    <mergeCell ref="M3249:M3250"/>
    <mergeCell ref="M3245:M3246"/>
    <mergeCell ref="N3245:O3245"/>
    <mergeCell ref="H3247:H3248"/>
    <mergeCell ref="I3247:I3248"/>
    <mergeCell ref="J3247:J3248"/>
    <mergeCell ref="K3247:K3248"/>
    <mergeCell ref="L3247:L3248"/>
    <mergeCell ref="M3247:M3248"/>
    <mergeCell ref="H3220:L3220"/>
    <mergeCell ref="H3221:L3221"/>
    <mergeCell ref="H3222:L3222"/>
    <mergeCell ref="H3228:K3228"/>
    <mergeCell ref="H3243:O3243"/>
    <mergeCell ref="H3245:H3246"/>
    <mergeCell ref="I3245:I3246"/>
    <mergeCell ref="J3245:J3246"/>
    <mergeCell ref="K3245:K3246"/>
    <mergeCell ref="L3245:L3246"/>
    <mergeCell ref="Q3216:Q3217"/>
    <mergeCell ref="H3218:H3219"/>
    <mergeCell ref="I3218:I3219"/>
    <mergeCell ref="J3218:J3219"/>
    <mergeCell ref="K3218:K3219"/>
    <mergeCell ref="L3218:L3219"/>
    <mergeCell ref="M3218:M3219"/>
    <mergeCell ref="H3216:H3217"/>
    <mergeCell ref="I3216:I3217"/>
    <mergeCell ref="J3216:J3217"/>
    <mergeCell ref="K3216:K3217"/>
    <mergeCell ref="L3216:L3217"/>
    <mergeCell ref="M3216:M3217"/>
    <mergeCell ref="H3214:H3215"/>
    <mergeCell ref="I3214:I3215"/>
    <mergeCell ref="J3214:J3215"/>
    <mergeCell ref="K3214:K3215"/>
    <mergeCell ref="L3214:L3215"/>
    <mergeCell ref="M3214:M3215"/>
    <mergeCell ref="M3210:M3211"/>
    <mergeCell ref="N3210:O3210"/>
    <mergeCell ref="H3212:H3213"/>
    <mergeCell ref="I3212:I3213"/>
    <mergeCell ref="J3212:J3213"/>
    <mergeCell ref="K3212:K3213"/>
    <mergeCell ref="L3212:L3213"/>
    <mergeCell ref="M3212:M3213"/>
    <mergeCell ref="H3185:L3185"/>
    <mergeCell ref="H3186:L3186"/>
    <mergeCell ref="H3187:L3187"/>
    <mergeCell ref="H3193:K3193"/>
    <mergeCell ref="H3208:O3208"/>
    <mergeCell ref="H3210:H3211"/>
    <mergeCell ref="I3210:I3211"/>
    <mergeCell ref="J3210:J3211"/>
    <mergeCell ref="K3210:K3211"/>
    <mergeCell ref="L3210:L3211"/>
    <mergeCell ref="H3183:H3184"/>
    <mergeCell ref="I3183:I3184"/>
    <mergeCell ref="J3183:J3184"/>
    <mergeCell ref="K3183:K3184"/>
    <mergeCell ref="L3183:L3184"/>
    <mergeCell ref="M3183:M3184"/>
    <mergeCell ref="H3181:H3182"/>
    <mergeCell ref="I3181:I3182"/>
    <mergeCell ref="J3181:J3182"/>
    <mergeCell ref="K3181:K3182"/>
    <mergeCell ref="L3181:L3182"/>
    <mergeCell ref="M3181:M3182"/>
    <mergeCell ref="H3179:H3180"/>
    <mergeCell ref="I3179:I3180"/>
    <mergeCell ref="J3179:J3180"/>
    <mergeCell ref="K3179:K3180"/>
    <mergeCell ref="L3179:L3180"/>
    <mergeCell ref="M3179:M3180"/>
    <mergeCell ref="H3177:H3178"/>
    <mergeCell ref="I3177:I3178"/>
    <mergeCell ref="J3177:J3178"/>
    <mergeCell ref="K3177:K3178"/>
    <mergeCell ref="L3177:L3178"/>
    <mergeCell ref="M3177:M3178"/>
    <mergeCell ref="H3175:H3176"/>
    <mergeCell ref="I3175:I3176"/>
    <mergeCell ref="J3175:J3176"/>
    <mergeCell ref="K3175:K3176"/>
    <mergeCell ref="L3175:L3176"/>
    <mergeCell ref="M3175:M3176"/>
    <mergeCell ref="M3171:M3172"/>
    <mergeCell ref="N3171:O3171"/>
    <mergeCell ref="H3173:H3174"/>
    <mergeCell ref="I3173:I3174"/>
    <mergeCell ref="J3173:J3174"/>
    <mergeCell ref="K3173:K3174"/>
    <mergeCell ref="L3173:L3174"/>
    <mergeCell ref="M3173:M3174"/>
    <mergeCell ref="H3146:L3146"/>
    <mergeCell ref="H3147:L3147"/>
    <mergeCell ref="H3148:L3148"/>
    <mergeCell ref="H3154:K3154"/>
    <mergeCell ref="H3169:O3169"/>
    <mergeCell ref="H3171:H3172"/>
    <mergeCell ref="I3171:I3172"/>
    <mergeCell ref="J3171:J3172"/>
    <mergeCell ref="K3171:K3172"/>
    <mergeCell ref="L3171:L3172"/>
    <mergeCell ref="H3144:H3145"/>
    <mergeCell ref="I3144:I3145"/>
    <mergeCell ref="J3144:J3145"/>
    <mergeCell ref="K3144:K3145"/>
    <mergeCell ref="L3144:L3145"/>
    <mergeCell ref="M3144:M3145"/>
    <mergeCell ref="H3142:H3143"/>
    <mergeCell ref="I3142:I3143"/>
    <mergeCell ref="J3142:J3143"/>
    <mergeCell ref="K3142:K3143"/>
    <mergeCell ref="L3142:L3143"/>
    <mergeCell ref="M3142:M3143"/>
    <mergeCell ref="H3140:H3141"/>
    <mergeCell ref="I3140:I3141"/>
    <mergeCell ref="J3140:J3141"/>
    <mergeCell ref="K3140:K3141"/>
    <mergeCell ref="L3140:L3141"/>
    <mergeCell ref="M3140:M3141"/>
    <mergeCell ref="H3138:H3139"/>
    <mergeCell ref="I3138:I3139"/>
    <mergeCell ref="J3138:J3139"/>
    <mergeCell ref="K3138:K3139"/>
    <mergeCell ref="L3138:L3139"/>
    <mergeCell ref="M3138:M3139"/>
    <mergeCell ref="M3134:M3135"/>
    <mergeCell ref="N3134:O3134"/>
    <mergeCell ref="H3136:H3137"/>
    <mergeCell ref="I3136:I3137"/>
    <mergeCell ref="J3136:J3137"/>
    <mergeCell ref="K3136:K3137"/>
    <mergeCell ref="L3136:L3137"/>
    <mergeCell ref="M3136:M3137"/>
    <mergeCell ref="H3109:L3109"/>
    <mergeCell ref="H3110:L3110"/>
    <mergeCell ref="H3111:L3111"/>
    <mergeCell ref="H3117:K3117"/>
    <mergeCell ref="H3132:O3132"/>
    <mergeCell ref="H3134:H3135"/>
    <mergeCell ref="I3134:I3135"/>
    <mergeCell ref="J3134:J3135"/>
    <mergeCell ref="K3134:K3135"/>
    <mergeCell ref="L3134:L3135"/>
    <mergeCell ref="H3107:H3108"/>
    <mergeCell ref="I3107:I3108"/>
    <mergeCell ref="J3107:J3108"/>
    <mergeCell ref="K3107:K3108"/>
    <mergeCell ref="L3107:L3108"/>
    <mergeCell ref="M3107:M3108"/>
    <mergeCell ref="H3105:H3106"/>
    <mergeCell ref="I3105:I3106"/>
    <mergeCell ref="J3105:J3106"/>
    <mergeCell ref="K3105:K3106"/>
    <mergeCell ref="L3105:L3106"/>
    <mergeCell ref="M3105:M3106"/>
    <mergeCell ref="H3103:H3104"/>
    <mergeCell ref="I3103:I3104"/>
    <mergeCell ref="J3103:J3104"/>
    <mergeCell ref="K3103:K3104"/>
    <mergeCell ref="L3103:L3104"/>
    <mergeCell ref="M3103:M3104"/>
    <mergeCell ref="H3101:H3102"/>
    <mergeCell ref="I3101:I3102"/>
    <mergeCell ref="J3101:J3102"/>
    <mergeCell ref="K3101:K3102"/>
    <mergeCell ref="L3101:L3102"/>
    <mergeCell ref="M3101:M3102"/>
    <mergeCell ref="M3097:M3098"/>
    <mergeCell ref="N3097:O3097"/>
    <mergeCell ref="H3099:H3100"/>
    <mergeCell ref="I3099:I3100"/>
    <mergeCell ref="J3099:J3100"/>
    <mergeCell ref="K3099:K3100"/>
    <mergeCell ref="L3099:L3100"/>
    <mergeCell ref="M3099:M3100"/>
    <mergeCell ref="H3072:L3072"/>
    <mergeCell ref="H3073:L3073"/>
    <mergeCell ref="H3074:L3074"/>
    <mergeCell ref="H3080:K3080"/>
    <mergeCell ref="H3095:O3095"/>
    <mergeCell ref="H3097:H3098"/>
    <mergeCell ref="I3097:I3098"/>
    <mergeCell ref="J3097:J3098"/>
    <mergeCell ref="K3097:K3098"/>
    <mergeCell ref="L3097:L3098"/>
    <mergeCell ref="H3070:H3071"/>
    <mergeCell ref="I3070:I3071"/>
    <mergeCell ref="J3070:J3071"/>
    <mergeCell ref="K3070:K3071"/>
    <mergeCell ref="L3070:L3071"/>
    <mergeCell ref="M3070:M3071"/>
    <mergeCell ref="H3068:H3069"/>
    <mergeCell ref="I3068:I3069"/>
    <mergeCell ref="J3068:J3069"/>
    <mergeCell ref="K3068:K3069"/>
    <mergeCell ref="L3068:L3069"/>
    <mergeCell ref="M3068:M3069"/>
    <mergeCell ref="H3066:H3067"/>
    <mergeCell ref="I3066:I3067"/>
    <mergeCell ref="J3066:J3067"/>
    <mergeCell ref="K3066:K3067"/>
    <mergeCell ref="L3066:L3067"/>
    <mergeCell ref="M3066:M3067"/>
    <mergeCell ref="H3064:H3065"/>
    <mergeCell ref="I3064:I3065"/>
    <mergeCell ref="J3064:J3065"/>
    <mergeCell ref="K3064:K3065"/>
    <mergeCell ref="L3064:L3065"/>
    <mergeCell ref="M3064:M3065"/>
    <mergeCell ref="M3060:M3061"/>
    <mergeCell ref="N3060:O3060"/>
    <mergeCell ref="H3062:H3063"/>
    <mergeCell ref="I3062:I3063"/>
    <mergeCell ref="J3062:J3063"/>
    <mergeCell ref="K3062:K3063"/>
    <mergeCell ref="L3062:L3063"/>
    <mergeCell ref="M3062:M3063"/>
    <mergeCell ref="H3035:L3035"/>
    <mergeCell ref="H3036:L3036"/>
    <mergeCell ref="H3037:L3037"/>
    <mergeCell ref="H3043:K3043"/>
    <mergeCell ref="H3058:O3058"/>
    <mergeCell ref="H3060:H3061"/>
    <mergeCell ref="I3060:I3061"/>
    <mergeCell ref="J3060:J3061"/>
    <mergeCell ref="K3060:K3061"/>
    <mergeCell ref="L3060:L3061"/>
    <mergeCell ref="H3033:H3034"/>
    <mergeCell ref="I3033:I3034"/>
    <mergeCell ref="J3033:J3034"/>
    <mergeCell ref="K3033:K3034"/>
    <mergeCell ref="L3033:L3034"/>
    <mergeCell ref="M3033:M3034"/>
    <mergeCell ref="H3031:H3032"/>
    <mergeCell ref="I3031:I3032"/>
    <mergeCell ref="J3031:J3032"/>
    <mergeCell ref="K3031:K3032"/>
    <mergeCell ref="L3031:L3032"/>
    <mergeCell ref="M3031:M3032"/>
    <mergeCell ref="H3029:H3030"/>
    <mergeCell ref="I3029:I3030"/>
    <mergeCell ref="J3029:J3030"/>
    <mergeCell ref="K3029:K3030"/>
    <mergeCell ref="L3029:L3030"/>
    <mergeCell ref="M3029:M3030"/>
    <mergeCell ref="H3027:H3028"/>
    <mergeCell ref="I3027:I3028"/>
    <mergeCell ref="J3027:J3028"/>
    <mergeCell ref="K3027:K3028"/>
    <mergeCell ref="L3027:L3028"/>
    <mergeCell ref="M3027:M3028"/>
    <mergeCell ref="M3023:M3024"/>
    <mergeCell ref="N3023:O3023"/>
    <mergeCell ref="H3025:H3026"/>
    <mergeCell ref="I3025:I3026"/>
    <mergeCell ref="J3025:J3026"/>
    <mergeCell ref="K3025:K3026"/>
    <mergeCell ref="L3025:L3026"/>
    <mergeCell ref="M3025:M3026"/>
    <mergeCell ref="H2998:L2998"/>
    <mergeCell ref="H2999:L2999"/>
    <mergeCell ref="H3000:L3000"/>
    <mergeCell ref="H3006:K3006"/>
    <mergeCell ref="H3021:O3021"/>
    <mergeCell ref="H3023:H3024"/>
    <mergeCell ref="I3023:I3024"/>
    <mergeCell ref="J3023:J3024"/>
    <mergeCell ref="K3023:K3024"/>
    <mergeCell ref="L3023:L3024"/>
    <mergeCell ref="H2996:H2997"/>
    <mergeCell ref="I2996:I2997"/>
    <mergeCell ref="J2996:J2997"/>
    <mergeCell ref="K2996:K2997"/>
    <mergeCell ref="L2996:L2997"/>
    <mergeCell ref="M2996:M2997"/>
    <mergeCell ref="H2994:H2995"/>
    <mergeCell ref="I2994:I2995"/>
    <mergeCell ref="J2994:J2995"/>
    <mergeCell ref="K2994:K2995"/>
    <mergeCell ref="L2994:L2995"/>
    <mergeCell ref="M2994:M2995"/>
    <mergeCell ref="H2992:H2993"/>
    <mergeCell ref="I2992:I2993"/>
    <mergeCell ref="J2992:J2993"/>
    <mergeCell ref="K2992:K2993"/>
    <mergeCell ref="L2992:L2993"/>
    <mergeCell ref="M2992:M2993"/>
    <mergeCell ref="H2990:H2991"/>
    <mergeCell ref="I2990:I2991"/>
    <mergeCell ref="J2990:J2991"/>
    <mergeCell ref="K2990:K2991"/>
    <mergeCell ref="L2990:L2991"/>
    <mergeCell ref="M2990:M2991"/>
    <mergeCell ref="M2986:M2987"/>
    <mergeCell ref="N2986:O2986"/>
    <mergeCell ref="H2988:H2989"/>
    <mergeCell ref="I2988:I2989"/>
    <mergeCell ref="J2988:J2989"/>
    <mergeCell ref="K2988:K2989"/>
    <mergeCell ref="L2988:L2989"/>
    <mergeCell ref="M2988:M2989"/>
    <mergeCell ref="H2961:L2961"/>
    <mergeCell ref="H2962:L2962"/>
    <mergeCell ref="H2963:L2963"/>
    <mergeCell ref="H2969:K2969"/>
    <mergeCell ref="H2984:O2984"/>
    <mergeCell ref="H2986:H2987"/>
    <mergeCell ref="I2986:I2987"/>
    <mergeCell ref="J2986:J2987"/>
    <mergeCell ref="K2986:K2987"/>
    <mergeCell ref="L2986:L2987"/>
    <mergeCell ref="H2959:H2960"/>
    <mergeCell ref="I2959:I2960"/>
    <mergeCell ref="J2959:J2960"/>
    <mergeCell ref="K2959:K2960"/>
    <mergeCell ref="L2959:L2960"/>
    <mergeCell ref="M2959:M2960"/>
    <mergeCell ref="H2957:H2958"/>
    <mergeCell ref="I2957:I2958"/>
    <mergeCell ref="J2957:J2958"/>
    <mergeCell ref="K2957:K2958"/>
    <mergeCell ref="L2957:L2958"/>
    <mergeCell ref="M2957:M2958"/>
    <mergeCell ref="H2955:H2956"/>
    <mergeCell ref="I2955:I2956"/>
    <mergeCell ref="J2955:J2956"/>
    <mergeCell ref="K2955:K2956"/>
    <mergeCell ref="L2955:L2956"/>
    <mergeCell ref="M2955:M2956"/>
    <mergeCell ref="H2953:H2954"/>
    <mergeCell ref="I2953:I2954"/>
    <mergeCell ref="J2953:J2954"/>
    <mergeCell ref="K2953:K2954"/>
    <mergeCell ref="L2953:L2954"/>
    <mergeCell ref="M2953:M2954"/>
    <mergeCell ref="M2949:M2950"/>
    <mergeCell ref="N2949:O2949"/>
    <mergeCell ref="H2951:H2952"/>
    <mergeCell ref="I2951:I2952"/>
    <mergeCell ref="J2951:J2952"/>
    <mergeCell ref="K2951:K2952"/>
    <mergeCell ref="L2951:L2952"/>
    <mergeCell ref="M2951:M2952"/>
    <mergeCell ref="H2924:L2924"/>
    <mergeCell ref="H2925:L2925"/>
    <mergeCell ref="H2926:L2926"/>
    <mergeCell ref="H2932:K2932"/>
    <mergeCell ref="H2947:O2947"/>
    <mergeCell ref="H2949:H2950"/>
    <mergeCell ref="I2949:I2950"/>
    <mergeCell ref="J2949:J2950"/>
    <mergeCell ref="K2949:K2950"/>
    <mergeCell ref="L2949:L2950"/>
    <mergeCell ref="H2922:H2923"/>
    <mergeCell ref="I2922:I2923"/>
    <mergeCell ref="J2922:J2923"/>
    <mergeCell ref="K2922:K2923"/>
    <mergeCell ref="L2922:L2923"/>
    <mergeCell ref="M2922:M2923"/>
    <mergeCell ref="H2920:H2921"/>
    <mergeCell ref="I2920:I2921"/>
    <mergeCell ref="J2920:J2921"/>
    <mergeCell ref="K2920:K2921"/>
    <mergeCell ref="L2920:L2921"/>
    <mergeCell ref="M2920:M2921"/>
    <mergeCell ref="H2918:H2919"/>
    <mergeCell ref="I2918:I2919"/>
    <mergeCell ref="J2918:J2919"/>
    <mergeCell ref="K2918:K2919"/>
    <mergeCell ref="L2918:L2919"/>
    <mergeCell ref="M2918:M2919"/>
    <mergeCell ref="H2916:H2917"/>
    <mergeCell ref="I2916:I2917"/>
    <mergeCell ref="J2916:J2917"/>
    <mergeCell ref="K2916:K2917"/>
    <mergeCell ref="L2916:L2917"/>
    <mergeCell ref="M2916:M2917"/>
    <mergeCell ref="M2912:M2913"/>
    <mergeCell ref="N2912:O2912"/>
    <mergeCell ref="H2914:H2915"/>
    <mergeCell ref="I2914:I2915"/>
    <mergeCell ref="J2914:J2915"/>
    <mergeCell ref="K2914:K2915"/>
    <mergeCell ref="L2914:L2915"/>
    <mergeCell ref="M2914:M2915"/>
    <mergeCell ref="H2887:L2887"/>
    <mergeCell ref="H2888:L2888"/>
    <mergeCell ref="H2889:L2889"/>
    <mergeCell ref="H2895:K2895"/>
    <mergeCell ref="H2910:O2910"/>
    <mergeCell ref="H2912:H2913"/>
    <mergeCell ref="I2912:I2913"/>
    <mergeCell ref="J2912:J2913"/>
    <mergeCell ref="K2912:K2913"/>
    <mergeCell ref="L2912:L2913"/>
    <mergeCell ref="H2885:H2886"/>
    <mergeCell ref="I2885:I2886"/>
    <mergeCell ref="J2885:J2886"/>
    <mergeCell ref="K2885:K2886"/>
    <mergeCell ref="L2885:L2886"/>
    <mergeCell ref="M2885:M2886"/>
    <mergeCell ref="H2883:H2884"/>
    <mergeCell ref="I2883:I2884"/>
    <mergeCell ref="J2883:J2884"/>
    <mergeCell ref="K2883:K2884"/>
    <mergeCell ref="L2883:L2884"/>
    <mergeCell ref="M2883:M2884"/>
    <mergeCell ref="H2881:H2882"/>
    <mergeCell ref="I2881:I2882"/>
    <mergeCell ref="J2881:J2882"/>
    <mergeCell ref="K2881:K2882"/>
    <mergeCell ref="L2881:L2882"/>
    <mergeCell ref="M2881:M2882"/>
    <mergeCell ref="H2879:H2880"/>
    <mergeCell ref="I2879:I2880"/>
    <mergeCell ref="J2879:J2880"/>
    <mergeCell ref="K2879:K2880"/>
    <mergeCell ref="L2879:L2880"/>
    <mergeCell ref="M2879:M2880"/>
    <mergeCell ref="M2875:M2876"/>
    <mergeCell ref="N2875:O2875"/>
    <mergeCell ref="H2877:H2878"/>
    <mergeCell ref="I2877:I2878"/>
    <mergeCell ref="J2877:J2878"/>
    <mergeCell ref="K2877:K2878"/>
    <mergeCell ref="L2877:L2878"/>
    <mergeCell ref="M2877:M2878"/>
    <mergeCell ref="H2850:L2850"/>
    <mergeCell ref="H2851:L2851"/>
    <mergeCell ref="H2852:L2852"/>
    <mergeCell ref="H2858:K2858"/>
    <mergeCell ref="H2873:O2873"/>
    <mergeCell ref="H2875:H2876"/>
    <mergeCell ref="I2875:I2876"/>
    <mergeCell ref="J2875:J2876"/>
    <mergeCell ref="K2875:K2876"/>
    <mergeCell ref="L2875:L2876"/>
    <mergeCell ref="H2848:H2849"/>
    <mergeCell ref="I2848:I2849"/>
    <mergeCell ref="J2848:J2849"/>
    <mergeCell ref="K2848:K2849"/>
    <mergeCell ref="L2848:L2849"/>
    <mergeCell ref="M2848:M2849"/>
    <mergeCell ref="H2846:H2847"/>
    <mergeCell ref="I2846:I2847"/>
    <mergeCell ref="J2846:J2847"/>
    <mergeCell ref="K2846:K2847"/>
    <mergeCell ref="L2846:L2847"/>
    <mergeCell ref="M2846:M2847"/>
    <mergeCell ref="H2844:H2845"/>
    <mergeCell ref="I2844:I2845"/>
    <mergeCell ref="J2844:J2845"/>
    <mergeCell ref="K2844:K2845"/>
    <mergeCell ref="L2844:L2845"/>
    <mergeCell ref="M2844:M2845"/>
    <mergeCell ref="H2842:H2843"/>
    <mergeCell ref="I2842:I2843"/>
    <mergeCell ref="J2842:J2843"/>
    <mergeCell ref="K2842:K2843"/>
    <mergeCell ref="L2842:L2843"/>
    <mergeCell ref="M2842:M2843"/>
    <mergeCell ref="H2840:H2841"/>
    <mergeCell ref="I2840:I2841"/>
    <mergeCell ref="J2840:J2841"/>
    <mergeCell ref="K2840:K2841"/>
    <mergeCell ref="L2840:L2841"/>
    <mergeCell ref="M2840:M2841"/>
    <mergeCell ref="M2836:M2837"/>
    <mergeCell ref="N2836:O2836"/>
    <mergeCell ref="H2838:H2839"/>
    <mergeCell ref="I2838:I2839"/>
    <mergeCell ref="J2838:J2839"/>
    <mergeCell ref="K2838:K2839"/>
    <mergeCell ref="L2838:L2839"/>
    <mergeCell ref="M2838:M2839"/>
    <mergeCell ref="H2811:L2811"/>
    <mergeCell ref="H2812:L2812"/>
    <mergeCell ref="H2813:L2813"/>
    <mergeCell ref="H2819:K2819"/>
    <mergeCell ref="H2834:O2834"/>
    <mergeCell ref="H2836:H2837"/>
    <mergeCell ref="I2836:I2837"/>
    <mergeCell ref="J2836:J2837"/>
    <mergeCell ref="K2836:K2837"/>
    <mergeCell ref="L2836:L2837"/>
    <mergeCell ref="H2809:H2810"/>
    <mergeCell ref="I2809:I2810"/>
    <mergeCell ref="J2809:J2810"/>
    <mergeCell ref="K2809:K2810"/>
    <mergeCell ref="L2809:L2810"/>
    <mergeCell ref="M2809:M2810"/>
    <mergeCell ref="H2807:H2808"/>
    <mergeCell ref="I2807:I2808"/>
    <mergeCell ref="J2807:J2808"/>
    <mergeCell ref="K2807:K2808"/>
    <mergeCell ref="L2807:L2808"/>
    <mergeCell ref="M2807:M2808"/>
    <mergeCell ref="H2805:H2806"/>
    <mergeCell ref="I2805:I2806"/>
    <mergeCell ref="J2805:J2806"/>
    <mergeCell ref="K2805:K2806"/>
    <mergeCell ref="L2805:L2806"/>
    <mergeCell ref="M2805:M2806"/>
    <mergeCell ref="H2803:H2804"/>
    <mergeCell ref="I2803:I2804"/>
    <mergeCell ref="J2803:J2804"/>
    <mergeCell ref="K2803:K2804"/>
    <mergeCell ref="L2803:L2804"/>
    <mergeCell ref="M2803:M2804"/>
    <mergeCell ref="H2801:H2802"/>
    <mergeCell ref="I2801:I2802"/>
    <mergeCell ref="J2801:J2802"/>
    <mergeCell ref="K2801:K2802"/>
    <mergeCell ref="L2801:L2802"/>
    <mergeCell ref="M2801:M2802"/>
    <mergeCell ref="M2797:M2798"/>
    <mergeCell ref="N2797:O2797"/>
    <mergeCell ref="H2799:H2800"/>
    <mergeCell ref="I2799:I2800"/>
    <mergeCell ref="J2799:J2800"/>
    <mergeCell ref="K2799:K2800"/>
    <mergeCell ref="L2799:L2800"/>
    <mergeCell ref="M2799:M2800"/>
    <mergeCell ref="H2772:L2772"/>
    <mergeCell ref="H2773:L2773"/>
    <mergeCell ref="H2774:L2774"/>
    <mergeCell ref="H2780:K2780"/>
    <mergeCell ref="H2795:O2795"/>
    <mergeCell ref="H2797:H2798"/>
    <mergeCell ref="I2797:I2798"/>
    <mergeCell ref="J2797:J2798"/>
    <mergeCell ref="K2797:K2798"/>
    <mergeCell ref="L2797:L2798"/>
    <mergeCell ref="H2770:H2771"/>
    <mergeCell ref="I2770:I2771"/>
    <mergeCell ref="J2770:J2771"/>
    <mergeCell ref="K2770:K2771"/>
    <mergeCell ref="L2770:L2771"/>
    <mergeCell ref="M2770:M2771"/>
    <mergeCell ref="H2768:H2769"/>
    <mergeCell ref="I2768:I2769"/>
    <mergeCell ref="J2768:J2769"/>
    <mergeCell ref="K2768:K2769"/>
    <mergeCell ref="L2768:L2769"/>
    <mergeCell ref="M2768:M2769"/>
    <mergeCell ref="H2766:H2767"/>
    <mergeCell ref="I2766:I2767"/>
    <mergeCell ref="J2766:J2767"/>
    <mergeCell ref="K2766:K2767"/>
    <mergeCell ref="L2766:L2767"/>
    <mergeCell ref="M2766:M2767"/>
    <mergeCell ref="H2764:H2765"/>
    <mergeCell ref="I2764:I2765"/>
    <mergeCell ref="J2764:J2765"/>
    <mergeCell ref="K2764:K2765"/>
    <mergeCell ref="L2764:L2765"/>
    <mergeCell ref="M2764:M2765"/>
    <mergeCell ref="M2760:M2761"/>
    <mergeCell ref="N2760:O2760"/>
    <mergeCell ref="H2762:H2763"/>
    <mergeCell ref="I2762:I2763"/>
    <mergeCell ref="J2762:J2763"/>
    <mergeCell ref="K2762:K2763"/>
    <mergeCell ref="L2762:L2763"/>
    <mergeCell ref="M2762:M2763"/>
    <mergeCell ref="H2735:L2735"/>
    <mergeCell ref="H2736:L2736"/>
    <mergeCell ref="H2737:L2737"/>
    <mergeCell ref="H2743:K2743"/>
    <mergeCell ref="H2758:O2758"/>
    <mergeCell ref="H2760:H2761"/>
    <mergeCell ref="I2760:I2761"/>
    <mergeCell ref="J2760:J2761"/>
    <mergeCell ref="K2760:K2761"/>
    <mergeCell ref="L2760:L2761"/>
    <mergeCell ref="H2733:H2734"/>
    <mergeCell ref="I2733:I2734"/>
    <mergeCell ref="J2733:J2734"/>
    <mergeCell ref="K2733:K2734"/>
    <mergeCell ref="L2733:L2734"/>
    <mergeCell ref="M2733:M2734"/>
    <mergeCell ref="H2731:H2732"/>
    <mergeCell ref="I2731:I2732"/>
    <mergeCell ref="J2731:J2732"/>
    <mergeCell ref="K2731:K2732"/>
    <mergeCell ref="L2731:L2732"/>
    <mergeCell ref="M2731:M2732"/>
    <mergeCell ref="H2729:H2730"/>
    <mergeCell ref="I2729:I2730"/>
    <mergeCell ref="J2729:J2730"/>
    <mergeCell ref="K2729:K2730"/>
    <mergeCell ref="L2729:L2730"/>
    <mergeCell ref="M2729:M2730"/>
    <mergeCell ref="H2727:H2728"/>
    <mergeCell ref="I2727:I2728"/>
    <mergeCell ref="J2727:J2728"/>
    <mergeCell ref="K2727:K2728"/>
    <mergeCell ref="L2727:L2728"/>
    <mergeCell ref="M2727:M2728"/>
    <mergeCell ref="M2723:M2724"/>
    <mergeCell ref="N2723:O2723"/>
    <mergeCell ref="H2725:H2726"/>
    <mergeCell ref="I2725:I2726"/>
    <mergeCell ref="J2725:J2726"/>
    <mergeCell ref="K2725:K2726"/>
    <mergeCell ref="L2725:L2726"/>
    <mergeCell ref="M2725:M2726"/>
    <mergeCell ref="H2698:L2698"/>
    <mergeCell ref="H2699:L2699"/>
    <mergeCell ref="H2700:L2700"/>
    <mergeCell ref="H2706:K2706"/>
    <mergeCell ref="H2721:O2721"/>
    <mergeCell ref="H2723:H2724"/>
    <mergeCell ref="I2723:I2724"/>
    <mergeCell ref="J2723:J2724"/>
    <mergeCell ref="K2723:K2724"/>
    <mergeCell ref="L2723:L2724"/>
    <mergeCell ref="H2696:H2697"/>
    <mergeCell ref="I2696:I2697"/>
    <mergeCell ref="J2696:J2697"/>
    <mergeCell ref="K2696:K2697"/>
    <mergeCell ref="L2696:L2697"/>
    <mergeCell ref="M2696:M2697"/>
    <mergeCell ref="H2694:H2695"/>
    <mergeCell ref="I2694:I2695"/>
    <mergeCell ref="J2694:J2695"/>
    <mergeCell ref="K2694:K2695"/>
    <mergeCell ref="L2694:L2695"/>
    <mergeCell ref="M2694:M2695"/>
    <mergeCell ref="H2692:H2693"/>
    <mergeCell ref="I2692:I2693"/>
    <mergeCell ref="J2692:J2693"/>
    <mergeCell ref="K2692:K2693"/>
    <mergeCell ref="L2692:L2693"/>
    <mergeCell ref="M2692:M2693"/>
    <mergeCell ref="H2690:H2691"/>
    <mergeCell ref="I2690:I2691"/>
    <mergeCell ref="J2690:J2691"/>
    <mergeCell ref="K2690:K2691"/>
    <mergeCell ref="L2690:L2691"/>
    <mergeCell ref="M2690:M2691"/>
    <mergeCell ref="M2686:M2687"/>
    <mergeCell ref="N2686:O2686"/>
    <mergeCell ref="H2688:H2689"/>
    <mergeCell ref="I2688:I2689"/>
    <mergeCell ref="J2688:J2689"/>
    <mergeCell ref="K2688:K2689"/>
    <mergeCell ref="L2688:L2689"/>
    <mergeCell ref="M2688:M2689"/>
    <mergeCell ref="H2661:L2661"/>
    <mergeCell ref="H2662:L2662"/>
    <mergeCell ref="H2663:L2663"/>
    <mergeCell ref="H2669:K2669"/>
    <mergeCell ref="H2684:O2684"/>
    <mergeCell ref="H2686:H2687"/>
    <mergeCell ref="I2686:I2687"/>
    <mergeCell ref="J2686:J2687"/>
    <mergeCell ref="K2686:K2687"/>
    <mergeCell ref="L2686:L2687"/>
    <mergeCell ref="H2659:H2660"/>
    <mergeCell ref="I2659:I2660"/>
    <mergeCell ref="J2659:J2660"/>
    <mergeCell ref="K2659:K2660"/>
    <mergeCell ref="L2659:L2660"/>
    <mergeCell ref="M2659:M2660"/>
    <mergeCell ref="H2657:H2658"/>
    <mergeCell ref="I2657:I2658"/>
    <mergeCell ref="J2657:J2658"/>
    <mergeCell ref="K2657:K2658"/>
    <mergeCell ref="L2657:L2658"/>
    <mergeCell ref="M2657:M2658"/>
    <mergeCell ref="H2655:H2656"/>
    <mergeCell ref="I2655:I2656"/>
    <mergeCell ref="J2655:J2656"/>
    <mergeCell ref="K2655:K2656"/>
    <mergeCell ref="L2655:L2656"/>
    <mergeCell ref="M2655:M2656"/>
    <mergeCell ref="H2653:H2654"/>
    <mergeCell ref="I2653:I2654"/>
    <mergeCell ref="J2653:J2654"/>
    <mergeCell ref="K2653:K2654"/>
    <mergeCell ref="L2653:L2654"/>
    <mergeCell ref="M2653:M2654"/>
    <mergeCell ref="M2649:M2650"/>
    <mergeCell ref="N2649:O2649"/>
    <mergeCell ref="H2651:H2652"/>
    <mergeCell ref="I2651:I2652"/>
    <mergeCell ref="J2651:J2652"/>
    <mergeCell ref="K2651:K2652"/>
    <mergeCell ref="L2651:L2652"/>
    <mergeCell ref="M2651:M2652"/>
    <mergeCell ref="H2624:L2624"/>
    <mergeCell ref="H2625:L2625"/>
    <mergeCell ref="H2626:L2626"/>
    <mergeCell ref="H2632:K2632"/>
    <mergeCell ref="H2647:O2647"/>
    <mergeCell ref="H2649:H2650"/>
    <mergeCell ref="I2649:I2650"/>
    <mergeCell ref="J2649:J2650"/>
    <mergeCell ref="K2649:K2650"/>
    <mergeCell ref="L2649:L2650"/>
    <mergeCell ref="H2622:H2623"/>
    <mergeCell ref="I2622:I2623"/>
    <mergeCell ref="J2622:J2623"/>
    <mergeCell ref="K2622:K2623"/>
    <mergeCell ref="L2622:L2623"/>
    <mergeCell ref="M2622:M2623"/>
    <mergeCell ref="H2620:H2621"/>
    <mergeCell ref="I2620:I2621"/>
    <mergeCell ref="J2620:J2621"/>
    <mergeCell ref="K2620:K2621"/>
    <mergeCell ref="L2620:L2621"/>
    <mergeCell ref="M2620:M2621"/>
    <mergeCell ref="H2618:H2619"/>
    <mergeCell ref="I2618:I2619"/>
    <mergeCell ref="J2618:J2619"/>
    <mergeCell ref="K2618:K2619"/>
    <mergeCell ref="L2618:L2619"/>
    <mergeCell ref="M2618:M2619"/>
    <mergeCell ref="H2616:H2617"/>
    <mergeCell ref="I2616:I2617"/>
    <mergeCell ref="J2616:J2617"/>
    <mergeCell ref="K2616:K2617"/>
    <mergeCell ref="L2616:L2617"/>
    <mergeCell ref="M2616:M2617"/>
    <mergeCell ref="H2614:H2615"/>
    <mergeCell ref="I2614:I2615"/>
    <mergeCell ref="J2614:J2615"/>
    <mergeCell ref="K2614:K2615"/>
    <mergeCell ref="L2614:L2615"/>
    <mergeCell ref="M2614:M2615"/>
    <mergeCell ref="H2612:H2613"/>
    <mergeCell ref="I2612:I2613"/>
    <mergeCell ref="J2612:J2613"/>
    <mergeCell ref="K2612:K2613"/>
    <mergeCell ref="L2612:L2613"/>
    <mergeCell ref="M2612:M2613"/>
    <mergeCell ref="H2608:O2608"/>
    <mergeCell ref="H2610:H2611"/>
    <mergeCell ref="I2610:I2611"/>
    <mergeCell ref="J2610:J2611"/>
    <mergeCell ref="K2610:K2611"/>
    <mergeCell ref="L2610:L2611"/>
    <mergeCell ref="M2610:M2611"/>
    <mergeCell ref="N2610:O2610"/>
    <mergeCell ref="H2585:L2585"/>
    <mergeCell ref="H2586:L2586"/>
    <mergeCell ref="H2587:L2587"/>
    <mergeCell ref="H2593:K2593"/>
    <mergeCell ref="M2593:O2593"/>
    <mergeCell ref="M2598:O2598"/>
    <mergeCell ref="H2583:H2584"/>
    <mergeCell ref="I2583:I2584"/>
    <mergeCell ref="J2583:J2584"/>
    <mergeCell ref="K2583:K2584"/>
    <mergeCell ref="L2583:L2584"/>
    <mergeCell ref="M2583:M2584"/>
    <mergeCell ref="H2581:H2582"/>
    <mergeCell ref="I2581:I2582"/>
    <mergeCell ref="J2581:J2582"/>
    <mergeCell ref="K2581:K2582"/>
    <mergeCell ref="L2581:L2582"/>
    <mergeCell ref="M2581:M2582"/>
    <mergeCell ref="H2579:H2580"/>
    <mergeCell ref="I2579:I2580"/>
    <mergeCell ref="J2579:J2580"/>
    <mergeCell ref="K2579:K2580"/>
    <mergeCell ref="L2579:L2580"/>
    <mergeCell ref="M2579:M2580"/>
    <mergeCell ref="H2577:H2578"/>
    <mergeCell ref="I2577:I2578"/>
    <mergeCell ref="J2577:J2578"/>
    <mergeCell ref="K2577:K2578"/>
    <mergeCell ref="L2577:L2578"/>
    <mergeCell ref="M2577:M2578"/>
    <mergeCell ref="M2573:M2574"/>
    <mergeCell ref="N2573:O2573"/>
    <mergeCell ref="H2575:H2576"/>
    <mergeCell ref="I2575:I2576"/>
    <mergeCell ref="J2575:J2576"/>
    <mergeCell ref="K2575:K2576"/>
    <mergeCell ref="L2575:L2576"/>
    <mergeCell ref="M2575:M2576"/>
    <mergeCell ref="H2548:L2548"/>
    <mergeCell ref="H2549:L2549"/>
    <mergeCell ref="H2550:L2550"/>
    <mergeCell ref="H2556:K2556"/>
    <mergeCell ref="H2571:O2571"/>
    <mergeCell ref="H2573:H2574"/>
    <mergeCell ref="I2573:I2574"/>
    <mergeCell ref="J2573:J2574"/>
    <mergeCell ref="K2573:K2574"/>
    <mergeCell ref="L2573:L2574"/>
    <mergeCell ref="H2546:H2547"/>
    <mergeCell ref="I2546:I2547"/>
    <mergeCell ref="J2546:J2547"/>
    <mergeCell ref="K2546:K2547"/>
    <mergeCell ref="L2546:L2547"/>
    <mergeCell ref="M2546:M2547"/>
    <mergeCell ref="H2544:H2545"/>
    <mergeCell ref="I2544:I2545"/>
    <mergeCell ref="J2544:J2545"/>
    <mergeCell ref="K2544:K2545"/>
    <mergeCell ref="L2544:L2545"/>
    <mergeCell ref="M2544:M2545"/>
    <mergeCell ref="H2542:H2543"/>
    <mergeCell ref="I2542:I2543"/>
    <mergeCell ref="J2542:J2543"/>
    <mergeCell ref="K2542:K2543"/>
    <mergeCell ref="L2542:L2543"/>
    <mergeCell ref="M2542:M2543"/>
    <mergeCell ref="H2540:H2541"/>
    <mergeCell ref="I2540:I2541"/>
    <mergeCell ref="J2540:J2541"/>
    <mergeCell ref="K2540:K2541"/>
    <mergeCell ref="L2540:L2541"/>
    <mergeCell ref="M2540:M2541"/>
    <mergeCell ref="M2536:M2537"/>
    <mergeCell ref="N2536:O2536"/>
    <mergeCell ref="H2538:H2539"/>
    <mergeCell ref="I2538:I2539"/>
    <mergeCell ref="J2538:J2539"/>
    <mergeCell ref="K2538:K2539"/>
    <mergeCell ref="L2538:L2539"/>
    <mergeCell ref="M2538:M2539"/>
    <mergeCell ref="H2511:L2511"/>
    <mergeCell ref="H2512:L2512"/>
    <mergeCell ref="H2513:L2513"/>
    <mergeCell ref="H2519:K2519"/>
    <mergeCell ref="H2534:O2534"/>
    <mergeCell ref="H2536:H2537"/>
    <mergeCell ref="I2536:I2537"/>
    <mergeCell ref="J2536:J2537"/>
    <mergeCell ref="K2536:K2537"/>
    <mergeCell ref="L2536:L2537"/>
    <mergeCell ref="H2509:H2510"/>
    <mergeCell ref="I2509:I2510"/>
    <mergeCell ref="J2509:J2510"/>
    <mergeCell ref="K2509:K2510"/>
    <mergeCell ref="L2509:L2510"/>
    <mergeCell ref="M2509:M2510"/>
    <mergeCell ref="H2507:H2508"/>
    <mergeCell ref="I2507:I2508"/>
    <mergeCell ref="J2507:J2508"/>
    <mergeCell ref="K2507:K2508"/>
    <mergeCell ref="L2507:L2508"/>
    <mergeCell ref="M2507:M2508"/>
    <mergeCell ref="H2505:H2506"/>
    <mergeCell ref="I2505:I2506"/>
    <mergeCell ref="J2505:J2506"/>
    <mergeCell ref="K2505:K2506"/>
    <mergeCell ref="L2505:L2506"/>
    <mergeCell ref="M2505:M2506"/>
    <mergeCell ref="H2503:H2504"/>
    <mergeCell ref="I2503:I2504"/>
    <mergeCell ref="J2503:J2504"/>
    <mergeCell ref="K2503:K2504"/>
    <mergeCell ref="L2503:L2504"/>
    <mergeCell ref="M2503:M2504"/>
    <mergeCell ref="M2499:M2500"/>
    <mergeCell ref="N2499:O2499"/>
    <mergeCell ref="H2501:H2502"/>
    <mergeCell ref="I2501:I2502"/>
    <mergeCell ref="J2501:J2502"/>
    <mergeCell ref="K2501:K2502"/>
    <mergeCell ref="L2501:L2502"/>
    <mergeCell ref="M2501:M2502"/>
    <mergeCell ref="H2474:L2474"/>
    <mergeCell ref="H2475:L2475"/>
    <mergeCell ref="H2476:L2476"/>
    <mergeCell ref="H2482:K2482"/>
    <mergeCell ref="H2497:O2497"/>
    <mergeCell ref="H2499:H2500"/>
    <mergeCell ref="I2499:I2500"/>
    <mergeCell ref="J2499:J2500"/>
    <mergeCell ref="K2499:K2500"/>
    <mergeCell ref="L2499:L2500"/>
    <mergeCell ref="H2472:H2473"/>
    <mergeCell ref="I2472:I2473"/>
    <mergeCell ref="J2472:J2473"/>
    <mergeCell ref="K2472:K2473"/>
    <mergeCell ref="L2472:L2473"/>
    <mergeCell ref="M2472:M2473"/>
    <mergeCell ref="H2470:H2471"/>
    <mergeCell ref="I2470:I2471"/>
    <mergeCell ref="J2470:J2471"/>
    <mergeCell ref="K2470:K2471"/>
    <mergeCell ref="L2470:L2471"/>
    <mergeCell ref="M2470:M2471"/>
    <mergeCell ref="H2468:H2469"/>
    <mergeCell ref="I2468:I2469"/>
    <mergeCell ref="J2468:J2469"/>
    <mergeCell ref="K2468:K2469"/>
    <mergeCell ref="L2468:L2469"/>
    <mergeCell ref="M2468:M2469"/>
    <mergeCell ref="H2466:H2467"/>
    <mergeCell ref="I2466:I2467"/>
    <mergeCell ref="J2466:J2467"/>
    <mergeCell ref="K2466:K2467"/>
    <mergeCell ref="L2466:L2467"/>
    <mergeCell ref="M2466:M2467"/>
    <mergeCell ref="H2464:H2465"/>
    <mergeCell ref="I2464:I2465"/>
    <mergeCell ref="J2464:J2465"/>
    <mergeCell ref="K2464:K2465"/>
    <mergeCell ref="L2464:L2465"/>
    <mergeCell ref="M2464:M2465"/>
    <mergeCell ref="M2460:M2461"/>
    <mergeCell ref="N2460:O2460"/>
    <mergeCell ref="H2462:H2463"/>
    <mergeCell ref="I2462:I2463"/>
    <mergeCell ref="J2462:J2463"/>
    <mergeCell ref="K2462:K2463"/>
    <mergeCell ref="L2462:L2463"/>
    <mergeCell ref="M2462:M2463"/>
    <mergeCell ref="H2435:L2435"/>
    <mergeCell ref="H2436:L2436"/>
    <mergeCell ref="H2437:L2437"/>
    <mergeCell ref="H2443:K2443"/>
    <mergeCell ref="H2458:O2458"/>
    <mergeCell ref="H2460:H2461"/>
    <mergeCell ref="I2460:I2461"/>
    <mergeCell ref="J2460:J2461"/>
    <mergeCell ref="K2460:K2461"/>
    <mergeCell ref="L2460:L2461"/>
    <mergeCell ref="H2433:H2434"/>
    <mergeCell ref="I2433:I2434"/>
    <mergeCell ref="J2433:J2434"/>
    <mergeCell ref="K2433:K2434"/>
    <mergeCell ref="L2433:L2434"/>
    <mergeCell ref="M2433:M2434"/>
    <mergeCell ref="H2431:H2432"/>
    <mergeCell ref="I2431:I2432"/>
    <mergeCell ref="J2431:J2432"/>
    <mergeCell ref="K2431:K2432"/>
    <mergeCell ref="L2431:L2432"/>
    <mergeCell ref="M2431:M2432"/>
    <mergeCell ref="H2429:H2430"/>
    <mergeCell ref="I2429:I2430"/>
    <mergeCell ref="J2429:J2430"/>
    <mergeCell ref="K2429:K2430"/>
    <mergeCell ref="L2429:L2430"/>
    <mergeCell ref="M2429:M2430"/>
    <mergeCell ref="H2427:H2428"/>
    <mergeCell ref="I2427:I2428"/>
    <mergeCell ref="J2427:J2428"/>
    <mergeCell ref="K2427:K2428"/>
    <mergeCell ref="L2427:L2428"/>
    <mergeCell ref="M2427:M2428"/>
    <mergeCell ref="M2423:M2424"/>
    <mergeCell ref="N2423:O2423"/>
    <mergeCell ref="H2425:H2426"/>
    <mergeCell ref="I2425:I2426"/>
    <mergeCell ref="J2425:J2426"/>
    <mergeCell ref="K2425:K2426"/>
    <mergeCell ref="L2425:L2426"/>
    <mergeCell ref="M2425:M2426"/>
    <mergeCell ref="H2398:L2398"/>
    <mergeCell ref="H2399:L2399"/>
    <mergeCell ref="H2400:L2400"/>
    <mergeCell ref="H2406:K2406"/>
    <mergeCell ref="H2421:O2421"/>
    <mergeCell ref="H2423:H2424"/>
    <mergeCell ref="I2423:I2424"/>
    <mergeCell ref="J2423:J2424"/>
    <mergeCell ref="K2423:K2424"/>
    <mergeCell ref="L2423:L2424"/>
    <mergeCell ref="H2396:H2397"/>
    <mergeCell ref="I2396:I2397"/>
    <mergeCell ref="J2396:J2397"/>
    <mergeCell ref="K2396:K2397"/>
    <mergeCell ref="L2396:L2397"/>
    <mergeCell ref="M2396:M2397"/>
    <mergeCell ref="H2394:H2395"/>
    <mergeCell ref="I2394:I2395"/>
    <mergeCell ref="J2394:J2395"/>
    <mergeCell ref="K2394:K2395"/>
    <mergeCell ref="L2394:L2395"/>
    <mergeCell ref="M2394:M2395"/>
    <mergeCell ref="H2392:H2393"/>
    <mergeCell ref="I2392:I2393"/>
    <mergeCell ref="J2392:J2393"/>
    <mergeCell ref="K2392:K2393"/>
    <mergeCell ref="L2392:L2393"/>
    <mergeCell ref="M2392:M2393"/>
    <mergeCell ref="H2390:H2391"/>
    <mergeCell ref="I2390:I2391"/>
    <mergeCell ref="J2390:J2391"/>
    <mergeCell ref="K2390:K2391"/>
    <mergeCell ref="L2390:L2391"/>
    <mergeCell ref="M2390:M2391"/>
    <mergeCell ref="M2386:M2387"/>
    <mergeCell ref="N2386:O2386"/>
    <mergeCell ref="H2388:H2389"/>
    <mergeCell ref="I2388:I2389"/>
    <mergeCell ref="J2388:J2389"/>
    <mergeCell ref="K2388:K2389"/>
    <mergeCell ref="L2388:L2389"/>
    <mergeCell ref="M2388:M2389"/>
    <mergeCell ref="H2361:L2361"/>
    <mergeCell ref="H2362:L2362"/>
    <mergeCell ref="H2363:L2363"/>
    <mergeCell ref="H2369:K2369"/>
    <mergeCell ref="H2384:O2384"/>
    <mergeCell ref="H2386:H2387"/>
    <mergeCell ref="I2386:I2387"/>
    <mergeCell ref="J2386:J2387"/>
    <mergeCell ref="K2386:K2387"/>
    <mergeCell ref="L2386:L2387"/>
    <mergeCell ref="H2359:H2360"/>
    <mergeCell ref="I2359:I2360"/>
    <mergeCell ref="J2359:J2360"/>
    <mergeCell ref="K2359:K2360"/>
    <mergeCell ref="L2359:L2360"/>
    <mergeCell ref="M2359:M2360"/>
    <mergeCell ref="H2357:H2358"/>
    <mergeCell ref="I2357:I2358"/>
    <mergeCell ref="J2357:J2358"/>
    <mergeCell ref="K2357:K2358"/>
    <mergeCell ref="L2357:L2358"/>
    <mergeCell ref="M2357:M2358"/>
    <mergeCell ref="H2355:H2356"/>
    <mergeCell ref="I2355:I2356"/>
    <mergeCell ref="J2355:J2356"/>
    <mergeCell ref="K2355:K2356"/>
    <mergeCell ref="L2355:L2356"/>
    <mergeCell ref="M2355:M2356"/>
    <mergeCell ref="H2353:H2354"/>
    <mergeCell ref="I2353:I2354"/>
    <mergeCell ref="J2353:J2354"/>
    <mergeCell ref="K2353:K2354"/>
    <mergeCell ref="L2353:L2354"/>
    <mergeCell ref="M2353:M2354"/>
    <mergeCell ref="M2349:M2350"/>
    <mergeCell ref="N2349:O2349"/>
    <mergeCell ref="H2351:H2352"/>
    <mergeCell ref="I2351:I2352"/>
    <mergeCell ref="J2351:J2352"/>
    <mergeCell ref="K2351:K2352"/>
    <mergeCell ref="L2351:L2352"/>
    <mergeCell ref="M2351:M2352"/>
    <mergeCell ref="H2324:L2324"/>
    <mergeCell ref="H2325:L2325"/>
    <mergeCell ref="H2326:L2326"/>
    <mergeCell ref="H2332:K2332"/>
    <mergeCell ref="H2347:O2347"/>
    <mergeCell ref="H2349:H2350"/>
    <mergeCell ref="I2349:I2350"/>
    <mergeCell ref="J2349:J2350"/>
    <mergeCell ref="K2349:K2350"/>
    <mergeCell ref="L2349:L2350"/>
    <mergeCell ref="H2322:H2323"/>
    <mergeCell ref="I2322:I2323"/>
    <mergeCell ref="J2322:J2323"/>
    <mergeCell ref="K2322:K2323"/>
    <mergeCell ref="L2322:L2323"/>
    <mergeCell ref="M2322:M2323"/>
    <mergeCell ref="H2320:H2321"/>
    <mergeCell ref="I2320:I2321"/>
    <mergeCell ref="J2320:J2321"/>
    <mergeCell ref="K2320:K2321"/>
    <mergeCell ref="L2320:L2321"/>
    <mergeCell ref="M2320:M2321"/>
    <mergeCell ref="H2318:H2319"/>
    <mergeCell ref="I2318:I2319"/>
    <mergeCell ref="J2318:J2319"/>
    <mergeCell ref="K2318:K2319"/>
    <mergeCell ref="L2318:L2319"/>
    <mergeCell ref="M2318:M2319"/>
    <mergeCell ref="H2316:H2317"/>
    <mergeCell ref="I2316:I2317"/>
    <mergeCell ref="J2316:J2317"/>
    <mergeCell ref="K2316:K2317"/>
    <mergeCell ref="L2316:L2317"/>
    <mergeCell ref="M2316:M2317"/>
    <mergeCell ref="M2312:M2313"/>
    <mergeCell ref="N2312:O2312"/>
    <mergeCell ref="H2314:H2315"/>
    <mergeCell ref="I2314:I2315"/>
    <mergeCell ref="J2314:J2315"/>
    <mergeCell ref="K2314:K2315"/>
    <mergeCell ref="L2314:L2315"/>
    <mergeCell ref="M2314:M2315"/>
    <mergeCell ref="H2287:L2287"/>
    <mergeCell ref="H2288:L2288"/>
    <mergeCell ref="H2289:L2289"/>
    <mergeCell ref="H2295:K2295"/>
    <mergeCell ref="H2310:O2310"/>
    <mergeCell ref="H2312:H2313"/>
    <mergeCell ref="I2312:I2313"/>
    <mergeCell ref="J2312:J2313"/>
    <mergeCell ref="K2312:K2313"/>
    <mergeCell ref="L2312:L2313"/>
    <mergeCell ref="H2285:H2286"/>
    <mergeCell ref="I2285:I2286"/>
    <mergeCell ref="J2285:J2286"/>
    <mergeCell ref="K2285:K2286"/>
    <mergeCell ref="L2285:L2286"/>
    <mergeCell ref="M2285:M2286"/>
    <mergeCell ref="H2283:H2284"/>
    <mergeCell ref="I2283:I2284"/>
    <mergeCell ref="J2283:J2284"/>
    <mergeCell ref="K2283:K2284"/>
    <mergeCell ref="L2283:L2284"/>
    <mergeCell ref="M2283:M2284"/>
    <mergeCell ref="H2281:H2282"/>
    <mergeCell ref="I2281:I2282"/>
    <mergeCell ref="J2281:J2282"/>
    <mergeCell ref="K2281:K2282"/>
    <mergeCell ref="L2281:L2282"/>
    <mergeCell ref="M2281:M2282"/>
    <mergeCell ref="H2279:H2280"/>
    <mergeCell ref="I2279:I2280"/>
    <mergeCell ref="J2279:J2280"/>
    <mergeCell ref="K2279:K2280"/>
    <mergeCell ref="L2279:L2280"/>
    <mergeCell ref="M2279:M2280"/>
    <mergeCell ref="M2275:M2276"/>
    <mergeCell ref="N2275:O2275"/>
    <mergeCell ref="H2277:H2278"/>
    <mergeCell ref="I2277:I2278"/>
    <mergeCell ref="J2277:J2278"/>
    <mergeCell ref="K2277:K2278"/>
    <mergeCell ref="L2277:L2278"/>
    <mergeCell ref="M2277:M2278"/>
    <mergeCell ref="H2250:L2250"/>
    <mergeCell ref="H2251:L2251"/>
    <mergeCell ref="H2252:L2252"/>
    <mergeCell ref="H2258:K2258"/>
    <mergeCell ref="H2273:O2273"/>
    <mergeCell ref="H2275:H2276"/>
    <mergeCell ref="I2275:I2276"/>
    <mergeCell ref="J2275:J2276"/>
    <mergeCell ref="K2275:K2276"/>
    <mergeCell ref="L2275:L2276"/>
    <mergeCell ref="H2248:H2249"/>
    <mergeCell ref="I2248:I2249"/>
    <mergeCell ref="J2248:J2249"/>
    <mergeCell ref="K2248:K2249"/>
    <mergeCell ref="L2248:L2249"/>
    <mergeCell ref="M2248:M2249"/>
    <mergeCell ref="H2246:H2247"/>
    <mergeCell ref="I2246:I2247"/>
    <mergeCell ref="J2246:J2247"/>
    <mergeCell ref="K2246:K2247"/>
    <mergeCell ref="L2246:L2247"/>
    <mergeCell ref="M2246:M2247"/>
    <mergeCell ref="H2244:H2245"/>
    <mergeCell ref="I2244:I2245"/>
    <mergeCell ref="J2244:J2245"/>
    <mergeCell ref="K2244:K2245"/>
    <mergeCell ref="L2244:L2245"/>
    <mergeCell ref="M2244:M2245"/>
    <mergeCell ref="H2242:H2243"/>
    <mergeCell ref="I2242:I2243"/>
    <mergeCell ref="J2242:J2243"/>
    <mergeCell ref="K2242:K2243"/>
    <mergeCell ref="L2242:L2243"/>
    <mergeCell ref="M2242:M2243"/>
    <mergeCell ref="M2238:M2239"/>
    <mergeCell ref="N2238:O2238"/>
    <mergeCell ref="H2240:H2241"/>
    <mergeCell ref="I2240:I2241"/>
    <mergeCell ref="J2240:J2241"/>
    <mergeCell ref="K2240:K2241"/>
    <mergeCell ref="L2240:L2241"/>
    <mergeCell ref="M2240:M2241"/>
    <mergeCell ref="H2213:L2213"/>
    <mergeCell ref="H2214:L2214"/>
    <mergeCell ref="H2215:L2215"/>
    <mergeCell ref="H2221:K2221"/>
    <mergeCell ref="H2236:O2236"/>
    <mergeCell ref="H2238:H2239"/>
    <mergeCell ref="I2238:I2239"/>
    <mergeCell ref="J2238:J2239"/>
    <mergeCell ref="K2238:K2239"/>
    <mergeCell ref="L2238:L2239"/>
    <mergeCell ref="H2211:H2212"/>
    <mergeCell ref="I2211:I2212"/>
    <mergeCell ref="J2211:J2212"/>
    <mergeCell ref="K2211:K2212"/>
    <mergeCell ref="L2211:L2212"/>
    <mergeCell ref="M2211:M2212"/>
    <mergeCell ref="H2209:H2210"/>
    <mergeCell ref="I2209:I2210"/>
    <mergeCell ref="J2209:J2210"/>
    <mergeCell ref="K2209:K2210"/>
    <mergeCell ref="L2209:L2210"/>
    <mergeCell ref="M2209:M2210"/>
    <mergeCell ref="H2207:H2208"/>
    <mergeCell ref="I2207:I2208"/>
    <mergeCell ref="J2207:J2208"/>
    <mergeCell ref="K2207:K2208"/>
    <mergeCell ref="L2207:L2208"/>
    <mergeCell ref="M2207:M2208"/>
    <mergeCell ref="H2205:H2206"/>
    <mergeCell ref="I2205:I2206"/>
    <mergeCell ref="J2205:J2206"/>
    <mergeCell ref="K2205:K2206"/>
    <mergeCell ref="L2205:L2206"/>
    <mergeCell ref="M2205:M2206"/>
    <mergeCell ref="M2201:M2202"/>
    <mergeCell ref="N2201:O2201"/>
    <mergeCell ref="H2203:H2204"/>
    <mergeCell ref="I2203:I2204"/>
    <mergeCell ref="J2203:J2204"/>
    <mergeCell ref="K2203:K2204"/>
    <mergeCell ref="L2203:L2204"/>
    <mergeCell ref="M2203:M2204"/>
    <mergeCell ref="H2176:L2176"/>
    <mergeCell ref="H2177:L2177"/>
    <mergeCell ref="H2178:L2178"/>
    <mergeCell ref="H2184:K2184"/>
    <mergeCell ref="H2199:O2199"/>
    <mergeCell ref="H2201:H2202"/>
    <mergeCell ref="I2201:I2202"/>
    <mergeCell ref="J2201:J2202"/>
    <mergeCell ref="K2201:K2202"/>
    <mergeCell ref="L2201:L2202"/>
    <mergeCell ref="H2174:H2175"/>
    <mergeCell ref="I2174:I2175"/>
    <mergeCell ref="J2174:J2175"/>
    <mergeCell ref="K2174:K2175"/>
    <mergeCell ref="L2174:L2175"/>
    <mergeCell ref="M2174:M2175"/>
    <mergeCell ref="H2172:H2173"/>
    <mergeCell ref="I2172:I2173"/>
    <mergeCell ref="J2172:J2173"/>
    <mergeCell ref="K2172:K2173"/>
    <mergeCell ref="L2172:L2173"/>
    <mergeCell ref="M2172:M2173"/>
    <mergeCell ref="H2170:H2171"/>
    <mergeCell ref="I2170:I2171"/>
    <mergeCell ref="J2170:J2171"/>
    <mergeCell ref="K2170:K2171"/>
    <mergeCell ref="L2170:L2171"/>
    <mergeCell ref="M2170:M2171"/>
    <mergeCell ref="H2168:H2169"/>
    <mergeCell ref="I2168:I2169"/>
    <mergeCell ref="J2168:J2169"/>
    <mergeCell ref="K2168:K2169"/>
    <mergeCell ref="L2168:L2169"/>
    <mergeCell ref="M2168:M2169"/>
    <mergeCell ref="H2166:H2167"/>
    <mergeCell ref="I2166:I2167"/>
    <mergeCell ref="J2166:J2167"/>
    <mergeCell ref="K2166:K2167"/>
    <mergeCell ref="L2166:L2167"/>
    <mergeCell ref="M2166:M2167"/>
    <mergeCell ref="M2162:M2163"/>
    <mergeCell ref="N2162:O2162"/>
    <mergeCell ref="H2164:H2165"/>
    <mergeCell ref="I2164:I2165"/>
    <mergeCell ref="J2164:J2165"/>
    <mergeCell ref="K2164:K2165"/>
    <mergeCell ref="L2164:L2165"/>
    <mergeCell ref="M2164:M2165"/>
    <mergeCell ref="H2137:L2137"/>
    <mergeCell ref="H2138:L2138"/>
    <mergeCell ref="H2139:L2139"/>
    <mergeCell ref="H2145:K2145"/>
    <mergeCell ref="H2160:O2160"/>
    <mergeCell ref="H2162:H2163"/>
    <mergeCell ref="I2162:I2163"/>
    <mergeCell ref="J2162:J2163"/>
    <mergeCell ref="K2162:K2163"/>
    <mergeCell ref="L2162:L2163"/>
    <mergeCell ref="H2135:H2136"/>
    <mergeCell ref="I2135:I2136"/>
    <mergeCell ref="J2135:J2136"/>
    <mergeCell ref="K2135:K2136"/>
    <mergeCell ref="L2135:L2136"/>
    <mergeCell ref="M2135:M2136"/>
    <mergeCell ref="H2133:H2134"/>
    <mergeCell ref="I2133:I2134"/>
    <mergeCell ref="J2133:J2134"/>
    <mergeCell ref="K2133:K2134"/>
    <mergeCell ref="L2133:L2134"/>
    <mergeCell ref="M2133:M2134"/>
    <mergeCell ref="H2131:H2132"/>
    <mergeCell ref="I2131:I2132"/>
    <mergeCell ref="J2131:J2132"/>
    <mergeCell ref="K2131:K2132"/>
    <mergeCell ref="L2131:L2132"/>
    <mergeCell ref="M2131:M2132"/>
    <mergeCell ref="H2129:H2130"/>
    <mergeCell ref="I2129:I2130"/>
    <mergeCell ref="J2129:J2130"/>
    <mergeCell ref="K2129:K2130"/>
    <mergeCell ref="L2129:L2130"/>
    <mergeCell ref="M2129:M2130"/>
    <mergeCell ref="M2125:M2126"/>
    <mergeCell ref="N2125:O2125"/>
    <mergeCell ref="H2127:H2128"/>
    <mergeCell ref="I2127:I2128"/>
    <mergeCell ref="J2127:J2128"/>
    <mergeCell ref="K2127:K2128"/>
    <mergeCell ref="L2127:L2128"/>
    <mergeCell ref="M2127:M2128"/>
    <mergeCell ref="H2100:L2100"/>
    <mergeCell ref="H2101:L2101"/>
    <mergeCell ref="H2102:L2102"/>
    <mergeCell ref="H2108:K2108"/>
    <mergeCell ref="H2123:O2123"/>
    <mergeCell ref="H2125:H2126"/>
    <mergeCell ref="I2125:I2126"/>
    <mergeCell ref="J2125:J2126"/>
    <mergeCell ref="K2125:K2126"/>
    <mergeCell ref="L2125:L2126"/>
    <mergeCell ref="H2098:H2099"/>
    <mergeCell ref="I2098:I2099"/>
    <mergeCell ref="J2098:J2099"/>
    <mergeCell ref="K2098:K2099"/>
    <mergeCell ref="L2098:L2099"/>
    <mergeCell ref="M2098:M2099"/>
    <mergeCell ref="H2096:H2097"/>
    <mergeCell ref="I2096:I2097"/>
    <mergeCell ref="J2096:J2097"/>
    <mergeCell ref="K2096:K2097"/>
    <mergeCell ref="L2096:L2097"/>
    <mergeCell ref="M2096:M2097"/>
    <mergeCell ref="H2094:H2095"/>
    <mergeCell ref="I2094:I2095"/>
    <mergeCell ref="J2094:J2095"/>
    <mergeCell ref="K2094:K2095"/>
    <mergeCell ref="L2094:L2095"/>
    <mergeCell ref="M2094:M2095"/>
    <mergeCell ref="H2092:H2093"/>
    <mergeCell ref="I2092:I2093"/>
    <mergeCell ref="J2092:J2093"/>
    <mergeCell ref="K2092:K2093"/>
    <mergeCell ref="L2092:L2093"/>
    <mergeCell ref="M2092:M2093"/>
    <mergeCell ref="M2088:M2089"/>
    <mergeCell ref="N2088:O2088"/>
    <mergeCell ref="H2090:H2091"/>
    <mergeCell ref="I2090:I2091"/>
    <mergeCell ref="J2090:J2091"/>
    <mergeCell ref="K2090:K2091"/>
    <mergeCell ref="L2090:L2091"/>
    <mergeCell ref="M2090:M2091"/>
    <mergeCell ref="H2063:L2063"/>
    <mergeCell ref="H2064:L2064"/>
    <mergeCell ref="H2065:L2065"/>
    <mergeCell ref="H2071:K2071"/>
    <mergeCell ref="H2086:O2086"/>
    <mergeCell ref="H2088:H2089"/>
    <mergeCell ref="I2088:I2089"/>
    <mergeCell ref="J2088:J2089"/>
    <mergeCell ref="K2088:K2089"/>
    <mergeCell ref="L2088:L2089"/>
    <mergeCell ref="H2061:H2062"/>
    <mergeCell ref="I2061:I2062"/>
    <mergeCell ref="J2061:J2062"/>
    <mergeCell ref="K2061:K2062"/>
    <mergeCell ref="L2061:L2062"/>
    <mergeCell ref="M2061:M2062"/>
    <mergeCell ref="H2059:H2060"/>
    <mergeCell ref="I2059:I2060"/>
    <mergeCell ref="J2059:J2060"/>
    <mergeCell ref="K2059:K2060"/>
    <mergeCell ref="L2059:L2060"/>
    <mergeCell ref="M2059:M2060"/>
    <mergeCell ref="H2057:H2058"/>
    <mergeCell ref="I2057:I2058"/>
    <mergeCell ref="J2057:J2058"/>
    <mergeCell ref="K2057:K2058"/>
    <mergeCell ref="L2057:L2058"/>
    <mergeCell ref="M2057:M2058"/>
    <mergeCell ref="H2055:H2056"/>
    <mergeCell ref="I2055:I2056"/>
    <mergeCell ref="J2055:J2056"/>
    <mergeCell ref="K2055:K2056"/>
    <mergeCell ref="L2055:L2056"/>
    <mergeCell ref="M2055:M2056"/>
    <mergeCell ref="M2051:M2052"/>
    <mergeCell ref="N2051:O2051"/>
    <mergeCell ref="H2053:H2054"/>
    <mergeCell ref="I2053:I2054"/>
    <mergeCell ref="J2053:J2054"/>
    <mergeCell ref="K2053:K2054"/>
    <mergeCell ref="L2053:L2054"/>
    <mergeCell ref="M2053:M2054"/>
    <mergeCell ref="H2026:L2026"/>
    <mergeCell ref="H2027:L2027"/>
    <mergeCell ref="H2028:L2028"/>
    <mergeCell ref="H2034:K2034"/>
    <mergeCell ref="H2049:O2049"/>
    <mergeCell ref="H2051:H2052"/>
    <mergeCell ref="I2051:I2052"/>
    <mergeCell ref="J2051:J2052"/>
    <mergeCell ref="K2051:K2052"/>
    <mergeCell ref="L2051:L2052"/>
    <mergeCell ref="H2024:H2025"/>
    <mergeCell ref="I2024:I2025"/>
    <mergeCell ref="J2024:J2025"/>
    <mergeCell ref="K2024:K2025"/>
    <mergeCell ref="L2024:L2025"/>
    <mergeCell ref="M2024:M2025"/>
    <mergeCell ref="H2022:H2023"/>
    <mergeCell ref="I2022:I2023"/>
    <mergeCell ref="J2022:J2023"/>
    <mergeCell ref="K2022:K2023"/>
    <mergeCell ref="L2022:L2023"/>
    <mergeCell ref="M2022:M2023"/>
    <mergeCell ref="H2020:H2021"/>
    <mergeCell ref="I2020:I2021"/>
    <mergeCell ref="J2020:J2021"/>
    <mergeCell ref="K2020:K2021"/>
    <mergeCell ref="L2020:L2021"/>
    <mergeCell ref="M2020:M2021"/>
    <mergeCell ref="H2018:H2019"/>
    <mergeCell ref="I2018:I2019"/>
    <mergeCell ref="J2018:J2019"/>
    <mergeCell ref="K2018:K2019"/>
    <mergeCell ref="L2018:L2019"/>
    <mergeCell ref="M2018:M2019"/>
    <mergeCell ref="M2014:M2015"/>
    <mergeCell ref="N2014:O2014"/>
    <mergeCell ref="H2016:H2017"/>
    <mergeCell ref="I2016:I2017"/>
    <mergeCell ref="J2016:J2017"/>
    <mergeCell ref="K2016:K2017"/>
    <mergeCell ref="L2016:L2017"/>
    <mergeCell ref="M2016:M2017"/>
    <mergeCell ref="H1989:L1989"/>
    <mergeCell ref="H1990:L1990"/>
    <mergeCell ref="H1991:L1991"/>
    <mergeCell ref="H1997:K1997"/>
    <mergeCell ref="H2012:O2012"/>
    <mergeCell ref="H2014:H2015"/>
    <mergeCell ref="I2014:I2015"/>
    <mergeCell ref="J2014:J2015"/>
    <mergeCell ref="K2014:K2015"/>
    <mergeCell ref="L2014:L2015"/>
    <mergeCell ref="H1987:H1988"/>
    <mergeCell ref="I1987:I1988"/>
    <mergeCell ref="J1987:J1988"/>
    <mergeCell ref="K1987:K1988"/>
    <mergeCell ref="L1987:L1988"/>
    <mergeCell ref="M1987:M1988"/>
    <mergeCell ref="H1985:H1986"/>
    <mergeCell ref="I1985:I1986"/>
    <mergeCell ref="J1985:J1986"/>
    <mergeCell ref="K1985:K1986"/>
    <mergeCell ref="L1985:L1986"/>
    <mergeCell ref="M1985:M1986"/>
    <mergeCell ref="H1983:H1984"/>
    <mergeCell ref="I1983:I1984"/>
    <mergeCell ref="J1983:J1984"/>
    <mergeCell ref="K1983:K1984"/>
    <mergeCell ref="L1983:L1984"/>
    <mergeCell ref="M1983:M1984"/>
    <mergeCell ref="H1981:H1982"/>
    <mergeCell ref="I1981:I1982"/>
    <mergeCell ref="J1981:J1982"/>
    <mergeCell ref="K1981:K1982"/>
    <mergeCell ref="L1981:L1982"/>
    <mergeCell ref="M1981:M1982"/>
    <mergeCell ref="M1977:M1978"/>
    <mergeCell ref="N1977:O1977"/>
    <mergeCell ref="H1979:H1980"/>
    <mergeCell ref="I1979:I1980"/>
    <mergeCell ref="J1979:J1980"/>
    <mergeCell ref="K1979:K1980"/>
    <mergeCell ref="L1979:L1980"/>
    <mergeCell ref="M1979:M1980"/>
    <mergeCell ref="H1952:L1952"/>
    <mergeCell ref="H1953:L1953"/>
    <mergeCell ref="H1954:L1954"/>
    <mergeCell ref="H1960:K1960"/>
    <mergeCell ref="H1975:O1975"/>
    <mergeCell ref="H1977:H1978"/>
    <mergeCell ref="I1977:I1978"/>
    <mergeCell ref="J1977:J1978"/>
    <mergeCell ref="K1977:K1978"/>
    <mergeCell ref="L1977:L1978"/>
    <mergeCell ref="H1950:H1951"/>
    <mergeCell ref="I1950:I1951"/>
    <mergeCell ref="J1950:J1951"/>
    <mergeCell ref="K1950:K1951"/>
    <mergeCell ref="L1950:L1951"/>
    <mergeCell ref="M1950:M1951"/>
    <mergeCell ref="H1948:H1949"/>
    <mergeCell ref="I1948:I1949"/>
    <mergeCell ref="J1948:J1949"/>
    <mergeCell ref="K1948:K1949"/>
    <mergeCell ref="L1948:L1949"/>
    <mergeCell ref="M1948:M1949"/>
    <mergeCell ref="H1946:H1947"/>
    <mergeCell ref="I1946:I1947"/>
    <mergeCell ref="J1946:J1947"/>
    <mergeCell ref="K1946:K1947"/>
    <mergeCell ref="L1946:L1947"/>
    <mergeCell ref="M1946:M1947"/>
    <mergeCell ref="H1944:H1945"/>
    <mergeCell ref="I1944:I1945"/>
    <mergeCell ref="J1944:J1945"/>
    <mergeCell ref="K1944:K1945"/>
    <mergeCell ref="L1944:L1945"/>
    <mergeCell ref="M1944:M1945"/>
    <mergeCell ref="M1940:M1941"/>
    <mergeCell ref="N1940:O1940"/>
    <mergeCell ref="H1942:H1943"/>
    <mergeCell ref="I1942:I1943"/>
    <mergeCell ref="J1942:J1943"/>
    <mergeCell ref="K1942:K1943"/>
    <mergeCell ref="L1942:L1943"/>
    <mergeCell ref="M1942:M1943"/>
    <mergeCell ref="H1915:L1915"/>
    <mergeCell ref="H1916:L1916"/>
    <mergeCell ref="H1917:L1917"/>
    <mergeCell ref="H1923:K1923"/>
    <mergeCell ref="H1938:O1938"/>
    <mergeCell ref="H1940:H1941"/>
    <mergeCell ref="I1940:I1941"/>
    <mergeCell ref="J1940:J1941"/>
    <mergeCell ref="K1940:K1941"/>
    <mergeCell ref="L1940:L1941"/>
    <mergeCell ref="H1913:H1914"/>
    <mergeCell ref="I1913:I1914"/>
    <mergeCell ref="J1913:J1914"/>
    <mergeCell ref="K1913:K1914"/>
    <mergeCell ref="L1913:L1914"/>
    <mergeCell ref="M1913:M1914"/>
    <mergeCell ref="H1911:H1912"/>
    <mergeCell ref="I1911:I1912"/>
    <mergeCell ref="J1911:J1912"/>
    <mergeCell ref="K1911:K1912"/>
    <mergeCell ref="L1911:L1912"/>
    <mergeCell ref="M1911:M1912"/>
    <mergeCell ref="H1909:H1910"/>
    <mergeCell ref="I1909:I1910"/>
    <mergeCell ref="J1909:J1910"/>
    <mergeCell ref="K1909:K1910"/>
    <mergeCell ref="L1909:L1910"/>
    <mergeCell ref="M1909:M1910"/>
    <mergeCell ref="H1907:H1908"/>
    <mergeCell ref="I1907:I1908"/>
    <mergeCell ref="J1907:J1908"/>
    <mergeCell ref="K1907:K1908"/>
    <mergeCell ref="L1907:L1908"/>
    <mergeCell ref="M1907:M1908"/>
    <mergeCell ref="M1903:M1904"/>
    <mergeCell ref="N1903:O1903"/>
    <mergeCell ref="H1905:H1906"/>
    <mergeCell ref="I1905:I1906"/>
    <mergeCell ref="J1905:J1906"/>
    <mergeCell ref="K1905:K1906"/>
    <mergeCell ref="L1905:L1906"/>
    <mergeCell ref="M1905:M1906"/>
    <mergeCell ref="H1878:L1878"/>
    <mergeCell ref="H1879:L1879"/>
    <mergeCell ref="H1880:L1880"/>
    <mergeCell ref="H1886:K1886"/>
    <mergeCell ref="H1901:O1901"/>
    <mergeCell ref="H1903:H1904"/>
    <mergeCell ref="I1903:I1904"/>
    <mergeCell ref="J1903:J1904"/>
    <mergeCell ref="K1903:K1904"/>
    <mergeCell ref="L1903:L1904"/>
    <mergeCell ref="H1876:H1877"/>
    <mergeCell ref="I1876:I1877"/>
    <mergeCell ref="J1876:J1877"/>
    <mergeCell ref="K1876:K1877"/>
    <mergeCell ref="L1876:L1877"/>
    <mergeCell ref="M1876:M1877"/>
    <mergeCell ref="H1874:H1875"/>
    <mergeCell ref="I1874:I1875"/>
    <mergeCell ref="J1874:J1875"/>
    <mergeCell ref="K1874:K1875"/>
    <mergeCell ref="L1874:L1875"/>
    <mergeCell ref="M1874:M1875"/>
    <mergeCell ref="H1872:H1873"/>
    <mergeCell ref="I1872:I1873"/>
    <mergeCell ref="J1872:J1873"/>
    <mergeCell ref="K1872:K1873"/>
    <mergeCell ref="L1872:L1873"/>
    <mergeCell ref="M1872:M1873"/>
    <mergeCell ref="H1870:H1871"/>
    <mergeCell ref="I1870:I1871"/>
    <mergeCell ref="J1870:J1871"/>
    <mergeCell ref="K1870:K1871"/>
    <mergeCell ref="L1870:L1871"/>
    <mergeCell ref="M1870:M1871"/>
    <mergeCell ref="M1866:M1867"/>
    <mergeCell ref="N1866:O1866"/>
    <mergeCell ref="H1868:H1869"/>
    <mergeCell ref="I1868:I1869"/>
    <mergeCell ref="J1868:J1869"/>
    <mergeCell ref="K1868:K1869"/>
    <mergeCell ref="L1868:L1869"/>
    <mergeCell ref="M1868:M1869"/>
    <mergeCell ref="H1841:L1841"/>
    <mergeCell ref="H1842:L1842"/>
    <mergeCell ref="H1843:L1843"/>
    <mergeCell ref="H1849:K1849"/>
    <mergeCell ref="H1864:O1864"/>
    <mergeCell ref="H1866:H1867"/>
    <mergeCell ref="I1866:I1867"/>
    <mergeCell ref="J1866:J1867"/>
    <mergeCell ref="K1866:K1867"/>
    <mergeCell ref="L1866:L1867"/>
    <mergeCell ref="H1839:H1840"/>
    <mergeCell ref="I1839:I1840"/>
    <mergeCell ref="J1839:J1840"/>
    <mergeCell ref="K1839:K1840"/>
    <mergeCell ref="L1839:L1840"/>
    <mergeCell ref="M1839:M1840"/>
    <mergeCell ref="H1837:H1838"/>
    <mergeCell ref="I1837:I1838"/>
    <mergeCell ref="J1837:J1838"/>
    <mergeCell ref="K1837:K1838"/>
    <mergeCell ref="L1837:L1838"/>
    <mergeCell ref="M1837:M1838"/>
    <mergeCell ref="H1835:H1836"/>
    <mergeCell ref="I1835:I1836"/>
    <mergeCell ref="J1835:J1836"/>
    <mergeCell ref="K1835:K1836"/>
    <mergeCell ref="L1835:L1836"/>
    <mergeCell ref="M1835:M1836"/>
    <mergeCell ref="H1833:H1834"/>
    <mergeCell ref="I1833:I1834"/>
    <mergeCell ref="J1833:J1834"/>
    <mergeCell ref="K1833:K1834"/>
    <mergeCell ref="L1833:L1834"/>
    <mergeCell ref="M1833:M1834"/>
    <mergeCell ref="M1829:M1830"/>
    <mergeCell ref="N1829:O1829"/>
    <mergeCell ref="H1831:H1832"/>
    <mergeCell ref="I1831:I1832"/>
    <mergeCell ref="J1831:J1832"/>
    <mergeCell ref="K1831:K1832"/>
    <mergeCell ref="L1831:L1832"/>
    <mergeCell ref="M1831:M1832"/>
    <mergeCell ref="H1804:L1804"/>
    <mergeCell ref="H1805:L1805"/>
    <mergeCell ref="H1806:L1806"/>
    <mergeCell ref="H1812:K1812"/>
    <mergeCell ref="H1827:O1827"/>
    <mergeCell ref="H1829:H1830"/>
    <mergeCell ref="I1829:I1830"/>
    <mergeCell ref="J1829:J1830"/>
    <mergeCell ref="K1829:K1830"/>
    <mergeCell ref="L1829:L1830"/>
    <mergeCell ref="H1802:H1803"/>
    <mergeCell ref="I1802:I1803"/>
    <mergeCell ref="J1802:J1803"/>
    <mergeCell ref="K1802:K1803"/>
    <mergeCell ref="L1802:L1803"/>
    <mergeCell ref="M1802:M1803"/>
    <mergeCell ref="H1800:H1801"/>
    <mergeCell ref="I1800:I1801"/>
    <mergeCell ref="J1800:J1801"/>
    <mergeCell ref="K1800:K1801"/>
    <mergeCell ref="L1800:L1801"/>
    <mergeCell ref="M1800:M1801"/>
    <mergeCell ref="H1798:H1799"/>
    <mergeCell ref="I1798:I1799"/>
    <mergeCell ref="J1798:J1799"/>
    <mergeCell ref="K1798:K1799"/>
    <mergeCell ref="L1798:L1799"/>
    <mergeCell ref="M1798:M1799"/>
    <mergeCell ref="H1796:H1797"/>
    <mergeCell ref="I1796:I1797"/>
    <mergeCell ref="J1796:J1797"/>
    <mergeCell ref="K1796:K1797"/>
    <mergeCell ref="L1796:L1797"/>
    <mergeCell ref="M1796:M1797"/>
    <mergeCell ref="M1792:M1793"/>
    <mergeCell ref="N1792:O1792"/>
    <mergeCell ref="H1794:H1795"/>
    <mergeCell ref="I1794:I1795"/>
    <mergeCell ref="J1794:J1795"/>
    <mergeCell ref="K1794:K1795"/>
    <mergeCell ref="L1794:L1795"/>
    <mergeCell ref="M1794:M1795"/>
    <mergeCell ref="H1767:L1767"/>
    <mergeCell ref="H1768:L1768"/>
    <mergeCell ref="H1769:L1769"/>
    <mergeCell ref="H1775:K1775"/>
    <mergeCell ref="H1790:O1790"/>
    <mergeCell ref="H1792:H1793"/>
    <mergeCell ref="I1792:I1793"/>
    <mergeCell ref="J1792:J1793"/>
    <mergeCell ref="K1792:K1793"/>
    <mergeCell ref="L1792:L1793"/>
    <mergeCell ref="H1765:H1766"/>
    <mergeCell ref="I1765:I1766"/>
    <mergeCell ref="J1765:J1766"/>
    <mergeCell ref="K1765:K1766"/>
    <mergeCell ref="L1765:L1766"/>
    <mergeCell ref="M1765:M1766"/>
    <mergeCell ref="H1763:H1764"/>
    <mergeCell ref="I1763:I1764"/>
    <mergeCell ref="J1763:J1764"/>
    <mergeCell ref="K1763:K1764"/>
    <mergeCell ref="L1763:L1764"/>
    <mergeCell ref="M1763:M1764"/>
    <mergeCell ref="H1761:H1762"/>
    <mergeCell ref="I1761:I1762"/>
    <mergeCell ref="J1761:J1762"/>
    <mergeCell ref="K1761:K1762"/>
    <mergeCell ref="L1761:L1762"/>
    <mergeCell ref="M1761:M1762"/>
    <mergeCell ref="H1759:H1760"/>
    <mergeCell ref="I1759:I1760"/>
    <mergeCell ref="J1759:J1760"/>
    <mergeCell ref="K1759:K1760"/>
    <mergeCell ref="L1759:L1760"/>
    <mergeCell ref="M1759:M1760"/>
    <mergeCell ref="M1755:M1756"/>
    <mergeCell ref="N1755:O1755"/>
    <mergeCell ref="H1757:H1758"/>
    <mergeCell ref="I1757:I1758"/>
    <mergeCell ref="J1757:J1758"/>
    <mergeCell ref="K1757:K1758"/>
    <mergeCell ref="L1757:L1758"/>
    <mergeCell ref="M1757:M1758"/>
    <mergeCell ref="H1730:L1730"/>
    <mergeCell ref="H1731:L1731"/>
    <mergeCell ref="H1732:L1732"/>
    <mergeCell ref="H1738:K1738"/>
    <mergeCell ref="H1753:O1753"/>
    <mergeCell ref="H1755:H1756"/>
    <mergeCell ref="I1755:I1756"/>
    <mergeCell ref="J1755:J1756"/>
    <mergeCell ref="K1755:K1756"/>
    <mergeCell ref="L1755:L1756"/>
    <mergeCell ref="H1728:H1729"/>
    <mergeCell ref="I1728:I1729"/>
    <mergeCell ref="J1728:J1729"/>
    <mergeCell ref="K1728:K1729"/>
    <mergeCell ref="L1728:L1729"/>
    <mergeCell ref="M1728:M1729"/>
    <mergeCell ref="H1726:H1727"/>
    <mergeCell ref="I1726:I1727"/>
    <mergeCell ref="J1726:J1727"/>
    <mergeCell ref="K1726:K1727"/>
    <mergeCell ref="L1726:L1727"/>
    <mergeCell ref="M1726:M1727"/>
    <mergeCell ref="H1724:H1725"/>
    <mergeCell ref="I1724:I1725"/>
    <mergeCell ref="J1724:J1725"/>
    <mergeCell ref="K1724:K1725"/>
    <mergeCell ref="L1724:L1725"/>
    <mergeCell ref="M1724:M1725"/>
    <mergeCell ref="H1722:H1723"/>
    <mergeCell ref="I1722:I1723"/>
    <mergeCell ref="J1722:J1723"/>
    <mergeCell ref="K1722:K1723"/>
    <mergeCell ref="L1722:L1723"/>
    <mergeCell ref="M1722:M1723"/>
    <mergeCell ref="H1720:H1721"/>
    <mergeCell ref="I1720:I1721"/>
    <mergeCell ref="J1720:J1721"/>
    <mergeCell ref="K1720:K1721"/>
    <mergeCell ref="L1720:L1721"/>
    <mergeCell ref="M1720:M1721"/>
    <mergeCell ref="M1716:M1717"/>
    <mergeCell ref="N1716:O1716"/>
    <mergeCell ref="H1718:H1719"/>
    <mergeCell ref="I1718:I1719"/>
    <mergeCell ref="J1718:J1719"/>
    <mergeCell ref="K1718:K1719"/>
    <mergeCell ref="L1718:L1719"/>
    <mergeCell ref="M1718:M1719"/>
    <mergeCell ref="H1691:L1691"/>
    <mergeCell ref="H1692:L1692"/>
    <mergeCell ref="H1693:L1693"/>
    <mergeCell ref="H1699:K1699"/>
    <mergeCell ref="H1714:O1714"/>
    <mergeCell ref="H1716:H1717"/>
    <mergeCell ref="I1716:I1717"/>
    <mergeCell ref="J1716:J1717"/>
    <mergeCell ref="K1716:K1717"/>
    <mergeCell ref="L1716:L1717"/>
    <mergeCell ref="H1689:H1690"/>
    <mergeCell ref="I1689:I1690"/>
    <mergeCell ref="J1689:J1690"/>
    <mergeCell ref="K1689:K1690"/>
    <mergeCell ref="L1689:L1690"/>
    <mergeCell ref="M1689:M1690"/>
    <mergeCell ref="H1687:H1688"/>
    <mergeCell ref="I1687:I1688"/>
    <mergeCell ref="J1687:J1688"/>
    <mergeCell ref="K1687:K1688"/>
    <mergeCell ref="L1687:L1688"/>
    <mergeCell ref="M1687:M1688"/>
    <mergeCell ref="H1685:H1686"/>
    <mergeCell ref="I1685:I1686"/>
    <mergeCell ref="J1685:J1686"/>
    <mergeCell ref="K1685:K1686"/>
    <mergeCell ref="L1685:L1686"/>
    <mergeCell ref="M1685:M1686"/>
    <mergeCell ref="H1683:H1684"/>
    <mergeCell ref="I1683:I1684"/>
    <mergeCell ref="J1683:J1684"/>
    <mergeCell ref="K1683:K1684"/>
    <mergeCell ref="L1683:L1684"/>
    <mergeCell ref="M1683:M1684"/>
    <mergeCell ref="M1679:M1680"/>
    <mergeCell ref="N1679:O1679"/>
    <mergeCell ref="H1681:H1682"/>
    <mergeCell ref="I1681:I1682"/>
    <mergeCell ref="J1681:J1682"/>
    <mergeCell ref="K1681:K1682"/>
    <mergeCell ref="L1681:L1682"/>
    <mergeCell ref="M1681:M1682"/>
    <mergeCell ref="H1654:L1654"/>
    <mergeCell ref="H1655:L1655"/>
    <mergeCell ref="H1656:L1656"/>
    <mergeCell ref="H1662:K1662"/>
    <mergeCell ref="H1677:O1677"/>
    <mergeCell ref="H1679:H1680"/>
    <mergeCell ref="I1679:I1680"/>
    <mergeCell ref="J1679:J1680"/>
    <mergeCell ref="K1679:K1680"/>
    <mergeCell ref="L1679:L1680"/>
    <mergeCell ref="H1652:H1653"/>
    <mergeCell ref="I1652:I1653"/>
    <mergeCell ref="J1652:J1653"/>
    <mergeCell ref="K1652:K1653"/>
    <mergeCell ref="L1652:L1653"/>
    <mergeCell ref="M1652:M1653"/>
    <mergeCell ref="H1650:H1651"/>
    <mergeCell ref="I1650:I1651"/>
    <mergeCell ref="J1650:J1651"/>
    <mergeCell ref="K1650:K1651"/>
    <mergeCell ref="L1650:L1651"/>
    <mergeCell ref="M1650:M1651"/>
    <mergeCell ref="H1648:H1649"/>
    <mergeCell ref="I1648:I1649"/>
    <mergeCell ref="J1648:J1649"/>
    <mergeCell ref="K1648:K1649"/>
    <mergeCell ref="L1648:L1649"/>
    <mergeCell ref="M1648:M1649"/>
    <mergeCell ref="H1646:H1647"/>
    <mergeCell ref="I1646:I1647"/>
    <mergeCell ref="J1646:J1647"/>
    <mergeCell ref="K1646:K1647"/>
    <mergeCell ref="L1646:L1647"/>
    <mergeCell ref="M1646:M1647"/>
    <mergeCell ref="M1642:M1643"/>
    <mergeCell ref="N1642:O1642"/>
    <mergeCell ref="H1644:H1645"/>
    <mergeCell ref="I1644:I1645"/>
    <mergeCell ref="J1644:J1645"/>
    <mergeCell ref="K1644:K1645"/>
    <mergeCell ref="L1644:L1645"/>
    <mergeCell ref="M1644:M1645"/>
    <mergeCell ref="H1617:L1617"/>
    <mergeCell ref="H1618:L1618"/>
    <mergeCell ref="H1619:L1619"/>
    <mergeCell ref="H1625:K1625"/>
    <mergeCell ref="H1640:O1640"/>
    <mergeCell ref="H1642:H1643"/>
    <mergeCell ref="I1642:I1643"/>
    <mergeCell ref="J1642:J1643"/>
    <mergeCell ref="K1642:K1643"/>
    <mergeCell ref="L1642:L1643"/>
    <mergeCell ref="H1615:H1616"/>
    <mergeCell ref="I1615:I1616"/>
    <mergeCell ref="J1615:J1616"/>
    <mergeCell ref="K1615:K1616"/>
    <mergeCell ref="L1615:L1616"/>
    <mergeCell ref="M1615:M1616"/>
    <mergeCell ref="H1613:H1614"/>
    <mergeCell ref="I1613:I1614"/>
    <mergeCell ref="J1613:J1614"/>
    <mergeCell ref="K1613:K1614"/>
    <mergeCell ref="L1613:L1614"/>
    <mergeCell ref="M1613:M1614"/>
    <mergeCell ref="H1611:H1612"/>
    <mergeCell ref="I1611:I1612"/>
    <mergeCell ref="J1611:J1612"/>
    <mergeCell ref="K1611:K1612"/>
    <mergeCell ref="L1611:L1612"/>
    <mergeCell ref="M1611:M1612"/>
    <mergeCell ref="H1609:H1610"/>
    <mergeCell ref="I1609:I1610"/>
    <mergeCell ref="J1609:J1610"/>
    <mergeCell ref="K1609:K1610"/>
    <mergeCell ref="L1609:L1610"/>
    <mergeCell ref="M1609:M1610"/>
    <mergeCell ref="M1605:M1606"/>
    <mergeCell ref="N1605:O1605"/>
    <mergeCell ref="H1607:H1608"/>
    <mergeCell ref="I1607:I1608"/>
    <mergeCell ref="J1607:J1608"/>
    <mergeCell ref="K1607:K1608"/>
    <mergeCell ref="L1607:L1608"/>
    <mergeCell ref="M1607:M1608"/>
    <mergeCell ref="H1580:L1580"/>
    <mergeCell ref="H1581:L1581"/>
    <mergeCell ref="H1582:L1582"/>
    <mergeCell ref="H1588:K1588"/>
    <mergeCell ref="H1603:O1603"/>
    <mergeCell ref="H1605:H1606"/>
    <mergeCell ref="I1605:I1606"/>
    <mergeCell ref="J1605:J1606"/>
    <mergeCell ref="K1605:K1606"/>
    <mergeCell ref="L1605:L1606"/>
    <mergeCell ref="H1578:H1579"/>
    <mergeCell ref="I1578:I1579"/>
    <mergeCell ref="J1578:J1579"/>
    <mergeCell ref="K1578:K1579"/>
    <mergeCell ref="L1578:L1579"/>
    <mergeCell ref="M1578:M1579"/>
    <mergeCell ref="H1576:H1577"/>
    <mergeCell ref="I1576:I1577"/>
    <mergeCell ref="J1576:J1577"/>
    <mergeCell ref="K1576:K1577"/>
    <mergeCell ref="L1576:L1577"/>
    <mergeCell ref="M1576:M1577"/>
    <mergeCell ref="H1574:H1575"/>
    <mergeCell ref="I1574:I1575"/>
    <mergeCell ref="J1574:J1575"/>
    <mergeCell ref="K1574:K1575"/>
    <mergeCell ref="L1574:L1575"/>
    <mergeCell ref="M1574:M1575"/>
    <mergeCell ref="H1572:H1573"/>
    <mergeCell ref="I1572:I1573"/>
    <mergeCell ref="J1572:J1573"/>
    <mergeCell ref="K1572:K1573"/>
    <mergeCell ref="L1572:L1573"/>
    <mergeCell ref="M1572:M1573"/>
    <mergeCell ref="M1568:M1569"/>
    <mergeCell ref="N1568:O1568"/>
    <mergeCell ref="H1570:H1571"/>
    <mergeCell ref="I1570:I1571"/>
    <mergeCell ref="J1570:J1571"/>
    <mergeCell ref="K1570:K1571"/>
    <mergeCell ref="L1570:L1571"/>
    <mergeCell ref="M1570:M1571"/>
    <mergeCell ref="H1543:L1543"/>
    <mergeCell ref="H1544:L1544"/>
    <mergeCell ref="H1545:L1545"/>
    <mergeCell ref="H1551:K1551"/>
    <mergeCell ref="H1566:O1566"/>
    <mergeCell ref="H1568:H1569"/>
    <mergeCell ref="I1568:I1569"/>
    <mergeCell ref="J1568:J1569"/>
    <mergeCell ref="K1568:K1569"/>
    <mergeCell ref="L1568:L1569"/>
    <mergeCell ref="H1541:H1542"/>
    <mergeCell ref="I1541:I1542"/>
    <mergeCell ref="J1541:J1542"/>
    <mergeCell ref="K1541:K1542"/>
    <mergeCell ref="L1541:L1542"/>
    <mergeCell ref="M1541:M1542"/>
    <mergeCell ref="H1539:H1540"/>
    <mergeCell ref="I1539:I1540"/>
    <mergeCell ref="J1539:J1540"/>
    <mergeCell ref="K1539:K1540"/>
    <mergeCell ref="L1539:L1540"/>
    <mergeCell ref="M1539:M1540"/>
    <mergeCell ref="H1537:H1538"/>
    <mergeCell ref="I1537:I1538"/>
    <mergeCell ref="J1537:J1538"/>
    <mergeCell ref="K1537:K1538"/>
    <mergeCell ref="L1537:L1538"/>
    <mergeCell ref="M1537:M1538"/>
    <mergeCell ref="H1535:H1536"/>
    <mergeCell ref="I1535:I1536"/>
    <mergeCell ref="J1535:J1536"/>
    <mergeCell ref="K1535:K1536"/>
    <mergeCell ref="L1535:L1536"/>
    <mergeCell ref="M1535:M1536"/>
    <mergeCell ref="N1531:O1531"/>
    <mergeCell ref="H1533:H1534"/>
    <mergeCell ref="I1533:I1534"/>
    <mergeCell ref="J1533:J1534"/>
    <mergeCell ref="K1533:K1534"/>
    <mergeCell ref="L1533:L1534"/>
    <mergeCell ref="M1533:M1534"/>
    <mergeCell ref="H1531:H1532"/>
    <mergeCell ref="I1531:I1532"/>
    <mergeCell ref="J1531:J1532"/>
    <mergeCell ref="K1531:K1532"/>
    <mergeCell ref="L1531:L1532"/>
    <mergeCell ref="M1531:M1532"/>
    <mergeCell ref="H1506:L1506"/>
    <mergeCell ref="H1507:L1507"/>
    <mergeCell ref="H1508:L1508"/>
    <mergeCell ref="H1514:K1514"/>
    <mergeCell ref="M1519:O1519"/>
    <mergeCell ref="H1529:O1529"/>
    <mergeCell ref="H1504:H1505"/>
    <mergeCell ref="I1504:I1505"/>
    <mergeCell ref="J1504:J1505"/>
    <mergeCell ref="K1504:K1505"/>
    <mergeCell ref="L1504:L1505"/>
    <mergeCell ref="M1504:M1505"/>
    <mergeCell ref="H1502:H1503"/>
    <mergeCell ref="I1502:I1503"/>
    <mergeCell ref="J1502:J1503"/>
    <mergeCell ref="K1502:K1503"/>
    <mergeCell ref="L1502:L1503"/>
    <mergeCell ref="M1502:M1503"/>
    <mergeCell ref="H1500:H1501"/>
    <mergeCell ref="I1500:I1501"/>
    <mergeCell ref="J1500:J1501"/>
    <mergeCell ref="K1500:K1501"/>
    <mergeCell ref="L1500:L1501"/>
    <mergeCell ref="M1500:M1501"/>
    <mergeCell ref="H1498:H1499"/>
    <mergeCell ref="I1498:I1499"/>
    <mergeCell ref="J1498:J1499"/>
    <mergeCell ref="K1498:K1499"/>
    <mergeCell ref="L1498:L1499"/>
    <mergeCell ref="M1498:M1499"/>
    <mergeCell ref="H1496:H1497"/>
    <mergeCell ref="I1496:I1497"/>
    <mergeCell ref="J1496:J1497"/>
    <mergeCell ref="K1496:K1497"/>
    <mergeCell ref="L1496:L1497"/>
    <mergeCell ref="M1496:M1497"/>
    <mergeCell ref="H1494:H1495"/>
    <mergeCell ref="I1494:I1495"/>
    <mergeCell ref="J1494:J1495"/>
    <mergeCell ref="K1494:K1495"/>
    <mergeCell ref="L1494:L1495"/>
    <mergeCell ref="M1494:M1495"/>
    <mergeCell ref="A1476:D1476"/>
    <mergeCell ref="M1480:O1480"/>
    <mergeCell ref="H1490:O1490"/>
    <mergeCell ref="H1492:H1493"/>
    <mergeCell ref="I1492:I1493"/>
    <mergeCell ref="J1492:J1493"/>
    <mergeCell ref="K1492:K1493"/>
    <mergeCell ref="L1492:L1493"/>
    <mergeCell ref="M1492:M1493"/>
    <mergeCell ref="N1492:O1492"/>
    <mergeCell ref="A1468:E1468"/>
    <mergeCell ref="H1468:L1468"/>
    <mergeCell ref="A1469:E1469"/>
    <mergeCell ref="H1469:L1469"/>
    <mergeCell ref="A1470:E1470"/>
    <mergeCell ref="H1475:K1475"/>
    <mergeCell ref="K1465:K1466"/>
    <mergeCell ref="L1465:L1466"/>
    <mergeCell ref="M1465:M1466"/>
    <mergeCell ref="A1466:A1467"/>
    <mergeCell ref="B1466:B1467"/>
    <mergeCell ref="C1466:C1467"/>
    <mergeCell ref="D1466:D1467"/>
    <mergeCell ref="E1466:E1467"/>
    <mergeCell ref="F1466:F1467"/>
    <mergeCell ref="H1467:L1467"/>
    <mergeCell ref="M1463:M1464"/>
    <mergeCell ref="A1464:A1465"/>
    <mergeCell ref="B1464:B1465"/>
    <mergeCell ref="C1464:C1465"/>
    <mergeCell ref="D1464:D1465"/>
    <mergeCell ref="E1464:E1465"/>
    <mergeCell ref="F1464:F1465"/>
    <mergeCell ref="H1465:H1466"/>
    <mergeCell ref="I1465:I1466"/>
    <mergeCell ref="J1465:J1466"/>
    <mergeCell ref="I1461:I1462"/>
    <mergeCell ref="J1461:J1462"/>
    <mergeCell ref="K1461:K1462"/>
    <mergeCell ref="L1461:L1462"/>
    <mergeCell ref="M1461:M1462"/>
    <mergeCell ref="H1463:H1464"/>
    <mergeCell ref="I1463:I1464"/>
    <mergeCell ref="J1463:J1464"/>
    <mergeCell ref="K1463:K1464"/>
    <mergeCell ref="L1463:L1464"/>
    <mergeCell ref="K1459:K1460"/>
    <mergeCell ref="L1459:L1460"/>
    <mergeCell ref="M1459:M1460"/>
    <mergeCell ref="A1460:A1463"/>
    <mergeCell ref="B1460:B1463"/>
    <mergeCell ref="C1460:C1463"/>
    <mergeCell ref="D1460:D1463"/>
    <mergeCell ref="E1460:E1463"/>
    <mergeCell ref="F1460:F1463"/>
    <mergeCell ref="H1461:H1462"/>
    <mergeCell ref="M1457:M1458"/>
    <mergeCell ref="A1458:A1459"/>
    <mergeCell ref="B1458:B1459"/>
    <mergeCell ref="C1458:C1459"/>
    <mergeCell ref="D1458:D1459"/>
    <mergeCell ref="E1458:E1459"/>
    <mergeCell ref="F1458:F1459"/>
    <mergeCell ref="H1459:H1460"/>
    <mergeCell ref="I1459:I1460"/>
    <mergeCell ref="J1459:J1460"/>
    <mergeCell ref="F1456:F1457"/>
    <mergeCell ref="H1457:H1458"/>
    <mergeCell ref="I1457:I1458"/>
    <mergeCell ref="J1457:J1458"/>
    <mergeCell ref="K1457:K1458"/>
    <mergeCell ref="L1457:L1458"/>
    <mergeCell ref="I1455:I1456"/>
    <mergeCell ref="J1455:J1456"/>
    <mergeCell ref="K1455:K1456"/>
    <mergeCell ref="L1455:L1456"/>
    <mergeCell ref="M1455:M1456"/>
    <mergeCell ref="A1456:A1457"/>
    <mergeCell ref="B1456:B1457"/>
    <mergeCell ref="C1456:C1457"/>
    <mergeCell ref="D1456:D1457"/>
    <mergeCell ref="E1456:E1457"/>
    <mergeCell ref="M1453:M1454"/>
    <mergeCell ref="N1453:O1453"/>
    <mergeCell ref="A1454:A1455"/>
    <mergeCell ref="B1454:B1455"/>
    <mergeCell ref="C1454:C1455"/>
    <mergeCell ref="D1454:D1455"/>
    <mergeCell ref="E1454:E1455"/>
    <mergeCell ref="F1454:F1455"/>
    <mergeCell ref="H1455:H1456"/>
    <mergeCell ref="H1436:K1436"/>
    <mergeCell ref="A1438:D1438"/>
    <mergeCell ref="M1441:O1441"/>
    <mergeCell ref="H1451:O1451"/>
    <mergeCell ref="A1452:G1452"/>
    <mergeCell ref="H1453:H1454"/>
    <mergeCell ref="I1453:I1454"/>
    <mergeCell ref="J1453:J1454"/>
    <mergeCell ref="K1453:K1454"/>
    <mergeCell ref="L1453:L1454"/>
    <mergeCell ref="H1428:L1428"/>
    <mergeCell ref="H1429:L1429"/>
    <mergeCell ref="A1430:E1430"/>
    <mergeCell ref="H1430:L1430"/>
    <mergeCell ref="A1431:E1431"/>
    <mergeCell ref="A1432:E1432"/>
    <mergeCell ref="A1428:A1429"/>
    <mergeCell ref="B1428:B1429"/>
    <mergeCell ref="C1428:C1429"/>
    <mergeCell ref="D1428:D1429"/>
    <mergeCell ref="E1428:E1429"/>
    <mergeCell ref="F1428:F1429"/>
    <mergeCell ref="H1426:H1427"/>
    <mergeCell ref="I1426:I1427"/>
    <mergeCell ref="J1426:J1427"/>
    <mergeCell ref="K1426:K1427"/>
    <mergeCell ref="L1426:L1427"/>
    <mergeCell ref="M1426:M1427"/>
    <mergeCell ref="A1426:A1427"/>
    <mergeCell ref="B1426:B1427"/>
    <mergeCell ref="C1426:C1427"/>
    <mergeCell ref="D1426:D1427"/>
    <mergeCell ref="E1426:E1427"/>
    <mergeCell ref="F1426:F1427"/>
    <mergeCell ref="H1424:H1425"/>
    <mergeCell ref="I1424:I1425"/>
    <mergeCell ref="J1424:J1425"/>
    <mergeCell ref="K1424:K1425"/>
    <mergeCell ref="L1424:L1425"/>
    <mergeCell ref="M1424:M1425"/>
    <mergeCell ref="A1424:A1425"/>
    <mergeCell ref="B1424:B1425"/>
    <mergeCell ref="C1424:C1425"/>
    <mergeCell ref="D1424:D1425"/>
    <mergeCell ref="E1424:E1425"/>
    <mergeCell ref="F1424:F1425"/>
    <mergeCell ref="H1422:H1423"/>
    <mergeCell ref="I1422:I1423"/>
    <mergeCell ref="J1422:J1423"/>
    <mergeCell ref="K1422:K1423"/>
    <mergeCell ref="L1422:L1423"/>
    <mergeCell ref="M1422:M1423"/>
    <mergeCell ref="A1422:A1423"/>
    <mergeCell ref="B1422:B1423"/>
    <mergeCell ref="C1422:C1423"/>
    <mergeCell ref="D1422:D1423"/>
    <mergeCell ref="E1422:E1423"/>
    <mergeCell ref="F1422:F1423"/>
    <mergeCell ref="H1420:H1421"/>
    <mergeCell ref="I1420:I1421"/>
    <mergeCell ref="J1420:J1421"/>
    <mergeCell ref="K1420:K1421"/>
    <mergeCell ref="L1420:L1421"/>
    <mergeCell ref="M1420:M1421"/>
    <mergeCell ref="J1418:J1419"/>
    <mergeCell ref="K1418:K1419"/>
    <mergeCell ref="L1418:L1419"/>
    <mergeCell ref="M1418:M1419"/>
    <mergeCell ref="A1420:A1421"/>
    <mergeCell ref="B1420:B1421"/>
    <mergeCell ref="C1420:C1421"/>
    <mergeCell ref="D1420:D1421"/>
    <mergeCell ref="E1420:E1421"/>
    <mergeCell ref="F1420:F1421"/>
    <mergeCell ref="N1416:O1416"/>
    <mergeCell ref="A1418:A1419"/>
    <mergeCell ref="B1418:B1419"/>
    <mergeCell ref="C1418:C1419"/>
    <mergeCell ref="D1418:D1419"/>
    <mergeCell ref="E1418:E1419"/>
    <mergeCell ref="F1418:F1419"/>
    <mergeCell ref="H1418:H1419"/>
    <mergeCell ref="I1418:I1419"/>
    <mergeCell ref="A1401:D1401"/>
    <mergeCell ref="M1404:O1404"/>
    <mergeCell ref="H1414:O1414"/>
    <mergeCell ref="A1416:G1416"/>
    <mergeCell ref="H1416:H1417"/>
    <mergeCell ref="I1416:I1417"/>
    <mergeCell ref="J1416:J1417"/>
    <mergeCell ref="K1416:K1417"/>
    <mergeCell ref="L1416:L1417"/>
    <mergeCell ref="M1416:M1417"/>
    <mergeCell ref="H1392:L1392"/>
    <mergeCell ref="A1393:E1393"/>
    <mergeCell ref="H1393:L1393"/>
    <mergeCell ref="A1394:E1394"/>
    <mergeCell ref="A1395:E1395"/>
    <mergeCell ref="H1399:K1399"/>
    <mergeCell ref="K1389:K1390"/>
    <mergeCell ref="L1389:L1390"/>
    <mergeCell ref="M1389:M1390"/>
    <mergeCell ref="A1391:A1392"/>
    <mergeCell ref="B1391:B1392"/>
    <mergeCell ref="C1391:C1392"/>
    <mergeCell ref="D1391:D1392"/>
    <mergeCell ref="E1391:E1392"/>
    <mergeCell ref="F1391:F1392"/>
    <mergeCell ref="H1391:L1391"/>
    <mergeCell ref="M1387:M1388"/>
    <mergeCell ref="A1389:A1390"/>
    <mergeCell ref="B1389:B1390"/>
    <mergeCell ref="C1389:C1390"/>
    <mergeCell ref="D1389:D1390"/>
    <mergeCell ref="E1389:E1390"/>
    <mergeCell ref="F1389:F1390"/>
    <mergeCell ref="H1389:H1390"/>
    <mergeCell ref="I1389:I1390"/>
    <mergeCell ref="J1389:J1390"/>
    <mergeCell ref="F1387:F1388"/>
    <mergeCell ref="H1387:H1388"/>
    <mergeCell ref="I1387:I1388"/>
    <mergeCell ref="J1387:J1388"/>
    <mergeCell ref="K1387:K1388"/>
    <mergeCell ref="L1387:L1388"/>
    <mergeCell ref="I1385:I1386"/>
    <mergeCell ref="J1385:J1386"/>
    <mergeCell ref="K1385:K1386"/>
    <mergeCell ref="L1385:L1386"/>
    <mergeCell ref="M1385:M1386"/>
    <mergeCell ref="A1387:A1388"/>
    <mergeCell ref="B1387:B1388"/>
    <mergeCell ref="C1387:C1388"/>
    <mergeCell ref="D1387:D1388"/>
    <mergeCell ref="E1387:E1388"/>
    <mergeCell ref="K1383:K1384"/>
    <mergeCell ref="L1383:L1384"/>
    <mergeCell ref="M1383:M1384"/>
    <mergeCell ref="A1385:A1386"/>
    <mergeCell ref="B1385:B1386"/>
    <mergeCell ref="C1385:C1386"/>
    <mergeCell ref="D1385:D1386"/>
    <mergeCell ref="E1385:E1386"/>
    <mergeCell ref="F1385:F1386"/>
    <mergeCell ref="H1385:H1386"/>
    <mergeCell ref="M1381:M1382"/>
    <mergeCell ref="A1383:A1384"/>
    <mergeCell ref="B1383:B1384"/>
    <mergeCell ref="C1383:C1384"/>
    <mergeCell ref="D1383:D1384"/>
    <mergeCell ref="E1383:E1384"/>
    <mergeCell ref="F1383:F1384"/>
    <mergeCell ref="H1383:H1384"/>
    <mergeCell ref="I1383:I1384"/>
    <mergeCell ref="J1383:J1384"/>
    <mergeCell ref="H1381:H1382"/>
    <mergeCell ref="I1381:I1382"/>
    <mergeCell ref="J1381:J1382"/>
    <mergeCell ref="K1381:K1382"/>
    <mergeCell ref="L1381:L1382"/>
    <mergeCell ref="A1381:A1382"/>
    <mergeCell ref="B1381:B1382"/>
    <mergeCell ref="C1381:C1382"/>
    <mergeCell ref="D1381:D1382"/>
    <mergeCell ref="E1381:E1382"/>
    <mergeCell ref="F1381:F1382"/>
    <mergeCell ref="M1367:O1367"/>
    <mergeCell ref="H1377:O1377"/>
    <mergeCell ref="A1379:G1379"/>
    <mergeCell ref="H1379:H1380"/>
    <mergeCell ref="I1379:I1380"/>
    <mergeCell ref="J1379:J1380"/>
    <mergeCell ref="K1379:K1380"/>
    <mergeCell ref="L1379:L1380"/>
    <mergeCell ref="M1379:M1380"/>
    <mergeCell ref="N1379:O1379"/>
    <mergeCell ref="A1356:E1356"/>
    <mergeCell ref="H1356:L1356"/>
    <mergeCell ref="A1357:E1357"/>
    <mergeCell ref="A1358:E1358"/>
    <mergeCell ref="H1362:K1362"/>
    <mergeCell ref="A1364:D1364"/>
    <mergeCell ref="M1352:M1353"/>
    <mergeCell ref="A1354:A1355"/>
    <mergeCell ref="B1354:B1355"/>
    <mergeCell ref="C1354:C1355"/>
    <mergeCell ref="D1354:D1355"/>
    <mergeCell ref="E1354:E1355"/>
    <mergeCell ref="F1354:F1355"/>
    <mergeCell ref="H1354:L1354"/>
    <mergeCell ref="H1355:L1355"/>
    <mergeCell ref="F1352:F1353"/>
    <mergeCell ref="H1352:H1353"/>
    <mergeCell ref="I1352:I1353"/>
    <mergeCell ref="J1352:J1353"/>
    <mergeCell ref="K1352:K1353"/>
    <mergeCell ref="L1352:L1353"/>
    <mergeCell ref="I1350:I1351"/>
    <mergeCell ref="J1350:J1351"/>
    <mergeCell ref="K1350:K1351"/>
    <mergeCell ref="L1350:L1351"/>
    <mergeCell ref="M1350:M1351"/>
    <mergeCell ref="A1352:A1353"/>
    <mergeCell ref="B1352:B1353"/>
    <mergeCell ref="C1352:C1353"/>
    <mergeCell ref="D1352:D1353"/>
    <mergeCell ref="E1352:E1353"/>
    <mergeCell ref="K1348:K1349"/>
    <mergeCell ref="L1348:L1349"/>
    <mergeCell ref="M1348:M1349"/>
    <mergeCell ref="A1350:A1351"/>
    <mergeCell ref="B1350:B1351"/>
    <mergeCell ref="C1350:C1351"/>
    <mergeCell ref="D1350:D1351"/>
    <mergeCell ref="E1350:E1351"/>
    <mergeCell ref="F1350:F1351"/>
    <mergeCell ref="H1350:H1351"/>
    <mergeCell ref="M1346:M1347"/>
    <mergeCell ref="A1348:A1349"/>
    <mergeCell ref="B1348:B1349"/>
    <mergeCell ref="C1348:C1349"/>
    <mergeCell ref="D1348:D1349"/>
    <mergeCell ref="E1348:E1349"/>
    <mergeCell ref="F1348:F1349"/>
    <mergeCell ref="H1348:H1349"/>
    <mergeCell ref="I1348:I1349"/>
    <mergeCell ref="J1348:J1349"/>
    <mergeCell ref="F1346:F1347"/>
    <mergeCell ref="H1346:H1347"/>
    <mergeCell ref="I1346:I1347"/>
    <mergeCell ref="J1346:J1347"/>
    <mergeCell ref="K1346:K1347"/>
    <mergeCell ref="L1346:L1347"/>
    <mergeCell ref="I1344:I1345"/>
    <mergeCell ref="J1344:J1345"/>
    <mergeCell ref="K1344:K1345"/>
    <mergeCell ref="L1344:L1345"/>
    <mergeCell ref="M1344:M1345"/>
    <mergeCell ref="A1346:A1347"/>
    <mergeCell ref="B1346:B1347"/>
    <mergeCell ref="C1346:C1347"/>
    <mergeCell ref="D1346:D1347"/>
    <mergeCell ref="E1346:E1347"/>
    <mergeCell ref="L1342:L1343"/>
    <mergeCell ref="M1342:M1343"/>
    <mergeCell ref="N1342:O1342"/>
    <mergeCell ref="A1344:A1345"/>
    <mergeCell ref="B1344:B1345"/>
    <mergeCell ref="C1344:C1345"/>
    <mergeCell ref="D1344:D1345"/>
    <mergeCell ref="E1344:E1345"/>
    <mergeCell ref="F1344:F1345"/>
    <mergeCell ref="H1344:H1345"/>
    <mergeCell ref="F1342:F1343"/>
    <mergeCell ref="H1342:H1343"/>
    <mergeCell ref="I1342:I1343"/>
    <mergeCell ref="J1342:J1343"/>
    <mergeCell ref="K1342:K1343"/>
    <mergeCell ref="A1325:D1325"/>
    <mergeCell ref="H1325:K1325"/>
    <mergeCell ref="M1330:O1330"/>
    <mergeCell ref="A1340:G1340"/>
    <mergeCell ref="H1340:O1340"/>
    <mergeCell ref="A1342:A1343"/>
    <mergeCell ref="B1342:B1343"/>
    <mergeCell ref="C1342:C1343"/>
    <mergeCell ref="D1342:D1343"/>
    <mergeCell ref="E1342:E1343"/>
    <mergeCell ref="M1315:M1316"/>
    <mergeCell ref="A1317:E1317"/>
    <mergeCell ref="H1317:L1317"/>
    <mergeCell ref="A1318:E1318"/>
    <mergeCell ref="H1318:L1318"/>
    <mergeCell ref="A1319:E1319"/>
    <mergeCell ref="H1319:L1319"/>
    <mergeCell ref="F1315:F1316"/>
    <mergeCell ref="H1315:H1316"/>
    <mergeCell ref="I1315:I1316"/>
    <mergeCell ref="J1315:J1316"/>
    <mergeCell ref="K1315:K1316"/>
    <mergeCell ref="L1315:L1316"/>
    <mergeCell ref="I1313:I1314"/>
    <mergeCell ref="J1313:J1314"/>
    <mergeCell ref="K1313:K1314"/>
    <mergeCell ref="L1313:L1314"/>
    <mergeCell ref="M1313:M1314"/>
    <mergeCell ref="A1315:A1316"/>
    <mergeCell ref="B1315:B1316"/>
    <mergeCell ref="C1315:C1316"/>
    <mergeCell ref="D1315:D1316"/>
    <mergeCell ref="E1315:E1316"/>
    <mergeCell ref="K1311:K1312"/>
    <mergeCell ref="L1311:L1312"/>
    <mergeCell ref="M1311:M1312"/>
    <mergeCell ref="A1313:A1314"/>
    <mergeCell ref="B1313:B1314"/>
    <mergeCell ref="C1313:C1314"/>
    <mergeCell ref="D1313:D1314"/>
    <mergeCell ref="E1313:E1314"/>
    <mergeCell ref="F1313:F1314"/>
    <mergeCell ref="H1313:H1314"/>
    <mergeCell ref="M1309:M1310"/>
    <mergeCell ref="A1311:A1312"/>
    <mergeCell ref="B1311:B1312"/>
    <mergeCell ref="C1311:C1312"/>
    <mergeCell ref="D1311:D1312"/>
    <mergeCell ref="E1311:E1312"/>
    <mergeCell ref="F1311:F1312"/>
    <mergeCell ref="H1311:H1312"/>
    <mergeCell ref="I1311:I1312"/>
    <mergeCell ref="J1311:J1312"/>
    <mergeCell ref="F1309:F1310"/>
    <mergeCell ref="H1309:H1310"/>
    <mergeCell ref="I1309:I1310"/>
    <mergeCell ref="J1309:J1310"/>
    <mergeCell ref="K1309:K1310"/>
    <mergeCell ref="L1309:L1310"/>
    <mergeCell ref="I1307:I1308"/>
    <mergeCell ref="J1307:J1308"/>
    <mergeCell ref="K1307:K1308"/>
    <mergeCell ref="L1307:L1308"/>
    <mergeCell ref="M1307:M1308"/>
    <mergeCell ref="A1309:A1310"/>
    <mergeCell ref="B1309:B1310"/>
    <mergeCell ref="C1309:C1310"/>
    <mergeCell ref="D1309:D1310"/>
    <mergeCell ref="E1309:E1310"/>
    <mergeCell ref="L1305:L1306"/>
    <mergeCell ref="M1305:M1306"/>
    <mergeCell ref="N1305:O1305"/>
    <mergeCell ref="A1307:A1308"/>
    <mergeCell ref="B1307:B1308"/>
    <mergeCell ref="C1307:C1308"/>
    <mergeCell ref="D1307:D1308"/>
    <mergeCell ref="E1307:E1308"/>
    <mergeCell ref="F1307:F1308"/>
    <mergeCell ref="H1307:H1308"/>
    <mergeCell ref="F1305:F1306"/>
    <mergeCell ref="H1305:H1306"/>
    <mergeCell ref="I1305:I1306"/>
    <mergeCell ref="J1305:J1306"/>
    <mergeCell ref="K1305:K1306"/>
    <mergeCell ref="A1288:D1288"/>
    <mergeCell ref="H1288:K1288"/>
    <mergeCell ref="M1293:O1293"/>
    <mergeCell ref="A1303:G1303"/>
    <mergeCell ref="H1303:O1303"/>
    <mergeCell ref="A1305:A1306"/>
    <mergeCell ref="B1305:B1306"/>
    <mergeCell ref="C1305:C1306"/>
    <mergeCell ref="D1305:D1306"/>
    <mergeCell ref="E1305:E1306"/>
    <mergeCell ref="A1280:E1280"/>
    <mergeCell ref="H1280:L1280"/>
    <mergeCell ref="A1281:E1281"/>
    <mergeCell ref="H1281:L1281"/>
    <mergeCell ref="A1282:E1282"/>
    <mergeCell ref="H1282:L1282"/>
    <mergeCell ref="H1278:H1279"/>
    <mergeCell ref="I1278:I1279"/>
    <mergeCell ref="J1278:J1279"/>
    <mergeCell ref="K1278:K1279"/>
    <mergeCell ref="L1278:L1279"/>
    <mergeCell ref="M1278:M1279"/>
    <mergeCell ref="A1278:A1279"/>
    <mergeCell ref="B1278:B1279"/>
    <mergeCell ref="C1278:C1279"/>
    <mergeCell ref="D1278:D1279"/>
    <mergeCell ref="E1278:E1279"/>
    <mergeCell ref="F1278:F1279"/>
    <mergeCell ref="H1276:H1277"/>
    <mergeCell ref="I1276:I1277"/>
    <mergeCell ref="J1276:J1277"/>
    <mergeCell ref="K1276:K1277"/>
    <mergeCell ref="L1276:L1277"/>
    <mergeCell ref="M1276:M1277"/>
    <mergeCell ref="A1276:A1277"/>
    <mergeCell ref="B1276:B1277"/>
    <mergeCell ref="C1276:C1277"/>
    <mergeCell ref="D1276:D1277"/>
    <mergeCell ref="E1276:E1277"/>
    <mergeCell ref="F1276:F1277"/>
    <mergeCell ref="H1274:H1275"/>
    <mergeCell ref="I1274:I1275"/>
    <mergeCell ref="J1274:J1275"/>
    <mergeCell ref="K1274:K1275"/>
    <mergeCell ref="L1274:L1275"/>
    <mergeCell ref="M1274:M1275"/>
    <mergeCell ref="A1274:A1275"/>
    <mergeCell ref="B1274:B1275"/>
    <mergeCell ref="C1274:C1275"/>
    <mergeCell ref="D1274:D1275"/>
    <mergeCell ref="E1274:E1275"/>
    <mergeCell ref="F1274:F1275"/>
    <mergeCell ref="H1272:H1273"/>
    <mergeCell ref="I1272:I1273"/>
    <mergeCell ref="J1272:J1273"/>
    <mergeCell ref="K1272:K1273"/>
    <mergeCell ref="L1272:L1273"/>
    <mergeCell ref="M1272:M1273"/>
    <mergeCell ref="J1270:J1271"/>
    <mergeCell ref="K1270:K1271"/>
    <mergeCell ref="L1270:L1271"/>
    <mergeCell ref="M1270:M1271"/>
    <mergeCell ref="A1272:A1273"/>
    <mergeCell ref="B1272:B1273"/>
    <mergeCell ref="C1272:C1273"/>
    <mergeCell ref="D1272:D1273"/>
    <mergeCell ref="E1272:E1273"/>
    <mergeCell ref="F1272:F1273"/>
    <mergeCell ref="M1268:M1269"/>
    <mergeCell ref="N1268:O1268"/>
    <mergeCell ref="A1270:A1271"/>
    <mergeCell ref="B1270:B1271"/>
    <mergeCell ref="C1270:C1271"/>
    <mergeCell ref="D1270:D1271"/>
    <mergeCell ref="E1270:E1271"/>
    <mergeCell ref="F1270:F1271"/>
    <mergeCell ref="H1270:H1271"/>
    <mergeCell ref="I1270:I1271"/>
    <mergeCell ref="H1268:H1269"/>
    <mergeCell ref="I1268:I1269"/>
    <mergeCell ref="J1268:J1269"/>
    <mergeCell ref="K1268:K1269"/>
    <mergeCell ref="L1268:L1269"/>
    <mergeCell ref="A1268:A1269"/>
    <mergeCell ref="B1268:B1269"/>
    <mergeCell ref="C1268:C1269"/>
    <mergeCell ref="D1268:D1269"/>
    <mergeCell ref="E1268:E1269"/>
    <mergeCell ref="F1268:F1269"/>
    <mergeCell ref="A1251:D1251"/>
    <mergeCell ref="H1251:K1251"/>
    <mergeCell ref="M1251:O1251"/>
    <mergeCell ref="M1255:O1255"/>
    <mergeCell ref="M1256:O1256"/>
    <mergeCell ref="A1266:G1266"/>
    <mergeCell ref="H1266:O1266"/>
    <mergeCell ref="A1243:E1243"/>
    <mergeCell ref="H1243:L1243"/>
    <mergeCell ref="A1244:E1244"/>
    <mergeCell ref="H1244:L1244"/>
    <mergeCell ref="A1245:E1245"/>
    <mergeCell ref="H1245:L1245"/>
    <mergeCell ref="H1241:H1242"/>
    <mergeCell ref="I1241:I1242"/>
    <mergeCell ref="J1241:J1242"/>
    <mergeCell ref="K1241:K1242"/>
    <mergeCell ref="L1241:L1242"/>
    <mergeCell ref="M1241:M1242"/>
    <mergeCell ref="A1241:A1242"/>
    <mergeCell ref="B1241:B1242"/>
    <mergeCell ref="C1241:C1242"/>
    <mergeCell ref="D1241:D1242"/>
    <mergeCell ref="E1241:E1242"/>
    <mergeCell ref="F1241:F1242"/>
    <mergeCell ref="H1239:H1240"/>
    <mergeCell ref="I1239:I1240"/>
    <mergeCell ref="J1239:J1240"/>
    <mergeCell ref="K1239:K1240"/>
    <mergeCell ref="L1239:L1240"/>
    <mergeCell ref="M1239:M1240"/>
    <mergeCell ref="A1239:A1240"/>
    <mergeCell ref="B1239:B1240"/>
    <mergeCell ref="C1239:C1240"/>
    <mergeCell ref="D1239:D1240"/>
    <mergeCell ref="E1239:E1240"/>
    <mergeCell ref="F1239:F1240"/>
    <mergeCell ref="H1237:H1238"/>
    <mergeCell ref="I1237:I1238"/>
    <mergeCell ref="J1237:J1238"/>
    <mergeCell ref="K1237:K1238"/>
    <mergeCell ref="L1237:L1238"/>
    <mergeCell ref="M1237:M1238"/>
    <mergeCell ref="A1237:A1238"/>
    <mergeCell ref="B1237:B1238"/>
    <mergeCell ref="C1237:C1238"/>
    <mergeCell ref="D1237:D1238"/>
    <mergeCell ref="E1237:E1238"/>
    <mergeCell ref="F1237:F1238"/>
    <mergeCell ref="H1235:H1236"/>
    <mergeCell ref="I1235:I1236"/>
    <mergeCell ref="J1235:J1236"/>
    <mergeCell ref="K1235:K1236"/>
    <mergeCell ref="L1235:L1236"/>
    <mergeCell ref="M1235:M1236"/>
    <mergeCell ref="J1233:J1234"/>
    <mergeCell ref="K1233:K1234"/>
    <mergeCell ref="L1233:L1234"/>
    <mergeCell ref="M1233:M1234"/>
    <mergeCell ref="A1235:A1236"/>
    <mergeCell ref="B1235:B1236"/>
    <mergeCell ref="C1235:C1236"/>
    <mergeCell ref="D1235:D1236"/>
    <mergeCell ref="E1235:E1236"/>
    <mergeCell ref="F1235:F1236"/>
    <mergeCell ref="M1231:M1232"/>
    <mergeCell ref="N1231:O1231"/>
    <mergeCell ref="A1233:A1234"/>
    <mergeCell ref="B1233:B1234"/>
    <mergeCell ref="C1233:C1234"/>
    <mergeCell ref="D1233:D1234"/>
    <mergeCell ref="E1233:E1234"/>
    <mergeCell ref="F1233:F1234"/>
    <mergeCell ref="H1233:H1234"/>
    <mergeCell ref="I1233:I1234"/>
    <mergeCell ref="H1231:H1232"/>
    <mergeCell ref="I1231:I1232"/>
    <mergeCell ref="J1231:J1232"/>
    <mergeCell ref="K1231:K1232"/>
    <mergeCell ref="L1231:L1232"/>
    <mergeCell ref="A1231:A1232"/>
    <mergeCell ref="B1231:B1232"/>
    <mergeCell ref="C1231:C1232"/>
    <mergeCell ref="D1231:D1232"/>
    <mergeCell ref="E1231:E1232"/>
    <mergeCell ref="F1231:F1232"/>
    <mergeCell ref="A1214:D1214"/>
    <mergeCell ref="H1214:K1214"/>
    <mergeCell ref="M1214:O1214"/>
    <mergeCell ref="M1219:O1219"/>
    <mergeCell ref="A1229:G1229"/>
    <mergeCell ref="H1229:O1229"/>
    <mergeCell ref="A1206:E1206"/>
    <mergeCell ref="H1206:L1206"/>
    <mergeCell ref="A1207:E1207"/>
    <mergeCell ref="H1207:L1207"/>
    <mergeCell ref="A1208:E1208"/>
    <mergeCell ref="H1208:L1208"/>
    <mergeCell ref="H1204:H1205"/>
    <mergeCell ref="I1204:I1205"/>
    <mergeCell ref="J1204:J1205"/>
    <mergeCell ref="K1204:K1205"/>
    <mergeCell ref="L1204:L1205"/>
    <mergeCell ref="M1204:M1205"/>
    <mergeCell ref="A1204:A1205"/>
    <mergeCell ref="B1204:B1205"/>
    <mergeCell ref="C1204:C1205"/>
    <mergeCell ref="D1204:D1205"/>
    <mergeCell ref="E1204:E1205"/>
    <mergeCell ref="F1204:F1205"/>
    <mergeCell ref="H1202:H1203"/>
    <mergeCell ref="I1202:I1203"/>
    <mergeCell ref="J1202:J1203"/>
    <mergeCell ref="K1202:K1203"/>
    <mergeCell ref="L1202:L1203"/>
    <mergeCell ref="M1202:M1203"/>
    <mergeCell ref="H1200:H1201"/>
    <mergeCell ref="I1200:I1201"/>
    <mergeCell ref="J1200:J1201"/>
    <mergeCell ref="K1200:K1201"/>
    <mergeCell ref="L1200:L1201"/>
    <mergeCell ref="M1200:M1201"/>
    <mergeCell ref="A1200:A1201"/>
    <mergeCell ref="B1200:B1201"/>
    <mergeCell ref="C1200:C1201"/>
    <mergeCell ref="D1200:D1201"/>
    <mergeCell ref="E1200:E1201"/>
    <mergeCell ref="F1200:F1201"/>
    <mergeCell ref="H1198:H1199"/>
    <mergeCell ref="I1198:I1199"/>
    <mergeCell ref="J1198:J1199"/>
    <mergeCell ref="K1198:K1199"/>
    <mergeCell ref="L1198:L1199"/>
    <mergeCell ref="M1198:M1199"/>
    <mergeCell ref="A1198:A1199"/>
    <mergeCell ref="B1198:B1199"/>
    <mergeCell ref="C1198:C1199"/>
    <mergeCell ref="D1198:D1199"/>
    <mergeCell ref="E1198:E1199"/>
    <mergeCell ref="F1198:F1199"/>
    <mergeCell ref="H1196:H1197"/>
    <mergeCell ref="I1196:I1197"/>
    <mergeCell ref="J1196:J1197"/>
    <mergeCell ref="K1196:K1197"/>
    <mergeCell ref="L1196:L1197"/>
    <mergeCell ref="M1196:M1197"/>
    <mergeCell ref="J1194:J1195"/>
    <mergeCell ref="K1194:K1195"/>
    <mergeCell ref="L1194:L1195"/>
    <mergeCell ref="M1194:M1195"/>
    <mergeCell ref="A1196:A1197"/>
    <mergeCell ref="B1196:B1197"/>
    <mergeCell ref="C1196:C1197"/>
    <mergeCell ref="D1196:D1197"/>
    <mergeCell ref="E1196:E1197"/>
    <mergeCell ref="F1196:F1197"/>
    <mergeCell ref="M1192:M1193"/>
    <mergeCell ref="N1192:O1192"/>
    <mergeCell ref="A1194:A1195"/>
    <mergeCell ref="B1194:B1195"/>
    <mergeCell ref="C1194:C1195"/>
    <mergeCell ref="D1194:D1195"/>
    <mergeCell ref="E1194:E1195"/>
    <mergeCell ref="F1194:F1195"/>
    <mergeCell ref="H1194:H1195"/>
    <mergeCell ref="I1194:I1195"/>
    <mergeCell ref="H1192:H1193"/>
    <mergeCell ref="I1192:I1193"/>
    <mergeCell ref="J1192:J1193"/>
    <mergeCell ref="K1192:K1193"/>
    <mergeCell ref="L1192:L1193"/>
    <mergeCell ref="A1192:A1193"/>
    <mergeCell ref="B1192:B1193"/>
    <mergeCell ref="C1192:C1193"/>
    <mergeCell ref="D1192:D1193"/>
    <mergeCell ref="E1192:E1193"/>
    <mergeCell ref="F1192:F1193"/>
    <mergeCell ref="A1175:D1175"/>
    <mergeCell ref="H1175:K1175"/>
    <mergeCell ref="M1175:O1175"/>
    <mergeCell ref="M1179:O1179"/>
    <mergeCell ref="A1190:G1190"/>
    <mergeCell ref="H1190:O1190"/>
    <mergeCell ref="A1167:E1167"/>
    <mergeCell ref="H1167:L1167"/>
    <mergeCell ref="A1168:E1168"/>
    <mergeCell ref="H1168:L1168"/>
    <mergeCell ref="A1169:E1169"/>
    <mergeCell ref="H1169:L1169"/>
    <mergeCell ref="H1165:H1166"/>
    <mergeCell ref="I1165:I1166"/>
    <mergeCell ref="J1165:J1166"/>
    <mergeCell ref="K1165:K1166"/>
    <mergeCell ref="L1165:L1166"/>
    <mergeCell ref="M1165:M1166"/>
    <mergeCell ref="A1165:A1166"/>
    <mergeCell ref="B1165:B1166"/>
    <mergeCell ref="C1165:C1166"/>
    <mergeCell ref="D1165:D1166"/>
    <mergeCell ref="E1165:E1166"/>
    <mergeCell ref="F1165:F1166"/>
    <mergeCell ref="H1163:H1164"/>
    <mergeCell ref="I1163:I1164"/>
    <mergeCell ref="J1163:J1164"/>
    <mergeCell ref="K1163:K1164"/>
    <mergeCell ref="L1163:L1164"/>
    <mergeCell ref="M1163:M1164"/>
    <mergeCell ref="A1163:A1164"/>
    <mergeCell ref="B1163:B1164"/>
    <mergeCell ref="C1163:C1164"/>
    <mergeCell ref="D1163:D1164"/>
    <mergeCell ref="E1163:E1164"/>
    <mergeCell ref="F1163:F1164"/>
    <mergeCell ref="H1161:H1162"/>
    <mergeCell ref="I1161:I1162"/>
    <mergeCell ref="J1161:J1162"/>
    <mergeCell ref="K1161:K1162"/>
    <mergeCell ref="L1161:L1162"/>
    <mergeCell ref="M1161:M1162"/>
    <mergeCell ref="A1161:A1162"/>
    <mergeCell ref="B1161:B1162"/>
    <mergeCell ref="C1161:C1162"/>
    <mergeCell ref="D1161:D1162"/>
    <mergeCell ref="E1161:E1162"/>
    <mergeCell ref="F1161:F1162"/>
    <mergeCell ref="H1159:H1160"/>
    <mergeCell ref="I1159:I1160"/>
    <mergeCell ref="J1159:J1160"/>
    <mergeCell ref="K1159:K1160"/>
    <mergeCell ref="L1159:L1160"/>
    <mergeCell ref="M1159:M1160"/>
    <mergeCell ref="J1157:J1158"/>
    <mergeCell ref="K1157:K1158"/>
    <mergeCell ref="L1157:L1158"/>
    <mergeCell ref="M1157:M1158"/>
    <mergeCell ref="A1159:A1160"/>
    <mergeCell ref="B1159:B1160"/>
    <mergeCell ref="C1159:C1160"/>
    <mergeCell ref="D1159:D1160"/>
    <mergeCell ref="E1159:E1160"/>
    <mergeCell ref="F1159:F1160"/>
    <mergeCell ref="M1155:M1156"/>
    <mergeCell ref="N1155:O1155"/>
    <mergeCell ref="A1157:A1158"/>
    <mergeCell ref="B1157:B1158"/>
    <mergeCell ref="C1157:C1158"/>
    <mergeCell ref="D1157:D1158"/>
    <mergeCell ref="E1157:E1158"/>
    <mergeCell ref="F1157:F1158"/>
    <mergeCell ref="H1157:H1158"/>
    <mergeCell ref="I1157:I1158"/>
    <mergeCell ref="H1155:H1156"/>
    <mergeCell ref="I1155:I1156"/>
    <mergeCell ref="J1155:J1156"/>
    <mergeCell ref="K1155:K1156"/>
    <mergeCell ref="L1155:L1156"/>
    <mergeCell ref="A1155:A1156"/>
    <mergeCell ref="B1155:B1156"/>
    <mergeCell ref="C1155:C1156"/>
    <mergeCell ref="D1155:D1156"/>
    <mergeCell ref="E1155:E1156"/>
    <mergeCell ref="F1155:F1156"/>
    <mergeCell ref="A1138:D1138"/>
    <mergeCell ref="H1138:K1138"/>
    <mergeCell ref="M1138:O1138"/>
    <mergeCell ref="M1142:O1142"/>
    <mergeCell ref="A1153:G1153"/>
    <mergeCell ref="H1153:O1153"/>
    <mergeCell ref="A1130:E1130"/>
    <mergeCell ref="H1130:L1130"/>
    <mergeCell ref="A1131:E1131"/>
    <mergeCell ref="H1131:L1131"/>
    <mergeCell ref="A1132:E1132"/>
    <mergeCell ref="H1132:L1132"/>
    <mergeCell ref="H1128:H1129"/>
    <mergeCell ref="I1128:I1129"/>
    <mergeCell ref="J1128:J1129"/>
    <mergeCell ref="K1128:K1129"/>
    <mergeCell ref="L1128:L1129"/>
    <mergeCell ref="M1128:M1129"/>
    <mergeCell ref="A1128:A1129"/>
    <mergeCell ref="B1128:B1129"/>
    <mergeCell ref="C1128:C1129"/>
    <mergeCell ref="D1128:D1129"/>
    <mergeCell ref="E1128:E1129"/>
    <mergeCell ref="F1128:F1129"/>
    <mergeCell ref="H1126:H1127"/>
    <mergeCell ref="I1126:I1127"/>
    <mergeCell ref="J1126:J1127"/>
    <mergeCell ref="K1126:K1127"/>
    <mergeCell ref="L1126:L1127"/>
    <mergeCell ref="M1126:M1127"/>
    <mergeCell ref="A1126:A1127"/>
    <mergeCell ref="B1126:B1127"/>
    <mergeCell ref="C1126:C1127"/>
    <mergeCell ref="D1126:D1127"/>
    <mergeCell ref="E1126:E1127"/>
    <mergeCell ref="F1126:F1127"/>
    <mergeCell ref="H1124:H1125"/>
    <mergeCell ref="I1124:I1125"/>
    <mergeCell ref="J1124:J1125"/>
    <mergeCell ref="K1124:K1125"/>
    <mergeCell ref="L1124:L1125"/>
    <mergeCell ref="M1124:M1125"/>
    <mergeCell ref="A1124:A1125"/>
    <mergeCell ref="B1124:B1125"/>
    <mergeCell ref="C1124:C1125"/>
    <mergeCell ref="D1124:D1125"/>
    <mergeCell ref="E1124:E1125"/>
    <mergeCell ref="F1124:F1125"/>
    <mergeCell ref="H1122:H1123"/>
    <mergeCell ref="I1122:I1123"/>
    <mergeCell ref="J1122:J1123"/>
    <mergeCell ref="K1122:K1123"/>
    <mergeCell ref="L1122:L1123"/>
    <mergeCell ref="M1122:M1123"/>
    <mergeCell ref="J1120:J1121"/>
    <mergeCell ref="K1120:K1121"/>
    <mergeCell ref="L1120:L1121"/>
    <mergeCell ref="M1120:M1121"/>
    <mergeCell ref="A1122:A1123"/>
    <mergeCell ref="B1122:B1123"/>
    <mergeCell ref="C1122:C1123"/>
    <mergeCell ref="D1122:D1123"/>
    <mergeCell ref="E1122:E1123"/>
    <mergeCell ref="F1122:F1123"/>
    <mergeCell ref="M1118:M1119"/>
    <mergeCell ref="N1118:O1118"/>
    <mergeCell ref="A1120:A1121"/>
    <mergeCell ref="B1120:B1121"/>
    <mergeCell ref="C1120:C1121"/>
    <mergeCell ref="D1120:D1121"/>
    <mergeCell ref="E1120:E1121"/>
    <mergeCell ref="F1120:F1121"/>
    <mergeCell ref="H1120:H1121"/>
    <mergeCell ref="I1120:I1121"/>
    <mergeCell ref="H1118:H1119"/>
    <mergeCell ref="I1118:I1119"/>
    <mergeCell ref="J1118:J1119"/>
    <mergeCell ref="K1118:K1119"/>
    <mergeCell ref="L1118:L1119"/>
    <mergeCell ref="A1118:A1119"/>
    <mergeCell ref="B1118:B1119"/>
    <mergeCell ref="C1118:C1119"/>
    <mergeCell ref="D1118:D1119"/>
    <mergeCell ref="E1118:E1119"/>
    <mergeCell ref="F1118:F1119"/>
    <mergeCell ref="A1101:D1101"/>
    <mergeCell ref="H1101:K1101"/>
    <mergeCell ref="M1101:O1101"/>
    <mergeCell ref="M1106:O1106"/>
    <mergeCell ref="A1116:G1116"/>
    <mergeCell ref="H1116:O1116"/>
    <mergeCell ref="A1093:E1093"/>
    <mergeCell ref="H1093:L1093"/>
    <mergeCell ref="A1094:E1094"/>
    <mergeCell ref="H1094:L1094"/>
    <mergeCell ref="A1095:E1095"/>
    <mergeCell ref="H1095:L1095"/>
    <mergeCell ref="H1091:H1092"/>
    <mergeCell ref="I1091:I1092"/>
    <mergeCell ref="J1091:J1092"/>
    <mergeCell ref="K1091:K1092"/>
    <mergeCell ref="L1091:L1092"/>
    <mergeCell ref="M1091:M1092"/>
    <mergeCell ref="H1089:H1090"/>
    <mergeCell ref="I1089:I1090"/>
    <mergeCell ref="J1089:J1090"/>
    <mergeCell ref="K1089:K1090"/>
    <mergeCell ref="L1089:L1090"/>
    <mergeCell ref="M1089:M1090"/>
    <mergeCell ref="H1087:H1088"/>
    <mergeCell ref="I1087:I1088"/>
    <mergeCell ref="J1087:J1088"/>
    <mergeCell ref="K1087:K1088"/>
    <mergeCell ref="L1087:L1088"/>
    <mergeCell ref="M1087:M1088"/>
    <mergeCell ref="H1085:H1086"/>
    <mergeCell ref="I1085:I1086"/>
    <mergeCell ref="J1085:J1086"/>
    <mergeCell ref="K1085:K1086"/>
    <mergeCell ref="L1085:L1086"/>
    <mergeCell ref="M1085:M1086"/>
    <mergeCell ref="A1085:A1086"/>
    <mergeCell ref="B1085:B1086"/>
    <mergeCell ref="C1085:C1086"/>
    <mergeCell ref="D1085:D1086"/>
    <mergeCell ref="E1085:E1086"/>
    <mergeCell ref="F1085:F1086"/>
    <mergeCell ref="H1083:H1084"/>
    <mergeCell ref="I1083:I1084"/>
    <mergeCell ref="J1083:J1084"/>
    <mergeCell ref="K1083:K1084"/>
    <mergeCell ref="L1083:L1084"/>
    <mergeCell ref="M1083:M1084"/>
    <mergeCell ref="J1081:J1082"/>
    <mergeCell ref="K1081:K1082"/>
    <mergeCell ref="L1081:L1082"/>
    <mergeCell ref="M1081:M1082"/>
    <mergeCell ref="A1083:A1084"/>
    <mergeCell ref="B1083:B1084"/>
    <mergeCell ref="C1083:C1084"/>
    <mergeCell ref="D1083:D1084"/>
    <mergeCell ref="E1083:E1084"/>
    <mergeCell ref="F1083:F1084"/>
    <mergeCell ref="M1079:M1080"/>
    <mergeCell ref="N1079:O1079"/>
    <mergeCell ref="A1081:A1082"/>
    <mergeCell ref="B1081:B1082"/>
    <mergeCell ref="C1081:C1082"/>
    <mergeCell ref="D1081:D1082"/>
    <mergeCell ref="E1081:E1082"/>
    <mergeCell ref="F1081:F1082"/>
    <mergeCell ref="H1081:H1082"/>
    <mergeCell ref="I1081:I1082"/>
    <mergeCell ref="H1079:H1080"/>
    <mergeCell ref="I1079:I1080"/>
    <mergeCell ref="J1079:J1080"/>
    <mergeCell ref="K1079:K1080"/>
    <mergeCell ref="L1079:L1080"/>
    <mergeCell ref="A1079:A1080"/>
    <mergeCell ref="B1079:B1080"/>
    <mergeCell ref="C1079:C1080"/>
    <mergeCell ref="D1079:D1080"/>
    <mergeCell ref="E1079:E1080"/>
    <mergeCell ref="F1079:F1080"/>
    <mergeCell ref="A1056:E1056"/>
    <mergeCell ref="H1056:L1056"/>
    <mergeCell ref="A1062:D1062"/>
    <mergeCell ref="H1062:K1062"/>
    <mergeCell ref="M1067:O1067"/>
    <mergeCell ref="A1077:G1077"/>
    <mergeCell ref="H1077:O1077"/>
    <mergeCell ref="K1052:K1053"/>
    <mergeCell ref="L1052:L1053"/>
    <mergeCell ref="M1052:M1053"/>
    <mergeCell ref="A1054:E1054"/>
    <mergeCell ref="H1054:L1054"/>
    <mergeCell ref="A1055:E1055"/>
    <mergeCell ref="H1055:L1055"/>
    <mergeCell ref="M1050:M1051"/>
    <mergeCell ref="A1052:A1053"/>
    <mergeCell ref="B1052:B1053"/>
    <mergeCell ref="C1052:C1053"/>
    <mergeCell ref="D1052:D1053"/>
    <mergeCell ref="E1052:E1053"/>
    <mergeCell ref="F1052:F1053"/>
    <mergeCell ref="H1052:H1053"/>
    <mergeCell ref="I1052:I1053"/>
    <mergeCell ref="J1052:J1053"/>
    <mergeCell ref="F1050:F1051"/>
    <mergeCell ref="H1050:H1051"/>
    <mergeCell ref="I1050:I1051"/>
    <mergeCell ref="J1050:J1051"/>
    <mergeCell ref="K1050:K1051"/>
    <mergeCell ref="L1050:L1051"/>
    <mergeCell ref="I1048:I1049"/>
    <mergeCell ref="J1048:J1049"/>
    <mergeCell ref="K1048:K1049"/>
    <mergeCell ref="L1048:L1049"/>
    <mergeCell ref="M1048:M1049"/>
    <mergeCell ref="A1050:A1051"/>
    <mergeCell ref="B1050:B1051"/>
    <mergeCell ref="C1050:C1051"/>
    <mergeCell ref="D1050:D1051"/>
    <mergeCell ref="E1050:E1051"/>
    <mergeCell ref="K1046:K1047"/>
    <mergeCell ref="L1046:L1047"/>
    <mergeCell ref="M1046:M1047"/>
    <mergeCell ref="A1048:A1049"/>
    <mergeCell ref="B1048:B1049"/>
    <mergeCell ref="C1048:C1049"/>
    <mergeCell ref="D1048:D1049"/>
    <mergeCell ref="E1048:E1049"/>
    <mergeCell ref="F1048:F1049"/>
    <mergeCell ref="H1048:H1049"/>
    <mergeCell ref="N1044:O1044"/>
    <mergeCell ref="A1046:A1047"/>
    <mergeCell ref="B1046:B1047"/>
    <mergeCell ref="C1046:C1047"/>
    <mergeCell ref="D1046:D1047"/>
    <mergeCell ref="E1046:E1047"/>
    <mergeCell ref="F1046:F1047"/>
    <mergeCell ref="H1046:H1047"/>
    <mergeCell ref="I1046:I1047"/>
    <mergeCell ref="J1046:J1047"/>
    <mergeCell ref="H1044:H1045"/>
    <mergeCell ref="I1044:I1045"/>
    <mergeCell ref="J1044:J1045"/>
    <mergeCell ref="K1044:K1045"/>
    <mergeCell ref="L1044:L1045"/>
    <mergeCell ref="M1044:M1045"/>
    <mergeCell ref="M1032:O1032"/>
    <mergeCell ref="A1042:G1042"/>
    <mergeCell ref="H1042:O1042"/>
    <mergeCell ref="A1044:A1045"/>
    <mergeCell ref="B1044:B1045"/>
    <mergeCell ref="C1044:C1045"/>
    <mergeCell ref="D1044:D1045"/>
    <mergeCell ref="E1044:E1045"/>
    <mergeCell ref="F1044:F1045"/>
    <mergeCell ref="A1021:E1021"/>
    <mergeCell ref="H1021:L1021"/>
    <mergeCell ref="A1022:E1022"/>
    <mergeCell ref="A1023:E1023"/>
    <mergeCell ref="H1027:K1027"/>
    <mergeCell ref="A1029:D1029"/>
    <mergeCell ref="M1017:M1018"/>
    <mergeCell ref="A1019:A1020"/>
    <mergeCell ref="B1019:B1020"/>
    <mergeCell ref="C1019:C1020"/>
    <mergeCell ref="D1019:D1020"/>
    <mergeCell ref="E1019:E1020"/>
    <mergeCell ref="F1019:F1020"/>
    <mergeCell ref="H1019:L1019"/>
    <mergeCell ref="H1020:L1020"/>
    <mergeCell ref="F1017:F1018"/>
    <mergeCell ref="H1017:H1018"/>
    <mergeCell ref="I1017:I1018"/>
    <mergeCell ref="J1017:J1018"/>
    <mergeCell ref="K1017:K1018"/>
    <mergeCell ref="L1017:L1018"/>
    <mergeCell ref="I1015:I1016"/>
    <mergeCell ref="J1015:J1016"/>
    <mergeCell ref="K1015:K1016"/>
    <mergeCell ref="L1015:L1016"/>
    <mergeCell ref="M1015:M1016"/>
    <mergeCell ref="A1017:A1018"/>
    <mergeCell ref="B1017:B1018"/>
    <mergeCell ref="C1017:C1018"/>
    <mergeCell ref="D1017:D1018"/>
    <mergeCell ref="E1017:E1018"/>
    <mergeCell ref="K1013:K1014"/>
    <mergeCell ref="L1013:L1014"/>
    <mergeCell ref="M1013:M1014"/>
    <mergeCell ref="A1015:A1016"/>
    <mergeCell ref="B1015:B1016"/>
    <mergeCell ref="C1015:C1016"/>
    <mergeCell ref="D1015:D1016"/>
    <mergeCell ref="E1015:E1016"/>
    <mergeCell ref="F1015:F1016"/>
    <mergeCell ref="H1015:H1016"/>
    <mergeCell ref="M1011:M1012"/>
    <mergeCell ref="A1013:A1014"/>
    <mergeCell ref="B1013:B1014"/>
    <mergeCell ref="C1013:C1014"/>
    <mergeCell ref="D1013:D1014"/>
    <mergeCell ref="E1013:E1014"/>
    <mergeCell ref="F1013:F1014"/>
    <mergeCell ref="H1013:H1014"/>
    <mergeCell ref="I1013:I1014"/>
    <mergeCell ref="J1013:J1014"/>
    <mergeCell ref="F1011:F1012"/>
    <mergeCell ref="H1011:H1012"/>
    <mergeCell ref="I1011:I1012"/>
    <mergeCell ref="J1011:J1012"/>
    <mergeCell ref="K1011:K1012"/>
    <mergeCell ref="L1011:L1012"/>
    <mergeCell ref="I1009:I1010"/>
    <mergeCell ref="J1009:J1010"/>
    <mergeCell ref="K1009:K1010"/>
    <mergeCell ref="L1009:L1010"/>
    <mergeCell ref="M1009:M1010"/>
    <mergeCell ref="A1011:A1012"/>
    <mergeCell ref="B1011:B1012"/>
    <mergeCell ref="C1011:C1012"/>
    <mergeCell ref="D1011:D1012"/>
    <mergeCell ref="E1011:E1012"/>
    <mergeCell ref="M1007:M1008"/>
    <mergeCell ref="N1007:O1007"/>
    <mergeCell ref="A1009:A1010"/>
    <mergeCell ref="B1009:B1010"/>
    <mergeCell ref="C1009:C1010"/>
    <mergeCell ref="D1009:D1010"/>
    <mergeCell ref="E1009:E1010"/>
    <mergeCell ref="F1009:F1010"/>
    <mergeCell ref="H1009:H1010"/>
    <mergeCell ref="H990:K990"/>
    <mergeCell ref="A992:D992"/>
    <mergeCell ref="M995:O995"/>
    <mergeCell ref="H1005:O1005"/>
    <mergeCell ref="A1007:G1007"/>
    <mergeCell ref="H1007:H1008"/>
    <mergeCell ref="I1007:I1008"/>
    <mergeCell ref="J1007:J1008"/>
    <mergeCell ref="K1007:K1008"/>
    <mergeCell ref="L1007:L1008"/>
    <mergeCell ref="H982:L982"/>
    <mergeCell ref="H983:L983"/>
    <mergeCell ref="A984:E984"/>
    <mergeCell ref="H984:L984"/>
    <mergeCell ref="A985:E985"/>
    <mergeCell ref="A986:E986"/>
    <mergeCell ref="A982:A983"/>
    <mergeCell ref="B982:B983"/>
    <mergeCell ref="C982:C983"/>
    <mergeCell ref="D982:D983"/>
    <mergeCell ref="E982:E983"/>
    <mergeCell ref="F982:F983"/>
    <mergeCell ref="H980:H981"/>
    <mergeCell ref="I980:I981"/>
    <mergeCell ref="J980:J981"/>
    <mergeCell ref="K980:K981"/>
    <mergeCell ref="L980:L981"/>
    <mergeCell ref="M980:M981"/>
    <mergeCell ref="A980:A981"/>
    <mergeCell ref="B980:B981"/>
    <mergeCell ref="C980:C981"/>
    <mergeCell ref="D980:D981"/>
    <mergeCell ref="E980:E981"/>
    <mergeCell ref="F980:F981"/>
    <mergeCell ref="H978:H979"/>
    <mergeCell ref="I978:I979"/>
    <mergeCell ref="J978:J979"/>
    <mergeCell ref="K978:K979"/>
    <mergeCell ref="L978:L979"/>
    <mergeCell ref="M978:M979"/>
    <mergeCell ref="A978:A979"/>
    <mergeCell ref="B978:B979"/>
    <mergeCell ref="C978:C979"/>
    <mergeCell ref="D978:D979"/>
    <mergeCell ref="E978:E979"/>
    <mergeCell ref="F978:F979"/>
    <mergeCell ref="K974:K975"/>
    <mergeCell ref="L974:L975"/>
    <mergeCell ref="M974:M975"/>
    <mergeCell ref="H976:H977"/>
    <mergeCell ref="I976:I977"/>
    <mergeCell ref="J976:J977"/>
    <mergeCell ref="K976:K977"/>
    <mergeCell ref="L976:L977"/>
    <mergeCell ref="M976:M977"/>
    <mergeCell ref="M972:M973"/>
    <mergeCell ref="A974:A975"/>
    <mergeCell ref="B974:B975"/>
    <mergeCell ref="C974:C975"/>
    <mergeCell ref="D974:D975"/>
    <mergeCell ref="E974:E975"/>
    <mergeCell ref="F974:F975"/>
    <mergeCell ref="H974:H975"/>
    <mergeCell ref="I974:I975"/>
    <mergeCell ref="J974:J975"/>
    <mergeCell ref="F972:F973"/>
    <mergeCell ref="H972:H973"/>
    <mergeCell ref="I972:I973"/>
    <mergeCell ref="J972:J973"/>
    <mergeCell ref="K972:K973"/>
    <mergeCell ref="L972:L973"/>
    <mergeCell ref="I970:I971"/>
    <mergeCell ref="J970:J971"/>
    <mergeCell ref="K970:K971"/>
    <mergeCell ref="L970:L971"/>
    <mergeCell ref="M970:M971"/>
    <mergeCell ref="A972:A973"/>
    <mergeCell ref="B972:B973"/>
    <mergeCell ref="C972:C973"/>
    <mergeCell ref="D972:D973"/>
    <mergeCell ref="E972:E973"/>
    <mergeCell ref="M968:M969"/>
    <mergeCell ref="N968:O968"/>
    <mergeCell ref="A970:A971"/>
    <mergeCell ref="B970:B971"/>
    <mergeCell ref="C970:C971"/>
    <mergeCell ref="D970:D971"/>
    <mergeCell ref="E970:E971"/>
    <mergeCell ref="F970:F971"/>
    <mergeCell ref="H970:H971"/>
    <mergeCell ref="H951:K951"/>
    <mergeCell ref="A953:D953"/>
    <mergeCell ref="M956:O956"/>
    <mergeCell ref="H966:O966"/>
    <mergeCell ref="A968:G968"/>
    <mergeCell ref="H968:H969"/>
    <mergeCell ref="I968:I969"/>
    <mergeCell ref="J968:J969"/>
    <mergeCell ref="K968:K969"/>
    <mergeCell ref="L968:L969"/>
    <mergeCell ref="H943:L943"/>
    <mergeCell ref="H944:L944"/>
    <mergeCell ref="A945:E945"/>
    <mergeCell ref="H945:L945"/>
    <mergeCell ref="A946:E946"/>
    <mergeCell ref="A947:E947"/>
    <mergeCell ref="A943:A944"/>
    <mergeCell ref="B943:B944"/>
    <mergeCell ref="C943:C944"/>
    <mergeCell ref="D943:D944"/>
    <mergeCell ref="E943:E944"/>
    <mergeCell ref="F943:F944"/>
    <mergeCell ref="H941:H942"/>
    <mergeCell ref="I941:I942"/>
    <mergeCell ref="J941:J942"/>
    <mergeCell ref="K941:K942"/>
    <mergeCell ref="L941:L942"/>
    <mergeCell ref="M941:M942"/>
    <mergeCell ref="A941:A942"/>
    <mergeCell ref="B941:B942"/>
    <mergeCell ref="C941:C942"/>
    <mergeCell ref="D941:D942"/>
    <mergeCell ref="E941:E942"/>
    <mergeCell ref="F941:F942"/>
    <mergeCell ref="H939:H940"/>
    <mergeCell ref="I939:I940"/>
    <mergeCell ref="J939:J940"/>
    <mergeCell ref="K939:K940"/>
    <mergeCell ref="L939:L940"/>
    <mergeCell ref="M939:M940"/>
    <mergeCell ref="A939:A940"/>
    <mergeCell ref="B939:B940"/>
    <mergeCell ref="C939:C940"/>
    <mergeCell ref="D939:D940"/>
    <mergeCell ref="E939:E940"/>
    <mergeCell ref="F939:F940"/>
    <mergeCell ref="K935:K936"/>
    <mergeCell ref="L935:L936"/>
    <mergeCell ref="M935:M936"/>
    <mergeCell ref="H937:H938"/>
    <mergeCell ref="I937:I938"/>
    <mergeCell ref="J937:J938"/>
    <mergeCell ref="K937:K938"/>
    <mergeCell ref="L937:L938"/>
    <mergeCell ref="M937:M938"/>
    <mergeCell ref="M933:M934"/>
    <mergeCell ref="A935:A936"/>
    <mergeCell ref="B935:B936"/>
    <mergeCell ref="C935:C936"/>
    <mergeCell ref="D935:D936"/>
    <mergeCell ref="E935:E936"/>
    <mergeCell ref="F935:F936"/>
    <mergeCell ref="H935:H936"/>
    <mergeCell ref="I935:I936"/>
    <mergeCell ref="J935:J936"/>
    <mergeCell ref="F933:F934"/>
    <mergeCell ref="H933:H934"/>
    <mergeCell ref="I933:I934"/>
    <mergeCell ref="J933:J934"/>
    <mergeCell ref="K933:K934"/>
    <mergeCell ref="L933:L934"/>
    <mergeCell ref="I931:I932"/>
    <mergeCell ref="J931:J932"/>
    <mergeCell ref="K931:K932"/>
    <mergeCell ref="L931:L932"/>
    <mergeCell ref="M931:M932"/>
    <mergeCell ref="A933:A934"/>
    <mergeCell ref="B933:B934"/>
    <mergeCell ref="C933:C934"/>
    <mergeCell ref="D933:D934"/>
    <mergeCell ref="E933:E934"/>
    <mergeCell ref="M929:M930"/>
    <mergeCell ref="N929:O929"/>
    <mergeCell ref="A931:A932"/>
    <mergeCell ref="B931:B932"/>
    <mergeCell ref="C931:C932"/>
    <mergeCell ref="D931:D932"/>
    <mergeCell ref="E931:E932"/>
    <mergeCell ref="F931:F932"/>
    <mergeCell ref="H931:H932"/>
    <mergeCell ref="M912:O912"/>
    <mergeCell ref="A914:D914"/>
    <mergeCell ref="M917:O917"/>
    <mergeCell ref="H927:O927"/>
    <mergeCell ref="A929:G929"/>
    <mergeCell ref="H929:H930"/>
    <mergeCell ref="I929:I930"/>
    <mergeCell ref="J929:J930"/>
    <mergeCell ref="K929:K930"/>
    <mergeCell ref="L929:L930"/>
    <mergeCell ref="H905:L905"/>
    <mergeCell ref="A906:E906"/>
    <mergeCell ref="H906:L906"/>
    <mergeCell ref="A907:E907"/>
    <mergeCell ref="A908:E908"/>
    <mergeCell ref="H912:K912"/>
    <mergeCell ref="K902:K903"/>
    <mergeCell ref="L902:L903"/>
    <mergeCell ref="M902:M903"/>
    <mergeCell ref="A904:A905"/>
    <mergeCell ref="B904:B905"/>
    <mergeCell ref="C904:C905"/>
    <mergeCell ref="D904:D905"/>
    <mergeCell ref="E904:E905"/>
    <mergeCell ref="F904:F905"/>
    <mergeCell ref="H904:L904"/>
    <mergeCell ref="M900:M901"/>
    <mergeCell ref="A902:A903"/>
    <mergeCell ref="B902:B903"/>
    <mergeCell ref="C902:C903"/>
    <mergeCell ref="D902:D903"/>
    <mergeCell ref="E902:E903"/>
    <mergeCell ref="F902:F903"/>
    <mergeCell ref="H902:H903"/>
    <mergeCell ref="I902:I903"/>
    <mergeCell ref="J902:J903"/>
    <mergeCell ref="F900:F901"/>
    <mergeCell ref="H900:H901"/>
    <mergeCell ref="I900:I901"/>
    <mergeCell ref="J900:J901"/>
    <mergeCell ref="K900:K901"/>
    <mergeCell ref="L900:L901"/>
    <mergeCell ref="I898:I899"/>
    <mergeCell ref="J898:J899"/>
    <mergeCell ref="K898:K899"/>
    <mergeCell ref="L898:L899"/>
    <mergeCell ref="M898:M899"/>
    <mergeCell ref="A900:A901"/>
    <mergeCell ref="B900:B901"/>
    <mergeCell ref="C900:C901"/>
    <mergeCell ref="D900:D901"/>
    <mergeCell ref="E900:E901"/>
    <mergeCell ref="K896:K897"/>
    <mergeCell ref="L896:L897"/>
    <mergeCell ref="M896:M897"/>
    <mergeCell ref="A898:A899"/>
    <mergeCell ref="B898:B899"/>
    <mergeCell ref="C898:C899"/>
    <mergeCell ref="D898:D899"/>
    <mergeCell ref="E898:E899"/>
    <mergeCell ref="F898:F899"/>
    <mergeCell ref="H898:H899"/>
    <mergeCell ref="M894:M895"/>
    <mergeCell ref="A896:A897"/>
    <mergeCell ref="B896:B897"/>
    <mergeCell ref="C896:C897"/>
    <mergeCell ref="D896:D897"/>
    <mergeCell ref="E896:E897"/>
    <mergeCell ref="F896:F897"/>
    <mergeCell ref="H896:H897"/>
    <mergeCell ref="I896:I897"/>
    <mergeCell ref="J896:J897"/>
    <mergeCell ref="H894:H895"/>
    <mergeCell ref="I894:I895"/>
    <mergeCell ref="J894:J895"/>
    <mergeCell ref="K894:K895"/>
    <mergeCell ref="L894:L895"/>
    <mergeCell ref="A894:A895"/>
    <mergeCell ref="B894:B895"/>
    <mergeCell ref="C894:C895"/>
    <mergeCell ref="D894:D895"/>
    <mergeCell ref="E894:E895"/>
    <mergeCell ref="F894:F895"/>
    <mergeCell ref="H890:O890"/>
    <mergeCell ref="A892:G892"/>
    <mergeCell ref="H892:H893"/>
    <mergeCell ref="I892:I893"/>
    <mergeCell ref="J892:J893"/>
    <mergeCell ref="K892:K893"/>
    <mergeCell ref="L892:L893"/>
    <mergeCell ref="M892:M893"/>
    <mergeCell ref="N892:O892"/>
    <mergeCell ref="M875:O875"/>
    <mergeCell ref="A877:D877"/>
    <mergeCell ref="M877:O877"/>
    <mergeCell ref="M878:O878"/>
    <mergeCell ref="M879:O879"/>
    <mergeCell ref="M880:O880"/>
    <mergeCell ref="H868:L868"/>
    <mergeCell ref="A869:E869"/>
    <mergeCell ref="H869:L869"/>
    <mergeCell ref="A870:E870"/>
    <mergeCell ref="A871:E871"/>
    <mergeCell ref="H875:K875"/>
    <mergeCell ref="K865:K866"/>
    <mergeCell ref="L865:L866"/>
    <mergeCell ref="M865:M866"/>
    <mergeCell ref="A867:A868"/>
    <mergeCell ref="B867:B868"/>
    <mergeCell ref="C867:C868"/>
    <mergeCell ref="D867:D868"/>
    <mergeCell ref="E867:E868"/>
    <mergeCell ref="F867:F868"/>
    <mergeCell ref="H867:L867"/>
    <mergeCell ref="M863:M864"/>
    <mergeCell ref="A865:A866"/>
    <mergeCell ref="B865:B866"/>
    <mergeCell ref="C865:C866"/>
    <mergeCell ref="D865:D866"/>
    <mergeCell ref="E865:E866"/>
    <mergeCell ref="F865:F866"/>
    <mergeCell ref="H865:H866"/>
    <mergeCell ref="I865:I866"/>
    <mergeCell ref="J865:J866"/>
    <mergeCell ref="I861:I862"/>
    <mergeCell ref="J861:J862"/>
    <mergeCell ref="K861:K862"/>
    <mergeCell ref="L861:L862"/>
    <mergeCell ref="M861:M862"/>
    <mergeCell ref="H863:H864"/>
    <mergeCell ref="I863:I864"/>
    <mergeCell ref="J863:J864"/>
    <mergeCell ref="K863:K864"/>
    <mergeCell ref="L863:L864"/>
    <mergeCell ref="K859:K860"/>
    <mergeCell ref="L859:L860"/>
    <mergeCell ref="M859:M860"/>
    <mergeCell ref="A861:A862"/>
    <mergeCell ref="B861:B862"/>
    <mergeCell ref="C861:C862"/>
    <mergeCell ref="D861:D862"/>
    <mergeCell ref="E861:E862"/>
    <mergeCell ref="F861:F862"/>
    <mergeCell ref="H861:H862"/>
    <mergeCell ref="M857:M858"/>
    <mergeCell ref="A859:A860"/>
    <mergeCell ref="B859:B860"/>
    <mergeCell ref="C859:C860"/>
    <mergeCell ref="D859:D860"/>
    <mergeCell ref="E859:E860"/>
    <mergeCell ref="F859:F860"/>
    <mergeCell ref="H859:H860"/>
    <mergeCell ref="I859:I860"/>
    <mergeCell ref="J859:J860"/>
    <mergeCell ref="F857:F858"/>
    <mergeCell ref="H857:H858"/>
    <mergeCell ref="I857:I858"/>
    <mergeCell ref="J857:J858"/>
    <mergeCell ref="K857:K858"/>
    <mergeCell ref="L857:L858"/>
    <mergeCell ref="I855:I856"/>
    <mergeCell ref="J855:J856"/>
    <mergeCell ref="K855:K856"/>
    <mergeCell ref="L855:L856"/>
    <mergeCell ref="M855:M856"/>
    <mergeCell ref="A857:A858"/>
    <mergeCell ref="B857:B858"/>
    <mergeCell ref="C857:C858"/>
    <mergeCell ref="D857:D858"/>
    <mergeCell ref="E857:E858"/>
    <mergeCell ref="M853:M854"/>
    <mergeCell ref="N853:O853"/>
    <mergeCell ref="A855:A856"/>
    <mergeCell ref="B855:B856"/>
    <mergeCell ref="C855:C856"/>
    <mergeCell ref="D855:D856"/>
    <mergeCell ref="E855:E856"/>
    <mergeCell ref="F855:F856"/>
    <mergeCell ref="H855:H856"/>
    <mergeCell ref="A853:G853"/>
    <mergeCell ref="H853:H854"/>
    <mergeCell ref="I853:I854"/>
    <mergeCell ref="J853:J854"/>
    <mergeCell ref="K853:K854"/>
    <mergeCell ref="L853:L854"/>
    <mergeCell ref="H836:K836"/>
    <mergeCell ref="A838:D838"/>
    <mergeCell ref="M838:O838"/>
    <mergeCell ref="M842:O842"/>
    <mergeCell ref="M843:O843"/>
    <mergeCell ref="H851:O851"/>
    <mergeCell ref="H828:L828"/>
    <mergeCell ref="H829:L829"/>
    <mergeCell ref="A830:E830"/>
    <mergeCell ref="H830:L830"/>
    <mergeCell ref="A831:E831"/>
    <mergeCell ref="A832:E832"/>
    <mergeCell ref="A828:A829"/>
    <mergeCell ref="B828:B829"/>
    <mergeCell ref="C828:C829"/>
    <mergeCell ref="D828:D829"/>
    <mergeCell ref="E828:E829"/>
    <mergeCell ref="F828:F829"/>
    <mergeCell ref="H826:H827"/>
    <mergeCell ref="I826:I827"/>
    <mergeCell ref="J826:J827"/>
    <mergeCell ref="K826:K827"/>
    <mergeCell ref="L826:L827"/>
    <mergeCell ref="M826:M827"/>
    <mergeCell ref="A826:A827"/>
    <mergeCell ref="B826:B827"/>
    <mergeCell ref="C826:C827"/>
    <mergeCell ref="D826:D827"/>
    <mergeCell ref="E826:E827"/>
    <mergeCell ref="F826:F827"/>
    <mergeCell ref="K822:K823"/>
    <mergeCell ref="L822:L823"/>
    <mergeCell ref="M822:M823"/>
    <mergeCell ref="H824:H825"/>
    <mergeCell ref="I824:I825"/>
    <mergeCell ref="J824:J825"/>
    <mergeCell ref="K824:K825"/>
    <mergeCell ref="L824:L825"/>
    <mergeCell ref="M824:M825"/>
    <mergeCell ref="M820:M821"/>
    <mergeCell ref="A822:A823"/>
    <mergeCell ref="B822:B823"/>
    <mergeCell ref="C822:C823"/>
    <mergeCell ref="D822:D823"/>
    <mergeCell ref="E822:E823"/>
    <mergeCell ref="F822:F823"/>
    <mergeCell ref="H822:H823"/>
    <mergeCell ref="I822:I823"/>
    <mergeCell ref="J822:J823"/>
    <mergeCell ref="F820:F821"/>
    <mergeCell ref="H820:H821"/>
    <mergeCell ref="I820:I821"/>
    <mergeCell ref="J820:J821"/>
    <mergeCell ref="K820:K821"/>
    <mergeCell ref="L820:L821"/>
    <mergeCell ref="I818:I819"/>
    <mergeCell ref="J818:J819"/>
    <mergeCell ref="K818:K819"/>
    <mergeCell ref="L818:L819"/>
    <mergeCell ref="M818:M819"/>
    <mergeCell ref="A820:A821"/>
    <mergeCell ref="B820:B821"/>
    <mergeCell ref="C820:C821"/>
    <mergeCell ref="D820:D821"/>
    <mergeCell ref="E820:E821"/>
    <mergeCell ref="L816:L817"/>
    <mergeCell ref="M816:M817"/>
    <mergeCell ref="N816:O816"/>
    <mergeCell ref="A818:A819"/>
    <mergeCell ref="B818:B819"/>
    <mergeCell ref="C818:C819"/>
    <mergeCell ref="D818:D819"/>
    <mergeCell ref="E818:E819"/>
    <mergeCell ref="F818:F819"/>
    <mergeCell ref="H818:H819"/>
    <mergeCell ref="H799:K799"/>
    <mergeCell ref="M799:O799"/>
    <mergeCell ref="A801:D801"/>
    <mergeCell ref="M804:O804"/>
    <mergeCell ref="H814:O814"/>
    <mergeCell ref="A816:G816"/>
    <mergeCell ref="H816:H817"/>
    <mergeCell ref="I816:I817"/>
    <mergeCell ref="J816:J817"/>
    <mergeCell ref="K816:K817"/>
    <mergeCell ref="H791:L791"/>
    <mergeCell ref="H792:L792"/>
    <mergeCell ref="A793:E793"/>
    <mergeCell ref="H793:L793"/>
    <mergeCell ref="A794:E794"/>
    <mergeCell ref="A795:E795"/>
    <mergeCell ref="A791:A792"/>
    <mergeCell ref="B791:B792"/>
    <mergeCell ref="C791:C792"/>
    <mergeCell ref="D791:D792"/>
    <mergeCell ref="E791:E792"/>
    <mergeCell ref="F791:F792"/>
    <mergeCell ref="H789:H790"/>
    <mergeCell ref="I789:I790"/>
    <mergeCell ref="J789:J790"/>
    <mergeCell ref="K789:K790"/>
    <mergeCell ref="L789:L790"/>
    <mergeCell ref="M789:M790"/>
    <mergeCell ref="A789:A790"/>
    <mergeCell ref="B789:B790"/>
    <mergeCell ref="C789:C790"/>
    <mergeCell ref="D789:D790"/>
    <mergeCell ref="E789:E790"/>
    <mergeCell ref="F789:F790"/>
    <mergeCell ref="H787:H788"/>
    <mergeCell ref="I787:I788"/>
    <mergeCell ref="J787:J788"/>
    <mergeCell ref="K787:K788"/>
    <mergeCell ref="L787:L788"/>
    <mergeCell ref="M787:M788"/>
    <mergeCell ref="H785:H786"/>
    <mergeCell ref="I785:I786"/>
    <mergeCell ref="J785:J786"/>
    <mergeCell ref="K785:K786"/>
    <mergeCell ref="L785:L786"/>
    <mergeCell ref="M785:M786"/>
    <mergeCell ref="A785:A786"/>
    <mergeCell ref="B785:B786"/>
    <mergeCell ref="C785:C786"/>
    <mergeCell ref="D785:D786"/>
    <mergeCell ref="E785:E786"/>
    <mergeCell ref="F785:F786"/>
    <mergeCell ref="H783:H784"/>
    <mergeCell ref="I783:I784"/>
    <mergeCell ref="J783:J784"/>
    <mergeCell ref="K783:K784"/>
    <mergeCell ref="L783:L784"/>
    <mergeCell ref="M783:M784"/>
    <mergeCell ref="L781:L782"/>
    <mergeCell ref="M781:M782"/>
    <mergeCell ref="N781:O781"/>
    <mergeCell ref="A783:A784"/>
    <mergeCell ref="B783:B784"/>
    <mergeCell ref="C783:C784"/>
    <mergeCell ref="D783:D784"/>
    <mergeCell ref="E783:E784"/>
    <mergeCell ref="F783:F784"/>
    <mergeCell ref="H764:K764"/>
    <mergeCell ref="M764:O764"/>
    <mergeCell ref="A766:D766"/>
    <mergeCell ref="M769:O769"/>
    <mergeCell ref="H779:O779"/>
    <mergeCell ref="A781:G781"/>
    <mergeCell ref="H781:H782"/>
    <mergeCell ref="I781:I782"/>
    <mergeCell ref="J781:J782"/>
    <mergeCell ref="K781:K782"/>
    <mergeCell ref="H756:L756"/>
    <mergeCell ref="H757:L757"/>
    <mergeCell ref="A758:E758"/>
    <mergeCell ref="H758:L758"/>
    <mergeCell ref="A759:E759"/>
    <mergeCell ref="A760:E760"/>
    <mergeCell ref="A756:A757"/>
    <mergeCell ref="B756:B757"/>
    <mergeCell ref="C756:C757"/>
    <mergeCell ref="D756:D757"/>
    <mergeCell ref="E756:E757"/>
    <mergeCell ref="F756:F757"/>
    <mergeCell ref="H754:H755"/>
    <mergeCell ref="I754:I755"/>
    <mergeCell ref="J754:J755"/>
    <mergeCell ref="K754:K755"/>
    <mergeCell ref="L754:L755"/>
    <mergeCell ref="M754:M755"/>
    <mergeCell ref="A754:A755"/>
    <mergeCell ref="B754:B755"/>
    <mergeCell ref="C754:C755"/>
    <mergeCell ref="D754:D755"/>
    <mergeCell ref="E754:E755"/>
    <mergeCell ref="F754:F755"/>
    <mergeCell ref="H752:H753"/>
    <mergeCell ref="I752:I753"/>
    <mergeCell ref="J752:J753"/>
    <mergeCell ref="K752:K753"/>
    <mergeCell ref="L752:L753"/>
    <mergeCell ref="M752:M753"/>
    <mergeCell ref="A752:A753"/>
    <mergeCell ref="B752:B753"/>
    <mergeCell ref="C752:C753"/>
    <mergeCell ref="D752:D753"/>
    <mergeCell ref="E752:E753"/>
    <mergeCell ref="F752:F753"/>
    <mergeCell ref="H750:H751"/>
    <mergeCell ref="I750:I751"/>
    <mergeCell ref="J750:J751"/>
    <mergeCell ref="K750:K751"/>
    <mergeCell ref="L750:L751"/>
    <mergeCell ref="M750:M751"/>
    <mergeCell ref="A750:A751"/>
    <mergeCell ref="B750:B751"/>
    <mergeCell ref="C750:C751"/>
    <mergeCell ref="D750:D751"/>
    <mergeCell ref="E750:E751"/>
    <mergeCell ref="F750:F751"/>
    <mergeCell ref="H748:H749"/>
    <mergeCell ref="I748:I749"/>
    <mergeCell ref="J748:J749"/>
    <mergeCell ref="K748:K749"/>
    <mergeCell ref="L748:L749"/>
    <mergeCell ref="M748:M749"/>
    <mergeCell ref="H746:H747"/>
    <mergeCell ref="I746:I747"/>
    <mergeCell ref="J746:J747"/>
    <mergeCell ref="K746:K747"/>
    <mergeCell ref="L746:L747"/>
    <mergeCell ref="M746:M747"/>
    <mergeCell ref="L744:L745"/>
    <mergeCell ref="M744:M745"/>
    <mergeCell ref="N744:O744"/>
    <mergeCell ref="A746:A747"/>
    <mergeCell ref="B746:B747"/>
    <mergeCell ref="C746:C747"/>
    <mergeCell ref="D746:D747"/>
    <mergeCell ref="E746:E747"/>
    <mergeCell ref="F746:F747"/>
    <mergeCell ref="H727:K727"/>
    <mergeCell ref="M727:O727"/>
    <mergeCell ref="A729:D729"/>
    <mergeCell ref="M732:O732"/>
    <mergeCell ref="H742:O742"/>
    <mergeCell ref="A744:G744"/>
    <mergeCell ref="H744:H745"/>
    <mergeCell ref="I744:I745"/>
    <mergeCell ref="J744:J745"/>
    <mergeCell ref="K744:K745"/>
    <mergeCell ref="H719:L719"/>
    <mergeCell ref="H720:L720"/>
    <mergeCell ref="A721:E721"/>
    <mergeCell ref="H721:L721"/>
    <mergeCell ref="A722:E722"/>
    <mergeCell ref="A723:E723"/>
    <mergeCell ref="A719:A720"/>
    <mergeCell ref="B719:B720"/>
    <mergeCell ref="C719:C720"/>
    <mergeCell ref="D719:D720"/>
    <mergeCell ref="E719:E720"/>
    <mergeCell ref="F719:F720"/>
    <mergeCell ref="H717:H718"/>
    <mergeCell ref="I717:I718"/>
    <mergeCell ref="J717:J718"/>
    <mergeCell ref="K717:K718"/>
    <mergeCell ref="L717:L718"/>
    <mergeCell ref="M717:M718"/>
    <mergeCell ref="A717:A718"/>
    <mergeCell ref="B717:B718"/>
    <mergeCell ref="C717:C718"/>
    <mergeCell ref="D717:D718"/>
    <mergeCell ref="E717:E718"/>
    <mergeCell ref="F717:F718"/>
    <mergeCell ref="H715:H716"/>
    <mergeCell ref="I715:I716"/>
    <mergeCell ref="J715:J716"/>
    <mergeCell ref="K715:K716"/>
    <mergeCell ref="L715:L716"/>
    <mergeCell ref="M715:M716"/>
    <mergeCell ref="H713:H714"/>
    <mergeCell ref="I713:I714"/>
    <mergeCell ref="J713:J714"/>
    <mergeCell ref="K713:K714"/>
    <mergeCell ref="L713:L714"/>
    <mergeCell ref="M713:M714"/>
    <mergeCell ref="J711:J712"/>
    <mergeCell ref="K711:K712"/>
    <mergeCell ref="L711:L712"/>
    <mergeCell ref="M711:M712"/>
    <mergeCell ref="A713:A714"/>
    <mergeCell ref="B713:B714"/>
    <mergeCell ref="C713:C714"/>
    <mergeCell ref="D713:D714"/>
    <mergeCell ref="E713:E714"/>
    <mergeCell ref="F713:F714"/>
    <mergeCell ref="M709:M710"/>
    <mergeCell ref="N709:O709"/>
    <mergeCell ref="A711:A712"/>
    <mergeCell ref="B711:B712"/>
    <mergeCell ref="C711:C712"/>
    <mergeCell ref="D711:D712"/>
    <mergeCell ref="E711:E712"/>
    <mergeCell ref="F711:F712"/>
    <mergeCell ref="H711:H712"/>
    <mergeCell ref="I711:I712"/>
    <mergeCell ref="H709:H710"/>
    <mergeCell ref="I709:I710"/>
    <mergeCell ref="J709:J710"/>
    <mergeCell ref="K709:K710"/>
    <mergeCell ref="L709:L710"/>
    <mergeCell ref="A709:A710"/>
    <mergeCell ref="B709:B710"/>
    <mergeCell ref="C709:C710"/>
    <mergeCell ref="D709:D710"/>
    <mergeCell ref="E709:E710"/>
    <mergeCell ref="F709:F710"/>
    <mergeCell ref="A692:D692"/>
    <mergeCell ref="H692:K692"/>
    <mergeCell ref="M692:O692"/>
    <mergeCell ref="M695:O695"/>
    <mergeCell ref="M697:O697"/>
    <mergeCell ref="A707:G707"/>
    <mergeCell ref="H707:O707"/>
    <mergeCell ref="A684:E684"/>
    <mergeCell ref="H684:L684"/>
    <mergeCell ref="A685:E685"/>
    <mergeCell ref="H685:L685"/>
    <mergeCell ref="A686:E686"/>
    <mergeCell ref="H686:L686"/>
    <mergeCell ref="H682:H683"/>
    <mergeCell ref="I682:I683"/>
    <mergeCell ref="J682:J683"/>
    <mergeCell ref="K682:K683"/>
    <mergeCell ref="L682:L683"/>
    <mergeCell ref="M682:M683"/>
    <mergeCell ref="A682:A683"/>
    <mergeCell ref="B682:B683"/>
    <mergeCell ref="C682:C683"/>
    <mergeCell ref="D682:D683"/>
    <mergeCell ref="E682:E683"/>
    <mergeCell ref="F682:F683"/>
    <mergeCell ref="A672:A673"/>
    <mergeCell ref="B672:B673"/>
    <mergeCell ref="C672:C673"/>
    <mergeCell ref="D672:D673"/>
    <mergeCell ref="E672:E673"/>
    <mergeCell ref="F672:F673"/>
    <mergeCell ref="H678:H679"/>
    <mergeCell ref="I678:I679"/>
    <mergeCell ref="J678:J679"/>
    <mergeCell ref="K678:K679"/>
    <mergeCell ref="L678:L679"/>
    <mergeCell ref="M678:M679"/>
    <mergeCell ref="A678:A679"/>
    <mergeCell ref="B678:B679"/>
    <mergeCell ref="C678:C679"/>
    <mergeCell ref="D678:D679"/>
    <mergeCell ref="E678:E679"/>
    <mergeCell ref="F678:F679"/>
    <mergeCell ref="H676:H677"/>
    <mergeCell ref="I676:I677"/>
    <mergeCell ref="J676:J677"/>
    <mergeCell ref="K676:K677"/>
    <mergeCell ref="L676:L677"/>
    <mergeCell ref="M676:M677"/>
    <mergeCell ref="A676:A677"/>
    <mergeCell ref="B676:B677"/>
    <mergeCell ref="C676:C677"/>
    <mergeCell ref="D676:D677"/>
    <mergeCell ref="E676:E677"/>
    <mergeCell ref="F676:F677"/>
    <mergeCell ref="A655:D655"/>
    <mergeCell ref="H655:K655"/>
    <mergeCell ref="M656:O656"/>
    <mergeCell ref="M661:O661"/>
    <mergeCell ref="A670:G670"/>
    <mergeCell ref="H670:O670"/>
    <mergeCell ref="A647:E647"/>
    <mergeCell ref="H647:L647"/>
    <mergeCell ref="A648:E648"/>
    <mergeCell ref="H648:L648"/>
    <mergeCell ref="A649:E649"/>
    <mergeCell ref="H649:L649"/>
    <mergeCell ref="M660:O660"/>
    <mergeCell ref="J674:J675"/>
    <mergeCell ref="K674:K675"/>
    <mergeCell ref="L674:L675"/>
    <mergeCell ref="M674:M675"/>
    <mergeCell ref="M672:M673"/>
    <mergeCell ref="N672:O672"/>
    <mergeCell ref="A674:A675"/>
    <mergeCell ref="B674:B675"/>
    <mergeCell ref="C674:C675"/>
    <mergeCell ref="D674:D675"/>
    <mergeCell ref="E674:E675"/>
    <mergeCell ref="F674:F675"/>
    <mergeCell ref="H674:H675"/>
    <mergeCell ref="I674:I675"/>
    <mergeCell ref="H672:H673"/>
    <mergeCell ref="I672:I673"/>
    <mergeCell ref="J672:J673"/>
    <mergeCell ref="K672:K673"/>
    <mergeCell ref="L672:L673"/>
    <mergeCell ref="H643:H644"/>
    <mergeCell ref="I643:I644"/>
    <mergeCell ref="J643:J644"/>
    <mergeCell ref="K643:K644"/>
    <mergeCell ref="L643:L644"/>
    <mergeCell ref="M643:M644"/>
    <mergeCell ref="A643:A644"/>
    <mergeCell ref="B643:B644"/>
    <mergeCell ref="C643:C644"/>
    <mergeCell ref="D643:D644"/>
    <mergeCell ref="E643:E644"/>
    <mergeCell ref="F643:F644"/>
    <mergeCell ref="H645:H646"/>
    <mergeCell ref="I645:I646"/>
    <mergeCell ref="J645:J646"/>
    <mergeCell ref="K645:K646"/>
    <mergeCell ref="L645:L646"/>
    <mergeCell ref="M645:M646"/>
    <mergeCell ref="H641:H642"/>
    <mergeCell ref="I641:I642"/>
    <mergeCell ref="J641:J642"/>
    <mergeCell ref="K641:K642"/>
    <mergeCell ref="L641:L642"/>
    <mergeCell ref="M641:M642"/>
    <mergeCell ref="J637:J638"/>
    <mergeCell ref="K637:K638"/>
    <mergeCell ref="L637:L638"/>
    <mergeCell ref="M637:M638"/>
    <mergeCell ref="A641:A642"/>
    <mergeCell ref="B641:B642"/>
    <mergeCell ref="C641:C642"/>
    <mergeCell ref="D641:D642"/>
    <mergeCell ref="E641:E642"/>
    <mergeCell ref="F641:F642"/>
    <mergeCell ref="M635:M636"/>
    <mergeCell ref="H639:H640"/>
    <mergeCell ref="I639:I640"/>
    <mergeCell ref="J639:J640"/>
    <mergeCell ref="K639:K640"/>
    <mergeCell ref="L639:L640"/>
    <mergeCell ref="M639:M640"/>
    <mergeCell ref="N635:O635"/>
    <mergeCell ref="A637:A638"/>
    <mergeCell ref="B637:B638"/>
    <mergeCell ref="C637:C638"/>
    <mergeCell ref="D637:D638"/>
    <mergeCell ref="E637:E638"/>
    <mergeCell ref="F637:F638"/>
    <mergeCell ref="H637:H638"/>
    <mergeCell ref="I637:I638"/>
    <mergeCell ref="H635:H636"/>
    <mergeCell ref="I635:I636"/>
    <mergeCell ref="J635:J636"/>
    <mergeCell ref="K635:K636"/>
    <mergeCell ref="L635:L636"/>
    <mergeCell ref="A635:A636"/>
    <mergeCell ref="B635:B636"/>
    <mergeCell ref="C635:C636"/>
    <mergeCell ref="D635:D636"/>
    <mergeCell ref="E635:E636"/>
    <mergeCell ref="F635:F636"/>
    <mergeCell ref="A618:D618"/>
    <mergeCell ref="H618:K618"/>
    <mergeCell ref="M618:O618"/>
    <mergeCell ref="M623:O623"/>
    <mergeCell ref="A633:G633"/>
    <mergeCell ref="H633:O633"/>
    <mergeCell ref="A610:E610"/>
    <mergeCell ref="H610:L610"/>
    <mergeCell ref="A611:E611"/>
    <mergeCell ref="H611:L611"/>
    <mergeCell ref="A612:E612"/>
    <mergeCell ref="H612:L612"/>
    <mergeCell ref="H608:H609"/>
    <mergeCell ref="I608:I609"/>
    <mergeCell ref="J608:J609"/>
    <mergeCell ref="K608:K609"/>
    <mergeCell ref="L608:L609"/>
    <mergeCell ref="M608:M609"/>
    <mergeCell ref="A608:A609"/>
    <mergeCell ref="B608:B609"/>
    <mergeCell ref="C608:C609"/>
    <mergeCell ref="D608:D609"/>
    <mergeCell ref="E608:E609"/>
    <mergeCell ref="F608:F609"/>
    <mergeCell ref="H606:H607"/>
    <mergeCell ref="I606:I607"/>
    <mergeCell ref="J606:J607"/>
    <mergeCell ref="K606:K607"/>
    <mergeCell ref="L606:L607"/>
    <mergeCell ref="M606:M607"/>
    <mergeCell ref="H604:H605"/>
    <mergeCell ref="I604:I605"/>
    <mergeCell ref="J604:J605"/>
    <mergeCell ref="K604:K605"/>
    <mergeCell ref="L604:L605"/>
    <mergeCell ref="M604:M605"/>
    <mergeCell ref="A604:A605"/>
    <mergeCell ref="B604:B605"/>
    <mergeCell ref="C604:C605"/>
    <mergeCell ref="D604:D605"/>
    <mergeCell ref="E604:E605"/>
    <mergeCell ref="F604:F605"/>
    <mergeCell ref="J600:J601"/>
    <mergeCell ref="K600:K601"/>
    <mergeCell ref="L600:L601"/>
    <mergeCell ref="M600:M601"/>
    <mergeCell ref="H602:H603"/>
    <mergeCell ref="I602:I603"/>
    <mergeCell ref="J602:J603"/>
    <mergeCell ref="K602:K603"/>
    <mergeCell ref="L602:L603"/>
    <mergeCell ref="M602:M603"/>
    <mergeCell ref="M598:M599"/>
    <mergeCell ref="N598:O598"/>
    <mergeCell ref="A600:A601"/>
    <mergeCell ref="B600:B601"/>
    <mergeCell ref="C600:C601"/>
    <mergeCell ref="D600:D601"/>
    <mergeCell ref="E600:E601"/>
    <mergeCell ref="F600:F601"/>
    <mergeCell ref="H600:H601"/>
    <mergeCell ref="I600:I601"/>
    <mergeCell ref="H598:H599"/>
    <mergeCell ref="I598:I599"/>
    <mergeCell ref="J598:J599"/>
    <mergeCell ref="K598:K599"/>
    <mergeCell ref="L598:L599"/>
    <mergeCell ref="A598:A599"/>
    <mergeCell ref="B598:B599"/>
    <mergeCell ref="C598:C599"/>
    <mergeCell ref="D598:D599"/>
    <mergeCell ref="E598:E599"/>
    <mergeCell ref="F598:F599"/>
    <mergeCell ref="A581:D581"/>
    <mergeCell ref="H581:K581"/>
    <mergeCell ref="M581:O581"/>
    <mergeCell ref="M586:O586"/>
    <mergeCell ref="A596:G596"/>
    <mergeCell ref="H596:O596"/>
    <mergeCell ref="A573:E573"/>
    <mergeCell ref="H573:L573"/>
    <mergeCell ref="A574:E574"/>
    <mergeCell ref="H574:L574"/>
    <mergeCell ref="A575:E575"/>
    <mergeCell ref="H575:L575"/>
    <mergeCell ref="H571:H572"/>
    <mergeCell ref="I571:I572"/>
    <mergeCell ref="J571:J572"/>
    <mergeCell ref="K571:K572"/>
    <mergeCell ref="L571:L572"/>
    <mergeCell ref="M571:M572"/>
    <mergeCell ref="A571:A572"/>
    <mergeCell ref="B571:B572"/>
    <mergeCell ref="C571:C572"/>
    <mergeCell ref="D571:D572"/>
    <mergeCell ref="E571:E572"/>
    <mergeCell ref="F571:F572"/>
    <mergeCell ref="H567:H568"/>
    <mergeCell ref="I567:I568"/>
    <mergeCell ref="J567:J568"/>
    <mergeCell ref="K567:K568"/>
    <mergeCell ref="L567:L568"/>
    <mergeCell ref="M567:M568"/>
    <mergeCell ref="J565:J566"/>
    <mergeCell ref="K565:K566"/>
    <mergeCell ref="L565:L566"/>
    <mergeCell ref="M565:M566"/>
    <mergeCell ref="A567:A568"/>
    <mergeCell ref="B567:B568"/>
    <mergeCell ref="C567:C568"/>
    <mergeCell ref="D567:D568"/>
    <mergeCell ref="E567:E568"/>
    <mergeCell ref="F567:F568"/>
    <mergeCell ref="M563:M564"/>
    <mergeCell ref="N563:O563"/>
    <mergeCell ref="A565:A566"/>
    <mergeCell ref="B565:B566"/>
    <mergeCell ref="C565:C566"/>
    <mergeCell ref="D565:D566"/>
    <mergeCell ref="E565:E566"/>
    <mergeCell ref="F565:F566"/>
    <mergeCell ref="H565:H566"/>
    <mergeCell ref="I565:I566"/>
    <mergeCell ref="H563:H564"/>
    <mergeCell ref="I563:I564"/>
    <mergeCell ref="J563:J564"/>
    <mergeCell ref="K563:K564"/>
    <mergeCell ref="L563:L564"/>
    <mergeCell ref="A563:A564"/>
    <mergeCell ref="B563:B564"/>
    <mergeCell ref="C563:C564"/>
    <mergeCell ref="D563:D564"/>
    <mergeCell ref="E563:E564"/>
    <mergeCell ref="F563:F564"/>
    <mergeCell ref="A546:D546"/>
    <mergeCell ref="H546:K546"/>
    <mergeCell ref="M546:O546"/>
    <mergeCell ref="M551:O551"/>
    <mergeCell ref="A561:G561"/>
    <mergeCell ref="H561:O561"/>
    <mergeCell ref="A538:E538"/>
    <mergeCell ref="H538:L538"/>
    <mergeCell ref="A539:E539"/>
    <mergeCell ref="H539:L539"/>
    <mergeCell ref="A540:E540"/>
    <mergeCell ref="H540:L540"/>
    <mergeCell ref="H536:H537"/>
    <mergeCell ref="I536:I537"/>
    <mergeCell ref="J536:J537"/>
    <mergeCell ref="K536:K537"/>
    <mergeCell ref="L536:L537"/>
    <mergeCell ref="M536:M537"/>
    <mergeCell ref="A536:A537"/>
    <mergeCell ref="B536:B537"/>
    <mergeCell ref="C536:C537"/>
    <mergeCell ref="D536:D537"/>
    <mergeCell ref="E536:E537"/>
    <mergeCell ref="F536:F537"/>
    <mergeCell ref="H534:H535"/>
    <mergeCell ref="I534:I535"/>
    <mergeCell ref="J534:J535"/>
    <mergeCell ref="K534:K535"/>
    <mergeCell ref="L534:L535"/>
    <mergeCell ref="M534:M535"/>
    <mergeCell ref="A534:A535"/>
    <mergeCell ref="B534:B535"/>
    <mergeCell ref="C534:C535"/>
    <mergeCell ref="D534:D535"/>
    <mergeCell ref="E534:E535"/>
    <mergeCell ref="F534:F535"/>
    <mergeCell ref="J530:J531"/>
    <mergeCell ref="K530:K531"/>
    <mergeCell ref="L530:L531"/>
    <mergeCell ref="M530:M531"/>
    <mergeCell ref="H532:H533"/>
    <mergeCell ref="I532:I533"/>
    <mergeCell ref="J532:J533"/>
    <mergeCell ref="K532:K533"/>
    <mergeCell ref="L532:L533"/>
    <mergeCell ref="M532:M533"/>
    <mergeCell ref="M528:M529"/>
    <mergeCell ref="N528:O528"/>
    <mergeCell ref="A530:A531"/>
    <mergeCell ref="B530:B531"/>
    <mergeCell ref="C530:C531"/>
    <mergeCell ref="D530:D531"/>
    <mergeCell ref="E530:E531"/>
    <mergeCell ref="F530:F531"/>
    <mergeCell ref="H530:H531"/>
    <mergeCell ref="I530:I531"/>
    <mergeCell ref="H528:H529"/>
    <mergeCell ref="I528:I529"/>
    <mergeCell ref="J528:J529"/>
    <mergeCell ref="K528:K529"/>
    <mergeCell ref="L528:L529"/>
    <mergeCell ref="A528:A529"/>
    <mergeCell ref="B528:B529"/>
    <mergeCell ref="C528:C529"/>
    <mergeCell ref="D528:D529"/>
    <mergeCell ref="E528:E529"/>
    <mergeCell ref="F528:F529"/>
    <mergeCell ref="A511:D511"/>
    <mergeCell ref="H511:K511"/>
    <mergeCell ref="M511:O511"/>
    <mergeCell ref="M516:O516"/>
    <mergeCell ref="A526:G526"/>
    <mergeCell ref="H526:O526"/>
    <mergeCell ref="A503:E503"/>
    <mergeCell ref="H503:L503"/>
    <mergeCell ref="A504:E504"/>
    <mergeCell ref="H504:L504"/>
    <mergeCell ref="A505:E505"/>
    <mergeCell ref="H505:L505"/>
    <mergeCell ref="H501:H502"/>
    <mergeCell ref="I501:I502"/>
    <mergeCell ref="J501:J502"/>
    <mergeCell ref="K501:K502"/>
    <mergeCell ref="L501:L502"/>
    <mergeCell ref="M501:M502"/>
    <mergeCell ref="A501:A502"/>
    <mergeCell ref="B501:B502"/>
    <mergeCell ref="C501:C502"/>
    <mergeCell ref="D501:D502"/>
    <mergeCell ref="E501:E502"/>
    <mergeCell ref="F501:F502"/>
    <mergeCell ref="H499:H500"/>
    <mergeCell ref="I499:I500"/>
    <mergeCell ref="J499:J500"/>
    <mergeCell ref="K499:K500"/>
    <mergeCell ref="L499:L500"/>
    <mergeCell ref="M499:M500"/>
    <mergeCell ref="A499:A500"/>
    <mergeCell ref="B499:B500"/>
    <mergeCell ref="C499:C500"/>
    <mergeCell ref="D499:D500"/>
    <mergeCell ref="E499:E500"/>
    <mergeCell ref="F499:F500"/>
    <mergeCell ref="J495:J496"/>
    <mergeCell ref="K495:K496"/>
    <mergeCell ref="L495:L496"/>
    <mergeCell ref="M495:M496"/>
    <mergeCell ref="H497:H498"/>
    <mergeCell ref="I497:I498"/>
    <mergeCell ref="J497:J498"/>
    <mergeCell ref="K497:K498"/>
    <mergeCell ref="L497:L498"/>
    <mergeCell ref="M497:M498"/>
    <mergeCell ref="M493:M494"/>
    <mergeCell ref="N493:O493"/>
    <mergeCell ref="A495:A496"/>
    <mergeCell ref="B495:B496"/>
    <mergeCell ref="C495:C496"/>
    <mergeCell ref="D495:D496"/>
    <mergeCell ref="E495:E496"/>
    <mergeCell ref="F495:F496"/>
    <mergeCell ref="H495:H496"/>
    <mergeCell ref="I495:I496"/>
    <mergeCell ref="H493:H494"/>
    <mergeCell ref="I493:I494"/>
    <mergeCell ref="J493:J494"/>
    <mergeCell ref="K493:K494"/>
    <mergeCell ref="L493:L494"/>
    <mergeCell ref="A493:A494"/>
    <mergeCell ref="B493:B494"/>
    <mergeCell ref="C493:C494"/>
    <mergeCell ref="D493:D494"/>
    <mergeCell ref="E493:E494"/>
    <mergeCell ref="F493:F494"/>
    <mergeCell ref="A476:D476"/>
    <mergeCell ref="H476:K476"/>
    <mergeCell ref="M476:O476"/>
    <mergeCell ref="M481:O481"/>
    <mergeCell ref="A491:G491"/>
    <mergeCell ref="H491:O491"/>
    <mergeCell ref="A468:E468"/>
    <mergeCell ref="H468:L468"/>
    <mergeCell ref="A469:E469"/>
    <mergeCell ref="H469:L469"/>
    <mergeCell ref="A470:E470"/>
    <mergeCell ref="H470:L470"/>
    <mergeCell ref="H466:H467"/>
    <mergeCell ref="I466:I467"/>
    <mergeCell ref="J466:J467"/>
    <mergeCell ref="K466:K467"/>
    <mergeCell ref="L466:L467"/>
    <mergeCell ref="M466:M467"/>
    <mergeCell ref="A466:A467"/>
    <mergeCell ref="B466:B467"/>
    <mergeCell ref="C466:C467"/>
    <mergeCell ref="D466:D467"/>
    <mergeCell ref="E466:E467"/>
    <mergeCell ref="F466:F467"/>
    <mergeCell ref="H464:H465"/>
    <mergeCell ref="I464:I465"/>
    <mergeCell ref="J464:J465"/>
    <mergeCell ref="K464:K465"/>
    <mergeCell ref="L464:L465"/>
    <mergeCell ref="M464:M465"/>
    <mergeCell ref="A464:A465"/>
    <mergeCell ref="B464:B465"/>
    <mergeCell ref="C464:C465"/>
    <mergeCell ref="D464:D465"/>
    <mergeCell ref="E464:E465"/>
    <mergeCell ref="F464:F465"/>
    <mergeCell ref="H462:H463"/>
    <mergeCell ref="I462:I463"/>
    <mergeCell ref="J462:J463"/>
    <mergeCell ref="K462:K463"/>
    <mergeCell ref="L462:L463"/>
    <mergeCell ref="M462:M463"/>
    <mergeCell ref="J460:J461"/>
    <mergeCell ref="K460:K461"/>
    <mergeCell ref="L460:L461"/>
    <mergeCell ref="M460:M461"/>
    <mergeCell ref="A462:A463"/>
    <mergeCell ref="B462:B463"/>
    <mergeCell ref="C462:C463"/>
    <mergeCell ref="D462:D463"/>
    <mergeCell ref="E462:E463"/>
    <mergeCell ref="F462:F463"/>
    <mergeCell ref="M458:M459"/>
    <mergeCell ref="N458:O458"/>
    <mergeCell ref="A460:A461"/>
    <mergeCell ref="B460:B461"/>
    <mergeCell ref="C460:C461"/>
    <mergeCell ref="D460:D461"/>
    <mergeCell ref="E460:E461"/>
    <mergeCell ref="F460:F461"/>
    <mergeCell ref="H460:H461"/>
    <mergeCell ref="I460:I461"/>
    <mergeCell ref="H458:H459"/>
    <mergeCell ref="I458:I459"/>
    <mergeCell ref="J458:J459"/>
    <mergeCell ref="K458:K459"/>
    <mergeCell ref="L458:L459"/>
    <mergeCell ref="A458:A459"/>
    <mergeCell ref="B458:B459"/>
    <mergeCell ref="C458:C459"/>
    <mergeCell ref="D458:D459"/>
    <mergeCell ref="E458:E459"/>
    <mergeCell ref="F458:F459"/>
    <mergeCell ref="A441:D441"/>
    <mergeCell ref="H441:K441"/>
    <mergeCell ref="M441:O441"/>
    <mergeCell ref="M446:O446"/>
    <mergeCell ref="A456:G456"/>
    <mergeCell ref="H456:O456"/>
    <mergeCell ref="A433:E433"/>
    <mergeCell ref="H433:L433"/>
    <mergeCell ref="A434:E434"/>
    <mergeCell ref="H434:L434"/>
    <mergeCell ref="A435:E435"/>
    <mergeCell ref="H435:L435"/>
    <mergeCell ref="H431:H432"/>
    <mergeCell ref="I431:I432"/>
    <mergeCell ref="J431:J432"/>
    <mergeCell ref="K431:K432"/>
    <mergeCell ref="L431:L432"/>
    <mergeCell ref="M431:M432"/>
    <mergeCell ref="A431:A432"/>
    <mergeCell ref="B431:B432"/>
    <mergeCell ref="C431:C432"/>
    <mergeCell ref="D431:D432"/>
    <mergeCell ref="E431:E432"/>
    <mergeCell ref="F431:F432"/>
    <mergeCell ref="H429:H430"/>
    <mergeCell ref="I429:I430"/>
    <mergeCell ref="J429:J430"/>
    <mergeCell ref="K429:K430"/>
    <mergeCell ref="L429:L430"/>
    <mergeCell ref="M429:M430"/>
    <mergeCell ref="A429:A430"/>
    <mergeCell ref="B429:B430"/>
    <mergeCell ref="C429:C430"/>
    <mergeCell ref="D429:D430"/>
    <mergeCell ref="E429:E430"/>
    <mergeCell ref="F429:F430"/>
    <mergeCell ref="H427:H428"/>
    <mergeCell ref="I427:I428"/>
    <mergeCell ref="J427:J428"/>
    <mergeCell ref="K427:K428"/>
    <mergeCell ref="L427:L428"/>
    <mergeCell ref="M427:M428"/>
    <mergeCell ref="J425:J426"/>
    <mergeCell ref="K425:K426"/>
    <mergeCell ref="L425:L426"/>
    <mergeCell ref="M425:M426"/>
    <mergeCell ref="A427:A428"/>
    <mergeCell ref="B427:B428"/>
    <mergeCell ref="C427:C428"/>
    <mergeCell ref="D427:D428"/>
    <mergeCell ref="E427:E428"/>
    <mergeCell ref="F427:F428"/>
    <mergeCell ref="M423:M424"/>
    <mergeCell ref="N423:O423"/>
    <mergeCell ref="A425:A426"/>
    <mergeCell ref="B425:B426"/>
    <mergeCell ref="C425:C426"/>
    <mergeCell ref="D425:D426"/>
    <mergeCell ref="E425:E426"/>
    <mergeCell ref="F425:F426"/>
    <mergeCell ref="H425:H426"/>
    <mergeCell ref="I425:I426"/>
    <mergeCell ref="H423:H424"/>
    <mergeCell ref="I423:I424"/>
    <mergeCell ref="J423:J424"/>
    <mergeCell ref="K423:K424"/>
    <mergeCell ref="L423:L424"/>
    <mergeCell ref="A423:A424"/>
    <mergeCell ref="B423:B424"/>
    <mergeCell ref="C423:C424"/>
    <mergeCell ref="D423:D424"/>
    <mergeCell ref="E423:E424"/>
    <mergeCell ref="F423:F424"/>
    <mergeCell ref="A406:D406"/>
    <mergeCell ref="H406:K406"/>
    <mergeCell ref="M406:O406"/>
    <mergeCell ref="M411:O411"/>
    <mergeCell ref="A421:G421"/>
    <mergeCell ref="H421:O421"/>
    <mergeCell ref="A398:E398"/>
    <mergeCell ref="H398:L398"/>
    <mergeCell ref="A399:E399"/>
    <mergeCell ref="H399:L399"/>
    <mergeCell ref="A400:E400"/>
    <mergeCell ref="H400:L400"/>
    <mergeCell ref="H396:H397"/>
    <mergeCell ref="I396:I397"/>
    <mergeCell ref="J396:J397"/>
    <mergeCell ref="K396:K397"/>
    <mergeCell ref="L396:L397"/>
    <mergeCell ref="M396:M397"/>
    <mergeCell ref="A396:A397"/>
    <mergeCell ref="B396:B397"/>
    <mergeCell ref="C396:C397"/>
    <mergeCell ref="D396:D397"/>
    <mergeCell ref="E396:E397"/>
    <mergeCell ref="F396:F397"/>
    <mergeCell ref="H394:H395"/>
    <mergeCell ref="I394:I395"/>
    <mergeCell ref="J394:J395"/>
    <mergeCell ref="K394:K395"/>
    <mergeCell ref="L394:L395"/>
    <mergeCell ref="M394:M395"/>
    <mergeCell ref="A394:A395"/>
    <mergeCell ref="B394:B395"/>
    <mergeCell ref="C394:C395"/>
    <mergeCell ref="D394:D395"/>
    <mergeCell ref="E394:E395"/>
    <mergeCell ref="F394:F395"/>
    <mergeCell ref="H392:H393"/>
    <mergeCell ref="I392:I393"/>
    <mergeCell ref="J392:J393"/>
    <mergeCell ref="K392:K393"/>
    <mergeCell ref="L392:L393"/>
    <mergeCell ref="M392:M393"/>
    <mergeCell ref="A392:A393"/>
    <mergeCell ref="B392:B393"/>
    <mergeCell ref="C392:C393"/>
    <mergeCell ref="D392:D393"/>
    <mergeCell ref="E392:E393"/>
    <mergeCell ref="F392:F393"/>
    <mergeCell ref="H390:H391"/>
    <mergeCell ref="I390:I391"/>
    <mergeCell ref="J390:J391"/>
    <mergeCell ref="K390:K391"/>
    <mergeCell ref="L390:L391"/>
    <mergeCell ref="M390:M391"/>
    <mergeCell ref="J388:J389"/>
    <mergeCell ref="K388:K389"/>
    <mergeCell ref="L388:L389"/>
    <mergeCell ref="M388:M389"/>
    <mergeCell ref="A390:A391"/>
    <mergeCell ref="B390:B391"/>
    <mergeCell ref="C390:C391"/>
    <mergeCell ref="D390:D391"/>
    <mergeCell ref="E390:E391"/>
    <mergeCell ref="F390:F391"/>
    <mergeCell ref="M386:M387"/>
    <mergeCell ref="N386:O386"/>
    <mergeCell ref="A388:A389"/>
    <mergeCell ref="B388:B389"/>
    <mergeCell ref="C388:C389"/>
    <mergeCell ref="D388:D389"/>
    <mergeCell ref="E388:E389"/>
    <mergeCell ref="F388:F389"/>
    <mergeCell ref="H388:H389"/>
    <mergeCell ref="I388:I389"/>
    <mergeCell ref="H386:H387"/>
    <mergeCell ref="I386:I387"/>
    <mergeCell ref="J386:J387"/>
    <mergeCell ref="K386:K387"/>
    <mergeCell ref="L386:L387"/>
    <mergeCell ref="A386:A387"/>
    <mergeCell ref="B386:B387"/>
    <mergeCell ref="C386:C387"/>
    <mergeCell ref="D386:D387"/>
    <mergeCell ref="E386:E387"/>
    <mergeCell ref="F386:F387"/>
    <mergeCell ref="A369:D369"/>
    <mergeCell ref="H369:K369"/>
    <mergeCell ref="M369:O369"/>
    <mergeCell ref="M374:O374"/>
    <mergeCell ref="A384:G384"/>
    <mergeCell ref="H384:O384"/>
    <mergeCell ref="A361:E361"/>
    <mergeCell ref="H361:L361"/>
    <mergeCell ref="A362:E362"/>
    <mergeCell ref="H362:L362"/>
    <mergeCell ref="A363:E363"/>
    <mergeCell ref="H363:L363"/>
    <mergeCell ref="H359:H360"/>
    <mergeCell ref="I359:I360"/>
    <mergeCell ref="J359:J360"/>
    <mergeCell ref="K359:K360"/>
    <mergeCell ref="L359:L360"/>
    <mergeCell ref="M359:M360"/>
    <mergeCell ref="A359:A360"/>
    <mergeCell ref="B359:B360"/>
    <mergeCell ref="C359:C360"/>
    <mergeCell ref="D359:D360"/>
    <mergeCell ref="E359:E360"/>
    <mergeCell ref="F359:F360"/>
    <mergeCell ref="H357:H358"/>
    <mergeCell ref="I357:I358"/>
    <mergeCell ref="J357:J358"/>
    <mergeCell ref="K357:K358"/>
    <mergeCell ref="L357:L358"/>
    <mergeCell ref="M357:M358"/>
    <mergeCell ref="H355:H356"/>
    <mergeCell ref="I355:I356"/>
    <mergeCell ref="J355:J356"/>
    <mergeCell ref="K355:K356"/>
    <mergeCell ref="L355:L356"/>
    <mergeCell ref="M355:M356"/>
    <mergeCell ref="A355:A356"/>
    <mergeCell ref="B355:B356"/>
    <mergeCell ref="C355:C356"/>
    <mergeCell ref="D355:D356"/>
    <mergeCell ref="E355:E356"/>
    <mergeCell ref="F355:F356"/>
    <mergeCell ref="J351:J352"/>
    <mergeCell ref="K351:K352"/>
    <mergeCell ref="L351:L352"/>
    <mergeCell ref="M351:M352"/>
    <mergeCell ref="H353:H354"/>
    <mergeCell ref="I353:I354"/>
    <mergeCell ref="J353:J354"/>
    <mergeCell ref="K353:K354"/>
    <mergeCell ref="L353:L354"/>
    <mergeCell ref="M353:M354"/>
    <mergeCell ref="M349:M350"/>
    <mergeCell ref="N349:O349"/>
    <mergeCell ref="A351:A352"/>
    <mergeCell ref="B351:B352"/>
    <mergeCell ref="C351:C352"/>
    <mergeCell ref="D351:D352"/>
    <mergeCell ref="E351:E352"/>
    <mergeCell ref="F351:F352"/>
    <mergeCell ref="H351:H352"/>
    <mergeCell ref="I351:I352"/>
    <mergeCell ref="H349:H350"/>
    <mergeCell ref="I349:I350"/>
    <mergeCell ref="J349:J350"/>
    <mergeCell ref="K349:K350"/>
    <mergeCell ref="L349:L350"/>
    <mergeCell ref="A349:A350"/>
    <mergeCell ref="B349:B350"/>
    <mergeCell ref="C349:C350"/>
    <mergeCell ref="D349:D350"/>
    <mergeCell ref="E349:E350"/>
    <mergeCell ref="F349:F350"/>
    <mergeCell ref="A332:D332"/>
    <mergeCell ref="H332:K332"/>
    <mergeCell ref="M332:O332"/>
    <mergeCell ref="M336:O336"/>
    <mergeCell ref="M337:O337"/>
    <mergeCell ref="A347:G347"/>
    <mergeCell ref="H347:O347"/>
    <mergeCell ref="A324:E324"/>
    <mergeCell ref="H324:L324"/>
    <mergeCell ref="A325:E325"/>
    <mergeCell ref="H325:L325"/>
    <mergeCell ref="A326:E326"/>
    <mergeCell ref="H326:L326"/>
    <mergeCell ref="H322:H323"/>
    <mergeCell ref="I322:I323"/>
    <mergeCell ref="J322:J323"/>
    <mergeCell ref="K322:K323"/>
    <mergeCell ref="L322:L323"/>
    <mergeCell ref="M322:M323"/>
    <mergeCell ref="H318:H319"/>
    <mergeCell ref="I318:I319"/>
    <mergeCell ref="J318:J319"/>
    <mergeCell ref="K318:K319"/>
    <mergeCell ref="L318:L319"/>
    <mergeCell ref="M318:M319"/>
    <mergeCell ref="A318:A319"/>
    <mergeCell ref="B318:B319"/>
    <mergeCell ref="C318:C319"/>
    <mergeCell ref="D318:D319"/>
    <mergeCell ref="E318:E319"/>
    <mergeCell ref="F318:F319"/>
    <mergeCell ref="H316:H317"/>
    <mergeCell ref="I316:I317"/>
    <mergeCell ref="J316:J317"/>
    <mergeCell ref="K316:K317"/>
    <mergeCell ref="L316:L317"/>
    <mergeCell ref="M316:M317"/>
    <mergeCell ref="A316:A317"/>
    <mergeCell ref="B316:B317"/>
    <mergeCell ref="C316:C317"/>
    <mergeCell ref="D316:D317"/>
    <mergeCell ref="E316:E317"/>
    <mergeCell ref="F316:F317"/>
    <mergeCell ref="H314:H315"/>
    <mergeCell ref="I314:I315"/>
    <mergeCell ref="J314:J315"/>
    <mergeCell ref="K314:K315"/>
    <mergeCell ref="L314:L315"/>
    <mergeCell ref="M314:M315"/>
    <mergeCell ref="J312:J313"/>
    <mergeCell ref="K312:K313"/>
    <mergeCell ref="L312:L313"/>
    <mergeCell ref="M312:M313"/>
    <mergeCell ref="A314:A315"/>
    <mergeCell ref="B314:B315"/>
    <mergeCell ref="C314:C315"/>
    <mergeCell ref="D314:D315"/>
    <mergeCell ref="E314:E315"/>
    <mergeCell ref="F314:F315"/>
    <mergeCell ref="M310:M311"/>
    <mergeCell ref="N310:O310"/>
    <mergeCell ref="A312:A313"/>
    <mergeCell ref="B312:B313"/>
    <mergeCell ref="C312:C313"/>
    <mergeCell ref="D312:D313"/>
    <mergeCell ref="E312:E313"/>
    <mergeCell ref="F312:F313"/>
    <mergeCell ref="H312:H313"/>
    <mergeCell ref="I312:I313"/>
    <mergeCell ref="H310:H311"/>
    <mergeCell ref="I310:I311"/>
    <mergeCell ref="J310:J311"/>
    <mergeCell ref="K310:K311"/>
    <mergeCell ref="L310:L311"/>
    <mergeCell ref="A310:A311"/>
    <mergeCell ref="B310:B311"/>
    <mergeCell ref="C310:C311"/>
    <mergeCell ref="D310:D311"/>
    <mergeCell ref="E310:E311"/>
    <mergeCell ref="F310:F311"/>
    <mergeCell ref="A293:D293"/>
    <mergeCell ref="H293:K293"/>
    <mergeCell ref="M293:O293"/>
    <mergeCell ref="M298:O298"/>
    <mergeCell ref="A308:G308"/>
    <mergeCell ref="H308:O308"/>
    <mergeCell ref="A285:E285"/>
    <mergeCell ref="H285:L285"/>
    <mergeCell ref="A286:E286"/>
    <mergeCell ref="H286:L286"/>
    <mergeCell ref="A287:E287"/>
    <mergeCell ref="H287:L287"/>
    <mergeCell ref="H283:H284"/>
    <mergeCell ref="I283:I284"/>
    <mergeCell ref="J283:J284"/>
    <mergeCell ref="K283:K284"/>
    <mergeCell ref="L283:L284"/>
    <mergeCell ref="M283:M284"/>
    <mergeCell ref="A283:A284"/>
    <mergeCell ref="B283:B284"/>
    <mergeCell ref="C283:C284"/>
    <mergeCell ref="D283:D284"/>
    <mergeCell ref="E283:E284"/>
    <mergeCell ref="F283:F284"/>
    <mergeCell ref="H281:H282"/>
    <mergeCell ref="I281:I282"/>
    <mergeCell ref="J281:J282"/>
    <mergeCell ref="K281:K282"/>
    <mergeCell ref="L281:L282"/>
    <mergeCell ref="M281:M282"/>
    <mergeCell ref="H279:H280"/>
    <mergeCell ref="I279:I280"/>
    <mergeCell ref="J279:J280"/>
    <mergeCell ref="K279:K280"/>
    <mergeCell ref="L279:L280"/>
    <mergeCell ref="M279:M280"/>
    <mergeCell ref="A279:A280"/>
    <mergeCell ref="B279:B280"/>
    <mergeCell ref="C279:C280"/>
    <mergeCell ref="D279:D280"/>
    <mergeCell ref="E279:E280"/>
    <mergeCell ref="F279:F280"/>
    <mergeCell ref="H277:H278"/>
    <mergeCell ref="I277:I278"/>
    <mergeCell ref="J277:J278"/>
    <mergeCell ref="K277:K278"/>
    <mergeCell ref="L277:L278"/>
    <mergeCell ref="M277:M278"/>
    <mergeCell ref="A277:A278"/>
    <mergeCell ref="B277:B278"/>
    <mergeCell ref="C277:C278"/>
    <mergeCell ref="D277:D278"/>
    <mergeCell ref="E277:E278"/>
    <mergeCell ref="F277:F278"/>
    <mergeCell ref="H275:H276"/>
    <mergeCell ref="I275:I276"/>
    <mergeCell ref="J275:J276"/>
    <mergeCell ref="K275:K276"/>
    <mergeCell ref="L275:L276"/>
    <mergeCell ref="M275:M276"/>
    <mergeCell ref="J273:J274"/>
    <mergeCell ref="K273:K274"/>
    <mergeCell ref="L273:L274"/>
    <mergeCell ref="M273:M274"/>
    <mergeCell ref="A275:A276"/>
    <mergeCell ref="B275:B276"/>
    <mergeCell ref="C275:C276"/>
    <mergeCell ref="D275:D276"/>
    <mergeCell ref="E275:E276"/>
    <mergeCell ref="F275:F276"/>
    <mergeCell ref="M271:M272"/>
    <mergeCell ref="N271:O271"/>
    <mergeCell ref="A273:A274"/>
    <mergeCell ref="B273:B274"/>
    <mergeCell ref="C273:C274"/>
    <mergeCell ref="D273:D274"/>
    <mergeCell ref="E273:E274"/>
    <mergeCell ref="F273:F274"/>
    <mergeCell ref="H273:H274"/>
    <mergeCell ref="I273:I274"/>
    <mergeCell ref="H271:H272"/>
    <mergeCell ref="I271:I272"/>
    <mergeCell ref="J271:J272"/>
    <mergeCell ref="K271:K272"/>
    <mergeCell ref="L271:L272"/>
    <mergeCell ref="A271:A272"/>
    <mergeCell ref="B271:B272"/>
    <mergeCell ref="C271:C272"/>
    <mergeCell ref="D271:D272"/>
    <mergeCell ref="E271:E272"/>
    <mergeCell ref="F271:F272"/>
    <mergeCell ref="A254:D254"/>
    <mergeCell ref="H254:K254"/>
    <mergeCell ref="M254:O254"/>
    <mergeCell ref="M259:O259"/>
    <mergeCell ref="A269:G269"/>
    <mergeCell ref="H269:O269"/>
    <mergeCell ref="A246:E246"/>
    <mergeCell ref="H246:L246"/>
    <mergeCell ref="A247:E247"/>
    <mergeCell ref="H247:L247"/>
    <mergeCell ref="A248:E248"/>
    <mergeCell ref="H248:L248"/>
    <mergeCell ref="H244:H245"/>
    <mergeCell ref="I244:I245"/>
    <mergeCell ref="J244:J245"/>
    <mergeCell ref="K244:K245"/>
    <mergeCell ref="L244:L245"/>
    <mergeCell ref="M244:M245"/>
    <mergeCell ref="A244:A245"/>
    <mergeCell ref="B244:B245"/>
    <mergeCell ref="C244:C245"/>
    <mergeCell ref="D244:D245"/>
    <mergeCell ref="E244:E245"/>
    <mergeCell ref="F244:F245"/>
    <mergeCell ref="H242:H243"/>
    <mergeCell ref="I242:I243"/>
    <mergeCell ref="J242:J243"/>
    <mergeCell ref="K242:K243"/>
    <mergeCell ref="L242:L243"/>
    <mergeCell ref="M242:M243"/>
    <mergeCell ref="A242:A243"/>
    <mergeCell ref="B242:B243"/>
    <mergeCell ref="C242:C243"/>
    <mergeCell ref="D242:D243"/>
    <mergeCell ref="E242:E243"/>
    <mergeCell ref="F242:F243"/>
    <mergeCell ref="H240:H241"/>
    <mergeCell ref="I240:I241"/>
    <mergeCell ref="J240:J241"/>
    <mergeCell ref="K240:K241"/>
    <mergeCell ref="L240:L241"/>
    <mergeCell ref="M240:M241"/>
    <mergeCell ref="H238:H239"/>
    <mergeCell ref="I238:I239"/>
    <mergeCell ref="J238:J239"/>
    <mergeCell ref="K238:K239"/>
    <mergeCell ref="L238:L239"/>
    <mergeCell ref="M238:M239"/>
    <mergeCell ref="A238:A239"/>
    <mergeCell ref="B238:B239"/>
    <mergeCell ref="C238:C239"/>
    <mergeCell ref="D238:D239"/>
    <mergeCell ref="E238:E239"/>
    <mergeCell ref="F238:F239"/>
    <mergeCell ref="H236:H237"/>
    <mergeCell ref="I236:I237"/>
    <mergeCell ref="J236:J237"/>
    <mergeCell ref="K236:K237"/>
    <mergeCell ref="L236:L237"/>
    <mergeCell ref="M236:M237"/>
    <mergeCell ref="J234:J235"/>
    <mergeCell ref="K234:K235"/>
    <mergeCell ref="L234:L235"/>
    <mergeCell ref="M234:M235"/>
    <mergeCell ref="A236:A237"/>
    <mergeCell ref="B236:B237"/>
    <mergeCell ref="C236:C237"/>
    <mergeCell ref="D236:D237"/>
    <mergeCell ref="E236:E237"/>
    <mergeCell ref="F236:F237"/>
    <mergeCell ref="M232:M233"/>
    <mergeCell ref="N232:O232"/>
    <mergeCell ref="A234:A235"/>
    <mergeCell ref="B234:B235"/>
    <mergeCell ref="C234:C235"/>
    <mergeCell ref="D234:D235"/>
    <mergeCell ref="E234:E235"/>
    <mergeCell ref="F234:F235"/>
    <mergeCell ref="H234:H235"/>
    <mergeCell ref="I234:I235"/>
    <mergeCell ref="H232:H233"/>
    <mergeCell ref="I232:I233"/>
    <mergeCell ref="J232:J233"/>
    <mergeCell ref="K232:K233"/>
    <mergeCell ref="L232:L233"/>
    <mergeCell ref="M215:O215"/>
    <mergeCell ref="M220:O220"/>
    <mergeCell ref="A230:G230"/>
    <mergeCell ref="H230:O230"/>
    <mergeCell ref="A232:A233"/>
    <mergeCell ref="B232:B233"/>
    <mergeCell ref="C232:C233"/>
    <mergeCell ref="D232:D233"/>
    <mergeCell ref="E232:E233"/>
    <mergeCell ref="F232:F233"/>
    <mergeCell ref="A208:E208"/>
    <mergeCell ref="H208:L208"/>
    <mergeCell ref="A209:E209"/>
    <mergeCell ref="H209:L209"/>
    <mergeCell ref="A215:D215"/>
    <mergeCell ref="H215:K215"/>
    <mergeCell ref="I205:I206"/>
    <mergeCell ref="J205:J206"/>
    <mergeCell ref="K205:K206"/>
    <mergeCell ref="L205:L206"/>
    <mergeCell ref="M205:M206"/>
    <mergeCell ref="A207:E207"/>
    <mergeCell ref="H207:L207"/>
    <mergeCell ref="K203:K204"/>
    <mergeCell ref="L203:L204"/>
    <mergeCell ref="M203:M204"/>
    <mergeCell ref="A205:A206"/>
    <mergeCell ref="B205:B206"/>
    <mergeCell ref="C205:C206"/>
    <mergeCell ref="D205:D206"/>
    <mergeCell ref="E205:E206"/>
    <mergeCell ref="F205:F206"/>
    <mergeCell ref="H205:H206"/>
    <mergeCell ref="Q202:Q203"/>
    <mergeCell ref="A203:A204"/>
    <mergeCell ref="B203:B204"/>
    <mergeCell ref="C203:C204"/>
    <mergeCell ref="D203:D204"/>
    <mergeCell ref="E203:E204"/>
    <mergeCell ref="F203:F204"/>
    <mergeCell ref="H203:H204"/>
    <mergeCell ref="I203:I204"/>
    <mergeCell ref="J203:J204"/>
    <mergeCell ref="H201:H202"/>
    <mergeCell ref="I201:I202"/>
    <mergeCell ref="J201:J202"/>
    <mergeCell ref="K201:K202"/>
    <mergeCell ref="L201:L202"/>
    <mergeCell ref="M201:M202"/>
    <mergeCell ref="A201:A202"/>
    <mergeCell ref="B201:B202"/>
    <mergeCell ref="C201:C202"/>
    <mergeCell ref="D201:D202"/>
    <mergeCell ref="E201:E202"/>
    <mergeCell ref="F201:F202"/>
    <mergeCell ref="H199:H200"/>
    <mergeCell ref="I199:I200"/>
    <mergeCell ref="J199:J200"/>
    <mergeCell ref="K199:K200"/>
    <mergeCell ref="L199:L200"/>
    <mergeCell ref="M199:M200"/>
    <mergeCell ref="J197:J198"/>
    <mergeCell ref="K197:K198"/>
    <mergeCell ref="L197:L198"/>
    <mergeCell ref="M197:M198"/>
    <mergeCell ref="A199:A200"/>
    <mergeCell ref="B199:B200"/>
    <mergeCell ref="C199:C200"/>
    <mergeCell ref="D199:D200"/>
    <mergeCell ref="E199:E200"/>
    <mergeCell ref="F199:F200"/>
    <mergeCell ref="M195:M196"/>
    <mergeCell ref="N195:O195"/>
    <mergeCell ref="A197:A198"/>
    <mergeCell ref="B197:B198"/>
    <mergeCell ref="C197:C198"/>
    <mergeCell ref="D197:D198"/>
    <mergeCell ref="E197:E198"/>
    <mergeCell ref="F197:F198"/>
    <mergeCell ref="H197:H198"/>
    <mergeCell ref="I197:I198"/>
    <mergeCell ref="H195:H196"/>
    <mergeCell ref="I195:I196"/>
    <mergeCell ref="J195:J196"/>
    <mergeCell ref="K195:K196"/>
    <mergeCell ref="L195:L196"/>
    <mergeCell ref="A195:A196"/>
    <mergeCell ref="B195:B196"/>
    <mergeCell ref="C195:C196"/>
    <mergeCell ref="D195:D196"/>
    <mergeCell ref="E195:E196"/>
    <mergeCell ref="F195:F196"/>
    <mergeCell ref="A178:D178"/>
    <mergeCell ref="H178:K178"/>
    <mergeCell ref="M178:O178"/>
    <mergeCell ref="M182:O182"/>
    <mergeCell ref="A193:G193"/>
    <mergeCell ref="H193:O193"/>
    <mergeCell ref="A170:E170"/>
    <mergeCell ref="H170:L170"/>
    <mergeCell ref="A171:E171"/>
    <mergeCell ref="H171:L171"/>
    <mergeCell ref="A172:E172"/>
    <mergeCell ref="H172:L172"/>
    <mergeCell ref="H168:H169"/>
    <mergeCell ref="I168:I169"/>
    <mergeCell ref="J168:J169"/>
    <mergeCell ref="K168:K169"/>
    <mergeCell ref="L168:L169"/>
    <mergeCell ref="M168:M169"/>
    <mergeCell ref="A168:A169"/>
    <mergeCell ref="B168:B169"/>
    <mergeCell ref="C168:C169"/>
    <mergeCell ref="D168:D169"/>
    <mergeCell ref="E168:E169"/>
    <mergeCell ref="F168:F169"/>
    <mergeCell ref="H166:H167"/>
    <mergeCell ref="I166:I167"/>
    <mergeCell ref="J166:J167"/>
    <mergeCell ref="K166:K167"/>
    <mergeCell ref="L166:L167"/>
    <mergeCell ref="M166:M167"/>
    <mergeCell ref="H164:H165"/>
    <mergeCell ref="I164:I165"/>
    <mergeCell ref="J164:J165"/>
    <mergeCell ref="K164:K165"/>
    <mergeCell ref="L164:L165"/>
    <mergeCell ref="M164:M165"/>
    <mergeCell ref="A164:A165"/>
    <mergeCell ref="B164:B165"/>
    <mergeCell ref="C164:C165"/>
    <mergeCell ref="D164:D165"/>
    <mergeCell ref="E164:E165"/>
    <mergeCell ref="F164:F165"/>
    <mergeCell ref="J160:J161"/>
    <mergeCell ref="K160:K161"/>
    <mergeCell ref="L160:L161"/>
    <mergeCell ref="M160:M161"/>
    <mergeCell ref="H162:H163"/>
    <mergeCell ref="I162:I163"/>
    <mergeCell ref="J162:J163"/>
    <mergeCell ref="K162:K163"/>
    <mergeCell ref="L162:L163"/>
    <mergeCell ref="M162:M163"/>
    <mergeCell ref="M158:M159"/>
    <mergeCell ref="N158:O158"/>
    <mergeCell ref="A160:A161"/>
    <mergeCell ref="B160:B161"/>
    <mergeCell ref="C160:C161"/>
    <mergeCell ref="D160:D161"/>
    <mergeCell ref="E160:E161"/>
    <mergeCell ref="F160:F161"/>
    <mergeCell ref="H160:H161"/>
    <mergeCell ref="I160:I161"/>
    <mergeCell ref="H158:H159"/>
    <mergeCell ref="I158:I159"/>
    <mergeCell ref="J158:J159"/>
    <mergeCell ref="K158:K159"/>
    <mergeCell ref="L158:L159"/>
    <mergeCell ref="A158:A159"/>
    <mergeCell ref="B158:B159"/>
    <mergeCell ref="C158:C159"/>
    <mergeCell ref="D158:D159"/>
    <mergeCell ref="E158:E159"/>
    <mergeCell ref="F158:F159"/>
    <mergeCell ref="A141:D141"/>
    <mergeCell ref="H141:K141"/>
    <mergeCell ref="M141:O141"/>
    <mergeCell ref="M146:O146"/>
    <mergeCell ref="A156:G156"/>
    <mergeCell ref="H156:O156"/>
    <mergeCell ref="A133:E133"/>
    <mergeCell ref="H133:L133"/>
    <mergeCell ref="A134:E134"/>
    <mergeCell ref="H134:L134"/>
    <mergeCell ref="A135:E135"/>
    <mergeCell ref="H135:L135"/>
    <mergeCell ref="H131:H132"/>
    <mergeCell ref="I131:I132"/>
    <mergeCell ref="J131:J132"/>
    <mergeCell ref="K131:K132"/>
    <mergeCell ref="L131:L132"/>
    <mergeCell ref="M131:M132"/>
    <mergeCell ref="A131:A132"/>
    <mergeCell ref="B131:B132"/>
    <mergeCell ref="C131:C132"/>
    <mergeCell ref="D131:D132"/>
    <mergeCell ref="E131:E132"/>
    <mergeCell ref="F131:F132"/>
    <mergeCell ref="H129:H130"/>
    <mergeCell ref="I129:I130"/>
    <mergeCell ref="J129:J130"/>
    <mergeCell ref="K129:K130"/>
    <mergeCell ref="L129:L130"/>
    <mergeCell ref="M129:M130"/>
    <mergeCell ref="H127:H128"/>
    <mergeCell ref="I127:I128"/>
    <mergeCell ref="J127:J128"/>
    <mergeCell ref="K127:K128"/>
    <mergeCell ref="L127:L128"/>
    <mergeCell ref="M127:M128"/>
    <mergeCell ref="A127:A128"/>
    <mergeCell ref="B127:B128"/>
    <mergeCell ref="C127:C128"/>
    <mergeCell ref="D127:D128"/>
    <mergeCell ref="E127:E128"/>
    <mergeCell ref="F127:F128"/>
    <mergeCell ref="H125:H126"/>
    <mergeCell ref="I125:I126"/>
    <mergeCell ref="J125:J126"/>
    <mergeCell ref="K125:K126"/>
    <mergeCell ref="L125:L126"/>
    <mergeCell ref="M125:M126"/>
    <mergeCell ref="J123:J124"/>
    <mergeCell ref="K123:K124"/>
    <mergeCell ref="L123:L124"/>
    <mergeCell ref="M123:M124"/>
    <mergeCell ref="A125:A126"/>
    <mergeCell ref="B125:B126"/>
    <mergeCell ref="C125:C126"/>
    <mergeCell ref="D125:D126"/>
    <mergeCell ref="E125:E126"/>
    <mergeCell ref="F125:F126"/>
    <mergeCell ref="M121:M122"/>
    <mergeCell ref="N121:O121"/>
    <mergeCell ref="A123:A124"/>
    <mergeCell ref="B123:B124"/>
    <mergeCell ref="C123:C124"/>
    <mergeCell ref="D123:D124"/>
    <mergeCell ref="E123:E124"/>
    <mergeCell ref="F123:F124"/>
    <mergeCell ref="H123:H124"/>
    <mergeCell ref="I123:I124"/>
    <mergeCell ref="H121:H122"/>
    <mergeCell ref="I121:I122"/>
    <mergeCell ref="J121:J122"/>
    <mergeCell ref="K121:K122"/>
    <mergeCell ref="L121:L122"/>
    <mergeCell ref="A121:A122"/>
    <mergeCell ref="B121:B122"/>
    <mergeCell ref="C121:C122"/>
    <mergeCell ref="D121:D122"/>
    <mergeCell ref="E121:E122"/>
    <mergeCell ref="F121:F122"/>
    <mergeCell ref="A104:D104"/>
    <mergeCell ref="H104:K104"/>
    <mergeCell ref="M104:O104"/>
    <mergeCell ref="M109:O109"/>
    <mergeCell ref="A119:G119"/>
    <mergeCell ref="H119:O119"/>
    <mergeCell ref="A96:E96"/>
    <mergeCell ref="H96:L96"/>
    <mergeCell ref="A97:E97"/>
    <mergeCell ref="H97:L97"/>
    <mergeCell ref="A98:E98"/>
    <mergeCell ref="H98:L98"/>
    <mergeCell ref="H94:H95"/>
    <mergeCell ref="I94:I95"/>
    <mergeCell ref="J94:J95"/>
    <mergeCell ref="K94:K95"/>
    <mergeCell ref="L94:L95"/>
    <mergeCell ref="M94:M95"/>
    <mergeCell ref="A94:A95"/>
    <mergeCell ref="B94:B95"/>
    <mergeCell ref="C94:C95"/>
    <mergeCell ref="D94:D95"/>
    <mergeCell ref="E94:E95"/>
    <mergeCell ref="F94:F95"/>
    <mergeCell ref="K90:K91"/>
    <mergeCell ref="L90:L91"/>
    <mergeCell ref="M90:M91"/>
    <mergeCell ref="H92:H93"/>
    <mergeCell ref="I92:I93"/>
    <mergeCell ref="J92:J93"/>
    <mergeCell ref="K92:K93"/>
    <mergeCell ref="L92:L93"/>
    <mergeCell ref="M92:M93"/>
    <mergeCell ref="M88:M89"/>
    <mergeCell ref="A90:A91"/>
    <mergeCell ref="B90:B91"/>
    <mergeCell ref="C90:C91"/>
    <mergeCell ref="D90:D91"/>
    <mergeCell ref="E90:E91"/>
    <mergeCell ref="F90:F91"/>
    <mergeCell ref="H90:H91"/>
    <mergeCell ref="I90:I91"/>
    <mergeCell ref="J90:J91"/>
    <mergeCell ref="F88:F89"/>
    <mergeCell ref="H88:H89"/>
    <mergeCell ref="I88:I89"/>
    <mergeCell ref="J88:J89"/>
    <mergeCell ref="K88:K89"/>
    <mergeCell ref="L88:L89"/>
    <mergeCell ref="M86:M87"/>
    <mergeCell ref="A88:A89"/>
    <mergeCell ref="B88:B89"/>
    <mergeCell ref="C88:C89"/>
    <mergeCell ref="D88:D89"/>
    <mergeCell ref="E88:E89"/>
    <mergeCell ref="L84:L85"/>
    <mergeCell ref="M84:M85"/>
    <mergeCell ref="N84:O84"/>
    <mergeCell ref="A86:A87"/>
    <mergeCell ref="B86:B87"/>
    <mergeCell ref="C86:C87"/>
    <mergeCell ref="D86:D87"/>
    <mergeCell ref="E86:E87"/>
    <mergeCell ref="F86:F87"/>
    <mergeCell ref="H86:H87"/>
    <mergeCell ref="F84:F85"/>
    <mergeCell ref="H84:H85"/>
    <mergeCell ref="I84:I85"/>
    <mergeCell ref="J84:J85"/>
    <mergeCell ref="K84:K85"/>
    <mergeCell ref="A67:D67"/>
    <mergeCell ref="H67:K67"/>
    <mergeCell ref="M72:O72"/>
    <mergeCell ref="A82:G82"/>
    <mergeCell ref="H82:O82"/>
    <mergeCell ref="A84:A85"/>
    <mergeCell ref="B84:B85"/>
    <mergeCell ref="C84:C85"/>
    <mergeCell ref="D84:D85"/>
    <mergeCell ref="E84:E85"/>
    <mergeCell ref="A59:E59"/>
    <mergeCell ref="H59:L59"/>
    <mergeCell ref="A60:E60"/>
    <mergeCell ref="H60:L60"/>
    <mergeCell ref="A61:E61"/>
    <mergeCell ref="H61:L61"/>
    <mergeCell ref="H57:H58"/>
    <mergeCell ref="I57:I58"/>
    <mergeCell ref="J57:J58"/>
    <mergeCell ref="K57:K58"/>
    <mergeCell ref="L57:L58"/>
    <mergeCell ref="M57:M58"/>
    <mergeCell ref="A57:A58"/>
    <mergeCell ref="B57:B58"/>
    <mergeCell ref="C57:C58"/>
    <mergeCell ref="D57:D58"/>
    <mergeCell ref="E57:E58"/>
    <mergeCell ref="F57:F58"/>
    <mergeCell ref="A55:A56"/>
    <mergeCell ref="B55:B56"/>
    <mergeCell ref="C55:C56"/>
    <mergeCell ref="D55:D56"/>
    <mergeCell ref="E55:E56"/>
    <mergeCell ref="F55:F56"/>
    <mergeCell ref="M51:M52"/>
    <mergeCell ref="H53:H54"/>
    <mergeCell ref="I53:I54"/>
    <mergeCell ref="J53:J54"/>
    <mergeCell ref="K53:K54"/>
    <mergeCell ref="L53:L54"/>
    <mergeCell ref="M53:M54"/>
    <mergeCell ref="F51:F52"/>
    <mergeCell ref="H51:H52"/>
    <mergeCell ref="I51:I52"/>
    <mergeCell ref="J51:J52"/>
    <mergeCell ref="K51:K52"/>
    <mergeCell ref="L51:L52"/>
    <mergeCell ref="A51:A52"/>
    <mergeCell ref="B51:B52"/>
    <mergeCell ref="C51:C52"/>
    <mergeCell ref="D51:D52"/>
    <mergeCell ref="E51:E52"/>
    <mergeCell ref="L47:L48"/>
    <mergeCell ref="M47:M48"/>
    <mergeCell ref="N47:O47"/>
    <mergeCell ref="A49:A50"/>
    <mergeCell ref="B49:B50"/>
    <mergeCell ref="C49:C50"/>
    <mergeCell ref="D49:D50"/>
    <mergeCell ref="E49:E50"/>
    <mergeCell ref="F49:F50"/>
    <mergeCell ref="H49:H50"/>
    <mergeCell ref="F47:F48"/>
    <mergeCell ref="H47:H48"/>
    <mergeCell ref="I47:I48"/>
    <mergeCell ref="J47:J48"/>
    <mergeCell ref="K47:K48"/>
    <mergeCell ref="A30:D30"/>
    <mergeCell ref="H30:K30"/>
    <mergeCell ref="M35:O35"/>
    <mergeCell ref="A45:G45"/>
    <mergeCell ref="H45:O45"/>
    <mergeCell ref="A47:A48"/>
    <mergeCell ref="B47:B48"/>
    <mergeCell ref="C47:C48"/>
    <mergeCell ref="D47:D48"/>
    <mergeCell ref="E47:E48"/>
    <mergeCell ref="A22:E22"/>
    <mergeCell ref="H22:L22"/>
    <mergeCell ref="A23:E23"/>
    <mergeCell ref="H23:L23"/>
    <mergeCell ref="A24:E24"/>
    <mergeCell ref="H24:L24"/>
    <mergeCell ref="H20:H21"/>
    <mergeCell ref="I20:I21"/>
    <mergeCell ref="J20:J21"/>
    <mergeCell ref="K20:K21"/>
    <mergeCell ref="L20:L21"/>
    <mergeCell ref="M20:M21"/>
    <mergeCell ref="A20:A21"/>
    <mergeCell ref="B20:B21"/>
    <mergeCell ref="C20:C21"/>
    <mergeCell ref="D20:D21"/>
    <mergeCell ref="E20:E21"/>
    <mergeCell ref="F20:F21"/>
    <mergeCell ref="E12:E13"/>
    <mergeCell ref="F12:F13"/>
    <mergeCell ref="H18:H19"/>
    <mergeCell ref="I18:I19"/>
    <mergeCell ref="J18:J19"/>
    <mergeCell ref="K18:K19"/>
    <mergeCell ref="L18:L19"/>
    <mergeCell ref="M18:M19"/>
    <mergeCell ref="A18:A19"/>
    <mergeCell ref="B18:B19"/>
    <mergeCell ref="C18:C19"/>
    <mergeCell ref="D18:D19"/>
    <mergeCell ref="E18:E19"/>
    <mergeCell ref="F18:F19"/>
    <mergeCell ref="H16:H17"/>
    <mergeCell ref="I16:I17"/>
    <mergeCell ref="J16:J17"/>
    <mergeCell ref="K16:K17"/>
    <mergeCell ref="L16:L17"/>
    <mergeCell ref="M16:M17"/>
    <mergeCell ref="N10:O10"/>
    <mergeCell ref="A8:G8"/>
    <mergeCell ref="H8:O8"/>
    <mergeCell ref="A10:A11"/>
    <mergeCell ref="B10:B11"/>
    <mergeCell ref="C10:C11"/>
    <mergeCell ref="D10:D11"/>
    <mergeCell ref="E10:E11"/>
    <mergeCell ref="F10:F11"/>
    <mergeCell ref="H10:H11"/>
    <mergeCell ref="H14:H15"/>
    <mergeCell ref="I14:I15"/>
    <mergeCell ref="J14:J15"/>
    <mergeCell ref="K14:K15"/>
    <mergeCell ref="L14:L15"/>
    <mergeCell ref="M14:M15"/>
    <mergeCell ref="A14:A15"/>
    <mergeCell ref="B14:B15"/>
    <mergeCell ref="C14:C15"/>
    <mergeCell ref="D14:D15"/>
    <mergeCell ref="E14:E15"/>
    <mergeCell ref="F14:F15"/>
    <mergeCell ref="H12:H13"/>
    <mergeCell ref="I12:I13"/>
    <mergeCell ref="J12:J13"/>
    <mergeCell ref="K12:K13"/>
    <mergeCell ref="L12:L13"/>
    <mergeCell ref="M12:M13"/>
    <mergeCell ref="A12:A13"/>
    <mergeCell ref="B12:B13"/>
    <mergeCell ref="C12:C13"/>
    <mergeCell ref="D12:D13"/>
    <mergeCell ref="H680:H681"/>
    <mergeCell ref="I680:I681"/>
    <mergeCell ref="J680:J681"/>
    <mergeCell ref="K680:K681"/>
    <mergeCell ref="L680:L681"/>
    <mergeCell ref="M680:M681"/>
    <mergeCell ref="H569:H570"/>
    <mergeCell ref="I569:I570"/>
    <mergeCell ref="J569:J570"/>
    <mergeCell ref="K569:K570"/>
    <mergeCell ref="L569:L570"/>
    <mergeCell ref="M569:M570"/>
    <mergeCell ref="I10:I11"/>
    <mergeCell ref="J10:J11"/>
    <mergeCell ref="K10:K11"/>
    <mergeCell ref="L10:L11"/>
    <mergeCell ref="M10:M11"/>
    <mergeCell ref="I49:I50"/>
    <mergeCell ref="J49:J50"/>
    <mergeCell ref="K49:K50"/>
    <mergeCell ref="L49:L50"/>
    <mergeCell ref="M49:M50"/>
    <mergeCell ref="H55:H56"/>
    <mergeCell ref="I55:I56"/>
    <mergeCell ref="J55:J56"/>
    <mergeCell ref="K55:K56"/>
    <mergeCell ref="L55:L56"/>
    <mergeCell ref="M55:M56"/>
    <mergeCell ref="I86:I87"/>
    <mergeCell ref="J86:J87"/>
    <mergeCell ref="K86:K87"/>
    <mergeCell ref="L86:L87"/>
  </mergeCells>
  <pageMargins left="0.76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07"/>
  <sheetViews>
    <sheetView topLeftCell="I127" workbookViewId="0">
      <selection activeCell="L129" sqref="L129:L130"/>
    </sheetView>
  </sheetViews>
  <sheetFormatPr baseColWidth="10" defaultRowHeight="15"/>
  <cols>
    <col min="1" max="1" width="13.28515625" style="51" hidden="1" customWidth="1"/>
    <col min="2" max="2" width="21.140625" style="51" hidden="1" customWidth="1"/>
    <col min="3" max="3" width="19.7109375" style="51" hidden="1" customWidth="1"/>
    <col min="4" max="4" width="19.140625" style="51" hidden="1" customWidth="1"/>
    <col min="5" max="5" width="18.28515625" style="51" hidden="1" customWidth="1"/>
    <col min="6" max="6" width="22.140625" style="51" hidden="1" customWidth="1"/>
    <col min="7" max="7" width="7.140625" style="51" hidden="1" customWidth="1"/>
    <col min="8" max="8" width="14.42578125" style="51" hidden="1" customWidth="1"/>
    <col min="9" max="9" width="13.28515625" style="51" customWidth="1"/>
    <col min="10" max="10" width="20.5703125" style="51" customWidth="1"/>
    <col min="11" max="11" width="18.42578125" style="51" customWidth="1"/>
    <col min="12" max="12" width="21.85546875" style="51" customWidth="1"/>
    <col min="13" max="13" width="14.28515625" style="51" customWidth="1"/>
    <col min="14" max="14" width="21.7109375" style="51" customWidth="1"/>
    <col min="15" max="15" width="8" style="51" customWidth="1"/>
    <col min="16" max="16" width="12.7109375" style="51" customWidth="1"/>
    <col min="17" max="17" width="11.42578125" style="51"/>
    <col min="18" max="18" width="14.140625" style="51" bestFit="1" customWidth="1"/>
    <col min="19" max="16384" width="11.42578125" style="51"/>
  </cols>
  <sheetData>
    <row r="1" spans="1:16" ht="14.25" customHeight="1">
      <c r="A1" s="49" t="s">
        <v>88</v>
      </c>
      <c r="B1" s="50"/>
      <c r="I1" s="49" t="s">
        <v>88</v>
      </c>
      <c r="J1" s="50"/>
    </row>
    <row r="2" spans="1:16">
      <c r="A2" s="51" t="s">
        <v>89</v>
      </c>
      <c r="I2" s="51" t="s">
        <v>89</v>
      </c>
    </row>
    <row r="3" spans="1:16">
      <c r="A3" s="51" t="s">
        <v>90</v>
      </c>
      <c r="I3" s="51" t="s">
        <v>90</v>
      </c>
    </row>
    <row r="4" spans="1:16">
      <c r="A4" s="51" t="s">
        <v>91</v>
      </c>
      <c r="I4" s="51" t="s">
        <v>91</v>
      </c>
    </row>
    <row r="5" spans="1:16" ht="5.25" customHeight="1">
      <c r="A5" s="50"/>
      <c r="B5" s="50"/>
      <c r="I5" s="50"/>
      <c r="J5" s="50"/>
    </row>
    <row r="6" spans="1:16" ht="16.5">
      <c r="A6" s="52" t="s">
        <v>172</v>
      </c>
      <c r="G6" s="52"/>
      <c r="I6" s="52" t="s">
        <v>534</v>
      </c>
      <c r="O6" s="52"/>
    </row>
    <row r="7" spans="1:16" ht="15.75">
      <c r="A7" s="53" t="s">
        <v>92</v>
      </c>
      <c r="G7" s="53"/>
      <c r="I7" s="53" t="s">
        <v>2139</v>
      </c>
      <c r="O7" s="53"/>
    </row>
    <row r="8" spans="1:16" ht="13.5" customHeight="1">
      <c r="A8" s="894" t="s">
        <v>93</v>
      </c>
      <c r="B8" s="894"/>
      <c r="C8" s="894"/>
      <c r="D8" s="894"/>
      <c r="E8" s="894"/>
      <c r="F8" s="894"/>
      <c r="G8" s="894"/>
      <c r="H8" s="894"/>
      <c r="I8" s="894" t="s">
        <v>903</v>
      </c>
      <c r="J8" s="894"/>
      <c r="K8" s="894"/>
      <c r="L8" s="894"/>
      <c r="M8" s="894"/>
      <c r="N8" s="894"/>
      <c r="O8" s="894"/>
      <c r="P8" s="894"/>
    </row>
    <row r="9" spans="1:16" ht="7.5" customHeight="1" thickBot="1"/>
    <row r="10" spans="1:16">
      <c r="A10" s="895" t="s">
        <v>94</v>
      </c>
      <c r="B10" s="897" t="s">
        <v>95</v>
      </c>
      <c r="C10" s="897" t="s">
        <v>96</v>
      </c>
      <c r="D10" s="897" t="s">
        <v>3</v>
      </c>
      <c r="E10" s="897" t="s">
        <v>97</v>
      </c>
      <c r="F10" s="897" t="s">
        <v>98</v>
      </c>
      <c r="G10" s="897" t="s">
        <v>99</v>
      </c>
      <c r="H10" s="899"/>
      <c r="I10" s="895" t="s">
        <v>94</v>
      </c>
      <c r="J10" s="897" t="s">
        <v>95</v>
      </c>
      <c r="K10" s="897" t="s">
        <v>96</v>
      </c>
      <c r="L10" s="897" t="s">
        <v>3</v>
      </c>
      <c r="M10" s="897" t="s">
        <v>97</v>
      </c>
      <c r="N10" s="897" t="s">
        <v>98</v>
      </c>
      <c r="O10" s="897" t="s">
        <v>99</v>
      </c>
      <c r="P10" s="899"/>
    </row>
    <row r="11" spans="1:16" ht="15.75" thickBot="1">
      <c r="A11" s="896"/>
      <c r="B11" s="898"/>
      <c r="C11" s="898"/>
      <c r="D11" s="898"/>
      <c r="E11" s="898"/>
      <c r="F11" s="898"/>
      <c r="G11" s="240" t="s">
        <v>100</v>
      </c>
      <c r="H11" s="182" t="s">
        <v>101</v>
      </c>
      <c r="I11" s="896"/>
      <c r="J11" s="898"/>
      <c r="K11" s="898"/>
      <c r="L11" s="898"/>
      <c r="M11" s="898"/>
      <c r="N11" s="898"/>
      <c r="O11" s="240" t="s">
        <v>100</v>
      </c>
      <c r="P11" s="182" t="s">
        <v>101</v>
      </c>
    </row>
    <row r="12" spans="1:16" ht="12" customHeight="1">
      <c r="A12" s="881">
        <v>237</v>
      </c>
      <c r="B12" s="875">
        <v>42228</v>
      </c>
      <c r="C12" s="942" t="s">
        <v>31</v>
      </c>
      <c r="D12" s="881" t="s">
        <v>174</v>
      </c>
      <c r="E12" s="881" t="s">
        <v>115</v>
      </c>
      <c r="F12" s="883">
        <v>120000</v>
      </c>
      <c r="G12" s="55">
        <v>719</v>
      </c>
      <c r="H12" s="78">
        <v>120000</v>
      </c>
      <c r="I12" s="873" t="s">
        <v>545</v>
      </c>
      <c r="J12" s="875">
        <v>44567</v>
      </c>
      <c r="K12" s="877" t="s">
        <v>1079</v>
      </c>
      <c r="L12" s="881" t="s">
        <v>2140</v>
      </c>
      <c r="M12" s="881" t="s">
        <v>148</v>
      </c>
      <c r="N12" s="883">
        <v>46252500</v>
      </c>
      <c r="O12" s="55">
        <v>719</v>
      </c>
      <c r="P12" s="78"/>
    </row>
    <row r="13" spans="1:16" ht="14.25" customHeight="1" thickBot="1">
      <c r="A13" s="882"/>
      <c r="B13" s="934"/>
      <c r="C13" s="943"/>
      <c r="D13" s="882"/>
      <c r="E13" s="882"/>
      <c r="F13" s="884"/>
      <c r="G13" s="56">
        <v>721</v>
      </c>
      <c r="H13" s="79">
        <f>+F12-H12</f>
        <v>0</v>
      </c>
      <c r="I13" s="874"/>
      <c r="J13" s="876"/>
      <c r="K13" s="878"/>
      <c r="L13" s="882"/>
      <c r="M13" s="882"/>
      <c r="N13" s="884"/>
      <c r="O13" s="56">
        <v>723</v>
      </c>
      <c r="P13" s="79">
        <f>+N12-P12</f>
        <v>46252500</v>
      </c>
    </row>
    <row r="14" spans="1:16" ht="12.75" customHeight="1">
      <c r="A14" s="881">
        <f>+A12+1</f>
        <v>238</v>
      </c>
      <c r="B14" s="875">
        <v>42228</v>
      </c>
      <c r="C14" s="935" t="s">
        <v>28</v>
      </c>
      <c r="D14" s="881" t="s">
        <v>175</v>
      </c>
      <c r="E14" s="881" t="s">
        <v>115</v>
      </c>
      <c r="F14" s="883">
        <v>90000</v>
      </c>
      <c r="G14" s="55">
        <v>719</v>
      </c>
      <c r="H14" s="78">
        <v>90000</v>
      </c>
      <c r="I14" s="873" t="s">
        <v>547</v>
      </c>
      <c r="J14" s="875">
        <v>44567</v>
      </c>
      <c r="K14" s="877" t="s">
        <v>40</v>
      </c>
      <c r="L14" s="881" t="s">
        <v>2140</v>
      </c>
      <c r="M14" s="881" t="s">
        <v>148</v>
      </c>
      <c r="N14" s="883">
        <v>33195000</v>
      </c>
      <c r="O14" s="55">
        <v>719</v>
      </c>
      <c r="P14" s="78"/>
    </row>
    <row r="15" spans="1:16" ht="14.25" customHeight="1" thickBot="1">
      <c r="A15" s="882"/>
      <c r="B15" s="876"/>
      <c r="C15" s="936"/>
      <c r="D15" s="882"/>
      <c r="E15" s="882"/>
      <c r="F15" s="884"/>
      <c r="G15" s="56">
        <v>721</v>
      </c>
      <c r="H15" s="79"/>
      <c r="I15" s="874"/>
      <c r="J15" s="876"/>
      <c r="K15" s="878"/>
      <c r="L15" s="882"/>
      <c r="M15" s="882"/>
      <c r="N15" s="884"/>
      <c r="O15" s="56">
        <v>723</v>
      </c>
      <c r="P15" s="79">
        <f>+N14-P14</f>
        <v>33195000</v>
      </c>
    </row>
    <row r="16" spans="1:16" ht="14.25" customHeight="1">
      <c r="A16" s="251"/>
      <c r="B16" s="252"/>
      <c r="C16" s="472"/>
      <c r="D16" s="251"/>
      <c r="E16" s="251"/>
      <c r="F16" s="254"/>
      <c r="G16" s="255"/>
      <c r="H16" s="256"/>
      <c r="I16" s="873" t="s">
        <v>548</v>
      </c>
      <c r="J16" s="875">
        <v>44567</v>
      </c>
      <c r="K16" s="877" t="s">
        <v>1868</v>
      </c>
      <c r="L16" s="881" t="s">
        <v>2140</v>
      </c>
      <c r="M16" s="881" t="s">
        <v>148</v>
      </c>
      <c r="N16" s="883">
        <v>27916900</v>
      </c>
      <c r="O16" s="55">
        <v>719</v>
      </c>
      <c r="P16" s="78"/>
    </row>
    <row r="17" spans="1:16" ht="14.25" customHeight="1" thickBot="1">
      <c r="A17" s="251"/>
      <c r="B17" s="252"/>
      <c r="C17" s="472"/>
      <c r="D17" s="251"/>
      <c r="E17" s="251"/>
      <c r="F17" s="254"/>
      <c r="G17" s="255"/>
      <c r="H17" s="256"/>
      <c r="I17" s="874"/>
      <c r="J17" s="876"/>
      <c r="K17" s="878"/>
      <c r="L17" s="882"/>
      <c r="M17" s="882"/>
      <c r="N17" s="884"/>
      <c r="O17" s="56">
        <v>723</v>
      </c>
      <c r="P17" s="79">
        <f>+N16-P16</f>
        <v>27916900</v>
      </c>
    </row>
    <row r="18" spans="1:16" ht="12.75" customHeight="1">
      <c r="A18" s="881"/>
      <c r="B18" s="875"/>
      <c r="C18" s="935"/>
      <c r="D18" s="881"/>
      <c r="E18" s="881"/>
      <c r="F18" s="883"/>
      <c r="G18" s="55">
        <v>719</v>
      </c>
      <c r="H18" s="78"/>
      <c r="I18" s="873" t="s">
        <v>549</v>
      </c>
      <c r="J18" s="875">
        <v>44567</v>
      </c>
      <c r="K18" s="877" t="s">
        <v>694</v>
      </c>
      <c r="L18" s="881" t="s">
        <v>2140</v>
      </c>
      <c r="M18" s="881" t="s">
        <v>148</v>
      </c>
      <c r="N18" s="883">
        <v>25661698</v>
      </c>
      <c r="O18" s="55">
        <v>719</v>
      </c>
      <c r="P18" s="78"/>
    </row>
    <row r="19" spans="1:16" ht="12.75" customHeight="1" thickBot="1">
      <c r="A19" s="882"/>
      <c r="B19" s="934"/>
      <c r="C19" s="936"/>
      <c r="D19" s="882"/>
      <c r="E19" s="882"/>
      <c r="F19" s="884"/>
      <c r="G19" s="56">
        <v>721</v>
      </c>
      <c r="H19" s="79">
        <f>+F18-H18</f>
        <v>0</v>
      </c>
      <c r="I19" s="874"/>
      <c r="J19" s="876"/>
      <c r="K19" s="878"/>
      <c r="L19" s="882"/>
      <c r="M19" s="882"/>
      <c r="N19" s="884"/>
      <c r="O19" s="56">
        <v>723</v>
      </c>
      <c r="P19" s="79">
        <f>+N18-P18</f>
        <v>25661698</v>
      </c>
    </row>
    <row r="20" spans="1:16" ht="11.25" customHeight="1">
      <c r="A20" s="881"/>
      <c r="B20" s="875"/>
      <c r="C20" s="935"/>
      <c r="D20" s="877"/>
      <c r="E20" s="881"/>
      <c r="F20" s="883"/>
      <c r="G20" s="55">
        <v>719</v>
      </c>
      <c r="H20" s="78"/>
      <c r="I20" s="873" t="s">
        <v>550</v>
      </c>
      <c r="J20" s="875">
        <v>44567</v>
      </c>
      <c r="K20" s="877" t="s">
        <v>672</v>
      </c>
      <c r="L20" s="881" t="s">
        <v>2140</v>
      </c>
      <c r="M20" s="881" t="s">
        <v>148</v>
      </c>
      <c r="N20" s="883">
        <v>21521960</v>
      </c>
      <c r="O20" s="55">
        <v>719</v>
      </c>
      <c r="P20" s="78"/>
    </row>
    <row r="21" spans="1:16" ht="12.75" customHeight="1" thickBot="1">
      <c r="A21" s="882"/>
      <c r="B21" s="934"/>
      <c r="C21" s="936"/>
      <c r="D21" s="878"/>
      <c r="E21" s="882"/>
      <c r="F21" s="884"/>
      <c r="G21" s="56">
        <v>721</v>
      </c>
      <c r="H21" s="79">
        <f>+F20-H20</f>
        <v>0</v>
      </c>
      <c r="I21" s="874"/>
      <c r="J21" s="876"/>
      <c r="K21" s="878"/>
      <c r="L21" s="882"/>
      <c r="M21" s="882"/>
      <c r="N21" s="884"/>
      <c r="O21" s="56">
        <v>723</v>
      </c>
      <c r="P21" s="79">
        <f>+N20-P20</f>
        <v>21521960</v>
      </c>
    </row>
    <row r="22" spans="1:16" ht="15" customHeight="1" thickBot="1">
      <c r="A22" s="901" t="s">
        <v>102</v>
      </c>
      <c r="B22" s="902"/>
      <c r="C22" s="902"/>
      <c r="D22" s="902"/>
      <c r="E22" s="903"/>
      <c r="F22" s="81">
        <f>SUM(F12:F21)</f>
        <v>210000</v>
      </c>
      <c r="I22" s="901" t="s">
        <v>102</v>
      </c>
      <c r="J22" s="902"/>
      <c r="K22" s="902"/>
      <c r="L22" s="902"/>
      <c r="M22" s="903"/>
      <c r="N22" s="81">
        <f>SUM(N12:N21)</f>
        <v>154548058</v>
      </c>
    </row>
    <row r="23" spans="1:16" ht="15.75" customHeight="1" thickBot="1">
      <c r="A23" s="885" t="s">
        <v>103</v>
      </c>
      <c r="B23" s="886"/>
      <c r="C23" s="886"/>
      <c r="D23" s="886"/>
      <c r="E23" s="887"/>
      <c r="F23" s="69">
        <f>+C37</f>
        <v>610857841</v>
      </c>
      <c r="I23" s="885" t="s">
        <v>103</v>
      </c>
      <c r="J23" s="886"/>
      <c r="K23" s="886"/>
      <c r="L23" s="886"/>
      <c r="M23" s="887"/>
      <c r="N23" s="69">
        <v>0</v>
      </c>
      <c r="O23" s="241" t="s">
        <v>561</v>
      </c>
      <c r="P23" s="242"/>
    </row>
    <row r="24" spans="1:16" ht="16.5" thickBot="1">
      <c r="A24" s="888" t="s">
        <v>104</v>
      </c>
      <c r="B24" s="889"/>
      <c r="C24" s="889"/>
      <c r="D24" s="889"/>
      <c r="E24" s="890"/>
      <c r="F24" s="183">
        <f>SUM(F22:F23)</f>
        <v>611067841</v>
      </c>
      <c r="I24" s="888" t="s">
        <v>104</v>
      </c>
      <c r="J24" s="889"/>
      <c r="K24" s="889"/>
      <c r="L24" s="889"/>
      <c r="M24" s="890"/>
      <c r="N24" s="183">
        <f>SUM(N22:N23)</f>
        <v>154548058</v>
      </c>
    </row>
    <row r="25" spans="1:16" ht="8.25" customHeight="1">
      <c r="A25" s="61"/>
      <c r="B25" s="61"/>
      <c r="C25" s="61"/>
      <c r="D25" s="61"/>
      <c r="E25" s="61"/>
      <c r="I25" s="61"/>
      <c r="J25" s="61"/>
      <c r="K25" s="61"/>
      <c r="L25" s="61"/>
      <c r="M25" s="61"/>
    </row>
    <row r="26" spans="1:16" ht="16.5" customHeight="1">
      <c r="A26" s="51" t="s">
        <v>176</v>
      </c>
      <c r="I26" s="51" t="s">
        <v>1869</v>
      </c>
    </row>
    <row r="27" spans="1:16" ht="5.25" customHeight="1">
      <c r="F27" s="139"/>
      <c r="N27" s="139"/>
    </row>
    <row r="28" spans="1:16" ht="15" customHeight="1">
      <c r="A28" s="50" t="s">
        <v>105</v>
      </c>
      <c r="D28" s="146"/>
      <c r="F28" s="139"/>
      <c r="I28" s="50" t="s">
        <v>105</v>
      </c>
      <c r="L28" s="146"/>
      <c r="N28" s="139"/>
    </row>
    <row r="29" spans="1:16" ht="9.75" customHeight="1" thickBot="1"/>
    <row r="30" spans="1:16" ht="15.75" thickBot="1">
      <c r="A30" s="891" t="s">
        <v>106</v>
      </c>
      <c r="B30" s="892"/>
      <c r="C30" s="892"/>
      <c r="D30" s="893"/>
      <c r="F30" s="50" t="s">
        <v>107</v>
      </c>
      <c r="I30" s="891" t="s">
        <v>106</v>
      </c>
      <c r="J30" s="892"/>
      <c r="K30" s="892"/>
      <c r="L30" s="893"/>
      <c r="N30" s="50" t="s">
        <v>288</v>
      </c>
    </row>
    <row r="31" spans="1:16" ht="34.5" customHeight="1" thickBot="1">
      <c r="A31" s="57" t="s">
        <v>100</v>
      </c>
      <c r="B31" s="58" t="s">
        <v>108</v>
      </c>
      <c r="C31" s="59" t="s">
        <v>109</v>
      </c>
      <c r="D31" s="60" t="s">
        <v>110</v>
      </c>
      <c r="I31" s="57" t="s">
        <v>100</v>
      </c>
      <c r="J31" s="58" t="s">
        <v>108</v>
      </c>
      <c r="K31" s="264" t="s">
        <v>109</v>
      </c>
      <c r="L31" s="60" t="s">
        <v>110</v>
      </c>
    </row>
    <row r="32" spans="1:16" ht="13.5" customHeight="1">
      <c r="A32" s="71">
        <v>719</v>
      </c>
      <c r="B32" s="73">
        <v>210000</v>
      </c>
      <c r="C32" s="74">
        <v>28120000</v>
      </c>
      <c r="D32" s="76">
        <f>+B32+C32</f>
        <v>28330000</v>
      </c>
      <c r="I32" s="71">
        <v>719</v>
      </c>
      <c r="J32" s="73">
        <f>+P12+P14+P18+P20</f>
        <v>0</v>
      </c>
      <c r="K32" s="74">
        <f>+N23</f>
        <v>0</v>
      </c>
      <c r="L32" s="195">
        <f>+J32+K32</f>
        <v>0</v>
      </c>
    </row>
    <row r="33" spans="1:16" ht="13.5" customHeight="1">
      <c r="A33" s="72">
        <v>721</v>
      </c>
      <c r="B33" s="80"/>
      <c r="C33" s="75">
        <v>36156092</v>
      </c>
      <c r="D33" s="76">
        <f>+B33+C33</f>
        <v>36156092</v>
      </c>
      <c r="I33" s="72">
        <v>721</v>
      </c>
      <c r="J33" s="80"/>
      <c r="K33" s="74">
        <v>0</v>
      </c>
      <c r="L33" s="195">
        <f>+J33+K33</f>
        <v>0</v>
      </c>
    </row>
    <row r="34" spans="1:16" ht="12.75" customHeight="1">
      <c r="A34" s="72">
        <v>722</v>
      </c>
      <c r="B34" s="80"/>
      <c r="C34" s="75">
        <v>224787287</v>
      </c>
      <c r="D34" s="76">
        <f>+B34+C34</f>
        <v>224787287</v>
      </c>
      <c r="I34" s="72">
        <v>722</v>
      </c>
      <c r="J34" s="80"/>
      <c r="K34" s="74">
        <v>0</v>
      </c>
      <c r="L34" s="195">
        <f>+J34+K34</f>
        <v>0</v>
      </c>
    </row>
    <row r="35" spans="1:16" ht="13.5" customHeight="1" thickBot="1">
      <c r="A35" s="72">
        <v>723</v>
      </c>
      <c r="B35" s="80"/>
      <c r="C35" s="75">
        <v>319828837</v>
      </c>
      <c r="D35" s="76">
        <f>+B35+C35</f>
        <v>319828837</v>
      </c>
      <c r="F35" s="174" t="s">
        <v>23</v>
      </c>
      <c r="G35" s="175"/>
      <c r="I35" s="72">
        <v>723</v>
      </c>
      <c r="J35" s="80">
        <f>+P13+P15+P19+P21+P17</f>
        <v>154548058</v>
      </c>
      <c r="K35" s="74">
        <v>0</v>
      </c>
      <c r="L35" s="195">
        <f>+J35+K35</f>
        <v>154548058</v>
      </c>
      <c r="N35" s="918" t="s">
        <v>2147</v>
      </c>
      <c r="O35" s="918"/>
      <c r="P35" s="918"/>
    </row>
    <row r="36" spans="1:16" ht="14.25" hidden="1" customHeight="1">
      <c r="A36" s="164" t="s">
        <v>181</v>
      </c>
      <c r="B36" s="165"/>
      <c r="C36" s="166">
        <v>1965625</v>
      </c>
      <c r="D36" s="168">
        <f>+B36+C36</f>
        <v>1965625</v>
      </c>
      <c r="F36" s="52"/>
      <c r="I36" s="164" t="s">
        <v>181</v>
      </c>
      <c r="J36" s="165"/>
      <c r="K36" s="74">
        <v>0</v>
      </c>
      <c r="L36" s="196">
        <f>+J36+K36</f>
        <v>0</v>
      </c>
      <c r="N36" s="52"/>
    </row>
    <row r="37" spans="1:16" ht="16.5" thickBot="1">
      <c r="A37" s="169"/>
      <c r="B37" s="170">
        <f>SUM(B32:B36)</f>
        <v>210000</v>
      </c>
      <c r="C37" s="171">
        <f>SUM(C32:C36)</f>
        <v>610857841</v>
      </c>
      <c r="D37" s="172">
        <f>SUM(D32:D36)</f>
        <v>611067841</v>
      </c>
      <c r="I37" s="169"/>
      <c r="J37" s="197">
        <f>SUM(J32:J36)</f>
        <v>154548058</v>
      </c>
      <c r="K37" s="197">
        <f>SUM(K32:K36)</f>
        <v>0</v>
      </c>
      <c r="L37" s="198">
        <f>SUM(L32:L36)</f>
        <v>154548058</v>
      </c>
    </row>
    <row r="38" spans="1:16" ht="16.5">
      <c r="A38" s="49" t="s">
        <v>88</v>
      </c>
      <c r="B38" s="50"/>
      <c r="I38" s="49" t="s">
        <v>88</v>
      </c>
      <c r="J38" s="50"/>
    </row>
    <row r="39" spans="1:16" ht="13.5" customHeight="1">
      <c r="A39" s="51" t="s">
        <v>89</v>
      </c>
      <c r="I39" s="51" t="s">
        <v>89</v>
      </c>
    </row>
    <row r="40" spans="1:16" ht="14.25" customHeight="1">
      <c r="A40" s="51" t="s">
        <v>90</v>
      </c>
      <c r="I40" s="51" t="s">
        <v>90</v>
      </c>
    </row>
    <row r="41" spans="1:16" ht="14.25" customHeight="1">
      <c r="A41" s="51" t="s">
        <v>91</v>
      </c>
      <c r="I41" s="51" t="s">
        <v>91</v>
      </c>
    </row>
    <row r="42" spans="1:16" ht="6" customHeight="1">
      <c r="A42" s="50"/>
      <c r="B42" s="50"/>
      <c r="I42" s="50"/>
      <c r="J42" s="50"/>
    </row>
    <row r="43" spans="1:16" ht="16.5" customHeight="1">
      <c r="A43" s="52" t="s">
        <v>222</v>
      </c>
      <c r="G43" s="52"/>
      <c r="I43" s="52" t="s">
        <v>536</v>
      </c>
      <c r="O43" s="52"/>
    </row>
    <row r="44" spans="1:16" ht="15.75" customHeight="1">
      <c r="A44" s="53" t="s">
        <v>92</v>
      </c>
      <c r="G44" s="53"/>
      <c r="I44" s="53" t="s">
        <v>2139</v>
      </c>
      <c r="O44" s="53"/>
    </row>
    <row r="45" spans="1:16" ht="15.75" customHeight="1">
      <c r="A45" s="894" t="s">
        <v>93</v>
      </c>
      <c r="B45" s="894"/>
      <c r="C45" s="894"/>
      <c r="D45" s="894"/>
      <c r="E45" s="894"/>
      <c r="F45" s="894"/>
      <c r="G45" s="894"/>
      <c r="H45" s="894"/>
      <c r="I45" s="894" t="s">
        <v>903</v>
      </c>
      <c r="J45" s="894"/>
      <c r="K45" s="894"/>
      <c r="L45" s="894"/>
      <c r="M45" s="894"/>
      <c r="N45" s="894"/>
      <c r="O45" s="894"/>
      <c r="P45" s="894"/>
    </row>
    <row r="46" spans="1:16" ht="12" customHeight="1" thickBot="1"/>
    <row r="47" spans="1:16">
      <c r="A47" s="895" t="s">
        <v>94</v>
      </c>
      <c r="B47" s="897" t="s">
        <v>95</v>
      </c>
      <c r="C47" s="897" t="s">
        <v>96</v>
      </c>
      <c r="D47" s="897" t="s">
        <v>3</v>
      </c>
      <c r="E47" s="897" t="s">
        <v>97</v>
      </c>
      <c r="F47" s="897" t="s">
        <v>98</v>
      </c>
      <c r="G47" s="897" t="s">
        <v>99</v>
      </c>
      <c r="H47" s="899"/>
      <c r="I47" s="895" t="s">
        <v>94</v>
      </c>
      <c r="J47" s="897" t="s">
        <v>95</v>
      </c>
      <c r="K47" s="897" t="s">
        <v>96</v>
      </c>
      <c r="L47" s="897" t="s">
        <v>3</v>
      </c>
      <c r="M47" s="897" t="s">
        <v>97</v>
      </c>
      <c r="N47" s="897" t="s">
        <v>98</v>
      </c>
      <c r="O47" s="897" t="s">
        <v>99</v>
      </c>
      <c r="P47" s="899"/>
    </row>
    <row r="48" spans="1:16" ht="15.75" thickBot="1">
      <c r="A48" s="896"/>
      <c r="B48" s="898"/>
      <c r="C48" s="898"/>
      <c r="D48" s="898"/>
      <c r="E48" s="898"/>
      <c r="F48" s="898"/>
      <c r="G48" s="240" t="s">
        <v>100</v>
      </c>
      <c r="H48" s="182" t="s">
        <v>101</v>
      </c>
      <c r="I48" s="896"/>
      <c r="J48" s="898"/>
      <c r="K48" s="898"/>
      <c r="L48" s="898"/>
      <c r="M48" s="898"/>
      <c r="N48" s="898"/>
      <c r="O48" s="240" t="s">
        <v>100</v>
      </c>
      <c r="P48" s="182" t="s">
        <v>101</v>
      </c>
    </row>
    <row r="49" spans="1:16" ht="13.5" customHeight="1">
      <c r="A49" s="881">
        <f>+A14+1</f>
        <v>239</v>
      </c>
      <c r="B49" s="875">
        <v>42240</v>
      </c>
      <c r="C49" s="935" t="s">
        <v>28</v>
      </c>
      <c r="D49" s="881" t="s">
        <v>223</v>
      </c>
      <c r="E49" s="881" t="s">
        <v>115</v>
      </c>
      <c r="F49" s="883">
        <v>60000</v>
      </c>
      <c r="G49" s="55">
        <v>719</v>
      </c>
      <c r="H49" s="78">
        <v>60000</v>
      </c>
      <c r="I49" s="873" t="s">
        <v>551</v>
      </c>
      <c r="J49" s="875">
        <v>44567</v>
      </c>
      <c r="K49" s="877" t="s">
        <v>1079</v>
      </c>
      <c r="L49" s="881" t="s">
        <v>2140</v>
      </c>
      <c r="M49" s="881" t="s">
        <v>148</v>
      </c>
      <c r="N49" s="883">
        <v>6662400</v>
      </c>
      <c r="O49" s="55">
        <v>719</v>
      </c>
      <c r="P49" s="78"/>
    </row>
    <row r="50" spans="1:16" ht="12.75" customHeight="1" thickBot="1">
      <c r="A50" s="882"/>
      <c r="B50" s="934"/>
      <c r="C50" s="936"/>
      <c r="D50" s="882"/>
      <c r="E50" s="882"/>
      <c r="F50" s="884"/>
      <c r="G50" s="56">
        <v>721</v>
      </c>
      <c r="H50" s="79">
        <f>+F49-H49</f>
        <v>0</v>
      </c>
      <c r="I50" s="874"/>
      <c r="J50" s="876"/>
      <c r="K50" s="878"/>
      <c r="L50" s="882"/>
      <c r="M50" s="882"/>
      <c r="N50" s="884"/>
      <c r="O50" s="56">
        <v>723</v>
      </c>
      <c r="P50" s="79">
        <f>+N49-P49</f>
        <v>6662400</v>
      </c>
    </row>
    <row r="51" spans="1:16" ht="12" customHeight="1">
      <c r="A51" s="881">
        <f>+A49+1</f>
        <v>240</v>
      </c>
      <c r="B51" s="875">
        <v>42240</v>
      </c>
      <c r="C51" s="942" t="s">
        <v>31</v>
      </c>
      <c r="D51" s="881" t="s">
        <v>224</v>
      </c>
      <c r="E51" s="881" t="s">
        <v>115</v>
      </c>
      <c r="F51" s="883">
        <v>140000</v>
      </c>
      <c r="G51" s="55">
        <v>719</v>
      </c>
      <c r="H51" s="78">
        <v>140000</v>
      </c>
      <c r="I51" s="873" t="s">
        <v>552</v>
      </c>
      <c r="J51" s="875">
        <v>44567</v>
      </c>
      <c r="K51" s="877" t="s">
        <v>1809</v>
      </c>
      <c r="L51" s="881" t="s">
        <v>2140</v>
      </c>
      <c r="M51" s="881" t="s">
        <v>148</v>
      </c>
      <c r="N51" s="883">
        <v>6177780</v>
      </c>
      <c r="O51" s="55">
        <v>719</v>
      </c>
      <c r="P51" s="78"/>
    </row>
    <row r="52" spans="1:16" ht="15" customHeight="1" thickBot="1">
      <c r="A52" s="882"/>
      <c r="B52" s="934"/>
      <c r="C52" s="943"/>
      <c r="D52" s="882"/>
      <c r="E52" s="882"/>
      <c r="F52" s="884"/>
      <c r="G52" s="56">
        <v>721</v>
      </c>
      <c r="H52" s="79"/>
      <c r="I52" s="874"/>
      <c r="J52" s="876"/>
      <c r="K52" s="878"/>
      <c r="L52" s="882"/>
      <c r="M52" s="882"/>
      <c r="N52" s="884"/>
      <c r="O52" s="56">
        <v>723</v>
      </c>
      <c r="P52" s="79">
        <f>+N51-P51</f>
        <v>6177780</v>
      </c>
    </row>
    <row r="53" spans="1:16" ht="13.5" customHeight="1">
      <c r="A53" s="251"/>
      <c r="B53" s="452"/>
      <c r="C53" s="465"/>
      <c r="D53" s="251"/>
      <c r="E53" s="251"/>
      <c r="F53" s="254"/>
      <c r="G53" s="255"/>
      <c r="H53" s="256"/>
      <c r="I53" s="873" t="s">
        <v>553</v>
      </c>
      <c r="J53" s="875">
        <v>44567</v>
      </c>
      <c r="K53" s="877" t="s">
        <v>1921</v>
      </c>
      <c r="L53" s="881" t="s">
        <v>2140</v>
      </c>
      <c r="M53" s="881" t="s">
        <v>148</v>
      </c>
      <c r="N53" s="883">
        <v>14875000</v>
      </c>
      <c r="O53" s="55">
        <v>719</v>
      </c>
      <c r="P53" s="78"/>
    </row>
    <row r="54" spans="1:16" ht="12.75" customHeight="1" thickBot="1">
      <c r="A54" s="251"/>
      <c r="B54" s="452"/>
      <c r="C54" s="465"/>
      <c r="D54" s="251"/>
      <c r="E54" s="251"/>
      <c r="F54" s="254"/>
      <c r="G54" s="255"/>
      <c r="H54" s="256"/>
      <c r="I54" s="874"/>
      <c r="J54" s="876"/>
      <c r="K54" s="878"/>
      <c r="L54" s="882"/>
      <c r="M54" s="882"/>
      <c r="N54" s="884"/>
      <c r="O54" s="56">
        <v>723</v>
      </c>
      <c r="P54" s="79">
        <f>+N53-P53</f>
        <v>14875000</v>
      </c>
    </row>
    <row r="55" spans="1:16" ht="12" customHeight="1">
      <c r="A55" s="881">
        <f>+A51+1</f>
        <v>241</v>
      </c>
      <c r="B55" s="875">
        <v>42240</v>
      </c>
      <c r="C55" s="942" t="s">
        <v>32</v>
      </c>
      <c r="D55" s="881" t="s">
        <v>225</v>
      </c>
      <c r="E55" s="881" t="s">
        <v>115</v>
      </c>
      <c r="F55" s="883">
        <v>50000</v>
      </c>
      <c r="G55" s="55">
        <v>719</v>
      </c>
      <c r="H55" s="78">
        <v>50000</v>
      </c>
      <c r="I55" s="873" t="s">
        <v>554</v>
      </c>
      <c r="J55" s="875">
        <v>44567</v>
      </c>
      <c r="K55" s="952" t="s">
        <v>686</v>
      </c>
      <c r="L55" s="948" t="s">
        <v>2140</v>
      </c>
      <c r="M55" s="948" t="s">
        <v>148</v>
      </c>
      <c r="N55" s="946">
        <v>3900000</v>
      </c>
      <c r="O55" s="55">
        <v>719</v>
      </c>
      <c r="P55" s="78"/>
    </row>
    <row r="56" spans="1:16" ht="15" customHeight="1" thickBot="1">
      <c r="A56" s="882"/>
      <c r="B56" s="934"/>
      <c r="C56" s="943"/>
      <c r="D56" s="882"/>
      <c r="E56" s="882"/>
      <c r="F56" s="884"/>
      <c r="G56" s="56">
        <v>721</v>
      </c>
      <c r="H56" s="79">
        <f>+F55-H55</f>
        <v>0</v>
      </c>
      <c r="I56" s="874"/>
      <c r="J56" s="876"/>
      <c r="K56" s="953"/>
      <c r="L56" s="949"/>
      <c r="M56" s="949"/>
      <c r="N56" s="947"/>
      <c r="O56" s="56">
        <v>723</v>
      </c>
      <c r="P56" s="79">
        <f>+N55-P55</f>
        <v>3900000</v>
      </c>
    </row>
    <row r="57" spans="1:16" ht="12" customHeight="1">
      <c r="A57" s="881"/>
      <c r="B57" s="875"/>
      <c r="C57" s="935"/>
      <c r="D57" s="877"/>
      <c r="E57" s="881"/>
      <c r="F57" s="883"/>
      <c r="G57" s="55">
        <v>719</v>
      </c>
      <c r="H57" s="78"/>
      <c r="I57" s="873" t="s">
        <v>1318</v>
      </c>
      <c r="J57" s="875">
        <v>44567</v>
      </c>
      <c r="K57" s="910" t="s">
        <v>1893</v>
      </c>
      <c r="L57" s="881" t="s">
        <v>2140</v>
      </c>
      <c r="M57" s="881" t="s">
        <v>148</v>
      </c>
      <c r="N57" s="883">
        <v>8000000</v>
      </c>
      <c r="O57" s="55">
        <v>719</v>
      </c>
      <c r="P57" s="78"/>
    </row>
    <row r="58" spans="1:16" ht="13.5" customHeight="1" thickBot="1">
      <c r="A58" s="882"/>
      <c r="B58" s="934"/>
      <c r="C58" s="936"/>
      <c r="D58" s="878"/>
      <c r="E58" s="882"/>
      <c r="F58" s="884"/>
      <c r="G58" s="56">
        <v>721</v>
      </c>
      <c r="H58" s="79">
        <f>+F57-H57</f>
        <v>0</v>
      </c>
      <c r="I58" s="874"/>
      <c r="J58" s="876"/>
      <c r="K58" s="911"/>
      <c r="L58" s="882"/>
      <c r="M58" s="882"/>
      <c r="N58" s="884"/>
      <c r="O58" s="56">
        <v>723</v>
      </c>
      <c r="P58" s="79">
        <f>+N57</f>
        <v>8000000</v>
      </c>
    </row>
    <row r="59" spans="1:16" ht="15.75" customHeight="1" thickBot="1">
      <c r="A59" s="901" t="s">
        <v>102</v>
      </c>
      <c r="B59" s="902"/>
      <c r="C59" s="902"/>
      <c r="D59" s="902"/>
      <c r="E59" s="903"/>
      <c r="F59" s="81">
        <f>SUM(F49:F58)</f>
        <v>250000</v>
      </c>
      <c r="I59" s="901" t="s">
        <v>102</v>
      </c>
      <c r="J59" s="902"/>
      <c r="K59" s="902"/>
      <c r="L59" s="902"/>
      <c r="M59" s="903"/>
      <c r="N59" s="81">
        <f>SUM(N49:N58)</f>
        <v>39615180</v>
      </c>
    </row>
    <row r="60" spans="1:16" ht="16.5" thickBot="1">
      <c r="A60" s="885" t="s">
        <v>103</v>
      </c>
      <c r="B60" s="886"/>
      <c r="C60" s="886"/>
      <c r="D60" s="886"/>
      <c r="E60" s="887"/>
      <c r="F60" s="69">
        <f>+C74</f>
        <v>611067841</v>
      </c>
      <c r="I60" s="885" t="s">
        <v>103</v>
      </c>
      <c r="J60" s="886"/>
      <c r="K60" s="886"/>
      <c r="L60" s="886"/>
      <c r="M60" s="887"/>
      <c r="N60" s="69">
        <f>+N24</f>
        <v>154548058</v>
      </c>
      <c r="O60" s="241" t="s">
        <v>561</v>
      </c>
      <c r="P60" s="242"/>
    </row>
    <row r="61" spans="1:16" ht="15" customHeight="1" thickBot="1">
      <c r="A61" s="888" t="s">
        <v>104</v>
      </c>
      <c r="B61" s="889"/>
      <c r="C61" s="889"/>
      <c r="D61" s="889"/>
      <c r="E61" s="890"/>
      <c r="F61" s="183">
        <f>SUM(F59:F60)</f>
        <v>611317841</v>
      </c>
      <c r="I61" s="888" t="s">
        <v>104</v>
      </c>
      <c r="J61" s="889"/>
      <c r="K61" s="889"/>
      <c r="L61" s="889"/>
      <c r="M61" s="890"/>
      <c r="N61" s="183">
        <f>SUM(N59:N60)</f>
        <v>194163238</v>
      </c>
    </row>
    <row r="62" spans="1:16" ht="8.25" customHeight="1">
      <c r="A62" s="61"/>
      <c r="B62" s="61"/>
      <c r="C62" s="61"/>
      <c r="D62" s="61"/>
      <c r="E62" s="61"/>
      <c r="I62" s="61"/>
      <c r="J62" s="61"/>
      <c r="K62" s="61"/>
      <c r="L62" s="61"/>
      <c r="M62" s="61"/>
    </row>
    <row r="63" spans="1:16">
      <c r="A63" s="51" t="s">
        <v>226</v>
      </c>
      <c r="I63" s="51" t="s">
        <v>2141</v>
      </c>
    </row>
    <row r="64" spans="1:16" ht="7.5" customHeight="1">
      <c r="F64" s="139"/>
      <c r="N64" s="139"/>
    </row>
    <row r="65" spans="1:16">
      <c r="A65" s="50" t="s">
        <v>105</v>
      </c>
      <c r="D65" s="146"/>
      <c r="F65" s="139"/>
      <c r="I65" s="50" t="s">
        <v>105</v>
      </c>
      <c r="L65" s="146"/>
      <c r="N65" s="139"/>
    </row>
    <row r="66" spans="1:16" ht="7.5" customHeight="1" thickBot="1"/>
    <row r="67" spans="1:16" ht="15.75" thickBot="1">
      <c r="A67" s="891" t="s">
        <v>106</v>
      </c>
      <c r="B67" s="892"/>
      <c r="C67" s="892"/>
      <c r="D67" s="893"/>
      <c r="F67" s="50" t="s">
        <v>107</v>
      </c>
      <c r="I67" s="891" t="s">
        <v>106</v>
      </c>
      <c r="J67" s="892"/>
      <c r="K67" s="892"/>
      <c r="L67" s="893"/>
      <c r="N67" s="50" t="s">
        <v>288</v>
      </c>
    </row>
    <row r="68" spans="1:16" ht="28.5" customHeight="1" thickBot="1">
      <c r="A68" s="57" t="s">
        <v>100</v>
      </c>
      <c r="B68" s="58" t="s">
        <v>108</v>
      </c>
      <c r="C68" s="59" t="s">
        <v>109</v>
      </c>
      <c r="D68" s="60" t="s">
        <v>110</v>
      </c>
      <c r="I68" s="57" t="s">
        <v>100</v>
      </c>
      <c r="J68" s="58" t="s">
        <v>108</v>
      </c>
      <c r="K68" s="473" t="s">
        <v>109</v>
      </c>
      <c r="L68" s="60" t="s">
        <v>110</v>
      </c>
    </row>
    <row r="69" spans="1:16" ht="14.25" customHeight="1">
      <c r="A69" s="71">
        <v>719</v>
      </c>
      <c r="B69" s="73">
        <f>+H49+H51+H55</f>
        <v>250000</v>
      </c>
      <c r="C69" s="74">
        <f>+D32</f>
        <v>28330000</v>
      </c>
      <c r="D69" s="76">
        <f>+B69+C69</f>
        <v>28580000</v>
      </c>
      <c r="I69" s="71">
        <v>719</v>
      </c>
      <c r="J69" s="73">
        <f>+P49+P51+P55</f>
        <v>0</v>
      </c>
      <c r="K69" s="74">
        <f>+L32</f>
        <v>0</v>
      </c>
      <c r="L69" s="195">
        <f>+J69+K69</f>
        <v>0</v>
      </c>
    </row>
    <row r="70" spans="1:16" ht="13.5" customHeight="1">
      <c r="A70" s="72">
        <v>721</v>
      </c>
      <c r="B70" s="80"/>
      <c r="C70" s="74">
        <f>+D33</f>
        <v>36156092</v>
      </c>
      <c r="D70" s="76">
        <f>+B70+C70</f>
        <v>36156092</v>
      </c>
      <c r="I70" s="72">
        <v>721</v>
      </c>
      <c r="J70" s="80"/>
      <c r="K70" s="74">
        <f>+L33</f>
        <v>0</v>
      </c>
      <c r="L70" s="195">
        <f>+J70+K70</f>
        <v>0</v>
      </c>
    </row>
    <row r="71" spans="1:16" ht="12.75" customHeight="1">
      <c r="A71" s="72">
        <v>722</v>
      </c>
      <c r="B71" s="80"/>
      <c r="C71" s="74">
        <f>+D34</f>
        <v>224787287</v>
      </c>
      <c r="D71" s="76">
        <f>+B71+C71</f>
        <v>224787287</v>
      </c>
      <c r="I71" s="72">
        <v>722</v>
      </c>
      <c r="J71" s="80"/>
      <c r="K71" s="74">
        <f>+L34</f>
        <v>0</v>
      </c>
      <c r="L71" s="195">
        <f>+J71+K71</f>
        <v>0</v>
      </c>
    </row>
    <row r="72" spans="1:16" ht="14.25" customHeight="1" thickBot="1">
      <c r="A72" s="72">
        <v>723</v>
      </c>
      <c r="B72" s="80"/>
      <c r="C72" s="74">
        <f>+D35</f>
        <v>319828837</v>
      </c>
      <c r="D72" s="76">
        <f>+B72+C72</f>
        <v>319828837</v>
      </c>
      <c r="F72" s="174" t="s">
        <v>23</v>
      </c>
      <c r="G72" s="175"/>
      <c r="I72" s="72">
        <v>723</v>
      </c>
      <c r="J72" s="80">
        <f>+N59</f>
        <v>39615180</v>
      </c>
      <c r="K72" s="74">
        <f>+L35</f>
        <v>154548058</v>
      </c>
      <c r="L72" s="195">
        <f>+J72+K72</f>
        <v>194163238</v>
      </c>
      <c r="N72" s="918" t="s">
        <v>2147</v>
      </c>
      <c r="O72" s="918"/>
      <c r="P72" s="918"/>
    </row>
    <row r="73" spans="1:16" ht="14.25" hidden="1" customHeight="1">
      <c r="A73" s="164" t="s">
        <v>181</v>
      </c>
      <c r="B73" s="165"/>
      <c r="C73" s="74">
        <f>+D36</f>
        <v>1965625</v>
      </c>
      <c r="D73" s="168">
        <f>+B73+C73</f>
        <v>1965625</v>
      </c>
      <c r="F73" s="52"/>
      <c r="I73" s="164" t="s">
        <v>181</v>
      </c>
      <c r="J73" s="165"/>
      <c r="K73" s="74">
        <f>+L36</f>
        <v>0</v>
      </c>
      <c r="L73" s="196">
        <f>+J73+K73</f>
        <v>0</v>
      </c>
      <c r="N73" s="52"/>
    </row>
    <row r="74" spans="1:16" ht="16.5" thickBot="1">
      <c r="A74" s="169"/>
      <c r="B74" s="170">
        <f>SUM(B69:B73)</f>
        <v>250000</v>
      </c>
      <c r="C74" s="171">
        <f>SUM(C69:C73)</f>
        <v>611067841</v>
      </c>
      <c r="D74" s="172">
        <f>SUM(D69:D73)</f>
        <v>611317841</v>
      </c>
      <c r="I74" s="169"/>
      <c r="J74" s="197">
        <f>SUM(J69:J73)</f>
        <v>39615180</v>
      </c>
      <c r="K74" s="197">
        <f>SUM(K69:K73)</f>
        <v>154548058</v>
      </c>
      <c r="L74" s="198">
        <f>SUM(L69:L73)</f>
        <v>194163238</v>
      </c>
    </row>
    <row r="75" spans="1:16" ht="16.5">
      <c r="A75" s="49" t="s">
        <v>88</v>
      </c>
      <c r="B75" s="50"/>
      <c r="I75" s="49" t="s">
        <v>88</v>
      </c>
      <c r="J75" s="50"/>
    </row>
    <row r="76" spans="1:16" ht="14.25" customHeight="1">
      <c r="A76" s="51" t="s">
        <v>89</v>
      </c>
      <c r="I76" s="51" t="s">
        <v>89</v>
      </c>
    </row>
    <row r="77" spans="1:16" ht="12.75" customHeight="1">
      <c r="A77" s="51" t="s">
        <v>90</v>
      </c>
      <c r="I77" s="51" t="s">
        <v>90</v>
      </c>
    </row>
    <row r="78" spans="1:16" ht="15" customHeight="1">
      <c r="A78" s="51" t="s">
        <v>91</v>
      </c>
      <c r="I78" s="51" t="s">
        <v>91</v>
      </c>
    </row>
    <row r="79" spans="1:16" ht="6.75" customHeight="1">
      <c r="A79" s="50"/>
      <c r="B79" s="50"/>
      <c r="I79" s="50"/>
      <c r="J79" s="50"/>
    </row>
    <row r="80" spans="1:16" ht="13.5" customHeight="1">
      <c r="A80" s="52" t="s">
        <v>227</v>
      </c>
      <c r="B80" s="50"/>
      <c r="G80" s="52"/>
      <c r="I80" s="52" t="s">
        <v>539</v>
      </c>
      <c r="O80" s="52"/>
    </row>
    <row r="81" spans="1:16" ht="15.75" customHeight="1">
      <c r="A81" s="53" t="s">
        <v>92</v>
      </c>
      <c r="G81" s="53"/>
      <c r="I81" s="53" t="s">
        <v>2139</v>
      </c>
      <c r="O81" s="53"/>
    </row>
    <row r="82" spans="1:16" ht="15" customHeight="1">
      <c r="A82" s="894" t="s">
        <v>228</v>
      </c>
      <c r="B82" s="894"/>
      <c r="C82" s="894"/>
      <c r="D82" s="894"/>
      <c r="E82" s="894"/>
      <c r="F82" s="894"/>
      <c r="G82" s="894"/>
      <c r="H82" s="894"/>
      <c r="I82" s="894" t="s">
        <v>903</v>
      </c>
      <c r="J82" s="894"/>
      <c r="K82" s="894"/>
      <c r="L82" s="894"/>
      <c r="M82" s="894"/>
      <c r="N82" s="894"/>
      <c r="O82" s="894"/>
      <c r="P82" s="894"/>
    </row>
    <row r="83" spans="1:16" ht="8.25" customHeight="1" thickBot="1"/>
    <row r="84" spans="1:16" ht="15" customHeight="1">
      <c r="A84" s="895" t="s">
        <v>94</v>
      </c>
      <c r="B84" s="897" t="s">
        <v>95</v>
      </c>
      <c r="C84" s="897" t="s">
        <v>96</v>
      </c>
      <c r="D84" s="897" t="s">
        <v>3</v>
      </c>
      <c r="E84" s="897" t="s">
        <v>97</v>
      </c>
      <c r="F84" s="897" t="s">
        <v>98</v>
      </c>
      <c r="G84" s="897" t="s">
        <v>99</v>
      </c>
      <c r="H84" s="899"/>
      <c r="I84" s="895" t="s">
        <v>94</v>
      </c>
      <c r="J84" s="897" t="s">
        <v>95</v>
      </c>
      <c r="K84" s="897" t="s">
        <v>96</v>
      </c>
      <c r="L84" s="897" t="s">
        <v>3</v>
      </c>
      <c r="M84" s="897" t="s">
        <v>97</v>
      </c>
      <c r="N84" s="897" t="s">
        <v>98</v>
      </c>
      <c r="O84" s="897" t="s">
        <v>99</v>
      </c>
      <c r="P84" s="899"/>
    </row>
    <row r="85" spans="1:16" ht="15.75" customHeight="1" thickBot="1">
      <c r="A85" s="896"/>
      <c r="B85" s="898"/>
      <c r="C85" s="898"/>
      <c r="D85" s="898"/>
      <c r="E85" s="898"/>
      <c r="F85" s="898"/>
      <c r="G85" s="240" t="s">
        <v>100</v>
      </c>
      <c r="H85" s="182" t="s">
        <v>101</v>
      </c>
      <c r="I85" s="896"/>
      <c r="J85" s="898"/>
      <c r="K85" s="898"/>
      <c r="L85" s="898"/>
      <c r="M85" s="898"/>
      <c r="N85" s="898"/>
      <c r="O85" s="240" t="s">
        <v>100</v>
      </c>
      <c r="P85" s="182" t="s">
        <v>101</v>
      </c>
    </row>
    <row r="86" spans="1:16" ht="13.5" customHeight="1">
      <c r="A86" s="881">
        <f>+A55+1</f>
        <v>242</v>
      </c>
      <c r="B86" s="875">
        <v>42242</v>
      </c>
      <c r="C86" s="877" t="s">
        <v>230</v>
      </c>
      <c r="D86" s="881" t="s">
        <v>244</v>
      </c>
      <c r="E86" s="881" t="s">
        <v>148</v>
      </c>
      <c r="F86" s="883">
        <v>182000</v>
      </c>
      <c r="G86" s="55">
        <v>719</v>
      </c>
      <c r="H86" s="78">
        <v>130000</v>
      </c>
      <c r="I86" s="873" t="s">
        <v>1875</v>
      </c>
      <c r="J86" s="875">
        <v>44567</v>
      </c>
      <c r="K86" s="910" t="s">
        <v>1427</v>
      </c>
      <c r="L86" s="881" t="s">
        <v>2140</v>
      </c>
      <c r="M86" s="881" t="s">
        <v>148</v>
      </c>
      <c r="N86" s="883">
        <v>7875000</v>
      </c>
      <c r="O86" s="55">
        <v>719</v>
      </c>
      <c r="P86" s="78"/>
    </row>
    <row r="87" spans="1:16" ht="12.75" customHeight="1" thickBot="1">
      <c r="A87" s="882"/>
      <c r="B87" s="934"/>
      <c r="C87" s="878"/>
      <c r="D87" s="882"/>
      <c r="E87" s="882"/>
      <c r="F87" s="884"/>
      <c r="G87" s="56">
        <v>721</v>
      </c>
      <c r="H87" s="79">
        <f>+F86-H86</f>
        <v>52000</v>
      </c>
      <c r="I87" s="882"/>
      <c r="J87" s="876"/>
      <c r="K87" s="911"/>
      <c r="L87" s="882"/>
      <c r="M87" s="882"/>
      <c r="N87" s="884"/>
      <c r="O87" s="56">
        <v>723</v>
      </c>
      <c r="P87" s="79">
        <f>+N86-P86</f>
        <v>7875000</v>
      </c>
    </row>
    <row r="88" spans="1:16" ht="12" customHeight="1">
      <c r="A88" s="881">
        <f>+A86+1</f>
        <v>243</v>
      </c>
      <c r="B88" s="875">
        <v>42242</v>
      </c>
      <c r="C88" s="881" t="s">
        <v>28</v>
      </c>
      <c r="D88" s="881" t="s">
        <v>229</v>
      </c>
      <c r="E88" s="881" t="s">
        <v>148</v>
      </c>
      <c r="F88" s="883">
        <v>336000</v>
      </c>
      <c r="G88" s="55">
        <v>719</v>
      </c>
      <c r="H88" s="78">
        <v>240000</v>
      </c>
      <c r="I88" s="873" t="s">
        <v>1703</v>
      </c>
      <c r="J88" s="957">
        <v>44567</v>
      </c>
      <c r="K88" s="954" t="s">
        <v>2142</v>
      </c>
      <c r="L88" s="948" t="s">
        <v>2140</v>
      </c>
      <c r="M88" s="948" t="s">
        <v>148</v>
      </c>
      <c r="N88" s="946">
        <v>5022650</v>
      </c>
      <c r="O88" s="492">
        <v>719</v>
      </c>
      <c r="P88" s="493"/>
    </row>
    <row r="89" spans="1:16" ht="14.25" customHeight="1" thickBot="1">
      <c r="A89" s="882"/>
      <c r="B89" s="934"/>
      <c r="C89" s="882"/>
      <c r="D89" s="882"/>
      <c r="E89" s="882"/>
      <c r="F89" s="884"/>
      <c r="G89" s="56">
        <v>721</v>
      </c>
      <c r="H89" s="79">
        <f>+F88-H88</f>
        <v>96000</v>
      </c>
      <c r="I89" s="882"/>
      <c r="J89" s="958"/>
      <c r="K89" s="955"/>
      <c r="L89" s="949"/>
      <c r="M89" s="949"/>
      <c r="N89" s="947"/>
      <c r="O89" s="494">
        <v>723</v>
      </c>
      <c r="P89" s="495">
        <f>+N88-P88</f>
        <v>5022650</v>
      </c>
    </row>
    <row r="90" spans="1:16" ht="11.25" customHeight="1">
      <c r="A90" s="881">
        <f>+A88+1</f>
        <v>244</v>
      </c>
      <c r="B90" s="875">
        <v>42242</v>
      </c>
      <c r="C90" s="877" t="s">
        <v>32</v>
      </c>
      <c r="D90" s="881" t="s">
        <v>229</v>
      </c>
      <c r="E90" s="881" t="s">
        <v>148</v>
      </c>
      <c r="F90" s="883">
        <v>56000</v>
      </c>
      <c r="G90" s="55">
        <v>719</v>
      </c>
      <c r="H90" s="78">
        <v>40000</v>
      </c>
      <c r="I90" s="873" t="s">
        <v>1704</v>
      </c>
      <c r="J90" s="957">
        <v>44567</v>
      </c>
      <c r="K90" s="877" t="s">
        <v>1958</v>
      </c>
      <c r="L90" s="881" t="s">
        <v>2014</v>
      </c>
      <c r="M90" s="881" t="s">
        <v>148</v>
      </c>
      <c r="N90" s="883">
        <v>2520000</v>
      </c>
      <c r="O90" s="492">
        <v>719</v>
      </c>
      <c r="P90" s="493"/>
    </row>
    <row r="91" spans="1:16" ht="14.25" customHeight="1" thickBot="1">
      <c r="A91" s="882"/>
      <c r="B91" s="934"/>
      <c r="C91" s="878"/>
      <c r="D91" s="882"/>
      <c r="E91" s="882"/>
      <c r="F91" s="884"/>
      <c r="G91" s="56">
        <v>721</v>
      </c>
      <c r="H91" s="79">
        <f>+F90-H90</f>
        <v>16000</v>
      </c>
      <c r="I91" s="882"/>
      <c r="J91" s="958"/>
      <c r="K91" s="878"/>
      <c r="L91" s="882"/>
      <c r="M91" s="882"/>
      <c r="N91" s="884"/>
      <c r="O91" s="494">
        <v>723</v>
      </c>
      <c r="P91" s="495">
        <f>+N90-P90</f>
        <v>2520000</v>
      </c>
    </row>
    <row r="92" spans="1:16" ht="12" customHeight="1">
      <c r="A92" s="251"/>
      <c r="B92" s="452"/>
      <c r="C92" s="253"/>
      <c r="D92" s="251"/>
      <c r="E92" s="251"/>
      <c r="F92" s="254"/>
      <c r="G92" s="255"/>
      <c r="H92" s="256"/>
      <c r="I92" s="873" t="s">
        <v>1705</v>
      </c>
      <c r="J92" s="875">
        <v>44567</v>
      </c>
      <c r="K92" s="910" t="s">
        <v>1877</v>
      </c>
      <c r="L92" s="881" t="s">
        <v>2140</v>
      </c>
      <c r="M92" s="881" t="s">
        <v>148</v>
      </c>
      <c r="N92" s="883">
        <v>7337400</v>
      </c>
      <c r="O92" s="55">
        <v>719</v>
      </c>
      <c r="P92" s="78"/>
    </row>
    <row r="93" spans="1:16" ht="14.25" customHeight="1" thickBot="1">
      <c r="A93" s="251"/>
      <c r="B93" s="452"/>
      <c r="C93" s="253"/>
      <c r="D93" s="251"/>
      <c r="E93" s="251"/>
      <c r="F93" s="254"/>
      <c r="G93" s="255"/>
      <c r="H93" s="256"/>
      <c r="I93" s="882"/>
      <c r="J93" s="876"/>
      <c r="K93" s="911"/>
      <c r="L93" s="882"/>
      <c r="M93" s="882"/>
      <c r="N93" s="884"/>
      <c r="O93" s="56">
        <v>723</v>
      </c>
      <c r="P93" s="79">
        <f>+N92-P92</f>
        <v>7337400</v>
      </c>
    </row>
    <row r="94" spans="1:16" ht="11.25" customHeight="1">
      <c r="A94" s="881" t="e">
        <f>+#REF!+1</f>
        <v>#REF!</v>
      </c>
      <c r="B94" s="875">
        <v>42242</v>
      </c>
      <c r="C94" s="881" t="s">
        <v>31</v>
      </c>
      <c r="D94" s="881" t="s">
        <v>229</v>
      </c>
      <c r="E94" s="881" t="s">
        <v>148</v>
      </c>
      <c r="F94" s="883">
        <v>588000</v>
      </c>
      <c r="G94" s="55">
        <v>719</v>
      </c>
      <c r="H94" s="78">
        <v>420000</v>
      </c>
      <c r="I94" s="873" t="s">
        <v>1876</v>
      </c>
      <c r="J94" s="875">
        <v>44567</v>
      </c>
      <c r="K94" s="879" t="s">
        <v>695</v>
      </c>
      <c r="L94" s="881" t="s">
        <v>2140</v>
      </c>
      <c r="M94" s="881" t="s">
        <v>148</v>
      </c>
      <c r="N94" s="883">
        <v>7139940</v>
      </c>
      <c r="O94" s="55">
        <v>719</v>
      </c>
      <c r="P94" s="78"/>
    </row>
    <row r="95" spans="1:16" ht="14.25" customHeight="1" thickBot="1">
      <c r="A95" s="882"/>
      <c r="B95" s="934"/>
      <c r="C95" s="882"/>
      <c r="D95" s="882"/>
      <c r="E95" s="882"/>
      <c r="F95" s="884"/>
      <c r="G95" s="56">
        <v>721</v>
      </c>
      <c r="H95" s="79">
        <f>+F94-H94</f>
        <v>168000</v>
      </c>
      <c r="I95" s="882"/>
      <c r="J95" s="876"/>
      <c r="K95" s="880"/>
      <c r="L95" s="882"/>
      <c r="M95" s="882"/>
      <c r="N95" s="884"/>
      <c r="O95" s="56">
        <v>723</v>
      </c>
      <c r="P95" s="79">
        <f>+N94-P94</f>
        <v>7139940</v>
      </c>
    </row>
    <row r="96" spans="1:16" ht="16.5" thickBot="1">
      <c r="A96" s="901" t="s">
        <v>102</v>
      </c>
      <c r="B96" s="902"/>
      <c r="C96" s="902"/>
      <c r="D96" s="902"/>
      <c r="E96" s="903"/>
      <c r="F96" s="81">
        <f>SUM(F86:F95)</f>
        <v>1162000</v>
      </c>
      <c r="I96" s="901" t="s">
        <v>102</v>
      </c>
      <c r="J96" s="902"/>
      <c r="K96" s="902"/>
      <c r="L96" s="902"/>
      <c r="M96" s="903"/>
      <c r="N96" s="81">
        <f>+N86+N88+N90+N92+N94</f>
        <v>29894990</v>
      </c>
    </row>
    <row r="97" spans="1:16" ht="16.5" thickBot="1">
      <c r="A97" s="885" t="s">
        <v>103</v>
      </c>
      <c r="B97" s="886"/>
      <c r="C97" s="886"/>
      <c r="D97" s="886"/>
      <c r="E97" s="887"/>
      <c r="F97" s="184">
        <f>+C111</f>
        <v>611317841</v>
      </c>
      <c r="I97" s="885" t="s">
        <v>103</v>
      </c>
      <c r="J97" s="886"/>
      <c r="K97" s="886"/>
      <c r="L97" s="886"/>
      <c r="M97" s="887"/>
      <c r="N97" s="69">
        <f>+N61</f>
        <v>194163238</v>
      </c>
      <c r="O97" s="241" t="s">
        <v>561</v>
      </c>
      <c r="P97" s="242"/>
    </row>
    <row r="98" spans="1:16" ht="16.5" thickBot="1">
      <c r="A98" s="888" t="s">
        <v>104</v>
      </c>
      <c r="B98" s="889"/>
      <c r="C98" s="889"/>
      <c r="D98" s="889"/>
      <c r="E98" s="890"/>
      <c r="F98" s="183">
        <f>SUM(F96:F97)</f>
        <v>612479841</v>
      </c>
      <c r="I98" s="888" t="s">
        <v>104</v>
      </c>
      <c r="J98" s="889"/>
      <c r="K98" s="889"/>
      <c r="L98" s="889"/>
      <c r="M98" s="890"/>
      <c r="N98" s="183">
        <f>SUM(N96:N97)</f>
        <v>224058228</v>
      </c>
    </row>
    <row r="99" spans="1:16" ht="14.25" customHeight="1">
      <c r="A99" s="61"/>
      <c r="B99" s="61"/>
      <c r="C99" s="61"/>
      <c r="D99" s="61"/>
      <c r="E99" s="61"/>
      <c r="I99" s="61"/>
      <c r="J99" s="61"/>
      <c r="K99" s="61"/>
      <c r="L99" s="61"/>
      <c r="M99" s="61"/>
    </row>
    <row r="100" spans="1:16">
      <c r="A100" s="51" t="s">
        <v>232</v>
      </c>
      <c r="I100" s="51" t="s">
        <v>2143</v>
      </c>
    </row>
    <row r="101" spans="1:16" ht="4.5" customHeight="1">
      <c r="F101" s="139"/>
      <c r="N101" s="139"/>
    </row>
    <row r="102" spans="1:16" ht="12" customHeight="1">
      <c r="A102" s="50" t="s">
        <v>105</v>
      </c>
      <c r="D102" s="146"/>
      <c r="I102" s="50" t="s">
        <v>105</v>
      </c>
      <c r="L102" s="146"/>
      <c r="N102" s="139"/>
    </row>
    <row r="103" spans="1:16" ht="6" customHeight="1" thickBot="1"/>
    <row r="104" spans="1:16" ht="17.25" thickBot="1">
      <c r="A104" s="891" t="s">
        <v>106</v>
      </c>
      <c r="B104" s="892"/>
      <c r="C104" s="892"/>
      <c r="D104" s="893"/>
      <c r="F104" s="50" t="s">
        <v>107</v>
      </c>
      <c r="I104" s="891" t="s">
        <v>106</v>
      </c>
      <c r="J104" s="892"/>
      <c r="K104" s="892"/>
      <c r="L104" s="893"/>
      <c r="N104" s="604" t="s">
        <v>288</v>
      </c>
      <c r="O104" s="604"/>
      <c r="P104" s="604"/>
    </row>
    <row r="105" spans="1:16" ht="28.5" customHeight="1" thickBot="1">
      <c r="A105" s="57" t="s">
        <v>100</v>
      </c>
      <c r="B105" s="58" t="s">
        <v>108</v>
      </c>
      <c r="C105" s="59" t="s">
        <v>109</v>
      </c>
      <c r="D105" s="60" t="s">
        <v>110</v>
      </c>
      <c r="I105" s="57" t="s">
        <v>100</v>
      </c>
      <c r="J105" s="58" t="s">
        <v>108</v>
      </c>
      <c r="K105" s="59" t="s">
        <v>109</v>
      </c>
      <c r="L105" s="60" t="s">
        <v>110</v>
      </c>
      <c r="N105" s="12"/>
      <c r="O105" s="12"/>
      <c r="P105" s="12"/>
    </row>
    <row r="106" spans="1:16" ht="12.75" customHeight="1">
      <c r="A106" s="71">
        <v>719</v>
      </c>
      <c r="B106" s="73" t="e">
        <f>+H86+H88+H90+#REF!+H94</f>
        <v>#REF!</v>
      </c>
      <c r="C106" s="74">
        <f>+D69</f>
        <v>28580000</v>
      </c>
      <c r="D106" s="76" t="e">
        <f>+B106+C106</f>
        <v>#REF!</v>
      </c>
      <c r="I106" s="71">
        <v>719</v>
      </c>
      <c r="J106" s="73"/>
      <c r="K106" s="74"/>
      <c r="L106" s="195">
        <f>+J106+K106</f>
        <v>0</v>
      </c>
      <c r="N106" s="12"/>
      <c r="O106" s="12"/>
      <c r="P106" s="12"/>
    </row>
    <row r="107" spans="1:16" ht="13.5" customHeight="1">
      <c r="A107" s="72">
        <v>721</v>
      </c>
      <c r="B107" s="80" t="e">
        <f>+H95+#REF!+H91+H89+H87</f>
        <v>#REF!</v>
      </c>
      <c r="C107" s="74">
        <f>+D70</f>
        <v>36156092</v>
      </c>
      <c r="D107" s="76" t="e">
        <f>+B107+C107</f>
        <v>#REF!</v>
      </c>
      <c r="I107" s="72">
        <v>721</v>
      </c>
      <c r="J107" s="80"/>
      <c r="K107" s="74"/>
      <c r="L107" s="195">
        <f>+J107+K107</f>
        <v>0</v>
      </c>
      <c r="N107" s="12"/>
      <c r="O107" s="12"/>
      <c r="P107" s="12"/>
    </row>
    <row r="108" spans="1:16" ht="12.75" customHeight="1">
      <c r="A108" s="72">
        <v>722</v>
      </c>
      <c r="B108" s="80"/>
      <c r="C108" s="74">
        <f>+D71</f>
        <v>224787287</v>
      </c>
      <c r="D108" s="76">
        <f>+B108+C108</f>
        <v>224787287</v>
      </c>
      <c r="I108" s="72">
        <v>722</v>
      </c>
      <c r="J108" s="80">
        <v>0</v>
      </c>
      <c r="K108" s="74">
        <f>+L71</f>
        <v>0</v>
      </c>
      <c r="L108" s="195">
        <f>+J108+K108</f>
        <v>0</v>
      </c>
      <c r="N108" s="12"/>
      <c r="O108" s="12"/>
      <c r="P108" s="12"/>
    </row>
    <row r="109" spans="1:16" ht="17.25" customHeight="1" thickBot="1">
      <c r="A109" s="72">
        <v>723</v>
      </c>
      <c r="B109" s="80"/>
      <c r="C109" s="74">
        <f>+D72</f>
        <v>319828837</v>
      </c>
      <c r="D109" s="76">
        <f>+B109+C109</f>
        <v>319828837</v>
      </c>
      <c r="F109" s="174" t="s">
        <v>23</v>
      </c>
      <c r="I109" s="72">
        <v>723</v>
      </c>
      <c r="J109" s="80">
        <f>+N96</f>
        <v>29894990</v>
      </c>
      <c r="K109" s="74">
        <f>+L72</f>
        <v>194163238</v>
      </c>
      <c r="L109" s="195">
        <f>+J109+K109</f>
        <v>224058228</v>
      </c>
      <c r="N109" s="956" t="s">
        <v>2147</v>
      </c>
      <c r="O109" s="956"/>
      <c r="P109" s="956"/>
    </row>
    <row r="110" spans="1:16" ht="13.5" hidden="1" customHeight="1">
      <c r="A110" s="164" t="s">
        <v>181</v>
      </c>
      <c r="B110" s="165"/>
      <c r="C110" s="74">
        <f>+D73</f>
        <v>1965625</v>
      </c>
      <c r="D110" s="168">
        <f>+B110+C110</f>
        <v>1965625</v>
      </c>
      <c r="F110" s="52"/>
      <c r="I110" s="164" t="s">
        <v>181</v>
      </c>
      <c r="J110" s="165"/>
      <c r="K110" s="74">
        <f>+L73</f>
        <v>0</v>
      </c>
      <c r="L110" s="196">
        <f>+J110+K110</f>
        <v>0</v>
      </c>
      <c r="N110" s="191"/>
      <c r="O110" s="12"/>
      <c r="P110" s="12"/>
    </row>
    <row r="111" spans="1:16" ht="15" customHeight="1" thickBot="1">
      <c r="A111" s="169"/>
      <c r="B111" s="170" t="e">
        <f>SUM(B106:B110)</f>
        <v>#REF!</v>
      </c>
      <c r="C111" s="171">
        <f>SUM(C106:C110)</f>
        <v>611317841</v>
      </c>
      <c r="D111" s="172" t="e">
        <f>SUM(D106:D110)</f>
        <v>#REF!</v>
      </c>
      <c r="I111" s="169"/>
      <c r="J111" s="197">
        <f>SUM(J106:J110)</f>
        <v>29894990</v>
      </c>
      <c r="K111" s="197">
        <f>SUM(K106:K110)</f>
        <v>194163238</v>
      </c>
      <c r="L111" s="198">
        <f>SUM(L106:L110)</f>
        <v>224058228</v>
      </c>
    </row>
    <row r="112" spans="1:16" ht="16.5">
      <c r="A112" s="49" t="s">
        <v>88</v>
      </c>
      <c r="B112" s="50"/>
      <c r="I112" s="49" t="s">
        <v>88</v>
      </c>
      <c r="J112" s="50"/>
    </row>
    <row r="113" spans="1:16" ht="11.25" customHeight="1">
      <c r="A113" s="51" t="s">
        <v>89</v>
      </c>
      <c r="I113" s="51" t="s">
        <v>89</v>
      </c>
    </row>
    <row r="114" spans="1:16" ht="11.25" customHeight="1">
      <c r="A114" s="51" t="s">
        <v>90</v>
      </c>
      <c r="I114" s="51" t="s">
        <v>90</v>
      </c>
    </row>
    <row r="115" spans="1:16" ht="12.75" customHeight="1">
      <c r="A115" s="51" t="s">
        <v>91</v>
      </c>
      <c r="I115" s="51" t="s">
        <v>91</v>
      </c>
    </row>
    <row r="116" spans="1:16" ht="5.25" customHeight="1">
      <c r="A116" s="50"/>
      <c r="B116" s="50"/>
      <c r="I116" s="50"/>
      <c r="J116" s="50"/>
    </row>
    <row r="117" spans="1:16" ht="15.75" customHeight="1">
      <c r="A117" s="52" t="s">
        <v>233</v>
      </c>
      <c r="B117" s="50"/>
      <c r="G117" s="52"/>
      <c r="I117" s="52" t="s">
        <v>540</v>
      </c>
      <c r="O117" s="52"/>
    </row>
    <row r="118" spans="1:16" ht="15.75">
      <c r="A118" s="53" t="s">
        <v>92</v>
      </c>
      <c r="G118" s="53"/>
      <c r="I118" s="53" t="s">
        <v>2139</v>
      </c>
      <c r="O118" s="53"/>
    </row>
    <row r="119" spans="1:16" ht="15.75" customHeight="1">
      <c r="A119" s="894" t="s">
        <v>228</v>
      </c>
      <c r="B119" s="894"/>
      <c r="C119" s="894"/>
      <c r="D119" s="894"/>
      <c r="E119" s="894"/>
      <c r="F119" s="894"/>
      <c r="G119" s="894"/>
      <c r="H119" s="894"/>
      <c r="I119" s="894" t="s">
        <v>903</v>
      </c>
      <c r="J119" s="894"/>
      <c r="K119" s="894"/>
      <c r="L119" s="894"/>
      <c r="M119" s="894"/>
      <c r="N119" s="894"/>
      <c r="O119" s="894"/>
      <c r="P119" s="894"/>
    </row>
    <row r="120" spans="1:16" ht="12.75" customHeight="1" thickBot="1"/>
    <row r="121" spans="1:16" ht="15.75" customHeight="1">
      <c r="A121" s="895" t="s">
        <v>94</v>
      </c>
      <c r="B121" s="897" t="s">
        <v>95</v>
      </c>
      <c r="C121" s="897" t="s">
        <v>96</v>
      </c>
      <c r="D121" s="897" t="s">
        <v>3</v>
      </c>
      <c r="E121" s="897" t="s">
        <v>97</v>
      </c>
      <c r="F121" s="897" t="s">
        <v>98</v>
      </c>
      <c r="G121" s="897" t="s">
        <v>99</v>
      </c>
      <c r="H121" s="899"/>
      <c r="I121" s="895" t="s">
        <v>94</v>
      </c>
      <c r="J121" s="897" t="s">
        <v>95</v>
      </c>
      <c r="K121" s="897" t="s">
        <v>96</v>
      </c>
      <c r="L121" s="897" t="s">
        <v>3</v>
      </c>
      <c r="M121" s="897" t="s">
        <v>97</v>
      </c>
      <c r="N121" s="897" t="s">
        <v>98</v>
      </c>
      <c r="O121" s="897" t="s">
        <v>99</v>
      </c>
      <c r="P121" s="899"/>
    </row>
    <row r="122" spans="1:16" ht="15" customHeight="1" thickBot="1">
      <c r="A122" s="896"/>
      <c r="B122" s="898"/>
      <c r="C122" s="898"/>
      <c r="D122" s="898"/>
      <c r="E122" s="898"/>
      <c r="F122" s="898"/>
      <c r="G122" s="240" t="s">
        <v>100</v>
      </c>
      <c r="H122" s="182" t="s">
        <v>101</v>
      </c>
      <c r="I122" s="896"/>
      <c r="J122" s="898"/>
      <c r="K122" s="898"/>
      <c r="L122" s="898"/>
      <c r="M122" s="898"/>
      <c r="N122" s="898"/>
      <c r="O122" s="240" t="s">
        <v>100</v>
      </c>
      <c r="P122" s="182" t="s">
        <v>101</v>
      </c>
    </row>
    <row r="123" spans="1:16" ht="14.25" customHeight="1">
      <c r="A123" s="881" t="e">
        <f>+A94+1</f>
        <v>#REF!</v>
      </c>
      <c r="B123" s="875">
        <v>42242</v>
      </c>
      <c r="C123" s="942" t="s">
        <v>230</v>
      </c>
      <c r="D123" s="881" t="s">
        <v>234</v>
      </c>
      <c r="E123" s="881" t="s">
        <v>148</v>
      </c>
      <c r="F123" s="883">
        <v>196000</v>
      </c>
      <c r="G123" s="55">
        <v>719</v>
      </c>
      <c r="H123" s="78">
        <v>140000</v>
      </c>
      <c r="I123" s="873" t="s">
        <v>1346</v>
      </c>
      <c r="J123" s="875">
        <v>44567</v>
      </c>
      <c r="K123" s="910" t="s">
        <v>1984</v>
      </c>
      <c r="L123" s="881" t="s">
        <v>2140</v>
      </c>
      <c r="M123" s="881" t="s">
        <v>148</v>
      </c>
      <c r="N123" s="883">
        <v>5000000</v>
      </c>
      <c r="O123" s="55">
        <v>719</v>
      </c>
      <c r="P123" s="78"/>
    </row>
    <row r="124" spans="1:16" ht="13.5" customHeight="1" thickBot="1">
      <c r="A124" s="882"/>
      <c r="B124" s="934"/>
      <c r="C124" s="943"/>
      <c r="D124" s="882"/>
      <c r="E124" s="882"/>
      <c r="F124" s="884"/>
      <c r="G124" s="56">
        <v>721</v>
      </c>
      <c r="H124" s="79">
        <f>+F123-H123</f>
        <v>56000</v>
      </c>
      <c r="I124" s="882"/>
      <c r="J124" s="876"/>
      <c r="K124" s="911"/>
      <c r="L124" s="882"/>
      <c r="M124" s="882"/>
      <c r="N124" s="884"/>
      <c r="O124" s="56">
        <v>723</v>
      </c>
      <c r="P124" s="79">
        <f>+N123-P123</f>
        <v>5000000</v>
      </c>
    </row>
    <row r="125" spans="1:16" ht="11.25" customHeight="1">
      <c r="A125" s="881" t="e">
        <f>+A123+1</f>
        <v>#REF!</v>
      </c>
      <c r="B125" s="875">
        <v>42242</v>
      </c>
      <c r="C125" s="935" t="s">
        <v>28</v>
      </c>
      <c r="D125" s="881" t="s">
        <v>234</v>
      </c>
      <c r="E125" s="881" t="s">
        <v>148</v>
      </c>
      <c r="F125" s="883">
        <v>364000</v>
      </c>
      <c r="G125" s="55">
        <v>719</v>
      </c>
      <c r="H125" s="78">
        <v>260000</v>
      </c>
      <c r="I125" s="873" t="s">
        <v>1347</v>
      </c>
      <c r="J125" s="875">
        <v>44567</v>
      </c>
      <c r="K125" s="877" t="s">
        <v>2150</v>
      </c>
      <c r="L125" s="881" t="s">
        <v>2140</v>
      </c>
      <c r="M125" s="881" t="s">
        <v>148</v>
      </c>
      <c r="N125" s="883">
        <v>3000000</v>
      </c>
      <c r="O125" s="55">
        <v>719</v>
      </c>
      <c r="P125" s="78"/>
    </row>
    <row r="126" spans="1:16" ht="13.5" customHeight="1" thickBot="1">
      <c r="A126" s="882"/>
      <c r="B126" s="934"/>
      <c r="C126" s="936"/>
      <c r="D126" s="882"/>
      <c r="E126" s="882"/>
      <c r="F126" s="884"/>
      <c r="G126" s="56">
        <v>721</v>
      </c>
      <c r="H126" s="79">
        <f>+F125-H125</f>
        <v>104000</v>
      </c>
      <c r="I126" s="882"/>
      <c r="J126" s="876"/>
      <c r="K126" s="878"/>
      <c r="L126" s="882"/>
      <c r="M126" s="882"/>
      <c r="N126" s="884"/>
      <c r="O126" s="56">
        <v>723</v>
      </c>
      <c r="P126" s="79">
        <f>+N125-P125</f>
        <v>3000000</v>
      </c>
    </row>
    <row r="127" spans="1:16" ht="13.5" customHeight="1">
      <c r="A127" s="881" t="e">
        <f>+A125+1</f>
        <v>#REF!</v>
      </c>
      <c r="B127" s="875">
        <v>42242</v>
      </c>
      <c r="C127" s="942" t="s">
        <v>32</v>
      </c>
      <c r="D127" s="881" t="s">
        <v>235</v>
      </c>
      <c r="E127" s="881" t="s">
        <v>148</v>
      </c>
      <c r="F127" s="883">
        <v>70000</v>
      </c>
      <c r="G127" s="55">
        <v>719</v>
      </c>
      <c r="H127" s="78">
        <v>50000</v>
      </c>
      <c r="I127" s="873" t="s">
        <v>1348</v>
      </c>
      <c r="J127" s="875">
        <v>44567</v>
      </c>
      <c r="K127" s="877" t="s">
        <v>1885</v>
      </c>
      <c r="L127" s="881" t="s">
        <v>2140</v>
      </c>
      <c r="M127" s="881" t="s">
        <v>148</v>
      </c>
      <c r="N127" s="883">
        <v>5000000</v>
      </c>
      <c r="O127" s="55">
        <v>719</v>
      </c>
      <c r="P127" s="78"/>
    </row>
    <row r="128" spans="1:16" ht="12.75" customHeight="1" thickBot="1">
      <c r="A128" s="882"/>
      <c r="B128" s="934"/>
      <c r="C128" s="943"/>
      <c r="D128" s="882"/>
      <c r="E128" s="882"/>
      <c r="F128" s="884"/>
      <c r="G128" s="56">
        <v>721</v>
      </c>
      <c r="H128" s="79">
        <f>+F127-H127</f>
        <v>20000</v>
      </c>
      <c r="I128" s="882"/>
      <c r="J128" s="876"/>
      <c r="K128" s="878"/>
      <c r="L128" s="882"/>
      <c r="M128" s="882"/>
      <c r="N128" s="884"/>
      <c r="O128" s="56">
        <v>723</v>
      </c>
      <c r="P128" s="79">
        <f>+N127-P127</f>
        <v>5000000</v>
      </c>
    </row>
    <row r="129" spans="1:16" ht="12.75" customHeight="1">
      <c r="A129" s="251"/>
      <c r="B129" s="452"/>
      <c r="C129" s="465"/>
      <c r="D129" s="251"/>
      <c r="E129" s="251"/>
      <c r="F129" s="254"/>
      <c r="G129" s="255"/>
      <c r="H129" s="256"/>
      <c r="I129" s="873" t="s">
        <v>1725</v>
      </c>
      <c r="J129" s="875">
        <v>44567</v>
      </c>
      <c r="K129" s="877" t="s">
        <v>2149</v>
      </c>
      <c r="L129" s="881" t="s">
        <v>2140</v>
      </c>
      <c r="M129" s="881" t="s">
        <v>148</v>
      </c>
      <c r="N129" s="883">
        <v>2500000</v>
      </c>
      <c r="O129" s="55">
        <v>719</v>
      </c>
      <c r="P129" s="78"/>
    </row>
    <row r="130" spans="1:16" ht="12.75" customHeight="1" thickBot="1">
      <c r="A130" s="251"/>
      <c r="B130" s="452"/>
      <c r="C130" s="465"/>
      <c r="D130" s="251"/>
      <c r="E130" s="251"/>
      <c r="F130" s="254"/>
      <c r="G130" s="255"/>
      <c r="H130" s="256"/>
      <c r="I130" s="882"/>
      <c r="J130" s="876"/>
      <c r="K130" s="878"/>
      <c r="L130" s="882"/>
      <c r="M130" s="882"/>
      <c r="N130" s="884"/>
      <c r="O130" s="56">
        <v>723</v>
      </c>
      <c r="P130" s="79">
        <f>+N129-P129</f>
        <v>2500000</v>
      </c>
    </row>
    <row r="131" spans="1:16" ht="11.25" customHeight="1">
      <c r="A131" s="881" t="e">
        <f>+A127+1</f>
        <v>#REF!</v>
      </c>
      <c r="B131" s="875">
        <v>42242</v>
      </c>
      <c r="C131" s="935" t="s">
        <v>169</v>
      </c>
      <c r="D131" s="881" t="s">
        <v>236</v>
      </c>
      <c r="E131" s="881" t="s">
        <v>148</v>
      </c>
      <c r="F131" s="883">
        <v>56000</v>
      </c>
      <c r="G131" s="55">
        <v>719</v>
      </c>
      <c r="H131" s="78">
        <v>40000</v>
      </c>
      <c r="I131" s="873" t="s">
        <v>574</v>
      </c>
      <c r="J131" s="875">
        <v>44567</v>
      </c>
      <c r="K131" s="877" t="s">
        <v>738</v>
      </c>
      <c r="L131" s="881" t="s">
        <v>2140</v>
      </c>
      <c r="M131" s="881" t="s">
        <v>148</v>
      </c>
      <c r="N131" s="883">
        <v>3937500</v>
      </c>
      <c r="O131" s="55">
        <v>719</v>
      </c>
      <c r="P131" s="78"/>
    </row>
    <row r="132" spans="1:16" ht="14.25" customHeight="1" thickBot="1">
      <c r="A132" s="882"/>
      <c r="B132" s="934"/>
      <c r="C132" s="936"/>
      <c r="D132" s="882"/>
      <c r="E132" s="882"/>
      <c r="F132" s="884"/>
      <c r="G132" s="56">
        <v>721</v>
      </c>
      <c r="H132" s="79">
        <f>+F131-H131</f>
        <v>16000</v>
      </c>
      <c r="I132" s="882"/>
      <c r="J132" s="876"/>
      <c r="K132" s="878"/>
      <c r="L132" s="882"/>
      <c r="M132" s="882"/>
      <c r="N132" s="884"/>
      <c r="O132" s="56">
        <v>723</v>
      </c>
      <c r="P132" s="79">
        <f>+N131</f>
        <v>3937500</v>
      </c>
    </row>
    <row r="133" spans="1:16" ht="16.5" thickBot="1">
      <c r="A133" s="901" t="s">
        <v>102</v>
      </c>
      <c r="B133" s="902"/>
      <c r="C133" s="902"/>
      <c r="D133" s="902"/>
      <c r="E133" s="903"/>
      <c r="F133" s="81">
        <f>SUM(F123:F132)</f>
        <v>686000</v>
      </c>
      <c r="I133" s="901" t="s">
        <v>102</v>
      </c>
      <c r="J133" s="902"/>
      <c r="K133" s="902"/>
      <c r="L133" s="902"/>
      <c r="M133" s="903"/>
      <c r="N133" s="81">
        <f>SUM(N123:N132)</f>
        <v>19437500</v>
      </c>
    </row>
    <row r="134" spans="1:16" ht="16.5" thickBot="1">
      <c r="A134" s="885" t="s">
        <v>103</v>
      </c>
      <c r="B134" s="886"/>
      <c r="C134" s="886"/>
      <c r="D134" s="886"/>
      <c r="E134" s="887"/>
      <c r="F134" s="184">
        <f>+F98</f>
        <v>612479841</v>
      </c>
      <c r="I134" s="885" t="s">
        <v>103</v>
      </c>
      <c r="J134" s="886"/>
      <c r="K134" s="886"/>
      <c r="L134" s="886"/>
      <c r="M134" s="887"/>
      <c r="N134" s="239">
        <f>+N98</f>
        <v>224058228</v>
      </c>
      <c r="O134" s="241" t="s">
        <v>561</v>
      </c>
      <c r="P134" s="242"/>
    </row>
    <row r="135" spans="1:16" ht="15" customHeight="1" thickBot="1">
      <c r="A135" s="888" t="s">
        <v>104</v>
      </c>
      <c r="B135" s="889"/>
      <c r="C135" s="889"/>
      <c r="D135" s="889"/>
      <c r="E135" s="890"/>
      <c r="F135" s="183">
        <f>SUM(F133:F134)</f>
        <v>613165841</v>
      </c>
      <c r="I135" s="888" t="s">
        <v>104</v>
      </c>
      <c r="J135" s="889"/>
      <c r="K135" s="889"/>
      <c r="L135" s="889"/>
      <c r="M135" s="890"/>
      <c r="N135" s="183">
        <f>SUM(N133:N134)</f>
        <v>243495728</v>
      </c>
    </row>
    <row r="136" spans="1:16" ht="9" customHeight="1">
      <c r="A136" s="61"/>
      <c r="B136" s="61"/>
      <c r="C136" s="61"/>
      <c r="D136" s="61"/>
      <c r="E136" s="61"/>
      <c r="I136" s="61"/>
      <c r="J136" s="61"/>
      <c r="K136" s="61"/>
      <c r="L136" s="61"/>
      <c r="M136" s="61"/>
    </row>
    <row r="137" spans="1:16" ht="15" customHeight="1">
      <c r="A137" s="51" t="s">
        <v>238</v>
      </c>
      <c r="I137" s="51" t="s">
        <v>2151</v>
      </c>
    </row>
    <row r="138" spans="1:16" ht="9.75" customHeight="1">
      <c r="F138" s="139"/>
      <c r="N138" s="139"/>
    </row>
    <row r="139" spans="1:16">
      <c r="A139" s="50" t="s">
        <v>105</v>
      </c>
      <c r="D139" s="146"/>
      <c r="I139" s="50" t="s">
        <v>105</v>
      </c>
      <c r="L139" s="146"/>
      <c r="N139" s="139"/>
    </row>
    <row r="140" spans="1:16" ht="8.25" customHeight="1" thickBot="1"/>
    <row r="141" spans="1:16" ht="17.25" thickBot="1">
      <c r="A141" s="891" t="s">
        <v>106</v>
      </c>
      <c r="B141" s="892"/>
      <c r="C141" s="892"/>
      <c r="D141" s="893"/>
      <c r="F141" s="50" t="s">
        <v>107</v>
      </c>
      <c r="I141" s="891" t="s">
        <v>106</v>
      </c>
      <c r="J141" s="892"/>
      <c r="K141" s="892"/>
      <c r="L141" s="893"/>
      <c r="N141" s="604" t="s">
        <v>288</v>
      </c>
      <c r="O141" s="604"/>
      <c r="P141" s="604"/>
    </row>
    <row r="142" spans="1:16" ht="31.5" thickBot="1">
      <c r="A142" s="57" t="s">
        <v>100</v>
      </c>
      <c r="B142" s="58" t="s">
        <v>108</v>
      </c>
      <c r="C142" s="59" t="s">
        <v>109</v>
      </c>
      <c r="D142" s="60" t="s">
        <v>110</v>
      </c>
      <c r="I142" s="57" t="s">
        <v>100</v>
      </c>
      <c r="J142" s="58" t="s">
        <v>108</v>
      </c>
      <c r="K142" s="59" t="s">
        <v>109</v>
      </c>
      <c r="L142" s="60" t="s">
        <v>110</v>
      </c>
      <c r="N142" s="12"/>
      <c r="O142" s="12"/>
      <c r="P142" s="12"/>
    </row>
    <row r="143" spans="1:16" ht="15" customHeight="1">
      <c r="A143" s="71">
        <v>719</v>
      </c>
      <c r="B143" s="73" t="e">
        <f>+H123+H125+H127+H131+#REF!</f>
        <v>#REF!</v>
      </c>
      <c r="C143" s="74" t="e">
        <f>+D106</f>
        <v>#REF!</v>
      </c>
      <c r="D143" s="76" t="e">
        <f>+B143+C143</f>
        <v>#REF!</v>
      </c>
      <c r="I143" s="71">
        <v>719</v>
      </c>
      <c r="J143" s="73"/>
      <c r="K143" s="74">
        <f>+L106</f>
        <v>0</v>
      </c>
      <c r="L143" s="195">
        <f>+J143+K143</f>
        <v>0</v>
      </c>
      <c r="N143" s="12"/>
      <c r="O143" s="12"/>
      <c r="P143" s="12"/>
    </row>
    <row r="144" spans="1:16" ht="12.75" customHeight="1">
      <c r="A144" s="72">
        <v>721</v>
      </c>
      <c r="B144" s="80" t="e">
        <f>+#REF!+H132+H128+H126+H124</f>
        <v>#REF!</v>
      </c>
      <c r="C144" s="74" t="e">
        <f>+D107</f>
        <v>#REF!</v>
      </c>
      <c r="D144" s="76" t="e">
        <f>+B144+C144</f>
        <v>#REF!</v>
      </c>
      <c r="I144" s="72">
        <v>721</v>
      </c>
      <c r="J144" s="80"/>
      <c r="K144" s="74">
        <f>+L107</f>
        <v>0</v>
      </c>
      <c r="L144" s="195">
        <f>+J144+K144</f>
        <v>0</v>
      </c>
      <c r="N144" s="12"/>
      <c r="O144" s="12"/>
      <c r="P144" s="12"/>
    </row>
    <row r="145" spans="1:16" ht="13.5" customHeight="1">
      <c r="A145" s="72">
        <v>722</v>
      </c>
      <c r="B145" s="80"/>
      <c r="C145" s="74">
        <f>+D108</f>
        <v>224787287</v>
      </c>
      <c r="D145" s="76">
        <f>+B145+C145</f>
        <v>224787287</v>
      </c>
      <c r="I145" s="72">
        <v>722</v>
      </c>
      <c r="J145" s="80"/>
      <c r="K145" s="74">
        <f>+L108</f>
        <v>0</v>
      </c>
      <c r="L145" s="195">
        <f>+J145+K145</f>
        <v>0</v>
      </c>
      <c r="N145" s="12"/>
      <c r="O145" s="12"/>
      <c r="P145" s="12"/>
    </row>
    <row r="146" spans="1:16" ht="13.5" customHeight="1" thickBot="1">
      <c r="A146" s="72">
        <v>723</v>
      </c>
      <c r="B146" s="80"/>
      <c r="C146" s="74">
        <f>+D109</f>
        <v>319828837</v>
      </c>
      <c r="D146" s="76">
        <f>+B146+C146</f>
        <v>319828837</v>
      </c>
      <c r="F146" s="174" t="s">
        <v>23</v>
      </c>
      <c r="I146" s="72">
        <v>723</v>
      </c>
      <c r="J146" s="80">
        <f>+P124+P126+P128+P132+P130</f>
        <v>19437500</v>
      </c>
      <c r="K146" s="74">
        <f>+L109</f>
        <v>224058228</v>
      </c>
      <c r="L146" s="195">
        <f>+J146+K146</f>
        <v>243495728</v>
      </c>
      <c r="N146" s="956" t="s">
        <v>2147</v>
      </c>
      <c r="O146" s="956"/>
      <c r="P146" s="956"/>
    </row>
    <row r="147" spans="1:16" ht="13.5" hidden="1" customHeight="1">
      <c r="A147" s="164" t="s">
        <v>181</v>
      </c>
      <c r="B147" s="165"/>
      <c r="C147" s="74">
        <f>+D110</f>
        <v>1965625</v>
      </c>
      <c r="D147" s="168">
        <f>+B147+C147</f>
        <v>1965625</v>
      </c>
      <c r="F147" s="52"/>
      <c r="I147" s="164" t="s">
        <v>181</v>
      </c>
      <c r="J147" s="165"/>
      <c r="K147" s="74">
        <f>+L110</f>
        <v>0</v>
      </c>
      <c r="L147" s="196">
        <f>+J147+K147</f>
        <v>0</v>
      </c>
      <c r="N147" s="52"/>
    </row>
    <row r="148" spans="1:16" ht="15.75" customHeight="1" thickBot="1">
      <c r="A148" s="169"/>
      <c r="B148" s="170" t="e">
        <f>SUM(B143:B147)</f>
        <v>#REF!</v>
      </c>
      <c r="C148" s="171" t="e">
        <f>SUM(C143:C147)</f>
        <v>#REF!</v>
      </c>
      <c r="D148" s="172" t="e">
        <f>SUM(D143:D147)</f>
        <v>#REF!</v>
      </c>
      <c r="I148" s="169"/>
      <c r="J148" s="197">
        <f>SUM(J143:J147)</f>
        <v>19437500</v>
      </c>
      <c r="K148" s="197">
        <f>SUM(K143:K147)</f>
        <v>224058228</v>
      </c>
      <c r="L148" s="198">
        <f>SUM(L143:L147)</f>
        <v>243495728</v>
      </c>
    </row>
    <row r="149" spans="1:16" ht="16.5">
      <c r="A149" s="49" t="s">
        <v>88</v>
      </c>
      <c r="B149" s="50"/>
      <c r="I149" s="49" t="s">
        <v>88</v>
      </c>
      <c r="J149" s="50"/>
    </row>
    <row r="150" spans="1:16" ht="13.5" customHeight="1">
      <c r="A150" s="51" t="s">
        <v>89</v>
      </c>
      <c r="I150" s="51" t="s">
        <v>89</v>
      </c>
    </row>
    <row r="151" spans="1:16" ht="14.25" customHeight="1">
      <c r="A151" s="51" t="s">
        <v>90</v>
      </c>
      <c r="I151" s="51" t="s">
        <v>90</v>
      </c>
    </row>
    <row r="152" spans="1:16">
      <c r="A152" s="51" t="s">
        <v>91</v>
      </c>
      <c r="I152" s="51" t="s">
        <v>91</v>
      </c>
    </row>
    <row r="153" spans="1:16" ht="4.5" customHeight="1">
      <c r="A153" s="50"/>
      <c r="B153" s="50"/>
      <c r="I153" s="50"/>
      <c r="J153" s="50"/>
    </row>
    <row r="154" spans="1:16" ht="15.75" customHeight="1">
      <c r="A154" s="52" t="s">
        <v>237</v>
      </c>
      <c r="B154" s="50"/>
      <c r="G154" s="52"/>
      <c r="I154" s="52" t="s">
        <v>564</v>
      </c>
      <c r="O154" s="52"/>
    </row>
    <row r="155" spans="1:16" ht="15" customHeight="1">
      <c r="A155" s="53" t="s">
        <v>92</v>
      </c>
      <c r="G155" s="53"/>
      <c r="I155" s="53" t="s">
        <v>2139</v>
      </c>
      <c r="O155" s="53"/>
    </row>
    <row r="156" spans="1:16" ht="14.25" customHeight="1">
      <c r="A156" s="894" t="s">
        <v>228</v>
      </c>
      <c r="B156" s="894"/>
      <c r="C156" s="894"/>
      <c r="D156" s="894"/>
      <c r="E156" s="894"/>
      <c r="F156" s="894"/>
      <c r="G156" s="894"/>
      <c r="H156" s="894"/>
      <c r="I156" s="894" t="s">
        <v>212</v>
      </c>
      <c r="J156" s="894"/>
      <c r="K156" s="894"/>
      <c r="L156" s="894"/>
      <c r="M156" s="894"/>
      <c r="N156" s="894"/>
      <c r="O156" s="894"/>
      <c r="P156" s="894"/>
    </row>
    <row r="157" spans="1:16" ht="9" customHeight="1" thickBot="1"/>
    <row r="158" spans="1:16" ht="15.75" customHeight="1">
      <c r="A158" s="895" t="s">
        <v>94</v>
      </c>
      <c r="B158" s="897" t="s">
        <v>95</v>
      </c>
      <c r="C158" s="897" t="s">
        <v>96</v>
      </c>
      <c r="D158" s="897" t="s">
        <v>3</v>
      </c>
      <c r="E158" s="897" t="s">
        <v>97</v>
      </c>
      <c r="F158" s="897" t="s">
        <v>98</v>
      </c>
      <c r="G158" s="897" t="s">
        <v>99</v>
      </c>
      <c r="H158" s="899"/>
      <c r="I158" s="895" t="s">
        <v>94</v>
      </c>
      <c r="J158" s="897" t="s">
        <v>95</v>
      </c>
      <c r="K158" s="897" t="s">
        <v>96</v>
      </c>
      <c r="L158" s="897" t="s">
        <v>3</v>
      </c>
      <c r="M158" s="897" t="s">
        <v>97</v>
      </c>
      <c r="N158" s="897" t="s">
        <v>98</v>
      </c>
      <c r="O158" s="897" t="s">
        <v>99</v>
      </c>
      <c r="P158" s="899"/>
    </row>
    <row r="159" spans="1:16" ht="15" customHeight="1" thickBot="1">
      <c r="A159" s="896"/>
      <c r="B159" s="898"/>
      <c r="C159" s="898"/>
      <c r="D159" s="898"/>
      <c r="E159" s="898"/>
      <c r="F159" s="898"/>
      <c r="G159" s="240" t="s">
        <v>100</v>
      </c>
      <c r="H159" s="182" t="s">
        <v>101</v>
      </c>
      <c r="I159" s="896"/>
      <c r="J159" s="898"/>
      <c r="K159" s="898"/>
      <c r="L159" s="898"/>
      <c r="M159" s="898"/>
      <c r="N159" s="898"/>
      <c r="O159" s="240" t="s">
        <v>100</v>
      </c>
      <c r="P159" s="182" t="s">
        <v>101</v>
      </c>
    </row>
    <row r="160" spans="1:16" ht="12" customHeight="1">
      <c r="A160" s="881" t="e">
        <f>+#REF!+1</f>
        <v>#REF!</v>
      </c>
      <c r="B160" s="875">
        <v>42242</v>
      </c>
      <c r="C160" s="942" t="s">
        <v>230</v>
      </c>
      <c r="D160" s="881" t="s">
        <v>242</v>
      </c>
      <c r="E160" s="881" t="s">
        <v>148</v>
      </c>
      <c r="F160" s="883">
        <v>182000</v>
      </c>
      <c r="G160" s="55">
        <v>719</v>
      </c>
      <c r="H160" s="78">
        <v>130000</v>
      </c>
      <c r="I160" s="873" t="s">
        <v>575</v>
      </c>
      <c r="J160" s="875">
        <v>44567</v>
      </c>
      <c r="K160" s="877" t="s">
        <v>806</v>
      </c>
      <c r="L160" s="881" t="s">
        <v>2144</v>
      </c>
      <c r="M160" s="881" t="s">
        <v>165</v>
      </c>
      <c r="N160" s="883">
        <v>1600000</v>
      </c>
      <c r="O160" s="55">
        <v>719</v>
      </c>
      <c r="P160" s="78"/>
    </row>
    <row r="161" spans="1:16" ht="15" customHeight="1" thickBot="1">
      <c r="A161" s="882"/>
      <c r="B161" s="934"/>
      <c r="C161" s="943"/>
      <c r="D161" s="882"/>
      <c r="E161" s="882"/>
      <c r="F161" s="884"/>
      <c r="G161" s="56">
        <v>721</v>
      </c>
      <c r="H161" s="79">
        <f>+F160-H160</f>
        <v>52000</v>
      </c>
      <c r="I161" s="882"/>
      <c r="J161" s="876"/>
      <c r="K161" s="878"/>
      <c r="L161" s="882"/>
      <c r="M161" s="882"/>
      <c r="N161" s="884"/>
      <c r="O161" s="56">
        <v>723</v>
      </c>
      <c r="P161" s="79">
        <f>+N160</f>
        <v>1600000</v>
      </c>
    </row>
    <row r="162" spans="1:16" ht="13.5" customHeight="1">
      <c r="A162" s="251"/>
      <c r="B162" s="452"/>
      <c r="C162" s="465"/>
      <c r="D162" s="251"/>
      <c r="E162" s="251"/>
      <c r="F162" s="254"/>
      <c r="G162" s="255"/>
      <c r="H162" s="256"/>
      <c r="I162" s="873" t="s">
        <v>576</v>
      </c>
      <c r="J162" s="875">
        <v>44567</v>
      </c>
      <c r="K162" s="877" t="s">
        <v>799</v>
      </c>
      <c r="L162" s="881" t="s">
        <v>2144</v>
      </c>
      <c r="M162" s="881" t="s">
        <v>165</v>
      </c>
      <c r="N162" s="883">
        <v>1200000</v>
      </c>
      <c r="O162" s="55">
        <v>719</v>
      </c>
      <c r="P162" s="78"/>
    </row>
    <row r="163" spans="1:16" ht="15" customHeight="1" thickBot="1">
      <c r="A163" s="251"/>
      <c r="B163" s="452"/>
      <c r="C163" s="465"/>
      <c r="D163" s="251"/>
      <c r="E163" s="251"/>
      <c r="F163" s="254"/>
      <c r="G163" s="255"/>
      <c r="H163" s="256"/>
      <c r="I163" s="882"/>
      <c r="J163" s="876"/>
      <c r="K163" s="878"/>
      <c r="L163" s="882"/>
      <c r="M163" s="882"/>
      <c r="N163" s="884"/>
      <c r="O163" s="56">
        <v>723</v>
      </c>
      <c r="P163" s="79">
        <f>+N162</f>
        <v>1200000</v>
      </c>
    </row>
    <row r="164" spans="1:16" ht="14.25" customHeight="1">
      <c r="A164" s="881" t="e">
        <f>+A160+1</f>
        <v>#REF!</v>
      </c>
      <c r="B164" s="875">
        <v>42242</v>
      </c>
      <c r="C164" s="935" t="s">
        <v>28</v>
      </c>
      <c r="D164" s="881" t="s">
        <v>240</v>
      </c>
      <c r="E164" s="881" t="s">
        <v>148</v>
      </c>
      <c r="F164" s="883">
        <v>364000</v>
      </c>
      <c r="G164" s="55">
        <v>719</v>
      </c>
      <c r="H164" s="78">
        <v>260000</v>
      </c>
      <c r="I164" s="873" t="s">
        <v>577</v>
      </c>
      <c r="J164" s="875">
        <v>44567</v>
      </c>
      <c r="K164" s="877" t="s">
        <v>2266</v>
      </c>
      <c r="L164" s="881" t="s">
        <v>2144</v>
      </c>
      <c r="M164" s="881" t="s">
        <v>165</v>
      </c>
      <c r="N164" s="883">
        <v>1500000</v>
      </c>
      <c r="O164" s="55">
        <v>719</v>
      </c>
      <c r="P164" s="78"/>
    </row>
    <row r="165" spans="1:16" ht="13.5" customHeight="1" thickBot="1">
      <c r="A165" s="882"/>
      <c r="B165" s="934"/>
      <c r="C165" s="936"/>
      <c r="D165" s="882"/>
      <c r="E165" s="882"/>
      <c r="F165" s="884"/>
      <c r="G165" s="56">
        <v>721</v>
      </c>
      <c r="H165" s="79">
        <f>+F164-H164</f>
        <v>104000</v>
      </c>
      <c r="I165" s="882"/>
      <c r="J165" s="876"/>
      <c r="K165" s="878"/>
      <c r="L165" s="882"/>
      <c r="M165" s="882"/>
      <c r="N165" s="884"/>
      <c r="O165" s="56">
        <v>723</v>
      </c>
      <c r="P165" s="79">
        <f>+N164</f>
        <v>1500000</v>
      </c>
    </row>
    <row r="166" spans="1:16" ht="13.5" customHeight="1">
      <c r="A166" s="251"/>
      <c r="B166" s="452"/>
      <c r="C166" s="472"/>
      <c r="D166" s="251"/>
      <c r="E166" s="251"/>
      <c r="F166" s="254"/>
      <c r="G166" s="255"/>
      <c r="H166" s="256"/>
      <c r="I166" s="873" t="s">
        <v>578</v>
      </c>
      <c r="J166" s="875">
        <v>44567</v>
      </c>
      <c r="K166" s="881" t="s">
        <v>2023</v>
      </c>
      <c r="L166" s="881" t="s">
        <v>2144</v>
      </c>
      <c r="M166" s="881" t="s">
        <v>1908</v>
      </c>
      <c r="N166" s="883">
        <v>1020000</v>
      </c>
      <c r="O166" s="55">
        <v>719</v>
      </c>
      <c r="P166" s="78"/>
    </row>
    <row r="167" spans="1:16" ht="13.5" customHeight="1" thickBot="1">
      <c r="A167" s="251"/>
      <c r="B167" s="452"/>
      <c r="C167" s="472"/>
      <c r="D167" s="251"/>
      <c r="E167" s="251"/>
      <c r="F167" s="254"/>
      <c r="G167" s="255"/>
      <c r="H167" s="256"/>
      <c r="I167" s="882"/>
      <c r="J167" s="876"/>
      <c r="K167" s="882"/>
      <c r="L167" s="882"/>
      <c r="M167" s="882"/>
      <c r="N167" s="884"/>
      <c r="O167" s="56">
        <v>723</v>
      </c>
      <c r="P167" s="79">
        <f>+N166</f>
        <v>1020000</v>
      </c>
    </row>
    <row r="168" spans="1:16" ht="12" customHeight="1">
      <c r="A168" s="881" t="e">
        <f>+A164+1</f>
        <v>#REF!</v>
      </c>
      <c r="B168" s="875">
        <v>42242</v>
      </c>
      <c r="C168" s="942" t="s">
        <v>32</v>
      </c>
      <c r="D168" s="881" t="s">
        <v>241</v>
      </c>
      <c r="E168" s="881" t="s">
        <v>148</v>
      </c>
      <c r="F168" s="883">
        <v>84000</v>
      </c>
      <c r="G168" s="55">
        <v>719</v>
      </c>
      <c r="H168" s="78">
        <v>60000</v>
      </c>
      <c r="I168" s="873" t="s">
        <v>579</v>
      </c>
      <c r="J168" s="875">
        <v>44567</v>
      </c>
      <c r="K168" s="877" t="s">
        <v>2152</v>
      </c>
      <c r="L168" s="881" t="s">
        <v>2144</v>
      </c>
      <c r="M168" s="881" t="s">
        <v>165</v>
      </c>
      <c r="N168" s="883">
        <v>600000</v>
      </c>
      <c r="O168" s="55">
        <v>719</v>
      </c>
      <c r="P168" s="78"/>
    </row>
    <row r="169" spans="1:16" ht="12.75" customHeight="1" thickBot="1">
      <c r="A169" s="882"/>
      <c r="B169" s="934"/>
      <c r="C169" s="943"/>
      <c r="D169" s="882"/>
      <c r="E169" s="882"/>
      <c r="F169" s="884"/>
      <c r="G169" s="56">
        <v>721</v>
      </c>
      <c r="H169" s="79">
        <f>+F168-H168</f>
        <v>24000</v>
      </c>
      <c r="I169" s="882"/>
      <c r="J169" s="876"/>
      <c r="K169" s="878"/>
      <c r="L169" s="882"/>
      <c r="M169" s="882"/>
      <c r="N169" s="884"/>
      <c r="O169" s="56">
        <v>723</v>
      </c>
      <c r="P169" s="79">
        <f>+N168</f>
        <v>600000</v>
      </c>
    </row>
    <row r="170" spans="1:16" ht="17.25" customHeight="1" thickBot="1">
      <c r="A170" s="901" t="s">
        <v>102</v>
      </c>
      <c r="B170" s="902"/>
      <c r="C170" s="902"/>
      <c r="D170" s="902"/>
      <c r="E170" s="903"/>
      <c r="F170" s="81">
        <f>SUM(F160:F169)</f>
        <v>630000</v>
      </c>
      <c r="I170" s="901" t="s">
        <v>102</v>
      </c>
      <c r="J170" s="902"/>
      <c r="K170" s="902"/>
      <c r="L170" s="902"/>
      <c r="M170" s="903"/>
      <c r="N170" s="81">
        <f>SUM(N160:N169)</f>
        <v>5920000</v>
      </c>
    </row>
    <row r="171" spans="1:16" ht="16.5" thickBot="1">
      <c r="A171" s="885" t="s">
        <v>103</v>
      </c>
      <c r="B171" s="886"/>
      <c r="C171" s="886"/>
      <c r="D171" s="886"/>
      <c r="E171" s="887"/>
      <c r="F171" s="69">
        <f>+F135</f>
        <v>613165841</v>
      </c>
      <c r="I171" s="885" t="s">
        <v>103</v>
      </c>
      <c r="J171" s="886"/>
      <c r="K171" s="886"/>
      <c r="L171" s="886"/>
      <c r="M171" s="887"/>
      <c r="N171" s="239">
        <f>+N135</f>
        <v>243495728</v>
      </c>
      <c r="O171" s="241" t="s">
        <v>561</v>
      </c>
      <c r="P171" s="242"/>
    </row>
    <row r="172" spans="1:16" ht="15.75" customHeight="1" thickBot="1">
      <c r="A172" s="888" t="s">
        <v>104</v>
      </c>
      <c r="B172" s="889"/>
      <c r="C172" s="889"/>
      <c r="D172" s="889"/>
      <c r="E172" s="890"/>
      <c r="F172" s="70">
        <f>SUM(F170:F171)</f>
        <v>613795841</v>
      </c>
      <c r="I172" s="888" t="s">
        <v>104</v>
      </c>
      <c r="J172" s="889"/>
      <c r="K172" s="889"/>
      <c r="L172" s="889"/>
      <c r="M172" s="890"/>
      <c r="N172" s="183">
        <f>SUM(N170:N171)</f>
        <v>249415728</v>
      </c>
    </row>
    <row r="173" spans="1:16" ht="6.75" customHeight="1">
      <c r="A173" s="61"/>
      <c r="B173" s="61"/>
      <c r="C173" s="61"/>
      <c r="D173" s="61"/>
      <c r="E173" s="61"/>
      <c r="I173" s="61"/>
      <c r="J173" s="61"/>
      <c r="K173" s="61"/>
      <c r="L173" s="61"/>
      <c r="M173" s="61"/>
    </row>
    <row r="174" spans="1:16" ht="13.5" customHeight="1">
      <c r="A174" s="51" t="s">
        <v>243</v>
      </c>
      <c r="I174" s="51" t="s">
        <v>2026</v>
      </c>
    </row>
    <row r="175" spans="1:16" ht="6" customHeight="1">
      <c r="F175" s="139"/>
      <c r="N175" s="139"/>
    </row>
    <row r="176" spans="1:16" ht="18" customHeight="1">
      <c r="A176" s="50" t="s">
        <v>105</v>
      </c>
      <c r="D176" s="146"/>
      <c r="I176" s="453" t="s">
        <v>105</v>
      </c>
      <c r="L176" s="146"/>
      <c r="N176" s="139"/>
    </row>
    <row r="177" spans="1:16" ht="6" customHeight="1" thickBot="1"/>
    <row r="178" spans="1:16" ht="17.25" thickBot="1">
      <c r="A178" s="891" t="s">
        <v>106</v>
      </c>
      <c r="B178" s="892"/>
      <c r="C178" s="892"/>
      <c r="D178" s="893"/>
      <c r="F178" s="50" t="s">
        <v>107</v>
      </c>
      <c r="I178" s="891" t="s">
        <v>106</v>
      </c>
      <c r="J178" s="892"/>
      <c r="K178" s="892"/>
      <c r="L178" s="893"/>
      <c r="N178" s="604" t="s">
        <v>288</v>
      </c>
      <c r="O178" s="604"/>
      <c r="P178" s="604"/>
    </row>
    <row r="179" spans="1:16" ht="31.5" thickBot="1">
      <c r="A179" s="57" t="s">
        <v>100</v>
      </c>
      <c r="B179" s="58" t="s">
        <v>108</v>
      </c>
      <c r="C179" s="59" t="s">
        <v>109</v>
      </c>
      <c r="D179" s="60" t="s">
        <v>110</v>
      </c>
      <c r="I179" s="57" t="s">
        <v>100</v>
      </c>
      <c r="J179" s="58" t="s">
        <v>108</v>
      </c>
      <c r="K179" s="59" t="s">
        <v>109</v>
      </c>
      <c r="L179" s="60" t="s">
        <v>110</v>
      </c>
      <c r="N179" s="12"/>
      <c r="O179" s="12"/>
      <c r="P179" s="12"/>
    </row>
    <row r="180" spans="1:16" ht="12.75" customHeight="1">
      <c r="A180" s="71">
        <v>719</v>
      </c>
      <c r="B180" s="73" t="e">
        <f>+H160+H164+H168+#REF!+#REF!</f>
        <v>#REF!</v>
      </c>
      <c r="C180" s="74" t="e">
        <f>+D143</f>
        <v>#REF!</v>
      </c>
      <c r="D180" s="76" t="e">
        <f>+B180+C180</f>
        <v>#REF!</v>
      </c>
      <c r="I180" s="71">
        <v>719</v>
      </c>
      <c r="J180" s="73"/>
      <c r="K180" s="74">
        <f>+L143</f>
        <v>0</v>
      </c>
      <c r="L180" s="195">
        <f>+J180+K180</f>
        <v>0</v>
      </c>
      <c r="N180" s="12"/>
      <c r="O180" s="12"/>
      <c r="P180" s="12"/>
    </row>
    <row r="181" spans="1:16" ht="12" customHeight="1">
      <c r="A181" s="72">
        <v>721</v>
      </c>
      <c r="B181" s="80" t="e">
        <f>+#REF!+#REF!+H169+H165+H161</f>
        <v>#REF!</v>
      </c>
      <c r="C181" s="74" t="e">
        <f>+D144</f>
        <v>#REF!</v>
      </c>
      <c r="D181" s="76" t="e">
        <f>+B181+C181</f>
        <v>#REF!</v>
      </c>
      <c r="I181" s="72">
        <v>721</v>
      </c>
      <c r="J181" s="80">
        <v>0</v>
      </c>
      <c r="K181" s="74">
        <f>+L144</f>
        <v>0</v>
      </c>
      <c r="L181" s="195">
        <f>+J181+K181</f>
        <v>0</v>
      </c>
      <c r="N181" s="12"/>
      <c r="O181" s="12"/>
      <c r="P181" s="12"/>
    </row>
    <row r="182" spans="1:16" ht="14.25" customHeight="1">
      <c r="A182" s="72">
        <v>722</v>
      </c>
      <c r="B182" s="80"/>
      <c r="C182" s="74">
        <f>+D145</f>
        <v>224787287</v>
      </c>
      <c r="D182" s="76">
        <f>+B182+C182</f>
        <v>224787287</v>
      </c>
      <c r="I182" s="72">
        <v>722</v>
      </c>
      <c r="J182" s="80"/>
      <c r="K182" s="74">
        <f>+L145</f>
        <v>0</v>
      </c>
      <c r="L182" s="195">
        <f>+J182+K182</f>
        <v>0</v>
      </c>
      <c r="N182" s="956" t="s">
        <v>2147</v>
      </c>
      <c r="O182" s="956"/>
      <c r="P182" s="956"/>
    </row>
    <row r="183" spans="1:16" ht="14.25" customHeight="1" thickBot="1">
      <c r="A183" s="72">
        <v>723</v>
      </c>
      <c r="B183" s="80"/>
      <c r="C183" s="74">
        <f>+D146</f>
        <v>319828837</v>
      </c>
      <c r="D183" s="76">
        <f>+B183+C183</f>
        <v>319828837</v>
      </c>
      <c r="F183" s="174" t="s">
        <v>23</v>
      </c>
      <c r="I183" s="72">
        <v>723</v>
      </c>
      <c r="J183" s="80">
        <f>+P161+P165+P169+P163+P167</f>
        <v>5920000</v>
      </c>
      <c r="K183" s="74">
        <f>+L146</f>
        <v>243495728</v>
      </c>
      <c r="L183" s="195">
        <f>+J183+K183</f>
        <v>249415728</v>
      </c>
      <c r="N183" s="193"/>
      <c r="O183" s="175"/>
    </row>
    <row r="184" spans="1:16" ht="12.75" hidden="1" customHeight="1">
      <c r="A184" s="164" t="s">
        <v>181</v>
      </c>
      <c r="B184" s="165"/>
      <c r="C184" s="74">
        <f>+D147</f>
        <v>1965625</v>
      </c>
      <c r="D184" s="168">
        <f>+B184+C184</f>
        <v>1965625</v>
      </c>
      <c r="F184" s="52"/>
      <c r="I184" s="164" t="s">
        <v>181</v>
      </c>
      <c r="J184" s="165"/>
      <c r="K184" s="74">
        <f>+L147</f>
        <v>0</v>
      </c>
      <c r="L184" s="196">
        <f>+J184+K184</f>
        <v>0</v>
      </c>
      <c r="N184" s="52"/>
    </row>
    <row r="185" spans="1:16" ht="16.5" thickBot="1">
      <c r="A185" s="169"/>
      <c r="B185" s="170" t="e">
        <f>SUM(B180:B184)</f>
        <v>#REF!</v>
      </c>
      <c r="C185" s="171" t="e">
        <f>SUM(C180:C184)</f>
        <v>#REF!</v>
      </c>
      <c r="D185" s="172" t="e">
        <f>SUM(D180:D184)</f>
        <v>#REF!</v>
      </c>
      <c r="I185" s="169"/>
      <c r="J185" s="197">
        <f>SUM(J180:J184)</f>
        <v>5920000</v>
      </c>
      <c r="K185" s="197">
        <f>SUM(K180:K184)</f>
        <v>243495728</v>
      </c>
      <c r="L185" s="198">
        <f>SUM(L180:L184)</f>
        <v>249415728</v>
      </c>
    </row>
    <row r="186" spans="1:16" ht="16.5">
      <c r="A186" s="49" t="s">
        <v>88</v>
      </c>
      <c r="B186" s="50"/>
      <c r="I186" s="49" t="s">
        <v>88</v>
      </c>
      <c r="J186" s="50"/>
    </row>
    <row r="187" spans="1:16" ht="11.25" customHeight="1">
      <c r="A187" s="51" t="s">
        <v>89</v>
      </c>
      <c r="I187" s="51" t="s">
        <v>89</v>
      </c>
    </row>
    <row r="188" spans="1:16" ht="12.75" customHeight="1">
      <c r="A188" s="51" t="s">
        <v>90</v>
      </c>
      <c r="I188" s="51" t="s">
        <v>90</v>
      </c>
    </row>
    <row r="189" spans="1:16" ht="12.75" customHeight="1">
      <c r="A189" s="51" t="s">
        <v>91</v>
      </c>
      <c r="I189" s="51" t="s">
        <v>91</v>
      </c>
    </row>
    <row r="190" spans="1:16" ht="3.75" customHeight="1">
      <c r="A190" s="50"/>
      <c r="B190" s="50"/>
      <c r="I190" s="50"/>
      <c r="J190" s="50"/>
    </row>
    <row r="191" spans="1:16" ht="16.5">
      <c r="A191" s="52" t="s">
        <v>245</v>
      </c>
      <c r="G191" s="52"/>
      <c r="I191" s="52" t="s">
        <v>571</v>
      </c>
      <c r="O191" s="52"/>
    </row>
    <row r="192" spans="1:16" ht="15.75">
      <c r="A192" s="53" t="s">
        <v>92</v>
      </c>
      <c r="G192" s="53"/>
      <c r="I192" s="53" t="s">
        <v>2139</v>
      </c>
      <c r="O192" s="53"/>
    </row>
    <row r="193" spans="1:18" ht="14.25" customHeight="1">
      <c r="A193" s="894" t="s">
        <v>255</v>
      </c>
      <c r="B193" s="894"/>
      <c r="C193" s="894"/>
      <c r="D193" s="894"/>
      <c r="E193" s="894"/>
      <c r="F193" s="894"/>
      <c r="G193" s="894"/>
      <c r="H193" s="894"/>
      <c r="I193" s="894" t="s">
        <v>212</v>
      </c>
      <c r="J193" s="894"/>
      <c r="K193" s="894"/>
      <c r="L193" s="894"/>
      <c r="M193" s="894"/>
      <c r="N193" s="894"/>
      <c r="O193" s="894"/>
      <c r="P193" s="894"/>
    </row>
    <row r="194" spans="1:18" ht="12" customHeight="1" thickBot="1"/>
    <row r="195" spans="1:18">
      <c r="A195" s="895" t="s">
        <v>94</v>
      </c>
      <c r="B195" s="897" t="s">
        <v>95</v>
      </c>
      <c r="C195" s="897" t="s">
        <v>96</v>
      </c>
      <c r="D195" s="897" t="s">
        <v>3</v>
      </c>
      <c r="E195" s="897" t="s">
        <v>97</v>
      </c>
      <c r="F195" s="897" t="s">
        <v>98</v>
      </c>
      <c r="G195" s="897" t="s">
        <v>99</v>
      </c>
      <c r="H195" s="899"/>
      <c r="I195" s="895" t="s">
        <v>94</v>
      </c>
      <c r="J195" s="897" t="s">
        <v>95</v>
      </c>
      <c r="K195" s="897" t="s">
        <v>96</v>
      </c>
      <c r="L195" s="897" t="s">
        <v>3</v>
      </c>
      <c r="M195" s="897" t="s">
        <v>97</v>
      </c>
      <c r="N195" s="897" t="s">
        <v>98</v>
      </c>
      <c r="O195" s="897" t="s">
        <v>99</v>
      </c>
      <c r="P195" s="899"/>
    </row>
    <row r="196" spans="1:18" ht="15.75" thickBot="1">
      <c r="A196" s="896"/>
      <c r="B196" s="898"/>
      <c r="C196" s="898"/>
      <c r="D196" s="898"/>
      <c r="E196" s="898"/>
      <c r="F196" s="898"/>
      <c r="G196" s="240" t="s">
        <v>100</v>
      </c>
      <c r="H196" s="182" t="s">
        <v>101</v>
      </c>
      <c r="I196" s="896"/>
      <c r="J196" s="898"/>
      <c r="K196" s="898"/>
      <c r="L196" s="898"/>
      <c r="M196" s="898"/>
      <c r="N196" s="898"/>
      <c r="O196" s="240" t="s">
        <v>100</v>
      </c>
      <c r="P196" s="182" t="s">
        <v>101</v>
      </c>
    </row>
    <row r="197" spans="1:18" ht="12.75" customHeight="1">
      <c r="A197" s="881" t="e">
        <f>+#REF!+1</f>
        <v>#REF!</v>
      </c>
      <c r="B197" s="875">
        <v>42243</v>
      </c>
      <c r="C197" s="942" t="s">
        <v>31</v>
      </c>
      <c r="D197" s="881" t="s">
        <v>246</v>
      </c>
      <c r="E197" s="881" t="s">
        <v>115</v>
      </c>
      <c r="F197" s="883">
        <v>120000</v>
      </c>
      <c r="G197" s="55">
        <v>719</v>
      </c>
      <c r="H197" s="78">
        <v>120000</v>
      </c>
      <c r="I197" s="873" t="s">
        <v>580</v>
      </c>
      <c r="J197" s="875">
        <v>44567</v>
      </c>
      <c r="K197" s="877" t="s">
        <v>889</v>
      </c>
      <c r="L197" s="881" t="s">
        <v>2144</v>
      </c>
      <c r="M197" s="881" t="s">
        <v>145</v>
      </c>
      <c r="N197" s="883">
        <v>1950000</v>
      </c>
      <c r="O197" s="55">
        <v>719</v>
      </c>
      <c r="P197" s="78"/>
    </row>
    <row r="198" spans="1:18" ht="12.75" customHeight="1" thickBot="1">
      <c r="A198" s="882"/>
      <c r="B198" s="934"/>
      <c r="C198" s="943"/>
      <c r="D198" s="882"/>
      <c r="E198" s="882"/>
      <c r="F198" s="884"/>
      <c r="G198" s="56">
        <v>721</v>
      </c>
      <c r="H198" s="79">
        <f>+F197-H197</f>
        <v>0</v>
      </c>
      <c r="I198" s="874"/>
      <c r="J198" s="876"/>
      <c r="K198" s="878"/>
      <c r="L198" s="882"/>
      <c r="M198" s="882"/>
      <c r="N198" s="884"/>
      <c r="O198" s="56">
        <v>723</v>
      </c>
      <c r="P198" s="79">
        <f>+N197</f>
        <v>1950000</v>
      </c>
    </row>
    <row r="199" spans="1:18" ht="12.75" customHeight="1">
      <c r="A199" s="881" t="e">
        <f>+A197+1</f>
        <v>#REF!</v>
      </c>
      <c r="B199" s="875">
        <v>42243</v>
      </c>
      <c r="C199" s="935" t="s">
        <v>28</v>
      </c>
      <c r="D199" s="881" t="s">
        <v>247</v>
      </c>
      <c r="E199" s="881" t="s">
        <v>115</v>
      </c>
      <c r="F199" s="883">
        <v>50000</v>
      </c>
      <c r="G199" s="55">
        <v>719</v>
      </c>
      <c r="H199" s="78">
        <v>50000</v>
      </c>
      <c r="I199" s="873" t="s">
        <v>581</v>
      </c>
      <c r="J199" s="875">
        <v>44567</v>
      </c>
      <c r="K199" s="944" t="s">
        <v>1896</v>
      </c>
      <c r="L199" s="881" t="s">
        <v>2144</v>
      </c>
      <c r="M199" s="881" t="s">
        <v>145</v>
      </c>
      <c r="N199" s="946">
        <v>2200000</v>
      </c>
      <c r="O199" s="55">
        <v>719</v>
      </c>
      <c r="P199" s="78"/>
    </row>
    <row r="200" spans="1:18" ht="12.75" customHeight="1" thickBot="1">
      <c r="A200" s="882"/>
      <c r="B200" s="934"/>
      <c r="C200" s="936"/>
      <c r="D200" s="882"/>
      <c r="E200" s="882"/>
      <c r="F200" s="884"/>
      <c r="G200" s="56">
        <v>721</v>
      </c>
      <c r="H200" s="79"/>
      <c r="I200" s="874"/>
      <c r="J200" s="876"/>
      <c r="K200" s="945"/>
      <c r="L200" s="882"/>
      <c r="M200" s="882"/>
      <c r="N200" s="947"/>
      <c r="O200" s="56">
        <v>723</v>
      </c>
      <c r="P200" s="79">
        <f>+N199</f>
        <v>2200000</v>
      </c>
    </row>
    <row r="201" spans="1:18" ht="12" customHeight="1" thickBot="1">
      <c r="A201" s="881" t="e">
        <f>+A199+1</f>
        <v>#REF!</v>
      </c>
      <c r="B201" s="875">
        <v>42243</v>
      </c>
      <c r="C201" s="877" t="s">
        <v>250</v>
      </c>
      <c r="D201" s="877" t="s">
        <v>248</v>
      </c>
      <c r="E201" s="881" t="s">
        <v>145</v>
      </c>
      <c r="F201" s="883">
        <v>4280256</v>
      </c>
      <c r="G201" s="55">
        <v>719</v>
      </c>
      <c r="H201" s="78"/>
      <c r="I201" s="873" t="s">
        <v>582</v>
      </c>
      <c r="J201" s="875">
        <v>44567</v>
      </c>
      <c r="K201" s="877" t="s">
        <v>2145</v>
      </c>
      <c r="L201" s="881" t="s">
        <v>2144</v>
      </c>
      <c r="M201" s="881" t="s">
        <v>1908</v>
      </c>
      <c r="N201" s="883">
        <v>2400000</v>
      </c>
      <c r="O201" s="55">
        <v>719</v>
      </c>
      <c r="P201" s="78"/>
      <c r="Q201" s="51" t="s">
        <v>2146</v>
      </c>
    </row>
    <row r="202" spans="1:18" ht="15" customHeight="1" thickBot="1">
      <c r="A202" s="882"/>
      <c r="B202" s="934"/>
      <c r="C202" s="878"/>
      <c r="D202" s="878"/>
      <c r="E202" s="882"/>
      <c r="F202" s="884"/>
      <c r="G202" s="56">
        <v>722</v>
      </c>
      <c r="H202" s="79">
        <f>+F201-H201</f>
        <v>4280256</v>
      </c>
      <c r="I202" s="874"/>
      <c r="J202" s="876"/>
      <c r="K202" s="878"/>
      <c r="L202" s="882"/>
      <c r="M202" s="882"/>
      <c r="N202" s="884"/>
      <c r="O202" s="56">
        <v>723</v>
      </c>
      <c r="P202" s="79">
        <f>+N201</f>
        <v>2400000</v>
      </c>
      <c r="R202" s="877" t="s">
        <v>2047</v>
      </c>
    </row>
    <row r="203" spans="1:18" ht="12" customHeight="1" thickBot="1">
      <c r="A203" s="881" t="e">
        <f>+A201+1</f>
        <v>#REF!</v>
      </c>
      <c r="B203" s="875">
        <v>42243</v>
      </c>
      <c r="C203" s="877" t="s">
        <v>249</v>
      </c>
      <c r="D203" s="877" t="s">
        <v>248</v>
      </c>
      <c r="E203" s="881" t="s">
        <v>145</v>
      </c>
      <c r="F203" s="883">
        <v>2140128</v>
      </c>
      <c r="G203" s="55">
        <v>719</v>
      </c>
      <c r="H203" s="78"/>
      <c r="I203" s="873" t="s">
        <v>583</v>
      </c>
      <c r="J203" s="875">
        <v>44567</v>
      </c>
      <c r="K203" s="905" t="s">
        <v>2038</v>
      </c>
      <c r="L203" s="881" t="s">
        <v>2144</v>
      </c>
      <c r="M203" s="881" t="s">
        <v>145</v>
      </c>
      <c r="N203" s="883">
        <v>3600000</v>
      </c>
      <c r="O203" s="55">
        <v>719</v>
      </c>
      <c r="P203" s="78"/>
      <c r="R203" s="878"/>
    </row>
    <row r="204" spans="1:18" ht="15" customHeight="1" thickBot="1">
      <c r="A204" s="882"/>
      <c r="B204" s="934"/>
      <c r="C204" s="878"/>
      <c r="D204" s="878"/>
      <c r="E204" s="882"/>
      <c r="F204" s="884"/>
      <c r="G204" s="56">
        <v>722</v>
      </c>
      <c r="H204" s="79">
        <f>+F203-H203</f>
        <v>2140128</v>
      </c>
      <c r="I204" s="874"/>
      <c r="J204" s="876"/>
      <c r="K204" s="906"/>
      <c r="L204" s="882"/>
      <c r="M204" s="882"/>
      <c r="N204" s="884"/>
      <c r="O204" s="56">
        <v>723</v>
      </c>
      <c r="P204" s="79">
        <f>+N203</f>
        <v>3600000</v>
      </c>
    </row>
    <row r="205" spans="1:18" ht="13.5" customHeight="1">
      <c r="A205" s="881"/>
      <c r="B205" s="875"/>
      <c r="C205" s="935"/>
      <c r="D205" s="877"/>
      <c r="E205" s="881"/>
      <c r="F205" s="883"/>
      <c r="G205" s="55">
        <v>719</v>
      </c>
      <c r="H205" s="78"/>
      <c r="I205" s="873" t="s">
        <v>591</v>
      </c>
      <c r="J205" s="875">
        <v>44567</v>
      </c>
      <c r="K205" s="877" t="s">
        <v>2039</v>
      </c>
      <c r="L205" s="881" t="s">
        <v>2144</v>
      </c>
      <c r="M205" s="881" t="s">
        <v>148</v>
      </c>
      <c r="N205" s="883">
        <v>1463000</v>
      </c>
      <c r="O205" s="55">
        <v>719</v>
      </c>
      <c r="P205" s="78"/>
    </row>
    <row r="206" spans="1:18" ht="12.75" customHeight="1" thickBot="1">
      <c r="A206" s="882"/>
      <c r="B206" s="934"/>
      <c r="C206" s="936"/>
      <c r="D206" s="878"/>
      <c r="E206" s="882"/>
      <c r="F206" s="884"/>
      <c r="G206" s="56">
        <v>721</v>
      </c>
      <c r="H206" s="79">
        <f>+F205-H205</f>
        <v>0</v>
      </c>
      <c r="I206" s="874"/>
      <c r="J206" s="876"/>
      <c r="K206" s="878"/>
      <c r="L206" s="882"/>
      <c r="M206" s="882"/>
      <c r="N206" s="884"/>
      <c r="O206" s="56">
        <v>723</v>
      </c>
      <c r="P206" s="79">
        <f>+N205</f>
        <v>1463000</v>
      </c>
    </row>
    <row r="207" spans="1:18" ht="15" customHeight="1" thickBot="1">
      <c r="A207" s="901" t="s">
        <v>102</v>
      </c>
      <c r="B207" s="902"/>
      <c r="C207" s="902"/>
      <c r="D207" s="902"/>
      <c r="E207" s="903"/>
      <c r="F207" s="81">
        <f>SUM(F197:F206)</f>
        <v>6590384</v>
      </c>
      <c r="I207" s="901" t="s">
        <v>102</v>
      </c>
      <c r="J207" s="902"/>
      <c r="K207" s="902"/>
      <c r="L207" s="902"/>
      <c r="M207" s="903"/>
      <c r="N207" s="81">
        <f>SUM(N197:N206)</f>
        <v>11613000</v>
      </c>
    </row>
    <row r="208" spans="1:18" ht="15.75" customHeight="1" thickBot="1">
      <c r="A208" s="885" t="s">
        <v>103</v>
      </c>
      <c r="B208" s="886"/>
      <c r="C208" s="886"/>
      <c r="D208" s="886"/>
      <c r="E208" s="887"/>
      <c r="F208" s="69">
        <f>+F172</f>
        <v>613795841</v>
      </c>
      <c r="I208" s="885" t="s">
        <v>103</v>
      </c>
      <c r="J208" s="886"/>
      <c r="K208" s="886"/>
      <c r="L208" s="886"/>
      <c r="M208" s="887"/>
      <c r="N208" s="239">
        <f>+N172</f>
        <v>249415728</v>
      </c>
      <c r="O208" s="241" t="s">
        <v>561</v>
      </c>
      <c r="P208" s="242"/>
    </row>
    <row r="209" spans="1:16" ht="14.25" customHeight="1" thickBot="1">
      <c r="A209" s="888" t="s">
        <v>104</v>
      </c>
      <c r="B209" s="889"/>
      <c r="C209" s="889"/>
      <c r="D209" s="889"/>
      <c r="E209" s="890"/>
      <c r="F209" s="183">
        <f>SUM(F207:F208)</f>
        <v>620386225</v>
      </c>
      <c r="I209" s="888" t="s">
        <v>104</v>
      </c>
      <c r="J209" s="889"/>
      <c r="K209" s="889"/>
      <c r="L209" s="889"/>
      <c r="M209" s="890"/>
      <c r="N209" s="183">
        <f>SUM(N207:N208)</f>
        <v>261028728</v>
      </c>
    </row>
    <row r="210" spans="1:16" ht="7.5" customHeight="1">
      <c r="A210" s="61"/>
      <c r="B210" s="61"/>
      <c r="C210" s="61"/>
      <c r="D210" s="61"/>
      <c r="E210" s="61"/>
      <c r="I210" s="61"/>
      <c r="J210" s="61"/>
      <c r="K210" s="61"/>
      <c r="L210" s="61"/>
      <c r="M210" s="61"/>
    </row>
    <row r="211" spans="1:16">
      <c r="A211" s="51" t="s">
        <v>254</v>
      </c>
      <c r="I211" s="51" t="s">
        <v>2040</v>
      </c>
    </row>
    <row r="212" spans="1:16" ht="4.5" customHeight="1">
      <c r="F212" s="139"/>
      <c r="N212" s="139"/>
    </row>
    <row r="213" spans="1:16" ht="12.75" customHeight="1">
      <c r="A213" s="50" t="s">
        <v>105</v>
      </c>
      <c r="D213" s="146"/>
      <c r="F213" s="139"/>
      <c r="I213" s="50" t="s">
        <v>105</v>
      </c>
      <c r="L213" s="146"/>
      <c r="N213" s="139"/>
    </row>
    <row r="214" spans="1:16" ht="11.25" customHeight="1" thickBot="1"/>
    <row r="215" spans="1:16" ht="17.25" thickBot="1">
      <c r="A215" s="891" t="s">
        <v>106</v>
      </c>
      <c r="B215" s="892"/>
      <c r="C215" s="892"/>
      <c r="D215" s="893"/>
      <c r="F215" s="50" t="s">
        <v>107</v>
      </c>
      <c r="I215" s="891" t="s">
        <v>106</v>
      </c>
      <c r="J215" s="892"/>
      <c r="K215" s="892"/>
      <c r="L215" s="893"/>
      <c r="N215" s="604" t="s">
        <v>288</v>
      </c>
      <c r="O215" s="604"/>
      <c r="P215" s="604"/>
    </row>
    <row r="216" spans="1:16" ht="30" customHeight="1" thickBot="1">
      <c r="A216" s="57" t="s">
        <v>100</v>
      </c>
      <c r="B216" s="58" t="s">
        <v>108</v>
      </c>
      <c r="C216" s="59" t="s">
        <v>109</v>
      </c>
      <c r="D216" s="60" t="s">
        <v>110</v>
      </c>
      <c r="I216" s="57" t="s">
        <v>100</v>
      </c>
      <c r="J216" s="58" t="s">
        <v>108</v>
      </c>
      <c r="K216" s="473" t="s">
        <v>109</v>
      </c>
      <c r="L216" s="60" t="s">
        <v>110</v>
      </c>
      <c r="N216" s="12"/>
      <c r="O216" s="12"/>
      <c r="P216" s="12"/>
    </row>
    <row r="217" spans="1:16" ht="14.25" customHeight="1">
      <c r="A217" s="71">
        <v>719</v>
      </c>
      <c r="B217" s="73">
        <f>+H197+H199</f>
        <v>170000</v>
      </c>
      <c r="C217" s="74" t="e">
        <f>+D180</f>
        <v>#REF!</v>
      </c>
      <c r="D217" s="76" t="e">
        <f>+B217+C217</f>
        <v>#REF!</v>
      </c>
      <c r="I217" s="71">
        <v>719</v>
      </c>
      <c r="J217" s="73"/>
      <c r="K217" s="74">
        <f>+L180</f>
        <v>0</v>
      </c>
      <c r="L217" s="195">
        <f>+J217+K217</f>
        <v>0</v>
      </c>
      <c r="N217" s="12"/>
      <c r="O217" s="12"/>
      <c r="P217" s="12"/>
    </row>
    <row r="218" spans="1:16" ht="15" customHeight="1">
      <c r="A218" s="72">
        <v>721</v>
      </c>
      <c r="B218" s="80"/>
      <c r="C218" s="74" t="e">
        <f>+D181</f>
        <v>#REF!</v>
      </c>
      <c r="D218" s="76" t="e">
        <f>+B218+C218</f>
        <v>#REF!</v>
      </c>
      <c r="I218" s="72">
        <v>721</v>
      </c>
      <c r="J218" s="80"/>
      <c r="K218" s="74">
        <f>+L181</f>
        <v>0</v>
      </c>
      <c r="L218" s="195">
        <f>+J218+K218</f>
        <v>0</v>
      </c>
      <c r="N218" s="12"/>
      <c r="O218" s="12"/>
      <c r="P218" s="12"/>
    </row>
    <row r="219" spans="1:16" ht="12.75" customHeight="1">
      <c r="A219" s="72">
        <v>722</v>
      </c>
      <c r="B219" s="80">
        <f>+H202+H204</f>
        <v>6420384</v>
      </c>
      <c r="C219" s="74">
        <f>+D182</f>
        <v>224787287</v>
      </c>
      <c r="D219" s="76">
        <f>+B219+C219</f>
        <v>231207671</v>
      </c>
      <c r="I219" s="72">
        <v>722</v>
      </c>
      <c r="J219" s="80"/>
      <c r="K219" s="74">
        <f>+L182</f>
        <v>0</v>
      </c>
      <c r="L219" s="195">
        <f>+J219+K219</f>
        <v>0</v>
      </c>
      <c r="N219" s="12"/>
      <c r="O219" s="12"/>
      <c r="P219" s="12"/>
    </row>
    <row r="220" spans="1:16" ht="13.5" customHeight="1" thickBot="1">
      <c r="A220" s="72">
        <v>723</v>
      </c>
      <c r="B220" s="80"/>
      <c r="C220" s="74">
        <f>+D183</f>
        <v>319828837</v>
      </c>
      <c r="D220" s="76">
        <f>+B220+C220</f>
        <v>319828837</v>
      </c>
      <c r="F220" s="174" t="s">
        <v>23</v>
      </c>
      <c r="G220" s="175"/>
      <c r="I220" s="72">
        <v>723</v>
      </c>
      <c r="J220" s="80">
        <f>+P198+P200+P202+P204+P206</f>
        <v>11613000</v>
      </c>
      <c r="K220" s="74">
        <f>+L183</f>
        <v>249415728</v>
      </c>
      <c r="L220" s="195">
        <f>+J220+K220</f>
        <v>261028728</v>
      </c>
      <c r="N220" s="956" t="s">
        <v>2147</v>
      </c>
      <c r="O220" s="956"/>
      <c r="P220" s="956"/>
    </row>
    <row r="221" spans="1:16" ht="13.5" hidden="1" customHeight="1">
      <c r="A221" s="164" t="s">
        <v>181</v>
      </c>
      <c r="B221" s="165"/>
      <c r="C221" s="74">
        <f>+D184</f>
        <v>1965625</v>
      </c>
      <c r="D221" s="168">
        <f>+B221+C221</f>
        <v>1965625</v>
      </c>
      <c r="F221" s="52"/>
      <c r="I221" s="164" t="s">
        <v>181</v>
      </c>
      <c r="J221" s="165"/>
      <c r="K221" s="74">
        <f>+L184</f>
        <v>0</v>
      </c>
      <c r="L221" s="196">
        <f>+J221+K221</f>
        <v>0</v>
      </c>
      <c r="N221" s="52"/>
    </row>
    <row r="222" spans="1:16" ht="15" customHeight="1" thickBot="1">
      <c r="A222" s="169"/>
      <c r="B222" s="170">
        <f>SUM(B217:B221)</f>
        <v>6590384</v>
      </c>
      <c r="C222" s="171" t="e">
        <f>SUM(C217:C221)</f>
        <v>#REF!</v>
      </c>
      <c r="D222" s="172" t="e">
        <f>SUM(D217:D221)</f>
        <v>#REF!</v>
      </c>
      <c r="I222" s="169"/>
      <c r="J222" s="197">
        <f>SUM(J217:J221)</f>
        <v>11613000</v>
      </c>
      <c r="K222" s="197">
        <f>SUM(K217:K221)</f>
        <v>249415728</v>
      </c>
      <c r="L222" s="198">
        <f>SUM(L217:L221)</f>
        <v>261028728</v>
      </c>
    </row>
    <row r="223" spans="1:16" ht="15.75" customHeight="1">
      <c r="A223" s="49" t="s">
        <v>88</v>
      </c>
      <c r="B223" s="50"/>
      <c r="I223" s="49" t="s">
        <v>88</v>
      </c>
      <c r="J223" s="50"/>
    </row>
    <row r="224" spans="1:16" ht="12" customHeight="1">
      <c r="A224" s="51" t="s">
        <v>89</v>
      </c>
      <c r="I224" s="51" t="s">
        <v>89</v>
      </c>
    </row>
    <row r="225" spans="1:16" ht="12" customHeight="1">
      <c r="A225" s="51" t="s">
        <v>90</v>
      </c>
      <c r="I225" s="51" t="s">
        <v>90</v>
      </c>
    </row>
    <row r="226" spans="1:16" ht="11.25" customHeight="1">
      <c r="A226" s="51" t="s">
        <v>91</v>
      </c>
      <c r="I226" s="51" t="s">
        <v>91</v>
      </c>
    </row>
    <row r="227" spans="1:16" ht="4.5" customHeight="1">
      <c r="A227" s="50"/>
      <c r="B227" s="50"/>
      <c r="I227" s="50"/>
      <c r="J227" s="50"/>
    </row>
    <row r="228" spans="1:16" ht="12.75" customHeight="1">
      <c r="A228" s="52" t="s">
        <v>256</v>
      </c>
      <c r="G228" s="52"/>
      <c r="I228" s="52" t="s">
        <v>1641</v>
      </c>
      <c r="J228" s="243"/>
      <c r="O228" s="52"/>
    </row>
    <row r="229" spans="1:16" ht="15.75">
      <c r="A229" s="53" t="s">
        <v>92</v>
      </c>
      <c r="G229" s="53"/>
      <c r="I229" s="53" t="s">
        <v>2139</v>
      </c>
      <c r="O229" s="53"/>
    </row>
    <row r="230" spans="1:16" ht="13.5" customHeight="1">
      <c r="A230" s="894" t="s">
        <v>261</v>
      </c>
      <c r="B230" s="894"/>
      <c r="C230" s="894"/>
      <c r="D230" s="894"/>
      <c r="E230" s="894"/>
      <c r="F230" s="894"/>
      <c r="G230" s="894"/>
      <c r="H230" s="894"/>
      <c r="I230" s="894" t="s">
        <v>212</v>
      </c>
      <c r="J230" s="894"/>
      <c r="K230" s="894"/>
      <c r="L230" s="894"/>
      <c r="M230" s="894"/>
      <c r="N230" s="894"/>
      <c r="O230" s="894"/>
      <c r="P230" s="894"/>
    </row>
    <row r="231" spans="1:16" ht="8.25" customHeight="1" thickBot="1"/>
    <row r="232" spans="1:16">
      <c r="A232" s="895" t="s">
        <v>94</v>
      </c>
      <c r="B232" s="897" t="s">
        <v>95</v>
      </c>
      <c r="C232" s="897" t="s">
        <v>96</v>
      </c>
      <c r="D232" s="897" t="s">
        <v>3</v>
      </c>
      <c r="E232" s="897" t="s">
        <v>97</v>
      </c>
      <c r="F232" s="897" t="s">
        <v>98</v>
      </c>
      <c r="G232" s="897" t="s">
        <v>99</v>
      </c>
      <c r="H232" s="899"/>
      <c r="I232" s="895" t="s">
        <v>94</v>
      </c>
      <c r="J232" s="897" t="s">
        <v>95</v>
      </c>
      <c r="K232" s="897" t="s">
        <v>96</v>
      </c>
      <c r="L232" s="897" t="s">
        <v>3</v>
      </c>
      <c r="M232" s="897" t="s">
        <v>97</v>
      </c>
      <c r="N232" s="897" t="s">
        <v>98</v>
      </c>
      <c r="O232" s="897" t="s">
        <v>99</v>
      </c>
      <c r="P232" s="899"/>
    </row>
    <row r="233" spans="1:16" ht="15.75" thickBot="1">
      <c r="A233" s="896"/>
      <c r="B233" s="898"/>
      <c r="C233" s="898"/>
      <c r="D233" s="898"/>
      <c r="E233" s="898"/>
      <c r="F233" s="898"/>
      <c r="G233" s="240" t="s">
        <v>100</v>
      </c>
      <c r="H233" s="182" t="s">
        <v>101</v>
      </c>
      <c r="I233" s="896"/>
      <c r="J233" s="898"/>
      <c r="K233" s="898"/>
      <c r="L233" s="898"/>
      <c r="M233" s="898"/>
      <c r="N233" s="898"/>
      <c r="O233" s="240" t="s">
        <v>100</v>
      </c>
      <c r="P233" s="182" t="s">
        <v>101</v>
      </c>
    </row>
    <row r="234" spans="1:16" ht="13.5" customHeight="1">
      <c r="A234" s="881" t="e">
        <f>+A203+1</f>
        <v>#REF!</v>
      </c>
      <c r="B234" s="875">
        <v>42252</v>
      </c>
      <c r="C234" s="942" t="s">
        <v>31</v>
      </c>
      <c r="D234" s="881" t="s">
        <v>257</v>
      </c>
      <c r="E234" s="881" t="s">
        <v>115</v>
      </c>
      <c r="F234" s="883">
        <v>90000</v>
      </c>
      <c r="G234" s="55">
        <v>719</v>
      </c>
      <c r="H234" s="78">
        <v>90000</v>
      </c>
      <c r="I234" s="873" t="s">
        <v>592</v>
      </c>
      <c r="J234" s="875">
        <v>44567</v>
      </c>
      <c r="K234" s="877" t="s">
        <v>678</v>
      </c>
      <c r="L234" s="881" t="s">
        <v>2144</v>
      </c>
      <c r="M234" s="881" t="s">
        <v>148</v>
      </c>
      <c r="N234" s="883">
        <v>1260000</v>
      </c>
      <c r="O234" s="55">
        <v>719</v>
      </c>
      <c r="P234" s="78"/>
    </row>
    <row r="235" spans="1:16" ht="14.25" customHeight="1" thickBot="1">
      <c r="A235" s="882"/>
      <c r="B235" s="934"/>
      <c r="C235" s="943"/>
      <c r="D235" s="882"/>
      <c r="E235" s="882"/>
      <c r="F235" s="884"/>
      <c r="G235" s="56">
        <v>721</v>
      </c>
      <c r="H235" s="79">
        <f>+F234-H234</f>
        <v>0</v>
      </c>
      <c r="I235" s="882"/>
      <c r="J235" s="876"/>
      <c r="K235" s="878"/>
      <c r="L235" s="882"/>
      <c r="M235" s="882"/>
      <c r="N235" s="884"/>
      <c r="O235" s="56">
        <v>723</v>
      </c>
      <c r="P235" s="79">
        <f>+N234</f>
        <v>1260000</v>
      </c>
    </row>
    <row r="236" spans="1:16" ht="12.75" customHeight="1">
      <c r="A236" s="881" t="e">
        <f>+A234+1</f>
        <v>#REF!</v>
      </c>
      <c r="B236" s="875">
        <v>42252</v>
      </c>
      <c r="C236" s="935" t="s">
        <v>28</v>
      </c>
      <c r="D236" s="881" t="s">
        <v>258</v>
      </c>
      <c r="E236" s="881" t="s">
        <v>115</v>
      </c>
      <c r="F236" s="883">
        <v>40000</v>
      </c>
      <c r="G236" s="55">
        <v>719</v>
      </c>
      <c r="H236" s="78">
        <f>+F236</f>
        <v>40000</v>
      </c>
      <c r="I236" s="873" t="s">
        <v>593</v>
      </c>
      <c r="J236" s="875">
        <v>44567</v>
      </c>
      <c r="K236" s="877" t="s">
        <v>1896</v>
      </c>
      <c r="L236" s="881" t="s">
        <v>2144</v>
      </c>
      <c r="M236" s="881" t="s">
        <v>148</v>
      </c>
      <c r="N236" s="883">
        <v>600000</v>
      </c>
      <c r="O236" s="55">
        <v>719</v>
      </c>
      <c r="P236" s="78"/>
    </row>
    <row r="237" spans="1:16" ht="13.5" customHeight="1" thickBot="1">
      <c r="A237" s="882"/>
      <c r="B237" s="934"/>
      <c r="C237" s="936"/>
      <c r="D237" s="882"/>
      <c r="E237" s="882"/>
      <c r="F237" s="884"/>
      <c r="G237" s="56">
        <v>721</v>
      </c>
      <c r="H237" s="79"/>
      <c r="I237" s="882"/>
      <c r="J237" s="876"/>
      <c r="K237" s="878"/>
      <c r="L237" s="882"/>
      <c r="M237" s="882"/>
      <c r="N237" s="884"/>
      <c r="O237" s="56">
        <v>723</v>
      </c>
      <c r="P237" s="79">
        <f>+N236</f>
        <v>600000</v>
      </c>
    </row>
    <row r="238" spans="1:16" ht="12.75" customHeight="1">
      <c r="A238" s="881" t="e">
        <f>+A236+1</f>
        <v>#REF!</v>
      </c>
      <c r="B238" s="875">
        <v>42252</v>
      </c>
      <c r="C238" s="877" t="s">
        <v>32</v>
      </c>
      <c r="D238" s="881" t="s">
        <v>259</v>
      </c>
      <c r="E238" s="881" t="s">
        <v>115</v>
      </c>
      <c r="F238" s="883">
        <v>80000</v>
      </c>
      <c r="G238" s="55">
        <v>719</v>
      </c>
      <c r="H238" s="78">
        <v>80000</v>
      </c>
      <c r="I238" s="873" t="s">
        <v>594</v>
      </c>
      <c r="J238" s="875">
        <v>44567</v>
      </c>
      <c r="K238" s="877" t="s">
        <v>2058</v>
      </c>
      <c r="L238" s="881" t="s">
        <v>2144</v>
      </c>
      <c r="M238" s="881" t="s">
        <v>148</v>
      </c>
      <c r="N238" s="883">
        <v>1800000</v>
      </c>
      <c r="O238" s="55">
        <v>719</v>
      </c>
      <c r="P238" s="78"/>
    </row>
    <row r="239" spans="1:16" ht="13.5" customHeight="1" thickBot="1">
      <c r="A239" s="882"/>
      <c r="B239" s="934"/>
      <c r="C239" s="878"/>
      <c r="D239" s="882"/>
      <c r="E239" s="882"/>
      <c r="F239" s="884"/>
      <c r="G239" s="56">
        <v>721</v>
      </c>
      <c r="H239" s="79">
        <f>+F238-H238</f>
        <v>0</v>
      </c>
      <c r="I239" s="882"/>
      <c r="J239" s="876"/>
      <c r="K239" s="878"/>
      <c r="L239" s="882"/>
      <c r="M239" s="882"/>
      <c r="N239" s="884"/>
      <c r="O239" s="56">
        <v>723</v>
      </c>
      <c r="P239" s="79">
        <f>+N238-P238</f>
        <v>1800000</v>
      </c>
    </row>
    <row r="240" spans="1:16" ht="13.5" customHeight="1">
      <c r="A240" s="251"/>
      <c r="B240" s="452"/>
      <c r="C240" s="253"/>
      <c r="D240" s="251"/>
      <c r="E240" s="251"/>
      <c r="F240" s="254"/>
      <c r="G240" s="255"/>
      <c r="H240" s="256"/>
      <c r="I240" s="873" t="s">
        <v>599</v>
      </c>
      <c r="J240" s="875">
        <v>44567</v>
      </c>
      <c r="K240" s="877" t="s">
        <v>2025</v>
      </c>
      <c r="L240" s="881" t="s">
        <v>2144</v>
      </c>
      <c r="M240" s="881" t="s">
        <v>1946</v>
      </c>
      <c r="N240" s="883">
        <v>600000</v>
      </c>
      <c r="O240" s="55">
        <v>719</v>
      </c>
      <c r="P240" s="78"/>
    </row>
    <row r="241" spans="1:16" ht="13.5" customHeight="1" thickBot="1">
      <c r="A241" s="251"/>
      <c r="B241" s="452"/>
      <c r="C241" s="253"/>
      <c r="D241" s="251"/>
      <c r="E241" s="251"/>
      <c r="F241" s="254"/>
      <c r="G241" s="255"/>
      <c r="H241" s="256"/>
      <c r="I241" s="882"/>
      <c r="J241" s="876"/>
      <c r="K241" s="878"/>
      <c r="L241" s="882"/>
      <c r="M241" s="882"/>
      <c r="N241" s="884"/>
      <c r="O241" s="56">
        <v>723</v>
      </c>
      <c r="P241" s="79">
        <f>+N240-P240</f>
        <v>600000</v>
      </c>
    </row>
    <row r="242" spans="1:16" ht="13.5" customHeight="1">
      <c r="A242" s="881"/>
      <c r="B242" s="875"/>
      <c r="C242" s="877"/>
      <c r="D242" s="877"/>
      <c r="E242" s="881"/>
      <c r="F242" s="883"/>
      <c r="G242" s="55">
        <v>719</v>
      </c>
      <c r="H242" s="78"/>
      <c r="I242" s="873" t="s">
        <v>600</v>
      </c>
      <c r="J242" s="875">
        <v>44567</v>
      </c>
      <c r="K242" s="877" t="s">
        <v>679</v>
      </c>
      <c r="L242" s="881" t="s">
        <v>2144</v>
      </c>
      <c r="M242" s="881" t="s">
        <v>148</v>
      </c>
      <c r="N242" s="883">
        <v>945000</v>
      </c>
      <c r="O242" s="55">
        <v>719</v>
      </c>
      <c r="P242" s="78"/>
    </row>
    <row r="243" spans="1:16" ht="12.75" customHeight="1" thickBot="1">
      <c r="A243" s="882"/>
      <c r="B243" s="934"/>
      <c r="C243" s="878"/>
      <c r="D243" s="878"/>
      <c r="E243" s="882"/>
      <c r="F243" s="884"/>
      <c r="G243" s="56">
        <v>721</v>
      </c>
      <c r="H243" s="79">
        <f>+F242-H242</f>
        <v>0</v>
      </c>
      <c r="I243" s="882"/>
      <c r="J243" s="876"/>
      <c r="K243" s="878"/>
      <c r="L243" s="882"/>
      <c r="M243" s="882"/>
      <c r="N243" s="884"/>
      <c r="O243" s="56">
        <v>723</v>
      </c>
      <c r="P243" s="79">
        <f>+N242-P242</f>
        <v>945000</v>
      </c>
    </row>
    <row r="244" spans="1:16" ht="12.75" customHeight="1">
      <c r="A244" s="881"/>
      <c r="B244" s="875"/>
      <c r="C244" s="935"/>
      <c r="D244" s="877"/>
      <c r="E244" s="881"/>
      <c r="F244" s="883"/>
      <c r="G244" s="55">
        <v>719</v>
      </c>
      <c r="H244" s="78"/>
      <c r="I244" s="873" t="s">
        <v>601</v>
      </c>
      <c r="J244" s="875">
        <v>44567</v>
      </c>
      <c r="K244" s="877" t="s">
        <v>2163</v>
      </c>
      <c r="L244" s="881" t="s">
        <v>2144</v>
      </c>
      <c r="M244" s="881" t="s">
        <v>115</v>
      </c>
      <c r="N244" s="883">
        <v>3000000</v>
      </c>
      <c r="O244" s="55">
        <v>719</v>
      </c>
      <c r="P244" s="78"/>
    </row>
    <row r="245" spans="1:16" ht="13.5" customHeight="1" thickBot="1">
      <c r="A245" s="882"/>
      <c r="B245" s="934"/>
      <c r="C245" s="936"/>
      <c r="D245" s="878"/>
      <c r="E245" s="882"/>
      <c r="F245" s="884"/>
      <c r="G245" s="56">
        <v>721</v>
      </c>
      <c r="H245" s="79">
        <f>+F244-H244</f>
        <v>0</v>
      </c>
      <c r="I245" s="882"/>
      <c r="J245" s="876"/>
      <c r="K245" s="878"/>
      <c r="L245" s="882"/>
      <c r="M245" s="882"/>
      <c r="N245" s="884"/>
      <c r="O245" s="56">
        <v>723</v>
      </c>
      <c r="P245" s="79">
        <f>+N244-P244</f>
        <v>3000000</v>
      </c>
    </row>
    <row r="246" spans="1:16" ht="16.5" thickBot="1">
      <c r="A246" s="901" t="s">
        <v>102</v>
      </c>
      <c r="B246" s="902"/>
      <c r="C246" s="902"/>
      <c r="D246" s="902"/>
      <c r="E246" s="903"/>
      <c r="F246" s="81">
        <f>SUM(F234:F245)</f>
        <v>210000</v>
      </c>
      <c r="I246" s="901" t="s">
        <v>102</v>
      </c>
      <c r="J246" s="902"/>
      <c r="K246" s="902"/>
      <c r="L246" s="902"/>
      <c r="M246" s="903"/>
      <c r="N246" s="81">
        <f>SUM(N234:N245)</f>
        <v>8205000</v>
      </c>
    </row>
    <row r="247" spans="1:16" ht="14.25" customHeight="1" thickBot="1">
      <c r="A247" s="885" t="s">
        <v>103</v>
      </c>
      <c r="B247" s="886"/>
      <c r="C247" s="886"/>
      <c r="D247" s="886"/>
      <c r="E247" s="887"/>
      <c r="F247" s="69">
        <f>+F209</f>
        <v>620386225</v>
      </c>
      <c r="I247" s="885" t="s">
        <v>103</v>
      </c>
      <c r="J247" s="886"/>
      <c r="K247" s="886"/>
      <c r="L247" s="886"/>
      <c r="M247" s="887"/>
      <c r="N247" s="239">
        <f>+N209</f>
        <v>261028728</v>
      </c>
      <c r="O247" s="241" t="s">
        <v>561</v>
      </c>
      <c r="P247" s="242"/>
    </row>
    <row r="248" spans="1:16" ht="15" customHeight="1" thickBot="1">
      <c r="A248" s="888" t="s">
        <v>104</v>
      </c>
      <c r="B248" s="889"/>
      <c r="C248" s="889"/>
      <c r="D248" s="889"/>
      <c r="E248" s="890"/>
      <c r="F248" s="183">
        <f>SUM(F246:F247)</f>
        <v>620596225</v>
      </c>
      <c r="I248" s="888" t="s">
        <v>104</v>
      </c>
      <c r="J248" s="889"/>
      <c r="K248" s="889"/>
      <c r="L248" s="889"/>
      <c r="M248" s="890"/>
      <c r="N248" s="183">
        <f>SUM(N246:N247)</f>
        <v>269233728</v>
      </c>
    </row>
    <row r="249" spans="1:16" ht="7.5" customHeight="1">
      <c r="A249" s="61"/>
      <c r="B249" s="61"/>
      <c r="C249" s="61"/>
      <c r="D249" s="61"/>
      <c r="E249" s="61"/>
      <c r="I249" s="61"/>
      <c r="J249" s="61"/>
      <c r="K249" s="61"/>
      <c r="L249" s="61"/>
      <c r="M249" s="61"/>
    </row>
    <row r="250" spans="1:16">
      <c r="A250" s="51" t="s">
        <v>260</v>
      </c>
      <c r="I250" s="51" t="s">
        <v>2164</v>
      </c>
    </row>
    <row r="251" spans="1:16" ht="3.75" customHeight="1">
      <c r="F251" s="139"/>
      <c r="N251" s="139"/>
    </row>
    <row r="252" spans="1:16" ht="13.5" customHeight="1">
      <c r="A252" s="50" t="s">
        <v>105</v>
      </c>
      <c r="D252" s="146"/>
      <c r="F252" s="139"/>
      <c r="I252" s="50" t="s">
        <v>105</v>
      </c>
      <c r="L252" s="146"/>
      <c r="N252" s="139"/>
    </row>
    <row r="253" spans="1:16" ht="6.75" customHeight="1" thickBot="1"/>
    <row r="254" spans="1:16" ht="17.25" thickBot="1">
      <c r="A254" s="891" t="s">
        <v>106</v>
      </c>
      <c r="B254" s="892"/>
      <c r="C254" s="892"/>
      <c r="D254" s="893"/>
      <c r="F254" s="50" t="s">
        <v>263</v>
      </c>
      <c r="I254" s="891" t="s">
        <v>106</v>
      </c>
      <c r="J254" s="892"/>
      <c r="K254" s="892"/>
      <c r="L254" s="893"/>
      <c r="N254" s="604" t="s">
        <v>288</v>
      </c>
      <c r="O254" s="604"/>
      <c r="P254" s="604"/>
    </row>
    <row r="255" spans="1:16" ht="28.5" customHeight="1" thickBot="1">
      <c r="A255" s="57" t="s">
        <v>100</v>
      </c>
      <c r="B255" s="58" t="s">
        <v>108</v>
      </c>
      <c r="C255" s="59" t="s">
        <v>109</v>
      </c>
      <c r="D255" s="60" t="s">
        <v>110</v>
      </c>
      <c r="I255" s="57" t="s">
        <v>100</v>
      </c>
      <c r="J255" s="58" t="s">
        <v>108</v>
      </c>
      <c r="K255" s="263" t="s">
        <v>109</v>
      </c>
      <c r="L255" s="60" t="s">
        <v>110</v>
      </c>
      <c r="N255" s="12"/>
      <c r="O255" s="12"/>
      <c r="P255" s="12"/>
    </row>
    <row r="256" spans="1:16" ht="13.5" customHeight="1">
      <c r="A256" s="71">
        <v>719</v>
      </c>
      <c r="B256" s="73">
        <f>+H234+H236+H238</f>
        <v>210000</v>
      </c>
      <c r="C256" s="74" t="e">
        <f>+D217</f>
        <v>#REF!</v>
      </c>
      <c r="D256" s="76" t="e">
        <f>+B256+C256</f>
        <v>#REF!</v>
      </c>
      <c r="I256" s="71">
        <v>719</v>
      </c>
      <c r="J256" s="73">
        <f>+P234+P236+P238+P242+P244</f>
        <v>0</v>
      </c>
      <c r="K256" s="74">
        <f>+L217</f>
        <v>0</v>
      </c>
      <c r="L256" s="195">
        <f>+J256+K256</f>
        <v>0</v>
      </c>
      <c r="N256" s="12"/>
      <c r="O256" s="12"/>
      <c r="P256" s="12"/>
    </row>
    <row r="257" spans="1:16" ht="14.25" customHeight="1">
      <c r="A257" s="72">
        <v>721</v>
      </c>
      <c r="B257" s="80"/>
      <c r="C257" s="74" t="e">
        <f>+D218</f>
        <v>#REF!</v>
      </c>
      <c r="D257" s="76" t="e">
        <f>+B257+C257</f>
        <v>#REF!</v>
      </c>
      <c r="I257" s="72">
        <v>721</v>
      </c>
      <c r="J257" s="80">
        <v>0</v>
      </c>
      <c r="K257" s="74">
        <f>+L218</f>
        <v>0</v>
      </c>
      <c r="L257" s="195">
        <f>+J257+K257</f>
        <v>0</v>
      </c>
      <c r="N257" s="12"/>
      <c r="O257" s="12"/>
      <c r="P257" s="12"/>
    </row>
    <row r="258" spans="1:16" ht="12.75" customHeight="1">
      <c r="A258" s="72">
        <v>722</v>
      </c>
      <c r="B258" s="80"/>
      <c r="C258" s="74">
        <f>+D219</f>
        <v>231207671</v>
      </c>
      <c r="D258" s="76">
        <f>+B258+C258</f>
        <v>231207671</v>
      </c>
      <c r="I258" s="72">
        <v>722</v>
      </c>
      <c r="J258" s="80"/>
      <c r="K258" s="74">
        <f>+L219</f>
        <v>0</v>
      </c>
      <c r="L258" s="195">
        <f>+J258+K258</f>
        <v>0</v>
      </c>
      <c r="N258" s="12"/>
      <c r="O258" s="12"/>
      <c r="P258" s="12"/>
    </row>
    <row r="259" spans="1:16" ht="12.75" customHeight="1" thickBot="1">
      <c r="A259" s="72">
        <v>723</v>
      </c>
      <c r="B259" s="80"/>
      <c r="C259" s="74">
        <f>+D220</f>
        <v>319828837</v>
      </c>
      <c r="D259" s="76">
        <f>+B259+C259</f>
        <v>319828837</v>
      </c>
      <c r="F259" s="174" t="s">
        <v>262</v>
      </c>
      <c r="G259" s="175"/>
      <c r="I259" s="72">
        <v>723</v>
      </c>
      <c r="J259" s="80">
        <f>+P235+P237+P239+P243+P245+P241</f>
        <v>8205000</v>
      </c>
      <c r="K259" s="74">
        <f>+L220</f>
        <v>261028728</v>
      </c>
      <c r="L259" s="195">
        <f>+J259+K259</f>
        <v>269233728</v>
      </c>
      <c r="N259" s="956" t="s">
        <v>2147</v>
      </c>
      <c r="O259" s="956"/>
      <c r="P259" s="956"/>
    </row>
    <row r="260" spans="1:16" ht="13.5" hidden="1" customHeight="1">
      <c r="A260" s="164" t="s">
        <v>181</v>
      </c>
      <c r="B260" s="165"/>
      <c r="C260" s="74">
        <f>+D221</f>
        <v>1965625</v>
      </c>
      <c r="D260" s="168">
        <f>+B260+C260</f>
        <v>1965625</v>
      </c>
      <c r="F260" s="52"/>
      <c r="I260" s="164" t="s">
        <v>181</v>
      </c>
      <c r="J260" s="165"/>
      <c r="K260" s="74">
        <f>+L221</f>
        <v>0</v>
      </c>
      <c r="L260" s="196">
        <f>+J260+K260</f>
        <v>0</v>
      </c>
      <c r="N260" s="52"/>
    </row>
    <row r="261" spans="1:16" ht="15" customHeight="1" thickBot="1">
      <c r="A261" s="169"/>
      <c r="B261" s="170">
        <f>SUM(B256:B260)</f>
        <v>210000</v>
      </c>
      <c r="C261" s="171" t="e">
        <f>SUM(C256:C260)</f>
        <v>#REF!</v>
      </c>
      <c r="D261" s="172" t="e">
        <f>SUM(D256:D260)</f>
        <v>#REF!</v>
      </c>
      <c r="I261" s="169"/>
      <c r="J261" s="197">
        <f>SUM(J256:J260)</f>
        <v>8205000</v>
      </c>
      <c r="K261" s="197">
        <f>SUM(K256:K260)</f>
        <v>261028728</v>
      </c>
      <c r="L261" s="198">
        <f>SUM(L256:L260)</f>
        <v>269233728</v>
      </c>
    </row>
    <row r="262" spans="1:16" ht="15" customHeight="1">
      <c r="A262" s="49" t="s">
        <v>88</v>
      </c>
      <c r="B262" s="50"/>
      <c r="I262" s="49" t="s">
        <v>88</v>
      </c>
      <c r="J262" s="50"/>
    </row>
    <row r="263" spans="1:16" ht="12.75" customHeight="1">
      <c r="A263" s="51" t="s">
        <v>89</v>
      </c>
      <c r="I263" s="51" t="s">
        <v>89</v>
      </c>
    </row>
    <row r="264" spans="1:16" ht="12" customHeight="1">
      <c r="A264" s="51" t="s">
        <v>90</v>
      </c>
      <c r="I264" s="51" t="s">
        <v>90</v>
      </c>
    </row>
    <row r="265" spans="1:16" ht="13.5" customHeight="1">
      <c r="A265" s="51" t="s">
        <v>91</v>
      </c>
      <c r="I265" s="51" t="s">
        <v>91</v>
      </c>
    </row>
    <row r="266" spans="1:16" ht="4.5" customHeight="1">
      <c r="A266" s="50"/>
      <c r="B266" s="50"/>
      <c r="I266" s="50"/>
      <c r="J266" s="50"/>
    </row>
    <row r="267" spans="1:16" ht="14.25" customHeight="1">
      <c r="A267" s="52" t="s">
        <v>264</v>
      </c>
      <c r="G267" s="52"/>
      <c r="I267" s="52" t="s">
        <v>1731</v>
      </c>
      <c r="J267" s="244"/>
      <c r="O267" s="52"/>
    </row>
    <row r="268" spans="1:16" ht="15.75">
      <c r="A268" s="53" t="s">
        <v>92</v>
      </c>
      <c r="G268" s="53"/>
      <c r="I268" s="53" t="s">
        <v>2139</v>
      </c>
      <c r="O268" s="53"/>
    </row>
    <row r="269" spans="1:16" ht="14.25" customHeight="1">
      <c r="A269" s="894" t="s">
        <v>261</v>
      </c>
      <c r="B269" s="894"/>
      <c r="C269" s="894"/>
      <c r="D269" s="894"/>
      <c r="E269" s="894"/>
      <c r="F269" s="894"/>
      <c r="G269" s="894"/>
      <c r="H269" s="894"/>
      <c r="I269" s="894" t="s">
        <v>212</v>
      </c>
      <c r="J269" s="894"/>
      <c r="K269" s="894"/>
      <c r="L269" s="894"/>
      <c r="M269" s="894"/>
      <c r="N269" s="894"/>
      <c r="O269" s="894"/>
      <c r="P269" s="894"/>
    </row>
    <row r="270" spans="1:16" ht="11.25" customHeight="1" thickBot="1"/>
    <row r="271" spans="1:16">
      <c r="A271" s="895" t="s">
        <v>94</v>
      </c>
      <c r="B271" s="897" t="s">
        <v>95</v>
      </c>
      <c r="C271" s="897" t="s">
        <v>96</v>
      </c>
      <c r="D271" s="897" t="s">
        <v>3</v>
      </c>
      <c r="E271" s="897" t="s">
        <v>97</v>
      </c>
      <c r="F271" s="897" t="s">
        <v>98</v>
      </c>
      <c r="G271" s="897" t="s">
        <v>99</v>
      </c>
      <c r="H271" s="899"/>
      <c r="I271" s="895" t="s">
        <v>94</v>
      </c>
      <c r="J271" s="897" t="s">
        <v>95</v>
      </c>
      <c r="K271" s="897" t="s">
        <v>96</v>
      </c>
      <c r="L271" s="897" t="s">
        <v>3</v>
      </c>
      <c r="M271" s="897" t="s">
        <v>97</v>
      </c>
      <c r="N271" s="897" t="s">
        <v>98</v>
      </c>
      <c r="O271" s="897" t="s">
        <v>99</v>
      </c>
      <c r="P271" s="899"/>
    </row>
    <row r="272" spans="1:16" ht="15.75" thickBot="1">
      <c r="A272" s="896"/>
      <c r="B272" s="898"/>
      <c r="C272" s="898"/>
      <c r="D272" s="898"/>
      <c r="E272" s="898"/>
      <c r="F272" s="898"/>
      <c r="G272" s="240" t="s">
        <v>100</v>
      </c>
      <c r="H272" s="182" t="s">
        <v>101</v>
      </c>
      <c r="I272" s="896"/>
      <c r="J272" s="898"/>
      <c r="K272" s="898"/>
      <c r="L272" s="898"/>
      <c r="M272" s="898"/>
      <c r="N272" s="898"/>
      <c r="O272" s="240" t="s">
        <v>100</v>
      </c>
      <c r="P272" s="182" t="s">
        <v>101</v>
      </c>
    </row>
    <row r="273" spans="1:18" ht="11.25" customHeight="1">
      <c r="A273" s="881" t="e">
        <f>+A238+1</f>
        <v>#REF!</v>
      </c>
      <c r="B273" s="875">
        <v>42254</v>
      </c>
      <c r="C273" s="877" t="s">
        <v>267</v>
      </c>
      <c r="D273" s="881" t="s">
        <v>266</v>
      </c>
      <c r="E273" s="881" t="s">
        <v>148</v>
      </c>
      <c r="F273" s="883">
        <v>252000</v>
      </c>
      <c r="G273" s="55">
        <v>719</v>
      </c>
      <c r="H273" s="78">
        <v>180000</v>
      </c>
      <c r="I273" s="873" t="s">
        <v>602</v>
      </c>
      <c r="J273" s="875">
        <v>44572</v>
      </c>
      <c r="K273" s="877" t="s">
        <v>1897</v>
      </c>
      <c r="L273" s="881" t="s">
        <v>2144</v>
      </c>
      <c r="M273" s="881" t="s">
        <v>115</v>
      </c>
      <c r="N273" s="883">
        <v>7519800</v>
      </c>
      <c r="O273" s="55">
        <v>719</v>
      </c>
      <c r="P273" s="78"/>
    </row>
    <row r="274" spans="1:18" ht="14.25" customHeight="1" thickBot="1">
      <c r="A274" s="882"/>
      <c r="B274" s="934"/>
      <c r="C274" s="878"/>
      <c r="D274" s="882"/>
      <c r="E274" s="882"/>
      <c r="F274" s="884"/>
      <c r="G274" s="56">
        <v>721</v>
      </c>
      <c r="H274" s="79">
        <f>+F273-H273</f>
        <v>72000</v>
      </c>
      <c r="I274" s="882"/>
      <c r="J274" s="876"/>
      <c r="K274" s="878"/>
      <c r="L274" s="882"/>
      <c r="M274" s="882"/>
      <c r="N274" s="884"/>
      <c r="O274" s="56">
        <v>723</v>
      </c>
      <c r="P274" s="352">
        <f>+N273</f>
        <v>7519800</v>
      </c>
    </row>
    <row r="275" spans="1:18" ht="12" customHeight="1">
      <c r="A275" s="881" t="e">
        <f>+A273+1</f>
        <v>#REF!</v>
      </c>
      <c r="B275" s="875">
        <v>42254</v>
      </c>
      <c r="C275" s="881" t="s">
        <v>28</v>
      </c>
      <c r="D275" s="881" t="s">
        <v>258</v>
      </c>
      <c r="E275" s="881" t="s">
        <v>148</v>
      </c>
      <c r="F275" s="883">
        <v>560000</v>
      </c>
      <c r="G275" s="55">
        <v>719</v>
      </c>
      <c r="H275" s="78">
        <v>400000</v>
      </c>
      <c r="I275" s="873" t="s">
        <v>607</v>
      </c>
      <c r="J275" s="875">
        <v>44572</v>
      </c>
      <c r="K275" s="881" t="s">
        <v>780</v>
      </c>
      <c r="L275" s="881" t="s">
        <v>2144</v>
      </c>
      <c r="M275" s="881" t="s">
        <v>115</v>
      </c>
      <c r="N275" s="883">
        <v>6764500</v>
      </c>
      <c r="O275" s="55">
        <v>719</v>
      </c>
      <c r="P275" s="258"/>
    </row>
    <row r="276" spans="1:18" ht="11.25" customHeight="1" thickBot="1">
      <c r="A276" s="882"/>
      <c r="B276" s="934"/>
      <c r="C276" s="882"/>
      <c r="D276" s="882"/>
      <c r="E276" s="882"/>
      <c r="F276" s="884"/>
      <c r="G276" s="56">
        <v>721</v>
      </c>
      <c r="H276" s="79">
        <f>+F275-H275</f>
        <v>160000</v>
      </c>
      <c r="I276" s="882"/>
      <c r="J276" s="876"/>
      <c r="K276" s="882"/>
      <c r="L276" s="882"/>
      <c r="M276" s="882"/>
      <c r="N276" s="884"/>
      <c r="O276" s="56">
        <v>723</v>
      </c>
      <c r="P276" s="352">
        <f>+N275</f>
        <v>6764500</v>
      </c>
    </row>
    <row r="277" spans="1:18" ht="12.75" customHeight="1">
      <c r="A277" s="881" t="e">
        <f>+A275+1</f>
        <v>#REF!</v>
      </c>
      <c r="B277" s="875">
        <v>42254</v>
      </c>
      <c r="C277" s="877" t="s">
        <v>32</v>
      </c>
      <c r="D277" s="881" t="s">
        <v>265</v>
      </c>
      <c r="E277" s="881" t="s">
        <v>148</v>
      </c>
      <c r="F277" s="883">
        <v>154000</v>
      </c>
      <c r="G277" s="55">
        <v>719</v>
      </c>
      <c r="H277" s="78">
        <v>110000</v>
      </c>
      <c r="I277" s="873" t="s">
        <v>608</v>
      </c>
      <c r="J277" s="875">
        <v>44572</v>
      </c>
      <c r="K277" s="910" t="s">
        <v>1899</v>
      </c>
      <c r="L277" s="881" t="s">
        <v>2144</v>
      </c>
      <c r="M277" s="881" t="s">
        <v>115</v>
      </c>
      <c r="N277" s="883">
        <v>4000000</v>
      </c>
      <c r="O277" s="55">
        <v>719</v>
      </c>
      <c r="P277" s="258"/>
      <c r="R277" s="51" t="s">
        <v>2146</v>
      </c>
    </row>
    <row r="278" spans="1:18" ht="15.75" customHeight="1" thickBot="1">
      <c r="A278" s="882"/>
      <c r="B278" s="934"/>
      <c r="C278" s="878"/>
      <c r="D278" s="882"/>
      <c r="E278" s="882"/>
      <c r="F278" s="884"/>
      <c r="G278" s="56">
        <v>721</v>
      </c>
      <c r="H278" s="79">
        <f>+F277-H277</f>
        <v>44000</v>
      </c>
      <c r="I278" s="882"/>
      <c r="J278" s="876"/>
      <c r="K278" s="911"/>
      <c r="L278" s="882"/>
      <c r="M278" s="882"/>
      <c r="N278" s="884"/>
      <c r="O278" s="56">
        <v>723</v>
      </c>
      <c r="P278" s="352">
        <f>+N277</f>
        <v>4000000</v>
      </c>
    </row>
    <row r="279" spans="1:18" ht="12" customHeight="1">
      <c r="A279" s="881" t="e">
        <f>+A277+1</f>
        <v>#REF!</v>
      </c>
      <c r="B279" s="875">
        <v>42254</v>
      </c>
      <c r="C279" s="877" t="s">
        <v>31</v>
      </c>
      <c r="D279" s="881" t="s">
        <v>265</v>
      </c>
      <c r="E279" s="881" t="s">
        <v>148</v>
      </c>
      <c r="F279" s="883">
        <v>1078000</v>
      </c>
      <c r="G279" s="55">
        <v>719</v>
      </c>
      <c r="H279" s="78">
        <v>770000</v>
      </c>
      <c r="I279" s="873" t="s">
        <v>609</v>
      </c>
      <c r="J279" s="875">
        <v>44572</v>
      </c>
      <c r="K279" s="910" t="s">
        <v>1900</v>
      </c>
      <c r="L279" s="881" t="s">
        <v>2144</v>
      </c>
      <c r="M279" s="881" t="s">
        <v>115</v>
      </c>
      <c r="N279" s="883">
        <v>1350000</v>
      </c>
      <c r="O279" s="55">
        <v>719</v>
      </c>
      <c r="P279" s="258"/>
    </row>
    <row r="280" spans="1:18" ht="12" customHeight="1" thickBot="1">
      <c r="A280" s="882"/>
      <c r="B280" s="934"/>
      <c r="C280" s="878"/>
      <c r="D280" s="882"/>
      <c r="E280" s="882"/>
      <c r="F280" s="884"/>
      <c r="G280" s="56">
        <v>721</v>
      </c>
      <c r="H280" s="79">
        <f>+F279-H279</f>
        <v>308000</v>
      </c>
      <c r="I280" s="882"/>
      <c r="J280" s="876"/>
      <c r="K280" s="911"/>
      <c r="L280" s="882"/>
      <c r="M280" s="882"/>
      <c r="N280" s="884"/>
      <c r="O280" s="56">
        <v>723</v>
      </c>
      <c r="P280" s="352">
        <f>+N279</f>
        <v>1350000</v>
      </c>
    </row>
    <row r="281" spans="1:18" ht="14.25" customHeight="1">
      <c r="A281" s="251"/>
      <c r="B281" s="452"/>
      <c r="C281" s="253"/>
      <c r="D281" s="251"/>
      <c r="E281" s="251"/>
      <c r="F281" s="254"/>
      <c r="G281" s="255"/>
      <c r="H281" s="256"/>
      <c r="I281" s="873" t="s">
        <v>610</v>
      </c>
      <c r="J281" s="875">
        <v>44572</v>
      </c>
      <c r="K281" s="877" t="s">
        <v>1901</v>
      </c>
      <c r="L281" s="881" t="s">
        <v>2144</v>
      </c>
      <c r="M281" s="881" t="s">
        <v>115</v>
      </c>
      <c r="N281" s="883">
        <v>1008000</v>
      </c>
      <c r="O281" s="55">
        <v>719</v>
      </c>
      <c r="P281" s="258"/>
    </row>
    <row r="282" spans="1:18" ht="14.25" customHeight="1" thickBot="1">
      <c r="A282" s="251"/>
      <c r="B282" s="452"/>
      <c r="C282" s="253"/>
      <c r="D282" s="251"/>
      <c r="E282" s="251"/>
      <c r="F282" s="254"/>
      <c r="G282" s="255"/>
      <c r="H282" s="256"/>
      <c r="I282" s="882"/>
      <c r="J282" s="876"/>
      <c r="K282" s="878"/>
      <c r="L282" s="882"/>
      <c r="M282" s="882"/>
      <c r="N282" s="884"/>
      <c r="O282" s="56">
        <v>723</v>
      </c>
      <c r="P282" s="352">
        <f>+N281</f>
        <v>1008000</v>
      </c>
    </row>
    <row r="283" spans="1:18" ht="11.25" customHeight="1">
      <c r="A283" s="881" t="e">
        <f>+A279+1</f>
        <v>#REF!</v>
      </c>
      <c r="B283" s="875">
        <v>42254</v>
      </c>
      <c r="C283" s="877" t="s">
        <v>111</v>
      </c>
      <c r="D283" s="881" t="s">
        <v>268</v>
      </c>
      <c r="E283" s="881" t="s">
        <v>148</v>
      </c>
      <c r="F283" s="883">
        <v>112000</v>
      </c>
      <c r="G283" s="55">
        <v>719</v>
      </c>
      <c r="H283" s="78">
        <v>80000</v>
      </c>
      <c r="I283" s="873" t="s">
        <v>611</v>
      </c>
      <c r="J283" s="875">
        <v>44572</v>
      </c>
      <c r="K283" s="877" t="s">
        <v>2165</v>
      </c>
      <c r="L283" s="881" t="s">
        <v>2144</v>
      </c>
      <c r="M283" s="881" t="s">
        <v>115</v>
      </c>
      <c r="N283" s="883">
        <v>441000</v>
      </c>
      <c r="O283" s="496">
        <v>719</v>
      </c>
      <c r="P283" s="258"/>
    </row>
    <row r="284" spans="1:18" ht="12.75" customHeight="1" thickBot="1">
      <c r="A284" s="882"/>
      <c r="B284" s="934"/>
      <c r="C284" s="878"/>
      <c r="D284" s="882"/>
      <c r="E284" s="882"/>
      <c r="F284" s="884"/>
      <c r="G284" s="56">
        <v>721</v>
      </c>
      <c r="H284" s="79">
        <f>+F283-H283</f>
        <v>32000</v>
      </c>
      <c r="I284" s="882"/>
      <c r="J284" s="876"/>
      <c r="K284" s="878"/>
      <c r="L284" s="882"/>
      <c r="M284" s="882"/>
      <c r="N284" s="884"/>
      <c r="O284" s="56">
        <v>723</v>
      </c>
      <c r="P284" s="352">
        <f>+N283-P283</f>
        <v>441000</v>
      </c>
    </row>
    <row r="285" spans="1:18" ht="13.5" customHeight="1" thickBot="1">
      <c r="A285" s="901" t="s">
        <v>102</v>
      </c>
      <c r="B285" s="902"/>
      <c r="C285" s="902"/>
      <c r="D285" s="902"/>
      <c r="E285" s="903"/>
      <c r="F285" s="81">
        <f>SUM(F273:F284)</f>
        <v>2156000</v>
      </c>
      <c r="I285" s="901" t="s">
        <v>102</v>
      </c>
      <c r="J285" s="902"/>
      <c r="K285" s="902"/>
      <c r="L285" s="902"/>
      <c r="M285" s="903"/>
      <c r="N285" s="81">
        <f>SUM(N273:N284)</f>
        <v>21083300</v>
      </c>
    </row>
    <row r="286" spans="1:18" ht="14.25" customHeight="1" thickBot="1">
      <c r="A286" s="885" t="s">
        <v>103</v>
      </c>
      <c r="B286" s="886"/>
      <c r="C286" s="886"/>
      <c r="D286" s="886"/>
      <c r="E286" s="887"/>
      <c r="F286" s="69">
        <f>+F248</f>
        <v>620596225</v>
      </c>
      <c r="I286" s="885" t="s">
        <v>103</v>
      </c>
      <c r="J286" s="886"/>
      <c r="K286" s="886"/>
      <c r="L286" s="886"/>
      <c r="M286" s="887"/>
      <c r="N286" s="239">
        <f>+N248</f>
        <v>269233728</v>
      </c>
      <c r="O286" s="241" t="s">
        <v>561</v>
      </c>
      <c r="P286" s="242"/>
    </row>
    <row r="287" spans="1:18" ht="15.75" customHeight="1" thickBot="1">
      <c r="A287" s="888" t="s">
        <v>104</v>
      </c>
      <c r="B287" s="889"/>
      <c r="C287" s="889"/>
      <c r="D287" s="889"/>
      <c r="E287" s="890"/>
      <c r="F287" s="183">
        <f>SUM(F285:F286)</f>
        <v>622752225</v>
      </c>
      <c r="I287" s="888" t="s">
        <v>104</v>
      </c>
      <c r="J287" s="889"/>
      <c r="K287" s="889"/>
      <c r="L287" s="889"/>
      <c r="M287" s="890"/>
      <c r="N287" s="183">
        <f>SUM(N285:N286)</f>
        <v>290317028</v>
      </c>
    </row>
    <row r="288" spans="1:18" ht="6.75" customHeight="1">
      <c r="A288" s="61"/>
      <c r="B288" s="61"/>
      <c r="C288" s="61"/>
      <c r="D288" s="61"/>
      <c r="E288" s="61"/>
      <c r="I288" s="61"/>
      <c r="J288" s="61"/>
      <c r="K288" s="61"/>
      <c r="L288" s="61"/>
      <c r="M288" s="61"/>
    </row>
    <row r="289" spans="1:16">
      <c r="A289" s="51" t="s">
        <v>269</v>
      </c>
      <c r="I289" s="51" t="s">
        <v>2166</v>
      </c>
    </row>
    <row r="290" spans="1:16" ht="3.75" customHeight="1">
      <c r="F290" s="139"/>
      <c r="N290" s="139"/>
    </row>
    <row r="291" spans="1:16" ht="12.75" customHeight="1">
      <c r="A291" s="50" t="s">
        <v>105</v>
      </c>
      <c r="D291" s="146"/>
      <c r="F291" s="139"/>
      <c r="I291" s="50" t="s">
        <v>105</v>
      </c>
      <c r="L291" s="146"/>
      <c r="N291" s="139"/>
    </row>
    <row r="292" spans="1:16" ht="3.75" customHeight="1" thickBot="1"/>
    <row r="293" spans="1:16" ht="17.25" thickBot="1">
      <c r="A293" s="891" t="s">
        <v>106</v>
      </c>
      <c r="B293" s="892"/>
      <c r="C293" s="892"/>
      <c r="D293" s="893"/>
      <c r="F293" s="50" t="s">
        <v>270</v>
      </c>
      <c r="I293" s="891" t="s">
        <v>106</v>
      </c>
      <c r="J293" s="892"/>
      <c r="K293" s="892"/>
      <c r="L293" s="893"/>
      <c r="N293" s="604" t="s">
        <v>288</v>
      </c>
      <c r="O293" s="604"/>
      <c r="P293" s="604"/>
    </row>
    <row r="294" spans="1:16" ht="31.5" thickBot="1">
      <c r="A294" s="57" t="s">
        <v>100</v>
      </c>
      <c r="B294" s="58" t="s">
        <v>108</v>
      </c>
      <c r="C294" s="59" t="s">
        <v>109</v>
      </c>
      <c r="D294" s="60" t="s">
        <v>110</v>
      </c>
      <c r="I294" s="57" t="s">
        <v>100</v>
      </c>
      <c r="J294" s="58" t="s">
        <v>108</v>
      </c>
      <c r="K294" s="59" t="s">
        <v>109</v>
      </c>
      <c r="L294" s="60" t="s">
        <v>110</v>
      </c>
      <c r="N294" s="12"/>
    </row>
    <row r="295" spans="1:16" ht="12.75" customHeight="1">
      <c r="A295" s="71">
        <v>719</v>
      </c>
      <c r="B295" s="73">
        <f>+H273+H275+H277+H279+H283</f>
        <v>1540000</v>
      </c>
      <c r="C295" s="74" t="e">
        <f>+D256</f>
        <v>#REF!</v>
      </c>
      <c r="D295" s="76" t="e">
        <f>+B295+C295</f>
        <v>#REF!</v>
      </c>
      <c r="I295" s="71">
        <v>719</v>
      </c>
      <c r="J295" s="73">
        <f>+P273+P275+P277+P279+P283</f>
        <v>0</v>
      </c>
      <c r="K295" s="74">
        <f>+L256</f>
        <v>0</v>
      </c>
      <c r="L295" s="195">
        <f>+J295+K295</f>
        <v>0</v>
      </c>
      <c r="N295" s="12"/>
    </row>
    <row r="296" spans="1:16" ht="13.5" customHeight="1">
      <c r="A296" s="72">
        <v>721</v>
      </c>
      <c r="B296" s="80">
        <f>+H280+H278+H276+H274+H284</f>
        <v>616000</v>
      </c>
      <c r="C296" s="74" t="e">
        <f>+D257</f>
        <v>#REF!</v>
      </c>
      <c r="D296" s="76" t="e">
        <f>+B296+C296</f>
        <v>#REF!</v>
      </c>
      <c r="I296" s="72">
        <v>721</v>
      </c>
      <c r="J296" s="80"/>
      <c r="K296" s="74">
        <f>+L257</f>
        <v>0</v>
      </c>
      <c r="L296" s="195">
        <f>+J296+K296</f>
        <v>0</v>
      </c>
      <c r="N296" s="12"/>
    </row>
    <row r="297" spans="1:16" ht="12.75" customHeight="1">
      <c r="A297" s="72">
        <v>722</v>
      </c>
      <c r="B297" s="80"/>
      <c r="C297" s="74">
        <f>+D258</f>
        <v>231207671</v>
      </c>
      <c r="D297" s="76">
        <f>+B297+C297</f>
        <v>231207671</v>
      </c>
      <c r="I297" s="72">
        <v>722</v>
      </c>
      <c r="J297" s="80"/>
      <c r="K297" s="74">
        <f>+L258</f>
        <v>0</v>
      </c>
      <c r="L297" s="195">
        <f>+J297+K297</f>
        <v>0</v>
      </c>
      <c r="N297" s="12"/>
    </row>
    <row r="298" spans="1:16" ht="16.5" customHeight="1" thickBot="1">
      <c r="A298" s="72">
        <v>723</v>
      </c>
      <c r="B298" s="80"/>
      <c r="C298" s="74">
        <f>+D259</f>
        <v>319828837</v>
      </c>
      <c r="D298" s="76">
        <f>+B298+C298</f>
        <v>319828837</v>
      </c>
      <c r="F298" s="174" t="s">
        <v>262</v>
      </c>
      <c r="G298" s="175"/>
      <c r="I298" s="72">
        <v>723</v>
      </c>
      <c r="J298" s="80">
        <f>+N285</f>
        <v>21083300</v>
      </c>
      <c r="K298" s="74">
        <f>+L259</f>
        <v>269233728</v>
      </c>
      <c r="L298" s="195">
        <f>+J298+K298</f>
        <v>290317028</v>
      </c>
      <c r="N298" s="956" t="s">
        <v>2147</v>
      </c>
      <c r="O298" s="956"/>
      <c r="P298" s="956"/>
    </row>
    <row r="299" spans="1:16" ht="14.25" hidden="1" customHeight="1" thickBot="1">
      <c r="A299" s="164" t="s">
        <v>181</v>
      </c>
      <c r="B299" s="165"/>
      <c r="C299" s="74">
        <f>+D260</f>
        <v>1965625</v>
      </c>
      <c r="D299" s="168">
        <f>+B299+C299</f>
        <v>1965625</v>
      </c>
      <c r="F299" s="52"/>
      <c r="I299" s="164" t="s">
        <v>181</v>
      </c>
      <c r="J299" s="165"/>
      <c r="K299" s="74">
        <f>+L260</f>
        <v>0</v>
      </c>
      <c r="L299" s="196">
        <f>+J299+K299</f>
        <v>0</v>
      </c>
      <c r="N299" s="52"/>
    </row>
    <row r="300" spans="1:16" ht="16.5" thickBot="1">
      <c r="A300" s="169"/>
      <c r="B300" s="170">
        <f>SUM(B295:B299)</f>
        <v>2156000</v>
      </c>
      <c r="C300" s="171" t="e">
        <f>SUM(C295:C299)</f>
        <v>#REF!</v>
      </c>
      <c r="D300" s="172" t="e">
        <f>SUM(D295:D299)</f>
        <v>#REF!</v>
      </c>
      <c r="I300" s="169"/>
      <c r="J300" s="197">
        <f>SUM(J295:J299)</f>
        <v>21083300</v>
      </c>
      <c r="K300" s="197">
        <f>SUM(K295:K299)</f>
        <v>269233728</v>
      </c>
      <c r="L300" s="198">
        <f>SUM(L295:L299)</f>
        <v>290317028</v>
      </c>
    </row>
    <row r="301" spans="1:16" ht="14.25" customHeight="1">
      <c r="A301" s="49" t="s">
        <v>88</v>
      </c>
      <c r="B301" s="50"/>
      <c r="I301" s="49" t="s">
        <v>88</v>
      </c>
      <c r="J301" s="50"/>
    </row>
    <row r="302" spans="1:16" ht="12.75" customHeight="1">
      <c r="A302" s="51" t="s">
        <v>89</v>
      </c>
      <c r="I302" s="51" t="s">
        <v>89</v>
      </c>
    </row>
    <row r="303" spans="1:16" ht="12.75" customHeight="1">
      <c r="A303" s="51" t="s">
        <v>90</v>
      </c>
      <c r="I303" s="51" t="s">
        <v>90</v>
      </c>
    </row>
    <row r="304" spans="1:16">
      <c r="A304" s="51" t="s">
        <v>91</v>
      </c>
      <c r="I304" s="51" t="s">
        <v>91</v>
      </c>
    </row>
    <row r="305" spans="1:16" ht="12" customHeight="1">
      <c r="A305" s="50"/>
      <c r="B305" s="50"/>
      <c r="I305" s="50"/>
      <c r="J305" s="50"/>
    </row>
    <row r="306" spans="1:16" ht="13.5" customHeight="1">
      <c r="A306" s="52" t="s">
        <v>271</v>
      </c>
      <c r="G306" s="52"/>
      <c r="I306" s="52" t="s">
        <v>573</v>
      </c>
      <c r="O306" s="52"/>
    </row>
    <row r="307" spans="1:16" ht="14.25" customHeight="1">
      <c r="A307" s="53" t="s">
        <v>92</v>
      </c>
      <c r="G307" s="53"/>
      <c r="I307" s="53" t="s">
        <v>2139</v>
      </c>
      <c r="O307" s="53"/>
    </row>
    <row r="308" spans="1:16" ht="15" customHeight="1">
      <c r="A308" s="894" t="s">
        <v>261</v>
      </c>
      <c r="B308" s="894"/>
      <c r="C308" s="894"/>
      <c r="D308" s="894"/>
      <c r="E308" s="894"/>
      <c r="F308" s="894"/>
      <c r="G308" s="894"/>
      <c r="H308" s="894"/>
      <c r="I308" s="894" t="s">
        <v>2065</v>
      </c>
      <c r="J308" s="894"/>
      <c r="K308" s="894"/>
      <c r="L308" s="894"/>
      <c r="M308" s="894"/>
      <c r="N308" s="894"/>
      <c r="O308" s="894"/>
      <c r="P308" s="894"/>
    </row>
    <row r="309" spans="1:16" ht="7.5" customHeight="1" thickBot="1"/>
    <row r="310" spans="1:16">
      <c r="A310" s="895" t="s">
        <v>94</v>
      </c>
      <c r="B310" s="897" t="s">
        <v>95</v>
      </c>
      <c r="C310" s="897" t="s">
        <v>96</v>
      </c>
      <c r="D310" s="897" t="s">
        <v>3</v>
      </c>
      <c r="E310" s="897" t="s">
        <v>97</v>
      </c>
      <c r="F310" s="897" t="s">
        <v>98</v>
      </c>
      <c r="G310" s="897" t="s">
        <v>99</v>
      </c>
      <c r="H310" s="899"/>
      <c r="I310" s="895" t="s">
        <v>94</v>
      </c>
      <c r="J310" s="897" t="s">
        <v>95</v>
      </c>
      <c r="K310" s="897" t="s">
        <v>96</v>
      </c>
      <c r="L310" s="897" t="s">
        <v>3</v>
      </c>
      <c r="M310" s="897" t="s">
        <v>97</v>
      </c>
      <c r="N310" s="897" t="s">
        <v>98</v>
      </c>
      <c r="O310" s="897" t="s">
        <v>99</v>
      </c>
      <c r="P310" s="899"/>
    </row>
    <row r="311" spans="1:16" ht="15.75" thickBot="1">
      <c r="A311" s="896"/>
      <c r="B311" s="898"/>
      <c r="C311" s="898"/>
      <c r="D311" s="898"/>
      <c r="E311" s="898"/>
      <c r="F311" s="898"/>
      <c r="G311" s="240" t="s">
        <v>100</v>
      </c>
      <c r="H311" s="182" t="s">
        <v>101</v>
      </c>
      <c r="I311" s="896"/>
      <c r="J311" s="898"/>
      <c r="K311" s="898"/>
      <c r="L311" s="898"/>
      <c r="M311" s="898"/>
      <c r="N311" s="898"/>
      <c r="O311" s="240" t="s">
        <v>100</v>
      </c>
      <c r="P311" s="182" t="s">
        <v>101</v>
      </c>
    </row>
    <row r="312" spans="1:16" ht="12.75" customHeight="1">
      <c r="A312" s="881" t="e">
        <f>+A283+1</f>
        <v>#REF!</v>
      </c>
      <c r="B312" s="875">
        <v>42261</v>
      </c>
      <c r="C312" s="877" t="s">
        <v>267</v>
      </c>
      <c r="D312" s="881" t="s">
        <v>273</v>
      </c>
      <c r="E312" s="881" t="s">
        <v>148</v>
      </c>
      <c r="F312" s="883">
        <v>154000</v>
      </c>
      <c r="G312" s="55">
        <v>719</v>
      </c>
      <c r="H312" s="78">
        <v>110000</v>
      </c>
      <c r="I312" s="873" t="s">
        <v>617</v>
      </c>
      <c r="J312" s="875">
        <v>44596</v>
      </c>
      <c r="K312" s="877" t="s">
        <v>2178</v>
      </c>
      <c r="L312" s="881" t="s">
        <v>2140</v>
      </c>
      <c r="M312" s="881" t="s">
        <v>148</v>
      </c>
      <c r="N312" s="883">
        <v>2325000</v>
      </c>
      <c r="O312" s="55">
        <v>719</v>
      </c>
      <c r="P312" s="78">
        <v>0</v>
      </c>
    </row>
    <row r="313" spans="1:16" ht="13.5" customHeight="1" thickBot="1">
      <c r="A313" s="882"/>
      <c r="B313" s="934"/>
      <c r="C313" s="878"/>
      <c r="D313" s="882"/>
      <c r="E313" s="882"/>
      <c r="F313" s="884"/>
      <c r="G313" s="56">
        <v>721</v>
      </c>
      <c r="H313" s="79">
        <f>+F312-H312</f>
        <v>44000</v>
      </c>
      <c r="I313" s="882"/>
      <c r="J313" s="876"/>
      <c r="K313" s="878"/>
      <c r="L313" s="882"/>
      <c r="M313" s="882"/>
      <c r="N313" s="884"/>
      <c r="O313" s="56">
        <v>723</v>
      </c>
      <c r="P313" s="79">
        <f>+N312-P312</f>
        <v>2325000</v>
      </c>
    </row>
    <row r="314" spans="1:16" ht="12.75" customHeight="1">
      <c r="A314" s="881" t="e">
        <f>+A312+1</f>
        <v>#REF!</v>
      </c>
      <c r="B314" s="875">
        <v>42261</v>
      </c>
      <c r="C314" s="881" t="s">
        <v>28</v>
      </c>
      <c r="D314" s="881" t="s">
        <v>274</v>
      </c>
      <c r="E314" s="881" t="s">
        <v>148</v>
      </c>
      <c r="F314" s="883">
        <v>238000</v>
      </c>
      <c r="G314" s="55">
        <v>719</v>
      </c>
      <c r="H314" s="78">
        <v>170000</v>
      </c>
      <c r="I314" s="873" t="s">
        <v>618</v>
      </c>
      <c r="J314" s="875">
        <v>44596</v>
      </c>
      <c r="K314" s="627" t="s">
        <v>2179</v>
      </c>
      <c r="L314" s="881" t="s">
        <v>2140</v>
      </c>
      <c r="M314" s="881" t="s">
        <v>148</v>
      </c>
      <c r="N314" s="883">
        <v>1800000</v>
      </c>
      <c r="O314" s="55">
        <v>719</v>
      </c>
      <c r="P314" s="78"/>
    </row>
    <row r="315" spans="1:16" ht="14.25" customHeight="1" thickBot="1">
      <c r="A315" s="882"/>
      <c r="B315" s="934"/>
      <c r="C315" s="882"/>
      <c r="D315" s="882"/>
      <c r="E315" s="882"/>
      <c r="F315" s="884"/>
      <c r="G315" s="56">
        <v>721</v>
      </c>
      <c r="H315" s="79">
        <f>+F314-H314</f>
        <v>68000</v>
      </c>
      <c r="I315" s="882"/>
      <c r="J315" s="876"/>
      <c r="K315" s="629"/>
      <c r="L315" s="882"/>
      <c r="M315" s="882"/>
      <c r="N315" s="884"/>
      <c r="O315" s="56">
        <v>723</v>
      </c>
      <c r="P315" s="79">
        <f>+N314-P314</f>
        <v>1800000</v>
      </c>
    </row>
    <row r="316" spans="1:16" ht="12" customHeight="1">
      <c r="A316" s="881" t="e">
        <f>+A314+1</f>
        <v>#REF!</v>
      </c>
      <c r="B316" s="875">
        <v>42261</v>
      </c>
      <c r="C316" s="877" t="s">
        <v>32</v>
      </c>
      <c r="D316" s="881" t="s">
        <v>275</v>
      </c>
      <c r="E316" s="881" t="s">
        <v>148</v>
      </c>
      <c r="F316" s="883">
        <v>98000</v>
      </c>
      <c r="G316" s="55">
        <v>719</v>
      </c>
      <c r="H316" s="78">
        <v>70000</v>
      </c>
      <c r="I316" s="873" t="s">
        <v>619</v>
      </c>
      <c r="J316" s="875">
        <v>44596</v>
      </c>
      <c r="K316" s="877" t="s">
        <v>1079</v>
      </c>
      <c r="L316" s="881" t="s">
        <v>2180</v>
      </c>
      <c r="M316" s="881" t="s">
        <v>148</v>
      </c>
      <c r="N316" s="883">
        <v>1363500</v>
      </c>
      <c r="O316" s="55">
        <v>719</v>
      </c>
      <c r="P316" s="78">
        <v>1010000</v>
      </c>
    </row>
    <row r="317" spans="1:16" ht="15.75" customHeight="1" thickBot="1">
      <c r="A317" s="882"/>
      <c r="B317" s="934"/>
      <c r="C317" s="878"/>
      <c r="D317" s="882"/>
      <c r="E317" s="882"/>
      <c r="F317" s="884"/>
      <c r="G317" s="56">
        <v>721</v>
      </c>
      <c r="H317" s="79">
        <f>+F316-H316</f>
        <v>28000</v>
      </c>
      <c r="I317" s="882"/>
      <c r="J317" s="876"/>
      <c r="K317" s="878"/>
      <c r="L317" s="882"/>
      <c r="M317" s="882"/>
      <c r="N317" s="884"/>
      <c r="O317" s="56">
        <v>723</v>
      </c>
      <c r="P317" s="79">
        <f>+N316-P316</f>
        <v>353500</v>
      </c>
    </row>
    <row r="318" spans="1:16" ht="12.75" customHeight="1">
      <c r="A318" s="881" t="e">
        <f>+A316+1</f>
        <v>#REF!</v>
      </c>
      <c r="B318" s="875">
        <v>42261</v>
      </c>
      <c r="C318" s="877" t="s">
        <v>111</v>
      </c>
      <c r="D318" s="881" t="s">
        <v>273</v>
      </c>
      <c r="E318" s="881" t="s">
        <v>148</v>
      </c>
      <c r="F318" s="883">
        <v>42000</v>
      </c>
      <c r="G318" s="55">
        <v>719</v>
      </c>
      <c r="H318" s="78">
        <v>30000</v>
      </c>
      <c r="I318" s="873" t="s">
        <v>620</v>
      </c>
      <c r="J318" s="875">
        <v>44596</v>
      </c>
      <c r="K318" s="877" t="s">
        <v>1079</v>
      </c>
      <c r="L318" s="881" t="s">
        <v>2181</v>
      </c>
      <c r="M318" s="881" t="s">
        <v>148</v>
      </c>
      <c r="N318" s="883">
        <v>823500</v>
      </c>
      <c r="O318" s="55">
        <v>719</v>
      </c>
      <c r="P318" s="78">
        <v>610000</v>
      </c>
    </row>
    <row r="319" spans="1:16" ht="13.5" customHeight="1" thickBot="1">
      <c r="A319" s="882"/>
      <c r="B319" s="934"/>
      <c r="C319" s="878"/>
      <c r="D319" s="882"/>
      <c r="E319" s="882"/>
      <c r="F319" s="884"/>
      <c r="G319" s="56">
        <v>721</v>
      </c>
      <c r="H319" s="79">
        <f>+F318-H318</f>
        <v>12000</v>
      </c>
      <c r="I319" s="882"/>
      <c r="J319" s="876"/>
      <c r="K319" s="878"/>
      <c r="L319" s="882"/>
      <c r="M319" s="882"/>
      <c r="N319" s="884"/>
      <c r="O319" s="56">
        <v>723</v>
      </c>
      <c r="P319" s="79">
        <f>+N318-P318</f>
        <v>213500</v>
      </c>
    </row>
    <row r="320" spans="1:16" ht="13.5" customHeight="1">
      <c r="A320" s="251"/>
      <c r="B320" s="452"/>
      <c r="C320" s="253"/>
      <c r="D320" s="251"/>
      <c r="E320" s="251"/>
      <c r="F320" s="254"/>
      <c r="G320" s="255"/>
      <c r="H320" s="256"/>
      <c r="I320" s="873" t="s">
        <v>632</v>
      </c>
      <c r="J320" s="875">
        <v>44596</v>
      </c>
      <c r="K320" s="877" t="s">
        <v>815</v>
      </c>
      <c r="L320" s="881" t="s">
        <v>2182</v>
      </c>
      <c r="M320" s="881" t="s">
        <v>115</v>
      </c>
      <c r="N320" s="883">
        <v>1120500</v>
      </c>
      <c r="O320" s="55">
        <v>719</v>
      </c>
      <c r="P320" s="78">
        <v>830000</v>
      </c>
    </row>
    <row r="321" spans="1:17" ht="13.5" customHeight="1" thickBot="1">
      <c r="A321" s="251"/>
      <c r="B321" s="452"/>
      <c r="C321" s="253"/>
      <c r="D321" s="251"/>
      <c r="E321" s="251"/>
      <c r="F321" s="254"/>
      <c r="G321" s="255"/>
      <c r="H321" s="256"/>
      <c r="I321" s="882"/>
      <c r="J321" s="876"/>
      <c r="K321" s="878"/>
      <c r="L321" s="882"/>
      <c r="M321" s="882"/>
      <c r="N321" s="884"/>
      <c r="O321" s="56">
        <v>723</v>
      </c>
      <c r="P321" s="79">
        <f>+N320-P320</f>
        <v>290500</v>
      </c>
    </row>
    <row r="322" spans="1:17" ht="14.25" customHeight="1" thickBot="1">
      <c r="A322" s="901" t="s">
        <v>102</v>
      </c>
      <c r="B322" s="902"/>
      <c r="C322" s="902"/>
      <c r="D322" s="902"/>
      <c r="E322" s="903"/>
      <c r="F322" s="81">
        <f>SUM(F312:F321)</f>
        <v>532000</v>
      </c>
      <c r="I322" s="901" t="s">
        <v>102</v>
      </c>
      <c r="J322" s="902"/>
      <c r="K322" s="902"/>
      <c r="L322" s="902"/>
      <c r="M322" s="903"/>
      <c r="N322" s="81">
        <f>SUM(N312:N321)</f>
        <v>7432500</v>
      </c>
    </row>
    <row r="323" spans="1:17" ht="14.25" customHeight="1" thickBot="1">
      <c r="A323" s="885" t="s">
        <v>103</v>
      </c>
      <c r="B323" s="886"/>
      <c r="C323" s="886"/>
      <c r="D323" s="886"/>
      <c r="E323" s="887"/>
      <c r="F323" s="69">
        <f>+F287</f>
        <v>622752225</v>
      </c>
      <c r="I323" s="885" t="s">
        <v>103</v>
      </c>
      <c r="J323" s="886"/>
      <c r="K323" s="886"/>
      <c r="L323" s="886"/>
      <c r="M323" s="887"/>
      <c r="N323" s="239">
        <f>+N287</f>
        <v>290317028</v>
      </c>
      <c r="O323" s="241" t="s">
        <v>561</v>
      </c>
      <c r="P323" s="242">
        <f>1170+417+545</f>
        <v>2132</v>
      </c>
    </row>
    <row r="324" spans="1:17" ht="13.5" customHeight="1" thickBot="1">
      <c r="A324" s="888" t="s">
        <v>104</v>
      </c>
      <c r="B324" s="889"/>
      <c r="C324" s="889"/>
      <c r="D324" s="889"/>
      <c r="E324" s="890"/>
      <c r="F324" s="183">
        <f>SUM(F322:F323)</f>
        <v>623284225</v>
      </c>
      <c r="I324" s="888" t="s">
        <v>104</v>
      </c>
      <c r="J324" s="889"/>
      <c r="K324" s="889"/>
      <c r="L324" s="889"/>
      <c r="M324" s="890"/>
      <c r="N324" s="183">
        <f>SUM(N322:N323)</f>
        <v>297749528</v>
      </c>
    </row>
    <row r="325" spans="1:17" ht="6" customHeight="1">
      <c r="A325" s="61"/>
      <c r="B325" s="61"/>
      <c r="C325" s="61"/>
      <c r="D325" s="61"/>
      <c r="E325" s="61"/>
      <c r="I325" s="61"/>
      <c r="J325" s="61"/>
      <c r="K325" s="61"/>
      <c r="L325" s="61"/>
      <c r="M325" s="61"/>
    </row>
    <row r="326" spans="1:17">
      <c r="A326" s="51" t="s">
        <v>276</v>
      </c>
      <c r="I326" s="51" t="s">
        <v>2188</v>
      </c>
    </row>
    <row r="327" spans="1:17" ht="9.75" customHeight="1">
      <c r="F327" s="139"/>
      <c r="N327" s="139"/>
    </row>
    <row r="328" spans="1:17" ht="12.75" customHeight="1">
      <c r="A328" s="50" t="s">
        <v>105</v>
      </c>
      <c r="D328" s="146"/>
      <c r="F328" s="139"/>
      <c r="I328" s="50" t="s">
        <v>105</v>
      </c>
      <c r="L328" s="146"/>
      <c r="N328" s="139"/>
    </row>
    <row r="329" spans="1:17" ht="5.25" customHeight="1" thickBot="1"/>
    <row r="330" spans="1:17" ht="17.25" thickBot="1">
      <c r="A330" s="891" t="s">
        <v>106</v>
      </c>
      <c r="B330" s="892"/>
      <c r="C330" s="892"/>
      <c r="D330" s="893"/>
      <c r="F330" s="50" t="s">
        <v>270</v>
      </c>
      <c r="I330" s="891" t="s">
        <v>106</v>
      </c>
      <c r="J330" s="892"/>
      <c r="K330" s="892"/>
      <c r="L330" s="893"/>
      <c r="N330" s="604" t="s">
        <v>288</v>
      </c>
      <c r="O330" s="604"/>
      <c r="P330" s="604"/>
    </row>
    <row r="331" spans="1:17" ht="30.75" thickBot="1">
      <c r="A331" s="57" t="s">
        <v>100</v>
      </c>
      <c r="B331" s="58" t="s">
        <v>108</v>
      </c>
      <c r="C331" s="59" t="s">
        <v>109</v>
      </c>
      <c r="D331" s="60" t="s">
        <v>110</v>
      </c>
      <c r="I331" s="57" t="s">
        <v>100</v>
      </c>
      <c r="J331" s="58" t="s">
        <v>108</v>
      </c>
      <c r="K331" s="59" t="s">
        <v>109</v>
      </c>
      <c r="L331" s="60" t="s">
        <v>110</v>
      </c>
    </row>
    <row r="332" spans="1:17" ht="12" customHeight="1">
      <c r="A332" s="71">
        <v>719</v>
      </c>
      <c r="B332" s="73" t="e">
        <f>+H312+H314+H316+H318+#REF!</f>
        <v>#REF!</v>
      </c>
      <c r="C332" s="74" t="e">
        <f>+D295</f>
        <v>#REF!</v>
      </c>
      <c r="D332" s="76" t="e">
        <f>+B332+C332</f>
        <v>#REF!</v>
      </c>
      <c r="I332" s="71">
        <v>719</v>
      </c>
      <c r="J332" s="73">
        <f>+P316+P318+P320</f>
        <v>2450000</v>
      </c>
      <c r="K332" s="74">
        <f>+L295</f>
        <v>0</v>
      </c>
      <c r="L332" s="195">
        <f>+J332+K332</f>
        <v>2450000</v>
      </c>
    </row>
    <row r="333" spans="1:17" ht="13.5" customHeight="1">
      <c r="A333" s="72">
        <v>721</v>
      </c>
      <c r="B333" s="80" t="e">
        <f>+H319+H317+H315+H313+#REF!</f>
        <v>#REF!</v>
      </c>
      <c r="C333" s="74" t="e">
        <f>+D296</f>
        <v>#REF!</v>
      </c>
      <c r="D333" s="76" t="e">
        <f>+B333+C333</f>
        <v>#REF!</v>
      </c>
      <c r="I333" s="72">
        <v>721</v>
      </c>
      <c r="J333" s="80">
        <f>+P317+P319+P321</f>
        <v>857500</v>
      </c>
      <c r="K333" s="74">
        <f>+L296</f>
        <v>0</v>
      </c>
      <c r="L333" s="195">
        <f>+J333+K333</f>
        <v>857500</v>
      </c>
    </row>
    <row r="334" spans="1:17" ht="15.75" customHeight="1">
      <c r="A334" s="72">
        <v>722</v>
      </c>
      <c r="B334" s="80"/>
      <c r="C334" s="74">
        <f>+D297</f>
        <v>231207671</v>
      </c>
      <c r="D334" s="76">
        <f>+B334+C334</f>
        <v>231207671</v>
      </c>
      <c r="I334" s="72">
        <v>722</v>
      </c>
      <c r="J334" s="80"/>
      <c r="K334" s="74">
        <f>+L297</f>
        <v>0</v>
      </c>
      <c r="L334" s="195">
        <f>+J334+K334</f>
        <v>0</v>
      </c>
      <c r="N334" s="956" t="s">
        <v>2147</v>
      </c>
      <c r="O334" s="956"/>
      <c r="P334" s="956"/>
    </row>
    <row r="335" spans="1:17" ht="18.75" customHeight="1" thickBot="1">
      <c r="A335" s="72">
        <v>723</v>
      </c>
      <c r="B335" s="80"/>
      <c r="C335" s="74">
        <f>+D298</f>
        <v>319828837</v>
      </c>
      <c r="D335" s="76">
        <f>+B335+C335</f>
        <v>319828837</v>
      </c>
      <c r="F335" s="174" t="s">
        <v>262</v>
      </c>
      <c r="G335" s="175"/>
      <c r="I335" s="72">
        <v>723</v>
      </c>
      <c r="J335" s="80">
        <f>+P315+P313</f>
        <v>4125000</v>
      </c>
      <c r="K335" s="74">
        <f>+L298</f>
        <v>290317028</v>
      </c>
      <c r="L335" s="475">
        <f>+J335+K335</f>
        <v>294442028</v>
      </c>
      <c r="N335" s="609"/>
      <c r="O335" s="609"/>
      <c r="P335" s="609"/>
      <c r="Q335" s="259"/>
    </row>
    <row r="336" spans="1:17" ht="13.5" hidden="1" customHeight="1">
      <c r="A336" s="164" t="s">
        <v>181</v>
      </c>
      <c r="B336" s="165"/>
      <c r="C336" s="74">
        <f>+D299</f>
        <v>1965625</v>
      </c>
      <c r="D336" s="168">
        <f>+B336+C336</f>
        <v>1965625</v>
      </c>
      <c r="F336" s="52"/>
      <c r="I336" s="164" t="s">
        <v>181</v>
      </c>
      <c r="J336" s="165"/>
      <c r="K336" s="74">
        <f>+L299</f>
        <v>0</v>
      </c>
      <c r="L336" s="196">
        <f>+J336+K336</f>
        <v>0</v>
      </c>
      <c r="N336" s="52"/>
    </row>
    <row r="337" spans="1:16" ht="16.5" thickBot="1">
      <c r="A337" s="169"/>
      <c r="B337" s="170" t="e">
        <f>SUM(B332:B336)</f>
        <v>#REF!</v>
      </c>
      <c r="C337" s="171" t="e">
        <f>SUM(C332:C336)</f>
        <v>#REF!</v>
      </c>
      <c r="D337" s="172" t="e">
        <f>SUM(D332:D336)</f>
        <v>#REF!</v>
      </c>
      <c r="I337" s="169"/>
      <c r="J337" s="197">
        <f>SUM(J332:J336)</f>
        <v>7432500</v>
      </c>
      <c r="K337" s="197">
        <f>SUM(K332:K336)</f>
        <v>290317028</v>
      </c>
      <c r="L337" s="198">
        <f>SUM(L332:L336)</f>
        <v>297749528</v>
      </c>
    </row>
    <row r="338" spans="1:16" ht="15.75" customHeight="1">
      <c r="A338" s="49" t="s">
        <v>88</v>
      </c>
      <c r="B338" s="50"/>
      <c r="I338" s="49" t="s">
        <v>88</v>
      </c>
      <c r="J338" s="50"/>
    </row>
    <row r="339" spans="1:16" ht="13.5" customHeight="1">
      <c r="A339" s="51" t="s">
        <v>89</v>
      </c>
      <c r="I339" s="51" t="s">
        <v>89</v>
      </c>
    </row>
    <row r="340" spans="1:16" ht="13.5" customHeight="1">
      <c r="A340" s="51" t="s">
        <v>90</v>
      </c>
      <c r="I340" s="51" t="s">
        <v>90</v>
      </c>
    </row>
    <row r="341" spans="1:16">
      <c r="A341" s="51" t="s">
        <v>91</v>
      </c>
      <c r="I341" s="51" t="s">
        <v>91</v>
      </c>
    </row>
    <row r="342" spans="1:16" ht="2.25" customHeight="1">
      <c r="A342" s="50"/>
      <c r="B342" s="50"/>
      <c r="I342" s="50"/>
      <c r="J342" s="50"/>
    </row>
    <row r="343" spans="1:16" ht="14.25" customHeight="1">
      <c r="A343" s="52" t="s">
        <v>277</v>
      </c>
      <c r="G343" s="52"/>
      <c r="I343" s="52" t="s">
        <v>590</v>
      </c>
      <c r="O343" s="52"/>
    </row>
    <row r="344" spans="1:16" ht="14.25" customHeight="1">
      <c r="A344" s="53" t="s">
        <v>92</v>
      </c>
      <c r="G344" s="53"/>
      <c r="I344" s="53" t="s">
        <v>2139</v>
      </c>
      <c r="O344" s="53"/>
    </row>
    <row r="345" spans="1:16" ht="15" customHeight="1">
      <c r="A345" s="894" t="s">
        <v>278</v>
      </c>
      <c r="B345" s="894"/>
      <c r="C345" s="894"/>
      <c r="D345" s="894"/>
      <c r="E345" s="894"/>
      <c r="F345" s="894"/>
      <c r="G345" s="894"/>
      <c r="H345" s="894"/>
      <c r="I345" s="894" t="s">
        <v>2194</v>
      </c>
      <c r="J345" s="894"/>
      <c r="K345" s="894"/>
      <c r="L345" s="894"/>
      <c r="M345" s="894"/>
      <c r="N345" s="894"/>
      <c r="O345" s="894"/>
      <c r="P345" s="894"/>
    </row>
    <row r="346" spans="1:16" ht="9.75" customHeight="1" thickBot="1"/>
    <row r="347" spans="1:16" ht="16.5">
      <c r="A347" s="895" t="s">
        <v>94</v>
      </c>
      <c r="B347" s="897" t="s">
        <v>95</v>
      </c>
      <c r="C347" s="897" t="s">
        <v>96</v>
      </c>
      <c r="D347" s="897" t="s">
        <v>3</v>
      </c>
      <c r="E347" s="897" t="s">
        <v>97</v>
      </c>
      <c r="F347" s="897" t="s">
        <v>98</v>
      </c>
      <c r="G347" s="897" t="s">
        <v>99</v>
      </c>
      <c r="H347" s="899"/>
      <c r="I347" s="939" t="s">
        <v>94</v>
      </c>
      <c r="J347" s="937" t="s">
        <v>95</v>
      </c>
      <c r="K347" s="937" t="s">
        <v>96</v>
      </c>
      <c r="L347" s="937" t="s">
        <v>3</v>
      </c>
      <c r="M347" s="937" t="s">
        <v>97</v>
      </c>
      <c r="N347" s="937" t="s">
        <v>98</v>
      </c>
      <c r="O347" s="937" t="s">
        <v>99</v>
      </c>
      <c r="P347" s="938"/>
    </row>
    <row r="348" spans="1:16" ht="17.25" thickBot="1">
      <c r="A348" s="896"/>
      <c r="B348" s="898"/>
      <c r="C348" s="898"/>
      <c r="D348" s="898"/>
      <c r="E348" s="898"/>
      <c r="F348" s="898"/>
      <c r="G348" s="240" t="s">
        <v>100</v>
      </c>
      <c r="H348" s="182" t="s">
        <v>101</v>
      </c>
      <c r="I348" s="940"/>
      <c r="J348" s="941"/>
      <c r="K348" s="941"/>
      <c r="L348" s="941"/>
      <c r="M348" s="941"/>
      <c r="N348" s="941"/>
      <c r="O348" s="497" t="s">
        <v>100</v>
      </c>
      <c r="P348" s="498" t="s">
        <v>101</v>
      </c>
    </row>
    <row r="349" spans="1:16" ht="12.75" customHeight="1">
      <c r="A349" s="881" t="e">
        <f>+#REF!+1</f>
        <v>#REF!</v>
      </c>
      <c r="B349" s="875">
        <v>42261</v>
      </c>
      <c r="C349" s="877" t="s">
        <v>267</v>
      </c>
      <c r="D349" s="881" t="s">
        <v>284</v>
      </c>
      <c r="E349" s="881" t="s">
        <v>115</v>
      </c>
      <c r="F349" s="883">
        <v>130000</v>
      </c>
      <c r="G349" s="55">
        <v>719</v>
      </c>
      <c r="H349" s="78">
        <v>130000</v>
      </c>
      <c r="I349" s="873" t="s">
        <v>641</v>
      </c>
      <c r="J349" s="875">
        <v>44615</v>
      </c>
      <c r="K349" s="877" t="s">
        <v>1079</v>
      </c>
      <c r="L349" s="881" t="s">
        <v>2191</v>
      </c>
      <c r="M349" s="881" t="s">
        <v>148</v>
      </c>
      <c r="N349" s="883">
        <v>472500</v>
      </c>
      <c r="O349" s="55">
        <v>719</v>
      </c>
      <c r="P349" s="78">
        <v>350000</v>
      </c>
    </row>
    <row r="350" spans="1:16" ht="12.75" customHeight="1" thickBot="1">
      <c r="A350" s="882"/>
      <c r="B350" s="934"/>
      <c r="C350" s="878"/>
      <c r="D350" s="882"/>
      <c r="E350" s="882"/>
      <c r="F350" s="884"/>
      <c r="G350" s="56">
        <v>721</v>
      </c>
      <c r="H350" s="79">
        <f>+F349-H349</f>
        <v>0</v>
      </c>
      <c r="I350" s="882"/>
      <c r="J350" s="876"/>
      <c r="K350" s="878"/>
      <c r="L350" s="882"/>
      <c r="M350" s="882"/>
      <c r="N350" s="884"/>
      <c r="O350" s="56">
        <v>721</v>
      </c>
      <c r="P350" s="79">
        <f>+N349-P349</f>
        <v>122500</v>
      </c>
    </row>
    <row r="351" spans="1:16" ht="12.75" customHeight="1">
      <c r="A351" s="251"/>
      <c r="B351" s="452"/>
      <c r="C351" s="253"/>
      <c r="D351" s="251"/>
      <c r="E351" s="251"/>
      <c r="F351" s="254"/>
      <c r="G351" s="255"/>
      <c r="H351" s="256"/>
      <c r="I351" s="873" t="s">
        <v>642</v>
      </c>
      <c r="J351" s="875">
        <v>44615</v>
      </c>
      <c r="K351" s="877" t="s">
        <v>2189</v>
      </c>
      <c r="L351" s="926" t="s">
        <v>2190</v>
      </c>
      <c r="M351" s="881" t="s">
        <v>148</v>
      </c>
      <c r="N351" s="883">
        <v>1485000</v>
      </c>
      <c r="O351" s="55">
        <v>719</v>
      </c>
      <c r="P351" s="78">
        <v>1100000</v>
      </c>
    </row>
    <row r="352" spans="1:16" ht="12.75" customHeight="1" thickBot="1">
      <c r="A352" s="251"/>
      <c r="B352" s="452"/>
      <c r="C352" s="253"/>
      <c r="D352" s="251"/>
      <c r="E352" s="251"/>
      <c r="F352" s="254"/>
      <c r="G352" s="255"/>
      <c r="H352" s="256"/>
      <c r="I352" s="882"/>
      <c r="J352" s="876"/>
      <c r="K352" s="878"/>
      <c r="L352" s="927"/>
      <c r="M352" s="882"/>
      <c r="N352" s="884"/>
      <c r="O352" s="56">
        <v>721</v>
      </c>
      <c r="P352" s="79">
        <f>+N351-P351</f>
        <v>385000</v>
      </c>
    </row>
    <row r="353" spans="1:16" ht="13.5" customHeight="1">
      <c r="A353" s="881" t="e">
        <f>+A349+1</f>
        <v>#REF!</v>
      </c>
      <c r="B353" s="875">
        <v>42261</v>
      </c>
      <c r="C353" s="881" t="s">
        <v>28</v>
      </c>
      <c r="D353" s="881" t="s">
        <v>283</v>
      </c>
      <c r="E353" s="881" t="s">
        <v>115</v>
      </c>
      <c r="F353" s="883">
        <v>70000</v>
      </c>
      <c r="G353" s="55">
        <v>719</v>
      </c>
      <c r="H353" s="78">
        <v>70000</v>
      </c>
      <c r="I353" s="873" t="s">
        <v>643</v>
      </c>
      <c r="J353" s="875">
        <v>44615</v>
      </c>
      <c r="K353" s="877" t="s">
        <v>1315</v>
      </c>
      <c r="L353" s="881" t="s">
        <v>2182</v>
      </c>
      <c r="M353" s="881" t="s">
        <v>148</v>
      </c>
      <c r="N353" s="883">
        <v>258150</v>
      </c>
      <c r="O353" s="55">
        <v>719</v>
      </c>
      <c r="P353" s="78"/>
    </row>
    <row r="354" spans="1:16" ht="12.75" customHeight="1" thickBot="1">
      <c r="A354" s="882"/>
      <c r="B354" s="876"/>
      <c r="C354" s="882"/>
      <c r="D354" s="882"/>
      <c r="E354" s="882"/>
      <c r="F354" s="884"/>
      <c r="G354" s="56">
        <v>721</v>
      </c>
      <c r="H354" s="79">
        <f>+F353-H353</f>
        <v>0</v>
      </c>
      <c r="I354" s="882"/>
      <c r="J354" s="876"/>
      <c r="K354" s="878"/>
      <c r="L354" s="882"/>
      <c r="M354" s="882"/>
      <c r="N354" s="884"/>
      <c r="O354" s="56">
        <v>723</v>
      </c>
      <c r="P354" s="79">
        <f>+N353-P353</f>
        <v>258150</v>
      </c>
    </row>
    <row r="355" spans="1:16" ht="12.75" customHeight="1">
      <c r="A355" s="251"/>
      <c r="B355" s="252"/>
      <c r="C355" s="251"/>
      <c r="D355" s="251"/>
      <c r="E355" s="251"/>
      <c r="F355" s="254"/>
      <c r="G355" s="255"/>
      <c r="H355" s="256"/>
      <c r="I355" s="873" t="s">
        <v>644</v>
      </c>
      <c r="J355" s="875">
        <v>44615</v>
      </c>
      <c r="K355" s="877" t="s">
        <v>250</v>
      </c>
      <c r="L355" s="881" t="s">
        <v>2140</v>
      </c>
      <c r="M355" s="881" t="s">
        <v>148</v>
      </c>
      <c r="N355" s="883">
        <v>1500000</v>
      </c>
      <c r="O355" s="55">
        <v>719</v>
      </c>
      <c r="P355" s="78"/>
    </row>
    <row r="356" spans="1:16" ht="12.75" customHeight="1" thickBot="1">
      <c r="A356" s="251"/>
      <c r="B356" s="252"/>
      <c r="C356" s="251"/>
      <c r="D356" s="251"/>
      <c r="E356" s="251"/>
      <c r="F356" s="254"/>
      <c r="G356" s="255"/>
      <c r="H356" s="256"/>
      <c r="I356" s="882"/>
      <c r="J356" s="876"/>
      <c r="K356" s="878"/>
      <c r="L356" s="882"/>
      <c r="M356" s="882"/>
      <c r="N356" s="884"/>
      <c r="O356" s="56">
        <v>723</v>
      </c>
      <c r="P356" s="79">
        <f>+N355-P355</f>
        <v>1500000</v>
      </c>
    </row>
    <row r="357" spans="1:16" ht="12.75" customHeight="1">
      <c r="A357" s="881" t="e">
        <f>+#REF!+1</f>
        <v>#REF!</v>
      </c>
      <c r="B357" s="875">
        <v>42261</v>
      </c>
      <c r="C357" s="910" t="s">
        <v>282</v>
      </c>
      <c r="D357" s="881" t="s">
        <v>279</v>
      </c>
      <c r="E357" s="881" t="s">
        <v>165</v>
      </c>
      <c r="F357" s="883">
        <v>300000</v>
      </c>
      <c r="G357" s="55">
        <v>719</v>
      </c>
      <c r="H357" s="78"/>
      <c r="I357" s="873" t="s">
        <v>1458</v>
      </c>
      <c r="J357" s="875">
        <v>44615</v>
      </c>
      <c r="K357" s="877" t="s">
        <v>1079</v>
      </c>
      <c r="L357" s="881" t="s">
        <v>2140</v>
      </c>
      <c r="M357" s="881" t="s">
        <v>148</v>
      </c>
      <c r="N357" s="883">
        <v>-4441200</v>
      </c>
      <c r="O357" s="55">
        <v>719</v>
      </c>
      <c r="P357" s="78"/>
    </row>
    <row r="358" spans="1:16" ht="13.5" customHeight="1" thickBot="1">
      <c r="A358" s="882"/>
      <c r="B358" s="876"/>
      <c r="C358" s="911"/>
      <c r="D358" s="882"/>
      <c r="E358" s="882"/>
      <c r="F358" s="884"/>
      <c r="G358" s="56">
        <v>723</v>
      </c>
      <c r="H358" s="79">
        <f>+F357-H357</f>
        <v>300000</v>
      </c>
      <c r="I358" s="882"/>
      <c r="J358" s="876"/>
      <c r="K358" s="878"/>
      <c r="L358" s="882"/>
      <c r="M358" s="882"/>
      <c r="N358" s="884"/>
      <c r="O358" s="56">
        <v>723</v>
      </c>
      <c r="P358" s="79">
        <f>+N357-P357</f>
        <v>-4441200</v>
      </c>
    </row>
    <row r="359" spans="1:16" ht="14.25" customHeight="1" thickBot="1">
      <c r="A359" s="901" t="s">
        <v>102</v>
      </c>
      <c r="B359" s="902"/>
      <c r="C359" s="902"/>
      <c r="D359" s="902"/>
      <c r="E359" s="903"/>
      <c r="F359" s="81">
        <f>SUM(F349:F358)</f>
        <v>500000</v>
      </c>
      <c r="I359" s="901" t="s">
        <v>102</v>
      </c>
      <c r="J359" s="902"/>
      <c r="K359" s="902"/>
      <c r="L359" s="902"/>
      <c r="M359" s="903"/>
      <c r="N359" s="81">
        <f>SUM(N349:N358)</f>
        <v>-725550</v>
      </c>
    </row>
    <row r="360" spans="1:16" ht="15" customHeight="1" thickBot="1">
      <c r="A360" s="885" t="s">
        <v>103</v>
      </c>
      <c r="B360" s="886"/>
      <c r="C360" s="886"/>
      <c r="D360" s="886"/>
      <c r="E360" s="887"/>
      <c r="F360" s="69">
        <f>+F324</f>
        <v>623284225</v>
      </c>
      <c r="I360" s="885" t="s">
        <v>103</v>
      </c>
      <c r="J360" s="886"/>
      <c r="K360" s="886"/>
      <c r="L360" s="886"/>
      <c r="M360" s="887"/>
      <c r="N360" s="239">
        <f>+N324</f>
        <v>297749528</v>
      </c>
      <c r="O360" s="241" t="s">
        <v>561</v>
      </c>
      <c r="P360" s="242">
        <v>0</v>
      </c>
    </row>
    <row r="361" spans="1:16" ht="16.5" customHeight="1" thickBot="1">
      <c r="A361" s="888" t="s">
        <v>104</v>
      </c>
      <c r="B361" s="889"/>
      <c r="C361" s="889"/>
      <c r="D361" s="889"/>
      <c r="E361" s="890"/>
      <c r="F361" s="183">
        <f>SUM(F359:F360)</f>
        <v>623784225</v>
      </c>
      <c r="I361" s="888" t="s">
        <v>104</v>
      </c>
      <c r="J361" s="889"/>
      <c r="K361" s="889"/>
      <c r="L361" s="889"/>
      <c r="M361" s="890"/>
      <c r="N361" s="183">
        <f>SUM(N359:N360)</f>
        <v>297023978</v>
      </c>
    </row>
    <row r="362" spans="1:16" ht="5.25" customHeight="1">
      <c r="A362" s="61"/>
      <c r="B362" s="61"/>
      <c r="C362" s="61"/>
      <c r="D362" s="61"/>
      <c r="E362" s="61"/>
      <c r="I362" s="61"/>
      <c r="J362" s="61"/>
      <c r="K362" s="61"/>
      <c r="L362" s="61"/>
      <c r="M362" s="61"/>
    </row>
    <row r="363" spans="1:16">
      <c r="A363" s="51" t="s">
        <v>285</v>
      </c>
      <c r="I363" s="51" t="s">
        <v>2193</v>
      </c>
    </row>
    <row r="364" spans="1:16" ht="11.25" customHeight="1">
      <c r="F364" s="139"/>
      <c r="N364" s="139"/>
    </row>
    <row r="365" spans="1:16" ht="12.75" customHeight="1">
      <c r="A365" s="50" t="s">
        <v>105</v>
      </c>
      <c r="D365" s="146"/>
      <c r="F365" s="139"/>
      <c r="I365" s="50" t="s">
        <v>105</v>
      </c>
      <c r="L365" s="146"/>
      <c r="N365" s="139" t="s">
        <v>631</v>
      </c>
    </row>
    <row r="366" spans="1:16" ht="9.75" customHeight="1" thickBot="1"/>
    <row r="367" spans="1:16" ht="17.25" thickBot="1">
      <c r="A367" s="891" t="s">
        <v>106</v>
      </c>
      <c r="B367" s="892"/>
      <c r="C367" s="892"/>
      <c r="D367" s="893"/>
      <c r="F367" s="50" t="s">
        <v>270</v>
      </c>
      <c r="I367" s="891" t="s">
        <v>106</v>
      </c>
      <c r="J367" s="892"/>
      <c r="K367" s="892"/>
      <c r="L367" s="893"/>
      <c r="N367" s="604" t="s">
        <v>288</v>
      </c>
      <c r="O367" s="604"/>
      <c r="P367" s="604"/>
    </row>
    <row r="368" spans="1:16" ht="30.75" thickBot="1">
      <c r="A368" s="57" t="s">
        <v>100</v>
      </c>
      <c r="B368" s="58" t="s">
        <v>108</v>
      </c>
      <c r="C368" s="59" t="s">
        <v>109</v>
      </c>
      <c r="D368" s="60" t="s">
        <v>110</v>
      </c>
      <c r="I368" s="57" t="s">
        <v>100</v>
      </c>
      <c r="J368" s="58" t="s">
        <v>108</v>
      </c>
      <c r="K368" s="59" t="s">
        <v>109</v>
      </c>
      <c r="L368" s="60" t="s">
        <v>110</v>
      </c>
    </row>
    <row r="369" spans="1:16" ht="13.5" customHeight="1">
      <c r="A369" s="71">
        <v>719</v>
      </c>
      <c r="B369" s="73" t="e">
        <f>+H349+H353+#REF!+#REF!+H357</f>
        <v>#REF!</v>
      </c>
      <c r="C369" s="74" t="e">
        <f>+D332</f>
        <v>#REF!</v>
      </c>
      <c r="D369" s="76" t="e">
        <f>+B369+C369</f>
        <v>#REF!</v>
      </c>
      <c r="I369" s="71">
        <v>719</v>
      </c>
      <c r="J369" s="73">
        <f>+P349+P351</f>
        <v>1450000</v>
      </c>
      <c r="K369" s="74">
        <f>+L332</f>
        <v>2450000</v>
      </c>
      <c r="L369" s="195">
        <f>+J369+K369</f>
        <v>3900000</v>
      </c>
    </row>
    <row r="370" spans="1:16" ht="13.5" customHeight="1">
      <c r="A370" s="72">
        <v>721</v>
      </c>
      <c r="B370" s="80"/>
      <c r="C370" s="74" t="e">
        <f>+D333</f>
        <v>#REF!</v>
      </c>
      <c r="D370" s="76" t="e">
        <f>+B370+C370</f>
        <v>#REF!</v>
      </c>
      <c r="I370" s="72">
        <v>721</v>
      </c>
      <c r="J370" s="80">
        <f>+P350+P352</f>
        <v>507500</v>
      </c>
      <c r="K370" s="74">
        <f>+L333</f>
        <v>857500</v>
      </c>
      <c r="L370" s="195">
        <f>+J370+K370</f>
        <v>1365000</v>
      </c>
    </row>
    <row r="371" spans="1:16" ht="13.5" customHeight="1">
      <c r="A371" s="72">
        <v>722</v>
      </c>
      <c r="B371" s="80"/>
      <c r="C371" s="74">
        <f>+D334</f>
        <v>231207671</v>
      </c>
      <c r="D371" s="76">
        <f>+B371+C371</f>
        <v>231207671</v>
      </c>
      <c r="I371" s="72">
        <v>722</v>
      </c>
      <c r="J371" s="80"/>
      <c r="K371" s="74">
        <f>+L334</f>
        <v>0</v>
      </c>
      <c r="L371" s="195">
        <f>+J371+K371</f>
        <v>0</v>
      </c>
    </row>
    <row r="372" spans="1:16" ht="13.5" customHeight="1" thickBot="1">
      <c r="A372" s="72">
        <v>723</v>
      </c>
      <c r="B372" s="80" t="e">
        <f>+#REF!+H358</f>
        <v>#REF!</v>
      </c>
      <c r="C372" s="74">
        <f>+D335</f>
        <v>319828837</v>
      </c>
      <c r="D372" s="76" t="e">
        <f>+B372+C372</f>
        <v>#REF!</v>
      </c>
      <c r="F372" s="174" t="s">
        <v>262</v>
      </c>
      <c r="G372" s="175"/>
      <c r="I372" s="72">
        <v>723</v>
      </c>
      <c r="J372" s="80">
        <f>+P354+P356+P358</f>
        <v>-2683050</v>
      </c>
      <c r="K372" s="74">
        <f>+L335</f>
        <v>294442028</v>
      </c>
      <c r="L372" s="195">
        <f>+J372+K372</f>
        <v>291758978</v>
      </c>
      <c r="N372" s="918" t="s">
        <v>2147</v>
      </c>
      <c r="O372" s="608"/>
      <c r="P372" s="608"/>
    </row>
    <row r="373" spans="1:16" ht="11.25" hidden="1" customHeight="1" thickBot="1">
      <c r="A373" s="164" t="s">
        <v>181</v>
      </c>
      <c r="B373" s="165"/>
      <c r="C373" s="74">
        <f>+D336</f>
        <v>1965625</v>
      </c>
      <c r="D373" s="168">
        <f>+B373+C373</f>
        <v>1965625</v>
      </c>
      <c r="F373" s="52"/>
      <c r="I373" s="164" t="s">
        <v>181</v>
      </c>
      <c r="J373" s="165"/>
      <c r="K373" s="74">
        <f>+L336</f>
        <v>0</v>
      </c>
      <c r="L373" s="196">
        <f>+J373+K373</f>
        <v>0</v>
      </c>
      <c r="N373" s="52"/>
    </row>
    <row r="374" spans="1:16" ht="16.5" thickBot="1">
      <c r="A374" s="169"/>
      <c r="B374" s="170" t="e">
        <f>SUM(B369:B373)</f>
        <v>#REF!</v>
      </c>
      <c r="C374" s="171" t="e">
        <f>SUM(C369:C373)</f>
        <v>#REF!</v>
      </c>
      <c r="D374" s="172" t="e">
        <f>SUM(D369:D373)</f>
        <v>#REF!</v>
      </c>
      <c r="I374" s="169"/>
      <c r="J374" s="197">
        <f>SUM(J369:J373)</f>
        <v>-725550</v>
      </c>
      <c r="K374" s="197">
        <f>SUM(K369:K373)</f>
        <v>297749528</v>
      </c>
      <c r="L374" s="198">
        <f>SUM(L369:L373)</f>
        <v>297023978</v>
      </c>
    </row>
    <row r="375" spans="1:16" ht="14.25" customHeight="1">
      <c r="A375" s="49" t="s">
        <v>88</v>
      </c>
      <c r="B375" s="50"/>
      <c r="I375" s="49" t="s">
        <v>88</v>
      </c>
      <c r="J375" s="50"/>
    </row>
    <row r="376" spans="1:16" ht="15.75" customHeight="1">
      <c r="A376" s="51" t="s">
        <v>89</v>
      </c>
      <c r="I376" s="51" t="s">
        <v>89</v>
      </c>
    </row>
    <row r="377" spans="1:16" ht="15.75" customHeight="1">
      <c r="A377" s="51" t="s">
        <v>90</v>
      </c>
      <c r="I377" s="51" t="s">
        <v>90</v>
      </c>
    </row>
    <row r="378" spans="1:16" ht="17.25" customHeight="1">
      <c r="A378" s="51" t="s">
        <v>91</v>
      </c>
      <c r="I378" s="51" t="s">
        <v>91</v>
      </c>
    </row>
    <row r="379" spans="1:16" ht="11.25" customHeight="1">
      <c r="A379" s="50"/>
      <c r="B379" s="50"/>
      <c r="I379" s="50"/>
      <c r="J379" s="50"/>
    </row>
    <row r="380" spans="1:16" ht="14.25" customHeight="1">
      <c r="A380" s="52" t="s">
        <v>287</v>
      </c>
      <c r="G380" s="52"/>
      <c r="I380" s="52" t="s">
        <v>606</v>
      </c>
      <c r="O380" s="52"/>
    </row>
    <row r="381" spans="1:16" ht="15.75">
      <c r="A381" s="53" t="s">
        <v>92</v>
      </c>
      <c r="G381" s="53"/>
      <c r="I381" s="53" t="s">
        <v>2139</v>
      </c>
      <c r="O381" s="53"/>
    </row>
    <row r="382" spans="1:16" ht="14.25" customHeight="1">
      <c r="A382" s="894" t="s">
        <v>261</v>
      </c>
      <c r="B382" s="894"/>
      <c r="C382" s="894"/>
      <c r="D382" s="894"/>
      <c r="E382" s="894"/>
      <c r="F382" s="894"/>
      <c r="G382" s="894"/>
      <c r="H382" s="894"/>
      <c r="I382" s="894" t="s">
        <v>2196</v>
      </c>
      <c r="J382" s="894"/>
      <c r="K382" s="894"/>
      <c r="L382" s="894"/>
      <c r="M382" s="894"/>
      <c r="N382" s="894"/>
      <c r="O382" s="894"/>
      <c r="P382" s="894"/>
    </row>
    <row r="383" spans="1:16" ht="15.75" customHeight="1" thickBot="1"/>
    <row r="384" spans="1:16">
      <c r="A384" s="895" t="s">
        <v>94</v>
      </c>
      <c r="B384" s="897" t="s">
        <v>95</v>
      </c>
      <c r="C384" s="897" t="s">
        <v>96</v>
      </c>
      <c r="D384" s="897" t="s">
        <v>3</v>
      </c>
      <c r="E384" s="897" t="s">
        <v>97</v>
      </c>
      <c r="F384" s="897" t="s">
        <v>98</v>
      </c>
      <c r="G384" s="897" t="s">
        <v>99</v>
      </c>
      <c r="H384" s="899"/>
      <c r="I384" s="895" t="s">
        <v>94</v>
      </c>
      <c r="J384" s="897" t="s">
        <v>95</v>
      </c>
      <c r="K384" s="897" t="s">
        <v>96</v>
      </c>
      <c r="L384" s="897" t="s">
        <v>3</v>
      </c>
      <c r="M384" s="897" t="s">
        <v>97</v>
      </c>
      <c r="N384" s="897" t="s">
        <v>98</v>
      </c>
      <c r="O384" s="897" t="s">
        <v>99</v>
      </c>
      <c r="P384" s="899"/>
    </row>
    <row r="385" spans="1:16" ht="15.75" thickBot="1">
      <c r="A385" s="896"/>
      <c r="B385" s="898"/>
      <c r="C385" s="898"/>
      <c r="D385" s="898"/>
      <c r="E385" s="898"/>
      <c r="F385" s="898"/>
      <c r="G385" s="240" t="s">
        <v>100</v>
      </c>
      <c r="H385" s="182" t="s">
        <v>101</v>
      </c>
      <c r="I385" s="896"/>
      <c r="J385" s="898"/>
      <c r="K385" s="898"/>
      <c r="L385" s="898"/>
      <c r="M385" s="898"/>
      <c r="N385" s="898"/>
      <c r="O385" s="240" t="s">
        <v>100</v>
      </c>
      <c r="P385" s="182" t="s">
        <v>101</v>
      </c>
    </row>
    <row r="386" spans="1:16" ht="13.5" customHeight="1">
      <c r="A386" s="881" t="e">
        <f>+A357+1</f>
        <v>#REF!</v>
      </c>
      <c r="B386" s="875">
        <v>42264</v>
      </c>
      <c r="C386" s="877" t="s">
        <v>267</v>
      </c>
      <c r="D386" s="881" t="s">
        <v>290</v>
      </c>
      <c r="E386" s="881" t="s">
        <v>148</v>
      </c>
      <c r="F386" s="883">
        <v>168000</v>
      </c>
      <c r="G386" s="55">
        <v>719</v>
      </c>
      <c r="H386" s="78">
        <v>120000</v>
      </c>
      <c r="I386" s="873" t="s">
        <v>1423</v>
      </c>
      <c r="J386" s="875">
        <v>44624</v>
      </c>
      <c r="K386" s="877" t="s">
        <v>117</v>
      </c>
      <c r="L386" s="881" t="s">
        <v>2140</v>
      </c>
      <c r="M386" s="881" t="s">
        <v>115</v>
      </c>
      <c r="N386" s="883">
        <v>870000</v>
      </c>
      <c r="O386" s="55">
        <v>719</v>
      </c>
      <c r="P386" s="78"/>
    </row>
    <row r="387" spans="1:16" ht="14.25" customHeight="1" thickBot="1">
      <c r="A387" s="882"/>
      <c r="B387" s="934"/>
      <c r="C387" s="878"/>
      <c r="D387" s="882"/>
      <c r="E387" s="882"/>
      <c r="F387" s="884"/>
      <c r="G387" s="56">
        <v>721</v>
      </c>
      <c r="H387" s="79">
        <f>+F386-H386</f>
        <v>48000</v>
      </c>
      <c r="I387" s="882"/>
      <c r="J387" s="876"/>
      <c r="K387" s="878"/>
      <c r="L387" s="882"/>
      <c r="M387" s="882"/>
      <c r="N387" s="884"/>
      <c r="O387" s="56">
        <v>723</v>
      </c>
      <c r="P387" s="79">
        <f>+N386-P386</f>
        <v>870000</v>
      </c>
    </row>
    <row r="388" spans="1:16" ht="14.25" customHeight="1">
      <c r="A388" s="881" t="e">
        <f>+A386+1</f>
        <v>#REF!</v>
      </c>
      <c r="B388" s="875">
        <v>42264</v>
      </c>
      <c r="C388" s="881" t="s">
        <v>28</v>
      </c>
      <c r="D388" s="881" t="s">
        <v>292</v>
      </c>
      <c r="E388" s="881" t="s">
        <v>148</v>
      </c>
      <c r="F388" s="883">
        <v>238000</v>
      </c>
      <c r="G388" s="55">
        <v>719</v>
      </c>
      <c r="H388" s="78">
        <v>170000</v>
      </c>
      <c r="I388" s="873"/>
      <c r="J388" s="875"/>
      <c r="K388" s="877"/>
      <c r="L388" s="881"/>
      <c r="M388" s="881"/>
      <c r="N388" s="883"/>
      <c r="O388" s="55">
        <v>719</v>
      </c>
      <c r="P388" s="78"/>
    </row>
    <row r="389" spans="1:16" ht="14.25" customHeight="1" thickBot="1">
      <c r="A389" s="882"/>
      <c r="B389" s="934"/>
      <c r="C389" s="882"/>
      <c r="D389" s="882"/>
      <c r="E389" s="882"/>
      <c r="F389" s="884"/>
      <c r="G389" s="56">
        <v>721</v>
      </c>
      <c r="H389" s="79">
        <f>+F388-H388</f>
        <v>68000</v>
      </c>
      <c r="I389" s="882"/>
      <c r="J389" s="876"/>
      <c r="K389" s="878"/>
      <c r="L389" s="882"/>
      <c r="M389" s="882"/>
      <c r="N389" s="884"/>
      <c r="O389" s="56">
        <v>723</v>
      </c>
      <c r="P389" s="79">
        <f>+N388-P388</f>
        <v>0</v>
      </c>
    </row>
    <row r="390" spans="1:16" ht="12.75" customHeight="1">
      <c r="A390" s="881" t="e">
        <f>+A388+1</f>
        <v>#REF!</v>
      </c>
      <c r="B390" s="875">
        <v>42264</v>
      </c>
      <c r="C390" s="877" t="s">
        <v>32</v>
      </c>
      <c r="D390" s="881" t="s">
        <v>292</v>
      </c>
      <c r="E390" s="881" t="s">
        <v>148</v>
      </c>
      <c r="F390" s="883">
        <v>126000</v>
      </c>
      <c r="G390" s="55">
        <v>719</v>
      </c>
      <c r="H390" s="78">
        <v>90000</v>
      </c>
      <c r="I390" s="873"/>
      <c r="J390" s="875"/>
      <c r="K390" s="877"/>
      <c r="L390" s="881"/>
      <c r="M390" s="881"/>
      <c r="N390" s="883"/>
      <c r="O390" s="55">
        <v>719</v>
      </c>
      <c r="P390" s="78"/>
    </row>
    <row r="391" spans="1:16" ht="12.75" customHeight="1" thickBot="1">
      <c r="A391" s="882"/>
      <c r="B391" s="934"/>
      <c r="C391" s="878"/>
      <c r="D391" s="882"/>
      <c r="E391" s="882"/>
      <c r="F391" s="884"/>
      <c r="G391" s="56">
        <v>721</v>
      </c>
      <c r="H391" s="79">
        <f>+F390-H390</f>
        <v>36000</v>
      </c>
      <c r="I391" s="882"/>
      <c r="J391" s="876"/>
      <c r="K391" s="878"/>
      <c r="L391" s="882"/>
      <c r="M391" s="882"/>
      <c r="N391" s="884"/>
      <c r="O391" s="56">
        <v>723</v>
      </c>
      <c r="P391" s="79">
        <f>+N390-P390</f>
        <v>0</v>
      </c>
    </row>
    <row r="392" spans="1:16" ht="13.5" hidden="1" customHeight="1">
      <c r="A392" s="881" t="e">
        <f>+A390+1</f>
        <v>#REF!</v>
      </c>
      <c r="B392" s="875">
        <v>42264</v>
      </c>
      <c r="C392" s="877" t="s">
        <v>111</v>
      </c>
      <c r="D392" s="881" t="s">
        <v>291</v>
      </c>
      <c r="E392" s="881" t="s">
        <v>148</v>
      </c>
      <c r="F392" s="883">
        <v>84000</v>
      </c>
      <c r="G392" s="55">
        <v>719</v>
      </c>
      <c r="H392" s="78">
        <v>60000</v>
      </c>
      <c r="I392" s="873" t="s">
        <v>1433</v>
      </c>
      <c r="J392" s="875">
        <v>43935</v>
      </c>
      <c r="K392" s="877" t="s">
        <v>1091</v>
      </c>
      <c r="L392" s="881" t="s">
        <v>1918</v>
      </c>
      <c r="M392" s="881" t="s">
        <v>148</v>
      </c>
      <c r="N392" s="883">
        <v>870000</v>
      </c>
      <c r="O392" s="55">
        <v>719</v>
      </c>
      <c r="P392" s="78">
        <v>870000</v>
      </c>
    </row>
    <row r="393" spans="1:16" ht="13.5" hidden="1" customHeight="1">
      <c r="A393" s="882"/>
      <c r="B393" s="934"/>
      <c r="C393" s="878"/>
      <c r="D393" s="882"/>
      <c r="E393" s="882"/>
      <c r="F393" s="884"/>
      <c r="G393" s="56">
        <v>721</v>
      </c>
      <c r="H393" s="79">
        <f>+F392-H392</f>
        <v>24000</v>
      </c>
      <c r="I393" s="882"/>
      <c r="J393" s="876"/>
      <c r="K393" s="878"/>
      <c r="L393" s="882"/>
      <c r="M393" s="882"/>
      <c r="N393" s="884"/>
      <c r="O393" s="56">
        <v>723</v>
      </c>
      <c r="P393" s="79">
        <f>+N392-P392</f>
        <v>0</v>
      </c>
    </row>
    <row r="394" spans="1:16" ht="13.5" hidden="1" customHeight="1">
      <c r="A394" s="881" t="e">
        <f>+A392+1</f>
        <v>#REF!</v>
      </c>
      <c r="B394" s="875">
        <v>42264</v>
      </c>
      <c r="C394" s="877" t="s">
        <v>272</v>
      </c>
      <c r="D394" s="881" t="s">
        <v>290</v>
      </c>
      <c r="E394" s="881" t="s">
        <v>148</v>
      </c>
      <c r="F394" s="883">
        <v>532000</v>
      </c>
      <c r="G394" s="55">
        <v>719</v>
      </c>
      <c r="H394" s="78">
        <v>380000</v>
      </c>
      <c r="I394" s="873" t="s">
        <v>1458</v>
      </c>
      <c r="J394" s="875">
        <v>43935</v>
      </c>
      <c r="K394" s="877" t="s">
        <v>1931</v>
      </c>
      <c r="L394" s="881" t="s">
        <v>1887</v>
      </c>
      <c r="M394" s="881" t="s">
        <v>148</v>
      </c>
      <c r="N394" s="883">
        <v>-1800000</v>
      </c>
      <c r="O394" s="55">
        <v>719</v>
      </c>
      <c r="P394" s="78"/>
    </row>
    <row r="395" spans="1:16" ht="14.25" hidden="1" customHeight="1">
      <c r="A395" s="882"/>
      <c r="B395" s="934"/>
      <c r="C395" s="878"/>
      <c r="D395" s="882"/>
      <c r="E395" s="882"/>
      <c r="F395" s="884"/>
      <c r="G395" s="56">
        <v>721</v>
      </c>
      <c r="H395" s="79">
        <f>+F394-H394</f>
        <v>152000</v>
      </c>
      <c r="I395" s="882"/>
      <c r="J395" s="876"/>
      <c r="K395" s="878"/>
      <c r="L395" s="882"/>
      <c r="M395" s="882"/>
      <c r="N395" s="884"/>
      <c r="O395" s="56">
        <v>723</v>
      </c>
      <c r="P395" s="79">
        <f>+N394-P394</f>
        <v>-1800000</v>
      </c>
    </row>
    <row r="396" spans="1:16" ht="14.25" customHeight="1" thickBot="1">
      <c r="A396" s="901" t="s">
        <v>102</v>
      </c>
      <c r="B396" s="902"/>
      <c r="C396" s="902"/>
      <c r="D396" s="902"/>
      <c r="E396" s="903"/>
      <c r="F396" s="81">
        <f>SUM(F386:F395)</f>
        <v>1148000</v>
      </c>
      <c r="I396" s="901" t="s">
        <v>102</v>
      </c>
      <c r="J396" s="902"/>
      <c r="K396" s="902"/>
      <c r="L396" s="902"/>
      <c r="M396" s="903"/>
      <c r="N396" s="81">
        <f>SUM(N386:N391)</f>
        <v>870000</v>
      </c>
    </row>
    <row r="397" spans="1:16" ht="13.5" customHeight="1" thickBot="1">
      <c r="A397" s="885" t="s">
        <v>103</v>
      </c>
      <c r="B397" s="886"/>
      <c r="C397" s="886"/>
      <c r="D397" s="886"/>
      <c r="E397" s="887"/>
      <c r="F397" s="69">
        <f>+F361</f>
        <v>623784225</v>
      </c>
      <c r="I397" s="885" t="s">
        <v>103</v>
      </c>
      <c r="J397" s="886"/>
      <c r="K397" s="886"/>
      <c r="L397" s="886"/>
      <c r="M397" s="887"/>
      <c r="N397" s="239">
        <f>+N361</f>
        <v>297023978</v>
      </c>
      <c r="O397" s="241" t="s">
        <v>561</v>
      </c>
      <c r="P397" s="242"/>
    </row>
    <row r="398" spans="1:16" ht="14.25" customHeight="1" thickBot="1">
      <c r="A398" s="888" t="s">
        <v>104</v>
      </c>
      <c r="B398" s="889"/>
      <c r="C398" s="889"/>
      <c r="D398" s="889"/>
      <c r="E398" s="890"/>
      <c r="F398" s="183">
        <f>SUM(F396:F397)</f>
        <v>624932225</v>
      </c>
      <c r="I398" s="888" t="s">
        <v>104</v>
      </c>
      <c r="J398" s="889"/>
      <c r="K398" s="889"/>
      <c r="L398" s="889"/>
      <c r="M398" s="890"/>
      <c r="N398" s="183">
        <f>SUM(N396:N397)</f>
        <v>297893978</v>
      </c>
    </row>
    <row r="399" spans="1:16" ht="12.75" customHeight="1">
      <c r="A399" s="61"/>
      <c r="B399" s="61"/>
      <c r="C399" s="61"/>
      <c r="D399" s="61"/>
      <c r="E399" s="61"/>
      <c r="I399" s="61"/>
      <c r="J399" s="61"/>
      <c r="K399" s="61"/>
      <c r="L399" s="61"/>
      <c r="M399" s="61"/>
    </row>
    <row r="400" spans="1:16">
      <c r="A400" s="51" t="s">
        <v>294</v>
      </c>
      <c r="I400" s="51" t="s">
        <v>2195</v>
      </c>
    </row>
    <row r="401" spans="1:16" ht="13.5" customHeight="1">
      <c r="F401" s="139"/>
      <c r="N401" s="139"/>
    </row>
    <row r="402" spans="1:16">
      <c r="A402" s="50" t="s">
        <v>105</v>
      </c>
      <c r="D402" s="146"/>
      <c r="F402" s="139"/>
      <c r="I402" s="50" t="s">
        <v>105</v>
      </c>
      <c r="L402" s="146"/>
      <c r="N402" s="139"/>
    </row>
    <row r="403" spans="1:16" ht="15" customHeight="1" thickBot="1"/>
    <row r="404" spans="1:16" ht="17.25" thickBot="1">
      <c r="A404" s="891" t="s">
        <v>106</v>
      </c>
      <c r="B404" s="892"/>
      <c r="C404" s="892"/>
      <c r="D404" s="893"/>
      <c r="F404" s="50" t="s">
        <v>288</v>
      </c>
      <c r="I404" s="891" t="s">
        <v>106</v>
      </c>
      <c r="J404" s="892"/>
      <c r="K404" s="892"/>
      <c r="L404" s="893"/>
      <c r="N404" s="604" t="s">
        <v>288</v>
      </c>
      <c r="O404" s="604"/>
      <c r="P404" s="604"/>
    </row>
    <row r="405" spans="1:16" ht="30.75" thickBot="1">
      <c r="A405" s="57" t="s">
        <v>100</v>
      </c>
      <c r="B405" s="58" t="s">
        <v>108</v>
      </c>
      <c r="C405" s="59" t="s">
        <v>109</v>
      </c>
      <c r="D405" s="60" t="s">
        <v>110</v>
      </c>
      <c r="I405" s="57" t="s">
        <v>100</v>
      </c>
      <c r="J405" s="58" t="s">
        <v>108</v>
      </c>
      <c r="K405" s="59" t="s">
        <v>109</v>
      </c>
      <c r="L405" s="60" t="s">
        <v>110</v>
      </c>
    </row>
    <row r="406" spans="1:16" ht="12.75" customHeight="1">
      <c r="A406" s="71">
        <v>719</v>
      </c>
      <c r="B406" s="73">
        <f>+H386+H388+H390+H392+H394</f>
        <v>820000</v>
      </c>
      <c r="C406" s="74" t="e">
        <f>+D369</f>
        <v>#REF!</v>
      </c>
      <c r="D406" s="76" t="e">
        <f>+B406+C406</f>
        <v>#REF!</v>
      </c>
      <c r="I406" s="71">
        <v>719</v>
      </c>
      <c r="J406" s="73">
        <f>+P386+P388+P390</f>
        <v>0</v>
      </c>
      <c r="K406" s="74">
        <f>+L369</f>
        <v>3900000</v>
      </c>
      <c r="L406" s="195">
        <f>+J406+K406</f>
        <v>3900000</v>
      </c>
    </row>
    <row r="407" spans="1:16" ht="13.5" customHeight="1">
      <c r="A407" s="72">
        <v>721</v>
      </c>
      <c r="B407" s="80">
        <f>+H387+H389+H391+H393+H395</f>
        <v>328000</v>
      </c>
      <c r="C407" s="74" t="e">
        <f>+D370</f>
        <v>#REF!</v>
      </c>
      <c r="D407" s="76" t="e">
        <f>+B407+C407</f>
        <v>#REF!</v>
      </c>
      <c r="I407" s="72">
        <v>721</v>
      </c>
      <c r="J407" s="80"/>
      <c r="K407" s="74">
        <f>+L370</f>
        <v>1365000</v>
      </c>
      <c r="L407" s="195">
        <f>+J407+K407</f>
        <v>1365000</v>
      </c>
    </row>
    <row r="408" spans="1:16" ht="13.5" customHeight="1">
      <c r="A408" s="72">
        <v>722</v>
      </c>
      <c r="B408" s="80"/>
      <c r="C408" s="74">
        <f>+D371</f>
        <v>231207671</v>
      </c>
      <c r="D408" s="76">
        <f>+B408+C408</f>
        <v>231207671</v>
      </c>
      <c r="I408" s="72">
        <v>722</v>
      </c>
      <c r="J408" s="80"/>
      <c r="K408" s="74">
        <f>+L371</f>
        <v>0</v>
      </c>
      <c r="L408" s="195">
        <f>+J408+K408</f>
        <v>0</v>
      </c>
    </row>
    <row r="409" spans="1:16" ht="13.5" customHeight="1">
      <c r="A409" s="72">
        <v>723</v>
      </c>
      <c r="B409" s="80"/>
      <c r="C409" s="74" t="e">
        <f>+D372</f>
        <v>#REF!</v>
      </c>
      <c r="D409" s="76" t="e">
        <f>+B409+C409</f>
        <v>#REF!</v>
      </c>
      <c r="F409" s="193" t="s">
        <v>289</v>
      </c>
      <c r="G409" s="175"/>
      <c r="I409" s="72">
        <v>723</v>
      </c>
      <c r="J409" s="80">
        <f>+P387</f>
        <v>870000</v>
      </c>
      <c r="K409" s="74">
        <f>+L372</f>
        <v>291758978</v>
      </c>
      <c r="L409" s="195">
        <f>+J409+K409</f>
        <v>292628978</v>
      </c>
      <c r="N409" s="918" t="s">
        <v>2147</v>
      </c>
      <c r="O409" s="608"/>
      <c r="P409" s="608"/>
    </row>
    <row r="410" spans="1:16" ht="13.5" customHeight="1" thickBot="1">
      <c r="A410" s="164" t="s">
        <v>181</v>
      </c>
      <c r="B410" s="165"/>
      <c r="C410" s="74">
        <f>+D373</f>
        <v>1965625</v>
      </c>
      <c r="D410" s="168">
        <f>+B410+C410</f>
        <v>1965625</v>
      </c>
      <c r="F410" s="52"/>
      <c r="I410" s="164" t="s">
        <v>181</v>
      </c>
      <c r="J410" s="165"/>
      <c r="K410" s="74">
        <f>+L373</f>
        <v>0</v>
      </c>
      <c r="L410" s="196">
        <f>+J410+K410</f>
        <v>0</v>
      </c>
      <c r="N410" s="52"/>
    </row>
    <row r="411" spans="1:16" ht="16.5" thickBot="1">
      <c r="A411" s="169"/>
      <c r="B411" s="170">
        <f>SUM(B406:B410)</f>
        <v>1148000</v>
      </c>
      <c r="C411" s="171" t="e">
        <f>SUM(C406:C410)</f>
        <v>#REF!</v>
      </c>
      <c r="D411" s="172" t="e">
        <f>SUM(D406:D410)</f>
        <v>#REF!</v>
      </c>
      <c r="I411" s="169"/>
      <c r="J411" s="197">
        <f>SUM(J406:J410)</f>
        <v>870000</v>
      </c>
      <c r="K411" s="197">
        <f>SUM(K406:K410)</f>
        <v>297023978</v>
      </c>
      <c r="L411" s="198">
        <f>SUM(L406:L410)</f>
        <v>297893978</v>
      </c>
    </row>
    <row r="412" spans="1:16" ht="14.25" customHeight="1">
      <c r="A412" s="49" t="s">
        <v>88</v>
      </c>
      <c r="B412" s="50"/>
      <c r="I412" s="49" t="s">
        <v>88</v>
      </c>
      <c r="J412" s="50"/>
    </row>
    <row r="413" spans="1:16" ht="12.75" customHeight="1">
      <c r="A413" s="51" t="s">
        <v>89</v>
      </c>
      <c r="I413" s="51" t="s">
        <v>89</v>
      </c>
    </row>
    <row r="414" spans="1:16" ht="13.5" customHeight="1">
      <c r="A414" s="51" t="s">
        <v>90</v>
      </c>
      <c r="I414" s="51" t="s">
        <v>90</v>
      </c>
    </row>
    <row r="415" spans="1:16" ht="12.75" customHeight="1">
      <c r="A415" s="51" t="s">
        <v>91</v>
      </c>
      <c r="I415" s="51" t="s">
        <v>91</v>
      </c>
    </row>
    <row r="416" spans="1:16" ht="12" customHeight="1">
      <c r="A416" s="50"/>
      <c r="B416" s="50"/>
      <c r="I416" s="50"/>
      <c r="J416" s="50"/>
    </row>
    <row r="417" spans="1:16" ht="13.5" customHeight="1">
      <c r="A417" s="52" t="s">
        <v>295</v>
      </c>
      <c r="G417" s="52"/>
      <c r="I417" s="52" t="s">
        <v>635</v>
      </c>
      <c r="O417" s="52"/>
    </row>
    <row r="418" spans="1:16" ht="14.25" customHeight="1">
      <c r="A418" s="53" t="s">
        <v>92</v>
      </c>
      <c r="G418" s="53"/>
      <c r="I418" s="53" t="s">
        <v>2139</v>
      </c>
      <c r="O418" s="53"/>
    </row>
    <row r="419" spans="1:16" ht="14.25" customHeight="1">
      <c r="A419" s="894" t="s">
        <v>261</v>
      </c>
      <c r="B419" s="894"/>
      <c r="C419" s="894"/>
      <c r="D419" s="894"/>
      <c r="E419" s="894"/>
      <c r="F419" s="894"/>
      <c r="G419" s="894"/>
      <c r="H419" s="894"/>
      <c r="I419" s="894" t="s">
        <v>1460</v>
      </c>
      <c r="J419" s="894"/>
      <c r="K419" s="894"/>
      <c r="L419" s="894"/>
      <c r="M419" s="894"/>
      <c r="N419" s="894"/>
      <c r="O419" s="894"/>
      <c r="P419" s="894"/>
    </row>
    <row r="420" spans="1:16" ht="13.5" customHeight="1" thickBot="1"/>
    <row r="421" spans="1:16">
      <c r="A421" s="895" t="s">
        <v>94</v>
      </c>
      <c r="B421" s="897" t="s">
        <v>95</v>
      </c>
      <c r="C421" s="897" t="s">
        <v>96</v>
      </c>
      <c r="D421" s="897" t="s">
        <v>3</v>
      </c>
      <c r="E421" s="897" t="s">
        <v>97</v>
      </c>
      <c r="F421" s="897" t="s">
        <v>98</v>
      </c>
      <c r="G421" s="897" t="s">
        <v>99</v>
      </c>
      <c r="H421" s="899"/>
      <c r="I421" s="895" t="s">
        <v>94</v>
      </c>
      <c r="J421" s="897" t="s">
        <v>95</v>
      </c>
      <c r="K421" s="897" t="s">
        <v>96</v>
      </c>
      <c r="L421" s="897" t="s">
        <v>3</v>
      </c>
      <c r="M421" s="897" t="s">
        <v>97</v>
      </c>
      <c r="N421" s="897" t="s">
        <v>98</v>
      </c>
      <c r="O421" s="897" t="s">
        <v>99</v>
      </c>
      <c r="P421" s="899"/>
    </row>
    <row r="422" spans="1:16" ht="15.75" thickBot="1">
      <c r="A422" s="896"/>
      <c r="B422" s="898"/>
      <c r="C422" s="898"/>
      <c r="D422" s="898"/>
      <c r="E422" s="898"/>
      <c r="F422" s="898"/>
      <c r="G422" s="240" t="s">
        <v>100</v>
      </c>
      <c r="H422" s="182" t="s">
        <v>101</v>
      </c>
      <c r="I422" s="896"/>
      <c r="J422" s="898"/>
      <c r="K422" s="898"/>
      <c r="L422" s="898"/>
      <c r="M422" s="898"/>
      <c r="N422" s="898"/>
      <c r="O422" s="240" t="s">
        <v>100</v>
      </c>
      <c r="P422" s="182" t="s">
        <v>101</v>
      </c>
    </row>
    <row r="423" spans="1:16" ht="12.75" customHeight="1">
      <c r="A423" s="881" t="e">
        <f>+A394+1</f>
        <v>#REF!</v>
      </c>
      <c r="B423" s="875">
        <v>42275</v>
      </c>
      <c r="C423" s="877" t="s">
        <v>267</v>
      </c>
      <c r="D423" s="881" t="s">
        <v>296</v>
      </c>
      <c r="E423" s="935" t="s">
        <v>31</v>
      </c>
      <c r="F423" s="883">
        <v>100000</v>
      </c>
      <c r="G423" s="55">
        <v>719</v>
      </c>
      <c r="H423" s="78">
        <v>100000</v>
      </c>
      <c r="I423" s="873" t="s">
        <v>646</v>
      </c>
      <c r="J423" s="875">
        <v>44624</v>
      </c>
      <c r="K423" s="877" t="s">
        <v>117</v>
      </c>
      <c r="L423" s="881" t="s">
        <v>2014</v>
      </c>
      <c r="M423" s="881" t="s">
        <v>115</v>
      </c>
      <c r="N423" s="883">
        <v>870000</v>
      </c>
      <c r="O423" s="55">
        <v>719</v>
      </c>
      <c r="P423" s="78">
        <f>+N423</f>
        <v>870000</v>
      </c>
    </row>
    <row r="424" spans="1:16" ht="14.25" customHeight="1" thickBot="1">
      <c r="A424" s="882"/>
      <c r="B424" s="934"/>
      <c r="C424" s="878"/>
      <c r="D424" s="882"/>
      <c r="E424" s="936"/>
      <c r="F424" s="884"/>
      <c r="G424" s="56">
        <v>721</v>
      </c>
      <c r="H424" s="79"/>
      <c r="I424" s="882"/>
      <c r="J424" s="876"/>
      <c r="K424" s="878"/>
      <c r="L424" s="882"/>
      <c r="M424" s="882"/>
      <c r="N424" s="884"/>
      <c r="O424" s="56">
        <v>721</v>
      </c>
      <c r="P424" s="79">
        <f>+N423-P423</f>
        <v>0</v>
      </c>
    </row>
    <row r="425" spans="1:16" ht="13.5" customHeight="1">
      <c r="A425" s="881" t="e">
        <f>+A423+1</f>
        <v>#REF!</v>
      </c>
      <c r="B425" s="875">
        <v>42275</v>
      </c>
      <c r="C425" s="881" t="s">
        <v>28</v>
      </c>
      <c r="D425" s="881" t="s">
        <v>297</v>
      </c>
      <c r="E425" s="935" t="s">
        <v>28</v>
      </c>
      <c r="F425" s="883">
        <v>50000</v>
      </c>
      <c r="G425" s="55">
        <v>719</v>
      </c>
      <c r="H425" s="78">
        <v>50000</v>
      </c>
      <c r="I425" s="873" t="s">
        <v>647</v>
      </c>
      <c r="J425" s="875">
        <v>44624</v>
      </c>
      <c r="K425" s="910" t="s">
        <v>1079</v>
      </c>
      <c r="L425" s="881" t="s">
        <v>2199</v>
      </c>
      <c r="M425" s="881" t="s">
        <v>148</v>
      </c>
      <c r="N425" s="883">
        <v>310500</v>
      </c>
      <c r="O425" s="55">
        <v>719</v>
      </c>
      <c r="P425" s="78">
        <v>230000</v>
      </c>
    </row>
    <row r="426" spans="1:16" ht="14.25" customHeight="1" thickBot="1">
      <c r="A426" s="882"/>
      <c r="B426" s="934"/>
      <c r="C426" s="882"/>
      <c r="D426" s="882"/>
      <c r="E426" s="936"/>
      <c r="F426" s="884"/>
      <c r="G426" s="56">
        <v>721</v>
      </c>
      <c r="H426" s="79">
        <f>+F425-H425</f>
        <v>0</v>
      </c>
      <c r="I426" s="882"/>
      <c r="J426" s="876"/>
      <c r="K426" s="911"/>
      <c r="L426" s="882"/>
      <c r="M426" s="882"/>
      <c r="N426" s="884"/>
      <c r="O426" s="56">
        <v>721</v>
      </c>
      <c r="P426" s="79">
        <f>+N425-P425</f>
        <v>80500</v>
      </c>
    </row>
    <row r="427" spans="1:16" ht="14.25" customHeight="1">
      <c r="A427" s="881" t="e">
        <f>+A425+1</f>
        <v>#REF!</v>
      </c>
      <c r="B427" s="875">
        <v>42275</v>
      </c>
      <c r="C427" s="877" t="s">
        <v>32</v>
      </c>
      <c r="D427" s="881" t="s">
        <v>297</v>
      </c>
      <c r="E427" s="877" t="s">
        <v>32</v>
      </c>
      <c r="F427" s="883">
        <v>30000</v>
      </c>
      <c r="G427" s="55">
        <v>719</v>
      </c>
      <c r="H427" s="78">
        <v>30000</v>
      </c>
      <c r="I427" s="873" t="s">
        <v>648</v>
      </c>
      <c r="J427" s="875">
        <v>44624</v>
      </c>
      <c r="K427" s="877" t="s">
        <v>111</v>
      </c>
      <c r="L427" s="881" t="s">
        <v>2200</v>
      </c>
      <c r="M427" s="881" t="s">
        <v>148</v>
      </c>
      <c r="N427" s="883">
        <v>108000</v>
      </c>
      <c r="O427" s="55">
        <v>719</v>
      </c>
      <c r="P427" s="78">
        <v>80000</v>
      </c>
    </row>
    <row r="428" spans="1:16" ht="12.75" customHeight="1" thickBot="1">
      <c r="A428" s="882"/>
      <c r="B428" s="934"/>
      <c r="C428" s="878"/>
      <c r="D428" s="882"/>
      <c r="E428" s="878"/>
      <c r="F428" s="884"/>
      <c r="G428" s="56">
        <v>721</v>
      </c>
      <c r="H428" s="79">
        <f>+F427-H427</f>
        <v>0</v>
      </c>
      <c r="I428" s="882"/>
      <c r="J428" s="876"/>
      <c r="K428" s="878"/>
      <c r="L428" s="882"/>
      <c r="M428" s="882"/>
      <c r="N428" s="884"/>
      <c r="O428" s="56">
        <v>721</v>
      </c>
      <c r="P428" s="79">
        <f>+N427-P427</f>
        <v>28000</v>
      </c>
    </row>
    <row r="429" spans="1:16" ht="13.5" customHeight="1">
      <c r="A429" s="881"/>
      <c r="B429" s="875"/>
      <c r="C429" s="877"/>
      <c r="D429" s="881"/>
      <c r="E429" s="881"/>
      <c r="F429" s="883"/>
      <c r="G429" s="55">
        <v>719</v>
      </c>
      <c r="H429" s="78"/>
      <c r="I429" s="873"/>
      <c r="J429" s="875"/>
      <c r="K429" s="877"/>
      <c r="L429" s="881"/>
      <c r="M429" s="881"/>
      <c r="N429" s="883"/>
      <c r="O429" s="55">
        <v>723</v>
      </c>
      <c r="P429" s="78">
        <f>+N429</f>
        <v>0</v>
      </c>
    </row>
    <row r="430" spans="1:16" ht="12" customHeight="1" thickBot="1">
      <c r="A430" s="882"/>
      <c r="B430" s="934"/>
      <c r="C430" s="878"/>
      <c r="D430" s="882"/>
      <c r="E430" s="882"/>
      <c r="F430" s="884"/>
      <c r="G430" s="56">
        <v>721</v>
      </c>
      <c r="H430" s="79">
        <f>+F429-H429</f>
        <v>0</v>
      </c>
      <c r="I430" s="882"/>
      <c r="J430" s="876"/>
      <c r="K430" s="878"/>
      <c r="L430" s="882"/>
      <c r="M430" s="882"/>
      <c r="N430" s="884"/>
      <c r="O430" s="56">
        <v>721</v>
      </c>
      <c r="P430" s="79">
        <f>+N429-P429</f>
        <v>0</v>
      </c>
    </row>
    <row r="431" spans="1:16" ht="13.5" customHeight="1" thickBot="1">
      <c r="A431" s="901" t="s">
        <v>102</v>
      </c>
      <c r="B431" s="902"/>
      <c r="C431" s="902"/>
      <c r="D431" s="902"/>
      <c r="E431" s="903"/>
      <c r="F431" s="81">
        <f>SUM(F423:F430)</f>
        <v>180000</v>
      </c>
      <c r="I431" s="901" t="s">
        <v>102</v>
      </c>
      <c r="J431" s="902"/>
      <c r="K431" s="902"/>
      <c r="L431" s="902"/>
      <c r="M431" s="903"/>
      <c r="N431" s="81">
        <f>SUM(N423:N430)</f>
        <v>1288500</v>
      </c>
    </row>
    <row r="432" spans="1:16" ht="13.5" customHeight="1" thickBot="1">
      <c r="A432" s="885" t="s">
        <v>103</v>
      </c>
      <c r="B432" s="886"/>
      <c r="C432" s="886"/>
      <c r="D432" s="886"/>
      <c r="E432" s="887"/>
      <c r="F432" s="69">
        <f>+F398</f>
        <v>624932225</v>
      </c>
      <c r="I432" s="885" t="s">
        <v>103</v>
      </c>
      <c r="J432" s="886"/>
      <c r="K432" s="886"/>
      <c r="L432" s="886"/>
      <c r="M432" s="887"/>
      <c r="N432" s="239">
        <f>+N398</f>
        <v>297893978</v>
      </c>
      <c r="O432" s="241" t="s">
        <v>561</v>
      </c>
      <c r="P432" s="242"/>
    </row>
    <row r="433" spans="1:16" ht="14.25" customHeight="1" thickBot="1">
      <c r="A433" s="888" t="s">
        <v>104</v>
      </c>
      <c r="B433" s="889"/>
      <c r="C433" s="889"/>
      <c r="D433" s="889"/>
      <c r="E433" s="890"/>
      <c r="F433" s="183">
        <f>SUM(F431:F432)</f>
        <v>625112225</v>
      </c>
      <c r="I433" s="888" t="s">
        <v>104</v>
      </c>
      <c r="J433" s="889"/>
      <c r="K433" s="889"/>
      <c r="L433" s="889"/>
      <c r="M433" s="890"/>
      <c r="N433" s="183">
        <f>SUM(N431:N432)</f>
        <v>299182478</v>
      </c>
    </row>
    <row r="434" spans="1:16" ht="12" customHeight="1">
      <c r="A434" s="61"/>
      <c r="B434" s="61"/>
      <c r="C434" s="61"/>
      <c r="D434" s="61"/>
      <c r="E434" s="61"/>
      <c r="I434" s="61"/>
      <c r="J434" s="61"/>
      <c r="K434" s="61"/>
      <c r="L434" s="61"/>
      <c r="M434" s="61"/>
    </row>
    <row r="435" spans="1:16">
      <c r="A435" s="51" t="s">
        <v>298</v>
      </c>
      <c r="I435" s="51" t="s">
        <v>2201</v>
      </c>
    </row>
    <row r="436" spans="1:16" ht="11.25" customHeight="1">
      <c r="F436" s="139"/>
      <c r="N436" s="139"/>
    </row>
    <row r="437" spans="1:16">
      <c r="A437" s="50" t="s">
        <v>105</v>
      </c>
      <c r="D437" s="146"/>
      <c r="F437" s="139"/>
      <c r="I437" s="50" t="s">
        <v>105</v>
      </c>
      <c r="L437" s="146"/>
      <c r="N437" s="139"/>
    </row>
    <row r="438" spans="1:16" ht="16.5" customHeight="1" thickBot="1"/>
    <row r="439" spans="1:16" ht="17.25" thickBot="1">
      <c r="A439" s="891" t="s">
        <v>106</v>
      </c>
      <c r="B439" s="892"/>
      <c r="C439" s="892"/>
      <c r="D439" s="893"/>
      <c r="F439" s="50" t="s">
        <v>288</v>
      </c>
      <c r="I439" s="891" t="s">
        <v>106</v>
      </c>
      <c r="J439" s="892"/>
      <c r="K439" s="892"/>
      <c r="L439" s="893"/>
      <c r="N439" s="605" t="s">
        <v>288</v>
      </c>
      <c r="O439" s="605"/>
      <c r="P439" s="605"/>
    </row>
    <row r="440" spans="1:16" ht="30.75" thickBot="1">
      <c r="A440" s="57" t="s">
        <v>100</v>
      </c>
      <c r="B440" s="58" t="s">
        <v>108</v>
      </c>
      <c r="C440" s="59" t="s">
        <v>109</v>
      </c>
      <c r="D440" s="60" t="s">
        <v>110</v>
      </c>
      <c r="I440" s="57" t="s">
        <v>100</v>
      </c>
      <c r="J440" s="58" t="s">
        <v>108</v>
      </c>
      <c r="K440" s="59" t="s">
        <v>109</v>
      </c>
      <c r="L440" s="60" t="s">
        <v>110</v>
      </c>
      <c r="N440" s="202"/>
      <c r="O440" s="202"/>
      <c r="P440" s="202"/>
    </row>
    <row r="441" spans="1:16" ht="15" customHeight="1">
      <c r="A441" s="71">
        <v>719</v>
      </c>
      <c r="B441" s="73" t="e">
        <f>+H423+H425+H427+#REF!+H429</f>
        <v>#REF!</v>
      </c>
      <c r="C441" s="74" t="e">
        <f>+D406</f>
        <v>#REF!</v>
      </c>
      <c r="D441" s="76" t="e">
        <f>+B441+C441</f>
        <v>#REF!</v>
      </c>
      <c r="I441" s="71">
        <v>719</v>
      </c>
      <c r="J441" s="73">
        <f>+P423+P425+P427</f>
        <v>1180000</v>
      </c>
      <c r="K441" s="74">
        <f>+L406</f>
        <v>3900000</v>
      </c>
      <c r="L441" s="195">
        <f>+J441+K441</f>
        <v>5080000</v>
      </c>
      <c r="N441" s="202"/>
      <c r="O441" s="202"/>
      <c r="P441" s="202"/>
    </row>
    <row r="442" spans="1:16" ht="13.5" customHeight="1">
      <c r="A442" s="72">
        <v>721</v>
      </c>
      <c r="B442" s="80" t="e">
        <f>+H424+H426+H428+#REF!+H430</f>
        <v>#REF!</v>
      </c>
      <c r="C442" s="74" t="e">
        <f>+D407</f>
        <v>#REF!</v>
      </c>
      <c r="D442" s="76" t="e">
        <f>+B442+C442</f>
        <v>#REF!</v>
      </c>
      <c r="I442" s="72">
        <v>721</v>
      </c>
      <c r="J442" s="80">
        <f>+P424+P426+P428+P430</f>
        <v>108500</v>
      </c>
      <c r="K442" s="74">
        <f>+L407</f>
        <v>1365000</v>
      </c>
      <c r="L442" s="195">
        <f>+J442+K442</f>
        <v>1473500</v>
      </c>
      <c r="N442" s="202"/>
      <c r="O442" s="202"/>
      <c r="P442" s="202"/>
    </row>
    <row r="443" spans="1:16" ht="12.75" customHeight="1">
      <c r="A443" s="72">
        <v>722</v>
      </c>
      <c r="B443" s="80"/>
      <c r="C443" s="74">
        <f>+D408</f>
        <v>231207671</v>
      </c>
      <c r="D443" s="76">
        <f>+B443+C443</f>
        <v>231207671</v>
      </c>
      <c r="I443" s="72">
        <v>722</v>
      </c>
      <c r="J443" s="80"/>
      <c r="K443" s="74">
        <f>+L408</f>
        <v>0</v>
      </c>
      <c r="L443" s="195">
        <f>+J443+K443</f>
        <v>0</v>
      </c>
      <c r="N443" s="202"/>
      <c r="O443" s="202"/>
      <c r="P443" s="202"/>
    </row>
    <row r="444" spans="1:16" ht="14.25" customHeight="1" thickBot="1">
      <c r="A444" s="72">
        <v>723</v>
      </c>
      <c r="B444" s="80"/>
      <c r="C444" s="74" t="e">
        <f>+D409</f>
        <v>#REF!</v>
      </c>
      <c r="D444" s="76" t="e">
        <f>+B444+C444</f>
        <v>#REF!</v>
      </c>
      <c r="F444" s="193" t="s">
        <v>289</v>
      </c>
      <c r="G444" s="175"/>
      <c r="I444" s="72">
        <v>723</v>
      </c>
      <c r="J444" s="80"/>
      <c r="K444" s="74">
        <f>+L409</f>
        <v>292628978</v>
      </c>
      <c r="L444" s="195">
        <f>+J444+K444</f>
        <v>292628978</v>
      </c>
      <c r="N444" s="918" t="s">
        <v>2147</v>
      </c>
      <c r="O444" s="608"/>
      <c r="P444" s="608"/>
    </row>
    <row r="445" spans="1:16" ht="15.75" hidden="1" customHeight="1" thickBot="1">
      <c r="A445" s="164" t="s">
        <v>181</v>
      </c>
      <c r="B445" s="165"/>
      <c r="C445" s="74">
        <f>+D410</f>
        <v>1965625</v>
      </c>
      <c r="D445" s="168">
        <f>+B445+C445</f>
        <v>1965625</v>
      </c>
      <c r="F445" s="52"/>
      <c r="I445" s="164" t="s">
        <v>181</v>
      </c>
      <c r="J445" s="165"/>
      <c r="K445" s="74">
        <f>+L410</f>
        <v>0</v>
      </c>
      <c r="L445" s="196">
        <f>+J445+K445</f>
        <v>0</v>
      </c>
      <c r="N445" s="52"/>
    </row>
    <row r="446" spans="1:16" ht="17.25" customHeight="1" thickBot="1">
      <c r="A446" s="169"/>
      <c r="B446" s="170" t="e">
        <f>SUM(B441:B445)</f>
        <v>#REF!</v>
      </c>
      <c r="C446" s="171" t="e">
        <f>SUM(C441:C445)</f>
        <v>#REF!</v>
      </c>
      <c r="D446" s="172" t="e">
        <f>SUM(D441:D445)</f>
        <v>#REF!</v>
      </c>
      <c r="I446" s="169"/>
      <c r="J446" s="197">
        <f>SUM(J441:J445)</f>
        <v>1288500</v>
      </c>
      <c r="K446" s="197">
        <f>SUM(K441:K445)</f>
        <v>297893978</v>
      </c>
      <c r="L446" s="198">
        <f>SUM(L441:L445)</f>
        <v>299182478</v>
      </c>
    </row>
    <row r="447" spans="1:16" ht="13.5" customHeight="1">
      <c r="A447" s="49" t="s">
        <v>88</v>
      </c>
      <c r="B447" s="50"/>
      <c r="I447" s="49" t="s">
        <v>88</v>
      </c>
      <c r="J447" s="50"/>
    </row>
    <row r="448" spans="1:16" ht="12.75" customHeight="1">
      <c r="A448" s="51" t="s">
        <v>89</v>
      </c>
      <c r="I448" s="51" t="s">
        <v>89</v>
      </c>
    </row>
    <row r="449" spans="1:16" ht="13.5" customHeight="1">
      <c r="A449" s="51" t="s">
        <v>90</v>
      </c>
      <c r="I449" s="51" t="s">
        <v>90</v>
      </c>
    </row>
    <row r="450" spans="1:16" ht="12.75" customHeight="1">
      <c r="A450" s="51" t="s">
        <v>91</v>
      </c>
      <c r="I450" s="51" t="s">
        <v>91</v>
      </c>
    </row>
    <row r="451" spans="1:16" ht="3.75" customHeight="1">
      <c r="A451" s="50"/>
      <c r="B451" s="50"/>
      <c r="I451" s="50"/>
      <c r="J451" s="50"/>
    </row>
    <row r="452" spans="1:16" ht="12.75" customHeight="1">
      <c r="A452" s="52" t="s">
        <v>299</v>
      </c>
      <c r="G452" s="52"/>
      <c r="I452" s="52" t="s">
        <v>636</v>
      </c>
      <c r="O452" s="52"/>
    </row>
    <row r="453" spans="1:16" ht="15.75">
      <c r="A453" s="53" t="s">
        <v>92</v>
      </c>
      <c r="G453" s="53"/>
      <c r="I453" s="53" t="s">
        <v>2139</v>
      </c>
      <c r="O453" s="53"/>
    </row>
    <row r="454" spans="1:16" ht="13.5" customHeight="1">
      <c r="A454" s="894" t="s">
        <v>261</v>
      </c>
      <c r="B454" s="894"/>
      <c r="C454" s="894"/>
      <c r="D454" s="894"/>
      <c r="E454" s="894"/>
      <c r="F454" s="894"/>
      <c r="G454" s="894"/>
      <c r="H454" s="894"/>
      <c r="I454" s="894" t="s">
        <v>212</v>
      </c>
      <c r="J454" s="894"/>
      <c r="K454" s="894"/>
      <c r="L454" s="894"/>
      <c r="M454" s="894"/>
      <c r="N454" s="894"/>
      <c r="O454" s="894"/>
      <c r="P454" s="894"/>
    </row>
    <row r="455" spans="1:16" ht="9" customHeight="1" thickBot="1"/>
    <row r="456" spans="1:16">
      <c r="A456" s="895" t="s">
        <v>94</v>
      </c>
      <c r="B456" s="897" t="s">
        <v>95</v>
      </c>
      <c r="C456" s="897" t="s">
        <v>96</v>
      </c>
      <c r="D456" s="897" t="s">
        <v>3</v>
      </c>
      <c r="E456" s="897" t="s">
        <v>97</v>
      </c>
      <c r="F456" s="897" t="s">
        <v>98</v>
      </c>
      <c r="G456" s="897" t="s">
        <v>99</v>
      </c>
      <c r="H456" s="899"/>
      <c r="I456" s="895" t="s">
        <v>94</v>
      </c>
      <c r="J456" s="897" t="s">
        <v>95</v>
      </c>
      <c r="K456" s="897" t="s">
        <v>96</v>
      </c>
      <c r="L456" s="897" t="s">
        <v>3</v>
      </c>
      <c r="M456" s="897" t="s">
        <v>97</v>
      </c>
      <c r="N456" s="897" t="s">
        <v>98</v>
      </c>
      <c r="O456" s="897" t="s">
        <v>99</v>
      </c>
      <c r="P456" s="899"/>
    </row>
    <row r="457" spans="1:16" ht="15.75" thickBot="1">
      <c r="A457" s="896"/>
      <c r="B457" s="898"/>
      <c r="C457" s="898"/>
      <c r="D457" s="898"/>
      <c r="E457" s="898"/>
      <c r="F457" s="898"/>
      <c r="G457" s="240" t="s">
        <v>100</v>
      </c>
      <c r="H457" s="182" t="s">
        <v>101</v>
      </c>
      <c r="I457" s="896"/>
      <c r="J457" s="898"/>
      <c r="K457" s="898"/>
      <c r="L457" s="898"/>
      <c r="M457" s="898"/>
      <c r="N457" s="898"/>
      <c r="O457" s="240" t="s">
        <v>100</v>
      </c>
      <c r="P457" s="182" t="s">
        <v>101</v>
      </c>
    </row>
    <row r="458" spans="1:16" ht="14.25" customHeight="1">
      <c r="A458" s="881" t="e">
        <f>+A427+1</f>
        <v>#REF!</v>
      </c>
      <c r="B458" s="875">
        <v>42278</v>
      </c>
      <c r="C458" s="877" t="s">
        <v>267</v>
      </c>
      <c r="D458" s="881" t="s">
        <v>300</v>
      </c>
      <c r="E458" s="881" t="s">
        <v>148</v>
      </c>
      <c r="F458" s="883">
        <v>196000</v>
      </c>
      <c r="G458" s="55">
        <v>719</v>
      </c>
      <c r="H458" s="78">
        <v>160000</v>
      </c>
      <c r="I458" s="873" t="s">
        <v>649</v>
      </c>
      <c r="J458" s="875">
        <v>44642</v>
      </c>
      <c r="K458" s="877" t="s">
        <v>1079</v>
      </c>
      <c r="L458" s="881" t="s">
        <v>2202</v>
      </c>
      <c r="M458" s="881" t="s">
        <v>148</v>
      </c>
      <c r="N458" s="883">
        <v>459000</v>
      </c>
      <c r="O458" s="55">
        <v>719</v>
      </c>
      <c r="P458" s="78">
        <v>340000</v>
      </c>
    </row>
    <row r="459" spans="1:16" ht="13.5" customHeight="1" thickBot="1">
      <c r="A459" s="882"/>
      <c r="B459" s="934"/>
      <c r="C459" s="878"/>
      <c r="D459" s="882"/>
      <c r="E459" s="882"/>
      <c r="F459" s="884"/>
      <c r="G459" s="56">
        <v>721</v>
      </c>
      <c r="H459" s="79">
        <f>+F458-H458</f>
        <v>36000</v>
      </c>
      <c r="I459" s="882"/>
      <c r="J459" s="876"/>
      <c r="K459" s="878"/>
      <c r="L459" s="882"/>
      <c r="M459" s="882"/>
      <c r="N459" s="884"/>
      <c r="O459" s="56">
        <v>723</v>
      </c>
      <c r="P459" s="79">
        <f>+N458-P458</f>
        <v>119000</v>
      </c>
    </row>
    <row r="460" spans="1:16" ht="12.75" customHeight="1">
      <c r="A460" s="881" t="e">
        <f>+A458+1</f>
        <v>#REF!</v>
      </c>
      <c r="B460" s="875">
        <v>42278</v>
      </c>
      <c r="C460" s="881" t="s">
        <v>28</v>
      </c>
      <c r="D460" s="881" t="s">
        <v>301</v>
      </c>
      <c r="E460" s="881" t="s">
        <v>148</v>
      </c>
      <c r="F460" s="883">
        <v>224000</v>
      </c>
      <c r="G460" s="55">
        <v>719</v>
      </c>
      <c r="H460" s="78">
        <v>160000</v>
      </c>
      <c r="I460" s="873" t="s">
        <v>650</v>
      </c>
      <c r="J460" s="875">
        <v>44642</v>
      </c>
      <c r="K460" s="877" t="s">
        <v>815</v>
      </c>
      <c r="L460" s="881" t="s">
        <v>2204</v>
      </c>
      <c r="M460" s="881" t="s">
        <v>148</v>
      </c>
      <c r="N460" s="883">
        <v>877500</v>
      </c>
      <c r="O460" s="55">
        <v>719</v>
      </c>
      <c r="P460" s="78">
        <v>650000</v>
      </c>
    </row>
    <row r="461" spans="1:16" ht="13.5" customHeight="1" thickBot="1">
      <c r="A461" s="882"/>
      <c r="B461" s="934"/>
      <c r="C461" s="882"/>
      <c r="D461" s="882"/>
      <c r="E461" s="882"/>
      <c r="F461" s="884"/>
      <c r="G461" s="56">
        <v>721</v>
      </c>
      <c r="H461" s="79">
        <f>+F460-H460</f>
        <v>64000</v>
      </c>
      <c r="I461" s="882"/>
      <c r="J461" s="876"/>
      <c r="K461" s="878"/>
      <c r="L461" s="882"/>
      <c r="M461" s="882"/>
      <c r="N461" s="884"/>
      <c r="O461" s="56">
        <v>723</v>
      </c>
      <c r="P461" s="79">
        <f>+N460-P460</f>
        <v>227500</v>
      </c>
    </row>
    <row r="462" spans="1:16" ht="13.5" customHeight="1">
      <c r="A462" s="881" t="e">
        <f>+A460+1</f>
        <v>#REF!</v>
      </c>
      <c r="B462" s="875">
        <v>42278</v>
      </c>
      <c r="C462" s="877" t="s">
        <v>32</v>
      </c>
      <c r="D462" s="881" t="s">
        <v>301</v>
      </c>
      <c r="E462" s="881" t="s">
        <v>148</v>
      </c>
      <c r="F462" s="883">
        <v>112000</v>
      </c>
      <c r="G462" s="55">
        <v>719</v>
      </c>
      <c r="H462" s="78">
        <v>80000</v>
      </c>
      <c r="I462" s="873" t="s">
        <v>651</v>
      </c>
      <c r="J462" s="875">
        <v>44642</v>
      </c>
      <c r="K462" s="877" t="s">
        <v>111</v>
      </c>
      <c r="L462" s="881" t="s">
        <v>2203</v>
      </c>
      <c r="M462" s="881" t="s">
        <v>148</v>
      </c>
      <c r="N462" s="883">
        <v>54000</v>
      </c>
      <c r="O462" s="55">
        <v>719</v>
      </c>
      <c r="P462" s="78">
        <v>40000</v>
      </c>
    </row>
    <row r="463" spans="1:16" ht="13.5" customHeight="1" thickBot="1">
      <c r="A463" s="882"/>
      <c r="B463" s="934"/>
      <c r="C463" s="878"/>
      <c r="D463" s="882"/>
      <c r="E463" s="882"/>
      <c r="F463" s="884"/>
      <c r="G463" s="56">
        <v>721</v>
      </c>
      <c r="H463" s="79">
        <f>+F462-H462</f>
        <v>32000</v>
      </c>
      <c r="I463" s="882"/>
      <c r="J463" s="876"/>
      <c r="K463" s="878"/>
      <c r="L463" s="882"/>
      <c r="M463" s="882"/>
      <c r="N463" s="884"/>
      <c r="O463" s="56">
        <v>721</v>
      </c>
      <c r="P463" s="79">
        <f>+N462-P462</f>
        <v>14000</v>
      </c>
    </row>
    <row r="464" spans="1:16" ht="12.75" customHeight="1">
      <c r="A464" s="881" t="e">
        <f>+A462+1</f>
        <v>#REF!</v>
      </c>
      <c r="B464" s="875">
        <v>42278</v>
      </c>
      <c r="C464" s="877" t="s">
        <v>111</v>
      </c>
      <c r="D464" s="881" t="s">
        <v>302</v>
      </c>
      <c r="E464" s="881" t="s">
        <v>148</v>
      </c>
      <c r="F464" s="883">
        <v>84000</v>
      </c>
      <c r="G464" s="55">
        <v>719</v>
      </c>
      <c r="H464" s="78">
        <v>60000</v>
      </c>
      <c r="I464" s="873"/>
      <c r="J464" s="875"/>
      <c r="K464" s="877"/>
      <c r="L464" s="881"/>
      <c r="M464" s="881"/>
      <c r="N464" s="883"/>
      <c r="O464" s="55">
        <v>710</v>
      </c>
      <c r="P464" s="78"/>
    </row>
    <row r="465" spans="1:16" ht="14.25" customHeight="1" thickBot="1">
      <c r="A465" s="882"/>
      <c r="B465" s="934"/>
      <c r="C465" s="878"/>
      <c r="D465" s="882"/>
      <c r="E465" s="882"/>
      <c r="F465" s="884"/>
      <c r="G465" s="56">
        <v>721</v>
      </c>
      <c r="H465" s="79">
        <f>+F464-H464</f>
        <v>24000</v>
      </c>
      <c r="I465" s="882"/>
      <c r="J465" s="876"/>
      <c r="K465" s="878"/>
      <c r="L465" s="882"/>
      <c r="M465" s="882"/>
      <c r="N465" s="884"/>
      <c r="O465" s="56">
        <v>718</v>
      </c>
      <c r="P465" s="79">
        <f>+N464-P464</f>
        <v>0</v>
      </c>
    </row>
    <row r="466" spans="1:16" ht="16.5" thickBot="1">
      <c r="A466" s="901" t="s">
        <v>102</v>
      </c>
      <c r="B466" s="902"/>
      <c r="C466" s="902"/>
      <c r="D466" s="902"/>
      <c r="E466" s="903"/>
      <c r="F466" s="81">
        <f>SUM(F458:F465)</f>
        <v>616000</v>
      </c>
      <c r="I466" s="901" t="s">
        <v>102</v>
      </c>
      <c r="J466" s="902"/>
      <c r="K466" s="902"/>
      <c r="L466" s="902"/>
      <c r="M466" s="903"/>
      <c r="N466" s="81">
        <f>SUM(N458:N465)</f>
        <v>1390500</v>
      </c>
    </row>
    <row r="467" spans="1:16" ht="16.5" thickBot="1">
      <c r="A467" s="885" t="s">
        <v>103</v>
      </c>
      <c r="B467" s="886"/>
      <c r="C467" s="886"/>
      <c r="D467" s="886"/>
      <c r="E467" s="887"/>
      <c r="F467" s="69">
        <f>+F433</f>
        <v>625112225</v>
      </c>
      <c r="I467" s="885" t="s">
        <v>103</v>
      </c>
      <c r="J467" s="886"/>
      <c r="K467" s="886"/>
      <c r="L467" s="886"/>
      <c r="M467" s="887"/>
      <c r="N467" s="239">
        <f>+N433</f>
        <v>299182478</v>
      </c>
      <c r="O467" s="241" t="s">
        <v>561</v>
      </c>
      <c r="P467" s="242"/>
    </row>
    <row r="468" spans="1:16" ht="16.5" thickBot="1">
      <c r="A468" s="888" t="s">
        <v>104</v>
      </c>
      <c r="B468" s="889"/>
      <c r="C468" s="889"/>
      <c r="D468" s="889"/>
      <c r="E468" s="890"/>
      <c r="F468" s="183">
        <f>SUM(F466:F467)</f>
        <v>625728225</v>
      </c>
      <c r="I468" s="888" t="s">
        <v>104</v>
      </c>
      <c r="J468" s="889"/>
      <c r="K468" s="889"/>
      <c r="L468" s="889"/>
      <c r="M468" s="890"/>
      <c r="N468" s="183">
        <f>SUM(N466:N467)</f>
        <v>300572978</v>
      </c>
    </row>
    <row r="469" spans="1:16" ht="13.5" customHeight="1">
      <c r="A469" s="61"/>
      <c r="B469" s="61"/>
      <c r="C469" s="61"/>
      <c r="D469" s="61"/>
      <c r="E469" s="61"/>
      <c r="I469" s="61"/>
      <c r="J469" s="61"/>
      <c r="K469" s="61"/>
      <c r="L469" s="61"/>
      <c r="M469" s="61"/>
    </row>
    <row r="470" spans="1:16">
      <c r="A470" s="51" t="s">
        <v>303</v>
      </c>
      <c r="I470" s="51" t="s">
        <v>2205</v>
      </c>
    </row>
    <row r="471" spans="1:16" ht="11.25" customHeight="1">
      <c r="F471" s="139"/>
      <c r="N471" s="139"/>
    </row>
    <row r="472" spans="1:16">
      <c r="A472" s="50" t="s">
        <v>105</v>
      </c>
      <c r="D472" s="146"/>
      <c r="F472" s="139"/>
      <c r="I472" s="50" t="s">
        <v>105</v>
      </c>
      <c r="L472" s="146"/>
      <c r="N472" s="139"/>
    </row>
    <row r="473" spans="1:16" ht="11.25" customHeight="1" thickBot="1"/>
    <row r="474" spans="1:16" ht="17.25" thickBot="1">
      <c r="A474" s="891" t="s">
        <v>106</v>
      </c>
      <c r="B474" s="892"/>
      <c r="C474" s="892"/>
      <c r="D474" s="893"/>
      <c r="F474" s="50" t="s">
        <v>288</v>
      </c>
      <c r="I474" s="891" t="s">
        <v>106</v>
      </c>
      <c r="J474" s="892"/>
      <c r="K474" s="892"/>
      <c r="L474" s="893"/>
      <c r="N474" s="605" t="s">
        <v>288</v>
      </c>
      <c r="O474" s="605"/>
      <c r="P474" s="605"/>
    </row>
    <row r="475" spans="1:16" ht="28.5" customHeight="1" thickBot="1">
      <c r="A475" s="57" t="s">
        <v>100</v>
      </c>
      <c r="B475" s="58" t="s">
        <v>108</v>
      </c>
      <c r="C475" s="59" t="s">
        <v>109</v>
      </c>
      <c r="D475" s="60" t="s">
        <v>110</v>
      </c>
      <c r="I475" s="57" t="s">
        <v>100</v>
      </c>
      <c r="J475" s="58" t="s">
        <v>108</v>
      </c>
      <c r="K475" s="59" t="s">
        <v>109</v>
      </c>
      <c r="L475" s="60" t="s">
        <v>110</v>
      </c>
      <c r="N475" s="202"/>
      <c r="O475" s="202"/>
      <c r="P475" s="202"/>
    </row>
    <row r="476" spans="1:16" ht="15" customHeight="1">
      <c r="A476" s="71">
        <v>719</v>
      </c>
      <c r="B476" s="73" t="e">
        <f>+H458+H460+H462+H464+#REF!</f>
        <v>#REF!</v>
      </c>
      <c r="C476" s="74" t="e">
        <f>+D441</f>
        <v>#REF!</v>
      </c>
      <c r="D476" s="195" t="e">
        <f>+B476+C476</f>
        <v>#REF!</v>
      </c>
      <c r="I476" s="71">
        <v>719</v>
      </c>
      <c r="J476" s="73">
        <f>+P458+P460+P462+P464</f>
        <v>1030000</v>
      </c>
      <c r="K476" s="74">
        <f>+L441</f>
        <v>5080000</v>
      </c>
      <c r="L476" s="195">
        <f>+J476+K476</f>
        <v>6110000</v>
      </c>
      <c r="N476" s="202"/>
      <c r="O476" s="202"/>
      <c r="P476" s="202"/>
    </row>
    <row r="477" spans="1:16" ht="13.5" customHeight="1">
      <c r="A477" s="72">
        <v>721</v>
      </c>
      <c r="B477" s="80" t="e">
        <f>+H459+H461+H463+H465+#REF!</f>
        <v>#REF!</v>
      </c>
      <c r="C477" s="74" t="e">
        <f>+D442</f>
        <v>#REF!</v>
      </c>
      <c r="D477" s="195" t="e">
        <f>+B477+C477</f>
        <v>#REF!</v>
      </c>
      <c r="I477" s="72">
        <v>721</v>
      </c>
      <c r="J477" s="80">
        <f>+P459+P461+P463+P465</f>
        <v>360500</v>
      </c>
      <c r="K477" s="74">
        <f>+L442</f>
        <v>1473500</v>
      </c>
      <c r="L477" s="195">
        <f>+J477+K477</f>
        <v>1834000</v>
      </c>
      <c r="N477" s="202"/>
      <c r="O477" s="202"/>
      <c r="P477" s="202"/>
    </row>
    <row r="478" spans="1:16" ht="15" customHeight="1">
      <c r="A478" s="72">
        <v>722</v>
      </c>
      <c r="B478" s="80"/>
      <c r="C478" s="74">
        <f>+D443</f>
        <v>231207671</v>
      </c>
      <c r="D478" s="195">
        <f>+B478+C478</f>
        <v>231207671</v>
      </c>
      <c r="I478" s="72">
        <v>722</v>
      </c>
      <c r="J478" s="80"/>
      <c r="K478" s="74">
        <f>+L443</f>
        <v>0</v>
      </c>
      <c r="L478" s="195">
        <f>+J478+K478</f>
        <v>0</v>
      </c>
      <c r="N478" s="202"/>
      <c r="O478" s="202"/>
      <c r="P478" s="202"/>
    </row>
    <row r="479" spans="1:16" ht="14.25" customHeight="1">
      <c r="A479" s="72">
        <v>723</v>
      </c>
      <c r="B479" s="80"/>
      <c r="C479" s="74" t="e">
        <f>+D444</f>
        <v>#REF!</v>
      </c>
      <c r="D479" s="195" t="e">
        <f>+B479+C479</f>
        <v>#REF!</v>
      </c>
      <c r="F479" s="193" t="s">
        <v>289</v>
      </c>
      <c r="G479" s="175"/>
      <c r="I479" s="72">
        <v>723</v>
      </c>
      <c r="J479" s="80"/>
      <c r="K479" s="74">
        <f>+L444</f>
        <v>292628978</v>
      </c>
      <c r="L479" s="195">
        <f>+J479+K479</f>
        <v>292628978</v>
      </c>
      <c r="N479" s="918" t="s">
        <v>2147</v>
      </c>
      <c r="O479" s="608"/>
      <c r="P479" s="608"/>
    </row>
    <row r="480" spans="1:16" ht="15" customHeight="1" thickBot="1">
      <c r="A480" s="164" t="s">
        <v>181</v>
      </c>
      <c r="B480" s="165"/>
      <c r="C480" s="74">
        <f>+D445</f>
        <v>1965625</v>
      </c>
      <c r="D480" s="196">
        <f>+B480+C480</f>
        <v>1965625</v>
      </c>
      <c r="F480" s="52"/>
      <c r="I480" s="164" t="s">
        <v>181</v>
      </c>
      <c r="J480" s="165"/>
      <c r="K480" s="74">
        <f>+L445</f>
        <v>0</v>
      </c>
      <c r="L480" s="196">
        <f>+J480+K480</f>
        <v>0</v>
      </c>
      <c r="N480" s="52"/>
    </row>
    <row r="481" spans="1:16" ht="15" customHeight="1" thickBot="1">
      <c r="A481" s="169"/>
      <c r="B481" s="170" t="e">
        <f>SUM(B476:B480)</f>
        <v>#REF!</v>
      </c>
      <c r="C481" s="171" t="e">
        <f>SUM(C476:C480)</f>
        <v>#REF!</v>
      </c>
      <c r="D481" s="172" t="e">
        <f>SUM(D476:D480)</f>
        <v>#REF!</v>
      </c>
      <c r="I481" s="169"/>
      <c r="J481" s="197">
        <f>SUM(J476:J480)</f>
        <v>1390500</v>
      </c>
      <c r="K481" s="197">
        <f>SUM(K476:K480)</f>
        <v>299182478</v>
      </c>
      <c r="L481" s="198">
        <f>SUM(L476:L480)</f>
        <v>300572978</v>
      </c>
    </row>
    <row r="482" spans="1:16" ht="16.5">
      <c r="A482" s="49" t="s">
        <v>88</v>
      </c>
      <c r="B482" s="50"/>
      <c r="I482" s="49" t="s">
        <v>88</v>
      </c>
      <c r="J482" s="50"/>
    </row>
    <row r="483" spans="1:16" ht="13.5" customHeight="1">
      <c r="A483" s="51" t="s">
        <v>89</v>
      </c>
      <c r="I483" s="51" t="s">
        <v>89</v>
      </c>
    </row>
    <row r="484" spans="1:16">
      <c r="A484" s="51" t="s">
        <v>90</v>
      </c>
      <c r="I484" s="51" t="s">
        <v>90</v>
      </c>
    </row>
    <row r="485" spans="1:16">
      <c r="A485" s="51" t="s">
        <v>91</v>
      </c>
      <c r="I485" s="51" t="s">
        <v>91</v>
      </c>
    </row>
    <row r="486" spans="1:16" ht="5.25" customHeight="1">
      <c r="A486" s="50"/>
      <c r="B486" s="50"/>
      <c r="I486" s="50"/>
      <c r="J486" s="50"/>
    </row>
    <row r="487" spans="1:16" ht="16.5">
      <c r="A487" s="52" t="s">
        <v>307</v>
      </c>
      <c r="G487" s="52"/>
      <c r="I487" s="52" t="s">
        <v>637</v>
      </c>
      <c r="O487" s="52"/>
    </row>
    <row r="488" spans="1:16" ht="15.75">
      <c r="A488" s="53" t="s">
        <v>92</v>
      </c>
      <c r="G488" s="53"/>
      <c r="I488" s="53" t="s">
        <v>2139</v>
      </c>
      <c r="O488" s="53"/>
    </row>
    <row r="489" spans="1:16" ht="16.5">
      <c r="A489" s="894" t="s">
        <v>261</v>
      </c>
      <c r="B489" s="894"/>
      <c r="C489" s="894"/>
      <c r="D489" s="894"/>
      <c r="E489" s="894"/>
      <c r="F489" s="894"/>
      <c r="G489" s="894"/>
      <c r="H489" s="894"/>
      <c r="I489" s="894" t="s">
        <v>2218</v>
      </c>
      <c r="J489" s="894"/>
      <c r="K489" s="894"/>
      <c r="L489" s="894"/>
      <c r="M489" s="894"/>
      <c r="N489" s="894"/>
      <c r="O489" s="894"/>
      <c r="P489" s="894"/>
    </row>
    <row r="490" spans="1:16" ht="12.75" customHeight="1" thickBot="1"/>
    <row r="491" spans="1:16">
      <c r="A491" s="895" t="s">
        <v>94</v>
      </c>
      <c r="B491" s="897" t="s">
        <v>95</v>
      </c>
      <c r="C491" s="897" t="s">
        <v>96</v>
      </c>
      <c r="D491" s="897" t="s">
        <v>3</v>
      </c>
      <c r="E491" s="897" t="s">
        <v>97</v>
      </c>
      <c r="F491" s="897" t="s">
        <v>98</v>
      </c>
      <c r="G491" s="897" t="s">
        <v>99</v>
      </c>
      <c r="H491" s="899"/>
      <c r="I491" s="895" t="s">
        <v>94</v>
      </c>
      <c r="J491" s="897" t="s">
        <v>95</v>
      </c>
      <c r="K491" s="897" t="s">
        <v>96</v>
      </c>
      <c r="L491" s="897" t="s">
        <v>3</v>
      </c>
      <c r="M491" s="897" t="s">
        <v>97</v>
      </c>
      <c r="N491" s="897" t="s">
        <v>98</v>
      </c>
      <c r="O491" s="897" t="s">
        <v>99</v>
      </c>
      <c r="P491" s="899"/>
    </row>
    <row r="492" spans="1:16" ht="15.75" thickBot="1">
      <c r="A492" s="896"/>
      <c r="B492" s="898"/>
      <c r="C492" s="898"/>
      <c r="D492" s="898"/>
      <c r="E492" s="898"/>
      <c r="F492" s="898"/>
      <c r="G492" s="240" t="s">
        <v>100</v>
      </c>
      <c r="H492" s="182" t="s">
        <v>101</v>
      </c>
      <c r="I492" s="896"/>
      <c r="J492" s="898"/>
      <c r="K492" s="898"/>
      <c r="L492" s="898"/>
      <c r="M492" s="898"/>
      <c r="N492" s="898"/>
      <c r="O492" s="240" t="s">
        <v>100</v>
      </c>
      <c r="P492" s="182" t="s">
        <v>101</v>
      </c>
    </row>
    <row r="493" spans="1:16" ht="13.5" customHeight="1">
      <c r="A493" s="881" t="e">
        <f>+#REF!+1</f>
        <v>#REF!</v>
      </c>
      <c r="B493" s="875">
        <v>42278</v>
      </c>
      <c r="C493" s="877" t="s">
        <v>272</v>
      </c>
      <c r="D493" s="881" t="s">
        <v>305</v>
      </c>
      <c r="E493" s="881" t="s">
        <v>148</v>
      </c>
      <c r="F493" s="883">
        <v>100000</v>
      </c>
      <c r="G493" s="55">
        <v>719</v>
      </c>
      <c r="H493" s="78">
        <v>100000</v>
      </c>
      <c r="I493" s="873" t="s">
        <v>1934</v>
      </c>
      <c r="J493" s="875">
        <v>44642</v>
      </c>
      <c r="K493" s="877" t="s">
        <v>815</v>
      </c>
      <c r="L493" s="881" t="s">
        <v>2206</v>
      </c>
      <c r="M493" s="881" t="s">
        <v>783</v>
      </c>
      <c r="N493" s="883"/>
      <c r="O493" s="55">
        <v>713</v>
      </c>
      <c r="P493" s="78">
        <f>+N493</f>
        <v>0</v>
      </c>
    </row>
    <row r="494" spans="1:16" ht="12.75" customHeight="1" thickBot="1">
      <c r="A494" s="882"/>
      <c r="B494" s="934"/>
      <c r="C494" s="878"/>
      <c r="D494" s="882"/>
      <c r="E494" s="882"/>
      <c r="F494" s="884"/>
      <c r="G494" s="56">
        <v>721</v>
      </c>
      <c r="H494" s="79">
        <f>+F493-H493</f>
        <v>0</v>
      </c>
      <c r="I494" s="882"/>
      <c r="J494" s="876"/>
      <c r="K494" s="878"/>
      <c r="L494" s="882"/>
      <c r="M494" s="882"/>
      <c r="N494" s="884"/>
      <c r="O494" s="461">
        <v>723</v>
      </c>
      <c r="P494" s="352">
        <f>+N493-P493</f>
        <v>0</v>
      </c>
    </row>
    <row r="495" spans="1:16" ht="12.75" customHeight="1">
      <c r="A495" s="251"/>
      <c r="B495" s="452"/>
      <c r="C495" s="253"/>
      <c r="D495" s="251"/>
      <c r="E495" s="251"/>
      <c r="F495" s="254"/>
      <c r="G495" s="255"/>
      <c r="H495" s="256"/>
      <c r="I495" s="873"/>
      <c r="J495" s="875"/>
      <c r="K495" s="877"/>
      <c r="L495" s="881"/>
      <c r="M495" s="881"/>
      <c r="N495" s="883"/>
      <c r="O495" s="55">
        <v>719</v>
      </c>
      <c r="P495" s="78"/>
    </row>
    <row r="496" spans="1:16" ht="12.75" customHeight="1" thickBot="1">
      <c r="A496" s="251"/>
      <c r="B496" s="452"/>
      <c r="C496" s="253"/>
      <c r="D496" s="251"/>
      <c r="E496" s="251"/>
      <c r="F496" s="254"/>
      <c r="G496" s="255"/>
      <c r="H496" s="256"/>
      <c r="I496" s="882"/>
      <c r="J496" s="876"/>
      <c r="K496" s="878"/>
      <c r="L496" s="882"/>
      <c r="M496" s="882"/>
      <c r="N496" s="884"/>
      <c r="O496" s="461">
        <v>721</v>
      </c>
      <c r="P496" s="79">
        <f>+N495-P495</f>
        <v>0</v>
      </c>
    </row>
    <row r="497" spans="1:16" ht="12" customHeight="1">
      <c r="A497" s="881" t="e">
        <f>+A493+1</f>
        <v>#REF!</v>
      </c>
      <c r="B497" s="875">
        <v>42278</v>
      </c>
      <c r="C497" s="881" t="s">
        <v>28</v>
      </c>
      <c r="D497" s="881" t="s">
        <v>304</v>
      </c>
      <c r="E497" s="881" t="s">
        <v>115</v>
      </c>
      <c r="F497" s="883">
        <v>80000</v>
      </c>
      <c r="G497" s="55">
        <v>719</v>
      </c>
      <c r="H497" s="78">
        <v>80000</v>
      </c>
      <c r="I497" s="873"/>
      <c r="J497" s="875"/>
      <c r="K497" s="877"/>
      <c r="L497" s="881"/>
      <c r="M497" s="881"/>
      <c r="N497" s="883"/>
      <c r="O497" s="55">
        <v>719</v>
      </c>
      <c r="P497" s="78"/>
    </row>
    <row r="498" spans="1:16" ht="14.25" customHeight="1" thickBot="1">
      <c r="A498" s="882"/>
      <c r="B498" s="934"/>
      <c r="C498" s="882"/>
      <c r="D498" s="882"/>
      <c r="E498" s="882"/>
      <c r="F498" s="884"/>
      <c r="G498" s="56">
        <v>721</v>
      </c>
      <c r="H498" s="79">
        <f>+F497-H497</f>
        <v>0</v>
      </c>
      <c r="I498" s="882"/>
      <c r="J498" s="876"/>
      <c r="K498" s="878"/>
      <c r="L498" s="882"/>
      <c r="M498" s="882"/>
      <c r="N498" s="884"/>
      <c r="O498" s="461">
        <v>721</v>
      </c>
      <c r="P498" s="79">
        <f>+N497-P497</f>
        <v>0</v>
      </c>
    </row>
    <row r="499" spans="1:16" ht="12.75" customHeight="1">
      <c r="A499" s="881"/>
      <c r="B499" s="875"/>
      <c r="C499" s="877"/>
      <c r="D499" s="881"/>
      <c r="E499" s="881"/>
      <c r="F499" s="883"/>
      <c r="G499" s="55">
        <v>719</v>
      </c>
      <c r="H499" s="78"/>
      <c r="I499" s="873"/>
      <c r="J499" s="875"/>
      <c r="K499" s="877"/>
      <c r="L499" s="881"/>
      <c r="M499" s="881"/>
      <c r="N499" s="883"/>
      <c r="O499" s="55">
        <v>719</v>
      </c>
      <c r="P499" s="78"/>
    </row>
    <row r="500" spans="1:16" ht="14.25" customHeight="1" thickBot="1">
      <c r="A500" s="882"/>
      <c r="B500" s="934"/>
      <c r="C500" s="878"/>
      <c r="D500" s="882"/>
      <c r="E500" s="882"/>
      <c r="F500" s="884"/>
      <c r="G500" s="56">
        <v>721</v>
      </c>
      <c r="H500" s="79">
        <f>+F499-H499</f>
        <v>0</v>
      </c>
      <c r="I500" s="882"/>
      <c r="J500" s="876"/>
      <c r="K500" s="878"/>
      <c r="L500" s="882"/>
      <c r="M500" s="882"/>
      <c r="N500" s="884"/>
      <c r="O500" s="461">
        <v>721</v>
      </c>
      <c r="P500" s="79">
        <f>+N499-P499</f>
        <v>0</v>
      </c>
    </row>
    <row r="501" spans="1:16" ht="16.5" thickBot="1">
      <c r="A501" s="901" t="s">
        <v>102</v>
      </c>
      <c r="B501" s="902"/>
      <c r="C501" s="902"/>
      <c r="D501" s="902"/>
      <c r="E501" s="903"/>
      <c r="F501" s="81">
        <f>SUM(F493:F500)</f>
        <v>180000</v>
      </c>
      <c r="I501" s="901" t="s">
        <v>102</v>
      </c>
      <c r="J501" s="902"/>
      <c r="K501" s="902"/>
      <c r="L501" s="902"/>
      <c r="M501" s="903"/>
      <c r="N501" s="81">
        <f>SUM(N493:N500)</f>
        <v>0</v>
      </c>
    </row>
    <row r="502" spans="1:16" ht="16.5" thickBot="1">
      <c r="A502" s="885" t="s">
        <v>103</v>
      </c>
      <c r="B502" s="886"/>
      <c r="C502" s="886"/>
      <c r="D502" s="886"/>
      <c r="E502" s="887"/>
      <c r="F502" s="69">
        <f>+F468</f>
        <v>625728225</v>
      </c>
      <c r="I502" s="885" t="s">
        <v>103</v>
      </c>
      <c r="J502" s="886"/>
      <c r="K502" s="886"/>
      <c r="L502" s="886"/>
      <c r="M502" s="887"/>
      <c r="N502" s="239">
        <f>+N468</f>
        <v>300572978</v>
      </c>
      <c r="O502" s="241" t="s">
        <v>561</v>
      </c>
      <c r="P502" s="242"/>
    </row>
    <row r="503" spans="1:16" ht="16.5" thickBot="1">
      <c r="A503" s="888" t="s">
        <v>104</v>
      </c>
      <c r="B503" s="889"/>
      <c r="C503" s="889"/>
      <c r="D503" s="889"/>
      <c r="E503" s="890"/>
      <c r="F503" s="183">
        <f>SUM(F501:F502)</f>
        <v>625908225</v>
      </c>
      <c r="I503" s="888" t="s">
        <v>104</v>
      </c>
      <c r="J503" s="889"/>
      <c r="K503" s="889"/>
      <c r="L503" s="889"/>
      <c r="M503" s="890"/>
      <c r="N503" s="183">
        <f>SUM(N501:N502)</f>
        <v>300572978</v>
      </c>
    </row>
    <row r="504" spans="1:16" ht="9.75" customHeight="1">
      <c r="A504" s="61"/>
      <c r="B504" s="61"/>
      <c r="C504" s="61"/>
      <c r="D504" s="61"/>
      <c r="E504" s="61"/>
      <c r="I504" s="61"/>
      <c r="J504" s="61"/>
      <c r="K504" s="61"/>
      <c r="L504" s="61"/>
      <c r="M504" s="61"/>
    </row>
    <row r="505" spans="1:16">
      <c r="A505" s="51" t="s">
        <v>306</v>
      </c>
      <c r="I505" s="51" t="s">
        <v>2216</v>
      </c>
    </row>
    <row r="506" spans="1:16" ht="9.75" customHeight="1">
      <c r="F506" s="139"/>
      <c r="N506" s="139"/>
    </row>
    <row r="507" spans="1:16">
      <c r="A507" s="50" t="s">
        <v>105</v>
      </c>
      <c r="D507" s="146"/>
      <c r="F507" s="139"/>
      <c r="I507" s="50" t="s">
        <v>105</v>
      </c>
      <c r="L507" s="146"/>
      <c r="N507" s="139"/>
    </row>
    <row r="508" spans="1:16" ht="16.5" customHeight="1" thickBot="1"/>
    <row r="509" spans="1:16" ht="16.5" customHeight="1" thickBot="1">
      <c r="A509" s="891" t="s">
        <v>106</v>
      </c>
      <c r="B509" s="892"/>
      <c r="C509" s="892"/>
      <c r="D509" s="893"/>
      <c r="F509" s="50" t="s">
        <v>288</v>
      </c>
      <c r="I509" s="891" t="s">
        <v>106</v>
      </c>
      <c r="J509" s="892"/>
      <c r="K509" s="892"/>
      <c r="L509" s="893"/>
      <c r="N509" s="605" t="s">
        <v>288</v>
      </c>
      <c r="O509" s="605"/>
      <c r="P509" s="605"/>
    </row>
    <row r="510" spans="1:16" ht="27" customHeight="1" thickBot="1">
      <c r="A510" s="57" t="s">
        <v>100</v>
      </c>
      <c r="B510" s="58" t="s">
        <v>108</v>
      </c>
      <c r="C510" s="59" t="s">
        <v>109</v>
      </c>
      <c r="D510" s="60" t="s">
        <v>110</v>
      </c>
      <c r="I510" s="57" t="s">
        <v>100</v>
      </c>
      <c r="J510" s="58" t="s">
        <v>108</v>
      </c>
      <c r="K510" s="59" t="s">
        <v>109</v>
      </c>
      <c r="L510" s="60" t="s">
        <v>110</v>
      </c>
      <c r="N510" s="202"/>
      <c r="O510" s="202"/>
      <c r="P510" s="202"/>
    </row>
    <row r="511" spans="1:16" ht="12" customHeight="1">
      <c r="A511" s="71">
        <v>719</v>
      </c>
      <c r="B511" s="73" t="e">
        <f>+H493+H497+#REF!+#REF!+H499</f>
        <v>#REF!</v>
      </c>
      <c r="C511" s="74" t="e">
        <f>+D476</f>
        <v>#REF!</v>
      </c>
      <c r="D511" s="195" t="e">
        <f>+B511+C511</f>
        <v>#REF!</v>
      </c>
      <c r="I511" s="71">
        <v>719</v>
      </c>
      <c r="J511" s="73"/>
      <c r="K511" s="74">
        <f>+L476</f>
        <v>6110000</v>
      </c>
      <c r="L511" s="195">
        <f>+J511+K511</f>
        <v>6110000</v>
      </c>
      <c r="N511" s="202"/>
      <c r="O511" s="202"/>
      <c r="P511" s="202"/>
    </row>
    <row r="512" spans="1:16" ht="12" customHeight="1">
      <c r="A512" s="72">
        <v>721</v>
      </c>
      <c r="B512" s="80" t="e">
        <f>+H494+H498+#REF!+#REF!+H500</f>
        <v>#REF!</v>
      </c>
      <c r="C512" s="74" t="e">
        <f>+D477</f>
        <v>#REF!</v>
      </c>
      <c r="D512" s="195" t="e">
        <f>+B512+C512</f>
        <v>#REF!</v>
      </c>
      <c r="I512" s="72">
        <v>721</v>
      </c>
      <c r="J512" s="80">
        <f>+P494+P498+P500</f>
        <v>0</v>
      </c>
      <c r="K512" s="74">
        <f>+L477</f>
        <v>1834000</v>
      </c>
      <c r="L512" s="195">
        <f>+J512+K512</f>
        <v>1834000</v>
      </c>
      <c r="N512" s="202"/>
      <c r="O512" s="202"/>
      <c r="P512" s="202"/>
    </row>
    <row r="513" spans="1:16" ht="14.25" customHeight="1">
      <c r="A513" s="72">
        <v>722</v>
      </c>
      <c r="B513" s="80"/>
      <c r="C513" s="74">
        <f>+D478</f>
        <v>231207671</v>
      </c>
      <c r="D513" s="195">
        <f>+B513+C513</f>
        <v>231207671</v>
      </c>
      <c r="I513" s="72">
        <v>722</v>
      </c>
      <c r="J513" s="80"/>
      <c r="K513" s="74">
        <f>+L478</f>
        <v>0</v>
      </c>
      <c r="L513" s="195">
        <f>+J513+K513</f>
        <v>0</v>
      </c>
      <c r="N513" s="202"/>
      <c r="O513" s="202"/>
      <c r="P513" s="202"/>
    </row>
    <row r="514" spans="1:16" ht="13.5" customHeight="1">
      <c r="A514" s="72">
        <v>723</v>
      </c>
      <c r="B514" s="80"/>
      <c r="C514" s="74" t="e">
        <f>+D479</f>
        <v>#REF!</v>
      </c>
      <c r="D514" s="195" t="e">
        <f>+B514+C514</f>
        <v>#REF!</v>
      </c>
      <c r="F514" s="193" t="s">
        <v>289</v>
      </c>
      <c r="G514" s="175"/>
      <c r="I514" s="72">
        <v>723</v>
      </c>
      <c r="J514" s="80">
        <f>+P496</f>
        <v>0</v>
      </c>
      <c r="K514" s="74">
        <f>+L479</f>
        <v>292628978</v>
      </c>
      <c r="L514" s="195">
        <f>+J514+K514</f>
        <v>292628978</v>
      </c>
      <c r="N514" s="918" t="s">
        <v>2147</v>
      </c>
      <c r="O514" s="608"/>
      <c r="P514" s="608"/>
    </row>
    <row r="515" spans="1:16" ht="13.5" customHeight="1" thickBot="1">
      <c r="A515" s="164" t="s">
        <v>181</v>
      </c>
      <c r="B515" s="165"/>
      <c r="C515" s="74">
        <f>+D480</f>
        <v>1965625</v>
      </c>
      <c r="D515" s="196">
        <f>+B515+C515</f>
        <v>1965625</v>
      </c>
      <c r="F515" s="52"/>
      <c r="I515" s="164" t="s">
        <v>181</v>
      </c>
      <c r="J515" s="165">
        <f>+N501</f>
        <v>0</v>
      </c>
      <c r="K515" s="74">
        <f>+L480</f>
        <v>0</v>
      </c>
      <c r="L515" s="196">
        <f>+J515+K515</f>
        <v>0</v>
      </c>
      <c r="N515" s="52"/>
    </row>
    <row r="516" spans="1:16" ht="15.75" customHeight="1" thickBot="1">
      <c r="A516" s="169"/>
      <c r="B516" s="170" t="e">
        <f>SUM(B511:B515)</f>
        <v>#REF!</v>
      </c>
      <c r="C516" s="171" t="e">
        <f>SUM(C511:C515)</f>
        <v>#REF!</v>
      </c>
      <c r="D516" s="172" t="e">
        <f>SUM(D511:D515)</f>
        <v>#REF!</v>
      </c>
      <c r="I516" s="169"/>
      <c r="J516" s="197">
        <f>SUM(J511:J515)</f>
        <v>0</v>
      </c>
      <c r="K516" s="197">
        <f>SUM(K511:K515)</f>
        <v>300572978</v>
      </c>
      <c r="L516" s="198">
        <f>SUM(L511:L515)</f>
        <v>300572978</v>
      </c>
    </row>
    <row r="517" spans="1:16" ht="16.5">
      <c r="A517" s="49" t="s">
        <v>88</v>
      </c>
      <c r="B517" s="50"/>
      <c r="I517" s="49" t="s">
        <v>88</v>
      </c>
      <c r="J517" s="50"/>
    </row>
    <row r="518" spans="1:16">
      <c r="A518" s="51" t="s">
        <v>89</v>
      </c>
      <c r="I518" s="51" t="s">
        <v>89</v>
      </c>
    </row>
    <row r="519" spans="1:16">
      <c r="A519" s="51" t="s">
        <v>90</v>
      </c>
      <c r="I519" s="51" t="s">
        <v>90</v>
      </c>
    </row>
    <row r="520" spans="1:16">
      <c r="A520" s="51" t="s">
        <v>91</v>
      </c>
      <c r="I520" s="51" t="s">
        <v>91</v>
      </c>
    </row>
    <row r="521" spans="1:16" ht="6.75" customHeight="1">
      <c r="A521" s="50"/>
      <c r="B521" s="50"/>
      <c r="I521" s="50"/>
      <c r="J521" s="50"/>
    </row>
    <row r="522" spans="1:16" ht="16.5">
      <c r="A522" s="52" t="s">
        <v>308</v>
      </c>
      <c r="G522" s="52"/>
      <c r="I522" s="52" t="s">
        <v>638</v>
      </c>
      <c r="O522" s="52"/>
    </row>
    <row r="523" spans="1:16" ht="15.75">
      <c r="A523" s="53" t="s">
        <v>92</v>
      </c>
      <c r="G523" s="53"/>
      <c r="I523" s="53" t="s">
        <v>2139</v>
      </c>
      <c r="O523" s="53"/>
    </row>
    <row r="524" spans="1:16" ht="16.5">
      <c r="A524" s="894" t="s">
        <v>261</v>
      </c>
      <c r="B524" s="894"/>
      <c r="C524" s="894"/>
      <c r="D524" s="894"/>
      <c r="E524" s="894"/>
      <c r="F524" s="894"/>
      <c r="G524" s="894"/>
      <c r="H524" s="894"/>
      <c r="I524" s="894" t="s">
        <v>2223</v>
      </c>
      <c r="J524" s="894"/>
      <c r="K524" s="894"/>
      <c r="L524" s="894"/>
      <c r="M524" s="894"/>
      <c r="N524" s="894"/>
      <c r="O524" s="894"/>
      <c r="P524" s="894"/>
    </row>
    <row r="525" spans="1:16" ht="12.75" customHeight="1" thickBot="1"/>
    <row r="526" spans="1:16">
      <c r="A526" s="895" t="s">
        <v>94</v>
      </c>
      <c r="B526" s="897" t="s">
        <v>95</v>
      </c>
      <c r="C526" s="897" t="s">
        <v>96</v>
      </c>
      <c r="D526" s="897" t="s">
        <v>3</v>
      </c>
      <c r="E526" s="897" t="s">
        <v>97</v>
      </c>
      <c r="F526" s="897" t="s">
        <v>98</v>
      </c>
      <c r="G526" s="897" t="s">
        <v>99</v>
      </c>
      <c r="H526" s="899"/>
      <c r="I526" s="895" t="s">
        <v>94</v>
      </c>
      <c r="J526" s="897" t="s">
        <v>95</v>
      </c>
      <c r="K526" s="897" t="s">
        <v>96</v>
      </c>
      <c r="L526" s="897" t="s">
        <v>3</v>
      </c>
      <c r="M526" s="897" t="s">
        <v>97</v>
      </c>
      <c r="N526" s="897" t="s">
        <v>98</v>
      </c>
      <c r="O526" s="897" t="s">
        <v>99</v>
      </c>
      <c r="P526" s="899"/>
    </row>
    <row r="527" spans="1:16" ht="15.75" thickBot="1">
      <c r="A527" s="896"/>
      <c r="B527" s="898"/>
      <c r="C527" s="898"/>
      <c r="D527" s="898"/>
      <c r="E527" s="898"/>
      <c r="F527" s="898"/>
      <c r="G527" s="240" t="s">
        <v>100</v>
      </c>
      <c r="H527" s="182" t="s">
        <v>101</v>
      </c>
      <c r="I527" s="896"/>
      <c r="J527" s="898"/>
      <c r="K527" s="898"/>
      <c r="L527" s="898"/>
      <c r="M527" s="898"/>
      <c r="N527" s="898"/>
      <c r="O527" s="240" t="s">
        <v>100</v>
      </c>
      <c r="P527" s="182" t="s">
        <v>101</v>
      </c>
    </row>
    <row r="528" spans="1:16" ht="12" customHeight="1">
      <c r="A528" s="881" t="e">
        <f>+#REF!+1</f>
        <v>#REF!</v>
      </c>
      <c r="B528" s="875">
        <v>42286</v>
      </c>
      <c r="C528" s="877" t="s">
        <v>267</v>
      </c>
      <c r="D528" s="881" t="s">
        <v>310</v>
      </c>
      <c r="E528" s="881" t="s">
        <v>148</v>
      </c>
      <c r="F528" s="883">
        <v>224000</v>
      </c>
      <c r="G528" s="55">
        <v>719</v>
      </c>
      <c r="H528" s="78">
        <v>160000</v>
      </c>
      <c r="I528" s="873" t="s">
        <v>652</v>
      </c>
      <c r="J528" s="875">
        <v>44664</v>
      </c>
      <c r="K528" s="877" t="s">
        <v>1079</v>
      </c>
      <c r="L528" s="881" t="s">
        <v>2228</v>
      </c>
      <c r="M528" s="881" t="s">
        <v>148</v>
      </c>
      <c r="N528" s="883">
        <v>783000</v>
      </c>
      <c r="O528" s="55">
        <v>719</v>
      </c>
      <c r="P528" s="78">
        <v>580000</v>
      </c>
    </row>
    <row r="529" spans="1:16" ht="13.5" customHeight="1" thickBot="1">
      <c r="A529" s="882"/>
      <c r="B529" s="934"/>
      <c r="C529" s="878"/>
      <c r="D529" s="882"/>
      <c r="E529" s="882"/>
      <c r="F529" s="884"/>
      <c r="G529" s="56">
        <v>721</v>
      </c>
      <c r="H529" s="79">
        <f>+F528-H528</f>
        <v>64000</v>
      </c>
      <c r="I529" s="882"/>
      <c r="J529" s="876"/>
      <c r="K529" s="878"/>
      <c r="L529" s="882"/>
      <c r="M529" s="882"/>
      <c r="N529" s="884"/>
      <c r="O529" s="56">
        <v>721</v>
      </c>
      <c r="P529" s="79">
        <f>+N528-P528</f>
        <v>203000</v>
      </c>
    </row>
    <row r="530" spans="1:16" ht="13.5" customHeight="1">
      <c r="A530" s="251"/>
      <c r="B530" s="452"/>
      <c r="C530" s="253"/>
      <c r="D530" s="251"/>
      <c r="E530" s="251"/>
      <c r="F530" s="254"/>
      <c r="G530" s="255"/>
      <c r="H530" s="256"/>
      <c r="I530" s="873" t="s">
        <v>653</v>
      </c>
      <c r="J530" s="875">
        <v>44664</v>
      </c>
      <c r="K530" s="877" t="s">
        <v>120</v>
      </c>
      <c r="L530" s="881" t="s">
        <v>2222</v>
      </c>
      <c r="M530" s="881" t="s">
        <v>115</v>
      </c>
      <c r="N530" s="883">
        <v>1242000</v>
      </c>
      <c r="O530" s="55">
        <v>719</v>
      </c>
      <c r="P530" s="78">
        <v>920000</v>
      </c>
    </row>
    <row r="531" spans="1:16" ht="13.5" customHeight="1" thickBot="1">
      <c r="A531" s="251"/>
      <c r="B531" s="452"/>
      <c r="C531" s="253"/>
      <c r="D531" s="251"/>
      <c r="E531" s="251"/>
      <c r="F531" s="254"/>
      <c r="G531" s="255"/>
      <c r="H531" s="256"/>
      <c r="I531" s="882"/>
      <c r="J531" s="876"/>
      <c r="K531" s="878"/>
      <c r="L531" s="882"/>
      <c r="M531" s="882"/>
      <c r="N531" s="884"/>
      <c r="O531" s="56">
        <v>721</v>
      </c>
      <c r="P531" s="79">
        <f>+N530-P530</f>
        <v>322000</v>
      </c>
    </row>
    <row r="532" spans="1:16" ht="13.5" customHeight="1">
      <c r="A532" s="881" t="e">
        <f>+A528+1</f>
        <v>#REF!</v>
      </c>
      <c r="B532" s="875">
        <v>42286</v>
      </c>
      <c r="C532" s="881" t="s">
        <v>28</v>
      </c>
      <c r="D532" s="881" t="s">
        <v>310</v>
      </c>
      <c r="E532" s="881" t="s">
        <v>148</v>
      </c>
      <c r="F532" s="883">
        <v>392000</v>
      </c>
      <c r="G532" s="55">
        <v>719</v>
      </c>
      <c r="H532" s="78">
        <v>280000</v>
      </c>
      <c r="I532" s="873" t="s">
        <v>654</v>
      </c>
      <c r="J532" s="875">
        <v>44664</v>
      </c>
      <c r="K532" s="877" t="s">
        <v>111</v>
      </c>
      <c r="L532" s="881" t="s">
        <v>2221</v>
      </c>
      <c r="M532" s="881" t="s">
        <v>148</v>
      </c>
      <c r="N532" s="883">
        <v>81000</v>
      </c>
      <c r="O532" s="55">
        <v>719</v>
      </c>
      <c r="P532" s="78">
        <v>60000</v>
      </c>
    </row>
    <row r="533" spans="1:16" ht="13.5" customHeight="1" thickBot="1">
      <c r="A533" s="882"/>
      <c r="B533" s="934"/>
      <c r="C533" s="882"/>
      <c r="D533" s="882"/>
      <c r="E533" s="882"/>
      <c r="F533" s="884"/>
      <c r="G533" s="56">
        <v>721</v>
      </c>
      <c r="H533" s="79">
        <f>+F532-H532</f>
        <v>112000</v>
      </c>
      <c r="I533" s="882"/>
      <c r="J533" s="876"/>
      <c r="K533" s="878"/>
      <c r="L533" s="882"/>
      <c r="M533" s="882"/>
      <c r="N533" s="884"/>
      <c r="O533" s="56">
        <v>721</v>
      </c>
      <c r="P533" s="79">
        <f>+N532-P532</f>
        <v>21000</v>
      </c>
    </row>
    <row r="534" spans="1:16" ht="12" customHeight="1">
      <c r="A534" s="881" t="e">
        <f>+#REF!+1</f>
        <v>#REF!</v>
      </c>
      <c r="B534" s="875">
        <v>42286</v>
      </c>
      <c r="C534" s="877" t="s">
        <v>111</v>
      </c>
      <c r="D534" s="881" t="s">
        <v>311</v>
      </c>
      <c r="E534" s="881" t="s">
        <v>148</v>
      </c>
      <c r="F534" s="883">
        <v>84000</v>
      </c>
      <c r="G534" s="55">
        <v>719</v>
      </c>
      <c r="H534" s="78">
        <v>60000</v>
      </c>
      <c r="I534" s="873" t="s">
        <v>655</v>
      </c>
      <c r="J534" s="875">
        <v>44664</v>
      </c>
      <c r="K534" s="950" t="s">
        <v>2219</v>
      </c>
      <c r="L534" s="881" t="s">
        <v>2220</v>
      </c>
      <c r="M534" s="881" t="s">
        <v>115</v>
      </c>
      <c r="N534" s="883">
        <v>1200000</v>
      </c>
      <c r="O534" s="55">
        <v>721</v>
      </c>
      <c r="P534" s="78"/>
    </row>
    <row r="535" spans="1:16" ht="16.5" customHeight="1" thickBot="1">
      <c r="A535" s="882"/>
      <c r="B535" s="934"/>
      <c r="C535" s="878"/>
      <c r="D535" s="882"/>
      <c r="E535" s="882"/>
      <c r="F535" s="884"/>
      <c r="G535" s="56">
        <v>721</v>
      </c>
      <c r="H535" s="79">
        <f>+F534-H534</f>
        <v>24000</v>
      </c>
      <c r="I535" s="882"/>
      <c r="J535" s="876"/>
      <c r="K535" s="951"/>
      <c r="L535" s="882"/>
      <c r="M535" s="882"/>
      <c r="N535" s="884"/>
      <c r="O535" s="56">
        <v>723</v>
      </c>
      <c r="P535" s="79">
        <f>+N534-P534</f>
        <v>1200000</v>
      </c>
    </row>
    <row r="536" spans="1:16" ht="16.5" thickBot="1">
      <c r="A536" s="901" t="s">
        <v>102</v>
      </c>
      <c r="B536" s="902"/>
      <c r="C536" s="902"/>
      <c r="D536" s="902"/>
      <c r="E536" s="903"/>
      <c r="F536" s="81">
        <f>SUM(F528:F535)</f>
        <v>700000</v>
      </c>
      <c r="I536" s="901" t="s">
        <v>102</v>
      </c>
      <c r="J536" s="902"/>
      <c r="K536" s="902"/>
      <c r="L536" s="902"/>
      <c r="M536" s="903"/>
      <c r="N536" s="81">
        <f>SUM(N528:N535)</f>
        <v>3306000</v>
      </c>
    </row>
    <row r="537" spans="1:16" ht="16.5" thickBot="1">
      <c r="A537" s="885" t="s">
        <v>103</v>
      </c>
      <c r="B537" s="886"/>
      <c r="C537" s="886"/>
      <c r="D537" s="886"/>
      <c r="E537" s="887"/>
      <c r="F537" s="69">
        <f>+F503</f>
        <v>625908225</v>
      </c>
      <c r="I537" s="885" t="s">
        <v>103</v>
      </c>
      <c r="J537" s="886"/>
      <c r="K537" s="886"/>
      <c r="L537" s="886"/>
      <c r="M537" s="887"/>
      <c r="N537" s="239">
        <f>+N503</f>
        <v>300572978</v>
      </c>
      <c r="O537" s="241" t="s">
        <v>561</v>
      </c>
      <c r="P537" s="242">
        <f>99+282+36+1767</f>
        <v>2184</v>
      </c>
    </row>
    <row r="538" spans="1:16" ht="16.5" thickBot="1">
      <c r="A538" s="888" t="s">
        <v>104</v>
      </c>
      <c r="B538" s="889"/>
      <c r="C538" s="889"/>
      <c r="D538" s="889"/>
      <c r="E538" s="890"/>
      <c r="F538" s="183">
        <f>SUM(F536:F537)</f>
        <v>626608225</v>
      </c>
      <c r="I538" s="888" t="s">
        <v>104</v>
      </c>
      <c r="J538" s="889"/>
      <c r="K538" s="889"/>
      <c r="L538" s="889"/>
      <c r="M538" s="890"/>
      <c r="N538" s="183">
        <f>SUM(N536:N537)</f>
        <v>303878978</v>
      </c>
    </row>
    <row r="539" spans="1:16" ht="6.75" customHeight="1">
      <c r="A539" s="61"/>
      <c r="B539" s="61"/>
      <c r="C539" s="61"/>
      <c r="D539" s="61"/>
      <c r="E539" s="61"/>
      <c r="I539" s="61"/>
      <c r="J539" s="61"/>
      <c r="K539" s="61"/>
      <c r="L539" s="61"/>
      <c r="M539" s="61"/>
    </row>
    <row r="540" spans="1:16">
      <c r="A540" s="51" t="s">
        <v>312</v>
      </c>
      <c r="I540" s="51" t="s">
        <v>2229</v>
      </c>
    </row>
    <row r="541" spans="1:16" ht="5.25" customHeight="1">
      <c r="F541" s="139"/>
      <c r="N541" s="139"/>
    </row>
    <row r="542" spans="1:16">
      <c r="A542" s="50" t="s">
        <v>105</v>
      </c>
      <c r="D542" s="146"/>
      <c r="F542" s="139"/>
      <c r="I542" s="50" t="s">
        <v>105</v>
      </c>
      <c r="L542" s="146"/>
      <c r="N542" s="139"/>
    </row>
    <row r="543" spans="1:16" ht="11.25" customHeight="1" thickBot="1"/>
    <row r="544" spans="1:16" ht="17.25" thickBot="1">
      <c r="A544" s="891" t="s">
        <v>106</v>
      </c>
      <c r="B544" s="892"/>
      <c r="C544" s="892"/>
      <c r="D544" s="893"/>
      <c r="F544" s="50" t="s">
        <v>288</v>
      </c>
      <c r="I544" s="891" t="s">
        <v>106</v>
      </c>
      <c r="J544" s="892"/>
      <c r="K544" s="892"/>
      <c r="L544" s="893"/>
      <c r="N544" s="605" t="s">
        <v>288</v>
      </c>
      <c r="O544" s="605"/>
      <c r="P544" s="605"/>
    </row>
    <row r="545" spans="1:16" ht="30.75" thickBot="1">
      <c r="A545" s="57" t="s">
        <v>100</v>
      </c>
      <c r="B545" s="58" t="s">
        <v>108</v>
      </c>
      <c r="C545" s="59" t="s">
        <v>109</v>
      </c>
      <c r="D545" s="60" t="s">
        <v>110</v>
      </c>
      <c r="I545" s="57" t="s">
        <v>100</v>
      </c>
      <c r="J545" s="58" t="s">
        <v>108</v>
      </c>
      <c r="K545" s="59" t="s">
        <v>109</v>
      </c>
      <c r="L545" s="60" t="s">
        <v>110</v>
      </c>
      <c r="N545" s="202"/>
      <c r="O545" s="202"/>
      <c r="P545" s="202"/>
    </row>
    <row r="546" spans="1:16" ht="14.25" customHeight="1">
      <c r="A546" s="71">
        <v>719</v>
      </c>
      <c r="B546" s="73" t="e">
        <f>+H528+H532+#REF!+H534+#REF!</f>
        <v>#REF!</v>
      </c>
      <c r="C546" s="74" t="e">
        <f>+D511</f>
        <v>#REF!</v>
      </c>
      <c r="D546" s="195" t="e">
        <f>+B546+C546</f>
        <v>#REF!</v>
      </c>
      <c r="I546" s="71">
        <v>719</v>
      </c>
      <c r="J546" s="73">
        <f>+P528+P530+P532</f>
        <v>1560000</v>
      </c>
      <c r="K546" s="74">
        <f>+L511</f>
        <v>6110000</v>
      </c>
      <c r="L546" s="195">
        <f>+J546+K546</f>
        <v>7670000</v>
      </c>
      <c r="N546" s="202"/>
      <c r="O546" s="202"/>
      <c r="P546" s="202"/>
    </row>
    <row r="547" spans="1:16" ht="15" customHeight="1">
      <c r="A547" s="72">
        <v>721</v>
      </c>
      <c r="B547" s="80" t="e">
        <f>+H529+H533+#REF!+H535+#REF!</f>
        <v>#REF!</v>
      </c>
      <c r="C547" s="74" t="e">
        <f>+D512</f>
        <v>#REF!</v>
      </c>
      <c r="D547" s="195" t="e">
        <f>+B547+C547</f>
        <v>#REF!</v>
      </c>
      <c r="I547" s="72">
        <v>721</v>
      </c>
      <c r="J547" s="80">
        <f>+P529+P531+P533</f>
        <v>546000</v>
      </c>
      <c r="K547" s="74">
        <f>+L512</f>
        <v>1834000</v>
      </c>
      <c r="L547" s="195">
        <f>+J547+K547</f>
        <v>2380000</v>
      </c>
      <c r="N547" s="202"/>
      <c r="O547" s="202"/>
      <c r="P547" s="202"/>
    </row>
    <row r="548" spans="1:16" ht="14.25" customHeight="1">
      <c r="A548" s="72">
        <v>722</v>
      </c>
      <c r="B548" s="80"/>
      <c r="C548" s="74">
        <f>+D513</f>
        <v>231207671</v>
      </c>
      <c r="D548" s="195">
        <f>+B548+C548</f>
        <v>231207671</v>
      </c>
      <c r="I548" s="72">
        <v>722</v>
      </c>
      <c r="J548" s="80"/>
      <c r="K548" s="74">
        <f>+L513</f>
        <v>0</v>
      </c>
      <c r="L548" s="195">
        <f>+J548+K548</f>
        <v>0</v>
      </c>
      <c r="N548" s="202"/>
      <c r="O548" s="202"/>
      <c r="P548" s="202"/>
    </row>
    <row r="549" spans="1:16" ht="14.25" customHeight="1" thickBot="1">
      <c r="A549" s="72">
        <v>723</v>
      </c>
      <c r="B549" s="80"/>
      <c r="C549" s="74" t="e">
        <f>+D514</f>
        <v>#REF!</v>
      </c>
      <c r="D549" s="195" t="e">
        <f>+B549+C549</f>
        <v>#REF!</v>
      </c>
      <c r="F549" s="193" t="s">
        <v>289</v>
      </c>
      <c r="G549" s="175"/>
      <c r="I549" s="72">
        <v>723</v>
      </c>
      <c r="J549" s="80">
        <f>+P535</f>
        <v>1200000</v>
      </c>
      <c r="K549" s="74">
        <f>+L514</f>
        <v>292628978</v>
      </c>
      <c r="L549" s="195">
        <f>+J549+K549</f>
        <v>293828978</v>
      </c>
      <c r="N549" s="918" t="s">
        <v>2147</v>
      </c>
      <c r="O549" s="608"/>
      <c r="P549" s="608"/>
    </row>
    <row r="550" spans="1:16" ht="12.75" hidden="1" customHeight="1" thickBot="1">
      <c r="A550" s="482"/>
      <c r="B550" s="483"/>
      <c r="C550" s="199"/>
      <c r="D550" s="196"/>
      <c r="F550" s="193"/>
      <c r="G550" s="175"/>
      <c r="I550" s="164" t="s">
        <v>181</v>
      </c>
      <c r="J550" s="484"/>
      <c r="K550" s="485">
        <f>+L515</f>
        <v>0</v>
      </c>
      <c r="L550" s="486">
        <f>+J550+K550</f>
        <v>0</v>
      </c>
      <c r="N550" s="189"/>
      <c r="O550" s="222"/>
      <c r="P550" s="222"/>
    </row>
    <row r="551" spans="1:16" ht="16.5" customHeight="1" thickBot="1">
      <c r="A551" s="169"/>
      <c r="B551" s="170" t="e">
        <f>SUM(B546:B549)</f>
        <v>#REF!</v>
      </c>
      <c r="C551" s="171" t="e">
        <f>SUM(C546:C549)</f>
        <v>#REF!</v>
      </c>
      <c r="D551" s="172" t="e">
        <f>SUM(D546:D549)</f>
        <v>#REF!</v>
      </c>
      <c r="I551" s="169"/>
      <c r="J551" s="470">
        <f>SUM(J546:J549)</f>
        <v>3306000</v>
      </c>
      <c r="K551" s="470">
        <f>SUM(K546:K550)</f>
        <v>300572978</v>
      </c>
      <c r="L551" s="487">
        <f>SUM(L546:L550)</f>
        <v>303878978</v>
      </c>
    </row>
    <row r="552" spans="1:16" ht="16.5">
      <c r="A552" s="49" t="s">
        <v>88</v>
      </c>
      <c r="B552" s="50"/>
      <c r="I552" s="49" t="s">
        <v>88</v>
      </c>
      <c r="J552" s="50"/>
    </row>
    <row r="553" spans="1:16">
      <c r="A553" s="51" t="s">
        <v>89</v>
      </c>
      <c r="I553" s="51" t="s">
        <v>89</v>
      </c>
    </row>
    <row r="554" spans="1:16">
      <c r="A554" s="51" t="s">
        <v>90</v>
      </c>
      <c r="I554" s="51" t="s">
        <v>90</v>
      </c>
    </row>
    <row r="555" spans="1:16">
      <c r="A555" s="51" t="s">
        <v>91</v>
      </c>
      <c r="I555" s="51" t="s">
        <v>91</v>
      </c>
    </row>
    <row r="556" spans="1:16" ht="9.75" customHeight="1">
      <c r="A556" s="50"/>
      <c r="B556" s="50"/>
      <c r="I556" s="50"/>
      <c r="J556" s="50"/>
    </row>
    <row r="557" spans="1:16" ht="16.5">
      <c r="A557" s="52" t="s">
        <v>309</v>
      </c>
      <c r="G557" s="52"/>
      <c r="I557" s="52" t="s">
        <v>639</v>
      </c>
      <c r="O557" s="52"/>
    </row>
    <row r="558" spans="1:16" ht="15.75">
      <c r="A558" s="53" t="s">
        <v>92</v>
      </c>
      <c r="G558" s="53"/>
      <c r="I558" s="53" t="s">
        <v>2139</v>
      </c>
      <c r="O558" s="53"/>
    </row>
    <row r="559" spans="1:16" ht="15" customHeight="1">
      <c r="A559" s="894" t="s">
        <v>261</v>
      </c>
      <c r="B559" s="894"/>
      <c r="C559" s="894"/>
      <c r="D559" s="894"/>
      <c r="E559" s="894"/>
      <c r="F559" s="894"/>
      <c r="G559" s="894"/>
      <c r="H559" s="894"/>
      <c r="I559" s="894" t="s">
        <v>228</v>
      </c>
      <c r="J559" s="894"/>
      <c r="K559" s="894"/>
      <c r="L559" s="894"/>
      <c r="M559" s="894"/>
      <c r="N559" s="894"/>
      <c r="O559" s="894"/>
      <c r="P559" s="894"/>
    </row>
    <row r="560" spans="1:16" ht="9.75" customHeight="1" thickBot="1"/>
    <row r="561" spans="1:19">
      <c r="A561" s="895" t="s">
        <v>94</v>
      </c>
      <c r="B561" s="897" t="s">
        <v>95</v>
      </c>
      <c r="C561" s="897" t="s">
        <v>96</v>
      </c>
      <c r="D561" s="897" t="s">
        <v>3</v>
      </c>
      <c r="E561" s="897" t="s">
        <v>97</v>
      </c>
      <c r="F561" s="897" t="s">
        <v>98</v>
      </c>
      <c r="G561" s="897" t="s">
        <v>99</v>
      </c>
      <c r="H561" s="899"/>
      <c r="I561" s="895" t="s">
        <v>94</v>
      </c>
      <c r="J561" s="897" t="s">
        <v>95</v>
      </c>
      <c r="K561" s="897" t="s">
        <v>96</v>
      </c>
      <c r="L561" s="897" t="s">
        <v>3</v>
      </c>
      <c r="M561" s="897" t="s">
        <v>97</v>
      </c>
      <c r="N561" s="897" t="s">
        <v>98</v>
      </c>
      <c r="O561" s="897" t="s">
        <v>99</v>
      </c>
      <c r="P561" s="899"/>
    </row>
    <row r="562" spans="1:19" ht="15.75" thickBot="1">
      <c r="A562" s="896"/>
      <c r="B562" s="898"/>
      <c r="C562" s="898"/>
      <c r="D562" s="898"/>
      <c r="E562" s="898"/>
      <c r="F562" s="898"/>
      <c r="G562" s="240" t="s">
        <v>100</v>
      </c>
      <c r="H562" s="182" t="s">
        <v>101</v>
      </c>
      <c r="I562" s="896"/>
      <c r="J562" s="898"/>
      <c r="K562" s="898"/>
      <c r="L562" s="898"/>
      <c r="M562" s="898"/>
      <c r="N562" s="898"/>
      <c r="O562" s="240" t="s">
        <v>100</v>
      </c>
      <c r="P562" s="182" t="s">
        <v>101</v>
      </c>
    </row>
    <row r="563" spans="1:19" ht="13.5" customHeight="1">
      <c r="A563" s="881" t="e">
        <f>+#REF!+1</f>
        <v>#REF!</v>
      </c>
      <c r="B563" s="875">
        <v>42286</v>
      </c>
      <c r="C563" s="877" t="s">
        <v>272</v>
      </c>
      <c r="D563" s="881" t="s">
        <v>313</v>
      </c>
      <c r="E563" s="881" t="s">
        <v>115</v>
      </c>
      <c r="F563" s="883">
        <v>50000</v>
      </c>
      <c r="G563" s="55">
        <v>719</v>
      </c>
      <c r="H563" s="78">
        <v>50000</v>
      </c>
      <c r="I563" s="873" t="s">
        <v>656</v>
      </c>
      <c r="J563" s="875">
        <v>44672</v>
      </c>
      <c r="K563" s="877" t="s">
        <v>1079</v>
      </c>
      <c r="L563" s="881" t="s">
        <v>2230</v>
      </c>
      <c r="M563" s="881" t="s">
        <v>148</v>
      </c>
      <c r="N563" s="883">
        <v>459000</v>
      </c>
      <c r="O563" s="55">
        <v>719</v>
      </c>
      <c r="P563" s="78">
        <v>340000</v>
      </c>
    </row>
    <row r="564" spans="1:19" ht="12.75" customHeight="1" thickBot="1">
      <c r="A564" s="882"/>
      <c r="B564" s="876"/>
      <c r="C564" s="878"/>
      <c r="D564" s="882"/>
      <c r="E564" s="882"/>
      <c r="F564" s="884"/>
      <c r="G564" s="56">
        <v>721</v>
      </c>
      <c r="H564" s="79">
        <f>+F563-H563</f>
        <v>0</v>
      </c>
      <c r="I564" s="882"/>
      <c r="J564" s="876"/>
      <c r="K564" s="878"/>
      <c r="L564" s="882"/>
      <c r="M564" s="882"/>
      <c r="N564" s="884"/>
      <c r="O564" s="56">
        <v>721</v>
      </c>
      <c r="P564" s="79">
        <f>+N563-P563</f>
        <v>119000</v>
      </c>
    </row>
    <row r="565" spans="1:19" ht="12.75" customHeight="1">
      <c r="A565" s="881" t="e">
        <f>+A563+1</f>
        <v>#REF!</v>
      </c>
      <c r="B565" s="875">
        <v>42286</v>
      </c>
      <c r="C565" s="881" t="s">
        <v>28</v>
      </c>
      <c r="D565" s="881" t="s">
        <v>314</v>
      </c>
      <c r="E565" s="881" t="s">
        <v>115</v>
      </c>
      <c r="F565" s="883">
        <v>20000</v>
      </c>
      <c r="G565" s="55">
        <v>719</v>
      </c>
      <c r="H565" s="78">
        <v>20000</v>
      </c>
      <c r="I565" s="873" t="s">
        <v>657</v>
      </c>
      <c r="J565" s="875">
        <v>44672</v>
      </c>
      <c r="K565" s="877" t="s">
        <v>2231</v>
      </c>
      <c r="L565" s="881" t="s">
        <v>2140</v>
      </c>
      <c r="M565" s="881" t="s">
        <v>148</v>
      </c>
      <c r="N565" s="883">
        <v>960000</v>
      </c>
      <c r="O565" s="55">
        <v>719</v>
      </c>
      <c r="P565" s="78">
        <v>960000</v>
      </c>
      <c r="S565" s="51" t="s">
        <v>631</v>
      </c>
    </row>
    <row r="566" spans="1:19" ht="12.75" customHeight="1" thickBot="1">
      <c r="A566" s="882"/>
      <c r="B566" s="876"/>
      <c r="C566" s="882"/>
      <c r="D566" s="882"/>
      <c r="E566" s="882"/>
      <c r="F566" s="884"/>
      <c r="G566" s="56">
        <v>721</v>
      </c>
      <c r="H566" s="79">
        <f>+F565-H565</f>
        <v>0</v>
      </c>
      <c r="I566" s="882"/>
      <c r="J566" s="876"/>
      <c r="K566" s="878"/>
      <c r="L566" s="882"/>
      <c r="M566" s="882"/>
      <c r="N566" s="884"/>
      <c r="O566" s="56">
        <v>723</v>
      </c>
      <c r="P566" s="79">
        <f>+N565-P565</f>
        <v>0</v>
      </c>
    </row>
    <row r="567" spans="1:19" ht="15" customHeight="1">
      <c r="A567" s="881" t="e">
        <f>+#REF!+1</f>
        <v>#REF!</v>
      </c>
      <c r="B567" s="875">
        <v>42286</v>
      </c>
      <c r="C567" s="877" t="s">
        <v>120</v>
      </c>
      <c r="D567" s="881" t="s">
        <v>316</v>
      </c>
      <c r="E567" s="881" t="s">
        <v>115</v>
      </c>
      <c r="F567" s="883">
        <v>10000</v>
      </c>
      <c r="G567" s="55">
        <v>719</v>
      </c>
      <c r="H567" s="78">
        <v>10000</v>
      </c>
      <c r="I567" s="873"/>
      <c r="J567" s="875"/>
      <c r="K567" s="877"/>
      <c r="L567" s="881"/>
      <c r="M567" s="881"/>
      <c r="N567" s="883"/>
      <c r="O567" s="55">
        <v>723</v>
      </c>
      <c r="P567" s="78">
        <f>+N567</f>
        <v>0</v>
      </c>
    </row>
    <row r="568" spans="1:19" ht="12.75" customHeight="1" thickBot="1">
      <c r="A568" s="882"/>
      <c r="B568" s="876"/>
      <c r="C568" s="878"/>
      <c r="D568" s="882"/>
      <c r="E568" s="882"/>
      <c r="F568" s="884"/>
      <c r="G568" s="56">
        <v>721</v>
      </c>
      <c r="H568" s="79">
        <f>+F567-H567</f>
        <v>0</v>
      </c>
      <c r="I568" s="882"/>
      <c r="J568" s="876"/>
      <c r="K568" s="878"/>
      <c r="L568" s="882"/>
      <c r="M568" s="882"/>
      <c r="N568" s="884"/>
      <c r="O568" s="56">
        <v>721</v>
      </c>
      <c r="P568" s="79">
        <f>+N567-P567</f>
        <v>0</v>
      </c>
    </row>
    <row r="569" spans="1:19" ht="16.5" thickBot="1">
      <c r="A569" s="901" t="s">
        <v>102</v>
      </c>
      <c r="B569" s="902"/>
      <c r="C569" s="902"/>
      <c r="D569" s="902"/>
      <c r="E569" s="903"/>
      <c r="F569" s="81">
        <f>SUM(F563:F568)</f>
        <v>80000</v>
      </c>
      <c r="I569" s="901" t="s">
        <v>102</v>
      </c>
      <c r="J569" s="902"/>
      <c r="K569" s="902"/>
      <c r="L569" s="902"/>
      <c r="M569" s="903"/>
      <c r="N569" s="81">
        <f>SUM(N563:N568)</f>
        <v>1419000</v>
      </c>
    </row>
    <row r="570" spans="1:19" ht="16.5" thickBot="1">
      <c r="A570" s="885" t="s">
        <v>103</v>
      </c>
      <c r="B570" s="886"/>
      <c r="C570" s="886"/>
      <c r="D570" s="886"/>
      <c r="E570" s="887"/>
      <c r="F570" s="69">
        <f>+F538</f>
        <v>626608225</v>
      </c>
      <c r="I570" s="885" t="s">
        <v>103</v>
      </c>
      <c r="J570" s="886"/>
      <c r="K570" s="886"/>
      <c r="L570" s="886"/>
      <c r="M570" s="887"/>
      <c r="N570" s="239">
        <f>+N538</f>
        <v>303878978</v>
      </c>
      <c r="O570" s="241" t="s">
        <v>561</v>
      </c>
      <c r="P570" s="242">
        <v>217</v>
      </c>
    </row>
    <row r="571" spans="1:19" ht="14.25" customHeight="1" thickBot="1">
      <c r="A571" s="888" t="s">
        <v>104</v>
      </c>
      <c r="B571" s="889"/>
      <c r="C571" s="889"/>
      <c r="D571" s="889"/>
      <c r="E571" s="890"/>
      <c r="F571" s="183">
        <f>SUM(F569:F570)</f>
        <v>626688225</v>
      </c>
      <c r="I571" s="888" t="s">
        <v>104</v>
      </c>
      <c r="J571" s="889"/>
      <c r="K571" s="889"/>
      <c r="L571" s="889"/>
      <c r="M571" s="890"/>
      <c r="N571" s="183">
        <f>SUM(N569:N570)</f>
        <v>305297978</v>
      </c>
    </row>
    <row r="572" spans="1:19" ht="9.75" customHeight="1">
      <c r="A572" s="61"/>
      <c r="B572" s="61"/>
      <c r="C572" s="61"/>
      <c r="D572" s="61"/>
      <c r="E572" s="61"/>
      <c r="I572" s="61"/>
      <c r="J572" s="61"/>
      <c r="K572" s="61"/>
      <c r="L572" s="61"/>
      <c r="M572" s="61"/>
    </row>
    <row r="573" spans="1:19">
      <c r="A573" s="51" t="s">
        <v>317</v>
      </c>
      <c r="I573" s="51" t="s">
        <v>2232</v>
      </c>
    </row>
    <row r="574" spans="1:19" ht="9" customHeight="1">
      <c r="F574" s="139"/>
      <c r="N574" s="139"/>
    </row>
    <row r="575" spans="1:19">
      <c r="A575" s="50" t="s">
        <v>105</v>
      </c>
      <c r="D575" s="146"/>
      <c r="F575" s="139"/>
      <c r="I575" s="50" t="s">
        <v>105</v>
      </c>
      <c r="L575" s="146"/>
      <c r="N575" s="139"/>
    </row>
    <row r="576" spans="1:19" ht="18.75" customHeight="1" thickBot="1"/>
    <row r="577" spans="1:16" ht="17.25" thickBot="1">
      <c r="A577" s="891" t="s">
        <v>106</v>
      </c>
      <c r="B577" s="892"/>
      <c r="C577" s="892"/>
      <c r="D577" s="893"/>
      <c r="F577" s="50" t="s">
        <v>288</v>
      </c>
      <c r="I577" s="891" t="s">
        <v>106</v>
      </c>
      <c r="J577" s="892"/>
      <c r="K577" s="892"/>
      <c r="L577" s="893"/>
      <c r="N577" s="605" t="s">
        <v>288</v>
      </c>
      <c r="O577" s="605"/>
      <c r="P577" s="605"/>
    </row>
    <row r="578" spans="1:16" ht="29.25" customHeight="1" thickBot="1">
      <c r="A578" s="57" t="s">
        <v>100</v>
      </c>
      <c r="B578" s="58" t="s">
        <v>108</v>
      </c>
      <c r="C578" s="59" t="s">
        <v>109</v>
      </c>
      <c r="D578" s="60" t="s">
        <v>110</v>
      </c>
      <c r="I578" s="57" t="s">
        <v>100</v>
      </c>
      <c r="J578" s="58" t="s">
        <v>108</v>
      </c>
      <c r="K578" s="59" t="s">
        <v>109</v>
      </c>
      <c r="L578" s="60" t="s">
        <v>110</v>
      </c>
      <c r="N578" s="202"/>
      <c r="O578" s="202"/>
      <c r="P578" s="202"/>
    </row>
    <row r="579" spans="1:16" ht="16.5">
      <c r="A579" s="71">
        <v>719</v>
      </c>
      <c r="B579" s="73" t="e">
        <f>+H563+H565+#REF!+H567+#REF!</f>
        <v>#REF!</v>
      </c>
      <c r="C579" s="74" t="e">
        <f>+D546</f>
        <v>#REF!</v>
      </c>
      <c r="D579" s="195" t="e">
        <f>+B579+C579</f>
        <v>#REF!</v>
      </c>
      <c r="I579" s="71">
        <v>719</v>
      </c>
      <c r="J579" s="73">
        <f>+P563</f>
        <v>340000</v>
      </c>
      <c r="K579" s="74">
        <f>+L546</f>
        <v>7670000</v>
      </c>
      <c r="L579" s="195">
        <f>+J579+K579</f>
        <v>8010000</v>
      </c>
      <c r="N579" s="202"/>
      <c r="O579" s="202"/>
      <c r="P579" s="202"/>
    </row>
    <row r="580" spans="1:16" ht="12.75" customHeight="1">
      <c r="A580" s="72">
        <v>721</v>
      </c>
      <c r="B580" s="80" t="e">
        <f>+H564+H566+#REF!+H568+#REF!</f>
        <v>#REF!</v>
      </c>
      <c r="C580" s="74" t="e">
        <f>+D547</f>
        <v>#REF!</v>
      </c>
      <c r="D580" s="195" t="e">
        <f>+B580+C580</f>
        <v>#REF!</v>
      </c>
      <c r="I580" s="72">
        <v>721</v>
      </c>
      <c r="J580" s="80">
        <f>+P564</f>
        <v>119000</v>
      </c>
      <c r="K580" s="74">
        <f>+L547</f>
        <v>2380000</v>
      </c>
      <c r="L580" s="195">
        <f>+J580+K580</f>
        <v>2499000</v>
      </c>
      <c r="N580" s="202"/>
      <c r="O580" s="202"/>
      <c r="P580" s="202"/>
    </row>
    <row r="581" spans="1:16" ht="12.75" customHeight="1">
      <c r="A581" s="72">
        <v>722</v>
      </c>
      <c r="B581" s="80"/>
      <c r="C581" s="74">
        <f>+D548</f>
        <v>231207671</v>
      </c>
      <c r="D581" s="195">
        <f>+B581+C581</f>
        <v>231207671</v>
      </c>
      <c r="I581" s="72">
        <v>722</v>
      </c>
      <c r="J581" s="80"/>
      <c r="K581" s="74">
        <f>+L548</f>
        <v>0</v>
      </c>
      <c r="L581" s="195">
        <f>+J581+K581</f>
        <v>0</v>
      </c>
      <c r="N581" s="202"/>
      <c r="O581" s="202"/>
      <c r="P581" s="202"/>
    </row>
    <row r="582" spans="1:16" ht="14.25" customHeight="1">
      <c r="A582" s="72">
        <v>723</v>
      </c>
      <c r="B582" s="80"/>
      <c r="C582" s="74" t="e">
        <f>+D549</f>
        <v>#REF!</v>
      </c>
      <c r="D582" s="195" t="e">
        <f>+B582+C582</f>
        <v>#REF!</v>
      </c>
      <c r="F582" s="193" t="s">
        <v>289</v>
      </c>
      <c r="G582" s="175"/>
      <c r="I582" s="72">
        <v>723</v>
      </c>
      <c r="J582" s="80">
        <f>+P565</f>
        <v>960000</v>
      </c>
      <c r="K582" s="74">
        <f>+L549</f>
        <v>293828978</v>
      </c>
      <c r="L582" s="195">
        <f>+J582+K582</f>
        <v>294788978</v>
      </c>
      <c r="N582" s="918" t="s">
        <v>2147</v>
      </c>
      <c r="O582" s="608"/>
      <c r="P582" s="608"/>
    </row>
    <row r="583" spans="1:16" ht="15" customHeight="1" thickBot="1">
      <c r="A583" s="482"/>
      <c r="B583" s="484"/>
      <c r="C583" s="488"/>
      <c r="D583" s="486"/>
      <c r="F583" s="193"/>
      <c r="G583" s="175"/>
      <c r="I583" s="164" t="s">
        <v>181</v>
      </c>
      <c r="J583" s="484"/>
      <c r="K583" s="485">
        <f>+K550</f>
        <v>0</v>
      </c>
      <c r="L583" s="486">
        <f>+J583+K583</f>
        <v>0</v>
      </c>
      <c r="N583" s="189"/>
      <c r="O583" s="222"/>
      <c r="P583" s="222"/>
    </row>
    <row r="584" spans="1:16" ht="18" customHeight="1" thickBot="1">
      <c r="A584" s="169"/>
      <c r="B584" s="197" t="e">
        <f>SUM(B579:B582)</f>
        <v>#REF!</v>
      </c>
      <c r="C584" s="200" t="e">
        <f>+D551</f>
        <v>#REF!</v>
      </c>
      <c r="D584" s="198" t="e">
        <f>SUM(D579:D582)</f>
        <v>#REF!</v>
      </c>
      <c r="I584" s="169"/>
      <c r="J584" s="470">
        <f>SUM(J579:J582)</f>
        <v>1419000</v>
      </c>
      <c r="K584" s="470">
        <f>SUM(K579:K583)</f>
        <v>303878978</v>
      </c>
      <c r="L584" s="198">
        <f>SUM(L579:L583)</f>
        <v>305297978</v>
      </c>
    </row>
    <row r="585" spans="1:16" ht="16.5">
      <c r="A585" s="49" t="s">
        <v>88</v>
      </c>
      <c r="B585" s="50"/>
      <c r="I585" s="49" t="s">
        <v>88</v>
      </c>
      <c r="J585" s="50"/>
    </row>
    <row r="586" spans="1:16">
      <c r="A586" s="51" t="s">
        <v>89</v>
      </c>
      <c r="I586" s="51" t="s">
        <v>89</v>
      </c>
    </row>
    <row r="587" spans="1:16">
      <c r="A587" s="51" t="s">
        <v>90</v>
      </c>
      <c r="I587" s="51" t="s">
        <v>90</v>
      </c>
    </row>
    <row r="588" spans="1:16">
      <c r="A588" s="51" t="s">
        <v>91</v>
      </c>
      <c r="I588" s="51" t="s">
        <v>91</v>
      </c>
    </row>
    <row r="589" spans="1:16" ht="6.75" customHeight="1">
      <c r="A589" s="50"/>
      <c r="B589" s="50"/>
      <c r="I589" s="50"/>
      <c r="J589" s="50"/>
    </row>
    <row r="590" spans="1:16" ht="14.25" customHeight="1">
      <c r="A590" s="52" t="s">
        <v>318</v>
      </c>
      <c r="G590" s="52"/>
      <c r="I590" s="52" t="s">
        <v>640</v>
      </c>
      <c r="O590" s="52"/>
    </row>
    <row r="591" spans="1:16" ht="15.75">
      <c r="A591" s="53" t="s">
        <v>92</v>
      </c>
      <c r="G591" s="53"/>
      <c r="I591" s="53" t="s">
        <v>2139</v>
      </c>
      <c r="O591" s="53"/>
    </row>
    <row r="592" spans="1:16" ht="16.5">
      <c r="A592" s="894" t="s">
        <v>261</v>
      </c>
      <c r="B592" s="894"/>
      <c r="C592" s="894"/>
      <c r="D592" s="894"/>
      <c r="E592" s="894"/>
      <c r="F592" s="894"/>
      <c r="G592" s="894"/>
      <c r="H592" s="894"/>
      <c r="I592" s="894" t="s">
        <v>228</v>
      </c>
      <c r="J592" s="894"/>
      <c r="K592" s="894"/>
      <c r="L592" s="894"/>
      <c r="M592" s="894"/>
      <c r="N592" s="894"/>
      <c r="O592" s="894"/>
      <c r="P592" s="894"/>
    </row>
    <row r="593" spans="1:16" ht="6" customHeight="1" thickBot="1"/>
    <row r="594" spans="1:16">
      <c r="A594" s="895" t="s">
        <v>94</v>
      </c>
      <c r="B594" s="897" t="s">
        <v>95</v>
      </c>
      <c r="C594" s="897" t="s">
        <v>96</v>
      </c>
      <c r="D594" s="897" t="s">
        <v>3</v>
      </c>
      <c r="E594" s="897" t="s">
        <v>97</v>
      </c>
      <c r="F594" s="897" t="s">
        <v>98</v>
      </c>
      <c r="G594" s="897" t="s">
        <v>99</v>
      </c>
      <c r="H594" s="899"/>
      <c r="I594" s="895" t="s">
        <v>94</v>
      </c>
      <c r="J594" s="897" t="s">
        <v>95</v>
      </c>
      <c r="K594" s="897" t="s">
        <v>96</v>
      </c>
      <c r="L594" s="897" t="s">
        <v>3</v>
      </c>
      <c r="M594" s="897" t="s">
        <v>97</v>
      </c>
      <c r="N594" s="897" t="s">
        <v>98</v>
      </c>
      <c r="O594" s="897" t="s">
        <v>99</v>
      </c>
      <c r="P594" s="899"/>
    </row>
    <row r="595" spans="1:16" ht="15.75" thickBot="1">
      <c r="A595" s="896"/>
      <c r="B595" s="898"/>
      <c r="C595" s="898"/>
      <c r="D595" s="898"/>
      <c r="E595" s="898"/>
      <c r="F595" s="898"/>
      <c r="G595" s="240" t="s">
        <v>100</v>
      </c>
      <c r="H595" s="182" t="s">
        <v>101</v>
      </c>
      <c r="I595" s="896"/>
      <c r="J595" s="898"/>
      <c r="K595" s="898"/>
      <c r="L595" s="898"/>
      <c r="M595" s="898"/>
      <c r="N595" s="898"/>
      <c r="O595" s="240" t="s">
        <v>100</v>
      </c>
      <c r="P595" s="182" t="s">
        <v>101</v>
      </c>
    </row>
    <row r="596" spans="1:16" ht="14.25" customHeight="1">
      <c r="A596" s="881" t="e">
        <f>+A567+1</f>
        <v>#REF!</v>
      </c>
      <c r="B596" s="875">
        <v>42286</v>
      </c>
      <c r="C596" s="877" t="s">
        <v>267</v>
      </c>
      <c r="D596" s="881" t="s">
        <v>320</v>
      </c>
      <c r="E596" s="881" t="s">
        <v>148</v>
      </c>
      <c r="F596" s="883">
        <v>70000</v>
      </c>
      <c r="G596" s="55">
        <v>719</v>
      </c>
      <c r="H596" s="78">
        <v>50000</v>
      </c>
      <c r="I596" s="873" t="s">
        <v>658</v>
      </c>
      <c r="J596" s="875">
        <v>44706</v>
      </c>
      <c r="K596" s="877" t="s">
        <v>815</v>
      </c>
      <c r="L596" s="881" t="s">
        <v>2238</v>
      </c>
      <c r="M596" s="881" t="s">
        <v>115</v>
      </c>
      <c r="N596" s="883">
        <v>1161000</v>
      </c>
      <c r="O596" s="55">
        <v>719</v>
      </c>
      <c r="P596" s="258">
        <v>860000</v>
      </c>
    </row>
    <row r="597" spans="1:16" ht="12" customHeight="1" thickBot="1">
      <c r="A597" s="882"/>
      <c r="B597" s="934"/>
      <c r="C597" s="878"/>
      <c r="D597" s="882"/>
      <c r="E597" s="882"/>
      <c r="F597" s="884"/>
      <c r="G597" s="56">
        <v>721</v>
      </c>
      <c r="H597" s="79">
        <f>+F596-H596</f>
        <v>20000</v>
      </c>
      <c r="I597" s="882"/>
      <c r="J597" s="876"/>
      <c r="K597" s="878"/>
      <c r="L597" s="882"/>
      <c r="M597" s="882"/>
      <c r="N597" s="884"/>
      <c r="O597" s="56">
        <v>721</v>
      </c>
      <c r="P597" s="352">
        <f>+N596-P596</f>
        <v>301000</v>
      </c>
    </row>
    <row r="598" spans="1:16" ht="13.5" customHeight="1">
      <c r="A598" s="251"/>
      <c r="B598" s="452"/>
      <c r="C598" s="253"/>
      <c r="D598" s="251"/>
      <c r="E598" s="251"/>
      <c r="F598" s="254"/>
      <c r="G598" s="255"/>
      <c r="H598" s="256"/>
      <c r="I598" s="873" t="s">
        <v>659</v>
      </c>
      <c r="J598" s="875">
        <v>44706</v>
      </c>
      <c r="K598" s="877" t="s">
        <v>1079</v>
      </c>
      <c r="L598" s="881" t="s">
        <v>2237</v>
      </c>
      <c r="M598" s="881" t="s">
        <v>148</v>
      </c>
      <c r="N598" s="883">
        <v>1053000</v>
      </c>
      <c r="O598" s="55">
        <v>719</v>
      </c>
      <c r="P598" s="258">
        <v>780000</v>
      </c>
    </row>
    <row r="599" spans="1:16" ht="12.75" customHeight="1" thickBot="1">
      <c r="A599" s="251"/>
      <c r="B599" s="452"/>
      <c r="C599" s="253"/>
      <c r="D599" s="251"/>
      <c r="E599" s="251"/>
      <c r="F599" s="254"/>
      <c r="G599" s="255"/>
      <c r="H599" s="256"/>
      <c r="I599" s="882"/>
      <c r="J599" s="876"/>
      <c r="K599" s="878"/>
      <c r="L599" s="882"/>
      <c r="M599" s="882"/>
      <c r="N599" s="884"/>
      <c r="O599" s="56">
        <v>721</v>
      </c>
      <c r="P599" s="352">
        <f>+N598-P598</f>
        <v>273000</v>
      </c>
    </row>
    <row r="600" spans="1:16" ht="13.5" customHeight="1">
      <c r="A600" s="881" t="e">
        <f>+A596+1</f>
        <v>#REF!</v>
      </c>
      <c r="B600" s="875">
        <v>42286</v>
      </c>
      <c r="C600" s="881" t="s">
        <v>28</v>
      </c>
      <c r="D600" s="881" t="s">
        <v>321</v>
      </c>
      <c r="E600" s="881" t="s">
        <v>148</v>
      </c>
      <c r="F600" s="883">
        <v>182000</v>
      </c>
      <c r="G600" s="55">
        <v>719</v>
      </c>
      <c r="H600" s="78">
        <v>130000</v>
      </c>
      <c r="I600" s="873" t="s">
        <v>660</v>
      </c>
      <c r="J600" s="875">
        <v>44706</v>
      </c>
      <c r="K600" s="877" t="s">
        <v>1079</v>
      </c>
      <c r="L600" s="881" t="s">
        <v>2235</v>
      </c>
      <c r="M600" s="881" t="s">
        <v>148</v>
      </c>
      <c r="N600" s="883">
        <v>337500</v>
      </c>
      <c r="O600" s="55">
        <v>719</v>
      </c>
      <c r="P600" s="258">
        <v>250000</v>
      </c>
    </row>
    <row r="601" spans="1:16" ht="12.75" customHeight="1" thickBot="1">
      <c r="A601" s="882"/>
      <c r="B601" s="934"/>
      <c r="C601" s="882"/>
      <c r="D601" s="882"/>
      <c r="E601" s="882"/>
      <c r="F601" s="884"/>
      <c r="G601" s="56">
        <v>721</v>
      </c>
      <c r="H601" s="79">
        <f>+F600-H600</f>
        <v>52000</v>
      </c>
      <c r="I601" s="882"/>
      <c r="J601" s="876"/>
      <c r="K601" s="878"/>
      <c r="L601" s="882"/>
      <c r="M601" s="882"/>
      <c r="N601" s="884"/>
      <c r="O601" s="56">
        <v>721</v>
      </c>
      <c r="P601" s="352">
        <f>+N600-P600</f>
        <v>87500</v>
      </c>
    </row>
    <row r="602" spans="1:16" ht="12" customHeight="1">
      <c r="A602" s="251"/>
      <c r="B602" s="452"/>
      <c r="C602" s="251"/>
      <c r="D602" s="251"/>
      <c r="E602" s="251"/>
      <c r="F602" s="254"/>
      <c r="G602" s="255"/>
      <c r="H602" s="256"/>
      <c r="I602" s="873" t="s">
        <v>661</v>
      </c>
      <c r="J602" s="875">
        <v>44706</v>
      </c>
      <c r="K602" s="877" t="s">
        <v>111</v>
      </c>
      <c r="L602" s="881" t="s">
        <v>2236</v>
      </c>
      <c r="M602" s="881" t="s">
        <v>148</v>
      </c>
      <c r="N602" s="883">
        <v>351000</v>
      </c>
      <c r="O602" s="55">
        <v>719</v>
      </c>
      <c r="P602" s="258">
        <v>260000</v>
      </c>
    </row>
    <row r="603" spans="1:16" ht="12" customHeight="1" thickBot="1">
      <c r="A603" s="251"/>
      <c r="B603" s="452"/>
      <c r="C603" s="251"/>
      <c r="D603" s="251"/>
      <c r="E603" s="251"/>
      <c r="F603" s="254"/>
      <c r="G603" s="255"/>
      <c r="H603" s="256"/>
      <c r="I603" s="882"/>
      <c r="J603" s="876"/>
      <c r="K603" s="878"/>
      <c r="L603" s="882"/>
      <c r="M603" s="882"/>
      <c r="N603" s="884"/>
      <c r="O603" s="56">
        <v>721</v>
      </c>
      <c r="P603" s="352">
        <f>+N602-P602</f>
        <v>91000</v>
      </c>
    </row>
    <row r="604" spans="1:16" ht="12" customHeight="1">
      <c r="A604" s="881" t="e">
        <f>+#REF!+1</f>
        <v>#REF!</v>
      </c>
      <c r="B604" s="875">
        <v>42286</v>
      </c>
      <c r="C604" s="877" t="s">
        <v>111</v>
      </c>
      <c r="D604" s="881" t="s">
        <v>319</v>
      </c>
      <c r="E604" s="881" t="s">
        <v>148</v>
      </c>
      <c r="F604" s="883">
        <v>28000</v>
      </c>
      <c r="G604" s="55">
        <v>719</v>
      </c>
      <c r="H604" s="78">
        <v>20000</v>
      </c>
      <c r="I604" s="873"/>
      <c r="J604" s="875"/>
      <c r="K604" s="877"/>
      <c r="L604" s="881"/>
      <c r="M604" s="881"/>
      <c r="N604" s="883"/>
      <c r="O604" s="55">
        <v>719</v>
      </c>
      <c r="P604" s="258"/>
    </row>
    <row r="605" spans="1:16" ht="12" customHeight="1" thickBot="1">
      <c r="A605" s="882"/>
      <c r="B605" s="876"/>
      <c r="C605" s="878"/>
      <c r="D605" s="882"/>
      <c r="E605" s="882"/>
      <c r="F605" s="884"/>
      <c r="G605" s="56">
        <v>721</v>
      </c>
      <c r="H605" s="79">
        <f>+F604-H604</f>
        <v>8000</v>
      </c>
      <c r="I605" s="874"/>
      <c r="J605" s="876"/>
      <c r="K605" s="878"/>
      <c r="L605" s="882"/>
      <c r="M605" s="882"/>
      <c r="N605" s="884"/>
      <c r="O605" s="56">
        <v>723</v>
      </c>
      <c r="P605" s="352">
        <f>+N604-P604</f>
        <v>0</v>
      </c>
    </row>
    <row r="606" spans="1:16" ht="16.5" thickBot="1">
      <c r="A606" s="901" t="s">
        <v>102</v>
      </c>
      <c r="B606" s="902"/>
      <c r="C606" s="902"/>
      <c r="D606" s="902"/>
      <c r="E606" s="903"/>
      <c r="F606" s="81">
        <f>SUM(F596:F605)</f>
        <v>280000</v>
      </c>
      <c r="I606" s="901" t="s">
        <v>102</v>
      </c>
      <c r="J606" s="902"/>
      <c r="K606" s="902"/>
      <c r="L606" s="902"/>
      <c r="M606" s="903"/>
      <c r="N606" s="81">
        <f>SUM(N596:N605)</f>
        <v>2902500</v>
      </c>
    </row>
    <row r="607" spans="1:16" ht="16.5" thickBot="1">
      <c r="A607" s="885" t="s">
        <v>103</v>
      </c>
      <c r="B607" s="886"/>
      <c r="C607" s="886"/>
      <c r="D607" s="886"/>
      <c r="E607" s="887"/>
      <c r="F607" s="69">
        <f>+F571</f>
        <v>626688225</v>
      </c>
      <c r="I607" s="885" t="s">
        <v>103</v>
      </c>
      <c r="J607" s="886"/>
      <c r="K607" s="886"/>
      <c r="L607" s="886"/>
      <c r="M607" s="887"/>
      <c r="N607" s="239">
        <f>+N571</f>
        <v>305297978</v>
      </c>
      <c r="O607" s="241" t="s">
        <v>561</v>
      </c>
      <c r="P607" s="242">
        <f>221+369+926+331</f>
        <v>1847</v>
      </c>
    </row>
    <row r="608" spans="1:16" ht="16.5" thickBot="1">
      <c r="A608" s="888" t="s">
        <v>104</v>
      </c>
      <c r="B608" s="889"/>
      <c r="C608" s="889"/>
      <c r="D608" s="889"/>
      <c r="E608" s="890"/>
      <c r="F608" s="183">
        <f>SUM(F606:F607)</f>
        <v>626968225</v>
      </c>
      <c r="I608" s="888" t="s">
        <v>104</v>
      </c>
      <c r="J608" s="889"/>
      <c r="K608" s="889"/>
      <c r="L608" s="889"/>
      <c r="M608" s="890"/>
      <c r="N608" s="183">
        <f>SUM(N606:N607)</f>
        <v>308200478</v>
      </c>
    </row>
    <row r="609" spans="1:16" ht="8.25" customHeight="1">
      <c r="A609" s="61"/>
      <c r="B609" s="61"/>
      <c r="C609" s="61"/>
      <c r="D609" s="61"/>
      <c r="E609" s="61"/>
      <c r="I609" s="61"/>
      <c r="J609" s="61"/>
      <c r="K609" s="61"/>
      <c r="L609" s="61"/>
      <c r="M609" s="61"/>
    </row>
    <row r="610" spans="1:16">
      <c r="A610" s="51" t="s">
        <v>323</v>
      </c>
      <c r="I610" s="51" t="s">
        <v>2239</v>
      </c>
    </row>
    <row r="611" spans="1:16" ht="5.25" customHeight="1">
      <c r="F611" s="139"/>
      <c r="N611" s="139"/>
    </row>
    <row r="612" spans="1:16">
      <c r="A612" s="50" t="s">
        <v>105</v>
      </c>
      <c r="D612" s="146"/>
      <c r="F612" s="139"/>
      <c r="I612" s="50" t="s">
        <v>105</v>
      </c>
      <c r="L612" s="146"/>
      <c r="N612" s="139"/>
    </row>
    <row r="613" spans="1:16" ht="6" customHeight="1" thickBot="1"/>
    <row r="614" spans="1:16" ht="17.25" thickBot="1">
      <c r="A614" s="891" t="s">
        <v>106</v>
      </c>
      <c r="B614" s="892"/>
      <c r="C614" s="892"/>
      <c r="D614" s="893"/>
      <c r="F614" s="50" t="s">
        <v>288</v>
      </c>
      <c r="I614" s="891" t="s">
        <v>106</v>
      </c>
      <c r="J614" s="892"/>
      <c r="K614" s="892"/>
      <c r="L614" s="893"/>
      <c r="N614" s="605" t="s">
        <v>288</v>
      </c>
      <c r="O614" s="605"/>
      <c r="P614" s="605"/>
    </row>
    <row r="615" spans="1:16" ht="28.5" customHeight="1" thickBot="1">
      <c r="A615" s="57" t="s">
        <v>100</v>
      </c>
      <c r="B615" s="58" t="s">
        <v>108</v>
      </c>
      <c r="C615" s="59" t="s">
        <v>109</v>
      </c>
      <c r="D615" s="60" t="s">
        <v>110</v>
      </c>
      <c r="I615" s="57" t="s">
        <v>100</v>
      </c>
      <c r="J615" s="58" t="s">
        <v>108</v>
      </c>
      <c r="K615" s="59" t="s">
        <v>109</v>
      </c>
      <c r="L615" s="60" t="s">
        <v>110</v>
      </c>
      <c r="N615" s="202"/>
      <c r="O615" s="202"/>
      <c r="P615" s="202"/>
    </row>
    <row r="616" spans="1:16" ht="12.75" customHeight="1">
      <c r="A616" s="71">
        <v>719</v>
      </c>
      <c r="B616" s="73" t="e">
        <f>+H596+H600+#REF!+H604+#REF!</f>
        <v>#REF!</v>
      </c>
      <c r="C616" s="74" t="e">
        <f>+D579</f>
        <v>#REF!</v>
      </c>
      <c r="D616" s="195" t="e">
        <f>+B616+C616</f>
        <v>#REF!</v>
      </c>
      <c r="I616" s="71">
        <v>719</v>
      </c>
      <c r="J616" s="73">
        <f>+P596+P598+P600+P602</f>
        <v>2150000</v>
      </c>
      <c r="K616" s="74">
        <f>+L579</f>
        <v>8010000</v>
      </c>
      <c r="L616" s="195">
        <f>+J616+K616</f>
        <v>10160000</v>
      </c>
      <c r="N616" s="202"/>
      <c r="O616" s="202"/>
      <c r="P616" s="202"/>
    </row>
    <row r="617" spans="1:16" ht="12.75" customHeight="1">
      <c r="A617" s="72">
        <v>721</v>
      </c>
      <c r="B617" s="80" t="e">
        <f>+H597+H601+#REF!+H605+#REF!</f>
        <v>#REF!</v>
      </c>
      <c r="C617" s="74" t="e">
        <f>+D580</f>
        <v>#REF!</v>
      </c>
      <c r="D617" s="195" t="e">
        <f>+B617+C617</f>
        <v>#REF!</v>
      </c>
      <c r="I617" s="72">
        <v>721</v>
      </c>
      <c r="J617" s="80">
        <f>+P597+P599+P601+P603</f>
        <v>752500</v>
      </c>
      <c r="K617" s="74">
        <f>+L580</f>
        <v>2499000</v>
      </c>
      <c r="L617" s="195">
        <f>+J617+K617</f>
        <v>3251500</v>
      </c>
      <c r="N617" s="202"/>
      <c r="O617" s="202"/>
      <c r="P617" s="202"/>
    </row>
    <row r="618" spans="1:16" ht="12" customHeight="1">
      <c r="A618" s="72">
        <v>722</v>
      </c>
      <c r="B618" s="80"/>
      <c r="C618" s="74">
        <f>+D581</f>
        <v>231207671</v>
      </c>
      <c r="D618" s="195">
        <f>+B618+C618</f>
        <v>231207671</v>
      </c>
      <c r="I618" s="72">
        <v>722</v>
      </c>
      <c r="J618" s="80"/>
      <c r="K618" s="74">
        <f>+L581</f>
        <v>0</v>
      </c>
      <c r="L618" s="195">
        <f>+J618+K618</f>
        <v>0</v>
      </c>
      <c r="N618" s="202"/>
      <c r="O618" s="202"/>
      <c r="P618" s="202"/>
    </row>
    <row r="619" spans="1:16" ht="13.5" customHeight="1">
      <c r="A619" s="72">
        <v>723</v>
      </c>
      <c r="B619" s="80"/>
      <c r="C619" s="74" t="e">
        <f>+D582</f>
        <v>#REF!</v>
      </c>
      <c r="D619" s="195" t="e">
        <f>+B619+C619</f>
        <v>#REF!</v>
      </c>
      <c r="F619" s="193" t="s">
        <v>289</v>
      </c>
      <c r="G619" s="175"/>
      <c r="I619" s="72">
        <v>723</v>
      </c>
      <c r="J619" s="80">
        <f>+P605</f>
        <v>0</v>
      </c>
      <c r="K619" s="74">
        <f>+L582</f>
        <v>294788978</v>
      </c>
      <c r="L619" s="195">
        <f>+J619+K619</f>
        <v>294788978</v>
      </c>
      <c r="N619" s="918" t="s">
        <v>2147</v>
      </c>
      <c r="O619" s="608"/>
      <c r="P619" s="608"/>
    </row>
    <row r="620" spans="1:16" ht="12.75" customHeight="1" thickBot="1">
      <c r="A620" s="482"/>
      <c r="B620" s="483"/>
      <c r="C620" s="199"/>
      <c r="D620" s="196"/>
      <c r="F620" s="193"/>
      <c r="G620" s="175"/>
      <c r="I620" s="482" t="str">
        <f>+I583</f>
        <v>710-718</v>
      </c>
      <c r="J620" s="484"/>
      <c r="K620" s="485">
        <f>+L583</f>
        <v>0</v>
      </c>
      <c r="L620" s="195">
        <f>+J620+K620</f>
        <v>0</v>
      </c>
      <c r="N620" s="189"/>
      <c r="O620" s="222"/>
      <c r="P620" s="222"/>
    </row>
    <row r="621" spans="1:16" ht="16.5" thickBot="1">
      <c r="A621" s="169"/>
      <c r="B621" s="170" t="e">
        <f>SUM(B616:B619)</f>
        <v>#REF!</v>
      </c>
      <c r="C621" s="171" t="e">
        <f>SUM(C616:C619)</f>
        <v>#REF!</v>
      </c>
      <c r="D621" s="172" t="e">
        <f>SUM(D616:D619)</f>
        <v>#REF!</v>
      </c>
      <c r="I621" s="169"/>
      <c r="J621" s="197">
        <f>SUM(J616:J619)</f>
        <v>2902500</v>
      </c>
      <c r="K621" s="197">
        <f>SUM(K616:K620)</f>
        <v>305297978</v>
      </c>
      <c r="L621" s="198">
        <f>SUM(L616:L620)</f>
        <v>308200478</v>
      </c>
    </row>
    <row r="622" spans="1:16" ht="16.5">
      <c r="A622" s="49" t="s">
        <v>88</v>
      </c>
      <c r="B622" s="50"/>
      <c r="I622" s="49" t="s">
        <v>88</v>
      </c>
      <c r="J622" s="50"/>
    </row>
    <row r="623" spans="1:16" ht="12.75" customHeight="1">
      <c r="A623" s="51" t="s">
        <v>89</v>
      </c>
      <c r="I623" s="51" t="s">
        <v>89</v>
      </c>
    </row>
    <row r="624" spans="1:16" ht="13.5" customHeight="1">
      <c r="A624" s="51" t="s">
        <v>90</v>
      </c>
      <c r="I624" s="51" t="s">
        <v>90</v>
      </c>
    </row>
    <row r="625" spans="1:16" ht="12.75" customHeight="1">
      <c r="A625" s="51" t="s">
        <v>91</v>
      </c>
      <c r="I625" s="51" t="s">
        <v>91</v>
      </c>
    </row>
    <row r="626" spans="1:16" ht="6" customHeight="1">
      <c r="A626" s="50"/>
      <c r="B626" s="50"/>
      <c r="I626" s="50"/>
      <c r="J626" s="50"/>
    </row>
    <row r="627" spans="1:16" ht="13.5" customHeight="1">
      <c r="A627" s="52" t="s">
        <v>344</v>
      </c>
      <c r="G627" s="52"/>
      <c r="I627" s="52" t="s">
        <v>725</v>
      </c>
      <c r="O627" s="52"/>
    </row>
    <row r="628" spans="1:16" ht="14.25" customHeight="1">
      <c r="A628" s="53" t="s">
        <v>92</v>
      </c>
      <c r="G628" s="53"/>
      <c r="I628" s="53" t="s">
        <v>2139</v>
      </c>
      <c r="O628" s="53"/>
    </row>
    <row r="629" spans="1:16" ht="16.5">
      <c r="A629" s="894" t="s">
        <v>347</v>
      </c>
      <c r="B629" s="894"/>
      <c r="C629" s="894"/>
      <c r="D629" s="894"/>
      <c r="E629" s="894"/>
      <c r="F629" s="894"/>
      <c r="G629" s="894"/>
      <c r="H629" s="894"/>
      <c r="I629" s="894" t="s">
        <v>2244</v>
      </c>
      <c r="J629" s="894"/>
      <c r="K629" s="894"/>
      <c r="L629" s="894"/>
      <c r="M629" s="894"/>
      <c r="N629" s="894"/>
      <c r="O629" s="894"/>
      <c r="P629" s="894"/>
    </row>
    <row r="630" spans="1:16" ht="9" customHeight="1" thickBot="1"/>
    <row r="631" spans="1:16">
      <c r="A631" s="895" t="s">
        <v>94</v>
      </c>
      <c r="B631" s="897" t="s">
        <v>95</v>
      </c>
      <c r="C631" s="897" t="s">
        <v>96</v>
      </c>
      <c r="D631" s="897" t="s">
        <v>3</v>
      </c>
      <c r="E631" s="897" t="s">
        <v>97</v>
      </c>
      <c r="F631" s="897" t="s">
        <v>98</v>
      </c>
      <c r="G631" s="897" t="s">
        <v>99</v>
      </c>
      <c r="H631" s="899"/>
      <c r="I631" s="895" t="s">
        <v>94</v>
      </c>
      <c r="J631" s="897" t="s">
        <v>95</v>
      </c>
      <c r="K631" s="897" t="s">
        <v>96</v>
      </c>
      <c r="L631" s="897" t="s">
        <v>3</v>
      </c>
      <c r="M631" s="897" t="s">
        <v>97</v>
      </c>
      <c r="N631" s="897" t="s">
        <v>98</v>
      </c>
      <c r="O631" s="897" t="s">
        <v>99</v>
      </c>
      <c r="P631" s="899"/>
    </row>
    <row r="632" spans="1:16" ht="15.75" thickBot="1">
      <c r="A632" s="896"/>
      <c r="B632" s="898"/>
      <c r="C632" s="898"/>
      <c r="D632" s="898"/>
      <c r="E632" s="898"/>
      <c r="F632" s="898"/>
      <c r="G632" s="240" t="s">
        <v>100</v>
      </c>
      <c r="H632" s="182" t="s">
        <v>101</v>
      </c>
      <c r="I632" s="896"/>
      <c r="J632" s="898"/>
      <c r="K632" s="898"/>
      <c r="L632" s="898"/>
      <c r="M632" s="898"/>
      <c r="N632" s="898"/>
      <c r="O632" s="240" t="s">
        <v>100</v>
      </c>
      <c r="P632" s="182" t="s">
        <v>101</v>
      </c>
    </row>
    <row r="633" spans="1:16" ht="12.75" customHeight="1">
      <c r="A633" s="881" t="e">
        <f>+#REF!+1</f>
        <v>#REF!</v>
      </c>
      <c r="B633" s="875">
        <v>42293</v>
      </c>
      <c r="C633" s="877" t="s">
        <v>325</v>
      </c>
      <c r="D633" s="877" t="s">
        <v>324</v>
      </c>
      <c r="E633" s="881" t="s">
        <v>145</v>
      </c>
      <c r="F633" s="883">
        <v>20276705</v>
      </c>
      <c r="G633" s="55">
        <v>719</v>
      </c>
      <c r="H633" s="78"/>
      <c r="I633" s="873" t="s">
        <v>662</v>
      </c>
      <c r="J633" s="875">
        <v>44727</v>
      </c>
      <c r="K633" s="877" t="s">
        <v>1315</v>
      </c>
      <c r="L633" s="881" t="s">
        <v>2246</v>
      </c>
      <c r="M633" s="881" t="s">
        <v>148</v>
      </c>
      <c r="N633" s="883">
        <v>3046950</v>
      </c>
      <c r="O633" s="55">
        <v>719</v>
      </c>
      <c r="P633" s="258">
        <v>0</v>
      </c>
    </row>
    <row r="634" spans="1:16" ht="14.25" customHeight="1" thickBot="1">
      <c r="A634" s="882"/>
      <c r="B634" s="876"/>
      <c r="C634" s="878"/>
      <c r="D634" s="878"/>
      <c r="E634" s="882"/>
      <c r="F634" s="884"/>
      <c r="G634" s="56">
        <v>721</v>
      </c>
      <c r="H634" s="79">
        <f>+F633-H633</f>
        <v>20276705</v>
      </c>
      <c r="I634" s="882"/>
      <c r="J634" s="876"/>
      <c r="K634" s="878"/>
      <c r="L634" s="882"/>
      <c r="M634" s="882"/>
      <c r="N634" s="884"/>
      <c r="O634" s="56">
        <v>723</v>
      </c>
      <c r="P634" s="79">
        <f>+N633-P633</f>
        <v>3046950</v>
      </c>
    </row>
    <row r="635" spans="1:16" ht="12.75" customHeight="1">
      <c r="A635" s="881" t="e">
        <f>+A633+1</f>
        <v>#REF!</v>
      </c>
      <c r="B635" s="875">
        <v>42293</v>
      </c>
      <c r="C635" s="877" t="s">
        <v>345</v>
      </c>
      <c r="D635" s="877" t="s">
        <v>346</v>
      </c>
      <c r="E635" s="881" t="s">
        <v>165</v>
      </c>
      <c r="F635" s="883">
        <v>200000</v>
      </c>
      <c r="G635" s="55">
        <v>719</v>
      </c>
      <c r="H635" s="78"/>
      <c r="I635" s="873" t="s">
        <v>663</v>
      </c>
      <c r="J635" s="875">
        <v>44727</v>
      </c>
      <c r="K635" s="877" t="s">
        <v>120</v>
      </c>
      <c r="L635" s="881" t="s">
        <v>2240</v>
      </c>
      <c r="M635" s="881" t="s">
        <v>115</v>
      </c>
      <c r="N635" s="883">
        <v>1066500</v>
      </c>
      <c r="O635" s="55">
        <v>719</v>
      </c>
      <c r="P635" s="78">
        <v>790000</v>
      </c>
    </row>
    <row r="636" spans="1:16" ht="13.5" customHeight="1" thickBot="1">
      <c r="A636" s="882"/>
      <c r="B636" s="876"/>
      <c r="C636" s="878"/>
      <c r="D636" s="878"/>
      <c r="E636" s="882"/>
      <c r="F636" s="884"/>
      <c r="G636" s="56">
        <v>723</v>
      </c>
      <c r="H636" s="79">
        <f>+F635-H635</f>
        <v>200000</v>
      </c>
      <c r="I636" s="882"/>
      <c r="J636" s="876"/>
      <c r="K636" s="878"/>
      <c r="L636" s="882"/>
      <c r="M636" s="882"/>
      <c r="N636" s="884"/>
      <c r="O636" s="56">
        <v>721</v>
      </c>
      <c r="P636" s="79">
        <f>+N635-P635</f>
        <v>276500</v>
      </c>
    </row>
    <row r="637" spans="1:16" ht="12.75" customHeight="1">
      <c r="A637" s="881"/>
      <c r="B637" s="875"/>
      <c r="C637" s="877"/>
      <c r="D637" s="881"/>
      <c r="E637" s="881"/>
      <c r="F637" s="883"/>
      <c r="G637" s="55">
        <v>719</v>
      </c>
      <c r="H637" s="78"/>
      <c r="I637" s="873" t="s">
        <v>664</v>
      </c>
      <c r="J637" s="875">
        <v>44727</v>
      </c>
      <c r="K637" s="877" t="s">
        <v>1079</v>
      </c>
      <c r="L637" s="881" t="s">
        <v>2241</v>
      </c>
      <c r="M637" s="881" t="s">
        <v>148</v>
      </c>
      <c r="N637" s="883">
        <v>580500</v>
      </c>
      <c r="O637" s="55">
        <v>719</v>
      </c>
      <c r="P637" s="258">
        <v>430000</v>
      </c>
    </row>
    <row r="638" spans="1:16" ht="12.75" customHeight="1" thickBot="1">
      <c r="A638" s="882"/>
      <c r="B638" s="876"/>
      <c r="C638" s="878"/>
      <c r="D638" s="882"/>
      <c r="E638" s="882"/>
      <c r="F638" s="884"/>
      <c r="G638" s="56">
        <v>721</v>
      </c>
      <c r="H638" s="79">
        <f>+F637-H637</f>
        <v>0</v>
      </c>
      <c r="I638" s="882"/>
      <c r="J638" s="876"/>
      <c r="K638" s="878"/>
      <c r="L638" s="882"/>
      <c r="M638" s="882"/>
      <c r="N638" s="884"/>
      <c r="O638" s="56">
        <v>721</v>
      </c>
      <c r="P638" s="79">
        <f>+N637-P637</f>
        <v>150500</v>
      </c>
    </row>
    <row r="639" spans="1:16" ht="12.75" customHeight="1">
      <c r="A639" s="251"/>
      <c r="B639" s="252"/>
      <c r="C639" s="253"/>
      <c r="D639" s="251"/>
      <c r="E639" s="251"/>
      <c r="F639" s="254"/>
      <c r="G639" s="255"/>
      <c r="H639" s="256"/>
      <c r="I639" s="873" t="s">
        <v>665</v>
      </c>
      <c r="J639" s="875">
        <v>44727</v>
      </c>
      <c r="K639" s="877" t="s">
        <v>169</v>
      </c>
      <c r="L639" s="881" t="s">
        <v>2242</v>
      </c>
      <c r="M639" s="881" t="s">
        <v>148</v>
      </c>
      <c r="N639" s="883">
        <v>175500</v>
      </c>
      <c r="O639" s="55">
        <v>719</v>
      </c>
      <c r="P639" s="258">
        <v>130000</v>
      </c>
    </row>
    <row r="640" spans="1:16" ht="12.75" customHeight="1" thickBot="1">
      <c r="A640" s="251"/>
      <c r="B640" s="252"/>
      <c r="C640" s="253"/>
      <c r="D640" s="251"/>
      <c r="E640" s="251"/>
      <c r="F640" s="254"/>
      <c r="G640" s="255"/>
      <c r="H640" s="256"/>
      <c r="I640" s="882"/>
      <c r="J640" s="876"/>
      <c r="K640" s="878"/>
      <c r="L640" s="882"/>
      <c r="M640" s="882"/>
      <c r="N640" s="884"/>
      <c r="O640" s="56">
        <v>721</v>
      </c>
      <c r="P640" s="79">
        <f>+N639-P639</f>
        <v>45500</v>
      </c>
    </row>
    <row r="641" spans="1:16" ht="12.75" customHeight="1">
      <c r="A641" s="251"/>
      <c r="B641" s="252"/>
      <c r="C641" s="253"/>
      <c r="D641" s="251"/>
      <c r="E641" s="251"/>
      <c r="F641" s="254"/>
      <c r="G641" s="255"/>
      <c r="H641" s="256"/>
      <c r="I641" s="873" t="s">
        <v>666</v>
      </c>
      <c r="J641" s="875">
        <v>44727</v>
      </c>
      <c r="K641" s="877" t="s">
        <v>250</v>
      </c>
      <c r="L641" s="881" t="s">
        <v>2243</v>
      </c>
      <c r="M641" s="881" t="s">
        <v>148</v>
      </c>
      <c r="N641" s="883">
        <v>150000</v>
      </c>
      <c r="O641" s="55">
        <v>719</v>
      </c>
      <c r="P641" s="258">
        <v>0</v>
      </c>
    </row>
    <row r="642" spans="1:16" ht="12.75" customHeight="1" thickBot="1">
      <c r="A642" s="251"/>
      <c r="B642" s="252"/>
      <c r="C642" s="253"/>
      <c r="D642" s="251"/>
      <c r="E642" s="251"/>
      <c r="F642" s="254"/>
      <c r="G642" s="255"/>
      <c r="H642" s="256"/>
      <c r="I642" s="882"/>
      <c r="J642" s="876"/>
      <c r="K642" s="878"/>
      <c r="L642" s="882"/>
      <c r="M642" s="882"/>
      <c r="N642" s="884"/>
      <c r="O642" s="56">
        <v>723</v>
      </c>
      <c r="P642" s="79">
        <f>+N641-P641</f>
        <v>150000</v>
      </c>
    </row>
    <row r="643" spans="1:16" ht="16.5" thickBot="1">
      <c r="A643" s="901" t="s">
        <v>102</v>
      </c>
      <c r="B643" s="902"/>
      <c r="C643" s="902"/>
      <c r="D643" s="902"/>
      <c r="E643" s="903"/>
      <c r="F643" s="81">
        <f>SUM(F633:F642)</f>
        <v>20476705</v>
      </c>
      <c r="I643" s="901" t="s">
        <v>102</v>
      </c>
      <c r="J643" s="902"/>
      <c r="K643" s="902"/>
      <c r="L643" s="902"/>
      <c r="M643" s="903"/>
      <c r="N643" s="81">
        <f>SUM(N633:N642)</f>
        <v>5019450</v>
      </c>
    </row>
    <row r="644" spans="1:16" ht="16.5" thickBot="1">
      <c r="A644" s="885" t="s">
        <v>103</v>
      </c>
      <c r="B644" s="886"/>
      <c r="C644" s="886"/>
      <c r="D644" s="886"/>
      <c r="E644" s="887"/>
      <c r="F644" s="69">
        <f>+F608</f>
        <v>626968225</v>
      </c>
      <c r="I644" s="885" t="s">
        <v>103</v>
      </c>
      <c r="J644" s="886"/>
      <c r="K644" s="886"/>
      <c r="L644" s="886"/>
      <c r="M644" s="887"/>
      <c r="N644" s="239">
        <f>+N608</f>
        <v>308200478</v>
      </c>
      <c r="O644" s="241" t="s">
        <v>561</v>
      </c>
      <c r="P644" s="242">
        <f>281+498+349+301+2382</f>
        <v>3811</v>
      </c>
    </row>
    <row r="645" spans="1:16" ht="16.5" thickBot="1">
      <c r="A645" s="888" t="s">
        <v>104</v>
      </c>
      <c r="B645" s="889"/>
      <c r="C645" s="889"/>
      <c r="D645" s="889"/>
      <c r="E645" s="890"/>
      <c r="F645" s="183">
        <f>SUM(F643:F644)</f>
        <v>647444930</v>
      </c>
      <c r="I645" s="888" t="s">
        <v>104</v>
      </c>
      <c r="J645" s="889"/>
      <c r="K645" s="889"/>
      <c r="L645" s="889"/>
      <c r="M645" s="890"/>
      <c r="N645" s="183">
        <f>SUM(N643:N644)</f>
        <v>313219928</v>
      </c>
    </row>
    <row r="646" spans="1:16" ht="7.5" customHeight="1">
      <c r="A646" s="61"/>
      <c r="B646" s="61"/>
      <c r="C646" s="61"/>
      <c r="D646" s="61"/>
      <c r="E646" s="61"/>
      <c r="I646" s="61"/>
      <c r="J646" s="61"/>
      <c r="K646" s="61"/>
      <c r="L646" s="61"/>
      <c r="M646" s="61"/>
    </row>
    <row r="647" spans="1:16">
      <c r="A647" s="51" t="s">
        <v>349</v>
      </c>
      <c r="I647" s="51" t="s">
        <v>2247</v>
      </c>
    </row>
    <row r="648" spans="1:16" ht="5.25" customHeight="1">
      <c r="F648" s="139"/>
      <c r="N648" s="139"/>
    </row>
    <row r="649" spans="1:16">
      <c r="A649" s="50" t="s">
        <v>105</v>
      </c>
      <c r="D649" s="146"/>
      <c r="F649" s="139"/>
      <c r="I649" s="50" t="s">
        <v>105</v>
      </c>
      <c r="L649" s="146"/>
      <c r="N649" s="139"/>
    </row>
    <row r="650" spans="1:16" ht="10.5" customHeight="1" thickBot="1"/>
    <row r="651" spans="1:16" ht="15.75" thickBot="1">
      <c r="A651" s="891" t="s">
        <v>106</v>
      </c>
      <c r="B651" s="892"/>
      <c r="C651" s="892"/>
      <c r="D651" s="893"/>
      <c r="F651" s="50" t="s">
        <v>270</v>
      </c>
      <c r="I651" s="891" t="s">
        <v>106</v>
      </c>
      <c r="J651" s="892"/>
      <c r="K651" s="892"/>
      <c r="L651" s="893"/>
    </row>
    <row r="652" spans="1:16" ht="30.75" thickBot="1">
      <c r="A652" s="57" t="s">
        <v>100</v>
      </c>
      <c r="B652" s="58" t="s">
        <v>108</v>
      </c>
      <c r="C652" s="59" t="s">
        <v>109</v>
      </c>
      <c r="D652" s="60" t="s">
        <v>110</v>
      </c>
      <c r="I652" s="57" t="s">
        <v>100</v>
      </c>
      <c r="J652" s="58" t="s">
        <v>108</v>
      </c>
      <c r="K652" s="59" t="s">
        <v>109</v>
      </c>
      <c r="L652" s="60" t="s">
        <v>110</v>
      </c>
      <c r="N652" s="605" t="s">
        <v>288</v>
      </c>
      <c r="O652" s="605"/>
      <c r="P652" s="605"/>
    </row>
    <row r="653" spans="1:16" ht="13.5" customHeight="1">
      <c r="A653" s="71">
        <v>719</v>
      </c>
      <c r="B653" s="73" t="e">
        <f>+H633+H635+H637+#REF!+#REF!</f>
        <v>#REF!</v>
      </c>
      <c r="C653" s="74" t="e">
        <f>+D616</f>
        <v>#REF!</v>
      </c>
      <c r="D653" s="195" t="e">
        <f>+B653+C653</f>
        <v>#REF!</v>
      </c>
      <c r="I653" s="71">
        <v>719</v>
      </c>
      <c r="J653" s="73">
        <f>+P635+P637+P639</f>
        <v>1350000</v>
      </c>
      <c r="K653" s="74">
        <f>+L616</f>
        <v>10160000</v>
      </c>
      <c r="L653" s="195">
        <f>+J653+K653</f>
        <v>11510000</v>
      </c>
      <c r="N653" s="202"/>
      <c r="O653" s="202"/>
      <c r="P653" s="202"/>
    </row>
    <row r="654" spans="1:16" ht="12.75" customHeight="1">
      <c r="A654" s="72">
        <v>721</v>
      </c>
      <c r="B654" s="80">
        <f>+H634</f>
        <v>20276705</v>
      </c>
      <c r="C654" s="74" t="e">
        <f>+D617</f>
        <v>#REF!</v>
      </c>
      <c r="D654" s="195" t="e">
        <f>+B654+C654</f>
        <v>#REF!</v>
      </c>
      <c r="I654" s="72">
        <v>721</v>
      </c>
      <c r="J654" s="80">
        <f>+P636+P638+P640</f>
        <v>472500</v>
      </c>
      <c r="K654" s="74">
        <f>+L617</f>
        <v>3251500</v>
      </c>
      <c r="L654" s="195">
        <f>+J654+K654</f>
        <v>3724000</v>
      </c>
      <c r="N654" s="202"/>
      <c r="O654" s="202"/>
      <c r="P654" s="202"/>
    </row>
    <row r="655" spans="1:16" ht="14.25" customHeight="1">
      <c r="A655" s="72">
        <v>722</v>
      </c>
      <c r="B655" s="80"/>
      <c r="C655" s="74">
        <f>+D618</f>
        <v>231207671</v>
      </c>
      <c r="D655" s="195">
        <f>+B655+C655</f>
        <v>231207671</v>
      </c>
      <c r="I655" s="72">
        <v>722</v>
      </c>
      <c r="J655" s="80"/>
      <c r="K655" s="74">
        <f>+L618</f>
        <v>0</v>
      </c>
      <c r="L655" s="195">
        <f>+J655+K655</f>
        <v>0</v>
      </c>
      <c r="N655" s="202"/>
      <c r="O655" s="202"/>
      <c r="P655" s="202"/>
    </row>
    <row r="656" spans="1:16" ht="17.25" thickBot="1">
      <c r="A656" s="72">
        <v>723</v>
      </c>
      <c r="B656" s="80">
        <f>+H636</f>
        <v>200000</v>
      </c>
      <c r="C656" s="74" t="e">
        <f>+D619</f>
        <v>#REF!</v>
      </c>
      <c r="D656" s="195" t="e">
        <f>+B656+C656</f>
        <v>#REF!</v>
      </c>
      <c r="F656" s="193" t="s">
        <v>348</v>
      </c>
      <c r="G656" s="175"/>
      <c r="I656" s="72">
        <v>723</v>
      </c>
      <c r="J656" s="80">
        <f>+P634+P642</f>
        <v>3196950</v>
      </c>
      <c r="K656" s="74">
        <f>+L619</f>
        <v>294788978</v>
      </c>
      <c r="L656" s="195">
        <f>+J656+K656</f>
        <v>297985928</v>
      </c>
      <c r="N656" s="202"/>
      <c r="O656" s="202"/>
      <c r="P656" s="202"/>
    </row>
    <row r="657" spans="1:18" ht="16.5" hidden="1" thickBot="1">
      <c r="A657" s="164" t="s">
        <v>181</v>
      </c>
      <c r="B657" s="165"/>
      <c r="C657" s="74" t="e">
        <f>+#REF!</f>
        <v>#REF!</v>
      </c>
      <c r="D657" s="196" t="e">
        <f>+B657+C657</f>
        <v>#REF!</v>
      </c>
      <c r="F657" s="52"/>
      <c r="I657" s="164" t="s">
        <v>181</v>
      </c>
      <c r="J657" s="165"/>
      <c r="K657" s="74">
        <f>+K620</f>
        <v>0</v>
      </c>
      <c r="L657" s="195">
        <f>+J657+K657</f>
        <v>0</v>
      </c>
      <c r="N657" s="918" t="s">
        <v>2147</v>
      </c>
      <c r="O657" s="608"/>
      <c r="P657" s="608"/>
    </row>
    <row r="658" spans="1:18" ht="16.5" thickBot="1">
      <c r="A658" s="169"/>
      <c r="B658" s="170" t="e">
        <f>SUM(B653:B657)</f>
        <v>#REF!</v>
      </c>
      <c r="C658" s="171" t="e">
        <f>SUM(C653:C657)</f>
        <v>#REF!</v>
      </c>
      <c r="D658" s="172" t="e">
        <f>SUM(D653:D657)</f>
        <v>#REF!</v>
      </c>
      <c r="I658" s="169"/>
      <c r="J658" s="197">
        <f>SUM(J653:J657)</f>
        <v>5019450</v>
      </c>
      <c r="K658" s="197">
        <f>SUM(K653:K657)</f>
        <v>308200478</v>
      </c>
      <c r="L658" s="198">
        <f>SUM(L653:L657)</f>
        <v>313219928</v>
      </c>
    </row>
    <row r="659" spans="1:18" ht="16.5">
      <c r="A659" s="49" t="s">
        <v>88</v>
      </c>
      <c r="B659" s="50"/>
      <c r="I659" s="49" t="s">
        <v>88</v>
      </c>
      <c r="J659" s="50"/>
    </row>
    <row r="660" spans="1:18" ht="13.5" customHeight="1">
      <c r="A660" s="51" t="s">
        <v>89</v>
      </c>
      <c r="I660" s="51" t="s">
        <v>89</v>
      </c>
    </row>
    <row r="661" spans="1:18" ht="13.5" customHeight="1">
      <c r="A661" s="51" t="s">
        <v>90</v>
      </c>
      <c r="I661" s="51" t="s">
        <v>90</v>
      </c>
    </row>
    <row r="662" spans="1:18" ht="14.25" customHeight="1">
      <c r="A662" s="51" t="s">
        <v>91</v>
      </c>
      <c r="I662" s="51" t="s">
        <v>91</v>
      </c>
    </row>
    <row r="663" spans="1:18" ht="11.25" customHeight="1">
      <c r="A663" s="50"/>
      <c r="B663" s="50"/>
      <c r="I663" s="50"/>
      <c r="J663" s="50"/>
    </row>
    <row r="664" spans="1:18" ht="16.5">
      <c r="A664" s="52" t="s">
        <v>351</v>
      </c>
      <c r="G664" s="52"/>
      <c r="I664" s="52" t="s">
        <v>731</v>
      </c>
      <c r="O664" s="52"/>
    </row>
    <row r="665" spans="1:18" ht="15.75">
      <c r="A665" s="53" t="s">
        <v>92</v>
      </c>
      <c r="G665" s="53"/>
      <c r="I665" s="53" t="s">
        <v>2139</v>
      </c>
      <c r="O665" s="53"/>
    </row>
    <row r="666" spans="1:18" ht="15" customHeight="1">
      <c r="A666" s="894" t="s">
        <v>93</v>
      </c>
      <c r="B666" s="894"/>
      <c r="C666" s="894"/>
      <c r="D666" s="894"/>
      <c r="E666" s="894"/>
      <c r="F666" s="894"/>
      <c r="G666" s="894"/>
      <c r="H666" s="894"/>
      <c r="I666" s="933" t="s">
        <v>2253</v>
      </c>
      <c r="J666" s="933"/>
      <c r="K666" s="933"/>
      <c r="L666" s="933"/>
      <c r="M666" s="933"/>
      <c r="N666" s="933"/>
      <c r="O666" s="933"/>
      <c r="P666" s="933"/>
    </row>
    <row r="667" spans="1:18" ht="11.25" customHeight="1" thickBot="1"/>
    <row r="668" spans="1:18">
      <c r="A668" s="895" t="s">
        <v>94</v>
      </c>
      <c r="B668" s="897" t="s">
        <v>95</v>
      </c>
      <c r="C668" s="897" t="s">
        <v>96</v>
      </c>
      <c r="D668" s="897" t="s">
        <v>3</v>
      </c>
      <c r="E668" s="897" t="s">
        <v>97</v>
      </c>
      <c r="F668" s="897" t="s">
        <v>98</v>
      </c>
      <c r="G668" s="897" t="s">
        <v>99</v>
      </c>
      <c r="H668" s="899"/>
      <c r="I668" s="895" t="s">
        <v>94</v>
      </c>
      <c r="J668" s="897" t="s">
        <v>95</v>
      </c>
      <c r="K668" s="897" t="s">
        <v>96</v>
      </c>
      <c r="L668" s="897" t="s">
        <v>3</v>
      </c>
      <c r="M668" s="897" t="s">
        <v>97</v>
      </c>
      <c r="N668" s="897" t="s">
        <v>98</v>
      </c>
      <c r="O668" s="897" t="s">
        <v>99</v>
      </c>
      <c r="P668" s="899"/>
      <c r="R668" s="51">
        <f>750000/12</f>
        <v>62500</v>
      </c>
    </row>
    <row r="669" spans="1:18" ht="15.75" thickBot="1">
      <c r="A669" s="896"/>
      <c r="B669" s="898"/>
      <c r="C669" s="898"/>
      <c r="D669" s="898"/>
      <c r="E669" s="898"/>
      <c r="F669" s="898"/>
      <c r="G669" s="240" t="s">
        <v>100</v>
      </c>
      <c r="H669" s="182" t="s">
        <v>101</v>
      </c>
      <c r="I669" s="896"/>
      <c r="J669" s="898"/>
      <c r="K669" s="898"/>
      <c r="L669" s="898"/>
      <c r="M669" s="898"/>
      <c r="N669" s="898"/>
      <c r="O669" s="240" t="s">
        <v>100</v>
      </c>
      <c r="P669" s="182" t="s">
        <v>101</v>
      </c>
    </row>
    <row r="670" spans="1:18" ht="14.25" customHeight="1">
      <c r="A670" s="881" t="e">
        <f>+A635+1</f>
        <v>#REF!</v>
      </c>
      <c r="B670" s="875">
        <v>42296</v>
      </c>
      <c r="C670" s="877" t="s">
        <v>267</v>
      </c>
      <c r="D670" s="881" t="s">
        <v>359</v>
      </c>
      <c r="E670" s="881" t="s">
        <v>148</v>
      </c>
      <c r="F670" s="883">
        <v>154000</v>
      </c>
      <c r="G670" s="55">
        <v>719</v>
      </c>
      <c r="H670" s="78">
        <v>110000</v>
      </c>
      <c r="I670" s="873" t="s">
        <v>667</v>
      </c>
      <c r="J670" s="875">
        <v>44729</v>
      </c>
      <c r="K670" s="877" t="s">
        <v>1079</v>
      </c>
      <c r="L670" s="881" t="s">
        <v>2248</v>
      </c>
      <c r="M670" s="881" t="s">
        <v>148</v>
      </c>
      <c r="N670" s="883">
        <v>445500</v>
      </c>
      <c r="O670" s="55">
        <v>719</v>
      </c>
      <c r="P670" s="78">
        <v>330000</v>
      </c>
    </row>
    <row r="671" spans="1:18" ht="13.5" customHeight="1" thickBot="1">
      <c r="A671" s="882"/>
      <c r="B671" s="876"/>
      <c r="C671" s="878"/>
      <c r="D671" s="882"/>
      <c r="E671" s="882"/>
      <c r="F671" s="884"/>
      <c r="G671" s="56">
        <v>721</v>
      </c>
      <c r="H671" s="79">
        <f>+F670-H670</f>
        <v>44000</v>
      </c>
      <c r="I671" s="882"/>
      <c r="J671" s="876"/>
      <c r="K671" s="878"/>
      <c r="L671" s="882"/>
      <c r="M671" s="882"/>
      <c r="N671" s="884"/>
      <c r="O671" s="56">
        <v>721</v>
      </c>
      <c r="P671" s="79">
        <f>+N670-P670</f>
        <v>115500</v>
      </c>
    </row>
    <row r="672" spans="1:18" ht="12.75" customHeight="1">
      <c r="A672" s="881" t="e">
        <f>+A670+1</f>
        <v>#REF!</v>
      </c>
      <c r="B672" s="875">
        <v>42296</v>
      </c>
      <c r="C672" s="881" t="s">
        <v>28</v>
      </c>
      <c r="D672" s="881" t="s">
        <v>357</v>
      </c>
      <c r="E672" s="881" t="s">
        <v>148</v>
      </c>
      <c r="F672" s="883">
        <v>280000</v>
      </c>
      <c r="G672" s="55">
        <v>719</v>
      </c>
      <c r="H672" s="78">
        <v>200000</v>
      </c>
      <c r="I672" s="873" t="s">
        <v>668</v>
      </c>
      <c r="J672" s="875">
        <v>44729</v>
      </c>
      <c r="K672" s="877" t="s">
        <v>169</v>
      </c>
      <c r="L672" s="881" t="s">
        <v>2249</v>
      </c>
      <c r="M672" s="881" t="s">
        <v>148</v>
      </c>
      <c r="N672" s="883">
        <v>121500</v>
      </c>
      <c r="O672" s="55">
        <v>719</v>
      </c>
      <c r="P672" s="78">
        <v>90000</v>
      </c>
    </row>
    <row r="673" spans="1:16" ht="12.75" customHeight="1" thickBot="1">
      <c r="A673" s="882"/>
      <c r="B673" s="876"/>
      <c r="C673" s="882"/>
      <c r="D673" s="882"/>
      <c r="E673" s="882"/>
      <c r="F673" s="884"/>
      <c r="G673" s="56">
        <v>721</v>
      </c>
      <c r="H673" s="79">
        <f>+F672-H672</f>
        <v>80000</v>
      </c>
      <c r="I673" s="882"/>
      <c r="J673" s="876"/>
      <c r="K673" s="878"/>
      <c r="L673" s="882"/>
      <c r="M673" s="882"/>
      <c r="N673" s="884"/>
      <c r="O673" s="56">
        <v>721</v>
      </c>
      <c r="P673" s="79">
        <f>+N672-P672</f>
        <v>31500</v>
      </c>
    </row>
    <row r="674" spans="1:16" ht="12" customHeight="1">
      <c r="A674" s="881" t="e">
        <f>+A672+1</f>
        <v>#REF!</v>
      </c>
      <c r="B674" s="875">
        <v>42296</v>
      </c>
      <c r="C674" s="877" t="s">
        <v>32</v>
      </c>
      <c r="D674" s="881" t="s">
        <v>357</v>
      </c>
      <c r="E674" s="881" t="s">
        <v>148</v>
      </c>
      <c r="F674" s="883">
        <v>98000</v>
      </c>
      <c r="G674" s="55">
        <v>719</v>
      </c>
      <c r="H674" s="78">
        <v>70000</v>
      </c>
      <c r="I674" s="873" t="s">
        <v>669</v>
      </c>
      <c r="J674" s="875">
        <v>44729</v>
      </c>
      <c r="K674" s="877" t="s">
        <v>120</v>
      </c>
      <c r="L674" s="881" t="s">
        <v>2250</v>
      </c>
      <c r="M674" s="881" t="s">
        <v>115</v>
      </c>
      <c r="N674" s="883">
        <v>2100000</v>
      </c>
      <c r="O674" s="55">
        <v>719</v>
      </c>
      <c r="P674" s="78"/>
    </row>
    <row r="675" spans="1:16" ht="14.25" customHeight="1" thickBot="1">
      <c r="A675" s="882"/>
      <c r="B675" s="876"/>
      <c r="C675" s="878"/>
      <c r="D675" s="882"/>
      <c r="E675" s="882"/>
      <c r="F675" s="884"/>
      <c r="G675" s="56">
        <v>721</v>
      </c>
      <c r="H675" s="79">
        <f>+F674-H674</f>
        <v>28000</v>
      </c>
      <c r="I675" s="882"/>
      <c r="J675" s="876"/>
      <c r="K675" s="878"/>
      <c r="L675" s="882"/>
      <c r="M675" s="882"/>
      <c r="N675" s="884"/>
      <c r="O675" s="56">
        <v>723</v>
      </c>
      <c r="P675" s="79">
        <f>+N674-P674</f>
        <v>2100000</v>
      </c>
    </row>
    <row r="676" spans="1:16" ht="12.75" customHeight="1">
      <c r="A676" s="881" t="e">
        <f>+#REF!+1</f>
        <v>#REF!</v>
      </c>
      <c r="B676" s="875">
        <v>42296</v>
      </c>
      <c r="C676" s="877" t="s">
        <v>272</v>
      </c>
      <c r="D676" s="881" t="s">
        <v>357</v>
      </c>
      <c r="E676" s="881" t="s">
        <v>148</v>
      </c>
      <c r="F676" s="883">
        <v>616000</v>
      </c>
      <c r="G676" s="55">
        <v>719</v>
      </c>
      <c r="H676" s="78">
        <v>440000</v>
      </c>
      <c r="I676" s="873" t="s">
        <v>670</v>
      </c>
      <c r="J676" s="875">
        <v>44729</v>
      </c>
      <c r="K676" s="877" t="s">
        <v>2251</v>
      </c>
      <c r="L676" s="881" t="s">
        <v>2250</v>
      </c>
      <c r="M676" s="881" t="s">
        <v>115</v>
      </c>
      <c r="N676" s="883">
        <v>562500</v>
      </c>
      <c r="O676" s="55">
        <v>719</v>
      </c>
      <c r="P676" s="78">
        <v>0</v>
      </c>
    </row>
    <row r="677" spans="1:16" ht="15.75" customHeight="1" thickBot="1">
      <c r="A677" s="882"/>
      <c r="B677" s="876"/>
      <c r="C677" s="878"/>
      <c r="D677" s="882"/>
      <c r="E677" s="882"/>
      <c r="F677" s="884"/>
      <c r="G677" s="56">
        <v>721</v>
      </c>
      <c r="H677" s="79">
        <f>+F676-H676</f>
        <v>176000</v>
      </c>
      <c r="I677" s="882"/>
      <c r="J677" s="876"/>
      <c r="K677" s="878"/>
      <c r="L677" s="882"/>
      <c r="M677" s="882"/>
      <c r="N677" s="884"/>
      <c r="O677" s="56">
        <v>723</v>
      </c>
      <c r="P677" s="79">
        <f>+N676-P676</f>
        <v>562500</v>
      </c>
    </row>
    <row r="678" spans="1:16" ht="16.5" thickBot="1">
      <c r="A678" s="901" t="s">
        <v>102</v>
      </c>
      <c r="B678" s="902"/>
      <c r="C678" s="902"/>
      <c r="D678" s="902"/>
      <c r="E678" s="903"/>
      <c r="F678" s="81">
        <f>SUM(F670:F677)</f>
        <v>1148000</v>
      </c>
      <c r="I678" s="901" t="s">
        <v>102</v>
      </c>
      <c r="J678" s="902"/>
      <c r="K678" s="902"/>
      <c r="L678" s="902"/>
      <c r="M678" s="903"/>
      <c r="N678" s="81">
        <f>SUM(N670:N677)</f>
        <v>3229500</v>
      </c>
    </row>
    <row r="679" spans="1:16" ht="16.5" thickBot="1">
      <c r="A679" s="885" t="s">
        <v>103</v>
      </c>
      <c r="B679" s="886"/>
      <c r="C679" s="886"/>
      <c r="D679" s="886"/>
      <c r="E679" s="887"/>
      <c r="F679" s="69">
        <f>+F645</f>
        <v>647444930</v>
      </c>
      <c r="I679" s="885" t="s">
        <v>103</v>
      </c>
      <c r="J679" s="886"/>
      <c r="K679" s="886"/>
      <c r="L679" s="886"/>
      <c r="M679" s="887"/>
      <c r="N679" s="239">
        <f>+N645</f>
        <v>313219928</v>
      </c>
      <c r="O679" s="241" t="s">
        <v>561</v>
      </c>
      <c r="P679" s="242">
        <f>46+231</f>
        <v>277</v>
      </c>
    </row>
    <row r="680" spans="1:16" ht="16.5" thickBot="1">
      <c r="A680" s="888" t="s">
        <v>104</v>
      </c>
      <c r="B680" s="889"/>
      <c r="C680" s="889"/>
      <c r="D680" s="889"/>
      <c r="E680" s="890"/>
      <c r="F680" s="183">
        <f>SUM(F678:F679)</f>
        <v>648592930</v>
      </c>
      <c r="I680" s="888" t="s">
        <v>104</v>
      </c>
      <c r="J680" s="889"/>
      <c r="K680" s="889"/>
      <c r="L680" s="889"/>
      <c r="M680" s="890"/>
      <c r="N680" s="183">
        <f>SUM(N678:N679)</f>
        <v>316449428</v>
      </c>
    </row>
    <row r="681" spans="1:16" ht="15.75" customHeight="1">
      <c r="A681" s="61"/>
      <c r="B681" s="61"/>
      <c r="C681" s="61"/>
      <c r="D681" s="61"/>
      <c r="E681" s="61"/>
      <c r="I681" s="61"/>
      <c r="J681" s="61"/>
      <c r="K681" s="61"/>
      <c r="L681" s="61"/>
      <c r="M681" s="61"/>
    </row>
    <row r="682" spans="1:16">
      <c r="A682" s="51" t="s">
        <v>353</v>
      </c>
      <c r="I682" s="51" t="s">
        <v>2252</v>
      </c>
    </row>
    <row r="683" spans="1:16" ht="12" customHeight="1">
      <c r="F683" s="139"/>
      <c r="N683" s="139"/>
    </row>
    <row r="684" spans="1:16">
      <c r="A684" s="50" t="s">
        <v>105</v>
      </c>
      <c r="D684" s="146"/>
      <c r="F684" s="139"/>
      <c r="I684" s="50" t="s">
        <v>105</v>
      </c>
      <c r="L684" s="146"/>
      <c r="N684" s="139"/>
    </row>
    <row r="685" spans="1:16" ht="9" customHeight="1" thickBot="1"/>
    <row r="686" spans="1:16" ht="15.75" customHeight="1" thickBot="1">
      <c r="A686" s="891" t="s">
        <v>106</v>
      </c>
      <c r="B686" s="892"/>
      <c r="C686" s="892"/>
      <c r="D686" s="893"/>
      <c r="F686" s="50" t="s">
        <v>270</v>
      </c>
      <c r="I686" s="891" t="s">
        <v>106</v>
      </c>
      <c r="J686" s="892"/>
      <c r="K686" s="892"/>
      <c r="L686" s="893"/>
      <c r="N686" s="605" t="s">
        <v>288</v>
      </c>
      <c r="O686" s="605"/>
      <c r="P686" s="605"/>
    </row>
    <row r="687" spans="1:16" ht="28.5" customHeight="1" thickBot="1">
      <c r="A687" s="57" t="s">
        <v>100</v>
      </c>
      <c r="B687" s="58" t="s">
        <v>108</v>
      </c>
      <c r="C687" s="59" t="s">
        <v>109</v>
      </c>
      <c r="D687" s="60" t="s">
        <v>110</v>
      </c>
      <c r="I687" s="57" t="s">
        <v>100</v>
      </c>
      <c r="J687" s="58" t="s">
        <v>108</v>
      </c>
      <c r="K687" s="59" t="s">
        <v>109</v>
      </c>
      <c r="L687" s="60" t="s">
        <v>110</v>
      </c>
      <c r="N687" s="202"/>
      <c r="O687" s="202"/>
      <c r="P687" s="202"/>
    </row>
    <row r="688" spans="1:16" ht="14.25" customHeight="1">
      <c r="A688" s="71">
        <v>719</v>
      </c>
      <c r="B688" s="73" t="e">
        <f>+H670+H672+H674+#REF!+H676</f>
        <v>#REF!</v>
      </c>
      <c r="C688" s="74" t="e">
        <f>+D653</f>
        <v>#REF!</v>
      </c>
      <c r="D688" s="195" t="e">
        <f>+B688+C688</f>
        <v>#REF!</v>
      </c>
      <c r="I688" s="71">
        <v>719</v>
      </c>
      <c r="J688" s="73">
        <f>+P670+P672</f>
        <v>420000</v>
      </c>
      <c r="K688" s="74">
        <f>+L653</f>
        <v>11510000</v>
      </c>
      <c r="L688" s="195">
        <f>+J688+K688</f>
        <v>11930000</v>
      </c>
      <c r="N688" s="202"/>
      <c r="O688" s="202"/>
      <c r="P688" s="202"/>
    </row>
    <row r="689" spans="1:16" ht="12.75" customHeight="1">
      <c r="A689" s="72">
        <v>721</v>
      </c>
      <c r="B689" s="80" t="e">
        <f>+H671+H673+H675+#REF!+H677</f>
        <v>#REF!</v>
      </c>
      <c r="C689" s="74" t="e">
        <f>+D654</f>
        <v>#REF!</v>
      </c>
      <c r="D689" s="195" t="e">
        <f>+B689+C689</f>
        <v>#REF!</v>
      </c>
      <c r="I689" s="72">
        <v>721</v>
      </c>
      <c r="J689" s="80">
        <f>+P671+P673</f>
        <v>147000</v>
      </c>
      <c r="K689" s="74">
        <f>+L654</f>
        <v>3724000</v>
      </c>
      <c r="L689" s="195">
        <f>+J689+K689</f>
        <v>3871000</v>
      </c>
      <c r="N689" s="605" t="s">
        <v>2147</v>
      </c>
      <c r="O689" s="605"/>
      <c r="P689" s="605"/>
    </row>
    <row r="690" spans="1:16" ht="12.75" customHeight="1">
      <c r="A690" s="72">
        <v>722</v>
      </c>
      <c r="B690" s="80"/>
      <c r="C690" s="74">
        <f>+D655</f>
        <v>231207671</v>
      </c>
      <c r="D690" s="195">
        <f>+B690+C690</f>
        <v>231207671</v>
      </c>
      <c r="I690" s="72">
        <v>722</v>
      </c>
      <c r="J690" s="80"/>
      <c r="K690" s="74">
        <f>+L655</f>
        <v>0</v>
      </c>
      <c r="L690" s="195">
        <f>+J690+K690</f>
        <v>0</v>
      </c>
      <c r="N690" s="202"/>
      <c r="O690" s="202"/>
      <c r="P690" s="202"/>
    </row>
    <row r="691" spans="1:16" ht="13.5" customHeight="1" thickBot="1">
      <c r="A691" s="72">
        <v>723</v>
      </c>
      <c r="B691" s="80"/>
      <c r="C691" s="74" t="e">
        <f>+D656</f>
        <v>#REF!</v>
      </c>
      <c r="D691" s="195" t="e">
        <f>+B691+C691</f>
        <v>#REF!</v>
      </c>
      <c r="F691" s="193" t="s">
        <v>348</v>
      </c>
      <c r="G691" s="175"/>
      <c r="I691" s="72">
        <v>723</v>
      </c>
      <c r="J691" s="80">
        <f>+P675+P677</f>
        <v>2662500</v>
      </c>
      <c r="K691" s="74">
        <f>+L656</f>
        <v>297985928</v>
      </c>
      <c r="L691" s="195">
        <f>+J691+K691</f>
        <v>300648428</v>
      </c>
      <c r="N691" s="918"/>
      <c r="O691" s="608"/>
      <c r="P691" s="608"/>
    </row>
    <row r="692" spans="1:16" ht="12.75" hidden="1" customHeight="1">
      <c r="A692" s="164" t="s">
        <v>181</v>
      </c>
      <c r="B692" s="165"/>
      <c r="C692" s="74" t="e">
        <f>+D657</f>
        <v>#REF!</v>
      </c>
      <c r="D692" s="196" t="e">
        <f>+B692+C692</f>
        <v>#REF!</v>
      </c>
      <c r="F692" s="52"/>
      <c r="I692" s="164" t="s">
        <v>181</v>
      </c>
      <c r="J692" s="165"/>
      <c r="K692" s="74">
        <f>+L657</f>
        <v>0</v>
      </c>
      <c r="L692" s="196">
        <f>+J692+K692</f>
        <v>0</v>
      </c>
      <c r="N692" s="52"/>
    </row>
    <row r="693" spans="1:16" ht="16.5" thickBot="1">
      <c r="A693" s="169"/>
      <c r="B693" s="170" t="e">
        <f>SUM(B688:B692)</f>
        <v>#REF!</v>
      </c>
      <c r="C693" s="171" t="e">
        <f>SUM(C688:C692)</f>
        <v>#REF!</v>
      </c>
      <c r="D693" s="172" t="e">
        <f>SUM(D688:D692)</f>
        <v>#REF!</v>
      </c>
      <c r="I693" s="169"/>
      <c r="J693" s="197">
        <f>SUM(J688:J692)</f>
        <v>3229500</v>
      </c>
      <c r="K693" s="197">
        <f>SUM(K688:K692)</f>
        <v>313219928</v>
      </c>
      <c r="L693" s="198">
        <f>SUM(L688:L692)</f>
        <v>316449428</v>
      </c>
    </row>
    <row r="694" spans="1:16" ht="16.5">
      <c r="A694" s="49" t="s">
        <v>88</v>
      </c>
      <c r="B694" s="50"/>
      <c r="I694" s="49" t="s">
        <v>88</v>
      </c>
      <c r="J694" s="50"/>
    </row>
    <row r="695" spans="1:16">
      <c r="A695" s="51" t="s">
        <v>89</v>
      </c>
      <c r="I695" s="51" t="s">
        <v>89</v>
      </c>
    </row>
    <row r="696" spans="1:16">
      <c r="A696" s="51" t="s">
        <v>90</v>
      </c>
      <c r="I696" s="51" t="s">
        <v>90</v>
      </c>
    </row>
    <row r="697" spans="1:16">
      <c r="A697" s="51" t="s">
        <v>91</v>
      </c>
      <c r="I697" s="51" t="s">
        <v>91</v>
      </c>
    </row>
    <row r="698" spans="1:16" ht="8.25" customHeight="1">
      <c r="A698" s="50"/>
      <c r="B698" s="50"/>
      <c r="I698" s="50"/>
      <c r="J698" s="50"/>
    </row>
    <row r="699" spans="1:16" ht="16.5">
      <c r="A699" s="52" t="s">
        <v>352</v>
      </c>
      <c r="G699" s="52"/>
      <c r="I699" s="260" t="s">
        <v>743</v>
      </c>
      <c r="J699" s="262"/>
      <c r="O699" s="52"/>
    </row>
    <row r="700" spans="1:16" ht="15.75">
      <c r="A700" s="53" t="s">
        <v>92</v>
      </c>
      <c r="G700" s="53"/>
      <c r="I700" s="261" t="s">
        <v>2139</v>
      </c>
      <c r="J700" s="262"/>
      <c r="O700" s="53"/>
    </row>
    <row r="701" spans="1:16" ht="17.25" customHeight="1">
      <c r="A701" s="894" t="s">
        <v>93</v>
      </c>
      <c r="B701" s="894"/>
      <c r="C701" s="894"/>
      <c r="D701" s="894"/>
      <c r="E701" s="894"/>
      <c r="F701" s="894"/>
      <c r="G701" s="894"/>
      <c r="H701" s="894"/>
      <c r="I701" s="894" t="s">
        <v>170</v>
      </c>
      <c r="J701" s="894"/>
      <c r="K701" s="894"/>
      <c r="L701" s="894"/>
      <c r="M701" s="894"/>
      <c r="N701" s="894"/>
      <c r="O701" s="894"/>
      <c r="P701" s="894"/>
    </row>
    <row r="702" spans="1:16" ht="6" customHeight="1" thickBot="1"/>
    <row r="703" spans="1:16">
      <c r="A703" s="895" t="s">
        <v>94</v>
      </c>
      <c r="B703" s="897" t="s">
        <v>95</v>
      </c>
      <c r="C703" s="897" t="s">
        <v>96</v>
      </c>
      <c r="D703" s="897" t="s">
        <v>3</v>
      </c>
      <c r="E703" s="897" t="s">
        <v>97</v>
      </c>
      <c r="F703" s="897" t="s">
        <v>98</v>
      </c>
      <c r="G703" s="897" t="s">
        <v>99</v>
      </c>
      <c r="H703" s="899"/>
      <c r="I703" s="895" t="s">
        <v>94</v>
      </c>
      <c r="J703" s="897" t="s">
        <v>95</v>
      </c>
      <c r="K703" s="897" t="s">
        <v>96</v>
      </c>
      <c r="L703" s="897" t="s">
        <v>3</v>
      </c>
      <c r="M703" s="897" t="s">
        <v>97</v>
      </c>
      <c r="N703" s="897" t="s">
        <v>98</v>
      </c>
      <c r="O703" s="897" t="s">
        <v>99</v>
      </c>
      <c r="P703" s="899"/>
    </row>
    <row r="704" spans="1:16" ht="15.75" thickBot="1">
      <c r="A704" s="896"/>
      <c r="B704" s="898"/>
      <c r="C704" s="898"/>
      <c r="D704" s="898"/>
      <c r="E704" s="898"/>
      <c r="F704" s="898"/>
      <c r="G704" s="240" t="s">
        <v>100</v>
      </c>
      <c r="H704" s="182" t="s">
        <v>101</v>
      </c>
      <c r="I704" s="896"/>
      <c r="J704" s="898"/>
      <c r="K704" s="898"/>
      <c r="L704" s="898"/>
      <c r="M704" s="898"/>
      <c r="N704" s="898"/>
      <c r="O704" s="240" t="s">
        <v>100</v>
      </c>
      <c r="P704" s="182" t="s">
        <v>101</v>
      </c>
    </row>
    <row r="705" spans="1:16" ht="15" customHeight="1">
      <c r="A705" s="881" t="e">
        <f>+A676+1</f>
        <v>#REF!</v>
      </c>
      <c r="B705" s="875">
        <v>42296</v>
      </c>
      <c r="C705" s="877" t="s">
        <v>272</v>
      </c>
      <c r="D705" s="881" t="s">
        <v>356</v>
      </c>
      <c r="E705" s="881" t="s">
        <v>115</v>
      </c>
      <c r="F705" s="883">
        <v>100000</v>
      </c>
      <c r="G705" s="55">
        <v>719</v>
      </c>
      <c r="H705" s="78">
        <v>100000</v>
      </c>
      <c r="I705" s="873" t="s">
        <v>717</v>
      </c>
      <c r="J705" s="875">
        <v>44734</v>
      </c>
      <c r="K705" s="877" t="s">
        <v>1315</v>
      </c>
      <c r="L705" s="881" t="s">
        <v>2262</v>
      </c>
      <c r="M705" s="881" t="s">
        <v>148</v>
      </c>
      <c r="N705" s="883">
        <v>4716550</v>
      </c>
      <c r="O705" s="55">
        <v>723</v>
      </c>
      <c r="P705" s="78">
        <v>0</v>
      </c>
    </row>
    <row r="706" spans="1:16" ht="13.5" customHeight="1" thickBot="1">
      <c r="A706" s="882"/>
      <c r="B706" s="876"/>
      <c r="C706" s="878"/>
      <c r="D706" s="882"/>
      <c r="E706" s="882"/>
      <c r="F706" s="884"/>
      <c r="G706" s="56">
        <v>721</v>
      </c>
      <c r="H706" s="79">
        <f>+F705-H705</f>
        <v>0</v>
      </c>
      <c r="I706" s="882"/>
      <c r="J706" s="876"/>
      <c r="K706" s="878"/>
      <c r="L706" s="882"/>
      <c r="M706" s="882"/>
      <c r="N706" s="884"/>
      <c r="O706" s="56">
        <v>723</v>
      </c>
      <c r="P706" s="79">
        <f>+N705-P705</f>
        <v>4716550</v>
      </c>
    </row>
    <row r="707" spans="1:16" ht="13.5" customHeight="1">
      <c r="A707" s="881" t="e">
        <f>+A705+1</f>
        <v>#REF!</v>
      </c>
      <c r="B707" s="875">
        <v>42296</v>
      </c>
      <c r="C707" s="881" t="s">
        <v>28</v>
      </c>
      <c r="D707" s="881" t="s">
        <v>355</v>
      </c>
      <c r="E707" s="881" t="s">
        <v>115</v>
      </c>
      <c r="F707" s="883">
        <v>50000</v>
      </c>
      <c r="G707" s="55">
        <v>719</v>
      </c>
      <c r="H707" s="78">
        <v>50000</v>
      </c>
      <c r="I707" s="873"/>
      <c r="J707" s="875"/>
      <c r="K707" s="877"/>
      <c r="L707" s="881"/>
      <c r="M707" s="881"/>
      <c r="N707" s="883"/>
      <c r="O707" s="55">
        <v>723</v>
      </c>
      <c r="P707" s="78"/>
    </row>
    <row r="708" spans="1:16" ht="12.75" customHeight="1" thickBot="1">
      <c r="A708" s="882"/>
      <c r="B708" s="876"/>
      <c r="C708" s="882"/>
      <c r="D708" s="882"/>
      <c r="E708" s="882"/>
      <c r="F708" s="884"/>
      <c r="G708" s="56">
        <v>721</v>
      </c>
      <c r="H708" s="79">
        <f>+F707-H707</f>
        <v>0</v>
      </c>
      <c r="I708" s="882"/>
      <c r="J708" s="876"/>
      <c r="K708" s="878"/>
      <c r="L708" s="882"/>
      <c r="M708" s="882"/>
      <c r="N708" s="884"/>
      <c r="O708" s="56">
        <v>721</v>
      </c>
      <c r="P708" s="79">
        <f>+N707-P707</f>
        <v>0</v>
      </c>
    </row>
    <row r="709" spans="1:16" ht="12.75" customHeight="1">
      <c r="A709" s="251"/>
      <c r="B709" s="252"/>
      <c r="C709" s="251"/>
      <c r="D709" s="251"/>
      <c r="E709" s="251"/>
      <c r="F709" s="254"/>
      <c r="G709" s="255"/>
      <c r="H709" s="256"/>
      <c r="I709" s="873"/>
      <c r="J709" s="875"/>
      <c r="K709" s="877"/>
      <c r="L709" s="881"/>
      <c r="M709" s="881"/>
      <c r="N709" s="883"/>
      <c r="O709" s="55">
        <v>723</v>
      </c>
      <c r="P709" s="78"/>
    </row>
    <row r="710" spans="1:16" ht="12.75" customHeight="1" thickBot="1">
      <c r="A710" s="251"/>
      <c r="B710" s="252"/>
      <c r="C710" s="251"/>
      <c r="D710" s="251"/>
      <c r="E710" s="251"/>
      <c r="F710" s="254"/>
      <c r="G710" s="255"/>
      <c r="H710" s="256"/>
      <c r="I710" s="882"/>
      <c r="J710" s="876"/>
      <c r="K710" s="878"/>
      <c r="L710" s="882"/>
      <c r="M710" s="882"/>
      <c r="N710" s="884"/>
      <c r="O710" s="56">
        <v>721</v>
      </c>
      <c r="P710" s="79">
        <f>+N709-P709</f>
        <v>0</v>
      </c>
    </row>
    <row r="711" spans="1:16" ht="15" customHeight="1">
      <c r="A711" s="881" t="e">
        <f>+#REF!+1</f>
        <v>#REF!</v>
      </c>
      <c r="B711" s="875">
        <v>42296</v>
      </c>
      <c r="C711" s="877" t="s">
        <v>272</v>
      </c>
      <c r="D711" s="881" t="s">
        <v>427</v>
      </c>
      <c r="E711" s="881" t="s">
        <v>115</v>
      </c>
      <c r="F711" s="883">
        <v>90000</v>
      </c>
      <c r="G711" s="55">
        <v>719</v>
      </c>
      <c r="H711" s="78">
        <f>+F711</f>
        <v>90000</v>
      </c>
      <c r="I711" s="873"/>
      <c r="J711" s="875"/>
      <c r="K711" s="877"/>
      <c r="L711" s="881"/>
      <c r="M711" s="881"/>
      <c r="N711" s="883"/>
      <c r="O711" s="55">
        <v>719</v>
      </c>
      <c r="P711" s="78"/>
    </row>
    <row r="712" spans="1:16" ht="13.5" customHeight="1" thickBot="1">
      <c r="A712" s="882"/>
      <c r="B712" s="876"/>
      <c r="C712" s="878"/>
      <c r="D712" s="882"/>
      <c r="E712" s="882"/>
      <c r="F712" s="884"/>
      <c r="G712" s="56">
        <v>721</v>
      </c>
      <c r="H712" s="79"/>
      <c r="I712" s="882"/>
      <c r="J712" s="876"/>
      <c r="K712" s="878"/>
      <c r="L712" s="882"/>
      <c r="M712" s="882"/>
      <c r="N712" s="884"/>
      <c r="O712" s="56">
        <v>721</v>
      </c>
      <c r="P712" s="79">
        <f>+N711-P711</f>
        <v>0</v>
      </c>
    </row>
    <row r="713" spans="1:16" ht="15" customHeight="1" thickBot="1">
      <c r="A713" s="881" t="e">
        <f>+A711+1</f>
        <v>#REF!</v>
      </c>
      <c r="B713" s="875">
        <v>42296</v>
      </c>
      <c r="C713" s="881" t="s">
        <v>28</v>
      </c>
      <c r="D713" s="881" t="s">
        <v>355</v>
      </c>
      <c r="E713" s="881" t="s">
        <v>115</v>
      </c>
      <c r="F713" s="883">
        <v>50000</v>
      </c>
      <c r="G713" s="55">
        <v>719</v>
      </c>
      <c r="H713" s="78">
        <v>50000</v>
      </c>
      <c r="I713" s="901" t="s">
        <v>102</v>
      </c>
      <c r="J713" s="902"/>
      <c r="K713" s="902"/>
      <c r="L713" s="902"/>
      <c r="M713" s="903"/>
      <c r="N713" s="81">
        <f>SUM(N705:N712)</f>
        <v>4716550</v>
      </c>
    </row>
    <row r="714" spans="1:16" ht="12.75" customHeight="1" thickBot="1">
      <c r="A714" s="882"/>
      <c r="B714" s="876"/>
      <c r="C714" s="882"/>
      <c r="D714" s="882"/>
      <c r="E714" s="882"/>
      <c r="F714" s="884"/>
      <c r="G714" s="56">
        <v>721</v>
      </c>
      <c r="H714" s="79">
        <f>+F713-H713</f>
        <v>0</v>
      </c>
      <c r="I714" s="885" t="s">
        <v>103</v>
      </c>
      <c r="J714" s="886"/>
      <c r="K714" s="886"/>
      <c r="L714" s="886"/>
      <c r="M714" s="887"/>
      <c r="N714" s="239">
        <f>+N680</f>
        <v>316449428</v>
      </c>
      <c r="O714" s="241" t="s">
        <v>561</v>
      </c>
      <c r="P714" s="242"/>
    </row>
    <row r="715" spans="1:16" ht="16.5" thickBot="1">
      <c r="A715" s="901" t="s">
        <v>102</v>
      </c>
      <c r="B715" s="902"/>
      <c r="C715" s="902"/>
      <c r="D715" s="902"/>
      <c r="E715" s="903"/>
      <c r="F715" s="81">
        <f>SUM(F705:F714)</f>
        <v>290000</v>
      </c>
      <c r="I715" s="888" t="s">
        <v>104</v>
      </c>
      <c r="J715" s="889"/>
      <c r="K715" s="889"/>
      <c r="L715" s="889"/>
      <c r="M715" s="890"/>
      <c r="N715" s="183">
        <f>SUM(N713:N714)</f>
        <v>321165978</v>
      </c>
    </row>
    <row r="716" spans="1:16" ht="18" customHeight="1" thickBot="1">
      <c r="A716" s="885" t="s">
        <v>103</v>
      </c>
      <c r="B716" s="886"/>
      <c r="C716" s="886"/>
      <c r="D716" s="886"/>
      <c r="E716" s="887"/>
      <c r="F716" s="69">
        <f>+F680</f>
        <v>648592930</v>
      </c>
      <c r="I716" s="61"/>
      <c r="J716" s="61"/>
      <c r="K716" s="61"/>
      <c r="L716" s="61"/>
      <c r="M716" s="61"/>
    </row>
    <row r="717" spans="1:16" ht="18" customHeight="1" thickBot="1">
      <c r="A717" s="888" t="s">
        <v>104</v>
      </c>
      <c r="B717" s="889"/>
      <c r="C717" s="889"/>
      <c r="D717" s="889"/>
      <c r="E717" s="890"/>
      <c r="F717" s="183">
        <f>SUM(F715:F716)</f>
        <v>648882930</v>
      </c>
      <c r="I717" s="51" t="s">
        <v>2260</v>
      </c>
    </row>
    <row r="718" spans="1:16" ht="5.25" customHeight="1">
      <c r="A718" s="61"/>
      <c r="B718" s="61"/>
      <c r="C718" s="61"/>
      <c r="D718" s="61"/>
      <c r="E718" s="61"/>
      <c r="N718" s="139"/>
    </row>
    <row r="719" spans="1:16">
      <c r="A719" s="51" t="s">
        <v>428</v>
      </c>
      <c r="I719" s="50" t="s">
        <v>105</v>
      </c>
      <c r="L719" s="146"/>
      <c r="N719" s="139"/>
    </row>
    <row r="720" spans="1:16" ht="5.25" customHeight="1" thickBot="1">
      <c r="F720" s="139"/>
    </row>
    <row r="721" spans="1:16" ht="17.25" thickBot="1">
      <c r="A721" s="50" t="s">
        <v>105</v>
      </c>
      <c r="D721" s="146"/>
      <c r="F721" s="139"/>
      <c r="I721" s="891" t="s">
        <v>106</v>
      </c>
      <c r="J721" s="892"/>
      <c r="K721" s="892"/>
      <c r="L721" s="893"/>
      <c r="N721" s="605" t="s">
        <v>288</v>
      </c>
      <c r="O721" s="605"/>
      <c r="P721" s="605"/>
    </row>
    <row r="722" spans="1:16" ht="26.25" customHeight="1" thickBot="1">
      <c r="I722" s="57" t="s">
        <v>100</v>
      </c>
      <c r="J722" s="58" t="s">
        <v>108</v>
      </c>
      <c r="K722" s="59" t="s">
        <v>109</v>
      </c>
      <c r="L722" s="60" t="s">
        <v>110</v>
      </c>
      <c r="N722" s="202"/>
      <c r="O722" s="202"/>
      <c r="P722" s="202"/>
    </row>
    <row r="723" spans="1:16" ht="15" customHeight="1" thickBot="1">
      <c r="A723" s="891" t="s">
        <v>106</v>
      </c>
      <c r="B723" s="892"/>
      <c r="C723" s="892"/>
      <c r="D723" s="893"/>
      <c r="F723" s="50" t="s">
        <v>288</v>
      </c>
      <c r="I723" s="71">
        <v>719</v>
      </c>
      <c r="J723" s="73"/>
      <c r="K723" s="74">
        <f>+L688</f>
        <v>11930000</v>
      </c>
      <c r="L723" s="195">
        <f>+J723+K723</f>
        <v>11930000</v>
      </c>
      <c r="N723" s="202"/>
      <c r="O723" s="202"/>
      <c r="P723" s="202"/>
    </row>
    <row r="724" spans="1:16" ht="14.25" customHeight="1" thickBot="1">
      <c r="A724" s="57" t="s">
        <v>100</v>
      </c>
      <c r="B724" s="58" t="s">
        <v>108</v>
      </c>
      <c r="C724" s="59" t="s">
        <v>109</v>
      </c>
      <c r="D724" s="60" t="s">
        <v>110</v>
      </c>
      <c r="I724" s="72">
        <v>721</v>
      </c>
      <c r="J724" s="257"/>
      <c r="K724" s="74">
        <f>+L689</f>
        <v>3871000</v>
      </c>
      <c r="L724" s="195">
        <f>+J724+K724</f>
        <v>3871000</v>
      </c>
      <c r="N724" s="202"/>
      <c r="O724" s="202"/>
      <c r="P724" s="202"/>
    </row>
    <row r="725" spans="1:16" ht="13.5" customHeight="1">
      <c r="A725" s="71">
        <v>719</v>
      </c>
      <c r="B725" s="73" t="e">
        <f>+H705+H707+#REF!+#REF!+H713+H711</f>
        <v>#REF!</v>
      </c>
      <c r="C725" s="74" t="e">
        <f>+D688</f>
        <v>#REF!</v>
      </c>
      <c r="D725" s="195" t="e">
        <f>+B725+C725</f>
        <v>#REF!</v>
      </c>
      <c r="I725" s="72">
        <v>722</v>
      </c>
      <c r="J725" s="257"/>
      <c r="K725" s="74">
        <f>+L690</f>
        <v>0</v>
      </c>
      <c r="L725" s="195">
        <f>+J725+K725</f>
        <v>0</v>
      </c>
      <c r="N725" s="202"/>
      <c r="O725" s="202"/>
      <c r="P725" s="202"/>
    </row>
    <row r="726" spans="1:16" ht="14.25" customHeight="1" thickBot="1">
      <c r="A726" s="72">
        <v>721</v>
      </c>
      <c r="B726" s="80">
        <f>+H706</f>
        <v>0</v>
      </c>
      <c r="C726" s="74" t="e">
        <f>+D689</f>
        <v>#REF!</v>
      </c>
      <c r="D726" s="195" t="e">
        <f>+B726+C726</f>
        <v>#REF!</v>
      </c>
      <c r="I726" s="72">
        <v>723</v>
      </c>
      <c r="J726" s="257">
        <f>+P706</f>
        <v>4716550</v>
      </c>
      <c r="K726" s="74">
        <f>+L691</f>
        <v>300648428</v>
      </c>
      <c r="L726" s="195">
        <f>+J726+K726</f>
        <v>305364978</v>
      </c>
      <c r="N726" s="918" t="s">
        <v>2147</v>
      </c>
      <c r="O726" s="608"/>
      <c r="P726" s="608"/>
    </row>
    <row r="727" spans="1:16" ht="15" hidden="1" customHeight="1">
      <c r="A727" s="72">
        <v>722</v>
      </c>
      <c r="B727" s="80"/>
      <c r="C727" s="74">
        <f>+D690</f>
        <v>231207671</v>
      </c>
      <c r="D727" s="195">
        <f>+B727+C727</f>
        <v>231207671</v>
      </c>
      <c r="I727" s="164" t="s">
        <v>181</v>
      </c>
      <c r="J727" s="165"/>
      <c r="K727" s="74">
        <f>+L692</f>
        <v>0</v>
      </c>
      <c r="L727" s="196">
        <f>+J727+K727</f>
        <v>0</v>
      </c>
      <c r="N727" s="52"/>
    </row>
    <row r="728" spans="1:16" ht="16.5" thickBot="1">
      <c r="A728" s="72">
        <v>723</v>
      </c>
      <c r="B728" s="80">
        <f>+H708</f>
        <v>0</v>
      </c>
      <c r="C728" s="74" t="e">
        <f>+D691</f>
        <v>#REF!</v>
      </c>
      <c r="D728" s="195" t="e">
        <f>+B728+C728</f>
        <v>#REF!</v>
      </c>
      <c r="F728" s="193" t="s">
        <v>23</v>
      </c>
      <c r="G728" s="175"/>
      <c r="I728" s="169"/>
      <c r="J728" s="197">
        <f>SUM(J723:J727)</f>
        <v>4716550</v>
      </c>
      <c r="K728" s="197">
        <f>SUM(K723:K727)</f>
        <v>316449428</v>
      </c>
      <c r="L728" s="198">
        <f>SUM(L723:L727)</f>
        <v>321165978</v>
      </c>
    </row>
    <row r="729" spans="1:16" ht="17.25" thickBot="1">
      <c r="A729" s="164" t="s">
        <v>181</v>
      </c>
      <c r="B729" s="165"/>
      <c r="C729" s="74" t="e">
        <f>+D692</f>
        <v>#REF!</v>
      </c>
      <c r="D729" s="196" t="e">
        <f>+B729+C729</f>
        <v>#REF!</v>
      </c>
      <c r="F729" s="52"/>
      <c r="I729" s="49" t="s">
        <v>88</v>
      </c>
      <c r="J729" s="50"/>
    </row>
    <row r="730" spans="1:16" ht="15" customHeight="1" thickBot="1">
      <c r="A730" s="169"/>
      <c r="B730" s="170" t="e">
        <f>SUM(B725:B729)</f>
        <v>#REF!</v>
      </c>
      <c r="C730" s="171" t="e">
        <f>SUM(C725:C729)</f>
        <v>#REF!</v>
      </c>
      <c r="D730" s="172" t="e">
        <f>SUM(D725:D729)</f>
        <v>#REF!</v>
      </c>
      <c r="I730" s="51" t="s">
        <v>89</v>
      </c>
      <c r="L730" s="139"/>
    </row>
    <row r="731" spans="1:16" ht="13.5" customHeight="1">
      <c r="A731" s="49" t="s">
        <v>88</v>
      </c>
      <c r="B731" s="50"/>
      <c r="I731" s="51" t="s">
        <v>90</v>
      </c>
    </row>
    <row r="732" spans="1:16" ht="13.5" customHeight="1">
      <c r="A732" s="51" t="s">
        <v>89</v>
      </c>
      <c r="I732" s="51" t="s">
        <v>91</v>
      </c>
    </row>
    <row r="733" spans="1:16" ht="3" customHeight="1">
      <c r="A733" s="51" t="s">
        <v>90</v>
      </c>
      <c r="I733" s="50"/>
      <c r="J733" s="50"/>
    </row>
    <row r="734" spans="1:16" ht="16.5">
      <c r="A734" s="51" t="s">
        <v>91</v>
      </c>
      <c r="I734" s="260" t="s">
        <v>761</v>
      </c>
      <c r="J734" s="262"/>
      <c r="O734" s="52"/>
    </row>
    <row r="735" spans="1:16" ht="15.75" customHeight="1">
      <c r="A735" s="50"/>
      <c r="B735" s="50"/>
      <c r="I735" s="261" t="s">
        <v>2012</v>
      </c>
      <c r="J735" s="262"/>
      <c r="O735" s="53"/>
    </row>
    <row r="736" spans="1:16" ht="14.25" customHeight="1">
      <c r="A736" s="52" t="s">
        <v>431</v>
      </c>
      <c r="G736" s="52"/>
      <c r="I736" s="894" t="s">
        <v>170</v>
      </c>
      <c r="J736" s="894"/>
      <c r="K736" s="894"/>
      <c r="L736" s="894"/>
      <c r="M736" s="894"/>
      <c r="N736" s="894"/>
      <c r="O736" s="894"/>
      <c r="P736" s="894"/>
    </row>
    <row r="737" spans="1:16" ht="9.75" customHeight="1" thickBot="1">
      <c r="A737" s="53" t="s">
        <v>92</v>
      </c>
      <c r="G737" s="53"/>
    </row>
    <row r="738" spans="1:16" ht="16.5">
      <c r="A738" s="894" t="s">
        <v>93</v>
      </c>
      <c r="B738" s="894"/>
      <c r="C738" s="894"/>
      <c r="D738" s="894"/>
      <c r="E738" s="894"/>
      <c r="F738" s="894"/>
      <c r="G738" s="894"/>
      <c r="H738" s="894"/>
      <c r="I738" s="895" t="s">
        <v>94</v>
      </c>
      <c r="J738" s="897" t="s">
        <v>95</v>
      </c>
      <c r="K738" s="897" t="s">
        <v>96</v>
      </c>
      <c r="L738" s="897" t="s">
        <v>3</v>
      </c>
      <c r="M738" s="897" t="s">
        <v>97</v>
      </c>
      <c r="N738" s="897" t="s">
        <v>98</v>
      </c>
      <c r="O738" s="897" t="s">
        <v>99</v>
      </c>
      <c r="P738" s="899"/>
    </row>
    <row r="739" spans="1:16" ht="13.5" customHeight="1" thickBot="1">
      <c r="I739" s="896"/>
      <c r="J739" s="898"/>
      <c r="K739" s="898"/>
      <c r="L739" s="898"/>
      <c r="M739" s="898"/>
      <c r="N739" s="898"/>
      <c r="O739" s="240" t="s">
        <v>100</v>
      </c>
      <c r="P739" s="182" t="s">
        <v>101</v>
      </c>
    </row>
    <row r="740" spans="1:16" ht="13.5" customHeight="1">
      <c r="A740" s="895" t="s">
        <v>94</v>
      </c>
      <c r="B740" s="897" t="s">
        <v>95</v>
      </c>
      <c r="C740" s="897" t="s">
        <v>96</v>
      </c>
      <c r="D740" s="897" t="s">
        <v>3</v>
      </c>
      <c r="E740" s="897" t="s">
        <v>97</v>
      </c>
      <c r="F740" s="897" t="s">
        <v>98</v>
      </c>
      <c r="G740" s="897" t="s">
        <v>99</v>
      </c>
      <c r="H740" s="899"/>
      <c r="I740" s="873" t="s">
        <v>717</v>
      </c>
      <c r="J740" s="875">
        <v>44549</v>
      </c>
      <c r="K740" s="877" t="s">
        <v>815</v>
      </c>
      <c r="L740" s="881" t="s">
        <v>2127</v>
      </c>
      <c r="M740" s="881" t="s">
        <v>775</v>
      </c>
      <c r="N740" s="883">
        <v>1053000</v>
      </c>
      <c r="O740" s="55">
        <v>719</v>
      </c>
      <c r="P740" s="78">
        <v>780000</v>
      </c>
    </row>
    <row r="741" spans="1:16" ht="13.5" customHeight="1" thickBot="1">
      <c r="A741" s="896"/>
      <c r="B741" s="898"/>
      <c r="C741" s="898"/>
      <c r="D741" s="898"/>
      <c r="E741" s="898"/>
      <c r="F741" s="898"/>
      <c r="G741" s="240" t="s">
        <v>100</v>
      </c>
      <c r="H741" s="182" t="s">
        <v>101</v>
      </c>
      <c r="I741" s="882"/>
      <c r="J741" s="876"/>
      <c r="K741" s="878"/>
      <c r="L741" s="882"/>
      <c r="M741" s="882"/>
      <c r="N741" s="884"/>
      <c r="O741" s="56">
        <v>721</v>
      </c>
      <c r="P741" s="79">
        <f>+N740-P740</f>
        <v>273000</v>
      </c>
    </row>
    <row r="742" spans="1:16" ht="13.5" customHeight="1">
      <c r="A742" s="478"/>
      <c r="B742" s="479"/>
      <c r="C742" s="479"/>
      <c r="D742" s="479"/>
      <c r="E742" s="479"/>
      <c r="F742" s="479"/>
      <c r="G742" s="479"/>
      <c r="H742" s="480"/>
      <c r="I742" s="873" t="s">
        <v>718</v>
      </c>
      <c r="J742" s="875">
        <v>44549</v>
      </c>
      <c r="K742" s="877" t="s">
        <v>815</v>
      </c>
      <c r="L742" s="881" t="s">
        <v>2128</v>
      </c>
      <c r="M742" s="881" t="s">
        <v>775</v>
      </c>
      <c r="N742" s="883">
        <v>135000</v>
      </c>
      <c r="O742" s="55">
        <v>719</v>
      </c>
      <c r="P742" s="78">
        <v>100000</v>
      </c>
    </row>
    <row r="743" spans="1:16" ht="13.5" customHeight="1" thickBot="1">
      <c r="A743" s="478"/>
      <c r="B743" s="479"/>
      <c r="C743" s="479"/>
      <c r="D743" s="479"/>
      <c r="E743" s="479"/>
      <c r="F743" s="479"/>
      <c r="G743" s="479"/>
      <c r="H743" s="480"/>
      <c r="I743" s="882"/>
      <c r="J743" s="876"/>
      <c r="K743" s="878"/>
      <c r="L743" s="882"/>
      <c r="M743" s="882"/>
      <c r="N743" s="884"/>
      <c r="O743" s="56">
        <v>723</v>
      </c>
      <c r="P743" s="79">
        <f>+N742-P742</f>
        <v>35000</v>
      </c>
    </row>
    <row r="744" spans="1:16" ht="12.75" customHeight="1">
      <c r="A744" s="881" t="e">
        <f>+A713+1</f>
        <v>#REF!</v>
      </c>
      <c r="B744" s="875">
        <v>42306</v>
      </c>
      <c r="C744" s="877" t="s">
        <v>267</v>
      </c>
      <c r="D744" s="881" t="s">
        <v>436</v>
      </c>
      <c r="E744" s="881" t="s">
        <v>148</v>
      </c>
      <c r="F744" s="883">
        <v>112000</v>
      </c>
      <c r="G744" s="55">
        <v>719</v>
      </c>
      <c r="H744" s="78">
        <v>80000</v>
      </c>
      <c r="I744" s="873" t="s">
        <v>719</v>
      </c>
      <c r="J744" s="875">
        <v>44549</v>
      </c>
      <c r="K744" s="877" t="s">
        <v>2129</v>
      </c>
      <c r="L744" s="881" t="s">
        <v>2130</v>
      </c>
      <c r="M744" s="881" t="s">
        <v>165</v>
      </c>
      <c r="N744" s="883">
        <v>600000</v>
      </c>
      <c r="O744" s="55">
        <v>719</v>
      </c>
      <c r="P744" s="78">
        <v>0</v>
      </c>
    </row>
    <row r="745" spans="1:16" ht="13.5" customHeight="1" thickBot="1">
      <c r="A745" s="882"/>
      <c r="B745" s="876"/>
      <c r="C745" s="878"/>
      <c r="D745" s="882"/>
      <c r="E745" s="882"/>
      <c r="F745" s="884"/>
      <c r="G745" s="56">
        <v>721</v>
      </c>
      <c r="H745" s="79">
        <f>+F744-H744</f>
        <v>32000</v>
      </c>
      <c r="I745" s="882"/>
      <c r="J745" s="876"/>
      <c r="K745" s="878"/>
      <c r="L745" s="882"/>
      <c r="M745" s="882"/>
      <c r="N745" s="884"/>
      <c r="O745" s="56">
        <v>723</v>
      </c>
      <c r="P745" s="79">
        <f>+N744-P744</f>
        <v>600000</v>
      </c>
    </row>
    <row r="746" spans="1:16" ht="13.5" customHeight="1">
      <c r="A746" s="881" t="e">
        <f>+A744+1</f>
        <v>#REF!</v>
      </c>
      <c r="B746" s="875">
        <v>42306</v>
      </c>
      <c r="C746" s="881" t="s">
        <v>28</v>
      </c>
      <c r="D746" s="881" t="s">
        <v>437</v>
      </c>
      <c r="E746" s="881" t="s">
        <v>148</v>
      </c>
      <c r="F746" s="883">
        <v>210000</v>
      </c>
      <c r="G746" s="55">
        <v>719</v>
      </c>
      <c r="H746" s="78">
        <v>150000</v>
      </c>
      <c r="I746" s="873" t="s">
        <v>720</v>
      </c>
      <c r="J746" s="875">
        <v>44549</v>
      </c>
      <c r="K746" s="877" t="s">
        <v>1315</v>
      </c>
      <c r="L746" s="881" t="s">
        <v>1989</v>
      </c>
      <c r="M746" s="881" t="s">
        <v>148</v>
      </c>
      <c r="N746" s="883">
        <v>3031000</v>
      </c>
      <c r="O746" s="55">
        <v>719</v>
      </c>
      <c r="P746" s="78">
        <v>0</v>
      </c>
    </row>
    <row r="747" spans="1:16" ht="13.5" customHeight="1" thickBot="1">
      <c r="A747" s="882"/>
      <c r="B747" s="876"/>
      <c r="C747" s="882"/>
      <c r="D747" s="882"/>
      <c r="E747" s="882"/>
      <c r="F747" s="884"/>
      <c r="G747" s="56">
        <v>721</v>
      </c>
      <c r="H747" s="79">
        <f>+F746-H746</f>
        <v>60000</v>
      </c>
      <c r="I747" s="882"/>
      <c r="J747" s="876"/>
      <c r="K747" s="878"/>
      <c r="L747" s="882"/>
      <c r="M747" s="882"/>
      <c r="N747" s="884"/>
      <c r="O747" s="56">
        <v>723</v>
      </c>
      <c r="P747" s="79">
        <f>+N746-P746</f>
        <v>3031000</v>
      </c>
    </row>
    <row r="748" spans="1:16" ht="15" customHeight="1">
      <c r="A748" s="881" t="e">
        <f>+#REF!+1</f>
        <v>#REF!</v>
      </c>
      <c r="B748" s="875">
        <v>42306</v>
      </c>
      <c r="C748" s="877" t="s">
        <v>111</v>
      </c>
      <c r="D748" s="881" t="s">
        <v>439</v>
      </c>
      <c r="E748" s="881" t="s">
        <v>148</v>
      </c>
      <c r="F748" s="883">
        <v>56000</v>
      </c>
      <c r="G748" s="55">
        <v>719</v>
      </c>
      <c r="H748" s="78">
        <v>40000</v>
      </c>
      <c r="I748" s="873" t="s">
        <v>721</v>
      </c>
      <c r="J748" s="875">
        <v>44549</v>
      </c>
      <c r="K748" s="877" t="s">
        <v>2131</v>
      </c>
      <c r="L748" s="881" t="s">
        <v>2132</v>
      </c>
      <c r="M748" s="881" t="s">
        <v>145</v>
      </c>
      <c r="N748" s="883">
        <v>7560000</v>
      </c>
      <c r="O748" s="55">
        <v>719</v>
      </c>
      <c r="P748" s="78">
        <v>0</v>
      </c>
    </row>
    <row r="749" spans="1:16" ht="13.5" customHeight="1" thickBot="1">
      <c r="A749" s="882"/>
      <c r="B749" s="876"/>
      <c r="C749" s="878"/>
      <c r="D749" s="882"/>
      <c r="E749" s="882"/>
      <c r="F749" s="884"/>
      <c r="G749" s="56">
        <v>721</v>
      </c>
      <c r="H749" s="79">
        <f>+F748-H748</f>
        <v>16000</v>
      </c>
      <c r="I749" s="882"/>
      <c r="J749" s="876"/>
      <c r="K749" s="878"/>
      <c r="L749" s="882"/>
      <c r="M749" s="882"/>
      <c r="N749" s="884"/>
      <c r="O749" s="56">
        <v>721</v>
      </c>
      <c r="P749" s="79">
        <f>+N748-P748</f>
        <v>7560000</v>
      </c>
    </row>
    <row r="750" spans="1:16" ht="15" customHeight="1" thickBot="1">
      <c r="A750" s="881" t="e">
        <f>+A748+1</f>
        <v>#REF!</v>
      </c>
      <c r="B750" s="875">
        <v>42306</v>
      </c>
      <c r="C750" s="877" t="s">
        <v>272</v>
      </c>
      <c r="D750" s="881" t="s">
        <v>437</v>
      </c>
      <c r="E750" s="881" t="s">
        <v>115</v>
      </c>
      <c r="F750" s="931">
        <v>714000</v>
      </c>
      <c r="G750" s="55">
        <v>719</v>
      </c>
      <c r="H750" s="78">
        <v>510000</v>
      </c>
      <c r="I750" s="901" t="s">
        <v>102</v>
      </c>
      <c r="J750" s="902"/>
      <c r="K750" s="902"/>
      <c r="L750" s="902"/>
      <c r="M750" s="903"/>
      <c r="N750" s="81">
        <f>SUM(N740:N749)</f>
        <v>12379000</v>
      </c>
    </row>
    <row r="751" spans="1:16" ht="15.75" customHeight="1" thickBot="1">
      <c r="A751" s="882"/>
      <c r="B751" s="876"/>
      <c r="C751" s="878"/>
      <c r="D751" s="882"/>
      <c r="E751" s="882"/>
      <c r="F751" s="932"/>
      <c r="G751" s="56">
        <v>721</v>
      </c>
      <c r="H751" s="79">
        <f>+F750-H750</f>
        <v>204000</v>
      </c>
      <c r="I751" s="885" t="s">
        <v>103</v>
      </c>
      <c r="J751" s="886"/>
      <c r="K751" s="886"/>
      <c r="L751" s="886"/>
      <c r="M751" s="887"/>
      <c r="N751" s="239">
        <f>+N715</f>
        <v>321165978</v>
      </c>
      <c r="O751" s="241" t="s">
        <v>561</v>
      </c>
      <c r="P751" s="242">
        <f>228+1562</f>
        <v>1790</v>
      </c>
    </row>
    <row r="752" spans="1:16" ht="16.5" thickBot="1">
      <c r="A752" s="901" t="s">
        <v>102</v>
      </c>
      <c r="B752" s="902"/>
      <c r="C752" s="902"/>
      <c r="D752" s="902"/>
      <c r="E752" s="903"/>
      <c r="F752" s="81">
        <f>SUM(F744:F751)</f>
        <v>1092000</v>
      </c>
      <c r="I752" s="888" t="s">
        <v>104</v>
      </c>
      <c r="J752" s="889"/>
      <c r="K752" s="889"/>
      <c r="L752" s="889"/>
      <c r="M752" s="890"/>
      <c r="N752" s="183">
        <f>SUM(N750:N751)</f>
        <v>333544978</v>
      </c>
    </row>
    <row r="753" spans="1:16" ht="8.25" customHeight="1" thickBot="1">
      <c r="A753" s="885" t="s">
        <v>103</v>
      </c>
      <c r="B753" s="886"/>
      <c r="C753" s="886"/>
      <c r="D753" s="886"/>
      <c r="E753" s="887"/>
      <c r="F753" s="69">
        <f>+F717</f>
        <v>648882930</v>
      </c>
      <c r="I753" s="61"/>
      <c r="J753" s="61"/>
      <c r="K753" s="61"/>
      <c r="L753" s="61"/>
      <c r="M753" s="61"/>
    </row>
    <row r="754" spans="1:16" ht="16.5" thickBot="1">
      <c r="A754" s="888" t="s">
        <v>104</v>
      </c>
      <c r="B754" s="889"/>
      <c r="C754" s="889"/>
      <c r="D754" s="889"/>
      <c r="E754" s="890"/>
      <c r="F754" s="183">
        <f>SUM(F752:F753)</f>
        <v>649974930</v>
      </c>
      <c r="I754" s="51" t="s">
        <v>2133</v>
      </c>
    </row>
    <row r="755" spans="1:16" ht="6.75" customHeight="1">
      <c r="A755" s="61"/>
      <c r="B755" s="61"/>
      <c r="C755" s="61"/>
      <c r="D755" s="61"/>
      <c r="E755" s="61"/>
      <c r="N755" s="139"/>
    </row>
    <row r="756" spans="1:16">
      <c r="A756" s="51" t="s">
        <v>440</v>
      </c>
      <c r="I756" s="50" t="s">
        <v>105</v>
      </c>
      <c r="L756" s="146"/>
      <c r="N756" s="139"/>
    </row>
    <row r="757" spans="1:16" ht="6.75" customHeight="1" thickBot="1">
      <c r="F757" s="139"/>
    </row>
    <row r="758" spans="1:16" ht="17.25" thickBot="1">
      <c r="A758" s="50" t="s">
        <v>105</v>
      </c>
      <c r="D758" s="146"/>
      <c r="F758" s="139"/>
      <c r="I758" s="891" t="s">
        <v>106</v>
      </c>
      <c r="J758" s="892"/>
      <c r="K758" s="892"/>
      <c r="L758" s="893"/>
      <c r="N758" s="605" t="s">
        <v>288</v>
      </c>
      <c r="O758" s="605"/>
      <c r="P758" s="605"/>
    </row>
    <row r="759" spans="1:16" ht="29.25" customHeight="1" thickBot="1">
      <c r="I759" s="57" t="s">
        <v>100</v>
      </c>
      <c r="J759" s="58" t="s">
        <v>108</v>
      </c>
      <c r="K759" s="263" t="s">
        <v>109</v>
      </c>
      <c r="L759" s="60" t="s">
        <v>110</v>
      </c>
      <c r="N759" s="202"/>
      <c r="O759" s="202"/>
      <c r="P759" s="202"/>
    </row>
    <row r="760" spans="1:16" ht="13.5" customHeight="1" thickBot="1">
      <c r="A760" s="891" t="s">
        <v>106</v>
      </c>
      <c r="B760" s="892"/>
      <c r="C760" s="892"/>
      <c r="D760" s="893"/>
      <c r="F760" s="50" t="s">
        <v>288</v>
      </c>
      <c r="I760" s="71">
        <v>719</v>
      </c>
      <c r="J760" s="73">
        <f>+P740+P742</f>
        <v>880000</v>
      </c>
      <c r="K760" s="74">
        <f>+L723</f>
        <v>11930000</v>
      </c>
      <c r="L760" s="195">
        <f>+J760+K760</f>
        <v>12810000</v>
      </c>
      <c r="N760" s="202"/>
      <c r="O760" s="202"/>
      <c r="P760" s="202"/>
    </row>
    <row r="761" spans="1:16" ht="13.5" customHeight="1" thickBot="1">
      <c r="A761" s="57" t="s">
        <v>100</v>
      </c>
      <c r="B761" s="58" t="s">
        <v>108</v>
      </c>
      <c r="C761" s="59" t="s">
        <v>109</v>
      </c>
      <c r="D761" s="60" t="s">
        <v>110</v>
      </c>
      <c r="I761" s="72">
        <v>721</v>
      </c>
      <c r="J761" s="257">
        <f>+P741+P743+P749</f>
        <v>7868000</v>
      </c>
      <c r="K761" s="74">
        <f>+L724</f>
        <v>3871000</v>
      </c>
      <c r="L761" s="195">
        <f>+J761+K761</f>
        <v>11739000</v>
      </c>
      <c r="N761" s="202"/>
      <c r="O761" s="202"/>
      <c r="P761" s="202"/>
    </row>
    <row r="762" spans="1:16" ht="12" customHeight="1">
      <c r="A762" s="71">
        <v>719</v>
      </c>
      <c r="B762" s="73" t="e">
        <f>+H744+H746+#REF!+H748+H750</f>
        <v>#REF!</v>
      </c>
      <c r="C762" s="74" t="e">
        <f>+D725</f>
        <v>#REF!</v>
      </c>
      <c r="D762" s="195" t="e">
        <f>+B762+C762</f>
        <v>#REF!</v>
      </c>
      <c r="I762" s="72">
        <v>722</v>
      </c>
      <c r="J762" s="257"/>
      <c r="K762" s="74">
        <f>+L725</f>
        <v>0</v>
      </c>
      <c r="L762" s="195">
        <f>+J762+K762</f>
        <v>0</v>
      </c>
      <c r="N762" s="202"/>
      <c r="O762" s="202"/>
      <c r="P762" s="202"/>
    </row>
    <row r="763" spans="1:16" ht="12.75" customHeight="1" thickBot="1">
      <c r="A763" s="72">
        <v>721</v>
      </c>
      <c r="B763" s="80" t="e">
        <f>+H745+H747+#REF!+H749+H751</f>
        <v>#REF!</v>
      </c>
      <c r="C763" s="74" t="e">
        <f>+D726</f>
        <v>#REF!</v>
      </c>
      <c r="D763" s="195" t="e">
        <f>+B763+C763</f>
        <v>#REF!</v>
      </c>
      <c r="I763" s="72">
        <v>723</v>
      </c>
      <c r="J763" s="257">
        <f>+P747+P745</f>
        <v>3631000</v>
      </c>
      <c r="K763" s="74">
        <f>+L726</f>
        <v>305364978</v>
      </c>
      <c r="L763" s="195">
        <f>+J763+K763</f>
        <v>308995978</v>
      </c>
      <c r="N763" s="918" t="s">
        <v>1696</v>
      </c>
      <c r="O763" s="608"/>
      <c r="P763" s="608"/>
    </row>
    <row r="764" spans="1:16" ht="12.75" hidden="1" customHeight="1">
      <c r="A764" s="72">
        <v>722</v>
      </c>
      <c r="B764" s="80"/>
      <c r="C764" s="74">
        <f>+D727</f>
        <v>231207671</v>
      </c>
      <c r="D764" s="195">
        <f>+B764+C764</f>
        <v>231207671</v>
      </c>
      <c r="I764" s="164" t="s">
        <v>181</v>
      </c>
      <c r="J764" s="165"/>
      <c r="K764" s="74">
        <f>+L727</f>
        <v>0</v>
      </c>
      <c r="L764" s="196">
        <f>+J764+K764</f>
        <v>0</v>
      </c>
      <c r="N764" s="52"/>
    </row>
    <row r="765" spans="1:16" ht="16.5" thickBot="1">
      <c r="A765" s="72">
        <v>723</v>
      </c>
      <c r="B765" s="80"/>
      <c r="C765" s="74" t="e">
        <f>+D728</f>
        <v>#REF!</v>
      </c>
      <c r="D765" s="195" t="e">
        <f>+B765+C765</f>
        <v>#REF!</v>
      </c>
      <c r="F765" s="174" t="s">
        <v>23</v>
      </c>
      <c r="G765" s="175"/>
      <c r="I765" s="169"/>
      <c r="J765" s="197">
        <f>SUM(J760:J764)</f>
        <v>12379000</v>
      </c>
      <c r="K765" s="197">
        <f>SUM(K760:K764)</f>
        <v>321165978</v>
      </c>
      <c r="L765" s="198">
        <f>SUM(L760:L764)</f>
        <v>333544978</v>
      </c>
    </row>
    <row r="766" spans="1:16" ht="17.25" thickBot="1">
      <c r="A766" s="164" t="s">
        <v>181</v>
      </c>
      <c r="B766" s="165"/>
      <c r="C766" s="74" t="e">
        <f>+D729</f>
        <v>#REF!</v>
      </c>
      <c r="D766" s="196" t="e">
        <f>+B766+C766</f>
        <v>#REF!</v>
      </c>
      <c r="F766" s="52"/>
      <c r="I766" s="49" t="s">
        <v>88</v>
      </c>
      <c r="J766" s="50"/>
    </row>
    <row r="767" spans="1:16" ht="16.5" thickBot="1">
      <c r="A767" s="169"/>
      <c r="B767" s="170" t="e">
        <f>SUM(B762:B766)</f>
        <v>#REF!</v>
      </c>
      <c r="C767" s="171" t="e">
        <f>SUM(C762:C766)</f>
        <v>#REF!</v>
      </c>
      <c r="D767" s="172" t="e">
        <f>SUM(D762:D766)</f>
        <v>#REF!</v>
      </c>
      <c r="I767" s="51" t="s">
        <v>89</v>
      </c>
    </row>
    <row r="768" spans="1:16" ht="16.5">
      <c r="A768" s="49" t="s">
        <v>88</v>
      </c>
      <c r="B768" s="50"/>
      <c r="I768" s="51" t="s">
        <v>90</v>
      </c>
    </row>
    <row r="769" spans="1:16">
      <c r="A769" s="51" t="s">
        <v>89</v>
      </c>
      <c r="I769" s="51" t="s">
        <v>91</v>
      </c>
    </row>
    <row r="770" spans="1:16" ht="3" customHeight="1">
      <c r="A770" s="51" t="s">
        <v>90</v>
      </c>
      <c r="I770" s="50"/>
      <c r="J770" s="50"/>
    </row>
    <row r="771" spans="1:16" ht="16.5">
      <c r="A771" s="51" t="s">
        <v>91</v>
      </c>
      <c r="I771" s="260" t="s">
        <v>762</v>
      </c>
      <c r="J771" s="262"/>
      <c r="O771" s="52"/>
    </row>
    <row r="772" spans="1:16" ht="15" customHeight="1">
      <c r="A772" s="50"/>
      <c r="B772" s="50"/>
      <c r="I772" s="261" t="s">
        <v>2012</v>
      </c>
      <c r="J772" s="262"/>
      <c r="O772" s="53"/>
    </row>
    <row r="773" spans="1:16" ht="16.5">
      <c r="A773" s="52" t="s">
        <v>432</v>
      </c>
      <c r="G773" s="52"/>
      <c r="I773" s="894" t="s">
        <v>2138</v>
      </c>
      <c r="J773" s="894"/>
      <c r="K773" s="894"/>
      <c r="L773" s="894"/>
      <c r="M773" s="894"/>
      <c r="N773" s="894"/>
      <c r="O773" s="894"/>
      <c r="P773" s="894"/>
    </row>
    <row r="774" spans="1:16" ht="10.5" customHeight="1" thickBot="1">
      <c r="A774" s="53" t="s">
        <v>92</v>
      </c>
      <c r="G774" s="53"/>
    </row>
    <row r="775" spans="1:16" ht="16.5">
      <c r="A775" s="894" t="s">
        <v>93</v>
      </c>
      <c r="B775" s="894"/>
      <c r="C775" s="894"/>
      <c r="D775" s="894"/>
      <c r="E775" s="894"/>
      <c r="F775" s="894"/>
      <c r="G775" s="894"/>
      <c r="H775" s="894"/>
      <c r="I775" s="895" t="s">
        <v>94</v>
      </c>
      <c r="J775" s="897" t="s">
        <v>95</v>
      </c>
      <c r="K775" s="897" t="s">
        <v>96</v>
      </c>
      <c r="L775" s="897" t="s">
        <v>3</v>
      </c>
      <c r="M775" s="897" t="s">
        <v>97</v>
      </c>
      <c r="N775" s="897" t="s">
        <v>98</v>
      </c>
      <c r="O775" s="897" t="s">
        <v>99</v>
      </c>
      <c r="P775" s="899"/>
    </row>
    <row r="776" spans="1:16" ht="13.5" customHeight="1" thickBot="1">
      <c r="I776" s="896"/>
      <c r="J776" s="898"/>
      <c r="K776" s="898"/>
      <c r="L776" s="898"/>
      <c r="M776" s="898"/>
      <c r="N776" s="898"/>
      <c r="O776" s="240" t="s">
        <v>100</v>
      </c>
      <c r="P776" s="182" t="s">
        <v>101</v>
      </c>
    </row>
    <row r="777" spans="1:16" ht="13.5" customHeight="1">
      <c r="A777" s="895" t="s">
        <v>94</v>
      </c>
      <c r="B777" s="897" t="s">
        <v>95</v>
      </c>
      <c r="C777" s="897" t="s">
        <v>96</v>
      </c>
      <c r="D777" s="897" t="s">
        <v>3</v>
      </c>
      <c r="E777" s="897" t="s">
        <v>97</v>
      </c>
      <c r="F777" s="897" t="s">
        <v>98</v>
      </c>
      <c r="G777" s="897" t="s">
        <v>99</v>
      </c>
      <c r="H777" s="899"/>
      <c r="I777" s="873" t="s">
        <v>732</v>
      </c>
      <c r="J777" s="875">
        <v>44523</v>
      </c>
      <c r="K777" s="905" t="s">
        <v>2134</v>
      </c>
      <c r="L777" s="881" t="s">
        <v>2135</v>
      </c>
      <c r="M777" s="881" t="s">
        <v>115</v>
      </c>
      <c r="N777" s="883">
        <v>6000000</v>
      </c>
      <c r="O777" s="55">
        <v>719</v>
      </c>
      <c r="P777" s="78">
        <v>0</v>
      </c>
    </row>
    <row r="778" spans="1:16" ht="27" customHeight="1" thickBot="1">
      <c r="A778" s="896"/>
      <c r="B778" s="898"/>
      <c r="C778" s="898"/>
      <c r="D778" s="898"/>
      <c r="E778" s="898"/>
      <c r="F778" s="898"/>
      <c r="G778" s="240" t="s">
        <v>100</v>
      </c>
      <c r="H778" s="182" t="s">
        <v>101</v>
      </c>
      <c r="I778" s="882"/>
      <c r="J778" s="876"/>
      <c r="K778" s="906"/>
      <c r="L778" s="882"/>
      <c r="M778" s="882"/>
      <c r="N778" s="884"/>
      <c r="O778" s="56">
        <v>723</v>
      </c>
      <c r="P778" s="352">
        <f>+N777-P777</f>
        <v>6000000</v>
      </c>
    </row>
    <row r="779" spans="1:16" ht="12.75" customHeight="1">
      <c r="A779" s="881" t="e">
        <f>+A750+1</f>
        <v>#REF!</v>
      </c>
      <c r="B779" s="875">
        <v>42306</v>
      </c>
      <c r="C779" s="877" t="s">
        <v>272</v>
      </c>
      <c r="D779" s="881" t="s">
        <v>433</v>
      </c>
      <c r="E779" s="881" t="s">
        <v>115</v>
      </c>
      <c r="F779" s="883">
        <v>40000</v>
      </c>
      <c r="G779" s="55">
        <v>719</v>
      </c>
      <c r="H779" s="78">
        <v>40000</v>
      </c>
      <c r="I779" s="873"/>
      <c r="J779" s="875"/>
      <c r="K779" s="877"/>
      <c r="L779" s="881"/>
      <c r="M779" s="881"/>
      <c r="N779" s="883"/>
      <c r="O779" s="55"/>
      <c r="P779" s="78"/>
    </row>
    <row r="780" spans="1:16" ht="14.25" customHeight="1" thickBot="1">
      <c r="A780" s="882"/>
      <c r="B780" s="876"/>
      <c r="C780" s="878"/>
      <c r="D780" s="882"/>
      <c r="E780" s="882"/>
      <c r="F780" s="884"/>
      <c r="G780" s="56">
        <v>721</v>
      </c>
      <c r="H780" s="79">
        <f>+F779-H779</f>
        <v>0</v>
      </c>
      <c r="I780" s="882"/>
      <c r="J780" s="876"/>
      <c r="K780" s="878"/>
      <c r="L780" s="882"/>
      <c r="M780" s="882"/>
      <c r="N780" s="884"/>
      <c r="O780" s="56"/>
      <c r="P780" s="79"/>
    </row>
    <row r="781" spans="1:16" ht="14.25" customHeight="1">
      <c r="A781" s="251"/>
      <c r="B781" s="252"/>
      <c r="C781" s="251"/>
      <c r="D781" s="251"/>
      <c r="E781" s="251"/>
      <c r="F781" s="254"/>
      <c r="G781" s="255"/>
      <c r="H781" s="256"/>
      <c r="I781" s="873"/>
      <c r="J781" s="875"/>
      <c r="K781" s="877"/>
      <c r="L781" s="881"/>
      <c r="M781" s="881"/>
      <c r="N781" s="883"/>
      <c r="O781" s="471"/>
      <c r="P781" s="78"/>
    </row>
    <row r="782" spans="1:16" ht="14.25" customHeight="1" thickBot="1">
      <c r="A782" s="251"/>
      <c r="B782" s="252"/>
      <c r="C782" s="251"/>
      <c r="D782" s="251"/>
      <c r="E782" s="251"/>
      <c r="F782" s="254"/>
      <c r="G782" s="255"/>
      <c r="H782" s="256"/>
      <c r="I782" s="882"/>
      <c r="J782" s="876"/>
      <c r="K782" s="878"/>
      <c r="L782" s="882"/>
      <c r="M782" s="882"/>
      <c r="N782" s="884"/>
      <c r="O782" s="461"/>
      <c r="P782" s="79"/>
    </row>
    <row r="783" spans="1:16" ht="12" customHeight="1">
      <c r="A783" s="881"/>
      <c r="B783" s="875"/>
      <c r="C783" s="877"/>
      <c r="D783" s="881"/>
      <c r="E783" s="881"/>
      <c r="F783" s="883"/>
      <c r="G783" s="55">
        <v>719</v>
      </c>
      <c r="H783" s="78"/>
      <c r="I783" s="873"/>
      <c r="J783" s="875"/>
      <c r="K783" s="877"/>
      <c r="L783" s="881"/>
      <c r="M783" s="881"/>
      <c r="N783" s="883"/>
      <c r="O783" s="471"/>
      <c r="P783" s="78"/>
    </row>
    <row r="784" spans="1:16" ht="12.75" customHeight="1" thickBot="1">
      <c r="A784" s="882"/>
      <c r="B784" s="876"/>
      <c r="C784" s="878"/>
      <c r="D784" s="882"/>
      <c r="E784" s="882"/>
      <c r="F784" s="884"/>
      <c r="G784" s="56">
        <v>721</v>
      </c>
      <c r="H784" s="79">
        <f>+F783-H783</f>
        <v>0</v>
      </c>
      <c r="I784" s="882"/>
      <c r="J784" s="876"/>
      <c r="K784" s="878"/>
      <c r="L784" s="882"/>
      <c r="M784" s="882"/>
      <c r="N784" s="884"/>
      <c r="O784" s="461"/>
      <c r="P784" s="79"/>
    </row>
    <row r="785" spans="1:16" ht="15" customHeight="1" thickBot="1">
      <c r="A785" s="881"/>
      <c r="B785" s="875"/>
      <c r="C785" s="881"/>
      <c r="D785" s="881"/>
      <c r="E785" s="881"/>
      <c r="F785" s="883"/>
      <c r="G785" s="55">
        <v>719</v>
      </c>
      <c r="H785" s="78"/>
      <c r="I785" s="901" t="s">
        <v>102</v>
      </c>
      <c r="J785" s="902"/>
      <c r="K785" s="902"/>
      <c r="L785" s="902"/>
      <c r="M785" s="903"/>
      <c r="N785" s="81">
        <f>SUM(N777:N784)</f>
        <v>6000000</v>
      </c>
    </row>
    <row r="786" spans="1:16" ht="15.75" customHeight="1" thickBot="1">
      <c r="A786" s="882"/>
      <c r="B786" s="876"/>
      <c r="C786" s="882"/>
      <c r="D786" s="882"/>
      <c r="E786" s="882"/>
      <c r="F786" s="884"/>
      <c r="G786" s="56">
        <v>721</v>
      </c>
      <c r="H786" s="79">
        <f>+F785-H785</f>
        <v>0</v>
      </c>
      <c r="I786" s="885" t="s">
        <v>103</v>
      </c>
      <c r="J786" s="886"/>
      <c r="K786" s="886"/>
      <c r="L786" s="886"/>
      <c r="M786" s="887"/>
      <c r="N786" s="239">
        <f>+N752</f>
        <v>333544978</v>
      </c>
      <c r="O786" s="241" t="s">
        <v>561</v>
      </c>
      <c r="P786" s="242"/>
    </row>
    <row r="787" spans="1:16" ht="16.5" thickBot="1">
      <c r="A787" s="901" t="s">
        <v>102</v>
      </c>
      <c r="B787" s="902"/>
      <c r="C787" s="902"/>
      <c r="D787" s="902"/>
      <c r="E787" s="903"/>
      <c r="F787" s="81">
        <f>SUM(F779:F786)</f>
        <v>40000</v>
      </c>
      <c r="I787" s="888" t="s">
        <v>104</v>
      </c>
      <c r="J787" s="889"/>
      <c r="K787" s="889"/>
      <c r="L787" s="889"/>
      <c r="M787" s="890"/>
      <c r="N787" s="183">
        <f>SUM(N785:N786)</f>
        <v>339544978</v>
      </c>
    </row>
    <row r="788" spans="1:16" ht="8.25" customHeight="1" thickBot="1">
      <c r="A788" s="885" t="s">
        <v>103</v>
      </c>
      <c r="B788" s="886"/>
      <c r="C788" s="886"/>
      <c r="D788" s="886"/>
      <c r="E788" s="887"/>
      <c r="F788" s="69">
        <f>+F754</f>
        <v>649974930</v>
      </c>
      <c r="I788" s="61"/>
      <c r="J788" s="61"/>
      <c r="K788" s="61"/>
      <c r="L788" s="61"/>
      <c r="M788" s="61"/>
    </row>
    <row r="789" spans="1:16" ht="16.5" thickBot="1">
      <c r="A789" s="888" t="s">
        <v>104</v>
      </c>
      <c r="B789" s="889"/>
      <c r="C789" s="889"/>
      <c r="D789" s="889"/>
      <c r="E789" s="890"/>
      <c r="F789" s="183">
        <f>SUM(F787:F788)</f>
        <v>650014930</v>
      </c>
      <c r="I789" s="51" t="s">
        <v>2136</v>
      </c>
    </row>
    <row r="790" spans="1:16" ht="2.25" customHeight="1">
      <c r="A790" s="61"/>
      <c r="B790" s="61"/>
      <c r="C790" s="61"/>
      <c r="D790" s="61"/>
      <c r="E790" s="61"/>
      <c r="N790" s="139"/>
    </row>
    <row r="791" spans="1:16">
      <c r="A791" s="51" t="s">
        <v>441</v>
      </c>
      <c r="I791" s="50" t="s">
        <v>105</v>
      </c>
      <c r="L791" s="146"/>
      <c r="N791" s="139"/>
    </row>
    <row r="792" spans="1:16" ht="7.5" customHeight="1" thickBot="1">
      <c r="F792" s="139"/>
    </row>
    <row r="793" spans="1:16" ht="17.25" thickBot="1">
      <c r="A793" s="50" t="s">
        <v>105</v>
      </c>
      <c r="D793" s="146"/>
      <c r="F793" s="139"/>
      <c r="I793" s="891" t="s">
        <v>106</v>
      </c>
      <c r="J793" s="892"/>
      <c r="K793" s="892"/>
      <c r="L793" s="893"/>
      <c r="N793" s="605" t="s">
        <v>288</v>
      </c>
      <c r="O793" s="605"/>
      <c r="P793" s="605"/>
    </row>
    <row r="794" spans="1:16" ht="27" customHeight="1" thickBot="1">
      <c r="I794" s="57" t="s">
        <v>100</v>
      </c>
      <c r="J794" s="58" t="s">
        <v>108</v>
      </c>
      <c r="K794" s="264" t="s">
        <v>109</v>
      </c>
      <c r="L794" s="60" t="s">
        <v>110</v>
      </c>
      <c r="N794" s="202"/>
      <c r="O794" s="202"/>
      <c r="P794" s="202"/>
    </row>
    <row r="795" spans="1:16" ht="13.5" customHeight="1" thickBot="1">
      <c r="A795" s="891" t="s">
        <v>106</v>
      </c>
      <c r="B795" s="892"/>
      <c r="C795" s="892"/>
      <c r="D795" s="893"/>
      <c r="F795" s="50" t="s">
        <v>288</v>
      </c>
      <c r="I795" s="71">
        <v>719</v>
      </c>
      <c r="J795" s="73"/>
      <c r="K795" s="74">
        <f>+L760</f>
        <v>12810000</v>
      </c>
      <c r="L795" s="195">
        <f>+J795+K795</f>
        <v>12810000</v>
      </c>
      <c r="N795" s="202"/>
      <c r="O795" s="202"/>
      <c r="P795" s="202"/>
    </row>
    <row r="796" spans="1:16" ht="15" customHeight="1" thickBot="1">
      <c r="A796" s="57" t="s">
        <v>100</v>
      </c>
      <c r="B796" s="58" t="s">
        <v>108</v>
      </c>
      <c r="C796" s="59" t="s">
        <v>109</v>
      </c>
      <c r="D796" s="60" t="s">
        <v>110</v>
      </c>
      <c r="I796" s="72">
        <v>721</v>
      </c>
      <c r="J796" s="257"/>
      <c r="K796" s="74">
        <f>+L761</f>
        <v>11739000</v>
      </c>
      <c r="L796" s="195">
        <f>+J796+K796</f>
        <v>11739000</v>
      </c>
      <c r="N796" s="202"/>
      <c r="O796" s="202"/>
      <c r="P796" s="202"/>
    </row>
    <row r="797" spans="1:16" ht="12" customHeight="1">
      <c r="A797" s="71">
        <v>719</v>
      </c>
      <c r="B797" s="73" t="e">
        <f>+H779+#REF!+#REF!+H783+H785</f>
        <v>#REF!</v>
      </c>
      <c r="C797" s="74" t="e">
        <f>+D762</f>
        <v>#REF!</v>
      </c>
      <c r="D797" s="195" t="e">
        <f>+B797+C797</f>
        <v>#REF!</v>
      </c>
      <c r="I797" s="72">
        <v>722</v>
      </c>
      <c r="J797" s="257"/>
      <c r="K797" s="74">
        <f>+L762</f>
        <v>0</v>
      </c>
      <c r="L797" s="195">
        <f>+J797+K797</f>
        <v>0</v>
      </c>
      <c r="N797" s="202"/>
      <c r="O797" s="202"/>
      <c r="P797" s="202"/>
    </row>
    <row r="798" spans="1:16" ht="13.5" customHeight="1" thickBot="1">
      <c r="A798" s="72">
        <v>721</v>
      </c>
      <c r="B798" s="80">
        <f>+H780</f>
        <v>0</v>
      </c>
      <c r="C798" s="74" t="e">
        <f>+D763</f>
        <v>#REF!</v>
      </c>
      <c r="D798" s="195" t="e">
        <f>+B798+C798</f>
        <v>#REF!</v>
      </c>
      <c r="I798" s="72">
        <v>723</v>
      </c>
      <c r="J798" s="257">
        <f>+N785</f>
        <v>6000000</v>
      </c>
      <c r="K798" s="74">
        <f>+L763</f>
        <v>308995978</v>
      </c>
      <c r="L798" s="195">
        <f>+J798+K798</f>
        <v>314995978</v>
      </c>
      <c r="N798" s="918" t="s">
        <v>1696</v>
      </c>
      <c r="O798" s="608"/>
      <c r="P798" s="608"/>
    </row>
    <row r="799" spans="1:16" ht="13.5" hidden="1" customHeight="1">
      <c r="A799" s="72">
        <v>722</v>
      </c>
      <c r="B799" s="80"/>
      <c r="C799" s="74">
        <f>+D764</f>
        <v>231207671</v>
      </c>
      <c r="D799" s="195">
        <f>+B799+C799</f>
        <v>231207671</v>
      </c>
      <c r="I799" s="164" t="s">
        <v>181</v>
      </c>
      <c r="J799" s="165"/>
      <c r="K799" s="74">
        <f>+L764</f>
        <v>0</v>
      </c>
      <c r="L799" s="196">
        <f>+J799+K799</f>
        <v>0</v>
      </c>
      <c r="N799" s="52"/>
    </row>
    <row r="800" spans="1:16" ht="16.5" thickBot="1">
      <c r="A800" s="72">
        <v>723</v>
      </c>
      <c r="B800" s="80" t="e">
        <f>+#REF!</f>
        <v>#REF!</v>
      </c>
      <c r="C800" s="74" t="e">
        <f>+D765</f>
        <v>#REF!</v>
      </c>
      <c r="D800" s="195" t="e">
        <f>+B800+C800</f>
        <v>#REF!</v>
      </c>
      <c r="F800" s="174" t="s">
        <v>23</v>
      </c>
      <c r="G800" s="175"/>
      <c r="I800" s="169"/>
      <c r="J800" s="197">
        <f>SUM(J795:J799)</f>
        <v>6000000</v>
      </c>
      <c r="K800" s="197">
        <f>SUM(K795:K799)</f>
        <v>333544978</v>
      </c>
      <c r="L800" s="198">
        <f>SUM(L795:L799)</f>
        <v>339544978</v>
      </c>
    </row>
    <row r="801" spans="1:16" ht="17.25" thickBot="1">
      <c r="A801" s="164" t="s">
        <v>181</v>
      </c>
      <c r="B801" s="165"/>
      <c r="C801" s="74" t="e">
        <f>+D766</f>
        <v>#REF!</v>
      </c>
      <c r="D801" s="196" t="e">
        <f>+B801+C801</f>
        <v>#REF!</v>
      </c>
      <c r="F801" s="52"/>
      <c r="I801" s="49" t="s">
        <v>88</v>
      </c>
      <c r="J801" s="50"/>
    </row>
    <row r="802" spans="1:16" ht="15" customHeight="1" thickBot="1">
      <c r="A802" s="169"/>
      <c r="B802" s="170" t="e">
        <f>SUM(B797:B801)</f>
        <v>#REF!</v>
      </c>
      <c r="C802" s="171" t="e">
        <f>SUM(C797:C801)</f>
        <v>#REF!</v>
      </c>
      <c r="D802" s="172" t="e">
        <f>SUM(D797:D801)</f>
        <v>#REF!</v>
      </c>
      <c r="I802" s="51" t="s">
        <v>89</v>
      </c>
    </row>
    <row r="803" spans="1:16" ht="15" customHeight="1">
      <c r="A803" s="49" t="s">
        <v>88</v>
      </c>
      <c r="B803" s="50"/>
      <c r="I803" s="51" t="s">
        <v>90</v>
      </c>
    </row>
    <row r="804" spans="1:16">
      <c r="A804" s="51" t="s">
        <v>89</v>
      </c>
      <c r="I804" s="51" t="s">
        <v>91</v>
      </c>
    </row>
    <row r="805" spans="1:16" ht="4.5" customHeight="1">
      <c r="A805" s="51" t="s">
        <v>90</v>
      </c>
      <c r="I805" s="50"/>
      <c r="J805" s="50"/>
    </row>
    <row r="806" spans="1:16" ht="16.5">
      <c r="A806" s="51" t="s">
        <v>91</v>
      </c>
      <c r="I806" s="260" t="s">
        <v>763</v>
      </c>
      <c r="J806" s="262"/>
      <c r="O806" s="52"/>
    </row>
    <row r="807" spans="1:16" ht="14.25" customHeight="1">
      <c r="A807" s="50"/>
      <c r="B807" s="50"/>
      <c r="I807" s="261" t="s">
        <v>1866</v>
      </c>
      <c r="J807" s="262"/>
      <c r="O807" s="53"/>
    </row>
    <row r="808" spans="1:16" ht="16.5">
      <c r="A808" s="52" t="s">
        <v>442</v>
      </c>
      <c r="G808" s="52"/>
      <c r="I808" s="894" t="s">
        <v>2000</v>
      </c>
      <c r="J808" s="894"/>
      <c r="K808" s="894"/>
      <c r="L808" s="894"/>
      <c r="M808" s="894"/>
      <c r="N808" s="894"/>
      <c r="O808" s="894"/>
      <c r="P808" s="894"/>
    </row>
    <row r="809" spans="1:16" ht="9" customHeight="1" thickBot="1">
      <c r="A809" s="53" t="s">
        <v>92</v>
      </c>
      <c r="G809" s="53"/>
    </row>
    <row r="810" spans="1:16" ht="16.5">
      <c r="A810" s="894" t="s">
        <v>93</v>
      </c>
      <c r="B810" s="894"/>
      <c r="C810" s="894"/>
      <c r="D810" s="894"/>
      <c r="E810" s="894"/>
      <c r="F810" s="894"/>
      <c r="G810" s="894"/>
      <c r="H810" s="894"/>
      <c r="I810" s="895" t="s">
        <v>94</v>
      </c>
      <c r="J810" s="897" t="s">
        <v>95</v>
      </c>
      <c r="K810" s="897" t="s">
        <v>96</v>
      </c>
      <c r="L810" s="897" t="s">
        <v>3</v>
      </c>
      <c r="M810" s="897" t="s">
        <v>97</v>
      </c>
      <c r="N810" s="897" t="s">
        <v>98</v>
      </c>
      <c r="O810" s="897" t="s">
        <v>99</v>
      </c>
      <c r="P810" s="899"/>
    </row>
    <row r="811" spans="1:16" ht="15.75" thickBot="1">
      <c r="I811" s="896"/>
      <c r="J811" s="898"/>
      <c r="K811" s="898"/>
      <c r="L811" s="898"/>
      <c r="M811" s="898"/>
      <c r="N811" s="898"/>
      <c r="O811" s="240" t="s">
        <v>100</v>
      </c>
      <c r="P811" s="182" t="s">
        <v>101</v>
      </c>
    </row>
    <row r="812" spans="1:16" ht="14.25" customHeight="1">
      <c r="A812" s="881" t="e">
        <f>+#REF!+1</f>
        <v>#REF!</v>
      </c>
      <c r="B812" s="875">
        <v>42317</v>
      </c>
      <c r="C812" s="877" t="s">
        <v>267</v>
      </c>
      <c r="D812" s="881" t="s">
        <v>444</v>
      </c>
      <c r="E812" s="881" t="s">
        <v>148</v>
      </c>
      <c r="F812" s="883">
        <v>252000</v>
      </c>
      <c r="G812" s="55">
        <v>719</v>
      </c>
      <c r="H812" s="78">
        <v>180000</v>
      </c>
      <c r="I812" s="873" t="s">
        <v>2001</v>
      </c>
      <c r="J812" s="875">
        <v>44195</v>
      </c>
      <c r="K812" s="877" t="s">
        <v>1571</v>
      </c>
      <c r="L812" s="879" t="s">
        <v>1225</v>
      </c>
      <c r="M812" s="881" t="s">
        <v>148</v>
      </c>
      <c r="N812" s="883">
        <v>-3980000</v>
      </c>
      <c r="O812" s="55">
        <v>719</v>
      </c>
      <c r="P812" s="78"/>
    </row>
    <row r="813" spans="1:16" ht="12.75" customHeight="1" thickBot="1">
      <c r="A813" s="882"/>
      <c r="B813" s="876"/>
      <c r="C813" s="878"/>
      <c r="D813" s="882"/>
      <c r="E813" s="882"/>
      <c r="F813" s="884"/>
      <c r="G813" s="56">
        <v>721</v>
      </c>
      <c r="H813" s="79">
        <f>+F812-H812</f>
        <v>72000</v>
      </c>
      <c r="I813" s="874"/>
      <c r="J813" s="876"/>
      <c r="K813" s="878"/>
      <c r="L813" s="880"/>
      <c r="M813" s="882"/>
      <c r="N813" s="884"/>
      <c r="O813" s="56">
        <v>723</v>
      </c>
      <c r="P813" s="79">
        <f>+N812</f>
        <v>-3980000</v>
      </c>
    </row>
    <row r="814" spans="1:16" ht="12.75" customHeight="1">
      <c r="A814" s="881" t="e">
        <f>+A812+1</f>
        <v>#REF!</v>
      </c>
      <c r="B814" s="875">
        <v>42317</v>
      </c>
      <c r="C814" s="881" t="s">
        <v>28</v>
      </c>
      <c r="D814" s="881" t="s">
        <v>445</v>
      </c>
      <c r="E814" s="881" t="s">
        <v>148</v>
      </c>
      <c r="F814" s="883">
        <v>574000</v>
      </c>
      <c r="G814" s="55">
        <v>719</v>
      </c>
      <c r="H814" s="78">
        <v>410000</v>
      </c>
      <c r="I814" s="873" t="s">
        <v>2002</v>
      </c>
      <c r="J814" s="875">
        <v>44195</v>
      </c>
      <c r="K814" s="877" t="s">
        <v>117</v>
      </c>
      <c r="L814" s="881" t="s">
        <v>1887</v>
      </c>
      <c r="M814" s="881" t="s">
        <v>148</v>
      </c>
      <c r="N814" s="883">
        <v>-1512000</v>
      </c>
      <c r="O814" s="55">
        <v>719</v>
      </c>
      <c r="P814" s="78"/>
    </row>
    <row r="815" spans="1:16" ht="12.75" customHeight="1" thickBot="1">
      <c r="A815" s="882"/>
      <c r="B815" s="876"/>
      <c r="C815" s="882"/>
      <c r="D815" s="882"/>
      <c r="E815" s="882"/>
      <c r="F815" s="884"/>
      <c r="G815" s="56">
        <v>721</v>
      </c>
      <c r="H815" s="79">
        <f>+F814-H814</f>
        <v>164000</v>
      </c>
      <c r="I815" s="874"/>
      <c r="J815" s="876"/>
      <c r="K815" s="878"/>
      <c r="L815" s="882"/>
      <c r="M815" s="882"/>
      <c r="N815" s="884"/>
      <c r="O815" s="56">
        <v>723</v>
      </c>
      <c r="P815" s="79">
        <f>+N814</f>
        <v>-1512000</v>
      </c>
    </row>
    <row r="816" spans="1:16" ht="12.75" customHeight="1">
      <c r="A816" s="881" t="e">
        <f>+A814+1</f>
        <v>#REF!</v>
      </c>
      <c r="B816" s="875">
        <v>42317</v>
      </c>
      <c r="C816" s="877" t="s">
        <v>32</v>
      </c>
      <c r="D816" s="881" t="s">
        <v>446</v>
      </c>
      <c r="E816" s="881" t="s">
        <v>148</v>
      </c>
      <c r="F816" s="883">
        <v>28000</v>
      </c>
      <c r="G816" s="55">
        <v>719</v>
      </c>
      <c r="H816" s="78">
        <v>20000</v>
      </c>
      <c r="I816" s="873" t="s">
        <v>2003</v>
      </c>
      <c r="J816" s="875">
        <v>44195</v>
      </c>
      <c r="K816" s="877" t="s">
        <v>1889</v>
      </c>
      <c r="L816" s="881" t="s">
        <v>1887</v>
      </c>
      <c r="M816" s="881" t="s">
        <v>148</v>
      </c>
      <c r="N816" s="883">
        <v>-2400000</v>
      </c>
      <c r="O816" s="55">
        <v>719</v>
      </c>
      <c r="P816" s="78"/>
    </row>
    <row r="817" spans="1:16" ht="13.5" customHeight="1" thickBot="1">
      <c r="A817" s="882"/>
      <c r="B817" s="876"/>
      <c r="C817" s="878"/>
      <c r="D817" s="882"/>
      <c r="E817" s="882"/>
      <c r="F817" s="884"/>
      <c r="G817" s="56">
        <v>721</v>
      </c>
      <c r="H817" s="79">
        <f>+F816-H816</f>
        <v>8000</v>
      </c>
      <c r="I817" s="874"/>
      <c r="J817" s="876"/>
      <c r="K817" s="878"/>
      <c r="L817" s="882"/>
      <c r="M817" s="882"/>
      <c r="N817" s="884"/>
      <c r="O817" s="56">
        <v>723</v>
      </c>
      <c r="P817" s="79">
        <f>+N816</f>
        <v>-2400000</v>
      </c>
    </row>
    <row r="818" spans="1:16" ht="13.5" customHeight="1">
      <c r="A818" s="251"/>
      <c r="B818" s="252"/>
      <c r="C818" s="253"/>
      <c r="D818" s="251"/>
      <c r="E818" s="251"/>
      <c r="F818" s="254"/>
      <c r="G818" s="255"/>
      <c r="H818" s="256"/>
      <c r="I818" s="873" t="s">
        <v>2004</v>
      </c>
      <c r="J818" s="875">
        <v>44195</v>
      </c>
      <c r="K818" s="877" t="s">
        <v>117</v>
      </c>
      <c r="L818" s="881" t="s">
        <v>1887</v>
      </c>
      <c r="M818" s="881" t="s">
        <v>115</v>
      </c>
      <c r="N818" s="883">
        <v>-870000</v>
      </c>
      <c r="O818" s="55">
        <v>719</v>
      </c>
      <c r="P818" s="78"/>
    </row>
    <row r="819" spans="1:16" ht="13.5" customHeight="1" thickBot="1">
      <c r="A819" s="251"/>
      <c r="B819" s="252"/>
      <c r="C819" s="253"/>
      <c r="D819" s="251"/>
      <c r="E819" s="251"/>
      <c r="F819" s="254"/>
      <c r="G819" s="255"/>
      <c r="H819" s="256"/>
      <c r="I819" s="874"/>
      <c r="J819" s="876"/>
      <c r="K819" s="878"/>
      <c r="L819" s="882"/>
      <c r="M819" s="882"/>
      <c r="N819" s="884"/>
      <c r="O819" s="56">
        <v>723</v>
      </c>
      <c r="P819" s="79">
        <f>+N818</f>
        <v>-870000</v>
      </c>
    </row>
    <row r="820" spans="1:16" ht="12" customHeight="1">
      <c r="A820" s="881" t="e">
        <f>+A816+1</f>
        <v>#REF!</v>
      </c>
      <c r="B820" s="875">
        <v>42317</v>
      </c>
      <c r="C820" s="877" t="s">
        <v>111</v>
      </c>
      <c r="D820" s="881" t="s">
        <v>447</v>
      </c>
      <c r="E820" s="881" t="s">
        <v>148</v>
      </c>
      <c r="F820" s="883">
        <v>140000</v>
      </c>
      <c r="G820" s="55">
        <v>719</v>
      </c>
      <c r="H820" s="78">
        <v>100000</v>
      </c>
      <c r="I820" s="873" t="s">
        <v>2007</v>
      </c>
      <c r="J820" s="875">
        <v>44195</v>
      </c>
      <c r="K820" s="877" t="s">
        <v>2008</v>
      </c>
      <c r="L820" s="881" t="s">
        <v>1887</v>
      </c>
      <c r="M820" s="881" t="s">
        <v>1908</v>
      </c>
      <c r="N820" s="883">
        <v>-90000</v>
      </c>
      <c r="O820" s="55">
        <v>719</v>
      </c>
      <c r="P820" s="78"/>
    </row>
    <row r="821" spans="1:16" ht="12.75" customHeight="1" thickBot="1">
      <c r="A821" s="882"/>
      <c r="B821" s="876"/>
      <c r="C821" s="878"/>
      <c r="D821" s="882"/>
      <c r="E821" s="882"/>
      <c r="F821" s="884"/>
      <c r="G821" s="56">
        <v>721</v>
      </c>
      <c r="H821" s="79">
        <f>+F820-H820</f>
        <v>40000</v>
      </c>
      <c r="I821" s="874"/>
      <c r="J821" s="876"/>
      <c r="K821" s="878"/>
      <c r="L821" s="882"/>
      <c r="M821" s="882"/>
      <c r="N821" s="884"/>
      <c r="O821" s="56">
        <v>723</v>
      </c>
      <c r="P821" s="79">
        <f>+N820</f>
        <v>-90000</v>
      </c>
    </row>
    <row r="822" spans="1:16" ht="15" customHeight="1" thickBot="1">
      <c r="A822" s="881" t="e">
        <f>+A820+1</f>
        <v>#REF!</v>
      </c>
      <c r="B822" s="875">
        <v>42317</v>
      </c>
      <c r="C822" s="877" t="s">
        <v>272</v>
      </c>
      <c r="D822" s="881" t="s">
        <v>444</v>
      </c>
      <c r="E822" s="881" t="s">
        <v>148</v>
      </c>
      <c r="F822" s="883">
        <v>756000</v>
      </c>
      <c r="G822" s="55">
        <v>719</v>
      </c>
      <c r="H822" s="78">
        <v>540000</v>
      </c>
      <c r="I822" s="901" t="s">
        <v>102</v>
      </c>
      <c r="J822" s="902"/>
      <c r="K822" s="902"/>
      <c r="L822" s="902"/>
      <c r="M822" s="903"/>
      <c r="N822" s="81">
        <f>SUM(N812:N821)</f>
        <v>-8852000</v>
      </c>
    </row>
    <row r="823" spans="1:16" ht="15.75" customHeight="1" thickBot="1">
      <c r="A823" s="882"/>
      <c r="B823" s="876"/>
      <c r="C823" s="878"/>
      <c r="D823" s="882"/>
      <c r="E823" s="882"/>
      <c r="F823" s="884"/>
      <c r="G823" s="56">
        <v>721</v>
      </c>
      <c r="H823" s="79">
        <f>+F822-H822</f>
        <v>216000</v>
      </c>
      <c r="I823" s="885" t="s">
        <v>103</v>
      </c>
      <c r="J823" s="886"/>
      <c r="K823" s="886"/>
      <c r="L823" s="886"/>
      <c r="M823" s="887"/>
      <c r="N823" s="239">
        <f>+N787</f>
        <v>339544978</v>
      </c>
      <c r="O823" s="241" t="s">
        <v>561</v>
      </c>
      <c r="P823" s="242"/>
    </row>
    <row r="824" spans="1:16" ht="16.5" thickBot="1">
      <c r="A824" s="901" t="s">
        <v>102</v>
      </c>
      <c r="B824" s="902"/>
      <c r="C824" s="902"/>
      <c r="D824" s="902"/>
      <c r="E824" s="903"/>
      <c r="F824" s="81">
        <f>SUM(F812:F823)</f>
        <v>1750000</v>
      </c>
      <c r="I824" s="888" t="s">
        <v>104</v>
      </c>
      <c r="J824" s="889"/>
      <c r="K824" s="889"/>
      <c r="L824" s="889"/>
      <c r="M824" s="890"/>
      <c r="N824" s="183">
        <f>SUM(N822:N823)</f>
        <v>330692978</v>
      </c>
    </row>
    <row r="825" spans="1:16" ht="6.75" customHeight="1" thickBot="1">
      <c r="A825" s="885" t="s">
        <v>103</v>
      </c>
      <c r="B825" s="886"/>
      <c r="C825" s="886"/>
      <c r="D825" s="886"/>
      <c r="E825" s="887"/>
      <c r="F825" s="69">
        <f>+F789</f>
        <v>650014930</v>
      </c>
      <c r="I825" s="61"/>
      <c r="J825" s="61"/>
      <c r="K825" s="61"/>
      <c r="L825" s="61"/>
      <c r="M825" s="61"/>
    </row>
    <row r="826" spans="1:16" ht="16.5" thickBot="1">
      <c r="A826" s="888" t="s">
        <v>104</v>
      </c>
      <c r="B826" s="889"/>
      <c r="C826" s="889"/>
      <c r="D826" s="889"/>
      <c r="E826" s="890"/>
      <c r="F826" s="183">
        <f>SUM(F824:F825)</f>
        <v>651764930</v>
      </c>
      <c r="I826" s="51" t="s">
        <v>2009</v>
      </c>
    </row>
    <row r="827" spans="1:16" ht="6" customHeight="1">
      <c r="A827" s="61"/>
      <c r="B827" s="61"/>
      <c r="C827" s="61"/>
      <c r="D827" s="61"/>
      <c r="E827" s="61"/>
      <c r="N827" s="139"/>
    </row>
    <row r="828" spans="1:16">
      <c r="A828" s="51" t="s">
        <v>448</v>
      </c>
      <c r="I828" s="50" t="s">
        <v>105</v>
      </c>
      <c r="L828" s="146"/>
      <c r="N828" s="139"/>
    </row>
    <row r="829" spans="1:16" ht="7.5" customHeight="1" thickBot="1">
      <c r="F829" s="139"/>
    </row>
    <row r="830" spans="1:16" ht="15.75" thickBot="1">
      <c r="A830" s="50" t="s">
        <v>105</v>
      </c>
      <c r="D830" s="146"/>
      <c r="F830" s="139"/>
      <c r="I830" s="891" t="s">
        <v>106</v>
      </c>
      <c r="J830" s="892"/>
      <c r="K830" s="892"/>
      <c r="L830" s="893"/>
    </row>
    <row r="831" spans="1:16" ht="28.5" customHeight="1" thickBot="1">
      <c r="I831" s="57" t="s">
        <v>100</v>
      </c>
      <c r="J831" s="58" t="s">
        <v>108</v>
      </c>
      <c r="K831" s="263" t="s">
        <v>109</v>
      </c>
      <c r="L831" s="60" t="s">
        <v>110</v>
      </c>
      <c r="N831" s="202"/>
      <c r="O831" s="202"/>
      <c r="P831" s="202"/>
    </row>
    <row r="832" spans="1:16" ht="15" customHeight="1" thickBot="1">
      <c r="A832" s="891" t="s">
        <v>106</v>
      </c>
      <c r="B832" s="892"/>
      <c r="C832" s="892"/>
      <c r="D832" s="893"/>
      <c r="F832" s="50" t="s">
        <v>288</v>
      </c>
      <c r="I832" s="71">
        <v>719</v>
      </c>
      <c r="J832" s="73"/>
      <c r="K832" s="74">
        <f>+L795</f>
        <v>12810000</v>
      </c>
      <c r="L832" s="195">
        <f>+J832+K832</f>
        <v>12810000</v>
      </c>
      <c r="N832" s="605" t="s">
        <v>288</v>
      </c>
      <c r="O832" s="605"/>
      <c r="P832" s="605"/>
    </row>
    <row r="833" spans="1:16" ht="14.25" customHeight="1" thickBot="1">
      <c r="A833" s="57" t="s">
        <v>100</v>
      </c>
      <c r="B833" s="58" t="s">
        <v>108</v>
      </c>
      <c r="C833" s="59" t="s">
        <v>109</v>
      </c>
      <c r="D833" s="60" t="s">
        <v>110</v>
      </c>
      <c r="I833" s="72">
        <v>721</v>
      </c>
      <c r="J833" s="257"/>
      <c r="K833" s="74">
        <f>+L796</f>
        <v>11739000</v>
      </c>
      <c r="L833" s="195">
        <f>+J833+K833</f>
        <v>11739000</v>
      </c>
      <c r="N833" s="202"/>
      <c r="O833" s="202"/>
      <c r="P833" s="202"/>
    </row>
    <row r="834" spans="1:16" ht="14.25" customHeight="1">
      <c r="A834" s="71">
        <v>719</v>
      </c>
      <c r="B834" s="73">
        <f>+H812+H814+H816+H820+H822</f>
        <v>1250000</v>
      </c>
      <c r="C834" s="74" t="e">
        <f>+D797</f>
        <v>#REF!</v>
      </c>
      <c r="D834" s="195" t="e">
        <f>+B834+C834</f>
        <v>#REF!</v>
      </c>
      <c r="I834" s="72">
        <v>722</v>
      </c>
      <c r="J834" s="257"/>
      <c r="K834" s="74">
        <f>+L797</f>
        <v>0</v>
      </c>
      <c r="L834" s="195">
        <f>+J834+K834</f>
        <v>0</v>
      </c>
      <c r="N834" s="288"/>
      <c r="O834" s="288"/>
      <c r="P834" s="288"/>
    </row>
    <row r="835" spans="1:16" ht="14.25" customHeight="1" thickBot="1">
      <c r="A835" s="72">
        <v>721</v>
      </c>
      <c r="B835" s="80">
        <f>+H813+H815+H817+H821+H823</f>
        <v>500000</v>
      </c>
      <c r="C835" s="74" t="e">
        <f>+D798</f>
        <v>#REF!</v>
      </c>
      <c r="D835" s="195" t="e">
        <f>+B835+C835</f>
        <v>#REF!</v>
      </c>
      <c r="I835" s="72">
        <v>723</v>
      </c>
      <c r="J835" s="257">
        <f>+P813+P815+P817+P821+P819</f>
        <v>-8852000</v>
      </c>
      <c r="K835" s="74">
        <f>+L798</f>
        <v>314995978</v>
      </c>
      <c r="L835" s="195">
        <f>+J835+K835</f>
        <v>306143978</v>
      </c>
      <c r="N835" s="288"/>
      <c r="O835" s="288"/>
      <c r="P835" s="288"/>
    </row>
    <row r="836" spans="1:16" ht="15" hidden="1" customHeight="1">
      <c r="A836" s="72">
        <v>722</v>
      </c>
      <c r="B836" s="80"/>
      <c r="C836" s="74">
        <f>+D799</f>
        <v>231207671</v>
      </c>
      <c r="D836" s="195">
        <f>+B836+C836</f>
        <v>231207671</v>
      </c>
      <c r="I836" s="164" t="s">
        <v>181</v>
      </c>
      <c r="J836" s="165"/>
      <c r="K836" s="74">
        <f>+L799</f>
        <v>0</v>
      </c>
      <c r="L836" s="196">
        <f>+J836+K836</f>
        <v>0</v>
      </c>
      <c r="N836" s="918"/>
      <c r="O836" s="918"/>
      <c r="P836" s="918"/>
    </row>
    <row r="837" spans="1:16" ht="16.5" thickBot="1">
      <c r="A837" s="72">
        <v>723</v>
      </c>
      <c r="B837" s="80"/>
      <c r="C837" s="74" t="e">
        <f>+D800</f>
        <v>#REF!</v>
      </c>
      <c r="D837" s="195" t="e">
        <f>+B837+C837</f>
        <v>#REF!</v>
      </c>
      <c r="F837" s="174" t="s">
        <v>23</v>
      </c>
      <c r="G837" s="175"/>
      <c r="I837" s="169"/>
      <c r="J837" s="197">
        <f>SUM(J832:J836)</f>
        <v>-8852000</v>
      </c>
      <c r="K837" s="197">
        <f>SUM(K832:K836)</f>
        <v>339544978</v>
      </c>
      <c r="L837" s="198">
        <f>SUM(L832:L836)</f>
        <v>330692978</v>
      </c>
      <c r="N837" s="918" t="s">
        <v>1696</v>
      </c>
      <c r="O837" s="918"/>
      <c r="P837" s="918"/>
    </row>
    <row r="838" spans="1:16" ht="17.25" thickBot="1">
      <c r="A838" s="164" t="s">
        <v>181</v>
      </c>
      <c r="B838" s="165"/>
      <c r="C838" s="74" t="e">
        <f>+D801</f>
        <v>#REF!</v>
      </c>
      <c r="D838" s="196" t="e">
        <f>+B838+C838</f>
        <v>#REF!</v>
      </c>
      <c r="F838" s="52"/>
      <c r="I838" s="49" t="s">
        <v>88</v>
      </c>
      <c r="J838" s="50"/>
    </row>
    <row r="839" spans="1:16" ht="16.5" thickBot="1">
      <c r="A839" s="169"/>
      <c r="B839" s="170">
        <f>SUM(B834:B838)</f>
        <v>1750000</v>
      </c>
      <c r="C839" s="171" t="e">
        <f>SUM(C834:C838)</f>
        <v>#REF!</v>
      </c>
      <c r="D839" s="172" t="e">
        <f>SUM(D834:D838)</f>
        <v>#REF!</v>
      </c>
      <c r="I839" s="51" t="s">
        <v>89</v>
      </c>
    </row>
    <row r="840" spans="1:16" ht="16.5">
      <c r="A840" s="49" t="s">
        <v>88</v>
      </c>
      <c r="B840" s="50"/>
      <c r="I840" s="51" t="s">
        <v>90</v>
      </c>
    </row>
    <row r="841" spans="1:16">
      <c r="A841" s="51" t="s">
        <v>89</v>
      </c>
      <c r="I841" s="51" t="s">
        <v>91</v>
      </c>
    </row>
    <row r="842" spans="1:16" ht="8.25" customHeight="1">
      <c r="A842" s="51" t="s">
        <v>90</v>
      </c>
      <c r="I842" s="50"/>
      <c r="J842" s="50"/>
    </row>
    <row r="843" spans="1:16" ht="16.5">
      <c r="A843" s="51" t="s">
        <v>91</v>
      </c>
      <c r="I843" s="260" t="s">
        <v>789</v>
      </c>
      <c r="J843" s="262"/>
      <c r="O843" s="52"/>
    </row>
    <row r="844" spans="1:16" ht="14.25" customHeight="1">
      <c r="A844" s="50"/>
      <c r="B844" s="50"/>
      <c r="I844" s="261" t="s">
        <v>1702</v>
      </c>
      <c r="J844" s="262"/>
      <c r="O844" s="53"/>
    </row>
    <row r="845" spans="1:16" ht="16.5">
      <c r="A845" s="52" t="s">
        <v>443</v>
      </c>
      <c r="G845" s="52"/>
      <c r="I845" s="894" t="s">
        <v>1823</v>
      </c>
      <c r="J845" s="894"/>
      <c r="K845" s="894"/>
      <c r="L845" s="894"/>
      <c r="M845" s="894"/>
      <c r="N845" s="894"/>
      <c r="O845" s="894"/>
      <c r="P845" s="894"/>
    </row>
    <row r="846" spans="1:16" ht="9.75" customHeight="1" thickBot="1">
      <c r="A846" s="53" t="s">
        <v>92</v>
      </c>
      <c r="G846" s="53"/>
    </row>
    <row r="847" spans="1:16" ht="16.5">
      <c r="A847" s="894" t="s">
        <v>93</v>
      </c>
      <c r="B847" s="894"/>
      <c r="C847" s="894"/>
      <c r="D847" s="894"/>
      <c r="E847" s="894"/>
      <c r="F847" s="894"/>
      <c r="G847" s="894"/>
      <c r="H847" s="894"/>
      <c r="I847" s="895" t="s">
        <v>94</v>
      </c>
      <c r="J847" s="897" t="s">
        <v>95</v>
      </c>
      <c r="K847" s="897" t="s">
        <v>96</v>
      </c>
      <c r="L847" s="897" t="s">
        <v>3</v>
      </c>
      <c r="M847" s="897" t="s">
        <v>97</v>
      </c>
      <c r="N847" s="897" t="s">
        <v>98</v>
      </c>
      <c r="O847" s="897" t="s">
        <v>99</v>
      </c>
      <c r="P847" s="899"/>
    </row>
    <row r="848" spans="1:16" ht="12.75" customHeight="1" thickBot="1">
      <c r="I848" s="896"/>
      <c r="J848" s="898"/>
      <c r="K848" s="898"/>
      <c r="L848" s="898"/>
      <c r="M848" s="898"/>
      <c r="N848" s="898"/>
      <c r="O848" s="240" t="s">
        <v>100</v>
      </c>
      <c r="P848" s="182" t="s">
        <v>101</v>
      </c>
    </row>
    <row r="849" spans="1:16" ht="14.25" customHeight="1">
      <c r="A849" s="895" t="s">
        <v>94</v>
      </c>
      <c r="B849" s="897" t="s">
        <v>95</v>
      </c>
      <c r="C849" s="897" t="s">
        <v>96</v>
      </c>
      <c r="D849" s="897" t="s">
        <v>3</v>
      </c>
      <c r="E849" s="897" t="s">
        <v>97</v>
      </c>
      <c r="F849" s="897" t="s">
        <v>98</v>
      </c>
      <c r="G849" s="897" t="s">
        <v>99</v>
      </c>
      <c r="H849" s="899"/>
      <c r="I849" s="928">
        <f>+I820+1</f>
        <v>10</v>
      </c>
      <c r="J849" s="875">
        <v>43669</v>
      </c>
      <c r="K849" s="877" t="s">
        <v>1079</v>
      </c>
      <c r="L849" s="881" t="s">
        <v>1825</v>
      </c>
      <c r="M849" s="881" t="s">
        <v>148</v>
      </c>
      <c r="N849" s="883">
        <v>860000</v>
      </c>
      <c r="O849" s="55">
        <v>719</v>
      </c>
      <c r="P849" s="78">
        <v>860000</v>
      </c>
    </row>
    <row r="850" spans="1:16" ht="13.5" customHeight="1" thickBot="1">
      <c r="A850" s="896"/>
      <c r="B850" s="898"/>
      <c r="C850" s="898"/>
      <c r="D850" s="898"/>
      <c r="E850" s="898"/>
      <c r="F850" s="898"/>
      <c r="G850" s="240" t="s">
        <v>100</v>
      </c>
      <c r="H850" s="182" t="s">
        <v>101</v>
      </c>
      <c r="I850" s="929"/>
      <c r="J850" s="876"/>
      <c r="K850" s="878"/>
      <c r="L850" s="882"/>
      <c r="M850" s="882"/>
      <c r="N850" s="884"/>
      <c r="O850" s="56">
        <v>721</v>
      </c>
      <c r="P850" s="79">
        <f>+N849-P849</f>
        <v>0</v>
      </c>
    </row>
    <row r="851" spans="1:16" ht="13.5" customHeight="1">
      <c r="A851" s="881" t="e">
        <f>+A822+1</f>
        <v>#REF!</v>
      </c>
      <c r="B851" s="875">
        <v>42317</v>
      </c>
      <c r="C851" s="877" t="s">
        <v>272</v>
      </c>
      <c r="D851" s="881" t="s">
        <v>449</v>
      </c>
      <c r="E851" s="881" t="s">
        <v>115</v>
      </c>
      <c r="F851" s="883">
        <v>210000</v>
      </c>
      <c r="G851" s="55">
        <v>719</v>
      </c>
      <c r="H851" s="78">
        <v>210000</v>
      </c>
      <c r="I851" s="928">
        <f>+I849+1</f>
        <v>11</v>
      </c>
      <c r="J851" s="875">
        <v>43669</v>
      </c>
      <c r="K851" s="877" t="s">
        <v>111</v>
      </c>
      <c r="L851" s="881" t="s">
        <v>1827</v>
      </c>
      <c r="M851" s="881" t="s">
        <v>148</v>
      </c>
      <c r="N851" s="883">
        <v>240000</v>
      </c>
      <c r="O851" s="55">
        <v>719</v>
      </c>
      <c r="P851" s="78">
        <v>240000</v>
      </c>
    </row>
    <row r="852" spans="1:16" ht="13.5" customHeight="1" thickBot="1">
      <c r="A852" s="882"/>
      <c r="B852" s="876"/>
      <c r="C852" s="878"/>
      <c r="D852" s="882"/>
      <c r="E852" s="882"/>
      <c r="F852" s="884"/>
      <c r="G852" s="56">
        <v>721</v>
      </c>
      <c r="H852" s="79">
        <f>+F851-H851</f>
        <v>0</v>
      </c>
      <c r="I852" s="929"/>
      <c r="J852" s="876"/>
      <c r="K852" s="878"/>
      <c r="L852" s="882"/>
      <c r="M852" s="882"/>
      <c r="N852" s="884"/>
      <c r="O852" s="56">
        <v>721</v>
      </c>
      <c r="P852" s="79">
        <f>+N851-P851</f>
        <v>0</v>
      </c>
    </row>
    <row r="853" spans="1:16" ht="13.5" customHeight="1">
      <c r="A853" s="881" t="e">
        <f>+A851+1</f>
        <v>#REF!</v>
      </c>
      <c r="B853" s="875">
        <v>42317</v>
      </c>
      <c r="C853" s="881" t="s">
        <v>28</v>
      </c>
      <c r="D853" s="881" t="s">
        <v>450</v>
      </c>
      <c r="E853" s="881" t="s">
        <v>115</v>
      </c>
      <c r="F853" s="883">
        <v>20000</v>
      </c>
      <c r="G853" s="55">
        <v>719</v>
      </c>
      <c r="H853" s="78">
        <v>20000</v>
      </c>
      <c r="I853" s="928">
        <f>+I851+1</f>
        <v>12</v>
      </c>
      <c r="J853" s="875">
        <v>43669</v>
      </c>
      <c r="K853" s="877" t="s">
        <v>267</v>
      </c>
      <c r="L853" s="881" t="s">
        <v>1826</v>
      </c>
      <c r="M853" s="881" t="s">
        <v>148</v>
      </c>
      <c r="N853" s="883">
        <v>340000</v>
      </c>
      <c r="O853" s="55">
        <v>719</v>
      </c>
      <c r="P853" s="78">
        <v>340000</v>
      </c>
    </row>
    <row r="854" spans="1:16" ht="12.75" customHeight="1" thickBot="1">
      <c r="A854" s="882"/>
      <c r="B854" s="876"/>
      <c r="C854" s="882"/>
      <c r="D854" s="882"/>
      <c r="E854" s="882"/>
      <c r="F854" s="884"/>
      <c r="G854" s="56">
        <v>721</v>
      </c>
      <c r="H854" s="79">
        <f>+F853-H853</f>
        <v>0</v>
      </c>
      <c r="I854" s="929"/>
      <c r="J854" s="876"/>
      <c r="K854" s="878"/>
      <c r="L854" s="882"/>
      <c r="M854" s="882"/>
      <c r="N854" s="884"/>
      <c r="O854" s="56">
        <v>721</v>
      </c>
      <c r="P854" s="79">
        <f>+N853-P853</f>
        <v>0</v>
      </c>
    </row>
    <row r="855" spans="1:16" ht="13.5" customHeight="1">
      <c r="A855" s="881" t="e">
        <f>+A853+1</f>
        <v>#REF!</v>
      </c>
      <c r="B855" s="875">
        <v>42317</v>
      </c>
      <c r="C855" s="877" t="s">
        <v>32</v>
      </c>
      <c r="D855" s="881" t="s">
        <v>451</v>
      </c>
      <c r="E855" s="881" t="s">
        <v>115</v>
      </c>
      <c r="F855" s="883">
        <v>30000</v>
      </c>
      <c r="G855" s="55">
        <v>719</v>
      </c>
      <c r="H855" s="78">
        <v>30000</v>
      </c>
      <c r="I855" s="928">
        <f>+I853+1</f>
        <v>13</v>
      </c>
      <c r="J855" s="875">
        <v>43669</v>
      </c>
      <c r="K855" s="877" t="s">
        <v>267</v>
      </c>
      <c r="L855" s="881" t="s">
        <v>1824</v>
      </c>
      <c r="M855" s="881" t="s">
        <v>115</v>
      </c>
      <c r="N855" s="883">
        <v>108000</v>
      </c>
      <c r="O855" s="55">
        <v>719</v>
      </c>
      <c r="P855" s="78">
        <v>80000</v>
      </c>
    </row>
    <row r="856" spans="1:16" ht="13.5" customHeight="1" thickBot="1">
      <c r="A856" s="882"/>
      <c r="B856" s="876"/>
      <c r="C856" s="878"/>
      <c r="D856" s="882"/>
      <c r="E856" s="882"/>
      <c r="F856" s="884"/>
      <c r="G856" s="56">
        <v>721</v>
      </c>
      <c r="H856" s="79">
        <f>+F855-H855</f>
        <v>0</v>
      </c>
      <c r="I856" s="929"/>
      <c r="J856" s="876"/>
      <c r="K856" s="878"/>
      <c r="L856" s="882"/>
      <c r="M856" s="882"/>
      <c r="N856" s="884"/>
      <c r="O856" s="56">
        <v>721</v>
      </c>
      <c r="P856" s="79">
        <f>+N855-P855</f>
        <v>28000</v>
      </c>
    </row>
    <row r="857" spans="1:16" ht="13.5" customHeight="1">
      <c r="A857" s="251"/>
      <c r="B857" s="252"/>
      <c r="C857" s="253"/>
      <c r="D857" s="251"/>
      <c r="E857" s="251"/>
      <c r="F857" s="254"/>
      <c r="G857" s="255"/>
      <c r="H857" s="256"/>
      <c r="I857" s="928">
        <f>+I855+1</f>
        <v>14</v>
      </c>
      <c r="J857" s="875">
        <v>43669</v>
      </c>
      <c r="K857" s="877" t="s">
        <v>815</v>
      </c>
      <c r="L857" s="881" t="s">
        <v>1828</v>
      </c>
      <c r="M857" s="881" t="s">
        <v>148</v>
      </c>
      <c r="N857" s="883">
        <v>459000</v>
      </c>
      <c r="O857" s="55">
        <v>719</v>
      </c>
      <c r="P857" s="78">
        <f>+N857-P858</f>
        <v>340000</v>
      </c>
    </row>
    <row r="858" spans="1:16" ht="13.5" customHeight="1" thickBot="1">
      <c r="A858" s="251"/>
      <c r="B858" s="252"/>
      <c r="C858" s="253"/>
      <c r="D858" s="251"/>
      <c r="E858" s="251"/>
      <c r="F858" s="254"/>
      <c r="G858" s="255"/>
      <c r="H858" s="256"/>
      <c r="I858" s="929"/>
      <c r="J858" s="876"/>
      <c r="K858" s="878"/>
      <c r="L858" s="882"/>
      <c r="M858" s="882"/>
      <c r="N858" s="884"/>
      <c r="O858" s="56">
        <v>721</v>
      </c>
      <c r="P858" s="79">
        <v>119000</v>
      </c>
    </row>
    <row r="859" spans="1:16" ht="13.5" customHeight="1">
      <c r="A859" s="881" t="e">
        <f>+A855+1</f>
        <v>#REF!</v>
      </c>
      <c r="B859" s="875">
        <v>42317</v>
      </c>
      <c r="C859" s="881" t="s">
        <v>28</v>
      </c>
      <c r="D859" s="881" t="s">
        <v>452</v>
      </c>
      <c r="E859" s="881" t="s">
        <v>115</v>
      </c>
      <c r="F859" s="883">
        <v>30000</v>
      </c>
      <c r="G859" s="55">
        <v>719</v>
      </c>
      <c r="H859" s="78">
        <v>30000</v>
      </c>
      <c r="I859" s="928">
        <f>+I857+1</f>
        <v>15</v>
      </c>
      <c r="J859" s="875">
        <v>43669</v>
      </c>
      <c r="K859" s="877" t="s">
        <v>1315</v>
      </c>
      <c r="L859" s="881" t="s">
        <v>1829</v>
      </c>
      <c r="M859" s="881" t="s">
        <v>148</v>
      </c>
      <c r="N859" s="883">
        <v>1787750</v>
      </c>
      <c r="O859" s="55">
        <v>723</v>
      </c>
      <c r="P859" s="78">
        <v>1787750</v>
      </c>
    </row>
    <row r="860" spans="1:16" ht="14.25" customHeight="1" thickBot="1">
      <c r="A860" s="882"/>
      <c r="B860" s="876"/>
      <c r="C860" s="882"/>
      <c r="D860" s="882"/>
      <c r="E860" s="882"/>
      <c r="F860" s="884"/>
      <c r="G860" s="56">
        <v>721</v>
      </c>
      <c r="H860" s="79">
        <f>+F859-H859</f>
        <v>0</v>
      </c>
      <c r="I860" s="929"/>
      <c r="J860" s="876"/>
      <c r="K860" s="878"/>
      <c r="L860" s="882"/>
      <c r="M860" s="882"/>
      <c r="N860" s="884"/>
      <c r="O860" s="56">
        <v>721</v>
      </c>
      <c r="P860" s="79">
        <f>+N859-P859</f>
        <v>0</v>
      </c>
    </row>
    <row r="861" spans="1:16" ht="15" customHeight="1" thickBot="1">
      <c r="A861" s="881" t="e">
        <f>+A859+1</f>
        <v>#REF!</v>
      </c>
      <c r="B861" s="875">
        <v>42317</v>
      </c>
      <c r="C861" s="877" t="s">
        <v>272</v>
      </c>
      <c r="D861" s="881" t="s">
        <v>453</v>
      </c>
      <c r="E861" s="881" t="s">
        <v>115</v>
      </c>
      <c r="F861" s="883">
        <v>50000</v>
      </c>
      <c r="G861" s="55">
        <v>719</v>
      </c>
      <c r="H861" s="78">
        <v>50000</v>
      </c>
      <c r="I861" s="901" t="s">
        <v>102</v>
      </c>
      <c r="J861" s="902"/>
      <c r="K861" s="902"/>
      <c r="L861" s="902"/>
      <c r="M861" s="903"/>
      <c r="N861" s="81">
        <f>SUM(N849:N860)</f>
        <v>3794750</v>
      </c>
    </row>
    <row r="862" spans="1:16" ht="15.75" customHeight="1" thickBot="1">
      <c r="A862" s="882"/>
      <c r="B862" s="876"/>
      <c r="C862" s="878"/>
      <c r="D862" s="882"/>
      <c r="E862" s="882"/>
      <c r="F862" s="884"/>
      <c r="G862" s="56">
        <v>721</v>
      </c>
      <c r="H862" s="79">
        <f>+F861-H861</f>
        <v>0</v>
      </c>
      <c r="I862" s="885" t="s">
        <v>103</v>
      </c>
      <c r="J862" s="886"/>
      <c r="K862" s="886"/>
      <c r="L862" s="886"/>
      <c r="M862" s="887"/>
      <c r="N862" s="239">
        <f>+N824</f>
        <v>330692978</v>
      </c>
      <c r="O862" s="241" t="s">
        <v>561</v>
      </c>
      <c r="P862" s="242">
        <f>99+240+722+586+170</f>
        <v>1817</v>
      </c>
    </row>
    <row r="863" spans="1:16" ht="16.5" thickBot="1">
      <c r="A863" s="901" t="s">
        <v>102</v>
      </c>
      <c r="B863" s="902"/>
      <c r="C863" s="902"/>
      <c r="D863" s="902"/>
      <c r="E863" s="903"/>
      <c r="F863" s="81">
        <f>SUM(F851:F862)</f>
        <v>340000</v>
      </c>
      <c r="I863" s="888" t="s">
        <v>104</v>
      </c>
      <c r="J863" s="889"/>
      <c r="K863" s="889"/>
      <c r="L863" s="889"/>
      <c r="M863" s="890"/>
      <c r="N863" s="183">
        <f>SUM(N861:N862)</f>
        <v>334487728</v>
      </c>
    </row>
    <row r="864" spans="1:16" ht="9.75" customHeight="1" thickBot="1">
      <c r="A864" s="885" t="s">
        <v>103</v>
      </c>
      <c r="B864" s="886"/>
      <c r="C864" s="886"/>
      <c r="D864" s="886"/>
      <c r="E864" s="887"/>
      <c r="F864" s="69">
        <f>+F826</f>
        <v>651764930</v>
      </c>
      <c r="I864" s="61"/>
      <c r="J864" s="61"/>
      <c r="K864" s="61"/>
      <c r="L864" s="61"/>
      <c r="M864" s="61"/>
    </row>
    <row r="865" spans="1:16" ht="16.5" thickBot="1">
      <c r="A865" s="888" t="s">
        <v>104</v>
      </c>
      <c r="B865" s="889"/>
      <c r="C865" s="889"/>
      <c r="D865" s="889"/>
      <c r="E865" s="890"/>
      <c r="F865" s="183">
        <f>SUM(F863:F864)</f>
        <v>652104930</v>
      </c>
      <c r="I865" s="51" t="s">
        <v>1502</v>
      </c>
    </row>
    <row r="866" spans="1:16" ht="8.25" customHeight="1">
      <c r="A866" s="61"/>
      <c r="B866" s="61"/>
      <c r="C866" s="61"/>
      <c r="D866" s="61"/>
      <c r="E866" s="61"/>
      <c r="N866" s="139"/>
    </row>
    <row r="867" spans="1:16">
      <c r="A867" s="51" t="s">
        <v>454</v>
      </c>
      <c r="I867" s="50" t="s">
        <v>105</v>
      </c>
      <c r="L867" s="146"/>
      <c r="N867" s="139"/>
    </row>
    <row r="868" spans="1:16" ht="11.25" customHeight="1" thickBot="1">
      <c r="F868" s="139"/>
    </row>
    <row r="869" spans="1:16" ht="17.25" thickBot="1">
      <c r="A869" s="50" t="s">
        <v>105</v>
      </c>
      <c r="D869" s="146"/>
      <c r="F869" s="139"/>
      <c r="I869" s="891" t="s">
        <v>106</v>
      </c>
      <c r="J869" s="892"/>
      <c r="K869" s="892"/>
      <c r="L869" s="893"/>
      <c r="N869" s="605" t="s">
        <v>288</v>
      </c>
      <c r="O869" s="605"/>
      <c r="P869" s="605"/>
    </row>
    <row r="870" spans="1:16" ht="30.75" thickBot="1">
      <c r="I870" s="57" t="s">
        <v>100</v>
      </c>
      <c r="J870" s="58" t="s">
        <v>108</v>
      </c>
      <c r="K870" s="59" t="s">
        <v>109</v>
      </c>
      <c r="L870" s="60" t="s">
        <v>110</v>
      </c>
      <c r="N870" s="202"/>
      <c r="O870" s="202"/>
      <c r="P870" s="202"/>
    </row>
    <row r="871" spans="1:16" ht="15.75" customHeight="1" thickBot="1">
      <c r="A871" s="891" t="s">
        <v>106</v>
      </c>
      <c r="B871" s="892"/>
      <c r="C871" s="892"/>
      <c r="D871" s="893"/>
      <c r="F871" s="50" t="s">
        <v>288</v>
      </c>
      <c r="I871" s="71">
        <v>719</v>
      </c>
      <c r="J871" s="73">
        <f>+P849+P851+P853+P855+P857</f>
        <v>1860000</v>
      </c>
      <c r="K871" s="74">
        <f>+L832</f>
        <v>12810000</v>
      </c>
      <c r="L871" s="195">
        <f>+J871+K871</f>
        <v>14670000</v>
      </c>
      <c r="N871" s="918"/>
      <c r="O871" s="918"/>
      <c r="P871" s="918"/>
    </row>
    <row r="872" spans="1:16" ht="12.75" customHeight="1" thickBot="1">
      <c r="A872" s="57" t="s">
        <v>100</v>
      </c>
      <c r="B872" s="58" t="s">
        <v>108</v>
      </c>
      <c r="C872" s="59" t="s">
        <v>109</v>
      </c>
      <c r="D872" s="60" t="s">
        <v>110</v>
      </c>
      <c r="I872" s="72">
        <v>721</v>
      </c>
      <c r="J872" s="257">
        <f>+P856+P858</f>
        <v>147000</v>
      </c>
      <c r="K872" s="74">
        <f>+L833</f>
        <v>11739000</v>
      </c>
      <c r="L872" s="195">
        <f>+J872+K872</f>
        <v>11886000</v>
      </c>
      <c r="N872" s="918"/>
      <c r="O872" s="918"/>
      <c r="P872" s="918"/>
    </row>
    <row r="873" spans="1:16" ht="14.25" customHeight="1">
      <c r="A873" s="71">
        <v>719</v>
      </c>
      <c r="B873" s="73">
        <f>+H851+H853+H855+H859+H861</f>
        <v>340000</v>
      </c>
      <c r="C873" s="74" t="e">
        <f>+D834</f>
        <v>#REF!</v>
      </c>
      <c r="D873" s="195" t="e">
        <f>+B873+C873</f>
        <v>#REF!</v>
      </c>
      <c r="I873" s="72">
        <v>722</v>
      </c>
      <c r="J873" s="257"/>
      <c r="K873" s="74">
        <f>+L834</f>
        <v>0</v>
      </c>
      <c r="L873" s="195">
        <f>+J873+K873</f>
        <v>0</v>
      </c>
      <c r="N873" s="918" t="s">
        <v>1696</v>
      </c>
      <c r="O873" s="918"/>
      <c r="P873" s="918"/>
    </row>
    <row r="874" spans="1:16" ht="13.5" customHeight="1" thickBot="1">
      <c r="A874" s="72">
        <v>721</v>
      </c>
      <c r="B874" s="80">
        <f>+H852</f>
        <v>0</v>
      </c>
      <c r="C874" s="74" t="e">
        <f>+D835</f>
        <v>#REF!</v>
      </c>
      <c r="D874" s="195" t="e">
        <f>+B874+C874</f>
        <v>#REF!</v>
      </c>
      <c r="I874" s="72">
        <v>723</v>
      </c>
      <c r="J874" s="257">
        <f>+P859</f>
        <v>1787750</v>
      </c>
      <c r="K874" s="74">
        <f>+L835</f>
        <v>306143978</v>
      </c>
      <c r="L874" s="195">
        <f>+J874+K874</f>
        <v>307931728</v>
      </c>
      <c r="N874" s="930"/>
      <c r="O874" s="930"/>
      <c r="P874" s="930"/>
    </row>
    <row r="875" spans="1:16" ht="15" hidden="1" customHeight="1">
      <c r="A875" s="72">
        <v>722</v>
      </c>
      <c r="B875" s="80"/>
      <c r="C875" s="74">
        <f>+D836</f>
        <v>231207671</v>
      </c>
      <c r="D875" s="195">
        <f>+B875+C875</f>
        <v>231207671</v>
      </c>
      <c r="I875" s="164" t="s">
        <v>181</v>
      </c>
      <c r="J875" s="165"/>
      <c r="K875" s="74">
        <f>+L836</f>
        <v>0</v>
      </c>
      <c r="L875" s="196">
        <f>+J875+K875</f>
        <v>0</v>
      </c>
      <c r="N875" s="52"/>
    </row>
    <row r="876" spans="1:16" ht="16.5" thickBot="1">
      <c r="A876" s="72">
        <v>723</v>
      </c>
      <c r="B876" s="80">
        <f>+H854</f>
        <v>0</v>
      </c>
      <c r="C876" s="74" t="e">
        <f>+D837</f>
        <v>#REF!</v>
      </c>
      <c r="D876" s="195" t="e">
        <f>+B876+C876</f>
        <v>#REF!</v>
      </c>
      <c r="F876" s="174" t="s">
        <v>23</v>
      </c>
      <c r="G876" s="175"/>
      <c r="I876" s="169"/>
      <c r="J876" s="197">
        <f>SUM(J871:J875)</f>
        <v>3794750</v>
      </c>
      <c r="K876" s="197">
        <f>SUM(K871:K875)</f>
        <v>330692978</v>
      </c>
      <c r="L876" s="198">
        <f>SUM(L871:L875)</f>
        <v>334487728</v>
      </c>
    </row>
    <row r="877" spans="1:16" ht="17.25" thickBot="1">
      <c r="A877" s="164" t="s">
        <v>181</v>
      </c>
      <c r="B877" s="165"/>
      <c r="C877" s="74" t="e">
        <f>+D838</f>
        <v>#REF!</v>
      </c>
      <c r="D877" s="196" t="e">
        <f>+B877+C877</f>
        <v>#REF!</v>
      </c>
      <c r="F877" s="52"/>
      <c r="I877" s="49" t="s">
        <v>88</v>
      </c>
      <c r="J877" s="50"/>
    </row>
    <row r="878" spans="1:16" ht="14.25" customHeight="1" thickBot="1">
      <c r="A878" s="169"/>
      <c r="B878" s="170">
        <f>SUM(B873:B877)</f>
        <v>340000</v>
      </c>
      <c r="C878" s="171" t="e">
        <f>SUM(C873:C877)</f>
        <v>#REF!</v>
      </c>
      <c r="D878" s="172" t="e">
        <f>SUM(D873:D877)</f>
        <v>#REF!</v>
      </c>
      <c r="I878" s="51" t="s">
        <v>89</v>
      </c>
    </row>
    <row r="879" spans="1:16" ht="14.25" customHeight="1">
      <c r="A879" s="49" t="s">
        <v>88</v>
      </c>
      <c r="B879" s="50"/>
      <c r="I879" s="51" t="s">
        <v>90</v>
      </c>
    </row>
    <row r="880" spans="1:16">
      <c r="A880" s="51" t="s">
        <v>89</v>
      </c>
      <c r="I880" s="51" t="s">
        <v>91</v>
      </c>
    </row>
    <row r="881" spans="1:16" ht="6" customHeight="1">
      <c r="A881" s="51" t="s">
        <v>90</v>
      </c>
      <c r="I881" s="50"/>
      <c r="J881" s="50"/>
    </row>
    <row r="882" spans="1:16" ht="16.5">
      <c r="A882" s="51" t="s">
        <v>91</v>
      </c>
      <c r="I882" s="260" t="s">
        <v>795</v>
      </c>
      <c r="O882" s="52"/>
    </row>
    <row r="883" spans="1:16" ht="15" customHeight="1">
      <c r="A883" s="50"/>
      <c r="B883" s="50"/>
      <c r="I883" s="261" t="s">
        <v>1702</v>
      </c>
      <c r="O883" s="53"/>
    </row>
    <row r="884" spans="1:16" ht="15" customHeight="1">
      <c r="A884" s="52" t="s">
        <v>455</v>
      </c>
      <c r="G884" s="52"/>
      <c r="I884" s="894" t="s">
        <v>1278</v>
      </c>
      <c r="J884" s="894"/>
      <c r="K884" s="894"/>
      <c r="L884" s="894"/>
      <c r="M884" s="894"/>
      <c r="N884" s="894"/>
      <c r="O884" s="894"/>
      <c r="P884" s="894"/>
    </row>
    <row r="885" spans="1:16" ht="14.25" customHeight="1" thickBot="1">
      <c r="A885" s="53" t="s">
        <v>92</v>
      </c>
      <c r="G885" s="53"/>
    </row>
    <row r="886" spans="1:16" ht="16.5">
      <c r="A886" s="894" t="s">
        <v>93</v>
      </c>
      <c r="B886" s="894"/>
      <c r="C886" s="894"/>
      <c r="D886" s="894"/>
      <c r="E886" s="894"/>
      <c r="F886" s="894"/>
      <c r="G886" s="894"/>
      <c r="H886" s="894"/>
      <c r="I886" s="895" t="s">
        <v>94</v>
      </c>
      <c r="J886" s="897" t="s">
        <v>95</v>
      </c>
      <c r="K886" s="897" t="s">
        <v>96</v>
      </c>
      <c r="L886" s="897" t="s">
        <v>3</v>
      </c>
      <c r="M886" s="897" t="s">
        <v>97</v>
      </c>
      <c r="N886" s="897" t="s">
        <v>98</v>
      </c>
      <c r="O886" s="897" t="s">
        <v>99</v>
      </c>
      <c r="P886" s="899"/>
    </row>
    <row r="887" spans="1:16" ht="15.75" thickBot="1">
      <c r="I887" s="896"/>
      <c r="J887" s="898"/>
      <c r="K887" s="898"/>
      <c r="L887" s="898"/>
      <c r="M887" s="898"/>
      <c r="N887" s="898"/>
      <c r="O887" s="240" t="s">
        <v>100</v>
      </c>
      <c r="P887" s="182" t="s">
        <v>101</v>
      </c>
    </row>
    <row r="888" spans="1:16" ht="15" customHeight="1">
      <c r="A888" s="895" t="s">
        <v>94</v>
      </c>
      <c r="B888" s="897" t="s">
        <v>95</v>
      </c>
      <c r="C888" s="897" t="s">
        <v>96</v>
      </c>
      <c r="D888" s="897" t="s">
        <v>3</v>
      </c>
      <c r="E888" s="897" t="s">
        <v>97</v>
      </c>
      <c r="F888" s="897" t="s">
        <v>98</v>
      </c>
      <c r="G888" s="897" t="s">
        <v>99</v>
      </c>
      <c r="H888" s="899"/>
      <c r="I888" s="928">
        <f>+I859+1</f>
        <v>16</v>
      </c>
      <c r="J888" s="875">
        <v>43711</v>
      </c>
      <c r="K888" s="877" t="s">
        <v>1315</v>
      </c>
      <c r="L888" s="881" t="s">
        <v>1830</v>
      </c>
      <c r="M888" s="881" t="s">
        <v>148</v>
      </c>
      <c r="N888" s="883">
        <v>1884800</v>
      </c>
      <c r="O888" s="55">
        <v>719</v>
      </c>
      <c r="P888" s="78"/>
    </row>
    <row r="889" spans="1:16" ht="15.75" customHeight="1" thickBot="1">
      <c r="A889" s="896"/>
      <c r="B889" s="898"/>
      <c r="C889" s="898"/>
      <c r="D889" s="898"/>
      <c r="E889" s="898"/>
      <c r="F889" s="898"/>
      <c r="G889" s="240" t="s">
        <v>100</v>
      </c>
      <c r="H889" s="182" t="s">
        <v>101</v>
      </c>
      <c r="I889" s="929"/>
      <c r="J889" s="876"/>
      <c r="K889" s="878"/>
      <c r="L889" s="882"/>
      <c r="M889" s="882"/>
      <c r="N889" s="884"/>
      <c r="O889" s="56">
        <v>723</v>
      </c>
      <c r="P889" s="79">
        <f>+N888-P888</f>
        <v>1884800</v>
      </c>
    </row>
    <row r="890" spans="1:16" ht="15" customHeight="1">
      <c r="A890" s="881" t="e">
        <f>+A861+1</f>
        <v>#REF!</v>
      </c>
      <c r="B890" s="875">
        <v>42320</v>
      </c>
      <c r="C890" s="877" t="s">
        <v>272</v>
      </c>
      <c r="D890" s="881" t="s">
        <v>456</v>
      </c>
      <c r="E890" s="881" t="s">
        <v>115</v>
      </c>
      <c r="F890" s="883">
        <v>60000</v>
      </c>
      <c r="G890" s="55">
        <v>719</v>
      </c>
      <c r="H890" s="78">
        <v>60000</v>
      </c>
      <c r="I890" s="928">
        <f>+I888+1</f>
        <v>17</v>
      </c>
      <c r="J890" s="875">
        <v>43005</v>
      </c>
      <c r="K890" s="877" t="s">
        <v>350</v>
      </c>
      <c r="L890" s="881" t="s">
        <v>1832</v>
      </c>
      <c r="M890" s="881" t="s">
        <v>115</v>
      </c>
      <c r="N890" s="883">
        <v>783000</v>
      </c>
      <c r="O890" s="55">
        <v>719</v>
      </c>
      <c r="P890" s="78">
        <v>580000</v>
      </c>
    </row>
    <row r="891" spans="1:16" ht="15.75" customHeight="1" thickBot="1">
      <c r="A891" s="882"/>
      <c r="B891" s="876"/>
      <c r="C891" s="878"/>
      <c r="D891" s="882"/>
      <c r="E891" s="882"/>
      <c r="F891" s="884"/>
      <c r="G891" s="56">
        <v>721</v>
      </c>
      <c r="H891" s="79">
        <f>+F890-H890</f>
        <v>0</v>
      </c>
      <c r="I891" s="929"/>
      <c r="J891" s="876"/>
      <c r="K891" s="878"/>
      <c r="L891" s="882"/>
      <c r="M891" s="882"/>
      <c r="N891" s="884"/>
      <c r="O891" s="56">
        <v>721</v>
      </c>
      <c r="P891" s="79">
        <f>+N890-P890</f>
        <v>203000</v>
      </c>
    </row>
    <row r="892" spans="1:16" ht="15" customHeight="1">
      <c r="A892" s="881" t="e">
        <f>+A890+1</f>
        <v>#REF!</v>
      </c>
      <c r="B892" s="875">
        <v>42320</v>
      </c>
      <c r="C892" s="881" t="s">
        <v>28</v>
      </c>
      <c r="D892" s="881" t="s">
        <v>456</v>
      </c>
      <c r="E892" s="881" t="s">
        <v>115</v>
      </c>
      <c r="F892" s="883">
        <v>30000</v>
      </c>
      <c r="G892" s="55">
        <v>719</v>
      </c>
      <c r="H892" s="78">
        <v>30000</v>
      </c>
      <c r="I892" s="928">
        <f>+I890+1</f>
        <v>18</v>
      </c>
      <c r="J892" s="875">
        <v>43005</v>
      </c>
      <c r="K892" s="877" t="s">
        <v>267</v>
      </c>
      <c r="L892" s="881" t="s">
        <v>1831</v>
      </c>
      <c r="M892" s="881" t="s">
        <v>115</v>
      </c>
      <c r="N892" s="883">
        <v>54000</v>
      </c>
      <c r="O892" s="55">
        <v>719</v>
      </c>
      <c r="P892" s="78">
        <v>40000</v>
      </c>
    </row>
    <row r="893" spans="1:16" ht="15.75" customHeight="1" thickBot="1">
      <c r="A893" s="882"/>
      <c r="B893" s="876"/>
      <c r="C893" s="882"/>
      <c r="D893" s="882"/>
      <c r="E893" s="882"/>
      <c r="F893" s="884"/>
      <c r="G893" s="56">
        <v>721</v>
      </c>
      <c r="H893" s="79">
        <f>+F892-H892</f>
        <v>0</v>
      </c>
      <c r="I893" s="929"/>
      <c r="J893" s="876"/>
      <c r="K893" s="878"/>
      <c r="L893" s="882"/>
      <c r="M893" s="882"/>
      <c r="N893" s="884"/>
      <c r="O893" s="56">
        <v>721</v>
      </c>
      <c r="P893" s="79">
        <f>+N892-P892</f>
        <v>14000</v>
      </c>
    </row>
    <row r="894" spans="1:16" ht="15" customHeight="1">
      <c r="A894" s="881" t="e">
        <f>+A892+1</f>
        <v>#REF!</v>
      </c>
      <c r="B894" s="875">
        <v>42320</v>
      </c>
      <c r="C894" s="877" t="s">
        <v>32</v>
      </c>
      <c r="D894" s="881" t="s">
        <v>457</v>
      </c>
      <c r="E894" s="881" t="s">
        <v>115</v>
      </c>
      <c r="F894" s="883">
        <v>20000</v>
      </c>
      <c r="G894" s="55">
        <v>719</v>
      </c>
      <c r="H894" s="78">
        <v>20000</v>
      </c>
      <c r="I894" s="928"/>
      <c r="J894" s="875"/>
      <c r="K894" s="877"/>
      <c r="L894" s="881"/>
      <c r="M894" s="881"/>
      <c r="N894" s="883"/>
      <c r="O894" s="55">
        <v>719</v>
      </c>
      <c r="P894" s="78"/>
    </row>
    <row r="895" spans="1:16" ht="13.5" customHeight="1" thickBot="1">
      <c r="A895" s="882"/>
      <c r="B895" s="876"/>
      <c r="C895" s="878"/>
      <c r="D895" s="882"/>
      <c r="E895" s="882"/>
      <c r="F895" s="884"/>
      <c r="G895" s="56">
        <v>721</v>
      </c>
      <c r="H895" s="79">
        <f>+F894-H894</f>
        <v>0</v>
      </c>
      <c r="I895" s="929"/>
      <c r="J895" s="876"/>
      <c r="K895" s="878"/>
      <c r="L895" s="882"/>
      <c r="M895" s="882"/>
      <c r="N895" s="884"/>
      <c r="O895" s="56">
        <v>721</v>
      </c>
      <c r="P895" s="79">
        <f>+N894-P894</f>
        <v>0</v>
      </c>
    </row>
    <row r="896" spans="1:16" ht="12" customHeight="1">
      <c r="A896" s="881"/>
      <c r="B896" s="875"/>
      <c r="C896" s="881"/>
      <c r="D896" s="881"/>
      <c r="E896" s="881"/>
      <c r="F896" s="883"/>
      <c r="G896" s="55">
        <v>719</v>
      </c>
      <c r="H896" s="78"/>
      <c r="I896" s="928"/>
      <c r="J896" s="875"/>
      <c r="K896" s="877"/>
      <c r="L896" s="881"/>
      <c r="M896" s="881"/>
      <c r="N896" s="883"/>
      <c r="O896" s="55">
        <v>719</v>
      </c>
      <c r="P896" s="78"/>
    </row>
    <row r="897" spans="1:16" ht="12" customHeight="1" thickBot="1">
      <c r="A897" s="882"/>
      <c r="B897" s="876"/>
      <c r="C897" s="882"/>
      <c r="D897" s="882"/>
      <c r="E897" s="882"/>
      <c r="F897" s="884"/>
      <c r="G897" s="56">
        <v>721</v>
      </c>
      <c r="H897" s="79">
        <f>+F896-H896</f>
        <v>0</v>
      </c>
      <c r="I897" s="929"/>
      <c r="J897" s="876"/>
      <c r="K897" s="878"/>
      <c r="L897" s="882"/>
      <c r="M897" s="882"/>
      <c r="N897" s="884"/>
      <c r="O897" s="56">
        <v>721</v>
      </c>
      <c r="P897" s="79">
        <f>+N896-P896</f>
        <v>0</v>
      </c>
    </row>
    <row r="898" spans="1:16" ht="16.5" thickBot="1">
      <c r="A898" s="881"/>
      <c r="B898" s="875"/>
      <c r="C898" s="877"/>
      <c r="D898" s="881"/>
      <c r="E898" s="881"/>
      <c r="F898" s="883"/>
      <c r="G898" s="55">
        <v>719</v>
      </c>
      <c r="H898" s="78"/>
      <c r="I898" s="901" t="s">
        <v>102</v>
      </c>
      <c r="J898" s="902"/>
      <c r="K898" s="902"/>
      <c r="L898" s="902"/>
      <c r="M898" s="903"/>
      <c r="N898" s="81">
        <f>SUM(N888:N897)</f>
        <v>2721800</v>
      </c>
    </row>
    <row r="899" spans="1:16" ht="16.5" thickBot="1">
      <c r="A899" s="882"/>
      <c r="B899" s="876"/>
      <c r="C899" s="878"/>
      <c r="D899" s="882"/>
      <c r="E899" s="882"/>
      <c r="F899" s="884"/>
      <c r="G899" s="56">
        <v>721</v>
      </c>
      <c r="H899" s="79">
        <f>+F898-H898</f>
        <v>0</v>
      </c>
      <c r="I899" s="885" t="s">
        <v>103</v>
      </c>
      <c r="J899" s="886"/>
      <c r="K899" s="886"/>
      <c r="L899" s="886"/>
      <c r="M899" s="887"/>
      <c r="N899" s="239">
        <f>+N863</f>
        <v>334487728</v>
      </c>
      <c r="O899" s="241" t="s">
        <v>561</v>
      </c>
      <c r="P899" s="242">
        <f>1327+136</f>
        <v>1463</v>
      </c>
    </row>
    <row r="900" spans="1:16" ht="15" customHeight="1" thickBot="1">
      <c r="A900" s="901" t="s">
        <v>102</v>
      </c>
      <c r="B900" s="902"/>
      <c r="C900" s="902"/>
      <c r="D900" s="902"/>
      <c r="E900" s="903"/>
      <c r="F900" s="81">
        <f>SUM(F890:F899)</f>
        <v>110000</v>
      </c>
      <c r="I900" s="888" t="s">
        <v>104</v>
      </c>
      <c r="J900" s="889"/>
      <c r="K900" s="889"/>
      <c r="L900" s="889"/>
      <c r="M900" s="890"/>
      <c r="N900" s="183">
        <f>SUM(N898:N899)</f>
        <v>337209528</v>
      </c>
    </row>
    <row r="901" spans="1:16" ht="13.5" customHeight="1" thickBot="1">
      <c r="A901" s="885" t="s">
        <v>103</v>
      </c>
      <c r="B901" s="886"/>
      <c r="C901" s="886"/>
      <c r="D901" s="886"/>
      <c r="E901" s="887"/>
      <c r="F901" s="69">
        <f>+F865</f>
        <v>652104930</v>
      </c>
      <c r="I901" s="61"/>
      <c r="J901" s="61"/>
      <c r="K901" s="61"/>
      <c r="L901" s="61"/>
      <c r="M901" s="61"/>
    </row>
    <row r="902" spans="1:16" ht="16.5" thickBot="1">
      <c r="A902" s="888" t="s">
        <v>104</v>
      </c>
      <c r="B902" s="889"/>
      <c r="C902" s="889"/>
      <c r="D902" s="889"/>
      <c r="E902" s="890"/>
      <c r="F902" s="183">
        <f>SUM(F900:F901)</f>
        <v>652214930</v>
      </c>
      <c r="I902" s="51" t="s">
        <v>1833</v>
      </c>
    </row>
    <row r="903" spans="1:16" ht="6.75" customHeight="1">
      <c r="A903" s="61"/>
      <c r="B903" s="61"/>
      <c r="C903" s="61"/>
      <c r="D903" s="61"/>
      <c r="E903" s="61"/>
      <c r="N903" s="139"/>
    </row>
    <row r="904" spans="1:16">
      <c r="A904" s="51" t="s">
        <v>458</v>
      </c>
      <c r="I904" s="50" t="s">
        <v>105</v>
      </c>
      <c r="L904" s="146"/>
      <c r="N904" s="139"/>
    </row>
    <row r="905" spans="1:16" ht="8.25" customHeight="1" thickBot="1">
      <c r="F905" s="139"/>
    </row>
    <row r="906" spans="1:16" ht="15.75" thickBot="1">
      <c r="A906" s="50" t="s">
        <v>105</v>
      </c>
      <c r="D906" s="146"/>
      <c r="F906" s="139"/>
      <c r="I906" s="891" t="s">
        <v>106</v>
      </c>
      <c r="J906" s="892"/>
      <c r="K906" s="892"/>
      <c r="L906" s="893"/>
      <c r="N906" s="925" t="s">
        <v>288</v>
      </c>
      <c r="O906" s="925"/>
      <c r="P906" s="925"/>
    </row>
    <row r="907" spans="1:16" ht="28.5" customHeight="1" thickBot="1">
      <c r="I907" s="57" t="s">
        <v>100</v>
      </c>
      <c r="J907" s="58" t="s">
        <v>108</v>
      </c>
      <c r="K907" s="59" t="s">
        <v>109</v>
      </c>
      <c r="L907" s="60" t="s">
        <v>110</v>
      </c>
    </row>
    <row r="908" spans="1:16" ht="14.25" customHeight="1" thickBot="1">
      <c r="A908" s="891" t="s">
        <v>106</v>
      </c>
      <c r="B908" s="892"/>
      <c r="C908" s="892"/>
      <c r="D908" s="893"/>
      <c r="F908" s="50" t="s">
        <v>288</v>
      </c>
      <c r="I908" s="71">
        <v>719</v>
      </c>
      <c r="J908" s="73">
        <f>+P888+P890+P892+P894+P896</f>
        <v>620000</v>
      </c>
      <c r="K908" s="74">
        <f>+L871</f>
        <v>14670000</v>
      </c>
      <c r="L908" s="195">
        <f>+J908+K908</f>
        <v>15290000</v>
      </c>
    </row>
    <row r="909" spans="1:16" ht="16.5" customHeight="1" thickBot="1">
      <c r="A909" s="57" t="s">
        <v>100</v>
      </c>
      <c r="B909" s="58" t="s">
        <v>108</v>
      </c>
      <c r="C909" s="59" t="s">
        <v>109</v>
      </c>
      <c r="D909" s="60" t="s">
        <v>110</v>
      </c>
      <c r="I909" s="72">
        <v>721</v>
      </c>
      <c r="J909" s="257">
        <f>+P891+P893</f>
        <v>217000</v>
      </c>
      <c r="K909" s="74">
        <f>+L872</f>
        <v>11886000</v>
      </c>
      <c r="L909" s="195">
        <f>+J909+K909</f>
        <v>12103000</v>
      </c>
    </row>
    <row r="910" spans="1:16" ht="13.5" customHeight="1">
      <c r="A910" s="71">
        <v>719</v>
      </c>
      <c r="B910" s="73">
        <f>+H890+H892+H894+H896+H898</f>
        <v>110000</v>
      </c>
      <c r="C910" s="74" t="e">
        <f>+D873</f>
        <v>#REF!</v>
      </c>
      <c r="D910" s="195" t="e">
        <f>+B910+C910</f>
        <v>#REF!</v>
      </c>
      <c r="I910" s="72">
        <v>722</v>
      </c>
      <c r="J910" s="257"/>
      <c r="K910" s="74">
        <f>+L873</f>
        <v>0</v>
      </c>
      <c r="L910" s="195">
        <f>+J910+K910</f>
        <v>0</v>
      </c>
    </row>
    <row r="911" spans="1:16" ht="15.75">
      <c r="A911" s="72">
        <v>721</v>
      </c>
      <c r="B911" s="80">
        <f>+H891</f>
        <v>0</v>
      </c>
      <c r="C911" s="74" t="e">
        <f>+D874</f>
        <v>#REF!</v>
      </c>
      <c r="D911" s="195" t="e">
        <f>+B911+C911</f>
        <v>#REF!</v>
      </c>
      <c r="I911" s="72">
        <v>723</v>
      </c>
      <c r="J911" s="257">
        <f>+P889</f>
        <v>1884800</v>
      </c>
      <c r="K911" s="74">
        <f>+L874</f>
        <v>307931728</v>
      </c>
      <c r="L911" s="195">
        <f>+J911+K911</f>
        <v>309816528</v>
      </c>
      <c r="N911" s="918" t="s">
        <v>1696</v>
      </c>
      <c r="O911" s="918"/>
      <c r="P911" s="918"/>
    </row>
    <row r="912" spans="1:16" ht="14.25" customHeight="1" thickBot="1">
      <c r="A912" s="72">
        <v>722</v>
      </c>
      <c r="B912" s="80"/>
      <c r="C912" s="74">
        <f>+D875</f>
        <v>231207671</v>
      </c>
      <c r="D912" s="195">
        <f>+B912+C912</f>
        <v>231207671</v>
      </c>
      <c r="I912" s="164" t="s">
        <v>181</v>
      </c>
      <c r="J912" s="165"/>
      <c r="K912" s="74">
        <f>+L875</f>
        <v>0</v>
      </c>
      <c r="L912" s="196">
        <f>+J912+K912</f>
        <v>0</v>
      </c>
      <c r="N912" s="52"/>
    </row>
    <row r="913" spans="1:16" ht="16.5" thickBot="1">
      <c r="A913" s="72">
        <v>723</v>
      </c>
      <c r="B913" s="80">
        <f>+H893</f>
        <v>0</v>
      </c>
      <c r="C913" s="74" t="e">
        <f>+D876</f>
        <v>#REF!</v>
      </c>
      <c r="D913" s="195" t="e">
        <f>+B913+C913</f>
        <v>#REF!</v>
      </c>
      <c r="F913" s="174" t="s">
        <v>23</v>
      </c>
      <c r="G913" s="175"/>
      <c r="I913" s="169"/>
      <c r="J913" s="197">
        <f>SUM(J908:J912)</f>
        <v>2721800</v>
      </c>
      <c r="K913" s="197">
        <f>SUM(K908:K912)</f>
        <v>334487728</v>
      </c>
      <c r="L913" s="198">
        <f>SUM(L908:L912)</f>
        <v>337209528</v>
      </c>
    </row>
    <row r="914" spans="1:16" ht="17.25" thickBot="1">
      <c r="A914" s="164" t="s">
        <v>181</v>
      </c>
      <c r="B914" s="165"/>
      <c r="C914" s="74" t="e">
        <f>+D877</f>
        <v>#REF!</v>
      </c>
      <c r="D914" s="196" t="e">
        <f>+B914+C914</f>
        <v>#REF!</v>
      </c>
      <c r="F914" s="52"/>
      <c r="I914" s="49" t="s">
        <v>88</v>
      </c>
      <c r="J914" s="50"/>
    </row>
    <row r="915" spans="1:16" ht="15" customHeight="1" thickBot="1">
      <c r="A915" s="169"/>
      <c r="B915" s="170">
        <f>SUM(B910:B914)</f>
        <v>110000</v>
      </c>
      <c r="C915" s="171" t="e">
        <f>SUM(C910:C914)</f>
        <v>#REF!</v>
      </c>
      <c r="D915" s="172" t="e">
        <f>SUM(D910:D914)</f>
        <v>#REF!</v>
      </c>
      <c r="I915" s="51" t="s">
        <v>89</v>
      </c>
    </row>
    <row r="916" spans="1:16" ht="15" customHeight="1">
      <c r="A916" s="49" t="s">
        <v>88</v>
      </c>
      <c r="B916" s="50"/>
      <c r="I916" s="51" t="s">
        <v>90</v>
      </c>
    </row>
    <row r="917" spans="1:16" ht="12.75" customHeight="1">
      <c r="A917" s="51" t="s">
        <v>89</v>
      </c>
      <c r="I917" s="51" t="s">
        <v>91</v>
      </c>
    </row>
    <row r="918" spans="1:16" ht="12.75" customHeight="1">
      <c r="A918" s="51" t="s">
        <v>90</v>
      </c>
      <c r="I918" s="50"/>
      <c r="J918" s="50"/>
    </row>
    <row r="919" spans="1:16" ht="16.5">
      <c r="A919" s="51" t="s">
        <v>91</v>
      </c>
      <c r="I919" s="52" t="s">
        <v>813</v>
      </c>
      <c r="O919" s="52"/>
    </row>
    <row r="920" spans="1:16" ht="13.5" customHeight="1">
      <c r="A920" s="50"/>
      <c r="B920" s="50"/>
      <c r="I920" s="53" t="s">
        <v>1702</v>
      </c>
      <c r="O920" s="53"/>
    </row>
    <row r="921" spans="1:16" ht="16.5">
      <c r="A921" s="52" t="s">
        <v>460</v>
      </c>
      <c r="G921" s="52"/>
      <c r="I921" s="894" t="s">
        <v>261</v>
      </c>
      <c r="J921" s="894"/>
      <c r="K921" s="894"/>
      <c r="L921" s="894"/>
      <c r="M921" s="894"/>
      <c r="N921" s="894"/>
      <c r="O921" s="894"/>
      <c r="P921" s="894"/>
    </row>
    <row r="922" spans="1:16" ht="13.5" customHeight="1" thickBot="1">
      <c r="A922" s="53" t="s">
        <v>92</v>
      </c>
      <c r="G922" s="53"/>
    </row>
    <row r="923" spans="1:16" ht="16.5">
      <c r="A923" s="894" t="s">
        <v>462</v>
      </c>
      <c r="B923" s="894"/>
      <c r="C923" s="894"/>
      <c r="D923" s="894"/>
      <c r="E923" s="894"/>
      <c r="F923" s="894"/>
      <c r="G923" s="894"/>
      <c r="H923" s="894"/>
      <c r="I923" s="895" t="s">
        <v>94</v>
      </c>
      <c r="J923" s="897" t="s">
        <v>95</v>
      </c>
      <c r="K923" s="897" t="s">
        <v>96</v>
      </c>
      <c r="L923" s="897" t="s">
        <v>3</v>
      </c>
      <c r="M923" s="897" t="s">
        <v>97</v>
      </c>
      <c r="N923" s="897" t="s">
        <v>98</v>
      </c>
      <c r="O923" s="897" t="s">
        <v>99</v>
      </c>
      <c r="P923" s="899"/>
    </row>
    <row r="924" spans="1:16" ht="15.75" thickBot="1">
      <c r="I924" s="896"/>
      <c r="J924" s="898"/>
      <c r="K924" s="898"/>
      <c r="L924" s="898"/>
      <c r="M924" s="898"/>
      <c r="N924" s="898"/>
      <c r="O924" s="240" t="s">
        <v>100</v>
      </c>
      <c r="P924" s="182" t="s">
        <v>101</v>
      </c>
    </row>
    <row r="925" spans="1:16" ht="12.75" customHeight="1">
      <c r="A925" s="895" t="s">
        <v>94</v>
      </c>
      <c r="B925" s="897" t="s">
        <v>95</v>
      </c>
      <c r="C925" s="897" t="s">
        <v>96</v>
      </c>
      <c r="D925" s="897" t="s">
        <v>3</v>
      </c>
      <c r="E925" s="897" t="s">
        <v>97</v>
      </c>
      <c r="F925" s="897" t="s">
        <v>98</v>
      </c>
      <c r="G925" s="897" t="s">
        <v>99</v>
      </c>
      <c r="H925" s="899"/>
      <c r="I925" s="873" t="s">
        <v>770</v>
      </c>
      <c r="J925" s="875">
        <v>43713</v>
      </c>
      <c r="K925" s="877" t="s">
        <v>120</v>
      </c>
      <c r="L925" s="881" t="s">
        <v>1834</v>
      </c>
      <c r="M925" s="881" t="s">
        <v>115</v>
      </c>
      <c r="N925" s="883">
        <v>1215000</v>
      </c>
      <c r="O925" s="55">
        <v>719</v>
      </c>
      <c r="P925" s="78">
        <v>900000</v>
      </c>
    </row>
    <row r="926" spans="1:16" ht="13.5" customHeight="1" thickBot="1">
      <c r="A926" s="896"/>
      <c r="B926" s="898"/>
      <c r="C926" s="898"/>
      <c r="D926" s="898"/>
      <c r="E926" s="898"/>
      <c r="F926" s="898"/>
      <c r="G926" s="240" t="s">
        <v>100</v>
      </c>
      <c r="H926" s="182" t="s">
        <v>101</v>
      </c>
      <c r="I926" s="882"/>
      <c r="J926" s="876"/>
      <c r="K926" s="878"/>
      <c r="L926" s="882"/>
      <c r="M926" s="882"/>
      <c r="N926" s="884"/>
      <c r="O926" s="56">
        <v>721</v>
      </c>
      <c r="P926" s="79">
        <f>+N925-P925</f>
        <v>315000</v>
      </c>
    </row>
    <row r="927" spans="1:16" ht="12" customHeight="1">
      <c r="A927" s="881" t="e">
        <f>+A894+1</f>
        <v>#REF!</v>
      </c>
      <c r="B927" s="875">
        <v>42328</v>
      </c>
      <c r="C927" s="877" t="s">
        <v>469</v>
      </c>
      <c r="D927" s="881" t="s">
        <v>459</v>
      </c>
      <c r="E927" s="881" t="s">
        <v>148</v>
      </c>
      <c r="F927" s="883">
        <v>1764708</v>
      </c>
      <c r="G927" s="55">
        <v>723</v>
      </c>
      <c r="H927" s="78">
        <f>+F927</f>
        <v>1764708</v>
      </c>
      <c r="I927" s="881">
        <f>+I925+1</f>
        <v>101</v>
      </c>
      <c r="J927" s="875">
        <v>43713</v>
      </c>
      <c r="K927" s="881" t="s">
        <v>1315</v>
      </c>
      <c r="L927" s="881" t="s">
        <v>1835</v>
      </c>
      <c r="M927" s="881" t="s">
        <v>148</v>
      </c>
      <c r="N927" s="883">
        <v>1180850</v>
      </c>
      <c r="O927" s="55">
        <v>723</v>
      </c>
      <c r="P927" s="78">
        <v>1180850</v>
      </c>
    </row>
    <row r="928" spans="1:16" ht="13.5" customHeight="1" thickBot="1">
      <c r="A928" s="882"/>
      <c r="B928" s="876"/>
      <c r="C928" s="878"/>
      <c r="D928" s="882"/>
      <c r="E928" s="882"/>
      <c r="F928" s="884"/>
      <c r="G928" s="56">
        <v>721</v>
      </c>
      <c r="H928" s="79">
        <f>+F927-H927</f>
        <v>0</v>
      </c>
      <c r="I928" s="882"/>
      <c r="J928" s="876"/>
      <c r="K928" s="882"/>
      <c r="L928" s="882"/>
      <c r="M928" s="882"/>
      <c r="N928" s="884"/>
      <c r="O928" s="56">
        <v>721</v>
      </c>
      <c r="P928" s="79">
        <f>+N927-P927</f>
        <v>0</v>
      </c>
    </row>
    <row r="929" spans="1:16" ht="15" customHeight="1">
      <c r="A929" s="881"/>
      <c r="B929" s="875"/>
      <c r="C929" s="881"/>
      <c r="D929" s="881"/>
      <c r="E929" s="881"/>
      <c r="F929" s="883"/>
      <c r="G929" s="55">
        <v>719</v>
      </c>
      <c r="H929" s="78"/>
      <c r="I929" s="881"/>
      <c r="J929" s="875"/>
      <c r="K929" s="881"/>
      <c r="L929" s="881"/>
      <c r="M929" s="881"/>
      <c r="N929" s="883"/>
      <c r="O929" s="55"/>
      <c r="P929" s="78"/>
    </row>
    <row r="930" spans="1:16" ht="13.5" customHeight="1" thickBot="1">
      <c r="A930" s="882"/>
      <c r="B930" s="876"/>
      <c r="C930" s="882"/>
      <c r="D930" s="882"/>
      <c r="E930" s="882"/>
      <c r="F930" s="884"/>
      <c r="G930" s="56">
        <v>721</v>
      </c>
      <c r="H930" s="79">
        <f>+F929-H929</f>
        <v>0</v>
      </c>
      <c r="I930" s="882"/>
      <c r="J930" s="876"/>
      <c r="K930" s="882"/>
      <c r="L930" s="882"/>
      <c r="M930" s="882"/>
      <c r="N930" s="884"/>
      <c r="O930" s="56"/>
      <c r="P930" s="79"/>
    </row>
    <row r="931" spans="1:16" ht="14.25" customHeight="1">
      <c r="A931" s="251"/>
      <c r="B931" s="252"/>
      <c r="C931" s="251"/>
      <c r="D931" s="251"/>
      <c r="E931" s="251"/>
      <c r="F931" s="254"/>
      <c r="G931" s="255"/>
      <c r="H931" s="256"/>
      <c r="I931" s="881"/>
      <c r="J931" s="875"/>
      <c r="K931" s="881"/>
      <c r="L931" s="881"/>
      <c r="M931" s="881"/>
      <c r="N931" s="883"/>
      <c r="O931" s="55"/>
      <c r="P931" s="78"/>
    </row>
    <row r="932" spans="1:16" ht="14.25" customHeight="1" thickBot="1">
      <c r="A932" s="251"/>
      <c r="B932" s="252"/>
      <c r="C932" s="251"/>
      <c r="D932" s="251"/>
      <c r="E932" s="251"/>
      <c r="F932" s="254"/>
      <c r="G932" s="255"/>
      <c r="H932" s="256"/>
      <c r="I932" s="882"/>
      <c r="J932" s="876"/>
      <c r="K932" s="882"/>
      <c r="L932" s="882"/>
      <c r="M932" s="882"/>
      <c r="N932" s="884"/>
      <c r="O932" s="56"/>
      <c r="P932" s="79"/>
    </row>
    <row r="933" spans="1:16" ht="15" customHeight="1">
      <c r="A933" s="881"/>
      <c r="B933" s="875"/>
      <c r="C933" s="877"/>
      <c r="D933" s="881"/>
      <c r="E933" s="881"/>
      <c r="F933" s="883"/>
      <c r="G933" s="55">
        <v>719</v>
      </c>
      <c r="H933" s="78"/>
      <c r="I933" s="881"/>
      <c r="J933" s="875"/>
      <c r="K933" s="881"/>
      <c r="L933" s="881"/>
      <c r="M933" s="881"/>
      <c r="N933" s="883"/>
      <c r="O933" s="55"/>
      <c r="P933" s="78"/>
    </row>
    <row r="934" spans="1:16" ht="12" customHeight="1" thickBot="1">
      <c r="A934" s="882"/>
      <c r="B934" s="876"/>
      <c r="C934" s="878"/>
      <c r="D934" s="882"/>
      <c r="E934" s="882"/>
      <c r="F934" s="884"/>
      <c r="G934" s="56">
        <v>721</v>
      </c>
      <c r="H934" s="79">
        <f>+F933-H933</f>
        <v>0</v>
      </c>
      <c r="I934" s="882"/>
      <c r="J934" s="876"/>
      <c r="K934" s="882"/>
      <c r="L934" s="882"/>
      <c r="M934" s="882"/>
      <c r="N934" s="884"/>
      <c r="O934" s="56"/>
      <c r="P934" s="79"/>
    </row>
    <row r="935" spans="1:16" ht="12" customHeight="1">
      <c r="A935" s="881"/>
      <c r="B935" s="875"/>
      <c r="C935" s="881"/>
      <c r="D935" s="881"/>
      <c r="E935" s="881"/>
      <c r="F935" s="883"/>
      <c r="G935" s="55">
        <v>719</v>
      </c>
      <c r="H935" s="78"/>
      <c r="I935" s="881"/>
      <c r="J935" s="875"/>
      <c r="K935" s="881"/>
      <c r="L935" s="881"/>
      <c r="M935" s="881"/>
      <c r="N935" s="883"/>
      <c r="O935" s="55"/>
      <c r="P935" s="78"/>
    </row>
    <row r="936" spans="1:16" ht="13.5" customHeight="1" thickBot="1">
      <c r="A936" s="882"/>
      <c r="B936" s="876"/>
      <c r="C936" s="882"/>
      <c r="D936" s="882"/>
      <c r="E936" s="882"/>
      <c r="F936" s="884"/>
      <c r="G936" s="56">
        <v>721</v>
      </c>
      <c r="H936" s="79">
        <f>+F935-H935</f>
        <v>0</v>
      </c>
      <c r="I936" s="882"/>
      <c r="J936" s="876"/>
      <c r="K936" s="882"/>
      <c r="L936" s="882"/>
      <c r="M936" s="882"/>
      <c r="N936" s="884"/>
      <c r="O936" s="56"/>
      <c r="P936" s="79"/>
    </row>
    <row r="937" spans="1:16" ht="16.5" thickBot="1">
      <c r="A937" s="881"/>
      <c r="B937" s="875"/>
      <c r="C937" s="877"/>
      <c r="D937" s="881"/>
      <c r="E937" s="881"/>
      <c r="F937" s="883"/>
      <c r="G937" s="55">
        <v>719</v>
      </c>
      <c r="H937" s="78"/>
      <c r="I937" s="901" t="s">
        <v>102</v>
      </c>
      <c r="J937" s="902"/>
      <c r="K937" s="902"/>
      <c r="L937" s="902"/>
      <c r="M937" s="903"/>
      <c r="N937" s="81">
        <f>SUM(N925:N936)</f>
        <v>2395850</v>
      </c>
    </row>
    <row r="938" spans="1:16" ht="16.5" thickBot="1">
      <c r="A938" s="882"/>
      <c r="B938" s="876"/>
      <c r="C938" s="878"/>
      <c r="D938" s="882"/>
      <c r="E938" s="882"/>
      <c r="F938" s="884"/>
      <c r="G938" s="56">
        <v>721</v>
      </c>
      <c r="H938" s="79">
        <f>+F937-H937</f>
        <v>0</v>
      </c>
      <c r="I938" s="885" t="s">
        <v>103</v>
      </c>
      <c r="J938" s="886"/>
      <c r="K938" s="886"/>
      <c r="L938" s="886"/>
      <c r="M938" s="887"/>
      <c r="N938" s="239">
        <f>+N900</f>
        <v>337209528</v>
      </c>
      <c r="O938" s="241" t="s">
        <v>561</v>
      </c>
      <c r="P938" s="242">
        <f>426+85+72+16+624</f>
        <v>1223</v>
      </c>
    </row>
    <row r="939" spans="1:16" ht="16.5" thickBot="1">
      <c r="A939" s="901" t="s">
        <v>102</v>
      </c>
      <c r="B939" s="902"/>
      <c r="C939" s="902"/>
      <c r="D939" s="902"/>
      <c r="E939" s="903"/>
      <c r="F939" s="81">
        <f>SUM(F927:F938)</f>
        <v>1764708</v>
      </c>
      <c r="I939" s="888" t="s">
        <v>104</v>
      </c>
      <c r="J939" s="889"/>
      <c r="K939" s="889"/>
      <c r="L939" s="889"/>
      <c r="M939" s="890"/>
      <c r="N939" s="183">
        <f>SUM(N937:N938)</f>
        <v>339605378</v>
      </c>
    </row>
    <row r="940" spans="1:16" ht="12" customHeight="1" thickBot="1">
      <c r="A940" s="885" t="s">
        <v>103</v>
      </c>
      <c r="B940" s="886"/>
      <c r="C940" s="886"/>
      <c r="D940" s="886"/>
      <c r="E940" s="887"/>
      <c r="F940" s="69">
        <f>+F902</f>
        <v>652214930</v>
      </c>
      <c r="I940" s="61"/>
      <c r="J940" s="61"/>
      <c r="K940" s="61"/>
      <c r="L940" s="61"/>
      <c r="M940" s="61"/>
    </row>
    <row r="941" spans="1:16" ht="16.5" thickBot="1">
      <c r="A941" s="888" t="s">
        <v>104</v>
      </c>
      <c r="B941" s="889"/>
      <c r="C941" s="889"/>
      <c r="D941" s="889"/>
      <c r="E941" s="890"/>
      <c r="F941" s="183">
        <f>SUM(F939:F940)</f>
        <v>653979638</v>
      </c>
      <c r="I941" s="51" t="s">
        <v>1518</v>
      </c>
    </row>
    <row r="942" spans="1:16" ht="9" customHeight="1">
      <c r="A942" s="61"/>
      <c r="B942" s="61"/>
      <c r="C942" s="61"/>
      <c r="D942" s="61"/>
      <c r="E942" s="61"/>
      <c r="N942" s="139"/>
    </row>
    <row r="943" spans="1:16">
      <c r="A943" s="51" t="s">
        <v>461</v>
      </c>
      <c r="I943" s="50" t="s">
        <v>105</v>
      </c>
      <c r="L943" s="146"/>
      <c r="N943" s="139"/>
    </row>
    <row r="944" spans="1:16" ht="12.75" customHeight="1" thickBot="1">
      <c r="F944" s="139"/>
    </row>
    <row r="945" spans="1:16" ht="15.75" thickBot="1">
      <c r="A945" s="50" t="s">
        <v>105</v>
      </c>
      <c r="D945" s="146"/>
      <c r="F945" s="139"/>
      <c r="I945" s="891" t="s">
        <v>106</v>
      </c>
      <c r="J945" s="892"/>
      <c r="K945" s="892"/>
      <c r="L945" s="893"/>
      <c r="N945" s="50" t="s">
        <v>288</v>
      </c>
    </row>
    <row r="946" spans="1:16" ht="12.75" customHeight="1" thickBot="1">
      <c r="I946" s="57" t="s">
        <v>100</v>
      </c>
      <c r="J946" s="58" t="s">
        <v>108</v>
      </c>
      <c r="K946" s="59" t="s">
        <v>109</v>
      </c>
      <c r="L946" s="60" t="s">
        <v>110</v>
      </c>
    </row>
    <row r="947" spans="1:16" ht="13.5" customHeight="1" thickBot="1">
      <c r="A947" s="891" t="s">
        <v>106</v>
      </c>
      <c r="B947" s="892"/>
      <c r="C947" s="892"/>
      <c r="D947" s="893"/>
      <c r="F947" s="50" t="s">
        <v>288</v>
      </c>
      <c r="I947" s="71">
        <v>719</v>
      </c>
      <c r="J947" s="73">
        <f>+P925+P929+P933+P935+P931</f>
        <v>900000</v>
      </c>
      <c r="K947" s="74">
        <f>+L908</f>
        <v>15290000</v>
      </c>
      <c r="L947" s="195">
        <f>+J947+K947</f>
        <v>16190000</v>
      </c>
    </row>
    <row r="948" spans="1:16" ht="13.5" customHeight="1" thickBot="1">
      <c r="A948" s="57" t="s">
        <v>100</v>
      </c>
      <c r="B948" s="58" t="s">
        <v>108</v>
      </c>
      <c r="C948" s="59" t="s">
        <v>109</v>
      </c>
      <c r="D948" s="60" t="s">
        <v>110</v>
      </c>
      <c r="I948" s="72">
        <v>721</v>
      </c>
      <c r="J948" s="80">
        <f>+P926+P928+P930+P934+P936+P932</f>
        <v>315000</v>
      </c>
      <c r="K948" s="74">
        <f>+L909</f>
        <v>12103000</v>
      </c>
      <c r="L948" s="195">
        <f>+J948+K948</f>
        <v>12418000</v>
      </c>
    </row>
    <row r="949" spans="1:16" ht="12.75" customHeight="1">
      <c r="A949" s="71">
        <v>719</v>
      </c>
      <c r="B949" s="73">
        <f>0</f>
        <v>0</v>
      </c>
      <c r="C949" s="74" t="e">
        <f>+D910</f>
        <v>#REF!</v>
      </c>
      <c r="D949" s="195" t="e">
        <f>+B949+C949</f>
        <v>#REF!</v>
      </c>
      <c r="I949" s="72">
        <v>722</v>
      </c>
      <c r="J949" s="80"/>
      <c r="K949" s="74">
        <f>+L910</f>
        <v>0</v>
      </c>
      <c r="L949" s="195">
        <f>+J949+K949</f>
        <v>0</v>
      </c>
    </row>
    <row r="950" spans="1:16" ht="14.25" customHeight="1">
      <c r="A950" s="72">
        <v>721</v>
      </c>
      <c r="B950" s="80">
        <f>+H928</f>
        <v>0</v>
      </c>
      <c r="C950" s="74" t="e">
        <f>+D911</f>
        <v>#REF!</v>
      </c>
      <c r="D950" s="195" t="e">
        <f>+B950+C950</f>
        <v>#REF!</v>
      </c>
      <c r="I950" s="72">
        <v>723</v>
      </c>
      <c r="J950" s="80">
        <f>+P927</f>
        <v>1180850</v>
      </c>
      <c r="K950" s="74">
        <f>+L911</f>
        <v>309816528</v>
      </c>
      <c r="L950" s="195">
        <f>+J950+K950</f>
        <v>310997378</v>
      </c>
      <c r="N950" s="918" t="s">
        <v>1481</v>
      </c>
      <c r="O950" s="918"/>
      <c r="P950" s="918"/>
    </row>
    <row r="951" spans="1:16" ht="13.5" customHeight="1" thickBot="1">
      <c r="A951" s="72">
        <v>722</v>
      </c>
      <c r="B951" s="80"/>
      <c r="C951" s="74">
        <f>+D912</f>
        <v>231207671</v>
      </c>
      <c r="D951" s="195">
        <f>+B951+C951</f>
        <v>231207671</v>
      </c>
      <c r="I951" s="164" t="s">
        <v>181</v>
      </c>
      <c r="J951" s="165"/>
      <c r="K951" s="74">
        <f>+L912</f>
        <v>0</v>
      </c>
      <c r="L951" s="196">
        <f>+J951+K951</f>
        <v>0</v>
      </c>
      <c r="N951" s="52"/>
    </row>
    <row r="952" spans="1:16" ht="16.5" thickBot="1">
      <c r="A952" s="72">
        <v>723</v>
      </c>
      <c r="B952" s="80">
        <f>+H927</f>
        <v>1764708</v>
      </c>
      <c r="C952" s="74" t="e">
        <f>+D913</f>
        <v>#REF!</v>
      </c>
      <c r="D952" s="195" t="e">
        <f>+B952+C952</f>
        <v>#REF!</v>
      </c>
      <c r="F952" s="174" t="s">
        <v>23</v>
      </c>
      <c r="G952" s="175"/>
      <c r="I952" s="169"/>
      <c r="J952" s="197">
        <f>SUM(J947:J951)</f>
        <v>2395850</v>
      </c>
      <c r="K952" s="197">
        <f>SUM(K947:K951)</f>
        <v>337209528</v>
      </c>
      <c r="L952" s="198">
        <f>SUM(L947:L951)</f>
        <v>339605378</v>
      </c>
    </row>
    <row r="953" spans="1:16" ht="17.25" thickBot="1">
      <c r="A953" s="164" t="s">
        <v>181</v>
      </c>
      <c r="B953" s="165"/>
      <c r="C953" s="74" t="e">
        <f>+D914</f>
        <v>#REF!</v>
      </c>
      <c r="D953" s="196" t="e">
        <f>+B953+C953</f>
        <v>#REF!</v>
      </c>
      <c r="F953" s="52"/>
      <c r="I953" s="49" t="s">
        <v>88</v>
      </c>
      <c r="J953" s="50"/>
    </row>
    <row r="954" spans="1:16" ht="16.5" thickBot="1">
      <c r="A954" s="169"/>
      <c r="B954" s="170">
        <f>SUM(B949:B953)</f>
        <v>1764708</v>
      </c>
      <c r="C954" s="171" t="e">
        <f>SUM(C949:C953)</f>
        <v>#REF!</v>
      </c>
      <c r="D954" s="172" t="e">
        <f>SUM(D949:D953)</f>
        <v>#REF!</v>
      </c>
      <c r="I954" s="51" t="s">
        <v>89</v>
      </c>
    </row>
    <row r="955" spans="1:16" ht="16.5">
      <c r="A955" s="49" t="s">
        <v>88</v>
      </c>
      <c r="B955" s="50"/>
      <c r="I955" s="51" t="s">
        <v>90</v>
      </c>
    </row>
    <row r="956" spans="1:16">
      <c r="A956" s="51" t="s">
        <v>89</v>
      </c>
      <c r="I956" s="51" t="s">
        <v>91</v>
      </c>
    </row>
    <row r="957" spans="1:16" ht="13.5" customHeight="1">
      <c r="A957" s="51" t="s">
        <v>90</v>
      </c>
      <c r="I957" s="50"/>
      <c r="J957" s="50"/>
    </row>
    <row r="958" spans="1:16" ht="16.5">
      <c r="A958" s="51" t="s">
        <v>91</v>
      </c>
      <c r="I958" s="52" t="s">
        <v>814</v>
      </c>
      <c r="O958" s="52"/>
    </row>
    <row r="959" spans="1:16" ht="13.5" customHeight="1">
      <c r="A959" s="50"/>
      <c r="B959" s="50"/>
      <c r="I959" s="53" t="s">
        <v>1702</v>
      </c>
      <c r="O959" s="53"/>
    </row>
    <row r="960" spans="1:16" ht="16.5">
      <c r="A960" s="52" t="s">
        <v>463</v>
      </c>
      <c r="G960" s="52"/>
      <c r="I960" s="894" t="s">
        <v>903</v>
      </c>
      <c r="J960" s="894"/>
      <c r="K960" s="894"/>
      <c r="L960" s="894"/>
      <c r="M960" s="894"/>
      <c r="N960" s="894"/>
      <c r="O960" s="894"/>
      <c r="P960" s="894"/>
    </row>
    <row r="961" spans="1:16" ht="13.5" customHeight="1" thickBot="1">
      <c r="A961" s="53" t="s">
        <v>92</v>
      </c>
      <c r="G961" s="53"/>
    </row>
    <row r="962" spans="1:16" ht="16.5">
      <c r="A962" s="894" t="s">
        <v>462</v>
      </c>
      <c r="B962" s="894"/>
      <c r="C962" s="894"/>
      <c r="D962" s="894"/>
      <c r="E962" s="894"/>
      <c r="F962" s="894"/>
      <c r="G962" s="894"/>
      <c r="H962" s="894"/>
      <c r="I962" s="895" t="s">
        <v>94</v>
      </c>
      <c r="J962" s="897" t="s">
        <v>95</v>
      </c>
      <c r="K962" s="897" t="s">
        <v>96</v>
      </c>
      <c r="L962" s="897" t="s">
        <v>3</v>
      </c>
      <c r="M962" s="897" t="s">
        <v>97</v>
      </c>
      <c r="N962" s="897" t="s">
        <v>98</v>
      </c>
      <c r="O962" s="897" t="s">
        <v>99</v>
      </c>
      <c r="P962" s="899"/>
    </row>
    <row r="963" spans="1:16" ht="15.75" thickBot="1">
      <c r="I963" s="896"/>
      <c r="J963" s="898"/>
      <c r="K963" s="898"/>
      <c r="L963" s="898"/>
      <c r="M963" s="898"/>
      <c r="N963" s="898"/>
      <c r="O963" s="240" t="s">
        <v>100</v>
      </c>
      <c r="P963" s="182" t="s">
        <v>101</v>
      </c>
    </row>
    <row r="964" spans="1:16" ht="12.75" customHeight="1">
      <c r="A964" s="895" t="s">
        <v>94</v>
      </c>
      <c r="B964" s="897" t="s">
        <v>95</v>
      </c>
      <c r="C964" s="897" t="s">
        <v>96</v>
      </c>
      <c r="D964" s="897" t="s">
        <v>3</v>
      </c>
      <c r="E964" s="897" t="s">
        <v>97</v>
      </c>
      <c r="F964" s="897" t="s">
        <v>98</v>
      </c>
      <c r="G964" s="897" t="s">
        <v>99</v>
      </c>
      <c r="H964" s="899"/>
      <c r="I964" s="873" t="s">
        <v>772</v>
      </c>
      <c r="J964" s="875">
        <v>43742</v>
      </c>
      <c r="K964" s="881" t="s">
        <v>1836</v>
      </c>
      <c r="L964" s="881" t="s">
        <v>1837</v>
      </c>
      <c r="M964" s="881" t="s">
        <v>148</v>
      </c>
      <c r="N964" s="883">
        <v>800000</v>
      </c>
      <c r="O964" s="55">
        <v>723</v>
      </c>
      <c r="P964" s="78">
        <v>800000</v>
      </c>
    </row>
    <row r="965" spans="1:16" ht="12.75" customHeight="1" thickBot="1">
      <c r="A965" s="896"/>
      <c r="B965" s="898"/>
      <c r="C965" s="898"/>
      <c r="D965" s="898"/>
      <c r="E965" s="898"/>
      <c r="F965" s="898"/>
      <c r="G965" s="240" t="s">
        <v>100</v>
      </c>
      <c r="H965" s="182" t="s">
        <v>101</v>
      </c>
      <c r="I965" s="874"/>
      <c r="J965" s="876"/>
      <c r="K965" s="882"/>
      <c r="L965" s="882"/>
      <c r="M965" s="882"/>
      <c r="N965" s="884"/>
      <c r="O965" s="56">
        <v>721</v>
      </c>
      <c r="P965" s="79">
        <f>+N964-P964</f>
        <v>0</v>
      </c>
    </row>
    <row r="966" spans="1:16" ht="13.5" customHeight="1">
      <c r="A966" s="881" t="e">
        <f>+A927+1</f>
        <v>#REF!</v>
      </c>
      <c r="B966" s="875">
        <v>42332</v>
      </c>
      <c r="C966" s="877" t="s">
        <v>272</v>
      </c>
      <c r="D966" s="881" t="s">
        <v>467</v>
      </c>
      <c r="E966" s="881" t="s">
        <v>115</v>
      </c>
      <c r="F966" s="883">
        <v>120000</v>
      </c>
      <c r="G966" s="55">
        <v>719</v>
      </c>
      <c r="H966" s="78">
        <f>+F966</f>
        <v>120000</v>
      </c>
      <c r="I966" s="881">
        <f>+I964+1</f>
        <v>103</v>
      </c>
      <c r="J966" s="875">
        <v>43742</v>
      </c>
      <c r="K966" s="910" t="s">
        <v>555</v>
      </c>
      <c r="L966" s="881" t="s">
        <v>1819</v>
      </c>
      <c r="M966" s="881" t="s">
        <v>148</v>
      </c>
      <c r="N966" s="883">
        <v>1750000</v>
      </c>
      <c r="O966" s="55">
        <v>723</v>
      </c>
      <c r="P966" s="78">
        <v>1750000</v>
      </c>
    </row>
    <row r="967" spans="1:16" ht="13.5" customHeight="1" thickBot="1">
      <c r="A967" s="882"/>
      <c r="B967" s="876"/>
      <c r="C967" s="878"/>
      <c r="D967" s="882"/>
      <c r="E967" s="882"/>
      <c r="F967" s="884"/>
      <c r="G967" s="56">
        <v>721</v>
      </c>
      <c r="H967" s="79">
        <f>+F966-H966</f>
        <v>0</v>
      </c>
      <c r="I967" s="882"/>
      <c r="J967" s="876"/>
      <c r="K967" s="911"/>
      <c r="L967" s="882"/>
      <c r="M967" s="882"/>
      <c r="N967" s="884"/>
      <c r="O967" s="56">
        <v>721</v>
      </c>
      <c r="P967" s="79">
        <f>+N966-P966</f>
        <v>0</v>
      </c>
    </row>
    <row r="968" spans="1:16" ht="12.75" customHeight="1">
      <c r="A968" s="881" t="e">
        <f>+A966+1</f>
        <v>#REF!</v>
      </c>
      <c r="B968" s="875">
        <v>42332</v>
      </c>
      <c r="C968" s="881" t="s">
        <v>28</v>
      </c>
      <c r="D968" s="881" t="s">
        <v>466</v>
      </c>
      <c r="E968" s="881" t="s">
        <v>115</v>
      </c>
      <c r="F968" s="883">
        <v>50000</v>
      </c>
      <c r="G968" s="55">
        <v>719</v>
      </c>
      <c r="H968" s="78">
        <v>50000</v>
      </c>
      <c r="I968" s="881">
        <f>+I966+1</f>
        <v>104</v>
      </c>
      <c r="J968" s="875">
        <v>43742</v>
      </c>
      <c r="K968" s="910" t="s">
        <v>1838</v>
      </c>
      <c r="L968" s="881" t="s">
        <v>1716</v>
      </c>
      <c r="M968" s="881" t="s">
        <v>148</v>
      </c>
      <c r="N968" s="883">
        <v>552000</v>
      </c>
      <c r="O968" s="55">
        <v>723</v>
      </c>
      <c r="P968" s="78">
        <v>552000</v>
      </c>
    </row>
    <row r="969" spans="1:16" ht="10.5" customHeight="1" thickBot="1">
      <c r="A969" s="882"/>
      <c r="B969" s="876"/>
      <c r="C969" s="882"/>
      <c r="D969" s="882"/>
      <c r="E969" s="882"/>
      <c r="F969" s="884"/>
      <c r="G969" s="56">
        <v>721</v>
      </c>
      <c r="H969" s="79">
        <f>+F968-H968</f>
        <v>0</v>
      </c>
      <c r="I969" s="882"/>
      <c r="J969" s="876"/>
      <c r="K969" s="911"/>
      <c r="L969" s="882"/>
      <c r="M969" s="882"/>
      <c r="N969" s="884"/>
      <c r="O969" s="56">
        <v>721</v>
      </c>
      <c r="P969" s="79">
        <f>+N968-P968</f>
        <v>0</v>
      </c>
    </row>
    <row r="970" spans="1:16" ht="11.25" customHeight="1">
      <c r="A970" s="251"/>
      <c r="B970" s="252"/>
      <c r="C970" s="251"/>
      <c r="D970" s="251"/>
      <c r="E970" s="251"/>
      <c r="F970" s="254"/>
      <c r="G970" s="255"/>
      <c r="H970" s="256"/>
      <c r="I970" s="881">
        <f>+I968+1</f>
        <v>105</v>
      </c>
      <c r="J970" s="875">
        <v>43742</v>
      </c>
      <c r="K970" s="910" t="s">
        <v>677</v>
      </c>
      <c r="L970" s="881" t="s">
        <v>1716</v>
      </c>
      <c r="M970" s="881" t="s">
        <v>148</v>
      </c>
      <c r="N970" s="883">
        <v>369410</v>
      </c>
      <c r="O970" s="55">
        <v>723</v>
      </c>
      <c r="P970" s="78">
        <v>369410</v>
      </c>
    </row>
    <row r="971" spans="1:16" ht="12" customHeight="1" thickBot="1">
      <c r="A971" s="251"/>
      <c r="B971" s="252"/>
      <c r="C971" s="251"/>
      <c r="D971" s="251"/>
      <c r="E971" s="251"/>
      <c r="F971" s="254"/>
      <c r="G971" s="255"/>
      <c r="H971" s="256"/>
      <c r="I971" s="882"/>
      <c r="J971" s="876"/>
      <c r="K971" s="911"/>
      <c r="L971" s="882"/>
      <c r="M971" s="882"/>
      <c r="N971" s="884"/>
      <c r="O971" s="56">
        <v>721</v>
      </c>
      <c r="P971" s="79">
        <f>+N970-P970</f>
        <v>0</v>
      </c>
    </row>
    <row r="972" spans="1:16" ht="11.25" customHeight="1">
      <c r="A972" s="881" t="e">
        <f>+A968+1</f>
        <v>#REF!</v>
      </c>
      <c r="B972" s="875">
        <v>42332</v>
      </c>
      <c r="C972" s="877" t="s">
        <v>32</v>
      </c>
      <c r="D972" s="881" t="s">
        <v>465</v>
      </c>
      <c r="E972" s="881" t="s">
        <v>115</v>
      </c>
      <c r="F972" s="883">
        <v>20000</v>
      </c>
      <c r="G972" s="55">
        <v>719</v>
      </c>
      <c r="H972" s="78">
        <v>20000</v>
      </c>
      <c r="I972" s="881"/>
      <c r="J972" s="875"/>
      <c r="K972" s="881"/>
      <c r="L972" s="881"/>
      <c r="M972" s="881"/>
      <c r="N972" s="883"/>
      <c r="O972" s="55">
        <v>719</v>
      </c>
      <c r="P972" s="78"/>
    </row>
    <row r="973" spans="1:16" ht="12.75" customHeight="1" thickBot="1">
      <c r="A973" s="882"/>
      <c r="B973" s="876"/>
      <c r="C973" s="878"/>
      <c r="D973" s="882"/>
      <c r="E973" s="882"/>
      <c r="F973" s="884"/>
      <c r="G973" s="56">
        <v>721</v>
      </c>
      <c r="H973" s="79">
        <f>+F972-H972</f>
        <v>0</v>
      </c>
      <c r="I973" s="882"/>
      <c r="J973" s="876"/>
      <c r="K973" s="882"/>
      <c r="L973" s="882"/>
      <c r="M973" s="882"/>
      <c r="N973" s="884"/>
      <c r="O973" s="56">
        <v>721</v>
      </c>
      <c r="P973" s="79"/>
    </row>
    <row r="974" spans="1:16" ht="13.5" customHeight="1">
      <c r="A974" s="881" t="e">
        <f>+A972+1</f>
        <v>#REF!</v>
      </c>
      <c r="B974" s="875">
        <v>42332</v>
      </c>
      <c r="C974" s="877" t="s">
        <v>120</v>
      </c>
      <c r="D974" s="881" t="s">
        <v>464</v>
      </c>
      <c r="E974" s="881" t="s">
        <v>115</v>
      </c>
      <c r="F974" s="883">
        <v>120000</v>
      </c>
      <c r="G974" s="55">
        <v>719</v>
      </c>
      <c r="H974" s="78">
        <v>120000</v>
      </c>
      <c r="I974" s="881"/>
      <c r="J974" s="875"/>
      <c r="K974" s="881"/>
      <c r="L974" s="881"/>
      <c r="M974" s="881"/>
      <c r="N974" s="883"/>
      <c r="O974" s="55">
        <v>719</v>
      </c>
      <c r="P974" s="78">
        <v>0</v>
      </c>
    </row>
    <row r="975" spans="1:16" ht="13.5" customHeight="1" thickBot="1">
      <c r="A975" s="882"/>
      <c r="B975" s="876"/>
      <c r="C975" s="878"/>
      <c r="D975" s="882"/>
      <c r="E975" s="882"/>
      <c r="F975" s="884"/>
      <c r="G975" s="56">
        <v>721</v>
      </c>
      <c r="H975" s="79">
        <f>+F974-H974</f>
        <v>0</v>
      </c>
      <c r="I975" s="882"/>
      <c r="J975" s="876"/>
      <c r="K975" s="882"/>
      <c r="L975" s="882"/>
      <c r="M975" s="882"/>
      <c r="N975" s="884"/>
      <c r="O975" s="56">
        <v>721</v>
      </c>
      <c r="P975" s="79">
        <f>+N974-P974</f>
        <v>0</v>
      </c>
    </row>
    <row r="976" spans="1:16" ht="16.5" thickBot="1">
      <c r="A976" s="881"/>
      <c r="B976" s="875"/>
      <c r="C976" s="877"/>
      <c r="D976" s="881"/>
      <c r="E976" s="881"/>
      <c r="F976" s="883"/>
      <c r="G976" s="55">
        <v>719</v>
      </c>
      <c r="H976" s="78"/>
      <c r="I976" s="901" t="s">
        <v>102</v>
      </c>
      <c r="J976" s="902"/>
      <c r="K976" s="902"/>
      <c r="L976" s="902"/>
      <c r="M976" s="903"/>
      <c r="N976" s="81">
        <f>SUM(N964:N975)</f>
        <v>3471410</v>
      </c>
    </row>
    <row r="977" spans="1:16" ht="16.5" thickBot="1">
      <c r="A977" s="882"/>
      <c r="B977" s="876"/>
      <c r="C977" s="878"/>
      <c r="D977" s="882"/>
      <c r="E977" s="882"/>
      <c r="F977" s="884"/>
      <c r="G977" s="56">
        <v>721</v>
      </c>
      <c r="H977" s="79">
        <f>+F976-H976</f>
        <v>0</v>
      </c>
      <c r="I977" s="885" t="s">
        <v>103</v>
      </c>
      <c r="J977" s="886"/>
      <c r="K977" s="886"/>
      <c r="L977" s="886"/>
      <c r="M977" s="887"/>
      <c r="N977" s="239">
        <f>+N939</f>
        <v>339605378</v>
      </c>
      <c r="O977" s="241" t="s">
        <v>561</v>
      </c>
      <c r="P977" s="242">
        <f>701+647+663+279+406+423</f>
        <v>3119</v>
      </c>
    </row>
    <row r="978" spans="1:16" ht="16.5" thickBot="1">
      <c r="A978" s="901" t="s">
        <v>102</v>
      </c>
      <c r="B978" s="902"/>
      <c r="C978" s="902"/>
      <c r="D978" s="902"/>
      <c r="E978" s="903"/>
      <c r="F978" s="81">
        <f>SUM(F966:F977)</f>
        <v>310000</v>
      </c>
      <c r="I978" s="888" t="s">
        <v>104</v>
      </c>
      <c r="J978" s="889"/>
      <c r="K978" s="889"/>
      <c r="L978" s="889"/>
      <c r="M978" s="890"/>
      <c r="N978" s="183">
        <f>SUM(N976:N977)</f>
        <v>343076788</v>
      </c>
    </row>
    <row r="979" spans="1:16" ht="12.75" customHeight="1" thickBot="1">
      <c r="A979" s="885" t="s">
        <v>103</v>
      </c>
      <c r="B979" s="886"/>
      <c r="C979" s="886"/>
      <c r="D979" s="886"/>
      <c r="E979" s="887"/>
      <c r="F979" s="69">
        <f>+F941</f>
        <v>653979638</v>
      </c>
      <c r="I979" s="61"/>
      <c r="J979" s="61"/>
      <c r="K979" s="61"/>
      <c r="L979" s="61"/>
      <c r="M979" s="61"/>
    </row>
    <row r="980" spans="1:16" ht="16.5" thickBot="1">
      <c r="A980" s="888" t="s">
        <v>104</v>
      </c>
      <c r="B980" s="889"/>
      <c r="C980" s="889"/>
      <c r="D980" s="889"/>
      <c r="E980" s="890"/>
      <c r="F980" s="183">
        <f>SUM(F978:F979)</f>
        <v>654289638</v>
      </c>
      <c r="I980" s="51" t="s">
        <v>1525</v>
      </c>
    </row>
    <row r="981" spans="1:16" ht="7.5" customHeight="1">
      <c r="A981" s="61"/>
      <c r="B981" s="61"/>
      <c r="C981" s="61"/>
      <c r="D981" s="61"/>
      <c r="E981" s="61"/>
      <c r="N981" s="139"/>
    </row>
    <row r="982" spans="1:16">
      <c r="A982" s="51" t="s">
        <v>468</v>
      </c>
      <c r="I982" s="50" t="s">
        <v>105</v>
      </c>
      <c r="L982" s="146"/>
      <c r="N982" s="139"/>
    </row>
    <row r="983" spans="1:16" ht="12" customHeight="1" thickBot="1">
      <c r="F983" s="139"/>
    </row>
    <row r="984" spans="1:16" ht="15.75" customHeight="1" thickBot="1">
      <c r="A984" s="50" t="s">
        <v>105</v>
      </c>
      <c r="D984" s="146"/>
      <c r="F984" s="139"/>
      <c r="I984" s="891" t="s">
        <v>106</v>
      </c>
      <c r="J984" s="892"/>
      <c r="K984" s="892"/>
      <c r="L984" s="893"/>
      <c r="N984" s="50" t="s">
        <v>288</v>
      </c>
    </row>
    <row r="985" spans="1:16" ht="12" customHeight="1" thickBot="1">
      <c r="I985" s="57" t="s">
        <v>100</v>
      </c>
      <c r="J985" s="58" t="s">
        <v>108</v>
      </c>
      <c r="K985" s="59" t="s">
        <v>109</v>
      </c>
      <c r="L985" s="60" t="s">
        <v>110</v>
      </c>
    </row>
    <row r="986" spans="1:16" ht="14.25" customHeight="1" thickBot="1">
      <c r="A986" s="891" t="s">
        <v>106</v>
      </c>
      <c r="B986" s="892"/>
      <c r="C986" s="892"/>
      <c r="D986" s="893"/>
      <c r="F986" s="50" t="s">
        <v>288</v>
      </c>
      <c r="I986" s="71">
        <v>719</v>
      </c>
      <c r="J986" s="73"/>
      <c r="K986" s="74">
        <f>+L947</f>
        <v>16190000</v>
      </c>
      <c r="L986" s="195">
        <f>+J986+K986</f>
        <v>16190000</v>
      </c>
    </row>
    <row r="987" spans="1:16" ht="14.25" customHeight="1" thickBot="1">
      <c r="A987" s="57" t="s">
        <v>100</v>
      </c>
      <c r="B987" s="58" t="s">
        <v>108</v>
      </c>
      <c r="C987" s="59" t="s">
        <v>109</v>
      </c>
      <c r="D987" s="60" t="s">
        <v>110</v>
      </c>
      <c r="I987" s="72">
        <v>721</v>
      </c>
      <c r="J987" s="80">
        <f>+P965+P967+P969+P973+P975</f>
        <v>0</v>
      </c>
      <c r="K987" s="74">
        <f>+L948</f>
        <v>12418000</v>
      </c>
      <c r="L987" s="195">
        <f>+J987+K987</f>
        <v>12418000</v>
      </c>
    </row>
    <row r="988" spans="1:16" ht="15.75" customHeight="1">
      <c r="A988" s="71">
        <v>719</v>
      </c>
      <c r="B988" s="73">
        <f>+H966+H968+H972+H974</f>
        <v>310000</v>
      </c>
      <c r="C988" s="74" t="e">
        <f>+D949</f>
        <v>#REF!</v>
      </c>
      <c r="D988" s="195" t="e">
        <f>+B988+C988</f>
        <v>#REF!</v>
      </c>
      <c r="I988" s="72">
        <v>722</v>
      </c>
      <c r="J988" s="80"/>
      <c r="K988" s="74">
        <f>+L949</f>
        <v>0</v>
      </c>
      <c r="L988" s="195">
        <f>+J988+K988</f>
        <v>0</v>
      </c>
    </row>
    <row r="989" spans="1:16" ht="15.75" customHeight="1" thickBot="1">
      <c r="A989" s="72">
        <v>721</v>
      </c>
      <c r="B989" s="80">
        <f>+H967</f>
        <v>0</v>
      </c>
      <c r="C989" s="74" t="e">
        <f>+D950</f>
        <v>#REF!</v>
      </c>
      <c r="D989" s="195" t="e">
        <f>+B989+C989</f>
        <v>#REF!</v>
      </c>
      <c r="I989" s="72">
        <v>723</v>
      </c>
      <c r="J989" s="80">
        <f>+P964+P966+P968+P970</f>
        <v>3471410</v>
      </c>
      <c r="K989" s="74">
        <f>+L950</f>
        <v>310997378</v>
      </c>
      <c r="L989" s="195">
        <f>+J989+K989</f>
        <v>314468788</v>
      </c>
      <c r="N989" s="918" t="s">
        <v>1696</v>
      </c>
      <c r="O989" s="918"/>
      <c r="P989" s="918"/>
    </row>
    <row r="990" spans="1:16" ht="14.25" hidden="1" customHeight="1">
      <c r="A990" s="72">
        <v>722</v>
      </c>
      <c r="B990" s="80"/>
      <c r="C990" s="74">
        <f>+D951</f>
        <v>231207671</v>
      </c>
      <c r="D990" s="195">
        <f>+B990+C990</f>
        <v>231207671</v>
      </c>
      <c r="I990" s="164" t="s">
        <v>181</v>
      </c>
      <c r="J990" s="165"/>
      <c r="K990" s="74">
        <f>+L951</f>
        <v>0</v>
      </c>
      <c r="L990" s="196">
        <f>+J990+K990</f>
        <v>0</v>
      </c>
      <c r="N990" s="52"/>
    </row>
    <row r="991" spans="1:16" ht="16.5" customHeight="1" thickBot="1">
      <c r="A991" s="72">
        <v>723</v>
      </c>
      <c r="B991" s="80"/>
      <c r="C991" s="74" t="e">
        <f>+D952</f>
        <v>#REF!</v>
      </c>
      <c r="D991" s="195" t="e">
        <f>+B991+C991</f>
        <v>#REF!</v>
      </c>
      <c r="F991" s="174" t="s">
        <v>23</v>
      </c>
      <c r="G991" s="175"/>
      <c r="I991" s="169"/>
      <c r="J991" s="197">
        <f>SUM(J986:J990)</f>
        <v>3471410</v>
      </c>
      <c r="K991" s="197">
        <f>SUM(K986:K990)</f>
        <v>339605378</v>
      </c>
      <c r="L991" s="198">
        <f>SUM(L986:L990)</f>
        <v>343076788</v>
      </c>
    </row>
    <row r="992" spans="1:16" ht="16.5" customHeight="1" thickBot="1">
      <c r="A992" s="164" t="s">
        <v>181</v>
      </c>
      <c r="B992" s="165"/>
      <c r="C992" s="74" t="e">
        <f>+D953</f>
        <v>#REF!</v>
      </c>
      <c r="D992" s="196" t="e">
        <f>+B992+C992</f>
        <v>#REF!</v>
      </c>
      <c r="F992" s="52"/>
      <c r="I992" s="49" t="s">
        <v>88</v>
      </c>
      <c r="J992" s="50"/>
    </row>
    <row r="993" spans="1:16" ht="16.5" thickBot="1">
      <c r="A993" s="169"/>
      <c r="B993" s="170">
        <f>SUM(B988:B992)</f>
        <v>310000</v>
      </c>
      <c r="C993" s="171" t="e">
        <f>SUM(C988:C992)</f>
        <v>#REF!</v>
      </c>
      <c r="D993" s="172" t="e">
        <f>SUM(D988:D992)</f>
        <v>#REF!</v>
      </c>
      <c r="I993" s="51" t="s">
        <v>89</v>
      </c>
    </row>
    <row r="994" spans="1:16" ht="16.5">
      <c r="A994" s="49" t="s">
        <v>88</v>
      </c>
      <c r="B994" s="50"/>
      <c r="I994" s="51" t="s">
        <v>90</v>
      </c>
    </row>
    <row r="995" spans="1:16">
      <c r="A995" s="51" t="s">
        <v>89</v>
      </c>
      <c r="I995" s="51" t="s">
        <v>91</v>
      </c>
    </row>
    <row r="996" spans="1:16" ht="6" customHeight="1">
      <c r="A996" s="51" t="s">
        <v>90</v>
      </c>
      <c r="I996" s="50"/>
      <c r="J996" s="50"/>
    </row>
    <row r="997" spans="1:16" ht="16.5">
      <c r="A997" s="51" t="s">
        <v>91</v>
      </c>
      <c r="I997" s="52" t="s">
        <v>836</v>
      </c>
      <c r="O997" s="52"/>
    </row>
    <row r="998" spans="1:16" ht="14.25" customHeight="1">
      <c r="A998" s="50"/>
      <c r="B998" s="50"/>
      <c r="I998" s="53" t="s">
        <v>1702</v>
      </c>
      <c r="O998" s="53"/>
    </row>
    <row r="999" spans="1:16" ht="16.5">
      <c r="A999" s="52" t="s">
        <v>470</v>
      </c>
      <c r="G999" s="52"/>
      <c r="I999" s="894" t="s">
        <v>1842</v>
      </c>
      <c r="J999" s="894"/>
      <c r="K999" s="894"/>
      <c r="L999" s="894"/>
      <c r="M999" s="894"/>
      <c r="N999" s="894"/>
      <c r="O999" s="894"/>
      <c r="P999" s="894"/>
    </row>
    <row r="1000" spans="1:16" ht="17.25" customHeight="1" thickBot="1">
      <c r="A1000" s="53" t="s">
        <v>92</v>
      </c>
      <c r="G1000" s="53"/>
    </row>
    <row r="1001" spans="1:16" ht="16.5">
      <c r="A1001" s="894" t="s">
        <v>462</v>
      </c>
      <c r="B1001" s="894"/>
      <c r="C1001" s="894"/>
      <c r="D1001" s="894"/>
      <c r="E1001" s="894"/>
      <c r="F1001" s="894"/>
      <c r="G1001" s="894"/>
      <c r="H1001" s="894"/>
      <c r="I1001" s="895" t="s">
        <v>94</v>
      </c>
      <c r="J1001" s="897" t="s">
        <v>95</v>
      </c>
      <c r="K1001" s="897" t="s">
        <v>96</v>
      </c>
      <c r="L1001" s="897" t="s">
        <v>3</v>
      </c>
      <c r="M1001" s="897" t="s">
        <v>97</v>
      </c>
      <c r="N1001" s="897" t="s">
        <v>98</v>
      </c>
      <c r="O1001" s="897" t="s">
        <v>99</v>
      </c>
      <c r="P1001" s="899"/>
    </row>
    <row r="1002" spans="1:16" ht="15.75" thickBot="1">
      <c r="I1002" s="896"/>
      <c r="J1002" s="898"/>
      <c r="K1002" s="898"/>
      <c r="L1002" s="898"/>
      <c r="M1002" s="898"/>
      <c r="N1002" s="898"/>
      <c r="O1002" s="240" t="s">
        <v>100</v>
      </c>
      <c r="P1002" s="182" t="s">
        <v>101</v>
      </c>
    </row>
    <row r="1003" spans="1:16" ht="14.25" customHeight="1">
      <c r="A1003" s="895" t="s">
        <v>94</v>
      </c>
      <c r="B1003" s="897" t="s">
        <v>95</v>
      </c>
      <c r="C1003" s="897" t="s">
        <v>96</v>
      </c>
      <c r="D1003" s="897" t="s">
        <v>3</v>
      </c>
      <c r="E1003" s="897" t="s">
        <v>97</v>
      </c>
      <c r="F1003" s="897" t="s">
        <v>98</v>
      </c>
      <c r="G1003" s="897" t="s">
        <v>99</v>
      </c>
      <c r="H1003" s="899"/>
      <c r="I1003" s="873" t="s">
        <v>545</v>
      </c>
      <c r="J1003" s="875">
        <v>43749</v>
      </c>
      <c r="K1003" s="910" t="s">
        <v>555</v>
      </c>
      <c r="L1003" s="881" t="s">
        <v>1819</v>
      </c>
      <c r="M1003" s="881" t="s">
        <v>148</v>
      </c>
      <c r="N1003" s="883">
        <v>-1750000</v>
      </c>
      <c r="O1003" s="55">
        <v>723</v>
      </c>
      <c r="P1003" s="78">
        <f>N1003</f>
        <v>-1750000</v>
      </c>
    </row>
    <row r="1004" spans="1:16" ht="12" customHeight="1" thickBot="1">
      <c r="A1004" s="896"/>
      <c r="B1004" s="898"/>
      <c r="C1004" s="898"/>
      <c r="D1004" s="898"/>
      <c r="E1004" s="898"/>
      <c r="F1004" s="898"/>
      <c r="G1004" s="240" t="s">
        <v>100</v>
      </c>
      <c r="H1004" s="182" t="s">
        <v>101</v>
      </c>
      <c r="I1004" s="874"/>
      <c r="J1004" s="876"/>
      <c r="K1004" s="911"/>
      <c r="L1004" s="882"/>
      <c r="M1004" s="882"/>
      <c r="N1004" s="884"/>
      <c r="O1004" s="56">
        <v>721</v>
      </c>
      <c r="P1004" s="79">
        <v>0</v>
      </c>
    </row>
    <row r="1005" spans="1:16" ht="12.75" customHeight="1">
      <c r="A1005" s="881" t="e">
        <f>+A966+1</f>
        <v>#REF!</v>
      </c>
      <c r="B1005" s="875">
        <v>42345</v>
      </c>
      <c r="C1005" s="877" t="s">
        <v>267</v>
      </c>
      <c r="D1005" s="881" t="s">
        <v>475</v>
      </c>
      <c r="E1005" s="881" t="s">
        <v>148</v>
      </c>
      <c r="F1005" s="883">
        <v>420000</v>
      </c>
      <c r="G1005" s="55">
        <v>719</v>
      </c>
      <c r="H1005" s="78">
        <f>+F1005-H1006</f>
        <v>300000</v>
      </c>
      <c r="I1005" s="873" t="s">
        <v>1843</v>
      </c>
      <c r="J1005" s="875">
        <v>43749</v>
      </c>
      <c r="K1005" s="881" t="s">
        <v>1091</v>
      </c>
      <c r="L1005" s="881" t="s">
        <v>1844</v>
      </c>
      <c r="M1005" s="881" t="s">
        <v>148</v>
      </c>
      <c r="N1005" s="883">
        <v>1020000</v>
      </c>
      <c r="O1005" s="55">
        <v>719</v>
      </c>
      <c r="P1005" s="78">
        <v>1020000</v>
      </c>
    </row>
    <row r="1006" spans="1:16" ht="13.5" customHeight="1" thickBot="1">
      <c r="A1006" s="882"/>
      <c r="B1006" s="876"/>
      <c r="C1006" s="878"/>
      <c r="D1006" s="882"/>
      <c r="E1006" s="882"/>
      <c r="F1006" s="884"/>
      <c r="G1006" s="56">
        <v>721</v>
      </c>
      <c r="H1006" s="79">
        <v>120000</v>
      </c>
      <c r="I1006" s="874"/>
      <c r="J1006" s="876"/>
      <c r="K1006" s="882"/>
      <c r="L1006" s="882"/>
      <c r="M1006" s="882"/>
      <c r="N1006" s="884"/>
      <c r="O1006" s="56">
        <v>721</v>
      </c>
      <c r="P1006" s="79">
        <f>+N1005-P1005</f>
        <v>0</v>
      </c>
    </row>
    <row r="1007" spans="1:16" ht="13.5" customHeight="1">
      <c r="A1007" s="881" t="e">
        <f>+A1005+1</f>
        <v>#REF!</v>
      </c>
      <c r="B1007" s="875">
        <v>42345</v>
      </c>
      <c r="C1007" s="881" t="s">
        <v>28</v>
      </c>
      <c r="D1007" s="881" t="s">
        <v>476</v>
      </c>
      <c r="E1007" s="881" t="s">
        <v>148</v>
      </c>
      <c r="F1007" s="883">
        <v>714000</v>
      </c>
      <c r="G1007" s="55">
        <v>719</v>
      </c>
      <c r="H1007" s="78">
        <v>510000</v>
      </c>
      <c r="I1007" s="881">
        <f>+I1005+1</f>
        <v>107</v>
      </c>
      <c r="J1007" s="875">
        <v>43749</v>
      </c>
      <c r="K1007" s="881" t="s">
        <v>1091</v>
      </c>
      <c r="L1007" s="881" t="s">
        <v>1845</v>
      </c>
      <c r="M1007" s="881" t="s">
        <v>148</v>
      </c>
      <c r="N1007" s="883">
        <v>2430000</v>
      </c>
      <c r="O1007" s="55">
        <v>719</v>
      </c>
      <c r="P1007" s="78">
        <v>2430000</v>
      </c>
    </row>
    <row r="1008" spans="1:16" ht="13.5" customHeight="1" thickBot="1">
      <c r="A1008" s="882"/>
      <c r="B1008" s="876"/>
      <c r="C1008" s="882"/>
      <c r="D1008" s="882"/>
      <c r="E1008" s="882"/>
      <c r="F1008" s="884"/>
      <c r="G1008" s="56">
        <v>721</v>
      </c>
      <c r="H1008" s="79">
        <f>+F1007-H1007</f>
        <v>204000</v>
      </c>
      <c r="I1008" s="882"/>
      <c r="J1008" s="876"/>
      <c r="K1008" s="882"/>
      <c r="L1008" s="882"/>
      <c r="M1008" s="882"/>
      <c r="N1008" s="884"/>
      <c r="O1008" s="56">
        <v>721</v>
      </c>
      <c r="P1008" s="79">
        <f>+N1007-P1007</f>
        <v>0</v>
      </c>
    </row>
    <row r="1009" spans="1:16" ht="13.5" customHeight="1">
      <c r="A1009" s="881" t="e">
        <f>+A1007+1</f>
        <v>#REF!</v>
      </c>
      <c r="B1009" s="875">
        <v>42345</v>
      </c>
      <c r="C1009" s="877" t="s">
        <v>32</v>
      </c>
      <c r="D1009" s="881" t="s">
        <v>476</v>
      </c>
      <c r="E1009" s="881" t="s">
        <v>148</v>
      </c>
      <c r="F1009" s="883">
        <v>140000</v>
      </c>
      <c r="G1009" s="55">
        <v>719</v>
      </c>
      <c r="H1009" s="78">
        <v>100000</v>
      </c>
      <c r="I1009" s="881">
        <f>+I1007+1</f>
        <v>108</v>
      </c>
      <c r="J1009" s="875">
        <v>43749</v>
      </c>
      <c r="K1009" s="881" t="s">
        <v>1091</v>
      </c>
      <c r="L1009" s="881" t="s">
        <v>1846</v>
      </c>
      <c r="M1009" s="881" t="s">
        <v>148</v>
      </c>
      <c r="N1009" s="883">
        <v>370000</v>
      </c>
      <c r="O1009" s="55">
        <v>719</v>
      </c>
      <c r="P1009" s="78">
        <v>370000</v>
      </c>
    </row>
    <row r="1010" spans="1:16" ht="12.75" customHeight="1" thickBot="1">
      <c r="A1010" s="882"/>
      <c r="B1010" s="876"/>
      <c r="C1010" s="878"/>
      <c r="D1010" s="882"/>
      <c r="E1010" s="882"/>
      <c r="F1010" s="884"/>
      <c r="G1010" s="56">
        <v>721</v>
      </c>
      <c r="H1010" s="79">
        <f>+F1009-H1009</f>
        <v>40000</v>
      </c>
      <c r="I1010" s="882"/>
      <c r="J1010" s="876"/>
      <c r="K1010" s="882"/>
      <c r="L1010" s="882"/>
      <c r="M1010" s="882"/>
      <c r="N1010" s="884"/>
      <c r="O1010" s="56">
        <v>721</v>
      </c>
      <c r="P1010" s="79">
        <f>+N1009-P1009</f>
        <v>0</v>
      </c>
    </row>
    <row r="1011" spans="1:16" ht="13.5" customHeight="1">
      <c r="A1011" s="881" t="e">
        <f>+A1009+1</f>
        <v>#REF!</v>
      </c>
      <c r="B1011" s="875">
        <v>42345</v>
      </c>
      <c r="C1011" s="877" t="s">
        <v>111</v>
      </c>
      <c r="D1011" s="881" t="s">
        <v>474</v>
      </c>
      <c r="E1011" s="881" t="s">
        <v>148</v>
      </c>
      <c r="F1011" s="883">
        <v>336000</v>
      </c>
      <c r="G1011" s="55">
        <v>719</v>
      </c>
      <c r="H1011" s="78">
        <v>240000</v>
      </c>
      <c r="I1011" s="881">
        <f>+I1009+1</f>
        <v>109</v>
      </c>
      <c r="J1011" s="875">
        <v>43749</v>
      </c>
      <c r="K1011" s="881" t="s">
        <v>815</v>
      </c>
      <c r="L1011" s="881" t="s">
        <v>1851</v>
      </c>
      <c r="M1011" s="881" t="s">
        <v>148</v>
      </c>
      <c r="N1011" s="883">
        <v>1039500</v>
      </c>
      <c r="O1011" s="55">
        <v>719</v>
      </c>
      <c r="P1011" s="78">
        <v>770000</v>
      </c>
    </row>
    <row r="1012" spans="1:16" ht="14.25" customHeight="1" thickBot="1">
      <c r="A1012" s="882"/>
      <c r="B1012" s="876"/>
      <c r="C1012" s="878"/>
      <c r="D1012" s="882"/>
      <c r="E1012" s="882"/>
      <c r="F1012" s="884"/>
      <c r="G1012" s="56">
        <v>721</v>
      </c>
      <c r="H1012" s="79">
        <f>+F1011-H1011</f>
        <v>96000</v>
      </c>
      <c r="I1012" s="882"/>
      <c r="J1012" s="876"/>
      <c r="K1012" s="882"/>
      <c r="L1012" s="882"/>
      <c r="M1012" s="882"/>
      <c r="N1012" s="884"/>
      <c r="O1012" s="56">
        <v>721</v>
      </c>
      <c r="P1012" s="79">
        <f>+N1011-P1011</f>
        <v>269500</v>
      </c>
    </row>
    <row r="1013" spans="1:16" ht="16.5" customHeight="1" thickBot="1">
      <c r="A1013" s="881" t="e">
        <f>+A1011+1</f>
        <v>#REF!</v>
      </c>
      <c r="B1013" s="875">
        <v>42345</v>
      </c>
      <c r="C1013" s="877" t="s">
        <v>272</v>
      </c>
      <c r="D1013" s="881" t="s">
        <v>474</v>
      </c>
      <c r="E1013" s="881" t="s">
        <v>148</v>
      </c>
      <c r="F1013" s="883">
        <v>2058000</v>
      </c>
      <c r="G1013" s="55">
        <v>719</v>
      </c>
      <c r="H1013" s="78">
        <v>1470000</v>
      </c>
      <c r="I1013" s="901" t="s">
        <v>102</v>
      </c>
      <c r="J1013" s="902"/>
      <c r="K1013" s="902"/>
      <c r="L1013" s="902"/>
      <c r="M1013" s="903"/>
      <c r="N1013" s="81">
        <f>SUM(N1003:N1012)</f>
        <v>3109500</v>
      </c>
    </row>
    <row r="1014" spans="1:16" ht="16.5" customHeight="1" thickBot="1">
      <c r="A1014" s="882"/>
      <c r="B1014" s="876"/>
      <c r="C1014" s="878"/>
      <c r="D1014" s="882"/>
      <c r="E1014" s="882"/>
      <c r="F1014" s="884"/>
      <c r="G1014" s="56">
        <v>721</v>
      </c>
      <c r="H1014" s="79">
        <f>+F1013-H1013</f>
        <v>588000</v>
      </c>
      <c r="I1014" s="885" t="s">
        <v>103</v>
      </c>
      <c r="J1014" s="886"/>
      <c r="K1014" s="886"/>
      <c r="L1014" s="886"/>
      <c r="M1014" s="887"/>
      <c r="N1014" s="69">
        <f>+N978</f>
        <v>343076788</v>
      </c>
      <c r="O1014" s="241" t="s">
        <v>561</v>
      </c>
      <c r="P1014" s="242">
        <f>211+326+266+410+2+7+113</f>
        <v>1335</v>
      </c>
    </row>
    <row r="1015" spans="1:16" ht="16.5" thickBot="1">
      <c r="A1015" s="901" t="s">
        <v>102</v>
      </c>
      <c r="B1015" s="902"/>
      <c r="C1015" s="902"/>
      <c r="D1015" s="902"/>
      <c r="E1015" s="903"/>
      <c r="F1015" s="81">
        <f>SUM(F1005:F1014)</f>
        <v>3668000</v>
      </c>
      <c r="I1015" s="888" t="s">
        <v>104</v>
      </c>
      <c r="J1015" s="889"/>
      <c r="K1015" s="889"/>
      <c r="L1015" s="889"/>
      <c r="M1015" s="890"/>
      <c r="N1015" s="183">
        <f>SUM(N1013:N1014)</f>
        <v>346186288</v>
      </c>
    </row>
    <row r="1016" spans="1:16" ht="16.5" thickBot="1">
      <c r="A1016" s="885" t="s">
        <v>103</v>
      </c>
      <c r="B1016" s="886"/>
      <c r="C1016" s="886"/>
      <c r="D1016" s="886"/>
      <c r="E1016" s="887"/>
      <c r="F1016" s="69">
        <f>+F980</f>
        <v>654289638</v>
      </c>
      <c r="I1016" s="61"/>
      <c r="J1016" s="61"/>
      <c r="K1016" s="61"/>
      <c r="L1016" s="61"/>
      <c r="M1016" s="61"/>
    </row>
    <row r="1017" spans="1:16" ht="16.5" thickBot="1">
      <c r="A1017" s="888" t="s">
        <v>104</v>
      </c>
      <c r="B1017" s="889"/>
      <c r="C1017" s="889"/>
      <c r="D1017" s="889"/>
      <c r="E1017" s="890"/>
      <c r="F1017" s="183">
        <f>SUM(F1015:F1016)</f>
        <v>657957638</v>
      </c>
      <c r="I1017" s="51" t="s">
        <v>1849</v>
      </c>
    </row>
    <row r="1018" spans="1:16" ht="8.25" customHeight="1">
      <c r="A1018" s="61"/>
      <c r="B1018" s="61"/>
      <c r="C1018" s="61"/>
      <c r="D1018" s="61"/>
      <c r="E1018" s="61"/>
      <c r="N1018" s="139"/>
    </row>
    <row r="1019" spans="1:16" ht="18" customHeight="1">
      <c r="A1019" s="51" t="s">
        <v>477</v>
      </c>
      <c r="I1019" s="50" t="s">
        <v>105</v>
      </c>
      <c r="L1019" s="146"/>
      <c r="N1019" s="139"/>
    </row>
    <row r="1020" spans="1:16" ht="9.75" customHeight="1" thickBot="1">
      <c r="F1020" s="139"/>
    </row>
    <row r="1021" spans="1:16" ht="16.5" customHeight="1" thickBot="1">
      <c r="A1021" s="50" t="s">
        <v>105</v>
      </c>
      <c r="D1021" s="146"/>
      <c r="F1021" s="139"/>
      <c r="I1021" s="891" t="s">
        <v>106</v>
      </c>
      <c r="J1021" s="892"/>
      <c r="K1021" s="892"/>
      <c r="L1021" s="893"/>
      <c r="N1021" s="30" t="s">
        <v>1126</v>
      </c>
    </row>
    <row r="1022" spans="1:16" ht="11.25" customHeight="1" thickBot="1">
      <c r="I1022" s="57" t="s">
        <v>100</v>
      </c>
      <c r="J1022" s="58" t="s">
        <v>108</v>
      </c>
      <c r="K1022" s="59" t="s">
        <v>109</v>
      </c>
      <c r="L1022" s="60" t="s">
        <v>110</v>
      </c>
    </row>
    <row r="1023" spans="1:16" ht="15.75" thickBot="1">
      <c r="A1023" s="891" t="s">
        <v>106</v>
      </c>
      <c r="B1023" s="892"/>
      <c r="C1023" s="892"/>
      <c r="D1023" s="893"/>
      <c r="F1023" s="50" t="s">
        <v>288</v>
      </c>
      <c r="I1023" s="71">
        <v>719</v>
      </c>
      <c r="J1023" s="73">
        <f>+P1005+P1007+P1009+P1011</f>
        <v>4590000</v>
      </c>
      <c r="K1023" s="74">
        <f>+L986</f>
        <v>16190000</v>
      </c>
      <c r="L1023" s="195">
        <f>+J1023+K1023</f>
        <v>20780000</v>
      </c>
    </row>
    <row r="1024" spans="1:16" ht="15.75" customHeight="1" thickBot="1">
      <c r="A1024" s="57" t="s">
        <v>100</v>
      </c>
      <c r="B1024" s="58" t="s">
        <v>108</v>
      </c>
      <c r="C1024" s="59" t="s">
        <v>109</v>
      </c>
      <c r="D1024" s="60" t="s">
        <v>110</v>
      </c>
      <c r="I1024" s="72">
        <v>721</v>
      </c>
      <c r="J1024" s="80">
        <f>+P1004+P1006+P1008+P1010+P1012</f>
        <v>269500</v>
      </c>
      <c r="K1024" s="74">
        <f>+L987</f>
        <v>12418000</v>
      </c>
      <c r="L1024" s="195">
        <f>+J1024+K1024</f>
        <v>12687500</v>
      </c>
    </row>
    <row r="1025" spans="1:16">
      <c r="A1025" s="71">
        <v>719</v>
      </c>
      <c r="B1025" s="73">
        <f>+H1005+H1007+H1009+H1011+H1013</f>
        <v>2620000</v>
      </c>
      <c r="C1025" s="74" t="e">
        <f>+D988</f>
        <v>#REF!</v>
      </c>
      <c r="D1025" s="195" t="e">
        <f>+B1025+C1025</f>
        <v>#REF!</v>
      </c>
      <c r="I1025" s="72">
        <v>722</v>
      </c>
      <c r="J1025" s="80"/>
      <c r="K1025" s="74">
        <f>+L988</f>
        <v>0</v>
      </c>
      <c r="L1025" s="195">
        <f>+J1025+K1025</f>
        <v>0</v>
      </c>
    </row>
    <row r="1026" spans="1:16" ht="15.75">
      <c r="A1026" s="72">
        <v>721</v>
      </c>
      <c r="B1026" s="80">
        <f>+H1014+H1012+H1010+H1008+H1006</f>
        <v>1048000</v>
      </c>
      <c r="C1026" s="74" t="e">
        <f>+D989</f>
        <v>#REF!</v>
      </c>
      <c r="D1026" s="195" t="e">
        <f>+B1026+C1026</f>
        <v>#REF!</v>
      </c>
      <c r="I1026" s="72">
        <v>723</v>
      </c>
      <c r="J1026" s="80">
        <f>+P1003</f>
        <v>-1750000</v>
      </c>
      <c r="K1026" s="74">
        <f>+L989</f>
        <v>314468788</v>
      </c>
      <c r="L1026" s="195">
        <f>+J1026+K1026</f>
        <v>312718788</v>
      </c>
      <c r="N1026" s="918" t="s">
        <v>1850</v>
      </c>
      <c r="O1026" s="918"/>
      <c r="P1026" s="918"/>
    </row>
    <row r="1027" spans="1:16" ht="16.5" thickBot="1">
      <c r="A1027" s="72">
        <v>722</v>
      </c>
      <c r="B1027" s="80"/>
      <c r="C1027" s="74">
        <f>+D990</f>
        <v>231207671</v>
      </c>
      <c r="D1027" s="195">
        <f>+B1027+C1027</f>
        <v>231207671</v>
      </c>
      <c r="I1027" s="164" t="s">
        <v>181</v>
      </c>
      <c r="J1027" s="165"/>
      <c r="K1027" s="74">
        <f>+L990</f>
        <v>0</v>
      </c>
      <c r="L1027" s="196">
        <f>+J1027+K1027</f>
        <v>0</v>
      </c>
      <c r="N1027" s="52"/>
    </row>
    <row r="1028" spans="1:16" ht="16.5" thickBot="1">
      <c r="A1028" s="72">
        <v>723</v>
      </c>
      <c r="B1028" s="80"/>
      <c r="C1028" s="74" t="e">
        <f>+D991</f>
        <v>#REF!</v>
      </c>
      <c r="D1028" s="195" t="e">
        <f>+B1028+C1028</f>
        <v>#REF!</v>
      </c>
      <c r="F1028" s="174" t="s">
        <v>23</v>
      </c>
      <c r="G1028" s="175"/>
      <c r="I1028" s="169"/>
      <c r="J1028" s="197">
        <f>SUM(J1023:J1027)</f>
        <v>3109500</v>
      </c>
      <c r="K1028" s="197">
        <f>SUM(K1023:K1027)</f>
        <v>343076788</v>
      </c>
      <c r="L1028" s="198">
        <f>SUM(L1023:L1027)</f>
        <v>346186288</v>
      </c>
    </row>
    <row r="1029" spans="1:16" ht="16.5">
      <c r="A1029" s="49" t="s">
        <v>88</v>
      </c>
      <c r="B1029" s="50"/>
      <c r="I1029" s="49" t="s">
        <v>88</v>
      </c>
      <c r="J1029" s="50"/>
    </row>
    <row r="1030" spans="1:16">
      <c r="A1030" s="51" t="s">
        <v>89</v>
      </c>
      <c r="I1030" s="51" t="s">
        <v>89</v>
      </c>
    </row>
    <row r="1031" spans="1:16">
      <c r="A1031" s="51" t="s">
        <v>90</v>
      </c>
      <c r="I1031" s="51" t="s">
        <v>90</v>
      </c>
    </row>
    <row r="1032" spans="1:16">
      <c r="A1032" s="51" t="s">
        <v>91</v>
      </c>
      <c r="I1032" s="51" t="s">
        <v>91</v>
      </c>
    </row>
    <row r="1033" spans="1:16" ht="12" customHeight="1">
      <c r="A1033" s="50"/>
      <c r="B1033" s="50"/>
      <c r="I1033" s="50"/>
      <c r="J1033" s="50"/>
    </row>
    <row r="1034" spans="1:16" ht="16.5">
      <c r="A1034" s="52" t="s">
        <v>471</v>
      </c>
      <c r="G1034" s="52"/>
      <c r="I1034" s="260" t="s">
        <v>840</v>
      </c>
      <c r="O1034" s="52"/>
    </row>
    <row r="1035" spans="1:16" ht="15.75">
      <c r="A1035" s="53" t="s">
        <v>92</v>
      </c>
      <c r="G1035" s="53"/>
      <c r="I1035" s="53" t="s">
        <v>1702</v>
      </c>
      <c r="O1035" s="53"/>
    </row>
    <row r="1036" spans="1:16" ht="16.5">
      <c r="A1036" s="894" t="s">
        <v>462</v>
      </c>
      <c r="B1036" s="894"/>
      <c r="C1036" s="894"/>
      <c r="D1036" s="894"/>
      <c r="E1036" s="894"/>
      <c r="F1036" s="894"/>
      <c r="G1036" s="894"/>
      <c r="H1036" s="894"/>
      <c r="I1036" s="894" t="s">
        <v>1852</v>
      </c>
      <c r="J1036" s="894"/>
      <c r="K1036" s="894"/>
      <c r="L1036" s="894"/>
      <c r="M1036" s="894"/>
      <c r="N1036" s="894"/>
      <c r="O1036" s="894"/>
      <c r="P1036" s="894"/>
    </row>
    <row r="1037" spans="1:16" ht="11.25" customHeight="1" thickBot="1"/>
    <row r="1038" spans="1:16">
      <c r="A1038" s="895" t="s">
        <v>94</v>
      </c>
      <c r="B1038" s="897" t="s">
        <v>95</v>
      </c>
      <c r="C1038" s="897" t="s">
        <v>96</v>
      </c>
      <c r="D1038" s="897" t="s">
        <v>3</v>
      </c>
      <c r="E1038" s="897" t="s">
        <v>97</v>
      </c>
      <c r="F1038" s="897" t="s">
        <v>98</v>
      </c>
      <c r="G1038" s="897" t="s">
        <v>99</v>
      </c>
      <c r="H1038" s="899"/>
      <c r="I1038" s="895" t="s">
        <v>94</v>
      </c>
      <c r="J1038" s="897" t="s">
        <v>95</v>
      </c>
      <c r="K1038" s="897" t="s">
        <v>96</v>
      </c>
      <c r="L1038" s="897" t="s">
        <v>3</v>
      </c>
      <c r="M1038" s="897" t="s">
        <v>97</v>
      </c>
      <c r="N1038" s="897" t="s">
        <v>98</v>
      </c>
      <c r="O1038" s="897" t="s">
        <v>99</v>
      </c>
      <c r="P1038" s="899"/>
    </row>
    <row r="1039" spans="1:16" ht="15.75" thickBot="1">
      <c r="A1039" s="896"/>
      <c r="B1039" s="898"/>
      <c r="C1039" s="898"/>
      <c r="D1039" s="898"/>
      <c r="E1039" s="898"/>
      <c r="F1039" s="898"/>
      <c r="G1039" s="240" t="s">
        <v>100</v>
      </c>
      <c r="H1039" s="182" t="s">
        <v>101</v>
      </c>
      <c r="I1039" s="896"/>
      <c r="J1039" s="898"/>
      <c r="K1039" s="898"/>
      <c r="L1039" s="898"/>
      <c r="M1039" s="898"/>
      <c r="N1039" s="898"/>
      <c r="O1039" s="240" t="s">
        <v>100</v>
      </c>
      <c r="P1039" s="182" t="s">
        <v>101</v>
      </c>
    </row>
    <row r="1040" spans="1:16" ht="15" customHeight="1">
      <c r="A1040" s="881" t="e">
        <f>+A1013+1</f>
        <v>#REF!</v>
      </c>
      <c r="B1040" s="875">
        <v>42345</v>
      </c>
      <c r="C1040" s="877" t="s">
        <v>31</v>
      </c>
      <c r="D1040" s="881" t="s">
        <v>478</v>
      </c>
      <c r="E1040" s="881" t="s">
        <v>115</v>
      </c>
      <c r="F1040" s="883">
        <v>110000</v>
      </c>
      <c r="G1040" s="55">
        <v>719</v>
      </c>
      <c r="H1040" s="78">
        <f>+F1040</f>
        <v>110000</v>
      </c>
      <c r="I1040" s="873" t="s">
        <v>1856</v>
      </c>
      <c r="J1040" s="875">
        <v>43007</v>
      </c>
      <c r="K1040" s="877" t="s">
        <v>1315</v>
      </c>
      <c r="L1040" s="881" t="s">
        <v>1854</v>
      </c>
      <c r="M1040" s="881" t="s">
        <v>148</v>
      </c>
      <c r="N1040" s="883">
        <v>4005550</v>
      </c>
      <c r="O1040" s="55">
        <v>723</v>
      </c>
      <c r="P1040" s="78">
        <v>4005550</v>
      </c>
    </row>
    <row r="1041" spans="1:16" ht="15.75" customHeight="1" thickBot="1">
      <c r="A1041" s="882"/>
      <c r="B1041" s="876"/>
      <c r="C1041" s="878"/>
      <c r="D1041" s="882"/>
      <c r="E1041" s="882"/>
      <c r="F1041" s="884"/>
      <c r="G1041" s="56">
        <v>721</v>
      </c>
      <c r="H1041" s="79">
        <f>+F1040-H1040</f>
        <v>0</v>
      </c>
      <c r="I1041" s="874"/>
      <c r="J1041" s="876"/>
      <c r="K1041" s="878"/>
      <c r="L1041" s="882"/>
      <c r="M1041" s="882"/>
      <c r="N1041" s="884"/>
      <c r="O1041" s="56">
        <v>721</v>
      </c>
      <c r="P1041" s="79">
        <f>+N1040-P1040</f>
        <v>0</v>
      </c>
    </row>
    <row r="1042" spans="1:16" ht="12.75" customHeight="1">
      <c r="A1042" s="881" t="e">
        <f>+A1040+1</f>
        <v>#REF!</v>
      </c>
      <c r="B1042" s="875">
        <v>42345</v>
      </c>
      <c r="C1042" s="881" t="s">
        <v>472</v>
      </c>
      <c r="D1042" s="881" t="s">
        <v>479</v>
      </c>
      <c r="E1042" s="881" t="s">
        <v>115</v>
      </c>
      <c r="F1042" s="883">
        <v>60000</v>
      </c>
      <c r="G1042" s="55">
        <v>719</v>
      </c>
      <c r="H1042" s="78">
        <v>60000</v>
      </c>
      <c r="I1042" s="881">
        <f>+I1040+1</f>
        <v>111</v>
      </c>
      <c r="J1042" s="875">
        <v>43007</v>
      </c>
      <c r="K1042" s="877" t="s">
        <v>1853</v>
      </c>
      <c r="L1042" s="881" t="s">
        <v>1660</v>
      </c>
      <c r="M1042" s="881" t="s">
        <v>145</v>
      </c>
      <c r="N1042" s="883">
        <v>42881706</v>
      </c>
      <c r="O1042" s="55">
        <v>722</v>
      </c>
      <c r="P1042" s="78">
        <v>42881706</v>
      </c>
    </row>
    <row r="1043" spans="1:16" ht="15.75" customHeight="1" thickBot="1">
      <c r="A1043" s="882"/>
      <c r="B1043" s="876"/>
      <c r="C1043" s="882"/>
      <c r="D1043" s="882"/>
      <c r="E1043" s="882"/>
      <c r="F1043" s="884"/>
      <c r="G1043" s="56">
        <v>721</v>
      </c>
      <c r="H1043" s="79">
        <f>+F1042-H1042</f>
        <v>0</v>
      </c>
      <c r="I1043" s="882"/>
      <c r="J1043" s="876"/>
      <c r="K1043" s="878"/>
      <c r="L1043" s="882"/>
      <c r="M1043" s="882"/>
      <c r="N1043" s="884"/>
      <c r="O1043" s="56">
        <v>721</v>
      </c>
      <c r="P1043" s="79">
        <f>+N1042-P1042</f>
        <v>0</v>
      </c>
    </row>
    <row r="1044" spans="1:16" ht="15" customHeight="1">
      <c r="A1044" s="881"/>
      <c r="B1044" s="875"/>
      <c r="C1044" s="877"/>
      <c r="D1044" s="881"/>
      <c r="E1044" s="881"/>
      <c r="F1044" s="883"/>
      <c r="G1044" s="55">
        <v>719</v>
      </c>
      <c r="H1044" s="78"/>
      <c r="I1044" s="881">
        <f>+I1042+1</f>
        <v>112</v>
      </c>
      <c r="J1044" s="875">
        <v>43007</v>
      </c>
      <c r="K1044" s="877" t="s">
        <v>815</v>
      </c>
      <c r="L1044" s="881" t="s">
        <v>1855</v>
      </c>
      <c r="M1044" s="881" t="s">
        <v>775</v>
      </c>
      <c r="N1044" s="883">
        <v>1012500</v>
      </c>
      <c r="O1044" s="55">
        <v>719</v>
      </c>
      <c r="P1044" s="78">
        <v>750000</v>
      </c>
    </row>
    <row r="1045" spans="1:16" ht="15" customHeight="1" thickBot="1">
      <c r="A1045" s="882"/>
      <c r="B1045" s="876"/>
      <c r="C1045" s="878"/>
      <c r="D1045" s="882"/>
      <c r="E1045" s="882"/>
      <c r="F1045" s="884"/>
      <c r="G1045" s="56">
        <v>721</v>
      </c>
      <c r="H1045" s="79">
        <f>+F1044-H1044</f>
        <v>0</v>
      </c>
      <c r="I1045" s="882"/>
      <c r="J1045" s="876"/>
      <c r="K1045" s="878"/>
      <c r="L1045" s="882"/>
      <c r="M1045" s="882"/>
      <c r="N1045" s="884"/>
      <c r="O1045" s="56">
        <v>721</v>
      </c>
      <c r="P1045" s="79">
        <f>+N1044-P1044</f>
        <v>262500</v>
      </c>
    </row>
    <row r="1046" spans="1:16" ht="13.5" customHeight="1">
      <c r="A1046" s="881"/>
      <c r="B1046" s="875"/>
      <c r="C1046" s="877"/>
      <c r="D1046" s="881"/>
      <c r="E1046" s="881"/>
      <c r="F1046" s="883"/>
      <c r="G1046" s="55">
        <v>719</v>
      </c>
      <c r="H1046" s="78"/>
      <c r="I1046" s="881">
        <f>+I1044+1</f>
        <v>113</v>
      </c>
      <c r="J1046" s="875">
        <v>43007</v>
      </c>
      <c r="K1046" s="877" t="s">
        <v>899</v>
      </c>
      <c r="L1046" s="881" t="s">
        <v>1495</v>
      </c>
      <c r="M1046" s="881" t="s">
        <v>165</v>
      </c>
      <c r="N1046" s="883"/>
      <c r="O1046" s="55">
        <v>723</v>
      </c>
      <c r="P1046" s="78"/>
    </row>
    <row r="1047" spans="1:16" ht="14.25" customHeight="1" thickBot="1">
      <c r="A1047" s="882"/>
      <c r="B1047" s="876"/>
      <c r="C1047" s="878"/>
      <c r="D1047" s="882"/>
      <c r="E1047" s="882"/>
      <c r="F1047" s="884"/>
      <c r="G1047" s="56">
        <v>721</v>
      </c>
      <c r="H1047" s="79">
        <f>+F1046-H1046</f>
        <v>0</v>
      </c>
      <c r="I1047" s="882"/>
      <c r="J1047" s="876"/>
      <c r="K1047" s="878"/>
      <c r="L1047" s="882"/>
      <c r="M1047" s="882"/>
      <c r="N1047" s="884"/>
      <c r="O1047" s="56">
        <v>721</v>
      </c>
      <c r="P1047" s="79">
        <f>+N1046-P1046</f>
        <v>0</v>
      </c>
    </row>
    <row r="1048" spans="1:16" ht="16.5" thickBot="1">
      <c r="A1048" s="901" t="s">
        <v>102</v>
      </c>
      <c r="B1048" s="902"/>
      <c r="C1048" s="902"/>
      <c r="D1048" s="902"/>
      <c r="E1048" s="903"/>
      <c r="F1048" s="81">
        <f>SUM(F1040:F1047)</f>
        <v>170000</v>
      </c>
      <c r="I1048" s="901" t="s">
        <v>102</v>
      </c>
      <c r="J1048" s="902"/>
      <c r="K1048" s="902"/>
      <c r="L1048" s="902"/>
      <c r="M1048" s="903"/>
      <c r="N1048" s="81">
        <f>SUM(N1040:N1047)</f>
        <v>47899756</v>
      </c>
    </row>
    <row r="1049" spans="1:16" ht="16.5" thickBot="1">
      <c r="A1049" s="885" t="s">
        <v>103</v>
      </c>
      <c r="B1049" s="886"/>
      <c r="C1049" s="886"/>
      <c r="D1049" s="886"/>
      <c r="E1049" s="887"/>
      <c r="F1049" s="69">
        <f>+F1017</f>
        <v>657957638</v>
      </c>
      <c r="I1049" s="885" t="s">
        <v>103</v>
      </c>
      <c r="J1049" s="886"/>
      <c r="K1049" s="886"/>
      <c r="L1049" s="886"/>
      <c r="M1049" s="887"/>
      <c r="N1049" s="69">
        <f>+N1015</f>
        <v>346186288</v>
      </c>
      <c r="O1049" s="241" t="s">
        <v>561</v>
      </c>
      <c r="P1049" s="242"/>
    </row>
    <row r="1050" spans="1:16" ht="16.5" thickBot="1">
      <c r="A1050" s="888" t="s">
        <v>104</v>
      </c>
      <c r="B1050" s="889"/>
      <c r="C1050" s="889"/>
      <c r="D1050" s="889"/>
      <c r="E1050" s="890"/>
      <c r="F1050" s="183">
        <f>SUM(F1048:F1049)</f>
        <v>658127638</v>
      </c>
      <c r="I1050" s="888" t="s">
        <v>104</v>
      </c>
      <c r="J1050" s="889"/>
      <c r="K1050" s="889"/>
      <c r="L1050" s="889"/>
      <c r="M1050" s="890"/>
      <c r="N1050" s="183">
        <f>SUM(N1048:N1049)</f>
        <v>394086044</v>
      </c>
    </row>
    <row r="1051" spans="1:16" ht="11.25" customHeight="1">
      <c r="A1051" s="61"/>
      <c r="B1051" s="61"/>
      <c r="C1051" s="61"/>
      <c r="D1051" s="61"/>
      <c r="E1051" s="61"/>
      <c r="I1051" s="61"/>
      <c r="J1051" s="61"/>
      <c r="K1051" s="61"/>
      <c r="L1051" s="61"/>
      <c r="M1051" s="61"/>
    </row>
    <row r="1052" spans="1:16">
      <c r="A1052" s="51" t="s">
        <v>480</v>
      </c>
      <c r="I1052" s="51" t="s">
        <v>849</v>
      </c>
    </row>
    <row r="1053" spans="1:16" ht="9.75" customHeight="1">
      <c r="F1053" s="139"/>
      <c r="N1053" s="139"/>
    </row>
    <row r="1054" spans="1:16">
      <c r="A1054" s="50" t="s">
        <v>105</v>
      </c>
      <c r="D1054" s="146"/>
      <c r="F1054" s="139"/>
      <c r="I1054" s="50" t="s">
        <v>105</v>
      </c>
      <c r="L1054" s="146"/>
      <c r="N1054" s="139"/>
    </row>
    <row r="1055" spans="1:16" ht="12" customHeight="1" thickBot="1"/>
    <row r="1056" spans="1:16" ht="15.75" thickBot="1">
      <c r="A1056" s="891" t="s">
        <v>106</v>
      </c>
      <c r="B1056" s="892"/>
      <c r="C1056" s="892"/>
      <c r="D1056" s="893"/>
      <c r="F1056" s="50" t="s">
        <v>288</v>
      </c>
      <c r="I1056" s="891" t="s">
        <v>106</v>
      </c>
      <c r="J1056" s="892"/>
      <c r="K1056" s="892"/>
      <c r="L1056" s="893"/>
      <c r="N1056" s="50" t="s">
        <v>1126</v>
      </c>
    </row>
    <row r="1057" spans="1:16" ht="30.75" thickBot="1">
      <c r="A1057" s="57" t="s">
        <v>100</v>
      </c>
      <c r="B1057" s="58" t="s">
        <v>108</v>
      </c>
      <c r="C1057" s="59" t="s">
        <v>109</v>
      </c>
      <c r="D1057" s="60" t="s">
        <v>110</v>
      </c>
      <c r="I1057" s="57" t="s">
        <v>100</v>
      </c>
      <c r="J1057" s="58" t="s">
        <v>108</v>
      </c>
      <c r="K1057" s="59" t="s">
        <v>109</v>
      </c>
      <c r="L1057" s="60" t="s">
        <v>110</v>
      </c>
    </row>
    <row r="1058" spans="1:16" ht="13.5" customHeight="1">
      <c r="A1058" s="71">
        <v>719</v>
      </c>
      <c r="B1058" s="73" t="e">
        <f>+H1040+H1042+H1044+#REF!</f>
        <v>#REF!</v>
      </c>
      <c r="C1058" s="74" t="e">
        <f>+D1025</f>
        <v>#REF!</v>
      </c>
      <c r="D1058" s="195" t="e">
        <f>+B1058+C1058</f>
        <v>#REF!</v>
      </c>
      <c r="I1058" s="71">
        <v>719</v>
      </c>
      <c r="J1058" s="73">
        <f>+P1044</f>
        <v>750000</v>
      </c>
      <c r="K1058" s="74">
        <f>+L1023</f>
        <v>20780000</v>
      </c>
      <c r="L1058" s="195">
        <f>+J1058+K1058</f>
        <v>21530000</v>
      </c>
    </row>
    <row r="1059" spans="1:16" ht="13.5" customHeight="1">
      <c r="A1059" s="72">
        <v>721</v>
      </c>
      <c r="B1059" s="80">
        <f>+H1041</f>
        <v>0</v>
      </c>
      <c r="C1059" s="74" t="e">
        <f>+D1026</f>
        <v>#REF!</v>
      </c>
      <c r="D1059" s="195" t="e">
        <f>+B1059+C1059</f>
        <v>#REF!</v>
      </c>
      <c r="I1059" s="72">
        <v>721</v>
      </c>
      <c r="J1059" s="80">
        <f>+P1045</f>
        <v>262500</v>
      </c>
      <c r="K1059" s="74">
        <f>+L1024</f>
        <v>12687500</v>
      </c>
      <c r="L1059" s="195">
        <f>+J1059+K1059</f>
        <v>12950000</v>
      </c>
    </row>
    <row r="1060" spans="1:16">
      <c r="A1060" s="72">
        <v>722</v>
      </c>
      <c r="B1060" s="80"/>
      <c r="C1060" s="74">
        <f>+D1027</f>
        <v>231207671</v>
      </c>
      <c r="D1060" s="195">
        <f>+B1060+C1060</f>
        <v>231207671</v>
      </c>
      <c r="I1060" s="72">
        <v>722</v>
      </c>
      <c r="J1060" s="80">
        <f>+P1042</f>
        <v>42881706</v>
      </c>
      <c r="K1060" s="74">
        <f>+L1025</f>
        <v>0</v>
      </c>
      <c r="L1060" s="195">
        <f>+J1060+K1060</f>
        <v>42881706</v>
      </c>
    </row>
    <row r="1061" spans="1:16" ht="14.25" customHeight="1">
      <c r="A1061" s="72">
        <v>723</v>
      </c>
      <c r="B1061" s="80"/>
      <c r="C1061" s="74" t="e">
        <f>+D1028</f>
        <v>#REF!</v>
      </c>
      <c r="D1061" s="195" t="e">
        <f>+B1061+C1061</f>
        <v>#REF!</v>
      </c>
      <c r="F1061" s="174" t="s">
        <v>23</v>
      </c>
      <c r="G1061" s="175"/>
      <c r="I1061" s="72">
        <v>723</v>
      </c>
      <c r="J1061" s="80">
        <f>+P1040</f>
        <v>4005550</v>
      </c>
      <c r="K1061" s="74">
        <f>+L1026</f>
        <v>312718788</v>
      </c>
      <c r="L1061" s="195">
        <f>+J1061+K1061</f>
        <v>316724338</v>
      </c>
      <c r="N1061" s="918" t="s">
        <v>1857</v>
      </c>
      <c r="O1061" s="918"/>
      <c r="P1061" s="918"/>
    </row>
    <row r="1062" spans="1:16" ht="13.5" customHeight="1" thickBot="1">
      <c r="A1062" s="164" t="s">
        <v>181</v>
      </c>
      <c r="B1062" s="165"/>
      <c r="C1062" s="74" t="e">
        <f>+#REF!</f>
        <v>#REF!</v>
      </c>
      <c r="D1062" s="196" t="e">
        <f>+B1062+C1062</f>
        <v>#REF!</v>
      </c>
      <c r="F1062" s="52"/>
      <c r="I1062" s="164" t="s">
        <v>181</v>
      </c>
      <c r="J1062" s="165"/>
      <c r="K1062" s="74">
        <f>+L1027</f>
        <v>0</v>
      </c>
      <c r="L1062" s="196">
        <f>+J1062+K1062</f>
        <v>0</v>
      </c>
      <c r="N1062" s="52"/>
    </row>
    <row r="1063" spans="1:16" ht="16.5" thickBot="1">
      <c r="A1063" s="169"/>
      <c r="B1063" s="170" t="e">
        <f>SUM(B1058:B1062)</f>
        <v>#REF!</v>
      </c>
      <c r="C1063" s="171" t="e">
        <f>SUM(C1058:C1062)</f>
        <v>#REF!</v>
      </c>
      <c r="D1063" s="172" t="e">
        <f>SUM(D1058:D1062)</f>
        <v>#REF!</v>
      </c>
      <c r="I1063" s="169"/>
      <c r="J1063" s="197">
        <f>SUM(J1058:J1062)</f>
        <v>47899756</v>
      </c>
      <c r="K1063" s="197">
        <f>SUM(K1058:K1062)</f>
        <v>346186288</v>
      </c>
      <c r="L1063" s="198">
        <f>SUM(L1058:L1062)</f>
        <v>394086044</v>
      </c>
    </row>
    <row r="1064" spans="1:16" ht="16.5">
      <c r="A1064" s="49" t="s">
        <v>88</v>
      </c>
      <c r="B1064" s="50"/>
      <c r="I1064" s="49" t="s">
        <v>88</v>
      </c>
      <c r="J1064" s="50"/>
    </row>
    <row r="1065" spans="1:16">
      <c r="A1065" s="51" t="s">
        <v>89</v>
      </c>
      <c r="I1065" s="51" t="s">
        <v>89</v>
      </c>
    </row>
    <row r="1066" spans="1:16">
      <c r="A1066" s="51" t="s">
        <v>90</v>
      </c>
      <c r="I1066" s="51" t="s">
        <v>90</v>
      </c>
    </row>
    <row r="1067" spans="1:16">
      <c r="A1067" s="51" t="s">
        <v>91</v>
      </c>
      <c r="I1067" s="51" t="s">
        <v>91</v>
      </c>
    </row>
    <row r="1068" spans="1:16" ht="12.75" customHeight="1">
      <c r="A1068" s="50"/>
      <c r="B1068" s="50"/>
      <c r="I1068" s="50"/>
      <c r="J1068" s="50"/>
    </row>
    <row r="1069" spans="1:16" ht="16.5">
      <c r="A1069" s="52" t="s">
        <v>473</v>
      </c>
      <c r="G1069" s="52"/>
      <c r="I1069" s="260" t="s">
        <v>841</v>
      </c>
      <c r="O1069" s="52"/>
    </row>
    <row r="1070" spans="1:16" ht="15.75">
      <c r="A1070" s="53" t="s">
        <v>92</v>
      </c>
      <c r="G1070" s="53"/>
      <c r="I1070" s="53" t="s">
        <v>1702</v>
      </c>
      <c r="O1070" s="53"/>
    </row>
    <row r="1071" spans="1:16" ht="16.5">
      <c r="A1071" s="894" t="s">
        <v>462</v>
      </c>
      <c r="B1071" s="894"/>
      <c r="C1071" s="894"/>
      <c r="D1071" s="894"/>
      <c r="E1071" s="894"/>
      <c r="F1071" s="894"/>
      <c r="G1071" s="894"/>
      <c r="H1071" s="894"/>
      <c r="I1071" s="894" t="s">
        <v>261</v>
      </c>
      <c r="J1071" s="894"/>
      <c r="K1071" s="894"/>
      <c r="L1071" s="894"/>
      <c r="M1071" s="894"/>
      <c r="N1071" s="894"/>
      <c r="O1071" s="894"/>
      <c r="P1071" s="894"/>
    </row>
    <row r="1072" spans="1:16" ht="15.75" thickBot="1"/>
    <row r="1073" spans="1:16">
      <c r="A1073" s="895" t="s">
        <v>94</v>
      </c>
      <c r="B1073" s="897" t="s">
        <v>95</v>
      </c>
      <c r="C1073" s="897" t="s">
        <v>96</v>
      </c>
      <c r="D1073" s="897" t="s">
        <v>3</v>
      </c>
      <c r="E1073" s="897" t="s">
        <v>97</v>
      </c>
      <c r="F1073" s="897" t="s">
        <v>98</v>
      </c>
      <c r="G1073" s="897" t="s">
        <v>99</v>
      </c>
      <c r="H1073" s="899"/>
      <c r="I1073" s="895" t="s">
        <v>94</v>
      </c>
      <c r="J1073" s="897" t="s">
        <v>95</v>
      </c>
      <c r="K1073" s="897" t="s">
        <v>96</v>
      </c>
      <c r="L1073" s="897" t="s">
        <v>3</v>
      </c>
      <c r="M1073" s="897" t="s">
        <v>97</v>
      </c>
      <c r="N1073" s="897" t="s">
        <v>98</v>
      </c>
      <c r="O1073" s="897" t="s">
        <v>99</v>
      </c>
      <c r="P1073" s="899"/>
    </row>
    <row r="1074" spans="1:16" ht="15.75" thickBot="1">
      <c r="A1074" s="896"/>
      <c r="B1074" s="898"/>
      <c r="C1074" s="898"/>
      <c r="D1074" s="898"/>
      <c r="E1074" s="898"/>
      <c r="F1074" s="898"/>
      <c r="G1074" s="240" t="s">
        <v>100</v>
      </c>
      <c r="H1074" s="182" t="s">
        <v>101</v>
      </c>
      <c r="I1074" s="896"/>
      <c r="J1074" s="898"/>
      <c r="K1074" s="898"/>
      <c r="L1074" s="898"/>
      <c r="M1074" s="898"/>
      <c r="N1074" s="898"/>
      <c r="O1074" s="240" t="s">
        <v>100</v>
      </c>
      <c r="P1074" s="182" t="s">
        <v>101</v>
      </c>
    </row>
    <row r="1075" spans="1:16" ht="15" customHeight="1">
      <c r="A1075" s="881" t="e">
        <f>+A1042+1</f>
        <v>#REF!</v>
      </c>
      <c r="B1075" s="875">
        <v>42345</v>
      </c>
      <c r="C1075" s="877" t="s">
        <v>267</v>
      </c>
      <c r="D1075" s="881" t="s">
        <v>481</v>
      </c>
      <c r="E1075" s="881" t="s">
        <v>148</v>
      </c>
      <c r="F1075" s="883">
        <v>182000</v>
      </c>
      <c r="G1075" s="55">
        <v>719</v>
      </c>
      <c r="H1075" s="78">
        <v>130000</v>
      </c>
      <c r="I1075" s="873" t="s">
        <v>1604</v>
      </c>
      <c r="J1075" s="875">
        <v>43817</v>
      </c>
      <c r="K1075" s="881" t="s">
        <v>815</v>
      </c>
      <c r="L1075" s="881" t="s">
        <v>1858</v>
      </c>
      <c r="M1075" s="881" t="s">
        <v>115</v>
      </c>
      <c r="N1075" s="883">
        <v>945000</v>
      </c>
      <c r="O1075" s="55">
        <v>719</v>
      </c>
      <c r="P1075" s="78">
        <v>700000</v>
      </c>
    </row>
    <row r="1076" spans="1:16" ht="13.5" customHeight="1" thickBot="1">
      <c r="A1076" s="882"/>
      <c r="B1076" s="876"/>
      <c r="C1076" s="878"/>
      <c r="D1076" s="882"/>
      <c r="E1076" s="882"/>
      <c r="F1076" s="884"/>
      <c r="G1076" s="56">
        <v>721</v>
      </c>
      <c r="H1076" s="79">
        <f>+F1075-H1075</f>
        <v>52000</v>
      </c>
      <c r="I1076" s="874"/>
      <c r="J1076" s="876"/>
      <c r="K1076" s="882"/>
      <c r="L1076" s="882"/>
      <c r="M1076" s="882"/>
      <c r="N1076" s="884"/>
      <c r="O1076" s="56">
        <v>721</v>
      </c>
      <c r="P1076" s="79">
        <f>+N1075-P1075</f>
        <v>245000</v>
      </c>
    </row>
    <row r="1077" spans="1:16" ht="12.75" customHeight="1">
      <c r="A1077" s="881" t="e">
        <f>+A1075+1</f>
        <v>#REF!</v>
      </c>
      <c r="B1077" s="875">
        <v>42345</v>
      </c>
      <c r="C1077" s="881" t="s">
        <v>28</v>
      </c>
      <c r="D1077" s="881" t="s">
        <v>482</v>
      </c>
      <c r="E1077" s="881" t="s">
        <v>148</v>
      </c>
      <c r="F1077" s="883">
        <v>266000</v>
      </c>
      <c r="G1077" s="55">
        <v>719</v>
      </c>
      <c r="H1077" s="78">
        <v>190000</v>
      </c>
      <c r="I1077" s="881">
        <f>+I1075+1</f>
        <v>115</v>
      </c>
      <c r="J1077" s="875">
        <v>43817</v>
      </c>
      <c r="K1077" s="910" t="s">
        <v>1864</v>
      </c>
      <c r="L1077" s="881" t="s">
        <v>1859</v>
      </c>
      <c r="M1077" s="881" t="s">
        <v>148</v>
      </c>
      <c r="N1077" s="883">
        <v>500000</v>
      </c>
      <c r="O1077" s="55">
        <v>719</v>
      </c>
      <c r="P1077" s="78">
        <v>500000</v>
      </c>
    </row>
    <row r="1078" spans="1:16" ht="13.5" customHeight="1" thickBot="1">
      <c r="A1078" s="882"/>
      <c r="B1078" s="876"/>
      <c r="C1078" s="882"/>
      <c r="D1078" s="882"/>
      <c r="E1078" s="882"/>
      <c r="F1078" s="884"/>
      <c r="G1078" s="56">
        <v>721</v>
      </c>
      <c r="H1078" s="79">
        <f>+F1077-H1077</f>
        <v>76000</v>
      </c>
      <c r="I1078" s="882"/>
      <c r="J1078" s="876"/>
      <c r="K1078" s="911"/>
      <c r="L1078" s="882"/>
      <c r="M1078" s="882"/>
      <c r="N1078" s="884"/>
      <c r="O1078" s="56">
        <v>721</v>
      </c>
      <c r="P1078" s="79">
        <f>+N1077-P1077</f>
        <v>0</v>
      </c>
    </row>
    <row r="1079" spans="1:16" ht="13.5" customHeight="1">
      <c r="A1079" s="881" t="e">
        <f>+A1077+1</f>
        <v>#REF!</v>
      </c>
      <c r="B1079" s="875">
        <v>42345</v>
      </c>
      <c r="C1079" s="877" t="s">
        <v>32</v>
      </c>
      <c r="D1079" s="881" t="s">
        <v>481</v>
      </c>
      <c r="E1079" s="881" t="s">
        <v>148</v>
      </c>
      <c r="F1079" s="883">
        <v>70000</v>
      </c>
      <c r="G1079" s="55">
        <v>719</v>
      </c>
      <c r="H1079" s="78">
        <v>50000</v>
      </c>
      <c r="I1079" s="881">
        <f>+I1077+1</f>
        <v>116</v>
      </c>
      <c r="J1079" s="875">
        <v>43817</v>
      </c>
      <c r="K1079" s="877" t="s">
        <v>111</v>
      </c>
      <c r="L1079" s="881" t="s">
        <v>1860</v>
      </c>
      <c r="M1079" s="881" t="s">
        <v>148</v>
      </c>
      <c r="N1079" s="883">
        <v>580000</v>
      </c>
      <c r="O1079" s="55">
        <v>719</v>
      </c>
      <c r="P1079" s="78">
        <v>580000</v>
      </c>
    </row>
    <row r="1080" spans="1:16" ht="12.75" customHeight="1" thickBot="1">
      <c r="A1080" s="882"/>
      <c r="B1080" s="876"/>
      <c r="C1080" s="878"/>
      <c r="D1080" s="882"/>
      <c r="E1080" s="882"/>
      <c r="F1080" s="884"/>
      <c r="G1080" s="56">
        <v>721</v>
      </c>
      <c r="H1080" s="79">
        <f>+F1079-H1079</f>
        <v>20000</v>
      </c>
      <c r="I1080" s="882"/>
      <c r="J1080" s="876"/>
      <c r="K1080" s="878"/>
      <c r="L1080" s="882"/>
      <c r="M1080" s="882"/>
      <c r="N1080" s="884"/>
      <c r="O1080" s="56">
        <v>721</v>
      </c>
      <c r="P1080" s="79">
        <f>+N1079-P1079</f>
        <v>0</v>
      </c>
    </row>
    <row r="1081" spans="1:16" ht="12.75" customHeight="1">
      <c r="A1081" s="251"/>
      <c r="B1081" s="252"/>
      <c r="C1081" s="253"/>
      <c r="D1081" s="251"/>
      <c r="E1081" s="251"/>
      <c r="F1081" s="254"/>
      <c r="G1081" s="255"/>
      <c r="H1081" s="256"/>
      <c r="I1081" s="881">
        <f>+I1079+1</f>
        <v>117</v>
      </c>
      <c r="J1081" s="875">
        <v>43817</v>
      </c>
      <c r="K1081" s="877" t="s">
        <v>267</v>
      </c>
      <c r="L1081" s="881" t="s">
        <v>1861</v>
      </c>
      <c r="M1081" s="881" t="s">
        <v>148</v>
      </c>
      <c r="N1081" s="883">
        <v>440000</v>
      </c>
      <c r="O1081" s="55">
        <v>719</v>
      </c>
      <c r="P1081" s="78">
        <v>440000</v>
      </c>
    </row>
    <row r="1082" spans="1:16" ht="12.75" customHeight="1" thickBot="1">
      <c r="A1082" s="251"/>
      <c r="B1082" s="252"/>
      <c r="C1082" s="253"/>
      <c r="D1082" s="251"/>
      <c r="E1082" s="251"/>
      <c r="F1082" s="254"/>
      <c r="G1082" s="255"/>
      <c r="H1082" s="256"/>
      <c r="I1082" s="882"/>
      <c r="J1082" s="876"/>
      <c r="K1082" s="878"/>
      <c r="L1082" s="882"/>
      <c r="M1082" s="882"/>
      <c r="N1082" s="884"/>
      <c r="O1082" s="56">
        <v>721</v>
      </c>
      <c r="P1082" s="79">
        <f>+N1081-P1081</f>
        <v>0</v>
      </c>
    </row>
    <row r="1083" spans="1:16" ht="12.75" customHeight="1">
      <c r="A1083" s="251"/>
      <c r="B1083" s="252"/>
      <c r="C1083" s="253"/>
      <c r="D1083" s="251"/>
      <c r="E1083" s="251"/>
      <c r="F1083" s="254"/>
      <c r="G1083" s="255"/>
      <c r="H1083" s="256"/>
      <c r="I1083" s="881">
        <f>+I1081+1</f>
        <v>118</v>
      </c>
      <c r="J1083" s="875">
        <v>43817</v>
      </c>
      <c r="K1083" s="877" t="s">
        <v>1079</v>
      </c>
      <c r="L1083" s="881" t="s">
        <v>1863</v>
      </c>
      <c r="M1083" s="881" t="s">
        <v>148</v>
      </c>
      <c r="N1083" s="883">
        <v>3280000</v>
      </c>
      <c r="O1083" s="55">
        <v>719</v>
      </c>
      <c r="P1083" s="78">
        <v>3280000</v>
      </c>
    </row>
    <row r="1084" spans="1:16" ht="12.75" customHeight="1" thickBot="1">
      <c r="A1084" s="251"/>
      <c r="B1084" s="252"/>
      <c r="C1084" s="253"/>
      <c r="D1084" s="251"/>
      <c r="E1084" s="251"/>
      <c r="F1084" s="254"/>
      <c r="G1084" s="255"/>
      <c r="H1084" s="256"/>
      <c r="I1084" s="882"/>
      <c r="J1084" s="876"/>
      <c r="K1084" s="878"/>
      <c r="L1084" s="882"/>
      <c r="M1084" s="882"/>
      <c r="N1084" s="884"/>
      <c r="O1084" s="56">
        <v>721</v>
      </c>
      <c r="P1084" s="79">
        <f>+N1083-P1083</f>
        <v>0</v>
      </c>
    </row>
    <row r="1085" spans="1:16" ht="12.75" customHeight="1">
      <c r="A1085" s="251"/>
      <c r="B1085" s="252"/>
      <c r="C1085" s="253"/>
      <c r="D1085" s="251"/>
      <c r="E1085" s="251"/>
      <c r="F1085" s="254"/>
      <c r="G1085" s="255"/>
      <c r="H1085" s="256"/>
      <c r="I1085" s="881">
        <f>+I1083+1</f>
        <v>119</v>
      </c>
      <c r="J1085" s="875">
        <v>43817</v>
      </c>
      <c r="K1085" s="877" t="s">
        <v>1315</v>
      </c>
      <c r="L1085" s="881" t="s">
        <v>1858</v>
      </c>
      <c r="M1085" s="881" t="s">
        <v>148</v>
      </c>
      <c r="N1085" s="883">
        <v>1803150</v>
      </c>
      <c r="O1085" s="55">
        <v>723</v>
      </c>
      <c r="P1085" s="78">
        <v>1803150</v>
      </c>
    </row>
    <row r="1086" spans="1:16" ht="12.75" customHeight="1" thickBot="1">
      <c r="A1086" s="251"/>
      <c r="B1086" s="252"/>
      <c r="C1086" s="253"/>
      <c r="D1086" s="251"/>
      <c r="E1086" s="251"/>
      <c r="F1086" s="254"/>
      <c r="G1086" s="255"/>
      <c r="H1086" s="256"/>
      <c r="I1086" s="882"/>
      <c r="J1086" s="876"/>
      <c r="K1086" s="878"/>
      <c r="L1086" s="882"/>
      <c r="M1086" s="882"/>
      <c r="N1086" s="884"/>
      <c r="O1086" s="56">
        <v>721</v>
      </c>
      <c r="P1086" s="79">
        <f>+N1085-P1085</f>
        <v>0</v>
      </c>
    </row>
    <row r="1087" spans="1:16" ht="16.5" thickBot="1">
      <c r="A1087" s="901" t="s">
        <v>102</v>
      </c>
      <c r="B1087" s="902"/>
      <c r="C1087" s="902"/>
      <c r="D1087" s="902"/>
      <c r="E1087" s="903"/>
      <c r="F1087" s="81">
        <f>SUM(F1075:F1086)</f>
        <v>518000</v>
      </c>
      <c r="I1087" s="901" t="s">
        <v>102</v>
      </c>
      <c r="J1087" s="902"/>
      <c r="K1087" s="902"/>
      <c r="L1087" s="902"/>
      <c r="M1087" s="903"/>
      <c r="N1087" s="81">
        <f>SUM(N1075:N1086)</f>
        <v>7548150</v>
      </c>
    </row>
    <row r="1088" spans="1:16" ht="16.5" thickBot="1">
      <c r="A1088" s="885" t="s">
        <v>103</v>
      </c>
      <c r="B1088" s="886"/>
      <c r="C1088" s="886"/>
      <c r="D1088" s="886"/>
      <c r="E1088" s="887"/>
      <c r="F1088" s="69">
        <f>+F1050</f>
        <v>658127638</v>
      </c>
      <c r="I1088" s="885" t="s">
        <v>103</v>
      </c>
      <c r="J1088" s="886"/>
      <c r="K1088" s="886"/>
      <c r="L1088" s="886"/>
      <c r="M1088" s="887"/>
      <c r="N1088" s="69">
        <f>+N1050</f>
        <v>394086044</v>
      </c>
      <c r="O1088" s="241" t="s">
        <v>561</v>
      </c>
      <c r="P1088" s="242"/>
    </row>
    <row r="1089" spans="1:16" ht="16.5" thickBot="1">
      <c r="A1089" s="888" t="s">
        <v>104</v>
      </c>
      <c r="B1089" s="889"/>
      <c r="C1089" s="889"/>
      <c r="D1089" s="889"/>
      <c r="E1089" s="890"/>
      <c r="F1089" s="183">
        <f>SUM(F1087:F1088)</f>
        <v>658645638</v>
      </c>
      <c r="I1089" s="888" t="s">
        <v>104</v>
      </c>
      <c r="J1089" s="889"/>
      <c r="K1089" s="889"/>
      <c r="L1089" s="889"/>
      <c r="M1089" s="890"/>
      <c r="N1089" s="183">
        <f>SUM(N1087:N1088)</f>
        <v>401634194</v>
      </c>
    </row>
    <row r="1090" spans="1:16" ht="12.75" customHeight="1">
      <c r="A1090" s="61"/>
      <c r="B1090" s="61"/>
      <c r="C1090" s="61"/>
      <c r="D1090" s="61"/>
      <c r="E1090" s="61"/>
      <c r="I1090" s="61"/>
      <c r="J1090" s="61"/>
      <c r="K1090" s="61"/>
      <c r="L1090" s="61"/>
      <c r="M1090" s="61"/>
    </row>
    <row r="1091" spans="1:16">
      <c r="A1091" s="51" t="s">
        <v>484</v>
      </c>
      <c r="I1091" s="51" t="s">
        <v>1865</v>
      </c>
    </row>
    <row r="1092" spans="1:16" ht="7.5" customHeight="1">
      <c r="F1092" s="139"/>
      <c r="N1092" s="139"/>
    </row>
    <row r="1093" spans="1:16">
      <c r="A1093" s="50" t="s">
        <v>105</v>
      </c>
      <c r="D1093" s="146"/>
      <c r="F1093" s="139"/>
      <c r="I1093" s="50" t="s">
        <v>105</v>
      </c>
      <c r="L1093" s="146"/>
      <c r="N1093" s="139"/>
    </row>
    <row r="1094" spans="1:16" ht="13.5" customHeight="1" thickBot="1"/>
    <row r="1095" spans="1:16" ht="15.75" thickBot="1">
      <c r="A1095" s="891" t="s">
        <v>106</v>
      </c>
      <c r="B1095" s="892"/>
      <c r="C1095" s="892"/>
      <c r="D1095" s="893"/>
      <c r="F1095" s="50" t="s">
        <v>288</v>
      </c>
      <c r="I1095" s="891" t="s">
        <v>106</v>
      </c>
      <c r="J1095" s="892"/>
      <c r="K1095" s="892"/>
      <c r="L1095" s="893"/>
      <c r="N1095" s="925" t="s">
        <v>288</v>
      </c>
      <c r="O1095" s="925"/>
      <c r="P1095" s="925"/>
    </row>
    <row r="1096" spans="1:16" ht="30.75" thickBot="1">
      <c r="A1096" s="57" t="s">
        <v>100</v>
      </c>
      <c r="B1096" s="58" t="s">
        <v>108</v>
      </c>
      <c r="C1096" s="59" t="s">
        <v>109</v>
      </c>
      <c r="D1096" s="60" t="s">
        <v>110</v>
      </c>
      <c r="I1096" s="57" t="s">
        <v>100</v>
      </c>
      <c r="J1096" s="58" t="s">
        <v>108</v>
      </c>
      <c r="K1096" s="59" t="s">
        <v>109</v>
      </c>
      <c r="L1096" s="60" t="s">
        <v>110</v>
      </c>
    </row>
    <row r="1097" spans="1:16">
      <c r="A1097" s="71">
        <v>719</v>
      </c>
      <c r="B1097" s="73" t="e">
        <f>+H1075+H1077+H1079+#REF!+#REF!</f>
        <v>#REF!</v>
      </c>
      <c r="C1097" s="74" t="e">
        <f>+D1058</f>
        <v>#REF!</v>
      </c>
      <c r="D1097" s="195" t="e">
        <f>+B1097+C1097</f>
        <v>#REF!</v>
      </c>
      <c r="I1097" s="71">
        <v>719</v>
      </c>
      <c r="J1097" s="73">
        <f>+P1075+P1079+P1081+P1077+P1083</f>
        <v>5500000</v>
      </c>
      <c r="K1097" s="74">
        <f>+L1058</f>
        <v>21530000</v>
      </c>
      <c r="L1097" s="195">
        <f>+J1097+K1097</f>
        <v>27030000</v>
      </c>
    </row>
    <row r="1098" spans="1:16" ht="12.75" customHeight="1">
      <c r="A1098" s="72">
        <v>721</v>
      </c>
      <c r="B1098" s="80" t="e">
        <f>+#REF!+#REF!+H1080+H1078+H1076</f>
        <v>#REF!</v>
      </c>
      <c r="C1098" s="74" t="e">
        <f>+D1059</f>
        <v>#REF!</v>
      </c>
      <c r="D1098" s="195" t="e">
        <f>+B1098+C1098</f>
        <v>#REF!</v>
      </c>
      <c r="I1098" s="72">
        <v>721</v>
      </c>
      <c r="J1098" s="80">
        <f>+P1076+P1078+P1080</f>
        <v>245000</v>
      </c>
      <c r="K1098" s="74">
        <f>+L1059</f>
        <v>12950000</v>
      </c>
      <c r="L1098" s="195">
        <f>+J1098+K1098</f>
        <v>13195000</v>
      </c>
    </row>
    <row r="1099" spans="1:16" ht="13.5" customHeight="1">
      <c r="A1099" s="72">
        <v>722</v>
      </c>
      <c r="B1099" s="80"/>
      <c r="C1099" s="74">
        <f>+D1060</f>
        <v>231207671</v>
      </c>
      <c r="D1099" s="195">
        <f>+B1099+C1099</f>
        <v>231207671</v>
      </c>
      <c r="I1099" s="72">
        <v>722</v>
      </c>
      <c r="J1099" s="80"/>
      <c r="K1099" s="74">
        <f>+L1060</f>
        <v>42881706</v>
      </c>
      <c r="L1099" s="195">
        <f>+J1099+K1099</f>
        <v>42881706</v>
      </c>
    </row>
    <row r="1100" spans="1:16" ht="13.5" customHeight="1">
      <c r="A1100" s="72">
        <v>723</v>
      </c>
      <c r="B1100" s="80"/>
      <c r="C1100" s="74" t="e">
        <f>+D1061</f>
        <v>#REF!</v>
      </c>
      <c r="D1100" s="195" t="e">
        <f>+B1100+C1100</f>
        <v>#REF!</v>
      </c>
      <c r="F1100" s="174" t="s">
        <v>23</v>
      </c>
      <c r="G1100" s="175"/>
      <c r="I1100" s="72">
        <v>723</v>
      </c>
      <c r="J1100" s="80">
        <f>+P1085</f>
        <v>1803150</v>
      </c>
      <c r="K1100" s="74">
        <f>+L1061</f>
        <v>316724338</v>
      </c>
      <c r="L1100" s="195">
        <f>+J1100+K1100</f>
        <v>318527488</v>
      </c>
      <c r="N1100" s="918" t="s">
        <v>1862</v>
      </c>
      <c r="O1100" s="918"/>
      <c r="P1100" s="918"/>
    </row>
    <row r="1101" spans="1:16" ht="14.25" customHeight="1" thickBot="1">
      <c r="A1101" s="164" t="s">
        <v>181</v>
      </c>
      <c r="B1101" s="165"/>
      <c r="C1101" s="74" t="e">
        <f>+D1062</f>
        <v>#REF!</v>
      </c>
      <c r="D1101" s="196" t="e">
        <f>+B1101+C1101</f>
        <v>#REF!</v>
      </c>
      <c r="F1101" s="52"/>
      <c r="I1101" s="164" t="s">
        <v>181</v>
      </c>
      <c r="J1101" s="165"/>
      <c r="K1101" s="74">
        <f>+L1062</f>
        <v>0</v>
      </c>
      <c r="L1101" s="196">
        <f>+J1101+K1101</f>
        <v>0</v>
      </c>
      <c r="N1101" s="52"/>
    </row>
    <row r="1102" spans="1:16" ht="16.5" thickBot="1">
      <c r="A1102" s="169"/>
      <c r="B1102" s="170" t="e">
        <f>SUM(B1097:B1101)</f>
        <v>#REF!</v>
      </c>
      <c r="C1102" s="171" t="e">
        <f>SUM(C1097:C1101)</f>
        <v>#REF!</v>
      </c>
      <c r="D1102" s="172" t="e">
        <f>SUM(D1097:D1101)</f>
        <v>#REF!</v>
      </c>
      <c r="I1102" s="169"/>
      <c r="J1102" s="197">
        <f>SUM(J1097:J1101)</f>
        <v>7548150</v>
      </c>
      <c r="K1102" s="197">
        <f>SUM(K1097:K1101)</f>
        <v>394086044</v>
      </c>
      <c r="L1102" s="198">
        <f>SUM(L1097:L1101)</f>
        <v>401634194</v>
      </c>
    </row>
    <row r="1103" spans="1:16" ht="16.5">
      <c r="A1103" s="49" t="s">
        <v>88</v>
      </c>
      <c r="B1103" s="50"/>
      <c r="I1103" s="49" t="s">
        <v>88</v>
      </c>
      <c r="J1103" s="50"/>
    </row>
    <row r="1104" spans="1:16">
      <c r="A1104" s="51" t="s">
        <v>89</v>
      </c>
      <c r="I1104" s="51" t="s">
        <v>89</v>
      </c>
    </row>
    <row r="1105" spans="1:16">
      <c r="A1105" s="51" t="s">
        <v>90</v>
      </c>
      <c r="I1105" s="51" t="s">
        <v>90</v>
      </c>
    </row>
    <row r="1106" spans="1:16">
      <c r="A1106" s="51" t="s">
        <v>91</v>
      </c>
      <c r="I1106" s="51" t="s">
        <v>91</v>
      </c>
    </row>
    <row r="1107" spans="1:16" ht="10.5" customHeight="1">
      <c r="A1107" s="50"/>
      <c r="B1107" s="50"/>
      <c r="I1107" s="50"/>
      <c r="J1107" s="50"/>
    </row>
    <row r="1108" spans="1:16" ht="16.5">
      <c r="A1108" s="52" t="s">
        <v>486</v>
      </c>
      <c r="G1108" s="52"/>
      <c r="I1108" s="260" t="s">
        <v>855</v>
      </c>
      <c r="O1108" s="52"/>
    </row>
    <row r="1109" spans="1:16" ht="15.75">
      <c r="A1109" s="53" t="s">
        <v>92</v>
      </c>
      <c r="G1109" s="53"/>
      <c r="I1109" s="53" t="s">
        <v>1333</v>
      </c>
      <c r="O1109" s="53"/>
    </row>
    <row r="1110" spans="1:16" ht="16.5">
      <c r="A1110" s="894" t="s">
        <v>485</v>
      </c>
      <c r="B1110" s="894"/>
      <c r="C1110" s="894"/>
      <c r="D1110" s="894"/>
      <c r="E1110" s="894"/>
      <c r="F1110" s="894"/>
      <c r="G1110" s="894"/>
      <c r="H1110" s="894"/>
      <c r="I1110" s="894" t="s">
        <v>1546</v>
      </c>
      <c r="J1110" s="894"/>
      <c r="K1110" s="894"/>
      <c r="L1110" s="894"/>
      <c r="M1110" s="894"/>
      <c r="N1110" s="894"/>
      <c r="O1110" s="894"/>
      <c r="P1110" s="894"/>
    </row>
    <row r="1111" spans="1:16" ht="15.75" thickBot="1"/>
    <row r="1112" spans="1:16">
      <c r="A1112" s="895" t="s">
        <v>94</v>
      </c>
      <c r="B1112" s="897" t="s">
        <v>95</v>
      </c>
      <c r="C1112" s="897" t="s">
        <v>96</v>
      </c>
      <c r="D1112" s="897" t="s">
        <v>3</v>
      </c>
      <c r="E1112" s="897" t="s">
        <v>97</v>
      </c>
      <c r="F1112" s="897" t="s">
        <v>98</v>
      </c>
      <c r="G1112" s="897" t="s">
        <v>99</v>
      </c>
      <c r="H1112" s="899"/>
      <c r="I1112" s="895" t="s">
        <v>94</v>
      </c>
      <c r="J1112" s="897" t="s">
        <v>95</v>
      </c>
      <c r="K1112" s="897" t="s">
        <v>96</v>
      </c>
      <c r="L1112" s="897" t="s">
        <v>3</v>
      </c>
      <c r="M1112" s="897" t="s">
        <v>97</v>
      </c>
      <c r="N1112" s="897" t="s">
        <v>98</v>
      </c>
      <c r="O1112" s="897" t="s">
        <v>99</v>
      </c>
      <c r="P1112" s="899"/>
    </row>
    <row r="1113" spans="1:16" ht="15.75" thickBot="1">
      <c r="A1113" s="896"/>
      <c r="B1113" s="898"/>
      <c r="C1113" s="898"/>
      <c r="D1113" s="898"/>
      <c r="E1113" s="898"/>
      <c r="F1113" s="898"/>
      <c r="G1113" s="240" t="s">
        <v>100</v>
      </c>
      <c r="H1113" s="182" t="s">
        <v>101</v>
      </c>
      <c r="I1113" s="896"/>
      <c r="J1113" s="898"/>
      <c r="K1113" s="898"/>
      <c r="L1113" s="898"/>
      <c r="M1113" s="898"/>
      <c r="N1113" s="898"/>
      <c r="O1113" s="240" t="s">
        <v>100</v>
      </c>
      <c r="P1113" s="182" t="s">
        <v>101</v>
      </c>
    </row>
    <row r="1114" spans="1:16" ht="13.5" customHeight="1">
      <c r="A1114" s="919">
        <v>1</v>
      </c>
      <c r="B1114" s="875">
        <v>42345</v>
      </c>
      <c r="C1114" s="877" t="s">
        <v>487</v>
      </c>
      <c r="D1114" s="877" t="s">
        <v>251</v>
      </c>
      <c r="E1114" s="881" t="s">
        <v>145</v>
      </c>
      <c r="F1114" s="883">
        <v>-4280256</v>
      </c>
      <c r="G1114" s="55">
        <v>719</v>
      </c>
      <c r="H1114" s="78"/>
      <c r="I1114" s="873" t="s">
        <v>1542</v>
      </c>
      <c r="J1114" s="875">
        <v>43062</v>
      </c>
      <c r="K1114" s="881" t="s">
        <v>1544</v>
      </c>
      <c r="L1114" s="881" t="s">
        <v>1548</v>
      </c>
      <c r="M1114" s="881" t="s">
        <v>115</v>
      </c>
      <c r="N1114" s="883">
        <v>250000</v>
      </c>
      <c r="O1114" s="55">
        <v>719</v>
      </c>
      <c r="P1114" s="78">
        <f>+N1114</f>
        <v>250000</v>
      </c>
    </row>
    <row r="1115" spans="1:16" ht="12.75" customHeight="1" thickBot="1">
      <c r="A1115" s="920"/>
      <c r="B1115" s="876"/>
      <c r="C1115" s="878"/>
      <c r="D1115" s="878"/>
      <c r="E1115" s="882"/>
      <c r="F1115" s="884"/>
      <c r="G1115" s="56">
        <v>721</v>
      </c>
      <c r="H1115" s="79">
        <f>+F1114-H1114</f>
        <v>-4280256</v>
      </c>
      <c r="I1115" s="874"/>
      <c r="J1115" s="876"/>
      <c r="K1115" s="882"/>
      <c r="L1115" s="882"/>
      <c r="M1115" s="882"/>
      <c r="N1115" s="884"/>
      <c r="O1115" s="56">
        <v>721</v>
      </c>
      <c r="P1115" s="79">
        <f>+N1114-P1114</f>
        <v>0</v>
      </c>
    </row>
    <row r="1116" spans="1:16" ht="13.5" customHeight="1">
      <c r="A1116" s="919">
        <v>2</v>
      </c>
      <c r="B1116" s="875">
        <v>42345</v>
      </c>
      <c r="C1116" s="877" t="s">
        <v>249</v>
      </c>
      <c r="D1116" s="877" t="s">
        <v>251</v>
      </c>
      <c r="E1116" s="881" t="s">
        <v>145</v>
      </c>
      <c r="F1116" s="883">
        <v>-2140128</v>
      </c>
      <c r="G1116" s="55">
        <v>719</v>
      </c>
      <c r="H1116" s="78"/>
      <c r="I1116" s="881">
        <f>+I1114+1</f>
        <v>141</v>
      </c>
      <c r="J1116" s="875">
        <v>43062</v>
      </c>
      <c r="K1116" s="881" t="s">
        <v>1544</v>
      </c>
      <c r="L1116" s="879" t="s">
        <v>1549</v>
      </c>
      <c r="M1116" s="881" t="s">
        <v>115</v>
      </c>
      <c r="N1116" s="883">
        <v>100000</v>
      </c>
      <c r="O1116" s="55">
        <v>719</v>
      </c>
      <c r="P1116" s="78">
        <v>100000</v>
      </c>
    </row>
    <row r="1117" spans="1:16" ht="12.75" customHeight="1" thickBot="1">
      <c r="A1117" s="920"/>
      <c r="B1117" s="876"/>
      <c r="C1117" s="878"/>
      <c r="D1117" s="878"/>
      <c r="E1117" s="882"/>
      <c r="F1117" s="884"/>
      <c r="G1117" s="56">
        <v>721</v>
      </c>
      <c r="H1117" s="79">
        <f>+F1116-H1116</f>
        <v>-2140128</v>
      </c>
      <c r="I1117" s="882"/>
      <c r="J1117" s="876"/>
      <c r="K1117" s="882"/>
      <c r="L1117" s="880"/>
      <c r="M1117" s="882"/>
      <c r="N1117" s="884"/>
      <c r="O1117" s="56">
        <v>721</v>
      </c>
      <c r="P1117" s="79">
        <v>0</v>
      </c>
    </row>
    <row r="1118" spans="1:16" ht="13.5" customHeight="1">
      <c r="A1118" s="881"/>
      <c r="B1118" s="875"/>
      <c r="C1118" s="877"/>
      <c r="D1118" s="881"/>
      <c r="E1118" s="881"/>
      <c r="F1118" s="883"/>
      <c r="G1118" s="55">
        <v>719</v>
      </c>
      <c r="H1118" s="78"/>
      <c r="I1118" s="881">
        <f>+I1116+1</f>
        <v>142</v>
      </c>
      <c r="J1118" s="875">
        <v>43062</v>
      </c>
      <c r="K1118" s="877" t="s">
        <v>28</v>
      </c>
      <c r="L1118" s="879" t="s">
        <v>1543</v>
      </c>
      <c r="M1118" s="881" t="s">
        <v>115</v>
      </c>
      <c r="N1118" s="883">
        <v>80000</v>
      </c>
      <c r="O1118" s="55">
        <v>719</v>
      </c>
      <c r="P1118" s="78">
        <v>80000</v>
      </c>
    </row>
    <row r="1119" spans="1:16" ht="13.5" customHeight="1" thickBot="1">
      <c r="A1119" s="882"/>
      <c r="B1119" s="876"/>
      <c r="C1119" s="878"/>
      <c r="D1119" s="882"/>
      <c r="E1119" s="882"/>
      <c r="F1119" s="884"/>
      <c r="G1119" s="56">
        <v>721</v>
      </c>
      <c r="H1119" s="79"/>
      <c r="I1119" s="882"/>
      <c r="J1119" s="876"/>
      <c r="K1119" s="878"/>
      <c r="L1119" s="880"/>
      <c r="M1119" s="882"/>
      <c r="N1119" s="884"/>
      <c r="O1119" s="56">
        <v>721</v>
      </c>
      <c r="P1119" s="79">
        <f>+N1118-P1118</f>
        <v>0</v>
      </c>
    </row>
    <row r="1120" spans="1:16" ht="12.75" customHeight="1">
      <c r="A1120" s="881"/>
      <c r="B1120" s="875"/>
      <c r="C1120" s="877"/>
      <c r="D1120" s="881"/>
      <c r="E1120" s="881"/>
      <c r="F1120" s="883"/>
      <c r="G1120" s="55">
        <v>719</v>
      </c>
      <c r="H1120" s="78"/>
      <c r="I1120" s="881">
        <f>+I1118+1</f>
        <v>143</v>
      </c>
      <c r="J1120" s="875">
        <v>43062</v>
      </c>
      <c r="K1120" s="877" t="s">
        <v>28</v>
      </c>
      <c r="L1120" s="879" t="s">
        <v>1550</v>
      </c>
      <c r="M1120" s="881" t="s">
        <v>115</v>
      </c>
      <c r="N1120" s="883">
        <v>200000</v>
      </c>
      <c r="O1120" s="55">
        <v>719</v>
      </c>
      <c r="P1120" s="78">
        <v>200000</v>
      </c>
    </row>
    <row r="1121" spans="1:16" ht="12.75" customHeight="1" thickBot="1">
      <c r="A1121" s="882"/>
      <c r="B1121" s="876"/>
      <c r="C1121" s="878"/>
      <c r="D1121" s="882"/>
      <c r="E1121" s="882"/>
      <c r="F1121" s="884"/>
      <c r="G1121" s="56">
        <v>721</v>
      </c>
      <c r="H1121" s="79">
        <f>+F1120-H1120</f>
        <v>0</v>
      </c>
      <c r="I1121" s="882"/>
      <c r="J1121" s="876"/>
      <c r="K1121" s="878"/>
      <c r="L1121" s="880"/>
      <c r="M1121" s="882"/>
      <c r="N1121" s="884"/>
      <c r="O1121" s="56">
        <v>721</v>
      </c>
      <c r="P1121" s="79">
        <f>+N1120-P1120</f>
        <v>0</v>
      </c>
    </row>
    <row r="1122" spans="1:16" ht="14.25" customHeight="1">
      <c r="A1122" s="881"/>
      <c r="B1122" s="875"/>
      <c r="C1122" s="877"/>
      <c r="D1122" s="881"/>
      <c r="E1122" s="881"/>
      <c r="F1122" s="883"/>
      <c r="G1122" s="55">
        <v>719</v>
      </c>
      <c r="H1122" s="78"/>
      <c r="I1122" s="881">
        <f>+I1120+1</f>
        <v>144</v>
      </c>
      <c r="J1122" s="875">
        <v>43062</v>
      </c>
      <c r="K1122" s="877" t="s">
        <v>28</v>
      </c>
      <c r="L1122" s="879" t="s">
        <v>1552</v>
      </c>
      <c r="M1122" s="881" t="s">
        <v>115</v>
      </c>
      <c r="N1122" s="883">
        <v>290000</v>
      </c>
      <c r="O1122" s="55">
        <v>719</v>
      </c>
      <c r="P1122" s="78">
        <v>290000</v>
      </c>
    </row>
    <row r="1123" spans="1:16" ht="13.5" customHeight="1" thickBot="1">
      <c r="A1123" s="882"/>
      <c r="B1123" s="876"/>
      <c r="C1123" s="878"/>
      <c r="D1123" s="882"/>
      <c r="E1123" s="882"/>
      <c r="F1123" s="884"/>
      <c r="G1123" s="56">
        <v>721</v>
      </c>
      <c r="H1123" s="79">
        <f>+F1122-H1122</f>
        <v>0</v>
      </c>
      <c r="I1123" s="882"/>
      <c r="J1123" s="876"/>
      <c r="K1123" s="878"/>
      <c r="L1123" s="880"/>
      <c r="M1123" s="882"/>
      <c r="N1123" s="884"/>
      <c r="O1123" s="56">
        <v>721</v>
      </c>
      <c r="P1123" s="79">
        <f>+N1122-P1122</f>
        <v>0</v>
      </c>
    </row>
    <row r="1124" spans="1:16" ht="16.5" thickBot="1">
      <c r="A1124" s="901" t="s">
        <v>102</v>
      </c>
      <c r="B1124" s="902"/>
      <c r="C1124" s="902"/>
      <c r="D1124" s="902"/>
      <c r="E1124" s="903"/>
      <c r="F1124" s="81">
        <f>SUM(F1114:F1123)</f>
        <v>-6420384</v>
      </c>
      <c r="I1124" s="901" t="s">
        <v>102</v>
      </c>
      <c r="J1124" s="902"/>
      <c r="K1124" s="902"/>
      <c r="L1124" s="902"/>
      <c r="M1124" s="903"/>
      <c r="N1124" s="81">
        <f>SUM(N1114:N1123)</f>
        <v>920000</v>
      </c>
    </row>
    <row r="1125" spans="1:16" ht="16.5" thickBot="1">
      <c r="A1125" s="885" t="s">
        <v>103</v>
      </c>
      <c r="B1125" s="886"/>
      <c r="C1125" s="886"/>
      <c r="D1125" s="886"/>
      <c r="E1125" s="887"/>
      <c r="F1125" s="69">
        <f>+F1089</f>
        <v>658645638</v>
      </c>
      <c r="I1125" s="885" t="s">
        <v>103</v>
      </c>
      <c r="J1125" s="886"/>
      <c r="K1125" s="886"/>
      <c r="L1125" s="886"/>
      <c r="M1125" s="887"/>
      <c r="N1125" s="69">
        <f>+N1089</f>
        <v>401634194</v>
      </c>
      <c r="O1125" s="241" t="s">
        <v>561</v>
      </c>
      <c r="P1125" s="242"/>
    </row>
    <row r="1126" spans="1:16" ht="16.5" thickBot="1">
      <c r="A1126" s="888" t="s">
        <v>104</v>
      </c>
      <c r="B1126" s="889"/>
      <c r="C1126" s="889"/>
      <c r="D1126" s="889"/>
      <c r="E1126" s="890"/>
      <c r="F1126" s="183">
        <f>SUM(F1124:F1125)</f>
        <v>652225254</v>
      </c>
      <c r="I1126" s="888" t="s">
        <v>104</v>
      </c>
      <c r="J1126" s="889"/>
      <c r="K1126" s="889"/>
      <c r="L1126" s="889"/>
      <c r="M1126" s="890"/>
      <c r="N1126" s="183">
        <f>SUM(N1124:N1125)</f>
        <v>402554194</v>
      </c>
    </row>
    <row r="1127" spans="1:16" ht="12.75" customHeight="1">
      <c r="A1127" s="61"/>
      <c r="B1127" s="61"/>
      <c r="C1127" s="61"/>
      <c r="D1127" s="61"/>
      <c r="E1127" s="61"/>
      <c r="I1127" s="61"/>
      <c r="J1127" s="61"/>
      <c r="K1127" s="61"/>
      <c r="L1127" s="61"/>
      <c r="M1127" s="61"/>
    </row>
    <row r="1128" spans="1:16">
      <c r="A1128" s="51" t="s">
        <v>488</v>
      </c>
      <c r="I1128" s="51" t="s">
        <v>1551</v>
      </c>
    </row>
    <row r="1129" spans="1:16" ht="12" customHeight="1">
      <c r="F1129" s="139"/>
      <c r="N1129" s="139"/>
    </row>
    <row r="1130" spans="1:16">
      <c r="A1130" s="50" t="s">
        <v>105</v>
      </c>
      <c r="D1130" s="146"/>
      <c r="F1130" s="139"/>
      <c r="I1130" s="50" t="s">
        <v>105</v>
      </c>
      <c r="L1130" s="146"/>
      <c r="N1130" s="139"/>
    </row>
    <row r="1131" spans="1:16" ht="12.75" customHeight="1" thickBot="1"/>
    <row r="1132" spans="1:16" ht="15.75" thickBot="1">
      <c r="A1132" s="891" t="s">
        <v>106</v>
      </c>
      <c r="B1132" s="892"/>
      <c r="C1132" s="892"/>
      <c r="D1132" s="893"/>
      <c r="F1132" s="50" t="s">
        <v>288</v>
      </c>
      <c r="I1132" s="891" t="s">
        <v>106</v>
      </c>
      <c r="J1132" s="892"/>
      <c r="K1132" s="892"/>
      <c r="L1132" s="893"/>
      <c r="N1132" s="925" t="s">
        <v>288</v>
      </c>
      <c r="O1132" s="925"/>
      <c r="P1132" s="925"/>
    </row>
    <row r="1133" spans="1:16" ht="30.75" thickBot="1">
      <c r="A1133" s="57" t="s">
        <v>100</v>
      </c>
      <c r="B1133" s="58" t="s">
        <v>108</v>
      </c>
      <c r="C1133" s="59" t="s">
        <v>109</v>
      </c>
      <c r="D1133" s="60" t="s">
        <v>110</v>
      </c>
      <c r="I1133" s="57" t="s">
        <v>100</v>
      </c>
      <c r="J1133" s="58" t="s">
        <v>108</v>
      </c>
      <c r="K1133" s="59" t="s">
        <v>109</v>
      </c>
      <c r="L1133" s="60" t="s">
        <v>110</v>
      </c>
    </row>
    <row r="1134" spans="1:16">
      <c r="A1134" s="71">
        <v>719</v>
      </c>
      <c r="B1134" s="73">
        <f>+H1114+H1116+H1118+H1120+H1122</f>
        <v>0</v>
      </c>
      <c r="C1134" s="74" t="e">
        <f>+D1097</f>
        <v>#REF!</v>
      </c>
      <c r="D1134" s="195" t="e">
        <f>+B1134+C1134</f>
        <v>#REF!</v>
      </c>
      <c r="I1134" s="71">
        <v>719</v>
      </c>
      <c r="J1134" s="73">
        <f>+P1114+P1116+P1118+P1122+P1120</f>
        <v>920000</v>
      </c>
      <c r="K1134" s="74">
        <f>+L1097</f>
        <v>27030000</v>
      </c>
      <c r="L1134" s="195">
        <f>+J1134+K1134</f>
        <v>27950000</v>
      </c>
    </row>
    <row r="1135" spans="1:16">
      <c r="A1135" s="72">
        <v>721</v>
      </c>
      <c r="B1135" s="80">
        <f>(+H1123+H1121+H1119+H1117+H1115)</f>
        <v>-6420384</v>
      </c>
      <c r="C1135" s="74" t="e">
        <f>+D1098</f>
        <v>#REF!</v>
      </c>
      <c r="D1135" s="195" t="e">
        <f>+B1135+C1135</f>
        <v>#REF!</v>
      </c>
      <c r="I1135" s="72">
        <v>721</v>
      </c>
      <c r="J1135" s="80">
        <f>+P1115+P1117+P1119+P1121+P1123</f>
        <v>0</v>
      </c>
      <c r="K1135" s="74">
        <f>+L1098</f>
        <v>13195000</v>
      </c>
      <c r="L1135" s="195">
        <f>+J1135+K1135</f>
        <v>13195000</v>
      </c>
    </row>
    <row r="1136" spans="1:16" ht="15.75">
      <c r="A1136" s="72">
        <v>722</v>
      </c>
      <c r="B1136" s="80"/>
      <c r="C1136" s="74">
        <f>+D1099</f>
        <v>231207671</v>
      </c>
      <c r="D1136" s="195">
        <f>+B1136+C1136</f>
        <v>231207671</v>
      </c>
      <c r="I1136" s="72">
        <v>722</v>
      </c>
      <c r="J1136" s="80"/>
      <c r="K1136" s="74">
        <f>+L1099</f>
        <v>42881706</v>
      </c>
      <c r="L1136" s="195">
        <f>+J1136+K1136</f>
        <v>42881706</v>
      </c>
      <c r="N1136" s="918" t="s">
        <v>1481</v>
      </c>
      <c r="O1136" s="918"/>
      <c r="P1136" s="918"/>
    </row>
    <row r="1137" spans="1:16" ht="14.25" customHeight="1">
      <c r="A1137" s="72">
        <v>723</v>
      </c>
      <c r="B1137" s="80"/>
      <c r="C1137" s="74" t="e">
        <f>+D1100</f>
        <v>#REF!</v>
      </c>
      <c r="D1137" s="195" t="e">
        <f>+B1137+C1137</f>
        <v>#REF!</v>
      </c>
      <c r="F1137" s="174" t="s">
        <v>23</v>
      </c>
      <c r="G1137" s="175"/>
      <c r="I1137" s="72">
        <v>723</v>
      </c>
      <c r="J1137" s="80"/>
      <c r="K1137" s="74">
        <f>+L1100</f>
        <v>318527488</v>
      </c>
      <c r="L1137" s="195">
        <f>+J1137+K1137</f>
        <v>318527488</v>
      </c>
      <c r="N1137" s="193"/>
      <c r="O1137" s="175"/>
    </row>
    <row r="1138" spans="1:16" ht="13.5" customHeight="1" thickBot="1">
      <c r="A1138" s="164" t="s">
        <v>181</v>
      </c>
      <c r="B1138" s="165"/>
      <c r="C1138" s="74" t="e">
        <f>+D1101</f>
        <v>#REF!</v>
      </c>
      <c r="D1138" s="196" t="e">
        <f>+B1138+C1138</f>
        <v>#REF!</v>
      </c>
      <c r="F1138" s="52"/>
      <c r="I1138" s="164" t="s">
        <v>181</v>
      </c>
      <c r="J1138" s="165"/>
      <c r="K1138" s="74">
        <f>+L1101</f>
        <v>0</v>
      </c>
      <c r="L1138" s="196">
        <f>+J1138+K1138</f>
        <v>0</v>
      </c>
      <c r="N1138" s="52"/>
    </row>
    <row r="1139" spans="1:16" ht="16.5" thickBot="1">
      <c r="A1139" s="169"/>
      <c r="B1139" s="170">
        <f>SUM(B1134:B1138)</f>
        <v>-6420384</v>
      </c>
      <c r="C1139" s="171" t="e">
        <f>SUM(C1134:C1138)</f>
        <v>#REF!</v>
      </c>
      <c r="D1139" s="172" t="e">
        <f>SUM(D1134:D1138)</f>
        <v>#REF!</v>
      </c>
      <c r="I1139" s="169"/>
      <c r="J1139" s="197">
        <f>SUM(J1134:J1138)</f>
        <v>920000</v>
      </c>
      <c r="K1139" s="197">
        <f>SUM(K1134:K1138)</f>
        <v>401634194</v>
      </c>
      <c r="L1139" s="198">
        <f>SUM(L1134:L1138)</f>
        <v>402554194</v>
      </c>
    </row>
    <row r="1140" spans="1:16" ht="16.5">
      <c r="A1140" s="49" t="s">
        <v>88</v>
      </c>
      <c r="B1140" s="50"/>
      <c r="I1140" s="49" t="s">
        <v>88</v>
      </c>
      <c r="J1140" s="50"/>
    </row>
    <row r="1141" spans="1:16" ht="14.25" customHeight="1">
      <c r="A1141" s="51" t="s">
        <v>89</v>
      </c>
      <c r="I1141" s="51" t="s">
        <v>89</v>
      </c>
    </row>
    <row r="1142" spans="1:16" ht="12.75" customHeight="1">
      <c r="A1142" s="51" t="s">
        <v>90</v>
      </c>
      <c r="I1142" s="51" t="s">
        <v>90</v>
      </c>
    </row>
    <row r="1143" spans="1:16">
      <c r="A1143" s="51" t="s">
        <v>91</v>
      </c>
      <c r="I1143" s="51" t="s">
        <v>91</v>
      </c>
    </row>
    <row r="1144" spans="1:16" ht="11.25" customHeight="1">
      <c r="A1144" s="50"/>
      <c r="B1144" s="50"/>
      <c r="I1144" s="50"/>
      <c r="J1144" s="50"/>
    </row>
    <row r="1145" spans="1:16" ht="16.5">
      <c r="A1145" s="52" t="s">
        <v>489</v>
      </c>
      <c r="G1145" s="52"/>
      <c r="I1145" s="260" t="s">
        <v>185</v>
      </c>
      <c r="O1145" s="52"/>
    </row>
    <row r="1146" spans="1:16" ht="15.75">
      <c r="A1146" s="53" t="s">
        <v>92</v>
      </c>
      <c r="G1146" s="53"/>
      <c r="I1146" s="53" t="s">
        <v>1333</v>
      </c>
      <c r="O1146" s="53"/>
    </row>
    <row r="1147" spans="1:16" ht="16.5">
      <c r="A1147" s="894" t="s">
        <v>462</v>
      </c>
      <c r="B1147" s="894"/>
      <c r="C1147" s="894"/>
      <c r="D1147" s="894"/>
      <c r="E1147" s="894"/>
      <c r="F1147" s="894"/>
      <c r="G1147" s="894"/>
      <c r="H1147" s="894"/>
      <c r="I1147" s="894" t="s">
        <v>1547</v>
      </c>
      <c r="J1147" s="894"/>
      <c r="K1147" s="894"/>
      <c r="L1147" s="894"/>
      <c r="M1147" s="894"/>
      <c r="N1147" s="894"/>
      <c r="O1147" s="894"/>
      <c r="P1147" s="894"/>
    </row>
    <row r="1148" spans="1:16" ht="15.75" thickBot="1"/>
    <row r="1149" spans="1:16">
      <c r="A1149" s="895" t="s">
        <v>94</v>
      </c>
      <c r="B1149" s="897" t="s">
        <v>95</v>
      </c>
      <c r="C1149" s="897" t="s">
        <v>96</v>
      </c>
      <c r="D1149" s="897" t="s">
        <v>3</v>
      </c>
      <c r="E1149" s="897" t="s">
        <v>97</v>
      </c>
      <c r="F1149" s="897" t="s">
        <v>98</v>
      </c>
      <c r="G1149" s="897" t="s">
        <v>99</v>
      </c>
      <c r="H1149" s="899"/>
      <c r="I1149" s="895" t="s">
        <v>94</v>
      </c>
      <c r="J1149" s="897" t="s">
        <v>95</v>
      </c>
      <c r="K1149" s="897" t="s">
        <v>96</v>
      </c>
      <c r="L1149" s="897" t="s">
        <v>3</v>
      </c>
      <c r="M1149" s="897" t="s">
        <v>97</v>
      </c>
      <c r="N1149" s="897" t="s">
        <v>98</v>
      </c>
      <c r="O1149" s="897" t="s">
        <v>99</v>
      </c>
      <c r="P1149" s="899"/>
    </row>
    <row r="1150" spans="1:16" ht="15.75" thickBot="1">
      <c r="A1150" s="896"/>
      <c r="B1150" s="898"/>
      <c r="C1150" s="898"/>
      <c r="D1150" s="898"/>
      <c r="E1150" s="898"/>
      <c r="F1150" s="898"/>
      <c r="G1150" s="240" t="s">
        <v>100</v>
      </c>
      <c r="H1150" s="182" t="s">
        <v>101</v>
      </c>
      <c r="I1150" s="896"/>
      <c r="J1150" s="898"/>
      <c r="K1150" s="898"/>
      <c r="L1150" s="898"/>
      <c r="M1150" s="898"/>
      <c r="N1150" s="898"/>
      <c r="O1150" s="240" t="s">
        <v>100</v>
      </c>
      <c r="P1150" s="182" t="s">
        <v>101</v>
      </c>
    </row>
    <row r="1151" spans="1:16" ht="12" customHeight="1">
      <c r="A1151" s="919" t="e">
        <f>+#REF!+1</f>
        <v>#REF!</v>
      </c>
      <c r="B1151" s="875">
        <v>42355</v>
      </c>
      <c r="C1151" s="877" t="s">
        <v>31</v>
      </c>
      <c r="D1151" s="877" t="s">
        <v>490</v>
      </c>
      <c r="E1151" s="881" t="s">
        <v>115</v>
      </c>
      <c r="F1151" s="883">
        <v>50000</v>
      </c>
      <c r="G1151" s="55">
        <v>719</v>
      </c>
      <c r="H1151" s="78">
        <v>50000</v>
      </c>
      <c r="I1151" s="873" t="s">
        <v>856</v>
      </c>
      <c r="J1151" s="875">
        <v>43062</v>
      </c>
      <c r="K1151" s="881" t="s">
        <v>472</v>
      </c>
      <c r="L1151" s="879" t="s">
        <v>1553</v>
      </c>
      <c r="M1151" s="881" t="s">
        <v>148</v>
      </c>
      <c r="N1151" s="883">
        <v>364000</v>
      </c>
      <c r="O1151" s="55">
        <v>719</v>
      </c>
      <c r="P1151" s="78">
        <f>+N1151-P1152</f>
        <v>280000</v>
      </c>
    </row>
    <row r="1152" spans="1:16" ht="14.25" customHeight="1" thickBot="1">
      <c r="A1152" s="920"/>
      <c r="B1152" s="876"/>
      <c r="C1152" s="878"/>
      <c r="D1152" s="878"/>
      <c r="E1152" s="882"/>
      <c r="F1152" s="884"/>
      <c r="G1152" s="56">
        <v>721</v>
      </c>
      <c r="H1152" s="79">
        <f>+F1151-H1151</f>
        <v>0</v>
      </c>
      <c r="I1152" s="874"/>
      <c r="J1152" s="876"/>
      <c r="K1152" s="882"/>
      <c r="L1152" s="880"/>
      <c r="M1152" s="882"/>
      <c r="N1152" s="884"/>
      <c r="O1152" s="56">
        <v>721</v>
      </c>
      <c r="P1152" s="79">
        <v>84000</v>
      </c>
    </row>
    <row r="1153" spans="1:16" ht="11.25" customHeight="1">
      <c r="A1153" s="919" t="e">
        <f>+A1151+1</f>
        <v>#REF!</v>
      </c>
      <c r="B1153" s="875">
        <v>42355</v>
      </c>
      <c r="C1153" s="877" t="s">
        <v>32</v>
      </c>
      <c r="D1153" s="877" t="s">
        <v>491</v>
      </c>
      <c r="E1153" s="881" t="s">
        <v>115</v>
      </c>
      <c r="F1153" s="883">
        <v>20000</v>
      </c>
      <c r="G1153" s="55">
        <v>719</v>
      </c>
      <c r="H1153" s="78">
        <v>20000</v>
      </c>
      <c r="I1153" s="881">
        <f>+I1151+1</f>
        <v>146</v>
      </c>
      <c r="J1153" s="875">
        <v>43062</v>
      </c>
      <c r="K1153" s="877" t="s">
        <v>40</v>
      </c>
      <c r="L1153" s="881" t="s">
        <v>1439</v>
      </c>
      <c r="M1153" s="881" t="s">
        <v>148</v>
      </c>
      <c r="N1153" s="883">
        <v>-7821240</v>
      </c>
      <c r="O1153" s="55">
        <v>719</v>
      </c>
      <c r="P1153" s="78"/>
    </row>
    <row r="1154" spans="1:16" ht="15.75" customHeight="1" thickBot="1">
      <c r="A1154" s="920"/>
      <c r="B1154" s="876"/>
      <c r="C1154" s="878"/>
      <c r="D1154" s="878"/>
      <c r="E1154" s="882"/>
      <c r="F1154" s="884"/>
      <c r="G1154" s="56">
        <v>721</v>
      </c>
      <c r="H1154" s="79">
        <f>+F1153-H1153</f>
        <v>0</v>
      </c>
      <c r="I1154" s="882"/>
      <c r="J1154" s="876"/>
      <c r="K1154" s="878"/>
      <c r="L1154" s="882"/>
      <c r="M1154" s="882"/>
      <c r="N1154" s="884"/>
      <c r="O1154" s="56">
        <v>723</v>
      </c>
      <c r="P1154" s="79">
        <f>+N1153-P1153</f>
        <v>-7821240</v>
      </c>
    </row>
    <row r="1155" spans="1:16" ht="12.75" customHeight="1">
      <c r="A1155" s="919"/>
      <c r="B1155" s="875"/>
      <c r="C1155" s="877"/>
      <c r="D1155" s="881"/>
      <c r="E1155" s="881"/>
      <c r="F1155" s="883"/>
      <c r="G1155" s="55">
        <v>719</v>
      </c>
      <c r="H1155" s="78"/>
      <c r="I1155" s="881">
        <f>+I1153+1</f>
        <v>147</v>
      </c>
      <c r="J1155" s="875">
        <v>43062</v>
      </c>
      <c r="K1155" s="881" t="s">
        <v>472</v>
      </c>
      <c r="L1155" s="879" t="s">
        <v>1554</v>
      </c>
      <c r="M1155" s="881" t="s">
        <v>148</v>
      </c>
      <c r="N1155" s="883">
        <v>299000</v>
      </c>
      <c r="O1155" s="55">
        <v>719</v>
      </c>
      <c r="P1155" s="78">
        <f>+N1155-P1156</f>
        <v>230000</v>
      </c>
    </row>
    <row r="1156" spans="1:16" ht="13.5" customHeight="1" thickBot="1">
      <c r="A1156" s="920"/>
      <c r="B1156" s="876"/>
      <c r="C1156" s="878"/>
      <c r="D1156" s="882"/>
      <c r="E1156" s="882"/>
      <c r="F1156" s="884"/>
      <c r="G1156" s="56">
        <v>721</v>
      </c>
      <c r="H1156" s="79"/>
      <c r="I1156" s="882"/>
      <c r="J1156" s="876"/>
      <c r="K1156" s="882"/>
      <c r="L1156" s="880"/>
      <c r="M1156" s="882"/>
      <c r="N1156" s="884"/>
      <c r="O1156" s="56">
        <v>721</v>
      </c>
      <c r="P1156" s="79">
        <v>69000</v>
      </c>
    </row>
    <row r="1157" spans="1:16" ht="12" customHeight="1">
      <c r="A1157" s="881"/>
      <c r="B1157" s="875"/>
      <c r="C1157" s="877"/>
      <c r="D1157" s="881"/>
      <c r="E1157" s="881"/>
      <c r="F1157" s="883"/>
      <c r="G1157" s="55">
        <v>719</v>
      </c>
      <c r="H1157" s="78"/>
      <c r="I1157" s="881">
        <f>+I1155+1</f>
        <v>148</v>
      </c>
      <c r="J1157" s="875">
        <v>43062</v>
      </c>
      <c r="K1157" s="881" t="s">
        <v>472</v>
      </c>
      <c r="L1157" s="879" t="s">
        <v>1555</v>
      </c>
      <c r="M1157" s="881" t="s">
        <v>148</v>
      </c>
      <c r="N1157" s="883">
        <v>559000</v>
      </c>
      <c r="O1157" s="55">
        <v>719</v>
      </c>
      <c r="P1157" s="78">
        <f>+N1157-P1158</f>
        <v>430000</v>
      </c>
    </row>
    <row r="1158" spans="1:16" ht="12.75" customHeight="1" thickBot="1">
      <c r="A1158" s="882"/>
      <c r="B1158" s="876"/>
      <c r="C1158" s="878"/>
      <c r="D1158" s="882"/>
      <c r="E1158" s="882"/>
      <c r="F1158" s="884"/>
      <c r="G1158" s="56">
        <v>721</v>
      </c>
      <c r="H1158" s="79">
        <f>+F1157-H1157</f>
        <v>0</v>
      </c>
      <c r="I1158" s="882"/>
      <c r="J1158" s="876"/>
      <c r="K1158" s="882"/>
      <c r="L1158" s="880"/>
      <c r="M1158" s="882"/>
      <c r="N1158" s="884"/>
      <c r="O1158" s="56">
        <v>721</v>
      </c>
      <c r="P1158" s="79">
        <v>129000</v>
      </c>
    </row>
    <row r="1159" spans="1:16" ht="12.75" customHeight="1">
      <c r="A1159" s="881"/>
      <c r="B1159" s="875"/>
      <c r="C1159" s="877"/>
      <c r="D1159" s="881"/>
      <c r="E1159" s="881"/>
      <c r="F1159" s="883"/>
      <c r="G1159" s="55">
        <v>719</v>
      </c>
      <c r="H1159" s="78"/>
      <c r="I1159" s="881">
        <f>+I1157+1</f>
        <v>149</v>
      </c>
      <c r="J1159" s="875">
        <v>43062</v>
      </c>
      <c r="K1159" s="881" t="s">
        <v>472</v>
      </c>
      <c r="L1159" s="879" t="s">
        <v>1556</v>
      </c>
      <c r="M1159" s="881" t="s">
        <v>148</v>
      </c>
      <c r="N1159" s="883">
        <v>637000</v>
      </c>
      <c r="O1159" s="55">
        <v>719</v>
      </c>
      <c r="P1159" s="78">
        <f>+N1159-P1160</f>
        <v>490000</v>
      </c>
    </row>
    <row r="1160" spans="1:16" ht="13.5" customHeight="1" thickBot="1">
      <c r="A1160" s="882"/>
      <c r="B1160" s="876"/>
      <c r="C1160" s="878"/>
      <c r="D1160" s="882"/>
      <c r="E1160" s="882"/>
      <c r="F1160" s="884"/>
      <c r="G1160" s="56">
        <v>721</v>
      </c>
      <c r="H1160" s="79">
        <f>+F1159-H1159</f>
        <v>0</v>
      </c>
      <c r="I1160" s="882"/>
      <c r="J1160" s="876"/>
      <c r="K1160" s="882"/>
      <c r="L1160" s="880"/>
      <c r="M1160" s="882"/>
      <c r="N1160" s="884"/>
      <c r="O1160" s="56">
        <v>721</v>
      </c>
      <c r="P1160" s="79">
        <v>147000</v>
      </c>
    </row>
    <row r="1161" spans="1:16" ht="16.5" thickBot="1">
      <c r="A1161" s="901" t="s">
        <v>102</v>
      </c>
      <c r="B1161" s="902"/>
      <c r="C1161" s="902"/>
      <c r="D1161" s="902"/>
      <c r="E1161" s="903"/>
      <c r="F1161" s="81">
        <f>SUM(F1151:F1160)</f>
        <v>70000</v>
      </c>
      <c r="I1161" s="901" t="s">
        <v>102</v>
      </c>
      <c r="J1161" s="902"/>
      <c r="K1161" s="902"/>
      <c r="L1161" s="902"/>
      <c r="M1161" s="903"/>
      <c r="N1161" s="81">
        <f>SUM(N1151:N1160)</f>
        <v>-5962240</v>
      </c>
    </row>
    <row r="1162" spans="1:16" ht="16.5" thickBot="1">
      <c r="A1162" s="885" t="s">
        <v>103</v>
      </c>
      <c r="B1162" s="886"/>
      <c r="C1162" s="886"/>
      <c r="D1162" s="886"/>
      <c r="E1162" s="887"/>
      <c r="F1162" s="69">
        <f>+F1126</f>
        <v>652225254</v>
      </c>
      <c r="I1162" s="885" t="s">
        <v>103</v>
      </c>
      <c r="J1162" s="886"/>
      <c r="K1162" s="886"/>
      <c r="L1162" s="886"/>
      <c r="M1162" s="887"/>
      <c r="N1162" s="69">
        <f>+N1126</f>
        <v>402554194</v>
      </c>
      <c r="O1162" s="241" t="s">
        <v>561</v>
      </c>
      <c r="P1162" s="242"/>
    </row>
    <row r="1163" spans="1:16" ht="16.5" thickBot="1">
      <c r="A1163" s="888" t="s">
        <v>104</v>
      </c>
      <c r="B1163" s="889"/>
      <c r="C1163" s="889"/>
      <c r="D1163" s="889"/>
      <c r="E1163" s="890"/>
      <c r="F1163" s="183">
        <f>SUM(F1161:F1162)</f>
        <v>652295254</v>
      </c>
      <c r="I1163" s="888" t="s">
        <v>104</v>
      </c>
      <c r="J1163" s="889"/>
      <c r="K1163" s="889"/>
      <c r="L1163" s="889"/>
      <c r="M1163" s="890"/>
      <c r="N1163" s="183">
        <f>SUM(N1161:N1162)</f>
        <v>396591954</v>
      </c>
    </row>
    <row r="1164" spans="1:16" ht="13.5" customHeight="1">
      <c r="A1164" s="61"/>
      <c r="B1164" s="61"/>
      <c r="C1164" s="61"/>
      <c r="D1164" s="61"/>
      <c r="E1164" s="61"/>
      <c r="I1164" s="61"/>
      <c r="J1164" s="61"/>
      <c r="K1164" s="61"/>
      <c r="L1164" s="61"/>
      <c r="M1164" s="61"/>
    </row>
    <row r="1165" spans="1:16">
      <c r="A1165" s="51" t="s">
        <v>492</v>
      </c>
      <c r="I1165" s="51" t="s">
        <v>1557</v>
      </c>
    </row>
    <row r="1166" spans="1:16" ht="11.25" customHeight="1">
      <c r="F1166" s="139"/>
      <c r="N1166" s="139"/>
    </row>
    <row r="1167" spans="1:16">
      <c r="A1167" s="50" t="s">
        <v>105</v>
      </c>
      <c r="D1167" s="146"/>
      <c r="F1167" s="139"/>
      <c r="I1167" s="50" t="s">
        <v>105</v>
      </c>
      <c r="L1167" s="146"/>
      <c r="N1167" s="139"/>
    </row>
    <row r="1168" spans="1:16" ht="13.5" customHeight="1" thickBot="1"/>
    <row r="1169" spans="1:16" ht="15.75" thickBot="1">
      <c r="A1169" s="891" t="s">
        <v>106</v>
      </c>
      <c r="B1169" s="892"/>
      <c r="C1169" s="892"/>
      <c r="D1169" s="893"/>
      <c r="F1169" s="50" t="s">
        <v>288</v>
      </c>
      <c r="I1169" s="891" t="s">
        <v>106</v>
      </c>
      <c r="J1169" s="892"/>
      <c r="K1169" s="892"/>
      <c r="L1169" s="893"/>
      <c r="N1169" s="925" t="s">
        <v>288</v>
      </c>
      <c r="O1169" s="925"/>
      <c r="P1169" s="925"/>
    </row>
    <row r="1170" spans="1:16" ht="30.75" thickBot="1">
      <c r="A1170" s="57" t="s">
        <v>100</v>
      </c>
      <c r="B1170" s="58" t="s">
        <v>108</v>
      </c>
      <c r="C1170" s="59" t="s">
        <v>109</v>
      </c>
      <c r="D1170" s="60" t="s">
        <v>110</v>
      </c>
      <c r="I1170" s="57" t="s">
        <v>100</v>
      </c>
      <c r="J1170" s="58" t="s">
        <v>108</v>
      </c>
      <c r="K1170" s="59" t="s">
        <v>109</v>
      </c>
      <c r="L1170" s="60" t="s">
        <v>110</v>
      </c>
    </row>
    <row r="1171" spans="1:16" ht="13.5" customHeight="1">
      <c r="A1171" s="71">
        <v>719</v>
      </c>
      <c r="B1171" s="73">
        <f>+H1151+H1153+H1155+H1157+H1159</f>
        <v>70000</v>
      </c>
      <c r="C1171" s="74" t="e">
        <f>+D1134</f>
        <v>#REF!</v>
      </c>
      <c r="D1171" s="195" t="e">
        <f>+B1171+C1171</f>
        <v>#REF!</v>
      </c>
      <c r="I1171" s="71">
        <v>719</v>
      </c>
      <c r="J1171" s="73">
        <f>+P1151+P1153+P1155+P1157+P1159</f>
        <v>1430000</v>
      </c>
      <c r="K1171" s="74">
        <f>+L1134</f>
        <v>27950000</v>
      </c>
      <c r="L1171" s="195">
        <f>+J1171+K1171</f>
        <v>29380000</v>
      </c>
    </row>
    <row r="1172" spans="1:16">
      <c r="A1172" s="72">
        <v>721</v>
      </c>
      <c r="B1172" s="80">
        <f>(+H1160+H1158+H1156+H1154+H1152)</f>
        <v>0</v>
      </c>
      <c r="C1172" s="74" t="e">
        <f>+D1135</f>
        <v>#REF!</v>
      </c>
      <c r="D1172" s="195" t="e">
        <f>+B1172+C1172</f>
        <v>#REF!</v>
      </c>
      <c r="I1172" s="72">
        <v>721</v>
      </c>
      <c r="J1172" s="80">
        <f>+P1152+P1156+P1158+P1160</f>
        <v>429000</v>
      </c>
      <c r="K1172" s="74">
        <f>+L1135</f>
        <v>13195000</v>
      </c>
      <c r="L1172" s="195">
        <f>+J1172+K1172</f>
        <v>13624000</v>
      </c>
    </row>
    <row r="1173" spans="1:16" ht="13.5" customHeight="1">
      <c r="A1173" s="72">
        <v>722</v>
      </c>
      <c r="B1173" s="80"/>
      <c r="C1173" s="74">
        <f>+D1136</f>
        <v>231207671</v>
      </c>
      <c r="D1173" s="195">
        <f>+B1173+C1173</f>
        <v>231207671</v>
      </c>
      <c r="I1173" s="72">
        <v>722</v>
      </c>
      <c r="J1173" s="80"/>
      <c r="K1173" s="74">
        <f>+L1136</f>
        <v>42881706</v>
      </c>
      <c r="L1173" s="195">
        <f>+J1173+K1173</f>
        <v>42881706</v>
      </c>
      <c r="N1173" s="918" t="s">
        <v>1481</v>
      </c>
      <c r="O1173" s="918"/>
      <c r="P1173" s="918"/>
    </row>
    <row r="1174" spans="1:16" ht="15.75">
      <c r="A1174" s="72">
        <v>723</v>
      </c>
      <c r="B1174" s="80"/>
      <c r="C1174" s="74" t="e">
        <f>+D1137</f>
        <v>#REF!</v>
      </c>
      <c r="D1174" s="195" t="e">
        <f>+B1174+C1174</f>
        <v>#REF!</v>
      </c>
      <c r="F1174" s="174" t="s">
        <v>23</v>
      </c>
      <c r="G1174" s="175"/>
      <c r="I1174" s="72">
        <v>723</v>
      </c>
      <c r="J1174" s="80">
        <f>+P1154</f>
        <v>-7821240</v>
      </c>
      <c r="K1174" s="74">
        <f>+L1137</f>
        <v>318527488</v>
      </c>
      <c r="L1174" s="195">
        <f>+J1174+K1174</f>
        <v>310706248</v>
      </c>
      <c r="N1174" s="193"/>
      <c r="O1174" s="175"/>
    </row>
    <row r="1175" spans="1:16" ht="14.25" customHeight="1" thickBot="1">
      <c r="A1175" s="164" t="s">
        <v>181</v>
      </c>
      <c r="B1175" s="165"/>
      <c r="C1175" s="74" t="e">
        <f>+D1138</f>
        <v>#REF!</v>
      </c>
      <c r="D1175" s="196" t="e">
        <f>+B1175+C1175</f>
        <v>#REF!</v>
      </c>
      <c r="F1175" s="52"/>
      <c r="I1175" s="164" t="s">
        <v>181</v>
      </c>
      <c r="J1175" s="165"/>
      <c r="K1175" s="74">
        <f>+L1138</f>
        <v>0</v>
      </c>
      <c r="L1175" s="196">
        <f>+J1175+K1175</f>
        <v>0</v>
      </c>
      <c r="N1175" s="52"/>
    </row>
    <row r="1176" spans="1:16" ht="16.5" thickBot="1">
      <c r="A1176" s="169"/>
      <c r="B1176" s="170">
        <f>SUM(B1171:B1175)</f>
        <v>70000</v>
      </c>
      <c r="C1176" s="171" t="e">
        <f>SUM(C1171:C1175)</f>
        <v>#REF!</v>
      </c>
      <c r="D1176" s="172" t="e">
        <f>SUM(D1171:D1175)</f>
        <v>#REF!</v>
      </c>
      <c r="I1176" s="169"/>
      <c r="J1176" s="197">
        <f>SUM(J1171:J1175)</f>
        <v>-5962240</v>
      </c>
      <c r="K1176" s="197">
        <f>SUM(K1171:K1175)</f>
        <v>402554194</v>
      </c>
      <c r="L1176" s="198">
        <f>SUM(L1171:L1175)</f>
        <v>396591954</v>
      </c>
    </row>
    <row r="1177" spans="1:16" ht="16.5">
      <c r="A1177" s="49" t="s">
        <v>88</v>
      </c>
      <c r="B1177" s="50"/>
      <c r="I1177" s="49" t="s">
        <v>88</v>
      </c>
      <c r="J1177" s="50"/>
    </row>
    <row r="1178" spans="1:16">
      <c r="A1178" s="51" t="s">
        <v>89</v>
      </c>
      <c r="I1178" s="51" t="s">
        <v>89</v>
      </c>
    </row>
    <row r="1179" spans="1:16">
      <c r="A1179" s="51" t="s">
        <v>90</v>
      </c>
      <c r="I1179" s="51" t="s">
        <v>90</v>
      </c>
    </row>
    <row r="1180" spans="1:16" ht="14.25" customHeight="1">
      <c r="A1180" s="51" t="s">
        <v>91</v>
      </c>
      <c r="I1180" s="51" t="s">
        <v>91</v>
      </c>
    </row>
    <row r="1181" spans="1:16" ht="10.5" customHeight="1">
      <c r="A1181" s="50"/>
      <c r="B1181" s="50"/>
      <c r="I1181" s="50"/>
      <c r="J1181" s="50"/>
    </row>
    <row r="1182" spans="1:16" ht="16.5">
      <c r="A1182" s="52" t="s">
        <v>493</v>
      </c>
      <c r="G1182" s="52"/>
      <c r="I1182" s="260" t="s">
        <v>870</v>
      </c>
      <c r="O1182" s="52"/>
    </row>
    <row r="1183" spans="1:16" ht="15.75">
      <c r="A1183" s="53" t="s">
        <v>92</v>
      </c>
      <c r="G1183" s="53"/>
      <c r="I1183" s="53" t="s">
        <v>1333</v>
      </c>
      <c r="O1183" s="53"/>
    </row>
    <row r="1184" spans="1:16" ht="16.5">
      <c r="A1184" s="894" t="s">
        <v>261</v>
      </c>
      <c r="B1184" s="894"/>
      <c r="C1184" s="894"/>
      <c r="D1184" s="894"/>
      <c r="E1184" s="894"/>
      <c r="F1184" s="894"/>
      <c r="G1184" s="894"/>
      <c r="H1184" s="894"/>
      <c r="I1184" s="894" t="s">
        <v>261</v>
      </c>
      <c r="J1184" s="894"/>
      <c r="K1184" s="894"/>
      <c r="L1184" s="894"/>
      <c r="M1184" s="894"/>
      <c r="N1184" s="894"/>
      <c r="O1184" s="894"/>
      <c r="P1184" s="894"/>
    </row>
    <row r="1185" spans="1:16" ht="15.75" thickBot="1"/>
    <row r="1186" spans="1:16">
      <c r="A1186" s="895" t="s">
        <v>94</v>
      </c>
      <c r="B1186" s="897" t="s">
        <v>95</v>
      </c>
      <c r="C1186" s="897" t="s">
        <v>96</v>
      </c>
      <c r="D1186" s="897" t="s">
        <v>3</v>
      </c>
      <c r="E1186" s="897" t="s">
        <v>97</v>
      </c>
      <c r="F1186" s="897" t="s">
        <v>98</v>
      </c>
      <c r="G1186" s="897" t="s">
        <v>99</v>
      </c>
      <c r="H1186" s="899"/>
      <c r="I1186" s="895" t="s">
        <v>94</v>
      </c>
      <c r="J1186" s="897" t="s">
        <v>95</v>
      </c>
      <c r="K1186" s="897" t="s">
        <v>96</v>
      </c>
      <c r="L1186" s="897" t="s">
        <v>3</v>
      </c>
      <c r="M1186" s="897" t="s">
        <v>97</v>
      </c>
      <c r="N1186" s="897" t="s">
        <v>98</v>
      </c>
      <c r="O1186" s="897" t="s">
        <v>99</v>
      </c>
      <c r="P1186" s="899"/>
    </row>
    <row r="1187" spans="1:16" ht="15.75" thickBot="1">
      <c r="A1187" s="896"/>
      <c r="B1187" s="898"/>
      <c r="C1187" s="898"/>
      <c r="D1187" s="898"/>
      <c r="E1187" s="898"/>
      <c r="F1187" s="898"/>
      <c r="G1187" s="240" t="s">
        <v>100</v>
      </c>
      <c r="H1187" s="182" t="s">
        <v>101</v>
      </c>
      <c r="I1187" s="896"/>
      <c r="J1187" s="898"/>
      <c r="K1187" s="898"/>
      <c r="L1187" s="898"/>
      <c r="M1187" s="898"/>
      <c r="N1187" s="898"/>
      <c r="O1187" s="240" t="s">
        <v>100</v>
      </c>
      <c r="P1187" s="182" t="s">
        <v>101</v>
      </c>
    </row>
    <row r="1188" spans="1:16" ht="12.75" customHeight="1">
      <c r="A1188" s="919" t="e">
        <f>+A1153+1</f>
        <v>#REF!</v>
      </c>
      <c r="B1188" s="875">
        <v>42360</v>
      </c>
      <c r="C1188" s="877" t="s">
        <v>31</v>
      </c>
      <c r="D1188" s="877" t="s">
        <v>494</v>
      </c>
      <c r="E1188" s="881" t="s">
        <v>115</v>
      </c>
      <c r="F1188" s="883">
        <v>70000</v>
      </c>
      <c r="G1188" s="55">
        <v>719</v>
      </c>
      <c r="H1188" s="78">
        <v>70000</v>
      </c>
      <c r="I1188" s="873" t="s">
        <v>863</v>
      </c>
      <c r="J1188" s="875">
        <v>43062</v>
      </c>
      <c r="K1188" s="881" t="s">
        <v>28</v>
      </c>
      <c r="L1188" s="881" t="s">
        <v>1558</v>
      </c>
      <c r="M1188" s="881" t="s">
        <v>148</v>
      </c>
      <c r="N1188" s="883">
        <v>741000</v>
      </c>
      <c r="O1188" s="55">
        <v>719</v>
      </c>
      <c r="P1188" s="78">
        <f>+N1188-P1189</f>
        <v>570000</v>
      </c>
    </row>
    <row r="1189" spans="1:16" ht="12.75" customHeight="1" thickBot="1">
      <c r="A1189" s="920"/>
      <c r="B1189" s="876"/>
      <c r="C1189" s="878"/>
      <c r="D1189" s="878"/>
      <c r="E1189" s="882"/>
      <c r="F1189" s="884"/>
      <c r="G1189" s="56">
        <v>721</v>
      </c>
      <c r="H1189" s="79">
        <f>+F1188-H1188</f>
        <v>0</v>
      </c>
      <c r="I1189" s="874"/>
      <c r="J1189" s="876"/>
      <c r="K1189" s="882"/>
      <c r="L1189" s="882"/>
      <c r="M1189" s="882"/>
      <c r="N1189" s="884"/>
      <c r="O1189" s="56">
        <v>721</v>
      </c>
      <c r="P1189" s="79">
        <v>171000</v>
      </c>
    </row>
    <row r="1190" spans="1:16" ht="12" customHeight="1">
      <c r="A1190" s="919" t="e">
        <f>+A1188+1</f>
        <v>#REF!</v>
      </c>
      <c r="B1190" s="875">
        <v>42360</v>
      </c>
      <c r="C1190" s="877" t="s">
        <v>472</v>
      </c>
      <c r="D1190" s="877" t="s">
        <v>495</v>
      </c>
      <c r="E1190" s="881" t="s">
        <v>115</v>
      </c>
      <c r="F1190" s="883">
        <v>60000</v>
      </c>
      <c r="G1190" s="55">
        <v>719</v>
      </c>
      <c r="H1190" s="78">
        <v>60000</v>
      </c>
      <c r="I1190" s="873">
        <f>+I1188+1</f>
        <v>151</v>
      </c>
      <c r="J1190" s="875">
        <v>43062</v>
      </c>
      <c r="K1190" s="881" t="s">
        <v>28</v>
      </c>
      <c r="L1190" s="881" t="s">
        <v>1559</v>
      </c>
      <c r="M1190" s="881" t="s">
        <v>148</v>
      </c>
      <c r="N1190" s="883">
        <v>299000</v>
      </c>
      <c r="O1190" s="55">
        <v>719</v>
      </c>
      <c r="P1190" s="78">
        <f>+N1190-P1191</f>
        <v>230000</v>
      </c>
    </row>
    <row r="1191" spans="1:16" ht="12" customHeight="1" thickBot="1">
      <c r="A1191" s="920"/>
      <c r="B1191" s="876"/>
      <c r="C1191" s="878"/>
      <c r="D1191" s="878"/>
      <c r="E1191" s="882"/>
      <c r="F1191" s="884"/>
      <c r="G1191" s="56">
        <v>721</v>
      </c>
      <c r="H1191" s="79">
        <f>+F1190-H1190</f>
        <v>0</v>
      </c>
      <c r="I1191" s="882"/>
      <c r="J1191" s="876"/>
      <c r="K1191" s="882"/>
      <c r="L1191" s="882"/>
      <c r="M1191" s="882"/>
      <c r="N1191" s="884"/>
      <c r="O1191" s="56">
        <v>721</v>
      </c>
      <c r="P1191" s="79">
        <v>69000</v>
      </c>
    </row>
    <row r="1192" spans="1:16" ht="12" customHeight="1">
      <c r="A1192" s="919" t="e">
        <f>+A1190+1</f>
        <v>#REF!</v>
      </c>
      <c r="B1192" s="875">
        <v>42360</v>
      </c>
      <c r="C1192" s="877" t="s">
        <v>32</v>
      </c>
      <c r="D1192" s="877" t="s">
        <v>496</v>
      </c>
      <c r="E1192" s="881" t="s">
        <v>115</v>
      </c>
      <c r="F1192" s="883">
        <v>50000</v>
      </c>
      <c r="G1192" s="55">
        <v>719</v>
      </c>
      <c r="H1192" s="78">
        <v>50000</v>
      </c>
      <c r="I1192" s="873">
        <f>+I1190+1</f>
        <v>152</v>
      </c>
      <c r="J1192" s="875">
        <v>43062</v>
      </c>
      <c r="K1192" s="881" t="s">
        <v>120</v>
      </c>
      <c r="L1192" s="881" t="s">
        <v>1560</v>
      </c>
      <c r="M1192" s="881" t="s">
        <v>115</v>
      </c>
      <c r="N1192" s="883">
        <v>320000</v>
      </c>
      <c r="O1192" s="55">
        <v>719</v>
      </c>
      <c r="P1192" s="78">
        <v>320000</v>
      </c>
    </row>
    <row r="1193" spans="1:16" ht="10.5" customHeight="1" thickBot="1">
      <c r="A1193" s="920"/>
      <c r="B1193" s="876"/>
      <c r="C1193" s="878"/>
      <c r="D1193" s="878"/>
      <c r="E1193" s="882"/>
      <c r="F1193" s="884"/>
      <c r="G1193" s="56">
        <v>721</v>
      </c>
      <c r="H1193" s="79">
        <f>+F1192-H1192</f>
        <v>0</v>
      </c>
      <c r="I1193" s="882"/>
      <c r="J1193" s="876"/>
      <c r="K1193" s="882"/>
      <c r="L1193" s="882"/>
      <c r="M1193" s="882"/>
      <c r="N1193" s="884"/>
      <c r="O1193" s="56">
        <v>721</v>
      </c>
      <c r="P1193" s="79">
        <v>0</v>
      </c>
    </row>
    <row r="1194" spans="1:16" ht="12" customHeight="1">
      <c r="A1194" s="919"/>
      <c r="B1194" s="875"/>
      <c r="C1194" s="877"/>
      <c r="D1194" s="881"/>
      <c r="E1194" s="881"/>
      <c r="F1194" s="883"/>
      <c r="G1194" s="55">
        <v>719</v>
      </c>
      <c r="H1194" s="78"/>
      <c r="I1194" s="873">
        <f>+I1192+1</f>
        <v>153</v>
      </c>
      <c r="J1194" s="875">
        <v>43062</v>
      </c>
      <c r="K1194" s="881" t="s">
        <v>120</v>
      </c>
      <c r="L1194" s="881" t="s">
        <v>1561</v>
      </c>
      <c r="M1194" s="881" t="s">
        <v>115</v>
      </c>
      <c r="N1194" s="883">
        <v>230000</v>
      </c>
      <c r="O1194" s="55">
        <v>719</v>
      </c>
      <c r="P1194" s="78">
        <v>230000</v>
      </c>
    </row>
    <row r="1195" spans="1:16" ht="11.25" customHeight="1" thickBot="1">
      <c r="A1195" s="920"/>
      <c r="B1195" s="876"/>
      <c r="C1195" s="878"/>
      <c r="D1195" s="882"/>
      <c r="E1195" s="882"/>
      <c r="F1195" s="884"/>
      <c r="G1195" s="56">
        <v>721</v>
      </c>
      <c r="H1195" s="79">
        <f>+F1194-H1194</f>
        <v>0</v>
      </c>
      <c r="I1195" s="882"/>
      <c r="J1195" s="876"/>
      <c r="K1195" s="882"/>
      <c r="L1195" s="882"/>
      <c r="M1195" s="882"/>
      <c r="N1195" s="884"/>
      <c r="O1195" s="56">
        <v>721</v>
      </c>
      <c r="P1195" s="79">
        <v>0</v>
      </c>
    </row>
    <row r="1196" spans="1:16" ht="13.5" customHeight="1">
      <c r="A1196" s="439"/>
      <c r="B1196" s="252"/>
      <c r="C1196" s="253"/>
      <c r="D1196" s="251"/>
      <c r="E1196" s="251"/>
      <c r="F1196" s="254"/>
      <c r="G1196" s="255"/>
      <c r="H1196" s="256"/>
      <c r="I1196" s="873">
        <f>+I1192+1</f>
        <v>153</v>
      </c>
      <c r="J1196" s="875">
        <v>43062</v>
      </c>
      <c r="K1196" s="881" t="s">
        <v>120</v>
      </c>
      <c r="L1196" s="879" t="s">
        <v>1562</v>
      </c>
      <c r="M1196" s="881" t="s">
        <v>115</v>
      </c>
      <c r="N1196" s="883">
        <v>320000</v>
      </c>
      <c r="O1196" s="55">
        <v>719</v>
      </c>
      <c r="P1196" s="78">
        <v>320000</v>
      </c>
    </row>
    <row r="1197" spans="1:16" ht="13.5" customHeight="1" thickBot="1">
      <c r="A1197" s="439"/>
      <c r="B1197" s="252"/>
      <c r="C1197" s="253"/>
      <c r="D1197" s="251"/>
      <c r="E1197" s="251"/>
      <c r="F1197" s="254"/>
      <c r="G1197" s="255"/>
      <c r="H1197" s="256"/>
      <c r="I1197" s="882"/>
      <c r="J1197" s="876"/>
      <c r="K1197" s="882"/>
      <c r="L1197" s="880"/>
      <c r="M1197" s="882"/>
      <c r="N1197" s="884"/>
      <c r="O1197" s="56">
        <v>721</v>
      </c>
      <c r="P1197" s="79">
        <f>+N1196-P1196</f>
        <v>0</v>
      </c>
    </row>
    <row r="1198" spans="1:16" ht="12" customHeight="1">
      <c r="A1198" s="881"/>
      <c r="B1198" s="875"/>
      <c r="C1198" s="877"/>
      <c r="D1198" s="881"/>
      <c r="E1198" s="881"/>
      <c r="F1198" s="883"/>
      <c r="G1198" s="55">
        <v>719</v>
      </c>
      <c r="H1198" s="78"/>
      <c r="I1198" s="873" t="s">
        <v>872</v>
      </c>
      <c r="J1198" s="875">
        <v>43062</v>
      </c>
      <c r="K1198" s="881" t="s">
        <v>120</v>
      </c>
      <c r="L1198" s="881" t="s">
        <v>1545</v>
      </c>
      <c r="M1198" s="881" t="s">
        <v>115</v>
      </c>
      <c r="N1198" s="883">
        <v>160000</v>
      </c>
      <c r="O1198" s="55">
        <v>719</v>
      </c>
      <c r="P1198" s="78">
        <v>160000</v>
      </c>
    </row>
    <row r="1199" spans="1:16" ht="12" customHeight="1" thickBot="1">
      <c r="A1199" s="882"/>
      <c r="B1199" s="876"/>
      <c r="C1199" s="878"/>
      <c r="D1199" s="882"/>
      <c r="E1199" s="882"/>
      <c r="F1199" s="884"/>
      <c r="G1199" s="56">
        <v>721</v>
      </c>
      <c r="H1199" s="79">
        <f>+F1198-H1198</f>
        <v>0</v>
      </c>
      <c r="I1199" s="874"/>
      <c r="J1199" s="876"/>
      <c r="K1199" s="882"/>
      <c r="L1199" s="882"/>
      <c r="M1199" s="882"/>
      <c r="N1199" s="884"/>
      <c r="O1199" s="56">
        <v>721</v>
      </c>
      <c r="P1199" s="79">
        <v>0</v>
      </c>
    </row>
    <row r="1200" spans="1:16" ht="15" customHeight="1" thickBot="1">
      <c r="A1200" s="901" t="s">
        <v>102</v>
      </c>
      <c r="B1200" s="902"/>
      <c r="C1200" s="902"/>
      <c r="D1200" s="902"/>
      <c r="E1200" s="903"/>
      <c r="F1200" s="81">
        <f>SUM(F1188:F1199)</f>
        <v>180000</v>
      </c>
      <c r="I1200" s="901" t="s">
        <v>102</v>
      </c>
      <c r="J1200" s="902"/>
      <c r="K1200" s="902"/>
      <c r="L1200" s="902"/>
      <c r="M1200" s="903"/>
      <c r="N1200" s="81">
        <f>SUM(N1188:N1199)</f>
        <v>2070000</v>
      </c>
    </row>
    <row r="1201" spans="1:16" ht="16.5" thickBot="1">
      <c r="A1201" s="885" t="s">
        <v>103</v>
      </c>
      <c r="B1201" s="886"/>
      <c r="C1201" s="886"/>
      <c r="D1201" s="886"/>
      <c r="E1201" s="887"/>
      <c r="F1201" s="69">
        <f>+F1163</f>
        <v>652295254</v>
      </c>
      <c r="I1201" s="885" t="s">
        <v>103</v>
      </c>
      <c r="J1201" s="886"/>
      <c r="K1201" s="886"/>
      <c r="L1201" s="886"/>
      <c r="M1201" s="887"/>
      <c r="N1201" s="69">
        <f>+N1163</f>
        <v>396591954</v>
      </c>
      <c r="O1201" s="241" t="s">
        <v>561</v>
      </c>
      <c r="P1201" s="242">
        <f>557+418+511+644</f>
        <v>2130</v>
      </c>
    </row>
    <row r="1202" spans="1:16" ht="16.5" thickBot="1">
      <c r="A1202" s="888" t="s">
        <v>104</v>
      </c>
      <c r="B1202" s="889"/>
      <c r="C1202" s="889"/>
      <c r="D1202" s="889"/>
      <c r="E1202" s="890"/>
      <c r="F1202" s="183">
        <f>SUM(F1200:F1201)</f>
        <v>652475254</v>
      </c>
      <c r="I1202" s="888" t="s">
        <v>104</v>
      </c>
      <c r="J1202" s="889"/>
      <c r="K1202" s="889"/>
      <c r="L1202" s="889"/>
      <c r="M1202" s="890"/>
      <c r="N1202" s="183">
        <f>SUM(N1200:N1201)</f>
        <v>398661954</v>
      </c>
    </row>
    <row r="1203" spans="1:16" ht="11.25" customHeight="1">
      <c r="A1203" s="61"/>
      <c r="B1203" s="61"/>
      <c r="C1203" s="61"/>
      <c r="D1203" s="61"/>
      <c r="E1203" s="61"/>
      <c r="I1203" s="61"/>
      <c r="J1203" s="61"/>
      <c r="K1203" s="61"/>
      <c r="L1203" s="61"/>
      <c r="M1203" s="61"/>
    </row>
    <row r="1204" spans="1:16">
      <c r="A1204" s="51" t="s">
        <v>497</v>
      </c>
      <c r="I1204" s="51" t="s">
        <v>1577</v>
      </c>
    </row>
    <row r="1205" spans="1:16" ht="9.75" customHeight="1">
      <c r="F1205" s="139"/>
      <c r="N1205" s="139"/>
    </row>
    <row r="1206" spans="1:16">
      <c r="A1206" s="50" t="s">
        <v>105</v>
      </c>
      <c r="D1206" s="146"/>
      <c r="F1206" s="139"/>
      <c r="I1206" s="50" t="s">
        <v>105</v>
      </c>
      <c r="L1206" s="146"/>
      <c r="N1206" s="139"/>
    </row>
    <row r="1207" spans="1:16" ht="9.75" customHeight="1" thickBot="1"/>
    <row r="1208" spans="1:16" ht="17.25" thickBot="1">
      <c r="A1208" s="891" t="s">
        <v>106</v>
      </c>
      <c r="B1208" s="892"/>
      <c r="C1208" s="892"/>
      <c r="D1208" s="893"/>
      <c r="F1208" s="50" t="s">
        <v>288</v>
      </c>
      <c r="I1208" s="891" t="s">
        <v>106</v>
      </c>
      <c r="J1208" s="892"/>
      <c r="K1208" s="892"/>
      <c r="L1208" s="893"/>
      <c r="N1208" s="604" t="s">
        <v>288</v>
      </c>
      <c r="O1208" s="604"/>
      <c r="P1208" s="604"/>
    </row>
    <row r="1209" spans="1:16" ht="30.75" thickBot="1">
      <c r="A1209" s="57" t="s">
        <v>100</v>
      </c>
      <c r="B1209" s="58" t="s">
        <v>108</v>
      </c>
      <c r="C1209" s="59" t="s">
        <v>109</v>
      </c>
      <c r="D1209" s="60" t="s">
        <v>110</v>
      </c>
      <c r="I1209" s="57" t="s">
        <v>100</v>
      </c>
      <c r="J1209" s="58" t="s">
        <v>108</v>
      </c>
      <c r="K1209" s="59" t="s">
        <v>109</v>
      </c>
      <c r="L1209" s="60" t="s">
        <v>110</v>
      </c>
    </row>
    <row r="1210" spans="1:16" ht="14.25" customHeight="1">
      <c r="A1210" s="71">
        <v>719</v>
      </c>
      <c r="B1210" s="73">
        <f>+H1188+H1190+H1192+H1194+H1198</f>
        <v>180000</v>
      </c>
      <c r="C1210" s="74" t="e">
        <f>+D1171</f>
        <v>#REF!</v>
      </c>
      <c r="D1210" s="195" t="e">
        <f>+B1210+C1210</f>
        <v>#REF!</v>
      </c>
      <c r="I1210" s="71">
        <v>719</v>
      </c>
      <c r="J1210" s="73">
        <f>+P1188+P1190+P1192+P1194+P1198+P1196</f>
        <v>1830000</v>
      </c>
      <c r="K1210" s="74">
        <f>+L1171</f>
        <v>29380000</v>
      </c>
      <c r="L1210" s="195">
        <f>+J1210+K1210</f>
        <v>31210000</v>
      </c>
    </row>
    <row r="1211" spans="1:16" ht="13.5" customHeight="1">
      <c r="A1211" s="72">
        <v>721</v>
      </c>
      <c r="B1211" s="80">
        <f>(+H1199+H1195+H1193+H1191+H1189)</f>
        <v>0</v>
      </c>
      <c r="C1211" s="74" t="e">
        <f>+D1172</f>
        <v>#REF!</v>
      </c>
      <c r="D1211" s="195" t="e">
        <f>+B1211+C1211</f>
        <v>#REF!</v>
      </c>
      <c r="I1211" s="72">
        <v>721</v>
      </c>
      <c r="J1211" s="80">
        <f>+P1199+P1195+P1193+P1191+P1189</f>
        <v>240000</v>
      </c>
      <c r="K1211" s="74">
        <f>+L1172</f>
        <v>13624000</v>
      </c>
      <c r="L1211" s="195">
        <f>+J1211+K1211</f>
        <v>13864000</v>
      </c>
    </row>
    <row r="1212" spans="1:16" ht="12.75" customHeight="1">
      <c r="A1212" s="72">
        <v>722</v>
      </c>
      <c r="B1212" s="80"/>
      <c r="C1212" s="74">
        <f>+D1173</f>
        <v>231207671</v>
      </c>
      <c r="D1212" s="195">
        <f>+B1212+C1212</f>
        <v>231207671</v>
      </c>
      <c r="I1212" s="72">
        <v>722</v>
      </c>
      <c r="J1212" s="80"/>
      <c r="K1212" s="74">
        <f>+L1173</f>
        <v>42881706</v>
      </c>
      <c r="L1212" s="195">
        <f>+J1212+K1212</f>
        <v>42881706</v>
      </c>
    </row>
    <row r="1213" spans="1:16" ht="14.25" customHeight="1">
      <c r="A1213" s="72">
        <v>723</v>
      </c>
      <c r="B1213" s="80"/>
      <c r="C1213" s="74" t="e">
        <f>+D1174</f>
        <v>#REF!</v>
      </c>
      <c r="D1213" s="195" t="e">
        <f>+B1213+C1213</f>
        <v>#REF!</v>
      </c>
      <c r="F1213" s="174" t="s">
        <v>23</v>
      </c>
      <c r="G1213" s="175"/>
      <c r="I1213" s="72">
        <v>723</v>
      </c>
      <c r="J1213" s="80"/>
      <c r="K1213" s="74">
        <f>+L1174</f>
        <v>310706248</v>
      </c>
      <c r="L1213" s="195">
        <f>+J1213+K1213</f>
        <v>310706248</v>
      </c>
      <c r="N1213" s="918" t="s">
        <v>1481</v>
      </c>
      <c r="O1213" s="918"/>
      <c r="P1213" s="918"/>
    </row>
    <row r="1214" spans="1:16" ht="14.25" customHeight="1" thickBot="1">
      <c r="A1214" s="164" t="s">
        <v>181</v>
      </c>
      <c r="B1214" s="165"/>
      <c r="C1214" s="74" t="e">
        <f>+D1175</f>
        <v>#REF!</v>
      </c>
      <c r="D1214" s="196" t="e">
        <f>+B1214+C1214</f>
        <v>#REF!</v>
      </c>
      <c r="F1214" s="52"/>
      <c r="I1214" s="164" t="s">
        <v>181</v>
      </c>
      <c r="J1214" s="165"/>
      <c r="K1214" s="74">
        <f>+L1175</f>
        <v>0</v>
      </c>
      <c r="L1214" s="196">
        <f>+J1214+K1214</f>
        <v>0</v>
      </c>
      <c r="N1214" s="52"/>
    </row>
    <row r="1215" spans="1:16" ht="15" customHeight="1" thickBot="1">
      <c r="A1215" s="169"/>
      <c r="B1215" s="170">
        <f>SUM(B1210:B1214)</f>
        <v>180000</v>
      </c>
      <c r="C1215" s="171" t="e">
        <f>SUM(C1210:C1214)</f>
        <v>#REF!</v>
      </c>
      <c r="D1215" s="172" t="e">
        <f>SUM(D1210:D1214)</f>
        <v>#REF!</v>
      </c>
      <c r="I1215" s="169"/>
      <c r="J1215" s="197">
        <f>SUM(J1210:J1214)</f>
        <v>2070000</v>
      </c>
      <c r="K1215" s="197">
        <f>SUM(K1210:K1214)</f>
        <v>396591954</v>
      </c>
      <c r="L1215" s="198">
        <f>SUM(L1210:L1214)</f>
        <v>398661954</v>
      </c>
    </row>
    <row r="1216" spans="1:16" ht="16.5">
      <c r="A1216" s="49" t="s">
        <v>88</v>
      </c>
      <c r="B1216" s="50"/>
      <c r="I1216" s="49" t="s">
        <v>88</v>
      </c>
      <c r="J1216" s="50"/>
    </row>
    <row r="1217" spans="1:16">
      <c r="A1217" s="51" t="s">
        <v>89</v>
      </c>
      <c r="I1217" s="51" t="s">
        <v>89</v>
      </c>
    </row>
    <row r="1218" spans="1:16">
      <c r="A1218" s="51" t="s">
        <v>90</v>
      </c>
      <c r="I1218" s="51" t="s">
        <v>90</v>
      </c>
    </row>
    <row r="1219" spans="1:16">
      <c r="A1219" s="51" t="s">
        <v>91</v>
      </c>
      <c r="I1219" s="51" t="s">
        <v>91</v>
      </c>
    </row>
    <row r="1220" spans="1:16" ht="12" customHeight="1">
      <c r="A1220" s="50"/>
      <c r="B1220" s="50"/>
      <c r="I1220" s="50"/>
      <c r="J1220" s="50"/>
    </row>
    <row r="1221" spans="1:16" ht="16.5">
      <c r="A1221" s="52" t="s">
        <v>498</v>
      </c>
      <c r="G1221" s="52"/>
      <c r="I1221" s="260" t="s">
        <v>200</v>
      </c>
      <c r="O1221" s="52"/>
    </row>
    <row r="1222" spans="1:16" ht="15.75">
      <c r="A1222" s="53" t="s">
        <v>92</v>
      </c>
      <c r="G1222" s="53"/>
      <c r="I1222" s="53" t="s">
        <v>1333</v>
      </c>
      <c r="O1222" s="53"/>
    </row>
    <row r="1223" spans="1:16" ht="16.5">
      <c r="A1223" s="894" t="s">
        <v>261</v>
      </c>
      <c r="B1223" s="894"/>
      <c r="C1223" s="894"/>
      <c r="D1223" s="894"/>
      <c r="E1223" s="894"/>
      <c r="F1223" s="894"/>
      <c r="G1223" s="894"/>
      <c r="H1223" s="894"/>
      <c r="I1223" s="894" t="s">
        <v>1564</v>
      </c>
      <c r="J1223" s="894"/>
      <c r="K1223" s="894"/>
      <c r="L1223" s="894"/>
      <c r="M1223" s="894"/>
      <c r="N1223" s="894"/>
      <c r="O1223" s="894"/>
      <c r="P1223" s="894"/>
    </row>
    <row r="1224" spans="1:16" ht="15.75" thickBot="1"/>
    <row r="1225" spans="1:16">
      <c r="A1225" s="895" t="s">
        <v>94</v>
      </c>
      <c r="B1225" s="897" t="s">
        <v>95</v>
      </c>
      <c r="C1225" s="897" t="s">
        <v>96</v>
      </c>
      <c r="D1225" s="897" t="s">
        <v>3</v>
      </c>
      <c r="E1225" s="897" t="s">
        <v>97</v>
      </c>
      <c r="F1225" s="897" t="s">
        <v>98</v>
      </c>
      <c r="G1225" s="897" t="s">
        <v>99</v>
      </c>
      <c r="H1225" s="899"/>
      <c r="I1225" s="895" t="s">
        <v>94</v>
      </c>
      <c r="J1225" s="897" t="s">
        <v>95</v>
      </c>
      <c r="K1225" s="897" t="s">
        <v>96</v>
      </c>
      <c r="L1225" s="897" t="s">
        <v>3</v>
      </c>
      <c r="M1225" s="897" t="s">
        <v>97</v>
      </c>
      <c r="N1225" s="897" t="s">
        <v>98</v>
      </c>
      <c r="O1225" s="897" t="s">
        <v>99</v>
      </c>
      <c r="P1225" s="899"/>
    </row>
    <row r="1226" spans="1:16" ht="15.75" thickBot="1">
      <c r="A1226" s="896"/>
      <c r="B1226" s="898"/>
      <c r="C1226" s="898"/>
      <c r="D1226" s="898"/>
      <c r="E1226" s="898"/>
      <c r="F1226" s="898"/>
      <c r="G1226" s="240" t="s">
        <v>100</v>
      </c>
      <c r="H1226" s="182" t="s">
        <v>101</v>
      </c>
      <c r="I1226" s="896"/>
      <c r="J1226" s="898"/>
      <c r="K1226" s="898"/>
      <c r="L1226" s="898"/>
      <c r="M1226" s="898"/>
      <c r="N1226" s="898"/>
      <c r="O1226" s="240" t="s">
        <v>100</v>
      </c>
      <c r="P1226" s="182" t="s">
        <v>101</v>
      </c>
    </row>
    <row r="1227" spans="1:16" ht="12" customHeight="1">
      <c r="A1227" s="919" t="e">
        <f>+A1192+1</f>
        <v>#REF!</v>
      </c>
      <c r="B1227" s="875">
        <v>42361</v>
      </c>
      <c r="C1227" s="877" t="s">
        <v>267</v>
      </c>
      <c r="D1227" s="877" t="s">
        <v>499</v>
      </c>
      <c r="E1227" s="881" t="s">
        <v>148</v>
      </c>
      <c r="F1227" s="883">
        <v>126000</v>
      </c>
      <c r="G1227" s="55">
        <v>719</v>
      </c>
      <c r="H1227" s="78">
        <v>90000</v>
      </c>
      <c r="I1227" s="873" t="s">
        <v>1569</v>
      </c>
      <c r="J1227" s="875">
        <v>43062</v>
      </c>
      <c r="K1227" s="881" t="s">
        <v>28</v>
      </c>
      <c r="L1227" s="879" t="s">
        <v>1566</v>
      </c>
      <c r="M1227" s="881" t="s">
        <v>115</v>
      </c>
      <c r="N1227" s="883">
        <v>50000</v>
      </c>
      <c r="O1227" s="55">
        <v>719</v>
      </c>
      <c r="P1227" s="78">
        <f>+N1227</f>
        <v>50000</v>
      </c>
    </row>
    <row r="1228" spans="1:16" ht="14.25" customHeight="1" thickBot="1">
      <c r="A1228" s="920"/>
      <c r="B1228" s="876"/>
      <c r="C1228" s="878"/>
      <c r="D1228" s="878"/>
      <c r="E1228" s="882"/>
      <c r="F1228" s="884"/>
      <c r="G1228" s="56">
        <v>721</v>
      </c>
      <c r="H1228" s="79">
        <f>+F1227-H1227</f>
        <v>36000</v>
      </c>
      <c r="I1228" s="874"/>
      <c r="J1228" s="876"/>
      <c r="K1228" s="882"/>
      <c r="L1228" s="880"/>
      <c r="M1228" s="882"/>
      <c r="N1228" s="884"/>
      <c r="O1228" s="56">
        <v>721</v>
      </c>
      <c r="P1228" s="79"/>
    </row>
    <row r="1229" spans="1:16" ht="15" customHeight="1">
      <c r="A1229" s="919" t="e">
        <f>+A1227+1</f>
        <v>#REF!</v>
      </c>
      <c r="B1229" s="875">
        <v>42361</v>
      </c>
      <c r="C1229" s="881" t="s">
        <v>28</v>
      </c>
      <c r="D1229" s="877" t="s">
        <v>500</v>
      </c>
      <c r="E1229" s="881" t="s">
        <v>148</v>
      </c>
      <c r="F1229" s="883">
        <v>196000</v>
      </c>
      <c r="G1229" s="55">
        <v>719</v>
      </c>
      <c r="H1229" s="78">
        <v>140000</v>
      </c>
      <c r="I1229" s="873" t="s">
        <v>1570</v>
      </c>
      <c r="J1229" s="875">
        <v>43062</v>
      </c>
      <c r="K1229" s="881" t="s">
        <v>120</v>
      </c>
      <c r="L1229" s="879" t="s">
        <v>1567</v>
      </c>
      <c r="M1229" s="881" t="s">
        <v>115</v>
      </c>
      <c r="N1229" s="883">
        <v>190000</v>
      </c>
      <c r="O1229" s="55">
        <v>719</v>
      </c>
      <c r="P1229" s="78">
        <f>+N1229</f>
        <v>190000</v>
      </c>
    </row>
    <row r="1230" spans="1:16" ht="13.5" customHeight="1" thickBot="1">
      <c r="A1230" s="920"/>
      <c r="B1230" s="876"/>
      <c r="C1230" s="882"/>
      <c r="D1230" s="878"/>
      <c r="E1230" s="882"/>
      <c r="F1230" s="884"/>
      <c r="G1230" s="56">
        <v>721</v>
      </c>
      <c r="H1230" s="79">
        <f>+F1229-H1229</f>
        <v>56000</v>
      </c>
      <c r="I1230" s="882"/>
      <c r="J1230" s="876"/>
      <c r="K1230" s="882"/>
      <c r="L1230" s="880"/>
      <c r="M1230" s="882"/>
      <c r="N1230" s="884"/>
      <c r="O1230" s="56">
        <v>721</v>
      </c>
      <c r="P1230" s="79"/>
    </row>
    <row r="1231" spans="1:16" ht="12.75" customHeight="1">
      <c r="A1231" s="919" t="e">
        <f>+A1229+1</f>
        <v>#REF!</v>
      </c>
      <c r="B1231" s="875">
        <v>42361</v>
      </c>
      <c r="C1231" s="877" t="s">
        <v>32</v>
      </c>
      <c r="D1231" s="877" t="s">
        <v>500</v>
      </c>
      <c r="E1231" s="881" t="s">
        <v>148</v>
      </c>
      <c r="F1231" s="883">
        <v>42000</v>
      </c>
      <c r="G1231" s="55">
        <v>719</v>
      </c>
      <c r="H1231" s="78">
        <v>30000</v>
      </c>
      <c r="I1231" s="873" t="s">
        <v>1568</v>
      </c>
      <c r="J1231" s="875">
        <v>43062</v>
      </c>
      <c r="K1231" s="877" t="s">
        <v>1571</v>
      </c>
      <c r="L1231" s="879" t="s">
        <v>1225</v>
      </c>
      <c r="M1231" s="881" t="s">
        <v>115</v>
      </c>
      <c r="N1231" s="883">
        <v>3980000</v>
      </c>
      <c r="O1231" s="55">
        <v>719</v>
      </c>
      <c r="P1231" s="78"/>
    </row>
    <row r="1232" spans="1:16" ht="15.75" customHeight="1" thickBot="1">
      <c r="A1232" s="920"/>
      <c r="B1232" s="876"/>
      <c r="C1232" s="878"/>
      <c r="D1232" s="878"/>
      <c r="E1232" s="882"/>
      <c r="F1232" s="884"/>
      <c r="G1232" s="56">
        <v>721</v>
      </c>
      <c r="H1232" s="79">
        <f>+F1231-H1231</f>
        <v>12000</v>
      </c>
      <c r="I1232" s="882"/>
      <c r="J1232" s="876"/>
      <c r="K1232" s="878"/>
      <c r="L1232" s="880"/>
      <c r="M1232" s="882"/>
      <c r="N1232" s="884"/>
      <c r="O1232" s="56">
        <v>723</v>
      </c>
      <c r="P1232" s="79">
        <f>+N1231</f>
        <v>3980000</v>
      </c>
    </row>
    <row r="1233" spans="1:16" ht="12" customHeight="1">
      <c r="A1233" s="919" t="e">
        <f>+A1231+1</f>
        <v>#REF!</v>
      </c>
      <c r="B1233" s="875">
        <v>42361</v>
      </c>
      <c r="C1233" s="877" t="s">
        <v>111</v>
      </c>
      <c r="D1233" s="877" t="s">
        <v>499</v>
      </c>
      <c r="E1233" s="881" t="s">
        <v>148</v>
      </c>
      <c r="F1233" s="883">
        <v>112000</v>
      </c>
      <c r="G1233" s="55">
        <v>719</v>
      </c>
      <c r="H1233" s="78">
        <v>80000</v>
      </c>
      <c r="I1233" s="873" t="s">
        <v>1563</v>
      </c>
      <c r="J1233" s="875">
        <v>43062</v>
      </c>
      <c r="K1233" s="881" t="s">
        <v>385</v>
      </c>
      <c r="L1233" s="879" t="s">
        <v>1188</v>
      </c>
      <c r="M1233" s="881" t="s">
        <v>148</v>
      </c>
      <c r="N1233" s="883">
        <v>22479749</v>
      </c>
      <c r="O1233" s="55">
        <v>719</v>
      </c>
      <c r="P1233" s="78"/>
    </row>
    <row r="1234" spans="1:16" ht="14.25" customHeight="1" thickBot="1">
      <c r="A1234" s="920"/>
      <c r="B1234" s="876"/>
      <c r="C1234" s="878"/>
      <c r="D1234" s="878"/>
      <c r="E1234" s="882"/>
      <c r="F1234" s="884"/>
      <c r="G1234" s="56">
        <v>721</v>
      </c>
      <c r="H1234" s="79">
        <f>+F1233-H1233</f>
        <v>32000</v>
      </c>
      <c r="I1234" s="882"/>
      <c r="J1234" s="876"/>
      <c r="K1234" s="882"/>
      <c r="L1234" s="880"/>
      <c r="M1234" s="882"/>
      <c r="N1234" s="884"/>
      <c r="O1234" s="56">
        <v>721</v>
      </c>
      <c r="P1234" s="79">
        <f>+N1233</f>
        <v>22479749</v>
      </c>
    </row>
    <row r="1235" spans="1:16" ht="12" customHeight="1">
      <c r="A1235" s="919" t="e">
        <f>+A1233+1</f>
        <v>#REF!</v>
      </c>
      <c r="B1235" s="875">
        <v>42361</v>
      </c>
      <c r="C1235" s="877" t="s">
        <v>272</v>
      </c>
      <c r="D1235" s="877" t="s">
        <v>500</v>
      </c>
      <c r="E1235" s="881" t="s">
        <v>148</v>
      </c>
      <c r="F1235" s="883">
        <v>588000</v>
      </c>
      <c r="G1235" s="55">
        <v>719</v>
      </c>
      <c r="H1235" s="78">
        <v>420000</v>
      </c>
      <c r="I1235" s="873" t="s">
        <v>873</v>
      </c>
      <c r="J1235" s="875">
        <v>43062</v>
      </c>
      <c r="K1235" s="881" t="s">
        <v>385</v>
      </c>
      <c r="L1235" s="879" t="s">
        <v>1245</v>
      </c>
      <c r="M1235" s="881" t="s">
        <v>148</v>
      </c>
      <c r="N1235" s="883">
        <v>55554732</v>
      </c>
      <c r="O1235" s="55">
        <v>719</v>
      </c>
      <c r="P1235" s="78"/>
    </row>
    <row r="1236" spans="1:16" ht="13.5" customHeight="1" thickBot="1">
      <c r="A1236" s="920"/>
      <c r="B1236" s="876"/>
      <c r="C1236" s="878"/>
      <c r="D1236" s="878"/>
      <c r="E1236" s="882"/>
      <c r="F1236" s="884"/>
      <c r="G1236" s="56">
        <v>721</v>
      </c>
      <c r="H1236" s="79">
        <f>+F1235-H1235</f>
        <v>168000</v>
      </c>
      <c r="I1236" s="882"/>
      <c r="J1236" s="876"/>
      <c r="K1236" s="882"/>
      <c r="L1236" s="880"/>
      <c r="M1236" s="882"/>
      <c r="N1236" s="884"/>
      <c r="O1236" s="56">
        <v>721</v>
      </c>
      <c r="P1236" s="79">
        <f>+N1235-P1235</f>
        <v>55554732</v>
      </c>
    </row>
    <row r="1237" spans="1:16" ht="16.5" thickBot="1">
      <c r="A1237" s="901" t="s">
        <v>102</v>
      </c>
      <c r="B1237" s="902"/>
      <c r="C1237" s="902"/>
      <c r="D1237" s="902"/>
      <c r="E1237" s="903"/>
      <c r="F1237" s="81">
        <f>SUM(F1227:F1236)</f>
        <v>1064000</v>
      </c>
      <c r="I1237" s="901" t="s">
        <v>102</v>
      </c>
      <c r="J1237" s="902"/>
      <c r="K1237" s="902"/>
      <c r="L1237" s="902"/>
      <c r="M1237" s="903"/>
      <c r="N1237" s="81">
        <f>SUM(N1227:N1236)</f>
        <v>82254481</v>
      </c>
    </row>
    <row r="1238" spans="1:16" ht="16.5" thickBot="1">
      <c r="A1238" s="885" t="s">
        <v>103</v>
      </c>
      <c r="B1238" s="886"/>
      <c r="C1238" s="886"/>
      <c r="D1238" s="886"/>
      <c r="E1238" s="887"/>
      <c r="F1238" s="69">
        <f>+F1202</f>
        <v>652475254</v>
      </c>
      <c r="I1238" s="885" t="s">
        <v>103</v>
      </c>
      <c r="J1238" s="886"/>
      <c r="K1238" s="886"/>
      <c r="L1238" s="886"/>
      <c r="M1238" s="887"/>
      <c r="N1238" s="69">
        <f>+N1202</f>
        <v>398661954</v>
      </c>
      <c r="O1238" s="241" t="s">
        <v>561</v>
      </c>
      <c r="P1238" s="242"/>
    </row>
    <row r="1239" spans="1:16" ht="16.5" thickBot="1">
      <c r="A1239" s="888" t="s">
        <v>104</v>
      </c>
      <c r="B1239" s="889"/>
      <c r="C1239" s="889"/>
      <c r="D1239" s="889"/>
      <c r="E1239" s="890"/>
      <c r="F1239" s="183">
        <f>SUM(F1237:F1238)</f>
        <v>653539254</v>
      </c>
      <c r="I1239" s="888" t="s">
        <v>104</v>
      </c>
      <c r="J1239" s="889"/>
      <c r="K1239" s="889"/>
      <c r="L1239" s="889"/>
      <c r="M1239" s="890"/>
      <c r="N1239" s="183">
        <f>SUM(N1237:N1238)</f>
        <v>480916435</v>
      </c>
    </row>
    <row r="1240" spans="1:16">
      <c r="A1240" s="61"/>
      <c r="B1240" s="61"/>
      <c r="C1240" s="61"/>
      <c r="D1240" s="61"/>
      <c r="E1240" s="61"/>
      <c r="I1240" s="61"/>
      <c r="J1240" s="61"/>
      <c r="K1240" s="61"/>
      <c r="L1240" s="61"/>
      <c r="M1240" s="61"/>
    </row>
    <row r="1241" spans="1:16">
      <c r="A1241" s="51" t="s">
        <v>501</v>
      </c>
      <c r="I1241" s="51" t="s">
        <v>1565</v>
      </c>
    </row>
    <row r="1242" spans="1:16" ht="11.25" customHeight="1">
      <c r="F1242" s="139"/>
      <c r="N1242" s="139"/>
    </row>
    <row r="1243" spans="1:16">
      <c r="A1243" s="50" t="s">
        <v>105</v>
      </c>
      <c r="D1243" s="146"/>
      <c r="F1243" s="139"/>
      <c r="I1243" s="50" t="s">
        <v>105</v>
      </c>
      <c r="L1243" s="146"/>
      <c r="N1243" s="139"/>
    </row>
    <row r="1244" spans="1:16" ht="13.5" customHeight="1" thickBot="1"/>
    <row r="1245" spans="1:16" ht="17.25" thickBot="1">
      <c r="A1245" s="891" t="s">
        <v>106</v>
      </c>
      <c r="B1245" s="892"/>
      <c r="C1245" s="892"/>
      <c r="D1245" s="893"/>
      <c r="F1245" s="50" t="s">
        <v>288</v>
      </c>
      <c r="I1245" s="891" t="s">
        <v>106</v>
      </c>
      <c r="J1245" s="892"/>
      <c r="K1245" s="892"/>
      <c r="L1245" s="893"/>
      <c r="N1245" s="604" t="s">
        <v>288</v>
      </c>
      <c r="O1245" s="604"/>
      <c r="P1245" s="604"/>
    </row>
    <row r="1246" spans="1:16" ht="26.25" customHeight="1" thickBot="1">
      <c r="A1246" s="57" t="s">
        <v>100</v>
      </c>
      <c r="B1246" s="58" t="s">
        <v>108</v>
      </c>
      <c r="C1246" s="59" t="s">
        <v>109</v>
      </c>
      <c r="D1246" s="60" t="s">
        <v>110</v>
      </c>
      <c r="I1246" s="57" t="s">
        <v>100</v>
      </c>
      <c r="J1246" s="58" t="s">
        <v>108</v>
      </c>
      <c r="K1246" s="59" t="s">
        <v>109</v>
      </c>
      <c r="L1246" s="60" t="s">
        <v>110</v>
      </c>
    </row>
    <row r="1247" spans="1:16">
      <c r="A1247" s="71">
        <v>719</v>
      </c>
      <c r="B1247" s="73">
        <f>+H1227+H1229+H1231+H1233+H1235</f>
        <v>760000</v>
      </c>
      <c r="C1247" s="74" t="e">
        <f>+D1210</f>
        <v>#REF!</v>
      </c>
      <c r="D1247" s="195" t="e">
        <f>+B1247+C1247</f>
        <v>#REF!</v>
      </c>
      <c r="I1247" s="71">
        <v>719</v>
      </c>
      <c r="J1247" s="73">
        <f>+P1227+P1229+P1231+P1233+P1235</f>
        <v>240000</v>
      </c>
      <c r="K1247" s="74">
        <f>+L1210</f>
        <v>31210000</v>
      </c>
      <c r="L1247" s="195">
        <f>+J1247+K1247</f>
        <v>31450000</v>
      </c>
    </row>
    <row r="1248" spans="1:16" ht="14.25" customHeight="1">
      <c r="A1248" s="72">
        <v>721</v>
      </c>
      <c r="B1248" s="80">
        <f>(+H1236+H1234+H1232+H1230+H1228)</f>
        <v>304000</v>
      </c>
      <c r="C1248" s="74" t="e">
        <f>+D1211</f>
        <v>#REF!</v>
      </c>
      <c r="D1248" s="195" t="e">
        <f>+B1248+C1248</f>
        <v>#REF!</v>
      </c>
      <c r="I1248" s="72">
        <v>721</v>
      </c>
      <c r="J1248" s="80">
        <f>+P1228+P1230++P1234+P1236</f>
        <v>78034481</v>
      </c>
      <c r="K1248" s="74">
        <f>+L1211</f>
        <v>13864000</v>
      </c>
      <c r="L1248" s="195">
        <f>+J1248+K1248</f>
        <v>91898481</v>
      </c>
    </row>
    <row r="1249" spans="1:16" ht="12.75" customHeight="1">
      <c r="A1249" s="72">
        <v>722</v>
      </c>
      <c r="B1249" s="80"/>
      <c r="C1249" s="74">
        <f>+D1212</f>
        <v>231207671</v>
      </c>
      <c r="D1249" s="195">
        <f>+B1249+C1249</f>
        <v>231207671</v>
      </c>
      <c r="I1249" s="72">
        <v>722</v>
      </c>
      <c r="J1249" s="80"/>
      <c r="K1249" s="74">
        <f>+L1212</f>
        <v>42881706</v>
      </c>
      <c r="L1249" s="195">
        <f>+J1249+K1249</f>
        <v>42881706</v>
      </c>
      <c r="N1249" s="918" t="s">
        <v>1481</v>
      </c>
      <c r="O1249" s="918"/>
      <c r="P1249" s="918"/>
    </row>
    <row r="1250" spans="1:16" ht="14.25" customHeight="1">
      <c r="A1250" s="72">
        <v>723</v>
      </c>
      <c r="B1250" s="80"/>
      <c r="C1250" s="74" t="e">
        <f>+D1213</f>
        <v>#REF!</v>
      </c>
      <c r="D1250" s="195" t="e">
        <f>+B1250+C1250</f>
        <v>#REF!</v>
      </c>
      <c r="F1250" s="174" t="s">
        <v>23</v>
      </c>
      <c r="G1250" s="175"/>
      <c r="I1250" s="72">
        <v>723</v>
      </c>
      <c r="J1250" s="80">
        <f>+P1232</f>
        <v>3980000</v>
      </c>
      <c r="K1250" s="74">
        <f>+L1213</f>
        <v>310706248</v>
      </c>
      <c r="L1250" s="195">
        <f>+J1250+K1250</f>
        <v>314686248</v>
      </c>
      <c r="N1250" s="918"/>
      <c r="O1250" s="918"/>
      <c r="P1250" s="918"/>
    </row>
    <row r="1251" spans="1:16" ht="14.25" customHeight="1" thickBot="1">
      <c r="A1251" s="164" t="s">
        <v>181</v>
      </c>
      <c r="B1251" s="165"/>
      <c r="C1251" s="74" t="e">
        <f>+D1214</f>
        <v>#REF!</v>
      </c>
      <c r="D1251" s="196" t="e">
        <f>+B1251+C1251</f>
        <v>#REF!</v>
      </c>
      <c r="F1251" s="52"/>
      <c r="I1251" s="164" t="s">
        <v>181</v>
      </c>
      <c r="J1251" s="165"/>
      <c r="K1251" s="74">
        <f>+L1214</f>
        <v>0</v>
      </c>
      <c r="L1251" s="196">
        <f>+J1251+K1251</f>
        <v>0</v>
      </c>
      <c r="N1251" s="52"/>
    </row>
    <row r="1252" spans="1:16" ht="16.5" thickBot="1">
      <c r="A1252" s="169"/>
      <c r="B1252" s="170">
        <f>SUM(B1247:B1251)</f>
        <v>1064000</v>
      </c>
      <c r="C1252" s="171" t="e">
        <f>SUM(C1247:C1251)</f>
        <v>#REF!</v>
      </c>
      <c r="D1252" s="172" t="e">
        <f>SUM(D1247:D1251)</f>
        <v>#REF!</v>
      </c>
      <c r="I1252" s="169"/>
      <c r="J1252" s="197">
        <f>SUM(J1247:J1251)</f>
        <v>82254481</v>
      </c>
      <c r="K1252" s="197">
        <f>SUM(K1247:K1251)</f>
        <v>398661954</v>
      </c>
      <c r="L1252" s="198">
        <f>SUM(L1247:L1251)</f>
        <v>480916435</v>
      </c>
    </row>
    <row r="1253" spans="1:16" ht="16.5">
      <c r="A1253" s="49" t="s">
        <v>88</v>
      </c>
      <c r="B1253" s="50"/>
      <c r="I1253" s="49" t="s">
        <v>88</v>
      </c>
      <c r="J1253" s="50"/>
    </row>
    <row r="1254" spans="1:16">
      <c r="A1254" s="51" t="s">
        <v>89</v>
      </c>
      <c r="I1254" s="51" t="s">
        <v>89</v>
      </c>
    </row>
    <row r="1255" spans="1:16">
      <c r="A1255" s="51" t="s">
        <v>90</v>
      </c>
      <c r="I1255" s="51" t="s">
        <v>90</v>
      </c>
    </row>
    <row r="1256" spans="1:16">
      <c r="A1256" s="51" t="s">
        <v>91</v>
      </c>
      <c r="I1256" s="51" t="s">
        <v>91</v>
      </c>
    </row>
    <row r="1257" spans="1:16" ht="12" customHeight="1">
      <c r="A1257" s="50"/>
      <c r="B1257" s="50"/>
      <c r="I1257" s="50"/>
      <c r="J1257" s="50"/>
    </row>
    <row r="1258" spans="1:16" ht="16.5">
      <c r="A1258" s="52" t="s">
        <v>502</v>
      </c>
      <c r="G1258" s="52"/>
      <c r="I1258" s="260" t="s">
        <v>871</v>
      </c>
      <c r="O1258" s="52"/>
    </row>
    <row r="1259" spans="1:16" ht="15.75">
      <c r="A1259" s="53" t="s">
        <v>92</v>
      </c>
      <c r="G1259" s="53"/>
      <c r="I1259" s="53" t="s">
        <v>1333</v>
      </c>
      <c r="O1259" s="53"/>
    </row>
    <row r="1260" spans="1:16" ht="16.5">
      <c r="A1260" s="894" t="s">
        <v>261</v>
      </c>
      <c r="B1260" s="894"/>
      <c r="C1260" s="894"/>
      <c r="D1260" s="894"/>
      <c r="E1260" s="894"/>
      <c r="F1260" s="894"/>
      <c r="G1260" s="894"/>
      <c r="H1260" s="894"/>
      <c r="I1260" s="894" t="s">
        <v>903</v>
      </c>
      <c r="J1260" s="894"/>
      <c r="K1260" s="894"/>
      <c r="L1260" s="894"/>
      <c r="M1260" s="894"/>
      <c r="N1260" s="894"/>
      <c r="O1260" s="894"/>
      <c r="P1260" s="894"/>
    </row>
    <row r="1261" spans="1:16" ht="12.75" customHeight="1" thickBot="1"/>
    <row r="1262" spans="1:16">
      <c r="A1262" s="895" t="s">
        <v>94</v>
      </c>
      <c r="B1262" s="897" t="s">
        <v>95</v>
      </c>
      <c r="C1262" s="897" t="s">
        <v>96</v>
      </c>
      <c r="D1262" s="897" t="s">
        <v>3</v>
      </c>
      <c r="E1262" s="897" t="s">
        <v>97</v>
      </c>
      <c r="F1262" s="897" t="s">
        <v>98</v>
      </c>
      <c r="G1262" s="897" t="s">
        <v>99</v>
      </c>
      <c r="H1262" s="899"/>
      <c r="I1262" s="895" t="s">
        <v>94</v>
      </c>
      <c r="J1262" s="897" t="s">
        <v>95</v>
      </c>
      <c r="K1262" s="897" t="s">
        <v>96</v>
      </c>
      <c r="L1262" s="897" t="s">
        <v>3</v>
      </c>
      <c r="M1262" s="897" t="s">
        <v>97</v>
      </c>
      <c r="N1262" s="897" t="s">
        <v>98</v>
      </c>
      <c r="O1262" s="897" t="s">
        <v>99</v>
      </c>
      <c r="P1262" s="899"/>
    </row>
    <row r="1263" spans="1:16" ht="15.75" thickBot="1">
      <c r="A1263" s="896"/>
      <c r="B1263" s="898"/>
      <c r="C1263" s="898"/>
      <c r="D1263" s="898"/>
      <c r="E1263" s="898"/>
      <c r="F1263" s="898"/>
      <c r="G1263" s="240" t="s">
        <v>100</v>
      </c>
      <c r="H1263" s="182" t="s">
        <v>101</v>
      </c>
      <c r="I1263" s="896"/>
      <c r="J1263" s="898"/>
      <c r="K1263" s="898"/>
      <c r="L1263" s="898"/>
      <c r="M1263" s="898"/>
      <c r="N1263" s="898"/>
      <c r="O1263" s="240" t="s">
        <v>100</v>
      </c>
      <c r="P1263" s="182" t="s">
        <v>101</v>
      </c>
    </row>
    <row r="1264" spans="1:16" ht="15" customHeight="1">
      <c r="A1264" s="919" t="e">
        <f>+A1235+1</f>
        <v>#REF!</v>
      </c>
      <c r="B1264" s="875">
        <v>42361</v>
      </c>
      <c r="C1264" s="877" t="s">
        <v>267</v>
      </c>
      <c r="D1264" s="877" t="s">
        <v>490</v>
      </c>
      <c r="E1264" s="881" t="s">
        <v>148</v>
      </c>
      <c r="F1264" s="883">
        <v>168000</v>
      </c>
      <c r="G1264" s="55">
        <v>719</v>
      </c>
      <c r="H1264" s="78">
        <v>120000</v>
      </c>
      <c r="I1264" s="873" t="s">
        <v>1578</v>
      </c>
      <c r="J1264" s="875">
        <v>43062</v>
      </c>
      <c r="K1264" s="877" t="s">
        <v>28</v>
      </c>
      <c r="L1264" s="881" t="s">
        <v>1582</v>
      </c>
      <c r="M1264" s="881" t="s">
        <v>115</v>
      </c>
      <c r="N1264" s="883">
        <v>80000</v>
      </c>
      <c r="O1264" s="55">
        <v>719</v>
      </c>
      <c r="P1264" s="78">
        <f>+N1264</f>
        <v>80000</v>
      </c>
    </row>
    <row r="1265" spans="1:16" ht="15.75" customHeight="1" thickBot="1">
      <c r="A1265" s="920"/>
      <c r="B1265" s="876"/>
      <c r="C1265" s="878"/>
      <c r="D1265" s="878"/>
      <c r="E1265" s="882"/>
      <c r="F1265" s="884"/>
      <c r="G1265" s="56">
        <v>721</v>
      </c>
      <c r="H1265" s="79">
        <f>+F1264-H1264</f>
        <v>48000</v>
      </c>
      <c r="I1265" s="874"/>
      <c r="J1265" s="876"/>
      <c r="K1265" s="878"/>
      <c r="L1265" s="882"/>
      <c r="M1265" s="882"/>
      <c r="N1265" s="884"/>
      <c r="O1265" s="56">
        <v>723</v>
      </c>
      <c r="P1265" s="79"/>
    </row>
    <row r="1266" spans="1:16" ht="15" customHeight="1">
      <c r="A1266" s="919" t="e">
        <f>+A1264+1</f>
        <v>#REF!</v>
      </c>
      <c r="B1266" s="875">
        <v>42361</v>
      </c>
      <c r="C1266" s="881" t="s">
        <v>28</v>
      </c>
      <c r="D1266" s="877" t="s">
        <v>503</v>
      </c>
      <c r="E1266" s="881" t="s">
        <v>148</v>
      </c>
      <c r="F1266" s="883">
        <v>182000</v>
      </c>
      <c r="G1266" s="55">
        <v>719</v>
      </c>
      <c r="H1266" s="78">
        <v>130000</v>
      </c>
      <c r="I1266" s="873" t="s">
        <v>1579</v>
      </c>
      <c r="J1266" s="875">
        <v>43062</v>
      </c>
      <c r="K1266" s="881" t="s">
        <v>120</v>
      </c>
      <c r="L1266" s="881" t="s">
        <v>1581</v>
      </c>
      <c r="M1266" s="881" t="s">
        <v>115</v>
      </c>
      <c r="N1266" s="883">
        <v>300000</v>
      </c>
      <c r="O1266" s="55">
        <v>719</v>
      </c>
      <c r="P1266" s="78">
        <f>+N1266</f>
        <v>300000</v>
      </c>
    </row>
    <row r="1267" spans="1:16" ht="15.75" customHeight="1" thickBot="1">
      <c r="A1267" s="920"/>
      <c r="B1267" s="876"/>
      <c r="C1267" s="882"/>
      <c r="D1267" s="878"/>
      <c r="E1267" s="882"/>
      <c r="F1267" s="884"/>
      <c r="G1267" s="56">
        <v>721</v>
      </c>
      <c r="H1267" s="79">
        <f>+F1266-H1266</f>
        <v>52000</v>
      </c>
      <c r="I1267" s="874"/>
      <c r="J1267" s="876"/>
      <c r="K1267" s="882"/>
      <c r="L1267" s="882"/>
      <c r="M1267" s="882"/>
      <c r="N1267" s="884"/>
      <c r="O1267" s="56">
        <v>723</v>
      </c>
      <c r="P1267" s="79">
        <v>0</v>
      </c>
    </row>
    <row r="1268" spans="1:16" ht="12.75" customHeight="1">
      <c r="A1268" s="919" t="e">
        <f>+A1266+1</f>
        <v>#REF!</v>
      </c>
      <c r="B1268" s="875">
        <v>42361</v>
      </c>
      <c r="C1268" s="877" t="s">
        <v>32</v>
      </c>
      <c r="D1268" s="877" t="s">
        <v>504</v>
      </c>
      <c r="E1268" s="881" t="s">
        <v>148</v>
      </c>
      <c r="F1268" s="883">
        <v>98000</v>
      </c>
      <c r="G1268" s="55">
        <v>719</v>
      </c>
      <c r="H1268" s="78">
        <v>70000</v>
      </c>
      <c r="I1268" s="881"/>
      <c r="J1268" s="875"/>
      <c r="K1268" s="877"/>
      <c r="L1268" s="881"/>
      <c r="M1268" s="881"/>
      <c r="N1268" s="883"/>
      <c r="O1268" s="55"/>
      <c r="P1268" s="78"/>
    </row>
    <row r="1269" spans="1:16" ht="12" customHeight="1" thickBot="1">
      <c r="A1269" s="920"/>
      <c r="B1269" s="876"/>
      <c r="C1269" s="878"/>
      <c r="D1269" s="878"/>
      <c r="E1269" s="882"/>
      <c r="F1269" s="884"/>
      <c r="G1269" s="56">
        <v>721</v>
      </c>
      <c r="H1269" s="79">
        <f>+F1268-H1268</f>
        <v>28000</v>
      </c>
      <c r="I1269" s="882"/>
      <c r="J1269" s="876"/>
      <c r="K1269" s="878"/>
      <c r="L1269" s="882"/>
      <c r="M1269" s="882"/>
      <c r="N1269" s="884"/>
      <c r="O1269" s="56"/>
      <c r="P1269" s="79"/>
    </row>
    <row r="1270" spans="1:16" ht="12.75" customHeight="1">
      <c r="A1270" s="919" t="e">
        <f>+A1268+1</f>
        <v>#REF!</v>
      </c>
      <c r="B1270" s="875">
        <v>42361</v>
      </c>
      <c r="C1270" s="877" t="s">
        <v>111</v>
      </c>
      <c r="D1270" s="877" t="s">
        <v>505</v>
      </c>
      <c r="E1270" s="881" t="s">
        <v>148</v>
      </c>
      <c r="F1270" s="883">
        <v>168000</v>
      </c>
      <c r="G1270" s="55">
        <v>719</v>
      </c>
      <c r="H1270" s="78">
        <v>120000</v>
      </c>
      <c r="I1270" s="881"/>
      <c r="J1270" s="875"/>
      <c r="K1270" s="877"/>
      <c r="L1270" s="881"/>
      <c r="M1270" s="881"/>
      <c r="N1270" s="883"/>
      <c r="O1270" s="55"/>
      <c r="P1270" s="78"/>
    </row>
    <row r="1271" spans="1:16" ht="12" customHeight="1" thickBot="1">
      <c r="A1271" s="920"/>
      <c r="B1271" s="876"/>
      <c r="C1271" s="878"/>
      <c r="D1271" s="878"/>
      <c r="E1271" s="882"/>
      <c r="F1271" s="884"/>
      <c r="G1271" s="56">
        <v>721</v>
      </c>
      <c r="H1271" s="79">
        <f>+F1270-H1270</f>
        <v>48000</v>
      </c>
      <c r="I1271" s="882"/>
      <c r="J1271" s="876"/>
      <c r="K1271" s="878"/>
      <c r="L1271" s="882"/>
      <c r="M1271" s="882"/>
      <c r="N1271" s="884"/>
      <c r="O1271" s="56"/>
      <c r="P1271" s="79"/>
    </row>
    <row r="1272" spans="1:16" ht="12" customHeight="1">
      <c r="A1272" s="919" t="e">
        <f>+A1270+1</f>
        <v>#REF!</v>
      </c>
      <c r="B1272" s="875">
        <v>42361</v>
      </c>
      <c r="C1272" s="877" t="s">
        <v>272</v>
      </c>
      <c r="D1272" s="877" t="s">
        <v>504</v>
      </c>
      <c r="E1272" s="881" t="s">
        <v>148</v>
      </c>
      <c r="F1272" s="883">
        <v>700000</v>
      </c>
      <c r="G1272" s="55">
        <v>719</v>
      </c>
      <c r="H1272" s="78">
        <v>500000</v>
      </c>
      <c r="I1272" s="881"/>
      <c r="J1272" s="875"/>
      <c r="K1272" s="877"/>
      <c r="L1272" s="881"/>
      <c r="M1272" s="881"/>
      <c r="N1272" s="883"/>
      <c r="O1272" s="55"/>
      <c r="P1272" s="78"/>
    </row>
    <row r="1273" spans="1:16" ht="13.5" customHeight="1" thickBot="1">
      <c r="A1273" s="920"/>
      <c r="B1273" s="876"/>
      <c r="C1273" s="878"/>
      <c r="D1273" s="878"/>
      <c r="E1273" s="882"/>
      <c r="F1273" s="884"/>
      <c r="G1273" s="56">
        <v>721</v>
      </c>
      <c r="H1273" s="79">
        <f>+F1272-H1272</f>
        <v>200000</v>
      </c>
      <c r="I1273" s="882"/>
      <c r="J1273" s="876"/>
      <c r="K1273" s="878"/>
      <c r="L1273" s="882"/>
      <c r="M1273" s="882"/>
      <c r="N1273" s="884"/>
      <c r="O1273" s="56"/>
      <c r="P1273" s="79"/>
    </row>
    <row r="1274" spans="1:16" ht="16.5" thickBot="1">
      <c r="A1274" s="901" t="s">
        <v>102</v>
      </c>
      <c r="B1274" s="902"/>
      <c r="C1274" s="902"/>
      <c r="D1274" s="902"/>
      <c r="E1274" s="903"/>
      <c r="F1274" s="81">
        <f>SUM(F1264:F1273)</f>
        <v>1316000</v>
      </c>
      <c r="I1274" s="901" t="s">
        <v>102</v>
      </c>
      <c r="J1274" s="902"/>
      <c r="K1274" s="902"/>
      <c r="L1274" s="902"/>
      <c r="M1274" s="903"/>
      <c r="N1274" s="81">
        <f>SUM(N1264:N1273)</f>
        <v>380000</v>
      </c>
    </row>
    <row r="1275" spans="1:16" ht="16.5" thickBot="1">
      <c r="A1275" s="885" t="s">
        <v>103</v>
      </c>
      <c r="B1275" s="886"/>
      <c r="C1275" s="886"/>
      <c r="D1275" s="886"/>
      <c r="E1275" s="887"/>
      <c r="F1275" s="69">
        <f>+F1239</f>
        <v>653539254</v>
      </c>
      <c r="I1275" s="885" t="s">
        <v>103</v>
      </c>
      <c r="J1275" s="886"/>
      <c r="K1275" s="886"/>
      <c r="L1275" s="886"/>
      <c r="M1275" s="887"/>
      <c r="N1275" s="69">
        <f>+N1239</f>
        <v>480916435</v>
      </c>
      <c r="O1275" s="241" t="s">
        <v>561</v>
      </c>
      <c r="P1275" s="242"/>
    </row>
    <row r="1276" spans="1:16" ht="16.5" thickBot="1">
      <c r="A1276" s="888" t="s">
        <v>104</v>
      </c>
      <c r="B1276" s="889"/>
      <c r="C1276" s="889"/>
      <c r="D1276" s="889"/>
      <c r="E1276" s="890"/>
      <c r="F1276" s="183">
        <f>SUM(F1274:F1275)</f>
        <v>654855254</v>
      </c>
      <c r="I1276" s="888" t="s">
        <v>104</v>
      </c>
      <c r="J1276" s="889"/>
      <c r="K1276" s="889"/>
      <c r="L1276" s="889"/>
      <c r="M1276" s="890"/>
      <c r="N1276" s="183">
        <f>SUM(N1274:N1275)</f>
        <v>481296435</v>
      </c>
    </row>
    <row r="1277" spans="1:16">
      <c r="A1277" s="61"/>
      <c r="B1277" s="61"/>
      <c r="C1277" s="61"/>
      <c r="D1277" s="61"/>
      <c r="E1277" s="61"/>
      <c r="I1277" s="61"/>
      <c r="J1277" s="61"/>
      <c r="K1277" s="61"/>
      <c r="L1277" s="61"/>
      <c r="M1277" s="61"/>
    </row>
    <row r="1278" spans="1:16">
      <c r="A1278" s="51" t="s">
        <v>506</v>
      </c>
      <c r="I1278" s="51" t="s">
        <v>1580</v>
      </c>
    </row>
    <row r="1279" spans="1:16" ht="12" customHeight="1">
      <c r="F1279" s="139"/>
      <c r="N1279" s="139"/>
    </row>
    <row r="1280" spans="1:16">
      <c r="A1280" s="50" t="s">
        <v>105</v>
      </c>
      <c r="D1280" s="146"/>
      <c r="F1280" s="139"/>
      <c r="I1280" s="50" t="s">
        <v>105</v>
      </c>
      <c r="L1280" s="146"/>
      <c r="N1280" s="139"/>
    </row>
    <row r="1281" spans="1:16" ht="12" customHeight="1" thickBot="1"/>
    <row r="1282" spans="1:16" ht="15.75" thickBot="1">
      <c r="A1282" s="891" t="s">
        <v>106</v>
      </c>
      <c r="B1282" s="892"/>
      <c r="C1282" s="892"/>
      <c r="D1282" s="893"/>
      <c r="F1282" s="50" t="s">
        <v>288</v>
      </c>
      <c r="I1282" s="891" t="s">
        <v>106</v>
      </c>
      <c r="J1282" s="892"/>
      <c r="K1282" s="892"/>
      <c r="L1282" s="893"/>
      <c r="N1282" s="50" t="s">
        <v>288</v>
      </c>
    </row>
    <row r="1283" spans="1:16" ht="30.75" thickBot="1">
      <c r="A1283" s="57" t="s">
        <v>100</v>
      </c>
      <c r="B1283" s="58" t="s">
        <v>108</v>
      </c>
      <c r="C1283" s="59" t="s">
        <v>109</v>
      </c>
      <c r="D1283" s="60" t="s">
        <v>110</v>
      </c>
      <c r="I1283" s="57" t="s">
        <v>100</v>
      </c>
      <c r="J1283" s="58" t="s">
        <v>108</v>
      </c>
      <c r="K1283" s="59" t="s">
        <v>109</v>
      </c>
      <c r="L1283" s="60" t="s">
        <v>110</v>
      </c>
    </row>
    <row r="1284" spans="1:16" ht="12.75" customHeight="1">
      <c r="A1284" s="71">
        <v>719</v>
      </c>
      <c r="B1284" s="73">
        <f>+H1264+H1266+H1268+H1270+H1272</f>
        <v>940000</v>
      </c>
      <c r="C1284" s="74" t="e">
        <f>+D1247</f>
        <v>#REF!</v>
      </c>
      <c r="D1284" s="195" t="e">
        <f>+B1284+C1284</f>
        <v>#REF!</v>
      </c>
      <c r="I1284" s="71">
        <v>719</v>
      </c>
      <c r="J1284" s="73">
        <f>+P1264+P1266+P1268+P1270+P1272</f>
        <v>380000</v>
      </c>
      <c r="K1284" s="74">
        <f>+L1247</f>
        <v>31450000</v>
      </c>
      <c r="L1284" s="195">
        <f>+J1284+K1284</f>
        <v>31830000</v>
      </c>
    </row>
    <row r="1285" spans="1:16" ht="13.5" customHeight="1">
      <c r="A1285" s="72">
        <v>721</v>
      </c>
      <c r="B1285" s="80">
        <f>(+H1273+H1271+H1269+H1267+H1265)</f>
        <v>376000</v>
      </c>
      <c r="C1285" s="74" t="e">
        <f>+D1248</f>
        <v>#REF!</v>
      </c>
      <c r="D1285" s="195" t="e">
        <f>+B1285+C1285</f>
        <v>#REF!</v>
      </c>
      <c r="I1285" s="72">
        <v>721</v>
      </c>
      <c r="J1285" s="80">
        <v>0</v>
      </c>
      <c r="K1285" s="74">
        <f>+L1248</f>
        <v>91898481</v>
      </c>
      <c r="L1285" s="195">
        <f>+J1285+K1285</f>
        <v>91898481</v>
      </c>
    </row>
    <row r="1286" spans="1:16" ht="14.25" customHeight="1">
      <c r="A1286" s="72">
        <v>722</v>
      </c>
      <c r="B1286" s="80"/>
      <c r="C1286" s="74">
        <f>+D1249</f>
        <v>231207671</v>
      </c>
      <c r="D1286" s="195">
        <f>+B1286+C1286</f>
        <v>231207671</v>
      </c>
      <c r="I1286" s="72">
        <v>722</v>
      </c>
      <c r="J1286" s="80"/>
      <c r="K1286" s="74">
        <f>+L1249</f>
        <v>42881706</v>
      </c>
      <c r="L1286" s="195">
        <f>+J1286+K1286</f>
        <v>42881706</v>
      </c>
    </row>
    <row r="1287" spans="1:16" ht="15.75">
      <c r="A1287" s="72">
        <v>723</v>
      </c>
      <c r="B1287" s="80"/>
      <c r="C1287" s="74" t="e">
        <f>+D1250</f>
        <v>#REF!</v>
      </c>
      <c r="D1287" s="195" t="e">
        <f>+B1287+C1287</f>
        <v>#REF!</v>
      </c>
      <c r="F1287" s="174" t="s">
        <v>23</v>
      </c>
      <c r="G1287" s="175"/>
      <c r="I1287" s="72">
        <v>723</v>
      </c>
      <c r="J1287" s="80">
        <f>+P1273+P1271+P1269+P1267+P1265</f>
        <v>0</v>
      </c>
      <c r="K1287" s="74">
        <f>+L1250</f>
        <v>314686248</v>
      </c>
      <c r="L1287" s="195">
        <f>+J1287+K1287</f>
        <v>314686248</v>
      </c>
      <c r="N1287" s="918" t="s">
        <v>1481</v>
      </c>
      <c r="O1287" s="918"/>
      <c r="P1287" s="918"/>
    </row>
    <row r="1288" spans="1:16" ht="13.5" customHeight="1" thickBot="1">
      <c r="A1288" s="164" t="s">
        <v>181</v>
      </c>
      <c r="B1288" s="165"/>
      <c r="C1288" s="74" t="e">
        <f>+D1251</f>
        <v>#REF!</v>
      </c>
      <c r="D1288" s="196" t="e">
        <f>+B1288+C1288</f>
        <v>#REF!</v>
      </c>
      <c r="F1288" s="52"/>
      <c r="I1288" s="164" t="s">
        <v>181</v>
      </c>
      <c r="J1288" s="165"/>
      <c r="K1288" s="74">
        <f>+L1251</f>
        <v>0</v>
      </c>
      <c r="L1288" s="196">
        <f>+J1288+K1288</f>
        <v>0</v>
      </c>
      <c r="N1288" s="52"/>
    </row>
    <row r="1289" spans="1:16" ht="16.5" thickBot="1">
      <c r="A1289" s="169"/>
      <c r="B1289" s="170">
        <f>SUM(B1284:B1288)</f>
        <v>1316000</v>
      </c>
      <c r="C1289" s="171" t="e">
        <f>SUM(C1284:C1288)</f>
        <v>#REF!</v>
      </c>
      <c r="D1289" s="172" t="e">
        <f>SUM(D1284:D1288)</f>
        <v>#REF!</v>
      </c>
      <c r="I1289" s="169"/>
      <c r="J1289" s="197">
        <f>SUM(J1284:J1288)</f>
        <v>380000</v>
      </c>
      <c r="K1289" s="197">
        <f>SUM(K1284:K1288)</f>
        <v>480916435</v>
      </c>
      <c r="L1289" s="198">
        <f>SUM(L1284:L1288)</f>
        <v>481296435</v>
      </c>
    </row>
    <row r="1290" spans="1:16" ht="16.5">
      <c r="A1290" s="49" t="s">
        <v>88</v>
      </c>
      <c r="B1290" s="50"/>
      <c r="I1290" s="49" t="s">
        <v>88</v>
      </c>
      <c r="J1290" s="50"/>
    </row>
    <row r="1291" spans="1:16">
      <c r="A1291" s="51" t="s">
        <v>89</v>
      </c>
      <c r="I1291" s="51" t="s">
        <v>89</v>
      </c>
    </row>
    <row r="1292" spans="1:16">
      <c r="A1292" s="51" t="s">
        <v>90</v>
      </c>
      <c r="I1292" s="51" t="s">
        <v>90</v>
      </c>
    </row>
    <row r="1293" spans="1:16">
      <c r="A1293" s="51" t="s">
        <v>91</v>
      </c>
      <c r="I1293" s="51" t="s">
        <v>91</v>
      </c>
    </row>
    <row r="1294" spans="1:16" ht="12" customHeight="1">
      <c r="A1294" s="50"/>
      <c r="B1294" s="50"/>
      <c r="I1294" s="50"/>
      <c r="J1294" s="50"/>
    </row>
    <row r="1295" spans="1:16" ht="16.5">
      <c r="A1295" s="52" t="s">
        <v>507</v>
      </c>
      <c r="G1295" s="52"/>
      <c r="I1295" s="260" t="s">
        <v>209</v>
      </c>
      <c r="O1295" s="52"/>
    </row>
    <row r="1296" spans="1:16" ht="15.75">
      <c r="A1296" s="53" t="s">
        <v>92</v>
      </c>
      <c r="G1296" s="53"/>
      <c r="I1296" s="53" t="s">
        <v>1333</v>
      </c>
      <c r="O1296" s="53"/>
    </row>
    <row r="1297" spans="1:16" ht="16.5">
      <c r="A1297" s="894" t="s">
        <v>261</v>
      </c>
      <c r="B1297" s="894"/>
      <c r="C1297" s="894"/>
      <c r="D1297" s="894"/>
      <c r="E1297" s="894"/>
      <c r="F1297" s="894"/>
      <c r="G1297" s="894"/>
      <c r="H1297" s="894"/>
      <c r="I1297" s="894" t="s">
        <v>903</v>
      </c>
      <c r="J1297" s="894"/>
      <c r="K1297" s="894"/>
      <c r="L1297" s="894"/>
      <c r="M1297" s="894"/>
      <c r="N1297" s="894"/>
      <c r="O1297" s="894"/>
      <c r="P1297" s="894"/>
    </row>
    <row r="1298" spans="1:16" ht="15.75" thickBot="1"/>
    <row r="1299" spans="1:16">
      <c r="A1299" s="895" t="s">
        <v>94</v>
      </c>
      <c r="B1299" s="897" t="s">
        <v>95</v>
      </c>
      <c r="C1299" s="897" t="s">
        <v>96</v>
      </c>
      <c r="D1299" s="897" t="s">
        <v>3</v>
      </c>
      <c r="E1299" s="897" t="s">
        <v>97</v>
      </c>
      <c r="F1299" s="897" t="s">
        <v>98</v>
      </c>
      <c r="G1299" s="897" t="s">
        <v>99</v>
      </c>
      <c r="H1299" s="899"/>
      <c r="I1299" s="895" t="s">
        <v>94</v>
      </c>
      <c r="J1299" s="897" t="s">
        <v>95</v>
      </c>
      <c r="K1299" s="897" t="s">
        <v>96</v>
      </c>
      <c r="L1299" s="897" t="s">
        <v>3</v>
      </c>
      <c r="M1299" s="897" t="s">
        <v>97</v>
      </c>
      <c r="N1299" s="897" t="s">
        <v>98</v>
      </c>
      <c r="O1299" s="897" t="s">
        <v>99</v>
      </c>
      <c r="P1299" s="899"/>
    </row>
    <row r="1300" spans="1:16" ht="15.75" thickBot="1">
      <c r="A1300" s="896"/>
      <c r="B1300" s="898"/>
      <c r="C1300" s="898"/>
      <c r="D1300" s="898"/>
      <c r="E1300" s="898"/>
      <c r="F1300" s="898"/>
      <c r="G1300" s="240" t="s">
        <v>100</v>
      </c>
      <c r="H1300" s="182" t="s">
        <v>101</v>
      </c>
      <c r="I1300" s="896"/>
      <c r="J1300" s="898"/>
      <c r="K1300" s="898"/>
      <c r="L1300" s="898"/>
      <c r="M1300" s="898"/>
      <c r="N1300" s="898"/>
      <c r="O1300" s="240" t="s">
        <v>100</v>
      </c>
      <c r="P1300" s="182" t="s">
        <v>101</v>
      </c>
    </row>
    <row r="1301" spans="1:16" ht="13.5" customHeight="1">
      <c r="A1301" s="919" t="e">
        <f>+A1272+1</f>
        <v>#REF!</v>
      </c>
      <c r="B1301" s="875">
        <v>42364</v>
      </c>
      <c r="C1301" s="877" t="s">
        <v>267</v>
      </c>
      <c r="D1301" s="877" t="s">
        <v>509</v>
      </c>
      <c r="E1301" s="881" t="s">
        <v>148</v>
      </c>
      <c r="F1301" s="883">
        <v>112000</v>
      </c>
      <c r="G1301" s="55">
        <v>719</v>
      </c>
      <c r="H1301" s="78">
        <v>80000</v>
      </c>
      <c r="I1301" s="873" t="s">
        <v>1589</v>
      </c>
      <c r="J1301" s="875">
        <v>43088</v>
      </c>
      <c r="K1301" s="877" t="s">
        <v>472</v>
      </c>
      <c r="L1301" s="881" t="s">
        <v>1522</v>
      </c>
      <c r="M1301" s="881" t="s">
        <v>148</v>
      </c>
      <c r="N1301" s="883">
        <v>325000</v>
      </c>
      <c r="O1301" s="55">
        <v>719</v>
      </c>
      <c r="P1301" s="78">
        <v>250000</v>
      </c>
    </row>
    <row r="1302" spans="1:16" ht="12.75" customHeight="1" thickBot="1">
      <c r="A1302" s="920"/>
      <c r="B1302" s="876"/>
      <c r="C1302" s="878"/>
      <c r="D1302" s="878"/>
      <c r="E1302" s="882"/>
      <c r="F1302" s="884"/>
      <c r="G1302" s="56">
        <v>721</v>
      </c>
      <c r="H1302" s="79">
        <f>+F1301-H1301</f>
        <v>32000</v>
      </c>
      <c r="I1302" s="874"/>
      <c r="J1302" s="876"/>
      <c r="K1302" s="878"/>
      <c r="L1302" s="882"/>
      <c r="M1302" s="882"/>
      <c r="N1302" s="884"/>
      <c r="O1302" s="56">
        <v>723</v>
      </c>
      <c r="P1302" s="79">
        <f>+N1301-P1301</f>
        <v>75000</v>
      </c>
    </row>
    <row r="1303" spans="1:16" ht="12" customHeight="1">
      <c r="A1303" s="919" t="e">
        <f>+A1301+1</f>
        <v>#REF!</v>
      </c>
      <c r="B1303" s="875">
        <v>42364</v>
      </c>
      <c r="C1303" s="881" t="s">
        <v>28</v>
      </c>
      <c r="D1303" s="877" t="s">
        <v>510</v>
      </c>
      <c r="E1303" s="881" t="s">
        <v>148</v>
      </c>
      <c r="F1303" s="883">
        <v>238000</v>
      </c>
      <c r="G1303" s="55">
        <v>719</v>
      </c>
      <c r="H1303" s="78">
        <v>170000</v>
      </c>
      <c r="I1303" s="881">
        <f>+I1301+1</f>
        <v>164</v>
      </c>
      <c r="J1303" s="875">
        <v>43088</v>
      </c>
      <c r="K1303" s="877" t="s">
        <v>472</v>
      </c>
      <c r="L1303" s="881" t="s">
        <v>1590</v>
      </c>
      <c r="M1303" s="881" t="s">
        <v>148</v>
      </c>
      <c r="N1303" s="883">
        <v>312000</v>
      </c>
      <c r="O1303" s="55">
        <v>719</v>
      </c>
      <c r="P1303" s="78">
        <v>240000</v>
      </c>
    </row>
    <row r="1304" spans="1:16" ht="13.5" customHeight="1" thickBot="1">
      <c r="A1304" s="920"/>
      <c r="B1304" s="876"/>
      <c r="C1304" s="882"/>
      <c r="D1304" s="878"/>
      <c r="E1304" s="882"/>
      <c r="F1304" s="884"/>
      <c r="G1304" s="56">
        <v>721</v>
      </c>
      <c r="H1304" s="79">
        <f>+F1303-H1303</f>
        <v>68000</v>
      </c>
      <c r="I1304" s="882"/>
      <c r="J1304" s="876"/>
      <c r="K1304" s="878"/>
      <c r="L1304" s="882"/>
      <c r="M1304" s="882"/>
      <c r="N1304" s="884"/>
      <c r="O1304" s="56">
        <v>723</v>
      </c>
      <c r="P1304" s="79">
        <f>+N1303-P1303</f>
        <v>72000</v>
      </c>
    </row>
    <row r="1305" spans="1:16" ht="12.75" customHeight="1">
      <c r="A1305" s="919" t="e">
        <f>+A1303+1</f>
        <v>#REF!</v>
      </c>
      <c r="B1305" s="875">
        <v>42364</v>
      </c>
      <c r="C1305" s="877" t="s">
        <v>32</v>
      </c>
      <c r="D1305" s="877" t="s">
        <v>510</v>
      </c>
      <c r="E1305" s="881" t="s">
        <v>148</v>
      </c>
      <c r="F1305" s="883">
        <v>112000</v>
      </c>
      <c r="G1305" s="55">
        <v>719</v>
      </c>
      <c r="H1305" s="78">
        <v>80000</v>
      </c>
      <c r="I1305" s="881">
        <f>+I1303+1</f>
        <v>165</v>
      </c>
      <c r="J1305" s="875">
        <v>43088</v>
      </c>
      <c r="K1305" s="877" t="s">
        <v>472</v>
      </c>
      <c r="L1305" s="881" t="s">
        <v>1507</v>
      </c>
      <c r="M1305" s="881" t="s">
        <v>148</v>
      </c>
      <c r="N1305" s="883">
        <v>247000</v>
      </c>
      <c r="O1305" s="55">
        <v>719</v>
      </c>
      <c r="P1305" s="78">
        <v>190000</v>
      </c>
    </row>
    <row r="1306" spans="1:16" ht="12.75" customHeight="1" thickBot="1">
      <c r="A1306" s="920"/>
      <c r="B1306" s="876"/>
      <c r="C1306" s="878"/>
      <c r="D1306" s="878"/>
      <c r="E1306" s="882"/>
      <c r="F1306" s="884"/>
      <c r="G1306" s="56">
        <v>721</v>
      </c>
      <c r="H1306" s="79">
        <f>+F1305-H1305</f>
        <v>32000</v>
      </c>
      <c r="I1306" s="882"/>
      <c r="J1306" s="876"/>
      <c r="K1306" s="878"/>
      <c r="L1306" s="882"/>
      <c r="M1306" s="882"/>
      <c r="N1306" s="884"/>
      <c r="O1306" s="56">
        <v>723</v>
      </c>
      <c r="P1306" s="79">
        <f>+N1305-P1305</f>
        <v>57000</v>
      </c>
    </row>
    <row r="1307" spans="1:16" ht="13.5" customHeight="1">
      <c r="A1307" s="919" t="e">
        <f>+A1305+1</f>
        <v>#REF!</v>
      </c>
      <c r="B1307" s="875">
        <v>42364</v>
      </c>
      <c r="C1307" s="877" t="s">
        <v>111</v>
      </c>
      <c r="D1307" s="877" t="s">
        <v>511</v>
      </c>
      <c r="E1307" s="881" t="s">
        <v>148</v>
      </c>
      <c r="F1307" s="883">
        <v>112000</v>
      </c>
      <c r="G1307" s="55">
        <v>719</v>
      </c>
      <c r="H1307" s="78">
        <v>80000</v>
      </c>
      <c r="I1307" s="881">
        <f>+I1305+1</f>
        <v>166</v>
      </c>
      <c r="J1307" s="875">
        <v>43088</v>
      </c>
      <c r="K1307" s="877" t="s">
        <v>472</v>
      </c>
      <c r="L1307" s="881" t="s">
        <v>1506</v>
      </c>
      <c r="M1307" s="881" t="s">
        <v>148</v>
      </c>
      <c r="N1307" s="883">
        <v>208000</v>
      </c>
      <c r="O1307" s="55">
        <v>719</v>
      </c>
      <c r="P1307" s="78">
        <v>160000</v>
      </c>
    </row>
    <row r="1308" spans="1:16" ht="13.5" customHeight="1" thickBot="1">
      <c r="A1308" s="920"/>
      <c r="B1308" s="876"/>
      <c r="C1308" s="878"/>
      <c r="D1308" s="878"/>
      <c r="E1308" s="882"/>
      <c r="F1308" s="884"/>
      <c r="G1308" s="56">
        <v>721</v>
      </c>
      <c r="H1308" s="79">
        <f>+F1307-H1307</f>
        <v>32000</v>
      </c>
      <c r="I1308" s="882"/>
      <c r="J1308" s="876"/>
      <c r="K1308" s="878"/>
      <c r="L1308" s="882"/>
      <c r="M1308" s="882"/>
      <c r="N1308" s="884"/>
      <c r="O1308" s="56">
        <v>723</v>
      </c>
      <c r="P1308" s="79">
        <f>+N1307-P1307</f>
        <v>48000</v>
      </c>
    </row>
    <row r="1309" spans="1:16" ht="12.75" customHeight="1">
      <c r="A1309" s="919" t="e">
        <f>+A1307+1</f>
        <v>#REF!</v>
      </c>
      <c r="B1309" s="875">
        <v>42364</v>
      </c>
      <c r="C1309" s="877" t="s">
        <v>272</v>
      </c>
      <c r="D1309" s="877" t="s">
        <v>510</v>
      </c>
      <c r="E1309" s="881" t="s">
        <v>148</v>
      </c>
      <c r="F1309" s="883">
        <v>616000</v>
      </c>
      <c r="G1309" s="55">
        <v>719</v>
      </c>
      <c r="H1309" s="78">
        <v>440000</v>
      </c>
      <c r="I1309" s="881">
        <f>+I1307+1</f>
        <v>167</v>
      </c>
      <c r="J1309" s="875">
        <v>43088</v>
      </c>
      <c r="K1309" s="877" t="s">
        <v>472</v>
      </c>
      <c r="L1309" s="881" t="s">
        <v>1510</v>
      </c>
      <c r="M1309" s="881" t="s">
        <v>148</v>
      </c>
      <c r="N1309" s="883">
        <v>234000</v>
      </c>
      <c r="O1309" s="55">
        <v>719</v>
      </c>
      <c r="P1309" s="78">
        <v>180000</v>
      </c>
    </row>
    <row r="1310" spans="1:16" ht="12.75" customHeight="1" thickBot="1">
      <c r="A1310" s="920"/>
      <c r="B1310" s="876"/>
      <c r="C1310" s="878"/>
      <c r="D1310" s="878"/>
      <c r="E1310" s="882"/>
      <c r="F1310" s="884"/>
      <c r="G1310" s="56">
        <v>721</v>
      </c>
      <c r="H1310" s="79">
        <f>+F1309-H1309</f>
        <v>176000</v>
      </c>
      <c r="I1310" s="882"/>
      <c r="J1310" s="876"/>
      <c r="K1310" s="878"/>
      <c r="L1310" s="882"/>
      <c r="M1310" s="882"/>
      <c r="N1310" s="884"/>
      <c r="O1310" s="56">
        <v>723</v>
      </c>
      <c r="P1310" s="79">
        <f>+N1309-P1309</f>
        <v>54000</v>
      </c>
    </row>
    <row r="1311" spans="1:16" ht="16.5" thickBot="1">
      <c r="A1311" s="901" t="s">
        <v>102</v>
      </c>
      <c r="B1311" s="902"/>
      <c r="C1311" s="902"/>
      <c r="D1311" s="902"/>
      <c r="E1311" s="903"/>
      <c r="F1311" s="81">
        <f>SUM(F1301:F1310)</f>
        <v>1190000</v>
      </c>
      <c r="I1311" s="901" t="s">
        <v>102</v>
      </c>
      <c r="J1311" s="902"/>
      <c r="K1311" s="902"/>
      <c r="L1311" s="902"/>
      <c r="M1311" s="903"/>
      <c r="N1311" s="81">
        <f>SUM(N1301:N1310)</f>
        <v>1326000</v>
      </c>
    </row>
    <row r="1312" spans="1:16" ht="16.5" thickBot="1">
      <c r="A1312" s="885" t="s">
        <v>103</v>
      </c>
      <c r="B1312" s="886"/>
      <c r="C1312" s="886"/>
      <c r="D1312" s="886"/>
      <c r="E1312" s="887"/>
      <c r="F1312" s="69">
        <f>+F1276</f>
        <v>654855254</v>
      </c>
      <c r="I1312" s="885" t="s">
        <v>103</v>
      </c>
      <c r="J1312" s="886"/>
      <c r="K1312" s="886"/>
      <c r="L1312" s="886"/>
      <c r="M1312" s="887"/>
      <c r="N1312" s="69">
        <f>+N1276</f>
        <v>481296435</v>
      </c>
      <c r="O1312" s="241" t="s">
        <v>561</v>
      </c>
      <c r="P1312" s="242">
        <f>426+320+398+660+676</f>
        <v>2480</v>
      </c>
    </row>
    <row r="1313" spans="1:16" ht="16.5" thickBot="1">
      <c r="A1313" s="888" t="s">
        <v>104</v>
      </c>
      <c r="B1313" s="889"/>
      <c r="C1313" s="889"/>
      <c r="D1313" s="889"/>
      <c r="E1313" s="890"/>
      <c r="F1313" s="183">
        <f>SUM(F1311:F1312)</f>
        <v>656045254</v>
      </c>
      <c r="I1313" s="888" t="s">
        <v>104</v>
      </c>
      <c r="J1313" s="889"/>
      <c r="K1313" s="889"/>
      <c r="L1313" s="889"/>
      <c r="M1313" s="890"/>
      <c r="N1313" s="183">
        <f>SUM(N1311:N1312)</f>
        <v>482622435</v>
      </c>
    </row>
    <row r="1314" spans="1:16">
      <c r="A1314" s="61"/>
      <c r="B1314" s="61"/>
      <c r="C1314" s="61"/>
      <c r="D1314" s="61"/>
      <c r="E1314" s="61"/>
      <c r="I1314" s="61"/>
      <c r="J1314" s="61"/>
      <c r="K1314" s="61"/>
      <c r="L1314" s="61"/>
      <c r="M1314" s="61"/>
    </row>
    <row r="1315" spans="1:16">
      <c r="A1315" s="51" t="s">
        <v>512</v>
      </c>
      <c r="I1315" s="51" t="s">
        <v>1598</v>
      </c>
    </row>
    <row r="1316" spans="1:16" ht="9.75" customHeight="1">
      <c r="F1316" s="139"/>
      <c r="N1316" s="139"/>
    </row>
    <row r="1317" spans="1:16">
      <c r="A1317" s="50" t="s">
        <v>105</v>
      </c>
      <c r="D1317" s="146"/>
      <c r="F1317" s="139"/>
      <c r="I1317" s="50" t="s">
        <v>105</v>
      </c>
      <c r="L1317" s="146"/>
      <c r="N1317" s="139"/>
    </row>
    <row r="1318" spans="1:16" ht="10.5" customHeight="1" thickBot="1"/>
    <row r="1319" spans="1:16" ht="15.75" thickBot="1">
      <c r="A1319" s="891" t="s">
        <v>106</v>
      </c>
      <c r="B1319" s="892"/>
      <c r="C1319" s="892"/>
      <c r="D1319" s="893"/>
      <c r="F1319" s="50" t="s">
        <v>288</v>
      </c>
      <c r="I1319" s="891" t="s">
        <v>106</v>
      </c>
      <c r="J1319" s="892"/>
      <c r="K1319" s="892"/>
      <c r="L1319" s="893"/>
      <c r="N1319" s="50" t="s">
        <v>288</v>
      </c>
    </row>
    <row r="1320" spans="1:16" ht="30.75" thickBot="1">
      <c r="A1320" s="57" t="s">
        <v>100</v>
      </c>
      <c r="B1320" s="58" t="s">
        <v>108</v>
      </c>
      <c r="C1320" s="59" t="s">
        <v>109</v>
      </c>
      <c r="D1320" s="60" t="s">
        <v>110</v>
      </c>
      <c r="I1320" s="57" t="s">
        <v>100</v>
      </c>
      <c r="J1320" s="58" t="s">
        <v>108</v>
      </c>
      <c r="K1320" s="59" t="s">
        <v>109</v>
      </c>
      <c r="L1320" s="60" t="s">
        <v>110</v>
      </c>
    </row>
    <row r="1321" spans="1:16">
      <c r="A1321" s="71">
        <v>719</v>
      </c>
      <c r="B1321" s="73">
        <f>+H1301+H1303+H1305+H1307+H1309</f>
        <v>850000</v>
      </c>
      <c r="C1321" s="74" t="e">
        <f>+D1284</f>
        <v>#REF!</v>
      </c>
      <c r="D1321" s="195" t="e">
        <f>+B1321+C1321</f>
        <v>#REF!</v>
      </c>
      <c r="I1321" s="71">
        <v>719</v>
      </c>
      <c r="J1321" s="73">
        <f>+P1301+P1303+P1305+P1307+P1309</f>
        <v>1020000</v>
      </c>
      <c r="K1321" s="74">
        <f>+L1284</f>
        <v>31830000</v>
      </c>
      <c r="L1321" s="195">
        <f>+J1321+K1321</f>
        <v>32850000</v>
      </c>
    </row>
    <row r="1322" spans="1:16">
      <c r="A1322" s="72">
        <v>721</v>
      </c>
      <c r="B1322" s="80">
        <f>(+H1310+H1308+H1306+H1304+H1302)</f>
        <v>340000</v>
      </c>
      <c r="C1322" s="74" t="e">
        <f>+D1285</f>
        <v>#REF!</v>
      </c>
      <c r="D1322" s="195" t="e">
        <f>+B1322+C1322</f>
        <v>#REF!</v>
      </c>
      <c r="I1322" s="72">
        <v>721</v>
      </c>
      <c r="J1322" s="80">
        <f>+P1302+P1304+P1306+P1308+P1310</f>
        <v>306000</v>
      </c>
      <c r="K1322" s="74">
        <f>+L1285</f>
        <v>91898481</v>
      </c>
      <c r="L1322" s="195">
        <f>+J1322+K1322</f>
        <v>92204481</v>
      </c>
    </row>
    <row r="1323" spans="1:16" ht="13.5" customHeight="1">
      <c r="A1323" s="72">
        <v>722</v>
      </c>
      <c r="B1323" s="80"/>
      <c r="C1323" s="74">
        <f>+D1286</f>
        <v>231207671</v>
      </c>
      <c r="D1323" s="195">
        <f>+B1323+C1323</f>
        <v>231207671</v>
      </c>
      <c r="I1323" s="72">
        <v>722</v>
      </c>
      <c r="J1323" s="80"/>
      <c r="K1323" s="74">
        <f>+L1286</f>
        <v>42881706</v>
      </c>
      <c r="L1323" s="195">
        <f>+J1323+K1323</f>
        <v>42881706</v>
      </c>
    </row>
    <row r="1324" spans="1:16" ht="15.75">
      <c r="A1324" s="72">
        <v>723</v>
      </c>
      <c r="B1324" s="80"/>
      <c r="C1324" s="74" t="e">
        <f>+D1287</f>
        <v>#REF!</v>
      </c>
      <c r="D1324" s="195" t="e">
        <f>+B1324+C1324</f>
        <v>#REF!</v>
      </c>
      <c r="F1324" s="174" t="s">
        <v>23</v>
      </c>
      <c r="G1324" s="175"/>
      <c r="I1324" s="72">
        <v>723</v>
      </c>
      <c r="J1324" s="80"/>
      <c r="K1324" s="74">
        <f>+L1287</f>
        <v>314686248</v>
      </c>
      <c r="L1324" s="195">
        <f>+J1324+K1324</f>
        <v>314686248</v>
      </c>
      <c r="N1324" s="918" t="s">
        <v>1481</v>
      </c>
      <c r="O1324" s="918"/>
      <c r="P1324" s="918"/>
    </row>
    <row r="1325" spans="1:16" ht="15" customHeight="1" thickBot="1">
      <c r="A1325" s="164" t="s">
        <v>181</v>
      </c>
      <c r="B1325" s="165"/>
      <c r="C1325" s="74" t="e">
        <f>+D1288</f>
        <v>#REF!</v>
      </c>
      <c r="D1325" s="196" t="e">
        <f>+B1325+C1325</f>
        <v>#REF!</v>
      </c>
      <c r="F1325" s="52"/>
      <c r="I1325" s="164" t="s">
        <v>181</v>
      </c>
      <c r="J1325" s="165"/>
      <c r="K1325" s="74">
        <f>+L1288</f>
        <v>0</v>
      </c>
      <c r="L1325" s="196">
        <f>+J1325+K1325</f>
        <v>0</v>
      </c>
      <c r="N1325" s="52"/>
    </row>
    <row r="1326" spans="1:16" ht="16.5" thickBot="1">
      <c r="A1326" s="169"/>
      <c r="B1326" s="170">
        <f>SUM(B1321:B1325)</f>
        <v>1190000</v>
      </c>
      <c r="C1326" s="171" t="e">
        <f>SUM(C1321:C1325)</f>
        <v>#REF!</v>
      </c>
      <c r="D1326" s="172" t="e">
        <f>SUM(D1321:D1325)</f>
        <v>#REF!</v>
      </c>
      <c r="I1326" s="169"/>
      <c r="J1326" s="197">
        <f>SUM(J1321:J1325)</f>
        <v>1326000</v>
      </c>
      <c r="K1326" s="197">
        <f>SUM(K1321:K1325)</f>
        <v>481296435</v>
      </c>
      <c r="L1326" s="198">
        <f>SUM(L1321:L1325)</f>
        <v>482622435</v>
      </c>
    </row>
    <row r="1327" spans="1:16" ht="16.5">
      <c r="A1327" s="49" t="s">
        <v>88</v>
      </c>
      <c r="B1327" s="50"/>
      <c r="I1327" s="49" t="s">
        <v>88</v>
      </c>
      <c r="J1327" s="50"/>
    </row>
    <row r="1328" spans="1:16">
      <c r="A1328" s="51" t="s">
        <v>89</v>
      </c>
      <c r="I1328" s="51" t="s">
        <v>89</v>
      </c>
    </row>
    <row r="1329" spans="1:16">
      <c r="A1329" s="51" t="s">
        <v>90</v>
      </c>
      <c r="I1329" s="51" t="s">
        <v>90</v>
      </c>
    </row>
    <row r="1330" spans="1:16">
      <c r="A1330" s="51" t="s">
        <v>91</v>
      </c>
      <c r="I1330" s="51" t="s">
        <v>91</v>
      </c>
    </row>
    <row r="1331" spans="1:16" ht="9.75" customHeight="1">
      <c r="A1331" s="50"/>
      <c r="B1331" s="50"/>
      <c r="I1331" s="50"/>
      <c r="J1331" s="50"/>
    </row>
    <row r="1332" spans="1:16" ht="16.5">
      <c r="A1332" s="52" t="s">
        <v>508</v>
      </c>
      <c r="G1332" s="52"/>
      <c r="I1332" s="260" t="s">
        <v>898</v>
      </c>
      <c r="O1332" s="52"/>
    </row>
    <row r="1333" spans="1:16" ht="14.25" customHeight="1">
      <c r="A1333" s="53" t="s">
        <v>92</v>
      </c>
      <c r="G1333" s="53"/>
      <c r="I1333" s="53" t="s">
        <v>1333</v>
      </c>
      <c r="O1333" s="53"/>
    </row>
    <row r="1334" spans="1:16" ht="16.5">
      <c r="A1334" s="894" t="s">
        <v>261</v>
      </c>
      <c r="B1334" s="894"/>
      <c r="C1334" s="894"/>
      <c r="D1334" s="894"/>
      <c r="E1334" s="894"/>
      <c r="F1334" s="894"/>
      <c r="G1334" s="894"/>
      <c r="H1334" s="894"/>
      <c r="I1334" s="894" t="s">
        <v>903</v>
      </c>
      <c r="J1334" s="894"/>
      <c r="K1334" s="894"/>
      <c r="L1334" s="894"/>
      <c r="M1334" s="894"/>
      <c r="N1334" s="894"/>
      <c r="O1334" s="894"/>
      <c r="P1334" s="894"/>
    </row>
    <row r="1335" spans="1:16" ht="13.5" customHeight="1" thickBot="1"/>
    <row r="1336" spans="1:16">
      <c r="A1336" s="895" t="s">
        <v>94</v>
      </c>
      <c r="B1336" s="897" t="s">
        <v>95</v>
      </c>
      <c r="C1336" s="897" t="s">
        <v>96</v>
      </c>
      <c r="D1336" s="897" t="s">
        <v>3</v>
      </c>
      <c r="E1336" s="897" t="s">
        <v>97</v>
      </c>
      <c r="F1336" s="897" t="s">
        <v>98</v>
      </c>
      <c r="G1336" s="897" t="s">
        <v>99</v>
      </c>
      <c r="H1336" s="899"/>
      <c r="I1336" s="895" t="s">
        <v>94</v>
      </c>
      <c r="J1336" s="897" t="s">
        <v>95</v>
      </c>
      <c r="K1336" s="897" t="s">
        <v>96</v>
      </c>
      <c r="L1336" s="897" t="s">
        <v>3</v>
      </c>
      <c r="M1336" s="897" t="s">
        <v>97</v>
      </c>
      <c r="N1336" s="897" t="s">
        <v>98</v>
      </c>
      <c r="O1336" s="897" t="s">
        <v>99</v>
      </c>
      <c r="P1336" s="899"/>
    </row>
    <row r="1337" spans="1:16" ht="15.75" thickBot="1">
      <c r="A1337" s="896"/>
      <c r="B1337" s="898"/>
      <c r="C1337" s="898"/>
      <c r="D1337" s="898"/>
      <c r="E1337" s="898"/>
      <c r="F1337" s="898"/>
      <c r="G1337" s="240" t="s">
        <v>100</v>
      </c>
      <c r="H1337" s="182" t="s">
        <v>101</v>
      </c>
      <c r="I1337" s="896"/>
      <c r="J1337" s="898"/>
      <c r="K1337" s="898"/>
      <c r="L1337" s="898"/>
      <c r="M1337" s="898"/>
      <c r="N1337" s="898"/>
      <c r="O1337" s="240" t="s">
        <v>100</v>
      </c>
      <c r="P1337" s="182" t="s">
        <v>101</v>
      </c>
    </row>
    <row r="1338" spans="1:16" ht="12.75" customHeight="1">
      <c r="A1338" s="919" t="e">
        <f>+A1309+1</f>
        <v>#REF!</v>
      </c>
      <c r="B1338" s="875">
        <v>42364</v>
      </c>
      <c r="C1338" s="877" t="s">
        <v>31</v>
      </c>
      <c r="D1338" s="877" t="s">
        <v>513</v>
      </c>
      <c r="E1338" s="881" t="s">
        <v>115</v>
      </c>
      <c r="F1338" s="883">
        <v>100000</v>
      </c>
      <c r="G1338" s="55">
        <v>719</v>
      </c>
      <c r="H1338" s="78">
        <v>100000</v>
      </c>
      <c r="I1338" s="873" t="s">
        <v>1591</v>
      </c>
      <c r="J1338" s="875">
        <v>42723</v>
      </c>
      <c r="K1338" s="877" t="s">
        <v>28</v>
      </c>
      <c r="L1338" s="881" t="s">
        <v>1592</v>
      </c>
      <c r="M1338" s="881" t="s">
        <v>775</v>
      </c>
      <c r="N1338" s="883">
        <v>230000</v>
      </c>
      <c r="O1338" s="55">
        <v>719</v>
      </c>
      <c r="P1338" s="78">
        <v>230000</v>
      </c>
    </row>
    <row r="1339" spans="1:16" ht="13.5" customHeight="1" thickBot="1">
      <c r="A1339" s="920"/>
      <c r="B1339" s="876"/>
      <c r="C1339" s="878"/>
      <c r="D1339" s="878"/>
      <c r="E1339" s="882"/>
      <c r="F1339" s="884"/>
      <c r="G1339" s="56">
        <v>721</v>
      </c>
      <c r="H1339" s="79">
        <f>+F1338-H1338</f>
        <v>0</v>
      </c>
      <c r="I1339" s="874"/>
      <c r="J1339" s="876"/>
      <c r="K1339" s="878"/>
      <c r="L1339" s="882"/>
      <c r="M1339" s="882"/>
      <c r="N1339" s="884"/>
      <c r="O1339" s="56">
        <v>723</v>
      </c>
      <c r="P1339" s="79">
        <f>+N1338-P1338</f>
        <v>0</v>
      </c>
    </row>
    <row r="1340" spans="1:16" ht="15" customHeight="1">
      <c r="A1340" s="919" t="e">
        <f>+A1338+1</f>
        <v>#REF!</v>
      </c>
      <c r="B1340" s="875">
        <v>42364</v>
      </c>
      <c r="C1340" s="877" t="s">
        <v>472</v>
      </c>
      <c r="D1340" s="877" t="s">
        <v>517</v>
      </c>
      <c r="E1340" s="881" t="s">
        <v>115</v>
      </c>
      <c r="F1340" s="883">
        <v>40000</v>
      </c>
      <c r="G1340" s="55">
        <v>719</v>
      </c>
      <c r="H1340" s="78">
        <v>40000</v>
      </c>
      <c r="I1340" s="881">
        <f>+I1338+1</f>
        <v>169</v>
      </c>
      <c r="J1340" s="875">
        <v>42723</v>
      </c>
      <c r="K1340" s="877" t="s">
        <v>28</v>
      </c>
      <c r="L1340" s="881" t="s">
        <v>1516</v>
      </c>
      <c r="M1340" s="881" t="s">
        <v>775</v>
      </c>
      <c r="N1340" s="883">
        <v>90000</v>
      </c>
      <c r="O1340" s="55">
        <v>719</v>
      </c>
      <c r="P1340" s="78">
        <v>90000</v>
      </c>
    </row>
    <row r="1341" spans="1:16" ht="13.5" customHeight="1" thickBot="1">
      <c r="A1341" s="920"/>
      <c r="B1341" s="876"/>
      <c r="C1341" s="878"/>
      <c r="D1341" s="878"/>
      <c r="E1341" s="882"/>
      <c r="F1341" s="884"/>
      <c r="G1341" s="56">
        <v>721</v>
      </c>
      <c r="H1341" s="79">
        <f>+F1340-H1340</f>
        <v>0</v>
      </c>
      <c r="I1341" s="882"/>
      <c r="J1341" s="876"/>
      <c r="K1341" s="878"/>
      <c r="L1341" s="882"/>
      <c r="M1341" s="882"/>
      <c r="N1341" s="884"/>
      <c r="O1341" s="56">
        <v>723</v>
      </c>
      <c r="P1341" s="79">
        <f>+N1340-P1340</f>
        <v>0</v>
      </c>
    </row>
    <row r="1342" spans="1:16" ht="14.25" customHeight="1">
      <c r="A1342" s="919" t="e">
        <f>+A1340+1</f>
        <v>#REF!</v>
      </c>
      <c r="B1342" s="875">
        <v>42364</v>
      </c>
      <c r="C1342" s="877" t="s">
        <v>32</v>
      </c>
      <c r="D1342" s="877" t="s">
        <v>518</v>
      </c>
      <c r="E1342" s="881" t="s">
        <v>115</v>
      </c>
      <c r="F1342" s="883">
        <v>40000</v>
      </c>
      <c r="G1342" s="55">
        <v>719</v>
      </c>
      <c r="H1342" s="78">
        <v>40000</v>
      </c>
      <c r="I1342" s="881">
        <f>+I1340+1</f>
        <v>170</v>
      </c>
      <c r="J1342" s="875">
        <v>42723</v>
      </c>
      <c r="K1342" s="877" t="s">
        <v>28</v>
      </c>
      <c r="L1342" s="881" t="s">
        <v>1517</v>
      </c>
      <c r="M1342" s="881" t="s">
        <v>775</v>
      </c>
      <c r="N1342" s="883">
        <v>220000</v>
      </c>
      <c r="O1342" s="55">
        <v>719</v>
      </c>
      <c r="P1342" s="78">
        <v>220000</v>
      </c>
    </row>
    <row r="1343" spans="1:16" ht="13.5" customHeight="1" thickBot="1">
      <c r="A1343" s="920"/>
      <c r="B1343" s="876"/>
      <c r="C1343" s="878"/>
      <c r="D1343" s="878"/>
      <c r="E1343" s="882"/>
      <c r="F1343" s="884"/>
      <c r="G1343" s="56">
        <v>721</v>
      </c>
      <c r="H1343" s="79">
        <f>+F1342-H1342</f>
        <v>0</v>
      </c>
      <c r="I1343" s="882"/>
      <c r="J1343" s="876"/>
      <c r="K1343" s="878"/>
      <c r="L1343" s="882"/>
      <c r="M1343" s="882"/>
      <c r="N1343" s="884"/>
      <c r="O1343" s="56">
        <v>723</v>
      </c>
      <c r="P1343" s="79">
        <f>+N1342-P1342</f>
        <v>0</v>
      </c>
    </row>
    <row r="1344" spans="1:16" ht="15" customHeight="1">
      <c r="A1344" s="919" t="e">
        <f>+A1342+1</f>
        <v>#REF!</v>
      </c>
      <c r="B1344" s="875">
        <v>42364</v>
      </c>
      <c r="C1344" s="877" t="s">
        <v>120</v>
      </c>
      <c r="D1344" s="877" t="s">
        <v>519</v>
      </c>
      <c r="E1344" s="881" t="s">
        <v>115</v>
      </c>
      <c r="F1344" s="883">
        <v>20000</v>
      </c>
      <c r="G1344" s="55">
        <v>719</v>
      </c>
      <c r="H1344" s="78">
        <v>20000</v>
      </c>
      <c r="I1344" s="881">
        <f>+I1342+1</f>
        <v>171</v>
      </c>
      <c r="J1344" s="875">
        <v>42723</v>
      </c>
      <c r="K1344" s="877" t="s">
        <v>28</v>
      </c>
      <c r="L1344" s="881" t="s">
        <v>1593</v>
      </c>
      <c r="M1344" s="881" t="s">
        <v>775</v>
      </c>
      <c r="N1344" s="883">
        <v>80000</v>
      </c>
      <c r="O1344" s="55">
        <v>719</v>
      </c>
      <c r="P1344" s="78">
        <v>80000</v>
      </c>
    </row>
    <row r="1345" spans="1:16" ht="12" customHeight="1" thickBot="1">
      <c r="A1345" s="920"/>
      <c r="B1345" s="876"/>
      <c r="C1345" s="878"/>
      <c r="D1345" s="878"/>
      <c r="E1345" s="882"/>
      <c r="F1345" s="884"/>
      <c r="G1345" s="56">
        <v>721</v>
      </c>
      <c r="H1345" s="79">
        <f>+F1344-H1344</f>
        <v>0</v>
      </c>
      <c r="I1345" s="882"/>
      <c r="J1345" s="876"/>
      <c r="K1345" s="878"/>
      <c r="L1345" s="882"/>
      <c r="M1345" s="882"/>
      <c r="N1345" s="884"/>
      <c r="O1345" s="56">
        <v>723</v>
      </c>
      <c r="P1345" s="79">
        <f>+N1344-P1344</f>
        <v>0</v>
      </c>
    </row>
    <row r="1346" spans="1:16" ht="14.25" customHeight="1">
      <c r="A1346" s="919" t="e">
        <f>+A1344+1</f>
        <v>#REF!</v>
      </c>
      <c r="B1346" s="875">
        <v>42364</v>
      </c>
      <c r="C1346" s="877" t="s">
        <v>31</v>
      </c>
      <c r="D1346" s="877" t="s">
        <v>514</v>
      </c>
      <c r="E1346" s="881" t="s">
        <v>115</v>
      </c>
      <c r="F1346" s="883">
        <v>50000</v>
      </c>
      <c r="G1346" s="55">
        <v>719</v>
      </c>
      <c r="H1346" s="78">
        <v>50000</v>
      </c>
      <c r="I1346" s="881">
        <f>+I1344+1</f>
        <v>172</v>
      </c>
      <c r="J1346" s="875">
        <v>42723</v>
      </c>
      <c r="K1346" s="877" t="s">
        <v>120</v>
      </c>
      <c r="L1346" s="881" t="s">
        <v>1594</v>
      </c>
      <c r="M1346" s="881" t="s">
        <v>775</v>
      </c>
      <c r="N1346" s="883">
        <v>370000</v>
      </c>
      <c r="O1346" s="55">
        <v>719</v>
      </c>
      <c r="P1346" s="78">
        <v>370000</v>
      </c>
    </row>
    <row r="1347" spans="1:16" ht="12.75" customHeight="1" thickBot="1">
      <c r="A1347" s="920"/>
      <c r="B1347" s="876"/>
      <c r="C1347" s="878"/>
      <c r="D1347" s="878"/>
      <c r="E1347" s="882"/>
      <c r="F1347" s="884"/>
      <c r="G1347" s="56">
        <v>721</v>
      </c>
      <c r="H1347" s="79">
        <f>+F1346-H1346</f>
        <v>0</v>
      </c>
      <c r="I1347" s="882"/>
      <c r="J1347" s="876"/>
      <c r="K1347" s="878"/>
      <c r="L1347" s="882"/>
      <c r="M1347" s="882"/>
      <c r="N1347" s="884"/>
      <c r="O1347" s="56">
        <v>723</v>
      </c>
      <c r="P1347" s="79">
        <f>+N1346-P1346</f>
        <v>0</v>
      </c>
    </row>
    <row r="1348" spans="1:16" ht="14.25" customHeight="1" thickBot="1">
      <c r="A1348" s="919" t="e">
        <f>+A1346+1</f>
        <v>#REF!</v>
      </c>
      <c r="B1348" s="875">
        <v>42364</v>
      </c>
      <c r="C1348" s="877" t="s">
        <v>472</v>
      </c>
      <c r="D1348" s="877" t="s">
        <v>515</v>
      </c>
      <c r="E1348" s="881" t="s">
        <v>115</v>
      </c>
      <c r="F1348" s="883">
        <v>20000</v>
      </c>
      <c r="G1348" s="55">
        <v>719</v>
      </c>
      <c r="H1348" s="78">
        <v>20000</v>
      </c>
      <c r="I1348" s="901" t="s">
        <v>102</v>
      </c>
      <c r="J1348" s="902"/>
      <c r="K1348" s="902"/>
      <c r="L1348" s="902"/>
      <c r="M1348" s="903"/>
      <c r="N1348" s="81">
        <f>SUM(N1338:N1347)</f>
        <v>990000</v>
      </c>
    </row>
    <row r="1349" spans="1:16" ht="14.25" customHeight="1" thickBot="1">
      <c r="A1349" s="920"/>
      <c r="B1349" s="876"/>
      <c r="C1349" s="878"/>
      <c r="D1349" s="878"/>
      <c r="E1349" s="882"/>
      <c r="F1349" s="884"/>
      <c r="G1349" s="56">
        <v>721</v>
      </c>
      <c r="H1349" s="79">
        <f>+F1348-H1348</f>
        <v>0</v>
      </c>
      <c r="I1349" s="885" t="s">
        <v>103</v>
      </c>
      <c r="J1349" s="886"/>
      <c r="K1349" s="886"/>
      <c r="L1349" s="886"/>
      <c r="M1349" s="887"/>
      <c r="N1349" s="69">
        <f>+N1313</f>
        <v>482622435</v>
      </c>
      <c r="O1349" s="241" t="s">
        <v>561</v>
      </c>
      <c r="P1349" s="242">
        <f>754+171+406+173+423</f>
        <v>1927</v>
      </c>
    </row>
    <row r="1350" spans="1:16" ht="16.5" thickBot="1">
      <c r="A1350" s="901" t="s">
        <v>102</v>
      </c>
      <c r="B1350" s="902"/>
      <c r="C1350" s="902"/>
      <c r="D1350" s="902"/>
      <c r="E1350" s="903"/>
      <c r="F1350" s="81">
        <f>SUM(F1338:F1349)</f>
        <v>270000</v>
      </c>
      <c r="I1350" s="888" t="s">
        <v>104</v>
      </c>
      <c r="J1350" s="889"/>
      <c r="K1350" s="889"/>
      <c r="L1350" s="889"/>
      <c r="M1350" s="890"/>
      <c r="N1350" s="183">
        <f>SUM(N1348:N1349)</f>
        <v>483612435</v>
      </c>
    </row>
    <row r="1351" spans="1:16" ht="12.75" customHeight="1" thickBot="1">
      <c r="A1351" s="885" t="s">
        <v>103</v>
      </c>
      <c r="B1351" s="886"/>
      <c r="C1351" s="886"/>
      <c r="D1351" s="886"/>
      <c r="E1351" s="887"/>
      <c r="F1351" s="69">
        <f>+F1313</f>
        <v>656045254</v>
      </c>
      <c r="I1351" s="61"/>
      <c r="J1351" s="61"/>
      <c r="K1351" s="61"/>
      <c r="L1351" s="61"/>
      <c r="M1351" s="61"/>
    </row>
    <row r="1352" spans="1:16" ht="16.5" thickBot="1">
      <c r="A1352" s="888" t="s">
        <v>104</v>
      </c>
      <c r="B1352" s="889"/>
      <c r="C1352" s="889"/>
      <c r="D1352" s="889"/>
      <c r="E1352" s="890"/>
      <c r="F1352" s="183">
        <f>SUM(F1350:F1351)</f>
        <v>656315254</v>
      </c>
      <c r="I1352" s="51" t="s">
        <v>1599</v>
      </c>
    </row>
    <row r="1353" spans="1:16" ht="13.5" customHeight="1">
      <c r="A1353" s="61"/>
      <c r="B1353" s="61"/>
      <c r="C1353" s="61"/>
      <c r="D1353" s="61"/>
      <c r="E1353" s="61"/>
      <c r="N1353" s="139"/>
    </row>
    <row r="1354" spans="1:16">
      <c r="A1354" s="51" t="s">
        <v>516</v>
      </c>
      <c r="I1354" s="50" t="s">
        <v>105</v>
      </c>
      <c r="L1354" s="146"/>
      <c r="N1354" s="139"/>
    </row>
    <row r="1355" spans="1:16" ht="14.25" customHeight="1" thickBot="1">
      <c r="F1355" s="139"/>
    </row>
    <row r="1356" spans="1:16" ht="15.75" thickBot="1">
      <c r="A1356" s="50" t="s">
        <v>105</v>
      </c>
      <c r="D1356" s="146"/>
      <c r="F1356" s="139"/>
      <c r="I1356" s="891" t="s">
        <v>106</v>
      </c>
      <c r="J1356" s="892"/>
      <c r="K1356" s="892"/>
      <c r="L1356" s="893"/>
      <c r="N1356" s="50" t="s">
        <v>288</v>
      </c>
    </row>
    <row r="1357" spans="1:16" ht="28.5" customHeight="1" thickBot="1">
      <c r="I1357" s="57" t="s">
        <v>100</v>
      </c>
      <c r="J1357" s="58" t="s">
        <v>108</v>
      </c>
      <c r="K1357" s="287" t="s">
        <v>109</v>
      </c>
      <c r="L1357" s="60" t="s">
        <v>110</v>
      </c>
    </row>
    <row r="1358" spans="1:16" ht="15.75" thickBot="1">
      <c r="A1358" s="891" t="s">
        <v>106</v>
      </c>
      <c r="B1358" s="892"/>
      <c r="C1358" s="892"/>
      <c r="D1358" s="893"/>
      <c r="F1358" s="50" t="s">
        <v>288</v>
      </c>
      <c r="I1358" s="71">
        <v>719</v>
      </c>
      <c r="J1358" s="73">
        <f>+P1338+P1340+P1342+P1344+P1346</f>
        <v>990000</v>
      </c>
      <c r="K1358" s="74">
        <f>+L1321</f>
        <v>32850000</v>
      </c>
      <c r="L1358" s="195">
        <f>+J1358+K1358</f>
        <v>33840000</v>
      </c>
    </row>
    <row r="1359" spans="1:16" ht="14.25" customHeight="1" thickBot="1">
      <c r="A1359" s="57" t="s">
        <v>100</v>
      </c>
      <c r="B1359" s="58" t="s">
        <v>108</v>
      </c>
      <c r="C1359" s="59" t="s">
        <v>109</v>
      </c>
      <c r="D1359" s="60" t="s">
        <v>110</v>
      </c>
      <c r="I1359" s="72">
        <v>721</v>
      </c>
      <c r="J1359" s="80">
        <v>0</v>
      </c>
      <c r="K1359" s="74">
        <f>+L1322</f>
        <v>92204481</v>
      </c>
      <c r="L1359" s="195">
        <f>+J1359+K1359</f>
        <v>92204481</v>
      </c>
    </row>
    <row r="1360" spans="1:16" ht="13.5" customHeight="1">
      <c r="A1360" s="71">
        <v>719</v>
      </c>
      <c r="B1360" s="73">
        <f>+H1338+H1340+H13+H1342+H135354+H1344+H1348+H1346</f>
        <v>270000</v>
      </c>
      <c r="C1360" s="74" t="e">
        <f>+D1321</f>
        <v>#REF!</v>
      </c>
      <c r="D1360" s="195" t="e">
        <f>+B1360+C1360</f>
        <v>#REF!</v>
      </c>
      <c r="I1360" s="72">
        <v>722</v>
      </c>
      <c r="J1360" s="80"/>
      <c r="K1360" s="74">
        <f>+L1323</f>
        <v>42881706</v>
      </c>
      <c r="L1360" s="195">
        <f>+J1360+K1360</f>
        <v>42881706</v>
      </c>
    </row>
    <row r="1361" spans="1:16" ht="15.75">
      <c r="A1361" s="72">
        <v>721</v>
      </c>
      <c r="B1361" s="80">
        <f>(+H1349+H1345+H1343+H1341+H1339)</f>
        <v>0</v>
      </c>
      <c r="C1361" s="74" t="e">
        <f>+D1322</f>
        <v>#REF!</v>
      </c>
      <c r="D1361" s="195" t="e">
        <f>+B1361+C1361</f>
        <v>#REF!</v>
      </c>
      <c r="I1361" s="72">
        <v>723</v>
      </c>
      <c r="J1361" s="80"/>
      <c r="K1361" s="74">
        <f>+L1324</f>
        <v>314686248</v>
      </c>
      <c r="L1361" s="195">
        <f>+J1361+K1361</f>
        <v>314686248</v>
      </c>
      <c r="N1361" s="918" t="s">
        <v>1481</v>
      </c>
      <c r="O1361" s="918"/>
      <c r="P1361" s="918"/>
    </row>
    <row r="1362" spans="1:16" ht="16.5" thickBot="1">
      <c r="A1362" s="72">
        <v>722</v>
      </c>
      <c r="B1362" s="80"/>
      <c r="C1362" s="74">
        <f>+D1323</f>
        <v>231207671</v>
      </c>
      <c r="D1362" s="195">
        <f>+B1362+C1362</f>
        <v>231207671</v>
      </c>
      <c r="I1362" s="164" t="s">
        <v>181</v>
      </c>
      <c r="J1362" s="165"/>
      <c r="K1362" s="74">
        <f>+L1325</f>
        <v>0</v>
      </c>
      <c r="L1362" s="196">
        <f>+J1362+K1362</f>
        <v>0</v>
      </c>
      <c r="N1362" s="52"/>
    </row>
    <row r="1363" spans="1:16" ht="16.5" thickBot="1">
      <c r="A1363" s="72">
        <v>723</v>
      </c>
      <c r="B1363" s="80"/>
      <c r="C1363" s="74" t="e">
        <f>+D1324</f>
        <v>#REF!</v>
      </c>
      <c r="D1363" s="195" t="e">
        <f>+B1363+C1363</f>
        <v>#REF!</v>
      </c>
      <c r="F1363" s="174" t="s">
        <v>23</v>
      </c>
      <c r="G1363" s="175"/>
      <c r="I1363" s="169"/>
      <c r="J1363" s="197">
        <f>SUM(J1358:J1362)</f>
        <v>990000</v>
      </c>
      <c r="K1363" s="197">
        <f>SUM(K1358:K1362)</f>
        <v>482622435</v>
      </c>
      <c r="L1363" s="198">
        <f>SUM(L1358:L1362)</f>
        <v>483612435</v>
      </c>
    </row>
    <row r="1364" spans="1:16" ht="17.25" thickBot="1">
      <c r="A1364" s="164" t="s">
        <v>181</v>
      </c>
      <c r="B1364" s="165"/>
      <c r="C1364" s="74" t="e">
        <f>+D1325</f>
        <v>#REF!</v>
      </c>
      <c r="D1364" s="196" t="e">
        <f>+B1364+C1364</f>
        <v>#REF!</v>
      </c>
      <c r="F1364" s="52"/>
      <c r="I1364" s="49" t="s">
        <v>88</v>
      </c>
      <c r="J1364" s="50"/>
    </row>
    <row r="1365" spans="1:16" ht="16.5" thickBot="1">
      <c r="A1365" s="169"/>
      <c r="B1365" s="170">
        <f>SUM(B1360:B1364)</f>
        <v>270000</v>
      </c>
      <c r="C1365" s="171" t="e">
        <f>SUM(C1360:C1364)</f>
        <v>#REF!</v>
      </c>
      <c r="D1365" s="172" t="e">
        <f>SUM(D1360:D1364)</f>
        <v>#REF!</v>
      </c>
      <c r="I1365" s="51" t="s">
        <v>89</v>
      </c>
    </row>
    <row r="1366" spans="1:16" ht="16.5">
      <c r="A1366" s="49" t="s">
        <v>88</v>
      </c>
      <c r="B1366" s="50"/>
      <c r="I1366" s="51" t="s">
        <v>90</v>
      </c>
    </row>
    <row r="1367" spans="1:16">
      <c r="A1367" s="51" t="s">
        <v>89</v>
      </c>
      <c r="I1367" s="51" t="s">
        <v>91</v>
      </c>
    </row>
    <row r="1368" spans="1:16" ht="11.25" customHeight="1">
      <c r="A1368" s="51" t="s">
        <v>90</v>
      </c>
      <c r="I1368" s="50"/>
      <c r="J1368" s="50"/>
    </row>
    <row r="1369" spans="1:16" ht="16.5">
      <c r="A1369" s="51" t="s">
        <v>91</v>
      </c>
      <c r="I1369" s="260" t="s">
        <v>908</v>
      </c>
      <c r="O1369" s="52"/>
    </row>
    <row r="1370" spans="1:16" ht="12.75" customHeight="1">
      <c r="A1370" s="50"/>
      <c r="B1370" s="50"/>
      <c r="I1370" s="53" t="s">
        <v>1333</v>
      </c>
      <c r="O1370" s="53"/>
    </row>
    <row r="1371" spans="1:16" ht="16.5">
      <c r="A1371" s="52" t="s">
        <v>520</v>
      </c>
      <c r="G1371" s="52"/>
      <c r="I1371" s="894" t="s">
        <v>909</v>
      </c>
      <c r="J1371" s="894"/>
      <c r="K1371" s="894"/>
      <c r="L1371" s="894"/>
      <c r="M1371" s="894"/>
      <c r="N1371" s="894"/>
      <c r="O1371" s="894"/>
      <c r="P1371" s="894"/>
    </row>
    <row r="1372" spans="1:16" ht="16.5" thickBot="1">
      <c r="A1372" s="53" t="s">
        <v>92</v>
      </c>
      <c r="G1372" s="53"/>
    </row>
    <row r="1373" spans="1:16" ht="16.5">
      <c r="A1373" s="894" t="s">
        <v>261</v>
      </c>
      <c r="B1373" s="894"/>
      <c r="C1373" s="894"/>
      <c r="D1373" s="894"/>
      <c r="E1373" s="894"/>
      <c r="F1373" s="894"/>
      <c r="G1373" s="894"/>
      <c r="H1373" s="894"/>
      <c r="I1373" s="895" t="s">
        <v>94</v>
      </c>
      <c r="J1373" s="897" t="s">
        <v>95</v>
      </c>
      <c r="K1373" s="897" t="s">
        <v>96</v>
      </c>
      <c r="L1373" s="897" t="s">
        <v>3</v>
      </c>
      <c r="M1373" s="897" t="s">
        <v>97</v>
      </c>
      <c r="N1373" s="897" t="s">
        <v>98</v>
      </c>
      <c r="O1373" s="897" t="s">
        <v>99</v>
      </c>
      <c r="P1373" s="899"/>
    </row>
    <row r="1374" spans="1:16" ht="15.75" thickBot="1">
      <c r="I1374" s="896"/>
      <c r="J1374" s="898"/>
      <c r="K1374" s="898"/>
      <c r="L1374" s="898"/>
      <c r="M1374" s="898"/>
      <c r="N1374" s="898"/>
      <c r="O1374" s="240" t="s">
        <v>100</v>
      </c>
      <c r="P1374" s="182" t="s">
        <v>101</v>
      </c>
    </row>
    <row r="1375" spans="1:16" ht="15" customHeight="1">
      <c r="A1375" s="895" t="s">
        <v>94</v>
      </c>
      <c r="B1375" s="897" t="s">
        <v>95</v>
      </c>
      <c r="C1375" s="897" t="s">
        <v>96</v>
      </c>
      <c r="D1375" s="897" t="s">
        <v>3</v>
      </c>
      <c r="E1375" s="897" t="s">
        <v>97</v>
      </c>
      <c r="F1375" s="897" t="s">
        <v>98</v>
      </c>
      <c r="G1375" s="897" t="s">
        <v>99</v>
      </c>
      <c r="H1375" s="899"/>
      <c r="I1375" s="873" t="s">
        <v>1595</v>
      </c>
      <c r="J1375" s="875">
        <v>42723</v>
      </c>
      <c r="K1375" s="877" t="s">
        <v>472</v>
      </c>
      <c r="L1375" s="881" t="s">
        <v>1524</v>
      </c>
      <c r="M1375" s="881" t="s">
        <v>148</v>
      </c>
      <c r="N1375" s="883">
        <v>507000</v>
      </c>
      <c r="O1375" s="55">
        <v>719</v>
      </c>
      <c r="P1375" s="78">
        <v>390000</v>
      </c>
    </row>
    <row r="1376" spans="1:16" ht="15.75" customHeight="1" thickBot="1">
      <c r="A1376" s="896"/>
      <c r="B1376" s="898"/>
      <c r="C1376" s="898"/>
      <c r="D1376" s="898"/>
      <c r="E1376" s="898"/>
      <c r="F1376" s="898"/>
      <c r="G1376" s="240" t="s">
        <v>100</v>
      </c>
      <c r="H1376" s="182" t="s">
        <v>101</v>
      </c>
      <c r="I1376" s="874"/>
      <c r="J1376" s="876"/>
      <c r="K1376" s="878"/>
      <c r="L1376" s="882"/>
      <c r="M1376" s="882"/>
      <c r="N1376" s="884"/>
      <c r="O1376" s="56">
        <v>721</v>
      </c>
      <c r="P1376" s="79">
        <f>+N1375-P1375</f>
        <v>117000</v>
      </c>
    </row>
    <row r="1377" spans="1:16" ht="15" customHeight="1">
      <c r="A1377" s="919" t="e">
        <f>+A1348+1</f>
        <v>#REF!</v>
      </c>
      <c r="B1377" s="875">
        <v>42369</v>
      </c>
      <c r="C1377" s="877" t="s">
        <v>31</v>
      </c>
      <c r="D1377" s="877" t="s">
        <v>523</v>
      </c>
      <c r="E1377" s="881" t="s">
        <v>115</v>
      </c>
      <c r="F1377" s="883">
        <v>180000</v>
      </c>
      <c r="G1377" s="55">
        <v>719</v>
      </c>
      <c r="H1377" s="78">
        <v>180000</v>
      </c>
      <c r="I1377" s="881">
        <f>+I1375+1</f>
        <v>174</v>
      </c>
      <c r="J1377" s="875">
        <v>42723</v>
      </c>
      <c r="K1377" s="877" t="s">
        <v>472</v>
      </c>
      <c r="L1377" s="881" t="s">
        <v>913</v>
      </c>
      <c r="M1377" s="881" t="s">
        <v>148</v>
      </c>
      <c r="N1377" s="883">
        <v>312000</v>
      </c>
      <c r="O1377" s="55">
        <v>719</v>
      </c>
      <c r="P1377" s="78">
        <v>240000</v>
      </c>
    </row>
    <row r="1378" spans="1:16" ht="15.75" customHeight="1" thickBot="1">
      <c r="A1378" s="920"/>
      <c r="B1378" s="876"/>
      <c r="C1378" s="878"/>
      <c r="D1378" s="878"/>
      <c r="E1378" s="882"/>
      <c r="F1378" s="884"/>
      <c r="G1378" s="56">
        <v>721</v>
      </c>
      <c r="H1378" s="79">
        <f>+F1377-H1377</f>
        <v>0</v>
      </c>
      <c r="I1378" s="882"/>
      <c r="J1378" s="876"/>
      <c r="K1378" s="878"/>
      <c r="L1378" s="882"/>
      <c r="M1378" s="882"/>
      <c r="N1378" s="884"/>
      <c r="O1378" s="56">
        <v>721</v>
      </c>
      <c r="P1378" s="79">
        <f>+N1377-P1377</f>
        <v>72000</v>
      </c>
    </row>
    <row r="1379" spans="1:16" ht="15" customHeight="1">
      <c r="A1379" s="919" t="e">
        <f>+A1377+1</f>
        <v>#REF!</v>
      </c>
      <c r="B1379" s="875">
        <v>42369</v>
      </c>
      <c r="C1379" s="877" t="s">
        <v>472</v>
      </c>
      <c r="D1379" s="877" t="s">
        <v>524</v>
      </c>
      <c r="E1379" s="881" t="s">
        <v>115</v>
      </c>
      <c r="F1379" s="883">
        <v>40000</v>
      </c>
      <c r="G1379" s="55">
        <v>719</v>
      </c>
      <c r="H1379" s="78">
        <v>40000</v>
      </c>
      <c r="I1379" s="881">
        <f>+I1377+1</f>
        <v>175</v>
      </c>
      <c r="J1379" s="875">
        <v>42723</v>
      </c>
      <c r="K1379" s="877" t="s">
        <v>472</v>
      </c>
      <c r="L1379" s="881" t="s">
        <v>914</v>
      </c>
      <c r="M1379" s="881" t="s">
        <v>148</v>
      </c>
      <c r="N1379" s="883">
        <v>338000</v>
      </c>
      <c r="O1379" s="55">
        <v>719</v>
      </c>
      <c r="P1379" s="78">
        <v>260000</v>
      </c>
    </row>
    <row r="1380" spans="1:16" ht="15.75" customHeight="1" thickBot="1">
      <c r="A1380" s="920"/>
      <c r="B1380" s="876"/>
      <c r="C1380" s="878"/>
      <c r="D1380" s="878"/>
      <c r="E1380" s="882"/>
      <c r="F1380" s="884"/>
      <c r="G1380" s="56">
        <v>721</v>
      </c>
      <c r="H1380" s="79">
        <f>+F1379-H1379</f>
        <v>0</v>
      </c>
      <c r="I1380" s="882"/>
      <c r="J1380" s="876"/>
      <c r="K1380" s="878"/>
      <c r="L1380" s="882"/>
      <c r="M1380" s="882"/>
      <c r="N1380" s="884"/>
      <c r="O1380" s="56">
        <v>721</v>
      </c>
      <c r="P1380" s="79">
        <f>+N1379-P1379</f>
        <v>78000</v>
      </c>
    </row>
    <row r="1381" spans="1:16" ht="11.25" customHeight="1">
      <c r="A1381" s="919" t="e">
        <f>+A1379+1</f>
        <v>#REF!</v>
      </c>
      <c r="B1381" s="875">
        <v>42369</v>
      </c>
      <c r="C1381" s="877" t="s">
        <v>32</v>
      </c>
      <c r="D1381" s="877" t="s">
        <v>521</v>
      </c>
      <c r="E1381" s="881" t="s">
        <v>115</v>
      </c>
      <c r="F1381" s="883">
        <v>40000</v>
      </c>
      <c r="G1381" s="55">
        <v>719</v>
      </c>
      <c r="H1381" s="78">
        <v>40000</v>
      </c>
      <c r="I1381" s="881"/>
      <c r="J1381" s="875"/>
      <c r="K1381" s="877"/>
      <c r="L1381" s="881"/>
      <c r="M1381" s="881"/>
      <c r="N1381" s="883"/>
      <c r="O1381" s="55">
        <v>719</v>
      </c>
      <c r="P1381" s="78"/>
    </row>
    <row r="1382" spans="1:16" ht="13.5" customHeight="1" thickBot="1">
      <c r="A1382" s="920"/>
      <c r="B1382" s="876"/>
      <c r="C1382" s="878"/>
      <c r="D1382" s="878"/>
      <c r="E1382" s="882"/>
      <c r="F1382" s="884"/>
      <c r="G1382" s="56">
        <v>721</v>
      </c>
      <c r="H1382" s="79">
        <f>+F1381-H1381</f>
        <v>0</v>
      </c>
      <c r="I1382" s="882"/>
      <c r="J1382" s="876"/>
      <c r="K1382" s="878"/>
      <c r="L1382" s="882"/>
      <c r="M1382" s="882"/>
      <c r="N1382" s="884"/>
      <c r="O1382" s="56">
        <v>721</v>
      </c>
      <c r="P1382" s="79">
        <f>+N1381-P1381</f>
        <v>0</v>
      </c>
    </row>
    <row r="1383" spans="1:16" ht="12.75" customHeight="1">
      <c r="A1383" s="919" t="e">
        <f>+A1381+1</f>
        <v>#REF!</v>
      </c>
      <c r="B1383" s="875">
        <v>42369</v>
      </c>
      <c r="C1383" s="877" t="s">
        <v>120</v>
      </c>
      <c r="D1383" s="877" t="s">
        <v>522</v>
      </c>
      <c r="E1383" s="881" t="s">
        <v>115</v>
      </c>
      <c r="F1383" s="883">
        <v>20000</v>
      </c>
      <c r="G1383" s="55">
        <v>719</v>
      </c>
      <c r="H1383" s="78">
        <v>20000</v>
      </c>
      <c r="I1383" s="881"/>
      <c r="J1383" s="875"/>
      <c r="K1383" s="877"/>
      <c r="L1383" s="881"/>
      <c r="M1383" s="881"/>
      <c r="N1383" s="883"/>
      <c r="O1383" s="55">
        <v>719</v>
      </c>
      <c r="P1383" s="78"/>
    </row>
    <row r="1384" spans="1:16" ht="12.75" customHeight="1" thickBot="1">
      <c r="A1384" s="920"/>
      <c r="B1384" s="876"/>
      <c r="C1384" s="878"/>
      <c r="D1384" s="878"/>
      <c r="E1384" s="882"/>
      <c r="F1384" s="884"/>
      <c r="G1384" s="56">
        <v>721</v>
      </c>
      <c r="H1384" s="79">
        <f>+F1383-H1383</f>
        <v>0</v>
      </c>
      <c r="I1384" s="882"/>
      <c r="J1384" s="876"/>
      <c r="K1384" s="878"/>
      <c r="L1384" s="882"/>
      <c r="M1384" s="882"/>
      <c r="N1384" s="884"/>
      <c r="O1384" s="56">
        <v>721</v>
      </c>
      <c r="P1384" s="79">
        <f>+N1383-P1383</f>
        <v>0</v>
      </c>
    </row>
    <row r="1385" spans="1:16" ht="15" customHeight="1" thickBot="1">
      <c r="A1385" s="919"/>
      <c r="B1385" s="875"/>
      <c r="C1385" s="877"/>
      <c r="D1385" s="877"/>
      <c r="E1385" s="881"/>
      <c r="F1385" s="883"/>
      <c r="G1385" s="55">
        <v>719</v>
      </c>
      <c r="H1385" s="78"/>
      <c r="I1385" s="901" t="s">
        <v>102</v>
      </c>
      <c r="J1385" s="902"/>
      <c r="K1385" s="902"/>
      <c r="L1385" s="902"/>
      <c r="M1385" s="903"/>
      <c r="N1385" s="81">
        <f>SUM(N1375:N1384)</f>
        <v>1157000</v>
      </c>
    </row>
    <row r="1386" spans="1:16" ht="15.75" customHeight="1" thickBot="1">
      <c r="A1386" s="920"/>
      <c r="B1386" s="876"/>
      <c r="C1386" s="878"/>
      <c r="D1386" s="878"/>
      <c r="E1386" s="882"/>
      <c r="F1386" s="884"/>
      <c r="G1386" s="56">
        <v>721</v>
      </c>
      <c r="H1386" s="79">
        <f>+F1385-H1385</f>
        <v>0</v>
      </c>
      <c r="I1386" s="885" t="s">
        <v>103</v>
      </c>
      <c r="J1386" s="886"/>
      <c r="K1386" s="886"/>
      <c r="L1386" s="886"/>
      <c r="M1386" s="887"/>
      <c r="N1386" s="69">
        <f>+N1350</f>
        <v>483612435</v>
      </c>
      <c r="O1386" s="241" t="s">
        <v>561</v>
      </c>
      <c r="P1386" s="242">
        <f>753+65+288</f>
        <v>1106</v>
      </c>
    </row>
    <row r="1387" spans="1:16" ht="15" customHeight="1" thickBot="1">
      <c r="A1387" s="901" t="s">
        <v>102</v>
      </c>
      <c r="B1387" s="902"/>
      <c r="C1387" s="902"/>
      <c r="D1387" s="902"/>
      <c r="E1387" s="903"/>
      <c r="F1387" s="81">
        <f>SUM(F1377:F1386)</f>
        <v>280000</v>
      </c>
      <c r="I1387" s="888" t="s">
        <v>104</v>
      </c>
      <c r="J1387" s="889"/>
      <c r="K1387" s="889"/>
      <c r="L1387" s="889"/>
      <c r="M1387" s="890"/>
      <c r="N1387" s="183">
        <f>SUM(N1385:N1386)</f>
        <v>484769435</v>
      </c>
    </row>
    <row r="1388" spans="1:16" ht="15.75" customHeight="1" thickBot="1">
      <c r="A1388" s="885" t="s">
        <v>103</v>
      </c>
      <c r="B1388" s="886"/>
      <c r="C1388" s="886"/>
      <c r="D1388" s="886"/>
      <c r="E1388" s="887"/>
      <c r="F1388" s="69">
        <f>+F1352</f>
        <v>656315254</v>
      </c>
      <c r="I1388" s="61"/>
      <c r="J1388" s="61"/>
      <c r="K1388" s="61"/>
      <c r="L1388" s="61"/>
      <c r="M1388" s="61"/>
    </row>
    <row r="1389" spans="1:16" ht="16.5" thickBot="1">
      <c r="A1389" s="888" t="s">
        <v>104</v>
      </c>
      <c r="B1389" s="889"/>
      <c r="C1389" s="889"/>
      <c r="D1389" s="889"/>
      <c r="E1389" s="890"/>
      <c r="F1389" s="183">
        <f>SUM(F1387:F1388)</f>
        <v>656595254</v>
      </c>
      <c r="I1389" s="51" t="s">
        <v>1596</v>
      </c>
    </row>
    <row r="1390" spans="1:16" ht="12" customHeight="1">
      <c r="A1390" s="61"/>
      <c r="B1390" s="61"/>
      <c r="C1390" s="61"/>
      <c r="D1390" s="61"/>
      <c r="E1390" s="61"/>
      <c r="N1390" s="139"/>
    </row>
    <row r="1391" spans="1:16">
      <c r="A1391" s="51" t="s">
        <v>525</v>
      </c>
      <c r="I1391" s="50" t="s">
        <v>105</v>
      </c>
      <c r="L1391" s="146"/>
      <c r="N1391" s="139"/>
    </row>
    <row r="1392" spans="1:16" ht="14.25" customHeight="1" thickBot="1">
      <c r="F1392" s="139"/>
    </row>
    <row r="1393" spans="1:16" ht="15.75" thickBot="1">
      <c r="A1393" s="50" t="s">
        <v>105</v>
      </c>
      <c r="D1393" s="146"/>
      <c r="F1393" s="139"/>
      <c r="I1393" s="891" t="s">
        <v>106</v>
      </c>
      <c r="J1393" s="892"/>
      <c r="K1393" s="892"/>
      <c r="L1393" s="893"/>
      <c r="N1393" s="50" t="s">
        <v>288</v>
      </c>
    </row>
    <row r="1394" spans="1:16" ht="11.25" customHeight="1" thickBot="1">
      <c r="I1394" s="57" t="s">
        <v>100</v>
      </c>
      <c r="J1394" s="58" t="s">
        <v>108</v>
      </c>
      <c r="K1394" s="287" t="s">
        <v>109</v>
      </c>
      <c r="L1394" s="60" t="s">
        <v>110</v>
      </c>
    </row>
    <row r="1395" spans="1:16" ht="15.75" thickBot="1">
      <c r="A1395" s="891" t="s">
        <v>106</v>
      </c>
      <c r="B1395" s="892"/>
      <c r="C1395" s="892"/>
      <c r="D1395" s="893"/>
      <c r="F1395" s="50" t="s">
        <v>288</v>
      </c>
      <c r="I1395" s="71">
        <v>719</v>
      </c>
      <c r="J1395" s="73">
        <f>+P1375+P1377+P1379+P1381+P1383</f>
        <v>890000</v>
      </c>
      <c r="K1395" s="74">
        <f>+L1358</f>
        <v>33840000</v>
      </c>
      <c r="L1395" s="195">
        <f>+J1395+K1395</f>
        <v>34730000</v>
      </c>
    </row>
    <row r="1396" spans="1:16" ht="12.75" customHeight="1" thickBot="1">
      <c r="A1396" s="57" t="s">
        <v>100</v>
      </c>
      <c r="B1396" s="58" t="s">
        <v>108</v>
      </c>
      <c r="C1396" s="59" t="s">
        <v>109</v>
      </c>
      <c r="D1396" s="60" t="s">
        <v>110</v>
      </c>
      <c r="I1396" s="72">
        <v>721</v>
      </c>
      <c r="J1396" s="80">
        <f>+P1376+P1378+P1380</f>
        <v>267000</v>
      </c>
      <c r="K1396" s="74">
        <f>+L1359</f>
        <v>92204481</v>
      </c>
      <c r="L1396" s="195">
        <f>+J1396+K1396</f>
        <v>92471481</v>
      </c>
    </row>
    <row r="1397" spans="1:16">
      <c r="A1397" s="71">
        <v>719</v>
      </c>
      <c r="B1397" s="73">
        <f>+H1377+H1379+H1381+H1383+H1385</f>
        <v>280000</v>
      </c>
      <c r="C1397" s="74" t="e">
        <f>+D1360</f>
        <v>#REF!</v>
      </c>
      <c r="D1397" s="195" t="e">
        <f>+B1397+C1397</f>
        <v>#REF!</v>
      </c>
      <c r="I1397" s="72">
        <v>722</v>
      </c>
      <c r="J1397" s="80"/>
      <c r="K1397" s="74">
        <f>+L1360</f>
        <v>42881706</v>
      </c>
      <c r="L1397" s="195">
        <f>+J1397+K1397</f>
        <v>42881706</v>
      </c>
    </row>
    <row r="1398" spans="1:16" ht="15.75">
      <c r="A1398" s="72">
        <v>721</v>
      </c>
      <c r="B1398" s="80">
        <f>(+H1386+H1384+H1382+H1380+H1378)</f>
        <v>0</v>
      </c>
      <c r="C1398" s="74" t="e">
        <f>+D1361</f>
        <v>#REF!</v>
      </c>
      <c r="D1398" s="195" t="e">
        <f>+B1398+C1398</f>
        <v>#REF!</v>
      </c>
      <c r="I1398" s="72">
        <v>723</v>
      </c>
      <c r="J1398" s="80"/>
      <c r="K1398" s="74">
        <f>+L1361</f>
        <v>314686248</v>
      </c>
      <c r="L1398" s="195">
        <f>+J1398+K1398</f>
        <v>314686248</v>
      </c>
      <c r="N1398" s="918" t="s">
        <v>1481</v>
      </c>
      <c r="O1398" s="918"/>
      <c r="P1398" s="918"/>
    </row>
    <row r="1399" spans="1:16" ht="16.5" thickBot="1">
      <c r="A1399" s="72">
        <v>722</v>
      </c>
      <c r="B1399" s="80"/>
      <c r="C1399" s="74">
        <f>+D1362</f>
        <v>231207671</v>
      </c>
      <c r="D1399" s="195">
        <f>+B1399+C1399</f>
        <v>231207671</v>
      </c>
      <c r="I1399" s="164" t="s">
        <v>181</v>
      </c>
      <c r="J1399" s="165"/>
      <c r="K1399" s="74">
        <f>+L1362</f>
        <v>0</v>
      </c>
      <c r="L1399" s="196">
        <f>+J1399+K1399</f>
        <v>0</v>
      </c>
      <c r="N1399" s="52"/>
    </row>
    <row r="1400" spans="1:16" ht="16.5" thickBot="1">
      <c r="A1400" s="72">
        <v>723</v>
      </c>
      <c r="B1400" s="80"/>
      <c r="C1400" s="74" t="e">
        <f>+D1363</f>
        <v>#REF!</v>
      </c>
      <c r="D1400" s="195" t="e">
        <f>+B1400+C1400</f>
        <v>#REF!</v>
      </c>
      <c r="F1400" s="174" t="s">
        <v>23</v>
      </c>
      <c r="G1400" s="175"/>
      <c r="I1400" s="169"/>
      <c r="J1400" s="197">
        <f>SUM(J1395:J1399)</f>
        <v>1157000</v>
      </c>
      <c r="K1400" s="197">
        <f>SUM(K1395:K1399)</f>
        <v>483612435</v>
      </c>
      <c r="L1400" s="198">
        <f>SUM(L1395:L1399)</f>
        <v>484769435</v>
      </c>
    </row>
    <row r="1401" spans="1:16" ht="17.25" thickBot="1">
      <c r="A1401" s="164" t="s">
        <v>181</v>
      </c>
      <c r="B1401" s="165"/>
      <c r="C1401" s="74" t="e">
        <f>+D1364</f>
        <v>#REF!</v>
      </c>
      <c r="D1401" s="196" t="e">
        <f>+B1401+C1401</f>
        <v>#REF!</v>
      </c>
      <c r="F1401" s="52"/>
      <c r="I1401" s="49" t="s">
        <v>88</v>
      </c>
      <c r="J1401" s="50"/>
    </row>
    <row r="1402" spans="1:16" ht="16.5" thickBot="1">
      <c r="A1402" s="169"/>
      <c r="B1402" s="170">
        <f>SUM(B1397:B1401)</f>
        <v>280000</v>
      </c>
      <c r="C1402" s="171" t="e">
        <f>SUM(C1397:C1401)</f>
        <v>#REF!</v>
      </c>
      <c r="D1402" s="172" t="e">
        <f>SUM(D1397:D1401)</f>
        <v>#REF!</v>
      </c>
      <c r="I1402" s="51" t="s">
        <v>89</v>
      </c>
    </row>
    <row r="1403" spans="1:16" ht="16.5">
      <c r="A1403" s="49" t="s">
        <v>88</v>
      </c>
      <c r="B1403" s="50"/>
      <c r="I1403" s="51" t="s">
        <v>90</v>
      </c>
    </row>
    <row r="1404" spans="1:16">
      <c r="A1404" s="51" t="s">
        <v>89</v>
      </c>
      <c r="I1404" s="51" t="s">
        <v>91</v>
      </c>
    </row>
    <row r="1405" spans="1:16">
      <c r="A1405" s="51" t="s">
        <v>90</v>
      </c>
      <c r="I1405" s="50"/>
      <c r="J1405" s="50"/>
    </row>
    <row r="1406" spans="1:16" ht="16.5">
      <c r="A1406" s="51" t="s">
        <v>91</v>
      </c>
      <c r="I1406" s="260" t="s">
        <v>917</v>
      </c>
      <c r="O1406" s="52"/>
    </row>
    <row r="1407" spans="1:16" ht="15" customHeight="1">
      <c r="A1407" s="50"/>
      <c r="B1407" s="50"/>
      <c r="I1407" s="53" t="s">
        <v>1333</v>
      </c>
      <c r="O1407" s="53"/>
    </row>
    <row r="1408" spans="1:16" ht="16.5">
      <c r="A1408" s="52" t="s">
        <v>528</v>
      </c>
      <c r="G1408" s="52"/>
      <c r="I1408" s="894" t="s">
        <v>1600</v>
      </c>
      <c r="J1408" s="894"/>
      <c r="K1408" s="894"/>
      <c r="L1408" s="894"/>
      <c r="M1408" s="894"/>
      <c r="N1408" s="894"/>
      <c r="O1408" s="894"/>
      <c r="P1408" s="894"/>
    </row>
    <row r="1409" spans="1:16" ht="12" customHeight="1" thickBot="1">
      <c r="A1409" s="53" t="s">
        <v>92</v>
      </c>
      <c r="G1409" s="53"/>
    </row>
    <row r="1410" spans="1:16" ht="16.5">
      <c r="A1410" s="894" t="s">
        <v>261</v>
      </c>
      <c r="B1410" s="894"/>
      <c r="C1410" s="894"/>
      <c r="D1410" s="894"/>
      <c r="E1410" s="894"/>
      <c r="F1410" s="894"/>
      <c r="G1410" s="894"/>
      <c r="H1410" s="894"/>
      <c r="I1410" s="895" t="s">
        <v>94</v>
      </c>
      <c r="J1410" s="897" t="s">
        <v>95</v>
      </c>
      <c r="K1410" s="897" t="s">
        <v>96</v>
      </c>
      <c r="L1410" s="897" t="s">
        <v>3</v>
      </c>
      <c r="M1410" s="897" t="s">
        <v>97</v>
      </c>
      <c r="N1410" s="897" t="s">
        <v>98</v>
      </c>
      <c r="O1410" s="897" t="s">
        <v>99</v>
      </c>
      <c r="P1410" s="899"/>
    </row>
    <row r="1411" spans="1:16" ht="15.75" thickBot="1">
      <c r="I1411" s="896"/>
      <c r="J1411" s="898"/>
      <c r="K1411" s="898"/>
      <c r="L1411" s="898"/>
      <c r="M1411" s="898"/>
      <c r="N1411" s="898"/>
      <c r="O1411" s="240" t="s">
        <v>100</v>
      </c>
      <c r="P1411" s="182" t="s">
        <v>101</v>
      </c>
    </row>
    <row r="1412" spans="1:16" ht="13.5" customHeight="1">
      <c r="A1412" s="895" t="s">
        <v>94</v>
      </c>
      <c r="B1412" s="897" t="s">
        <v>95</v>
      </c>
      <c r="C1412" s="897" t="s">
        <v>96</v>
      </c>
      <c r="D1412" s="897" t="s">
        <v>3</v>
      </c>
      <c r="E1412" s="897" t="s">
        <v>97</v>
      </c>
      <c r="F1412" s="897" t="s">
        <v>98</v>
      </c>
      <c r="G1412" s="897" t="s">
        <v>99</v>
      </c>
      <c r="H1412" s="899"/>
      <c r="I1412" s="873" t="s">
        <v>1526</v>
      </c>
      <c r="J1412" s="875">
        <v>43088</v>
      </c>
      <c r="K1412" s="877" t="s">
        <v>472</v>
      </c>
      <c r="L1412" s="881" t="s">
        <v>1522</v>
      </c>
      <c r="M1412" s="881" t="s">
        <v>148</v>
      </c>
      <c r="N1412" s="883">
        <v>-637000</v>
      </c>
      <c r="O1412" s="55">
        <v>719</v>
      </c>
      <c r="P1412" s="78">
        <v>-490000</v>
      </c>
    </row>
    <row r="1413" spans="1:16" ht="12.75" customHeight="1" thickBot="1">
      <c r="A1413" s="896"/>
      <c r="B1413" s="898"/>
      <c r="C1413" s="898"/>
      <c r="D1413" s="898"/>
      <c r="E1413" s="898"/>
      <c r="F1413" s="898"/>
      <c r="G1413" s="240" t="s">
        <v>100</v>
      </c>
      <c r="H1413" s="182" t="s">
        <v>101</v>
      </c>
      <c r="I1413" s="874"/>
      <c r="J1413" s="876"/>
      <c r="K1413" s="878"/>
      <c r="L1413" s="882"/>
      <c r="M1413" s="882"/>
      <c r="N1413" s="884"/>
      <c r="O1413" s="56">
        <v>721</v>
      </c>
      <c r="P1413" s="79">
        <f>+N1412-P1412</f>
        <v>-147000</v>
      </c>
    </row>
    <row r="1414" spans="1:16" ht="13.5" customHeight="1">
      <c r="A1414" s="919" t="e">
        <f>+A1383+1</f>
        <v>#REF!</v>
      </c>
      <c r="B1414" s="875">
        <v>42369</v>
      </c>
      <c r="C1414" s="877" t="s">
        <v>267</v>
      </c>
      <c r="D1414" s="877" t="s">
        <v>526</v>
      </c>
      <c r="E1414" s="881" t="s">
        <v>148</v>
      </c>
      <c r="F1414" s="883">
        <v>224000</v>
      </c>
      <c r="G1414" s="55">
        <v>719</v>
      </c>
      <c r="H1414" s="78">
        <v>160000</v>
      </c>
      <c r="I1414" s="873" t="s">
        <v>1603</v>
      </c>
      <c r="J1414" s="875">
        <v>43088</v>
      </c>
      <c r="K1414" s="877" t="s">
        <v>472</v>
      </c>
      <c r="L1414" s="881" t="s">
        <v>1590</v>
      </c>
      <c r="M1414" s="881" t="s">
        <v>148</v>
      </c>
      <c r="N1414" s="883">
        <v>-572000</v>
      </c>
      <c r="O1414" s="55">
        <v>719</v>
      </c>
      <c r="P1414" s="78">
        <v>-440000</v>
      </c>
    </row>
    <row r="1415" spans="1:16" ht="13.5" customHeight="1" thickBot="1">
      <c r="A1415" s="920"/>
      <c r="B1415" s="876"/>
      <c r="C1415" s="878"/>
      <c r="D1415" s="878"/>
      <c r="E1415" s="882"/>
      <c r="F1415" s="884"/>
      <c r="G1415" s="56">
        <v>721</v>
      </c>
      <c r="H1415" s="79">
        <f>+F1414-H1414</f>
        <v>64000</v>
      </c>
      <c r="I1415" s="874"/>
      <c r="J1415" s="876"/>
      <c r="K1415" s="878"/>
      <c r="L1415" s="882"/>
      <c r="M1415" s="882"/>
      <c r="N1415" s="884"/>
      <c r="O1415" s="56">
        <v>723</v>
      </c>
      <c r="P1415" s="79">
        <f>+N1414-P1414</f>
        <v>-132000</v>
      </c>
    </row>
    <row r="1416" spans="1:16" ht="12.75" customHeight="1">
      <c r="A1416" s="919" t="e">
        <f>+A1414+1</f>
        <v>#REF!</v>
      </c>
      <c r="B1416" s="875">
        <v>42369</v>
      </c>
      <c r="C1416" s="881" t="s">
        <v>28</v>
      </c>
      <c r="D1416" s="877" t="s">
        <v>526</v>
      </c>
      <c r="E1416" s="881" t="s">
        <v>148</v>
      </c>
      <c r="F1416" s="883">
        <v>224000</v>
      </c>
      <c r="G1416" s="55">
        <v>719</v>
      </c>
      <c r="H1416" s="78">
        <v>160000</v>
      </c>
      <c r="I1416" s="873" t="s">
        <v>1604</v>
      </c>
      <c r="J1416" s="875">
        <v>43088</v>
      </c>
      <c r="K1416" s="877" t="s">
        <v>472</v>
      </c>
      <c r="L1416" s="881" t="s">
        <v>1507</v>
      </c>
      <c r="M1416" s="881" t="s">
        <v>148</v>
      </c>
      <c r="N1416" s="883">
        <v>-481000</v>
      </c>
      <c r="O1416" s="55">
        <v>719</v>
      </c>
      <c r="P1416" s="78">
        <v>-370000</v>
      </c>
    </row>
    <row r="1417" spans="1:16" ht="14.25" customHeight="1" thickBot="1">
      <c r="A1417" s="920"/>
      <c r="B1417" s="876"/>
      <c r="C1417" s="882"/>
      <c r="D1417" s="878"/>
      <c r="E1417" s="882"/>
      <c r="F1417" s="884"/>
      <c r="G1417" s="56">
        <v>721</v>
      </c>
      <c r="H1417" s="79">
        <f>+F1416-H1416</f>
        <v>64000</v>
      </c>
      <c r="I1417" s="874"/>
      <c r="J1417" s="876"/>
      <c r="K1417" s="878"/>
      <c r="L1417" s="882"/>
      <c r="M1417" s="882"/>
      <c r="N1417" s="884"/>
      <c r="O1417" s="56">
        <v>723</v>
      </c>
      <c r="P1417" s="79">
        <f>+N1416-P1416</f>
        <v>-111000</v>
      </c>
    </row>
    <row r="1418" spans="1:16" ht="12.75" customHeight="1">
      <c r="A1418" s="919" t="e">
        <f>+A1416+1</f>
        <v>#REF!</v>
      </c>
      <c r="B1418" s="875">
        <v>42369</v>
      </c>
      <c r="C1418" s="877" t="s">
        <v>32</v>
      </c>
      <c r="D1418" s="877" t="s">
        <v>521</v>
      </c>
      <c r="E1418" s="881" t="s">
        <v>148</v>
      </c>
      <c r="F1418" s="883">
        <v>154000</v>
      </c>
      <c r="G1418" s="55">
        <v>719</v>
      </c>
      <c r="H1418" s="78">
        <v>110000</v>
      </c>
      <c r="I1418" s="873" t="s">
        <v>1605</v>
      </c>
      <c r="J1418" s="875">
        <v>43088</v>
      </c>
      <c r="K1418" s="877" t="s">
        <v>472</v>
      </c>
      <c r="L1418" s="881" t="s">
        <v>1506</v>
      </c>
      <c r="M1418" s="881" t="s">
        <v>148</v>
      </c>
      <c r="N1418" s="883">
        <v>-403000</v>
      </c>
      <c r="O1418" s="55">
        <v>719</v>
      </c>
      <c r="P1418" s="78">
        <v>-310000</v>
      </c>
    </row>
    <row r="1419" spans="1:16" ht="12.75" customHeight="1" thickBot="1">
      <c r="A1419" s="920"/>
      <c r="B1419" s="876"/>
      <c r="C1419" s="878"/>
      <c r="D1419" s="878"/>
      <c r="E1419" s="882"/>
      <c r="F1419" s="884"/>
      <c r="G1419" s="56">
        <v>721</v>
      </c>
      <c r="H1419" s="79">
        <f>+F1418-H1418</f>
        <v>44000</v>
      </c>
      <c r="I1419" s="874"/>
      <c r="J1419" s="876"/>
      <c r="K1419" s="878"/>
      <c r="L1419" s="882"/>
      <c r="M1419" s="882"/>
      <c r="N1419" s="884"/>
      <c r="O1419" s="56">
        <v>722</v>
      </c>
      <c r="P1419" s="79">
        <f>+N1418-P1418</f>
        <v>-93000</v>
      </c>
    </row>
    <row r="1420" spans="1:16" ht="12.75" customHeight="1">
      <c r="A1420" s="919" t="e">
        <f>+A1418+1</f>
        <v>#REF!</v>
      </c>
      <c r="B1420" s="875">
        <v>42369</v>
      </c>
      <c r="C1420" s="877" t="s">
        <v>272</v>
      </c>
      <c r="D1420" s="877" t="s">
        <v>526</v>
      </c>
      <c r="E1420" s="881" t="s">
        <v>148</v>
      </c>
      <c r="F1420" s="883">
        <v>644000</v>
      </c>
      <c r="G1420" s="55">
        <v>719</v>
      </c>
      <c r="H1420" s="78">
        <v>460000</v>
      </c>
      <c r="I1420" s="873" t="s">
        <v>1509</v>
      </c>
      <c r="J1420" s="875">
        <v>43088</v>
      </c>
      <c r="K1420" s="877" t="s">
        <v>472</v>
      </c>
      <c r="L1420" s="881" t="s">
        <v>1510</v>
      </c>
      <c r="M1420" s="881" t="s">
        <v>148</v>
      </c>
      <c r="N1420" s="883">
        <v>-429000</v>
      </c>
      <c r="O1420" s="55">
        <v>719</v>
      </c>
      <c r="P1420" s="78">
        <v>-330000</v>
      </c>
    </row>
    <row r="1421" spans="1:16" ht="14.25" customHeight="1" thickBot="1">
      <c r="A1421" s="920"/>
      <c r="B1421" s="876"/>
      <c r="C1421" s="878"/>
      <c r="D1421" s="878"/>
      <c r="E1421" s="882"/>
      <c r="F1421" s="884"/>
      <c r="G1421" s="56">
        <v>721</v>
      </c>
      <c r="H1421" s="79">
        <f>+F1420-H1420</f>
        <v>184000</v>
      </c>
      <c r="I1421" s="874"/>
      <c r="J1421" s="876"/>
      <c r="K1421" s="878"/>
      <c r="L1421" s="882"/>
      <c r="M1421" s="882"/>
      <c r="N1421" s="884"/>
      <c r="O1421" s="56">
        <v>721</v>
      </c>
      <c r="P1421" s="79">
        <f>+N1420-P1420</f>
        <v>-99000</v>
      </c>
    </row>
    <row r="1422" spans="1:16" ht="15" customHeight="1" thickBot="1">
      <c r="A1422" s="919"/>
      <c r="B1422" s="875"/>
      <c r="C1422" s="877"/>
      <c r="D1422" s="877"/>
      <c r="E1422" s="881"/>
      <c r="F1422" s="883"/>
      <c r="G1422" s="55">
        <v>719</v>
      </c>
      <c r="H1422" s="78"/>
      <c r="I1422" s="901" t="s">
        <v>102</v>
      </c>
      <c r="J1422" s="902"/>
      <c r="K1422" s="902"/>
      <c r="L1422" s="902"/>
      <c r="M1422" s="903"/>
      <c r="N1422" s="81">
        <f>SUM(N1412:N1421)</f>
        <v>-2522000</v>
      </c>
    </row>
    <row r="1423" spans="1:16" ht="15.75" customHeight="1" thickBot="1">
      <c r="A1423" s="920"/>
      <c r="B1423" s="876"/>
      <c r="C1423" s="878"/>
      <c r="D1423" s="878"/>
      <c r="E1423" s="882"/>
      <c r="F1423" s="884"/>
      <c r="G1423" s="56">
        <v>721</v>
      </c>
      <c r="H1423" s="79">
        <f>+F1422-H1422</f>
        <v>0</v>
      </c>
      <c r="I1423" s="885" t="s">
        <v>103</v>
      </c>
      <c r="J1423" s="886"/>
      <c r="K1423" s="886"/>
      <c r="L1423" s="886"/>
      <c r="M1423" s="887"/>
      <c r="N1423" s="69">
        <f>+N1387</f>
        <v>484769435</v>
      </c>
      <c r="O1423" s="241" t="s">
        <v>561</v>
      </c>
      <c r="P1423" s="242">
        <v>124</v>
      </c>
    </row>
    <row r="1424" spans="1:16" ht="16.5" thickBot="1">
      <c r="A1424" s="901" t="s">
        <v>102</v>
      </c>
      <c r="B1424" s="902"/>
      <c r="C1424" s="902"/>
      <c r="D1424" s="902"/>
      <c r="E1424" s="903"/>
      <c r="F1424" s="81">
        <f>SUM(F1414:F1423)</f>
        <v>1246000</v>
      </c>
      <c r="I1424" s="888" t="s">
        <v>104</v>
      </c>
      <c r="J1424" s="889"/>
      <c r="K1424" s="889"/>
      <c r="L1424" s="889"/>
      <c r="M1424" s="890"/>
      <c r="N1424" s="183">
        <f>SUM(N1422:N1423)</f>
        <v>482247435</v>
      </c>
    </row>
    <row r="1425" spans="1:16" ht="12.75" customHeight="1" thickBot="1">
      <c r="A1425" s="885" t="s">
        <v>103</v>
      </c>
      <c r="B1425" s="886"/>
      <c r="C1425" s="886"/>
      <c r="D1425" s="886"/>
      <c r="E1425" s="887"/>
      <c r="F1425" s="69">
        <f>+F1389</f>
        <v>656595254</v>
      </c>
      <c r="I1425" s="61"/>
      <c r="J1425" s="61"/>
      <c r="K1425" s="61"/>
      <c r="L1425" s="61"/>
      <c r="M1425" s="61"/>
    </row>
    <row r="1426" spans="1:16" ht="16.5" thickBot="1">
      <c r="A1426" s="888" t="s">
        <v>104</v>
      </c>
      <c r="B1426" s="889"/>
      <c r="C1426" s="889"/>
      <c r="D1426" s="889"/>
      <c r="E1426" s="890"/>
      <c r="F1426" s="183">
        <f>SUM(F1424:F1425)</f>
        <v>657841254</v>
      </c>
      <c r="I1426" s="51" t="s">
        <v>1601</v>
      </c>
    </row>
    <row r="1427" spans="1:16" ht="9.75" customHeight="1">
      <c r="A1427" s="61"/>
      <c r="B1427" s="61"/>
      <c r="C1427" s="61"/>
      <c r="D1427" s="61"/>
      <c r="E1427" s="61"/>
      <c r="N1427" s="139"/>
    </row>
    <row r="1428" spans="1:16">
      <c r="A1428" s="51" t="s">
        <v>527</v>
      </c>
      <c r="I1428" s="50" t="s">
        <v>105</v>
      </c>
      <c r="L1428" s="146"/>
      <c r="N1428" s="139"/>
    </row>
    <row r="1429" spans="1:16" ht="12.75" customHeight="1" thickBot="1">
      <c r="F1429" s="139"/>
    </row>
    <row r="1430" spans="1:16" ht="15.75" thickBot="1">
      <c r="A1430" s="50" t="s">
        <v>105</v>
      </c>
      <c r="D1430" s="146"/>
      <c r="F1430" s="139"/>
      <c r="I1430" s="891" t="s">
        <v>106</v>
      </c>
      <c r="J1430" s="892"/>
      <c r="K1430" s="892"/>
      <c r="L1430" s="893"/>
      <c r="N1430" s="50" t="s">
        <v>288</v>
      </c>
    </row>
    <row r="1431" spans="1:16" ht="30.75" thickBot="1">
      <c r="I1431" s="57" t="s">
        <v>100</v>
      </c>
      <c r="J1431" s="58" t="s">
        <v>108</v>
      </c>
      <c r="K1431" s="287" t="s">
        <v>109</v>
      </c>
      <c r="L1431" s="60" t="s">
        <v>110</v>
      </c>
    </row>
    <row r="1432" spans="1:16" ht="15.75" thickBot="1">
      <c r="A1432" s="891" t="s">
        <v>106</v>
      </c>
      <c r="B1432" s="892"/>
      <c r="C1432" s="892"/>
      <c r="D1432" s="893"/>
      <c r="F1432" s="50" t="s">
        <v>288</v>
      </c>
      <c r="I1432" s="71">
        <v>719</v>
      </c>
      <c r="J1432" s="73">
        <f>+P1412+P1414+P1416+P1418+P1420</f>
        <v>-1940000</v>
      </c>
      <c r="K1432" s="74">
        <f>+L1395</f>
        <v>34730000</v>
      </c>
      <c r="L1432" s="195">
        <f>+J1432+K1432</f>
        <v>32790000</v>
      </c>
    </row>
    <row r="1433" spans="1:16" ht="17.25" customHeight="1" thickBot="1">
      <c r="A1433" s="57" t="s">
        <v>100</v>
      </c>
      <c r="B1433" s="58" t="s">
        <v>108</v>
      </c>
      <c r="C1433" s="59" t="s">
        <v>109</v>
      </c>
      <c r="D1433" s="60" t="s">
        <v>110</v>
      </c>
      <c r="I1433" s="72">
        <v>721</v>
      </c>
      <c r="J1433" s="80">
        <v>0</v>
      </c>
      <c r="K1433" s="74">
        <f>+L1396</f>
        <v>92471481</v>
      </c>
      <c r="L1433" s="195">
        <f>+J1433+K1433</f>
        <v>92471481</v>
      </c>
    </row>
    <row r="1434" spans="1:16" ht="11.25" customHeight="1">
      <c r="A1434" s="71">
        <v>719</v>
      </c>
      <c r="B1434" s="73">
        <f>+H1414+H1416+H1418+H1420</f>
        <v>890000</v>
      </c>
      <c r="C1434" s="74" t="e">
        <f>+D1397</f>
        <v>#REF!</v>
      </c>
      <c r="D1434" s="195" t="e">
        <f>+B1434+C1434</f>
        <v>#REF!</v>
      </c>
      <c r="I1434" s="72">
        <v>722</v>
      </c>
      <c r="J1434" s="80"/>
      <c r="K1434" s="74">
        <f>+L1397</f>
        <v>42881706</v>
      </c>
      <c r="L1434" s="195">
        <f>+J1434+K1434</f>
        <v>42881706</v>
      </c>
    </row>
    <row r="1435" spans="1:16" ht="15.75">
      <c r="A1435" s="72">
        <v>721</v>
      </c>
      <c r="B1435" s="80">
        <f>+H1415+H1417+H1419+H1421</f>
        <v>356000</v>
      </c>
      <c r="C1435" s="74" t="e">
        <f>+D1398</f>
        <v>#REF!</v>
      </c>
      <c r="D1435" s="195" t="e">
        <f>+B1435+C1435</f>
        <v>#REF!</v>
      </c>
      <c r="I1435" s="72">
        <v>723</v>
      </c>
      <c r="J1435" s="80">
        <f>+P1415+P1417+P1419+P1421+P1413</f>
        <v>-582000</v>
      </c>
      <c r="K1435" s="74">
        <f>+L1398</f>
        <v>314686248</v>
      </c>
      <c r="L1435" s="195">
        <f>+J1435+K1435</f>
        <v>314104248</v>
      </c>
      <c r="N1435" s="918" t="s">
        <v>1481</v>
      </c>
      <c r="O1435" s="918"/>
      <c r="P1435" s="918"/>
    </row>
    <row r="1436" spans="1:16" ht="12" customHeight="1" thickBot="1">
      <c r="A1436" s="72">
        <v>722</v>
      </c>
      <c r="B1436" s="80"/>
      <c r="C1436" s="74">
        <f>+D1399</f>
        <v>231207671</v>
      </c>
      <c r="D1436" s="195">
        <f>+B1436+C1436</f>
        <v>231207671</v>
      </c>
      <c r="I1436" s="164" t="s">
        <v>181</v>
      </c>
      <c r="J1436" s="165"/>
      <c r="K1436" s="74">
        <f>+L1399</f>
        <v>0</v>
      </c>
      <c r="L1436" s="196">
        <f>+J1436+K1436</f>
        <v>0</v>
      </c>
      <c r="N1436" s="52"/>
    </row>
    <row r="1437" spans="1:16" ht="14.25" customHeight="1" thickBot="1">
      <c r="A1437" s="72">
        <v>723</v>
      </c>
      <c r="B1437" s="80"/>
      <c r="C1437" s="74" t="e">
        <f>+D1400</f>
        <v>#REF!</v>
      </c>
      <c r="D1437" s="195" t="e">
        <f>+B1437+C1437</f>
        <v>#REF!</v>
      </c>
      <c r="F1437" s="174" t="s">
        <v>23</v>
      </c>
      <c r="G1437" s="175"/>
      <c r="I1437" s="169"/>
      <c r="J1437" s="197">
        <f>SUM(J1432:J1436)</f>
        <v>-2522000</v>
      </c>
      <c r="K1437" s="197">
        <f>SUM(K1432:K1436)</f>
        <v>484769435</v>
      </c>
      <c r="L1437" s="198">
        <f>SUM(L1432:L1436)</f>
        <v>482247435</v>
      </c>
    </row>
    <row r="1438" spans="1:16" ht="15.75" customHeight="1" thickBot="1">
      <c r="A1438" s="169"/>
      <c r="B1438" s="170" t="e">
        <f>SUM(#REF!)</f>
        <v>#REF!</v>
      </c>
      <c r="C1438" s="171" t="e">
        <f>SUM(#REF!)</f>
        <v>#REF!</v>
      </c>
      <c r="D1438" s="172" t="e">
        <f>SUM(#REF!)</f>
        <v>#REF!</v>
      </c>
      <c r="I1438" s="49" t="s">
        <v>88</v>
      </c>
      <c r="J1438" s="50"/>
    </row>
    <row r="1439" spans="1:16" ht="13.5" customHeight="1">
      <c r="A1439" s="49" t="s">
        <v>88</v>
      </c>
      <c r="B1439" s="50"/>
      <c r="I1439" s="51" t="s">
        <v>89</v>
      </c>
    </row>
    <row r="1440" spans="1:16" ht="14.25" customHeight="1">
      <c r="A1440" s="51" t="s">
        <v>89</v>
      </c>
      <c r="I1440" s="51" t="s">
        <v>90</v>
      </c>
    </row>
    <row r="1441" spans="1:16" ht="12" customHeight="1">
      <c r="A1441" s="51" t="s">
        <v>90</v>
      </c>
      <c r="I1441" s="51" t="s">
        <v>91</v>
      </c>
    </row>
    <row r="1442" spans="1:16" ht="8.25" customHeight="1">
      <c r="A1442" s="51" t="s">
        <v>91</v>
      </c>
      <c r="I1442" s="50"/>
      <c r="J1442" s="50"/>
    </row>
    <row r="1443" spans="1:16" ht="12" customHeight="1">
      <c r="A1443" s="50"/>
      <c r="B1443" s="50"/>
      <c r="I1443" s="260" t="s">
        <v>927</v>
      </c>
      <c r="O1443" s="52"/>
    </row>
    <row r="1444" spans="1:16" ht="16.5">
      <c r="A1444" s="52" t="s">
        <v>544</v>
      </c>
      <c r="G1444" s="52"/>
      <c r="I1444" s="53" t="s">
        <v>535</v>
      </c>
      <c r="O1444" s="53"/>
    </row>
    <row r="1445" spans="1:16" ht="16.5">
      <c r="A1445" s="53" t="s">
        <v>92</v>
      </c>
      <c r="G1445" s="53"/>
      <c r="I1445" s="894" t="s">
        <v>1600</v>
      </c>
      <c r="J1445" s="894"/>
      <c r="K1445" s="894"/>
      <c r="L1445" s="894"/>
      <c r="M1445" s="894"/>
      <c r="N1445" s="894"/>
      <c r="O1445" s="894"/>
      <c r="P1445" s="894"/>
    </row>
    <row r="1446" spans="1:16" ht="7.5" customHeight="1" thickBot="1">
      <c r="A1446" s="894" t="s">
        <v>261</v>
      </c>
      <c r="B1446" s="894"/>
      <c r="C1446" s="894"/>
      <c r="D1446" s="894"/>
      <c r="E1446" s="894"/>
      <c r="F1446" s="894"/>
      <c r="G1446" s="894"/>
      <c r="H1446" s="894"/>
    </row>
    <row r="1447" spans="1:16" ht="15.75" thickBot="1">
      <c r="I1447" s="895" t="s">
        <v>94</v>
      </c>
      <c r="J1447" s="897" t="s">
        <v>95</v>
      </c>
      <c r="K1447" s="897" t="s">
        <v>96</v>
      </c>
      <c r="L1447" s="897" t="s">
        <v>3</v>
      </c>
      <c r="M1447" s="897" t="s">
        <v>97</v>
      </c>
      <c r="N1447" s="897" t="s">
        <v>98</v>
      </c>
      <c r="O1447" s="897" t="s">
        <v>99</v>
      </c>
      <c r="P1447" s="899"/>
    </row>
    <row r="1448" spans="1:16" ht="15.75" thickBot="1">
      <c r="A1448" s="895" t="s">
        <v>94</v>
      </c>
      <c r="B1448" s="897" t="s">
        <v>95</v>
      </c>
      <c r="C1448" s="897" t="s">
        <v>96</v>
      </c>
      <c r="D1448" s="897" t="s">
        <v>3</v>
      </c>
      <c r="E1448" s="897" t="s">
        <v>97</v>
      </c>
      <c r="F1448" s="897" t="s">
        <v>98</v>
      </c>
      <c r="G1448" s="897" t="s">
        <v>99</v>
      </c>
      <c r="H1448" s="899"/>
      <c r="I1448" s="896"/>
      <c r="J1448" s="898"/>
      <c r="K1448" s="898"/>
      <c r="L1448" s="898"/>
      <c r="M1448" s="898"/>
      <c r="N1448" s="898"/>
      <c r="O1448" s="240" t="s">
        <v>100</v>
      </c>
      <c r="P1448" s="182" t="s">
        <v>101</v>
      </c>
    </row>
    <row r="1449" spans="1:16" ht="14.25" customHeight="1" thickBot="1">
      <c r="A1449" s="896"/>
      <c r="B1449" s="898"/>
      <c r="C1449" s="898"/>
      <c r="D1449" s="898"/>
      <c r="E1449" s="898"/>
      <c r="F1449" s="898"/>
      <c r="G1449" s="240" t="s">
        <v>100</v>
      </c>
      <c r="H1449" s="182" t="s">
        <v>101</v>
      </c>
      <c r="I1449" s="873" t="s">
        <v>1519</v>
      </c>
      <c r="J1449" s="875">
        <v>42723</v>
      </c>
      <c r="K1449" s="877" t="s">
        <v>28</v>
      </c>
      <c r="L1449" s="881" t="s">
        <v>1592</v>
      </c>
      <c r="M1449" s="881" t="s">
        <v>775</v>
      </c>
      <c r="N1449" s="883">
        <v>-170000</v>
      </c>
      <c r="O1449" s="55">
        <v>719</v>
      </c>
      <c r="P1449" s="78">
        <v>-170000</v>
      </c>
    </row>
    <row r="1450" spans="1:16" ht="12" customHeight="1" thickBot="1">
      <c r="A1450" s="919" t="e">
        <f>+#REF!+1</f>
        <v>#REF!</v>
      </c>
      <c r="B1450" s="875">
        <v>42369</v>
      </c>
      <c r="C1450" s="877" t="s">
        <v>267</v>
      </c>
      <c r="D1450" s="881" t="s">
        <v>530</v>
      </c>
      <c r="E1450" s="881" t="s">
        <v>148</v>
      </c>
      <c r="F1450" s="883">
        <v>70000</v>
      </c>
      <c r="G1450" s="55">
        <v>719</v>
      </c>
      <c r="H1450" s="78">
        <v>50000</v>
      </c>
      <c r="I1450" s="874"/>
      <c r="J1450" s="876"/>
      <c r="K1450" s="878"/>
      <c r="L1450" s="882"/>
      <c r="M1450" s="882"/>
      <c r="N1450" s="884"/>
      <c r="O1450" s="56">
        <v>721</v>
      </c>
      <c r="P1450" s="79">
        <f>+N1449-P1449</f>
        <v>0</v>
      </c>
    </row>
    <row r="1451" spans="1:16" ht="14.25" customHeight="1" thickBot="1">
      <c r="A1451" s="920"/>
      <c r="B1451" s="876"/>
      <c r="C1451" s="878"/>
      <c r="D1451" s="882"/>
      <c r="E1451" s="882"/>
      <c r="F1451" s="884"/>
      <c r="G1451" s="56">
        <v>721</v>
      </c>
      <c r="H1451" s="79">
        <f>+F1450-H1450</f>
        <v>20000</v>
      </c>
      <c r="I1451" s="873" t="s">
        <v>1606</v>
      </c>
      <c r="J1451" s="875">
        <v>42723</v>
      </c>
      <c r="K1451" s="877" t="s">
        <v>28</v>
      </c>
      <c r="L1451" s="881" t="s">
        <v>1516</v>
      </c>
      <c r="M1451" s="881" t="s">
        <v>775</v>
      </c>
      <c r="N1451" s="883">
        <v>-70000</v>
      </c>
      <c r="O1451" s="55">
        <v>719</v>
      </c>
      <c r="P1451" s="78">
        <v>-70000</v>
      </c>
    </row>
    <row r="1452" spans="1:16" ht="12.75" customHeight="1" thickBot="1">
      <c r="A1452" s="919" t="e">
        <f>+A1450+1</f>
        <v>#REF!</v>
      </c>
      <c r="B1452" s="875">
        <v>42369</v>
      </c>
      <c r="C1452" s="881" t="s">
        <v>28</v>
      </c>
      <c r="D1452" s="881" t="s">
        <v>530</v>
      </c>
      <c r="E1452" s="881" t="s">
        <v>148</v>
      </c>
      <c r="F1452" s="883">
        <v>70000</v>
      </c>
      <c r="G1452" s="55">
        <v>719</v>
      </c>
      <c r="H1452" s="78">
        <v>50000</v>
      </c>
      <c r="I1452" s="874"/>
      <c r="J1452" s="876"/>
      <c r="K1452" s="878"/>
      <c r="L1452" s="882"/>
      <c r="M1452" s="882"/>
      <c r="N1452" s="884"/>
      <c r="O1452" s="56">
        <v>721</v>
      </c>
      <c r="P1452" s="79">
        <f>+N1451-P1451</f>
        <v>0</v>
      </c>
    </row>
    <row r="1453" spans="1:16" ht="14.25" customHeight="1" thickBot="1">
      <c r="A1453" s="920"/>
      <c r="B1453" s="876"/>
      <c r="C1453" s="882"/>
      <c r="D1453" s="882"/>
      <c r="E1453" s="882"/>
      <c r="F1453" s="884"/>
      <c r="G1453" s="56">
        <v>721</v>
      </c>
      <c r="H1453" s="79">
        <f>+F1452-H1452</f>
        <v>20000</v>
      </c>
      <c r="I1453" s="873" t="s">
        <v>1607</v>
      </c>
      <c r="J1453" s="875">
        <v>42723</v>
      </c>
      <c r="K1453" s="877" t="s">
        <v>28</v>
      </c>
      <c r="L1453" s="881" t="s">
        <v>1517</v>
      </c>
      <c r="M1453" s="881" t="s">
        <v>775</v>
      </c>
      <c r="N1453" s="883">
        <v>-160000</v>
      </c>
      <c r="O1453" s="55">
        <v>719</v>
      </c>
      <c r="P1453" s="78">
        <v>-160000</v>
      </c>
    </row>
    <row r="1454" spans="1:16" ht="11.25" customHeight="1" thickBot="1">
      <c r="A1454" s="919" t="e">
        <f>+A1452+1</f>
        <v>#REF!</v>
      </c>
      <c r="B1454" s="875">
        <v>42369</v>
      </c>
      <c r="C1454" s="877" t="s">
        <v>32</v>
      </c>
      <c r="D1454" s="881" t="s">
        <v>530</v>
      </c>
      <c r="E1454" s="881" t="s">
        <v>148</v>
      </c>
      <c r="F1454" s="883">
        <v>84000</v>
      </c>
      <c r="G1454" s="55">
        <v>719</v>
      </c>
      <c r="H1454" s="78">
        <v>60000</v>
      </c>
      <c r="I1454" s="874"/>
      <c r="J1454" s="876"/>
      <c r="K1454" s="878"/>
      <c r="L1454" s="882"/>
      <c r="M1454" s="882"/>
      <c r="N1454" s="884"/>
      <c r="O1454" s="56">
        <v>721</v>
      </c>
      <c r="P1454" s="79"/>
    </row>
    <row r="1455" spans="1:16" ht="13.5" customHeight="1">
      <c r="A1455" s="921"/>
      <c r="B1455" s="922"/>
      <c r="C1455" s="900"/>
      <c r="D1455" s="923"/>
      <c r="E1455" s="923"/>
      <c r="F1455" s="924"/>
      <c r="G1455" s="255"/>
      <c r="H1455" s="256"/>
      <c r="I1455" s="873" t="s">
        <v>1608</v>
      </c>
      <c r="J1455" s="875">
        <v>42723</v>
      </c>
      <c r="K1455" s="877" t="s">
        <v>28</v>
      </c>
      <c r="L1455" s="881" t="s">
        <v>1524</v>
      </c>
      <c r="M1455" s="881" t="s">
        <v>148</v>
      </c>
      <c r="N1455" s="883">
        <v>-1001000</v>
      </c>
      <c r="O1455" s="55">
        <v>719</v>
      </c>
      <c r="P1455" s="78">
        <v>-770000</v>
      </c>
    </row>
    <row r="1456" spans="1:16" ht="13.5" customHeight="1" thickBot="1">
      <c r="A1456" s="921"/>
      <c r="B1456" s="922"/>
      <c r="C1456" s="900"/>
      <c r="D1456" s="923"/>
      <c r="E1456" s="923"/>
      <c r="F1456" s="924"/>
      <c r="G1456" s="255"/>
      <c r="H1456" s="256"/>
      <c r="I1456" s="874"/>
      <c r="J1456" s="876"/>
      <c r="K1456" s="878"/>
      <c r="L1456" s="882"/>
      <c r="M1456" s="882"/>
      <c r="N1456" s="884"/>
      <c r="O1456" s="56">
        <v>721</v>
      </c>
      <c r="P1456" s="79">
        <v>-231000</v>
      </c>
    </row>
    <row r="1457" spans="1:16" ht="14.25" customHeight="1" thickBot="1">
      <c r="A1457" s="920"/>
      <c r="B1457" s="876"/>
      <c r="C1457" s="878"/>
      <c r="D1457" s="882"/>
      <c r="E1457" s="882"/>
      <c r="F1457" s="884"/>
      <c r="G1457" s="56">
        <v>721</v>
      </c>
      <c r="H1457" s="79">
        <f>+F1454-H1454</f>
        <v>24000</v>
      </c>
      <c r="I1457" s="873" t="s">
        <v>1609</v>
      </c>
      <c r="J1457" s="875">
        <v>42723</v>
      </c>
      <c r="K1457" s="877" t="s">
        <v>28</v>
      </c>
      <c r="L1457" s="881" t="s">
        <v>1527</v>
      </c>
      <c r="M1457" s="881" t="s">
        <v>148</v>
      </c>
      <c r="N1457" s="883">
        <v>-559000</v>
      </c>
      <c r="O1457" s="55">
        <v>719</v>
      </c>
      <c r="P1457" s="78">
        <v>-430000</v>
      </c>
    </row>
    <row r="1458" spans="1:16" ht="15" customHeight="1" thickBot="1">
      <c r="A1458" s="919" t="e">
        <f>+A1454+1</f>
        <v>#REF!</v>
      </c>
      <c r="B1458" s="875">
        <v>42369</v>
      </c>
      <c r="C1458" s="877" t="s">
        <v>272</v>
      </c>
      <c r="D1458" s="881" t="s">
        <v>530</v>
      </c>
      <c r="E1458" s="881" t="s">
        <v>148</v>
      </c>
      <c r="F1458" s="883">
        <v>294000</v>
      </c>
      <c r="G1458" s="55">
        <v>719</v>
      </c>
      <c r="H1458" s="78">
        <v>210000</v>
      </c>
      <c r="I1458" s="874"/>
      <c r="J1458" s="876"/>
      <c r="K1458" s="878"/>
      <c r="L1458" s="882"/>
      <c r="M1458" s="882"/>
      <c r="N1458" s="884"/>
      <c r="O1458" s="56">
        <v>721</v>
      </c>
      <c r="P1458" s="79">
        <f>+N1457-P1457</f>
        <v>-129000</v>
      </c>
    </row>
    <row r="1459" spans="1:16" ht="13.5" customHeight="1" thickBot="1">
      <c r="A1459" s="920"/>
      <c r="B1459" s="876"/>
      <c r="C1459" s="878"/>
      <c r="D1459" s="882"/>
      <c r="E1459" s="882"/>
      <c r="F1459" s="884"/>
      <c r="G1459" s="56">
        <v>721</v>
      </c>
      <c r="H1459" s="79">
        <f>+F1458-H1458</f>
        <v>84000</v>
      </c>
      <c r="I1459" s="873" t="s">
        <v>1610</v>
      </c>
      <c r="J1459" s="875">
        <v>42723</v>
      </c>
      <c r="K1459" s="877" t="s">
        <v>28</v>
      </c>
      <c r="L1459" s="881" t="s">
        <v>1529</v>
      </c>
      <c r="M1459" s="881" t="s">
        <v>148</v>
      </c>
      <c r="N1459" s="883">
        <v>-624000</v>
      </c>
      <c r="O1459" s="55">
        <v>719</v>
      </c>
      <c r="P1459" s="78">
        <v>-480000</v>
      </c>
    </row>
    <row r="1460" spans="1:16" ht="14.25" customHeight="1" thickBot="1">
      <c r="A1460" s="919"/>
      <c r="B1460" s="875"/>
      <c r="C1460" s="877"/>
      <c r="D1460" s="877"/>
      <c r="E1460" s="881"/>
      <c r="F1460" s="883"/>
      <c r="G1460" s="55">
        <v>719</v>
      </c>
      <c r="H1460" s="78"/>
      <c r="I1460" s="874"/>
      <c r="J1460" s="876"/>
      <c r="K1460" s="878"/>
      <c r="L1460" s="882"/>
      <c r="M1460" s="882"/>
      <c r="N1460" s="884"/>
      <c r="O1460" s="56">
        <v>721</v>
      </c>
      <c r="P1460" s="79">
        <f>+N1459-P1459</f>
        <v>-144000</v>
      </c>
    </row>
    <row r="1461" spans="1:16" ht="16.5" thickBot="1">
      <c r="A1461" s="920"/>
      <c r="B1461" s="876"/>
      <c r="C1461" s="878"/>
      <c r="D1461" s="878"/>
      <c r="E1461" s="882"/>
      <c r="F1461" s="884"/>
      <c r="G1461" s="56">
        <v>721</v>
      </c>
      <c r="H1461" s="79">
        <f>+F1460-H1460</f>
        <v>0</v>
      </c>
      <c r="I1461" s="901" t="s">
        <v>102</v>
      </c>
      <c r="J1461" s="902"/>
      <c r="K1461" s="902"/>
      <c r="L1461" s="902"/>
      <c r="M1461" s="903"/>
      <c r="N1461" s="81">
        <f>SUM(N1449:N1460)</f>
        <v>-2584000</v>
      </c>
    </row>
    <row r="1462" spans="1:16" ht="16.5" thickBot="1">
      <c r="A1462" s="901" t="s">
        <v>102</v>
      </c>
      <c r="B1462" s="902"/>
      <c r="C1462" s="902"/>
      <c r="D1462" s="902"/>
      <c r="E1462" s="903"/>
      <c r="F1462" s="81">
        <f>SUM(F1450:F1461)</f>
        <v>518000</v>
      </c>
      <c r="I1462" s="885" t="s">
        <v>103</v>
      </c>
      <c r="J1462" s="886"/>
      <c r="K1462" s="886"/>
      <c r="L1462" s="886"/>
      <c r="M1462" s="887"/>
      <c r="N1462" s="69">
        <f>+N1424</f>
        <v>482247435</v>
      </c>
      <c r="O1462" s="241" t="s">
        <v>561</v>
      </c>
      <c r="P1462" s="242"/>
    </row>
    <row r="1463" spans="1:16" ht="16.5" thickBot="1">
      <c r="A1463" s="885" t="s">
        <v>103</v>
      </c>
      <c r="B1463" s="886"/>
      <c r="C1463" s="886"/>
      <c r="D1463" s="886"/>
      <c r="E1463" s="887"/>
      <c r="F1463" s="69" t="e">
        <f>+#REF!</f>
        <v>#REF!</v>
      </c>
      <c r="I1463" s="888" t="s">
        <v>104</v>
      </c>
      <c r="J1463" s="889"/>
      <c r="K1463" s="889"/>
      <c r="L1463" s="889"/>
      <c r="M1463" s="890"/>
      <c r="N1463" s="183">
        <f>SUM(N1461:N1462)</f>
        <v>479663435</v>
      </c>
    </row>
    <row r="1464" spans="1:16" ht="14.25" customHeight="1" thickBot="1">
      <c r="A1464" s="888" t="s">
        <v>104</v>
      </c>
      <c r="B1464" s="889"/>
      <c r="C1464" s="889"/>
      <c r="D1464" s="889"/>
      <c r="E1464" s="890"/>
      <c r="F1464" s="183" t="e">
        <f>SUM(F1462:F1463)</f>
        <v>#REF!</v>
      </c>
      <c r="I1464" s="61"/>
      <c r="J1464" s="61"/>
      <c r="K1464" s="61"/>
      <c r="L1464" s="61"/>
      <c r="M1464" s="61"/>
    </row>
    <row r="1465" spans="1:16">
      <c r="A1465" s="61"/>
      <c r="B1465" s="61"/>
      <c r="C1465" s="61"/>
      <c r="D1465" s="61"/>
      <c r="E1465" s="61"/>
      <c r="I1465" s="51" t="s">
        <v>1602</v>
      </c>
    </row>
    <row r="1466" spans="1:16" ht="9" customHeight="1">
      <c r="A1466" s="51" t="s">
        <v>546</v>
      </c>
      <c r="N1466" s="139"/>
    </row>
    <row r="1467" spans="1:16" ht="12.75" customHeight="1">
      <c r="F1467" s="139"/>
      <c r="I1467" s="50" t="s">
        <v>105</v>
      </c>
      <c r="L1467" s="146"/>
      <c r="N1467" s="139"/>
    </row>
    <row r="1468" spans="1:16" ht="12" customHeight="1" thickBot="1">
      <c r="A1468" s="50" t="s">
        <v>105</v>
      </c>
      <c r="D1468" s="146"/>
      <c r="F1468" s="139"/>
    </row>
    <row r="1469" spans="1:16" ht="12" customHeight="1" thickBot="1">
      <c r="I1469" s="891" t="s">
        <v>106</v>
      </c>
      <c r="J1469" s="892"/>
      <c r="K1469" s="892"/>
      <c r="L1469" s="893"/>
      <c r="N1469" s="50" t="s">
        <v>288</v>
      </c>
    </row>
    <row r="1470" spans="1:16" ht="28.5" customHeight="1" thickBot="1">
      <c r="A1470" s="891" t="s">
        <v>106</v>
      </c>
      <c r="B1470" s="892"/>
      <c r="C1470" s="892"/>
      <c r="D1470" s="893"/>
      <c r="F1470" s="50" t="s">
        <v>288</v>
      </c>
      <c r="I1470" s="57" t="s">
        <v>100</v>
      </c>
      <c r="J1470" s="58" t="s">
        <v>108</v>
      </c>
      <c r="K1470" s="59" t="s">
        <v>109</v>
      </c>
      <c r="L1470" s="60" t="s">
        <v>110</v>
      </c>
    </row>
    <row r="1471" spans="1:16" ht="14.25" customHeight="1" thickBot="1">
      <c r="A1471" s="57" t="s">
        <v>100</v>
      </c>
      <c r="B1471" s="58" t="s">
        <v>108</v>
      </c>
      <c r="C1471" s="59" t="s">
        <v>109</v>
      </c>
      <c r="D1471" s="60" t="s">
        <v>110</v>
      </c>
      <c r="I1471" s="71">
        <v>719</v>
      </c>
      <c r="J1471" s="73">
        <f>+P1449+P1451+P1453+P1455+P1457+P1459</f>
        <v>-2080000</v>
      </c>
      <c r="K1471" s="74">
        <f>+L1432</f>
        <v>32790000</v>
      </c>
      <c r="L1471" s="195">
        <f>+J1471+K1471</f>
        <v>30710000</v>
      </c>
    </row>
    <row r="1472" spans="1:16" ht="13.5" customHeight="1">
      <c r="A1472" s="71">
        <v>719</v>
      </c>
      <c r="B1472" s="73">
        <f>+H1450+H1452+H1454+H1458</f>
        <v>370000</v>
      </c>
      <c r="C1472" s="74" t="e">
        <f>+#REF!</f>
        <v>#REF!</v>
      </c>
      <c r="D1472" s="195" t="e">
        <f>+B1472+C1472</f>
        <v>#REF!</v>
      </c>
      <c r="I1472" s="72">
        <v>721</v>
      </c>
      <c r="J1472" s="80">
        <f>+P1460+P1458+P1456</f>
        <v>-504000</v>
      </c>
      <c r="K1472" s="74">
        <f>+L1433</f>
        <v>92471481</v>
      </c>
      <c r="L1472" s="195">
        <f>+J1472+K1472</f>
        <v>91967481</v>
      </c>
    </row>
    <row r="1473" spans="1:16" ht="13.5" customHeight="1">
      <c r="A1473" s="72">
        <v>721</v>
      </c>
      <c r="B1473" s="80">
        <f>+H1451+H1453+H1457+H1459+H1461</f>
        <v>148000</v>
      </c>
      <c r="C1473" s="74" t="e">
        <f>+#REF!</f>
        <v>#REF!</v>
      </c>
      <c r="D1473" s="195" t="e">
        <f>+B1473+C1473</f>
        <v>#REF!</v>
      </c>
      <c r="I1473" s="72">
        <v>722</v>
      </c>
      <c r="J1473" s="80"/>
      <c r="K1473" s="74">
        <f>+L1434</f>
        <v>42881706</v>
      </c>
      <c r="L1473" s="195">
        <f>+J1473+K1473</f>
        <v>42881706</v>
      </c>
    </row>
    <row r="1474" spans="1:16" ht="15" customHeight="1">
      <c r="A1474" s="72">
        <v>722</v>
      </c>
      <c r="B1474" s="80"/>
      <c r="C1474" s="74" t="e">
        <f>+#REF!</f>
        <v>#REF!</v>
      </c>
      <c r="D1474" s="195" t="e">
        <f>+B1474+C1474</f>
        <v>#REF!</v>
      </c>
      <c r="I1474" s="72">
        <v>723</v>
      </c>
      <c r="J1474" s="80"/>
      <c r="K1474" s="74">
        <f>+L1435</f>
        <v>314104248</v>
      </c>
      <c r="L1474" s="195">
        <f>+J1474+K1474</f>
        <v>314104248</v>
      </c>
      <c r="N1474" s="918" t="s">
        <v>1481</v>
      </c>
      <c r="O1474" s="918"/>
      <c r="P1474" s="918"/>
    </row>
    <row r="1475" spans="1:16" ht="16.5" thickBot="1">
      <c r="A1475" s="72">
        <v>723</v>
      </c>
      <c r="B1475" s="80"/>
      <c r="C1475" s="74" t="e">
        <f>+#REF!</f>
        <v>#REF!</v>
      </c>
      <c r="D1475" s="195" t="e">
        <f>+B1475+C1475</f>
        <v>#REF!</v>
      </c>
      <c r="F1475" s="174" t="s">
        <v>23</v>
      </c>
      <c r="G1475" s="175"/>
      <c r="I1475" s="164" t="s">
        <v>181</v>
      </c>
      <c r="J1475" s="165"/>
      <c r="K1475" s="74">
        <f>+L1436</f>
        <v>0</v>
      </c>
      <c r="L1475" s="196">
        <f>+J1475+K1475</f>
        <v>0</v>
      </c>
      <c r="N1475" s="52"/>
    </row>
    <row r="1476" spans="1:16" ht="16.5" thickBot="1">
      <c r="A1476" s="164" t="s">
        <v>181</v>
      </c>
      <c r="B1476" s="165"/>
      <c r="C1476" s="74" t="e">
        <f>+#REF!</f>
        <v>#REF!</v>
      </c>
      <c r="D1476" s="196" t="e">
        <f>+B1476+C1476</f>
        <v>#REF!</v>
      </c>
      <c r="F1476" s="52"/>
      <c r="I1476" s="169"/>
      <c r="J1476" s="197">
        <f>SUM(J1471:J1475)</f>
        <v>-2584000</v>
      </c>
      <c r="K1476" s="197">
        <f>SUM(K1471:K1475)</f>
        <v>482247435</v>
      </c>
      <c r="L1476" s="198">
        <f>SUM(L1471:L1475)</f>
        <v>479663435</v>
      </c>
    </row>
    <row r="1477" spans="1:16" ht="17.25" thickBot="1">
      <c r="A1477" s="169"/>
      <c r="B1477" s="170">
        <f>SUM(B1472:B1476)</f>
        <v>518000</v>
      </c>
      <c r="C1477" s="171" t="e">
        <f>SUM(C1472:C1476)</f>
        <v>#REF!</v>
      </c>
      <c r="D1477" s="172" t="e">
        <f>SUM(D1472:D1476)</f>
        <v>#REF!</v>
      </c>
      <c r="I1477" s="49" t="s">
        <v>88</v>
      </c>
      <c r="J1477" s="50"/>
    </row>
    <row r="1478" spans="1:16">
      <c r="I1478" s="51" t="s">
        <v>89</v>
      </c>
    </row>
    <row r="1479" spans="1:16">
      <c r="I1479" s="51" t="s">
        <v>90</v>
      </c>
    </row>
    <row r="1480" spans="1:16">
      <c r="I1480" s="51" t="s">
        <v>91</v>
      </c>
    </row>
    <row r="1481" spans="1:16">
      <c r="I1481" s="50"/>
      <c r="J1481" s="50"/>
    </row>
    <row r="1482" spans="1:16" ht="15.75">
      <c r="I1482" s="260" t="s">
        <v>928</v>
      </c>
      <c r="O1482" s="52"/>
    </row>
    <row r="1483" spans="1:16" ht="15.75">
      <c r="I1483" s="53" t="s">
        <v>1333</v>
      </c>
      <c r="O1483" s="53"/>
    </row>
    <row r="1484" spans="1:16" ht="16.5">
      <c r="I1484" s="894" t="s">
        <v>909</v>
      </c>
      <c r="J1484" s="894"/>
      <c r="K1484" s="894"/>
      <c r="L1484" s="894"/>
      <c r="M1484" s="894"/>
      <c r="N1484" s="894"/>
      <c r="O1484" s="894"/>
      <c r="P1484" s="894"/>
    </row>
    <row r="1485" spans="1:16" ht="15.75" thickBot="1"/>
    <row r="1486" spans="1:16">
      <c r="I1486" s="895" t="s">
        <v>94</v>
      </c>
      <c r="J1486" s="897" t="s">
        <v>95</v>
      </c>
      <c r="K1486" s="897" t="s">
        <v>96</v>
      </c>
      <c r="L1486" s="897" t="s">
        <v>3</v>
      </c>
      <c r="M1486" s="897" t="s">
        <v>97</v>
      </c>
      <c r="N1486" s="897" t="s">
        <v>98</v>
      </c>
      <c r="O1486" s="897" t="s">
        <v>99</v>
      </c>
      <c r="P1486" s="899"/>
    </row>
    <row r="1487" spans="1:16" ht="15.75" thickBot="1">
      <c r="I1487" s="896"/>
      <c r="J1487" s="898"/>
      <c r="K1487" s="898"/>
      <c r="L1487" s="898"/>
      <c r="M1487" s="898"/>
      <c r="N1487" s="898"/>
      <c r="O1487" s="240" t="s">
        <v>100</v>
      </c>
      <c r="P1487" s="182" t="s">
        <v>101</v>
      </c>
    </row>
    <row r="1488" spans="1:16" ht="12" customHeight="1">
      <c r="I1488" s="873" t="s">
        <v>1611</v>
      </c>
      <c r="J1488" s="875">
        <v>43096</v>
      </c>
      <c r="K1488" s="881" t="s">
        <v>28</v>
      </c>
      <c r="L1488" s="881" t="s">
        <v>1615</v>
      </c>
      <c r="M1488" s="881" t="s">
        <v>148</v>
      </c>
      <c r="N1488" s="883">
        <v>650000</v>
      </c>
      <c r="O1488" s="55">
        <v>719</v>
      </c>
      <c r="P1488" s="78">
        <v>500000</v>
      </c>
    </row>
    <row r="1489" spans="9:16" ht="13.5" customHeight="1" thickBot="1">
      <c r="I1489" s="874"/>
      <c r="J1489" s="876"/>
      <c r="K1489" s="882"/>
      <c r="L1489" s="882"/>
      <c r="M1489" s="882"/>
      <c r="N1489" s="884"/>
      <c r="O1489" s="56">
        <v>721</v>
      </c>
      <c r="P1489" s="79">
        <f>+N1488-P1488</f>
        <v>150000</v>
      </c>
    </row>
    <row r="1490" spans="9:16" ht="12" customHeight="1">
      <c r="I1490" s="881">
        <f>+I1488+1</f>
        <v>177</v>
      </c>
      <c r="J1490" s="875">
        <v>43096</v>
      </c>
      <c r="K1490" s="881" t="s">
        <v>28</v>
      </c>
      <c r="L1490" s="879" t="s">
        <v>1614</v>
      </c>
      <c r="M1490" s="881" t="s">
        <v>148</v>
      </c>
      <c r="N1490" s="883">
        <v>650000</v>
      </c>
      <c r="O1490" s="55">
        <v>719</v>
      </c>
      <c r="P1490" s="78">
        <v>500000</v>
      </c>
    </row>
    <row r="1491" spans="9:16" ht="12.75" customHeight="1" thickBot="1">
      <c r="I1491" s="882"/>
      <c r="J1491" s="876"/>
      <c r="K1491" s="882"/>
      <c r="L1491" s="880"/>
      <c r="M1491" s="882"/>
      <c r="N1491" s="884"/>
      <c r="O1491" s="56">
        <v>721</v>
      </c>
      <c r="P1491" s="79">
        <f>+N1490-P1490</f>
        <v>150000</v>
      </c>
    </row>
    <row r="1492" spans="9:16" ht="12.75" customHeight="1">
      <c r="I1492" s="881">
        <f>+I1490+1</f>
        <v>178</v>
      </c>
      <c r="J1492" s="875">
        <v>43096</v>
      </c>
      <c r="K1492" s="877" t="s">
        <v>1079</v>
      </c>
      <c r="L1492" s="881" t="s">
        <v>1613</v>
      </c>
      <c r="M1492" s="881" t="s">
        <v>148</v>
      </c>
      <c r="N1492" s="883">
        <v>650000</v>
      </c>
      <c r="O1492" s="55">
        <v>719</v>
      </c>
      <c r="P1492" s="78">
        <v>500000</v>
      </c>
    </row>
    <row r="1493" spans="9:16" ht="12.75" customHeight="1" thickBot="1">
      <c r="I1493" s="882"/>
      <c r="J1493" s="876"/>
      <c r="K1493" s="878"/>
      <c r="L1493" s="882"/>
      <c r="M1493" s="882"/>
      <c r="N1493" s="884"/>
      <c r="O1493" s="56">
        <v>721</v>
      </c>
      <c r="P1493" s="79">
        <f>+N1492-P1492</f>
        <v>150000</v>
      </c>
    </row>
    <row r="1494" spans="9:16" ht="12" customHeight="1">
      <c r="I1494" s="881">
        <f>+I1492+1</f>
        <v>179</v>
      </c>
      <c r="J1494" s="875">
        <v>43096</v>
      </c>
      <c r="K1494" s="877" t="s">
        <v>1079</v>
      </c>
      <c r="L1494" s="879" t="s">
        <v>1612</v>
      </c>
      <c r="M1494" s="881" t="s">
        <v>148</v>
      </c>
      <c r="N1494" s="883">
        <v>650000</v>
      </c>
      <c r="O1494" s="55">
        <v>719</v>
      </c>
      <c r="P1494" s="78">
        <v>500000</v>
      </c>
    </row>
    <row r="1495" spans="9:16" ht="13.5" customHeight="1" thickBot="1">
      <c r="I1495" s="882"/>
      <c r="J1495" s="876"/>
      <c r="K1495" s="878"/>
      <c r="L1495" s="880"/>
      <c r="M1495" s="882"/>
      <c r="N1495" s="884"/>
      <c r="O1495" s="56">
        <v>721</v>
      </c>
      <c r="P1495" s="79">
        <f>+N1494-P1494</f>
        <v>150000</v>
      </c>
    </row>
    <row r="1496" spans="9:16" ht="13.5" customHeight="1">
      <c r="I1496" s="881">
        <f>+I1494+1</f>
        <v>180</v>
      </c>
      <c r="J1496" s="875">
        <v>43096</v>
      </c>
      <c r="K1496" s="881" t="s">
        <v>28</v>
      </c>
      <c r="L1496" s="879" t="s">
        <v>1616</v>
      </c>
      <c r="M1496" s="881" t="s">
        <v>115</v>
      </c>
      <c r="N1496" s="883">
        <v>70000</v>
      </c>
      <c r="O1496" s="55">
        <v>719</v>
      </c>
      <c r="P1496" s="78">
        <v>70000</v>
      </c>
    </row>
    <row r="1497" spans="9:16" ht="12.75" customHeight="1" thickBot="1">
      <c r="I1497" s="882"/>
      <c r="J1497" s="876"/>
      <c r="K1497" s="882"/>
      <c r="L1497" s="880"/>
      <c r="M1497" s="882"/>
      <c r="N1497" s="884"/>
      <c r="O1497" s="56">
        <v>721</v>
      </c>
      <c r="P1497" s="79">
        <f>+N1496-P1496</f>
        <v>0</v>
      </c>
    </row>
    <row r="1498" spans="9:16" ht="15" customHeight="1">
      <c r="I1498" s="881">
        <f>+I1496+1</f>
        <v>181</v>
      </c>
      <c r="J1498" s="875">
        <v>43096</v>
      </c>
      <c r="K1498" s="877" t="s">
        <v>120</v>
      </c>
      <c r="L1498" s="879" t="s">
        <v>1616</v>
      </c>
      <c r="M1498" s="881" t="s">
        <v>115</v>
      </c>
      <c r="N1498" s="883">
        <v>250000</v>
      </c>
      <c r="O1498" s="55">
        <v>719</v>
      </c>
      <c r="P1498" s="78">
        <v>250000</v>
      </c>
    </row>
    <row r="1499" spans="9:16" ht="12.75" customHeight="1" thickBot="1">
      <c r="I1499" s="882"/>
      <c r="J1499" s="876"/>
      <c r="K1499" s="878"/>
      <c r="L1499" s="880"/>
      <c r="M1499" s="882"/>
      <c r="N1499" s="884"/>
      <c r="O1499" s="56">
        <v>721</v>
      </c>
      <c r="P1499" s="79">
        <f>+N1498-P1498</f>
        <v>0</v>
      </c>
    </row>
    <row r="1500" spans="9:16" ht="16.5" thickBot="1">
      <c r="I1500" s="901" t="s">
        <v>102</v>
      </c>
      <c r="J1500" s="902"/>
      <c r="K1500" s="902"/>
      <c r="L1500" s="902"/>
      <c r="M1500" s="903"/>
      <c r="N1500" s="81">
        <f>SUM(N1488:N1499)</f>
        <v>2920000</v>
      </c>
    </row>
    <row r="1501" spans="9:16" ht="16.5" thickBot="1">
      <c r="I1501" s="885" t="s">
        <v>103</v>
      </c>
      <c r="J1501" s="886"/>
      <c r="K1501" s="886"/>
      <c r="L1501" s="886"/>
      <c r="M1501" s="887"/>
      <c r="N1501" s="69">
        <f>+N1463</f>
        <v>479663435</v>
      </c>
      <c r="O1501" s="241" t="s">
        <v>561</v>
      </c>
      <c r="P1501" s="242">
        <f>1207+1207+235+235+162+310</f>
        <v>3356</v>
      </c>
    </row>
    <row r="1502" spans="9:16" ht="16.5" thickBot="1">
      <c r="I1502" s="888" t="s">
        <v>104</v>
      </c>
      <c r="J1502" s="889"/>
      <c r="K1502" s="889"/>
      <c r="L1502" s="889"/>
      <c r="M1502" s="890"/>
      <c r="N1502" s="183">
        <f>SUM(N1500:N1501)</f>
        <v>482583435</v>
      </c>
    </row>
    <row r="1503" spans="9:16">
      <c r="I1503" s="61"/>
      <c r="J1503" s="61"/>
      <c r="K1503" s="61"/>
      <c r="L1503" s="61"/>
      <c r="M1503" s="61"/>
    </row>
    <row r="1504" spans="9:16">
      <c r="I1504" s="51" t="s">
        <v>1617</v>
      </c>
    </row>
    <row r="1505" spans="9:16" ht="9.75" customHeight="1">
      <c r="N1505" s="139"/>
    </row>
    <row r="1506" spans="9:16">
      <c r="I1506" s="50" t="s">
        <v>105</v>
      </c>
      <c r="L1506" s="146"/>
      <c r="N1506" s="139"/>
    </row>
    <row r="1507" spans="9:16" ht="13.5" customHeight="1" thickBot="1"/>
    <row r="1508" spans="9:16" ht="15.75" thickBot="1">
      <c r="I1508" s="891" t="s">
        <v>106</v>
      </c>
      <c r="J1508" s="892"/>
      <c r="K1508" s="892"/>
      <c r="L1508" s="893"/>
      <c r="N1508" s="50" t="s">
        <v>288</v>
      </c>
    </row>
    <row r="1509" spans="9:16" ht="30.75" thickBot="1">
      <c r="I1509" s="57" t="s">
        <v>100</v>
      </c>
      <c r="J1509" s="58" t="s">
        <v>108</v>
      </c>
      <c r="K1509" s="287" t="s">
        <v>109</v>
      </c>
      <c r="L1509" s="60" t="s">
        <v>110</v>
      </c>
    </row>
    <row r="1510" spans="9:16" ht="13.5" customHeight="1">
      <c r="I1510" s="71">
        <v>719</v>
      </c>
      <c r="J1510" s="73">
        <f>+P1488+P1490+P1492+P1494+P1498</f>
        <v>2250000</v>
      </c>
      <c r="K1510" s="74">
        <f>+L1471</f>
        <v>30710000</v>
      </c>
      <c r="L1510" s="195">
        <f>+J1510+K1510</f>
        <v>32960000</v>
      </c>
    </row>
    <row r="1511" spans="9:16" ht="12.75" customHeight="1">
      <c r="I1511" s="72">
        <v>721</v>
      </c>
      <c r="J1511" s="80">
        <f>+P1499+P1495+P1493+P1491+P1489</f>
        <v>600000</v>
      </c>
      <c r="K1511" s="74">
        <f>+L1472</f>
        <v>91967481</v>
      </c>
      <c r="L1511" s="195">
        <f>+J1511+K1511</f>
        <v>92567481</v>
      </c>
    </row>
    <row r="1512" spans="9:16" ht="12.75" customHeight="1">
      <c r="I1512" s="72">
        <v>722</v>
      </c>
      <c r="J1512" s="80"/>
      <c r="K1512" s="74">
        <f>+L1473</f>
        <v>42881706</v>
      </c>
      <c r="L1512" s="195">
        <f>+J1512+K1512</f>
        <v>42881706</v>
      </c>
    </row>
    <row r="1513" spans="9:16" ht="15.75">
      <c r="I1513" s="72">
        <v>723</v>
      </c>
      <c r="J1513" s="80"/>
      <c r="K1513" s="74">
        <f>+L1474</f>
        <v>314104248</v>
      </c>
      <c r="L1513" s="195">
        <f>+J1513+K1513</f>
        <v>314104248</v>
      </c>
      <c r="N1513" s="918" t="s">
        <v>1481</v>
      </c>
      <c r="O1513" s="918"/>
      <c r="P1513" s="918"/>
    </row>
    <row r="1514" spans="9:16" ht="13.5" customHeight="1" thickBot="1">
      <c r="I1514" s="164" t="s">
        <v>181</v>
      </c>
      <c r="J1514" s="165"/>
      <c r="K1514" s="74">
        <f>+L1475</f>
        <v>0</v>
      </c>
      <c r="L1514" s="196">
        <f>+J1514+K1514</f>
        <v>0</v>
      </c>
      <c r="N1514" s="52"/>
    </row>
    <row r="1515" spans="9:16" ht="16.5" thickBot="1">
      <c r="I1515" s="169"/>
      <c r="J1515" s="197">
        <f>SUM(J1510:J1514)</f>
        <v>2850000</v>
      </c>
      <c r="K1515" s="197">
        <f>SUM(K1510:K1514)</f>
        <v>479663435</v>
      </c>
      <c r="L1515" s="198">
        <f>SUM(L1510:L1514)</f>
        <v>482513435</v>
      </c>
    </row>
    <row r="1516" spans="9:16" ht="16.5">
      <c r="I1516" s="49" t="s">
        <v>88</v>
      </c>
      <c r="J1516" s="50"/>
    </row>
    <row r="1517" spans="9:16">
      <c r="I1517" s="51" t="s">
        <v>89</v>
      </c>
    </row>
    <row r="1518" spans="9:16">
      <c r="I1518" s="51" t="s">
        <v>90</v>
      </c>
    </row>
    <row r="1519" spans="9:16">
      <c r="I1519" s="51" t="s">
        <v>91</v>
      </c>
    </row>
    <row r="1520" spans="9:16" ht="10.5" customHeight="1">
      <c r="I1520" s="50"/>
      <c r="J1520" s="50"/>
    </row>
    <row r="1521" spans="9:16" ht="15.75">
      <c r="I1521" s="260" t="s">
        <v>929</v>
      </c>
      <c r="O1521" s="52"/>
    </row>
    <row r="1522" spans="9:16" ht="15.75">
      <c r="I1522" s="53" t="s">
        <v>1333</v>
      </c>
      <c r="O1522" s="53"/>
    </row>
    <row r="1523" spans="9:16" ht="16.5">
      <c r="I1523" s="894" t="s">
        <v>909</v>
      </c>
      <c r="J1523" s="894"/>
      <c r="K1523" s="894"/>
      <c r="L1523" s="894"/>
      <c r="M1523" s="894"/>
      <c r="N1523" s="894"/>
      <c r="O1523" s="894"/>
      <c r="P1523" s="894"/>
    </row>
    <row r="1524" spans="9:16" ht="13.5" customHeight="1" thickBot="1"/>
    <row r="1525" spans="9:16">
      <c r="I1525" s="895" t="s">
        <v>94</v>
      </c>
      <c r="J1525" s="897" t="s">
        <v>95</v>
      </c>
      <c r="K1525" s="897" t="s">
        <v>96</v>
      </c>
      <c r="L1525" s="897" t="s">
        <v>3</v>
      </c>
      <c r="M1525" s="897" t="s">
        <v>97</v>
      </c>
      <c r="N1525" s="897" t="s">
        <v>98</v>
      </c>
      <c r="O1525" s="897" t="s">
        <v>99</v>
      </c>
      <c r="P1525" s="899"/>
    </row>
    <row r="1526" spans="9:16" ht="15.75" thickBot="1">
      <c r="I1526" s="896"/>
      <c r="J1526" s="898"/>
      <c r="K1526" s="898"/>
      <c r="L1526" s="898"/>
      <c r="M1526" s="898"/>
      <c r="N1526" s="898"/>
      <c r="O1526" s="240" t="s">
        <v>100</v>
      </c>
      <c r="P1526" s="182" t="s">
        <v>101</v>
      </c>
    </row>
    <row r="1527" spans="9:16" ht="15" customHeight="1">
      <c r="I1527" s="881">
        <v>182</v>
      </c>
      <c r="J1527" s="875">
        <v>43097</v>
      </c>
      <c r="K1527" s="881" t="s">
        <v>28</v>
      </c>
      <c r="L1527" s="879" t="s">
        <v>1618</v>
      </c>
      <c r="M1527" s="881" t="s">
        <v>115</v>
      </c>
      <c r="N1527" s="883">
        <v>110000</v>
      </c>
      <c r="O1527" s="55">
        <v>719</v>
      </c>
      <c r="P1527" s="78">
        <v>110000</v>
      </c>
    </row>
    <row r="1528" spans="9:16" ht="15.75" customHeight="1" thickBot="1">
      <c r="I1528" s="882"/>
      <c r="J1528" s="876"/>
      <c r="K1528" s="882"/>
      <c r="L1528" s="880"/>
      <c r="M1528" s="882"/>
      <c r="N1528" s="884"/>
      <c r="O1528" s="56">
        <v>721</v>
      </c>
      <c r="P1528" s="79"/>
    </row>
    <row r="1529" spans="9:16" ht="15" customHeight="1">
      <c r="I1529" s="881">
        <v>183</v>
      </c>
      <c r="J1529" s="875">
        <v>43097</v>
      </c>
      <c r="K1529" s="881" t="s">
        <v>120</v>
      </c>
      <c r="L1529" s="879" t="s">
        <v>1618</v>
      </c>
      <c r="M1529" s="881" t="s">
        <v>115</v>
      </c>
      <c r="N1529" s="883">
        <v>440000</v>
      </c>
      <c r="O1529" s="55">
        <v>719</v>
      </c>
      <c r="P1529" s="78">
        <v>440000</v>
      </c>
    </row>
    <row r="1530" spans="9:16" ht="15.75" customHeight="1" thickBot="1">
      <c r="I1530" s="882"/>
      <c r="J1530" s="876"/>
      <c r="K1530" s="882"/>
      <c r="L1530" s="880"/>
      <c r="M1530" s="882"/>
      <c r="N1530" s="884"/>
      <c r="O1530" s="56">
        <v>721</v>
      </c>
      <c r="P1530" s="79">
        <f>+N1529-P1529</f>
        <v>0</v>
      </c>
    </row>
    <row r="1531" spans="9:16" ht="15" customHeight="1">
      <c r="I1531" s="881">
        <v>184</v>
      </c>
      <c r="J1531" s="875">
        <v>43097</v>
      </c>
      <c r="K1531" s="877" t="s">
        <v>385</v>
      </c>
      <c r="L1531" s="879" t="s">
        <v>1619</v>
      </c>
      <c r="M1531" s="881" t="s">
        <v>148</v>
      </c>
      <c r="N1531" s="883">
        <v>4500000</v>
      </c>
      <c r="O1531" s="55">
        <v>719</v>
      </c>
      <c r="P1531" s="78"/>
    </row>
    <row r="1532" spans="9:16" ht="15.75" customHeight="1" thickBot="1">
      <c r="I1532" s="882"/>
      <c r="J1532" s="876"/>
      <c r="K1532" s="878"/>
      <c r="L1532" s="880"/>
      <c r="M1532" s="882"/>
      <c r="N1532" s="884"/>
      <c r="O1532" s="56">
        <v>721</v>
      </c>
      <c r="P1532" s="79">
        <f>+N1531-P1531</f>
        <v>4500000</v>
      </c>
    </row>
    <row r="1533" spans="9:16">
      <c r="I1533" s="881">
        <v>185</v>
      </c>
      <c r="J1533" s="875"/>
      <c r="K1533" s="877"/>
      <c r="L1533" s="879"/>
      <c r="M1533" s="881"/>
      <c r="N1533" s="883"/>
      <c r="O1533" s="55">
        <v>719</v>
      </c>
      <c r="P1533" s="78"/>
    </row>
    <row r="1534" spans="9:16" ht="15.75" thickBot="1">
      <c r="I1534" s="882"/>
      <c r="J1534" s="876"/>
      <c r="K1534" s="878"/>
      <c r="L1534" s="880"/>
      <c r="M1534" s="882"/>
      <c r="N1534" s="884"/>
      <c r="O1534" s="56">
        <v>721</v>
      </c>
      <c r="P1534" s="79">
        <f>+N1533-P1533</f>
        <v>0</v>
      </c>
    </row>
    <row r="1535" spans="9:16">
      <c r="I1535" s="881"/>
      <c r="J1535" s="875"/>
      <c r="K1535" s="877"/>
      <c r="L1535" s="881"/>
      <c r="M1535" s="881"/>
      <c r="N1535" s="883"/>
      <c r="O1535" s="55">
        <v>719</v>
      </c>
      <c r="P1535" s="78"/>
    </row>
    <row r="1536" spans="9:16" ht="15.75" thickBot="1">
      <c r="I1536" s="882"/>
      <c r="J1536" s="876"/>
      <c r="K1536" s="878"/>
      <c r="L1536" s="882"/>
      <c r="M1536" s="882"/>
      <c r="N1536" s="884"/>
      <c r="O1536" s="56">
        <v>721</v>
      </c>
      <c r="P1536" s="79">
        <f>+N1535-P1535</f>
        <v>0</v>
      </c>
    </row>
    <row r="1537" spans="9:16" ht="16.5" thickBot="1">
      <c r="I1537" s="901" t="s">
        <v>102</v>
      </c>
      <c r="J1537" s="902"/>
      <c r="K1537" s="902"/>
      <c r="L1537" s="902"/>
      <c r="M1537" s="903"/>
      <c r="N1537" s="81">
        <f>SUM(N1527:N1536)</f>
        <v>5050000</v>
      </c>
    </row>
    <row r="1538" spans="9:16" ht="16.5" thickBot="1">
      <c r="I1538" s="885" t="s">
        <v>103</v>
      </c>
      <c r="J1538" s="886"/>
      <c r="K1538" s="886"/>
      <c r="L1538" s="886"/>
      <c r="M1538" s="887"/>
      <c r="N1538" s="69">
        <f>+N1502</f>
        <v>482583435</v>
      </c>
      <c r="O1538" s="241" t="s">
        <v>561</v>
      </c>
      <c r="P1538" s="242">
        <f>246+617</f>
        <v>863</v>
      </c>
    </row>
    <row r="1539" spans="9:16" ht="16.5" thickBot="1">
      <c r="I1539" s="888" t="s">
        <v>104</v>
      </c>
      <c r="J1539" s="889"/>
      <c r="K1539" s="889"/>
      <c r="L1539" s="889"/>
      <c r="M1539" s="890"/>
      <c r="N1539" s="183">
        <f>SUM(N1537:N1538)</f>
        <v>487633435</v>
      </c>
    </row>
    <row r="1540" spans="9:16">
      <c r="I1540" s="61"/>
      <c r="J1540" s="61"/>
      <c r="K1540" s="61"/>
      <c r="L1540" s="61"/>
      <c r="M1540" s="61"/>
    </row>
    <row r="1541" spans="9:16">
      <c r="I1541" s="51" t="s">
        <v>1620</v>
      </c>
    </row>
    <row r="1542" spans="9:16">
      <c r="N1542" s="139"/>
    </row>
    <row r="1543" spans="9:16">
      <c r="I1543" s="50" t="s">
        <v>105</v>
      </c>
      <c r="L1543" s="146"/>
      <c r="N1543" s="139"/>
    </row>
    <row r="1544" spans="9:16" ht="13.5" customHeight="1" thickBot="1"/>
    <row r="1545" spans="9:16" ht="15.75" thickBot="1">
      <c r="I1545" s="891" t="s">
        <v>106</v>
      </c>
      <c r="J1545" s="892"/>
      <c r="K1545" s="892"/>
      <c r="L1545" s="893"/>
      <c r="N1545" s="50" t="s">
        <v>288</v>
      </c>
    </row>
    <row r="1546" spans="9:16" ht="30.75" thickBot="1">
      <c r="I1546" s="57" t="s">
        <v>100</v>
      </c>
      <c r="J1546" s="58" t="s">
        <v>108</v>
      </c>
      <c r="K1546" s="287" t="s">
        <v>109</v>
      </c>
      <c r="L1546" s="60" t="s">
        <v>110</v>
      </c>
    </row>
    <row r="1547" spans="9:16">
      <c r="I1547" s="71">
        <v>719</v>
      </c>
      <c r="J1547" s="73">
        <f>+P1527+P1529+P1531+P1533+P1535</f>
        <v>550000</v>
      </c>
      <c r="K1547" s="74">
        <f>+L1510</f>
        <v>32960000</v>
      </c>
      <c r="L1547" s="195">
        <f>+J1547+K1547</f>
        <v>33510000</v>
      </c>
    </row>
    <row r="1548" spans="9:16">
      <c r="I1548" s="72">
        <v>721</v>
      </c>
      <c r="J1548" s="80">
        <v>0</v>
      </c>
      <c r="K1548" s="74">
        <f>+L1511</f>
        <v>92567481</v>
      </c>
      <c r="L1548" s="195">
        <f>+J1548+K1548</f>
        <v>92567481</v>
      </c>
    </row>
    <row r="1549" spans="9:16">
      <c r="I1549" s="72">
        <v>722</v>
      </c>
      <c r="J1549" s="80"/>
      <c r="K1549" s="74">
        <f>+L1512</f>
        <v>42881706</v>
      </c>
      <c r="L1549" s="195">
        <f>+J1549+K1549</f>
        <v>42881706</v>
      </c>
    </row>
    <row r="1550" spans="9:16" ht="15.75">
      <c r="I1550" s="72">
        <v>723</v>
      </c>
      <c r="J1550" s="80">
        <f>+P1536+P1534+P1532+P1530+P1528</f>
        <v>4500000</v>
      </c>
      <c r="K1550" s="74">
        <f>+L1513</f>
        <v>314104248</v>
      </c>
      <c r="L1550" s="195">
        <f>+J1550+K1550</f>
        <v>318604248</v>
      </c>
      <c r="N1550" s="193" t="s">
        <v>289</v>
      </c>
      <c r="O1550" s="175"/>
    </row>
    <row r="1551" spans="9:16" ht="16.5" thickBot="1">
      <c r="I1551" s="164" t="s">
        <v>181</v>
      </c>
      <c r="J1551" s="165"/>
      <c r="K1551" s="74">
        <f>+L1514</f>
        <v>0</v>
      </c>
      <c r="L1551" s="196">
        <f>+J1551+K1551</f>
        <v>0</v>
      </c>
      <c r="N1551" s="52"/>
    </row>
    <row r="1552" spans="9:16" ht="16.5" thickBot="1">
      <c r="I1552" s="169"/>
      <c r="J1552" s="197">
        <f>SUM(J1547:J1551)</f>
        <v>5050000</v>
      </c>
      <c r="K1552" s="197">
        <f>SUM(K1547:K1551)</f>
        <v>482513435</v>
      </c>
      <c r="L1552" s="198">
        <f>SUM(L1547:L1551)</f>
        <v>487563435</v>
      </c>
    </row>
    <row r="1553" spans="9:16" ht="16.5">
      <c r="I1553" s="49" t="s">
        <v>88</v>
      </c>
      <c r="J1553" s="50"/>
    </row>
    <row r="1554" spans="9:16">
      <c r="I1554" s="51" t="s">
        <v>89</v>
      </c>
    </row>
    <row r="1555" spans="9:16">
      <c r="I1555" s="51" t="s">
        <v>90</v>
      </c>
    </row>
    <row r="1556" spans="9:16">
      <c r="I1556" s="51" t="s">
        <v>91</v>
      </c>
    </row>
    <row r="1557" spans="9:16" ht="12" customHeight="1">
      <c r="I1557" s="50"/>
      <c r="J1557" s="50"/>
    </row>
    <row r="1558" spans="9:16" ht="15.75">
      <c r="I1558" s="260" t="s">
        <v>944</v>
      </c>
      <c r="O1558" s="52"/>
    </row>
    <row r="1559" spans="9:16" ht="15.75">
      <c r="I1559" s="53" t="s">
        <v>535</v>
      </c>
      <c r="O1559" s="53"/>
    </row>
    <row r="1560" spans="9:16" ht="16.5">
      <c r="I1560" s="894" t="s">
        <v>909</v>
      </c>
      <c r="J1560" s="894"/>
      <c r="K1560" s="894"/>
      <c r="L1560" s="894"/>
      <c r="M1560" s="894"/>
      <c r="N1560" s="894"/>
      <c r="O1560" s="894"/>
      <c r="P1560" s="894"/>
    </row>
    <row r="1561" spans="9:16" ht="15.75" thickBot="1"/>
    <row r="1562" spans="9:16">
      <c r="I1562" s="895" t="s">
        <v>94</v>
      </c>
      <c r="J1562" s="897" t="s">
        <v>95</v>
      </c>
      <c r="K1562" s="897" t="s">
        <v>96</v>
      </c>
      <c r="L1562" s="897" t="s">
        <v>3</v>
      </c>
      <c r="M1562" s="897" t="s">
        <v>97</v>
      </c>
      <c r="N1562" s="897" t="s">
        <v>98</v>
      </c>
      <c r="O1562" s="897" t="s">
        <v>99</v>
      </c>
      <c r="P1562" s="899"/>
    </row>
    <row r="1563" spans="9:16" ht="15.75" thickBot="1">
      <c r="I1563" s="896"/>
      <c r="J1563" s="898"/>
      <c r="K1563" s="898"/>
      <c r="L1563" s="898"/>
      <c r="M1563" s="898"/>
      <c r="N1563" s="898"/>
      <c r="O1563" s="240" t="s">
        <v>100</v>
      </c>
      <c r="P1563" s="182" t="s">
        <v>101</v>
      </c>
    </row>
    <row r="1564" spans="9:16">
      <c r="I1564" s="881">
        <v>194</v>
      </c>
      <c r="J1564" s="875">
        <v>42515</v>
      </c>
      <c r="K1564" s="877" t="s">
        <v>272</v>
      </c>
      <c r="L1564" s="879" t="s">
        <v>945</v>
      </c>
      <c r="M1564" s="881" t="s">
        <v>115</v>
      </c>
      <c r="N1564" s="883">
        <v>100000</v>
      </c>
      <c r="O1564" s="55">
        <v>719</v>
      </c>
      <c r="P1564" s="78">
        <v>100000</v>
      </c>
    </row>
    <row r="1565" spans="9:16" ht="15.75" thickBot="1">
      <c r="I1565" s="882"/>
      <c r="J1565" s="876"/>
      <c r="K1565" s="878"/>
      <c r="L1565" s="880"/>
      <c r="M1565" s="882"/>
      <c r="N1565" s="884"/>
      <c r="O1565" s="56">
        <v>721</v>
      </c>
      <c r="P1565" s="79">
        <f>+N1564-P1564</f>
        <v>0</v>
      </c>
    </row>
    <row r="1566" spans="9:16" ht="15" customHeight="1">
      <c r="I1566" s="881">
        <v>195</v>
      </c>
      <c r="J1566" s="875">
        <v>42515</v>
      </c>
      <c r="K1566" s="877" t="s">
        <v>28</v>
      </c>
      <c r="L1566" s="879" t="s">
        <v>946</v>
      </c>
      <c r="M1566" s="881" t="s">
        <v>115</v>
      </c>
      <c r="N1566" s="883">
        <v>70000</v>
      </c>
      <c r="O1566" s="55">
        <v>719</v>
      </c>
      <c r="P1566" s="78">
        <v>70000</v>
      </c>
    </row>
    <row r="1567" spans="9:16" ht="15.75" customHeight="1" thickBot="1">
      <c r="I1567" s="882"/>
      <c r="J1567" s="876"/>
      <c r="K1567" s="878"/>
      <c r="L1567" s="880"/>
      <c r="M1567" s="882"/>
      <c r="N1567" s="884"/>
      <c r="O1567" s="56">
        <v>721</v>
      </c>
      <c r="P1567" s="79">
        <f>+N1566-P1566</f>
        <v>0</v>
      </c>
    </row>
    <row r="1568" spans="9:16">
      <c r="I1568" s="881"/>
      <c r="J1568" s="875"/>
      <c r="K1568" s="877"/>
      <c r="L1568" s="881"/>
      <c r="M1568" s="881"/>
      <c r="N1568" s="883"/>
      <c r="O1568" s="55">
        <v>719</v>
      </c>
      <c r="P1568" s="78"/>
    </row>
    <row r="1569" spans="9:16" ht="15.75" thickBot="1">
      <c r="I1569" s="882"/>
      <c r="J1569" s="876"/>
      <c r="K1569" s="878"/>
      <c r="L1569" s="882"/>
      <c r="M1569" s="882"/>
      <c r="N1569" s="884"/>
      <c r="O1569" s="56">
        <v>721</v>
      </c>
      <c r="P1569" s="79">
        <f>+N1568-P1568</f>
        <v>0</v>
      </c>
    </row>
    <row r="1570" spans="9:16">
      <c r="I1570" s="881"/>
      <c r="J1570" s="875"/>
      <c r="K1570" s="877"/>
      <c r="L1570" s="879"/>
      <c r="M1570" s="881"/>
      <c r="N1570" s="883"/>
      <c r="O1570" s="55">
        <v>719</v>
      </c>
      <c r="P1570" s="78"/>
    </row>
    <row r="1571" spans="9:16" ht="15.75" thickBot="1">
      <c r="I1571" s="882"/>
      <c r="J1571" s="876"/>
      <c r="K1571" s="878"/>
      <c r="L1571" s="880"/>
      <c r="M1571" s="882"/>
      <c r="N1571" s="884"/>
      <c r="O1571" s="56">
        <v>721</v>
      </c>
      <c r="P1571" s="79">
        <f>+N1570-P1570</f>
        <v>0</v>
      </c>
    </row>
    <row r="1572" spans="9:16">
      <c r="I1572" s="881"/>
      <c r="J1572" s="875"/>
      <c r="K1572" s="877"/>
      <c r="L1572" s="881"/>
      <c r="M1572" s="881"/>
      <c r="N1572" s="883"/>
      <c r="O1572" s="55">
        <v>719</v>
      </c>
      <c r="P1572" s="78"/>
    </row>
    <row r="1573" spans="9:16" ht="15.75" thickBot="1">
      <c r="I1573" s="882"/>
      <c r="J1573" s="876"/>
      <c r="K1573" s="878"/>
      <c r="L1573" s="882"/>
      <c r="M1573" s="882"/>
      <c r="N1573" s="884"/>
      <c r="O1573" s="56">
        <v>721</v>
      </c>
      <c r="P1573" s="79">
        <f>+N1572-P1572</f>
        <v>0</v>
      </c>
    </row>
    <row r="1574" spans="9:16" ht="16.5" thickBot="1">
      <c r="I1574" s="901" t="s">
        <v>102</v>
      </c>
      <c r="J1574" s="902"/>
      <c r="K1574" s="902"/>
      <c r="L1574" s="902"/>
      <c r="M1574" s="903"/>
      <c r="N1574" s="81">
        <f>SUM(N1564:N1573)</f>
        <v>170000</v>
      </c>
    </row>
    <row r="1575" spans="9:16" ht="16.5" thickBot="1">
      <c r="I1575" s="885" t="s">
        <v>103</v>
      </c>
      <c r="J1575" s="886"/>
      <c r="K1575" s="886"/>
      <c r="L1575" s="886"/>
      <c r="M1575" s="887"/>
      <c r="N1575" s="69">
        <f>+N1539</f>
        <v>487633435</v>
      </c>
      <c r="O1575" s="241" t="s">
        <v>561</v>
      </c>
      <c r="P1575" s="242">
        <f>108+281</f>
        <v>389</v>
      </c>
    </row>
    <row r="1576" spans="9:16" ht="16.5" thickBot="1">
      <c r="I1576" s="888" t="s">
        <v>104</v>
      </c>
      <c r="J1576" s="889"/>
      <c r="K1576" s="889"/>
      <c r="L1576" s="889"/>
      <c r="M1576" s="890"/>
      <c r="N1576" s="183">
        <f>SUM(N1574:N1575)</f>
        <v>487803435</v>
      </c>
    </row>
    <row r="1577" spans="9:16">
      <c r="I1577" s="61"/>
      <c r="J1577" s="61"/>
      <c r="K1577" s="61"/>
      <c r="L1577" s="61"/>
      <c r="M1577" s="61"/>
    </row>
    <row r="1578" spans="9:16">
      <c r="I1578" s="51" t="s">
        <v>947</v>
      </c>
    </row>
    <row r="1579" spans="9:16" ht="12.75" customHeight="1">
      <c r="N1579" s="139"/>
    </row>
    <row r="1580" spans="9:16">
      <c r="I1580" s="50" t="s">
        <v>105</v>
      </c>
      <c r="L1580" s="146"/>
      <c r="N1580" s="139"/>
    </row>
    <row r="1581" spans="9:16" ht="10.5" customHeight="1" thickBot="1"/>
    <row r="1582" spans="9:16" ht="15.75" thickBot="1">
      <c r="I1582" s="891" t="s">
        <v>106</v>
      </c>
      <c r="J1582" s="892"/>
      <c r="K1582" s="892"/>
      <c r="L1582" s="893"/>
      <c r="N1582" s="50" t="s">
        <v>288</v>
      </c>
    </row>
    <row r="1583" spans="9:16" ht="30.75" thickBot="1">
      <c r="I1583" s="57" t="s">
        <v>100</v>
      </c>
      <c r="J1583" s="58" t="s">
        <v>108</v>
      </c>
      <c r="K1583" s="287" t="s">
        <v>109</v>
      </c>
      <c r="L1583" s="60" t="s">
        <v>110</v>
      </c>
    </row>
    <row r="1584" spans="9:16">
      <c r="I1584" s="71">
        <v>719</v>
      </c>
      <c r="J1584" s="73">
        <f>+P1564+P1566+P1568+P1570+P1572</f>
        <v>170000</v>
      </c>
      <c r="K1584" s="74">
        <f>+L1547</f>
        <v>33510000</v>
      </c>
      <c r="L1584" s="195">
        <f>+J1584+K1584</f>
        <v>33680000</v>
      </c>
    </row>
    <row r="1585" spans="9:16">
      <c r="I1585" s="72">
        <v>721</v>
      </c>
      <c r="J1585" s="80">
        <v>0</v>
      </c>
      <c r="K1585" s="74">
        <f>+L1548</f>
        <v>92567481</v>
      </c>
      <c r="L1585" s="195">
        <f>+J1585+K1585</f>
        <v>92567481</v>
      </c>
    </row>
    <row r="1586" spans="9:16">
      <c r="I1586" s="72">
        <v>722</v>
      </c>
      <c r="J1586" s="80"/>
      <c r="K1586" s="74">
        <f>+L1549</f>
        <v>42881706</v>
      </c>
      <c r="L1586" s="195">
        <f>+J1586+K1586</f>
        <v>42881706</v>
      </c>
    </row>
    <row r="1587" spans="9:16" ht="15.75">
      <c r="I1587" s="72">
        <v>723</v>
      </c>
      <c r="J1587" s="80">
        <f>+P1573+P1571+P1569+P1567+P1565</f>
        <v>0</v>
      </c>
      <c r="K1587" s="74">
        <f>+L1550</f>
        <v>318604248</v>
      </c>
      <c r="L1587" s="195">
        <f>+J1587+K1587</f>
        <v>318604248</v>
      </c>
      <c r="N1587" s="193" t="s">
        <v>289</v>
      </c>
      <c r="O1587" s="175"/>
    </row>
    <row r="1588" spans="9:16" ht="16.5" thickBot="1">
      <c r="I1588" s="164" t="s">
        <v>181</v>
      </c>
      <c r="J1588" s="165"/>
      <c r="K1588" s="74">
        <f>+L1551</f>
        <v>0</v>
      </c>
      <c r="L1588" s="196">
        <f>+J1588+K1588</f>
        <v>0</v>
      </c>
      <c r="N1588" s="52"/>
    </row>
    <row r="1589" spans="9:16" ht="16.5" thickBot="1">
      <c r="I1589" s="169"/>
      <c r="J1589" s="197">
        <f>SUM(J1584:J1588)</f>
        <v>170000</v>
      </c>
      <c r="K1589" s="197">
        <f>SUM(K1584:K1588)</f>
        <v>487563435</v>
      </c>
      <c r="L1589" s="198">
        <f>SUM(L1584:L1588)</f>
        <v>487733435</v>
      </c>
    </row>
    <row r="1590" spans="9:16" ht="16.5">
      <c r="I1590" s="49" t="s">
        <v>88</v>
      </c>
      <c r="J1590" s="50"/>
    </row>
    <row r="1591" spans="9:16">
      <c r="I1591" s="51" t="s">
        <v>89</v>
      </c>
    </row>
    <row r="1592" spans="9:16">
      <c r="I1592" s="51" t="s">
        <v>90</v>
      </c>
    </row>
    <row r="1593" spans="9:16">
      <c r="I1593" s="51" t="s">
        <v>91</v>
      </c>
    </row>
    <row r="1594" spans="9:16" ht="12" customHeight="1">
      <c r="I1594" s="50"/>
      <c r="J1594" s="50"/>
    </row>
    <row r="1595" spans="9:16" ht="15.75">
      <c r="I1595" s="260" t="s">
        <v>948</v>
      </c>
      <c r="O1595" s="52"/>
    </row>
    <row r="1596" spans="9:16" ht="15.75">
      <c r="I1596" s="53" t="s">
        <v>535</v>
      </c>
      <c r="O1596" s="53"/>
    </row>
    <row r="1597" spans="9:16" ht="16.5">
      <c r="I1597" s="894" t="s">
        <v>909</v>
      </c>
      <c r="J1597" s="894"/>
      <c r="K1597" s="894"/>
      <c r="L1597" s="894"/>
      <c r="M1597" s="894"/>
      <c r="N1597" s="894"/>
      <c r="O1597" s="894"/>
      <c r="P1597" s="894"/>
    </row>
    <row r="1598" spans="9:16" ht="15.75" thickBot="1"/>
    <row r="1599" spans="9:16">
      <c r="I1599" s="895" t="s">
        <v>94</v>
      </c>
      <c r="J1599" s="897" t="s">
        <v>95</v>
      </c>
      <c r="K1599" s="897" t="s">
        <v>96</v>
      </c>
      <c r="L1599" s="897" t="s">
        <v>3</v>
      </c>
      <c r="M1599" s="897" t="s">
        <v>97</v>
      </c>
      <c r="N1599" s="897" t="s">
        <v>98</v>
      </c>
      <c r="O1599" s="897" t="s">
        <v>99</v>
      </c>
      <c r="P1599" s="899"/>
    </row>
    <row r="1600" spans="9:16" ht="15.75" thickBot="1">
      <c r="I1600" s="896"/>
      <c r="J1600" s="898"/>
      <c r="K1600" s="898"/>
      <c r="L1600" s="898"/>
      <c r="M1600" s="898"/>
      <c r="N1600" s="898"/>
      <c r="O1600" s="240" t="s">
        <v>100</v>
      </c>
      <c r="P1600" s="182" t="s">
        <v>101</v>
      </c>
    </row>
    <row r="1601" spans="9:16">
      <c r="I1601" s="881">
        <v>196</v>
      </c>
      <c r="J1601" s="875">
        <v>42520</v>
      </c>
      <c r="K1601" s="877" t="s">
        <v>272</v>
      </c>
      <c r="L1601" s="879" t="s">
        <v>951</v>
      </c>
      <c r="M1601" s="881" t="s">
        <v>115</v>
      </c>
      <c r="N1601" s="883">
        <v>140000</v>
      </c>
      <c r="O1601" s="55">
        <v>719</v>
      </c>
      <c r="P1601" s="78">
        <v>140000</v>
      </c>
    </row>
    <row r="1602" spans="9:16" ht="15.75" thickBot="1">
      <c r="I1602" s="882"/>
      <c r="J1602" s="876"/>
      <c r="K1602" s="878"/>
      <c r="L1602" s="880"/>
      <c r="M1602" s="882"/>
      <c r="N1602" s="884"/>
      <c r="O1602" s="56">
        <v>721</v>
      </c>
      <c r="P1602" s="79">
        <f>+N1601-P1601</f>
        <v>0</v>
      </c>
    </row>
    <row r="1603" spans="9:16">
      <c r="I1603" s="881">
        <v>197</v>
      </c>
      <c r="J1603" s="875">
        <v>42520</v>
      </c>
      <c r="K1603" s="877" t="s">
        <v>28</v>
      </c>
      <c r="L1603" s="879" t="s">
        <v>952</v>
      </c>
      <c r="M1603" s="881" t="s">
        <v>115</v>
      </c>
      <c r="N1603" s="883">
        <v>60000</v>
      </c>
      <c r="O1603" s="55">
        <v>719</v>
      </c>
      <c r="P1603" s="78">
        <v>60000</v>
      </c>
    </row>
    <row r="1604" spans="9:16" ht="15.75" thickBot="1">
      <c r="I1604" s="882"/>
      <c r="J1604" s="876"/>
      <c r="K1604" s="878"/>
      <c r="L1604" s="880"/>
      <c r="M1604" s="882"/>
      <c r="N1604" s="884"/>
      <c r="O1604" s="56">
        <v>721</v>
      </c>
      <c r="P1604" s="79">
        <f>+N1603-P1603</f>
        <v>0</v>
      </c>
    </row>
    <row r="1605" spans="9:16" ht="15" customHeight="1">
      <c r="I1605" s="881">
        <v>198</v>
      </c>
      <c r="J1605" s="875">
        <v>42520</v>
      </c>
      <c r="K1605" s="877" t="s">
        <v>120</v>
      </c>
      <c r="L1605" s="879" t="s">
        <v>953</v>
      </c>
      <c r="M1605" s="881" t="s">
        <v>115</v>
      </c>
      <c r="N1605" s="883">
        <v>60000</v>
      </c>
      <c r="O1605" s="55">
        <v>719</v>
      </c>
      <c r="P1605" s="78">
        <v>60000</v>
      </c>
    </row>
    <row r="1606" spans="9:16" ht="15.75" customHeight="1" thickBot="1">
      <c r="I1606" s="882"/>
      <c r="J1606" s="876"/>
      <c r="K1606" s="878"/>
      <c r="L1606" s="880"/>
      <c r="M1606" s="882"/>
      <c r="N1606" s="884"/>
      <c r="O1606" s="56">
        <v>721</v>
      </c>
      <c r="P1606" s="79">
        <f>+N1605-P1605</f>
        <v>0</v>
      </c>
    </row>
    <row r="1607" spans="9:16">
      <c r="I1607" s="881"/>
      <c r="J1607" s="875"/>
      <c r="K1607" s="877"/>
      <c r="L1607" s="879"/>
      <c r="M1607" s="881"/>
      <c r="N1607" s="883"/>
      <c r="O1607" s="55">
        <v>719</v>
      </c>
      <c r="P1607" s="78"/>
    </row>
    <row r="1608" spans="9:16" ht="15.75" thickBot="1">
      <c r="I1608" s="882"/>
      <c r="J1608" s="876"/>
      <c r="K1608" s="878"/>
      <c r="L1608" s="880"/>
      <c r="M1608" s="882"/>
      <c r="N1608" s="884"/>
      <c r="O1608" s="56">
        <v>721</v>
      </c>
      <c r="P1608" s="79">
        <f>+N1607-P1607</f>
        <v>0</v>
      </c>
    </row>
    <row r="1609" spans="9:16">
      <c r="I1609" s="881"/>
      <c r="J1609" s="875"/>
      <c r="K1609" s="877"/>
      <c r="L1609" s="881"/>
      <c r="M1609" s="881"/>
      <c r="N1609" s="883"/>
      <c r="O1609" s="55">
        <v>719</v>
      </c>
      <c r="P1609" s="78"/>
    </row>
    <row r="1610" spans="9:16" ht="15.75" thickBot="1">
      <c r="I1610" s="882"/>
      <c r="J1610" s="876"/>
      <c r="K1610" s="878"/>
      <c r="L1610" s="882"/>
      <c r="M1610" s="882"/>
      <c r="N1610" s="884"/>
      <c r="O1610" s="56">
        <v>721</v>
      </c>
      <c r="P1610" s="79">
        <f>+N1609-P1609</f>
        <v>0</v>
      </c>
    </row>
    <row r="1611" spans="9:16" ht="16.5" thickBot="1">
      <c r="I1611" s="901" t="s">
        <v>102</v>
      </c>
      <c r="J1611" s="902"/>
      <c r="K1611" s="902"/>
      <c r="L1611" s="902"/>
      <c r="M1611" s="903"/>
      <c r="N1611" s="81">
        <f>SUM(N1601:N1610)</f>
        <v>260000</v>
      </c>
    </row>
    <row r="1612" spans="9:16" ht="16.5" thickBot="1">
      <c r="I1612" s="885" t="s">
        <v>103</v>
      </c>
      <c r="J1612" s="886"/>
      <c r="K1612" s="886"/>
      <c r="L1612" s="886"/>
      <c r="M1612" s="887"/>
      <c r="N1612" s="69">
        <f>+N1576</f>
        <v>487803435</v>
      </c>
      <c r="O1612" s="241" t="s">
        <v>561</v>
      </c>
      <c r="P1612" s="242">
        <f>108+281</f>
        <v>389</v>
      </c>
    </row>
    <row r="1613" spans="9:16" ht="16.5" thickBot="1">
      <c r="I1613" s="888" t="s">
        <v>104</v>
      </c>
      <c r="J1613" s="889"/>
      <c r="K1613" s="889"/>
      <c r="L1613" s="889"/>
      <c r="M1613" s="890"/>
      <c r="N1613" s="183">
        <f>SUM(N1611:N1612)</f>
        <v>488063435</v>
      </c>
    </row>
    <row r="1614" spans="9:16">
      <c r="I1614" s="61"/>
      <c r="J1614" s="61"/>
      <c r="K1614" s="61"/>
      <c r="L1614" s="61"/>
      <c r="M1614" s="61"/>
    </row>
    <row r="1615" spans="9:16">
      <c r="I1615" s="51" t="s">
        <v>954</v>
      </c>
    </row>
    <row r="1616" spans="9:16" ht="12.75" customHeight="1">
      <c r="N1616" s="139"/>
    </row>
    <row r="1617" spans="9:15">
      <c r="I1617" s="50" t="s">
        <v>105</v>
      </c>
      <c r="L1617" s="146"/>
      <c r="N1617" s="139"/>
    </row>
    <row r="1618" spans="9:15" ht="11.25" customHeight="1" thickBot="1"/>
    <row r="1619" spans="9:15" ht="15.75" thickBot="1">
      <c r="I1619" s="891" t="s">
        <v>106</v>
      </c>
      <c r="J1619" s="892"/>
      <c r="K1619" s="892"/>
      <c r="L1619" s="893"/>
      <c r="N1619" s="50" t="s">
        <v>288</v>
      </c>
    </row>
    <row r="1620" spans="9:15" ht="30.75" thickBot="1">
      <c r="I1620" s="57" t="s">
        <v>100</v>
      </c>
      <c r="J1620" s="58" t="s">
        <v>108</v>
      </c>
      <c r="K1620" s="287" t="s">
        <v>109</v>
      </c>
      <c r="L1620" s="60" t="s">
        <v>110</v>
      </c>
    </row>
    <row r="1621" spans="9:15">
      <c r="I1621" s="71">
        <v>719</v>
      </c>
      <c r="J1621" s="73">
        <f>+P1601+P1603+P1605+P1607+P1609</f>
        <v>260000</v>
      </c>
      <c r="K1621" s="74">
        <f>+L1584</f>
        <v>33680000</v>
      </c>
      <c r="L1621" s="195">
        <f>+J1621+K1621</f>
        <v>33940000</v>
      </c>
    </row>
    <row r="1622" spans="9:15">
      <c r="I1622" s="72">
        <v>721</v>
      </c>
      <c r="J1622" s="80">
        <v>0</v>
      </c>
      <c r="K1622" s="74">
        <f>+L1585</f>
        <v>92567481</v>
      </c>
      <c r="L1622" s="195">
        <f>+J1622+K1622</f>
        <v>92567481</v>
      </c>
    </row>
    <row r="1623" spans="9:15">
      <c r="I1623" s="72">
        <v>722</v>
      </c>
      <c r="J1623" s="80"/>
      <c r="K1623" s="74">
        <f>+L1586</f>
        <v>42881706</v>
      </c>
      <c r="L1623" s="195">
        <f>+J1623+K1623</f>
        <v>42881706</v>
      </c>
    </row>
    <row r="1624" spans="9:15" ht="15.75">
      <c r="I1624" s="72">
        <v>723</v>
      </c>
      <c r="J1624" s="80">
        <f>+P1610+P1608+P1606+P1604+P1602</f>
        <v>0</v>
      </c>
      <c r="K1624" s="74">
        <f>+L1587</f>
        <v>318604248</v>
      </c>
      <c r="L1624" s="195">
        <f>+J1624+K1624</f>
        <v>318604248</v>
      </c>
      <c r="N1624" s="193" t="s">
        <v>289</v>
      </c>
      <c r="O1624" s="175"/>
    </row>
    <row r="1625" spans="9:15" ht="16.5" thickBot="1">
      <c r="I1625" s="164" t="s">
        <v>181</v>
      </c>
      <c r="J1625" s="165"/>
      <c r="K1625" s="74">
        <f>+L1588</f>
        <v>0</v>
      </c>
      <c r="L1625" s="196">
        <f>+J1625+K1625</f>
        <v>0</v>
      </c>
      <c r="N1625" s="52"/>
    </row>
    <row r="1626" spans="9:15" ht="16.5" thickBot="1">
      <c r="I1626" s="169"/>
      <c r="J1626" s="197">
        <f>SUM(J1621:J1625)</f>
        <v>260000</v>
      </c>
      <c r="K1626" s="197">
        <f>SUM(K1621:K1625)</f>
        <v>487733435</v>
      </c>
      <c r="L1626" s="198">
        <f>SUM(L1621:L1625)</f>
        <v>487993435</v>
      </c>
    </row>
    <row r="1627" spans="9:15" ht="16.5">
      <c r="I1627" s="49" t="s">
        <v>88</v>
      </c>
      <c r="J1627" s="50"/>
    </row>
    <row r="1628" spans="9:15">
      <c r="I1628" s="51" t="s">
        <v>89</v>
      </c>
    </row>
    <row r="1629" spans="9:15">
      <c r="I1629" s="51" t="s">
        <v>90</v>
      </c>
    </row>
    <row r="1630" spans="9:15">
      <c r="I1630" s="51" t="s">
        <v>91</v>
      </c>
    </row>
    <row r="1631" spans="9:15" ht="12" customHeight="1">
      <c r="I1631" s="50"/>
      <c r="J1631" s="50"/>
    </row>
    <row r="1632" spans="9:15" ht="15.75">
      <c r="I1632" s="260" t="s">
        <v>949</v>
      </c>
      <c r="O1632" s="52"/>
    </row>
    <row r="1633" spans="9:16" ht="15.75">
      <c r="I1633" s="53" t="s">
        <v>535</v>
      </c>
      <c r="O1633" s="53"/>
    </row>
    <row r="1634" spans="9:16" ht="16.5">
      <c r="I1634" s="894" t="s">
        <v>909</v>
      </c>
      <c r="J1634" s="894"/>
      <c r="K1634" s="894"/>
      <c r="L1634" s="894"/>
      <c r="M1634" s="894"/>
      <c r="N1634" s="894"/>
      <c r="O1634" s="894"/>
      <c r="P1634" s="894"/>
    </row>
    <row r="1635" spans="9:16" ht="15.75" thickBot="1"/>
    <row r="1636" spans="9:16">
      <c r="I1636" s="895" t="s">
        <v>94</v>
      </c>
      <c r="J1636" s="897" t="s">
        <v>95</v>
      </c>
      <c r="K1636" s="897" t="s">
        <v>96</v>
      </c>
      <c r="L1636" s="897" t="s">
        <v>3</v>
      </c>
      <c r="M1636" s="897" t="s">
        <v>97</v>
      </c>
      <c r="N1636" s="897" t="s">
        <v>98</v>
      </c>
      <c r="O1636" s="897" t="s">
        <v>99</v>
      </c>
      <c r="P1636" s="899"/>
    </row>
    <row r="1637" spans="9:16" ht="15.75" thickBot="1">
      <c r="I1637" s="896"/>
      <c r="J1637" s="898"/>
      <c r="K1637" s="898"/>
      <c r="L1637" s="898"/>
      <c r="M1637" s="898"/>
      <c r="N1637" s="898"/>
      <c r="O1637" s="240" t="s">
        <v>100</v>
      </c>
      <c r="P1637" s="182" t="s">
        <v>101</v>
      </c>
    </row>
    <row r="1638" spans="9:16" ht="15" customHeight="1">
      <c r="I1638" s="881">
        <v>199</v>
      </c>
      <c r="J1638" s="875">
        <v>42520</v>
      </c>
      <c r="K1638" s="877" t="s">
        <v>267</v>
      </c>
      <c r="L1638" s="879" t="s">
        <v>955</v>
      </c>
      <c r="M1638" s="881" t="s">
        <v>148</v>
      </c>
      <c r="N1638" s="883">
        <v>42000</v>
      </c>
      <c r="O1638" s="55">
        <v>719</v>
      </c>
      <c r="P1638" s="78">
        <v>30000</v>
      </c>
    </row>
    <row r="1639" spans="9:16" ht="15.75" customHeight="1" thickBot="1">
      <c r="I1639" s="882"/>
      <c r="J1639" s="876"/>
      <c r="K1639" s="878"/>
      <c r="L1639" s="880"/>
      <c r="M1639" s="882"/>
      <c r="N1639" s="884"/>
      <c r="O1639" s="56">
        <v>721</v>
      </c>
      <c r="P1639" s="79">
        <f>+N1638-P1638</f>
        <v>12000</v>
      </c>
    </row>
    <row r="1640" spans="9:16" ht="15" customHeight="1">
      <c r="I1640" s="881">
        <v>200</v>
      </c>
      <c r="J1640" s="875">
        <v>42520</v>
      </c>
      <c r="K1640" s="877" t="s">
        <v>28</v>
      </c>
      <c r="L1640" s="879" t="s">
        <v>956</v>
      </c>
      <c r="M1640" s="881" t="s">
        <v>148</v>
      </c>
      <c r="N1640" s="883">
        <v>224000</v>
      </c>
      <c r="O1640" s="55">
        <v>719</v>
      </c>
      <c r="P1640" s="78">
        <v>160000</v>
      </c>
    </row>
    <row r="1641" spans="9:16" ht="15.75" customHeight="1" thickBot="1">
      <c r="I1641" s="882"/>
      <c r="J1641" s="876"/>
      <c r="K1641" s="878"/>
      <c r="L1641" s="880"/>
      <c r="M1641" s="882"/>
      <c r="N1641" s="884"/>
      <c r="O1641" s="56">
        <v>721</v>
      </c>
      <c r="P1641" s="79">
        <f>+N1640-P1640</f>
        <v>64000</v>
      </c>
    </row>
    <row r="1642" spans="9:16" ht="15" customHeight="1">
      <c r="I1642" s="881">
        <v>201</v>
      </c>
      <c r="J1642" s="875">
        <v>42520</v>
      </c>
      <c r="K1642" s="877" t="s">
        <v>111</v>
      </c>
      <c r="L1642" s="879" t="s">
        <v>957</v>
      </c>
      <c r="M1642" s="881" t="s">
        <v>148</v>
      </c>
      <c r="N1642" s="883">
        <v>56000</v>
      </c>
      <c r="O1642" s="55">
        <v>719</v>
      </c>
      <c r="P1642" s="78">
        <v>40000</v>
      </c>
    </row>
    <row r="1643" spans="9:16" ht="15.75" customHeight="1" thickBot="1">
      <c r="I1643" s="882"/>
      <c r="J1643" s="876"/>
      <c r="K1643" s="878"/>
      <c r="L1643" s="880"/>
      <c r="M1643" s="882"/>
      <c r="N1643" s="884"/>
      <c r="O1643" s="56">
        <v>721</v>
      </c>
      <c r="P1643" s="79">
        <f>+N1642-P1642</f>
        <v>16000</v>
      </c>
    </row>
    <row r="1644" spans="9:16" ht="15" customHeight="1">
      <c r="I1644" s="881">
        <v>202</v>
      </c>
      <c r="J1644" s="875">
        <v>42520</v>
      </c>
      <c r="K1644" s="877" t="s">
        <v>272</v>
      </c>
      <c r="L1644" s="879" t="s">
        <v>956</v>
      </c>
      <c r="M1644" s="881" t="s">
        <v>148</v>
      </c>
      <c r="N1644" s="883">
        <v>546000</v>
      </c>
      <c r="O1644" s="55">
        <v>719</v>
      </c>
      <c r="P1644" s="78">
        <v>390000</v>
      </c>
    </row>
    <row r="1645" spans="9:16" ht="15.75" customHeight="1" thickBot="1">
      <c r="I1645" s="882"/>
      <c r="J1645" s="876"/>
      <c r="K1645" s="878"/>
      <c r="L1645" s="880"/>
      <c r="M1645" s="882"/>
      <c r="N1645" s="884"/>
      <c r="O1645" s="56">
        <v>721</v>
      </c>
      <c r="P1645" s="79">
        <f>+N1644-P1644</f>
        <v>156000</v>
      </c>
    </row>
    <row r="1646" spans="9:16">
      <c r="I1646" s="881"/>
      <c r="J1646" s="875"/>
      <c r="K1646" s="877"/>
      <c r="L1646" s="881"/>
      <c r="M1646" s="881"/>
      <c r="N1646" s="883"/>
      <c r="O1646" s="55">
        <v>719</v>
      </c>
      <c r="P1646" s="78"/>
    </row>
    <row r="1647" spans="9:16" ht="15.75" thickBot="1">
      <c r="I1647" s="882"/>
      <c r="J1647" s="876"/>
      <c r="K1647" s="878"/>
      <c r="L1647" s="882"/>
      <c r="M1647" s="882"/>
      <c r="N1647" s="884"/>
      <c r="O1647" s="56">
        <v>721</v>
      </c>
      <c r="P1647" s="79">
        <f>+N1646-P1646</f>
        <v>0</v>
      </c>
    </row>
    <row r="1648" spans="9:16" ht="16.5" thickBot="1">
      <c r="I1648" s="901" t="s">
        <v>102</v>
      </c>
      <c r="J1648" s="902"/>
      <c r="K1648" s="902"/>
      <c r="L1648" s="902"/>
      <c r="M1648" s="903"/>
      <c r="N1648" s="81">
        <f>SUM(N1638:N1647)</f>
        <v>868000</v>
      </c>
    </row>
    <row r="1649" spans="9:16" ht="16.5" thickBot="1">
      <c r="I1649" s="885" t="s">
        <v>103</v>
      </c>
      <c r="J1649" s="886"/>
      <c r="K1649" s="886"/>
      <c r="L1649" s="886"/>
      <c r="M1649" s="887"/>
      <c r="N1649" s="69">
        <f>+N1613</f>
        <v>488063435</v>
      </c>
      <c r="O1649" s="241" t="s">
        <v>561</v>
      </c>
      <c r="P1649" s="242">
        <f>941+20+470+17</f>
        <v>1448</v>
      </c>
    </row>
    <row r="1650" spans="9:16" ht="16.5" thickBot="1">
      <c r="I1650" s="888" t="s">
        <v>104</v>
      </c>
      <c r="J1650" s="889"/>
      <c r="K1650" s="889"/>
      <c r="L1650" s="889"/>
      <c r="M1650" s="890"/>
      <c r="N1650" s="183">
        <f>SUM(N1648:N1649)</f>
        <v>488931435</v>
      </c>
    </row>
    <row r="1651" spans="9:16">
      <c r="I1651" s="61"/>
      <c r="J1651" s="61"/>
      <c r="K1651" s="61"/>
      <c r="L1651" s="61"/>
      <c r="M1651" s="61"/>
    </row>
    <row r="1652" spans="9:16">
      <c r="I1652" s="51" t="s">
        <v>962</v>
      </c>
    </row>
    <row r="1653" spans="9:16" ht="11.25" customHeight="1">
      <c r="N1653" s="139"/>
    </row>
    <row r="1654" spans="9:16">
      <c r="I1654" s="50" t="s">
        <v>105</v>
      </c>
      <c r="L1654" s="146"/>
      <c r="N1654" s="139"/>
    </row>
    <row r="1655" spans="9:16" ht="13.5" customHeight="1" thickBot="1"/>
    <row r="1656" spans="9:16" ht="15.75" thickBot="1">
      <c r="I1656" s="891" t="s">
        <v>106</v>
      </c>
      <c r="J1656" s="892"/>
      <c r="K1656" s="892"/>
      <c r="L1656" s="893"/>
      <c r="N1656" s="50" t="s">
        <v>288</v>
      </c>
    </row>
    <row r="1657" spans="9:16" ht="30.75" thickBot="1">
      <c r="I1657" s="57" t="s">
        <v>100</v>
      </c>
      <c r="J1657" s="58" t="s">
        <v>108</v>
      </c>
      <c r="K1657" s="287" t="s">
        <v>109</v>
      </c>
      <c r="L1657" s="60" t="s">
        <v>110</v>
      </c>
    </row>
    <row r="1658" spans="9:16">
      <c r="I1658" s="71">
        <v>719</v>
      </c>
      <c r="J1658" s="73">
        <f>+P1638+P1640+P1642+P1644+P1646</f>
        <v>620000</v>
      </c>
      <c r="K1658" s="74">
        <f>+L1621</f>
        <v>33940000</v>
      </c>
      <c r="L1658" s="195">
        <f>+J1658+K1658</f>
        <v>34560000</v>
      </c>
    </row>
    <row r="1659" spans="9:16">
      <c r="I1659" s="72">
        <v>721</v>
      </c>
      <c r="J1659" s="80">
        <f>+P1639+P1641+P1643+P1645</f>
        <v>248000</v>
      </c>
      <c r="K1659" s="74">
        <f>+L1622</f>
        <v>92567481</v>
      </c>
      <c r="L1659" s="195">
        <f>+J1659+K1659</f>
        <v>92815481</v>
      </c>
    </row>
    <row r="1660" spans="9:16">
      <c r="I1660" s="72">
        <v>722</v>
      </c>
      <c r="J1660" s="80"/>
      <c r="K1660" s="74">
        <f>+L1623</f>
        <v>42881706</v>
      </c>
      <c r="L1660" s="195">
        <f>+J1660+K1660</f>
        <v>42881706</v>
      </c>
    </row>
    <row r="1661" spans="9:16" ht="15.75">
      <c r="I1661" s="72">
        <v>723</v>
      </c>
      <c r="J1661" s="80"/>
      <c r="K1661" s="74">
        <f>+L1624</f>
        <v>318604248</v>
      </c>
      <c r="L1661" s="195">
        <f>+J1661+K1661</f>
        <v>318604248</v>
      </c>
      <c r="N1661" s="193" t="s">
        <v>289</v>
      </c>
      <c r="O1661" s="175"/>
    </row>
    <row r="1662" spans="9:16" ht="16.5" thickBot="1">
      <c r="I1662" s="164" t="s">
        <v>181</v>
      </c>
      <c r="J1662" s="165"/>
      <c r="K1662" s="74">
        <f>+L1625</f>
        <v>0</v>
      </c>
      <c r="L1662" s="196">
        <f>+J1662+K1662</f>
        <v>0</v>
      </c>
      <c r="N1662" s="52"/>
    </row>
    <row r="1663" spans="9:16" ht="16.5" thickBot="1">
      <c r="I1663" s="169"/>
      <c r="J1663" s="197">
        <f>SUM(J1658:J1662)</f>
        <v>868000</v>
      </c>
      <c r="K1663" s="197">
        <f>SUM(K1658:K1662)</f>
        <v>487993435</v>
      </c>
      <c r="L1663" s="198">
        <f>SUM(L1658:L1662)</f>
        <v>488861435</v>
      </c>
    </row>
    <row r="1664" spans="9:16" ht="16.5">
      <c r="I1664" s="49" t="s">
        <v>88</v>
      </c>
      <c r="J1664" s="50"/>
    </row>
    <row r="1665" spans="9:16">
      <c r="I1665" s="51" t="s">
        <v>89</v>
      </c>
    </row>
    <row r="1666" spans="9:16">
      <c r="I1666" s="51" t="s">
        <v>90</v>
      </c>
    </row>
    <row r="1667" spans="9:16">
      <c r="I1667" s="51" t="s">
        <v>91</v>
      </c>
    </row>
    <row r="1668" spans="9:16" ht="12.75" customHeight="1">
      <c r="I1668" s="50"/>
      <c r="J1668" s="50"/>
    </row>
    <row r="1669" spans="9:16" ht="15.75">
      <c r="I1669" s="260" t="s">
        <v>950</v>
      </c>
      <c r="O1669" s="52"/>
    </row>
    <row r="1670" spans="9:16" ht="15.75">
      <c r="I1670" s="53" t="s">
        <v>535</v>
      </c>
      <c r="O1670" s="53"/>
    </row>
    <row r="1671" spans="9:16" ht="16.5">
      <c r="I1671" s="894" t="s">
        <v>909</v>
      </c>
      <c r="J1671" s="894"/>
      <c r="K1671" s="894"/>
      <c r="L1671" s="894"/>
      <c r="M1671" s="894"/>
      <c r="N1671" s="894"/>
      <c r="O1671" s="894"/>
      <c r="P1671" s="894"/>
    </row>
    <row r="1672" spans="9:16" ht="15.75" thickBot="1"/>
    <row r="1673" spans="9:16">
      <c r="I1673" s="895" t="s">
        <v>94</v>
      </c>
      <c r="J1673" s="897" t="s">
        <v>95</v>
      </c>
      <c r="K1673" s="897" t="s">
        <v>96</v>
      </c>
      <c r="L1673" s="897" t="s">
        <v>3</v>
      </c>
      <c r="M1673" s="897" t="s">
        <v>97</v>
      </c>
      <c r="N1673" s="897" t="s">
        <v>98</v>
      </c>
      <c r="O1673" s="897" t="s">
        <v>99</v>
      </c>
      <c r="P1673" s="899"/>
    </row>
    <row r="1674" spans="9:16" ht="15.75" thickBot="1">
      <c r="I1674" s="896"/>
      <c r="J1674" s="898"/>
      <c r="K1674" s="898"/>
      <c r="L1674" s="898"/>
      <c r="M1674" s="898"/>
      <c r="N1674" s="898"/>
      <c r="O1674" s="240" t="s">
        <v>100</v>
      </c>
      <c r="P1674" s="182" t="s">
        <v>101</v>
      </c>
    </row>
    <row r="1675" spans="9:16" ht="15" customHeight="1">
      <c r="I1675" s="881">
        <v>203</v>
      </c>
      <c r="J1675" s="875">
        <v>42520</v>
      </c>
      <c r="K1675" s="877" t="s">
        <v>267</v>
      </c>
      <c r="L1675" s="879" t="s">
        <v>958</v>
      </c>
      <c r="M1675" s="881" t="s">
        <v>148</v>
      </c>
      <c r="N1675" s="883">
        <v>28000</v>
      </c>
      <c r="O1675" s="55">
        <v>719</v>
      </c>
      <c r="P1675" s="78">
        <v>20000</v>
      </c>
    </row>
    <row r="1676" spans="9:16" ht="15.75" customHeight="1" thickBot="1">
      <c r="I1676" s="882"/>
      <c r="J1676" s="876"/>
      <c r="K1676" s="878"/>
      <c r="L1676" s="880"/>
      <c r="M1676" s="882"/>
      <c r="N1676" s="884"/>
      <c r="O1676" s="56">
        <v>721</v>
      </c>
      <c r="P1676" s="79">
        <f>+N1675-P1675</f>
        <v>8000</v>
      </c>
    </row>
    <row r="1677" spans="9:16" ht="15" customHeight="1">
      <c r="I1677" s="881">
        <v>204</v>
      </c>
      <c r="J1677" s="875">
        <v>42520</v>
      </c>
      <c r="K1677" s="877" t="s">
        <v>28</v>
      </c>
      <c r="L1677" s="879" t="s">
        <v>959</v>
      </c>
      <c r="M1677" s="881" t="s">
        <v>148</v>
      </c>
      <c r="N1677" s="883">
        <v>238000</v>
      </c>
      <c r="O1677" s="55">
        <v>719</v>
      </c>
      <c r="P1677" s="78">
        <v>170000</v>
      </c>
    </row>
    <row r="1678" spans="9:16" ht="15.75" customHeight="1" thickBot="1">
      <c r="I1678" s="882"/>
      <c r="J1678" s="876"/>
      <c r="K1678" s="878"/>
      <c r="L1678" s="880"/>
      <c r="M1678" s="882"/>
      <c r="N1678" s="884"/>
      <c r="O1678" s="56">
        <v>721</v>
      </c>
      <c r="P1678" s="79">
        <f>+N1677-P1677</f>
        <v>68000</v>
      </c>
    </row>
    <row r="1679" spans="9:16" ht="15" customHeight="1">
      <c r="I1679" s="881">
        <v>205</v>
      </c>
      <c r="J1679" s="875">
        <v>42520</v>
      </c>
      <c r="K1679" s="877" t="s">
        <v>111</v>
      </c>
      <c r="L1679" s="879" t="s">
        <v>960</v>
      </c>
      <c r="M1679" s="881" t="s">
        <v>148</v>
      </c>
      <c r="N1679" s="883">
        <v>84000</v>
      </c>
      <c r="O1679" s="55">
        <v>719</v>
      </c>
      <c r="P1679" s="78">
        <v>60000</v>
      </c>
    </row>
    <row r="1680" spans="9:16" ht="15.75" customHeight="1" thickBot="1">
      <c r="I1680" s="882"/>
      <c r="J1680" s="876"/>
      <c r="K1680" s="878"/>
      <c r="L1680" s="880"/>
      <c r="M1680" s="882"/>
      <c r="N1680" s="884"/>
      <c r="O1680" s="56">
        <v>721</v>
      </c>
      <c r="P1680" s="79">
        <f>+N1679-P1679</f>
        <v>24000</v>
      </c>
    </row>
    <row r="1681" spans="9:16" ht="15" customHeight="1">
      <c r="I1681" s="881">
        <v>206</v>
      </c>
      <c r="J1681" s="875">
        <v>42520</v>
      </c>
      <c r="K1681" s="877" t="s">
        <v>272</v>
      </c>
      <c r="L1681" s="879" t="s">
        <v>959</v>
      </c>
      <c r="M1681" s="881" t="s">
        <v>148</v>
      </c>
      <c r="N1681" s="883">
        <v>504000</v>
      </c>
      <c r="O1681" s="55">
        <v>719</v>
      </c>
      <c r="P1681" s="78">
        <v>360000</v>
      </c>
    </row>
    <row r="1682" spans="9:16" ht="15.75" customHeight="1" thickBot="1">
      <c r="I1682" s="882"/>
      <c r="J1682" s="876"/>
      <c r="K1682" s="878"/>
      <c r="L1682" s="880"/>
      <c r="M1682" s="882"/>
      <c r="N1682" s="884"/>
      <c r="O1682" s="56">
        <v>721</v>
      </c>
      <c r="P1682" s="79">
        <f>+N1681-P1681</f>
        <v>144000</v>
      </c>
    </row>
    <row r="1683" spans="9:16">
      <c r="I1683" s="881"/>
      <c r="J1683" s="875"/>
      <c r="K1683" s="877"/>
      <c r="L1683" s="881"/>
      <c r="M1683" s="881"/>
      <c r="N1683" s="883"/>
      <c r="O1683" s="55">
        <v>719</v>
      </c>
      <c r="P1683" s="78"/>
    </row>
    <row r="1684" spans="9:16" ht="15.75" thickBot="1">
      <c r="I1684" s="882"/>
      <c r="J1684" s="876"/>
      <c r="K1684" s="878"/>
      <c r="L1684" s="882"/>
      <c r="M1684" s="882"/>
      <c r="N1684" s="884"/>
      <c r="O1684" s="56">
        <v>721</v>
      </c>
      <c r="P1684" s="79">
        <f>+N1683-P1683</f>
        <v>0</v>
      </c>
    </row>
    <row r="1685" spans="9:16" ht="16.5" thickBot="1">
      <c r="I1685" s="901" t="s">
        <v>102</v>
      </c>
      <c r="J1685" s="902"/>
      <c r="K1685" s="902"/>
      <c r="L1685" s="902"/>
      <c r="M1685" s="903"/>
      <c r="N1685" s="81">
        <f>SUM(N1675:N1684)</f>
        <v>854000</v>
      </c>
    </row>
    <row r="1686" spans="9:16" ht="16.5" thickBot="1">
      <c r="I1686" s="885" t="s">
        <v>103</v>
      </c>
      <c r="J1686" s="886"/>
      <c r="K1686" s="886"/>
      <c r="L1686" s="886"/>
      <c r="M1686" s="887"/>
      <c r="N1686" s="69">
        <f>+N1650</f>
        <v>488931435</v>
      </c>
      <c r="O1686" s="241" t="s">
        <v>561</v>
      </c>
      <c r="P1686" s="242">
        <f>746+26+428+20</f>
        <v>1220</v>
      </c>
    </row>
    <row r="1687" spans="9:16" ht="16.5" thickBot="1">
      <c r="I1687" s="888" t="s">
        <v>104</v>
      </c>
      <c r="J1687" s="889"/>
      <c r="K1687" s="889"/>
      <c r="L1687" s="889"/>
      <c r="M1687" s="890"/>
      <c r="N1687" s="183">
        <f>SUM(N1685:N1686)</f>
        <v>489785435</v>
      </c>
    </row>
    <row r="1688" spans="9:16">
      <c r="I1688" s="61"/>
      <c r="J1688" s="61"/>
      <c r="K1688" s="61"/>
      <c r="L1688" s="61"/>
      <c r="M1688" s="61"/>
    </row>
    <row r="1689" spans="9:16">
      <c r="I1689" s="51" t="s">
        <v>961</v>
      </c>
    </row>
    <row r="1690" spans="9:16" ht="12" customHeight="1">
      <c r="N1690" s="139"/>
    </row>
    <row r="1691" spans="9:16">
      <c r="I1691" s="50" t="s">
        <v>105</v>
      </c>
      <c r="L1691" s="146"/>
      <c r="N1691" s="139"/>
    </row>
    <row r="1692" spans="9:16" ht="11.25" customHeight="1" thickBot="1"/>
    <row r="1693" spans="9:16" ht="15.75" thickBot="1">
      <c r="I1693" s="891" t="s">
        <v>106</v>
      </c>
      <c r="J1693" s="892"/>
      <c r="K1693" s="892"/>
      <c r="L1693" s="893"/>
      <c r="N1693" s="50" t="s">
        <v>288</v>
      </c>
    </row>
    <row r="1694" spans="9:16" ht="30.75" thickBot="1">
      <c r="I1694" s="57" t="s">
        <v>100</v>
      </c>
      <c r="J1694" s="58" t="s">
        <v>108</v>
      </c>
      <c r="K1694" s="287" t="s">
        <v>109</v>
      </c>
      <c r="L1694" s="60" t="s">
        <v>110</v>
      </c>
    </row>
    <row r="1695" spans="9:16">
      <c r="I1695" s="71">
        <v>719</v>
      </c>
      <c r="J1695" s="73">
        <f>+P1675+P1677+P1679+P1681+P1683</f>
        <v>610000</v>
      </c>
      <c r="K1695" s="74">
        <f>+L1658</f>
        <v>34560000</v>
      </c>
      <c r="L1695" s="195">
        <f>+J1695+K1695</f>
        <v>35170000</v>
      </c>
    </row>
    <row r="1696" spans="9:16">
      <c r="I1696" s="72">
        <v>721</v>
      </c>
      <c r="J1696" s="80">
        <f>+P1676+P1678+P1680+P1682</f>
        <v>244000</v>
      </c>
      <c r="K1696" s="74">
        <f>+L1659</f>
        <v>92815481</v>
      </c>
      <c r="L1696" s="195">
        <f>+J1696+K1696</f>
        <v>93059481</v>
      </c>
    </row>
    <row r="1697" spans="9:16">
      <c r="I1697" s="72">
        <v>722</v>
      </c>
      <c r="J1697" s="80"/>
      <c r="K1697" s="74">
        <f>+L1660</f>
        <v>42881706</v>
      </c>
      <c r="L1697" s="195">
        <f>+J1697+K1697</f>
        <v>42881706</v>
      </c>
    </row>
    <row r="1698" spans="9:16" ht="15.75">
      <c r="I1698" s="72">
        <v>723</v>
      </c>
      <c r="J1698" s="80"/>
      <c r="K1698" s="74">
        <f>+L1661</f>
        <v>318604248</v>
      </c>
      <c r="L1698" s="195">
        <f>+J1698+K1698</f>
        <v>318604248</v>
      </c>
      <c r="N1698" s="193" t="s">
        <v>289</v>
      </c>
      <c r="O1698" s="175"/>
    </row>
    <row r="1699" spans="9:16" ht="16.5" thickBot="1">
      <c r="I1699" s="164" t="s">
        <v>181</v>
      </c>
      <c r="J1699" s="165"/>
      <c r="K1699" s="74">
        <f>+L1662</f>
        <v>0</v>
      </c>
      <c r="L1699" s="196">
        <f>+J1699+K1699</f>
        <v>0</v>
      </c>
      <c r="N1699" s="52"/>
    </row>
    <row r="1700" spans="9:16" ht="16.5" thickBot="1">
      <c r="I1700" s="169"/>
      <c r="J1700" s="197">
        <f>SUM(J1695:J1699)</f>
        <v>854000</v>
      </c>
      <c r="K1700" s="197">
        <f>SUM(K1695:K1699)</f>
        <v>488861435</v>
      </c>
      <c r="L1700" s="198">
        <f>SUM(L1695:L1699)</f>
        <v>489715435</v>
      </c>
    </row>
    <row r="1701" spans="9:16" ht="16.5">
      <c r="I1701" s="49" t="s">
        <v>88</v>
      </c>
      <c r="J1701" s="50"/>
    </row>
    <row r="1702" spans="9:16">
      <c r="I1702" s="51" t="s">
        <v>89</v>
      </c>
    </row>
    <row r="1703" spans="9:16">
      <c r="I1703" s="51" t="s">
        <v>90</v>
      </c>
    </row>
    <row r="1704" spans="9:16">
      <c r="I1704" s="51" t="s">
        <v>91</v>
      </c>
    </row>
    <row r="1705" spans="9:16" ht="12.75" customHeight="1">
      <c r="I1705" s="50"/>
      <c r="J1705" s="50"/>
    </row>
    <row r="1706" spans="9:16" ht="15.75">
      <c r="I1706" s="260" t="s">
        <v>976</v>
      </c>
      <c r="O1706" s="52"/>
    </row>
    <row r="1707" spans="9:16" ht="15.75">
      <c r="I1707" s="53" t="s">
        <v>535</v>
      </c>
      <c r="O1707" s="53"/>
    </row>
    <row r="1708" spans="9:16" ht="16.5">
      <c r="I1708" s="894" t="s">
        <v>967</v>
      </c>
      <c r="J1708" s="894"/>
      <c r="K1708" s="894"/>
      <c r="L1708" s="894"/>
      <c r="M1708" s="894"/>
      <c r="N1708" s="894"/>
      <c r="O1708" s="894"/>
      <c r="P1708" s="894"/>
    </row>
    <row r="1709" spans="9:16" ht="15.75" thickBot="1"/>
    <row r="1710" spans="9:16">
      <c r="I1710" s="916" t="s">
        <v>968</v>
      </c>
      <c r="J1710" s="912" t="s">
        <v>95</v>
      </c>
      <c r="K1710" s="912" t="s">
        <v>96</v>
      </c>
      <c r="L1710" s="912" t="s">
        <v>3</v>
      </c>
      <c r="M1710" s="912" t="s">
        <v>97</v>
      </c>
      <c r="N1710" s="912" t="s">
        <v>98</v>
      </c>
      <c r="O1710" s="914" t="s">
        <v>99</v>
      </c>
      <c r="P1710" s="915"/>
    </row>
    <row r="1711" spans="9:16" ht="15.75" thickBot="1">
      <c r="I1711" s="917"/>
      <c r="J1711" s="913"/>
      <c r="K1711" s="913"/>
      <c r="L1711" s="913"/>
      <c r="M1711" s="913"/>
      <c r="N1711" s="913"/>
      <c r="O1711" s="240" t="s">
        <v>100</v>
      </c>
      <c r="P1711" s="182" t="s">
        <v>101</v>
      </c>
    </row>
    <row r="1712" spans="9:16" ht="12" customHeight="1">
      <c r="I1712" s="873" t="s">
        <v>545</v>
      </c>
      <c r="J1712" s="875">
        <v>42520</v>
      </c>
      <c r="K1712" s="910" t="s">
        <v>695</v>
      </c>
      <c r="L1712" s="879" t="s">
        <v>556</v>
      </c>
      <c r="M1712" s="881" t="s">
        <v>148</v>
      </c>
      <c r="N1712" s="883"/>
      <c r="O1712" s="55">
        <v>719</v>
      </c>
      <c r="P1712" s="78"/>
    </row>
    <row r="1713" spans="9:19" ht="12.75" customHeight="1" thickBot="1">
      <c r="I1713" s="874"/>
      <c r="J1713" s="876"/>
      <c r="K1713" s="911"/>
      <c r="L1713" s="880"/>
      <c r="M1713" s="882"/>
      <c r="N1713" s="884"/>
      <c r="O1713" s="56">
        <v>723</v>
      </c>
      <c r="P1713" s="79">
        <f>+N1712-P1712</f>
        <v>0</v>
      </c>
    </row>
    <row r="1714" spans="9:19" ht="12.75" customHeight="1">
      <c r="I1714" s="873" t="s">
        <v>547</v>
      </c>
      <c r="J1714" s="875">
        <v>42520</v>
      </c>
      <c r="K1714" s="910" t="s">
        <v>695</v>
      </c>
      <c r="L1714" s="879" t="s">
        <v>556</v>
      </c>
      <c r="M1714" s="881" t="s">
        <v>115</v>
      </c>
      <c r="N1714" s="883"/>
      <c r="O1714" s="55">
        <v>719</v>
      </c>
      <c r="P1714" s="78"/>
    </row>
    <row r="1715" spans="9:19" ht="13.5" customHeight="1" thickBot="1">
      <c r="I1715" s="874"/>
      <c r="J1715" s="876"/>
      <c r="K1715" s="911"/>
      <c r="L1715" s="880"/>
      <c r="M1715" s="882"/>
      <c r="N1715" s="884"/>
      <c r="O1715" s="56">
        <v>723</v>
      </c>
      <c r="P1715" s="79">
        <f>+N1714-P1714</f>
        <v>0</v>
      </c>
    </row>
    <row r="1716" spans="9:19" ht="11.25" customHeight="1">
      <c r="I1716" s="873" t="s">
        <v>548</v>
      </c>
      <c r="J1716" s="875">
        <v>42520</v>
      </c>
      <c r="K1716" s="877" t="s">
        <v>701</v>
      </c>
      <c r="L1716" s="879" t="s">
        <v>556</v>
      </c>
      <c r="M1716" s="881" t="s">
        <v>148</v>
      </c>
      <c r="N1716" s="883"/>
      <c r="O1716" s="55">
        <v>719</v>
      </c>
      <c r="P1716" s="78"/>
    </row>
    <row r="1717" spans="9:19" ht="13.5" customHeight="1" thickBot="1">
      <c r="I1717" s="874"/>
      <c r="J1717" s="876"/>
      <c r="K1717" s="878"/>
      <c r="L1717" s="880"/>
      <c r="M1717" s="882"/>
      <c r="N1717" s="884"/>
      <c r="O1717" s="56">
        <v>723</v>
      </c>
      <c r="P1717" s="79">
        <f>+N1716-P1716</f>
        <v>0</v>
      </c>
    </row>
    <row r="1718" spans="9:19" ht="12.75" customHeight="1">
      <c r="I1718" s="873" t="s">
        <v>549</v>
      </c>
      <c r="J1718" s="875">
        <v>42520</v>
      </c>
      <c r="K1718" s="877" t="s">
        <v>673</v>
      </c>
      <c r="L1718" s="879" t="s">
        <v>556</v>
      </c>
      <c r="M1718" s="881" t="s">
        <v>148</v>
      </c>
      <c r="N1718" s="883"/>
      <c r="O1718" s="55">
        <v>719</v>
      </c>
      <c r="P1718" s="78"/>
    </row>
    <row r="1719" spans="9:19" ht="14.25" customHeight="1" thickBot="1">
      <c r="I1719" s="874"/>
      <c r="J1719" s="876"/>
      <c r="K1719" s="878"/>
      <c r="L1719" s="880"/>
      <c r="M1719" s="882"/>
      <c r="N1719" s="884"/>
      <c r="O1719" s="56">
        <v>723</v>
      </c>
      <c r="P1719" s="79">
        <f>+N1718-P1718</f>
        <v>0</v>
      </c>
    </row>
    <row r="1720" spans="9:19" ht="12" customHeight="1">
      <c r="I1720" s="873" t="s">
        <v>550</v>
      </c>
      <c r="J1720" s="875">
        <v>42520</v>
      </c>
      <c r="K1720" s="877" t="s">
        <v>729</v>
      </c>
      <c r="L1720" s="879" t="s">
        <v>556</v>
      </c>
      <c r="M1720" s="881" t="s">
        <v>148</v>
      </c>
      <c r="N1720" s="883"/>
      <c r="O1720" s="55">
        <v>719</v>
      </c>
      <c r="P1720" s="78"/>
    </row>
    <row r="1721" spans="9:19" ht="12.75" customHeight="1" thickBot="1">
      <c r="I1721" s="874"/>
      <c r="J1721" s="876"/>
      <c r="K1721" s="878"/>
      <c r="L1721" s="880"/>
      <c r="M1721" s="882"/>
      <c r="N1721" s="884"/>
      <c r="O1721" s="56">
        <v>723</v>
      </c>
      <c r="P1721" s="79">
        <f>+N1720-P1720</f>
        <v>0</v>
      </c>
    </row>
    <row r="1722" spans="9:19" ht="12.75" customHeight="1">
      <c r="I1722" s="873" t="s">
        <v>551</v>
      </c>
      <c r="J1722" s="875">
        <v>42520</v>
      </c>
      <c r="K1722" s="877" t="s">
        <v>694</v>
      </c>
      <c r="L1722" s="879" t="s">
        <v>556</v>
      </c>
      <c r="M1722" s="881" t="s">
        <v>148</v>
      </c>
      <c r="N1722" s="883"/>
      <c r="O1722" s="55">
        <v>719</v>
      </c>
      <c r="P1722" s="78"/>
    </row>
    <row r="1723" spans="9:19" ht="13.5" customHeight="1" thickBot="1">
      <c r="I1723" s="874"/>
      <c r="J1723" s="876"/>
      <c r="K1723" s="878"/>
      <c r="L1723" s="880"/>
      <c r="M1723" s="882"/>
      <c r="N1723" s="884"/>
      <c r="O1723" s="56">
        <v>723</v>
      </c>
      <c r="P1723" s="79">
        <f>+N1722-P1722</f>
        <v>0</v>
      </c>
    </row>
    <row r="1724" spans="9:19" ht="16.5" thickBot="1">
      <c r="I1724" s="888" t="s">
        <v>102</v>
      </c>
      <c r="J1724" s="889"/>
      <c r="K1724" s="889"/>
      <c r="L1724" s="889"/>
      <c r="M1724" s="890"/>
      <c r="N1724" s="81">
        <f>SUM(N1712:N1723)</f>
        <v>0</v>
      </c>
    </row>
    <row r="1725" spans="9:19" ht="16.5" thickBot="1">
      <c r="I1725" s="885" t="s">
        <v>103</v>
      </c>
      <c r="J1725" s="886"/>
      <c r="K1725" s="886"/>
      <c r="L1725" s="886"/>
      <c r="M1725" s="887"/>
      <c r="N1725" s="69">
        <f>+N1687</f>
        <v>489785435</v>
      </c>
      <c r="O1725" s="241" t="s">
        <v>561</v>
      </c>
      <c r="P1725" s="242"/>
    </row>
    <row r="1726" spans="9:19" ht="16.5" thickBot="1">
      <c r="I1726" s="888" t="s">
        <v>104</v>
      </c>
      <c r="J1726" s="889"/>
      <c r="K1726" s="889"/>
      <c r="L1726" s="889"/>
      <c r="M1726" s="890"/>
      <c r="N1726" s="183">
        <f>SUM(N1724:N1725)</f>
        <v>489785435</v>
      </c>
      <c r="S1726" s="51">
        <f>1945*1.05^4.5</f>
        <v>2422.5427600461721</v>
      </c>
    </row>
    <row r="1727" spans="9:19" ht="13.5" customHeight="1">
      <c r="I1727" s="61"/>
      <c r="J1727" s="61"/>
      <c r="K1727" s="61"/>
      <c r="L1727" s="61"/>
      <c r="M1727" s="61"/>
    </row>
    <row r="1728" spans="9:19">
      <c r="I1728" s="51" t="s">
        <v>966</v>
      </c>
    </row>
    <row r="1729" spans="9:15" ht="12.75" customHeight="1">
      <c r="N1729" s="139"/>
    </row>
    <row r="1730" spans="9:15">
      <c r="I1730" s="50" t="s">
        <v>105</v>
      </c>
      <c r="L1730" s="146"/>
      <c r="N1730" s="139"/>
    </row>
    <row r="1731" spans="9:15" ht="13.5" customHeight="1" thickBot="1"/>
    <row r="1732" spans="9:15" ht="15.75" thickBot="1">
      <c r="I1732" s="891" t="s">
        <v>106</v>
      </c>
      <c r="J1732" s="892"/>
      <c r="K1732" s="892"/>
      <c r="L1732" s="893"/>
      <c r="N1732" s="50" t="s">
        <v>288</v>
      </c>
    </row>
    <row r="1733" spans="9:15" ht="30.75" thickBot="1">
      <c r="I1733" s="57" t="s">
        <v>100</v>
      </c>
      <c r="J1733" s="58" t="s">
        <v>108</v>
      </c>
      <c r="K1733" s="287" t="s">
        <v>109</v>
      </c>
      <c r="L1733" s="60" t="s">
        <v>110</v>
      </c>
    </row>
    <row r="1734" spans="9:15">
      <c r="I1734" s="71">
        <v>719</v>
      </c>
      <c r="J1734" s="73">
        <f>+P1712+P1714+P1718+P1720+P1722</f>
        <v>0</v>
      </c>
      <c r="K1734" s="74">
        <f>+L1695</f>
        <v>35170000</v>
      </c>
      <c r="L1734" s="195">
        <f>+J1734+K1734</f>
        <v>35170000</v>
      </c>
    </row>
    <row r="1735" spans="9:15">
      <c r="I1735" s="72">
        <v>721</v>
      </c>
      <c r="J1735" s="80">
        <v>0</v>
      </c>
      <c r="K1735" s="74">
        <f>+L1696</f>
        <v>93059481</v>
      </c>
      <c r="L1735" s="195">
        <f>+J1735+K1735</f>
        <v>93059481</v>
      </c>
    </row>
    <row r="1736" spans="9:15">
      <c r="I1736" s="72">
        <v>722</v>
      </c>
      <c r="J1736" s="80"/>
      <c r="K1736" s="74">
        <f>+L1697</f>
        <v>42881706</v>
      </c>
      <c r="L1736" s="195">
        <f>+J1736+K1736</f>
        <v>42881706</v>
      </c>
    </row>
    <row r="1737" spans="9:15" ht="15.75">
      <c r="I1737" s="72">
        <v>723</v>
      </c>
      <c r="J1737" s="80">
        <f>+P1723+P1721+P1719+P1715+P1713+P1717</f>
        <v>0</v>
      </c>
      <c r="K1737" s="74">
        <f>+L1698</f>
        <v>318604248</v>
      </c>
      <c r="L1737" s="195">
        <f>+J1737+K1737</f>
        <v>318604248</v>
      </c>
      <c r="N1737" s="193" t="s">
        <v>289</v>
      </c>
      <c r="O1737" s="175"/>
    </row>
    <row r="1738" spans="9:15" ht="16.5" thickBot="1">
      <c r="I1738" s="164" t="s">
        <v>181</v>
      </c>
      <c r="J1738" s="165"/>
      <c r="K1738" s="74">
        <f>+L1699</f>
        <v>0</v>
      </c>
      <c r="L1738" s="196">
        <f>+J1738+K1738</f>
        <v>0</v>
      </c>
      <c r="N1738" s="52"/>
    </row>
    <row r="1739" spans="9:15" ht="16.5" thickBot="1">
      <c r="I1739" s="169"/>
      <c r="J1739" s="197">
        <f>SUM(J1734:J1738)</f>
        <v>0</v>
      </c>
      <c r="K1739" s="197">
        <f>SUM(K1734:K1738)</f>
        <v>489715435</v>
      </c>
      <c r="L1739" s="198">
        <f>SUM(L1734:L1738)</f>
        <v>489715435</v>
      </c>
    </row>
    <row r="1740" spans="9:15" ht="16.5">
      <c r="I1740" s="49" t="s">
        <v>88</v>
      </c>
      <c r="J1740" s="50"/>
    </row>
    <row r="1741" spans="9:15">
      <c r="I1741" s="51" t="s">
        <v>89</v>
      </c>
    </row>
    <row r="1742" spans="9:15">
      <c r="I1742" s="51" t="s">
        <v>90</v>
      </c>
    </row>
    <row r="1743" spans="9:15">
      <c r="I1743" s="51" t="s">
        <v>91</v>
      </c>
    </row>
    <row r="1744" spans="9:15" ht="9" customHeight="1">
      <c r="I1744" s="50"/>
      <c r="J1744" s="50"/>
    </row>
    <row r="1745" spans="9:16" ht="15.75">
      <c r="I1745" s="260" t="s">
        <v>964</v>
      </c>
      <c r="O1745" s="52"/>
    </row>
    <row r="1746" spans="9:16" ht="15.75">
      <c r="I1746" s="53" t="s">
        <v>535</v>
      </c>
      <c r="O1746" s="53"/>
    </row>
    <row r="1747" spans="9:16" ht="16.5">
      <c r="I1747" s="894" t="s">
        <v>909</v>
      </c>
      <c r="J1747" s="894"/>
      <c r="K1747" s="894"/>
      <c r="L1747" s="894"/>
      <c r="M1747" s="894"/>
      <c r="N1747" s="894"/>
      <c r="O1747" s="894"/>
      <c r="P1747" s="894"/>
    </row>
    <row r="1748" spans="9:16" ht="15.75" thickBot="1"/>
    <row r="1749" spans="9:16">
      <c r="I1749" s="895" t="s">
        <v>94</v>
      </c>
      <c r="J1749" s="897" t="s">
        <v>95</v>
      </c>
      <c r="K1749" s="897" t="s">
        <v>96</v>
      </c>
      <c r="L1749" s="897" t="s">
        <v>3</v>
      </c>
      <c r="M1749" s="897" t="s">
        <v>97</v>
      </c>
      <c r="N1749" s="897" t="s">
        <v>98</v>
      </c>
      <c r="O1749" s="897" t="s">
        <v>99</v>
      </c>
      <c r="P1749" s="899"/>
    </row>
    <row r="1750" spans="9:16" ht="15.75" thickBot="1">
      <c r="I1750" s="896"/>
      <c r="J1750" s="898"/>
      <c r="K1750" s="898"/>
      <c r="L1750" s="898"/>
      <c r="M1750" s="898"/>
      <c r="N1750" s="898"/>
      <c r="O1750" s="240" t="s">
        <v>100</v>
      </c>
      <c r="P1750" s="182" t="s">
        <v>101</v>
      </c>
    </row>
    <row r="1751" spans="9:16">
      <c r="I1751" s="881">
        <v>207</v>
      </c>
      <c r="J1751" s="875">
        <v>42521</v>
      </c>
      <c r="K1751" s="877" t="s">
        <v>267</v>
      </c>
      <c r="L1751" s="879" t="s">
        <v>971</v>
      </c>
      <c r="M1751" s="881" t="s">
        <v>148</v>
      </c>
      <c r="N1751" s="883">
        <v>28000</v>
      </c>
      <c r="O1751" s="55">
        <v>719</v>
      </c>
      <c r="P1751" s="78">
        <v>20000</v>
      </c>
    </row>
    <row r="1752" spans="9:16" ht="15.75" thickBot="1">
      <c r="I1752" s="882"/>
      <c r="J1752" s="876"/>
      <c r="K1752" s="878"/>
      <c r="L1752" s="880"/>
      <c r="M1752" s="882"/>
      <c r="N1752" s="884"/>
      <c r="O1752" s="56">
        <v>721</v>
      </c>
      <c r="P1752" s="79">
        <f>+N1751-P1751</f>
        <v>8000</v>
      </c>
    </row>
    <row r="1753" spans="9:16">
      <c r="I1753" s="881">
        <v>208</v>
      </c>
      <c r="J1753" s="875">
        <v>42521</v>
      </c>
      <c r="K1753" s="877" t="s">
        <v>28</v>
      </c>
      <c r="L1753" s="879" t="s">
        <v>970</v>
      </c>
      <c r="M1753" s="881" t="s">
        <v>148</v>
      </c>
      <c r="N1753" s="883">
        <v>294000</v>
      </c>
      <c r="O1753" s="55">
        <v>719</v>
      </c>
      <c r="P1753" s="78">
        <v>210000</v>
      </c>
    </row>
    <row r="1754" spans="9:16" ht="15.75" thickBot="1">
      <c r="I1754" s="882"/>
      <c r="J1754" s="876"/>
      <c r="K1754" s="878"/>
      <c r="L1754" s="880"/>
      <c r="M1754" s="882"/>
      <c r="N1754" s="884"/>
      <c r="O1754" s="56">
        <v>721</v>
      </c>
      <c r="P1754" s="79">
        <f>+N1753-P1753</f>
        <v>84000</v>
      </c>
    </row>
    <row r="1755" spans="9:16">
      <c r="I1755" s="881">
        <v>209</v>
      </c>
      <c r="J1755" s="875">
        <v>42521</v>
      </c>
      <c r="K1755" s="877" t="s">
        <v>111</v>
      </c>
      <c r="L1755" s="879" t="s">
        <v>951</v>
      </c>
      <c r="M1755" s="881" t="s">
        <v>148</v>
      </c>
      <c r="N1755" s="883">
        <v>56000</v>
      </c>
      <c r="O1755" s="55">
        <v>719</v>
      </c>
      <c r="P1755" s="78">
        <v>40000</v>
      </c>
    </row>
    <row r="1756" spans="9:16" ht="15.75" thickBot="1">
      <c r="I1756" s="882"/>
      <c r="J1756" s="876"/>
      <c r="K1756" s="878"/>
      <c r="L1756" s="880"/>
      <c r="M1756" s="882"/>
      <c r="N1756" s="884"/>
      <c r="O1756" s="56">
        <v>721</v>
      </c>
      <c r="P1756" s="79">
        <f>+N1755-P1755</f>
        <v>16000</v>
      </c>
    </row>
    <row r="1757" spans="9:16">
      <c r="I1757" s="881">
        <v>210</v>
      </c>
      <c r="J1757" s="875">
        <v>42521</v>
      </c>
      <c r="K1757" s="877" t="s">
        <v>272</v>
      </c>
      <c r="L1757" s="879" t="s">
        <v>970</v>
      </c>
      <c r="M1757" s="881" t="s">
        <v>148</v>
      </c>
      <c r="N1757" s="883">
        <v>672000</v>
      </c>
      <c r="O1757" s="55">
        <v>719</v>
      </c>
      <c r="P1757" s="78">
        <v>480000</v>
      </c>
    </row>
    <row r="1758" spans="9:16" ht="15.75" thickBot="1">
      <c r="I1758" s="882"/>
      <c r="J1758" s="876"/>
      <c r="K1758" s="878"/>
      <c r="L1758" s="880"/>
      <c r="M1758" s="882"/>
      <c r="N1758" s="884"/>
      <c r="O1758" s="56">
        <v>721</v>
      </c>
      <c r="P1758" s="79">
        <f>+N1757-P1757</f>
        <v>192000</v>
      </c>
    </row>
    <row r="1759" spans="9:16" ht="12.75" customHeight="1">
      <c r="I1759" s="881"/>
      <c r="J1759" s="875"/>
      <c r="K1759" s="877"/>
      <c r="L1759" s="881"/>
      <c r="M1759" s="881"/>
      <c r="N1759" s="883"/>
      <c r="O1759" s="55">
        <v>719</v>
      </c>
      <c r="P1759" s="78"/>
    </row>
    <row r="1760" spans="9:16" ht="13.5" customHeight="1" thickBot="1">
      <c r="I1760" s="882"/>
      <c r="J1760" s="876"/>
      <c r="K1760" s="878"/>
      <c r="L1760" s="882"/>
      <c r="M1760" s="882"/>
      <c r="N1760" s="884"/>
      <c r="O1760" s="56">
        <v>721</v>
      </c>
      <c r="P1760" s="79">
        <f>+N1759-P1759</f>
        <v>0</v>
      </c>
    </row>
    <row r="1761" spans="9:16" ht="16.5" thickBot="1">
      <c r="I1761" s="901" t="s">
        <v>102</v>
      </c>
      <c r="J1761" s="902"/>
      <c r="K1761" s="902"/>
      <c r="L1761" s="902"/>
      <c r="M1761" s="903"/>
      <c r="N1761" s="81">
        <f>SUM(N1751:N1760)</f>
        <v>1050000</v>
      </c>
    </row>
    <row r="1762" spans="9:16" ht="16.5" thickBot="1">
      <c r="I1762" s="885" t="s">
        <v>103</v>
      </c>
      <c r="J1762" s="886"/>
      <c r="K1762" s="886"/>
      <c r="L1762" s="886"/>
      <c r="M1762" s="887"/>
      <c r="N1762" s="69">
        <f>+N1726</f>
        <v>489785435</v>
      </c>
      <c r="O1762" s="241" t="s">
        <v>561</v>
      </c>
      <c r="P1762" s="242">
        <f>22+651+13+1233</f>
        <v>1919</v>
      </c>
    </row>
    <row r="1763" spans="9:16" ht="16.5" thickBot="1">
      <c r="I1763" s="888" t="s">
        <v>104</v>
      </c>
      <c r="J1763" s="889"/>
      <c r="K1763" s="889"/>
      <c r="L1763" s="889"/>
      <c r="M1763" s="890"/>
      <c r="N1763" s="183">
        <f>SUM(N1761:N1762)</f>
        <v>490835435</v>
      </c>
    </row>
    <row r="1764" spans="9:16">
      <c r="I1764" s="61"/>
      <c r="J1764" s="61"/>
      <c r="K1764" s="61"/>
      <c r="L1764" s="61"/>
      <c r="M1764" s="61"/>
    </row>
    <row r="1765" spans="9:16">
      <c r="I1765" s="51" t="s">
        <v>972</v>
      </c>
    </row>
    <row r="1766" spans="9:16" ht="12" customHeight="1">
      <c r="N1766" s="139"/>
    </row>
    <row r="1767" spans="9:16">
      <c r="I1767" s="50" t="s">
        <v>105</v>
      </c>
      <c r="L1767" s="146"/>
      <c r="N1767" s="139"/>
    </row>
    <row r="1768" spans="9:16" ht="15.75" thickBot="1"/>
    <row r="1769" spans="9:16" ht="15.75" thickBot="1">
      <c r="I1769" s="891" t="s">
        <v>106</v>
      </c>
      <c r="J1769" s="892"/>
      <c r="K1769" s="892"/>
      <c r="L1769" s="893"/>
      <c r="N1769" s="50" t="s">
        <v>288</v>
      </c>
    </row>
    <row r="1770" spans="9:16" ht="30.75" thickBot="1">
      <c r="I1770" s="57" t="s">
        <v>100</v>
      </c>
      <c r="J1770" s="58" t="s">
        <v>108</v>
      </c>
      <c r="K1770" s="287" t="s">
        <v>109</v>
      </c>
      <c r="L1770" s="60" t="s">
        <v>110</v>
      </c>
    </row>
    <row r="1771" spans="9:16">
      <c r="I1771" s="71">
        <v>719</v>
      </c>
      <c r="J1771" s="73">
        <f>+P1751+P1753+P1755+P1757+P1759</f>
        <v>750000</v>
      </c>
      <c r="K1771" s="74">
        <f>+L1734</f>
        <v>35170000</v>
      </c>
      <c r="L1771" s="195">
        <f>+J1771+K1771</f>
        <v>35920000</v>
      </c>
    </row>
    <row r="1772" spans="9:16">
      <c r="I1772" s="72">
        <v>721</v>
      </c>
      <c r="J1772" s="80">
        <f>+P1752+P1754+P1756+P1758</f>
        <v>300000</v>
      </c>
      <c r="K1772" s="74">
        <f>+L1735</f>
        <v>93059481</v>
      </c>
      <c r="L1772" s="195">
        <f>+J1772+K1772</f>
        <v>93359481</v>
      </c>
    </row>
    <row r="1773" spans="9:16">
      <c r="I1773" s="72">
        <v>722</v>
      </c>
      <c r="J1773" s="80"/>
      <c r="K1773" s="74">
        <f>+L1736</f>
        <v>42881706</v>
      </c>
      <c r="L1773" s="195">
        <f>+J1773+K1773</f>
        <v>42881706</v>
      </c>
    </row>
    <row r="1774" spans="9:16" ht="15.75">
      <c r="I1774" s="72">
        <v>723</v>
      </c>
      <c r="J1774" s="80"/>
      <c r="K1774" s="74">
        <f>+L1737</f>
        <v>318604248</v>
      </c>
      <c r="L1774" s="195">
        <f>+J1774+K1774</f>
        <v>318604248</v>
      </c>
      <c r="N1774" s="193" t="s">
        <v>289</v>
      </c>
      <c r="O1774" s="175"/>
    </row>
    <row r="1775" spans="9:16" ht="16.5" thickBot="1">
      <c r="I1775" s="164" t="s">
        <v>181</v>
      </c>
      <c r="J1775" s="165"/>
      <c r="K1775" s="74">
        <f>+L1738</f>
        <v>0</v>
      </c>
      <c r="L1775" s="196">
        <f>+J1775+K1775</f>
        <v>0</v>
      </c>
      <c r="N1775" s="52"/>
    </row>
    <row r="1776" spans="9:16" ht="16.5" thickBot="1">
      <c r="I1776" s="169"/>
      <c r="J1776" s="197">
        <f>SUM(J1771:J1775)</f>
        <v>1050000</v>
      </c>
      <c r="K1776" s="197">
        <f>SUM(K1771:K1775)</f>
        <v>489715435</v>
      </c>
      <c r="L1776" s="198">
        <f>SUM(L1771:L1775)</f>
        <v>490765435</v>
      </c>
    </row>
    <row r="1777" spans="9:16" ht="16.5">
      <c r="I1777" s="49" t="s">
        <v>88</v>
      </c>
      <c r="J1777" s="50"/>
    </row>
    <row r="1778" spans="9:16">
      <c r="I1778" s="51" t="s">
        <v>89</v>
      </c>
    </row>
    <row r="1779" spans="9:16">
      <c r="I1779" s="51" t="s">
        <v>90</v>
      </c>
    </row>
    <row r="1780" spans="9:16">
      <c r="I1780" s="51" t="s">
        <v>91</v>
      </c>
    </row>
    <row r="1781" spans="9:16" ht="12" customHeight="1">
      <c r="I1781" s="50"/>
      <c r="J1781" s="50"/>
    </row>
    <row r="1782" spans="9:16" ht="15.75">
      <c r="I1782" s="260" t="s">
        <v>969</v>
      </c>
      <c r="O1782" s="52"/>
    </row>
    <row r="1783" spans="9:16" ht="15.75">
      <c r="I1783" s="53" t="s">
        <v>535</v>
      </c>
      <c r="O1783" s="53"/>
    </row>
    <row r="1784" spans="9:16" ht="16.5">
      <c r="I1784" s="894" t="s">
        <v>979</v>
      </c>
      <c r="J1784" s="894"/>
      <c r="K1784" s="894"/>
      <c r="L1784" s="894"/>
      <c r="M1784" s="894"/>
      <c r="N1784" s="894"/>
      <c r="O1784" s="894"/>
      <c r="P1784" s="894"/>
    </row>
    <row r="1785" spans="9:16" ht="15.75" thickBot="1"/>
    <row r="1786" spans="9:16">
      <c r="I1786" s="895" t="s">
        <v>94</v>
      </c>
      <c r="J1786" s="897" t="s">
        <v>95</v>
      </c>
      <c r="K1786" s="897" t="s">
        <v>96</v>
      </c>
      <c r="L1786" s="897" t="s">
        <v>3</v>
      </c>
      <c r="M1786" s="897" t="s">
        <v>97</v>
      </c>
      <c r="N1786" s="897" t="s">
        <v>98</v>
      </c>
      <c r="O1786" s="897" t="s">
        <v>99</v>
      </c>
      <c r="P1786" s="899"/>
    </row>
    <row r="1787" spans="9:16" ht="15.75" thickBot="1">
      <c r="I1787" s="896"/>
      <c r="J1787" s="898"/>
      <c r="K1787" s="898"/>
      <c r="L1787" s="898"/>
      <c r="M1787" s="898"/>
      <c r="N1787" s="898"/>
      <c r="O1787" s="240" t="s">
        <v>100</v>
      </c>
      <c r="P1787" s="182" t="s">
        <v>101</v>
      </c>
    </row>
    <row r="1788" spans="9:16">
      <c r="I1788" s="881">
        <v>211</v>
      </c>
      <c r="J1788" s="875">
        <v>42521</v>
      </c>
      <c r="K1788" s="910" t="s">
        <v>974</v>
      </c>
      <c r="L1788" s="879" t="s">
        <v>556</v>
      </c>
      <c r="M1788" s="881" t="s">
        <v>145</v>
      </c>
      <c r="N1788" s="883">
        <v>2941578</v>
      </c>
      <c r="O1788" s="55">
        <v>719</v>
      </c>
      <c r="P1788" s="78">
        <v>0</v>
      </c>
    </row>
    <row r="1789" spans="9:16" ht="15.75" thickBot="1">
      <c r="I1789" s="882"/>
      <c r="J1789" s="876"/>
      <c r="K1789" s="911"/>
      <c r="L1789" s="880"/>
      <c r="M1789" s="882"/>
      <c r="N1789" s="884"/>
      <c r="O1789" s="56">
        <v>721</v>
      </c>
      <c r="P1789" s="79">
        <f>+N1788-P1788</f>
        <v>2941578</v>
      </c>
    </row>
    <row r="1790" spans="9:16">
      <c r="I1790" s="881"/>
      <c r="J1790" s="875"/>
      <c r="K1790" s="910"/>
      <c r="L1790" s="879"/>
      <c r="M1790" s="881"/>
      <c r="N1790" s="883"/>
      <c r="O1790" s="55">
        <v>719</v>
      </c>
      <c r="P1790" s="78">
        <v>0</v>
      </c>
    </row>
    <row r="1791" spans="9:16" ht="15.75" thickBot="1">
      <c r="I1791" s="882"/>
      <c r="J1791" s="876"/>
      <c r="K1791" s="911"/>
      <c r="L1791" s="880"/>
      <c r="M1791" s="882"/>
      <c r="N1791" s="884"/>
      <c r="O1791" s="56">
        <v>723</v>
      </c>
      <c r="P1791" s="79">
        <f>+N1790-P1790</f>
        <v>0</v>
      </c>
    </row>
    <row r="1792" spans="9:16">
      <c r="I1792" s="881"/>
      <c r="J1792" s="875"/>
      <c r="K1792" s="877"/>
      <c r="L1792" s="879"/>
      <c r="M1792" s="881"/>
      <c r="N1792" s="883"/>
      <c r="O1792" s="55">
        <v>719</v>
      </c>
      <c r="P1792" s="78"/>
    </row>
    <row r="1793" spans="9:16" ht="15.75" thickBot="1">
      <c r="I1793" s="882"/>
      <c r="J1793" s="876"/>
      <c r="K1793" s="878"/>
      <c r="L1793" s="880"/>
      <c r="M1793" s="882"/>
      <c r="N1793" s="884"/>
      <c r="O1793" s="56">
        <v>721</v>
      </c>
      <c r="P1793" s="79">
        <f>+N1792-P1792</f>
        <v>0</v>
      </c>
    </row>
    <row r="1794" spans="9:16" ht="12.75" customHeight="1">
      <c r="I1794" s="881"/>
      <c r="J1794" s="875"/>
      <c r="K1794" s="877"/>
      <c r="L1794" s="879"/>
      <c r="M1794" s="881"/>
      <c r="N1794" s="883"/>
      <c r="O1794" s="55">
        <v>719</v>
      </c>
      <c r="P1794" s="78"/>
    </row>
    <row r="1795" spans="9:16" ht="15.75" thickBot="1">
      <c r="I1795" s="882"/>
      <c r="J1795" s="876"/>
      <c r="K1795" s="878"/>
      <c r="L1795" s="880"/>
      <c r="M1795" s="882"/>
      <c r="N1795" s="884"/>
      <c r="O1795" s="56">
        <v>721</v>
      </c>
      <c r="P1795" s="79">
        <f>+N1794-P1794</f>
        <v>0</v>
      </c>
    </row>
    <row r="1796" spans="9:16">
      <c r="I1796" s="881"/>
      <c r="J1796" s="875"/>
      <c r="K1796" s="877"/>
      <c r="L1796" s="881"/>
      <c r="M1796" s="881"/>
      <c r="N1796" s="883"/>
      <c r="O1796" s="55">
        <v>719</v>
      </c>
      <c r="P1796" s="78"/>
    </row>
    <row r="1797" spans="9:16" ht="14.25" customHeight="1" thickBot="1">
      <c r="I1797" s="882"/>
      <c r="J1797" s="876"/>
      <c r="K1797" s="878"/>
      <c r="L1797" s="882"/>
      <c r="M1797" s="882"/>
      <c r="N1797" s="884"/>
      <c r="O1797" s="56">
        <v>721</v>
      </c>
      <c r="P1797" s="79">
        <f>+N1796-P1796</f>
        <v>0</v>
      </c>
    </row>
    <row r="1798" spans="9:16" ht="16.5" thickBot="1">
      <c r="I1798" s="901" t="s">
        <v>102</v>
      </c>
      <c r="J1798" s="902"/>
      <c r="K1798" s="902"/>
      <c r="L1798" s="902"/>
      <c r="M1798" s="903"/>
      <c r="N1798" s="81">
        <f>SUM(N1788:N1797)</f>
        <v>2941578</v>
      </c>
    </row>
    <row r="1799" spans="9:16" ht="16.5" thickBot="1">
      <c r="I1799" s="885" t="s">
        <v>103</v>
      </c>
      <c r="J1799" s="886"/>
      <c r="K1799" s="886"/>
      <c r="L1799" s="886"/>
      <c r="M1799" s="887"/>
      <c r="N1799" s="69">
        <f>+N1763</f>
        <v>490835435</v>
      </c>
      <c r="O1799" s="241" t="s">
        <v>561</v>
      </c>
      <c r="P1799" s="242"/>
    </row>
    <row r="1800" spans="9:16" ht="16.5" thickBot="1">
      <c r="I1800" s="888" t="s">
        <v>104</v>
      </c>
      <c r="J1800" s="889"/>
      <c r="K1800" s="889"/>
      <c r="L1800" s="889"/>
      <c r="M1800" s="890"/>
      <c r="N1800" s="183">
        <f>SUM(N1798:N1799)</f>
        <v>493777013</v>
      </c>
    </row>
    <row r="1801" spans="9:16">
      <c r="I1801" s="61"/>
      <c r="J1801" s="61"/>
      <c r="K1801" s="61"/>
      <c r="L1801" s="61"/>
      <c r="M1801" s="61"/>
    </row>
    <row r="1802" spans="9:16">
      <c r="I1802" s="51" t="s">
        <v>975</v>
      </c>
    </row>
    <row r="1803" spans="9:16">
      <c r="N1803" s="139"/>
    </row>
    <row r="1804" spans="9:16">
      <c r="I1804" s="50" t="s">
        <v>105</v>
      </c>
      <c r="L1804" s="146"/>
      <c r="N1804" s="139"/>
    </row>
    <row r="1805" spans="9:16" ht="12" customHeight="1" thickBot="1"/>
    <row r="1806" spans="9:16" ht="15.75" thickBot="1">
      <c r="I1806" s="891" t="s">
        <v>106</v>
      </c>
      <c r="J1806" s="892"/>
      <c r="K1806" s="892"/>
      <c r="L1806" s="893"/>
      <c r="N1806" s="50" t="s">
        <v>288</v>
      </c>
    </row>
    <row r="1807" spans="9:16" ht="30.75" thickBot="1">
      <c r="I1807" s="57" t="s">
        <v>100</v>
      </c>
      <c r="J1807" s="58" t="s">
        <v>108</v>
      </c>
      <c r="K1807" s="287" t="s">
        <v>109</v>
      </c>
      <c r="L1807" s="60" t="s">
        <v>110</v>
      </c>
    </row>
    <row r="1808" spans="9:16">
      <c r="I1808" s="71">
        <v>719</v>
      </c>
      <c r="J1808" s="73">
        <f>+P1788+P1790+P1792+P1794+P1796</f>
        <v>0</v>
      </c>
      <c r="K1808" s="74">
        <f>+L1771</f>
        <v>35920000</v>
      </c>
      <c r="L1808" s="195">
        <f>+J1808+K1808</f>
        <v>35920000</v>
      </c>
    </row>
    <row r="1809" spans="9:16">
      <c r="I1809" s="72">
        <v>721</v>
      </c>
      <c r="J1809" s="80">
        <f>+P1789</f>
        <v>2941578</v>
      </c>
      <c r="K1809" s="74">
        <f>+L1772</f>
        <v>93359481</v>
      </c>
      <c r="L1809" s="195">
        <f>+J1809+K1809</f>
        <v>96301059</v>
      </c>
    </row>
    <row r="1810" spans="9:16">
      <c r="I1810" s="72">
        <v>722</v>
      </c>
      <c r="J1810" s="80"/>
      <c r="K1810" s="74">
        <f>+L1773</f>
        <v>42881706</v>
      </c>
      <c r="L1810" s="195">
        <f>+J1810+K1810</f>
        <v>42881706</v>
      </c>
    </row>
    <row r="1811" spans="9:16" ht="15.75">
      <c r="I1811" s="72">
        <v>723</v>
      </c>
      <c r="J1811" s="80"/>
      <c r="K1811" s="74">
        <f>+L1774</f>
        <v>318604248</v>
      </c>
      <c r="L1811" s="195">
        <f>+J1811+K1811</f>
        <v>318604248</v>
      </c>
      <c r="N1811" s="193" t="s">
        <v>289</v>
      </c>
      <c r="O1811" s="175"/>
    </row>
    <row r="1812" spans="9:16" ht="16.5" thickBot="1">
      <c r="I1812" s="164" t="s">
        <v>181</v>
      </c>
      <c r="J1812" s="165"/>
      <c r="K1812" s="74">
        <f>+L1775</f>
        <v>0</v>
      </c>
      <c r="L1812" s="196">
        <f>+J1812+K1812</f>
        <v>0</v>
      </c>
      <c r="N1812" s="52"/>
    </row>
    <row r="1813" spans="9:16" ht="16.5" thickBot="1">
      <c r="I1813" s="169"/>
      <c r="J1813" s="197">
        <f>SUM(J1808:J1812)</f>
        <v>2941578</v>
      </c>
      <c r="K1813" s="197">
        <f>SUM(K1808:K1812)</f>
        <v>490765435</v>
      </c>
      <c r="L1813" s="198">
        <f>SUM(L1808:L1812)</f>
        <v>493707013</v>
      </c>
    </row>
    <row r="1814" spans="9:16" ht="16.5">
      <c r="I1814" s="49" t="s">
        <v>88</v>
      </c>
      <c r="J1814" s="50"/>
    </row>
    <row r="1815" spans="9:16">
      <c r="I1815" s="51" t="s">
        <v>89</v>
      </c>
    </row>
    <row r="1816" spans="9:16">
      <c r="I1816" s="51" t="s">
        <v>90</v>
      </c>
    </row>
    <row r="1817" spans="9:16">
      <c r="I1817" s="51" t="s">
        <v>91</v>
      </c>
    </row>
    <row r="1818" spans="9:16" ht="12" customHeight="1">
      <c r="I1818" s="50"/>
      <c r="J1818" s="50"/>
    </row>
    <row r="1819" spans="9:16" ht="15.75">
      <c r="I1819" s="260" t="s">
        <v>973</v>
      </c>
      <c r="O1819" s="52"/>
    </row>
    <row r="1820" spans="9:16" ht="15.75">
      <c r="I1820" s="53" t="s">
        <v>535</v>
      </c>
      <c r="O1820" s="53"/>
    </row>
    <row r="1821" spans="9:16" ht="16.5">
      <c r="I1821" s="894" t="s">
        <v>967</v>
      </c>
      <c r="J1821" s="894"/>
      <c r="K1821" s="894"/>
      <c r="L1821" s="894"/>
      <c r="M1821" s="894"/>
      <c r="N1821" s="894"/>
      <c r="O1821" s="894"/>
      <c r="P1821" s="894"/>
    </row>
    <row r="1822" spans="9:16" ht="15.75" thickBot="1"/>
    <row r="1823" spans="9:16">
      <c r="I1823" s="895" t="s">
        <v>968</v>
      </c>
      <c r="J1823" s="897" t="s">
        <v>95</v>
      </c>
      <c r="K1823" s="897" t="s">
        <v>96</v>
      </c>
      <c r="L1823" s="897" t="s">
        <v>3</v>
      </c>
      <c r="M1823" s="897" t="s">
        <v>97</v>
      </c>
      <c r="N1823" s="897" t="s">
        <v>98</v>
      </c>
      <c r="O1823" s="897" t="s">
        <v>99</v>
      </c>
      <c r="P1823" s="899"/>
    </row>
    <row r="1824" spans="9:16" ht="15.75" thickBot="1">
      <c r="I1824" s="896"/>
      <c r="J1824" s="898"/>
      <c r="K1824" s="898"/>
      <c r="L1824" s="898"/>
      <c r="M1824" s="898"/>
      <c r="N1824" s="898"/>
      <c r="O1824" s="240" t="s">
        <v>100</v>
      </c>
      <c r="P1824" s="182" t="s">
        <v>101</v>
      </c>
    </row>
    <row r="1825" spans="9:16">
      <c r="I1825" s="873" t="s">
        <v>545</v>
      </c>
      <c r="J1825" s="875">
        <v>42520</v>
      </c>
      <c r="K1825" s="910" t="s">
        <v>695</v>
      </c>
      <c r="L1825" s="879" t="s">
        <v>556</v>
      </c>
      <c r="M1825" s="881" t="s">
        <v>148</v>
      </c>
      <c r="N1825" s="883">
        <v>-241240</v>
      </c>
      <c r="O1825" s="55">
        <v>719</v>
      </c>
      <c r="P1825" s="78"/>
    </row>
    <row r="1826" spans="9:16" ht="15.75" thickBot="1">
      <c r="I1826" s="874"/>
      <c r="J1826" s="876"/>
      <c r="K1826" s="911"/>
      <c r="L1826" s="880"/>
      <c r="M1826" s="882"/>
      <c r="N1826" s="884"/>
      <c r="O1826" s="56">
        <v>723</v>
      </c>
      <c r="P1826" s="79">
        <f>+N1825-P1825</f>
        <v>-241240</v>
      </c>
    </row>
    <row r="1827" spans="9:16">
      <c r="I1827" s="873" t="s">
        <v>547</v>
      </c>
      <c r="J1827" s="875">
        <v>42520</v>
      </c>
      <c r="K1827" s="910" t="s">
        <v>695</v>
      </c>
      <c r="L1827" s="879" t="s">
        <v>556</v>
      </c>
      <c r="M1827" s="881" t="s">
        <v>115</v>
      </c>
      <c r="N1827" s="883">
        <v>-525000</v>
      </c>
      <c r="O1827" s="55">
        <v>719</v>
      </c>
      <c r="P1827" s="78"/>
    </row>
    <row r="1828" spans="9:16" ht="15.75" thickBot="1">
      <c r="I1828" s="874"/>
      <c r="J1828" s="876"/>
      <c r="K1828" s="911"/>
      <c r="L1828" s="880"/>
      <c r="M1828" s="882"/>
      <c r="N1828" s="884"/>
      <c r="O1828" s="56">
        <v>723</v>
      </c>
      <c r="P1828" s="79">
        <f>+N1827-P1827</f>
        <v>-525000</v>
      </c>
    </row>
    <row r="1829" spans="9:16" ht="12.75" customHeight="1">
      <c r="I1829" s="873"/>
      <c r="J1829" s="875"/>
      <c r="K1829" s="877"/>
      <c r="L1829" s="879"/>
      <c r="M1829" s="881"/>
      <c r="N1829" s="883"/>
      <c r="O1829" s="55">
        <v>719</v>
      </c>
      <c r="P1829" s="78"/>
    </row>
    <row r="1830" spans="9:16" ht="14.25" customHeight="1" thickBot="1">
      <c r="I1830" s="874"/>
      <c r="J1830" s="876"/>
      <c r="K1830" s="878"/>
      <c r="L1830" s="880"/>
      <c r="M1830" s="882"/>
      <c r="N1830" s="884"/>
      <c r="O1830" s="56">
        <v>723</v>
      </c>
      <c r="P1830" s="79">
        <f>+N1829-P1829</f>
        <v>0</v>
      </c>
    </row>
    <row r="1831" spans="9:16">
      <c r="I1831" s="873"/>
      <c r="J1831" s="875"/>
      <c r="K1831" s="877"/>
      <c r="L1831" s="879"/>
      <c r="M1831" s="881"/>
      <c r="N1831" s="883"/>
      <c r="O1831" s="55">
        <v>719</v>
      </c>
      <c r="P1831" s="78"/>
    </row>
    <row r="1832" spans="9:16" ht="15.75" thickBot="1">
      <c r="I1832" s="874"/>
      <c r="J1832" s="876"/>
      <c r="K1832" s="878"/>
      <c r="L1832" s="880"/>
      <c r="M1832" s="882"/>
      <c r="N1832" s="884"/>
      <c r="O1832" s="56">
        <v>723</v>
      </c>
      <c r="P1832" s="79">
        <f>+N1831-P1831</f>
        <v>0</v>
      </c>
    </row>
    <row r="1833" spans="9:16" ht="12.75" customHeight="1">
      <c r="I1833" s="873"/>
      <c r="J1833" s="875"/>
      <c r="K1833" s="877"/>
      <c r="L1833" s="879"/>
      <c r="M1833" s="881"/>
      <c r="N1833" s="883"/>
      <c r="O1833" s="55">
        <v>719</v>
      </c>
      <c r="P1833" s="78"/>
    </row>
    <row r="1834" spans="9:16" ht="15.75" thickBot="1">
      <c r="I1834" s="874"/>
      <c r="J1834" s="876"/>
      <c r="K1834" s="878"/>
      <c r="L1834" s="880"/>
      <c r="M1834" s="882"/>
      <c r="N1834" s="884"/>
      <c r="O1834" s="56">
        <v>723</v>
      </c>
      <c r="P1834" s="79">
        <f>+N1833-P1833</f>
        <v>0</v>
      </c>
    </row>
    <row r="1835" spans="9:16" ht="16.5" thickBot="1">
      <c r="I1835" s="901" t="s">
        <v>102</v>
      </c>
      <c r="J1835" s="902"/>
      <c r="K1835" s="902"/>
      <c r="L1835" s="902"/>
      <c r="M1835" s="903"/>
      <c r="N1835" s="81">
        <f>SUM(N1825:N1834)</f>
        <v>-766240</v>
      </c>
    </row>
    <row r="1836" spans="9:16" ht="16.5" thickBot="1">
      <c r="I1836" s="885" t="s">
        <v>103</v>
      </c>
      <c r="J1836" s="886"/>
      <c r="K1836" s="886"/>
      <c r="L1836" s="886"/>
      <c r="M1836" s="887"/>
      <c r="N1836" s="69">
        <f>+N1800</f>
        <v>493777013</v>
      </c>
      <c r="O1836" s="241" t="s">
        <v>561</v>
      </c>
      <c r="P1836" s="242"/>
    </row>
    <row r="1837" spans="9:16" ht="16.5" thickBot="1">
      <c r="I1837" s="888" t="s">
        <v>104</v>
      </c>
      <c r="J1837" s="889"/>
      <c r="K1837" s="889"/>
      <c r="L1837" s="889"/>
      <c r="M1837" s="890"/>
      <c r="N1837" s="183">
        <f>SUM(N1835:N1836)</f>
        <v>493010773</v>
      </c>
    </row>
    <row r="1838" spans="9:16">
      <c r="I1838" s="61"/>
      <c r="J1838" s="61"/>
      <c r="K1838" s="61"/>
      <c r="L1838" s="61"/>
      <c r="M1838" s="61"/>
    </row>
    <row r="1839" spans="9:16">
      <c r="I1839" s="51" t="s">
        <v>978</v>
      </c>
    </row>
    <row r="1840" spans="9:16" ht="12" customHeight="1">
      <c r="N1840" s="139"/>
    </row>
    <row r="1841" spans="9:15">
      <c r="I1841" s="50" t="s">
        <v>105</v>
      </c>
      <c r="L1841" s="146"/>
      <c r="N1841" s="139"/>
    </row>
    <row r="1842" spans="9:15" ht="12" customHeight="1" thickBot="1"/>
    <row r="1843" spans="9:15" ht="15.75" thickBot="1">
      <c r="I1843" s="891" t="s">
        <v>106</v>
      </c>
      <c r="J1843" s="892"/>
      <c r="K1843" s="892"/>
      <c r="L1843" s="893"/>
      <c r="N1843" s="50" t="s">
        <v>288</v>
      </c>
    </row>
    <row r="1844" spans="9:15" ht="30.75" thickBot="1">
      <c r="I1844" s="57" t="s">
        <v>100</v>
      </c>
      <c r="J1844" s="58" t="s">
        <v>108</v>
      </c>
      <c r="K1844" s="287" t="s">
        <v>109</v>
      </c>
      <c r="L1844" s="60" t="s">
        <v>110</v>
      </c>
    </row>
    <row r="1845" spans="9:15">
      <c r="I1845" s="71">
        <v>719</v>
      </c>
      <c r="J1845" s="73">
        <f>+P1825+P1827+P1829+P1831+P1833</f>
        <v>0</v>
      </c>
      <c r="K1845" s="74">
        <f>+L1808</f>
        <v>35920000</v>
      </c>
      <c r="L1845" s="195">
        <f>+J1845+K1845</f>
        <v>35920000</v>
      </c>
    </row>
    <row r="1846" spans="9:15">
      <c r="I1846" s="72">
        <v>721</v>
      </c>
      <c r="J1846" s="80">
        <v>0</v>
      </c>
      <c r="K1846" s="74">
        <f>+L1809</f>
        <v>96301059</v>
      </c>
      <c r="L1846" s="195">
        <f>+J1846+K1846</f>
        <v>96301059</v>
      </c>
    </row>
    <row r="1847" spans="9:15">
      <c r="I1847" s="72">
        <v>722</v>
      </c>
      <c r="J1847" s="80"/>
      <c r="K1847" s="74">
        <f>+L1810</f>
        <v>42881706</v>
      </c>
      <c r="L1847" s="195">
        <f>+J1847+K1847</f>
        <v>42881706</v>
      </c>
    </row>
    <row r="1848" spans="9:15" ht="15.75">
      <c r="I1848" s="72">
        <v>723</v>
      </c>
      <c r="J1848" s="80">
        <f>+P1834+P1832+P1830+P1828+P1826</f>
        <v>-766240</v>
      </c>
      <c r="K1848" s="74">
        <f>+L1811</f>
        <v>318604248</v>
      </c>
      <c r="L1848" s="195">
        <f>+J1848+K1848</f>
        <v>317838008</v>
      </c>
      <c r="N1848" s="193" t="s">
        <v>289</v>
      </c>
      <c r="O1848" s="175"/>
    </row>
    <row r="1849" spans="9:15" ht="16.5" thickBot="1">
      <c r="I1849" s="164" t="s">
        <v>181</v>
      </c>
      <c r="J1849" s="165"/>
      <c r="K1849" s="74">
        <f>+L1812</f>
        <v>0</v>
      </c>
      <c r="L1849" s="196">
        <f>+J1849+K1849</f>
        <v>0</v>
      </c>
      <c r="N1849" s="52"/>
    </row>
    <row r="1850" spans="9:15" ht="16.5" thickBot="1">
      <c r="I1850" s="169"/>
      <c r="J1850" s="197">
        <f>SUM(J1845:J1849)</f>
        <v>-766240</v>
      </c>
      <c r="K1850" s="197">
        <f>SUM(K1845:K1849)</f>
        <v>493707013</v>
      </c>
      <c r="L1850" s="198">
        <f>SUM(L1845:L1849)</f>
        <v>492940773</v>
      </c>
    </row>
    <row r="1851" spans="9:15" ht="16.5">
      <c r="I1851" s="49" t="s">
        <v>88</v>
      </c>
      <c r="J1851" s="50"/>
    </row>
    <row r="1852" spans="9:15">
      <c r="I1852" s="51" t="s">
        <v>89</v>
      </c>
    </row>
    <row r="1853" spans="9:15">
      <c r="I1853" s="51" t="s">
        <v>90</v>
      </c>
    </row>
    <row r="1854" spans="9:15">
      <c r="I1854" s="51" t="s">
        <v>91</v>
      </c>
    </row>
    <row r="1855" spans="9:15">
      <c r="I1855" s="50"/>
      <c r="J1855" s="50"/>
    </row>
    <row r="1856" spans="9:15" ht="15.75">
      <c r="I1856" s="260" t="s">
        <v>977</v>
      </c>
      <c r="O1856" s="52"/>
    </row>
    <row r="1857" spans="9:16" ht="15.75">
      <c r="I1857" s="53" t="s">
        <v>535</v>
      </c>
      <c r="O1857" s="53"/>
    </row>
    <row r="1858" spans="9:16" ht="16.5">
      <c r="I1858" s="894" t="s">
        <v>967</v>
      </c>
      <c r="J1858" s="894"/>
      <c r="K1858" s="894"/>
      <c r="L1858" s="894"/>
      <c r="M1858" s="894"/>
      <c r="N1858" s="894"/>
      <c r="O1858" s="894"/>
      <c r="P1858" s="894"/>
    </row>
    <row r="1859" spans="9:16" ht="15.75" thickBot="1"/>
    <row r="1860" spans="9:16">
      <c r="I1860" s="895" t="s">
        <v>968</v>
      </c>
      <c r="J1860" s="897" t="s">
        <v>95</v>
      </c>
      <c r="K1860" s="897" t="s">
        <v>96</v>
      </c>
      <c r="L1860" s="897" t="s">
        <v>3</v>
      </c>
      <c r="M1860" s="897" t="s">
        <v>97</v>
      </c>
      <c r="N1860" s="897" t="s">
        <v>98</v>
      </c>
      <c r="O1860" s="897" t="s">
        <v>99</v>
      </c>
      <c r="P1860" s="899"/>
    </row>
    <row r="1861" spans="9:16" ht="15.75" thickBot="1">
      <c r="I1861" s="896"/>
      <c r="J1861" s="898"/>
      <c r="K1861" s="898"/>
      <c r="L1861" s="898"/>
      <c r="M1861" s="898"/>
      <c r="N1861" s="898"/>
      <c r="O1861" s="240" t="s">
        <v>100</v>
      </c>
      <c r="P1861" s="182" t="s">
        <v>101</v>
      </c>
    </row>
    <row r="1862" spans="9:16" ht="13.5" customHeight="1">
      <c r="I1862" s="873" t="s">
        <v>548</v>
      </c>
      <c r="J1862" s="875">
        <v>42520</v>
      </c>
      <c r="K1862" s="877" t="s">
        <v>701</v>
      </c>
      <c r="L1862" s="879" t="s">
        <v>556</v>
      </c>
      <c r="M1862" s="881" t="s">
        <v>148</v>
      </c>
      <c r="N1862" s="883">
        <v>-630000</v>
      </c>
      <c r="O1862" s="55">
        <v>719</v>
      </c>
      <c r="P1862" s="78"/>
    </row>
    <row r="1863" spans="9:16" ht="15.75" customHeight="1" thickBot="1">
      <c r="I1863" s="874"/>
      <c r="J1863" s="876"/>
      <c r="K1863" s="878"/>
      <c r="L1863" s="880"/>
      <c r="M1863" s="882"/>
      <c r="N1863" s="884"/>
      <c r="O1863" s="56">
        <v>723</v>
      </c>
      <c r="P1863" s="79">
        <f>+N1862-P1862</f>
        <v>-630000</v>
      </c>
    </row>
    <row r="1864" spans="9:16" ht="15" customHeight="1">
      <c r="I1864" s="873" t="s">
        <v>549</v>
      </c>
      <c r="J1864" s="875">
        <v>42520</v>
      </c>
      <c r="K1864" s="877" t="s">
        <v>673</v>
      </c>
      <c r="L1864" s="879" t="s">
        <v>556</v>
      </c>
      <c r="M1864" s="881" t="s">
        <v>148</v>
      </c>
      <c r="N1864" s="883">
        <v>-630000</v>
      </c>
      <c r="O1864" s="55">
        <v>719</v>
      </c>
      <c r="P1864" s="78"/>
    </row>
    <row r="1865" spans="9:16" ht="13.5" customHeight="1" thickBot="1">
      <c r="I1865" s="874"/>
      <c r="J1865" s="876"/>
      <c r="K1865" s="878"/>
      <c r="L1865" s="880"/>
      <c r="M1865" s="882"/>
      <c r="N1865" s="884"/>
      <c r="O1865" s="56">
        <v>723</v>
      </c>
      <c r="P1865" s="79">
        <f>+N1864-P1864</f>
        <v>-630000</v>
      </c>
    </row>
    <row r="1866" spans="9:16" ht="15" customHeight="1">
      <c r="I1866" s="873" t="s">
        <v>550</v>
      </c>
      <c r="J1866" s="875">
        <v>42520</v>
      </c>
      <c r="K1866" s="877" t="s">
        <v>729</v>
      </c>
      <c r="L1866" s="879" t="s">
        <v>556</v>
      </c>
      <c r="M1866" s="881" t="s">
        <v>148</v>
      </c>
      <c r="N1866" s="883">
        <v>-945000</v>
      </c>
      <c r="O1866" s="55">
        <v>719</v>
      </c>
      <c r="P1866" s="78"/>
    </row>
    <row r="1867" spans="9:16" ht="15.75" customHeight="1" thickBot="1">
      <c r="I1867" s="874"/>
      <c r="J1867" s="876"/>
      <c r="K1867" s="878"/>
      <c r="L1867" s="880"/>
      <c r="M1867" s="882"/>
      <c r="N1867" s="884"/>
      <c r="O1867" s="56">
        <v>723</v>
      </c>
      <c r="P1867" s="79">
        <f>+N1866-P1866</f>
        <v>-945000</v>
      </c>
    </row>
    <row r="1868" spans="9:16" ht="15" customHeight="1">
      <c r="I1868" s="873" t="s">
        <v>551</v>
      </c>
      <c r="J1868" s="875">
        <v>42520</v>
      </c>
      <c r="K1868" s="877" t="s">
        <v>694</v>
      </c>
      <c r="L1868" s="879" t="s">
        <v>556</v>
      </c>
      <c r="M1868" s="881" t="s">
        <v>148</v>
      </c>
      <c r="N1868" s="883">
        <v>-25611697</v>
      </c>
      <c r="O1868" s="55">
        <v>719</v>
      </c>
      <c r="P1868" s="78"/>
    </row>
    <row r="1869" spans="9:16" ht="15.75" customHeight="1" thickBot="1">
      <c r="I1869" s="874"/>
      <c r="J1869" s="876"/>
      <c r="K1869" s="878"/>
      <c r="L1869" s="880"/>
      <c r="M1869" s="882"/>
      <c r="N1869" s="884"/>
      <c r="O1869" s="56">
        <v>723</v>
      </c>
      <c r="P1869" s="79">
        <f>+N1868-P1868</f>
        <v>-25611697</v>
      </c>
    </row>
    <row r="1870" spans="9:16" ht="12" customHeight="1">
      <c r="I1870" s="873"/>
      <c r="J1870" s="875"/>
      <c r="K1870" s="877"/>
      <c r="L1870" s="879"/>
      <c r="M1870" s="881"/>
      <c r="N1870" s="883"/>
      <c r="O1870" s="55">
        <v>719</v>
      </c>
      <c r="P1870" s="78"/>
    </row>
    <row r="1871" spans="9:16" ht="12" customHeight="1" thickBot="1">
      <c r="I1871" s="874"/>
      <c r="J1871" s="876"/>
      <c r="K1871" s="878"/>
      <c r="L1871" s="880"/>
      <c r="M1871" s="882"/>
      <c r="N1871" s="884"/>
      <c r="O1871" s="56">
        <v>723</v>
      </c>
      <c r="P1871" s="79">
        <f>+N1870-P1870</f>
        <v>0</v>
      </c>
    </row>
    <row r="1872" spans="9:16" ht="16.5" thickBot="1">
      <c r="I1872" s="901" t="s">
        <v>102</v>
      </c>
      <c r="J1872" s="902"/>
      <c r="K1872" s="902"/>
      <c r="L1872" s="902"/>
      <c r="M1872" s="903"/>
      <c r="N1872" s="81">
        <f>SUM(N1862:N1871)</f>
        <v>-27816697</v>
      </c>
    </row>
    <row r="1873" spans="9:16" ht="16.5" thickBot="1">
      <c r="I1873" s="885" t="s">
        <v>103</v>
      </c>
      <c r="J1873" s="886"/>
      <c r="K1873" s="886"/>
      <c r="L1873" s="886"/>
      <c r="M1873" s="887"/>
      <c r="N1873" s="69">
        <f>+N1837</f>
        <v>493010773</v>
      </c>
      <c r="O1873" s="241" t="s">
        <v>561</v>
      </c>
      <c r="P1873" s="242"/>
    </row>
    <row r="1874" spans="9:16" ht="16.5" thickBot="1">
      <c r="I1874" s="888" t="s">
        <v>104</v>
      </c>
      <c r="J1874" s="889"/>
      <c r="K1874" s="889"/>
      <c r="L1874" s="889"/>
      <c r="M1874" s="890"/>
      <c r="N1874" s="183">
        <f>SUM(N1872:N1873)</f>
        <v>465194076</v>
      </c>
    </row>
    <row r="1875" spans="9:16">
      <c r="I1875" s="61"/>
      <c r="J1875" s="61"/>
      <c r="K1875" s="61"/>
      <c r="L1875" s="61"/>
      <c r="M1875" s="61"/>
    </row>
    <row r="1876" spans="9:16">
      <c r="I1876" s="51" t="s">
        <v>989</v>
      </c>
    </row>
    <row r="1877" spans="9:16">
      <c r="N1877" s="139"/>
    </row>
    <row r="1878" spans="9:16">
      <c r="I1878" s="50" t="s">
        <v>105</v>
      </c>
      <c r="L1878" s="146"/>
      <c r="N1878" s="139"/>
    </row>
    <row r="1879" spans="9:16" ht="15.75" thickBot="1"/>
    <row r="1880" spans="9:16" ht="15.75" thickBot="1">
      <c r="I1880" s="891" t="s">
        <v>106</v>
      </c>
      <c r="J1880" s="892"/>
      <c r="K1880" s="892"/>
      <c r="L1880" s="893"/>
      <c r="N1880" s="50" t="s">
        <v>288</v>
      </c>
    </row>
    <row r="1881" spans="9:16" ht="30.75" thickBot="1">
      <c r="I1881" s="57" t="s">
        <v>100</v>
      </c>
      <c r="J1881" s="58" t="s">
        <v>108</v>
      </c>
      <c r="K1881" s="287" t="s">
        <v>109</v>
      </c>
      <c r="L1881" s="60" t="s">
        <v>110</v>
      </c>
    </row>
    <row r="1882" spans="9:16">
      <c r="I1882" s="71">
        <v>719</v>
      </c>
      <c r="J1882" s="73">
        <f>+P1862+P1864+P1868</f>
        <v>0</v>
      </c>
      <c r="K1882" s="74">
        <f>+L1845</f>
        <v>35920000</v>
      </c>
      <c r="L1882" s="195">
        <f>+J1882+K1882</f>
        <v>35920000</v>
      </c>
    </row>
    <row r="1883" spans="9:16">
      <c r="I1883" s="72">
        <v>721</v>
      </c>
      <c r="J1883" s="80">
        <v>0</v>
      </c>
      <c r="K1883" s="74">
        <f>+L1846</f>
        <v>96301059</v>
      </c>
      <c r="L1883" s="195">
        <f>+J1883+K1883</f>
        <v>96301059</v>
      </c>
    </row>
    <row r="1884" spans="9:16">
      <c r="I1884" s="72">
        <v>722</v>
      </c>
      <c r="J1884" s="80"/>
      <c r="K1884" s="74">
        <f>+L1847</f>
        <v>42881706</v>
      </c>
      <c r="L1884" s="195">
        <f>+J1884+K1884</f>
        <v>42881706</v>
      </c>
    </row>
    <row r="1885" spans="9:16" ht="15.75">
      <c r="I1885" s="72">
        <v>723</v>
      </c>
      <c r="J1885" s="80">
        <f>+P1869+P1865+P1863+P1867</f>
        <v>-27816697</v>
      </c>
      <c r="K1885" s="74">
        <f>+L1848</f>
        <v>317838008</v>
      </c>
      <c r="L1885" s="195">
        <f>+J1885+K1885</f>
        <v>290021311</v>
      </c>
      <c r="N1885" s="193" t="s">
        <v>289</v>
      </c>
      <c r="O1885" s="175"/>
    </row>
    <row r="1886" spans="9:16" ht="16.5" thickBot="1">
      <c r="I1886" s="164" t="s">
        <v>181</v>
      </c>
      <c r="J1886" s="165"/>
      <c r="K1886" s="74">
        <f>+L1849</f>
        <v>0</v>
      </c>
      <c r="L1886" s="196">
        <f>+J1886+K1886</f>
        <v>0</v>
      </c>
      <c r="N1886" s="52"/>
    </row>
    <row r="1887" spans="9:16" ht="16.5" thickBot="1">
      <c r="I1887" s="169"/>
      <c r="J1887" s="197">
        <f>SUM(J1882:J1886)</f>
        <v>-27816697</v>
      </c>
      <c r="K1887" s="197">
        <f>SUM(K1882:K1886)</f>
        <v>492940773</v>
      </c>
      <c r="L1887" s="198">
        <f>SUM(L1882:L1886)</f>
        <v>465124076</v>
      </c>
    </row>
    <row r="1888" spans="9:16" ht="16.5">
      <c r="I1888" s="49" t="s">
        <v>88</v>
      </c>
      <c r="J1888" s="50"/>
    </row>
    <row r="1889" spans="9:16">
      <c r="I1889" s="51" t="s">
        <v>89</v>
      </c>
    </row>
    <row r="1890" spans="9:16">
      <c r="I1890" s="51" t="s">
        <v>90</v>
      </c>
    </row>
    <row r="1891" spans="9:16">
      <c r="I1891" s="51" t="s">
        <v>91</v>
      </c>
    </row>
    <row r="1892" spans="9:16">
      <c r="I1892" s="50"/>
      <c r="J1892" s="50"/>
    </row>
    <row r="1893" spans="9:16" ht="15.75">
      <c r="I1893" s="260" t="s">
        <v>980</v>
      </c>
      <c r="O1893" s="52"/>
    </row>
    <row r="1894" spans="9:16" ht="15.75">
      <c r="I1894" s="53" t="s">
        <v>535</v>
      </c>
      <c r="O1894" s="53"/>
    </row>
    <row r="1895" spans="9:16" ht="16.5">
      <c r="I1895" s="894" t="s">
        <v>909</v>
      </c>
      <c r="J1895" s="894"/>
      <c r="K1895" s="894"/>
      <c r="L1895" s="894"/>
      <c r="M1895" s="894"/>
      <c r="N1895" s="894"/>
      <c r="O1895" s="894"/>
      <c r="P1895" s="894"/>
    </row>
    <row r="1896" spans="9:16" ht="15.75" thickBot="1"/>
    <row r="1897" spans="9:16">
      <c r="I1897" s="895" t="s">
        <v>94</v>
      </c>
      <c r="J1897" s="897" t="s">
        <v>95</v>
      </c>
      <c r="K1897" s="897" t="s">
        <v>96</v>
      </c>
      <c r="L1897" s="897" t="s">
        <v>3</v>
      </c>
      <c r="M1897" s="897" t="s">
        <v>97</v>
      </c>
      <c r="N1897" s="897" t="s">
        <v>98</v>
      </c>
      <c r="O1897" s="897" t="s">
        <v>99</v>
      </c>
      <c r="P1897" s="899"/>
    </row>
    <row r="1898" spans="9:16" ht="15.75" thickBot="1">
      <c r="I1898" s="896"/>
      <c r="J1898" s="898"/>
      <c r="K1898" s="898"/>
      <c r="L1898" s="898"/>
      <c r="M1898" s="898"/>
      <c r="N1898" s="898"/>
      <c r="O1898" s="240" t="s">
        <v>100</v>
      </c>
      <c r="P1898" s="182" t="s">
        <v>101</v>
      </c>
    </row>
    <row r="1899" spans="9:16">
      <c r="I1899" s="881">
        <v>212</v>
      </c>
      <c r="J1899" s="875">
        <v>42549</v>
      </c>
      <c r="K1899" s="877" t="s">
        <v>272</v>
      </c>
      <c r="L1899" s="879" t="s">
        <v>983</v>
      </c>
      <c r="M1899" s="881" t="s">
        <v>115</v>
      </c>
      <c r="N1899" s="883">
        <v>140000</v>
      </c>
      <c r="O1899" s="55">
        <v>719</v>
      </c>
      <c r="P1899" s="78">
        <v>140000</v>
      </c>
    </row>
    <row r="1900" spans="9:16" ht="15.75" thickBot="1">
      <c r="I1900" s="882"/>
      <c r="J1900" s="876"/>
      <c r="K1900" s="878"/>
      <c r="L1900" s="880"/>
      <c r="M1900" s="882"/>
      <c r="N1900" s="884"/>
      <c r="O1900" s="56">
        <v>721</v>
      </c>
      <c r="P1900" s="79">
        <f>+N1899-P1899</f>
        <v>0</v>
      </c>
    </row>
    <row r="1901" spans="9:16" ht="15" customHeight="1">
      <c r="I1901" s="881">
        <v>213</v>
      </c>
      <c r="J1901" s="875">
        <v>42549</v>
      </c>
      <c r="K1901" s="877" t="s">
        <v>28</v>
      </c>
      <c r="L1901" s="879" t="s">
        <v>982</v>
      </c>
      <c r="M1901" s="881" t="s">
        <v>115</v>
      </c>
      <c r="N1901" s="883">
        <v>40000</v>
      </c>
      <c r="O1901" s="55">
        <v>719</v>
      </c>
      <c r="P1901" s="78">
        <v>40000</v>
      </c>
    </row>
    <row r="1902" spans="9:16" ht="15.75" customHeight="1" thickBot="1">
      <c r="I1902" s="882"/>
      <c r="J1902" s="876"/>
      <c r="K1902" s="878"/>
      <c r="L1902" s="880"/>
      <c r="M1902" s="882"/>
      <c r="N1902" s="884"/>
      <c r="O1902" s="56">
        <v>721</v>
      </c>
      <c r="P1902" s="79">
        <f>+N1901-P1901</f>
        <v>0</v>
      </c>
    </row>
    <row r="1903" spans="9:16" ht="15" customHeight="1">
      <c r="I1903" s="881">
        <v>214</v>
      </c>
      <c r="J1903" s="875">
        <v>42549</v>
      </c>
      <c r="K1903" s="877" t="s">
        <v>120</v>
      </c>
      <c r="L1903" s="879" t="s">
        <v>984</v>
      </c>
      <c r="M1903" s="881" t="s">
        <v>115</v>
      </c>
      <c r="N1903" s="883">
        <v>30000</v>
      </c>
      <c r="O1903" s="55">
        <v>719</v>
      </c>
      <c r="P1903" s="78">
        <v>30000</v>
      </c>
    </row>
    <row r="1904" spans="9:16" ht="15.75" customHeight="1" thickBot="1">
      <c r="I1904" s="882"/>
      <c r="J1904" s="876"/>
      <c r="K1904" s="878"/>
      <c r="L1904" s="880"/>
      <c r="M1904" s="882"/>
      <c r="N1904" s="884"/>
      <c r="O1904" s="56">
        <v>721</v>
      </c>
      <c r="P1904" s="79">
        <f>+N1903-P1903</f>
        <v>0</v>
      </c>
    </row>
    <row r="1905" spans="9:16" ht="15" customHeight="1">
      <c r="I1905" s="881">
        <v>215</v>
      </c>
      <c r="J1905" s="875">
        <v>42549</v>
      </c>
      <c r="K1905" s="877" t="s">
        <v>272</v>
      </c>
      <c r="L1905" s="879" t="s">
        <v>985</v>
      </c>
      <c r="M1905" s="881" t="s">
        <v>115</v>
      </c>
      <c r="N1905" s="883">
        <v>200000</v>
      </c>
      <c r="O1905" s="55">
        <v>719</v>
      </c>
      <c r="P1905" s="78">
        <v>200000</v>
      </c>
    </row>
    <row r="1906" spans="9:16" ht="15.75" customHeight="1" thickBot="1">
      <c r="I1906" s="882"/>
      <c r="J1906" s="876"/>
      <c r="K1906" s="878"/>
      <c r="L1906" s="880"/>
      <c r="M1906" s="882"/>
      <c r="N1906" s="884"/>
      <c r="O1906" s="56">
        <v>721</v>
      </c>
      <c r="P1906" s="79">
        <f>+N1905-P1905</f>
        <v>0</v>
      </c>
    </row>
    <row r="1907" spans="9:16" ht="15" customHeight="1">
      <c r="I1907" s="881"/>
      <c r="J1907" s="875"/>
      <c r="K1907" s="877"/>
      <c r="L1907" s="881"/>
      <c r="M1907" s="881"/>
      <c r="N1907" s="883"/>
      <c r="O1907" s="55">
        <v>719</v>
      </c>
      <c r="P1907" s="78"/>
    </row>
    <row r="1908" spans="9:16" ht="12" customHeight="1" thickBot="1">
      <c r="I1908" s="882"/>
      <c r="J1908" s="876"/>
      <c r="K1908" s="878"/>
      <c r="L1908" s="882"/>
      <c r="M1908" s="882"/>
      <c r="N1908" s="884"/>
      <c r="O1908" s="56">
        <v>721</v>
      </c>
      <c r="P1908" s="79">
        <f>+N1907-P1907</f>
        <v>0</v>
      </c>
    </row>
    <row r="1909" spans="9:16" ht="16.5" thickBot="1">
      <c r="I1909" s="901" t="s">
        <v>102</v>
      </c>
      <c r="J1909" s="902"/>
      <c r="K1909" s="902"/>
      <c r="L1909" s="902"/>
      <c r="M1909" s="903"/>
      <c r="N1909" s="81">
        <f>SUM(N1899:N1908)</f>
        <v>410000</v>
      </c>
    </row>
    <row r="1910" spans="9:16" ht="16.5" thickBot="1">
      <c r="I1910" s="885" t="s">
        <v>103</v>
      </c>
      <c r="J1910" s="886"/>
      <c r="K1910" s="886"/>
      <c r="L1910" s="886"/>
      <c r="M1910" s="887"/>
      <c r="N1910" s="69">
        <f>+N1874</f>
        <v>465194076</v>
      </c>
      <c r="O1910" s="241" t="s">
        <v>561</v>
      </c>
      <c r="P1910" s="242">
        <f>649+441+67+12</f>
        <v>1169</v>
      </c>
    </row>
    <row r="1911" spans="9:16" ht="16.5" thickBot="1">
      <c r="I1911" s="888" t="s">
        <v>104</v>
      </c>
      <c r="J1911" s="889"/>
      <c r="K1911" s="889"/>
      <c r="L1911" s="889"/>
      <c r="M1911" s="890"/>
      <c r="N1911" s="183">
        <f>SUM(N1909:N1910)</f>
        <v>465604076</v>
      </c>
    </row>
    <row r="1912" spans="9:16">
      <c r="I1912" s="61"/>
      <c r="J1912" s="61"/>
      <c r="K1912" s="61"/>
      <c r="L1912" s="61"/>
      <c r="M1912" s="61"/>
    </row>
    <row r="1913" spans="9:16">
      <c r="I1913" s="51" t="s">
        <v>990</v>
      </c>
    </row>
    <row r="1914" spans="9:16" ht="12" customHeight="1">
      <c r="N1914" s="139"/>
    </row>
    <row r="1915" spans="9:16">
      <c r="I1915" s="50" t="s">
        <v>105</v>
      </c>
      <c r="L1915" s="146"/>
      <c r="N1915" s="139"/>
    </row>
    <row r="1916" spans="9:16" ht="12.75" customHeight="1" thickBot="1"/>
    <row r="1917" spans="9:16" ht="15.75" thickBot="1">
      <c r="I1917" s="891" t="s">
        <v>106</v>
      </c>
      <c r="J1917" s="892"/>
      <c r="K1917" s="892"/>
      <c r="L1917" s="893"/>
      <c r="N1917" s="50" t="s">
        <v>288</v>
      </c>
    </row>
    <row r="1918" spans="9:16" ht="30.75" thickBot="1">
      <c r="I1918" s="57" t="s">
        <v>100</v>
      </c>
      <c r="J1918" s="58" t="s">
        <v>108</v>
      </c>
      <c r="K1918" s="287" t="s">
        <v>109</v>
      </c>
      <c r="L1918" s="60" t="s">
        <v>110</v>
      </c>
    </row>
    <row r="1919" spans="9:16">
      <c r="I1919" s="71">
        <v>719</v>
      </c>
      <c r="J1919" s="73">
        <f>+P1899+P1901+P1903+P1905+P1907</f>
        <v>410000</v>
      </c>
      <c r="K1919" s="74">
        <f>+L1882</f>
        <v>35920000</v>
      </c>
      <c r="L1919" s="195">
        <f>+J1919+K1919</f>
        <v>36330000</v>
      </c>
    </row>
    <row r="1920" spans="9:16">
      <c r="I1920" s="72">
        <v>721</v>
      </c>
      <c r="J1920" s="80">
        <f>+P1900+P1902+P1904+P1906</f>
        <v>0</v>
      </c>
      <c r="K1920" s="74">
        <f>+L1883</f>
        <v>96301059</v>
      </c>
      <c r="L1920" s="195">
        <f>+J1920+K1920</f>
        <v>96301059</v>
      </c>
    </row>
    <row r="1921" spans="9:16">
      <c r="I1921" s="72">
        <v>722</v>
      </c>
      <c r="J1921" s="80"/>
      <c r="K1921" s="74">
        <f>+L1884</f>
        <v>42881706</v>
      </c>
      <c r="L1921" s="195">
        <f>+J1921+K1921</f>
        <v>42881706</v>
      </c>
    </row>
    <row r="1922" spans="9:16" ht="15.75">
      <c r="I1922" s="72">
        <v>723</v>
      </c>
      <c r="J1922" s="80"/>
      <c r="K1922" s="74">
        <f>+L1885</f>
        <v>290021311</v>
      </c>
      <c r="L1922" s="195">
        <f>+J1922+K1922</f>
        <v>290021311</v>
      </c>
      <c r="N1922" s="193" t="s">
        <v>289</v>
      </c>
      <c r="O1922" s="175"/>
    </row>
    <row r="1923" spans="9:16" ht="16.5" thickBot="1">
      <c r="I1923" s="164" t="s">
        <v>181</v>
      </c>
      <c r="J1923" s="165"/>
      <c r="K1923" s="74">
        <f>+L1886</f>
        <v>0</v>
      </c>
      <c r="L1923" s="196">
        <f>+J1923+K1923</f>
        <v>0</v>
      </c>
      <c r="N1923" s="52"/>
    </row>
    <row r="1924" spans="9:16" ht="16.5" thickBot="1">
      <c r="I1924" s="169"/>
      <c r="J1924" s="197">
        <f>SUM(J1919:J1923)</f>
        <v>410000</v>
      </c>
      <c r="K1924" s="197">
        <f>SUM(K1919:K1923)</f>
        <v>465124076</v>
      </c>
      <c r="L1924" s="198">
        <f>SUM(L1919:L1923)</f>
        <v>465534076</v>
      </c>
    </row>
    <row r="1925" spans="9:16" ht="16.5">
      <c r="I1925" s="49" t="s">
        <v>88</v>
      </c>
      <c r="J1925" s="50"/>
    </row>
    <row r="1926" spans="9:16">
      <c r="I1926" s="51" t="s">
        <v>89</v>
      </c>
    </row>
    <row r="1927" spans="9:16">
      <c r="I1927" s="51" t="s">
        <v>90</v>
      </c>
    </row>
    <row r="1928" spans="9:16">
      <c r="I1928" s="51" t="s">
        <v>91</v>
      </c>
    </row>
    <row r="1929" spans="9:16" ht="11.25" customHeight="1">
      <c r="I1929" s="50"/>
      <c r="J1929" s="50"/>
    </row>
    <row r="1930" spans="9:16" ht="15.75">
      <c r="I1930" s="260" t="s">
        <v>981</v>
      </c>
      <c r="O1930" s="52"/>
    </row>
    <row r="1931" spans="9:16" ht="15.75">
      <c r="I1931" s="53" t="s">
        <v>535</v>
      </c>
      <c r="O1931" s="53"/>
    </row>
    <row r="1932" spans="9:16" ht="16.5">
      <c r="I1932" s="894" t="s">
        <v>909</v>
      </c>
      <c r="J1932" s="894"/>
      <c r="K1932" s="894"/>
      <c r="L1932" s="894"/>
      <c r="M1932" s="894"/>
      <c r="N1932" s="894"/>
      <c r="O1932" s="894"/>
      <c r="P1932" s="894"/>
    </row>
    <row r="1933" spans="9:16" ht="15.75" thickBot="1"/>
    <row r="1934" spans="9:16">
      <c r="I1934" s="895" t="s">
        <v>94</v>
      </c>
      <c r="J1934" s="897" t="s">
        <v>95</v>
      </c>
      <c r="K1934" s="897" t="s">
        <v>96</v>
      </c>
      <c r="L1934" s="897" t="s">
        <v>3</v>
      </c>
      <c r="M1934" s="897" t="s">
        <v>97</v>
      </c>
      <c r="N1934" s="897" t="s">
        <v>98</v>
      </c>
      <c r="O1934" s="897" t="s">
        <v>99</v>
      </c>
      <c r="P1934" s="899"/>
    </row>
    <row r="1935" spans="9:16" ht="15.75" thickBot="1">
      <c r="I1935" s="896"/>
      <c r="J1935" s="898"/>
      <c r="K1935" s="898"/>
      <c r="L1935" s="898"/>
      <c r="M1935" s="898"/>
      <c r="N1935" s="898"/>
      <c r="O1935" s="240" t="s">
        <v>100</v>
      </c>
      <c r="P1935" s="182" t="s">
        <v>101</v>
      </c>
    </row>
    <row r="1936" spans="9:16" ht="15" customHeight="1">
      <c r="I1936" s="881">
        <v>216</v>
      </c>
      <c r="J1936" s="875">
        <v>42549</v>
      </c>
      <c r="K1936" s="877" t="s">
        <v>272</v>
      </c>
      <c r="L1936" s="879" t="s">
        <v>986</v>
      </c>
      <c r="M1936" s="881" t="s">
        <v>115</v>
      </c>
      <c r="N1936" s="883">
        <v>60000</v>
      </c>
      <c r="O1936" s="55">
        <v>719</v>
      </c>
      <c r="P1936" s="78">
        <v>60000</v>
      </c>
    </row>
    <row r="1937" spans="9:16" ht="15.75" customHeight="1" thickBot="1">
      <c r="I1937" s="882"/>
      <c r="J1937" s="876"/>
      <c r="K1937" s="878"/>
      <c r="L1937" s="880"/>
      <c r="M1937" s="882"/>
      <c r="N1937" s="884"/>
      <c r="O1937" s="56">
        <v>721</v>
      </c>
      <c r="P1937" s="79">
        <f>+N1936-P1936</f>
        <v>0</v>
      </c>
    </row>
    <row r="1938" spans="9:16" ht="15" customHeight="1">
      <c r="I1938" s="881">
        <v>217</v>
      </c>
      <c r="J1938" s="875">
        <v>42549</v>
      </c>
      <c r="K1938" s="877" t="s">
        <v>28</v>
      </c>
      <c r="L1938" s="879" t="s">
        <v>987</v>
      </c>
      <c r="M1938" s="881" t="s">
        <v>115</v>
      </c>
      <c r="N1938" s="883">
        <v>50000</v>
      </c>
      <c r="O1938" s="55">
        <v>719</v>
      </c>
      <c r="P1938" s="78">
        <v>50000</v>
      </c>
    </row>
    <row r="1939" spans="9:16" ht="15.75" customHeight="1" thickBot="1">
      <c r="I1939" s="882"/>
      <c r="J1939" s="876"/>
      <c r="K1939" s="878"/>
      <c r="L1939" s="880"/>
      <c r="M1939" s="882"/>
      <c r="N1939" s="884"/>
      <c r="O1939" s="56">
        <v>721</v>
      </c>
      <c r="P1939" s="79">
        <f>+N1938-P1938</f>
        <v>0</v>
      </c>
    </row>
    <row r="1940" spans="9:16" ht="15" customHeight="1">
      <c r="I1940" s="881">
        <v>218</v>
      </c>
      <c r="J1940" s="875">
        <v>42549</v>
      </c>
      <c r="K1940" s="877" t="s">
        <v>28</v>
      </c>
      <c r="L1940" s="879" t="s">
        <v>988</v>
      </c>
      <c r="M1940" s="881" t="s">
        <v>115</v>
      </c>
      <c r="N1940" s="883">
        <v>40000</v>
      </c>
      <c r="O1940" s="55">
        <v>719</v>
      </c>
      <c r="P1940" s="78">
        <v>40000</v>
      </c>
    </row>
    <row r="1941" spans="9:16" ht="15.75" customHeight="1" thickBot="1">
      <c r="I1941" s="882"/>
      <c r="J1941" s="876"/>
      <c r="K1941" s="878"/>
      <c r="L1941" s="880"/>
      <c r="M1941" s="882"/>
      <c r="N1941" s="884"/>
      <c r="O1941" s="56">
        <v>721</v>
      </c>
      <c r="P1941" s="79">
        <f>+N1940-P1940</f>
        <v>0</v>
      </c>
    </row>
    <row r="1942" spans="9:16" ht="15" customHeight="1">
      <c r="I1942" s="881"/>
      <c r="J1942" s="875"/>
      <c r="K1942" s="877"/>
      <c r="L1942" s="879"/>
      <c r="M1942" s="881"/>
      <c r="N1942" s="883"/>
      <c r="O1942" s="55">
        <v>719</v>
      </c>
      <c r="P1942" s="78">
        <v>0</v>
      </c>
    </row>
    <row r="1943" spans="9:16" ht="15.75" customHeight="1" thickBot="1">
      <c r="I1943" s="882"/>
      <c r="J1943" s="876"/>
      <c r="K1943" s="878"/>
      <c r="L1943" s="880"/>
      <c r="M1943" s="882"/>
      <c r="N1943" s="884"/>
      <c r="O1943" s="56">
        <v>721</v>
      </c>
      <c r="P1943" s="79">
        <f>+N1942-P1942</f>
        <v>0</v>
      </c>
    </row>
    <row r="1944" spans="9:16">
      <c r="I1944" s="881"/>
      <c r="J1944" s="875"/>
      <c r="K1944" s="877"/>
      <c r="L1944" s="881"/>
      <c r="M1944" s="881"/>
      <c r="N1944" s="883"/>
      <c r="O1944" s="55">
        <v>719</v>
      </c>
      <c r="P1944" s="78"/>
    </row>
    <row r="1945" spans="9:16" ht="15.75" thickBot="1">
      <c r="I1945" s="882"/>
      <c r="J1945" s="876"/>
      <c r="K1945" s="878"/>
      <c r="L1945" s="882"/>
      <c r="M1945" s="882"/>
      <c r="N1945" s="884"/>
      <c r="O1945" s="56">
        <v>721</v>
      </c>
      <c r="P1945" s="79">
        <f>+N1944-P1944</f>
        <v>0</v>
      </c>
    </row>
    <row r="1946" spans="9:16" ht="16.5" thickBot="1">
      <c r="I1946" s="901" t="s">
        <v>102</v>
      </c>
      <c r="J1946" s="902"/>
      <c r="K1946" s="902"/>
      <c r="L1946" s="902"/>
      <c r="M1946" s="903"/>
      <c r="N1946" s="81">
        <f>SUM(N1936:N1945)</f>
        <v>150000</v>
      </c>
    </row>
    <row r="1947" spans="9:16" ht="16.5" thickBot="1">
      <c r="I1947" s="885" t="s">
        <v>103</v>
      </c>
      <c r="J1947" s="886"/>
      <c r="K1947" s="886"/>
      <c r="L1947" s="886"/>
      <c r="M1947" s="887"/>
      <c r="N1947" s="69">
        <f>+N1911</f>
        <v>465604076</v>
      </c>
      <c r="O1947" s="241" t="s">
        <v>561</v>
      </c>
      <c r="P1947" s="242">
        <f>314+120+93</f>
        <v>527</v>
      </c>
    </row>
    <row r="1948" spans="9:16" ht="16.5" thickBot="1">
      <c r="I1948" s="888" t="s">
        <v>104</v>
      </c>
      <c r="J1948" s="889"/>
      <c r="K1948" s="889"/>
      <c r="L1948" s="889"/>
      <c r="M1948" s="890"/>
      <c r="N1948" s="183">
        <f>SUM(N1946:N1947)</f>
        <v>465754076</v>
      </c>
    </row>
    <row r="1949" spans="9:16" ht="14.25" customHeight="1">
      <c r="I1949" s="61"/>
      <c r="J1949" s="61"/>
      <c r="K1949" s="61"/>
      <c r="L1949" s="61"/>
      <c r="M1949" s="61"/>
    </row>
    <row r="1950" spans="9:16">
      <c r="I1950" s="51" t="s">
        <v>991</v>
      </c>
    </row>
    <row r="1951" spans="9:16" ht="11.25" customHeight="1">
      <c r="N1951" s="139"/>
    </row>
    <row r="1952" spans="9:16">
      <c r="I1952" s="50" t="s">
        <v>105</v>
      </c>
      <c r="L1952" s="146"/>
      <c r="N1952" s="139"/>
    </row>
    <row r="1953" spans="9:15" ht="12" customHeight="1" thickBot="1"/>
    <row r="1954" spans="9:15" ht="15.75" thickBot="1">
      <c r="I1954" s="891" t="s">
        <v>106</v>
      </c>
      <c r="J1954" s="892"/>
      <c r="K1954" s="892"/>
      <c r="L1954" s="893"/>
      <c r="N1954" s="50" t="s">
        <v>288</v>
      </c>
    </row>
    <row r="1955" spans="9:15" ht="30.75" thickBot="1">
      <c r="I1955" s="57" t="s">
        <v>100</v>
      </c>
      <c r="J1955" s="58" t="s">
        <v>108</v>
      </c>
      <c r="K1955" s="287" t="s">
        <v>109</v>
      </c>
      <c r="L1955" s="60" t="s">
        <v>110</v>
      </c>
    </row>
    <row r="1956" spans="9:15">
      <c r="I1956" s="71">
        <v>719</v>
      </c>
      <c r="J1956" s="73">
        <f>+P1936+P1938+P1940+P1942+P1944</f>
        <v>150000</v>
      </c>
      <c r="K1956" s="74">
        <f>+L1919</f>
        <v>36330000</v>
      </c>
      <c r="L1956" s="195">
        <f>+J1956+K1956</f>
        <v>36480000</v>
      </c>
    </row>
    <row r="1957" spans="9:15">
      <c r="I1957" s="72">
        <v>721</v>
      </c>
      <c r="J1957" s="80">
        <f>+P1937+P1939+P1941+P1943</f>
        <v>0</v>
      </c>
      <c r="K1957" s="74">
        <f>+L1920</f>
        <v>96301059</v>
      </c>
      <c r="L1957" s="195">
        <f>+J1957+K1957</f>
        <v>96301059</v>
      </c>
    </row>
    <row r="1958" spans="9:15">
      <c r="I1958" s="72">
        <v>722</v>
      </c>
      <c r="J1958" s="80"/>
      <c r="K1958" s="74">
        <f>+L1921</f>
        <v>42881706</v>
      </c>
      <c r="L1958" s="195">
        <f>+J1958+K1958</f>
        <v>42881706</v>
      </c>
    </row>
    <row r="1959" spans="9:15" ht="15.75">
      <c r="I1959" s="72">
        <v>723</v>
      </c>
      <c r="J1959" s="80"/>
      <c r="K1959" s="74">
        <f>+L1922</f>
        <v>290021311</v>
      </c>
      <c r="L1959" s="195">
        <f>+J1959+K1959</f>
        <v>290021311</v>
      </c>
      <c r="N1959" s="193" t="s">
        <v>289</v>
      </c>
      <c r="O1959" s="175"/>
    </row>
    <row r="1960" spans="9:15" ht="16.5" thickBot="1">
      <c r="I1960" s="164" t="s">
        <v>181</v>
      </c>
      <c r="J1960" s="165"/>
      <c r="K1960" s="74">
        <f>+L1923</f>
        <v>0</v>
      </c>
      <c r="L1960" s="196">
        <f>+J1960+K1960</f>
        <v>0</v>
      </c>
      <c r="N1960" s="52"/>
    </row>
    <row r="1961" spans="9:15" ht="16.5" thickBot="1">
      <c r="I1961" s="169"/>
      <c r="J1961" s="197">
        <f>SUM(J1956:J1960)</f>
        <v>150000</v>
      </c>
      <c r="K1961" s="197">
        <f>SUM(K1956:K1960)</f>
        <v>465534076</v>
      </c>
      <c r="L1961" s="198">
        <f>SUM(L1956:L1960)</f>
        <v>465684076</v>
      </c>
    </row>
    <row r="1962" spans="9:15" ht="16.5">
      <c r="I1962" s="49" t="s">
        <v>88</v>
      </c>
      <c r="J1962" s="50"/>
    </row>
    <row r="1963" spans="9:15">
      <c r="I1963" s="51" t="s">
        <v>89</v>
      </c>
    </row>
    <row r="1964" spans="9:15">
      <c r="I1964" s="51" t="s">
        <v>90</v>
      </c>
    </row>
    <row r="1965" spans="9:15">
      <c r="I1965" s="51" t="s">
        <v>91</v>
      </c>
    </row>
    <row r="1966" spans="9:15" ht="11.25" customHeight="1">
      <c r="I1966" s="50"/>
      <c r="J1966" s="50"/>
    </row>
    <row r="1967" spans="9:15" ht="15.75">
      <c r="I1967" s="260" t="s">
        <v>992</v>
      </c>
      <c r="O1967" s="52"/>
    </row>
    <row r="1968" spans="9:15" ht="15.75">
      <c r="I1968" s="53" t="s">
        <v>535</v>
      </c>
      <c r="O1968" s="53"/>
    </row>
    <row r="1969" spans="9:16" ht="16.5">
      <c r="I1969" s="894" t="s">
        <v>909</v>
      </c>
      <c r="J1969" s="894"/>
      <c r="K1969" s="894"/>
      <c r="L1969" s="894"/>
      <c r="M1969" s="894"/>
      <c r="N1969" s="894"/>
      <c r="O1969" s="894"/>
      <c r="P1969" s="894"/>
    </row>
    <row r="1970" spans="9:16" ht="15.75" thickBot="1"/>
    <row r="1971" spans="9:16">
      <c r="I1971" s="895" t="s">
        <v>94</v>
      </c>
      <c r="J1971" s="897" t="s">
        <v>95</v>
      </c>
      <c r="K1971" s="897" t="s">
        <v>96</v>
      </c>
      <c r="L1971" s="897" t="s">
        <v>3</v>
      </c>
      <c r="M1971" s="897" t="s">
        <v>97</v>
      </c>
      <c r="N1971" s="897" t="s">
        <v>98</v>
      </c>
      <c r="O1971" s="897" t="s">
        <v>99</v>
      </c>
      <c r="P1971" s="899"/>
    </row>
    <row r="1972" spans="9:16" ht="15.75" thickBot="1">
      <c r="I1972" s="896"/>
      <c r="J1972" s="898"/>
      <c r="K1972" s="898"/>
      <c r="L1972" s="898"/>
      <c r="M1972" s="898"/>
      <c r="N1972" s="898"/>
      <c r="O1972" s="240" t="s">
        <v>100</v>
      </c>
      <c r="P1972" s="182" t="s">
        <v>101</v>
      </c>
    </row>
    <row r="1973" spans="9:16">
      <c r="I1973" s="881">
        <v>219</v>
      </c>
      <c r="J1973" s="875">
        <v>42549</v>
      </c>
      <c r="K1973" s="877" t="s">
        <v>272</v>
      </c>
      <c r="L1973" s="879" t="s">
        <v>996</v>
      </c>
      <c r="M1973" s="881" t="s">
        <v>115</v>
      </c>
      <c r="N1973" s="883">
        <v>190000</v>
      </c>
      <c r="O1973" s="55">
        <v>719</v>
      </c>
      <c r="P1973" s="78">
        <v>190000</v>
      </c>
    </row>
    <row r="1974" spans="9:16" ht="15.75" thickBot="1">
      <c r="I1974" s="882"/>
      <c r="J1974" s="876"/>
      <c r="K1974" s="878"/>
      <c r="L1974" s="880"/>
      <c r="M1974" s="882"/>
      <c r="N1974" s="884"/>
      <c r="O1974" s="56">
        <v>721</v>
      </c>
      <c r="P1974" s="79">
        <f>+N1973-P1973</f>
        <v>0</v>
      </c>
    </row>
    <row r="1975" spans="9:16">
      <c r="I1975" s="881">
        <v>220</v>
      </c>
      <c r="J1975" s="875">
        <v>42549</v>
      </c>
      <c r="K1975" s="877" t="s">
        <v>28</v>
      </c>
      <c r="L1975" s="879" t="s">
        <v>993</v>
      </c>
      <c r="M1975" s="881" t="s">
        <v>115</v>
      </c>
      <c r="N1975" s="883">
        <v>60000</v>
      </c>
      <c r="O1975" s="55">
        <v>719</v>
      </c>
      <c r="P1975" s="78">
        <v>60000</v>
      </c>
    </row>
    <row r="1976" spans="9:16" ht="15.75" thickBot="1">
      <c r="I1976" s="882"/>
      <c r="J1976" s="876"/>
      <c r="K1976" s="878"/>
      <c r="L1976" s="880"/>
      <c r="M1976" s="882"/>
      <c r="N1976" s="884"/>
      <c r="O1976" s="56">
        <v>721</v>
      </c>
      <c r="P1976" s="79">
        <f>+N1975-P1975</f>
        <v>0</v>
      </c>
    </row>
    <row r="1977" spans="9:16">
      <c r="I1977" s="881">
        <v>221</v>
      </c>
      <c r="J1977" s="875">
        <v>42549</v>
      </c>
      <c r="K1977" s="877" t="s">
        <v>120</v>
      </c>
      <c r="L1977" s="879" t="s">
        <v>994</v>
      </c>
      <c r="M1977" s="881" t="s">
        <v>115</v>
      </c>
      <c r="N1977" s="883">
        <v>50000</v>
      </c>
      <c r="O1977" s="55">
        <v>719</v>
      </c>
      <c r="P1977" s="78">
        <v>50000</v>
      </c>
    </row>
    <row r="1978" spans="9:16" ht="15.75" thickBot="1">
      <c r="I1978" s="882"/>
      <c r="J1978" s="876"/>
      <c r="K1978" s="878"/>
      <c r="L1978" s="880"/>
      <c r="M1978" s="882"/>
      <c r="N1978" s="884"/>
      <c r="O1978" s="56">
        <v>721</v>
      </c>
      <c r="P1978" s="79">
        <f>+N1977-P1977</f>
        <v>0</v>
      </c>
    </row>
    <row r="1979" spans="9:16">
      <c r="I1979" s="881"/>
      <c r="J1979" s="875"/>
      <c r="K1979" s="877"/>
      <c r="L1979" s="879"/>
      <c r="M1979" s="881"/>
      <c r="N1979" s="883"/>
      <c r="O1979" s="55">
        <v>719</v>
      </c>
      <c r="P1979" s="78">
        <v>0</v>
      </c>
    </row>
    <row r="1980" spans="9:16" ht="13.5" customHeight="1" thickBot="1">
      <c r="I1980" s="882"/>
      <c r="J1980" s="876"/>
      <c r="K1980" s="878"/>
      <c r="L1980" s="880"/>
      <c r="M1980" s="882"/>
      <c r="N1980" s="884"/>
      <c r="O1980" s="56">
        <v>721</v>
      </c>
      <c r="P1980" s="79">
        <f>+N1979-P1979</f>
        <v>0</v>
      </c>
    </row>
    <row r="1981" spans="9:16">
      <c r="I1981" s="881"/>
      <c r="J1981" s="875"/>
      <c r="K1981" s="877"/>
      <c r="L1981" s="881"/>
      <c r="M1981" s="881"/>
      <c r="N1981" s="883"/>
      <c r="O1981" s="55">
        <v>719</v>
      </c>
      <c r="P1981" s="78"/>
    </row>
    <row r="1982" spans="9:16" ht="12" customHeight="1" thickBot="1">
      <c r="I1982" s="882"/>
      <c r="J1982" s="876"/>
      <c r="K1982" s="878"/>
      <c r="L1982" s="882"/>
      <c r="M1982" s="882"/>
      <c r="N1982" s="884"/>
      <c r="O1982" s="56">
        <v>721</v>
      </c>
      <c r="P1982" s="79">
        <f>+N1981-P1981</f>
        <v>0</v>
      </c>
    </row>
    <row r="1983" spans="9:16" ht="16.5" thickBot="1">
      <c r="I1983" s="901" t="s">
        <v>102</v>
      </c>
      <c r="J1983" s="902"/>
      <c r="K1983" s="902"/>
      <c r="L1983" s="902"/>
      <c r="M1983" s="903"/>
      <c r="N1983" s="81">
        <f>SUM(N1973:N1982)</f>
        <v>300000</v>
      </c>
    </row>
    <row r="1984" spans="9:16" ht="16.5" thickBot="1">
      <c r="I1984" s="885" t="s">
        <v>103</v>
      </c>
      <c r="J1984" s="886"/>
      <c r="K1984" s="886"/>
      <c r="L1984" s="886"/>
      <c r="M1984" s="887"/>
      <c r="N1984" s="69">
        <f>+N1948</f>
        <v>465754076</v>
      </c>
      <c r="O1984" s="241" t="s">
        <v>561</v>
      </c>
      <c r="P1984" s="242">
        <f>50+174+606</f>
        <v>830</v>
      </c>
    </row>
    <row r="1985" spans="9:15" ht="16.5" thickBot="1">
      <c r="I1985" s="888" t="s">
        <v>104</v>
      </c>
      <c r="J1985" s="889"/>
      <c r="K1985" s="889"/>
      <c r="L1985" s="889"/>
      <c r="M1985" s="890"/>
      <c r="N1985" s="183">
        <f>SUM(N1983:N1984)</f>
        <v>466054076</v>
      </c>
    </row>
    <row r="1986" spans="9:15">
      <c r="I1986" s="61"/>
      <c r="J1986" s="61"/>
      <c r="K1986" s="61"/>
      <c r="L1986" s="61"/>
      <c r="M1986" s="61"/>
    </row>
    <row r="1987" spans="9:15">
      <c r="I1987" s="51" t="s">
        <v>995</v>
      </c>
    </row>
    <row r="1988" spans="9:15">
      <c r="N1988" s="139"/>
    </row>
    <row r="1989" spans="9:15">
      <c r="I1989" s="50" t="s">
        <v>105</v>
      </c>
      <c r="L1989" s="146"/>
      <c r="N1989" s="139"/>
    </row>
    <row r="1990" spans="9:15" ht="12.75" customHeight="1" thickBot="1"/>
    <row r="1991" spans="9:15" ht="15.75" thickBot="1">
      <c r="I1991" s="891" t="s">
        <v>106</v>
      </c>
      <c r="J1991" s="892"/>
      <c r="K1991" s="892"/>
      <c r="L1991" s="893"/>
      <c r="N1991" s="50" t="s">
        <v>288</v>
      </c>
    </row>
    <row r="1992" spans="9:15" ht="30.75" thickBot="1">
      <c r="I1992" s="57" t="s">
        <v>100</v>
      </c>
      <c r="J1992" s="58" t="s">
        <v>108</v>
      </c>
      <c r="K1992" s="287" t="s">
        <v>109</v>
      </c>
      <c r="L1992" s="60" t="s">
        <v>110</v>
      </c>
    </row>
    <row r="1993" spans="9:15">
      <c r="I1993" s="71">
        <v>719</v>
      </c>
      <c r="J1993" s="73">
        <f>+P1973+P1975+P1977+P1979+P1981</f>
        <v>300000</v>
      </c>
      <c r="K1993" s="74">
        <f>+L1956</f>
        <v>36480000</v>
      </c>
      <c r="L1993" s="195">
        <f>+J1993+K1993</f>
        <v>36780000</v>
      </c>
    </row>
    <row r="1994" spans="9:15">
      <c r="I1994" s="72">
        <v>721</v>
      </c>
      <c r="J1994" s="80">
        <f>+P1974+P1976+P1978+P1980</f>
        <v>0</v>
      </c>
      <c r="K1994" s="74">
        <f>+L1957</f>
        <v>96301059</v>
      </c>
      <c r="L1994" s="195">
        <f>+J1994+K1994</f>
        <v>96301059</v>
      </c>
    </row>
    <row r="1995" spans="9:15">
      <c r="I1995" s="72">
        <v>722</v>
      </c>
      <c r="J1995" s="80"/>
      <c r="K1995" s="74">
        <f>+L1958</f>
        <v>42881706</v>
      </c>
      <c r="L1995" s="195">
        <f>+J1995+K1995</f>
        <v>42881706</v>
      </c>
    </row>
    <row r="1996" spans="9:15" ht="15.75">
      <c r="I1996" s="72">
        <v>723</v>
      </c>
      <c r="J1996" s="80"/>
      <c r="K1996" s="74">
        <f>+L1959</f>
        <v>290021311</v>
      </c>
      <c r="L1996" s="195">
        <f>+J1996+K1996</f>
        <v>290021311</v>
      </c>
      <c r="N1996" s="193" t="s">
        <v>289</v>
      </c>
      <c r="O1996" s="175"/>
    </row>
    <row r="1997" spans="9:15" ht="16.5" thickBot="1">
      <c r="I1997" s="164" t="s">
        <v>181</v>
      </c>
      <c r="J1997" s="165"/>
      <c r="K1997" s="74">
        <f>+L1960</f>
        <v>0</v>
      </c>
      <c r="L1997" s="196">
        <f>+J1997+K1997</f>
        <v>0</v>
      </c>
      <c r="N1997" s="52"/>
    </row>
    <row r="1998" spans="9:15" ht="16.5" thickBot="1">
      <c r="I1998" s="169"/>
      <c r="J1998" s="197">
        <f>SUM(J1993:J1997)</f>
        <v>300000</v>
      </c>
      <c r="K1998" s="197">
        <f>SUM(K1993:K1997)</f>
        <v>465684076</v>
      </c>
      <c r="L1998" s="198">
        <f>SUM(L1993:L1997)</f>
        <v>465984076</v>
      </c>
    </row>
    <row r="1999" spans="9:15" ht="16.5">
      <c r="I1999" s="49" t="s">
        <v>88</v>
      </c>
      <c r="J1999" s="50"/>
    </row>
    <row r="2000" spans="9:15">
      <c r="I2000" s="51" t="s">
        <v>89</v>
      </c>
    </row>
    <row r="2001" spans="9:16">
      <c r="I2001" s="51" t="s">
        <v>90</v>
      </c>
    </row>
    <row r="2002" spans="9:16">
      <c r="I2002" s="51" t="s">
        <v>91</v>
      </c>
    </row>
    <row r="2003" spans="9:16" ht="12.75" customHeight="1">
      <c r="I2003" s="50"/>
      <c r="J2003" s="50"/>
    </row>
    <row r="2004" spans="9:16" ht="15.75">
      <c r="I2004" s="260" t="s">
        <v>997</v>
      </c>
      <c r="O2004" s="52"/>
    </row>
    <row r="2005" spans="9:16" ht="15.75">
      <c r="I2005" s="53" t="s">
        <v>535</v>
      </c>
      <c r="O2005" s="53"/>
    </row>
    <row r="2006" spans="9:16" ht="16.5">
      <c r="I2006" s="894" t="s">
        <v>909</v>
      </c>
      <c r="J2006" s="894"/>
      <c r="K2006" s="894"/>
      <c r="L2006" s="894"/>
      <c r="M2006" s="894"/>
      <c r="N2006" s="894"/>
      <c r="O2006" s="894"/>
      <c r="P2006" s="894"/>
    </row>
    <row r="2007" spans="9:16" ht="15.75" thickBot="1"/>
    <row r="2008" spans="9:16">
      <c r="I2008" s="895" t="s">
        <v>94</v>
      </c>
      <c r="J2008" s="897" t="s">
        <v>95</v>
      </c>
      <c r="K2008" s="897" t="s">
        <v>96</v>
      </c>
      <c r="L2008" s="897" t="s">
        <v>3</v>
      </c>
      <c r="M2008" s="897" t="s">
        <v>97</v>
      </c>
      <c r="N2008" s="897" t="s">
        <v>98</v>
      </c>
      <c r="O2008" s="897" t="s">
        <v>99</v>
      </c>
      <c r="P2008" s="899"/>
    </row>
    <row r="2009" spans="9:16" ht="15.75" thickBot="1">
      <c r="I2009" s="896"/>
      <c r="J2009" s="898"/>
      <c r="K2009" s="898"/>
      <c r="L2009" s="898"/>
      <c r="M2009" s="898"/>
      <c r="N2009" s="898"/>
      <c r="O2009" s="240" t="s">
        <v>100</v>
      </c>
      <c r="P2009" s="182" t="s">
        <v>101</v>
      </c>
    </row>
    <row r="2010" spans="9:16">
      <c r="I2010" s="881">
        <v>222</v>
      </c>
      <c r="J2010" s="875">
        <v>42551</v>
      </c>
      <c r="K2010" s="877" t="s">
        <v>40</v>
      </c>
      <c r="L2010" s="879" t="s">
        <v>999</v>
      </c>
      <c r="M2010" s="881" t="s">
        <v>148</v>
      </c>
      <c r="N2010" s="883">
        <v>28000</v>
      </c>
      <c r="O2010" s="55">
        <v>719</v>
      </c>
      <c r="P2010" s="78">
        <v>20000</v>
      </c>
    </row>
    <row r="2011" spans="9:16" ht="15.75" thickBot="1">
      <c r="I2011" s="882"/>
      <c r="J2011" s="876"/>
      <c r="K2011" s="878"/>
      <c r="L2011" s="880"/>
      <c r="M2011" s="882"/>
      <c r="N2011" s="884"/>
      <c r="O2011" s="56">
        <v>721</v>
      </c>
      <c r="P2011" s="79">
        <f>+N2010-P2010</f>
        <v>8000</v>
      </c>
    </row>
    <row r="2012" spans="9:16" ht="15" customHeight="1">
      <c r="I2012" s="881">
        <v>223</v>
      </c>
      <c r="J2012" s="875">
        <v>42551</v>
      </c>
      <c r="K2012" s="877" t="s">
        <v>28</v>
      </c>
      <c r="L2012" s="879" t="s">
        <v>983</v>
      </c>
      <c r="M2012" s="881" t="s">
        <v>148</v>
      </c>
      <c r="N2012" s="883">
        <v>294000</v>
      </c>
      <c r="O2012" s="55">
        <v>719</v>
      </c>
      <c r="P2012" s="78">
        <v>210000</v>
      </c>
    </row>
    <row r="2013" spans="9:16" ht="15.75" customHeight="1" thickBot="1">
      <c r="I2013" s="882"/>
      <c r="J2013" s="876"/>
      <c r="K2013" s="878"/>
      <c r="L2013" s="880"/>
      <c r="M2013" s="882"/>
      <c r="N2013" s="884"/>
      <c r="O2013" s="56">
        <v>721</v>
      </c>
      <c r="P2013" s="79">
        <f>+N2012-P2012</f>
        <v>84000</v>
      </c>
    </row>
    <row r="2014" spans="9:16" ht="15" customHeight="1">
      <c r="I2014" s="881">
        <v>224</v>
      </c>
      <c r="J2014" s="875">
        <v>42551</v>
      </c>
      <c r="K2014" s="877" t="s">
        <v>111</v>
      </c>
      <c r="L2014" s="879" t="s">
        <v>1000</v>
      </c>
      <c r="M2014" s="881" t="s">
        <v>148</v>
      </c>
      <c r="N2014" s="883">
        <v>84000</v>
      </c>
      <c r="O2014" s="55">
        <v>719</v>
      </c>
      <c r="P2014" s="78">
        <v>60000</v>
      </c>
    </row>
    <row r="2015" spans="9:16" ht="15.75" customHeight="1" thickBot="1">
      <c r="I2015" s="882"/>
      <c r="J2015" s="876"/>
      <c r="K2015" s="878"/>
      <c r="L2015" s="880"/>
      <c r="M2015" s="882"/>
      <c r="N2015" s="884"/>
      <c r="O2015" s="56">
        <v>721</v>
      </c>
      <c r="P2015" s="79">
        <f>+N2014-P2014</f>
        <v>24000</v>
      </c>
    </row>
    <row r="2016" spans="9:16" ht="15" customHeight="1">
      <c r="I2016" s="881">
        <v>225</v>
      </c>
      <c r="J2016" s="875">
        <v>42551</v>
      </c>
      <c r="K2016" s="877" t="s">
        <v>272</v>
      </c>
      <c r="L2016" s="879" t="s">
        <v>983</v>
      </c>
      <c r="M2016" s="881" t="s">
        <v>148</v>
      </c>
      <c r="N2016" s="883">
        <v>672000</v>
      </c>
      <c r="O2016" s="55">
        <v>719</v>
      </c>
      <c r="P2016" s="78">
        <v>480000</v>
      </c>
    </row>
    <row r="2017" spans="9:16" ht="15.75" customHeight="1" thickBot="1">
      <c r="I2017" s="882"/>
      <c r="J2017" s="876"/>
      <c r="K2017" s="878"/>
      <c r="L2017" s="880"/>
      <c r="M2017" s="882"/>
      <c r="N2017" s="884"/>
      <c r="O2017" s="56">
        <v>721</v>
      </c>
      <c r="P2017" s="79">
        <f>+N2016-P2016</f>
        <v>192000</v>
      </c>
    </row>
    <row r="2018" spans="9:16" ht="14.25" customHeight="1">
      <c r="I2018" s="881"/>
      <c r="J2018" s="875"/>
      <c r="K2018" s="877"/>
      <c r="L2018" s="881"/>
      <c r="M2018" s="881"/>
      <c r="N2018" s="883"/>
      <c r="O2018" s="55">
        <v>719</v>
      </c>
      <c r="P2018" s="78"/>
    </row>
    <row r="2019" spans="9:16" ht="12.75" customHeight="1" thickBot="1">
      <c r="I2019" s="882"/>
      <c r="J2019" s="876"/>
      <c r="K2019" s="878"/>
      <c r="L2019" s="882"/>
      <c r="M2019" s="882"/>
      <c r="N2019" s="884"/>
      <c r="O2019" s="56">
        <v>721</v>
      </c>
      <c r="P2019" s="79">
        <f>+N2018-P2018</f>
        <v>0</v>
      </c>
    </row>
    <row r="2020" spans="9:16" ht="16.5" thickBot="1">
      <c r="I2020" s="901" t="s">
        <v>102</v>
      </c>
      <c r="J2020" s="902"/>
      <c r="K2020" s="902"/>
      <c r="L2020" s="902"/>
      <c r="M2020" s="903"/>
      <c r="N2020" s="81">
        <f>SUM(N2010:N2019)</f>
        <v>1078000</v>
      </c>
    </row>
    <row r="2021" spans="9:16" ht="16.5" thickBot="1">
      <c r="I2021" s="885" t="s">
        <v>103</v>
      </c>
      <c r="J2021" s="886"/>
      <c r="K2021" s="886"/>
      <c r="L2021" s="886"/>
      <c r="M2021" s="887"/>
      <c r="N2021" s="69">
        <f>+N1985</f>
        <v>466054076</v>
      </c>
      <c r="O2021" s="241" t="s">
        <v>561</v>
      </c>
      <c r="P2021" s="242">
        <f>22+571+21+917</f>
        <v>1531</v>
      </c>
    </row>
    <row r="2022" spans="9:16" ht="16.5" thickBot="1">
      <c r="I2022" s="888" t="s">
        <v>104</v>
      </c>
      <c r="J2022" s="889"/>
      <c r="K2022" s="889"/>
      <c r="L2022" s="889"/>
      <c r="M2022" s="890"/>
      <c r="N2022" s="183">
        <f>SUM(N2020:N2021)</f>
        <v>467132076</v>
      </c>
    </row>
    <row r="2023" spans="9:16">
      <c r="I2023" s="61"/>
      <c r="J2023" s="61"/>
      <c r="K2023" s="61"/>
      <c r="L2023" s="61"/>
      <c r="M2023" s="61"/>
    </row>
    <row r="2024" spans="9:16">
      <c r="I2024" s="51" t="s">
        <v>1006</v>
      </c>
    </row>
    <row r="2025" spans="9:16" ht="12.75" customHeight="1">
      <c r="N2025" s="139"/>
    </row>
    <row r="2026" spans="9:16">
      <c r="I2026" s="50" t="s">
        <v>105</v>
      </c>
      <c r="L2026" s="146"/>
      <c r="N2026" s="139"/>
    </row>
    <row r="2027" spans="9:16" ht="15.75" thickBot="1"/>
    <row r="2028" spans="9:16" ht="15.75" thickBot="1">
      <c r="I2028" s="891" t="s">
        <v>106</v>
      </c>
      <c r="J2028" s="892"/>
      <c r="K2028" s="892"/>
      <c r="L2028" s="893"/>
      <c r="N2028" s="50" t="s">
        <v>288</v>
      </c>
    </row>
    <row r="2029" spans="9:16" ht="30.75" thickBot="1">
      <c r="I2029" s="57" t="s">
        <v>100</v>
      </c>
      <c r="J2029" s="58" t="s">
        <v>108</v>
      </c>
      <c r="K2029" s="287" t="s">
        <v>109</v>
      </c>
      <c r="L2029" s="60" t="s">
        <v>110</v>
      </c>
    </row>
    <row r="2030" spans="9:16">
      <c r="I2030" s="71">
        <v>719</v>
      </c>
      <c r="J2030" s="73">
        <f>+P2010+P2012+P2014+P2016+P2018</f>
        <v>770000</v>
      </c>
      <c r="K2030" s="74">
        <f>+L1993</f>
        <v>36780000</v>
      </c>
      <c r="L2030" s="195">
        <f>+J2030+K2030</f>
        <v>37550000</v>
      </c>
    </row>
    <row r="2031" spans="9:16">
      <c r="I2031" s="72">
        <v>721</v>
      </c>
      <c r="J2031" s="80">
        <f>+P2011+P2013+P2015+P2017</f>
        <v>308000</v>
      </c>
      <c r="K2031" s="74">
        <f>+L1994</f>
        <v>96301059</v>
      </c>
      <c r="L2031" s="195">
        <f>+J2031+K2031</f>
        <v>96609059</v>
      </c>
    </row>
    <row r="2032" spans="9:16">
      <c r="I2032" s="72">
        <v>722</v>
      </c>
      <c r="J2032" s="80"/>
      <c r="K2032" s="74">
        <f>+L1995</f>
        <v>42881706</v>
      </c>
      <c r="L2032" s="195">
        <f>+J2032+K2032</f>
        <v>42881706</v>
      </c>
    </row>
    <row r="2033" spans="9:16" ht="15.75">
      <c r="I2033" s="72">
        <v>723</v>
      </c>
      <c r="J2033" s="80"/>
      <c r="K2033" s="74">
        <f>+L1996</f>
        <v>290021311</v>
      </c>
      <c r="L2033" s="195">
        <f>+J2033+K2033</f>
        <v>290021311</v>
      </c>
      <c r="N2033" s="193" t="s">
        <v>289</v>
      </c>
      <c r="O2033" s="175"/>
    </row>
    <row r="2034" spans="9:16" ht="16.5" thickBot="1">
      <c r="I2034" s="164" t="s">
        <v>181</v>
      </c>
      <c r="J2034" s="165"/>
      <c r="K2034" s="74">
        <f>+L1997</f>
        <v>0</v>
      </c>
      <c r="L2034" s="196">
        <f>+J2034+K2034</f>
        <v>0</v>
      </c>
      <c r="N2034" s="52"/>
    </row>
    <row r="2035" spans="9:16" ht="16.5" thickBot="1">
      <c r="I2035" s="169"/>
      <c r="J2035" s="197">
        <f>SUM(J2030:J2034)</f>
        <v>1078000</v>
      </c>
      <c r="K2035" s="197">
        <f>SUM(K2030:K2034)</f>
        <v>465984076</v>
      </c>
      <c r="L2035" s="198">
        <f>SUM(L2030:L2034)</f>
        <v>467062076</v>
      </c>
    </row>
    <row r="2036" spans="9:16" ht="16.5">
      <c r="I2036" s="49" t="s">
        <v>88</v>
      </c>
      <c r="J2036" s="50"/>
    </row>
    <row r="2037" spans="9:16">
      <c r="I2037" s="51" t="s">
        <v>89</v>
      </c>
    </row>
    <row r="2038" spans="9:16">
      <c r="I2038" s="51" t="s">
        <v>90</v>
      </c>
    </row>
    <row r="2039" spans="9:16">
      <c r="I2039" s="51" t="s">
        <v>91</v>
      </c>
    </row>
    <row r="2040" spans="9:16" ht="12.75" customHeight="1">
      <c r="I2040" s="50"/>
      <c r="J2040" s="50"/>
    </row>
    <row r="2041" spans="9:16" ht="15.75">
      <c r="I2041" s="260" t="s">
        <v>998</v>
      </c>
      <c r="O2041" s="52"/>
    </row>
    <row r="2042" spans="9:16" ht="15.75">
      <c r="I2042" s="53" t="s">
        <v>535</v>
      </c>
      <c r="O2042" s="53"/>
    </row>
    <row r="2043" spans="9:16" ht="16.5">
      <c r="I2043" s="894" t="s">
        <v>909</v>
      </c>
      <c r="J2043" s="894"/>
      <c r="K2043" s="894"/>
      <c r="L2043" s="894"/>
      <c r="M2043" s="894"/>
      <c r="N2043" s="894"/>
      <c r="O2043" s="894"/>
      <c r="P2043" s="894"/>
    </row>
    <row r="2044" spans="9:16" ht="15.75" thickBot="1"/>
    <row r="2045" spans="9:16">
      <c r="I2045" s="895" t="s">
        <v>94</v>
      </c>
      <c r="J2045" s="897" t="s">
        <v>95</v>
      </c>
      <c r="K2045" s="897" t="s">
        <v>96</v>
      </c>
      <c r="L2045" s="897" t="s">
        <v>3</v>
      </c>
      <c r="M2045" s="897" t="s">
        <v>97</v>
      </c>
      <c r="N2045" s="897" t="s">
        <v>98</v>
      </c>
      <c r="O2045" s="897" t="s">
        <v>99</v>
      </c>
      <c r="P2045" s="899"/>
    </row>
    <row r="2046" spans="9:16" ht="15.75" thickBot="1">
      <c r="I2046" s="896"/>
      <c r="J2046" s="898"/>
      <c r="K2046" s="898"/>
      <c r="L2046" s="898"/>
      <c r="M2046" s="898"/>
      <c r="N2046" s="898"/>
      <c r="O2046" s="240" t="s">
        <v>100</v>
      </c>
      <c r="P2046" s="182" t="s">
        <v>101</v>
      </c>
    </row>
    <row r="2047" spans="9:16" ht="15" customHeight="1">
      <c r="I2047" s="881">
        <v>226</v>
      </c>
      <c r="J2047" s="875">
        <v>42551</v>
      </c>
      <c r="K2047" s="877" t="s">
        <v>40</v>
      </c>
      <c r="L2047" s="879" t="s">
        <v>1001</v>
      </c>
      <c r="M2047" s="881" t="s">
        <v>148</v>
      </c>
      <c r="N2047" s="883">
        <v>140000</v>
      </c>
      <c r="O2047" s="55">
        <v>719</v>
      </c>
      <c r="P2047" s="78">
        <v>100000</v>
      </c>
    </row>
    <row r="2048" spans="9:16" ht="15.75" customHeight="1" thickBot="1">
      <c r="I2048" s="882"/>
      <c r="J2048" s="876"/>
      <c r="K2048" s="878"/>
      <c r="L2048" s="880"/>
      <c r="M2048" s="882"/>
      <c r="N2048" s="884"/>
      <c r="O2048" s="56">
        <v>721</v>
      </c>
      <c r="P2048" s="79">
        <f>+N2047-P2047</f>
        <v>40000</v>
      </c>
    </row>
    <row r="2049" spans="9:16" ht="15" customHeight="1">
      <c r="I2049" s="881">
        <v>227</v>
      </c>
      <c r="J2049" s="875">
        <v>42551</v>
      </c>
      <c r="K2049" s="877" t="s">
        <v>28</v>
      </c>
      <c r="L2049" s="879" t="s">
        <v>1002</v>
      </c>
      <c r="M2049" s="881" t="s">
        <v>148</v>
      </c>
      <c r="N2049" s="883">
        <v>966000</v>
      </c>
      <c r="O2049" s="55">
        <v>719</v>
      </c>
      <c r="P2049" s="78">
        <v>690000</v>
      </c>
    </row>
    <row r="2050" spans="9:16" ht="15.75" customHeight="1" thickBot="1">
      <c r="I2050" s="882"/>
      <c r="J2050" s="876"/>
      <c r="K2050" s="878"/>
      <c r="L2050" s="880"/>
      <c r="M2050" s="882"/>
      <c r="N2050" s="884"/>
      <c r="O2050" s="56">
        <v>721</v>
      </c>
      <c r="P2050" s="79">
        <f>+N2049-P2049</f>
        <v>276000</v>
      </c>
    </row>
    <row r="2051" spans="9:16" ht="15" customHeight="1">
      <c r="I2051" s="881">
        <v>228</v>
      </c>
      <c r="J2051" s="875">
        <v>42551</v>
      </c>
      <c r="K2051" s="877" t="s">
        <v>111</v>
      </c>
      <c r="L2051" s="879" t="s">
        <v>1003</v>
      </c>
      <c r="M2051" s="881" t="s">
        <v>148</v>
      </c>
      <c r="N2051" s="883">
        <v>252000</v>
      </c>
      <c r="O2051" s="55">
        <v>719</v>
      </c>
      <c r="P2051" s="78">
        <v>180000</v>
      </c>
    </row>
    <row r="2052" spans="9:16" ht="15.75" customHeight="1" thickBot="1">
      <c r="I2052" s="882"/>
      <c r="J2052" s="876"/>
      <c r="K2052" s="878"/>
      <c r="L2052" s="880"/>
      <c r="M2052" s="882"/>
      <c r="N2052" s="884"/>
      <c r="O2052" s="56">
        <v>721</v>
      </c>
      <c r="P2052" s="79">
        <f>+N2051-P2051</f>
        <v>72000</v>
      </c>
    </row>
    <row r="2053" spans="9:16" ht="15" customHeight="1">
      <c r="I2053" s="881">
        <v>229</v>
      </c>
      <c r="J2053" s="875">
        <v>42551</v>
      </c>
      <c r="K2053" s="877" t="s">
        <v>272</v>
      </c>
      <c r="L2053" s="879" t="s">
        <v>1004</v>
      </c>
      <c r="M2053" s="881" t="s">
        <v>148</v>
      </c>
      <c r="N2053" s="883">
        <v>1946000</v>
      </c>
      <c r="O2053" s="55">
        <v>719</v>
      </c>
      <c r="P2053" s="78">
        <v>1390000</v>
      </c>
    </row>
    <row r="2054" spans="9:16" ht="15.75" customHeight="1" thickBot="1">
      <c r="I2054" s="882"/>
      <c r="J2054" s="876"/>
      <c r="K2054" s="878"/>
      <c r="L2054" s="880"/>
      <c r="M2054" s="882"/>
      <c r="N2054" s="884"/>
      <c r="O2054" s="56">
        <v>721</v>
      </c>
      <c r="P2054" s="79">
        <f>+N2053-P2053</f>
        <v>556000</v>
      </c>
    </row>
    <row r="2055" spans="9:16">
      <c r="I2055" s="881"/>
      <c r="J2055" s="875"/>
      <c r="K2055" s="877"/>
      <c r="L2055" s="881"/>
      <c r="M2055" s="881"/>
      <c r="N2055" s="883"/>
      <c r="O2055" s="55">
        <v>719</v>
      </c>
      <c r="P2055" s="78"/>
    </row>
    <row r="2056" spans="9:16" ht="12" customHeight="1" thickBot="1">
      <c r="I2056" s="882"/>
      <c r="J2056" s="876"/>
      <c r="K2056" s="878"/>
      <c r="L2056" s="882"/>
      <c r="M2056" s="882"/>
      <c r="N2056" s="884"/>
      <c r="O2056" s="56">
        <v>721</v>
      </c>
      <c r="P2056" s="79">
        <f>+N2055-P2055</f>
        <v>0</v>
      </c>
    </row>
    <row r="2057" spans="9:16" ht="16.5" thickBot="1">
      <c r="I2057" s="901" t="s">
        <v>102</v>
      </c>
      <c r="J2057" s="902"/>
      <c r="K2057" s="902"/>
      <c r="L2057" s="902"/>
      <c r="M2057" s="903"/>
      <c r="N2057" s="81">
        <f>SUM(N2047:N2056)</f>
        <v>3304000</v>
      </c>
    </row>
    <row r="2058" spans="9:16" ht="16.5" thickBot="1">
      <c r="I2058" s="885" t="s">
        <v>103</v>
      </c>
      <c r="J2058" s="886"/>
      <c r="K2058" s="886"/>
      <c r="L2058" s="886"/>
      <c r="M2058" s="887"/>
      <c r="N2058" s="69">
        <f>+N2022</f>
        <v>467132076</v>
      </c>
      <c r="O2058" s="241" t="s">
        <v>561</v>
      </c>
      <c r="P2058" s="242">
        <f>89+1849+70+3374</f>
        <v>5382</v>
      </c>
    </row>
    <row r="2059" spans="9:16" ht="16.5" thickBot="1">
      <c r="I2059" s="888" t="s">
        <v>104</v>
      </c>
      <c r="J2059" s="889"/>
      <c r="K2059" s="889"/>
      <c r="L2059" s="889"/>
      <c r="M2059" s="890"/>
      <c r="N2059" s="183">
        <f>SUM(N2057:N2058)</f>
        <v>470436076</v>
      </c>
    </row>
    <row r="2060" spans="9:16">
      <c r="I2060" s="61"/>
      <c r="J2060" s="61"/>
      <c r="K2060" s="61"/>
      <c r="L2060" s="61"/>
      <c r="M2060" s="61"/>
    </row>
    <row r="2061" spans="9:16">
      <c r="I2061" s="51" t="s">
        <v>1005</v>
      </c>
    </row>
    <row r="2062" spans="9:16" ht="12.75" customHeight="1">
      <c r="N2062" s="139"/>
    </row>
    <row r="2063" spans="9:16">
      <c r="I2063" s="50" t="s">
        <v>105</v>
      </c>
      <c r="L2063" s="146"/>
      <c r="N2063" s="139"/>
    </row>
    <row r="2064" spans="9:16" ht="15.75" thickBot="1"/>
    <row r="2065" spans="9:16" ht="15.75" thickBot="1">
      <c r="I2065" s="891" t="s">
        <v>106</v>
      </c>
      <c r="J2065" s="892"/>
      <c r="K2065" s="892"/>
      <c r="L2065" s="893"/>
      <c r="N2065" s="50" t="s">
        <v>288</v>
      </c>
    </row>
    <row r="2066" spans="9:16" ht="30.75" thickBot="1">
      <c r="I2066" s="57" t="s">
        <v>100</v>
      </c>
      <c r="J2066" s="58" t="s">
        <v>108</v>
      </c>
      <c r="K2066" s="287" t="s">
        <v>109</v>
      </c>
      <c r="L2066" s="60" t="s">
        <v>110</v>
      </c>
    </row>
    <row r="2067" spans="9:16">
      <c r="I2067" s="71">
        <v>719</v>
      </c>
      <c r="J2067" s="73">
        <f>+P2047+P2049+P2051+P2053+P2055</f>
        <v>2360000</v>
      </c>
      <c r="K2067" s="74">
        <f>+L2030</f>
        <v>37550000</v>
      </c>
      <c r="L2067" s="195">
        <f>+J2067+K2067</f>
        <v>39910000</v>
      </c>
    </row>
    <row r="2068" spans="9:16">
      <c r="I2068" s="72">
        <v>721</v>
      </c>
      <c r="J2068" s="80">
        <f>+P2048+P2050+P2052+P2054</f>
        <v>944000</v>
      </c>
      <c r="K2068" s="74">
        <f>+L2031</f>
        <v>96609059</v>
      </c>
      <c r="L2068" s="195">
        <f>+J2068+K2068</f>
        <v>97553059</v>
      </c>
    </row>
    <row r="2069" spans="9:16">
      <c r="I2069" s="72">
        <v>722</v>
      </c>
      <c r="J2069" s="80"/>
      <c r="K2069" s="74">
        <f>+L2032</f>
        <v>42881706</v>
      </c>
      <c r="L2069" s="195">
        <f>+J2069+K2069</f>
        <v>42881706</v>
      </c>
    </row>
    <row r="2070" spans="9:16" ht="15.75">
      <c r="I2070" s="72">
        <v>723</v>
      </c>
      <c r="J2070" s="80"/>
      <c r="K2070" s="74">
        <f>+L2033</f>
        <v>290021311</v>
      </c>
      <c r="L2070" s="195">
        <f>+J2070+K2070</f>
        <v>290021311</v>
      </c>
      <c r="N2070" s="193" t="s">
        <v>289</v>
      </c>
      <c r="O2070" s="175"/>
    </row>
    <row r="2071" spans="9:16" ht="16.5" thickBot="1">
      <c r="I2071" s="164" t="s">
        <v>181</v>
      </c>
      <c r="J2071" s="165"/>
      <c r="K2071" s="74">
        <f>+L2034</f>
        <v>0</v>
      </c>
      <c r="L2071" s="196">
        <f>+J2071+K2071</f>
        <v>0</v>
      </c>
      <c r="N2071" s="52"/>
    </row>
    <row r="2072" spans="9:16" ht="16.5" thickBot="1">
      <c r="I2072" s="169"/>
      <c r="J2072" s="197">
        <f>SUM(J2067:J2071)</f>
        <v>3304000</v>
      </c>
      <c r="K2072" s="197">
        <f>SUM(K2067:K2071)</f>
        <v>467062076</v>
      </c>
      <c r="L2072" s="198">
        <f>SUM(L2067:L2071)</f>
        <v>470366076</v>
      </c>
    </row>
    <row r="2073" spans="9:16" ht="16.5">
      <c r="I2073" s="49" t="s">
        <v>88</v>
      </c>
      <c r="J2073" s="50"/>
    </row>
    <row r="2074" spans="9:16">
      <c r="I2074" s="51" t="s">
        <v>89</v>
      </c>
    </row>
    <row r="2075" spans="9:16">
      <c r="I2075" s="51" t="s">
        <v>90</v>
      </c>
    </row>
    <row r="2076" spans="9:16">
      <c r="I2076" s="51" t="s">
        <v>91</v>
      </c>
    </row>
    <row r="2077" spans="9:16" ht="12.75" customHeight="1">
      <c r="I2077" s="50"/>
      <c r="J2077" s="50"/>
    </row>
    <row r="2078" spans="9:16" ht="15.75">
      <c r="I2078" s="260" t="s">
        <v>1007</v>
      </c>
      <c r="O2078" s="52"/>
    </row>
    <row r="2079" spans="9:16" ht="15.75">
      <c r="I2079" s="53" t="s">
        <v>535</v>
      </c>
      <c r="O2079" s="53"/>
    </row>
    <row r="2080" spans="9:16" ht="16.5">
      <c r="I2080" s="894" t="s">
        <v>1011</v>
      </c>
      <c r="J2080" s="894"/>
      <c r="K2080" s="894"/>
      <c r="L2080" s="894"/>
      <c r="M2080" s="894"/>
      <c r="N2080" s="894"/>
      <c r="O2080" s="894"/>
      <c r="P2080" s="894"/>
    </row>
    <row r="2081" spans="9:16" ht="15.75" thickBot="1"/>
    <row r="2082" spans="9:16">
      <c r="I2082" s="895" t="s">
        <v>94</v>
      </c>
      <c r="J2082" s="897" t="s">
        <v>95</v>
      </c>
      <c r="K2082" s="897" t="s">
        <v>96</v>
      </c>
      <c r="L2082" s="897" t="s">
        <v>3</v>
      </c>
      <c r="M2082" s="897" t="s">
        <v>97</v>
      </c>
      <c r="N2082" s="897" t="s">
        <v>98</v>
      </c>
      <c r="O2082" s="897" t="s">
        <v>99</v>
      </c>
      <c r="P2082" s="899"/>
    </row>
    <row r="2083" spans="9:16" ht="15.75" thickBot="1">
      <c r="I2083" s="896"/>
      <c r="J2083" s="898"/>
      <c r="K2083" s="898"/>
      <c r="L2083" s="898"/>
      <c r="M2083" s="898"/>
      <c r="N2083" s="898"/>
      <c r="O2083" s="240" t="s">
        <v>100</v>
      </c>
      <c r="P2083" s="182" t="s">
        <v>101</v>
      </c>
    </row>
    <row r="2084" spans="9:16">
      <c r="I2084" s="881">
        <v>230</v>
      </c>
      <c r="J2084" s="875">
        <v>42551</v>
      </c>
      <c r="K2084" s="877" t="s">
        <v>1008</v>
      </c>
      <c r="L2084" s="879" t="s">
        <v>1010</v>
      </c>
      <c r="M2084" s="881" t="s">
        <v>145</v>
      </c>
      <c r="N2084" s="883">
        <v>100000</v>
      </c>
      <c r="O2084" s="55">
        <v>719</v>
      </c>
      <c r="P2084" s="78">
        <v>0</v>
      </c>
    </row>
    <row r="2085" spans="9:16" ht="15.75" thickBot="1">
      <c r="I2085" s="882"/>
      <c r="J2085" s="876"/>
      <c r="K2085" s="878"/>
      <c r="L2085" s="880"/>
      <c r="M2085" s="882"/>
      <c r="N2085" s="884"/>
      <c r="O2085" s="56">
        <v>721</v>
      </c>
      <c r="P2085" s="79">
        <v>100000</v>
      </c>
    </row>
    <row r="2086" spans="9:16" ht="15" customHeight="1">
      <c r="I2086" s="881">
        <v>231</v>
      </c>
      <c r="J2086" s="875">
        <v>42551</v>
      </c>
      <c r="K2086" s="877" t="s">
        <v>1009</v>
      </c>
      <c r="L2086" s="879" t="s">
        <v>1010</v>
      </c>
      <c r="M2086" s="881" t="s">
        <v>145</v>
      </c>
      <c r="N2086" s="883">
        <v>100000</v>
      </c>
      <c r="O2086" s="55">
        <v>719</v>
      </c>
      <c r="P2086" s="78">
        <v>0</v>
      </c>
    </row>
    <row r="2087" spans="9:16" ht="15.75" customHeight="1" thickBot="1">
      <c r="I2087" s="882"/>
      <c r="J2087" s="876"/>
      <c r="K2087" s="878"/>
      <c r="L2087" s="880"/>
      <c r="M2087" s="882"/>
      <c r="N2087" s="884"/>
      <c r="O2087" s="56">
        <v>721</v>
      </c>
      <c r="P2087" s="79">
        <v>100000</v>
      </c>
    </row>
    <row r="2088" spans="9:16">
      <c r="I2088" s="881"/>
      <c r="J2088" s="875"/>
      <c r="K2088" s="877"/>
      <c r="L2088" s="879"/>
      <c r="M2088" s="881"/>
      <c r="N2088" s="883"/>
      <c r="O2088" s="55">
        <v>719</v>
      </c>
      <c r="P2088" s="78">
        <v>0</v>
      </c>
    </row>
    <row r="2089" spans="9:16" ht="14.25" customHeight="1" thickBot="1">
      <c r="I2089" s="882"/>
      <c r="J2089" s="876"/>
      <c r="K2089" s="878"/>
      <c r="L2089" s="880"/>
      <c r="M2089" s="882"/>
      <c r="N2089" s="884"/>
      <c r="O2089" s="56">
        <v>721</v>
      </c>
      <c r="P2089" s="79">
        <f>+N2088-P2088</f>
        <v>0</v>
      </c>
    </row>
    <row r="2090" spans="9:16" ht="15" customHeight="1">
      <c r="I2090" s="881"/>
      <c r="J2090" s="875"/>
      <c r="K2090" s="877"/>
      <c r="L2090" s="879"/>
      <c r="M2090" s="881"/>
      <c r="N2090" s="883"/>
      <c r="O2090" s="55">
        <v>719</v>
      </c>
      <c r="P2090" s="78">
        <v>0</v>
      </c>
    </row>
    <row r="2091" spans="9:16" ht="15.75" customHeight="1" thickBot="1">
      <c r="I2091" s="882"/>
      <c r="J2091" s="876"/>
      <c r="K2091" s="878"/>
      <c r="L2091" s="880"/>
      <c r="M2091" s="882"/>
      <c r="N2091" s="884"/>
      <c r="O2091" s="56">
        <v>721</v>
      </c>
      <c r="P2091" s="79">
        <f>+N2090-P2090</f>
        <v>0</v>
      </c>
    </row>
    <row r="2092" spans="9:16" ht="10.5" customHeight="1">
      <c r="I2092" s="881"/>
      <c r="J2092" s="875"/>
      <c r="K2092" s="877"/>
      <c r="L2092" s="881"/>
      <c r="M2092" s="881"/>
      <c r="N2092" s="883"/>
      <c r="O2092" s="55">
        <v>719</v>
      </c>
      <c r="P2092" s="78"/>
    </row>
    <row r="2093" spans="9:16" ht="14.25" customHeight="1" thickBot="1">
      <c r="I2093" s="882"/>
      <c r="J2093" s="876"/>
      <c r="K2093" s="878"/>
      <c r="L2093" s="882"/>
      <c r="M2093" s="882"/>
      <c r="N2093" s="884"/>
      <c r="O2093" s="56">
        <v>721</v>
      </c>
      <c r="P2093" s="79">
        <f>+N2092-P2092</f>
        <v>0</v>
      </c>
    </row>
    <row r="2094" spans="9:16" ht="16.5" customHeight="1" thickBot="1">
      <c r="I2094" s="901" t="s">
        <v>102</v>
      </c>
      <c r="J2094" s="902"/>
      <c r="K2094" s="902"/>
      <c r="L2094" s="902"/>
      <c r="M2094" s="903"/>
      <c r="N2094" s="81">
        <f>SUM(N2084:N2093)</f>
        <v>200000</v>
      </c>
    </row>
    <row r="2095" spans="9:16" ht="16.5" customHeight="1" thickBot="1">
      <c r="I2095" s="885" t="s">
        <v>103</v>
      </c>
      <c r="J2095" s="886"/>
      <c r="K2095" s="886"/>
      <c r="L2095" s="886"/>
      <c r="M2095" s="887"/>
      <c r="N2095" s="69">
        <f>+N2059</f>
        <v>470436076</v>
      </c>
      <c r="O2095" s="241" t="s">
        <v>561</v>
      </c>
      <c r="P2095" s="242"/>
    </row>
    <row r="2096" spans="9:16" ht="16.5" customHeight="1" thickBot="1">
      <c r="I2096" s="888" t="s">
        <v>104</v>
      </c>
      <c r="J2096" s="889"/>
      <c r="K2096" s="889"/>
      <c r="L2096" s="889"/>
      <c r="M2096" s="890"/>
      <c r="N2096" s="183">
        <f>SUM(N2094:N2095)</f>
        <v>470636076</v>
      </c>
    </row>
    <row r="2097" spans="9:15" ht="15.75" customHeight="1">
      <c r="I2097" s="61"/>
      <c r="J2097" s="61"/>
      <c r="K2097" s="61"/>
      <c r="L2097" s="61"/>
      <c r="M2097" s="61"/>
    </row>
    <row r="2098" spans="9:15" ht="15" customHeight="1">
      <c r="I2098" s="51" t="s">
        <v>1012</v>
      </c>
    </row>
    <row r="2099" spans="9:15" ht="14.25" customHeight="1">
      <c r="N2099" s="139"/>
    </row>
    <row r="2100" spans="9:15">
      <c r="I2100" s="50" t="s">
        <v>105</v>
      </c>
      <c r="L2100" s="146"/>
      <c r="N2100" s="139"/>
    </row>
    <row r="2101" spans="9:15" ht="14.25" customHeight="1" thickBot="1"/>
    <row r="2102" spans="9:15" ht="15.75" thickBot="1">
      <c r="I2102" s="891" t="s">
        <v>106</v>
      </c>
      <c r="J2102" s="892"/>
      <c r="K2102" s="892"/>
      <c r="L2102" s="893"/>
      <c r="N2102" s="50" t="s">
        <v>288</v>
      </c>
    </row>
    <row r="2103" spans="9:15" ht="30.75" thickBot="1">
      <c r="I2103" s="57" t="s">
        <v>100</v>
      </c>
      <c r="J2103" s="58" t="s">
        <v>108</v>
      </c>
      <c r="K2103" s="287" t="s">
        <v>109</v>
      </c>
      <c r="L2103" s="60" t="s">
        <v>110</v>
      </c>
    </row>
    <row r="2104" spans="9:15">
      <c r="I2104" s="71">
        <v>719</v>
      </c>
      <c r="J2104" s="73">
        <f>+P2084+P2086+P2088+P2090+P2092</f>
        <v>0</v>
      </c>
      <c r="K2104" s="74">
        <f>+L2067</f>
        <v>39910000</v>
      </c>
      <c r="L2104" s="195">
        <f>+J2104+K2104</f>
        <v>39910000</v>
      </c>
    </row>
    <row r="2105" spans="9:15">
      <c r="I2105" s="72">
        <v>721</v>
      </c>
      <c r="J2105" s="80">
        <f>+P2085+P2087+P2089+P2091</f>
        <v>200000</v>
      </c>
      <c r="K2105" s="74">
        <f>+L2068</f>
        <v>97553059</v>
      </c>
      <c r="L2105" s="195">
        <f>+J2105+K2105</f>
        <v>97753059</v>
      </c>
    </row>
    <row r="2106" spans="9:15">
      <c r="I2106" s="72">
        <v>722</v>
      </c>
      <c r="J2106" s="80"/>
      <c r="K2106" s="74">
        <f>+L2069</f>
        <v>42881706</v>
      </c>
      <c r="L2106" s="195">
        <f>+J2106+K2106</f>
        <v>42881706</v>
      </c>
    </row>
    <row r="2107" spans="9:15" ht="15.75">
      <c r="I2107" s="72">
        <v>723</v>
      </c>
      <c r="J2107" s="80"/>
      <c r="K2107" s="74">
        <f>+L2070</f>
        <v>290021311</v>
      </c>
      <c r="L2107" s="195">
        <f>+J2107+K2107</f>
        <v>290021311</v>
      </c>
      <c r="N2107" s="193" t="s">
        <v>289</v>
      </c>
      <c r="O2107" s="175"/>
    </row>
    <row r="2108" spans="9:15" ht="16.5" thickBot="1">
      <c r="I2108" s="164" t="s">
        <v>181</v>
      </c>
      <c r="J2108" s="165"/>
      <c r="K2108" s="74">
        <f>+L2071</f>
        <v>0</v>
      </c>
      <c r="L2108" s="196">
        <f>+J2108+K2108</f>
        <v>0</v>
      </c>
      <c r="N2108" s="52"/>
    </row>
    <row r="2109" spans="9:15" ht="16.5" thickBot="1">
      <c r="I2109" s="169"/>
      <c r="J2109" s="197">
        <f>SUM(J2104:J2108)</f>
        <v>200000</v>
      </c>
      <c r="K2109" s="197">
        <f>SUM(K2104:K2108)</f>
        <v>470366076</v>
      </c>
      <c r="L2109" s="198">
        <f>SUM(L2104:L2108)</f>
        <v>470566076</v>
      </c>
    </row>
    <row r="2110" spans="9:15" ht="16.5">
      <c r="I2110" s="49" t="s">
        <v>88</v>
      </c>
      <c r="J2110" s="50"/>
    </row>
    <row r="2111" spans="9:15">
      <c r="I2111" s="51" t="s">
        <v>89</v>
      </c>
    </row>
    <row r="2112" spans="9:15">
      <c r="I2112" s="51" t="s">
        <v>90</v>
      </c>
    </row>
    <row r="2113" spans="9:18">
      <c r="I2113" s="51" t="s">
        <v>91</v>
      </c>
    </row>
    <row r="2114" spans="9:18">
      <c r="I2114" s="50"/>
      <c r="J2114" s="50"/>
    </row>
    <row r="2115" spans="9:18" ht="15.75">
      <c r="I2115" s="260" t="s">
        <v>1013</v>
      </c>
      <c r="O2115" s="52"/>
    </row>
    <row r="2116" spans="9:18" ht="15.75">
      <c r="I2116" s="53" t="s">
        <v>535</v>
      </c>
      <c r="O2116" s="53"/>
    </row>
    <row r="2117" spans="9:18" ht="16.5">
      <c r="I2117" s="894" t="s">
        <v>1011</v>
      </c>
      <c r="J2117" s="894"/>
      <c r="K2117" s="894"/>
      <c r="L2117" s="894"/>
      <c r="M2117" s="894"/>
      <c r="N2117" s="894"/>
      <c r="O2117" s="894"/>
      <c r="P2117" s="894"/>
    </row>
    <row r="2118" spans="9:18" ht="15.75" thickBot="1"/>
    <row r="2119" spans="9:18">
      <c r="I2119" s="895" t="s">
        <v>94</v>
      </c>
      <c r="J2119" s="897" t="s">
        <v>95</v>
      </c>
      <c r="K2119" s="897" t="s">
        <v>96</v>
      </c>
      <c r="L2119" s="897" t="s">
        <v>3</v>
      </c>
      <c r="M2119" s="897" t="s">
        <v>97</v>
      </c>
      <c r="N2119" s="897" t="s">
        <v>98</v>
      </c>
      <c r="O2119" s="897" t="s">
        <v>99</v>
      </c>
      <c r="P2119" s="899"/>
    </row>
    <row r="2120" spans="9:18" ht="15.75" thickBot="1">
      <c r="I2120" s="896"/>
      <c r="J2120" s="898"/>
      <c r="K2120" s="898"/>
      <c r="L2120" s="898"/>
      <c r="M2120" s="898"/>
      <c r="N2120" s="898"/>
      <c r="O2120" s="240" t="s">
        <v>100</v>
      </c>
      <c r="P2120" s="182" t="s">
        <v>101</v>
      </c>
      <c r="R2120" s="51" t="s">
        <v>631</v>
      </c>
    </row>
    <row r="2121" spans="9:18">
      <c r="I2121" s="881">
        <v>232</v>
      </c>
      <c r="J2121" s="875">
        <v>42556</v>
      </c>
      <c r="K2121" s="877" t="s">
        <v>1014</v>
      </c>
      <c r="L2121" s="879" t="s">
        <v>1010</v>
      </c>
      <c r="M2121" s="881" t="s">
        <v>115</v>
      </c>
      <c r="N2121" s="883">
        <v>50000</v>
      </c>
      <c r="O2121" s="55">
        <v>719</v>
      </c>
      <c r="P2121" s="78">
        <v>50000</v>
      </c>
    </row>
    <row r="2122" spans="9:18" ht="15.75" thickBot="1">
      <c r="I2122" s="882"/>
      <c r="J2122" s="876"/>
      <c r="K2122" s="878"/>
      <c r="L2122" s="880"/>
      <c r="M2122" s="882"/>
      <c r="N2122" s="884"/>
      <c r="O2122" s="56">
        <v>721</v>
      </c>
      <c r="P2122" s="79"/>
    </row>
    <row r="2123" spans="9:18">
      <c r="I2123" s="881">
        <v>233</v>
      </c>
      <c r="J2123" s="875">
        <v>42556</v>
      </c>
      <c r="K2123" s="877" t="s">
        <v>120</v>
      </c>
      <c r="L2123" s="879" t="s">
        <v>1015</v>
      </c>
      <c r="M2123" s="881" t="s">
        <v>115</v>
      </c>
      <c r="N2123" s="883">
        <v>10000</v>
      </c>
      <c r="O2123" s="55">
        <v>719</v>
      </c>
      <c r="P2123" s="78">
        <v>10000</v>
      </c>
    </row>
    <row r="2124" spans="9:18" ht="15.75" thickBot="1">
      <c r="I2124" s="882"/>
      <c r="J2124" s="876"/>
      <c r="K2124" s="878"/>
      <c r="L2124" s="880"/>
      <c r="M2124" s="882"/>
      <c r="N2124" s="884"/>
      <c r="O2124" s="56">
        <v>721</v>
      </c>
      <c r="P2124" s="79"/>
    </row>
    <row r="2125" spans="9:18">
      <c r="I2125" s="881"/>
      <c r="J2125" s="875"/>
      <c r="K2125" s="877"/>
      <c r="L2125" s="879"/>
      <c r="M2125" s="881"/>
      <c r="N2125" s="883"/>
      <c r="O2125" s="55">
        <v>719</v>
      </c>
      <c r="P2125" s="78">
        <v>0</v>
      </c>
    </row>
    <row r="2126" spans="9:18" ht="12.75" customHeight="1" thickBot="1">
      <c r="I2126" s="882"/>
      <c r="J2126" s="876"/>
      <c r="K2126" s="878"/>
      <c r="L2126" s="880"/>
      <c r="M2126" s="882"/>
      <c r="N2126" s="884"/>
      <c r="O2126" s="56">
        <v>721</v>
      </c>
      <c r="P2126" s="79">
        <f>+N2125-P2125</f>
        <v>0</v>
      </c>
    </row>
    <row r="2127" spans="9:18">
      <c r="I2127" s="881"/>
      <c r="J2127" s="875"/>
      <c r="K2127" s="877"/>
      <c r="L2127" s="879"/>
      <c r="M2127" s="881"/>
      <c r="N2127" s="883"/>
      <c r="O2127" s="55">
        <v>719</v>
      </c>
      <c r="P2127" s="78">
        <v>0</v>
      </c>
    </row>
    <row r="2128" spans="9:18" ht="12.75" customHeight="1" thickBot="1">
      <c r="I2128" s="882"/>
      <c r="J2128" s="876"/>
      <c r="K2128" s="878"/>
      <c r="L2128" s="880"/>
      <c r="M2128" s="882"/>
      <c r="N2128" s="884"/>
      <c r="O2128" s="56">
        <v>721</v>
      </c>
      <c r="P2128" s="79">
        <f>+N2127-P2127</f>
        <v>0</v>
      </c>
    </row>
    <row r="2129" spans="9:16">
      <c r="I2129" s="881"/>
      <c r="J2129" s="875"/>
      <c r="K2129" s="877"/>
      <c r="L2129" s="881"/>
      <c r="M2129" s="881"/>
      <c r="N2129" s="883"/>
      <c r="O2129" s="55">
        <v>719</v>
      </c>
      <c r="P2129" s="78"/>
    </row>
    <row r="2130" spans="9:16" ht="12.75" customHeight="1" thickBot="1">
      <c r="I2130" s="882"/>
      <c r="J2130" s="876"/>
      <c r="K2130" s="878"/>
      <c r="L2130" s="882"/>
      <c r="M2130" s="882"/>
      <c r="N2130" s="884"/>
      <c r="O2130" s="56">
        <v>721</v>
      </c>
      <c r="P2130" s="79">
        <f>+N2129-P2129</f>
        <v>0</v>
      </c>
    </row>
    <row r="2131" spans="9:16" ht="16.5" thickBot="1">
      <c r="I2131" s="901" t="s">
        <v>102</v>
      </c>
      <c r="J2131" s="902"/>
      <c r="K2131" s="902"/>
      <c r="L2131" s="902"/>
      <c r="M2131" s="903"/>
      <c r="N2131" s="81">
        <f>SUM(N2121:N2130)</f>
        <v>60000</v>
      </c>
    </row>
    <row r="2132" spans="9:16" ht="16.5" thickBot="1">
      <c r="I2132" s="885" t="s">
        <v>103</v>
      </c>
      <c r="J2132" s="886"/>
      <c r="K2132" s="886"/>
      <c r="L2132" s="886"/>
      <c r="M2132" s="887"/>
      <c r="N2132" s="69">
        <f>+N2096</f>
        <v>470636076</v>
      </c>
      <c r="O2132" s="241" t="s">
        <v>561</v>
      </c>
      <c r="P2132" s="242">
        <v>161</v>
      </c>
    </row>
    <row r="2133" spans="9:16" ht="16.5" thickBot="1">
      <c r="I2133" s="888" t="s">
        <v>104</v>
      </c>
      <c r="J2133" s="889"/>
      <c r="K2133" s="889"/>
      <c r="L2133" s="889"/>
      <c r="M2133" s="890"/>
      <c r="N2133" s="183">
        <f>SUM(N2131:N2132)</f>
        <v>470696076</v>
      </c>
    </row>
    <row r="2134" spans="9:16">
      <c r="I2134" s="61"/>
      <c r="J2134" s="61"/>
      <c r="K2134" s="61"/>
      <c r="L2134" s="61"/>
      <c r="M2134" s="61"/>
    </row>
    <row r="2135" spans="9:16">
      <c r="I2135" s="51" t="s">
        <v>1016</v>
      </c>
    </row>
    <row r="2136" spans="9:16">
      <c r="N2136" s="139"/>
    </row>
    <row r="2137" spans="9:16">
      <c r="I2137" s="50" t="s">
        <v>105</v>
      </c>
      <c r="L2137" s="146"/>
      <c r="N2137" s="139"/>
    </row>
    <row r="2138" spans="9:16" ht="15.75" thickBot="1"/>
    <row r="2139" spans="9:16" ht="15.75" thickBot="1">
      <c r="I2139" s="891" t="s">
        <v>106</v>
      </c>
      <c r="J2139" s="892"/>
      <c r="K2139" s="892"/>
      <c r="L2139" s="893"/>
      <c r="N2139" s="50" t="s">
        <v>288</v>
      </c>
    </row>
    <row r="2140" spans="9:16" ht="30.75" thickBot="1">
      <c r="I2140" s="57" t="s">
        <v>100</v>
      </c>
      <c r="J2140" s="58" t="s">
        <v>108</v>
      </c>
      <c r="K2140" s="287" t="s">
        <v>109</v>
      </c>
      <c r="L2140" s="60" t="s">
        <v>110</v>
      </c>
    </row>
    <row r="2141" spans="9:16">
      <c r="I2141" s="71">
        <v>719</v>
      </c>
      <c r="J2141" s="73">
        <f>+P2121+P2123+P2125+P2127+P2129</f>
        <v>60000</v>
      </c>
      <c r="K2141" s="74">
        <f>+L2104</f>
        <v>39910000</v>
      </c>
      <c r="L2141" s="195">
        <f>+J2141+K2141</f>
        <v>39970000</v>
      </c>
    </row>
    <row r="2142" spans="9:16">
      <c r="I2142" s="72">
        <v>721</v>
      </c>
      <c r="J2142" s="80">
        <f>+P2122+P2124+P2126+P2128</f>
        <v>0</v>
      </c>
      <c r="K2142" s="74">
        <f>+L2105</f>
        <v>97753059</v>
      </c>
      <c r="L2142" s="195">
        <f>+J2142+K2142</f>
        <v>97753059</v>
      </c>
    </row>
    <row r="2143" spans="9:16">
      <c r="I2143" s="72">
        <v>722</v>
      </c>
      <c r="J2143" s="80"/>
      <c r="K2143" s="74">
        <f>+L2106</f>
        <v>42881706</v>
      </c>
      <c r="L2143" s="195">
        <f>+J2143+K2143</f>
        <v>42881706</v>
      </c>
    </row>
    <row r="2144" spans="9:16" ht="15.75">
      <c r="I2144" s="72">
        <v>723</v>
      </c>
      <c r="J2144" s="80"/>
      <c r="K2144" s="74">
        <f>+L2107</f>
        <v>290021311</v>
      </c>
      <c r="L2144" s="195">
        <f>+J2144+K2144</f>
        <v>290021311</v>
      </c>
      <c r="N2144" s="193" t="s">
        <v>289</v>
      </c>
      <c r="O2144" s="175"/>
    </row>
    <row r="2145" spans="9:16" ht="16.5" thickBot="1">
      <c r="I2145" s="164" t="s">
        <v>181</v>
      </c>
      <c r="J2145" s="165"/>
      <c r="K2145" s="74">
        <f>+L2108</f>
        <v>0</v>
      </c>
      <c r="L2145" s="196">
        <f>+J2145+K2145</f>
        <v>0</v>
      </c>
      <c r="N2145" s="52"/>
    </row>
    <row r="2146" spans="9:16" ht="16.5" thickBot="1">
      <c r="I2146" s="169"/>
      <c r="J2146" s="197">
        <f>SUM(J2141:J2145)</f>
        <v>60000</v>
      </c>
      <c r="K2146" s="197">
        <f>SUM(K2141:K2145)</f>
        <v>470566076</v>
      </c>
      <c r="L2146" s="198">
        <f>SUM(L2141:L2145)</f>
        <v>470626076</v>
      </c>
    </row>
    <row r="2147" spans="9:16" ht="16.5">
      <c r="I2147" s="49" t="s">
        <v>88</v>
      </c>
      <c r="J2147" s="50"/>
    </row>
    <row r="2148" spans="9:16">
      <c r="I2148" s="51" t="s">
        <v>89</v>
      </c>
    </row>
    <row r="2149" spans="9:16">
      <c r="I2149" s="51" t="s">
        <v>90</v>
      </c>
    </row>
    <row r="2150" spans="9:16">
      <c r="I2150" s="51" t="s">
        <v>91</v>
      </c>
    </row>
    <row r="2151" spans="9:16" ht="10.5" customHeight="1">
      <c r="I2151" s="50"/>
      <c r="J2151" s="50"/>
    </row>
    <row r="2152" spans="9:16" ht="15.75">
      <c r="I2152" s="260" t="s">
        <v>1017</v>
      </c>
      <c r="O2152" s="52"/>
    </row>
    <row r="2153" spans="9:16" ht="15.75">
      <c r="I2153" s="53" t="s">
        <v>535</v>
      </c>
      <c r="O2153" s="53"/>
    </row>
    <row r="2154" spans="9:16" ht="15.75" customHeight="1">
      <c r="I2154" s="894" t="s">
        <v>909</v>
      </c>
      <c r="J2154" s="894"/>
      <c r="K2154" s="894"/>
      <c r="L2154" s="894"/>
      <c r="M2154" s="894"/>
      <c r="N2154" s="894"/>
      <c r="O2154" s="894"/>
      <c r="P2154" s="894"/>
    </row>
    <row r="2155" spans="9:16" ht="12.75" customHeight="1" thickBot="1"/>
    <row r="2156" spans="9:16">
      <c r="I2156" s="895" t="s">
        <v>94</v>
      </c>
      <c r="J2156" s="897" t="s">
        <v>95</v>
      </c>
      <c r="K2156" s="897" t="s">
        <v>96</v>
      </c>
      <c r="L2156" s="897" t="s">
        <v>3</v>
      </c>
      <c r="M2156" s="897" t="s">
        <v>97</v>
      </c>
      <c r="N2156" s="897" t="s">
        <v>98</v>
      </c>
      <c r="O2156" s="897" t="s">
        <v>99</v>
      </c>
      <c r="P2156" s="899"/>
    </row>
    <row r="2157" spans="9:16" ht="15.75" thickBot="1">
      <c r="I2157" s="896"/>
      <c r="J2157" s="898"/>
      <c r="K2157" s="898"/>
      <c r="L2157" s="898"/>
      <c r="M2157" s="898"/>
      <c r="N2157" s="898"/>
      <c r="O2157" s="240" t="s">
        <v>100</v>
      </c>
      <c r="P2157" s="182" t="s">
        <v>101</v>
      </c>
    </row>
    <row r="2158" spans="9:16">
      <c r="I2158" s="881">
        <v>234</v>
      </c>
      <c r="J2158" s="875">
        <v>42573</v>
      </c>
      <c r="K2158" s="877" t="s">
        <v>1014</v>
      </c>
      <c r="L2158" s="879" t="s">
        <v>1018</v>
      </c>
      <c r="M2158" s="881" t="s">
        <v>115</v>
      </c>
      <c r="N2158" s="883">
        <v>100000</v>
      </c>
      <c r="O2158" s="55">
        <v>719</v>
      </c>
      <c r="P2158" s="78">
        <v>100000</v>
      </c>
    </row>
    <row r="2159" spans="9:16" ht="11.25" customHeight="1" thickBot="1">
      <c r="I2159" s="882"/>
      <c r="J2159" s="876"/>
      <c r="K2159" s="878"/>
      <c r="L2159" s="880"/>
      <c r="M2159" s="882"/>
      <c r="N2159" s="884"/>
      <c r="O2159" s="56">
        <v>721</v>
      </c>
      <c r="P2159" s="79"/>
    </row>
    <row r="2160" spans="9:16" ht="15" customHeight="1">
      <c r="I2160" s="881">
        <v>235</v>
      </c>
      <c r="J2160" s="875">
        <v>42573</v>
      </c>
      <c r="K2160" s="877" t="s">
        <v>28</v>
      </c>
      <c r="L2160" s="879" t="s">
        <v>1019</v>
      </c>
      <c r="M2160" s="881" t="s">
        <v>115</v>
      </c>
      <c r="N2160" s="883">
        <v>10000</v>
      </c>
      <c r="O2160" s="55">
        <v>719</v>
      </c>
      <c r="P2160" s="78">
        <v>10000</v>
      </c>
    </row>
    <row r="2161" spans="9:16" ht="12.75" customHeight="1" thickBot="1">
      <c r="I2161" s="882"/>
      <c r="J2161" s="876"/>
      <c r="K2161" s="878"/>
      <c r="L2161" s="880"/>
      <c r="M2161" s="882"/>
      <c r="N2161" s="884"/>
      <c r="O2161" s="56">
        <v>721</v>
      </c>
      <c r="P2161" s="79"/>
    </row>
    <row r="2162" spans="9:16" ht="15" customHeight="1">
      <c r="I2162" s="881">
        <v>236</v>
      </c>
      <c r="J2162" s="875">
        <v>42573</v>
      </c>
      <c r="K2162" s="877" t="s">
        <v>1014</v>
      </c>
      <c r="L2162" s="879" t="s">
        <v>1020</v>
      </c>
      <c r="M2162" s="881" t="s">
        <v>115</v>
      </c>
      <c r="N2162" s="883">
        <v>140000</v>
      </c>
      <c r="O2162" s="55">
        <v>719</v>
      </c>
      <c r="P2162" s="78">
        <v>140000</v>
      </c>
    </row>
    <row r="2163" spans="9:16" ht="12.75" customHeight="1" thickBot="1">
      <c r="I2163" s="882"/>
      <c r="J2163" s="876"/>
      <c r="K2163" s="878"/>
      <c r="L2163" s="880"/>
      <c r="M2163" s="882"/>
      <c r="N2163" s="884"/>
      <c r="O2163" s="56">
        <v>721</v>
      </c>
      <c r="P2163" s="79">
        <f>+N2162-P2162</f>
        <v>0</v>
      </c>
    </row>
    <row r="2164" spans="9:16">
      <c r="I2164" s="881">
        <v>237</v>
      </c>
      <c r="J2164" s="875">
        <v>42573</v>
      </c>
      <c r="K2164" s="877" t="s">
        <v>28</v>
      </c>
      <c r="L2164" s="879" t="s">
        <v>1022</v>
      </c>
      <c r="M2164" s="881" t="s">
        <v>115</v>
      </c>
      <c r="N2164" s="883">
        <v>60000</v>
      </c>
      <c r="O2164" s="55">
        <v>719</v>
      </c>
      <c r="P2164" s="78">
        <v>60000</v>
      </c>
    </row>
    <row r="2165" spans="9:16" ht="13.5" customHeight="1" thickBot="1">
      <c r="I2165" s="882"/>
      <c r="J2165" s="876"/>
      <c r="K2165" s="878"/>
      <c r="L2165" s="880"/>
      <c r="M2165" s="882"/>
      <c r="N2165" s="884"/>
      <c r="O2165" s="56">
        <v>721</v>
      </c>
      <c r="P2165" s="79">
        <f>+N2164-P2164</f>
        <v>0</v>
      </c>
    </row>
    <row r="2166" spans="9:16" ht="15" customHeight="1">
      <c r="I2166" s="881">
        <v>238</v>
      </c>
      <c r="J2166" s="875">
        <v>42573</v>
      </c>
      <c r="K2166" s="877" t="s">
        <v>28</v>
      </c>
      <c r="L2166" s="879" t="s">
        <v>1021</v>
      </c>
      <c r="M2166" s="881" t="s">
        <v>115</v>
      </c>
      <c r="N2166" s="883">
        <v>40000</v>
      </c>
      <c r="O2166" s="55">
        <v>719</v>
      </c>
      <c r="P2166" s="78">
        <v>40000</v>
      </c>
    </row>
    <row r="2167" spans="9:16" ht="12" customHeight="1" thickBot="1">
      <c r="I2167" s="882"/>
      <c r="J2167" s="876"/>
      <c r="K2167" s="878"/>
      <c r="L2167" s="880"/>
      <c r="M2167" s="882"/>
      <c r="N2167" s="884"/>
      <c r="O2167" s="56">
        <v>721</v>
      </c>
      <c r="P2167" s="79">
        <f>+N2166-P2166</f>
        <v>0</v>
      </c>
    </row>
    <row r="2168" spans="9:16" ht="15" customHeight="1">
      <c r="I2168" s="881">
        <v>239</v>
      </c>
      <c r="J2168" s="875">
        <v>42573</v>
      </c>
      <c r="K2168" s="877" t="s">
        <v>120</v>
      </c>
      <c r="L2168" s="879" t="s">
        <v>1010</v>
      </c>
      <c r="M2168" s="881" t="s">
        <v>115</v>
      </c>
      <c r="N2168" s="883">
        <v>1259900</v>
      </c>
      <c r="O2168" s="55">
        <v>719</v>
      </c>
      <c r="P2168" s="78"/>
    </row>
    <row r="2169" spans="9:16" ht="12.75" customHeight="1" thickBot="1">
      <c r="I2169" s="882"/>
      <c r="J2169" s="876"/>
      <c r="K2169" s="878"/>
      <c r="L2169" s="880"/>
      <c r="M2169" s="882"/>
      <c r="N2169" s="884"/>
      <c r="O2169" s="56">
        <v>723</v>
      </c>
      <c r="P2169" s="79">
        <f>+N2168-P2168</f>
        <v>1259900</v>
      </c>
    </row>
    <row r="2170" spans="9:16" ht="16.5" thickBot="1">
      <c r="I2170" s="901" t="s">
        <v>102</v>
      </c>
      <c r="J2170" s="902"/>
      <c r="K2170" s="902"/>
      <c r="L2170" s="902"/>
      <c r="M2170" s="903"/>
      <c r="N2170" s="81">
        <f>SUM(N2158:N2169)</f>
        <v>1609900</v>
      </c>
    </row>
    <row r="2171" spans="9:16" ht="16.5" thickBot="1">
      <c r="I2171" s="885" t="s">
        <v>103</v>
      </c>
      <c r="J2171" s="886"/>
      <c r="K2171" s="886"/>
      <c r="L2171" s="886"/>
      <c r="M2171" s="887"/>
      <c r="N2171" s="69">
        <f>+N2133</f>
        <v>470696076</v>
      </c>
      <c r="O2171" s="241" t="s">
        <v>561</v>
      </c>
      <c r="P2171" s="242">
        <f>28+324+91+533+198</f>
        <v>1174</v>
      </c>
    </row>
    <row r="2172" spans="9:16" ht="16.5" thickBot="1">
      <c r="I2172" s="888" t="s">
        <v>104</v>
      </c>
      <c r="J2172" s="889"/>
      <c r="K2172" s="889"/>
      <c r="L2172" s="889"/>
      <c r="M2172" s="890"/>
      <c r="N2172" s="183">
        <f>SUM(N2170:N2171)</f>
        <v>472305976</v>
      </c>
    </row>
    <row r="2173" spans="9:16" ht="12.75" customHeight="1">
      <c r="I2173" s="61"/>
      <c r="J2173" s="61"/>
      <c r="K2173" s="61"/>
      <c r="L2173" s="61"/>
      <c r="M2173" s="61"/>
    </row>
    <row r="2174" spans="9:16">
      <c r="I2174" s="51" t="s">
        <v>1023</v>
      </c>
    </row>
    <row r="2175" spans="9:16" ht="12" customHeight="1">
      <c r="N2175" s="139"/>
    </row>
    <row r="2176" spans="9:16">
      <c r="I2176" s="50" t="s">
        <v>105</v>
      </c>
      <c r="L2176" s="146"/>
      <c r="N2176" s="139"/>
    </row>
    <row r="2177" spans="9:15" ht="12.75" customHeight="1" thickBot="1"/>
    <row r="2178" spans="9:15" ht="15.75" thickBot="1">
      <c r="I2178" s="891" t="s">
        <v>106</v>
      </c>
      <c r="J2178" s="892"/>
      <c r="K2178" s="892"/>
      <c r="L2178" s="893"/>
      <c r="N2178" s="50" t="s">
        <v>288</v>
      </c>
    </row>
    <row r="2179" spans="9:15" ht="30.75" thickBot="1">
      <c r="I2179" s="57" t="s">
        <v>100</v>
      </c>
      <c r="J2179" s="58" t="s">
        <v>108</v>
      </c>
      <c r="K2179" s="287" t="s">
        <v>109</v>
      </c>
      <c r="L2179" s="60" t="s">
        <v>110</v>
      </c>
    </row>
    <row r="2180" spans="9:15">
      <c r="I2180" s="71">
        <v>719</v>
      </c>
      <c r="J2180" s="73">
        <f>+P2158+P2160+P2162+P2166+P2168+P2164</f>
        <v>350000</v>
      </c>
      <c r="K2180" s="74">
        <f>+L2141</f>
        <v>39970000</v>
      </c>
      <c r="L2180" s="195">
        <f>+J2180+K2180</f>
        <v>40320000</v>
      </c>
    </row>
    <row r="2181" spans="9:15" ht="13.5" customHeight="1">
      <c r="I2181" s="72">
        <v>721</v>
      </c>
      <c r="J2181" s="80">
        <f>+P2159+P2161+P2163+P2167+P2165</f>
        <v>0</v>
      </c>
      <c r="K2181" s="74">
        <f>+L2142</f>
        <v>97753059</v>
      </c>
      <c r="L2181" s="195">
        <f>+J2181+K2181</f>
        <v>97753059</v>
      </c>
    </row>
    <row r="2182" spans="9:15">
      <c r="I2182" s="72">
        <v>722</v>
      </c>
      <c r="J2182" s="80"/>
      <c r="K2182" s="74">
        <f>+L2143</f>
        <v>42881706</v>
      </c>
      <c r="L2182" s="195">
        <f>+J2182+K2182</f>
        <v>42881706</v>
      </c>
    </row>
    <row r="2183" spans="9:15" ht="15" customHeight="1">
      <c r="I2183" s="72">
        <v>723</v>
      </c>
      <c r="J2183" s="80">
        <f>+P2169</f>
        <v>1259900</v>
      </c>
      <c r="K2183" s="74">
        <f>+L2144</f>
        <v>290021311</v>
      </c>
      <c r="L2183" s="195">
        <f>+J2183+K2183</f>
        <v>291281211</v>
      </c>
      <c r="N2183" s="193" t="s">
        <v>289</v>
      </c>
      <c r="O2183" s="175"/>
    </row>
    <row r="2184" spans="9:15" ht="13.5" customHeight="1" thickBot="1">
      <c r="I2184" s="164" t="s">
        <v>181</v>
      </c>
      <c r="J2184" s="165"/>
      <c r="K2184" s="74">
        <f>+L2145</f>
        <v>0</v>
      </c>
      <c r="L2184" s="196">
        <f>+J2184+K2184</f>
        <v>0</v>
      </c>
      <c r="N2184" s="52"/>
    </row>
    <row r="2185" spans="9:15" ht="16.5" thickBot="1">
      <c r="I2185" s="169"/>
      <c r="J2185" s="197">
        <f>SUM(J2180:J2184)</f>
        <v>1609900</v>
      </c>
      <c r="K2185" s="197">
        <f>SUM(K2180:K2184)</f>
        <v>470626076</v>
      </c>
      <c r="L2185" s="198">
        <f>SUM(L2180:L2184)</f>
        <v>472235976</v>
      </c>
    </row>
    <row r="2186" spans="9:15" ht="16.5">
      <c r="I2186" s="49" t="s">
        <v>88</v>
      </c>
      <c r="J2186" s="50"/>
    </row>
    <row r="2187" spans="9:15">
      <c r="I2187" s="51" t="s">
        <v>89</v>
      </c>
    </row>
    <row r="2188" spans="9:15">
      <c r="I2188" s="51" t="s">
        <v>90</v>
      </c>
    </row>
    <row r="2189" spans="9:15">
      <c r="I2189" s="51" t="s">
        <v>91</v>
      </c>
    </row>
    <row r="2190" spans="9:15" ht="10.5" customHeight="1">
      <c r="I2190" s="50"/>
      <c r="J2190" s="50"/>
    </row>
    <row r="2191" spans="9:15" ht="15.75">
      <c r="I2191" s="260" t="s">
        <v>1024</v>
      </c>
      <c r="O2191" s="52"/>
    </row>
    <row r="2192" spans="9:15" ht="15.75">
      <c r="I2192" s="53" t="s">
        <v>535</v>
      </c>
      <c r="O2192" s="53"/>
    </row>
    <row r="2193" spans="9:16" ht="16.5">
      <c r="I2193" s="894" t="s">
        <v>909</v>
      </c>
      <c r="J2193" s="894"/>
      <c r="K2193" s="894"/>
      <c r="L2193" s="894"/>
      <c r="M2193" s="894"/>
      <c r="N2193" s="894"/>
      <c r="O2193" s="894"/>
      <c r="P2193" s="894"/>
    </row>
    <row r="2194" spans="9:16" ht="15.75" thickBot="1"/>
    <row r="2195" spans="9:16">
      <c r="I2195" s="895" t="s">
        <v>94</v>
      </c>
      <c r="J2195" s="897" t="s">
        <v>95</v>
      </c>
      <c r="K2195" s="897" t="s">
        <v>96</v>
      </c>
      <c r="L2195" s="897" t="s">
        <v>3</v>
      </c>
      <c r="M2195" s="897" t="s">
        <v>97</v>
      </c>
      <c r="N2195" s="897" t="s">
        <v>98</v>
      </c>
      <c r="O2195" s="897" t="s">
        <v>99</v>
      </c>
      <c r="P2195" s="899"/>
    </row>
    <row r="2196" spans="9:16" ht="15.75" thickBot="1">
      <c r="I2196" s="896"/>
      <c r="J2196" s="898"/>
      <c r="K2196" s="898"/>
      <c r="L2196" s="898"/>
      <c r="M2196" s="898"/>
      <c r="N2196" s="898"/>
      <c r="O2196" s="240" t="s">
        <v>100</v>
      </c>
      <c r="P2196" s="182" t="s">
        <v>101</v>
      </c>
    </row>
    <row r="2197" spans="9:16">
      <c r="I2197" s="881">
        <v>240</v>
      </c>
      <c r="J2197" s="875">
        <v>42592</v>
      </c>
      <c r="K2197" s="877" t="s">
        <v>1014</v>
      </c>
      <c r="L2197" s="879" t="s">
        <v>1025</v>
      </c>
      <c r="M2197" s="881" t="s">
        <v>115</v>
      </c>
      <c r="N2197" s="883">
        <v>110000</v>
      </c>
      <c r="O2197" s="55">
        <v>719</v>
      </c>
      <c r="P2197" s="78">
        <f>+N2197</f>
        <v>110000</v>
      </c>
    </row>
    <row r="2198" spans="9:16" ht="15.75" thickBot="1">
      <c r="I2198" s="882"/>
      <c r="J2198" s="876"/>
      <c r="K2198" s="878"/>
      <c r="L2198" s="880"/>
      <c r="M2198" s="882"/>
      <c r="N2198" s="884"/>
      <c r="O2198" s="56">
        <v>721</v>
      </c>
      <c r="P2198" s="79"/>
    </row>
    <row r="2199" spans="9:16" ht="15" customHeight="1">
      <c r="I2199" s="881">
        <v>241</v>
      </c>
      <c r="J2199" s="875">
        <v>42592</v>
      </c>
      <c r="K2199" s="877" t="s">
        <v>28</v>
      </c>
      <c r="L2199" s="879" t="s">
        <v>1026</v>
      </c>
      <c r="M2199" s="881" t="s">
        <v>115</v>
      </c>
      <c r="N2199" s="883">
        <v>70000</v>
      </c>
      <c r="O2199" s="55">
        <v>719</v>
      </c>
      <c r="P2199" s="78">
        <f>+N2199</f>
        <v>70000</v>
      </c>
    </row>
    <row r="2200" spans="9:16" ht="15.75" customHeight="1" thickBot="1">
      <c r="I2200" s="882"/>
      <c r="J2200" s="876"/>
      <c r="K2200" s="878"/>
      <c r="L2200" s="880"/>
      <c r="M2200" s="882"/>
      <c r="N2200" s="884"/>
      <c r="O2200" s="56">
        <v>721</v>
      </c>
      <c r="P2200" s="79"/>
    </row>
    <row r="2201" spans="9:16" ht="15" customHeight="1">
      <c r="I2201" s="881">
        <v>242</v>
      </c>
      <c r="J2201" s="875">
        <v>42592</v>
      </c>
      <c r="K2201" s="877" t="s">
        <v>1014</v>
      </c>
      <c r="L2201" s="879" t="s">
        <v>1027</v>
      </c>
      <c r="M2201" s="881" t="s">
        <v>115</v>
      </c>
      <c r="N2201" s="883">
        <v>260000</v>
      </c>
      <c r="O2201" s="55">
        <v>719</v>
      </c>
      <c r="P2201" s="78">
        <v>260000</v>
      </c>
    </row>
    <row r="2202" spans="9:16" ht="15.75" customHeight="1" thickBot="1">
      <c r="I2202" s="882"/>
      <c r="J2202" s="876"/>
      <c r="K2202" s="878"/>
      <c r="L2202" s="880"/>
      <c r="M2202" s="882"/>
      <c r="N2202" s="884"/>
      <c r="O2202" s="56">
        <v>721</v>
      </c>
      <c r="P2202" s="79">
        <f>+N2201-P2201</f>
        <v>0</v>
      </c>
    </row>
    <row r="2203" spans="9:16" ht="15" customHeight="1">
      <c r="I2203" s="881"/>
      <c r="J2203" s="875"/>
      <c r="K2203" s="877"/>
      <c r="L2203" s="879"/>
      <c r="M2203" s="881"/>
      <c r="N2203" s="883"/>
      <c r="O2203" s="55">
        <v>719</v>
      </c>
      <c r="P2203" s="78">
        <v>0</v>
      </c>
    </row>
    <row r="2204" spans="9:16" ht="15.75" customHeight="1" thickBot="1">
      <c r="I2204" s="882"/>
      <c r="J2204" s="876"/>
      <c r="K2204" s="878"/>
      <c r="L2204" s="880"/>
      <c r="M2204" s="882"/>
      <c r="N2204" s="884"/>
      <c r="O2204" s="56">
        <v>721</v>
      </c>
      <c r="P2204" s="79">
        <f>+N2203-P2203</f>
        <v>0</v>
      </c>
    </row>
    <row r="2205" spans="9:16">
      <c r="I2205" s="881"/>
      <c r="J2205" s="875"/>
      <c r="K2205" s="877"/>
      <c r="L2205" s="879"/>
      <c r="M2205" s="881"/>
      <c r="N2205" s="883"/>
      <c r="O2205" s="55">
        <v>719</v>
      </c>
      <c r="P2205" s="78"/>
    </row>
    <row r="2206" spans="9:16" ht="15.75" thickBot="1">
      <c r="I2206" s="882"/>
      <c r="J2206" s="876"/>
      <c r="K2206" s="878"/>
      <c r="L2206" s="880"/>
      <c r="M2206" s="882"/>
      <c r="N2206" s="884"/>
      <c r="O2206" s="56">
        <v>723</v>
      </c>
      <c r="P2206" s="79">
        <f>+N2205-P2205</f>
        <v>0</v>
      </c>
    </row>
    <row r="2207" spans="9:16" ht="16.5" thickBot="1">
      <c r="I2207" s="901" t="s">
        <v>102</v>
      </c>
      <c r="J2207" s="902"/>
      <c r="K2207" s="902"/>
      <c r="L2207" s="902"/>
      <c r="M2207" s="903"/>
      <c r="N2207" s="81">
        <f>SUM(N2197:N2206)</f>
        <v>440000</v>
      </c>
    </row>
    <row r="2208" spans="9:16" ht="16.5" thickBot="1">
      <c r="I2208" s="885" t="s">
        <v>103</v>
      </c>
      <c r="J2208" s="886"/>
      <c r="K2208" s="886"/>
      <c r="L2208" s="886"/>
      <c r="M2208" s="887"/>
      <c r="N2208" s="69">
        <f>+N2172</f>
        <v>472305976</v>
      </c>
      <c r="O2208" s="241" t="s">
        <v>561</v>
      </c>
      <c r="P2208" s="242">
        <f>742+165+273</f>
        <v>1180</v>
      </c>
    </row>
    <row r="2209" spans="9:15" ht="16.5" thickBot="1">
      <c r="I2209" s="888" t="s">
        <v>104</v>
      </c>
      <c r="J2209" s="889"/>
      <c r="K2209" s="889"/>
      <c r="L2209" s="889"/>
      <c r="M2209" s="890"/>
      <c r="N2209" s="183">
        <f>SUM(N2207:N2208)</f>
        <v>472745976</v>
      </c>
    </row>
    <row r="2210" spans="9:15">
      <c r="I2210" s="61"/>
      <c r="J2210" s="61"/>
      <c r="K2210" s="61"/>
      <c r="L2210" s="61"/>
      <c r="M2210" s="61"/>
    </row>
    <row r="2211" spans="9:15">
      <c r="I2211" s="51" t="s">
        <v>1029</v>
      </c>
    </row>
    <row r="2212" spans="9:15" ht="12.75" customHeight="1">
      <c r="N2212" s="139"/>
    </row>
    <row r="2213" spans="9:15">
      <c r="I2213" s="50" t="s">
        <v>105</v>
      </c>
      <c r="L2213" s="146"/>
      <c r="N2213" s="139"/>
    </row>
    <row r="2214" spans="9:15" ht="12.75" customHeight="1" thickBot="1"/>
    <row r="2215" spans="9:15" ht="15.75" thickBot="1">
      <c r="I2215" s="891" t="s">
        <v>106</v>
      </c>
      <c r="J2215" s="892"/>
      <c r="K2215" s="892"/>
      <c r="L2215" s="893"/>
      <c r="N2215" s="50" t="s">
        <v>270</v>
      </c>
    </row>
    <row r="2216" spans="9:15" ht="30.75" thickBot="1">
      <c r="I2216" s="57" t="s">
        <v>100</v>
      </c>
      <c r="J2216" s="58" t="s">
        <v>108</v>
      </c>
      <c r="K2216" s="287" t="s">
        <v>109</v>
      </c>
      <c r="L2216" s="60" t="s">
        <v>110</v>
      </c>
    </row>
    <row r="2217" spans="9:15">
      <c r="I2217" s="71">
        <v>719</v>
      </c>
      <c r="J2217" s="73">
        <f>+P2197+P2199+P2201+P2203+P2205</f>
        <v>440000</v>
      </c>
      <c r="K2217" s="74">
        <f>+L2180</f>
        <v>40320000</v>
      </c>
      <c r="L2217" s="195">
        <f>+J2217+K2217</f>
        <v>40760000</v>
      </c>
    </row>
    <row r="2218" spans="9:15">
      <c r="I2218" s="72">
        <v>721</v>
      </c>
      <c r="J2218" s="80">
        <f>+P2198+P2200+P2202+P2204</f>
        <v>0</v>
      </c>
      <c r="K2218" s="74">
        <f>+L2181</f>
        <v>97753059</v>
      </c>
      <c r="L2218" s="195">
        <f>+J2218+K2218</f>
        <v>97753059</v>
      </c>
    </row>
    <row r="2219" spans="9:15">
      <c r="I2219" s="72">
        <v>722</v>
      </c>
      <c r="J2219" s="80"/>
      <c r="K2219" s="74">
        <f>+L2182</f>
        <v>42881706</v>
      </c>
      <c r="L2219" s="195">
        <f>+J2219+K2219</f>
        <v>42881706</v>
      </c>
    </row>
    <row r="2220" spans="9:15" ht="15.75">
      <c r="I2220" s="72">
        <v>723</v>
      </c>
      <c r="J2220" s="80">
        <f>+P2206</f>
        <v>0</v>
      </c>
      <c r="K2220" s="74">
        <f>+L2183</f>
        <v>291281211</v>
      </c>
      <c r="L2220" s="195">
        <f>+J2220+K2220</f>
        <v>291281211</v>
      </c>
      <c r="N2220" s="193" t="s">
        <v>1028</v>
      </c>
      <c r="O2220" s="175"/>
    </row>
    <row r="2221" spans="9:15" ht="16.5" thickBot="1">
      <c r="I2221" s="164" t="s">
        <v>181</v>
      </c>
      <c r="J2221" s="165"/>
      <c r="K2221" s="74">
        <f>+L2184</f>
        <v>0</v>
      </c>
      <c r="L2221" s="196">
        <f>+J2221+K2221</f>
        <v>0</v>
      </c>
      <c r="N2221" s="52"/>
    </row>
    <row r="2222" spans="9:15" ht="16.5" thickBot="1">
      <c r="I2222" s="169"/>
      <c r="J2222" s="197">
        <f>SUM(J2217:J2221)</f>
        <v>440000</v>
      </c>
      <c r="K2222" s="197">
        <f>SUM(K2217:K2221)</f>
        <v>472235976</v>
      </c>
      <c r="L2222" s="198">
        <f>SUM(L2217:L2221)</f>
        <v>472675976</v>
      </c>
    </row>
    <row r="2223" spans="9:15" ht="16.5">
      <c r="I2223" s="49" t="s">
        <v>88</v>
      </c>
      <c r="J2223" s="50"/>
    </row>
    <row r="2224" spans="9:15">
      <c r="I2224" s="51" t="s">
        <v>89</v>
      </c>
    </row>
    <row r="2225" spans="9:16">
      <c r="I2225" s="51" t="s">
        <v>90</v>
      </c>
    </row>
    <row r="2226" spans="9:16">
      <c r="I2226" s="51" t="s">
        <v>91</v>
      </c>
    </row>
    <row r="2227" spans="9:16" ht="10.5" customHeight="1">
      <c r="I2227" s="50"/>
      <c r="J2227" s="50"/>
    </row>
    <row r="2228" spans="9:16" ht="15.75">
      <c r="I2228" s="260" t="s">
        <v>1030</v>
      </c>
      <c r="O2228" s="52"/>
    </row>
    <row r="2229" spans="9:16" ht="15.75">
      <c r="I2229" s="53" t="s">
        <v>535</v>
      </c>
      <c r="O2229" s="53"/>
    </row>
    <row r="2230" spans="9:16" ht="16.5">
      <c r="I2230" s="894" t="s">
        <v>909</v>
      </c>
      <c r="J2230" s="894"/>
      <c r="K2230" s="894"/>
      <c r="L2230" s="894"/>
      <c r="M2230" s="894"/>
      <c r="N2230" s="894"/>
      <c r="O2230" s="894"/>
      <c r="P2230" s="894"/>
    </row>
    <row r="2231" spans="9:16" ht="12" customHeight="1" thickBot="1"/>
    <row r="2232" spans="9:16">
      <c r="I2232" s="895" t="s">
        <v>94</v>
      </c>
      <c r="J2232" s="897" t="s">
        <v>95</v>
      </c>
      <c r="K2232" s="897" t="s">
        <v>96</v>
      </c>
      <c r="L2232" s="897" t="s">
        <v>3</v>
      </c>
      <c r="M2232" s="897" t="s">
        <v>97</v>
      </c>
      <c r="N2232" s="897" t="s">
        <v>98</v>
      </c>
      <c r="O2232" s="897" t="s">
        <v>99</v>
      </c>
      <c r="P2232" s="899"/>
    </row>
    <row r="2233" spans="9:16" ht="15.75" thickBot="1">
      <c r="I2233" s="896"/>
      <c r="J2233" s="898"/>
      <c r="K2233" s="898"/>
      <c r="L2233" s="898"/>
      <c r="M2233" s="898"/>
      <c r="N2233" s="898"/>
      <c r="O2233" s="240" t="s">
        <v>100</v>
      </c>
      <c r="P2233" s="182" t="s">
        <v>101</v>
      </c>
    </row>
    <row r="2234" spans="9:16">
      <c r="I2234" s="881">
        <v>243</v>
      </c>
      <c r="J2234" s="875">
        <v>42621</v>
      </c>
      <c r="K2234" s="877" t="s">
        <v>1014</v>
      </c>
      <c r="L2234" s="879" t="s">
        <v>1033</v>
      </c>
      <c r="M2234" s="881" t="s">
        <v>115</v>
      </c>
      <c r="N2234" s="883">
        <v>190000</v>
      </c>
      <c r="O2234" s="55">
        <v>719</v>
      </c>
      <c r="P2234" s="78">
        <f>+N2234</f>
        <v>190000</v>
      </c>
    </row>
    <row r="2235" spans="9:16" ht="15.75" thickBot="1">
      <c r="I2235" s="882"/>
      <c r="J2235" s="876"/>
      <c r="K2235" s="878"/>
      <c r="L2235" s="880"/>
      <c r="M2235" s="882"/>
      <c r="N2235" s="884"/>
      <c r="O2235" s="56">
        <v>721</v>
      </c>
      <c r="P2235" s="79"/>
    </row>
    <row r="2236" spans="9:16" ht="15" customHeight="1">
      <c r="I2236" s="881">
        <v>244</v>
      </c>
      <c r="J2236" s="875">
        <v>42621</v>
      </c>
      <c r="K2236" s="877" t="s">
        <v>28</v>
      </c>
      <c r="L2236" s="879" t="s">
        <v>1033</v>
      </c>
      <c r="M2236" s="881" t="s">
        <v>115</v>
      </c>
      <c r="N2236" s="883">
        <v>60000</v>
      </c>
      <c r="O2236" s="55">
        <v>719</v>
      </c>
      <c r="P2236" s="78">
        <f>+N2236</f>
        <v>60000</v>
      </c>
    </row>
    <row r="2237" spans="9:16" ht="15.75" customHeight="1" thickBot="1">
      <c r="I2237" s="882"/>
      <c r="J2237" s="876"/>
      <c r="K2237" s="878"/>
      <c r="L2237" s="880"/>
      <c r="M2237" s="882"/>
      <c r="N2237" s="884"/>
      <c r="O2237" s="56">
        <v>721</v>
      </c>
      <c r="P2237" s="79"/>
    </row>
    <row r="2238" spans="9:16" ht="15" customHeight="1">
      <c r="I2238" s="881">
        <v>245</v>
      </c>
      <c r="J2238" s="875">
        <v>42621</v>
      </c>
      <c r="K2238" s="877" t="s">
        <v>1014</v>
      </c>
      <c r="L2238" s="879" t="s">
        <v>1034</v>
      </c>
      <c r="M2238" s="881" t="s">
        <v>115</v>
      </c>
      <c r="N2238" s="883">
        <v>560000</v>
      </c>
      <c r="O2238" s="55">
        <v>719</v>
      </c>
      <c r="P2238" s="78">
        <v>560000</v>
      </c>
    </row>
    <row r="2239" spans="9:16" ht="15.75" customHeight="1" thickBot="1">
      <c r="I2239" s="882"/>
      <c r="J2239" s="876"/>
      <c r="K2239" s="878"/>
      <c r="L2239" s="880"/>
      <c r="M2239" s="882"/>
      <c r="N2239" s="884"/>
      <c r="O2239" s="56">
        <v>721</v>
      </c>
      <c r="P2239" s="79">
        <f>+N2238-P2238</f>
        <v>0</v>
      </c>
    </row>
    <row r="2240" spans="9:16" ht="15" customHeight="1">
      <c r="I2240" s="881">
        <v>246</v>
      </c>
      <c r="J2240" s="875">
        <v>42621</v>
      </c>
      <c r="K2240" s="877" t="s">
        <v>28</v>
      </c>
      <c r="L2240" s="879" t="s">
        <v>1035</v>
      </c>
      <c r="M2240" s="881" t="s">
        <v>115</v>
      </c>
      <c r="N2240" s="883">
        <v>70000</v>
      </c>
      <c r="O2240" s="55">
        <v>719</v>
      </c>
      <c r="P2240" s="78">
        <v>70000</v>
      </c>
    </row>
    <row r="2241" spans="9:16" ht="15.75" customHeight="1" thickBot="1">
      <c r="I2241" s="882"/>
      <c r="J2241" s="876"/>
      <c r="K2241" s="878"/>
      <c r="L2241" s="880"/>
      <c r="M2241" s="882"/>
      <c r="N2241" s="884"/>
      <c r="O2241" s="56">
        <v>721</v>
      </c>
      <c r="P2241" s="79">
        <f>+N2240-P2240</f>
        <v>0</v>
      </c>
    </row>
    <row r="2242" spans="9:16" ht="15" customHeight="1">
      <c r="I2242" s="881"/>
      <c r="J2242" s="875"/>
      <c r="K2242" s="877"/>
      <c r="L2242" s="879"/>
      <c r="M2242" s="881"/>
      <c r="N2242" s="883"/>
      <c r="O2242" s="55">
        <v>719</v>
      </c>
      <c r="P2242" s="78"/>
    </row>
    <row r="2243" spans="9:16" ht="15.75" customHeight="1" thickBot="1">
      <c r="I2243" s="882"/>
      <c r="J2243" s="876"/>
      <c r="K2243" s="878"/>
      <c r="L2243" s="880"/>
      <c r="M2243" s="882"/>
      <c r="N2243" s="884"/>
      <c r="O2243" s="56">
        <v>723</v>
      </c>
      <c r="P2243" s="79">
        <f>+N2242-P2242</f>
        <v>0</v>
      </c>
    </row>
    <row r="2244" spans="9:16" ht="16.5" thickBot="1">
      <c r="I2244" s="901" t="s">
        <v>102</v>
      </c>
      <c r="J2244" s="902"/>
      <c r="K2244" s="902"/>
      <c r="L2244" s="902"/>
      <c r="M2244" s="903"/>
      <c r="N2244" s="81">
        <f>SUM(N2234:N2243)</f>
        <v>880000</v>
      </c>
    </row>
    <row r="2245" spans="9:16" ht="16.5" thickBot="1">
      <c r="I2245" s="885" t="s">
        <v>103</v>
      </c>
      <c r="J2245" s="886"/>
      <c r="K2245" s="886"/>
      <c r="L2245" s="886"/>
      <c r="M2245" s="887"/>
      <c r="N2245" s="69">
        <f>+N2209</f>
        <v>472745976</v>
      </c>
      <c r="O2245" s="241" t="s">
        <v>561</v>
      </c>
      <c r="P2245" s="242">
        <f>86+1021+143+512</f>
        <v>1762</v>
      </c>
    </row>
    <row r="2246" spans="9:16" ht="16.5" thickBot="1">
      <c r="I2246" s="888" t="s">
        <v>104</v>
      </c>
      <c r="J2246" s="889"/>
      <c r="K2246" s="889"/>
      <c r="L2246" s="889"/>
      <c r="M2246" s="890"/>
      <c r="N2246" s="183">
        <f>SUM(N2244:N2245)</f>
        <v>473625976</v>
      </c>
    </row>
    <row r="2247" spans="9:16">
      <c r="I2247" s="61"/>
      <c r="J2247" s="61"/>
      <c r="K2247" s="61"/>
      <c r="L2247" s="61"/>
      <c r="M2247" s="61"/>
    </row>
    <row r="2248" spans="9:16">
      <c r="I2248" s="51" t="s">
        <v>1036</v>
      </c>
    </row>
    <row r="2249" spans="9:16" ht="12.75" customHeight="1">
      <c r="N2249" s="139"/>
    </row>
    <row r="2250" spans="9:16">
      <c r="I2250" s="50" t="s">
        <v>105</v>
      </c>
      <c r="L2250" s="146"/>
      <c r="N2250" s="139"/>
    </row>
    <row r="2251" spans="9:16" ht="13.5" customHeight="1" thickBot="1"/>
    <row r="2252" spans="9:16" ht="15.75" thickBot="1">
      <c r="I2252" s="891" t="s">
        <v>106</v>
      </c>
      <c r="J2252" s="892"/>
      <c r="K2252" s="892"/>
      <c r="L2252" s="893"/>
      <c r="N2252" s="50" t="s">
        <v>288</v>
      </c>
    </row>
    <row r="2253" spans="9:16" ht="30.75" thickBot="1">
      <c r="I2253" s="57" t="s">
        <v>100</v>
      </c>
      <c r="J2253" s="58" t="s">
        <v>108</v>
      </c>
      <c r="K2253" s="287" t="s">
        <v>109</v>
      </c>
      <c r="L2253" s="60" t="s">
        <v>110</v>
      </c>
    </row>
    <row r="2254" spans="9:16">
      <c r="I2254" s="71">
        <v>719</v>
      </c>
      <c r="J2254" s="73">
        <f>+P2234+P2236+P2238+P2240+P2242</f>
        <v>880000</v>
      </c>
      <c r="K2254" s="74">
        <f>+L2217</f>
        <v>40760000</v>
      </c>
      <c r="L2254" s="195">
        <f>+J2254+K2254</f>
        <v>41640000</v>
      </c>
    </row>
    <row r="2255" spans="9:16">
      <c r="I2255" s="72">
        <v>721</v>
      </c>
      <c r="J2255" s="80">
        <f>+P2235+P2237+P2239+P2241</f>
        <v>0</v>
      </c>
      <c r="K2255" s="74">
        <f>+L2218</f>
        <v>97753059</v>
      </c>
      <c r="L2255" s="195">
        <f>+J2255+K2255</f>
        <v>97753059</v>
      </c>
    </row>
    <row r="2256" spans="9:16">
      <c r="I2256" s="72">
        <v>722</v>
      </c>
      <c r="J2256" s="80"/>
      <c r="K2256" s="74">
        <f>+L2219</f>
        <v>42881706</v>
      </c>
      <c r="L2256" s="195">
        <f>+J2256+K2256</f>
        <v>42881706</v>
      </c>
    </row>
    <row r="2257" spans="9:16" ht="15.75">
      <c r="I2257" s="72">
        <v>723</v>
      </c>
      <c r="J2257" s="80">
        <f>+P2243</f>
        <v>0</v>
      </c>
      <c r="K2257" s="74">
        <f>+L2220</f>
        <v>291281211</v>
      </c>
      <c r="L2257" s="195">
        <f>+J2257+K2257</f>
        <v>291281211</v>
      </c>
      <c r="N2257" s="193" t="s">
        <v>289</v>
      </c>
      <c r="O2257" s="175"/>
    </row>
    <row r="2258" spans="9:16" ht="16.5" thickBot="1">
      <c r="I2258" s="164" t="s">
        <v>181</v>
      </c>
      <c r="J2258" s="165"/>
      <c r="K2258" s="74">
        <f>+L2221</f>
        <v>0</v>
      </c>
      <c r="L2258" s="196">
        <f>+J2258+K2258</f>
        <v>0</v>
      </c>
      <c r="N2258" s="52"/>
    </row>
    <row r="2259" spans="9:16" ht="16.5" thickBot="1">
      <c r="I2259" s="169"/>
      <c r="J2259" s="197">
        <f>SUM(J2254:J2258)</f>
        <v>880000</v>
      </c>
      <c r="K2259" s="197">
        <f>SUM(K2254:K2258)</f>
        <v>472675976</v>
      </c>
      <c r="L2259" s="198">
        <f>SUM(L2254:L2258)</f>
        <v>473555976</v>
      </c>
    </row>
    <row r="2260" spans="9:16" ht="16.5">
      <c r="I2260" s="49" t="s">
        <v>88</v>
      </c>
      <c r="J2260" s="50"/>
    </row>
    <row r="2261" spans="9:16">
      <c r="I2261" s="51" t="s">
        <v>89</v>
      </c>
    </row>
    <row r="2262" spans="9:16">
      <c r="I2262" s="51" t="s">
        <v>90</v>
      </c>
    </row>
    <row r="2263" spans="9:16">
      <c r="I2263" s="51" t="s">
        <v>91</v>
      </c>
    </row>
    <row r="2264" spans="9:16" ht="11.25" customHeight="1">
      <c r="I2264" s="50"/>
      <c r="J2264" s="50"/>
    </row>
    <row r="2265" spans="9:16" ht="15.75">
      <c r="I2265" s="260" t="s">
        <v>1031</v>
      </c>
      <c r="O2265" s="52"/>
    </row>
    <row r="2266" spans="9:16" ht="15.75">
      <c r="I2266" s="53" t="s">
        <v>535</v>
      </c>
      <c r="O2266" s="53"/>
    </row>
    <row r="2267" spans="9:16" ht="16.5">
      <c r="I2267" s="894" t="s">
        <v>909</v>
      </c>
      <c r="J2267" s="894"/>
      <c r="K2267" s="894"/>
      <c r="L2267" s="894"/>
      <c r="M2267" s="894"/>
      <c r="N2267" s="894"/>
      <c r="O2267" s="894"/>
      <c r="P2267" s="894"/>
    </row>
    <row r="2268" spans="9:16" ht="15.75" thickBot="1"/>
    <row r="2269" spans="9:16">
      <c r="I2269" s="895" t="s">
        <v>94</v>
      </c>
      <c r="J2269" s="897" t="s">
        <v>95</v>
      </c>
      <c r="K2269" s="897" t="s">
        <v>96</v>
      </c>
      <c r="L2269" s="897" t="s">
        <v>3</v>
      </c>
      <c r="M2269" s="897" t="s">
        <v>97</v>
      </c>
      <c r="N2269" s="897" t="s">
        <v>98</v>
      </c>
      <c r="O2269" s="897" t="s">
        <v>99</v>
      </c>
      <c r="P2269" s="899"/>
    </row>
    <row r="2270" spans="9:16" ht="15.75" thickBot="1">
      <c r="I2270" s="896"/>
      <c r="J2270" s="898"/>
      <c r="K2270" s="898"/>
      <c r="L2270" s="898"/>
      <c r="M2270" s="898"/>
      <c r="N2270" s="898"/>
      <c r="O2270" s="240" t="s">
        <v>100</v>
      </c>
      <c r="P2270" s="182" t="s">
        <v>101</v>
      </c>
    </row>
    <row r="2271" spans="9:16">
      <c r="I2271" s="881">
        <v>247</v>
      </c>
      <c r="J2271" s="875">
        <v>42623</v>
      </c>
      <c r="K2271" s="877" t="s">
        <v>40</v>
      </c>
      <c r="L2271" s="879" t="s">
        <v>1037</v>
      </c>
      <c r="M2271" s="881" t="s">
        <v>148</v>
      </c>
      <c r="N2271" s="883">
        <v>140000</v>
      </c>
      <c r="O2271" s="55">
        <v>719</v>
      </c>
      <c r="P2271" s="78">
        <v>100000</v>
      </c>
    </row>
    <row r="2272" spans="9:16" ht="15.75" thickBot="1">
      <c r="I2272" s="882"/>
      <c r="J2272" s="876"/>
      <c r="K2272" s="878"/>
      <c r="L2272" s="880"/>
      <c r="M2272" s="882"/>
      <c r="N2272" s="884"/>
      <c r="O2272" s="56">
        <v>721</v>
      </c>
      <c r="P2272" s="79">
        <f>+N2271-P2271</f>
        <v>40000</v>
      </c>
    </row>
    <row r="2273" spans="9:16">
      <c r="I2273" s="881">
        <v>248</v>
      </c>
      <c r="J2273" s="875">
        <v>42623</v>
      </c>
      <c r="K2273" s="877" t="s">
        <v>28</v>
      </c>
      <c r="L2273" s="879" t="s">
        <v>1038</v>
      </c>
      <c r="M2273" s="881" t="s">
        <v>148</v>
      </c>
      <c r="N2273" s="883">
        <v>714000</v>
      </c>
      <c r="O2273" s="55">
        <v>719</v>
      </c>
      <c r="P2273" s="78">
        <f>+N2273-P2274</f>
        <v>510000</v>
      </c>
    </row>
    <row r="2274" spans="9:16" ht="15.75" thickBot="1">
      <c r="I2274" s="882"/>
      <c r="J2274" s="876"/>
      <c r="K2274" s="878"/>
      <c r="L2274" s="880"/>
      <c r="M2274" s="882"/>
      <c r="N2274" s="884"/>
      <c r="O2274" s="56">
        <v>721</v>
      </c>
      <c r="P2274" s="79">
        <v>204000</v>
      </c>
    </row>
    <row r="2275" spans="9:16">
      <c r="I2275" s="881">
        <v>249</v>
      </c>
      <c r="J2275" s="875">
        <v>42623</v>
      </c>
      <c r="K2275" s="877" t="s">
        <v>111</v>
      </c>
      <c r="L2275" s="879" t="s">
        <v>1039</v>
      </c>
      <c r="M2275" s="881" t="s">
        <v>148</v>
      </c>
      <c r="N2275" s="883">
        <v>252000</v>
      </c>
      <c r="O2275" s="55">
        <v>719</v>
      </c>
      <c r="P2275" s="78">
        <v>180000</v>
      </c>
    </row>
    <row r="2276" spans="9:16" ht="15.75" thickBot="1">
      <c r="I2276" s="882"/>
      <c r="J2276" s="876"/>
      <c r="K2276" s="878"/>
      <c r="L2276" s="880"/>
      <c r="M2276" s="882"/>
      <c r="N2276" s="884"/>
      <c r="O2276" s="56">
        <v>721</v>
      </c>
      <c r="P2276" s="79">
        <f>+N2275-P2275</f>
        <v>72000</v>
      </c>
    </row>
    <row r="2277" spans="9:16">
      <c r="I2277" s="881">
        <v>250</v>
      </c>
      <c r="J2277" s="875">
        <v>42623</v>
      </c>
      <c r="K2277" s="877" t="s">
        <v>40</v>
      </c>
      <c r="L2277" s="879" t="s">
        <v>1040</v>
      </c>
      <c r="M2277" s="881" t="s">
        <v>148</v>
      </c>
      <c r="N2277" s="883">
        <v>112000</v>
      </c>
      <c r="O2277" s="55">
        <v>719</v>
      </c>
      <c r="P2277" s="78">
        <v>80000</v>
      </c>
    </row>
    <row r="2278" spans="9:16" ht="15.75" thickBot="1">
      <c r="I2278" s="882"/>
      <c r="J2278" s="876"/>
      <c r="K2278" s="878"/>
      <c r="L2278" s="880"/>
      <c r="M2278" s="882"/>
      <c r="N2278" s="884"/>
      <c r="O2278" s="56">
        <v>721</v>
      </c>
      <c r="P2278" s="79">
        <f>+N2277-P2277</f>
        <v>32000</v>
      </c>
    </row>
    <row r="2279" spans="9:16">
      <c r="I2279" s="881">
        <v>251</v>
      </c>
      <c r="J2279" s="875">
        <v>42623</v>
      </c>
      <c r="K2279" s="877" t="s">
        <v>28</v>
      </c>
      <c r="L2279" s="879" t="s">
        <v>1041</v>
      </c>
      <c r="M2279" s="881" t="s">
        <v>148</v>
      </c>
      <c r="N2279" s="883">
        <v>504000</v>
      </c>
      <c r="O2279" s="55">
        <v>719</v>
      </c>
      <c r="P2279" s="78">
        <v>360000</v>
      </c>
    </row>
    <row r="2280" spans="9:16" ht="15.75" thickBot="1">
      <c r="I2280" s="882"/>
      <c r="J2280" s="876"/>
      <c r="K2280" s="878"/>
      <c r="L2280" s="880"/>
      <c r="M2280" s="882"/>
      <c r="N2280" s="884"/>
      <c r="O2280" s="56">
        <v>723</v>
      </c>
      <c r="P2280" s="79">
        <f>+N2279-P2279</f>
        <v>144000</v>
      </c>
    </row>
    <row r="2281" spans="9:16" ht="16.5" thickBot="1">
      <c r="I2281" s="901" t="s">
        <v>102</v>
      </c>
      <c r="J2281" s="902"/>
      <c r="K2281" s="902"/>
      <c r="L2281" s="902"/>
      <c r="M2281" s="903"/>
      <c r="N2281" s="81">
        <f>SUM(N2271:N2280)</f>
        <v>1722000</v>
      </c>
    </row>
    <row r="2282" spans="9:16" ht="16.5" thickBot="1">
      <c r="I2282" s="885" t="s">
        <v>103</v>
      </c>
      <c r="J2282" s="886"/>
      <c r="K2282" s="886"/>
      <c r="L2282" s="886"/>
      <c r="M2282" s="887"/>
      <c r="N2282" s="69">
        <f>+N2246</f>
        <v>473625976</v>
      </c>
      <c r="O2282" s="241" t="s">
        <v>561</v>
      </c>
      <c r="P2282" s="242">
        <f>875+40+72+1421+61</f>
        <v>2469</v>
      </c>
    </row>
    <row r="2283" spans="9:16" ht="16.5" thickBot="1">
      <c r="I2283" s="888" t="s">
        <v>104</v>
      </c>
      <c r="J2283" s="889"/>
      <c r="K2283" s="889"/>
      <c r="L2283" s="889"/>
      <c r="M2283" s="890"/>
      <c r="N2283" s="183">
        <f>SUM(N2281:N2282)</f>
        <v>475347976</v>
      </c>
    </row>
    <row r="2284" spans="9:16">
      <c r="I2284" s="61"/>
      <c r="J2284" s="61"/>
      <c r="K2284" s="61"/>
      <c r="L2284" s="61"/>
      <c r="M2284" s="61"/>
    </row>
    <row r="2285" spans="9:16">
      <c r="I2285" s="51" t="s">
        <v>1042</v>
      </c>
    </row>
    <row r="2286" spans="9:16" ht="12.75" customHeight="1">
      <c r="N2286" s="139"/>
    </row>
    <row r="2287" spans="9:16">
      <c r="I2287" s="50" t="s">
        <v>105</v>
      </c>
      <c r="L2287" s="146"/>
      <c r="N2287" s="139"/>
    </row>
    <row r="2288" spans="9:16" ht="13.5" customHeight="1" thickBot="1"/>
    <row r="2289" spans="9:16" ht="15.75" thickBot="1">
      <c r="I2289" s="891" t="s">
        <v>106</v>
      </c>
      <c r="J2289" s="892"/>
      <c r="K2289" s="892"/>
      <c r="L2289" s="893"/>
      <c r="N2289" s="50" t="s">
        <v>288</v>
      </c>
    </row>
    <row r="2290" spans="9:16" ht="30.75" thickBot="1">
      <c r="I2290" s="57" t="s">
        <v>100</v>
      </c>
      <c r="J2290" s="58" t="s">
        <v>108</v>
      </c>
      <c r="K2290" s="287" t="s">
        <v>109</v>
      </c>
      <c r="L2290" s="60" t="s">
        <v>110</v>
      </c>
    </row>
    <row r="2291" spans="9:16">
      <c r="I2291" s="71">
        <v>719</v>
      </c>
      <c r="J2291" s="73">
        <f>+P2271+P2273+P2275+P2277+P2279</f>
        <v>1230000</v>
      </c>
      <c r="K2291" s="74">
        <f>+L2254</f>
        <v>41640000</v>
      </c>
      <c r="L2291" s="195">
        <f>+J2291+K2291</f>
        <v>42870000</v>
      </c>
    </row>
    <row r="2292" spans="9:16">
      <c r="I2292" s="72">
        <v>721</v>
      </c>
      <c r="J2292" s="80">
        <f>+P2272+P2274+P2276+P2278+P2280</f>
        <v>492000</v>
      </c>
      <c r="K2292" s="74">
        <f>+L2255</f>
        <v>97753059</v>
      </c>
      <c r="L2292" s="195">
        <f>+J2292+K2292</f>
        <v>98245059</v>
      </c>
    </row>
    <row r="2293" spans="9:16">
      <c r="I2293" s="72">
        <v>722</v>
      </c>
      <c r="J2293" s="80"/>
      <c r="K2293" s="74">
        <f>+L2256</f>
        <v>42881706</v>
      </c>
      <c r="L2293" s="195">
        <f>+J2293+K2293</f>
        <v>42881706</v>
      </c>
    </row>
    <row r="2294" spans="9:16" ht="15.75">
      <c r="I2294" s="72">
        <v>723</v>
      </c>
      <c r="J2294" s="80"/>
      <c r="K2294" s="74">
        <f>+L2257</f>
        <v>291281211</v>
      </c>
      <c r="L2294" s="195">
        <f>+J2294+K2294</f>
        <v>291281211</v>
      </c>
      <c r="N2294" s="193" t="s">
        <v>289</v>
      </c>
      <c r="O2294" s="175"/>
    </row>
    <row r="2295" spans="9:16" ht="16.5" thickBot="1">
      <c r="I2295" s="164" t="s">
        <v>181</v>
      </c>
      <c r="J2295" s="165"/>
      <c r="K2295" s="74">
        <f>+L2258</f>
        <v>0</v>
      </c>
      <c r="L2295" s="196">
        <f>+J2295+K2295</f>
        <v>0</v>
      </c>
      <c r="N2295" s="52"/>
    </row>
    <row r="2296" spans="9:16" ht="16.5" thickBot="1">
      <c r="I2296" s="169"/>
      <c r="J2296" s="197">
        <f>SUM(J2291:J2295)</f>
        <v>1722000</v>
      </c>
      <c r="K2296" s="197">
        <f>SUM(K2291:K2295)</f>
        <v>473555976</v>
      </c>
      <c r="L2296" s="198">
        <f>SUM(L2291:L2295)</f>
        <v>475277976</v>
      </c>
    </row>
    <row r="2297" spans="9:16" ht="16.5">
      <c r="I2297" s="49" t="s">
        <v>88</v>
      </c>
      <c r="J2297" s="50"/>
    </row>
    <row r="2298" spans="9:16">
      <c r="I2298" s="51" t="s">
        <v>89</v>
      </c>
    </row>
    <row r="2299" spans="9:16">
      <c r="I2299" s="51" t="s">
        <v>90</v>
      </c>
    </row>
    <row r="2300" spans="9:16">
      <c r="I2300" s="51" t="s">
        <v>91</v>
      </c>
    </row>
    <row r="2301" spans="9:16" ht="12.75" customHeight="1">
      <c r="I2301" s="50"/>
      <c r="J2301" s="50"/>
    </row>
    <row r="2302" spans="9:16" ht="15.75">
      <c r="I2302" s="260" t="s">
        <v>1032</v>
      </c>
      <c r="O2302" s="52"/>
    </row>
    <row r="2303" spans="9:16" ht="15.75">
      <c r="I2303" s="53" t="s">
        <v>535</v>
      </c>
      <c r="O2303" s="53"/>
    </row>
    <row r="2304" spans="9:16" ht="16.5">
      <c r="I2304" s="894" t="s">
        <v>909</v>
      </c>
      <c r="J2304" s="894"/>
      <c r="K2304" s="894"/>
      <c r="L2304" s="894"/>
      <c r="M2304" s="894"/>
      <c r="N2304" s="894"/>
      <c r="O2304" s="894"/>
      <c r="P2304" s="894"/>
    </row>
    <row r="2305" spans="9:16" ht="15.75" thickBot="1"/>
    <row r="2306" spans="9:16">
      <c r="I2306" s="895" t="s">
        <v>94</v>
      </c>
      <c r="J2306" s="897" t="s">
        <v>95</v>
      </c>
      <c r="K2306" s="897" t="s">
        <v>96</v>
      </c>
      <c r="L2306" s="897" t="s">
        <v>3</v>
      </c>
      <c r="M2306" s="897" t="s">
        <v>97</v>
      </c>
      <c r="N2306" s="897" t="s">
        <v>98</v>
      </c>
      <c r="O2306" s="897" t="s">
        <v>99</v>
      </c>
      <c r="P2306" s="899"/>
    </row>
    <row r="2307" spans="9:16" ht="15.75" thickBot="1">
      <c r="I2307" s="896"/>
      <c r="J2307" s="898"/>
      <c r="K2307" s="898"/>
      <c r="L2307" s="898"/>
      <c r="M2307" s="898"/>
      <c r="N2307" s="898"/>
      <c r="O2307" s="240" t="s">
        <v>100</v>
      </c>
      <c r="P2307" s="182" t="s">
        <v>101</v>
      </c>
    </row>
    <row r="2308" spans="9:16" ht="15" customHeight="1">
      <c r="I2308" s="881">
        <v>252</v>
      </c>
      <c r="J2308" s="875">
        <v>42621</v>
      </c>
      <c r="K2308" s="877" t="s">
        <v>40</v>
      </c>
      <c r="L2308" s="879" t="s">
        <v>1043</v>
      </c>
      <c r="M2308" s="881" t="s">
        <v>148</v>
      </c>
      <c r="N2308" s="883">
        <v>56000</v>
      </c>
      <c r="O2308" s="55">
        <v>719</v>
      </c>
      <c r="P2308" s="78">
        <v>40000</v>
      </c>
    </row>
    <row r="2309" spans="9:16" ht="15.75" customHeight="1" thickBot="1">
      <c r="I2309" s="882"/>
      <c r="J2309" s="876"/>
      <c r="K2309" s="878"/>
      <c r="L2309" s="880"/>
      <c r="M2309" s="882"/>
      <c r="N2309" s="884"/>
      <c r="O2309" s="56">
        <v>721</v>
      </c>
      <c r="P2309" s="79">
        <f>+N2308-P2308</f>
        <v>16000</v>
      </c>
    </row>
    <row r="2310" spans="9:16" ht="15" customHeight="1">
      <c r="I2310" s="881">
        <v>253</v>
      </c>
      <c r="J2310" s="875">
        <v>42621</v>
      </c>
      <c r="K2310" s="877" t="s">
        <v>28</v>
      </c>
      <c r="L2310" s="879" t="s">
        <v>1044</v>
      </c>
      <c r="M2310" s="881" t="s">
        <v>148</v>
      </c>
      <c r="N2310" s="883">
        <v>252000</v>
      </c>
      <c r="O2310" s="55">
        <v>719</v>
      </c>
      <c r="P2310" s="78">
        <v>180000</v>
      </c>
    </row>
    <row r="2311" spans="9:16" ht="15.75" customHeight="1" thickBot="1">
      <c r="I2311" s="882"/>
      <c r="J2311" s="876"/>
      <c r="K2311" s="878"/>
      <c r="L2311" s="880"/>
      <c r="M2311" s="882"/>
      <c r="N2311" s="884"/>
      <c r="O2311" s="56">
        <v>721</v>
      </c>
      <c r="P2311" s="79">
        <f>+N2310-P2310</f>
        <v>72000</v>
      </c>
    </row>
    <row r="2312" spans="9:16" ht="15" customHeight="1">
      <c r="I2312" s="881">
        <v>254</v>
      </c>
      <c r="J2312" s="875">
        <v>42621</v>
      </c>
      <c r="K2312" s="877" t="s">
        <v>111</v>
      </c>
      <c r="L2312" s="879" t="s">
        <v>1045</v>
      </c>
      <c r="M2312" s="881" t="s">
        <v>148</v>
      </c>
      <c r="N2312" s="883">
        <v>112000</v>
      </c>
      <c r="O2312" s="55">
        <v>719</v>
      </c>
      <c r="P2312" s="78">
        <v>80000</v>
      </c>
    </row>
    <row r="2313" spans="9:16" ht="15.75" customHeight="1" thickBot="1">
      <c r="I2313" s="882"/>
      <c r="J2313" s="876"/>
      <c r="K2313" s="878"/>
      <c r="L2313" s="880"/>
      <c r="M2313" s="882"/>
      <c r="N2313" s="884"/>
      <c r="O2313" s="56">
        <v>721</v>
      </c>
      <c r="P2313" s="79">
        <f>+N2312-P2312</f>
        <v>32000</v>
      </c>
    </row>
    <row r="2314" spans="9:16" ht="15" customHeight="1">
      <c r="I2314" s="881">
        <v>255</v>
      </c>
      <c r="J2314" s="875">
        <v>42621</v>
      </c>
      <c r="K2314" s="877" t="s">
        <v>111</v>
      </c>
      <c r="L2314" s="879" t="s">
        <v>1044</v>
      </c>
      <c r="M2314" s="881" t="s">
        <v>148</v>
      </c>
      <c r="N2314" s="883">
        <v>56000</v>
      </c>
      <c r="O2314" s="55">
        <v>719</v>
      </c>
      <c r="P2314" s="78">
        <v>40000</v>
      </c>
    </row>
    <row r="2315" spans="9:16" ht="15.75" customHeight="1" thickBot="1">
      <c r="I2315" s="882"/>
      <c r="J2315" s="876"/>
      <c r="K2315" s="878"/>
      <c r="L2315" s="880"/>
      <c r="M2315" s="882"/>
      <c r="N2315" s="884"/>
      <c r="O2315" s="56">
        <v>721</v>
      </c>
      <c r="P2315" s="79">
        <f>+N2314-P2314</f>
        <v>16000</v>
      </c>
    </row>
    <row r="2316" spans="9:16">
      <c r="I2316" s="881"/>
      <c r="J2316" s="875"/>
      <c r="K2316" s="877"/>
      <c r="L2316" s="879"/>
      <c r="M2316" s="881"/>
      <c r="N2316" s="883"/>
      <c r="O2316" s="55">
        <v>719</v>
      </c>
      <c r="P2316" s="78"/>
    </row>
    <row r="2317" spans="9:16" ht="15.75" thickBot="1">
      <c r="I2317" s="882"/>
      <c r="J2317" s="876"/>
      <c r="K2317" s="878"/>
      <c r="L2317" s="880"/>
      <c r="M2317" s="882"/>
      <c r="N2317" s="884"/>
      <c r="O2317" s="56">
        <v>723</v>
      </c>
      <c r="P2317" s="79">
        <f>+N2316-P2316</f>
        <v>0</v>
      </c>
    </row>
    <row r="2318" spans="9:16" ht="16.5" thickBot="1">
      <c r="I2318" s="901" t="s">
        <v>102</v>
      </c>
      <c r="J2318" s="902"/>
      <c r="K2318" s="902"/>
      <c r="L2318" s="902"/>
      <c r="M2318" s="903"/>
      <c r="N2318" s="81">
        <f>SUM(N2308:N2317)</f>
        <v>476000</v>
      </c>
    </row>
    <row r="2319" spans="9:16" ht="16.5" thickBot="1">
      <c r="I2319" s="885" t="s">
        <v>103</v>
      </c>
      <c r="J2319" s="886"/>
      <c r="K2319" s="886"/>
      <c r="L2319" s="886"/>
      <c r="M2319" s="887"/>
      <c r="N2319" s="69">
        <f>+N2283</f>
        <v>475347976</v>
      </c>
      <c r="O2319" s="241" t="s">
        <v>561</v>
      </c>
      <c r="P2319" s="242">
        <f>451+25+37+18</f>
        <v>531</v>
      </c>
    </row>
    <row r="2320" spans="9:16" ht="16.5" thickBot="1">
      <c r="I2320" s="888" t="s">
        <v>104</v>
      </c>
      <c r="J2320" s="889"/>
      <c r="K2320" s="889"/>
      <c r="L2320" s="889"/>
      <c r="M2320" s="890"/>
      <c r="N2320" s="183">
        <f>SUM(N2318:N2319)</f>
        <v>475823976</v>
      </c>
    </row>
    <row r="2321" spans="9:15">
      <c r="I2321" s="61"/>
      <c r="J2321" s="61"/>
      <c r="K2321" s="61"/>
      <c r="L2321" s="61"/>
      <c r="M2321" s="61"/>
    </row>
    <row r="2322" spans="9:15">
      <c r="I2322" s="51" t="s">
        <v>1065</v>
      </c>
    </row>
    <row r="2323" spans="9:15" ht="12" customHeight="1">
      <c r="N2323" s="139"/>
    </row>
    <row r="2324" spans="9:15">
      <c r="I2324" s="50" t="s">
        <v>105</v>
      </c>
      <c r="L2324" s="146"/>
      <c r="N2324" s="139"/>
    </row>
    <row r="2325" spans="9:15" ht="12.75" customHeight="1" thickBot="1"/>
    <row r="2326" spans="9:15" ht="15.75" thickBot="1">
      <c r="I2326" s="891" t="s">
        <v>106</v>
      </c>
      <c r="J2326" s="892"/>
      <c r="K2326" s="892"/>
      <c r="L2326" s="893"/>
      <c r="N2326" s="50" t="s">
        <v>288</v>
      </c>
    </row>
    <row r="2327" spans="9:15" ht="30.75" thickBot="1">
      <c r="I2327" s="57" t="s">
        <v>100</v>
      </c>
      <c r="J2327" s="58" t="s">
        <v>108</v>
      </c>
      <c r="K2327" s="287" t="s">
        <v>109</v>
      </c>
      <c r="L2327" s="60" t="s">
        <v>110</v>
      </c>
    </row>
    <row r="2328" spans="9:15">
      <c r="I2328" s="71">
        <v>719</v>
      </c>
      <c r="J2328" s="73">
        <f>+P2308+P2310+P2312+P2314+P2316</f>
        <v>340000</v>
      </c>
      <c r="K2328" s="74">
        <f>+L2291</f>
        <v>42870000</v>
      </c>
      <c r="L2328" s="195">
        <f>+J2328+K2328</f>
        <v>43210000</v>
      </c>
    </row>
    <row r="2329" spans="9:15">
      <c r="I2329" s="72">
        <v>721</v>
      </c>
      <c r="J2329" s="80">
        <f>+P2309+P2311+P2313+P2315+P2317</f>
        <v>136000</v>
      </c>
      <c r="K2329" s="74">
        <f>+L2292</f>
        <v>98245059</v>
      </c>
      <c r="L2329" s="195">
        <f>+J2329+K2329</f>
        <v>98381059</v>
      </c>
    </row>
    <row r="2330" spans="9:15">
      <c r="I2330" s="72">
        <v>722</v>
      </c>
      <c r="J2330" s="80"/>
      <c r="K2330" s="74">
        <f>+L2293</f>
        <v>42881706</v>
      </c>
      <c r="L2330" s="195">
        <f>+J2330+K2330</f>
        <v>42881706</v>
      </c>
    </row>
    <row r="2331" spans="9:15" ht="15.75">
      <c r="I2331" s="72">
        <v>723</v>
      </c>
      <c r="J2331" s="80"/>
      <c r="K2331" s="74">
        <f>+L2294</f>
        <v>291281211</v>
      </c>
      <c r="L2331" s="195">
        <f>+J2331+K2331</f>
        <v>291281211</v>
      </c>
      <c r="N2331" s="193" t="s">
        <v>289</v>
      </c>
      <c r="O2331" s="175"/>
    </row>
    <row r="2332" spans="9:15" ht="16.5" thickBot="1">
      <c r="I2332" s="164" t="s">
        <v>181</v>
      </c>
      <c r="J2332" s="165"/>
      <c r="K2332" s="74">
        <f>+L2295</f>
        <v>0</v>
      </c>
      <c r="L2332" s="196">
        <f>+J2332+K2332</f>
        <v>0</v>
      </c>
      <c r="N2332" s="52"/>
    </row>
    <row r="2333" spans="9:15" ht="16.5" thickBot="1">
      <c r="I2333" s="169"/>
      <c r="J2333" s="197">
        <f>SUM(J2328:J2332)</f>
        <v>476000</v>
      </c>
      <c r="K2333" s="197">
        <f>SUM(K2328:K2332)</f>
        <v>475277976</v>
      </c>
      <c r="L2333" s="198">
        <f>SUM(L2328:L2332)</f>
        <v>475753976</v>
      </c>
    </row>
    <row r="2334" spans="9:15" ht="16.5">
      <c r="I2334" s="49" t="s">
        <v>88</v>
      </c>
      <c r="J2334" s="50"/>
    </row>
    <row r="2335" spans="9:15">
      <c r="I2335" s="51" t="s">
        <v>89</v>
      </c>
    </row>
    <row r="2336" spans="9:15">
      <c r="I2336" s="51" t="s">
        <v>90</v>
      </c>
    </row>
    <row r="2337" spans="9:16">
      <c r="I2337" s="51" t="s">
        <v>91</v>
      </c>
    </row>
    <row r="2338" spans="9:16" ht="12" customHeight="1">
      <c r="I2338" s="50"/>
      <c r="J2338" s="50"/>
    </row>
    <row r="2339" spans="9:16" ht="15.75">
      <c r="I2339" s="260" t="s">
        <v>1059</v>
      </c>
      <c r="O2339" s="52"/>
    </row>
    <row r="2340" spans="9:16" ht="15.75">
      <c r="I2340" s="53" t="s">
        <v>535</v>
      </c>
      <c r="O2340" s="53"/>
    </row>
    <row r="2341" spans="9:16" ht="16.5">
      <c r="I2341" s="894" t="s">
        <v>1063</v>
      </c>
      <c r="J2341" s="894"/>
      <c r="K2341" s="894"/>
      <c r="L2341" s="894"/>
      <c r="M2341" s="894"/>
      <c r="N2341" s="894"/>
      <c r="O2341" s="894"/>
      <c r="P2341" s="894"/>
    </row>
    <row r="2342" spans="9:16" ht="15.75" thickBot="1"/>
    <row r="2343" spans="9:16">
      <c r="I2343" s="895" t="s">
        <v>94</v>
      </c>
      <c r="J2343" s="897" t="s">
        <v>95</v>
      </c>
      <c r="K2343" s="897" t="s">
        <v>96</v>
      </c>
      <c r="L2343" s="897" t="s">
        <v>3</v>
      </c>
      <c r="M2343" s="897" t="s">
        <v>97</v>
      </c>
      <c r="N2343" s="897" t="s">
        <v>98</v>
      </c>
      <c r="O2343" s="897" t="s">
        <v>99</v>
      </c>
      <c r="P2343" s="899"/>
    </row>
    <row r="2344" spans="9:16" ht="15.75" thickBot="1">
      <c r="I2344" s="896"/>
      <c r="J2344" s="898"/>
      <c r="K2344" s="898"/>
      <c r="L2344" s="898"/>
      <c r="M2344" s="898"/>
      <c r="N2344" s="898"/>
      <c r="O2344" s="240" t="s">
        <v>100</v>
      </c>
      <c r="P2344" s="182" t="s">
        <v>101</v>
      </c>
    </row>
    <row r="2345" spans="9:16">
      <c r="I2345" s="881">
        <v>256</v>
      </c>
      <c r="J2345" s="875">
        <v>42622</v>
      </c>
      <c r="K2345" s="877" t="s">
        <v>1060</v>
      </c>
      <c r="L2345" s="879" t="s">
        <v>1061</v>
      </c>
      <c r="M2345" s="881" t="s">
        <v>148</v>
      </c>
      <c r="N2345" s="883">
        <v>2000000</v>
      </c>
      <c r="O2345" s="55">
        <v>722</v>
      </c>
      <c r="P2345" s="78">
        <v>2000000</v>
      </c>
    </row>
    <row r="2346" spans="9:16" ht="15.75" thickBot="1">
      <c r="I2346" s="882"/>
      <c r="J2346" s="876"/>
      <c r="K2346" s="878"/>
      <c r="L2346" s="880"/>
      <c r="M2346" s="882"/>
      <c r="N2346" s="884"/>
      <c r="O2346" s="56">
        <v>721</v>
      </c>
      <c r="P2346" s="79">
        <f>+N2345-P2345</f>
        <v>0</v>
      </c>
    </row>
    <row r="2347" spans="9:16">
      <c r="I2347" s="881"/>
      <c r="J2347" s="875"/>
      <c r="K2347" s="877"/>
      <c r="L2347" s="879"/>
      <c r="M2347" s="881"/>
      <c r="N2347" s="883"/>
      <c r="O2347" s="55">
        <v>719</v>
      </c>
      <c r="P2347" s="78"/>
    </row>
    <row r="2348" spans="9:16" ht="15.75" thickBot="1">
      <c r="I2348" s="882"/>
      <c r="J2348" s="876"/>
      <c r="K2348" s="878"/>
      <c r="L2348" s="880"/>
      <c r="M2348" s="882"/>
      <c r="N2348" s="884"/>
      <c r="O2348" s="56">
        <v>721</v>
      </c>
      <c r="P2348" s="79">
        <f>+N2347-P2347</f>
        <v>0</v>
      </c>
    </row>
    <row r="2349" spans="9:16">
      <c r="I2349" s="881"/>
      <c r="J2349" s="875"/>
      <c r="K2349" s="877"/>
      <c r="L2349" s="879"/>
      <c r="M2349" s="881"/>
      <c r="N2349" s="883"/>
      <c r="O2349" s="55">
        <v>719</v>
      </c>
      <c r="P2349" s="78"/>
    </row>
    <row r="2350" spans="9:16" ht="13.5" customHeight="1" thickBot="1">
      <c r="I2350" s="882"/>
      <c r="J2350" s="876"/>
      <c r="K2350" s="878"/>
      <c r="L2350" s="880"/>
      <c r="M2350" s="882"/>
      <c r="N2350" s="884"/>
      <c r="O2350" s="56">
        <v>721</v>
      </c>
      <c r="P2350" s="79">
        <f>+N2349-P2349</f>
        <v>0</v>
      </c>
    </row>
    <row r="2351" spans="9:16">
      <c r="I2351" s="881"/>
      <c r="J2351" s="875"/>
      <c r="K2351" s="877"/>
      <c r="L2351" s="879"/>
      <c r="M2351" s="881"/>
      <c r="N2351" s="883"/>
      <c r="O2351" s="55">
        <v>719</v>
      </c>
      <c r="P2351" s="78"/>
    </row>
    <row r="2352" spans="9:16" ht="15.75" thickBot="1">
      <c r="I2352" s="882"/>
      <c r="J2352" s="876"/>
      <c r="K2352" s="878"/>
      <c r="L2352" s="880"/>
      <c r="M2352" s="882"/>
      <c r="N2352" s="884"/>
      <c r="O2352" s="56">
        <v>721</v>
      </c>
      <c r="P2352" s="79">
        <f>+N2351-P2351</f>
        <v>0</v>
      </c>
    </row>
    <row r="2353" spans="9:16">
      <c r="I2353" s="881"/>
      <c r="J2353" s="875"/>
      <c r="K2353" s="877"/>
      <c r="L2353" s="879"/>
      <c r="M2353" s="881"/>
      <c r="N2353" s="883"/>
      <c r="O2353" s="55">
        <v>719</v>
      </c>
      <c r="P2353" s="78"/>
    </row>
    <row r="2354" spans="9:16" ht="12" customHeight="1" thickBot="1">
      <c r="I2354" s="882"/>
      <c r="J2354" s="876"/>
      <c r="K2354" s="878"/>
      <c r="L2354" s="880"/>
      <c r="M2354" s="882"/>
      <c r="N2354" s="884"/>
      <c r="O2354" s="56">
        <v>723</v>
      </c>
      <c r="P2354" s="79">
        <f>+N2353-P2353</f>
        <v>0</v>
      </c>
    </row>
    <row r="2355" spans="9:16" ht="16.5" thickBot="1">
      <c r="I2355" s="901" t="s">
        <v>102</v>
      </c>
      <c r="J2355" s="902"/>
      <c r="K2355" s="902"/>
      <c r="L2355" s="902"/>
      <c r="M2355" s="903"/>
      <c r="N2355" s="81">
        <f>SUM(N2345:N2354)</f>
        <v>2000000</v>
      </c>
    </row>
    <row r="2356" spans="9:16" ht="16.5" thickBot="1">
      <c r="I2356" s="885" t="s">
        <v>103</v>
      </c>
      <c r="J2356" s="886"/>
      <c r="K2356" s="886"/>
      <c r="L2356" s="886"/>
      <c r="M2356" s="887"/>
      <c r="N2356" s="69">
        <f>+N2320</f>
        <v>475823976</v>
      </c>
      <c r="O2356" s="241" t="s">
        <v>561</v>
      </c>
      <c r="P2356" s="242">
        <v>0</v>
      </c>
    </row>
    <row r="2357" spans="9:16" ht="16.5" thickBot="1">
      <c r="I2357" s="888" t="s">
        <v>104</v>
      </c>
      <c r="J2357" s="889"/>
      <c r="K2357" s="889"/>
      <c r="L2357" s="889"/>
      <c r="M2357" s="890"/>
      <c r="N2357" s="183">
        <f>SUM(N2355:N2356)</f>
        <v>477823976</v>
      </c>
    </row>
    <row r="2358" spans="9:16">
      <c r="I2358" s="61"/>
      <c r="J2358" s="61"/>
      <c r="K2358" s="61"/>
      <c r="L2358" s="61"/>
      <c r="M2358" s="61"/>
    </row>
    <row r="2359" spans="9:16">
      <c r="I2359" s="51" t="s">
        <v>1062</v>
      </c>
    </row>
    <row r="2360" spans="9:16" ht="12" customHeight="1">
      <c r="N2360" s="139"/>
    </row>
    <row r="2361" spans="9:16">
      <c r="I2361" s="50" t="s">
        <v>105</v>
      </c>
      <c r="L2361" s="146"/>
      <c r="N2361" s="139"/>
    </row>
    <row r="2362" spans="9:16" ht="15.75" thickBot="1"/>
    <row r="2363" spans="9:16" ht="15.75" thickBot="1">
      <c r="I2363" s="891" t="s">
        <v>106</v>
      </c>
      <c r="J2363" s="892"/>
      <c r="K2363" s="892"/>
      <c r="L2363" s="893"/>
      <c r="N2363" s="50" t="s">
        <v>288</v>
      </c>
    </row>
    <row r="2364" spans="9:16" ht="30.75" thickBot="1">
      <c r="I2364" s="57" t="s">
        <v>100</v>
      </c>
      <c r="J2364" s="58" t="s">
        <v>108</v>
      </c>
      <c r="K2364" s="287" t="s">
        <v>109</v>
      </c>
      <c r="L2364" s="60" t="s">
        <v>110</v>
      </c>
    </row>
    <row r="2365" spans="9:16">
      <c r="I2365" s="71">
        <v>719</v>
      </c>
      <c r="J2365" s="73"/>
      <c r="K2365" s="74">
        <f>+L2328</f>
        <v>43210000</v>
      </c>
      <c r="L2365" s="195">
        <f>+J2365+K2365</f>
        <v>43210000</v>
      </c>
    </row>
    <row r="2366" spans="9:16">
      <c r="I2366" s="72">
        <v>721</v>
      </c>
      <c r="J2366" s="80">
        <f>+P2346+P2348+P2350+P2352+P2354</f>
        <v>0</v>
      </c>
      <c r="K2366" s="74">
        <f>+L2329</f>
        <v>98381059</v>
      </c>
      <c r="L2366" s="195">
        <f>+J2366+K2366</f>
        <v>98381059</v>
      </c>
    </row>
    <row r="2367" spans="9:16">
      <c r="I2367" s="72">
        <v>722</v>
      </c>
      <c r="J2367" s="80">
        <f>+P2345</f>
        <v>2000000</v>
      </c>
      <c r="K2367" s="74">
        <f>+L2330</f>
        <v>42881706</v>
      </c>
      <c r="L2367" s="195">
        <f>+J2367+K2367</f>
        <v>44881706</v>
      </c>
    </row>
    <row r="2368" spans="9:16" ht="15.75">
      <c r="I2368" s="72">
        <v>723</v>
      </c>
      <c r="J2368" s="80"/>
      <c r="K2368" s="74">
        <f>+L2331</f>
        <v>291281211</v>
      </c>
      <c r="L2368" s="195">
        <f>+J2368+K2368</f>
        <v>291281211</v>
      </c>
      <c r="N2368" s="193" t="s">
        <v>289</v>
      </c>
      <c r="O2368" s="175"/>
    </row>
    <row r="2369" spans="9:16" ht="16.5" thickBot="1">
      <c r="I2369" s="164" t="s">
        <v>181</v>
      </c>
      <c r="J2369" s="165"/>
      <c r="K2369" s="74">
        <f>+L2332</f>
        <v>0</v>
      </c>
      <c r="L2369" s="196">
        <f>+J2369+K2369</f>
        <v>0</v>
      </c>
      <c r="N2369" s="52"/>
    </row>
    <row r="2370" spans="9:16" ht="16.5" thickBot="1">
      <c r="I2370" s="169"/>
      <c r="J2370" s="197">
        <f>SUM(J2365:J2369)</f>
        <v>2000000</v>
      </c>
      <c r="K2370" s="197">
        <f>SUM(K2365:K2369)</f>
        <v>475753976</v>
      </c>
      <c r="L2370" s="198">
        <f>SUM(L2365:L2369)</f>
        <v>477753976</v>
      </c>
    </row>
    <row r="2371" spans="9:16" ht="16.5">
      <c r="I2371" s="49" t="s">
        <v>88</v>
      </c>
      <c r="J2371" s="50"/>
    </row>
    <row r="2372" spans="9:16">
      <c r="I2372" s="51" t="s">
        <v>89</v>
      </c>
    </row>
    <row r="2373" spans="9:16">
      <c r="I2373" s="51" t="s">
        <v>90</v>
      </c>
    </row>
    <row r="2374" spans="9:16">
      <c r="I2374" s="51" t="s">
        <v>91</v>
      </c>
    </row>
    <row r="2375" spans="9:16" ht="12" customHeight="1">
      <c r="I2375" s="50"/>
      <c r="J2375" s="50"/>
    </row>
    <row r="2376" spans="9:16" ht="15.75">
      <c r="I2376" s="260" t="s">
        <v>1066</v>
      </c>
      <c r="O2376" s="52"/>
    </row>
    <row r="2377" spans="9:16" ht="15.75">
      <c r="I2377" s="53" t="s">
        <v>535</v>
      </c>
      <c r="O2377" s="53"/>
    </row>
    <row r="2378" spans="9:16" ht="16.5">
      <c r="I2378" s="894" t="s">
        <v>909</v>
      </c>
      <c r="J2378" s="894"/>
      <c r="K2378" s="894"/>
      <c r="L2378" s="894"/>
      <c r="M2378" s="894"/>
      <c r="N2378" s="894"/>
      <c r="O2378" s="894"/>
      <c r="P2378" s="894"/>
    </row>
    <row r="2379" spans="9:16" ht="15.75" thickBot="1"/>
    <row r="2380" spans="9:16">
      <c r="I2380" s="895" t="s">
        <v>94</v>
      </c>
      <c r="J2380" s="897" t="s">
        <v>95</v>
      </c>
      <c r="K2380" s="897" t="s">
        <v>96</v>
      </c>
      <c r="L2380" s="897" t="s">
        <v>3</v>
      </c>
      <c r="M2380" s="897" t="s">
        <v>97</v>
      </c>
      <c r="N2380" s="897" t="s">
        <v>98</v>
      </c>
      <c r="O2380" s="897" t="s">
        <v>99</v>
      </c>
      <c r="P2380" s="899"/>
    </row>
    <row r="2381" spans="9:16" ht="15.75" thickBot="1">
      <c r="I2381" s="896"/>
      <c r="J2381" s="898"/>
      <c r="K2381" s="898"/>
      <c r="L2381" s="898"/>
      <c r="M2381" s="898"/>
      <c r="N2381" s="898"/>
      <c r="O2381" s="240" t="s">
        <v>100</v>
      </c>
      <c r="P2381" s="182" t="s">
        <v>101</v>
      </c>
    </row>
    <row r="2382" spans="9:16" ht="15" customHeight="1">
      <c r="I2382" s="881">
        <v>257</v>
      </c>
      <c r="J2382" s="875">
        <v>42622</v>
      </c>
      <c r="K2382" s="877" t="s">
        <v>1014</v>
      </c>
      <c r="L2382" s="879" t="s">
        <v>1067</v>
      </c>
      <c r="M2382" s="881" t="s">
        <v>115</v>
      </c>
      <c r="N2382" s="883">
        <v>60000</v>
      </c>
      <c r="O2382" s="55">
        <v>719</v>
      </c>
      <c r="P2382" s="78">
        <v>60000</v>
      </c>
    </row>
    <row r="2383" spans="9:16" ht="15.75" customHeight="1" thickBot="1">
      <c r="I2383" s="882"/>
      <c r="J2383" s="876"/>
      <c r="K2383" s="878"/>
      <c r="L2383" s="880"/>
      <c r="M2383" s="882"/>
      <c r="N2383" s="884"/>
      <c r="O2383" s="56">
        <v>721</v>
      </c>
      <c r="P2383" s="79">
        <f>+N2382-P2382</f>
        <v>0</v>
      </c>
    </row>
    <row r="2384" spans="9:16" ht="15" customHeight="1">
      <c r="I2384" s="881">
        <v>258</v>
      </c>
      <c r="J2384" s="875">
        <v>42622</v>
      </c>
      <c r="K2384" s="877" t="s">
        <v>28</v>
      </c>
      <c r="L2384" s="879" t="s">
        <v>1069</v>
      </c>
      <c r="M2384" s="881" t="s">
        <v>115</v>
      </c>
      <c r="N2384" s="883">
        <v>50000</v>
      </c>
      <c r="O2384" s="55">
        <v>719</v>
      </c>
      <c r="P2384" s="78">
        <v>50000</v>
      </c>
    </row>
    <row r="2385" spans="9:16" ht="15.75" customHeight="1" thickBot="1">
      <c r="I2385" s="882"/>
      <c r="J2385" s="876"/>
      <c r="K2385" s="878"/>
      <c r="L2385" s="880"/>
      <c r="M2385" s="882"/>
      <c r="N2385" s="884"/>
      <c r="O2385" s="56">
        <v>721</v>
      </c>
      <c r="P2385" s="79">
        <f>+N2384-P2384</f>
        <v>0</v>
      </c>
    </row>
    <row r="2386" spans="9:16">
      <c r="I2386" s="881"/>
      <c r="J2386" s="875"/>
      <c r="K2386" s="877"/>
      <c r="L2386" s="879"/>
      <c r="M2386" s="881"/>
      <c r="N2386" s="883"/>
      <c r="O2386" s="55">
        <v>719</v>
      </c>
      <c r="P2386" s="78"/>
    </row>
    <row r="2387" spans="9:16" ht="15.75" thickBot="1">
      <c r="I2387" s="882"/>
      <c r="J2387" s="876"/>
      <c r="K2387" s="878"/>
      <c r="L2387" s="880"/>
      <c r="M2387" s="882"/>
      <c r="N2387" s="884"/>
      <c r="O2387" s="56">
        <v>721</v>
      </c>
      <c r="P2387" s="79">
        <f>+N2386-P2386</f>
        <v>0</v>
      </c>
    </row>
    <row r="2388" spans="9:16">
      <c r="I2388" s="881"/>
      <c r="J2388" s="875"/>
      <c r="K2388" s="877"/>
      <c r="L2388" s="879"/>
      <c r="M2388" s="881"/>
      <c r="N2388" s="883"/>
      <c r="O2388" s="55">
        <v>719</v>
      </c>
      <c r="P2388" s="78"/>
    </row>
    <row r="2389" spans="9:16" ht="15.75" thickBot="1">
      <c r="I2389" s="882"/>
      <c r="J2389" s="876"/>
      <c r="K2389" s="878"/>
      <c r="L2389" s="880"/>
      <c r="M2389" s="882"/>
      <c r="N2389" s="884"/>
      <c r="O2389" s="56">
        <v>721</v>
      </c>
      <c r="P2389" s="79">
        <f>+N2388-P2388</f>
        <v>0</v>
      </c>
    </row>
    <row r="2390" spans="9:16">
      <c r="I2390" s="881"/>
      <c r="J2390" s="875"/>
      <c r="K2390" s="877"/>
      <c r="L2390" s="879"/>
      <c r="M2390" s="881"/>
      <c r="N2390" s="883"/>
      <c r="O2390" s="55">
        <v>719</v>
      </c>
      <c r="P2390" s="78"/>
    </row>
    <row r="2391" spans="9:16" ht="15.75" thickBot="1">
      <c r="I2391" s="882"/>
      <c r="J2391" s="876"/>
      <c r="K2391" s="878"/>
      <c r="L2391" s="880"/>
      <c r="M2391" s="882"/>
      <c r="N2391" s="884"/>
      <c r="O2391" s="56">
        <v>723</v>
      </c>
      <c r="P2391" s="79">
        <f>+N2390-P2390</f>
        <v>0</v>
      </c>
    </row>
    <row r="2392" spans="9:16" ht="16.5" thickBot="1">
      <c r="I2392" s="901" t="s">
        <v>102</v>
      </c>
      <c r="J2392" s="902"/>
      <c r="K2392" s="902"/>
      <c r="L2392" s="902"/>
      <c r="M2392" s="903"/>
      <c r="N2392" s="81">
        <f>SUM(N2382:N2391)</f>
        <v>110000</v>
      </c>
    </row>
    <row r="2393" spans="9:16" ht="16.5" thickBot="1">
      <c r="I2393" s="885" t="s">
        <v>103</v>
      </c>
      <c r="J2393" s="886"/>
      <c r="K2393" s="886"/>
      <c r="L2393" s="886"/>
      <c r="M2393" s="887"/>
      <c r="N2393" s="69">
        <f>+N2357</f>
        <v>477823976</v>
      </c>
      <c r="O2393" s="241" t="s">
        <v>561</v>
      </c>
      <c r="P2393" s="242">
        <f>123+195</f>
        <v>318</v>
      </c>
    </row>
    <row r="2394" spans="9:16" ht="16.5" thickBot="1">
      <c r="I2394" s="888" t="s">
        <v>104</v>
      </c>
      <c r="J2394" s="889"/>
      <c r="K2394" s="889"/>
      <c r="L2394" s="889"/>
      <c r="M2394" s="890"/>
      <c r="N2394" s="183">
        <f>SUM(N2392:N2393)</f>
        <v>477933976</v>
      </c>
    </row>
    <row r="2395" spans="9:16">
      <c r="I2395" s="61"/>
      <c r="J2395" s="61"/>
      <c r="K2395" s="61"/>
      <c r="L2395" s="61"/>
      <c r="M2395" s="61"/>
    </row>
    <row r="2396" spans="9:16">
      <c r="I2396" s="51" t="s">
        <v>1068</v>
      </c>
    </row>
    <row r="2397" spans="9:16" ht="12" customHeight="1">
      <c r="N2397" s="139"/>
    </row>
    <row r="2398" spans="9:16">
      <c r="I2398" s="50" t="s">
        <v>105</v>
      </c>
      <c r="L2398" s="146"/>
      <c r="N2398" s="139"/>
    </row>
    <row r="2399" spans="9:16" ht="12.75" customHeight="1" thickBot="1"/>
    <row r="2400" spans="9:16" ht="15.75" thickBot="1">
      <c r="I2400" s="891" t="s">
        <v>106</v>
      </c>
      <c r="J2400" s="892"/>
      <c r="K2400" s="892"/>
      <c r="L2400" s="893"/>
      <c r="N2400" s="50" t="s">
        <v>288</v>
      </c>
    </row>
    <row r="2401" spans="9:16" ht="30.75" thickBot="1">
      <c r="I2401" s="57" t="s">
        <v>100</v>
      </c>
      <c r="J2401" s="58" t="s">
        <v>108</v>
      </c>
      <c r="K2401" s="287" t="s">
        <v>109</v>
      </c>
      <c r="L2401" s="60" t="s">
        <v>110</v>
      </c>
    </row>
    <row r="2402" spans="9:16">
      <c r="I2402" s="71">
        <v>719</v>
      </c>
      <c r="J2402" s="73">
        <f>+P2382+P2384</f>
        <v>110000</v>
      </c>
      <c r="K2402" s="74">
        <f>+L2365</f>
        <v>43210000</v>
      </c>
      <c r="L2402" s="195">
        <f>+J2402+K2402</f>
        <v>43320000</v>
      </c>
    </row>
    <row r="2403" spans="9:16">
      <c r="I2403" s="72">
        <v>721</v>
      </c>
      <c r="J2403" s="80">
        <f>+P2383+P2385+P2387+P2389+P2391</f>
        <v>0</v>
      </c>
      <c r="K2403" s="74">
        <f>+L2366</f>
        <v>98381059</v>
      </c>
      <c r="L2403" s="195">
        <f>+J2403+K2403</f>
        <v>98381059</v>
      </c>
    </row>
    <row r="2404" spans="9:16">
      <c r="I2404" s="72">
        <v>722</v>
      </c>
      <c r="J2404" s="80"/>
      <c r="K2404" s="74">
        <f>+L2367</f>
        <v>44881706</v>
      </c>
      <c r="L2404" s="195">
        <f>+J2404+K2404</f>
        <v>44881706</v>
      </c>
    </row>
    <row r="2405" spans="9:16" ht="15.75">
      <c r="I2405" s="72">
        <v>723</v>
      </c>
      <c r="J2405" s="80"/>
      <c r="K2405" s="74">
        <f>+L2368</f>
        <v>291281211</v>
      </c>
      <c r="L2405" s="195">
        <f>+J2405+K2405</f>
        <v>291281211</v>
      </c>
      <c r="N2405" s="193" t="s">
        <v>289</v>
      </c>
      <c r="O2405" s="175"/>
    </row>
    <row r="2406" spans="9:16" ht="16.5" thickBot="1">
      <c r="I2406" s="164" t="s">
        <v>181</v>
      </c>
      <c r="J2406" s="165"/>
      <c r="K2406" s="74">
        <f>+L2369</f>
        <v>0</v>
      </c>
      <c r="L2406" s="196">
        <f>+J2406+K2406</f>
        <v>0</v>
      </c>
      <c r="N2406" s="52"/>
    </row>
    <row r="2407" spans="9:16" ht="16.5" thickBot="1">
      <c r="I2407" s="169"/>
      <c r="J2407" s="197">
        <f>SUM(J2402:J2406)</f>
        <v>110000</v>
      </c>
      <c r="K2407" s="197">
        <f>SUM(K2402:K2406)</f>
        <v>477753976</v>
      </c>
      <c r="L2407" s="198">
        <f>SUM(L2402:L2406)</f>
        <v>477863976</v>
      </c>
    </row>
    <row r="2408" spans="9:16" ht="16.5">
      <c r="I2408" s="49" t="s">
        <v>88</v>
      </c>
      <c r="J2408" s="50"/>
    </row>
    <row r="2409" spans="9:16">
      <c r="I2409" s="51" t="s">
        <v>89</v>
      </c>
    </row>
    <row r="2410" spans="9:16">
      <c r="I2410" s="51" t="s">
        <v>90</v>
      </c>
    </row>
    <row r="2411" spans="9:16">
      <c r="I2411" s="51" t="s">
        <v>91</v>
      </c>
    </row>
    <row r="2412" spans="9:16" ht="11.25" customHeight="1">
      <c r="I2412" s="50"/>
      <c r="J2412" s="50"/>
    </row>
    <row r="2413" spans="9:16" ht="15.75">
      <c r="I2413" s="260" t="s">
        <v>1070</v>
      </c>
      <c r="O2413" s="52"/>
    </row>
    <row r="2414" spans="9:16" ht="15.75">
      <c r="I2414" s="53" t="s">
        <v>535</v>
      </c>
      <c r="O2414" s="53"/>
    </row>
    <row r="2415" spans="9:16" ht="16.5">
      <c r="I2415" s="894" t="s">
        <v>909</v>
      </c>
      <c r="J2415" s="894"/>
      <c r="K2415" s="894"/>
      <c r="L2415" s="894"/>
      <c r="M2415" s="894"/>
      <c r="N2415" s="894"/>
      <c r="O2415" s="894"/>
      <c r="P2415" s="894"/>
    </row>
    <row r="2416" spans="9:16" ht="15.75" thickBot="1"/>
    <row r="2417" spans="9:16">
      <c r="I2417" s="895" t="s">
        <v>94</v>
      </c>
      <c r="J2417" s="897" t="s">
        <v>95</v>
      </c>
      <c r="K2417" s="897" t="s">
        <v>96</v>
      </c>
      <c r="L2417" s="897" t="s">
        <v>3</v>
      </c>
      <c r="M2417" s="897" t="s">
        <v>97</v>
      </c>
      <c r="N2417" s="897" t="s">
        <v>98</v>
      </c>
      <c r="O2417" s="897" t="s">
        <v>99</v>
      </c>
      <c r="P2417" s="899"/>
    </row>
    <row r="2418" spans="9:16" ht="15.75" thickBot="1">
      <c r="I2418" s="896"/>
      <c r="J2418" s="898"/>
      <c r="K2418" s="898"/>
      <c r="L2418" s="898"/>
      <c r="M2418" s="898"/>
      <c r="N2418" s="898"/>
      <c r="O2418" s="240" t="s">
        <v>100</v>
      </c>
      <c r="P2418" s="182" t="s">
        <v>101</v>
      </c>
    </row>
    <row r="2419" spans="9:16">
      <c r="I2419" s="881">
        <v>259</v>
      </c>
      <c r="J2419" s="875">
        <v>42632</v>
      </c>
      <c r="K2419" s="877" t="s">
        <v>1014</v>
      </c>
      <c r="L2419" s="879" t="s">
        <v>1072</v>
      </c>
      <c r="M2419" s="881" t="s">
        <v>115</v>
      </c>
      <c r="N2419" s="883">
        <v>150000</v>
      </c>
      <c r="O2419" s="55">
        <v>719</v>
      </c>
      <c r="P2419" s="78">
        <v>150000</v>
      </c>
    </row>
    <row r="2420" spans="9:16" ht="15.75" thickBot="1">
      <c r="I2420" s="882"/>
      <c r="J2420" s="876"/>
      <c r="K2420" s="878"/>
      <c r="L2420" s="880"/>
      <c r="M2420" s="882"/>
      <c r="N2420" s="884"/>
      <c r="O2420" s="56">
        <v>721</v>
      </c>
      <c r="P2420" s="79">
        <f>+N2419-P2419</f>
        <v>0</v>
      </c>
    </row>
    <row r="2421" spans="9:16">
      <c r="I2421" s="881">
        <v>260</v>
      </c>
      <c r="J2421" s="875">
        <v>42632</v>
      </c>
      <c r="K2421" s="877" t="s">
        <v>120</v>
      </c>
      <c r="L2421" s="879" t="s">
        <v>1071</v>
      </c>
      <c r="M2421" s="881" t="s">
        <v>115</v>
      </c>
      <c r="N2421" s="883">
        <v>110000</v>
      </c>
      <c r="O2421" s="55">
        <v>719</v>
      </c>
      <c r="P2421" s="78">
        <v>110000</v>
      </c>
    </row>
    <row r="2422" spans="9:16" ht="15.75" thickBot="1">
      <c r="I2422" s="882"/>
      <c r="J2422" s="876"/>
      <c r="K2422" s="878"/>
      <c r="L2422" s="880"/>
      <c r="M2422" s="882"/>
      <c r="N2422" s="884"/>
      <c r="O2422" s="56">
        <v>721</v>
      </c>
      <c r="P2422" s="79">
        <f>+N2421-P2421</f>
        <v>0</v>
      </c>
    </row>
    <row r="2423" spans="9:16">
      <c r="I2423" s="881"/>
      <c r="J2423" s="875"/>
      <c r="K2423" s="877"/>
      <c r="L2423" s="879"/>
      <c r="M2423" s="881"/>
      <c r="N2423" s="883"/>
      <c r="O2423" s="55">
        <v>719</v>
      </c>
      <c r="P2423" s="78"/>
    </row>
    <row r="2424" spans="9:16" ht="14.25" customHeight="1" thickBot="1">
      <c r="I2424" s="882"/>
      <c r="J2424" s="876"/>
      <c r="K2424" s="878"/>
      <c r="L2424" s="880"/>
      <c r="M2424" s="882"/>
      <c r="N2424" s="884"/>
      <c r="O2424" s="56">
        <v>721</v>
      </c>
      <c r="P2424" s="79">
        <f>+N2423-P2423</f>
        <v>0</v>
      </c>
    </row>
    <row r="2425" spans="9:16">
      <c r="I2425" s="881"/>
      <c r="J2425" s="875"/>
      <c r="K2425" s="877"/>
      <c r="L2425" s="879"/>
      <c r="M2425" s="881"/>
      <c r="N2425" s="883"/>
      <c r="O2425" s="55">
        <v>719</v>
      </c>
      <c r="P2425" s="78"/>
    </row>
    <row r="2426" spans="9:16" ht="13.5" customHeight="1" thickBot="1">
      <c r="I2426" s="882"/>
      <c r="J2426" s="876"/>
      <c r="K2426" s="878"/>
      <c r="L2426" s="880"/>
      <c r="M2426" s="882"/>
      <c r="N2426" s="884"/>
      <c r="O2426" s="56">
        <v>721</v>
      </c>
      <c r="P2426" s="79">
        <f>+N2425-P2425</f>
        <v>0</v>
      </c>
    </row>
    <row r="2427" spans="9:16">
      <c r="I2427" s="881"/>
      <c r="J2427" s="875"/>
      <c r="K2427" s="877"/>
      <c r="L2427" s="879"/>
      <c r="M2427" s="881"/>
      <c r="N2427" s="883"/>
      <c r="O2427" s="55">
        <v>719</v>
      </c>
      <c r="P2427" s="78"/>
    </row>
    <row r="2428" spans="9:16" ht="14.25" customHeight="1" thickBot="1">
      <c r="I2428" s="882"/>
      <c r="J2428" s="876"/>
      <c r="K2428" s="878"/>
      <c r="L2428" s="880"/>
      <c r="M2428" s="882"/>
      <c r="N2428" s="884"/>
      <c r="O2428" s="56">
        <v>723</v>
      </c>
      <c r="P2428" s="79">
        <f>+N2427-P2427</f>
        <v>0</v>
      </c>
    </row>
    <row r="2429" spans="9:16" ht="16.5" thickBot="1">
      <c r="I2429" s="901" t="s">
        <v>102</v>
      </c>
      <c r="J2429" s="902"/>
      <c r="K2429" s="902"/>
      <c r="L2429" s="902"/>
      <c r="M2429" s="903"/>
      <c r="N2429" s="81">
        <f>SUM(N2419:N2428)</f>
        <v>260000</v>
      </c>
    </row>
    <row r="2430" spans="9:16" ht="16.5" thickBot="1">
      <c r="I2430" s="885" t="s">
        <v>103</v>
      </c>
      <c r="J2430" s="886"/>
      <c r="K2430" s="886"/>
      <c r="L2430" s="886"/>
      <c r="M2430" s="887"/>
      <c r="N2430" s="69">
        <f>+N2394</f>
        <v>477933976</v>
      </c>
      <c r="O2430" s="241" t="s">
        <v>561</v>
      </c>
      <c r="P2430" s="242">
        <f>528+24</f>
        <v>552</v>
      </c>
    </row>
    <row r="2431" spans="9:16" ht="16.5" thickBot="1">
      <c r="I2431" s="888" t="s">
        <v>104</v>
      </c>
      <c r="J2431" s="889"/>
      <c r="K2431" s="889"/>
      <c r="L2431" s="889"/>
      <c r="M2431" s="890"/>
      <c r="N2431" s="183">
        <f>SUM(N2429:N2430)</f>
        <v>478193976</v>
      </c>
    </row>
    <row r="2432" spans="9:16">
      <c r="I2432" s="61"/>
      <c r="J2432" s="61"/>
      <c r="K2432" s="61"/>
      <c r="L2432" s="61"/>
      <c r="M2432" s="61"/>
    </row>
    <row r="2433" spans="9:15">
      <c r="I2433" s="51" t="s">
        <v>1073</v>
      </c>
    </row>
    <row r="2434" spans="9:15">
      <c r="N2434" s="139"/>
    </row>
    <row r="2435" spans="9:15">
      <c r="I2435" s="50" t="s">
        <v>105</v>
      </c>
      <c r="L2435" s="146"/>
      <c r="N2435" s="139"/>
    </row>
    <row r="2436" spans="9:15" ht="15.75" thickBot="1"/>
    <row r="2437" spans="9:15" ht="15.75" thickBot="1">
      <c r="I2437" s="891" t="s">
        <v>106</v>
      </c>
      <c r="J2437" s="892"/>
      <c r="K2437" s="892"/>
      <c r="L2437" s="893"/>
      <c r="N2437" s="50" t="s">
        <v>288</v>
      </c>
    </row>
    <row r="2438" spans="9:15" ht="30.75" thickBot="1">
      <c r="I2438" s="57" t="s">
        <v>100</v>
      </c>
      <c r="J2438" s="58" t="s">
        <v>108</v>
      </c>
      <c r="K2438" s="287" t="s">
        <v>109</v>
      </c>
      <c r="L2438" s="60" t="s">
        <v>110</v>
      </c>
    </row>
    <row r="2439" spans="9:15">
      <c r="I2439" s="71">
        <v>719</v>
      </c>
      <c r="J2439" s="73">
        <f>+P2419+P2421</f>
        <v>260000</v>
      </c>
      <c r="K2439" s="74">
        <f>+L2402</f>
        <v>43320000</v>
      </c>
      <c r="L2439" s="195">
        <f>+J2439+K2439</f>
        <v>43580000</v>
      </c>
    </row>
    <row r="2440" spans="9:15">
      <c r="I2440" s="72">
        <v>721</v>
      </c>
      <c r="J2440" s="80">
        <f>+P2420+P2422+P2424+P2426+P2428</f>
        <v>0</v>
      </c>
      <c r="K2440" s="74">
        <f>+L2403</f>
        <v>98381059</v>
      </c>
      <c r="L2440" s="195">
        <f>+J2440+K2440</f>
        <v>98381059</v>
      </c>
    </row>
    <row r="2441" spans="9:15">
      <c r="I2441" s="72">
        <v>722</v>
      </c>
      <c r="J2441" s="80"/>
      <c r="K2441" s="74">
        <f>+L2404</f>
        <v>44881706</v>
      </c>
      <c r="L2441" s="195">
        <f>+J2441+K2441</f>
        <v>44881706</v>
      </c>
    </row>
    <row r="2442" spans="9:15" ht="15.75">
      <c r="I2442" s="72">
        <v>723</v>
      </c>
      <c r="J2442" s="80"/>
      <c r="K2442" s="74">
        <f>+L2405</f>
        <v>291281211</v>
      </c>
      <c r="L2442" s="195">
        <f>+J2442+K2442</f>
        <v>291281211</v>
      </c>
      <c r="N2442" s="193" t="s">
        <v>289</v>
      </c>
      <c r="O2442" s="175"/>
    </row>
    <row r="2443" spans="9:15" ht="16.5" thickBot="1">
      <c r="I2443" s="164" t="s">
        <v>181</v>
      </c>
      <c r="J2443" s="165"/>
      <c r="K2443" s="74">
        <f>+L2406</f>
        <v>0</v>
      </c>
      <c r="L2443" s="196">
        <f>+J2443+K2443</f>
        <v>0</v>
      </c>
      <c r="N2443" s="52"/>
    </row>
    <row r="2444" spans="9:15" ht="16.5" thickBot="1">
      <c r="I2444" s="169"/>
      <c r="J2444" s="197">
        <f>SUM(J2439:J2443)</f>
        <v>260000</v>
      </c>
      <c r="K2444" s="197">
        <f>SUM(K2439:K2443)</f>
        <v>477863976</v>
      </c>
      <c r="L2444" s="198">
        <f>SUM(L2439:L2443)</f>
        <v>478123976</v>
      </c>
    </row>
    <row r="2445" spans="9:15" ht="16.5">
      <c r="I2445" s="49" t="s">
        <v>88</v>
      </c>
      <c r="J2445" s="50"/>
    </row>
    <row r="2446" spans="9:15">
      <c r="I2446" s="51" t="s">
        <v>89</v>
      </c>
    </row>
    <row r="2447" spans="9:15">
      <c r="I2447" s="51" t="s">
        <v>90</v>
      </c>
    </row>
    <row r="2448" spans="9:15">
      <c r="I2448" s="51" t="s">
        <v>91</v>
      </c>
    </row>
    <row r="2449" spans="9:16" ht="6.75" customHeight="1">
      <c r="I2449" s="50"/>
      <c r="J2449" s="50"/>
    </row>
    <row r="2450" spans="9:16" ht="15.75">
      <c r="I2450" s="260" t="s">
        <v>1074</v>
      </c>
      <c r="O2450" s="52"/>
    </row>
    <row r="2451" spans="9:16" ht="15.75">
      <c r="I2451" s="53" t="s">
        <v>535</v>
      </c>
      <c r="O2451" s="53"/>
    </row>
    <row r="2452" spans="9:16" ht="15.75" customHeight="1">
      <c r="I2452" s="894" t="s">
        <v>1078</v>
      </c>
      <c r="J2452" s="894"/>
      <c r="K2452" s="894"/>
      <c r="L2452" s="894"/>
      <c r="M2452" s="894"/>
      <c r="N2452" s="894"/>
      <c r="O2452" s="894"/>
      <c r="P2452" s="894"/>
    </row>
    <row r="2453" spans="9:16" ht="15.75" thickBot="1"/>
    <row r="2454" spans="9:16">
      <c r="I2454" s="895" t="s">
        <v>94</v>
      </c>
      <c r="J2454" s="897" t="s">
        <v>95</v>
      </c>
      <c r="K2454" s="897" t="s">
        <v>96</v>
      </c>
      <c r="L2454" s="897" t="s">
        <v>3</v>
      </c>
      <c r="M2454" s="897" t="s">
        <v>97</v>
      </c>
      <c r="N2454" s="897" t="s">
        <v>98</v>
      </c>
      <c r="O2454" s="897" t="s">
        <v>99</v>
      </c>
      <c r="P2454" s="899"/>
    </row>
    <row r="2455" spans="9:16" ht="15.75" thickBot="1">
      <c r="I2455" s="896"/>
      <c r="J2455" s="898"/>
      <c r="K2455" s="898"/>
      <c r="L2455" s="898"/>
      <c r="M2455" s="898"/>
      <c r="N2455" s="898"/>
      <c r="O2455" s="240" t="s">
        <v>100</v>
      </c>
      <c r="P2455" s="182" t="s">
        <v>101</v>
      </c>
    </row>
    <row r="2456" spans="9:16" ht="15" customHeight="1">
      <c r="I2456" s="881">
        <v>261</v>
      </c>
      <c r="J2456" s="875">
        <v>42641</v>
      </c>
      <c r="K2456" s="877" t="s">
        <v>1079</v>
      </c>
      <c r="L2456" s="879" t="s">
        <v>1080</v>
      </c>
      <c r="M2456" s="881" t="s">
        <v>783</v>
      </c>
      <c r="N2456" s="883">
        <v>145000</v>
      </c>
      <c r="O2456" s="55">
        <v>719</v>
      </c>
      <c r="P2456" s="78">
        <v>145000</v>
      </c>
    </row>
    <row r="2457" spans="9:16" ht="12.75" customHeight="1" thickBot="1">
      <c r="I2457" s="882"/>
      <c r="J2457" s="876"/>
      <c r="K2457" s="878"/>
      <c r="L2457" s="880"/>
      <c r="M2457" s="882"/>
      <c r="N2457" s="884"/>
      <c r="O2457" s="56">
        <v>721</v>
      </c>
      <c r="P2457" s="79">
        <f>+N2456-P2456</f>
        <v>0</v>
      </c>
    </row>
    <row r="2458" spans="9:16" ht="15" customHeight="1">
      <c r="I2458" s="881">
        <v>262</v>
      </c>
      <c r="J2458" s="875">
        <v>42641</v>
      </c>
      <c r="K2458" s="877" t="s">
        <v>1079</v>
      </c>
      <c r="L2458" s="879" t="s">
        <v>1081</v>
      </c>
      <c r="M2458" s="881" t="s">
        <v>783</v>
      </c>
      <c r="N2458" s="883">
        <v>72500</v>
      </c>
      <c r="O2458" s="55">
        <v>719</v>
      </c>
      <c r="P2458" s="78">
        <v>72500</v>
      </c>
    </row>
    <row r="2459" spans="9:16" ht="13.5" customHeight="1" thickBot="1">
      <c r="I2459" s="882"/>
      <c r="J2459" s="876"/>
      <c r="K2459" s="878"/>
      <c r="L2459" s="880"/>
      <c r="M2459" s="882"/>
      <c r="N2459" s="884"/>
      <c r="O2459" s="56">
        <v>721</v>
      </c>
      <c r="P2459" s="79">
        <f>+N2458-P2458</f>
        <v>0</v>
      </c>
    </row>
    <row r="2460" spans="9:16" ht="15" customHeight="1">
      <c r="I2460" s="881">
        <v>263</v>
      </c>
      <c r="J2460" s="875">
        <v>42641</v>
      </c>
      <c r="K2460" s="877" t="s">
        <v>1079</v>
      </c>
      <c r="L2460" s="879" t="s">
        <v>1082</v>
      </c>
      <c r="M2460" s="881" t="s">
        <v>783</v>
      </c>
      <c r="N2460" s="883">
        <v>72500</v>
      </c>
      <c r="O2460" s="55">
        <v>719</v>
      </c>
      <c r="P2460" s="78">
        <v>72500</v>
      </c>
    </row>
    <row r="2461" spans="9:16" ht="14.25" customHeight="1" thickBot="1">
      <c r="I2461" s="882"/>
      <c r="J2461" s="876"/>
      <c r="K2461" s="878"/>
      <c r="L2461" s="880"/>
      <c r="M2461" s="882"/>
      <c r="N2461" s="884"/>
      <c r="O2461" s="56">
        <v>721</v>
      </c>
      <c r="P2461" s="79">
        <f>+N2460-P2460</f>
        <v>0</v>
      </c>
    </row>
    <row r="2462" spans="9:16" ht="15" customHeight="1">
      <c r="I2462" s="881">
        <v>264</v>
      </c>
      <c r="J2462" s="875">
        <v>42641</v>
      </c>
      <c r="K2462" s="877" t="s">
        <v>1079</v>
      </c>
      <c r="L2462" s="879" t="s">
        <v>1084</v>
      </c>
      <c r="M2462" s="881" t="s">
        <v>783</v>
      </c>
      <c r="N2462" s="883">
        <v>217500</v>
      </c>
      <c r="O2462" s="55">
        <v>719</v>
      </c>
      <c r="P2462" s="78">
        <v>217500</v>
      </c>
    </row>
    <row r="2463" spans="9:16" ht="13.5" customHeight="1" thickBot="1">
      <c r="I2463" s="882"/>
      <c r="J2463" s="876"/>
      <c r="K2463" s="878"/>
      <c r="L2463" s="880"/>
      <c r="M2463" s="882"/>
      <c r="N2463" s="884"/>
      <c r="O2463" s="56">
        <v>721</v>
      </c>
      <c r="P2463" s="79">
        <f>+N2462-P2462</f>
        <v>0</v>
      </c>
    </row>
    <row r="2464" spans="9:16" ht="15.75" customHeight="1">
      <c r="I2464" s="881">
        <v>265</v>
      </c>
      <c r="J2464" s="875">
        <v>42641</v>
      </c>
      <c r="K2464" s="877" t="s">
        <v>1079</v>
      </c>
      <c r="L2464" s="879" t="s">
        <v>1095</v>
      </c>
      <c r="M2464" s="881" t="s">
        <v>783</v>
      </c>
      <c r="N2464" s="883">
        <f>72500*2</f>
        <v>145000</v>
      </c>
      <c r="O2464" s="55">
        <v>719</v>
      </c>
      <c r="P2464" s="78">
        <v>145000</v>
      </c>
    </row>
    <row r="2465" spans="9:16" ht="13.5" customHeight="1" thickBot="1">
      <c r="I2465" s="882"/>
      <c r="J2465" s="876"/>
      <c r="K2465" s="878"/>
      <c r="L2465" s="880"/>
      <c r="M2465" s="882"/>
      <c r="N2465" s="884"/>
      <c r="O2465" s="56">
        <v>721</v>
      </c>
      <c r="P2465" s="79">
        <f>+N2464-P2464</f>
        <v>0</v>
      </c>
    </row>
    <row r="2466" spans="9:16" ht="15" customHeight="1">
      <c r="I2466" s="881">
        <v>266</v>
      </c>
      <c r="J2466" s="875">
        <v>42641</v>
      </c>
      <c r="K2466" s="877" t="s">
        <v>1079</v>
      </c>
      <c r="L2466" s="879" t="s">
        <v>1086</v>
      </c>
      <c r="M2466" s="881" t="s">
        <v>783</v>
      </c>
      <c r="N2466" s="883">
        <v>145000</v>
      </c>
      <c r="O2466" s="55">
        <v>719</v>
      </c>
      <c r="P2466" s="78">
        <v>145000</v>
      </c>
    </row>
    <row r="2467" spans="9:16" ht="13.5" customHeight="1" thickBot="1">
      <c r="I2467" s="882"/>
      <c r="J2467" s="876"/>
      <c r="K2467" s="878"/>
      <c r="L2467" s="880"/>
      <c r="M2467" s="882"/>
      <c r="N2467" s="884"/>
      <c r="O2467" s="56">
        <v>721</v>
      </c>
      <c r="P2467" s="79">
        <f>+N2466-P2466</f>
        <v>0</v>
      </c>
    </row>
    <row r="2468" spans="9:16" ht="16.5" thickBot="1">
      <c r="I2468" s="901" t="s">
        <v>102</v>
      </c>
      <c r="J2468" s="902"/>
      <c r="K2468" s="902"/>
      <c r="L2468" s="902"/>
      <c r="M2468" s="903"/>
      <c r="N2468" s="81">
        <f>SUM(N2456:N2467)</f>
        <v>797500</v>
      </c>
    </row>
    <row r="2469" spans="9:16" ht="16.5" thickBot="1">
      <c r="I2469" s="885" t="s">
        <v>103</v>
      </c>
      <c r="J2469" s="886"/>
      <c r="K2469" s="886"/>
      <c r="L2469" s="886"/>
      <c r="M2469" s="887"/>
      <c r="N2469" s="69">
        <f>+N2431</f>
        <v>478193976</v>
      </c>
      <c r="O2469" s="241" t="s">
        <v>561</v>
      </c>
      <c r="P2469" s="242"/>
    </row>
    <row r="2470" spans="9:16" ht="16.5" thickBot="1">
      <c r="I2470" s="888" t="s">
        <v>104</v>
      </c>
      <c r="J2470" s="889"/>
      <c r="K2470" s="889"/>
      <c r="L2470" s="889"/>
      <c r="M2470" s="890"/>
      <c r="N2470" s="183">
        <f>SUM(N2468:N2469)</f>
        <v>478991476</v>
      </c>
    </row>
    <row r="2471" spans="9:16" ht="9.75" customHeight="1">
      <c r="I2471" s="61"/>
      <c r="J2471" s="61"/>
      <c r="K2471" s="61"/>
      <c r="L2471" s="61"/>
      <c r="M2471" s="61"/>
    </row>
    <row r="2472" spans="9:16">
      <c r="I2472" s="51" t="s">
        <v>1101</v>
      </c>
    </row>
    <row r="2473" spans="9:16" ht="9.75" customHeight="1">
      <c r="N2473" s="139"/>
    </row>
    <row r="2474" spans="9:16">
      <c r="I2474" s="50" t="s">
        <v>105</v>
      </c>
      <c r="L2474" s="146"/>
      <c r="N2474" s="139"/>
    </row>
    <row r="2475" spans="9:16" ht="12" customHeight="1" thickBot="1"/>
    <row r="2476" spans="9:16" ht="15.75" thickBot="1">
      <c r="I2476" s="891" t="s">
        <v>106</v>
      </c>
      <c r="J2476" s="892"/>
      <c r="K2476" s="892"/>
      <c r="L2476" s="893"/>
      <c r="N2476" s="50" t="s">
        <v>288</v>
      </c>
    </row>
    <row r="2477" spans="9:16" ht="28.5" customHeight="1" thickBot="1">
      <c r="I2477" s="57" t="s">
        <v>100</v>
      </c>
      <c r="J2477" s="58" t="s">
        <v>108</v>
      </c>
      <c r="K2477" s="287" t="s">
        <v>109</v>
      </c>
      <c r="L2477" s="60" t="s">
        <v>110</v>
      </c>
    </row>
    <row r="2478" spans="9:16">
      <c r="I2478" s="71">
        <v>719</v>
      </c>
      <c r="J2478" s="73"/>
      <c r="K2478" s="74">
        <f>+L2439</f>
        <v>43580000</v>
      </c>
      <c r="L2478" s="195">
        <f>+J2478+K2478</f>
        <v>43580000</v>
      </c>
    </row>
    <row r="2479" spans="9:16">
      <c r="I2479" s="72">
        <v>721</v>
      </c>
      <c r="J2479" s="80"/>
      <c r="K2479" s="74">
        <f>+L2440</f>
        <v>98381059</v>
      </c>
      <c r="L2479" s="195">
        <f>+J2479+K2479</f>
        <v>98381059</v>
      </c>
    </row>
    <row r="2480" spans="9:16">
      <c r="I2480" s="72">
        <v>722</v>
      </c>
      <c r="J2480" s="80"/>
      <c r="K2480" s="74">
        <f>+L2441</f>
        <v>44881706</v>
      </c>
      <c r="L2480" s="195">
        <f>+J2480+K2480</f>
        <v>44881706</v>
      </c>
    </row>
    <row r="2481" spans="9:16" ht="15" customHeight="1">
      <c r="I2481" s="72">
        <v>723</v>
      </c>
      <c r="J2481" s="80"/>
      <c r="K2481" s="74">
        <f>+L2442</f>
        <v>291281211</v>
      </c>
      <c r="L2481" s="195">
        <f>+J2481+K2481</f>
        <v>291281211</v>
      </c>
      <c r="N2481" s="193" t="s">
        <v>289</v>
      </c>
      <c r="O2481" s="175"/>
    </row>
    <row r="2482" spans="9:16" ht="16.5" thickBot="1">
      <c r="I2482" s="164" t="s">
        <v>1077</v>
      </c>
      <c r="J2482" s="165">
        <f>+P2456+P2458+P2460+P2462+P2466+P2464</f>
        <v>797500</v>
      </c>
      <c r="K2482" s="74">
        <f>+L2443</f>
        <v>0</v>
      </c>
      <c r="L2482" s="196">
        <f>+J2482+K2482</f>
        <v>797500</v>
      </c>
      <c r="N2482" s="52"/>
    </row>
    <row r="2483" spans="9:16" ht="16.5" thickBot="1">
      <c r="I2483" s="316" t="s">
        <v>147</v>
      </c>
      <c r="J2483" s="197">
        <f>SUM(J2478:J2482)</f>
        <v>797500</v>
      </c>
      <c r="K2483" s="197">
        <f>SUM(K2478:K2482)</f>
        <v>478123976</v>
      </c>
      <c r="L2483" s="198">
        <f>SUM(L2478:L2482)</f>
        <v>478921476</v>
      </c>
    </row>
    <row r="2484" spans="9:16" ht="16.5">
      <c r="I2484" s="49" t="s">
        <v>88</v>
      </c>
      <c r="J2484" s="50"/>
    </row>
    <row r="2485" spans="9:16">
      <c r="I2485" s="51" t="s">
        <v>89</v>
      </c>
    </row>
    <row r="2486" spans="9:16">
      <c r="I2486" s="51" t="s">
        <v>90</v>
      </c>
    </row>
    <row r="2487" spans="9:16">
      <c r="I2487" s="51" t="s">
        <v>91</v>
      </c>
    </row>
    <row r="2488" spans="9:16" ht="12.75" customHeight="1">
      <c r="I2488" s="50"/>
      <c r="J2488" s="50"/>
    </row>
    <row r="2489" spans="9:16" ht="15.75">
      <c r="I2489" s="260" t="s">
        <v>1075</v>
      </c>
      <c r="O2489" s="52"/>
    </row>
    <row r="2490" spans="9:16" ht="15.75">
      <c r="I2490" s="53" t="s">
        <v>535</v>
      </c>
      <c r="O2490" s="53"/>
    </row>
    <row r="2491" spans="9:16" ht="16.5">
      <c r="I2491" s="894" t="s">
        <v>1098</v>
      </c>
      <c r="J2491" s="894"/>
      <c r="K2491" s="894"/>
      <c r="L2491" s="894"/>
      <c r="M2491" s="894"/>
      <c r="N2491" s="894"/>
      <c r="O2491" s="894"/>
      <c r="P2491" s="894"/>
    </row>
    <row r="2492" spans="9:16" ht="15.75" thickBot="1"/>
    <row r="2493" spans="9:16">
      <c r="I2493" s="895" t="s">
        <v>94</v>
      </c>
      <c r="J2493" s="897" t="s">
        <v>95</v>
      </c>
      <c r="K2493" s="897" t="s">
        <v>96</v>
      </c>
      <c r="L2493" s="897" t="s">
        <v>3</v>
      </c>
      <c r="M2493" s="897" t="s">
        <v>97</v>
      </c>
      <c r="N2493" s="897" t="s">
        <v>98</v>
      </c>
      <c r="O2493" s="897" t="s">
        <v>99</v>
      </c>
      <c r="P2493" s="899"/>
    </row>
    <row r="2494" spans="9:16" ht="15.75" thickBot="1">
      <c r="I2494" s="896"/>
      <c r="J2494" s="898"/>
      <c r="K2494" s="898"/>
      <c r="L2494" s="898"/>
      <c r="M2494" s="898"/>
      <c r="N2494" s="898"/>
      <c r="O2494" s="240" t="s">
        <v>100</v>
      </c>
      <c r="P2494" s="182" t="s">
        <v>101</v>
      </c>
    </row>
    <row r="2495" spans="9:16" ht="15" customHeight="1">
      <c r="I2495" s="881">
        <v>267</v>
      </c>
      <c r="J2495" s="875">
        <v>42641</v>
      </c>
      <c r="K2495" s="877" t="s">
        <v>738</v>
      </c>
      <c r="L2495" s="879" t="s">
        <v>1097</v>
      </c>
      <c r="M2495" s="881" t="s">
        <v>148</v>
      </c>
      <c r="N2495" s="883">
        <v>2672700</v>
      </c>
      <c r="O2495" s="55">
        <v>719</v>
      </c>
      <c r="P2495" s="78"/>
    </row>
    <row r="2496" spans="9:16" ht="15.75" customHeight="1" thickBot="1">
      <c r="I2496" s="882"/>
      <c r="J2496" s="876"/>
      <c r="K2496" s="878"/>
      <c r="L2496" s="880"/>
      <c r="M2496" s="882"/>
      <c r="N2496" s="884"/>
      <c r="O2496" s="56">
        <v>721</v>
      </c>
      <c r="P2496" s="79">
        <f>+N2495</f>
        <v>2672700</v>
      </c>
    </row>
    <row r="2497" spans="9:16" ht="15" customHeight="1">
      <c r="I2497" s="881">
        <v>268</v>
      </c>
      <c r="J2497" s="875">
        <v>42641</v>
      </c>
      <c r="K2497" s="877" t="s">
        <v>738</v>
      </c>
      <c r="L2497" s="879" t="s">
        <v>1099</v>
      </c>
      <c r="M2497" s="881" t="s">
        <v>148</v>
      </c>
      <c r="N2497" s="883">
        <v>773675</v>
      </c>
      <c r="O2497" s="55">
        <v>719</v>
      </c>
      <c r="P2497" s="78"/>
    </row>
    <row r="2498" spans="9:16" ht="15.75" customHeight="1" thickBot="1">
      <c r="I2498" s="882"/>
      <c r="J2498" s="876"/>
      <c r="K2498" s="878"/>
      <c r="L2498" s="880"/>
      <c r="M2498" s="882"/>
      <c r="N2498" s="884"/>
      <c r="O2498" s="56">
        <v>721</v>
      </c>
      <c r="P2498" s="79">
        <f>+N2497-P2497</f>
        <v>773675</v>
      </c>
    </row>
    <row r="2499" spans="9:16" ht="15" customHeight="1">
      <c r="I2499" s="881">
        <v>269</v>
      </c>
      <c r="J2499" s="875">
        <v>42641</v>
      </c>
      <c r="K2499" s="877" t="s">
        <v>738</v>
      </c>
      <c r="L2499" s="879" t="s">
        <v>1100</v>
      </c>
      <c r="M2499" s="881" t="s">
        <v>148</v>
      </c>
      <c r="N2499" s="883">
        <v>2672700</v>
      </c>
      <c r="O2499" s="55">
        <v>719</v>
      </c>
      <c r="P2499" s="78"/>
    </row>
    <row r="2500" spans="9:16" ht="14.25" customHeight="1" thickBot="1">
      <c r="I2500" s="882"/>
      <c r="J2500" s="876"/>
      <c r="K2500" s="878"/>
      <c r="L2500" s="880"/>
      <c r="M2500" s="882"/>
      <c r="N2500" s="884"/>
      <c r="O2500" s="56">
        <v>721</v>
      </c>
      <c r="P2500" s="79">
        <f>+N2499-P2499</f>
        <v>2672700</v>
      </c>
    </row>
    <row r="2501" spans="9:16" ht="14.25" customHeight="1">
      <c r="I2501" s="881"/>
      <c r="J2501" s="875"/>
      <c r="K2501" s="877"/>
      <c r="L2501" s="879"/>
      <c r="M2501" s="881"/>
      <c r="N2501" s="883"/>
      <c r="O2501" s="55">
        <v>719</v>
      </c>
      <c r="P2501" s="78"/>
    </row>
    <row r="2502" spans="9:16" ht="14.25" customHeight="1" thickBot="1">
      <c r="I2502" s="882"/>
      <c r="J2502" s="876"/>
      <c r="K2502" s="878"/>
      <c r="L2502" s="880"/>
      <c r="M2502" s="882"/>
      <c r="N2502" s="884"/>
      <c r="O2502" s="56">
        <v>721</v>
      </c>
      <c r="P2502" s="79">
        <f>+N2501-P2501</f>
        <v>0</v>
      </c>
    </row>
    <row r="2503" spans="9:16" ht="15" customHeight="1">
      <c r="I2503" s="881"/>
      <c r="J2503" s="875"/>
      <c r="K2503" s="877"/>
      <c r="L2503" s="879"/>
      <c r="M2503" s="881"/>
      <c r="N2503" s="883"/>
      <c r="O2503" s="55">
        <v>719</v>
      </c>
      <c r="P2503" s="78"/>
    </row>
    <row r="2504" spans="9:16" ht="11.25" customHeight="1" thickBot="1">
      <c r="I2504" s="882"/>
      <c r="J2504" s="876"/>
      <c r="K2504" s="878"/>
      <c r="L2504" s="880"/>
      <c r="M2504" s="882"/>
      <c r="N2504" s="884"/>
      <c r="O2504" s="56">
        <v>723</v>
      </c>
      <c r="P2504" s="79">
        <f>+N2503-P2503</f>
        <v>0</v>
      </c>
    </row>
    <row r="2505" spans="9:16" ht="16.5" thickBot="1">
      <c r="I2505" s="901" t="s">
        <v>102</v>
      </c>
      <c r="J2505" s="902"/>
      <c r="K2505" s="902"/>
      <c r="L2505" s="902"/>
      <c r="M2505" s="903"/>
      <c r="N2505" s="81">
        <f>SUM(N2495:N2504)</f>
        <v>6119075</v>
      </c>
    </row>
    <row r="2506" spans="9:16" ht="16.5" thickBot="1">
      <c r="I2506" s="885" t="s">
        <v>103</v>
      </c>
      <c r="J2506" s="886"/>
      <c r="K2506" s="886"/>
      <c r="L2506" s="886"/>
      <c r="M2506" s="887"/>
      <c r="N2506" s="69">
        <f>+N2470</f>
        <v>478991476</v>
      </c>
      <c r="O2506" s="241" t="s">
        <v>561</v>
      </c>
      <c r="P2506" s="242"/>
    </row>
    <row r="2507" spans="9:16" ht="16.5" thickBot="1">
      <c r="I2507" s="888" t="s">
        <v>104</v>
      </c>
      <c r="J2507" s="889"/>
      <c r="K2507" s="889"/>
      <c r="L2507" s="889"/>
      <c r="M2507" s="890"/>
      <c r="N2507" s="183">
        <f>SUM(N2505:N2506)</f>
        <v>485110551</v>
      </c>
    </row>
    <row r="2508" spans="9:16">
      <c r="I2508" s="61"/>
      <c r="J2508" s="61"/>
      <c r="K2508" s="61"/>
      <c r="L2508" s="61"/>
      <c r="M2508" s="61"/>
    </row>
    <row r="2509" spans="9:16">
      <c r="I2509" s="51" t="s">
        <v>1110</v>
      </c>
    </row>
    <row r="2510" spans="9:16" ht="12.75" customHeight="1">
      <c r="N2510" s="139"/>
    </row>
    <row r="2511" spans="9:16">
      <c r="I2511" s="50" t="s">
        <v>105</v>
      </c>
      <c r="L2511" s="146"/>
      <c r="N2511" s="139"/>
    </row>
    <row r="2512" spans="9:16" ht="14.25" customHeight="1" thickBot="1"/>
    <row r="2513" spans="9:16" ht="15.75" thickBot="1">
      <c r="I2513" s="891" t="s">
        <v>106</v>
      </c>
      <c r="J2513" s="892"/>
      <c r="K2513" s="892"/>
      <c r="L2513" s="893"/>
      <c r="N2513" s="50" t="s">
        <v>288</v>
      </c>
    </row>
    <row r="2514" spans="9:16" ht="30.75" thickBot="1">
      <c r="I2514" s="57" t="s">
        <v>100</v>
      </c>
      <c r="J2514" s="58" t="s">
        <v>108</v>
      </c>
      <c r="K2514" s="287" t="s">
        <v>109</v>
      </c>
      <c r="L2514" s="60" t="s">
        <v>110</v>
      </c>
    </row>
    <row r="2515" spans="9:16">
      <c r="I2515" s="71">
        <v>719</v>
      </c>
      <c r="J2515" s="73">
        <v>0</v>
      </c>
      <c r="K2515" s="74">
        <f>+L2478</f>
        <v>43580000</v>
      </c>
      <c r="L2515" s="195">
        <f>+J2515+K2515</f>
        <v>43580000</v>
      </c>
    </row>
    <row r="2516" spans="9:16">
      <c r="I2516" s="72">
        <v>721</v>
      </c>
      <c r="J2516" s="80">
        <f>+P2496+P2498+P2500+P2502+P2504</f>
        <v>6119075</v>
      </c>
      <c r="K2516" s="74">
        <f>+L2479</f>
        <v>98381059</v>
      </c>
      <c r="L2516" s="195">
        <f>+J2516+K2516</f>
        <v>104500134</v>
      </c>
    </row>
    <row r="2517" spans="9:16">
      <c r="I2517" s="72">
        <v>722</v>
      </c>
      <c r="J2517" s="80"/>
      <c r="K2517" s="74">
        <f>+L2480</f>
        <v>44881706</v>
      </c>
      <c r="L2517" s="195">
        <f>+J2517+K2517</f>
        <v>44881706</v>
      </c>
    </row>
    <row r="2518" spans="9:16" ht="15.75">
      <c r="I2518" s="72">
        <v>723</v>
      </c>
      <c r="J2518" s="80"/>
      <c r="K2518" s="74">
        <f>+L2481</f>
        <v>291281211</v>
      </c>
      <c r="L2518" s="195">
        <f>+J2518+K2518</f>
        <v>291281211</v>
      </c>
      <c r="N2518" s="193" t="s">
        <v>289</v>
      </c>
      <c r="O2518" s="175"/>
    </row>
    <row r="2519" spans="9:16" ht="16.5" thickBot="1">
      <c r="I2519" s="164" t="s">
        <v>1077</v>
      </c>
      <c r="J2519" s="165">
        <f>+P2495+P2497+P2499</f>
        <v>0</v>
      </c>
      <c r="K2519" s="74">
        <f>+L2482</f>
        <v>797500</v>
      </c>
      <c r="L2519" s="196">
        <f>+J2519+K2519</f>
        <v>797500</v>
      </c>
      <c r="N2519" s="52"/>
    </row>
    <row r="2520" spans="9:16" ht="16.5" thickBot="1">
      <c r="I2520" s="169"/>
      <c r="J2520" s="197">
        <f>SUM(J2515:J2519)</f>
        <v>6119075</v>
      </c>
      <c r="K2520" s="197">
        <f>SUM(K2515:K2519)</f>
        <v>478921476</v>
      </c>
      <c r="L2520" s="198">
        <f>SUM(L2515:L2519)</f>
        <v>485040551</v>
      </c>
    </row>
    <row r="2521" spans="9:16" ht="16.5">
      <c r="I2521" s="49" t="s">
        <v>88</v>
      </c>
      <c r="J2521" s="50"/>
    </row>
    <row r="2522" spans="9:16">
      <c r="I2522" s="51" t="s">
        <v>89</v>
      </c>
    </row>
    <row r="2523" spans="9:16">
      <c r="I2523" s="51" t="s">
        <v>90</v>
      </c>
    </row>
    <row r="2524" spans="9:16">
      <c r="I2524" s="51" t="s">
        <v>91</v>
      </c>
    </row>
    <row r="2525" spans="9:16" ht="11.25" customHeight="1">
      <c r="I2525" s="50"/>
      <c r="J2525" s="50"/>
    </row>
    <row r="2526" spans="9:16" ht="15.75">
      <c r="I2526" s="260" t="s">
        <v>1076</v>
      </c>
      <c r="O2526" s="52"/>
    </row>
    <row r="2527" spans="9:16" ht="15.75">
      <c r="I2527" s="53" t="s">
        <v>535</v>
      </c>
      <c r="O2527" s="53"/>
    </row>
    <row r="2528" spans="9:16" ht="16.5">
      <c r="I2528" s="894" t="s">
        <v>1121</v>
      </c>
      <c r="J2528" s="894"/>
      <c r="K2528" s="894"/>
      <c r="L2528" s="894"/>
      <c r="M2528" s="894"/>
      <c r="N2528" s="894"/>
      <c r="O2528" s="894"/>
      <c r="P2528" s="894"/>
    </row>
    <row r="2529" spans="9:16" ht="15.75" thickBot="1"/>
    <row r="2530" spans="9:16">
      <c r="I2530" s="895" t="s">
        <v>94</v>
      </c>
      <c r="J2530" s="897" t="s">
        <v>95</v>
      </c>
      <c r="K2530" s="897" t="s">
        <v>96</v>
      </c>
      <c r="L2530" s="897" t="s">
        <v>3</v>
      </c>
      <c r="M2530" s="897" t="s">
        <v>97</v>
      </c>
      <c r="N2530" s="897" t="s">
        <v>98</v>
      </c>
      <c r="O2530" s="897" t="s">
        <v>99</v>
      </c>
      <c r="P2530" s="899"/>
    </row>
    <row r="2531" spans="9:16" ht="15.75" thickBot="1">
      <c r="I2531" s="896"/>
      <c r="J2531" s="898"/>
      <c r="K2531" s="898"/>
      <c r="L2531" s="898"/>
      <c r="M2531" s="898"/>
      <c r="N2531" s="898"/>
      <c r="O2531" s="240" t="s">
        <v>100</v>
      </c>
      <c r="P2531" s="182" t="s">
        <v>101</v>
      </c>
    </row>
    <row r="2532" spans="9:16" ht="15" customHeight="1">
      <c r="I2532" s="881">
        <v>270</v>
      </c>
      <c r="J2532" s="875">
        <v>42641</v>
      </c>
      <c r="K2532" s="877" t="s">
        <v>1014</v>
      </c>
      <c r="L2532" s="879" t="s">
        <v>1120</v>
      </c>
      <c r="M2532" s="881" t="s">
        <v>115</v>
      </c>
      <c r="N2532" s="883">
        <v>90000</v>
      </c>
      <c r="O2532" s="55">
        <v>719</v>
      </c>
      <c r="P2532" s="78">
        <v>90000</v>
      </c>
    </row>
    <row r="2533" spans="9:16" ht="15.75" customHeight="1" thickBot="1">
      <c r="I2533" s="882"/>
      <c r="J2533" s="876"/>
      <c r="K2533" s="878"/>
      <c r="L2533" s="880"/>
      <c r="M2533" s="882"/>
      <c r="N2533" s="884"/>
      <c r="O2533" s="56">
        <v>721</v>
      </c>
      <c r="P2533" s="79">
        <f>+N2532-P2532</f>
        <v>0</v>
      </c>
    </row>
    <row r="2534" spans="9:16" ht="15" customHeight="1">
      <c r="I2534" s="881">
        <v>271</v>
      </c>
      <c r="J2534" s="875">
        <v>42641</v>
      </c>
      <c r="K2534" s="877" t="s">
        <v>28</v>
      </c>
      <c r="L2534" s="879" t="s">
        <v>1119</v>
      </c>
      <c r="M2534" s="881" t="s">
        <v>115</v>
      </c>
      <c r="N2534" s="883">
        <v>80000</v>
      </c>
      <c r="O2534" s="55">
        <v>719</v>
      </c>
      <c r="P2534" s="78">
        <v>80000</v>
      </c>
    </row>
    <row r="2535" spans="9:16" ht="15.75" customHeight="1" thickBot="1">
      <c r="I2535" s="882"/>
      <c r="J2535" s="876"/>
      <c r="K2535" s="878"/>
      <c r="L2535" s="880"/>
      <c r="M2535" s="882"/>
      <c r="N2535" s="884"/>
      <c r="O2535" s="56">
        <v>721</v>
      </c>
      <c r="P2535" s="79">
        <f>+N2534-P2534</f>
        <v>0</v>
      </c>
    </row>
    <row r="2536" spans="9:16" ht="13.5" customHeight="1">
      <c r="I2536" s="881">
        <v>272</v>
      </c>
      <c r="J2536" s="875">
        <v>42641</v>
      </c>
      <c r="K2536" s="877" t="s">
        <v>1116</v>
      </c>
      <c r="L2536" s="879" t="s">
        <v>1118</v>
      </c>
      <c r="M2536" s="881" t="s">
        <v>115</v>
      </c>
      <c r="N2536" s="883">
        <v>80000</v>
      </c>
      <c r="O2536" s="55">
        <v>719</v>
      </c>
      <c r="P2536" s="78">
        <v>80000</v>
      </c>
    </row>
    <row r="2537" spans="9:16" ht="14.25" customHeight="1" thickBot="1">
      <c r="I2537" s="882"/>
      <c r="J2537" s="876"/>
      <c r="K2537" s="878"/>
      <c r="L2537" s="880"/>
      <c r="M2537" s="882"/>
      <c r="N2537" s="884"/>
      <c r="O2537" s="56">
        <v>721</v>
      </c>
      <c r="P2537" s="79">
        <f>+N2536-P2536</f>
        <v>0</v>
      </c>
    </row>
    <row r="2538" spans="9:16" ht="14.25" customHeight="1">
      <c r="I2538" s="881"/>
      <c r="J2538" s="875"/>
      <c r="K2538" s="875"/>
      <c r="L2538" s="877"/>
      <c r="M2538" s="879"/>
      <c r="N2538" s="883"/>
      <c r="O2538" s="55">
        <v>719</v>
      </c>
      <c r="P2538" s="78"/>
    </row>
    <row r="2539" spans="9:16" ht="13.5" customHeight="1" thickBot="1">
      <c r="I2539" s="882"/>
      <c r="J2539" s="876"/>
      <c r="K2539" s="876"/>
      <c r="L2539" s="878"/>
      <c r="M2539" s="880"/>
      <c r="N2539" s="884"/>
      <c r="O2539" s="56">
        <v>721</v>
      </c>
      <c r="P2539" s="79">
        <f>+N2538-P2538</f>
        <v>0</v>
      </c>
    </row>
    <row r="2540" spans="9:16" ht="14.25" customHeight="1">
      <c r="I2540" s="881"/>
      <c r="J2540" s="875"/>
      <c r="K2540" s="877"/>
      <c r="L2540" s="879"/>
      <c r="M2540" s="881"/>
      <c r="N2540" s="883"/>
      <c r="O2540" s="55">
        <v>719</v>
      </c>
      <c r="P2540" s="78"/>
    </row>
    <row r="2541" spans="9:16" ht="13.5" customHeight="1" thickBot="1">
      <c r="I2541" s="882"/>
      <c r="J2541" s="876"/>
      <c r="K2541" s="878"/>
      <c r="L2541" s="880"/>
      <c r="M2541" s="882"/>
      <c r="N2541" s="884"/>
      <c r="O2541" s="56">
        <v>723</v>
      </c>
      <c r="P2541" s="79">
        <f>+N2540-P2540</f>
        <v>0</v>
      </c>
    </row>
    <row r="2542" spans="9:16" ht="16.5" thickBot="1">
      <c r="I2542" s="901" t="s">
        <v>102</v>
      </c>
      <c r="J2542" s="902"/>
      <c r="K2542" s="902"/>
      <c r="L2542" s="902"/>
      <c r="M2542" s="903"/>
      <c r="N2542" s="81">
        <f>SUM(N2532:N2541)</f>
        <v>250000</v>
      </c>
    </row>
    <row r="2543" spans="9:16" ht="16.5" thickBot="1">
      <c r="I2543" s="885" t="s">
        <v>103</v>
      </c>
      <c r="J2543" s="886"/>
      <c r="K2543" s="886"/>
      <c r="L2543" s="886"/>
      <c r="M2543" s="887"/>
      <c r="N2543" s="69">
        <f>+N2507</f>
        <v>485110551</v>
      </c>
      <c r="O2543" s="241" t="s">
        <v>561</v>
      </c>
      <c r="P2543" s="242">
        <f>325+46+159</f>
        <v>530</v>
      </c>
    </row>
    <row r="2544" spans="9:16" ht="16.5" thickBot="1">
      <c r="I2544" s="888" t="s">
        <v>104</v>
      </c>
      <c r="J2544" s="889"/>
      <c r="K2544" s="889"/>
      <c r="L2544" s="889"/>
      <c r="M2544" s="890"/>
      <c r="N2544" s="183">
        <f>SUM(N2542:N2543)</f>
        <v>485360551</v>
      </c>
    </row>
    <row r="2545" spans="9:15">
      <c r="I2545" s="61"/>
      <c r="J2545" s="61"/>
      <c r="K2545" s="61"/>
      <c r="L2545" s="61"/>
      <c r="M2545" s="61"/>
    </row>
    <row r="2546" spans="9:15">
      <c r="I2546" s="51" t="s">
        <v>1117</v>
      </c>
    </row>
    <row r="2547" spans="9:15" ht="12.75" customHeight="1">
      <c r="N2547" s="139"/>
    </row>
    <row r="2548" spans="9:15">
      <c r="I2548" s="50" t="s">
        <v>105</v>
      </c>
      <c r="L2548" s="146"/>
      <c r="N2548" s="139"/>
    </row>
    <row r="2549" spans="9:15" ht="14.25" customHeight="1" thickBot="1"/>
    <row r="2550" spans="9:15" ht="15.75" thickBot="1">
      <c r="I2550" s="891" t="s">
        <v>106</v>
      </c>
      <c r="J2550" s="892"/>
      <c r="K2550" s="892"/>
      <c r="L2550" s="893"/>
      <c r="N2550" s="50" t="s">
        <v>288</v>
      </c>
    </row>
    <row r="2551" spans="9:15" ht="30.75" thickBot="1">
      <c r="I2551" s="57" t="s">
        <v>100</v>
      </c>
      <c r="J2551" s="58" t="s">
        <v>108</v>
      </c>
      <c r="K2551" s="287" t="s">
        <v>109</v>
      </c>
      <c r="L2551" s="60" t="s">
        <v>110</v>
      </c>
    </row>
    <row r="2552" spans="9:15">
      <c r="I2552" s="71">
        <v>719</v>
      </c>
      <c r="J2552" s="73">
        <f>+P2532+P2534+P2536</f>
        <v>250000</v>
      </c>
      <c r="K2552" s="74">
        <f>+L2515</f>
        <v>43580000</v>
      </c>
      <c r="L2552" s="195">
        <f>+J2552+K2552</f>
        <v>43830000</v>
      </c>
    </row>
    <row r="2553" spans="9:15">
      <c r="I2553" s="72">
        <v>721</v>
      </c>
      <c r="J2553" s="80">
        <f>+P2533+P2535+P2537+P2539+P2541</f>
        <v>0</v>
      </c>
      <c r="K2553" s="74">
        <f>+L2516</f>
        <v>104500134</v>
      </c>
      <c r="L2553" s="195">
        <f>+J2553+K2553</f>
        <v>104500134</v>
      </c>
    </row>
    <row r="2554" spans="9:15">
      <c r="I2554" s="72">
        <v>722</v>
      </c>
      <c r="J2554" s="80"/>
      <c r="K2554" s="74">
        <f>+L2517</f>
        <v>44881706</v>
      </c>
      <c r="L2554" s="195">
        <f>+J2554+K2554</f>
        <v>44881706</v>
      </c>
    </row>
    <row r="2555" spans="9:15" ht="15.75">
      <c r="I2555" s="72">
        <v>723</v>
      </c>
      <c r="J2555" s="80"/>
      <c r="K2555" s="74">
        <f>+L2518</f>
        <v>291281211</v>
      </c>
      <c r="L2555" s="195">
        <f>+J2555+K2555</f>
        <v>291281211</v>
      </c>
      <c r="N2555" s="193" t="s">
        <v>289</v>
      </c>
      <c r="O2555" s="175"/>
    </row>
    <row r="2556" spans="9:15" ht="16.5" thickBot="1">
      <c r="I2556" s="164" t="s">
        <v>1077</v>
      </c>
      <c r="J2556" s="165"/>
      <c r="K2556" s="74">
        <f>+L2519</f>
        <v>797500</v>
      </c>
      <c r="L2556" s="196">
        <f>+J2556+K2556</f>
        <v>797500</v>
      </c>
      <c r="N2556" s="52"/>
    </row>
    <row r="2557" spans="9:15" ht="16.5" thickBot="1">
      <c r="I2557" s="169"/>
      <c r="J2557" s="197">
        <f>SUM(J2552:J2556)</f>
        <v>250000</v>
      </c>
      <c r="K2557" s="197">
        <f>SUM(K2552:K2556)</f>
        <v>485040551</v>
      </c>
      <c r="L2557" s="198">
        <f>SUM(L2552:L2556)</f>
        <v>485290551</v>
      </c>
    </row>
    <row r="2558" spans="9:15" ht="16.5">
      <c r="I2558" s="49" t="s">
        <v>88</v>
      </c>
      <c r="J2558" s="50"/>
    </row>
    <row r="2559" spans="9:15">
      <c r="I2559" s="51" t="s">
        <v>89</v>
      </c>
    </row>
    <row r="2560" spans="9:15">
      <c r="I2560" s="51" t="s">
        <v>90</v>
      </c>
    </row>
    <row r="2561" spans="9:16">
      <c r="I2561" s="51" t="s">
        <v>91</v>
      </c>
    </row>
    <row r="2562" spans="9:16" ht="14.25" customHeight="1">
      <c r="I2562" s="50"/>
      <c r="J2562" s="50"/>
    </row>
    <row r="2563" spans="9:16" ht="15.75">
      <c r="I2563" s="260" t="s">
        <v>1083</v>
      </c>
      <c r="O2563" s="52"/>
    </row>
    <row r="2564" spans="9:16" ht="15.75">
      <c r="I2564" s="53" t="s">
        <v>535</v>
      </c>
      <c r="O2564" s="53"/>
    </row>
    <row r="2565" spans="9:16" ht="16.5">
      <c r="I2565" s="894" t="s">
        <v>1121</v>
      </c>
      <c r="J2565" s="894"/>
      <c r="K2565" s="894"/>
      <c r="L2565" s="894"/>
      <c r="M2565" s="894"/>
      <c r="N2565" s="894"/>
      <c r="O2565" s="894"/>
      <c r="P2565" s="894"/>
    </row>
    <row r="2566" spans="9:16" ht="12.75" customHeight="1" thickBot="1"/>
    <row r="2567" spans="9:16">
      <c r="I2567" s="895" t="s">
        <v>94</v>
      </c>
      <c r="J2567" s="897" t="s">
        <v>95</v>
      </c>
      <c r="K2567" s="897" t="s">
        <v>96</v>
      </c>
      <c r="L2567" s="897" t="s">
        <v>3</v>
      </c>
      <c r="M2567" s="897" t="s">
        <v>97</v>
      </c>
      <c r="N2567" s="897" t="s">
        <v>98</v>
      </c>
      <c r="O2567" s="897" t="s">
        <v>99</v>
      </c>
      <c r="P2567" s="899"/>
    </row>
    <row r="2568" spans="9:16" ht="15.75" thickBot="1">
      <c r="I2568" s="896"/>
      <c r="J2568" s="898"/>
      <c r="K2568" s="898"/>
      <c r="L2568" s="898"/>
      <c r="M2568" s="898"/>
      <c r="N2568" s="898"/>
      <c r="O2568" s="240" t="s">
        <v>100</v>
      </c>
      <c r="P2568" s="182" t="s">
        <v>101</v>
      </c>
    </row>
    <row r="2569" spans="9:16" ht="15" customHeight="1">
      <c r="I2569" s="881">
        <v>273</v>
      </c>
      <c r="J2569" s="875">
        <v>42648</v>
      </c>
      <c r="K2569" s="877" t="s">
        <v>1014</v>
      </c>
      <c r="L2569" s="879" t="s">
        <v>1122</v>
      </c>
      <c r="M2569" s="881" t="s">
        <v>115</v>
      </c>
      <c r="N2569" s="883">
        <v>60000</v>
      </c>
      <c r="O2569" s="55">
        <v>719</v>
      </c>
      <c r="P2569" s="78">
        <v>60000</v>
      </c>
    </row>
    <row r="2570" spans="9:16" ht="15.75" customHeight="1" thickBot="1">
      <c r="I2570" s="882"/>
      <c r="J2570" s="876"/>
      <c r="K2570" s="878"/>
      <c r="L2570" s="880"/>
      <c r="M2570" s="882"/>
      <c r="N2570" s="884"/>
      <c r="O2570" s="56">
        <v>721</v>
      </c>
      <c r="P2570" s="79">
        <f>+N2569-P2569</f>
        <v>0</v>
      </c>
    </row>
    <row r="2571" spans="9:16" ht="15" customHeight="1">
      <c r="I2571" s="881">
        <v>274</v>
      </c>
      <c r="J2571" s="875">
        <v>42648</v>
      </c>
      <c r="K2571" s="877" t="s">
        <v>28</v>
      </c>
      <c r="L2571" s="879" t="s">
        <v>1123</v>
      </c>
      <c r="M2571" s="881" t="s">
        <v>115</v>
      </c>
      <c r="N2571" s="883">
        <v>40000</v>
      </c>
      <c r="O2571" s="55">
        <v>719</v>
      </c>
      <c r="P2571" s="78">
        <v>40000</v>
      </c>
    </row>
    <row r="2572" spans="9:16" ht="15.75" customHeight="1" thickBot="1">
      <c r="I2572" s="882"/>
      <c r="J2572" s="876"/>
      <c r="K2572" s="878"/>
      <c r="L2572" s="880"/>
      <c r="M2572" s="882"/>
      <c r="N2572" s="884"/>
      <c r="O2572" s="56">
        <v>721</v>
      </c>
      <c r="P2572" s="79">
        <f>+N2571-P2571</f>
        <v>0</v>
      </c>
    </row>
    <row r="2573" spans="9:16" ht="15" customHeight="1">
      <c r="I2573" s="881">
        <v>275</v>
      </c>
      <c r="J2573" s="875">
        <v>42648</v>
      </c>
      <c r="K2573" s="877" t="s">
        <v>120</v>
      </c>
      <c r="L2573" s="879" t="s">
        <v>1122</v>
      </c>
      <c r="M2573" s="881" t="s">
        <v>115</v>
      </c>
      <c r="N2573" s="883">
        <v>100000</v>
      </c>
      <c r="O2573" s="55">
        <v>719</v>
      </c>
      <c r="P2573" s="78">
        <v>100000</v>
      </c>
    </row>
    <row r="2574" spans="9:16" ht="15.75" customHeight="1" thickBot="1">
      <c r="I2574" s="882"/>
      <c r="J2574" s="876"/>
      <c r="K2574" s="878"/>
      <c r="L2574" s="880"/>
      <c r="M2574" s="882"/>
      <c r="N2574" s="884"/>
      <c r="O2574" s="56">
        <v>721</v>
      </c>
      <c r="P2574" s="79">
        <f>+N2573-P2573</f>
        <v>0</v>
      </c>
    </row>
    <row r="2575" spans="9:16" ht="15" customHeight="1">
      <c r="I2575" s="881"/>
      <c r="J2575" s="875"/>
      <c r="K2575" s="877"/>
      <c r="L2575" s="879"/>
      <c r="M2575" s="881"/>
      <c r="N2575" s="883"/>
      <c r="O2575" s="55">
        <v>719</v>
      </c>
      <c r="P2575" s="78">
        <v>0</v>
      </c>
    </row>
    <row r="2576" spans="9:16" ht="15.75" customHeight="1" thickBot="1">
      <c r="I2576" s="882"/>
      <c r="J2576" s="876"/>
      <c r="K2576" s="878"/>
      <c r="L2576" s="880"/>
      <c r="M2576" s="882"/>
      <c r="N2576" s="884"/>
      <c r="O2576" s="56">
        <v>721</v>
      </c>
      <c r="P2576" s="79">
        <f>+N2575-P2575</f>
        <v>0</v>
      </c>
    </row>
    <row r="2577" spans="9:16" ht="15" customHeight="1">
      <c r="I2577" s="881"/>
      <c r="J2577" s="875"/>
      <c r="K2577" s="877"/>
      <c r="L2577" s="879"/>
      <c r="M2577" s="881"/>
      <c r="N2577" s="883"/>
      <c r="O2577" s="55">
        <v>719</v>
      </c>
      <c r="P2577" s="78"/>
    </row>
    <row r="2578" spans="9:16" ht="15.75" customHeight="1" thickBot="1">
      <c r="I2578" s="882"/>
      <c r="J2578" s="876"/>
      <c r="K2578" s="878"/>
      <c r="L2578" s="880"/>
      <c r="M2578" s="882"/>
      <c r="N2578" s="884"/>
      <c r="O2578" s="56">
        <v>723</v>
      </c>
      <c r="P2578" s="79">
        <f>+N2577-P2577</f>
        <v>0</v>
      </c>
    </row>
    <row r="2579" spans="9:16" ht="16.5" thickBot="1">
      <c r="I2579" s="901" t="s">
        <v>102</v>
      </c>
      <c r="J2579" s="902"/>
      <c r="K2579" s="902"/>
      <c r="L2579" s="902"/>
      <c r="M2579" s="903"/>
      <c r="N2579" s="81">
        <f>SUM(N2569:N2578)</f>
        <v>200000</v>
      </c>
    </row>
    <row r="2580" spans="9:16" ht="16.5" thickBot="1">
      <c r="I2580" s="885" t="s">
        <v>103</v>
      </c>
      <c r="J2580" s="886"/>
      <c r="K2580" s="886"/>
      <c r="L2580" s="886"/>
      <c r="M2580" s="887"/>
      <c r="N2580" s="69">
        <f>+N2544</f>
        <v>485360551</v>
      </c>
      <c r="O2580" s="241" t="s">
        <v>561</v>
      </c>
      <c r="P2580" s="242"/>
    </row>
    <row r="2581" spans="9:16" ht="16.5" thickBot="1">
      <c r="I2581" s="888" t="s">
        <v>104</v>
      </c>
      <c r="J2581" s="889"/>
      <c r="K2581" s="889"/>
      <c r="L2581" s="889"/>
      <c r="M2581" s="890"/>
      <c r="N2581" s="183">
        <f>SUM(N2579:N2580)</f>
        <v>485560551</v>
      </c>
    </row>
    <row r="2582" spans="9:16">
      <c r="I2582" s="61"/>
      <c r="J2582" s="61"/>
      <c r="K2582" s="61"/>
      <c r="L2582" s="61"/>
      <c r="M2582" s="61"/>
    </row>
    <row r="2583" spans="9:16">
      <c r="I2583" s="51" t="s">
        <v>1124</v>
      </c>
    </row>
    <row r="2584" spans="9:16" ht="12.75" customHeight="1">
      <c r="N2584" s="139"/>
    </row>
    <row r="2585" spans="9:16">
      <c r="I2585" s="50" t="s">
        <v>105</v>
      </c>
      <c r="L2585" s="146"/>
      <c r="N2585" s="139"/>
    </row>
    <row r="2586" spans="9:16" ht="13.5" customHeight="1" thickBot="1"/>
    <row r="2587" spans="9:16" ht="15.75" thickBot="1">
      <c r="I2587" s="891" t="s">
        <v>106</v>
      </c>
      <c r="J2587" s="892"/>
      <c r="K2587" s="892"/>
      <c r="L2587" s="893"/>
      <c r="N2587" s="908" t="s">
        <v>1126</v>
      </c>
      <c r="O2587" s="908"/>
      <c r="P2587" s="908"/>
    </row>
    <row r="2588" spans="9:16" ht="30.75" thickBot="1">
      <c r="I2588" s="57" t="s">
        <v>100</v>
      </c>
      <c r="J2588" s="58" t="s">
        <v>108</v>
      </c>
      <c r="K2588" s="287" t="s">
        <v>109</v>
      </c>
      <c r="L2588" s="60" t="s">
        <v>110</v>
      </c>
    </row>
    <row r="2589" spans="9:16">
      <c r="I2589" s="71">
        <v>719</v>
      </c>
      <c r="J2589" s="73">
        <f>+P2577+P2575+P2573+P2571+P2569</f>
        <v>200000</v>
      </c>
      <c r="K2589" s="74">
        <f>+L2552</f>
        <v>43830000</v>
      </c>
      <c r="L2589" s="195">
        <f>+J2589+K2589</f>
        <v>44030000</v>
      </c>
    </row>
    <row r="2590" spans="9:16">
      <c r="I2590" s="72">
        <v>721</v>
      </c>
      <c r="J2590" s="80"/>
      <c r="K2590" s="74">
        <f>+L2553</f>
        <v>104500134</v>
      </c>
      <c r="L2590" s="195">
        <f>+J2590+K2590</f>
        <v>104500134</v>
      </c>
    </row>
    <row r="2591" spans="9:16">
      <c r="I2591" s="72">
        <v>722</v>
      </c>
      <c r="J2591" s="80"/>
      <c r="K2591" s="74">
        <f>+L2554</f>
        <v>44881706</v>
      </c>
      <c r="L2591" s="195">
        <f>+J2591+K2591</f>
        <v>44881706</v>
      </c>
    </row>
    <row r="2592" spans="9:16" ht="15.75">
      <c r="I2592" s="72">
        <v>723</v>
      </c>
      <c r="J2592" s="80"/>
      <c r="K2592" s="74">
        <f>+L2555</f>
        <v>291281211</v>
      </c>
      <c r="L2592" s="195">
        <f>+J2592+K2592</f>
        <v>291281211</v>
      </c>
      <c r="N2592" s="909" t="s">
        <v>1125</v>
      </c>
      <c r="O2592" s="909"/>
      <c r="P2592" s="909"/>
    </row>
    <row r="2593" spans="9:16" ht="16.5" thickBot="1">
      <c r="I2593" s="164" t="s">
        <v>1077</v>
      </c>
      <c r="J2593" s="165"/>
      <c r="K2593" s="74">
        <f>+L2556</f>
        <v>797500</v>
      </c>
      <c r="L2593" s="196">
        <f>+J2593+K2593</f>
        <v>797500</v>
      </c>
      <c r="N2593" s="52"/>
    </row>
    <row r="2594" spans="9:16" ht="16.5" thickBot="1">
      <c r="I2594" s="169"/>
      <c r="J2594" s="197">
        <f>SUM(J2589:J2593)</f>
        <v>200000</v>
      </c>
      <c r="K2594" s="197">
        <f>SUM(K2589:K2593)</f>
        <v>485290551</v>
      </c>
      <c r="L2594" s="198">
        <f>SUM(L2589:L2593)</f>
        <v>485490551</v>
      </c>
    </row>
    <row r="2595" spans="9:16" ht="16.5">
      <c r="I2595" s="49" t="s">
        <v>88</v>
      </c>
      <c r="J2595" s="50"/>
    </row>
    <row r="2596" spans="9:16">
      <c r="I2596" s="51" t="s">
        <v>89</v>
      </c>
    </row>
    <row r="2597" spans="9:16">
      <c r="I2597" s="51" t="s">
        <v>90</v>
      </c>
    </row>
    <row r="2598" spans="9:16">
      <c r="I2598" s="51" t="s">
        <v>91</v>
      </c>
    </row>
    <row r="2599" spans="9:16" ht="12" customHeight="1">
      <c r="I2599" s="50"/>
      <c r="J2599" s="50"/>
    </row>
    <row r="2600" spans="9:16" ht="15.75">
      <c r="I2600" s="260" t="s">
        <v>1085</v>
      </c>
      <c r="O2600" s="52"/>
    </row>
    <row r="2601" spans="9:16" ht="15.75">
      <c r="I2601" s="53" t="s">
        <v>535</v>
      </c>
      <c r="O2601" s="53"/>
    </row>
    <row r="2602" spans="9:16" ht="15" customHeight="1">
      <c r="I2602" s="894" t="s">
        <v>1078</v>
      </c>
      <c r="J2602" s="894"/>
      <c r="K2602" s="894"/>
      <c r="L2602" s="894"/>
      <c r="M2602" s="894"/>
      <c r="N2602" s="894"/>
      <c r="O2602" s="894"/>
      <c r="P2602" s="894"/>
    </row>
    <row r="2603" spans="9:16" ht="13.5" customHeight="1" thickBot="1"/>
    <row r="2604" spans="9:16">
      <c r="I2604" s="895" t="s">
        <v>94</v>
      </c>
      <c r="J2604" s="897" t="s">
        <v>95</v>
      </c>
      <c r="K2604" s="897" t="s">
        <v>96</v>
      </c>
      <c r="L2604" s="897" t="s">
        <v>3</v>
      </c>
      <c r="M2604" s="897" t="s">
        <v>97</v>
      </c>
      <c r="N2604" s="897" t="s">
        <v>98</v>
      </c>
      <c r="O2604" s="897" t="s">
        <v>99</v>
      </c>
      <c r="P2604" s="899"/>
    </row>
    <row r="2605" spans="9:16" ht="15.75" thickBot="1">
      <c r="I2605" s="896"/>
      <c r="J2605" s="898"/>
      <c r="K2605" s="898"/>
      <c r="L2605" s="898"/>
      <c r="M2605" s="898"/>
      <c r="N2605" s="898"/>
      <c r="O2605" s="240" t="s">
        <v>100</v>
      </c>
      <c r="P2605" s="182" t="s">
        <v>101</v>
      </c>
    </row>
    <row r="2606" spans="9:16" ht="12.75" customHeight="1">
      <c r="I2606" s="881">
        <v>276</v>
      </c>
      <c r="J2606" s="875">
        <v>42650</v>
      </c>
      <c r="K2606" s="877" t="s">
        <v>350</v>
      </c>
      <c r="L2606" s="879" t="s">
        <v>1127</v>
      </c>
      <c r="M2606" s="881" t="s">
        <v>148</v>
      </c>
      <c r="N2606" s="883">
        <v>598000</v>
      </c>
      <c r="O2606" s="55">
        <v>719</v>
      </c>
      <c r="P2606" s="78">
        <v>460000</v>
      </c>
    </row>
    <row r="2607" spans="9:16" ht="12" customHeight="1" thickBot="1">
      <c r="I2607" s="882"/>
      <c r="J2607" s="876"/>
      <c r="K2607" s="878"/>
      <c r="L2607" s="880"/>
      <c r="M2607" s="882"/>
      <c r="N2607" s="884"/>
      <c r="O2607" s="56">
        <v>721</v>
      </c>
      <c r="P2607" s="351">
        <f>+N2606-P2606</f>
        <v>138000</v>
      </c>
    </row>
    <row r="2608" spans="9:16" ht="12.75" customHeight="1">
      <c r="I2608" s="881">
        <v>277</v>
      </c>
      <c r="J2608" s="875">
        <v>42650</v>
      </c>
      <c r="K2608" s="877" t="s">
        <v>350</v>
      </c>
      <c r="L2608" s="879" t="s">
        <v>1038</v>
      </c>
      <c r="M2608" s="881" t="s">
        <v>148</v>
      </c>
      <c r="N2608" s="883">
        <v>1521000</v>
      </c>
      <c r="O2608" s="55">
        <v>719</v>
      </c>
      <c r="P2608" s="78">
        <v>1170000</v>
      </c>
    </row>
    <row r="2609" spans="9:16" ht="12" customHeight="1" thickBot="1">
      <c r="I2609" s="882"/>
      <c r="J2609" s="876"/>
      <c r="K2609" s="878"/>
      <c r="L2609" s="880"/>
      <c r="M2609" s="882"/>
      <c r="N2609" s="884"/>
      <c r="O2609" s="56">
        <v>721</v>
      </c>
      <c r="P2609" s="352">
        <f>+N2608-P2608</f>
        <v>351000</v>
      </c>
    </row>
    <row r="2610" spans="9:16" ht="15" customHeight="1">
      <c r="I2610" s="881">
        <v>278</v>
      </c>
      <c r="J2610" s="875">
        <v>42650</v>
      </c>
      <c r="K2610" s="877" t="s">
        <v>350</v>
      </c>
      <c r="L2610" s="879" t="s">
        <v>1122</v>
      </c>
      <c r="M2610" s="881" t="s">
        <v>148</v>
      </c>
      <c r="N2610" s="883">
        <v>923000</v>
      </c>
      <c r="O2610" s="55">
        <v>719</v>
      </c>
      <c r="P2610" s="78">
        <v>710000</v>
      </c>
    </row>
    <row r="2611" spans="9:16" ht="12" customHeight="1" thickBot="1">
      <c r="I2611" s="882"/>
      <c r="J2611" s="876"/>
      <c r="K2611" s="878"/>
      <c r="L2611" s="880"/>
      <c r="M2611" s="882"/>
      <c r="N2611" s="884"/>
      <c r="O2611" s="56">
        <v>721</v>
      </c>
      <c r="P2611" s="352">
        <f>+N2610-P2610</f>
        <v>213000</v>
      </c>
    </row>
    <row r="2612" spans="9:16" ht="15" customHeight="1">
      <c r="I2612" s="881">
        <v>279</v>
      </c>
      <c r="J2612" s="875">
        <v>42650</v>
      </c>
      <c r="K2612" s="877" t="s">
        <v>350</v>
      </c>
      <c r="L2612" s="879" t="s">
        <v>1122</v>
      </c>
      <c r="M2612" s="881" t="s">
        <v>148</v>
      </c>
      <c r="N2612" s="883">
        <v>715000</v>
      </c>
      <c r="O2612" s="55">
        <v>719</v>
      </c>
      <c r="P2612" s="78">
        <v>550000</v>
      </c>
    </row>
    <row r="2613" spans="9:16" ht="13.5" customHeight="1" thickBot="1">
      <c r="I2613" s="882"/>
      <c r="J2613" s="876"/>
      <c r="K2613" s="878"/>
      <c r="L2613" s="880"/>
      <c r="M2613" s="882"/>
      <c r="N2613" s="884"/>
      <c r="O2613" s="56">
        <v>721</v>
      </c>
      <c r="P2613" s="79">
        <f>+N2612-P2612</f>
        <v>165000</v>
      </c>
    </row>
    <row r="2614" spans="9:16" ht="15" customHeight="1">
      <c r="I2614" s="881">
        <v>280</v>
      </c>
      <c r="J2614" s="875">
        <v>42650</v>
      </c>
      <c r="K2614" s="877" t="s">
        <v>350</v>
      </c>
      <c r="L2614" s="879" t="s">
        <v>1122</v>
      </c>
      <c r="M2614" s="881" t="s">
        <v>148</v>
      </c>
      <c r="N2614" s="883">
        <v>879000</v>
      </c>
      <c r="O2614" s="55">
        <v>719</v>
      </c>
      <c r="P2614" s="78">
        <v>720000</v>
      </c>
    </row>
    <row r="2615" spans="9:16" ht="15" customHeight="1" thickBot="1">
      <c r="I2615" s="882"/>
      <c r="J2615" s="876"/>
      <c r="K2615" s="878"/>
      <c r="L2615" s="880"/>
      <c r="M2615" s="882"/>
      <c r="N2615" s="884"/>
      <c r="O2615" s="56">
        <v>721</v>
      </c>
      <c r="P2615" s="79">
        <f>+N2614-P2614</f>
        <v>159000</v>
      </c>
    </row>
    <row r="2616" spans="9:16" ht="12.75" customHeight="1">
      <c r="I2616" s="881">
        <v>281</v>
      </c>
      <c r="J2616" s="875">
        <v>42650</v>
      </c>
      <c r="K2616" s="877" t="s">
        <v>350</v>
      </c>
      <c r="L2616" s="879" t="s">
        <v>1122</v>
      </c>
      <c r="M2616" s="881" t="s">
        <v>148</v>
      </c>
      <c r="N2616" s="883">
        <v>300000</v>
      </c>
      <c r="O2616" s="55">
        <v>719</v>
      </c>
      <c r="P2616" s="78">
        <v>300000</v>
      </c>
    </row>
    <row r="2617" spans="9:16" ht="13.5" customHeight="1" thickBot="1">
      <c r="I2617" s="882"/>
      <c r="J2617" s="876"/>
      <c r="K2617" s="878"/>
      <c r="L2617" s="880"/>
      <c r="M2617" s="882"/>
      <c r="N2617" s="884"/>
      <c r="O2617" s="56">
        <v>723</v>
      </c>
      <c r="P2617" s="79">
        <f>+N2616-P2616</f>
        <v>0</v>
      </c>
    </row>
    <row r="2618" spans="9:16" ht="16.5" thickBot="1">
      <c r="I2618" s="901" t="s">
        <v>102</v>
      </c>
      <c r="J2618" s="902"/>
      <c r="K2618" s="902"/>
      <c r="L2618" s="902"/>
      <c r="M2618" s="903"/>
      <c r="N2618" s="81">
        <f>SUM(N2606:N2617)</f>
        <v>4936000</v>
      </c>
    </row>
    <row r="2619" spans="9:16" ht="16.5" thickBot="1">
      <c r="I2619" s="885" t="s">
        <v>103</v>
      </c>
      <c r="J2619" s="886"/>
      <c r="K2619" s="886"/>
      <c r="L2619" s="886"/>
      <c r="M2619" s="887"/>
      <c r="N2619" s="69">
        <f>+N2581</f>
        <v>485560551</v>
      </c>
      <c r="O2619" s="241" t="s">
        <v>561</v>
      </c>
      <c r="P2619" s="242">
        <v>6648</v>
      </c>
    </row>
    <row r="2620" spans="9:16" ht="16.5" thickBot="1">
      <c r="I2620" s="888" t="s">
        <v>104</v>
      </c>
      <c r="J2620" s="889"/>
      <c r="K2620" s="889"/>
      <c r="L2620" s="889"/>
      <c r="M2620" s="890"/>
      <c r="N2620" s="183">
        <f>SUM(N2618:N2619)</f>
        <v>490496551</v>
      </c>
    </row>
    <row r="2621" spans="9:16" ht="13.5" customHeight="1">
      <c r="I2621" s="61"/>
      <c r="J2621" s="61"/>
      <c r="K2621" s="61"/>
      <c r="L2621" s="61"/>
      <c r="M2621" s="61"/>
    </row>
    <row r="2622" spans="9:16">
      <c r="I2622" s="51" t="s">
        <v>1158</v>
      </c>
    </row>
    <row r="2623" spans="9:16" ht="10.5" customHeight="1">
      <c r="N2623" s="139"/>
    </row>
    <row r="2624" spans="9:16">
      <c r="I2624" s="50" t="s">
        <v>105</v>
      </c>
      <c r="L2624" s="146"/>
      <c r="N2624" s="139"/>
    </row>
    <row r="2625" spans="9:15" ht="10.5" customHeight="1" thickBot="1"/>
    <row r="2626" spans="9:15" ht="15.75" thickBot="1">
      <c r="I2626" s="891" t="s">
        <v>106</v>
      </c>
      <c r="J2626" s="892"/>
      <c r="K2626" s="892"/>
      <c r="L2626" s="893"/>
      <c r="N2626" s="50" t="s">
        <v>288</v>
      </c>
    </row>
    <row r="2627" spans="9:15" ht="30.75" thickBot="1">
      <c r="I2627" s="57" t="s">
        <v>100</v>
      </c>
      <c r="J2627" s="58" t="s">
        <v>108</v>
      </c>
      <c r="K2627" s="287" t="s">
        <v>109</v>
      </c>
      <c r="L2627" s="60" t="s">
        <v>110</v>
      </c>
    </row>
    <row r="2628" spans="9:15">
      <c r="I2628" s="71">
        <v>719</v>
      </c>
      <c r="J2628" s="73">
        <f>+P2606+P2608+P2610+P2612+P2614+P2616</f>
        <v>3910000</v>
      </c>
      <c r="K2628" s="74">
        <f>+L2589</f>
        <v>44030000</v>
      </c>
      <c r="L2628" s="195">
        <f>+J2628+K2628</f>
        <v>47940000</v>
      </c>
    </row>
    <row r="2629" spans="9:15">
      <c r="I2629" s="72">
        <v>721</v>
      </c>
      <c r="J2629" s="80">
        <f>+P2607+P2609+P2611+P2613+P2617+P2615</f>
        <v>1026000</v>
      </c>
      <c r="K2629" s="74">
        <f>+L2590</f>
        <v>104500134</v>
      </c>
      <c r="L2629" s="195">
        <f>+J2629+K2629</f>
        <v>105526134</v>
      </c>
    </row>
    <row r="2630" spans="9:15">
      <c r="I2630" s="72">
        <v>722</v>
      </c>
      <c r="J2630" s="80"/>
      <c r="K2630" s="74">
        <f>+L2591</f>
        <v>44881706</v>
      </c>
      <c r="L2630" s="195">
        <f>+J2630+K2630</f>
        <v>44881706</v>
      </c>
    </row>
    <row r="2631" spans="9:15" ht="15.75">
      <c r="I2631" s="72">
        <v>723</v>
      </c>
      <c r="J2631" s="80"/>
      <c r="K2631" s="74">
        <f>+L2592</f>
        <v>291281211</v>
      </c>
      <c r="L2631" s="195">
        <f>+J2631+K2631</f>
        <v>291281211</v>
      </c>
      <c r="N2631" s="193" t="s">
        <v>289</v>
      </c>
      <c r="O2631" s="175"/>
    </row>
    <row r="2632" spans="9:15" ht="16.5" thickBot="1">
      <c r="I2632" s="164" t="s">
        <v>1077</v>
      </c>
      <c r="J2632" s="165"/>
      <c r="K2632" s="74">
        <f>+L2593</f>
        <v>797500</v>
      </c>
      <c r="L2632" s="196">
        <f>+J2632+K2632</f>
        <v>797500</v>
      </c>
      <c r="N2632" s="52"/>
    </row>
    <row r="2633" spans="9:15" ht="16.5" thickBot="1">
      <c r="I2633" s="169"/>
      <c r="J2633" s="197">
        <f>SUM(J2628:J2632)</f>
        <v>4936000</v>
      </c>
      <c r="K2633" s="197">
        <f>SUM(K2628:K2632)</f>
        <v>485490551</v>
      </c>
      <c r="L2633" s="198">
        <f>SUM(L2628:L2632)</f>
        <v>490426551</v>
      </c>
    </row>
    <row r="2634" spans="9:15" ht="16.5">
      <c r="I2634" s="49" t="s">
        <v>88</v>
      </c>
      <c r="J2634" s="50"/>
    </row>
    <row r="2635" spans="9:15">
      <c r="I2635" s="51" t="s">
        <v>89</v>
      </c>
    </row>
    <row r="2636" spans="9:15">
      <c r="I2636" s="51" t="s">
        <v>90</v>
      </c>
    </row>
    <row r="2637" spans="9:15">
      <c r="I2637" s="51" t="s">
        <v>91</v>
      </c>
    </row>
    <row r="2638" spans="9:15" ht="14.25" customHeight="1">
      <c r="I2638" s="50"/>
      <c r="J2638" s="50"/>
    </row>
    <row r="2639" spans="9:15" ht="15.75">
      <c r="I2639" s="260" t="s">
        <v>1087</v>
      </c>
      <c r="O2639" s="52"/>
    </row>
    <row r="2640" spans="9:15" ht="15.75">
      <c r="I2640" s="53" t="s">
        <v>535</v>
      </c>
      <c r="O2640" s="53"/>
    </row>
    <row r="2641" spans="9:16" ht="16.5">
      <c r="I2641" s="894" t="s">
        <v>1078</v>
      </c>
      <c r="J2641" s="894"/>
      <c r="K2641" s="894"/>
      <c r="L2641" s="894"/>
      <c r="M2641" s="894"/>
      <c r="N2641" s="894"/>
      <c r="O2641" s="894"/>
      <c r="P2641" s="894"/>
    </row>
    <row r="2642" spans="9:16" ht="15.75" thickBot="1"/>
    <row r="2643" spans="9:16">
      <c r="I2643" s="895" t="s">
        <v>94</v>
      </c>
      <c r="J2643" s="897" t="s">
        <v>95</v>
      </c>
      <c r="K2643" s="897" t="s">
        <v>96</v>
      </c>
      <c r="L2643" s="897" t="s">
        <v>3</v>
      </c>
      <c r="M2643" s="897" t="s">
        <v>97</v>
      </c>
      <c r="N2643" s="897" t="s">
        <v>98</v>
      </c>
      <c r="O2643" s="897" t="s">
        <v>99</v>
      </c>
      <c r="P2643" s="899"/>
    </row>
    <row r="2644" spans="9:16" ht="15.75" thickBot="1">
      <c r="I2644" s="896"/>
      <c r="J2644" s="898"/>
      <c r="K2644" s="898"/>
      <c r="L2644" s="898"/>
      <c r="M2644" s="898"/>
      <c r="N2644" s="898"/>
      <c r="O2644" s="240" t="s">
        <v>100</v>
      </c>
      <c r="P2644" s="182" t="s">
        <v>101</v>
      </c>
    </row>
    <row r="2645" spans="9:16" ht="15" customHeight="1">
      <c r="I2645" s="881">
        <v>282</v>
      </c>
      <c r="J2645" s="875">
        <v>42655</v>
      </c>
      <c r="K2645" s="877" t="s">
        <v>267</v>
      </c>
      <c r="L2645" s="879" t="s">
        <v>1129</v>
      </c>
      <c r="M2645" s="881" t="s">
        <v>148</v>
      </c>
      <c r="N2645" s="883">
        <v>26000</v>
      </c>
      <c r="O2645" s="55">
        <v>719</v>
      </c>
      <c r="P2645" s="78">
        <v>20000</v>
      </c>
    </row>
    <row r="2646" spans="9:16" ht="15.75" customHeight="1" thickBot="1">
      <c r="I2646" s="882"/>
      <c r="J2646" s="876"/>
      <c r="K2646" s="878"/>
      <c r="L2646" s="880"/>
      <c r="M2646" s="882"/>
      <c r="N2646" s="884"/>
      <c r="O2646" s="56">
        <v>721</v>
      </c>
      <c r="P2646" s="79">
        <f>+N2645-P2645</f>
        <v>6000</v>
      </c>
    </row>
    <row r="2647" spans="9:16" ht="15" customHeight="1">
      <c r="I2647" s="881">
        <v>283</v>
      </c>
      <c r="J2647" s="875">
        <v>42655</v>
      </c>
      <c r="K2647" s="877" t="s">
        <v>267</v>
      </c>
      <c r="L2647" s="879" t="s">
        <v>1130</v>
      </c>
      <c r="M2647" s="881" t="s">
        <v>148</v>
      </c>
      <c r="N2647" s="883">
        <v>130000</v>
      </c>
      <c r="O2647" s="55">
        <v>719</v>
      </c>
      <c r="P2647" s="78">
        <v>100000</v>
      </c>
    </row>
    <row r="2648" spans="9:16" ht="15.75" customHeight="1" thickBot="1">
      <c r="I2648" s="882"/>
      <c r="J2648" s="876"/>
      <c r="K2648" s="878"/>
      <c r="L2648" s="880"/>
      <c r="M2648" s="882"/>
      <c r="N2648" s="884"/>
      <c r="O2648" s="56">
        <v>721</v>
      </c>
      <c r="P2648" s="79">
        <f>+N2647-P2647</f>
        <v>30000</v>
      </c>
    </row>
    <row r="2649" spans="9:16" ht="15" customHeight="1">
      <c r="I2649" s="881">
        <v>284</v>
      </c>
      <c r="J2649" s="875">
        <v>42655</v>
      </c>
      <c r="K2649" s="877" t="s">
        <v>267</v>
      </c>
      <c r="L2649" s="879" t="s">
        <v>1131</v>
      </c>
      <c r="M2649" s="881" t="s">
        <v>148</v>
      </c>
      <c r="N2649" s="883">
        <v>130000</v>
      </c>
      <c r="O2649" s="55">
        <v>719</v>
      </c>
      <c r="P2649" s="78">
        <v>100000</v>
      </c>
    </row>
    <row r="2650" spans="9:16" ht="15.75" customHeight="1" thickBot="1">
      <c r="I2650" s="882"/>
      <c r="J2650" s="876"/>
      <c r="K2650" s="878"/>
      <c r="L2650" s="880"/>
      <c r="M2650" s="882"/>
      <c r="N2650" s="884"/>
      <c r="O2650" s="56">
        <v>721</v>
      </c>
      <c r="P2650" s="79">
        <f>+N2649-P2649</f>
        <v>30000</v>
      </c>
    </row>
    <row r="2651" spans="9:16" ht="15" customHeight="1">
      <c r="I2651" s="881">
        <v>285</v>
      </c>
      <c r="J2651" s="875">
        <v>42655</v>
      </c>
      <c r="K2651" s="877" t="s">
        <v>267</v>
      </c>
      <c r="L2651" s="879" t="s">
        <v>1132</v>
      </c>
      <c r="M2651" s="881" t="s">
        <v>148</v>
      </c>
      <c r="N2651" s="883">
        <v>30000</v>
      </c>
      <c r="O2651" s="55">
        <v>719</v>
      </c>
      <c r="P2651" s="78">
        <v>30000</v>
      </c>
    </row>
    <row r="2652" spans="9:16" ht="15.75" customHeight="1" thickBot="1">
      <c r="I2652" s="882"/>
      <c r="J2652" s="876"/>
      <c r="K2652" s="878"/>
      <c r="L2652" s="880"/>
      <c r="M2652" s="882"/>
      <c r="N2652" s="884"/>
      <c r="O2652" s="56">
        <v>721</v>
      </c>
      <c r="P2652" s="79">
        <f>+N2651-P2651</f>
        <v>0</v>
      </c>
    </row>
    <row r="2653" spans="9:16" ht="13.5" customHeight="1">
      <c r="I2653" s="881"/>
      <c r="J2653" s="875"/>
      <c r="K2653" s="877"/>
      <c r="L2653" s="879"/>
      <c r="M2653" s="881"/>
      <c r="N2653" s="883"/>
      <c r="O2653" s="55">
        <v>719</v>
      </c>
      <c r="P2653" s="78"/>
    </row>
    <row r="2654" spans="9:16" ht="13.5" customHeight="1" thickBot="1">
      <c r="I2654" s="882"/>
      <c r="J2654" s="876"/>
      <c r="K2654" s="878"/>
      <c r="L2654" s="880"/>
      <c r="M2654" s="882"/>
      <c r="N2654" s="884"/>
      <c r="O2654" s="56">
        <v>723</v>
      </c>
      <c r="P2654" s="79">
        <f>+N2653-P2653</f>
        <v>0</v>
      </c>
    </row>
    <row r="2655" spans="9:16" ht="16.5" thickBot="1">
      <c r="I2655" s="901" t="s">
        <v>102</v>
      </c>
      <c r="J2655" s="902"/>
      <c r="K2655" s="902"/>
      <c r="L2655" s="902"/>
      <c r="M2655" s="903"/>
      <c r="N2655" s="81">
        <f>SUM(N2645:N2654)</f>
        <v>316000</v>
      </c>
    </row>
    <row r="2656" spans="9:16" ht="16.5" thickBot="1">
      <c r="I2656" s="885" t="s">
        <v>103</v>
      </c>
      <c r="J2656" s="886"/>
      <c r="K2656" s="886"/>
      <c r="L2656" s="886"/>
      <c r="M2656" s="887"/>
      <c r="N2656" s="69">
        <f>+N2620</f>
        <v>490496551</v>
      </c>
      <c r="O2656" s="241" t="s">
        <v>561</v>
      </c>
      <c r="P2656" s="242"/>
    </row>
    <row r="2657" spans="9:15" ht="16.5" thickBot="1">
      <c r="I2657" s="888" t="s">
        <v>104</v>
      </c>
      <c r="J2657" s="889"/>
      <c r="K2657" s="889"/>
      <c r="L2657" s="889"/>
      <c r="M2657" s="890"/>
      <c r="N2657" s="183">
        <f>SUM(N2655:N2656)</f>
        <v>490812551</v>
      </c>
    </row>
    <row r="2658" spans="9:15">
      <c r="I2658" s="61"/>
      <c r="J2658" s="61"/>
      <c r="K2658" s="61"/>
      <c r="L2658" s="61"/>
      <c r="M2658" s="61"/>
    </row>
    <row r="2659" spans="9:15">
      <c r="I2659" s="51" t="s">
        <v>1159</v>
      </c>
    </row>
    <row r="2660" spans="9:15" ht="12.75" customHeight="1">
      <c r="N2660" s="139"/>
    </row>
    <row r="2661" spans="9:15">
      <c r="I2661" s="50" t="s">
        <v>105</v>
      </c>
      <c r="L2661" s="146"/>
      <c r="N2661" s="139"/>
    </row>
    <row r="2662" spans="9:15" ht="13.5" customHeight="1" thickBot="1"/>
    <row r="2663" spans="9:15" ht="15.75" thickBot="1">
      <c r="I2663" s="891" t="s">
        <v>106</v>
      </c>
      <c r="J2663" s="892"/>
      <c r="K2663" s="892"/>
      <c r="L2663" s="893"/>
      <c r="N2663" s="50" t="s">
        <v>288</v>
      </c>
    </row>
    <row r="2664" spans="9:15" ht="30.75" thickBot="1">
      <c r="I2664" s="57" t="s">
        <v>100</v>
      </c>
      <c r="J2664" s="58" t="s">
        <v>108</v>
      </c>
      <c r="K2664" s="287" t="s">
        <v>109</v>
      </c>
      <c r="L2664" s="60" t="s">
        <v>110</v>
      </c>
    </row>
    <row r="2665" spans="9:15">
      <c r="I2665" s="71">
        <v>719</v>
      </c>
      <c r="J2665" s="73">
        <f>+P2645+P2647+P2649+P2651</f>
        <v>250000</v>
      </c>
      <c r="K2665" s="74">
        <f>+L2628</f>
        <v>47940000</v>
      </c>
      <c r="L2665" s="195">
        <f>+J2665+K2665</f>
        <v>48190000</v>
      </c>
    </row>
    <row r="2666" spans="9:15">
      <c r="I2666" s="72">
        <v>721</v>
      </c>
      <c r="J2666" s="80">
        <f>+P2646+P2648+P2650+P2652+P2654</f>
        <v>66000</v>
      </c>
      <c r="K2666" s="74">
        <f>+L2629</f>
        <v>105526134</v>
      </c>
      <c r="L2666" s="195">
        <f>+J2666+K2666</f>
        <v>105592134</v>
      </c>
    </row>
    <row r="2667" spans="9:15">
      <c r="I2667" s="72">
        <v>722</v>
      </c>
      <c r="J2667" s="80"/>
      <c r="K2667" s="74">
        <f>+L2630</f>
        <v>44881706</v>
      </c>
      <c r="L2667" s="195">
        <f>+J2667+K2667</f>
        <v>44881706</v>
      </c>
    </row>
    <row r="2668" spans="9:15" ht="15.75">
      <c r="I2668" s="72">
        <v>723</v>
      </c>
      <c r="J2668" s="80"/>
      <c r="K2668" s="74">
        <f>+L2631</f>
        <v>291281211</v>
      </c>
      <c r="L2668" s="195">
        <f>+J2668+K2668</f>
        <v>291281211</v>
      </c>
      <c r="N2668" s="193" t="s">
        <v>289</v>
      </c>
      <c r="O2668" s="175"/>
    </row>
    <row r="2669" spans="9:15" ht="16.5" thickBot="1">
      <c r="I2669" s="164" t="s">
        <v>1077</v>
      </c>
      <c r="J2669" s="165"/>
      <c r="K2669" s="74">
        <f>+L2632</f>
        <v>797500</v>
      </c>
      <c r="L2669" s="196">
        <f>+J2669+K2669</f>
        <v>797500</v>
      </c>
      <c r="N2669" s="52"/>
    </row>
    <row r="2670" spans="9:15" ht="16.5" thickBot="1">
      <c r="I2670" s="169"/>
      <c r="J2670" s="197">
        <f>SUM(J2665:J2669)</f>
        <v>316000</v>
      </c>
      <c r="K2670" s="197">
        <f>SUM(K2665:K2669)</f>
        <v>490426551</v>
      </c>
      <c r="L2670" s="198">
        <f>SUM(L2665:L2669)</f>
        <v>490742551</v>
      </c>
    </row>
    <row r="2671" spans="9:15" ht="16.5">
      <c r="I2671" s="49" t="s">
        <v>88</v>
      </c>
      <c r="J2671" s="50"/>
    </row>
    <row r="2672" spans="9:15">
      <c r="I2672" s="51" t="s">
        <v>89</v>
      </c>
    </row>
    <row r="2673" spans="9:16">
      <c r="I2673" s="51" t="s">
        <v>90</v>
      </c>
    </row>
    <row r="2674" spans="9:16">
      <c r="I2674" s="51" t="s">
        <v>91</v>
      </c>
    </row>
    <row r="2675" spans="9:16" ht="10.5" customHeight="1">
      <c r="I2675" s="50"/>
      <c r="J2675" s="50"/>
    </row>
    <row r="2676" spans="9:16" ht="15.75">
      <c r="I2676" s="260" t="s">
        <v>1157</v>
      </c>
      <c r="O2676" s="52"/>
    </row>
    <row r="2677" spans="9:16" ht="15.75">
      <c r="I2677" s="53" t="s">
        <v>535</v>
      </c>
      <c r="O2677" s="53"/>
    </row>
    <row r="2678" spans="9:16" ht="16.5">
      <c r="I2678" s="894" t="s">
        <v>1078</v>
      </c>
      <c r="J2678" s="894"/>
      <c r="K2678" s="894"/>
      <c r="L2678" s="894"/>
      <c r="M2678" s="894"/>
      <c r="N2678" s="894"/>
      <c r="O2678" s="894"/>
      <c r="P2678" s="894"/>
    </row>
    <row r="2679" spans="9:16" ht="15.75" thickBot="1"/>
    <row r="2680" spans="9:16">
      <c r="I2680" s="895" t="s">
        <v>94</v>
      </c>
      <c r="J2680" s="897" t="s">
        <v>95</v>
      </c>
      <c r="K2680" s="897" t="s">
        <v>96</v>
      </c>
      <c r="L2680" s="897" t="s">
        <v>3</v>
      </c>
      <c r="M2680" s="897" t="s">
        <v>97</v>
      </c>
      <c r="N2680" s="897" t="s">
        <v>98</v>
      </c>
      <c r="O2680" s="897" t="s">
        <v>99</v>
      </c>
      <c r="P2680" s="899"/>
    </row>
    <row r="2681" spans="9:16" ht="15.75" thickBot="1">
      <c r="I2681" s="896"/>
      <c r="J2681" s="898"/>
      <c r="K2681" s="898"/>
      <c r="L2681" s="898"/>
      <c r="M2681" s="898"/>
      <c r="N2681" s="898"/>
      <c r="O2681" s="240" t="s">
        <v>100</v>
      </c>
      <c r="P2681" s="182" t="s">
        <v>101</v>
      </c>
    </row>
    <row r="2682" spans="9:16">
      <c r="I2682" s="881">
        <v>286</v>
      </c>
      <c r="J2682" s="875">
        <v>42655</v>
      </c>
      <c r="K2682" s="877" t="s">
        <v>472</v>
      </c>
      <c r="L2682" s="879" t="s">
        <v>1160</v>
      </c>
      <c r="M2682" s="881" t="s">
        <v>148</v>
      </c>
      <c r="N2682" s="883">
        <v>208000</v>
      </c>
      <c r="O2682" s="55">
        <v>719</v>
      </c>
      <c r="P2682" s="78">
        <v>160000</v>
      </c>
    </row>
    <row r="2683" spans="9:16" ht="15.75" thickBot="1">
      <c r="I2683" s="882"/>
      <c r="J2683" s="876"/>
      <c r="K2683" s="878"/>
      <c r="L2683" s="880"/>
      <c r="M2683" s="882"/>
      <c r="N2683" s="884"/>
      <c r="O2683" s="56">
        <v>721</v>
      </c>
      <c r="P2683" s="79">
        <f>+N2682-P2682</f>
        <v>48000</v>
      </c>
    </row>
    <row r="2684" spans="9:16">
      <c r="I2684" s="881">
        <v>287</v>
      </c>
      <c r="J2684" s="875">
        <v>42655</v>
      </c>
      <c r="K2684" s="877" t="s">
        <v>472</v>
      </c>
      <c r="L2684" s="879" t="s">
        <v>1133</v>
      </c>
      <c r="M2684" s="881" t="s">
        <v>148</v>
      </c>
      <c r="N2684" s="883">
        <v>390000</v>
      </c>
      <c r="O2684" s="55">
        <v>719</v>
      </c>
      <c r="P2684" s="78">
        <v>300000</v>
      </c>
    </row>
    <row r="2685" spans="9:16" ht="15.75" thickBot="1">
      <c r="I2685" s="882"/>
      <c r="J2685" s="876"/>
      <c r="K2685" s="878"/>
      <c r="L2685" s="880"/>
      <c r="M2685" s="882"/>
      <c r="N2685" s="884"/>
      <c r="O2685" s="56">
        <v>721</v>
      </c>
      <c r="P2685" s="79">
        <f>+N2684-P2684</f>
        <v>90000</v>
      </c>
    </row>
    <row r="2686" spans="9:16">
      <c r="I2686" s="881">
        <v>288</v>
      </c>
      <c r="J2686" s="875">
        <v>42655</v>
      </c>
      <c r="K2686" s="877" t="s">
        <v>472</v>
      </c>
      <c r="L2686" s="879" t="s">
        <v>1135</v>
      </c>
      <c r="M2686" s="881" t="s">
        <v>148</v>
      </c>
      <c r="N2686" s="883">
        <v>286000</v>
      </c>
      <c r="O2686" s="55">
        <v>719</v>
      </c>
      <c r="P2686" s="78">
        <v>220000</v>
      </c>
    </row>
    <row r="2687" spans="9:16" ht="15.75" thickBot="1">
      <c r="I2687" s="882"/>
      <c r="J2687" s="876"/>
      <c r="K2687" s="878"/>
      <c r="L2687" s="880"/>
      <c r="M2687" s="882"/>
      <c r="N2687" s="884"/>
      <c r="O2687" s="56">
        <v>721</v>
      </c>
      <c r="P2687" s="79">
        <f>+N2686-P2686</f>
        <v>66000</v>
      </c>
    </row>
    <row r="2688" spans="9:16">
      <c r="I2688" s="881">
        <v>289</v>
      </c>
      <c r="J2688" s="875">
        <v>42655</v>
      </c>
      <c r="K2688" s="877" t="s">
        <v>472</v>
      </c>
      <c r="L2688" s="879" t="s">
        <v>1128</v>
      </c>
      <c r="M2688" s="881" t="s">
        <v>148</v>
      </c>
      <c r="N2688" s="883">
        <v>100000</v>
      </c>
      <c r="O2688" s="55">
        <v>719</v>
      </c>
      <c r="P2688" s="78">
        <v>100000</v>
      </c>
    </row>
    <row r="2689" spans="9:16" ht="15.75" thickBot="1">
      <c r="I2689" s="882"/>
      <c r="J2689" s="876"/>
      <c r="K2689" s="878"/>
      <c r="L2689" s="880"/>
      <c r="M2689" s="882"/>
      <c r="N2689" s="884"/>
      <c r="O2689" s="56">
        <v>721</v>
      </c>
      <c r="P2689" s="79">
        <f>+N2688-P2688</f>
        <v>0</v>
      </c>
    </row>
    <row r="2690" spans="9:16">
      <c r="I2690" s="881"/>
      <c r="J2690" s="875"/>
      <c r="K2690" s="877"/>
      <c r="L2690" s="879"/>
      <c r="M2690" s="881"/>
      <c r="N2690" s="883"/>
      <c r="O2690" s="55">
        <v>719</v>
      </c>
      <c r="P2690" s="78"/>
    </row>
    <row r="2691" spans="9:16" ht="15.75" thickBot="1">
      <c r="I2691" s="882"/>
      <c r="J2691" s="876"/>
      <c r="K2691" s="878"/>
      <c r="L2691" s="880"/>
      <c r="M2691" s="882"/>
      <c r="N2691" s="884"/>
      <c r="O2691" s="56">
        <v>721</v>
      </c>
      <c r="P2691" s="79">
        <f>+N2690-P2690</f>
        <v>0</v>
      </c>
    </row>
    <row r="2692" spans="9:16" ht="16.5" thickBot="1">
      <c r="I2692" s="901" t="s">
        <v>102</v>
      </c>
      <c r="J2692" s="902"/>
      <c r="K2692" s="902"/>
      <c r="L2692" s="902"/>
      <c r="M2692" s="903"/>
      <c r="N2692" s="81">
        <f>SUM(N2682:N2691)</f>
        <v>984000</v>
      </c>
    </row>
    <row r="2693" spans="9:16" ht="16.5" thickBot="1">
      <c r="I2693" s="885" t="s">
        <v>103</v>
      </c>
      <c r="J2693" s="886"/>
      <c r="K2693" s="886"/>
      <c r="L2693" s="886"/>
      <c r="M2693" s="887"/>
      <c r="N2693" s="69">
        <f>+N2657</f>
        <v>490812551</v>
      </c>
      <c r="O2693" s="241" t="s">
        <v>561</v>
      </c>
      <c r="P2693" s="242">
        <f>183+395+650+498</f>
        <v>1726</v>
      </c>
    </row>
    <row r="2694" spans="9:16" ht="16.5" thickBot="1">
      <c r="I2694" s="888" t="s">
        <v>104</v>
      </c>
      <c r="J2694" s="889"/>
      <c r="K2694" s="889"/>
      <c r="L2694" s="889"/>
      <c r="M2694" s="890"/>
      <c r="N2694" s="183">
        <f>SUM(N2692:N2693)</f>
        <v>491796551</v>
      </c>
    </row>
    <row r="2695" spans="9:16">
      <c r="I2695" s="61"/>
      <c r="J2695" s="61"/>
      <c r="K2695" s="61"/>
      <c r="L2695" s="61"/>
      <c r="M2695" s="61"/>
    </row>
    <row r="2696" spans="9:16">
      <c r="I2696" s="51" t="s">
        <v>1161</v>
      </c>
    </row>
    <row r="2697" spans="9:16" ht="12.75" customHeight="1">
      <c r="N2697" s="139"/>
    </row>
    <row r="2698" spans="9:16">
      <c r="I2698" s="50" t="s">
        <v>105</v>
      </c>
      <c r="L2698" s="146"/>
      <c r="N2698" s="139"/>
    </row>
    <row r="2699" spans="9:16" ht="14.25" customHeight="1" thickBot="1"/>
    <row r="2700" spans="9:16" ht="15.75" thickBot="1">
      <c r="I2700" s="891" t="s">
        <v>106</v>
      </c>
      <c r="J2700" s="892"/>
      <c r="K2700" s="892"/>
      <c r="L2700" s="893"/>
      <c r="N2700" s="50" t="s">
        <v>288</v>
      </c>
    </row>
    <row r="2701" spans="9:16" ht="30.75" thickBot="1">
      <c r="I2701" s="57" t="s">
        <v>100</v>
      </c>
      <c r="J2701" s="58" t="s">
        <v>108</v>
      </c>
      <c r="K2701" s="287" t="s">
        <v>109</v>
      </c>
      <c r="L2701" s="60" t="s">
        <v>110</v>
      </c>
    </row>
    <row r="2702" spans="9:16">
      <c r="I2702" s="71">
        <v>719</v>
      </c>
      <c r="J2702" s="73">
        <f>+P2682+P2684+P2686+P2688</f>
        <v>780000</v>
      </c>
      <c r="K2702" s="74">
        <f>+L2665</f>
        <v>48190000</v>
      </c>
      <c r="L2702" s="195">
        <f>+J2702+K2702</f>
        <v>48970000</v>
      </c>
    </row>
    <row r="2703" spans="9:16">
      <c r="I2703" s="72">
        <v>721</v>
      </c>
      <c r="J2703" s="80">
        <f>+P2683+P2685+P2687+P2689+P2691</f>
        <v>204000</v>
      </c>
      <c r="K2703" s="74">
        <f>+L2666</f>
        <v>105592134</v>
      </c>
      <c r="L2703" s="195">
        <f>+J2703+K2703</f>
        <v>105796134</v>
      </c>
    </row>
    <row r="2704" spans="9:16">
      <c r="I2704" s="72">
        <v>722</v>
      </c>
      <c r="J2704" s="80"/>
      <c r="K2704" s="74">
        <f>+L2667</f>
        <v>44881706</v>
      </c>
      <c r="L2704" s="195">
        <f>+J2704+K2704</f>
        <v>44881706</v>
      </c>
    </row>
    <row r="2705" spans="9:16" ht="15.75">
      <c r="I2705" s="72">
        <v>723</v>
      </c>
      <c r="J2705" s="80"/>
      <c r="K2705" s="74">
        <f>+L2668</f>
        <v>291281211</v>
      </c>
      <c r="L2705" s="195">
        <f>+J2705+K2705</f>
        <v>291281211</v>
      </c>
      <c r="N2705" s="193" t="s">
        <v>289</v>
      </c>
      <c r="O2705" s="175"/>
    </row>
    <row r="2706" spans="9:16" ht="16.5" thickBot="1">
      <c r="I2706" s="164" t="s">
        <v>1077</v>
      </c>
      <c r="J2706" s="165"/>
      <c r="K2706" s="74">
        <f>+L2669</f>
        <v>797500</v>
      </c>
      <c r="L2706" s="196">
        <f>+J2706+K2706</f>
        <v>797500</v>
      </c>
      <c r="N2706" s="52"/>
    </row>
    <row r="2707" spans="9:16" ht="16.5" thickBot="1">
      <c r="I2707" s="169"/>
      <c r="J2707" s="197">
        <f>SUM(J2702:J2706)</f>
        <v>984000</v>
      </c>
      <c r="K2707" s="197">
        <f>SUM(K2702:K2706)</f>
        <v>490742551</v>
      </c>
      <c r="L2707" s="198">
        <f>SUM(L2702:L2706)</f>
        <v>491726551</v>
      </c>
    </row>
    <row r="2708" spans="9:16" ht="16.5">
      <c r="I2708" s="49" t="s">
        <v>88</v>
      </c>
      <c r="J2708" s="50"/>
    </row>
    <row r="2709" spans="9:16">
      <c r="I2709" s="51" t="s">
        <v>89</v>
      </c>
    </row>
    <row r="2710" spans="9:16">
      <c r="I2710" s="51" t="s">
        <v>90</v>
      </c>
    </row>
    <row r="2711" spans="9:16">
      <c r="I2711" s="51" t="s">
        <v>91</v>
      </c>
    </row>
    <row r="2712" spans="9:16" ht="11.25" customHeight="1">
      <c r="I2712" s="50"/>
      <c r="J2712" s="50"/>
    </row>
    <row r="2713" spans="9:16" ht="15.75">
      <c r="I2713" s="260" t="s">
        <v>1162</v>
      </c>
      <c r="O2713" s="52"/>
    </row>
    <row r="2714" spans="9:16" ht="15.75">
      <c r="I2714" s="53" t="s">
        <v>535</v>
      </c>
      <c r="O2714" s="53"/>
    </row>
    <row r="2715" spans="9:16" ht="16.5">
      <c r="I2715" s="894" t="s">
        <v>1078</v>
      </c>
      <c r="J2715" s="894"/>
      <c r="K2715" s="894"/>
      <c r="L2715" s="894"/>
      <c r="M2715" s="894"/>
      <c r="N2715" s="894"/>
      <c r="O2715" s="894"/>
      <c r="P2715" s="894"/>
    </row>
    <row r="2716" spans="9:16" ht="13.5" customHeight="1" thickBot="1"/>
    <row r="2717" spans="9:16">
      <c r="I2717" s="895" t="s">
        <v>94</v>
      </c>
      <c r="J2717" s="897" t="s">
        <v>95</v>
      </c>
      <c r="K2717" s="897" t="s">
        <v>96</v>
      </c>
      <c r="L2717" s="897" t="s">
        <v>3</v>
      </c>
      <c r="M2717" s="897" t="s">
        <v>97</v>
      </c>
      <c r="N2717" s="897" t="s">
        <v>98</v>
      </c>
      <c r="O2717" s="897" t="s">
        <v>99</v>
      </c>
      <c r="P2717" s="899"/>
    </row>
    <row r="2718" spans="9:16" ht="15.75" thickBot="1">
      <c r="I2718" s="896"/>
      <c r="J2718" s="898"/>
      <c r="K2718" s="898"/>
      <c r="L2718" s="898"/>
      <c r="M2718" s="898"/>
      <c r="N2718" s="898"/>
      <c r="O2718" s="240" t="s">
        <v>100</v>
      </c>
      <c r="P2718" s="182" t="s">
        <v>101</v>
      </c>
    </row>
    <row r="2719" spans="9:16">
      <c r="I2719" s="881">
        <v>290</v>
      </c>
      <c r="J2719" s="875">
        <v>42655</v>
      </c>
      <c r="K2719" s="877" t="s">
        <v>1139</v>
      </c>
      <c r="L2719" s="879" t="s">
        <v>1146</v>
      </c>
      <c r="M2719" s="881" t="s">
        <v>148</v>
      </c>
      <c r="N2719" s="883">
        <v>52000</v>
      </c>
      <c r="O2719" s="55">
        <v>719</v>
      </c>
      <c r="P2719" s="78">
        <v>40000</v>
      </c>
    </row>
    <row r="2720" spans="9:16" ht="13.5" customHeight="1" thickBot="1">
      <c r="I2720" s="882"/>
      <c r="J2720" s="876"/>
      <c r="K2720" s="878"/>
      <c r="L2720" s="880"/>
      <c r="M2720" s="882"/>
      <c r="N2720" s="884"/>
      <c r="O2720" s="56">
        <v>721</v>
      </c>
      <c r="P2720" s="79">
        <f>+N2719-P2719</f>
        <v>12000</v>
      </c>
    </row>
    <row r="2721" spans="9:16">
      <c r="I2721" s="881">
        <v>291</v>
      </c>
      <c r="J2721" s="875">
        <v>42655</v>
      </c>
      <c r="K2721" s="877" t="s">
        <v>1139</v>
      </c>
      <c r="L2721" s="879" t="s">
        <v>1150</v>
      </c>
      <c r="M2721" s="881" t="s">
        <v>148</v>
      </c>
      <c r="N2721" s="883">
        <v>78000</v>
      </c>
      <c r="O2721" s="55">
        <v>719</v>
      </c>
      <c r="P2721" s="78">
        <v>60000</v>
      </c>
    </row>
    <row r="2722" spans="9:16" ht="15.75" thickBot="1">
      <c r="I2722" s="882"/>
      <c r="J2722" s="876"/>
      <c r="K2722" s="878"/>
      <c r="L2722" s="880"/>
      <c r="M2722" s="882"/>
      <c r="N2722" s="884"/>
      <c r="O2722" s="56">
        <v>721</v>
      </c>
      <c r="P2722" s="79">
        <f>+N2721-P2721</f>
        <v>18000</v>
      </c>
    </row>
    <row r="2723" spans="9:16" ht="14.25" customHeight="1">
      <c r="I2723" s="881">
        <v>292</v>
      </c>
      <c r="J2723" s="875">
        <v>42655</v>
      </c>
      <c r="K2723" s="877" t="s">
        <v>1139</v>
      </c>
      <c r="L2723" s="879" t="s">
        <v>1141</v>
      </c>
      <c r="M2723" s="881" t="s">
        <v>148</v>
      </c>
      <c r="N2723" s="883">
        <v>46000</v>
      </c>
      <c r="O2723" s="55">
        <v>719</v>
      </c>
      <c r="P2723" s="78">
        <v>40000</v>
      </c>
    </row>
    <row r="2724" spans="9:16" ht="14.25" customHeight="1" thickBot="1">
      <c r="I2724" s="882"/>
      <c r="J2724" s="876"/>
      <c r="K2724" s="878"/>
      <c r="L2724" s="880"/>
      <c r="M2724" s="882"/>
      <c r="N2724" s="884"/>
      <c r="O2724" s="56">
        <v>721</v>
      </c>
      <c r="P2724" s="79">
        <f>+N2723-P2723</f>
        <v>6000</v>
      </c>
    </row>
    <row r="2725" spans="9:16">
      <c r="I2725" s="881">
        <v>293</v>
      </c>
      <c r="J2725" s="875">
        <v>42655</v>
      </c>
      <c r="K2725" s="877" t="s">
        <v>31</v>
      </c>
      <c r="L2725" s="879" t="s">
        <v>1155</v>
      </c>
      <c r="M2725" s="881" t="s">
        <v>148</v>
      </c>
      <c r="N2725" s="883">
        <v>1326000</v>
      </c>
      <c r="O2725" s="55">
        <v>719</v>
      </c>
      <c r="P2725" s="78">
        <v>1020000</v>
      </c>
    </row>
    <row r="2726" spans="9:16" ht="15.75" thickBot="1">
      <c r="I2726" s="882"/>
      <c r="J2726" s="876"/>
      <c r="K2726" s="878"/>
      <c r="L2726" s="880"/>
      <c r="M2726" s="882"/>
      <c r="N2726" s="884"/>
      <c r="O2726" s="56">
        <v>721</v>
      </c>
      <c r="P2726" s="79">
        <f>+N2725-P2725</f>
        <v>306000</v>
      </c>
    </row>
    <row r="2727" spans="9:16" ht="13.5" customHeight="1">
      <c r="I2727" s="881"/>
      <c r="J2727" s="875"/>
      <c r="K2727" s="877"/>
      <c r="L2727" s="879"/>
      <c r="M2727" s="881"/>
      <c r="N2727" s="883"/>
      <c r="O2727" s="55">
        <v>719</v>
      </c>
      <c r="P2727" s="78"/>
    </row>
    <row r="2728" spans="9:16" ht="13.5" customHeight="1" thickBot="1">
      <c r="I2728" s="882"/>
      <c r="J2728" s="876"/>
      <c r="K2728" s="878"/>
      <c r="L2728" s="880"/>
      <c r="M2728" s="882"/>
      <c r="N2728" s="884"/>
      <c r="O2728" s="56">
        <v>721</v>
      </c>
      <c r="P2728" s="79">
        <f>+N2727-P2727</f>
        <v>0</v>
      </c>
    </row>
    <row r="2729" spans="9:16" ht="16.5" thickBot="1">
      <c r="I2729" s="901" t="s">
        <v>102</v>
      </c>
      <c r="J2729" s="902"/>
      <c r="K2729" s="902"/>
      <c r="L2729" s="902"/>
      <c r="M2729" s="903"/>
      <c r="N2729" s="81">
        <f>SUM(N2719:N2728)</f>
        <v>1502000</v>
      </c>
    </row>
    <row r="2730" spans="9:16" ht="16.5" thickBot="1">
      <c r="I2730" s="885" t="s">
        <v>103</v>
      </c>
      <c r="J2730" s="886"/>
      <c r="K2730" s="886"/>
      <c r="L2730" s="886"/>
      <c r="M2730" s="887"/>
      <c r="N2730" s="69">
        <f>+N2694</f>
        <v>491796551</v>
      </c>
      <c r="O2730" s="241" t="s">
        <v>561</v>
      </c>
      <c r="P2730" s="242">
        <v>1556</v>
      </c>
    </row>
    <row r="2731" spans="9:16" ht="16.5" thickBot="1">
      <c r="I2731" s="888" t="s">
        <v>104</v>
      </c>
      <c r="J2731" s="889"/>
      <c r="K2731" s="889"/>
      <c r="L2731" s="889"/>
      <c r="M2731" s="890"/>
      <c r="N2731" s="183">
        <f>SUM(N2729:N2730)</f>
        <v>493298551</v>
      </c>
    </row>
    <row r="2732" spans="9:16" ht="12.75" customHeight="1">
      <c r="I2732" s="61"/>
      <c r="J2732" s="61"/>
      <c r="K2732" s="61"/>
      <c r="L2732" s="61"/>
      <c r="M2732" s="61"/>
    </row>
    <row r="2733" spans="9:16">
      <c r="I2733" s="51" t="s">
        <v>1163</v>
      </c>
    </row>
    <row r="2734" spans="9:16" ht="14.25" customHeight="1">
      <c r="N2734" s="139"/>
    </row>
    <row r="2735" spans="9:16">
      <c r="I2735" s="50" t="s">
        <v>105</v>
      </c>
      <c r="L2735" s="146"/>
      <c r="N2735" s="139"/>
    </row>
    <row r="2736" spans="9:16" ht="13.5" customHeight="1" thickBot="1"/>
    <row r="2737" spans="9:16" ht="15.75" thickBot="1">
      <c r="I2737" s="891" t="s">
        <v>106</v>
      </c>
      <c r="J2737" s="892"/>
      <c r="K2737" s="892"/>
      <c r="L2737" s="893"/>
      <c r="N2737" s="50" t="s">
        <v>288</v>
      </c>
    </row>
    <row r="2738" spans="9:16" ht="30.75" thickBot="1">
      <c r="I2738" s="57" t="s">
        <v>100</v>
      </c>
      <c r="J2738" s="58" t="s">
        <v>108</v>
      </c>
      <c r="K2738" s="287" t="s">
        <v>109</v>
      </c>
      <c r="L2738" s="60" t="s">
        <v>110</v>
      </c>
    </row>
    <row r="2739" spans="9:16">
      <c r="I2739" s="71">
        <v>719</v>
      </c>
      <c r="J2739" s="73">
        <f>+P2719+P2721+P2723+P2725</f>
        <v>1160000</v>
      </c>
      <c r="K2739" s="74">
        <f>+L2702</f>
        <v>48970000</v>
      </c>
      <c r="L2739" s="195">
        <f>+J2739+K2739</f>
        <v>50130000</v>
      </c>
    </row>
    <row r="2740" spans="9:16">
      <c r="I2740" s="72">
        <v>721</v>
      </c>
      <c r="J2740" s="80">
        <f>+P2720+P2722+P2724+P2726+P2728</f>
        <v>342000</v>
      </c>
      <c r="K2740" s="74">
        <f>+L2703</f>
        <v>105796134</v>
      </c>
      <c r="L2740" s="195">
        <f>+J2740+K2740</f>
        <v>106138134</v>
      </c>
    </row>
    <row r="2741" spans="9:16">
      <c r="I2741" s="72">
        <v>722</v>
      </c>
      <c r="J2741" s="80"/>
      <c r="K2741" s="74">
        <f>+L2704</f>
        <v>44881706</v>
      </c>
      <c r="L2741" s="195">
        <f>+J2741+K2741</f>
        <v>44881706</v>
      </c>
    </row>
    <row r="2742" spans="9:16" ht="15.75">
      <c r="I2742" s="72">
        <v>723</v>
      </c>
      <c r="J2742" s="80"/>
      <c r="K2742" s="74">
        <f>+L2705</f>
        <v>291281211</v>
      </c>
      <c r="L2742" s="195">
        <f>+J2742+K2742</f>
        <v>291281211</v>
      </c>
      <c r="N2742" s="193" t="s">
        <v>289</v>
      </c>
      <c r="O2742" s="175"/>
    </row>
    <row r="2743" spans="9:16" ht="16.5" thickBot="1">
      <c r="I2743" s="164" t="s">
        <v>1077</v>
      </c>
      <c r="J2743" s="165"/>
      <c r="K2743" s="74">
        <f>+L2706</f>
        <v>797500</v>
      </c>
      <c r="L2743" s="196">
        <f>+J2743+K2743</f>
        <v>797500</v>
      </c>
      <c r="N2743" s="52"/>
    </row>
    <row r="2744" spans="9:16" ht="16.5" thickBot="1">
      <c r="I2744" s="169"/>
      <c r="J2744" s="197">
        <f>SUM(J2739:J2743)</f>
        <v>1502000</v>
      </c>
      <c r="K2744" s="197">
        <f>SUM(K2739:K2743)</f>
        <v>491726551</v>
      </c>
      <c r="L2744" s="198">
        <f>SUM(L2739:L2743)</f>
        <v>493228551</v>
      </c>
    </row>
    <row r="2745" spans="9:16" ht="16.5">
      <c r="I2745" s="49" t="s">
        <v>88</v>
      </c>
      <c r="J2745" s="50"/>
    </row>
    <row r="2746" spans="9:16">
      <c r="I2746" s="51" t="s">
        <v>89</v>
      </c>
    </row>
    <row r="2747" spans="9:16">
      <c r="I2747" s="51" t="s">
        <v>90</v>
      </c>
    </row>
    <row r="2748" spans="9:16">
      <c r="I2748" s="51" t="s">
        <v>91</v>
      </c>
    </row>
    <row r="2749" spans="9:16" ht="11.25" customHeight="1">
      <c r="I2749" s="50"/>
      <c r="J2749" s="50"/>
    </row>
    <row r="2750" spans="9:16" ht="15.75">
      <c r="I2750" s="260" t="s">
        <v>1164</v>
      </c>
      <c r="O2750" s="52"/>
    </row>
    <row r="2751" spans="9:16" ht="15.75">
      <c r="I2751" s="53" t="s">
        <v>535</v>
      </c>
      <c r="O2751" s="53"/>
    </row>
    <row r="2752" spans="9:16" ht="16.5">
      <c r="I2752" s="894" t="s">
        <v>1078</v>
      </c>
      <c r="J2752" s="894"/>
      <c r="K2752" s="894"/>
      <c r="L2752" s="894"/>
      <c r="M2752" s="894"/>
      <c r="N2752" s="894"/>
      <c r="O2752" s="894"/>
      <c r="P2752" s="894"/>
    </row>
    <row r="2753" spans="9:16" ht="15.75" thickBot="1"/>
    <row r="2754" spans="9:16">
      <c r="I2754" s="895" t="s">
        <v>94</v>
      </c>
      <c r="J2754" s="897" t="s">
        <v>95</v>
      </c>
      <c r="K2754" s="897" t="s">
        <v>96</v>
      </c>
      <c r="L2754" s="897" t="s">
        <v>3</v>
      </c>
      <c r="M2754" s="897" t="s">
        <v>97</v>
      </c>
      <c r="N2754" s="897" t="s">
        <v>98</v>
      </c>
      <c r="O2754" s="897" t="s">
        <v>99</v>
      </c>
      <c r="P2754" s="899"/>
    </row>
    <row r="2755" spans="9:16" ht="15.75" thickBot="1">
      <c r="I2755" s="896"/>
      <c r="J2755" s="898"/>
      <c r="K2755" s="898"/>
      <c r="L2755" s="898"/>
      <c r="M2755" s="898"/>
      <c r="N2755" s="898"/>
      <c r="O2755" s="240" t="s">
        <v>100</v>
      </c>
      <c r="P2755" s="182" t="s">
        <v>101</v>
      </c>
    </row>
    <row r="2756" spans="9:16">
      <c r="I2756" s="881">
        <v>294</v>
      </c>
      <c r="J2756" s="875">
        <v>42657</v>
      </c>
      <c r="K2756" s="877" t="s">
        <v>1014</v>
      </c>
      <c r="L2756" s="879" t="s">
        <v>1167</v>
      </c>
      <c r="M2756" s="881" t="s">
        <v>115</v>
      </c>
      <c r="N2756" s="883">
        <v>110000</v>
      </c>
      <c r="O2756" s="55">
        <v>719</v>
      </c>
      <c r="P2756" s="78">
        <v>110000</v>
      </c>
    </row>
    <row r="2757" spans="9:16" ht="15.75" thickBot="1">
      <c r="I2757" s="882"/>
      <c r="J2757" s="876"/>
      <c r="K2757" s="878"/>
      <c r="L2757" s="880"/>
      <c r="M2757" s="882"/>
      <c r="N2757" s="884"/>
      <c r="O2757" s="56">
        <v>721</v>
      </c>
      <c r="P2757" s="79">
        <f>+N2756-P2756</f>
        <v>0</v>
      </c>
    </row>
    <row r="2758" spans="9:16" ht="15" customHeight="1">
      <c r="I2758" s="881">
        <v>295</v>
      </c>
      <c r="J2758" s="875">
        <v>42657</v>
      </c>
      <c r="K2758" s="877" t="s">
        <v>28</v>
      </c>
      <c r="L2758" s="879" t="s">
        <v>1166</v>
      </c>
      <c r="M2758" s="881" t="s">
        <v>115</v>
      </c>
      <c r="N2758" s="883">
        <v>70000</v>
      </c>
      <c r="O2758" s="55">
        <v>719</v>
      </c>
      <c r="P2758" s="78">
        <v>70000</v>
      </c>
    </row>
    <row r="2759" spans="9:16" ht="14.25" customHeight="1" thickBot="1">
      <c r="I2759" s="882"/>
      <c r="J2759" s="876"/>
      <c r="K2759" s="878"/>
      <c r="L2759" s="880"/>
      <c r="M2759" s="882"/>
      <c r="N2759" s="884"/>
      <c r="O2759" s="56">
        <v>721</v>
      </c>
      <c r="P2759" s="79">
        <f>+N2758-P2758</f>
        <v>0</v>
      </c>
    </row>
    <row r="2760" spans="9:16" ht="14.25" customHeight="1">
      <c r="I2760" s="881">
        <v>296</v>
      </c>
      <c r="J2760" s="875">
        <v>42657</v>
      </c>
      <c r="K2760" s="877" t="s">
        <v>120</v>
      </c>
      <c r="L2760" s="879" t="s">
        <v>1165</v>
      </c>
      <c r="M2760" s="881" t="s">
        <v>115</v>
      </c>
      <c r="N2760" s="883">
        <v>200000</v>
      </c>
      <c r="O2760" s="55">
        <v>719</v>
      </c>
      <c r="P2760" s="78">
        <v>200000</v>
      </c>
    </row>
    <row r="2761" spans="9:16" ht="15.75" customHeight="1" thickBot="1">
      <c r="I2761" s="882"/>
      <c r="J2761" s="876"/>
      <c r="K2761" s="878"/>
      <c r="L2761" s="880"/>
      <c r="M2761" s="882"/>
      <c r="N2761" s="884"/>
      <c r="O2761" s="56">
        <v>721</v>
      </c>
      <c r="P2761" s="79">
        <f>+N2760-P2760</f>
        <v>0</v>
      </c>
    </row>
    <row r="2762" spans="9:16">
      <c r="I2762" s="881"/>
      <c r="J2762" s="875"/>
      <c r="K2762" s="877"/>
      <c r="L2762" s="879"/>
      <c r="M2762" s="881"/>
      <c r="N2762" s="883"/>
      <c r="O2762" s="55">
        <v>719</v>
      </c>
      <c r="P2762" s="78">
        <v>0</v>
      </c>
    </row>
    <row r="2763" spans="9:16" ht="13.5" customHeight="1" thickBot="1">
      <c r="I2763" s="882"/>
      <c r="J2763" s="876"/>
      <c r="K2763" s="878"/>
      <c r="L2763" s="880"/>
      <c r="M2763" s="882"/>
      <c r="N2763" s="884"/>
      <c r="O2763" s="56">
        <v>721</v>
      </c>
      <c r="P2763" s="79">
        <f>+N2762-P2762</f>
        <v>0</v>
      </c>
    </row>
    <row r="2764" spans="9:16">
      <c r="I2764" s="881"/>
      <c r="J2764" s="875"/>
      <c r="K2764" s="877"/>
      <c r="L2764" s="879"/>
      <c r="M2764" s="881"/>
      <c r="N2764" s="883"/>
      <c r="O2764" s="55">
        <v>719</v>
      </c>
      <c r="P2764" s="78"/>
    </row>
    <row r="2765" spans="9:16" ht="14.25" customHeight="1" thickBot="1">
      <c r="I2765" s="882"/>
      <c r="J2765" s="876"/>
      <c r="K2765" s="878"/>
      <c r="L2765" s="880"/>
      <c r="M2765" s="882"/>
      <c r="N2765" s="884"/>
      <c r="O2765" s="56">
        <v>721</v>
      </c>
      <c r="P2765" s="79">
        <f>+N2764-P2764</f>
        <v>0</v>
      </c>
    </row>
    <row r="2766" spans="9:16" ht="16.5" thickBot="1">
      <c r="I2766" s="901" t="s">
        <v>102</v>
      </c>
      <c r="J2766" s="902"/>
      <c r="K2766" s="902"/>
      <c r="L2766" s="902"/>
      <c r="M2766" s="903"/>
      <c r="N2766" s="81">
        <f>SUM(N2756:N2765)</f>
        <v>380000</v>
      </c>
    </row>
    <row r="2767" spans="9:16" ht="16.5" thickBot="1">
      <c r="I2767" s="885" t="s">
        <v>103</v>
      </c>
      <c r="J2767" s="886"/>
      <c r="K2767" s="886"/>
      <c r="L2767" s="886"/>
      <c r="M2767" s="887"/>
      <c r="N2767" s="69">
        <f>+N2731</f>
        <v>493298551</v>
      </c>
      <c r="O2767" s="241" t="s">
        <v>561</v>
      </c>
      <c r="P2767" s="242">
        <f>328+189+267</f>
        <v>784</v>
      </c>
    </row>
    <row r="2768" spans="9:16" ht="16.5" thickBot="1">
      <c r="I2768" s="888" t="s">
        <v>104</v>
      </c>
      <c r="J2768" s="889"/>
      <c r="K2768" s="889"/>
      <c r="L2768" s="889"/>
      <c r="M2768" s="890"/>
      <c r="N2768" s="183">
        <f>SUM(N2766:N2767)</f>
        <v>493678551</v>
      </c>
    </row>
    <row r="2769" spans="9:15">
      <c r="I2769" s="61"/>
      <c r="J2769" s="61"/>
      <c r="K2769" s="61"/>
      <c r="L2769" s="61"/>
      <c r="M2769" s="61"/>
    </row>
    <row r="2770" spans="9:15">
      <c r="I2770" s="51" t="s">
        <v>1168</v>
      </c>
    </row>
    <row r="2771" spans="9:15" ht="12.75" customHeight="1">
      <c r="N2771" s="139"/>
    </row>
    <row r="2772" spans="9:15">
      <c r="I2772" s="50" t="s">
        <v>105</v>
      </c>
      <c r="L2772" s="146"/>
      <c r="N2772" s="139"/>
    </row>
    <row r="2773" spans="9:15" ht="13.5" customHeight="1" thickBot="1"/>
    <row r="2774" spans="9:15" ht="15.75" thickBot="1">
      <c r="I2774" s="891" t="s">
        <v>106</v>
      </c>
      <c r="J2774" s="892"/>
      <c r="K2774" s="892"/>
      <c r="L2774" s="893"/>
      <c r="N2774" s="50" t="s">
        <v>288</v>
      </c>
    </row>
    <row r="2775" spans="9:15" ht="30.75" thickBot="1">
      <c r="I2775" s="57" t="s">
        <v>100</v>
      </c>
      <c r="J2775" s="58" t="s">
        <v>108</v>
      </c>
      <c r="K2775" s="287" t="s">
        <v>109</v>
      </c>
      <c r="L2775" s="60" t="s">
        <v>110</v>
      </c>
    </row>
    <row r="2776" spans="9:15">
      <c r="I2776" s="71">
        <v>719</v>
      </c>
      <c r="J2776" s="73">
        <f>+P2756+P2758+P2760+P2762</f>
        <v>380000</v>
      </c>
      <c r="K2776" s="74">
        <f>+L2739</f>
        <v>50130000</v>
      </c>
      <c r="L2776" s="195">
        <f>+J2776+K2776</f>
        <v>50510000</v>
      </c>
    </row>
    <row r="2777" spans="9:15">
      <c r="I2777" s="72">
        <v>721</v>
      </c>
      <c r="J2777" s="80">
        <f>+P2757+P2759+P2761+P2763+P2765</f>
        <v>0</v>
      </c>
      <c r="K2777" s="74">
        <f>+L2740</f>
        <v>106138134</v>
      </c>
      <c r="L2777" s="195">
        <f>+J2777+K2777</f>
        <v>106138134</v>
      </c>
    </row>
    <row r="2778" spans="9:15">
      <c r="I2778" s="72">
        <v>722</v>
      </c>
      <c r="J2778" s="80"/>
      <c r="K2778" s="74">
        <f>+L2741</f>
        <v>44881706</v>
      </c>
      <c r="L2778" s="195">
        <f>+J2778+K2778</f>
        <v>44881706</v>
      </c>
    </row>
    <row r="2779" spans="9:15" ht="15.75">
      <c r="I2779" s="72">
        <v>723</v>
      </c>
      <c r="J2779" s="80"/>
      <c r="K2779" s="74">
        <f>+L2742</f>
        <v>291281211</v>
      </c>
      <c r="L2779" s="195">
        <f>+J2779+K2779</f>
        <v>291281211</v>
      </c>
      <c r="N2779" s="193" t="s">
        <v>289</v>
      </c>
      <c r="O2779" s="175"/>
    </row>
    <row r="2780" spans="9:15" ht="16.5" thickBot="1">
      <c r="I2780" s="164" t="s">
        <v>1077</v>
      </c>
      <c r="J2780" s="165"/>
      <c r="K2780" s="74">
        <f>+L2743</f>
        <v>797500</v>
      </c>
      <c r="L2780" s="196">
        <f>+J2780+K2780</f>
        <v>797500</v>
      </c>
      <c r="N2780" s="52"/>
    </row>
    <row r="2781" spans="9:15" ht="16.5" thickBot="1">
      <c r="I2781" s="169"/>
      <c r="J2781" s="197">
        <f>SUM(J2776:J2780)</f>
        <v>380000</v>
      </c>
      <c r="K2781" s="197">
        <f>SUM(K2776:K2780)</f>
        <v>493228551</v>
      </c>
      <c r="L2781" s="198">
        <f>SUM(L2776:L2780)</f>
        <v>493608551</v>
      </c>
    </row>
    <row r="2782" spans="9:15" ht="16.5">
      <c r="I2782" s="49" t="s">
        <v>88</v>
      </c>
      <c r="J2782" s="50"/>
    </row>
    <row r="2783" spans="9:15">
      <c r="I2783" s="51" t="s">
        <v>89</v>
      </c>
    </row>
    <row r="2784" spans="9:15">
      <c r="I2784" s="51" t="s">
        <v>90</v>
      </c>
    </row>
    <row r="2785" spans="9:16">
      <c r="I2785" s="51" t="s">
        <v>91</v>
      </c>
    </row>
    <row r="2786" spans="9:16" ht="10.5" customHeight="1">
      <c r="I2786" s="50"/>
      <c r="J2786" s="50"/>
    </row>
    <row r="2787" spans="9:16" ht="15.75">
      <c r="I2787" s="260" t="s">
        <v>1169</v>
      </c>
      <c r="O2787" s="52"/>
    </row>
    <row r="2788" spans="9:16" ht="15.75">
      <c r="I2788" s="53" t="s">
        <v>535</v>
      </c>
      <c r="O2788" s="53"/>
    </row>
    <row r="2789" spans="9:16" ht="16.5">
      <c r="I2789" s="894" t="s">
        <v>1205</v>
      </c>
      <c r="J2789" s="894"/>
      <c r="K2789" s="894"/>
      <c r="L2789" s="894"/>
      <c r="M2789" s="894"/>
      <c r="N2789" s="894"/>
      <c r="O2789" s="894"/>
      <c r="P2789" s="894"/>
    </row>
    <row r="2790" spans="9:16" ht="15.75" thickBot="1"/>
    <row r="2791" spans="9:16">
      <c r="I2791" s="895" t="s">
        <v>94</v>
      </c>
      <c r="J2791" s="897" t="s">
        <v>95</v>
      </c>
      <c r="K2791" s="897" t="s">
        <v>96</v>
      </c>
      <c r="L2791" s="897" t="s">
        <v>3</v>
      </c>
      <c r="M2791" s="897" t="s">
        <v>97</v>
      </c>
      <c r="N2791" s="897" t="s">
        <v>98</v>
      </c>
      <c r="O2791" s="897" t="s">
        <v>99</v>
      </c>
      <c r="P2791" s="899"/>
    </row>
    <row r="2792" spans="9:16" ht="15.75" thickBot="1">
      <c r="I2792" s="896"/>
      <c r="J2792" s="898"/>
      <c r="K2792" s="898"/>
      <c r="L2792" s="898"/>
      <c r="M2792" s="898"/>
      <c r="N2792" s="898"/>
      <c r="O2792" s="240" t="s">
        <v>100</v>
      </c>
      <c r="P2792" s="182" t="s">
        <v>101</v>
      </c>
    </row>
    <row r="2793" spans="9:16" ht="14.25" customHeight="1">
      <c r="I2793" s="881">
        <v>297</v>
      </c>
      <c r="J2793" s="875">
        <v>42660</v>
      </c>
      <c r="K2793" s="877" t="s">
        <v>350</v>
      </c>
      <c r="L2793" s="879" t="s">
        <v>921</v>
      </c>
      <c r="M2793" s="881" t="s">
        <v>148</v>
      </c>
      <c r="N2793" s="883">
        <v>260000</v>
      </c>
      <c r="O2793" s="55">
        <v>722</v>
      </c>
      <c r="P2793" s="78">
        <v>260000</v>
      </c>
    </row>
    <row r="2794" spans="9:16" ht="14.25" customHeight="1" thickBot="1">
      <c r="I2794" s="882"/>
      <c r="J2794" s="876"/>
      <c r="K2794" s="878"/>
      <c r="L2794" s="880"/>
      <c r="M2794" s="882"/>
      <c r="N2794" s="884"/>
      <c r="O2794" s="56">
        <v>721</v>
      </c>
      <c r="P2794" s="351">
        <f>+N2793-P2793</f>
        <v>0</v>
      </c>
    </row>
    <row r="2795" spans="9:16" ht="14.25" customHeight="1">
      <c r="I2795" s="881">
        <v>298</v>
      </c>
      <c r="J2795" s="875">
        <v>42660</v>
      </c>
      <c r="K2795" s="877" t="s">
        <v>1091</v>
      </c>
      <c r="L2795" s="879" t="s">
        <v>921</v>
      </c>
      <c r="M2795" s="881" t="s">
        <v>148</v>
      </c>
      <c r="N2795" s="883">
        <v>600000</v>
      </c>
      <c r="O2795" s="55">
        <v>722</v>
      </c>
      <c r="P2795" s="78">
        <v>600000</v>
      </c>
    </row>
    <row r="2796" spans="9:16" ht="13.5" customHeight="1" thickBot="1">
      <c r="I2796" s="882"/>
      <c r="J2796" s="876"/>
      <c r="K2796" s="878"/>
      <c r="L2796" s="880"/>
      <c r="M2796" s="882"/>
      <c r="N2796" s="884"/>
      <c r="O2796" s="56">
        <v>721</v>
      </c>
      <c r="P2796" s="352">
        <f>+N2795-P2795</f>
        <v>0</v>
      </c>
    </row>
    <row r="2797" spans="9:16" ht="15" customHeight="1">
      <c r="I2797" s="881">
        <v>299</v>
      </c>
      <c r="J2797" s="875">
        <v>42660</v>
      </c>
      <c r="K2797" s="877" t="s">
        <v>120</v>
      </c>
      <c r="L2797" s="879" t="s">
        <v>921</v>
      </c>
      <c r="M2797" s="881" t="s">
        <v>148</v>
      </c>
      <c r="N2797" s="883">
        <v>560000</v>
      </c>
      <c r="O2797" s="55">
        <v>722</v>
      </c>
      <c r="P2797" s="78">
        <v>560000</v>
      </c>
    </row>
    <row r="2798" spans="9:16" ht="13.5" customHeight="1" thickBot="1">
      <c r="I2798" s="882"/>
      <c r="J2798" s="876"/>
      <c r="K2798" s="878"/>
      <c r="L2798" s="880"/>
      <c r="M2798" s="882"/>
      <c r="N2798" s="884"/>
      <c r="O2798" s="56">
        <v>721</v>
      </c>
      <c r="P2798" s="352">
        <f>+N2797-P2797</f>
        <v>0</v>
      </c>
    </row>
    <row r="2799" spans="9:16" ht="15" customHeight="1">
      <c r="I2799" s="881">
        <v>300</v>
      </c>
      <c r="J2799" s="875">
        <v>42660</v>
      </c>
      <c r="K2799" s="877" t="s">
        <v>1171</v>
      </c>
      <c r="L2799" s="879" t="s">
        <v>921</v>
      </c>
      <c r="M2799" s="881" t="s">
        <v>148</v>
      </c>
      <c r="N2799" s="883">
        <v>1000000</v>
      </c>
      <c r="O2799" s="55">
        <v>722</v>
      </c>
      <c r="P2799" s="78">
        <v>1000000</v>
      </c>
    </row>
    <row r="2800" spans="9:16" ht="13.5" customHeight="1" thickBot="1">
      <c r="I2800" s="882"/>
      <c r="J2800" s="876"/>
      <c r="K2800" s="878"/>
      <c r="L2800" s="880"/>
      <c r="M2800" s="882"/>
      <c r="N2800" s="884"/>
      <c r="O2800" s="56">
        <v>721</v>
      </c>
      <c r="P2800" s="79">
        <f>+N2799-P2799</f>
        <v>0</v>
      </c>
    </row>
    <row r="2801" spans="9:16" ht="15" customHeight="1">
      <c r="I2801" s="881">
        <v>301</v>
      </c>
      <c r="J2801" s="875">
        <v>42660</v>
      </c>
      <c r="K2801" s="877" t="s">
        <v>40</v>
      </c>
      <c r="L2801" s="879" t="s">
        <v>921</v>
      </c>
      <c r="M2801" s="881" t="s">
        <v>148</v>
      </c>
      <c r="N2801" s="883">
        <v>200000</v>
      </c>
      <c r="O2801" s="55">
        <v>722</v>
      </c>
      <c r="P2801" s="78">
        <v>200000</v>
      </c>
    </row>
    <row r="2802" spans="9:16" ht="13.5" customHeight="1" thickBot="1">
      <c r="I2802" s="882"/>
      <c r="J2802" s="876"/>
      <c r="K2802" s="878"/>
      <c r="L2802" s="880"/>
      <c r="M2802" s="882"/>
      <c r="N2802" s="884"/>
      <c r="O2802" s="56">
        <v>721</v>
      </c>
      <c r="P2802" s="79">
        <f>+N2801-P2801</f>
        <v>0</v>
      </c>
    </row>
    <row r="2803" spans="9:16" ht="15" customHeight="1">
      <c r="I2803" s="881">
        <v>302</v>
      </c>
      <c r="J2803" s="875">
        <v>42660</v>
      </c>
      <c r="K2803" s="877" t="s">
        <v>1172</v>
      </c>
      <c r="L2803" s="879" t="s">
        <v>921</v>
      </c>
      <c r="M2803" s="881" t="s">
        <v>148</v>
      </c>
      <c r="N2803" s="883">
        <v>220000</v>
      </c>
      <c r="O2803" s="55">
        <v>722</v>
      </c>
      <c r="P2803" s="78">
        <v>220000</v>
      </c>
    </row>
    <row r="2804" spans="9:16" ht="13.5" customHeight="1" thickBot="1">
      <c r="I2804" s="882"/>
      <c r="J2804" s="876"/>
      <c r="K2804" s="878"/>
      <c r="L2804" s="880"/>
      <c r="M2804" s="882"/>
      <c r="N2804" s="884"/>
      <c r="O2804" s="56">
        <v>721</v>
      </c>
      <c r="P2804" s="79">
        <f>+N2803-P2803</f>
        <v>0</v>
      </c>
    </row>
    <row r="2805" spans="9:16" ht="15" customHeight="1" thickBot="1">
      <c r="I2805" s="901" t="s">
        <v>102</v>
      </c>
      <c r="J2805" s="902"/>
      <c r="K2805" s="902"/>
      <c r="L2805" s="902"/>
      <c r="M2805" s="903"/>
      <c r="N2805" s="81">
        <f>SUM(N2793:N2804)</f>
        <v>2840000</v>
      </c>
    </row>
    <row r="2806" spans="9:16" ht="16.5" thickBot="1">
      <c r="I2806" s="885" t="s">
        <v>103</v>
      </c>
      <c r="J2806" s="886"/>
      <c r="K2806" s="886"/>
      <c r="L2806" s="886"/>
      <c r="M2806" s="887"/>
      <c r="N2806" s="69">
        <f>+N2768</f>
        <v>493678551</v>
      </c>
      <c r="O2806" s="241" t="s">
        <v>561</v>
      </c>
      <c r="P2806" s="242"/>
    </row>
    <row r="2807" spans="9:16" ht="16.5" thickBot="1">
      <c r="I2807" s="888" t="s">
        <v>104</v>
      </c>
      <c r="J2807" s="889"/>
      <c r="K2807" s="889"/>
      <c r="L2807" s="889"/>
      <c r="M2807" s="890"/>
      <c r="N2807" s="183">
        <f>SUM(N2805:N2806)</f>
        <v>496518551</v>
      </c>
    </row>
    <row r="2808" spans="9:16" ht="12.75" customHeight="1">
      <c r="I2808" s="61"/>
      <c r="J2808" s="61"/>
      <c r="K2808" s="61"/>
      <c r="L2808" s="61"/>
      <c r="M2808" s="61"/>
    </row>
    <row r="2809" spans="9:16">
      <c r="I2809" s="51" t="s">
        <v>1173</v>
      </c>
    </row>
    <row r="2810" spans="9:16" ht="10.5" customHeight="1">
      <c r="N2810" s="139"/>
    </row>
    <row r="2811" spans="9:16">
      <c r="I2811" s="50" t="s">
        <v>105</v>
      </c>
      <c r="L2811" s="146"/>
      <c r="N2811" s="139"/>
    </row>
    <row r="2812" spans="9:16" ht="9" customHeight="1" thickBot="1"/>
    <row r="2813" spans="9:16" ht="15.75" thickBot="1">
      <c r="I2813" s="891" t="s">
        <v>106</v>
      </c>
      <c r="J2813" s="892"/>
      <c r="K2813" s="892"/>
      <c r="L2813" s="893"/>
      <c r="N2813" s="50" t="s">
        <v>288</v>
      </c>
    </row>
    <row r="2814" spans="9:16" ht="29.25" customHeight="1" thickBot="1">
      <c r="I2814" s="57" t="s">
        <v>100</v>
      </c>
      <c r="J2814" s="58" t="s">
        <v>108</v>
      </c>
      <c r="K2814" s="287" t="s">
        <v>109</v>
      </c>
      <c r="L2814" s="60" t="s">
        <v>110</v>
      </c>
    </row>
    <row r="2815" spans="9:16" ht="14.25" customHeight="1">
      <c r="I2815" s="71">
        <v>719</v>
      </c>
      <c r="J2815" s="73"/>
      <c r="K2815" s="74">
        <f>+L2776</f>
        <v>50510000</v>
      </c>
      <c r="L2815" s="195">
        <f>+J2815+K2815</f>
        <v>50510000</v>
      </c>
    </row>
    <row r="2816" spans="9:16">
      <c r="I2816" s="72">
        <v>721</v>
      </c>
      <c r="J2816" s="80">
        <f>+P2794+P2796+P2798+P2800+P2804+P2802</f>
        <v>0</v>
      </c>
      <c r="K2816" s="74">
        <f>+L2777</f>
        <v>106138134</v>
      </c>
      <c r="L2816" s="195">
        <f>+J2816+K2816</f>
        <v>106138134</v>
      </c>
    </row>
    <row r="2817" spans="9:16">
      <c r="I2817" s="72">
        <v>722</v>
      </c>
      <c r="J2817" s="80">
        <f>+P2793+P2795+P2797+P2799+P2801+P2803</f>
        <v>2840000</v>
      </c>
      <c r="K2817" s="74">
        <f>+L2778</f>
        <v>44881706</v>
      </c>
      <c r="L2817" s="195">
        <f>+J2817+K2817</f>
        <v>47721706</v>
      </c>
    </row>
    <row r="2818" spans="9:16" ht="15" customHeight="1">
      <c r="I2818" s="72">
        <v>723</v>
      </c>
      <c r="J2818" s="80"/>
      <c r="K2818" s="74">
        <f>+L2779</f>
        <v>291281211</v>
      </c>
      <c r="L2818" s="195">
        <f>+J2818+K2818</f>
        <v>291281211</v>
      </c>
      <c r="N2818" s="193" t="s">
        <v>289</v>
      </c>
      <c r="O2818" s="175"/>
    </row>
    <row r="2819" spans="9:16" ht="14.25" customHeight="1" thickBot="1">
      <c r="I2819" s="164" t="s">
        <v>1077</v>
      </c>
      <c r="J2819" s="165"/>
      <c r="K2819" s="74">
        <f>+L2780</f>
        <v>797500</v>
      </c>
      <c r="L2819" s="196">
        <f>+J2819+K2819</f>
        <v>797500</v>
      </c>
      <c r="N2819" s="52"/>
    </row>
    <row r="2820" spans="9:16" ht="16.5" thickBot="1">
      <c r="I2820" s="169"/>
      <c r="J2820" s="197">
        <f>SUM(J2815:J2819)</f>
        <v>2840000</v>
      </c>
      <c r="K2820" s="197">
        <f>SUM(K2815:K2819)</f>
        <v>493608551</v>
      </c>
      <c r="L2820" s="198">
        <f>SUM(L2815:L2819)</f>
        <v>496448551</v>
      </c>
    </row>
    <row r="2821" spans="9:16" ht="16.5">
      <c r="I2821" s="49" t="s">
        <v>88</v>
      </c>
      <c r="J2821" s="50"/>
    </row>
    <row r="2822" spans="9:16">
      <c r="I2822" s="51" t="s">
        <v>89</v>
      </c>
    </row>
    <row r="2823" spans="9:16">
      <c r="I2823" s="51" t="s">
        <v>90</v>
      </c>
    </row>
    <row r="2824" spans="9:16">
      <c r="I2824" s="51" t="s">
        <v>91</v>
      </c>
    </row>
    <row r="2825" spans="9:16" ht="10.5" customHeight="1">
      <c r="I2825" s="50"/>
      <c r="J2825" s="50"/>
    </row>
    <row r="2826" spans="9:16" ht="15.75">
      <c r="I2826" s="260" t="s">
        <v>1170</v>
      </c>
      <c r="O2826" s="52"/>
    </row>
    <row r="2827" spans="9:16" ht="15.75">
      <c r="I2827" s="53" t="s">
        <v>535</v>
      </c>
      <c r="O2827" s="53"/>
    </row>
    <row r="2828" spans="9:16" ht="16.5">
      <c r="I2828" s="894" t="s">
        <v>1205</v>
      </c>
      <c r="J2828" s="894"/>
      <c r="K2828" s="894"/>
      <c r="L2828" s="894"/>
      <c r="M2828" s="894"/>
      <c r="N2828" s="894"/>
      <c r="O2828" s="894"/>
      <c r="P2828" s="894"/>
    </row>
    <row r="2829" spans="9:16" ht="12.75" customHeight="1" thickBot="1"/>
    <row r="2830" spans="9:16">
      <c r="I2830" s="895" t="s">
        <v>94</v>
      </c>
      <c r="J2830" s="897" t="s">
        <v>95</v>
      </c>
      <c r="K2830" s="897" t="s">
        <v>96</v>
      </c>
      <c r="L2830" s="897" t="s">
        <v>3</v>
      </c>
      <c r="M2830" s="897" t="s">
        <v>97</v>
      </c>
      <c r="N2830" s="897" t="s">
        <v>98</v>
      </c>
      <c r="O2830" s="897" t="s">
        <v>99</v>
      </c>
      <c r="P2830" s="899"/>
    </row>
    <row r="2831" spans="9:16" ht="15.75" thickBot="1">
      <c r="I2831" s="896"/>
      <c r="J2831" s="898"/>
      <c r="K2831" s="898"/>
      <c r="L2831" s="898"/>
      <c r="M2831" s="898"/>
      <c r="N2831" s="898"/>
      <c r="O2831" s="240" t="s">
        <v>100</v>
      </c>
      <c r="P2831" s="182" t="s">
        <v>101</v>
      </c>
    </row>
    <row r="2832" spans="9:16" ht="14.25" customHeight="1">
      <c r="I2832" s="881">
        <v>303</v>
      </c>
      <c r="J2832" s="875">
        <v>42660</v>
      </c>
      <c r="K2832" s="877" t="s">
        <v>1174</v>
      </c>
      <c r="L2832" s="879" t="s">
        <v>921</v>
      </c>
      <c r="M2832" s="881" t="s">
        <v>148</v>
      </c>
      <c r="N2832" s="883">
        <v>180000</v>
      </c>
      <c r="O2832" s="55">
        <v>722</v>
      </c>
      <c r="P2832" s="78">
        <v>180000</v>
      </c>
    </row>
    <row r="2833" spans="9:16" ht="12.75" customHeight="1" thickBot="1">
      <c r="I2833" s="882"/>
      <c r="J2833" s="876"/>
      <c r="K2833" s="878"/>
      <c r="L2833" s="880"/>
      <c r="M2833" s="882"/>
      <c r="N2833" s="884"/>
      <c r="O2833" s="56">
        <v>721</v>
      </c>
      <c r="P2833" s="351">
        <f>+N2832-P2832</f>
        <v>0</v>
      </c>
    </row>
    <row r="2834" spans="9:16">
      <c r="I2834" s="881">
        <v>304</v>
      </c>
      <c r="J2834" s="875">
        <v>42660</v>
      </c>
      <c r="K2834" s="877" t="s">
        <v>1175</v>
      </c>
      <c r="L2834" s="879" t="s">
        <v>921</v>
      </c>
      <c r="M2834" s="881" t="s">
        <v>148</v>
      </c>
      <c r="N2834" s="883">
        <v>160000</v>
      </c>
      <c r="O2834" s="55">
        <v>722</v>
      </c>
      <c r="P2834" s="78">
        <v>160000</v>
      </c>
    </row>
    <row r="2835" spans="9:16" ht="13.5" customHeight="1" thickBot="1">
      <c r="I2835" s="882"/>
      <c r="J2835" s="876"/>
      <c r="K2835" s="878"/>
      <c r="L2835" s="880"/>
      <c r="M2835" s="882"/>
      <c r="N2835" s="884"/>
      <c r="O2835" s="56">
        <v>721</v>
      </c>
      <c r="P2835" s="352">
        <f>+N2834-P2834</f>
        <v>0</v>
      </c>
    </row>
    <row r="2836" spans="9:16" ht="13.5" customHeight="1">
      <c r="I2836" s="881">
        <v>305</v>
      </c>
      <c r="J2836" s="875">
        <v>42660</v>
      </c>
      <c r="K2836" s="877" t="s">
        <v>1177</v>
      </c>
      <c r="L2836" s="879" t="s">
        <v>921</v>
      </c>
      <c r="M2836" s="881" t="s">
        <v>148</v>
      </c>
      <c r="N2836" s="883">
        <v>220000</v>
      </c>
      <c r="O2836" s="55">
        <v>722</v>
      </c>
      <c r="P2836" s="78">
        <v>220000</v>
      </c>
    </row>
    <row r="2837" spans="9:16" ht="12.75" customHeight="1" thickBot="1">
      <c r="I2837" s="882"/>
      <c r="J2837" s="876"/>
      <c r="K2837" s="878"/>
      <c r="L2837" s="880"/>
      <c r="M2837" s="882"/>
      <c r="N2837" s="884"/>
      <c r="O2837" s="56">
        <v>721</v>
      </c>
      <c r="P2837" s="352">
        <f>+N2836-P2836</f>
        <v>0</v>
      </c>
    </row>
    <row r="2838" spans="9:16">
      <c r="I2838" s="881">
        <v>306</v>
      </c>
      <c r="J2838" s="875">
        <v>42660</v>
      </c>
      <c r="K2838" s="877" t="s">
        <v>1176</v>
      </c>
      <c r="L2838" s="879" t="s">
        <v>921</v>
      </c>
      <c r="M2838" s="881" t="s">
        <v>148</v>
      </c>
      <c r="N2838" s="883">
        <v>40000</v>
      </c>
      <c r="O2838" s="55">
        <v>722</v>
      </c>
      <c r="P2838" s="78">
        <v>40000</v>
      </c>
    </row>
    <row r="2839" spans="9:16" ht="12" customHeight="1" thickBot="1">
      <c r="I2839" s="882"/>
      <c r="J2839" s="876"/>
      <c r="K2839" s="878"/>
      <c r="L2839" s="880"/>
      <c r="M2839" s="882"/>
      <c r="N2839" s="884"/>
      <c r="O2839" s="56">
        <v>721</v>
      </c>
      <c r="P2839" s="79">
        <f>+N2838-P2838</f>
        <v>0</v>
      </c>
    </row>
    <row r="2840" spans="9:16">
      <c r="I2840" s="881">
        <v>307</v>
      </c>
      <c r="J2840" s="875">
        <v>42660</v>
      </c>
      <c r="K2840" s="877" t="s">
        <v>738</v>
      </c>
      <c r="L2840" s="879" t="s">
        <v>921</v>
      </c>
      <c r="M2840" s="881" t="s">
        <v>148</v>
      </c>
      <c r="N2840" s="883">
        <v>20000</v>
      </c>
      <c r="O2840" s="55">
        <v>722</v>
      </c>
      <c r="P2840" s="78">
        <v>20000</v>
      </c>
    </row>
    <row r="2841" spans="9:16" ht="14.25" customHeight="1" thickBot="1">
      <c r="I2841" s="882"/>
      <c r="J2841" s="876"/>
      <c r="K2841" s="878"/>
      <c r="L2841" s="880"/>
      <c r="M2841" s="882"/>
      <c r="N2841" s="884"/>
      <c r="O2841" s="56">
        <v>721</v>
      </c>
      <c r="P2841" s="79">
        <f>+N2840-P2840</f>
        <v>0</v>
      </c>
    </row>
    <row r="2842" spans="9:16" ht="14.25" customHeight="1">
      <c r="I2842" s="881">
        <v>308</v>
      </c>
      <c r="J2842" s="875">
        <v>42660</v>
      </c>
      <c r="K2842" s="877" t="s">
        <v>1178</v>
      </c>
      <c r="L2842" s="879" t="s">
        <v>921</v>
      </c>
      <c r="M2842" s="881" t="s">
        <v>148</v>
      </c>
      <c r="N2842" s="883">
        <v>120000</v>
      </c>
      <c r="O2842" s="55">
        <v>722</v>
      </c>
      <c r="P2842" s="78">
        <v>120000</v>
      </c>
    </row>
    <row r="2843" spans="9:16" ht="13.5" customHeight="1" thickBot="1">
      <c r="I2843" s="882"/>
      <c r="J2843" s="876"/>
      <c r="K2843" s="878"/>
      <c r="L2843" s="880"/>
      <c r="M2843" s="882"/>
      <c r="N2843" s="884"/>
      <c r="O2843" s="56">
        <v>721</v>
      </c>
      <c r="P2843" s="79">
        <f>+N2842-P2842</f>
        <v>0</v>
      </c>
    </row>
    <row r="2844" spans="9:16" ht="16.5" thickBot="1">
      <c r="I2844" s="901" t="s">
        <v>102</v>
      </c>
      <c r="J2844" s="902"/>
      <c r="K2844" s="902"/>
      <c r="L2844" s="902"/>
      <c r="M2844" s="903"/>
      <c r="N2844" s="81">
        <f>SUM(N2832:N2843)</f>
        <v>740000</v>
      </c>
    </row>
    <row r="2845" spans="9:16" ht="16.5" thickBot="1">
      <c r="I2845" s="885" t="s">
        <v>103</v>
      </c>
      <c r="J2845" s="886"/>
      <c r="K2845" s="886"/>
      <c r="L2845" s="886"/>
      <c r="M2845" s="887"/>
      <c r="N2845" s="69">
        <f>+N2807</f>
        <v>496518551</v>
      </c>
      <c r="O2845" s="241" t="s">
        <v>561</v>
      </c>
      <c r="P2845" s="242"/>
    </row>
    <row r="2846" spans="9:16" ht="14.25" customHeight="1" thickBot="1">
      <c r="I2846" s="888" t="s">
        <v>104</v>
      </c>
      <c r="J2846" s="889"/>
      <c r="K2846" s="889"/>
      <c r="L2846" s="889"/>
      <c r="M2846" s="890"/>
      <c r="N2846" s="183">
        <f>SUM(N2844:N2845)</f>
        <v>497258551</v>
      </c>
    </row>
    <row r="2847" spans="9:16" ht="12.75" customHeight="1">
      <c r="I2847" s="61"/>
      <c r="J2847" s="61"/>
      <c r="K2847" s="61"/>
      <c r="L2847" s="61"/>
      <c r="M2847" s="61"/>
    </row>
    <row r="2848" spans="9:16">
      <c r="I2848" s="51" t="s">
        <v>1179</v>
      </c>
    </row>
    <row r="2849" spans="9:15" ht="10.5" customHeight="1">
      <c r="N2849" s="139"/>
    </row>
    <row r="2850" spans="9:15">
      <c r="I2850" s="50" t="s">
        <v>105</v>
      </c>
      <c r="L2850" s="146"/>
      <c r="N2850" s="139"/>
    </row>
    <row r="2851" spans="9:15" ht="12" customHeight="1" thickBot="1"/>
    <row r="2852" spans="9:15" ht="15.75" thickBot="1">
      <c r="I2852" s="891" t="s">
        <v>106</v>
      </c>
      <c r="J2852" s="892"/>
      <c r="K2852" s="892"/>
      <c r="L2852" s="893"/>
      <c r="N2852" s="50" t="s">
        <v>288</v>
      </c>
    </row>
    <row r="2853" spans="9:15" ht="30.75" thickBot="1">
      <c r="I2853" s="57" t="s">
        <v>100</v>
      </c>
      <c r="J2853" s="58" t="s">
        <v>108</v>
      </c>
      <c r="K2853" s="287" t="s">
        <v>109</v>
      </c>
      <c r="L2853" s="60" t="s">
        <v>110</v>
      </c>
    </row>
    <row r="2854" spans="9:15">
      <c r="I2854" s="71">
        <v>719</v>
      </c>
      <c r="J2854" s="73"/>
      <c r="K2854" s="74">
        <f>+L2815</f>
        <v>50510000</v>
      </c>
      <c r="L2854" s="195">
        <f>+J2854+K2854</f>
        <v>50510000</v>
      </c>
    </row>
    <row r="2855" spans="9:15">
      <c r="I2855" s="72">
        <v>721</v>
      </c>
      <c r="J2855" s="80">
        <f>+P2833+P2835+P2837+P2839+P2843+P2841</f>
        <v>0</v>
      </c>
      <c r="K2855" s="74">
        <f>+L2816</f>
        <v>106138134</v>
      </c>
      <c r="L2855" s="195">
        <f>+J2855+K2855</f>
        <v>106138134</v>
      </c>
    </row>
    <row r="2856" spans="9:15">
      <c r="I2856" s="72">
        <v>722</v>
      </c>
      <c r="J2856" s="80">
        <f>+P2832+P2834+P2836+P2838+P2840+P2842</f>
        <v>740000</v>
      </c>
      <c r="K2856" s="74">
        <f>+L2817</f>
        <v>47721706</v>
      </c>
      <c r="L2856" s="195">
        <f>+J2856+K2856</f>
        <v>48461706</v>
      </c>
    </row>
    <row r="2857" spans="9:15" ht="15.75">
      <c r="I2857" s="72">
        <v>723</v>
      </c>
      <c r="J2857" s="80"/>
      <c r="K2857" s="74">
        <f>+L2818</f>
        <v>291281211</v>
      </c>
      <c r="L2857" s="195">
        <f>+J2857+K2857</f>
        <v>291281211</v>
      </c>
      <c r="N2857" s="193" t="s">
        <v>289</v>
      </c>
      <c r="O2857" s="175"/>
    </row>
    <row r="2858" spans="9:15" ht="16.5" thickBot="1">
      <c r="I2858" s="164" t="s">
        <v>1077</v>
      </c>
      <c r="J2858" s="165"/>
      <c r="K2858" s="74">
        <f>+L2819</f>
        <v>797500</v>
      </c>
      <c r="L2858" s="196">
        <f>+J2858+K2858</f>
        <v>797500</v>
      </c>
      <c r="N2858" s="52"/>
    </row>
    <row r="2859" spans="9:15" ht="16.5" thickBot="1">
      <c r="I2859" s="169"/>
      <c r="J2859" s="197">
        <f>SUM(J2854:J2858)</f>
        <v>740000</v>
      </c>
      <c r="K2859" s="197">
        <f>SUM(K2854:K2858)</f>
        <v>496448551</v>
      </c>
      <c r="L2859" s="198">
        <f>SUM(L2854:L2858)</f>
        <v>497188551</v>
      </c>
    </row>
    <row r="2860" spans="9:15" ht="16.5">
      <c r="I2860" s="49" t="s">
        <v>88</v>
      </c>
      <c r="J2860" s="50"/>
    </row>
    <row r="2861" spans="9:15">
      <c r="I2861" s="51" t="s">
        <v>89</v>
      </c>
    </row>
    <row r="2862" spans="9:15">
      <c r="I2862" s="51" t="s">
        <v>90</v>
      </c>
    </row>
    <row r="2863" spans="9:15">
      <c r="I2863" s="51" t="s">
        <v>91</v>
      </c>
    </row>
    <row r="2864" spans="9:15" ht="9.75" customHeight="1">
      <c r="I2864" s="50"/>
      <c r="J2864" s="50"/>
    </row>
    <row r="2865" spans="9:16" ht="15.75">
      <c r="I2865" s="260" t="s">
        <v>1186</v>
      </c>
      <c r="O2865" s="52"/>
    </row>
    <row r="2866" spans="9:16" ht="15.75">
      <c r="I2866" s="53" t="s">
        <v>535</v>
      </c>
      <c r="O2866" s="53"/>
    </row>
    <row r="2867" spans="9:16" ht="16.5">
      <c r="I2867" s="894" t="s">
        <v>1190</v>
      </c>
      <c r="J2867" s="894"/>
      <c r="K2867" s="894"/>
      <c r="L2867" s="894"/>
      <c r="M2867" s="894"/>
      <c r="N2867" s="894"/>
      <c r="O2867" s="894"/>
      <c r="P2867" s="894"/>
    </row>
    <row r="2868" spans="9:16" ht="15.75" thickBot="1"/>
    <row r="2869" spans="9:16">
      <c r="I2869" s="895" t="s">
        <v>94</v>
      </c>
      <c r="J2869" s="897" t="s">
        <v>95</v>
      </c>
      <c r="K2869" s="897" t="s">
        <v>96</v>
      </c>
      <c r="L2869" s="897" t="s">
        <v>3</v>
      </c>
      <c r="M2869" s="897" t="s">
        <v>97</v>
      </c>
      <c r="N2869" s="897" t="s">
        <v>98</v>
      </c>
      <c r="O2869" s="897" t="s">
        <v>99</v>
      </c>
      <c r="P2869" s="899"/>
    </row>
    <row r="2870" spans="9:16" ht="15.75" thickBot="1">
      <c r="I2870" s="896"/>
      <c r="J2870" s="898"/>
      <c r="K2870" s="898"/>
      <c r="L2870" s="898"/>
      <c r="M2870" s="898"/>
      <c r="N2870" s="898"/>
      <c r="O2870" s="240" t="s">
        <v>100</v>
      </c>
      <c r="P2870" s="182" t="s">
        <v>101</v>
      </c>
    </row>
    <row r="2871" spans="9:16">
      <c r="I2871" s="881">
        <v>309</v>
      </c>
      <c r="J2871" s="875">
        <v>42674</v>
      </c>
      <c r="K2871" s="877" t="s">
        <v>738</v>
      </c>
      <c r="L2871" s="879" t="s">
        <v>1184</v>
      </c>
      <c r="M2871" s="881" t="s">
        <v>148</v>
      </c>
      <c r="N2871" s="883">
        <v>2672700</v>
      </c>
      <c r="O2871" s="55">
        <v>722</v>
      </c>
      <c r="P2871" s="78">
        <v>0</v>
      </c>
    </row>
    <row r="2872" spans="9:16" ht="15.75" thickBot="1">
      <c r="I2872" s="882"/>
      <c r="J2872" s="876"/>
      <c r="K2872" s="878"/>
      <c r="L2872" s="880"/>
      <c r="M2872" s="882"/>
      <c r="N2872" s="884"/>
      <c r="O2872" s="56">
        <v>721</v>
      </c>
      <c r="P2872" s="351">
        <f>+N2871-P2871</f>
        <v>2672700</v>
      </c>
    </row>
    <row r="2873" spans="9:16" ht="15" customHeight="1">
      <c r="I2873" s="881">
        <v>310</v>
      </c>
      <c r="J2873" s="875">
        <v>42674</v>
      </c>
      <c r="K2873" s="877" t="s">
        <v>738</v>
      </c>
      <c r="L2873" s="879" t="s">
        <v>1185</v>
      </c>
      <c r="M2873" s="881" t="s">
        <v>148</v>
      </c>
      <c r="N2873" s="883">
        <v>28216212</v>
      </c>
      <c r="O2873" s="55">
        <v>722</v>
      </c>
      <c r="P2873" s="78"/>
    </row>
    <row r="2874" spans="9:16" ht="15.75" customHeight="1" thickBot="1">
      <c r="I2874" s="882"/>
      <c r="J2874" s="876"/>
      <c r="K2874" s="878"/>
      <c r="L2874" s="880"/>
      <c r="M2874" s="882"/>
      <c r="N2874" s="884"/>
      <c r="O2874" s="56">
        <v>721</v>
      </c>
      <c r="P2874" s="352">
        <f>+N2873-P2873</f>
        <v>28216212</v>
      </c>
    </row>
    <row r="2875" spans="9:16" ht="15" customHeight="1">
      <c r="I2875" s="881">
        <v>311</v>
      </c>
      <c r="J2875" s="875">
        <v>42674</v>
      </c>
      <c r="K2875" s="877" t="s">
        <v>738</v>
      </c>
      <c r="L2875" s="879" t="s">
        <v>1187</v>
      </c>
      <c r="M2875" s="881" t="s">
        <v>148</v>
      </c>
      <c r="N2875" s="883">
        <v>16677173</v>
      </c>
      <c r="O2875" s="55">
        <v>722</v>
      </c>
      <c r="P2875" s="78"/>
    </row>
    <row r="2876" spans="9:16" ht="15.75" customHeight="1" thickBot="1">
      <c r="I2876" s="882"/>
      <c r="J2876" s="876"/>
      <c r="K2876" s="878"/>
      <c r="L2876" s="880"/>
      <c r="M2876" s="882"/>
      <c r="N2876" s="884"/>
      <c r="O2876" s="56">
        <v>721</v>
      </c>
      <c r="P2876" s="352">
        <f>+N2875-P2875</f>
        <v>16677173</v>
      </c>
    </row>
    <row r="2877" spans="9:16" ht="15" customHeight="1">
      <c r="I2877" s="881">
        <v>312</v>
      </c>
      <c r="J2877" s="875">
        <v>42675</v>
      </c>
      <c r="K2877" s="877" t="s">
        <v>738</v>
      </c>
      <c r="L2877" s="879" t="s">
        <v>1188</v>
      </c>
      <c r="M2877" s="881" t="s">
        <v>148</v>
      </c>
      <c r="N2877" s="883">
        <v>24662327</v>
      </c>
      <c r="O2877" s="55">
        <v>722</v>
      </c>
      <c r="P2877" s="78"/>
    </row>
    <row r="2878" spans="9:16" ht="13.5" customHeight="1" thickBot="1">
      <c r="I2878" s="882"/>
      <c r="J2878" s="876"/>
      <c r="K2878" s="878"/>
      <c r="L2878" s="880"/>
      <c r="M2878" s="882"/>
      <c r="N2878" s="884"/>
      <c r="O2878" s="56">
        <v>721</v>
      </c>
      <c r="P2878" s="79">
        <f>+N2877-P2877</f>
        <v>24662327</v>
      </c>
    </row>
    <row r="2879" spans="9:16">
      <c r="I2879" s="881"/>
      <c r="J2879" s="875"/>
      <c r="K2879" s="877"/>
      <c r="L2879" s="879"/>
      <c r="M2879" s="881"/>
      <c r="N2879" s="883"/>
      <c r="O2879" s="55">
        <v>722</v>
      </c>
      <c r="P2879" s="78"/>
    </row>
    <row r="2880" spans="9:16" ht="13.5" customHeight="1" thickBot="1">
      <c r="I2880" s="882"/>
      <c r="J2880" s="876"/>
      <c r="K2880" s="878"/>
      <c r="L2880" s="880"/>
      <c r="M2880" s="882"/>
      <c r="N2880" s="884"/>
      <c r="O2880" s="56">
        <v>721</v>
      </c>
      <c r="P2880" s="79">
        <f>+N2879-P2879</f>
        <v>0</v>
      </c>
    </row>
    <row r="2881" spans="9:16" ht="16.5" thickBot="1">
      <c r="I2881" s="901" t="s">
        <v>102</v>
      </c>
      <c r="J2881" s="902"/>
      <c r="K2881" s="902"/>
      <c r="L2881" s="902"/>
      <c r="M2881" s="903"/>
      <c r="N2881" s="81">
        <f>SUM(N2871:N2880)</f>
        <v>72228412</v>
      </c>
    </row>
    <row r="2882" spans="9:16" ht="16.5" thickBot="1">
      <c r="I2882" s="885" t="s">
        <v>103</v>
      </c>
      <c r="J2882" s="886"/>
      <c r="K2882" s="886"/>
      <c r="L2882" s="886"/>
      <c r="M2882" s="887"/>
      <c r="N2882" s="69">
        <f>+N2846</f>
        <v>497258551</v>
      </c>
      <c r="O2882" s="241" t="s">
        <v>561</v>
      </c>
      <c r="P2882" s="242"/>
    </row>
    <row r="2883" spans="9:16" ht="16.5" thickBot="1">
      <c r="I2883" s="888" t="s">
        <v>104</v>
      </c>
      <c r="J2883" s="889"/>
      <c r="K2883" s="889"/>
      <c r="L2883" s="889"/>
      <c r="M2883" s="890"/>
      <c r="N2883" s="183">
        <f>SUM(N2881:N2882)</f>
        <v>569486963</v>
      </c>
    </row>
    <row r="2884" spans="9:16">
      <c r="I2884" s="61"/>
      <c r="J2884" s="61"/>
      <c r="K2884" s="61"/>
      <c r="L2884" s="61"/>
      <c r="M2884" s="61"/>
    </row>
    <row r="2885" spans="9:16">
      <c r="I2885" s="51" t="s">
        <v>1189</v>
      </c>
    </row>
    <row r="2886" spans="9:16">
      <c r="N2886" s="139"/>
    </row>
    <row r="2887" spans="9:16">
      <c r="I2887" s="50" t="s">
        <v>105</v>
      </c>
      <c r="L2887" s="146"/>
      <c r="N2887" s="139"/>
    </row>
    <row r="2888" spans="9:16" ht="13.5" customHeight="1" thickBot="1"/>
    <row r="2889" spans="9:16" ht="15.75" thickBot="1">
      <c r="I2889" s="891" t="s">
        <v>106</v>
      </c>
      <c r="J2889" s="892"/>
      <c r="K2889" s="892"/>
      <c r="L2889" s="893"/>
      <c r="N2889" s="50" t="s">
        <v>1126</v>
      </c>
    </row>
    <row r="2890" spans="9:16" ht="30.75" thickBot="1">
      <c r="I2890" s="57" t="s">
        <v>100</v>
      </c>
      <c r="J2890" s="58" t="s">
        <v>108</v>
      </c>
      <c r="K2890" s="287" t="s">
        <v>109</v>
      </c>
      <c r="L2890" s="60" t="s">
        <v>110</v>
      </c>
    </row>
    <row r="2891" spans="9:16">
      <c r="I2891" s="71">
        <v>719</v>
      </c>
      <c r="J2891" s="73"/>
      <c r="K2891" s="74">
        <f>+L2854</f>
        <v>50510000</v>
      </c>
      <c r="L2891" s="195">
        <f>+J2891+K2891</f>
        <v>50510000</v>
      </c>
    </row>
    <row r="2892" spans="9:16">
      <c r="I2892" s="72">
        <v>721</v>
      </c>
      <c r="J2892" s="80">
        <f>+P2872+P2874+P2876+P2878+P2880</f>
        <v>72228412</v>
      </c>
      <c r="K2892" s="74">
        <f>+L2855</f>
        <v>106138134</v>
      </c>
      <c r="L2892" s="195">
        <f>+J2892+K2892</f>
        <v>178366546</v>
      </c>
    </row>
    <row r="2893" spans="9:16">
      <c r="I2893" s="72">
        <v>722</v>
      </c>
      <c r="J2893" s="80">
        <f>+P2871+P2873+P2875+P2877+P2879</f>
        <v>0</v>
      </c>
      <c r="K2893" s="74">
        <f>+L2856</f>
        <v>48461706</v>
      </c>
      <c r="L2893" s="195">
        <f>+J2893+K2893</f>
        <v>48461706</v>
      </c>
    </row>
    <row r="2894" spans="9:16" ht="15.75">
      <c r="I2894" s="72">
        <v>723</v>
      </c>
      <c r="J2894" s="80"/>
      <c r="K2894" s="74">
        <f>+L2857</f>
        <v>291281211</v>
      </c>
      <c r="L2894" s="195">
        <f>+J2894+K2894</f>
        <v>291281211</v>
      </c>
      <c r="N2894" s="193" t="s">
        <v>1028</v>
      </c>
      <c r="O2894" s="175"/>
    </row>
    <row r="2895" spans="9:16" ht="16.5" thickBot="1">
      <c r="I2895" s="164" t="s">
        <v>1077</v>
      </c>
      <c r="J2895" s="165"/>
      <c r="K2895" s="74">
        <f>+L2858</f>
        <v>797500</v>
      </c>
      <c r="L2895" s="196">
        <f>+J2895+K2895</f>
        <v>797500</v>
      </c>
      <c r="N2895" s="52"/>
    </row>
    <row r="2896" spans="9:16" ht="16.5" thickBot="1">
      <c r="I2896" s="169"/>
      <c r="J2896" s="197">
        <f>SUM(J2891:J2895)</f>
        <v>72228412</v>
      </c>
      <c r="K2896" s="197">
        <f>SUM(K2891:K2895)</f>
        <v>497188551</v>
      </c>
      <c r="L2896" s="198">
        <f>SUM(L2891:L2895)</f>
        <v>569416963</v>
      </c>
    </row>
    <row r="2897" spans="9:16" ht="16.5">
      <c r="I2897" s="49" t="s">
        <v>88</v>
      </c>
      <c r="J2897" s="50"/>
    </row>
    <row r="2898" spans="9:16">
      <c r="I2898" s="51" t="s">
        <v>89</v>
      </c>
    </row>
    <row r="2899" spans="9:16">
      <c r="I2899" s="51" t="s">
        <v>90</v>
      </c>
    </row>
    <row r="2900" spans="9:16">
      <c r="I2900" s="51" t="s">
        <v>91</v>
      </c>
    </row>
    <row r="2901" spans="9:16" ht="10.5" customHeight="1">
      <c r="I2901" s="50"/>
      <c r="J2901" s="50"/>
    </row>
    <row r="2902" spans="9:16" ht="15.75">
      <c r="I2902" s="260" t="s">
        <v>1191</v>
      </c>
      <c r="O2902" s="52"/>
    </row>
    <row r="2903" spans="9:16" ht="15.75">
      <c r="I2903" s="53" t="s">
        <v>535</v>
      </c>
      <c r="O2903" s="53"/>
    </row>
    <row r="2904" spans="9:16" ht="16.5">
      <c r="I2904" s="894" t="s">
        <v>909</v>
      </c>
      <c r="J2904" s="894"/>
      <c r="K2904" s="894"/>
      <c r="L2904" s="894"/>
      <c r="M2904" s="894"/>
      <c r="N2904" s="894"/>
      <c r="O2904" s="894"/>
      <c r="P2904" s="894"/>
    </row>
    <row r="2905" spans="9:16" ht="15.75" thickBot="1"/>
    <row r="2906" spans="9:16">
      <c r="I2906" s="895" t="s">
        <v>94</v>
      </c>
      <c r="J2906" s="897" t="s">
        <v>95</v>
      </c>
      <c r="K2906" s="897" t="s">
        <v>96</v>
      </c>
      <c r="L2906" s="897" t="s">
        <v>3</v>
      </c>
      <c r="M2906" s="897" t="s">
        <v>97</v>
      </c>
      <c r="N2906" s="897" t="s">
        <v>98</v>
      </c>
      <c r="O2906" s="897" t="s">
        <v>99</v>
      </c>
      <c r="P2906" s="899"/>
    </row>
    <row r="2907" spans="9:16" ht="15.75" thickBot="1">
      <c r="I2907" s="896"/>
      <c r="J2907" s="898"/>
      <c r="K2907" s="898"/>
      <c r="L2907" s="898"/>
      <c r="M2907" s="898"/>
      <c r="N2907" s="898"/>
      <c r="O2907" s="240" t="s">
        <v>100</v>
      </c>
      <c r="P2907" s="182" t="s">
        <v>101</v>
      </c>
    </row>
    <row r="2908" spans="9:16">
      <c r="I2908" s="881">
        <v>313</v>
      </c>
      <c r="J2908" s="875">
        <v>42657</v>
      </c>
      <c r="K2908" s="877" t="s">
        <v>1014</v>
      </c>
      <c r="L2908" s="879" t="s">
        <v>1192</v>
      </c>
      <c r="M2908" s="881" t="s">
        <v>115</v>
      </c>
      <c r="N2908" s="883">
        <v>70000</v>
      </c>
      <c r="O2908" s="55">
        <v>719</v>
      </c>
      <c r="P2908" s="78">
        <v>70000</v>
      </c>
    </row>
    <row r="2909" spans="9:16" ht="15.75" thickBot="1">
      <c r="I2909" s="882"/>
      <c r="J2909" s="876"/>
      <c r="K2909" s="878"/>
      <c r="L2909" s="880"/>
      <c r="M2909" s="882"/>
      <c r="N2909" s="884"/>
      <c r="O2909" s="56">
        <v>721</v>
      </c>
      <c r="P2909" s="79">
        <f>+N2908-P2908</f>
        <v>0</v>
      </c>
    </row>
    <row r="2910" spans="9:16">
      <c r="I2910" s="881">
        <v>314</v>
      </c>
      <c r="J2910" s="875">
        <v>42657</v>
      </c>
      <c r="K2910" s="877" t="s">
        <v>28</v>
      </c>
      <c r="L2910" s="879" t="s">
        <v>1193</v>
      </c>
      <c r="M2910" s="881" t="s">
        <v>115</v>
      </c>
      <c r="N2910" s="883">
        <v>30000</v>
      </c>
      <c r="O2910" s="55">
        <v>719</v>
      </c>
      <c r="P2910" s="78">
        <v>30000</v>
      </c>
    </row>
    <row r="2911" spans="9:16" ht="15.75" thickBot="1">
      <c r="I2911" s="882"/>
      <c r="J2911" s="876"/>
      <c r="K2911" s="878"/>
      <c r="L2911" s="880"/>
      <c r="M2911" s="882"/>
      <c r="N2911" s="884"/>
      <c r="O2911" s="56">
        <v>721</v>
      </c>
      <c r="P2911" s="79">
        <f>+N2910-P2910</f>
        <v>0</v>
      </c>
    </row>
    <row r="2912" spans="9:16">
      <c r="I2912" s="881">
        <v>315</v>
      </c>
      <c r="J2912" s="875">
        <v>42657</v>
      </c>
      <c r="K2912" s="877" t="s">
        <v>120</v>
      </c>
      <c r="L2912" s="879" t="s">
        <v>1165</v>
      </c>
      <c r="M2912" s="881" t="s">
        <v>115</v>
      </c>
      <c r="N2912" s="883">
        <v>50000</v>
      </c>
      <c r="O2912" s="55">
        <v>719</v>
      </c>
      <c r="P2912" s="78">
        <v>50000</v>
      </c>
    </row>
    <row r="2913" spans="9:16" ht="15.75" thickBot="1">
      <c r="I2913" s="882"/>
      <c r="J2913" s="876"/>
      <c r="K2913" s="878"/>
      <c r="L2913" s="880"/>
      <c r="M2913" s="882"/>
      <c r="N2913" s="884"/>
      <c r="O2913" s="56">
        <v>721</v>
      </c>
      <c r="P2913" s="79">
        <f>+N2912-P2912</f>
        <v>0</v>
      </c>
    </row>
    <row r="2914" spans="9:16">
      <c r="I2914" s="881"/>
      <c r="J2914" s="875"/>
      <c r="K2914" s="877"/>
      <c r="L2914" s="879"/>
      <c r="M2914" s="881"/>
      <c r="N2914" s="883"/>
      <c r="O2914" s="55">
        <v>719</v>
      </c>
      <c r="P2914" s="78">
        <v>0</v>
      </c>
    </row>
    <row r="2915" spans="9:16" ht="14.25" customHeight="1" thickBot="1">
      <c r="I2915" s="882"/>
      <c r="J2915" s="876"/>
      <c r="K2915" s="878"/>
      <c r="L2915" s="880"/>
      <c r="M2915" s="882"/>
      <c r="N2915" s="884"/>
      <c r="O2915" s="56">
        <v>721</v>
      </c>
      <c r="P2915" s="79">
        <f>+N2914-P2914</f>
        <v>0</v>
      </c>
    </row>
    <row r="2916" spans="9:16" ht="13.5" customHeight="1">
      <c r="I2916" s="881"/>
      <c r="J2916" s="875"/>
      <c r="K2916" s="877"/>
      <c r="L2916" s="879"/>
      <c r="M2916" s="881"/>
      <c r="N2916" s="883"/>
      <c r="O2916" s="55">
        <v>719</v>
      </c>
      <c r="P2916" s="78"/>
    </row>
    <row r="2917" spans="9:16" ht="12.75" customHeight="1" thickBot="1">
      <c r="I2917" s="882"/>
      <c r="J2917" s="876"/>
      <c r="K2917" s="878"/>
      <c r="L2917" s="880"/>
      <c r="M2917" s="882"/>
      <c r="N2917" s="884"/>
      <c r="O2917" s="56">
        <v>721</v>
      </c>
      <c r="P2917" s="79">
        <f>+N2916-P2916</f>
        <v>0</v>
      </c>
    </row>
    <row r="2918" spans="9:16" ht="16.5" thickBot="1">
      <c r="I2918" s="901" t="s">
        <v>102</v>
      </c>
      <c r="J2918" s="902"/>
      <c r="K2918" s="902"/>
      <c r="L2918" s="902"/>
      <c r="M2918" s="903"/>
      <c r="N2918" s="81">
        <f>SUM(N2908:N2917)</f>
        <v>150000</v>
      </c>
    </row>
    <row r="2919" spans="9:16" ht="16.5" thickBot="1">
      <c r="I2919" s="885" t="s">
        <v>103</v>
      </c>
      <c r="J2919" s="886"/>
      <c r="K2919" s="886"/>
      <c r="L2919" s="886"/>
      <c r="M2919" s="887"/>
      <c r="N2919" s="69">
        <f>+N2883</f>
        <v>569486963</v>
      </c>
      <c r="O2919" s="241" t="s">
        <v>561</v>
      </c>
      <c r="P2919" s="242">
        <f>76+80+291</f>
        <v>447</v>
      </c>
    </row>
    <row r="2920" spans="9:16" ht="16.5" thickBot="1">
      <c r="I2920" s="888" t="s">
        <v>104</v>
      </c>
      <c r="J2920" s="889"/>
      <c r="K2920" s="889"/>
      <c r="L2920" s="889"/>
      <c r="M2920" s="890"/>
      <c r="N2920" s="183">
        <f>SUM(N2918:N2919)</f>
        <v>569636963</v>
      </c>
    </row>
    <row r="2921" spans="9:16">
      <c r="I2921" s="61"/>
      <c r="J2921" s="61"/>
      <c r="K2921" s="61"/>
      <c r="L2921" s="61"/>
      <c r="M2921" s="61"/>
    </row>
    <row r="2922" spans="9:16">
      <c r="I2922" s="51" t="s">
        <v>1194</v>
      </c>
    </row>
    <row r="2923" spans="9:16">
      <c r="N2923" s="139"/>
    </row>
    <row r="2924" spans="9:16">
      <c r="I2924" s="50" t="s">
        <v>105</v>
      </c>
      <c r="L2924" s="146"/>
      <c r="N2924" s="139"/>
    </row>
    <row r="2925" spans="9:16" ht="12.75" customHeight="1" thickBot="1"/>
    <row r="2926" spans="9:16" ht="15.75" thickBot="1">
      <c r="I2926" s="891" t="s">
        <v>106</v>
      </c>
      <c r="J2926" s="892"/>
      <c r="K2926" s="892"/>
      <c r="L2926" s="893"/>
      <c r="N2926" s="50" t="s">
        <v>1126</v>
      </c>
    </row>
    <row r="2927" spans="9:16" ht="30.75" thickBot="1">
      <c r="I2927" s="57" t="s">
        <v>100</v>
      </c>
      <c r="J2927" s="58" t="s">
        <v>108</v>
      </c>
      <c r="K2927" s="287" t="s">
        <v>109</v>
      </c>
      <c r="L2927" s="60" t="s">
        <v>110</v>
      </c>
    </row>
    <row r="2928" spans="9:16">
      <c r="I2928" s="71">
        <v>719</v>
      </c>
      <c r="J2928" s="73">
        <f>+P2908+P2910+P2912+P2914</f>
        <v>150000</v>
      </c>
      <c r="K2928" s="74">
        <f>+L2891</f>
        <v>50510000</v>
      </c>
      <c r="L2928" s="195">
        <f>+J2928+K2928</f>
        <v>50660000</v>
      </c>
    </row>
    <row r="2929" spans="9:16">
      <c r="I2929" s="72">
        <v>721</v>
      </c>
      <c r="J2929" s="80">
        <f>+P2909+P2911+P2913+P2915+P2917</f>
        <v>0</v>
      </c>
      <c r="K2929" s="74">
        <f>+L2892</f>
        <v>178366546</v>
      </c>
      <c r="L2929" s="195">
        <f>+J2929+K2929</f>
        <v>178366546</v>
      </c>
    </row>
    <row r="2930" spans="9:16">
      <c r="I2930" s="72">
        <v>722</v>
      </c>
      <c r="J2930" s="80"/>
      <c r="K2930" s="74">
        <f>+L2893</f>
        <v>48461706</v>
      </c>
      <c r="L2930" s="195">
        <f>+J2930+K2930</f>
        <v>48461706</v>
      </c>
    </row>
    <row r="2931" spans="9:16" ht="15.75">
      <c r="I2931" s="72">
        <v>723</v>
      </c>
      <c r="J2931" s="80"/>
      <c r="K2931" s="74">
        <f>+L2894</f>
        <v>291281211</v>
      </c>
      <c r="L2931" s="195">
        <f>+J2931+K2931</f>
        <v>291281211</v>
      </c>
      <c r="N2931" s="193" t="s">
        <v>1028</v>
      </c>
      <c r="O2931" s="175"/>
    </row>
    <row r="2932" spans="9:16" ht="16.5" thickBot="1">
      <c r="I2932" s="164" t="s">
        <v>1077</v>
      </c>
      <c r="J2932" s="165"/>
      <c r="K2932" s="74">
        <f>+L2895</f>
        <v>797500</v>
      </c>
      <c r="L2932" s="196">
        <f>+J2932+K2932</f>
        <v>797500</v>
      </c>
      <c r="N2932" s="52"/>
    </row>
    <row r="2933" spans="9:16" ht="16.5" thickBot="1">
      <c r="I2933" s="169"/>
      <c r="J2933" s="197">
        <f>SUM(J2928:J2932)</f>
        <v>150000</v>
      </c>
      <c r="K2933" s="197">
        <f>SUM(K2928:K2932)</f>
        <v>569416963</v>
      </c>
      <c r="L2933" s="198">
        <f>SUM(L2928:L2932)</f>
        <v>569566963</v>
      </c>
    </row>
    <row r="2934" spans="9:16" ht="16.5">
      <c r="I2934" s="49" t="s">
        <v>88</v>
      </c>
      <c r="J2934" s="50"/>
    </row>
    <row r="2935" spans="9:16">
      <c r="I2935" s="51" t="s">
        <v>89</v>
      </c>
    </row>
    <row r="2936" spans="9:16">
      <c r="I2936" s="51" t="s">
        <v>90</v>
      </c>
    </row>
    <row r="2937" spans="9:16">
      <c r="I2937" s="51" t="s">
        <v>91</v>
      </c>
    </row>
    <row r="2938" spans="9:16" ht="9.75" customHeight="1">
      <c r="I2938" s="50"/>
      <c r="J2938" s="50"/>
    </row>
    <row r="2939" spans="9:16" ht="15.75">
      <c r="I2939" s="260" t="s">
        <v>1197</v>
      </c>
      <c r="O2939" s="52"/>
    </row>
    <row r="2940" spans="9:16" ht="15.75">
      <c r="I2940" s="53" t="s">
        <v>535</v>
      </c>
      <c r="O2940" s="53"/>
    </row>
    <row r="2941" spans="9:16" ht="16.5">
      <c r="I2941" s="894" t="s">
        <v>909</v>
      </c>
      <c r="J2941" s="894"/>
      <c r="K2941" s="894"/>
      <c r="L2941" s="894"/>
      <c r="M2941" s="894"/>
      <c r="N2941" s="894"/>
      <c r="O2941" s="894"/>
      <c r="P2941" s="894"/>
    </row>
    <row r="2942" spans="9:16" ht="15.75" thickBot="1"/>
    <row r="2943" spans="9:16">
      <c r="I2943" s="895" t="s">
        <v>94</v>
      </c>
      <c r="J2943" s="897" t="s">
        <v>95</v>
      </c>
      <c r="K2943" s="897" t="s">
        <v>96</v>
      </c>
      <c r="L2943" s="897" t="s">
        <v>3</v>
      </c>
      <c r="M2943" s="897" t="s">
        <v>97</v>
      </c>
      <c r="N2943" s="897" t="s">
        <v>98</v>
      </c>
      <c r="O2943" s="897" t="s">
        <v>99</v>
      </c>
      <c r="P2943" s="899"/>
    </row>
    <row r="2944" spans="9:16" ht="15.75" thickBot="1">
      <c r="I2944" s="896"/>
      <c r="J2944" s="898"/>
      <c r="K2944" s="898"/>
      <c r="L2944" s="898"/>
      <c r="M2944" s="898"/>
      <c r="N2944" s="898"/>
      <c r="O2944" s="240" t="s">
        <v>100</v>
      </c>
      <c r="P2944" s="182" t="s">
        <v>101</v>
      </c>
    </row>
    <row r="2945" spans="9:16">
      <c r="I2945" s="881">
        <v>316</v>
      </c>
      <c r="J2945" s="875">
        <v>42684</v>
      </c>
      <c r="K2945" s="877" t="s">
        <v>267</v>
      </c>
      <c r="L2945" s="879" t="s">
        <v>1195</v>
      </c>
      <c r="M2945" s="881" t="s">
        <v>148</v>
      </c>
      <c r="N2945" s="883">
        <v>130000</v>
      </c>
      <c r="O2945" s="55">
        <v>719</v>
      </c>
      <c r="P2945" s="78">
        <v>100000</v>
      </c>
    </row>
    <row r="2946" spans="9:16" ht="15.75" thickBot="1">
      <c r="I2946" s="882"/>
      <c r="J2946" s="876"/>
      <c r="K2946" s="878"/>
      <c r="L2946" s="880"/>
      <c r="M2946" s="882"/>
      <c r="N2946" s="884"/>
      <c r="O2946" s="56">
        <v>721</v>
      </c>
      <c r="P2946" s="79">
        <f>+N2945-P2945</f>
        <v>30000</v>
      </c>
    </row>
    <row r="2947" spans="9:16" ht="15" customHeight="1">
      <c r="I2947" s="881">
        <v>317</v>
      </c>
      <c r="J2947" s="875">
        <v>42684</v>
      </c>
      <c r="K2947" s="877" t="s">
        <v>28</v>
      </c>
      <c r="L2947" s="879" t="s">
        <v>1196</v>
      </c>
      <c r="M2947" s="881" t="s">
        <v>148</v>
      </c>
      <c r="N2947" s="883">
        <v>559000</v>
      </c>
      <c r="O2947" s="55">
        <v>719</v>
      </c>
      <c r="P2947" s="78">
        <v>430000</v>
      </c>
    </row>
    <row r="2948" spans="9:16" ht="15.75" customHeight="1" thickBot="1">
      <c r="I2948" s="882"/>
      <c r="J2948" s="876"/>
      <c r="K2948" s="878"/>
      <c r="L2948" s="880"/>
      <c r="M2948" s="882"/>
      <c r="N2948" s="884"/>
      <c r="O2948" s="56">
        <v>721</v>
      </c>
      <c r="P2948" s="79">
        <f>+N2947-P2947</f>
        <v>129000</v>
      </c>
    </row>
    <row r="2949" spans="9:16" ht="15" customHeight="1">
      <c r="I2949" s="881">
        <v>318</v>
      </c>
      <c r="J2949" s="875">
        <v>42684</v>
      </c>
      <c r="K2949" s="877" t="s">
        <v>111</v>
      </c>
      <c r="L2949" s="879" t="s">
        <v>1198</v>
      </c>
      <c r="M2949" s="881" t="s">
        <v>148</v>
      </c>
      <c r="N2949" s="883">
        <v>104000</v>
      </c>
      <c r="O2949" s="55">
        <v>719</v>
      </c>
      <c r="P2949" s="78">
        <v>80000</v>
      </c>
    </row>
    <row r="2950" spans="9:16" ht="15.75" customHeight="1" thickBot="1">
      <c r="I2950" s="882"/>
      <c r="J2950" s="876"/>
      <c r="K2950" s="878"/>
      <c r="L2950" s="880"/>
      <c r="M2950" s="882"/>
      <c r="N2950" s="884"/>
      <c r="O2950" s="56">
        <v>721</v>
      </c>
      <c r="P2950" s="79">
        <f>+N2949-P2949</f>
        <v>24000</v>
      </c>
    </row>
    <row r="2951" spans="9:16" ht="15" customHeight="1">
      <c r="I2951" s="881">
        <v>319</v>
      </c>
      <c r="J2951" s="875">
        <v>42684</v>
      </c>
      <c r="K2951" s="877" t="s">
        <v>1014</v>
      </c>
      <c r="L2951" s="879" t="s">
        <v>1196</v>
      </c>
      <c r="M2951" s="881" t="s">
        <v>148</v>
      </c>
      <c r="N2951" s="883">
        <v>1105000</v>
      </c>
      <c r="O2951" s="55">
        <v>719</v>
      </c>
      <c r="P2951" s="78">
        <v>850000</v>
      </c>
    </row>
    <row r="2952" spans="9:16" ht="15.75" customHeight="1" thickBot="1">
      <c r="I2952" s="882"/>
      <c r="J2952" s="876"/>
      <c r="K2952" s="878"/>
      <c r="L2952" s="880"/>
      <c r="M2952" s="882"/>
      <c r="N2952" s="884"/>
      <c r="O2952" s="56">
        <v>721</v>
      </c>
      <c r="P2952" s="79">
        <f>+N2951-P2951</f>
        <v>255000</v>
      </c>
    </row>
    <row r="2953" spans="9:16">
      <c r="I2953" s="881"/>
      <c r="J2953" s="875"/>
      <c r="K2953" s="877"/>
      <c r="L2953" s="879"/>
      <c r="M2953" s="881"/>
      <c r="N2953" s="883"/>
      <c r="O2953" s="55">
        <v>719</v>
      </c>
      <c r="P2953" s="78"/>
    </row>
    <row r="2954" spans="9:16" ht="15.75" thickBot="1">
      <c r="I2954" s="882"/>
      <c r="J2954" s="876"/>
      <c r="K2954" s="878"/>
      <c r="L2954" s="880"/>
      <c r="M2954" s="882"/>
      <c r="N2954" s="884"/>
      <c r="O2954" s="56">
        <v>721</v>
      </c>
      <c r="P2954" s="79">
        <f>+N2953-P2953</f>
        <v>0</v>
      </c>
    </row>
    <row r="2955" spans="9:16" ht="16.5" thickBot="1">
      <c r="I2955" s="901" t="s">
        <v>102</v>
      </c>
      <c r="J2955" s="902"/>
      <c r="K2955" s="902"/>
      <c r="L2955" s="902"/>
      <c r="M2955" s="903"/>
      <c r="N2955" s="81">
        <f>SUM(N2945:N2954)</f>
        <v>1898000</v>
      </c>
    </row>
    <row r="2956" spans="9:16" ht="16.5" thickBot="1">
      <c r="I2956" s="885" t="s">
        <v>103</v>
      </c>
      <c r="J2956" s="886"/>
      <c r="K2956" s="886"/>
      <c r="L2956" s="886"/>
      <c r="M2956" s="887"/>
      <c r="N2956" s="69">
        <f>+N2920</f>
        <v>569636963</v>
      </c>
      <c r="O2956" s="241" t="s">
        <v>561</v>
      </c>
      <c r="P2956" s="242">
        <f>1061+35+841+56</f>
        <v>1993</v>
      </c>
    </row>
    <row r="2957" spans="9:16" ht="16.5" thickBot="1">
      <c r="I2957" s="888" t="s">
        <v>104</v>
      </c>
      <c r="J2957" s="889"/>
      <c r="K2957" s="889"/>
      <c r="L2957" s="889"/>
      <c r="M2957" s="890"/>
      <c r="N2957" s="183">
        <f>SUM(N2955:N2956)</f>
        <v>571534963</v>
      </c>
    </row>
    <row r="2958" spans="9:16">
      <c r="I2958" s="61"/>
      <c r="J2958" s="61"/>
      <c r="K2958" s="61"/>
      <c r="L2958" s="61"/>
      <c r="M2958" s="61"/>
    </row>
    <row r="2959" spans="9:16">
      <c r="I2959" s="51" t="s">
        <v>1199</v>
      </c>
    </row>
    <row r="2960" spans="9:16">
      <c r="N2960" s="139"/>
    </row>
    <row r="2961" spans="9:15">
      <c r="I2961" s="50" t="s">
        <v>105</v>
      </c>
      <c r="L2961" s="146"/>
      <c r="N2961" s="139"/>
    </row>
    <row r="2962" spans="9:15" ht="10.5" customHeight="1" thickBot="1"/>
    <row r="2963" spans="9:15" ht="15.75" thickBot="1">
      <c r="I2963" s="891" t="s">
        <v>106</v>
      </c>
      <c r="J2963" s="892"/>
      <c r="K2963" s="892"/>
      <c r="L2963" s="893"/>
      <c r="N2963" s="50" t="s">
        <v>1126</v>
      </c>
    </row>
    <row r="2964" spans="9:15" ht="30.75" thickBot="1">
      <c r="I2964" s="57" t="s">
        <v>100</v>
      </c>
      <c r="J2964" s="58" t="s">
        <v>108</v>
      </c>
      <c r="K2964" s="287" t="s">
        <v>109</v>
      </c>
      <c r="L2964" s="60" t="s">
        <v>110</v>
      </c>
    </row>
    <row r="2965" spans="9:15">
      <c r="I2965" s="71">
        <v>719</v>
      </c>
      <c r="J2965" s="73">
        <f>+P2945+P2947+P2949+P2951</f>
        <v>1460000</v>
      </c>
      <c r="K2965" s="74">
        <f>+L2928</f>
        <v>50660000</v>
      </c>
      <c r="L2965" s="195">
        <f>+J2965+K2965</f>
        <v>52120000</v>
      </c>
    </row>
    <row r="2966" spans="9:15">
      <c r="I2966" s="72">
        <v>721</v>
      </c>
      <c r="J2966" s="80">
        <f>+P2946+P2948+P2950+P2952+P2954</f>
        <v>438000</v>
      </c>
      <c r="K2966" s="74">
        <f>+L2929</f>
        <v>178366546</v>
      </c>
      <c r="L2966" s="195">
        <f>+J2966+K2966</f>
        <v>178804546</v>
      </c>
    </row>
    <row r="2967" spans="9:15">
      <c r="I2967" s="72">
        <v>722</v>
      </c>
      <c r="J2967" s="80"/>
      <c r="K2967" s="74">
        <f>+L2930</f>
        <v>48461706</v>
      </c>
      <c r="L2967" s="195">
        <f>+J2967+K2967</f>
        <v>48461706</v>
      </c>
    </row>
    <row r="2968" spans="9:15" ht="15.75">
      <c r="I2968" s="72">
        <v>723</v>
      </c>
      <c r="J2968" s="80"/>
      <c r="K2968" s="74">
        <f>+L2931</f>
        <v>291281211</v>
      </c>
      <c r="L2968" s="195">
        <f>+J2968+K2968</f>
        <v>291281211</v>
      </c>
      <c r="N2968" s="193" t="s">
        <v>1028</v>
      </c>
      <c r="O2968" s="175"/>
    </row>
    <row r="2969" spans="9:15" ht="16.5" thickBot="1">
      <c r="I2969" s="164" t="s">
        <v>1077</v>
      </c>
      <c r="J2969" s="165"/>
      <c r="K2969" s="74">
        <f>+L2932</f>
        <v>797500</v>
      </c>
      <c r="L2969" s="196">
        <f>+J2969+K2969</f>
        <v>797500</v>
      </c>
      <c r="N2969" s="52"/>
    </row>
    <row r="2970" spans="9:15" ht="16.5" thickBot="1">
      <c r="I2970" s="169"/>
      <c r="J2970" s="197">
        <f>SUM(J2965:J2969)</f>
        <v>1898000</v>
      </c>
      <c r="K2970" s="197">
        <f>SUM(K2965:K2969)</f>
        <v>569566963</v>
      </c>
      <c r="L2970" s="198">
        <f>SUM(L2965:L2969)</f>
        <v>571464963</v>
      </c>
    </row>
    <row r="2971" spans="9:15" ht="16.5">
      <c r="I2971" s="49" t="s">
        <v>88</v>
      </c>
      <c r="J2971" s="50"/>
    </row>
    <row r="2972" spans="9:15">
      <c r="I2972" s="51" t="s">
        <v>89</v>
      </c>
    </row>
    <row r="2973" spans="9:15">
      <c r="I2973" s="51" t="s">
        <v>90</v>
      </c>
    </row>
    <row r="2974" spans="9:15">
      <c r="I2974" s="51" t="s">
        <v>91</v>
      </c>
    </row>
    <row r="2975" spans="9:15" ht="12" customHeight="1">
      <c r="I2975" s="50"/>
      <c r="J2975" s="50"/>
    </row>
    <row r="2976" spans="9:15" ht="15.75">
      <c r="I2976" s="260" t="s">
        <v>1200</v>
      </c>
      <c r="O2976" s="52"/>
    </row>
    <row r="2977" spans="9:16" ht="15.75">
      <c r="I2977" s="53" t="s">
        <v>535</v>
      </c>
      <c r="O2977" s="53"/>
    </row>
    <row r="2978" spans="9:16" ht="16.5">
      <c r="I2978" s="894" t="s">
        <v>909</v>
      </c>
      <c r="J2978" s="894"/>
      <c r="K2978" s="894"/>
      <c r="L2978" s="894"/>
      <c r="M2978" s="894"/>
      <c r="N2978" s="894"/>
      <c r="O2978" s="894"/>
      <c r="P2978" s="894"/>
    </row>
    <row r="2979" spans="9:16" ht="15.75" thickBot="1"/>
    <row r="2980" spans="9:16">
      <c r="I2980" s="895" t="s">
        <v>94</v>
      </c>
      <c r="J2980" s="897" t="s">
        <v>95</v>
      </c>
      <c r="K2980" s="897" t="s">
        <v>96</v>
      </c>
      <c r="L2980" s="897" t="s">
        <v>3</v>
      </c>
      <c r="M2980" s="897" t="s">
        <v>97</v>
      </c>
      <c r="N2980" s="897" t="s">
        <v>98</v>
      </c>
      <c r="O2980" s="897" t="s">
        <v>99</v>
      </c>
      <c r="P2980" s="899"/>
    </row>
    <row r="2981" spans="9:16" ht="15.75" thickBot="1">
      <c r="I2981" s="896"/>
      <c r="J2981" s="898"/>
      <c r="K2981" s="898"/>
      <c r="L2981" s="898"/>
      <c r="M2981" s="898"/>
      <c r="N2981" s="898"/>
      <c r="O2981" s="240" t="s">
        <v>100</v>
      </c>
      <c r="P2981" s="182" t="s">
        <v>101</v>
      </c>
    </row>
    <row r="2982" spans="9:16">
      <c r="I2982" s="881">
        <v>320</v>
      </c>
      <c r="J2982" s="875">
        <v>42684</v>
      </c>
      <c r="K2982" s="877" t="s">
        <v>267</v>
      </c>
      <c r="L2982" s="879" t="s">
        <v>1201</v>
      </c>
      <c r="M2982" s="881" t="s">
        <v>148</v>
      </c>
      <c r="N2982" s="883">
        <v>52000</v>
      </c>
      <c r="O2982" s="55">
        <v>719</v>
      </c>
      <c r="P2982" s="78">
        <v>40000</v>
      </c>
    </row>
    <row r="2983" spans="9:16" ht="15.75" thickBot="1">
      <c r="I2983" s="882"/>
      <c r="J2983" s="876"/>
      <c r="K2983" s="878"/>
      <c r="L2983" s="880"/>
      <c r="M2983" s="882"/>
      <c r="N2983" s="884"/>
      <c r="O2983" s="56">
        <v>721</v>
      </c>
      <c r="P2983" s="79">
        <f>+N2982-P2982</f>
        <v>12000</v>
      </c>
    </row>
    <row r="2984" spans="9:16">
      <c r="I2984" s="881">
        <v>321</v>
      </c>
      <c r="J2984" s="875">
        <v>42684</v>
      </c>
      <c r="K2984" s="877" t="s">
        <v>28</v>
      </c>
      <c r="L2984" s="879" t="s">
        <v>1202</v>
      </c>
      <c r="M2984" s="881" t="s">
        <v>148</v>
      </c>
      <c r="N2984" s="883">
        <v>442000</v>
      </c>
      <c r="O2984" s="55">
        <v>719</v>
      </c>
      <c r="P2984" s="78">
        <v>340000</v>
      </c>
    </row>
    <row r="2985" spans="9:16" ht="15.75" thickBot="1">
      <c r="I2985" s="882"/>
      <c r="J2985" s="876"/>
      <c r="K2985" s="878"/>
      <c r="L2985" s="880"/>
      <c r="M2985" s="882"/>
      <c r="N2985" s="884"/>
      <c r="O2985" s="56">
        <v>721</v>
      </c>
      <c r="P2985" s="79">
        <f>+N2984-P2984</f>
        <v>102000</v>
      </c>
    </row>
    <row r="2986" spans="9:16">
      <c r="I2986" s="881">
        <v>322</v>
      </c>
      <c r="J2986" s="875">
        <v>42684</v>
      </c>
      <c r="K2986" s="877" t="s">
        <v>111</v>
      </c>
      <c r="L2986" s="879" t="s">
        <v>1203</v>
      </c>
      <c r="M2986" s="881" t="s">
        <v>148</v>
      </c>
      <c r="N2986" s="883">
        <v>104000</v>
      </c>
      <c r="O2986" s="55">
        <v>719</v>
      </c>
      <c r="P2986" s="78">
        <v>80000</v>
      </c>
    </row>
    <row r="2987" spans="9:16" ht="15.75" thickBot="1">
      <c r="I2987" s="882"/>
      <c r="J2987" s="876"/>
      <c r="K2987" s="878"/>
      <c r="L2987" s="880"/>
      <c r="M2987" s="882"/>
      <c r="N2987" s="884"/>
      <c r="O2987" s="56">
        <v>721</v>
      </c>
      <c r="P2987" s="79">
        <f>+N2986-P2986</f>
        <v>24000</v>
      </c>
    </row>
    <row r="2988" spans="9:16">
      <c r="I2988" s="881">
        <v>323</v>
      </c>
      <c r="J2988" s="875">
        <v>42684</v>
      </c>
      <c r="K2988" s="877" t="s">
        <v>1014</v>
      </c>
      <c r="L2988" s="879" t="s">
        <v>1202</v>
      </c>
      <c r="M2988" s="881" t="s">
        <v>148</v>
      </c>
      <c r="N2988" s="883">
        <v>1053000</v>
      </c>
      <c r="O2988" s="55">
        <v>719</v>
      </c>
      <c r="P2988" s="78">
        <v>810000</v>
      </c>
    </row>
    <row r="2989" spans="9:16" ht="15.75" thickBot="1">
      <c r="I2989" s="882"/>
      <c r="J2989" s="876"/>
      <c r="K2989" s="878"/>
      <c r="L2989" s="880"/>
      <c r="M2989" s="882"/>
      <c r="N2989" s="884"/>
      <c r="O2989" s="56">
        <v>721</v>
      </c>
      <c r="P2989" s="79">
        <f>+N2988-P2988</f>
        <v>243000</v>
      </c>
    </row>
    <row r="2990" spans="9:16">
      <c r="I2990" s="881"/>
      <c r="J2990" s="875"/>
      <c r="K2990" s="877"/>
      <c r="L2990" s="879"/>
      <c r="M2990" s="881"/>
      <c r="N2990" s="883"/>
      <c r="O2990" s="55">
        <v>719</v>
      </c>
      <c r="P2990" s="78"/>
    </row>
    <row r="2991" spans="9:16" ht="15.75" thickBot="1">
      <c r="I2991" s="882"/>
      <c r="J2991" s="876"/>
      <c r="K2991" s="878"/>
      <c r="L2991" s="880"/>
      <c r="M2991" s="882"/>
      <c r="N2991" s="884"/>
      <c r="O2991" s="56">
        <v>721</v>
      </c>
      <c r="P2991" s="79">
        <f>+N2990-P2990</f>
        <v>0</v>
      </c>
    </row>
    <row r="2992" spans="9:16" ht="16.5" thickBot="1">
      <c r="I2992" s="901" t="s">
        <v>102</v>
      </c>
      <c r="J2992" s="902"/>
      <c r="K2992" s="902"/>
      <c r="L2992" s="902"/>
      <c r="M2992" s="903"/>
      <c r="N2992" s="81">
        <f>SUM(N2982:N2991)</f>
        <v>1651000</v>
      </c>
    </row>
    <row r="2993" spans="9:16" ht="16.5" thickBot="1">
      <c r="I2993" s="885" t="s">
        <v>103</v>
      </c>
      <c r="J2993" s="886"/>
      <c r="K2993" s="886"/>
      <c r="L2993" s="886"/>
      <c r="M2993" s="887"/>
      <c r="N2993" s="69">
        <f>+N2957</f>
        <v>571534963</v>
      </c>
      <c r="O2993" s="241" t="s">
        <v>561</v>
      </c>
      <c r="P2993" s="242">
        <f>1174+29+720+29</f>
        <v>1952</v>
      </c>
    </row>
    <row r="2994" spans="9:16" ht="16.5" thickBot="1">
      <c r="I2994" s="888" t="s">
        <v>104</v>
      </c>
      <c r="J2994" s="889"/>
      <c r="K2994" s="889"/>
      <c r="L2994" s="889"/>
      <c r="M2994" s="890"/>
      <c r="N2994" s="183">
        <f>SUM(N2992:N2993)</f>
        <v>573185963</v>
      </c>
    </row>
    <row r="2995" spans="9:16" ht="11.25" customHeight="1">
      <c r="I2995" s="61"/>
      <c r="J2995" s="61"/>
      <c r="K2995" s="61"/>
      <c r="L2995" s="61"/>
      <c r="M2995" s="61"/>
    </row>
    <row r="2996" spans="9:16">
      <c r="I2996" s="51" t="s">
        <v>1204</v>
      </c>
    </row>
    <row r="2997" spans="9:16">
      <c r="N2997" s="139"/>
    </row>
    <row r="2998" spans="9:16">
      <c r="I2998" s="50" t="s">
        <v>105</v>
      </c>
      <c r="L2998" s="146"/>
      <c r="N2998" s="139"/>
    </row>
    <row r="2999" spans="9:16" ht="14.25" customHeight="1" thickBot="1"/>
    <row r="3000" spans="9:16" ht="15.75" thickBot="1">
      <c r="I3000" s="891" t="s">
        <v>106</v>
      </c>
      <c r="J3000" s="892"/>
      <c r="K3000" s="892"/>
      <c r="L3000" s="893"/>
      <c r="N3000" s="50" t="s">
        <v>1126</v>
      </c>
    </row>
    <row r="3001" spans="9:16" ht="30.75" thickBot="1">
      <c r="I3001" s="57" t="s">
        <v>100</v>
      </c>
      <c r="J3001" s="58" t="s">
        <v>108</v>
      </c>
      <c r="K3001" s="287" t="s">
        <v>109</v>
      </c>
      <c r="L3001" s="60" t="s">
        <v>110</v>
      </c>
    </row>
    <row r="3002" spans="9:16">
      <c r="I3002" s="71">
        <v>719</v>
      </c>
      <c r="J3002" s="73">
        <f>+P2982+P2984+P2986+P2988</f>
        <v>1270000</v>
      </c>
      <c r="K3002" s="74">
        <f>+L2965</f>
        <v>52120000</v>
      </c>
      <c r="L3002" s="195">
        <f>+J3002+K3002</f>
        <v>53390000</v>
      </c>
    </row>
    <row r="3003" spans="9:16">
      <c r="I3003" s="72">
        <v>721</v>
      </c>
      <c r="J3003" s="80">
        <f>+P2983+P2985+P2987+P2989+P2991</f>
        <v>381000</v>
      </c>
      <c r="K3003" s="74">
        <f>+L2966</f>
        <v>178804546</v>
      </c>
      <c r="L3003" s="195">
        <f>+J3003+K3003</f>
        <v>179185546</v>
      </c>
    </row>
    <row r="3004" spans="9:16">
      <c r="I3004" s="72">
        <v>722</v>
      </c>
      <c r="J3004" s="80"/>
      <c r="K3004" s="74">
        <f>+L2967</f>
        <v>48461706</v>
      </c>
      <c r="L3004" s="195">
        <f>+J3004+K3004</f>
        <v>48461706</v>
      </c>
    </row>
    <row r="3005" spans="9:16" ht="15.75">
      <c r="I3005" s="72">
        <v>723</v>
      </c>
      <c r="J3005" s="80"/>
      <c r="K3005" s="74">
        <f>+L2968</f>
        <v>291281211</v>
      </c>
      <c r="L3005" s="195">
        <f>+J3005+K3005</f>
        <v>291281211</v>
      </c>
      <c r="N3005" s="193" t="s">
        <v>1028</v>
      </c>
      <c r="O3005" s="175"/>
    </row>
    <row r="3006" spans="9:16" ht="16.5" thickBot="1">
      <c r="I3006" s="164" t="s">
        <v>1077</v>
      </c>
      <c r="J3006" s="165"/>
      <c r="K3006" s="74">
        <f>+L2969</f>
        <v>797500</v>
      </c>
      <c r="L3006" s="196">
        <f>+J3006+K3006</f>
        <v>797500</v>
      </c>
      <c r="N3006" s="52"/>
    </row>
    <row r="3007" spans="9:16" ht="16.5" thickBot="1">
      <c r="I3007" s="169"/>
      <c r="J3007" s="197">
        <f>SUM(J3002:J3006)</f>
        <v>1651000</v>
      </c>
      <c r="K3007" s="197">
        <f>SUM(K3002:K3006)</f>
        <v>571464963</v>
      </c>
      <c r="L3007" s="198">
        <f>SUM(L3002:L3006)</f>
        <v>573115963</v>
      </c>
    </row>
    <row r="3008" spans="9:16" ht="16.5">
      <c r="I3008" s="49" t="s">
        <v>88</v>
      </c>
      <c r="J3008" s="50"/>
    </row>
    <row r="3009" spans="9:16">
      <c r="I3009" s="51" t="s">
        <v>89</v>
      </c>
    </row>
    <row r="3010" spans="9:16">
      <c r="I3010" s="51" t="s">
        <v>90</v>
      </c>
    </row>
    <row r="3011" spans="9:16">
      <c r="I3011" s="51" t="s">
        <v>91</v>
      </c>
    </row>
    <row r="3012" spans="9:16" ht="12" customHeight="1">
      <c r="I3012" s="50"/>
      <c r="J3012" s="50"/>
    </row>
    <row r="3013" spans="9:16" ht="15.75">
      <c r="I3013" s="260" t="s">
        <v>1206</v>
      </c>
      <c r="O3013" s="52"/>
    </row>
    <row r="3014" spans="9:16" ht="15.75">
      <c r="I3014" s="53" t="s">
        <v>535</v>
      </c>
      <c r="O3014" s="53"/>
    </row>
    <row r="3015" spans="9:16" ht="16.5">
      <c r="I3015" s="894" t="s">
        <v>909</v>
      </c>
      <c r="J3015" s="894"/>
      <c r="K3015" s="894"/>
      <c r="L3015" s="894"/>
      <c r="M3015" s="894"/>
      <c r="N3015" s="894"/>
      <c r="O3015" s="894"/>
      <c r="P3015" s="894"/>
    </row>
    <row r="3016" spans="9:16" ht="15.75" thickBot="1"/>
    <row r="3017" spans="9:16">
      <c r="I3017" s="895" t="s">
        <v>94</v>
      </c>
      <c r="J3017" s="897" t="s">
        <v>95</v>
      </c>
      <c r="K3017" s="897" t="s">
        <v>96</v>
      </c>
      <c r="L3017" s="897" t="s">
        <v>3</v>
      </c>
      <c r="M3017" s="897" t="s">
        <v>97</v>
      </c>
      <c r="N3017" s="897" t="s">
        <v>98</v>
      </c>
      <c r="O3017" s="897" t="s">
        <v>99</v>
      </c>
      <c r="P3017" s="899"/>
    </row>
    <row r="3018" spans="9:16" ht="15.75" thickBot="1">
      <c r="I3018" s="896"/>
      <c r="J3018" s="898"/>
      <c r="K3018" s="898"/>
      <c r="L3018" s="898"/>
      <c r="M3018" s="898"/>
      <c r="N3018" s="898"/>
      <c r="O3018" s="240" t="s">
        <v>100</v>
      </c>
      <c r="P3018" s="182" t="s">
        <v>101</v>
      </c>
    </row>
    <row r="3019" spans="9:16">
      <c r="I3019" s="881">
        <v>324</v>
      </c>
      <c r="J3019" s="875">
        <v>42692</v>
      </c>
      <c r="K3019" s="877" t="s">
        <v>1014</v>
      </c>
      <c r="L3019" s="879" t="s">
        <v>1207</v>
      </c>
      <c r="M3019" s="881" t="s">
        <v>115</v>
      </c>
      <c r="N3019" s="883">
        <v>70000</v>
      </c>
      <c r="O3019" s="55">
        <v>719</v>
      </c>
      <c r="P3019" s="78">
        <v>70000</v>
      </c>
    </row>
    <row r="3020" spans="9:16" ht="15.75" thickBot="1">
      <c r="I3020" s="882"/>
      <c r="J3020" s="876"/>
      <c r="K3020" s="878"/>
      <c r="L3020" s="880"/>
      <c r="M3020" s="882"/>
      <c r="N3020" s="884"/>
      <c r="O3020" s="56">
        <v>721</v>
      </c>
      <c r="P3020" s="79">
        <f>+N3019-P3019</f>
        <v>0</v>
      </c>
    </row>
    <row r="3021" spans="9:16" ht="15" customHeight="1">
      <c r="I3021" s="881">
        <v>325</v>
      </c>
      <c r="J3021" s="875">
        <v>42692</v>
      </c>
      <c r="K3021" s="877" t="s">
        <v>28</v>
      </c>
      <c r="L3021" s="879" t="s">
        <v>1208</v>
      </c>
      <c r="M3021" s="881" t="s">
        <v>115</v>
      </c>
      <c r="N3021" s="883">
        <v>80000</v>
      </c>
      <c r="O3021" s="55">
        <v>719</v>
      </c>
      <c r="P3021" s="78">
        <v>80000</v>
      </c>
    </row>
    <row r="3022" spans="9:16" ht="15.75" customHeight="1" thickBot="1">
      <c r="I3022" s="882"/>
      <c r="J3022" s="876"/>
      <c r="K3022" s="878"/>
      <c r="L3022" s="880"/>
      <c r="M3022" s="882"/>
      <c r="N3022" s="884"/>
      <c r="O3022" s="56">
        <v>721</v>
      </c>
      <c r="P3022" s="79">
        <f>+N3021-P3021</f>
        <v>0</v>
      </c>
    </row>
    <row r="3023" spans="9:16" ht="15" customHeight="1">
      <c r="I3023" s="881">
        <v>326</v>
      </c>
      <c r="J3023" s="875">
        <v>42692</v>
      </c>
      <c r="K3023" s="877" t="s">
        <v>120</v>
      </c>
      <c r="L3023" s="879" t="s">
        <v>1209</v>
      </c>
      <c r="M3023" s="881" t="s">
        <v>115</v>
      </c>
      <c r="N3023" s="883">
        <v>110000</v>
      </c>
      <c r="O3023" s="55">
        <v>719</v>
      </c>
      <c r="P3023" s="78">
        <v>110000</v>
      </c>
    </row>
    <row r="3024" spans="9:16" ht="15.75" customHeight="1" thickBot="1">
      <c r="I3024" s="882"/>
      <c r="J3024" s="876"/>
      <c r="K3024" s="878"/>
      <c r="L3024" s="880"/>
      <c r="M3024" s="882"/>
      <c r="N3024" s="884"/>
      <c r="O3024" s="56">
        <v>721</v>
      </c>
      <c r="P3024" s="79">
        <f>+N3023-P3023</f>
        <v>0</v>
      </c>
    </row>
    <row r="3025" spans="9:16">
      <c r="I3025" s="881"/>
      <c r="J3025" s="875"/>
      <c r="K3025" s="877"/>
      <c r="L3025" s="879"/>
      <c r="M3025" s="881"/>
      <c r="N3025" s="883"/>
      <c r="O3025" s="55">
        <v>719</v>
      </c>
      <c r="P3025" s="78">
        <v>0</v>
      </c>
    </row>
    <row r="3026" spans="9:16" ht="15.75" thickBot="1">
      <c r="I3026" s="882"/>
      <c r="J3026" s="876"/>
      <c r="K3026" s="878"/>
      <c r="L3026" s="880"/>
      <c r="M3026" s="882"/>
      <c r="N3026" s="884"/>
      <c r="O3026" s="56">
        <v>721</v>
      </c>
      <c r="P3026" s="79">
        <f>+N3025-P3025</f>
        <v>0</v>
      </c>
    </row>
    <row r="3027" spans="9:16">
      <c r="I3027" s="881"/>
      <c r="J3027" s="875"/>
      <c r="K3027" s="877"/>
      <c r="L3027" s="879"/>
      <c r="M3027" s="881"/>
      <c r="N3027" s="883"/>
      <c r="O3027" s="55">
        <v>719</v>
      </c>
      <c r="P3027" s="78"/>
    </row>
    <row r="3028" spans="9:16" ht="15.75" thickBot="1">
      <c r="I3028" s="882"/>
      <c r="J3028" s="876"/>
      <c r="K3028" s="878"/>
      <c r="L3028" s="880"/>
      <c r="M3028" s="882"/>
      <c r="N3028" s="884"/>
      <c r="O3028" s="56">
        <v>721</v>
      </c>
      <c r="P3028" s="79">
        <f>+N3027-P3027</f>
        <v>0</v>
      </c>
    </row>
    <row r="3029" spans="9:16" ht="16.5" thickBot="1">
      <c r="I3029" s="901" t="s">
        <v>102</v>
      </c>
      <c r="J3029" s="902"/>
      <c r="K3029" s="902"/>
      <c r="L3029" s="902"/>
      <c r="M3029" s="903"/>
      <c r="N3029" s="81">
        <f>SUM(N3019:N3028)</f>
        <v>260000</v>
      </c>
    </row>
    <row r="3030" spans="9:16" ht="16.5" thickBot="1">
      <c r="I3030" s="885" t="s">
        <v>103</v>
      </c>
      <c r="J3030" s="886"/>
      <c r="K3030" s="886"/>
      <c r="L3030" s="886"/>
      <c r="M3030" s="887"/>
      <c r="N3030" s="69">
        <f>+N2994</f>
        <v>573185963</v>
      </c>
      <c r="O3030" s="241" t="s">
        <v>561</v>
      </c>
      <c r="P3030" s="242">
        <f>235+115+352</f>
        <v>702</v>
      </c>
    </row>
    <row r="3031" spans="9:16" ht="16.5" thickBot="1">
      <c r="I3031" s="888" t="s">
        <v>104</v>
      </c>
      <c r="J3031" s="889"/>
      <c r="K3031" s="889"/>
      <c r="L3031" s="889"/>
      <c r="M3031" s="890"/>
      <c r="N3031" s="183">
        <f>SUM(N3029:N3030)</f>
        <v>573445963</v>
      </c>
    </row>
    <row r="3032" spans="9:16">
      <c r="I3032" s="61"/>
      <c r="J3032" s="61"/>
      <c r="K3032" s="61"/>
      <c r="L3032" s="61"/>
      <c r="M3032" s="61"/>
    </row>
    <row r="3033" spans="9:16">
      <c r="I3033" s="51" t="s">
        <v>1210</v>
      </c>
    </row>
    <row r="3034" spans="9:16" ht="11.25" customHeight="1">
      <c r="N3034" s="139"/>
    </row>
    <row r="3035" spans="9:16">
      <c r="I3035" s="50" t="s">
        <v>105</v>
      </c>
      <c r="L3035" s="146"/>
      <c r="N3035" s="139"/>
    </row>
    <row r="3036" spans="9:16" ht="13.5" customHeight="1" thickBot="1"/>
    <row r="3037" spans="9:16" ht="15.75" thickBot="1">
      <c r="I3037" s="891" t="s">
        <v>106</v>
      </c>
      <c r="J3037" s="892"/>
      <c r="K3037" s="892"/>
      <c r="L3037" s="893"/>
      <c r="N3037" s="50" t="s">
        <v>1126</v>
      </c>
    </row>
    <row r="3038" spans="9:16" ht="30.75" thickBot="1">
      <c r="I3038" s="57" t="s">
        <v>100</v>
      </c>
      <c r="J3038" s="58" t="s">
        <v>108</v>
      </c>
      <c r="K3038" s="287" t="s">
        <v>109</v>
      </c>
      <c r="L3038" s="60" t="s">
        <v>110</v>
      </c>
    </row>
    <row r="3039" spans="9:16">
      <c r="I3039" s="71">
        <v>719</v>
      </c>
      <c r="J3039" s="73">
        <f>+P3019+P3021+P3023+P3025</f>
        <v>260000</v>
      </c>
      <c r="K3039" s="74">
        <f>+L3002</f>
        <v>53390000</v>
      </c>
      <c r="L3039" s="195">
        <f>+J3039+K3039</f>
        <v>53650000</v>
      </c>
    </row>
    <row r="3040" spans="9:16">
      <c r="I3040" s="72">
        <v>721</v>
      </c>
      <c r="J3040" s="80">
        <f>+P3020+P3022+P3024+P3026+P3028</f>
        <v>0</v>
      </c>
      <c r="K3040" s="74">
        <f>+L3003</f>
        <v>179185546</v>
      </c>
      <c r="L3040" s="195">
        <f>+J3040+K3040</f>
        <v>179185546</v>
      </c>
    </row>
    <row r="3041" spans="9:16">
      <c r="I3041" s="72">
        <v>722</v>
      </c>
      <c r="J3041" s="80"/>
      <c r="K3041" s="74">
        <f>+L3004</f>
        <v>48461706</v>
      </c>
      <c r="L3041" s="195">
        <f>+J3041+K3041</f>
        <v>48461706</v>
      </c>
    </row>
    <row r="3042" spans="9:16" ht="15.75">
      <c r="I3042" s="72">
        <v>723</v>
      </c>
      <c r="J3042" s="80"/>
      <c r="K3042" s="74">
        <f>+L3005</f>
        <v>291281211</v>
      </c>
      <c r="L3042" s="195">
        <f>+J3042+K3042</f>
        <v>291281211</v>
      </c>
      <c r="N3042" s="193" t="s">
        <v>1028</v>
      </c>
      <c r="O3042" s="175"/>
    </row>
    <row r="3043" spans="9:16" ht="16.5" thickBot="1">
      <c r="I3043" s="164" t="s">
        <v>1077</v>
      </c>
      <c r="J3043" s="165"/>
      <c r="K3043" s="74">
        <f>+L3006</f>
        <v>797500</v>
      </c>
      <c r="L3043" s="196">
        <f>+J3043+K3043</f>
        <v>797500</v>
      </c>
      <c r="N3043" s="52"/>
    </row>
    <row r="3044" spans="9:16" ht="16.5" thickBot="1">
      <c r="I3044" s="169"/>
      <c r="J3044" s="197">
        <f>SUM(J3039:J3043)</f>
        <v>260000</v>
      </c>
      <c r="K3044" s="197">
        <f>SUM(K3039:K3043)</f>
        <v>573115963</v>
      </c>
      <c r="L3044" s="198">
        <f>SUM(L3039:L3043)</f>
        <v>573375963</v>
      </c>
    </row>
    <row r="3045" spans="9:16" ht="16.5">
      <c r="I3045" s="49" t="s">
        <v>88</v>
      </c>
      <c r="J3045" s="50"/>
    </row>
    <row r="3046" spans="9:16">
      <c r="I3046" s="51" t="s">
        <v>89</v>
      </c>
    </row>
    <row r="3047" spans="9:16">
      <c r="I3047" s="51" t="s">
        <v>90</v>
      </c>
    </row>
    <row r="3048" spans="9:16">
      <c r="I3048" s="51" t="s">
        <v>91</v>
      </c>
    </row>
    <row r="3049" spans="9:16" ht="11.25" customHeight="1">
      <c r="I3049" s="50"/>
      <c r="J3049" s="50"/>
    </row>
    <row r="3050" spans="9:16" ht="15.75">
      <c r="I3050" s="260" t="s">
        <v>1217</v>
      </c>
      <c r="O3050" s="52"/>
    </row>
    <row r="3051" spans="9:16" ht="15.75">
      <c r="I3051" s="53" t="s">
        <v>535</v>
      </c>
      <c r="O3051" s="53"/>
    </row>
    <row r="3052" spans="9:16" ht="16.5">
      <c r="I3052" s="894" t="s">
        <v>909</v>
      </c>
      <c r="J3052" s="894"/>
      <c r="K3052" s="894"/>
      <c r="L3052" s="894"/>
      <c r="M3052" s="894"/>
      <c r="N3052" s="894"/>
      <c r="O3052" s="894"/>
      <c r="P3052" s="894"/>
    </row>
    <row r="3053" spans="9:16" ht="15.75" thickBot="1"/>
    <row r="3054" spans="9:16">
      <c r="I3054" s="895" t="s">
        <v>94</v>
      </c>
      <c r="J3054" s="897" t="s">
        <v>95</v>
      </c>
      <c r="K3054" s="897" t="s">
        <v>96</v>
      </c>
      <c r="L3054" s="897" t="s">
        <v>3</v>
      </c>
      <c r="M3054" s="897" t="s">
        <v>97</v>
      </c>
      <c r="N3054" s="897" t="s">
        <v>98</v>
      </c>
      <c r="O3054" s="897" t="s">
        <v>99</v>
      </c>
      <c r="P3054" s="899"/>
    </row>
    <row r="3055" spans="9:16" ht="15.75" thickBot="1">
      <c r="I3055" s="896"/>
      <c r="J3055" s="898"/>
      <c r="K3055" s="898"/>
      <c r="L3055" s="898"/>
      <c r="M3055" s="898"/>
      <c r="N3055" s="898"/>
      <c r="O3055" s="240" t="s">
        <v>100</v>
      </c>
      <c r="P3055" s="182" t="s">
        <v>101</v>
      </c>
    </row>
    <row r="3056" spans="9:16">
      <c r="I3056" s="881">
        <v>327</v>
      </c>
      <c r="J3056" s="875">
        <v>42703</v>
      </c>
      <c r="K3056" s="877" t="s">
        <v>1014</v>
      </c>
      <c r="L3056" s="879" t="s">
        <v>1218</v>
      </c>
      <c r="M3056" s="881" t="s">
        <v>115</v>
      </c>
      <c r="N3056" s="883">
        <v>50000</v>
      </c>
      <c r="O3056" s="55">
        <v>719</v>
      </c>
      <c r="P3056" s="78">
        <v>50000</v>
      </c>
    </row>
    <row r="3057" spans="9:16" ht="15.75" thickBot="1">
      <c r="I3057" s="882"/>
      <c r="J3057" s="876"/>
      <c r="K3057" s="878"/>
      <c r="L3057" s="880"/>
      <c r="M3057" s="882"/>
      <c r="N3057" s="884"/>
      <c r="O3057" s="56">
        <v>721</v>
      </c>
      <c r="P3057" s="79">
        <f>+N3056-P3056</f>
        <v>0</v>
      </c>
    </row>
    <row r="3058" spans="9:16" ht="15" customHeight="1">
      <c r="I3058" s="881">
        <v>328</v>
      </c>
      <c r="J3058" s="875">
        <v>42703</v>
      </c>
      <c r="K3058" s="877" t="s">
        <v>28</v>
      </c>
      <c r="L3058" s="879" t="s">
        <v>1218</v>
      </c>
      <c r="M3058" s="881" t="s">
        <v>115</v>
      </c>
      <c r="N3058" s="883">
        <v>50000</v>
      </c>
      <c r="O3058" s="55">
        <v>719</v>
      </c>
      <c r="P3058" s="78">
        <v>50000</v>
      </c>
    </row>
    <row r="3059" spans="9:16" ht="15.75" customHeight="1" thickBot="1">
      <c r="I3059" s="882"/>
      <c r="J3059" s="876"/>
      <c r="K3059" s="878"/>
      <c r="L3059" s="880"/>
      <c r="M3059" s="882"/>
      <c r="N3059" s="884"/>
      <c r="O3059" s="56">
        <v>721</v>
      </c>
      <c r="P3059" s="79">
        <f>+N3058-P3058</f>
        <v>0</v>
      </c>
    </row>
    <row r="3060" spans="9:16" ht="15" customHeight="1">
      <c r="I3060" s="881">
        <v>329</v>
      </c>
      <c r="J3060" s="875">
        <v>42703</v>
      </c>
      <c r="K3060" s="877" t="s">
        <v>120</v>
      </c>
      <c r="L3060" s="879" t="s">
        <v>1219</v>
      </c>
      <c r="M3060" s="881" t="s">
        <v>115</v>
      </c>
      <c r="N3060" s="883">
        <v>30000</v>
      </c>
      <c r="O3060" s="55">
        <v>719</v>
      </c>
      <c r="P3060" s="78">
        <v>30000</v>
      </c>
    </row>
    <row r="3061" spans="9:16" ht="15.75" customHeight="1" thickBot="1">
      <c r="I3061" s="882"/>
      <c r="J3061" s="876"/>
      <c r="K3061" s="878"/>
      <c r="L3061" s="880"/>
      <c r="M3061" s="882"/>
      <c r="N3061" s="884"/>
      <c r="O3061" s="56">
        <v>721</v>
      </c>
      <c r="P3061" s="79">
        <f>+N3060-P3060</f>
        <v>0</v>
      </c>
    </row>
    <row r="3062" spans="9:16">
      <c r="I3062" s="881">
        <v>330</v>
      </c>
      <c r="J3062" s="875">
        <v>42703</v>
      </c>
      <c r="K3062" s="877" t="s">
        <v>674</v>
      </c>
      <c r="L3062" s="879" t="s">
        <v>1221</v>
      </c>
      <c r="M3062" s="881" t="s">
        <v>148</v>
      </c>
      <c r="N3062" s="883">
        <v>1350000</v>
      </c>
      <c r="O3062" s="55">
        <v>719</v>
      </c>
      <c r="P3062" s="78">
        <v>0</v>
      </c>
    </row>
    <row r="3063" spans="9:16" ht="15.75" thickBot="1">
      <c r="I3063" s="882"/>
      <c r="J3063" s="876"/>
      <c r="K3063" s="878"/>
      <c r="L3063" s="880"/>
      <c r="M3063" s="882"/>
      <c r="N3063" s="884"/>
      <c r="O3063" s="56">
        <v>723</v>
      </c>
      <c r="P3063" s="79">
        <f>+N3062-P3062</f>
        <v>1350000</v>
      </c>
    </row>
    <row r="3064" spans="9:16">
      <c r="I3064" s="881"/>
      <c r="J3064" s="875"/>
      <c r="K3064" s="877"/>
      <c r="L3064" s="879"/>
      <c r="M3064" s="881"/>
      <c r="N3064" s="883"/>
      <c r="O3064" s="55">
        <v>719</v>
      </c>
      <c r="P3064" s="78"/>
    </row>
    <row r="3065" spans="9:16" ht="15.75" thickBot="1">
      <c r="I3065" s="882"/>
      <c r="J3065" s="876"/>
      <c r="K3065" s="878"/>
      <c r="L3065" s="880"/>
      <c r="M3065" s="882"/>
      <c r="N3065" s="884"/>
      <c r="O3065" s="56">
        <v>721</v>
      </c>
      <c r="P3065" s="79">
        <f>+N3064-P3064</f>
        <v>0</v>
      </c>
    </row>
    <row r="3066" spans="9:16" ht="16.5" thickBot="1">
      <c r="I3066" s="901" t="s">
        <v>102</v>
      </c>
      <c r="J3066" s="902"/>
      <c r="K3066" s="902"/>
      <c r="L3066" s="902"/>
      <c r="M3066" s="903"/>
      <c r="N3066" s="81">
        <f>SUM(N3056:N3065)</f>
        <v>1480000</v>
      </c>
    </row>
    <row r="3067" spans="9:16" ht="16.5" thickBot="1">
      <c r="I3067" s="885" t="s">
        <v>103</v>
      </c>
      <c r="J3067" s="886"/>
      <c r="K3067" s="886"/>
      <c r="L3067" s="886"/>
      <c r="M3067" s="887"/>
      <c r="N3067" s="69">
        <f>+N3031</f>
        <v>573445963</v>
      </c>
      <c r="O3067" s="241" t="s">
        <v>561</v>
      </c>
      <c r="P3067" s="242">
        <f>48+92+184</f>
        <v>324</v>
      </c>
    </row>
    <row r="3068" spans="9:16" ht="16.5" thickBot="1">
      <c r="I3068" s="888" t="s">
        <v>104</v>
      </c>
      <c r="J3068" s="889"/>
      <c r="K3068" s="889"/>
      <c r="L3068" s="889"/>
      <c r="M3068" s="890"/>
      <c r="N3068" s="183">
        <f>SUM(N3066:N3067)</f>
        <v>574925963</v>
      </c>
    </row>
    <row r="3069" spans="9:16" ht="12" customHeight="1">
      <c r="I3069" s="61"/>
      <c r="J3069" s="61"/>
      <c r="K3069" s="61"/>
      <c r="L3069" s="61"/>
      <c r="M3069" s="61"/>
    </row>
    <row r="3070" spans="9:16">
      <c r="I3070" s="51" t="s">
        <v>1220</v>
      </c>
    </row>
    <row r="3071" spans="9:16" ht="12" customHeight="1">
      <c r="N3071" s="139"/>
    </row>
    <row r="3072" spans="9:16">
      <c r="I3072" s="50" t="s">
        <v>105</v>
      </c>
      <c r="L3072" s="146"/>
      <c r="N3072" s="139"/>
    </row>
    <row r="3073" spans="9:15" ht="12.75" customHeight="1" thickBot="1"/>
    <row r="3074" spans="9:15" ht="15.75" thickBot="1">
      <c r="I3074" s="891" t="s">
        <v>106</v>
      </c>
      <c r="J3074" s="892"/>
      <c r="K3074" s="892"/>
      <c r="L3074" s="893"/>
      <c r="N3074" s="50" t="s">
        <v>288</v>
      </c>
    </row>
    <row r="3075" spans="9:15" ht="30.75" thickBot="1">
      <c r="I3075" s="57" t="s">
        <v>100</v>
      </c>
      <c r="J3075" s="58" t="s">
        <v>108</v>
      </c>
      <c r="K3075" s="287" t="s">
        <v>109</v>
      </c>
      <c r="L3075" s="60" t="s">
        <v>110</v>
      </c>
    </row>
    <row r="3076" spans="9:15">
      <c r="I3076" s="71">
        <v>719</v>
      </c>
      <c r="J3076" s="73">
        <f>+P3056+P3058+P3060+P3062</f>
        <v>130000</v>
      </c>
      <c r="K3076" s="74">
        <f>+L3039</f>
        <v>53650000</v>
      </c>
      <c r="L3076" s="195">
        <f>+J3076+K3076</f>
        <v>53780000</v>
      </c>
    </row>
    <row r="3077" spans="9:15">
      <c r="I3077" s="72">
        <v>721</v>
      </c>
      <c r="J3077" s="80"/>
      <c r="K3077" s="74">
        <f>+L3040</f>
        <v>179185546</v>
      </c>
      <c r="L3077" s="195">
        <f>+J3077+K3077</f>
        <v>179185546</v>
      </c>
    </row>
    <row r="3078" spans="9:15">
      <c r="I3078" s="72">
        <v>722</v>
      </c>
      <c r="J3078" s="80"/>
      <c r="K3078" s="74">
        <f>+L3041</f>
        <v>48461706</v>
      </c>
      <c r="L3078" s="195">
        <f>+J3078+K3078</f>
        <v>48461706</v>
      </c>
    </row>
    <row r="3079" spans="9:15" ht="15.75">
      <c r="I3079" s="72">
        <v>723</v>
      </c>
      <c r="J3079" s="80">
        <f>+P3063</f>
        <v>1350000</v>
      </c>
      <c r="K3079" s="74">
        <f>+L3042</f>
        <v>291281211</v>
      </c>
      <c r="L3079" s="195">
        <f>+J3079+K3079</f>
        <v>292631211</v>
      </c>
      <c r="N3079" s="193" t="s">
        <v>289</v>
      </c>
      <c r="O3079" s="175"/>
    </row>
    <row r="3080" spans="9:15" ht="16.5" thickBot="1">
      <c r="I3080" s="164" t="s">
        <v>1077</v>
      </c>
      <c r="J3080" s="165"/>
      <c r="K3080" s="74">
        <f>+L3043</f>
        <v>797500</v>
      </c>
      <c r="L3080" s="196">
        <f>+J3080+K3080</f>
        <v>797500</v>
      </c>
      <c r="N3080" s="52"/>
    </row>
    <row r="3081" spans="9:15" ht="16.5" thickBot="1">
      <c r="I3081" s="169"/>
      <c r="J3081" s="197">
        <f>SUM(J3076:J3080)</f>
        <v>1480000</v>
      </c>
      <c r="K3081" s="197">
        <f>SUM(K3076:K3080)</f>
        <v>573375963</v>
      </c>
      <c r="L3081" s="198">
        <f>SUM(L3076:L3080)</f>
        <v>574855963</v>
      </c>
    </row>
    <row r="3082" spans="9:15" ht="16.5">
      <c r="I3082" s="49" t="s">
        <v>88</v>
      </c>
      <c r="J3082" s="50"/>
    </row>
    <row r="3083" spans="9:15">
      <c r="I3083" s="51" t="s">
        <v>89</v>
      </c>
    </row>
    <row r="3084" spans="9:15">
      <c r="I3084" s="51" t="s">
        <v>90</v>
      </c>
    </row>
    <row r="3085" spans="9:15">
      <c r="I3085" s="51" t="s">
        <v>91</v>
      </c>
    </row>
    <row r="3086" spans="9:15" ht="12" customHeight="1">
      <c r="I3086" s="50"/>
      <c r="J3086" s="50"/>
    </row>
    <row r="3087" spans="9:15" ht="15.75">
      <c r="I3087" s="260" t="s">
        <v>1222</v>
      </c>
      <c r="O3087" s="52"/>
    </row>
    <row r="3088" spans="9:15" ht="15.75">
      <c r="I3088" s="53" t="s">
        <v>535</v>
      </c>
      <c r="O3088" s="53"/>
    </row>
    <row r="3089" spans="9:16" ht="16.5">
      <c r="I3089" s="894" t="s">
        <v>170</v>
      </c>
      <c r="J3089" s="894"/>
      <c r="K3089" s="894"/>
      <c r="L3089" s="894"/>
      <c r="M3089" s="894"/>
      <c r="N3089" s="894"/>
      <c r="O3089" s="894"/>
      <c r="P3089" s="894"/>
    </row>
    <row r="3090" spans="9:16" ht="15.75" thickBot="1"/>
    <row r="3091" spans="9:16">
      <c r="I3091" s="895" t="s">
        <v>94</v>
      </c>
      <c r="J3091" s="897" t="s">
        <v>95</v>
      </c>
      <c r="K3091" s="897" t="s">
        <v>96</v>
      </c>
      <c r="L3091" s="897" t="s">
        <v>3</v>
      </c>
      <c r="M3091" s="897" t="s">
        <v>97</v>
      </c>
      <c r="N3091" s="897" t="s">
        <v>98</v>
      </c>
      <c r="O3091" s="897" t="s">
        <v>99</v>
      </c>
      <c r="P3091" s="899"/>
    </row>
    <row r="3092" spans="9:16" ht="15.75" thickBot="1">
      <c r="I3092" s="896"/>
      <c r="J3092" s="898"/>
      <c r="K3092" s="898"/>
      <c r="L3092" s="898"/>
      <c r="M3092" s="898"/>
      <c r="N3092" s="898"/>
      <c r="O3092" s="240" t="s">
        <v>100</v>
      </c>
      <c r="P3092" s="182" t="s">
        <v>101</v>
      </c>
    </row>
    <row r="3093" spans="9:16">
      <c r="I3093" s="881">
        <v>331</v>
      </c>
      <c r="J3093" s="875">
        <v>42704</v>
      </c>
      <c r="K3093" s="877" t="s">
        <v>1014</v>
      </c>
      <c r="L3093" s="879" t="s">
        <v>1224</v>
      </c>
      <c r="M3093" s="881" t="s">
        <v>115</v>
      </c>
      <c r="N3093" s="883">
        <v>70000</v>
      </c>
      <c r="O3093" s="55">
        <v>719</v>
      </c>
      <c r="P3093" s="78">
        <v>70000</v>
      </c>
    </row>
    <row r="3094" spans="9:16" ht="15.75" thickBot="1">
      <c r="I3094" s="882"/>
      <c r="J3094" s="876"/>
      <c r="K3094" s="878"/>
      <c r="L3094" s="880"/>
      <c r="M3094" s="882"/>
      <c r="N3094" s="884"/>
      <c r="O3094" s="56">
        <v>721</v>
      </c>
      <c r="P3094" s="79">
        <f>+N3093-P3093</f>
        <v>0</v>
      </c>
    </row>
    <row r="3095" spans="9:16" ht="15" customHeight="1">
      <c r="I3095" s="881">
        <v>332</v>
      </c>
      <c r="J3095" s="875">
        <v>42704</v>
      </c>
      <c r="K3095" s="877" t="s">
        <v>28</v>
      </c>
      <c r="L3095" s="879" t="s">
        <v>1224</v>
      </c>
      <c r="M3095" s="881" t="s">
        <v>115</v>
      </c>
      <c r="N3095" s="883">
        <v>70000</v>
      </c>
      <c r="O3095" s="55">
        <v>719</v>
      </c>
      <c r="P3095" s="78">
        <v>70000</v>
      </c>
    </row>
    <row r="3096" spans="9:16" ht="15.75" customHeight="1" thickBot="1">
      <c r="I3096" s="882"/>
      <c r="J3096" s="876"/>
      <c r="K3096" s="878"/>
      <c r="L3096" s="880"/>
      <c r="M3096" s="882"/>
      <c r="N3096" s="884"/>
      <c r="O3096" s="56">
        <v>721</v>
      </c>
      <c r="P3096" s="79">
        <f>+N3095-P3095</f>
        <v>0</v>
      </c>
    </row>
    <row r="3097" spans="9:16" ht="15" customHeight="1">
      <c r="I3097" s="881">
        <v>333</v>
      </c>
      <c r="J3097" s="875">
        <v>42704</v>
      </c>
      <c r="K3097" s="877" t="s">
        <v>120</v>
      </c>
      <c r="L3097" s="879" t="s">
        <v>1224</v>
      </c>
      <c r="M3097" s="881" t="s">
        <v>115</v>
      </c>
      <c r="N3097" s="883">
        <v>110000</v>
      </c>
      <c r="O3097" s="55">
        <v>719</v>
      </c>
      <c r="P3097" s="78">
        <v>110000</v>
      </c>
    </row>
    <row r="3098" spans="9:16" ht="15.75" customHeight="1" thickBot="1">
      <c r="I3098" s="882"/>
      <c r="J3098" s="876"/>
      <c r="K3098" s="878"/>
      <c r="L3098" s="880"/>
      <c r="M3098" s="882"/>
      <c r="N3098" s="884"/>
      <c r="O3098" s="56">
        <v>721</v>
      </c>
      <c r="P3098" s="79">
        <f>+N3097-P3097</f>
        <v>0</v>
      </c>
    </row>
    <row r="3099" spans="9:16" ht="15" customHeight="1">
      <c r="I3099" s="881"/>
      <c r="J3099" s="875"/>
      <c r="K3099" s="877"/>
      <c r="L3099" s="879"/>
      <c r="M3099" s="881"/>
      <c r="N3099" s="883"/>
      <c r="O3099" s="55"/>
      <c r="P3099" s="78"/>
    </row>
    <row r="3100" spans="9:16" ht="15.75" customHeight="1" thickBot="1">
      <c r="I3100" s="882"/>
      <c r="J3100" s="876"/>
      <c r="K3100" s="878"/>
      <c r="L3100" s="880"/>
      <c r="M3100" s="882"/>
      <c r="N3100" s="884"/>
      <c r="O3100" s="56"/>
      <c r="P3100" s="79"/>
    </row>
    <row r="3101" spans="9:16" ht="14.25" customHeight="1">
      <c r="I3101" s="881"/>
      <c r="J3101" s="875"/>
      <c r="K3101" s="877"/>
      <c r="L3101" s="879"/>
      <c r="M3101" s="881"/>
      <c r="N3101" s="883"/>
      <c r="O3101" s="55">
        <v>719</v>
      </c>
      <c r="P3101" s="78"/>
    </row>
    <row r="3102" spans="9:16" ht="13.5" customHeight="1" thickBot="1">
      <c r="I3102" s="882"/>
      <c r="J3102" s="876"/>
      <c r="K3102" s="878"/>
      <c r="L3102" s="880"/>
      <c r="M3102" s="882"/>
      <c r="N3102" s="884"/>
      <c r="O3102" s="56">
        <v>721</v>
      </c>
      <c r="P3102" s="79">
        <f>+N3101-P3101</f>
        <v>0</v>
      </c>
    </row>
    <row r="3103" spans="9:16" ht="16.5" thickBot="1">
      <c r="I3103" s="901" t="s">
        <v>102</v>
      </c>
      <c r="J3103" s="902"/>
      <c r="K3103" s="902"/>
      <c r="L3103" s="902"/>
      <c r="M3103" s="903"/>
      <c r="N3103" s="81">
        <f>SUM(N3093:N3102)</f>
        <v>250000</v>
      </c>
    </row>
    <row r="3104" spans="9:16" ht="16.5" thickBot="1">
      <c r="I3104" s="885" t="s">
        <v>103</v>
      </c>
      <c r="J3104" s="886"/>
      <c r="K3104" s="886"/>
      <c r="L3104" s="886"/>
      <c r="M3104" s="887"/>
      <c r="N3104" s="69">
        <f>+N3068</f>
        <v>574925963</v>
      </c>
      <c r="O3104" s="241" t="s">
        <v>561</v>
      </c>
      <c r="P3104" s="242">
        <f>158+308+108</f>
        <v>574</v>
      </c>
    </row>
    <row r="3105" spans="9:15" ht="16.5" thickBot="1">
      <c r="I3105" s="888" t="s">
        <v>104</v>
      </c>
      <c r="J3105" s="889"/>
      <c r="K3105" s="889"/>
      <c r="L3105" s="889"/>
      <c r="M3105" s="890"/>
      <c r="N3105" s="183">
        <f>SUM(N3103:N3104)</f>
        <v>575175963</v>
      </c>
    </row>
    <row r="3106" spans="9:15">
      <c r="I3106" s="61"/>
      <c r="J3106" s="61"/>
      <c r="K3106" s="61"/>
      <c r="L3106" s="61"/>
      <c r="M3106" s="61"/>
    </row>
    <row r="3107" spans="9:15">
      <c r="I3107" s="51" t="s">
        <v>1228</v>
      </c>
    </row>
    <row r="3108" spans="9:15" ht="12.75" customHeight="1">
      <c r="N3108" s="139"/>
    </row>
    <row r="3109" spans="9:15">
      <c r="I3109" s="50" t="s">
        <v>105</v>
      </c>
      <c r="L3109" s="146"/>
      <c r="N3109" s="139"/>
    </row>
    <row r="3110" spans="9:15" ht="12.75" customHeight="1" thickBot="1"/>
    <row r="3111" spans="9:15" ht="15.75" thickBot="1">
      <c r="I3111" s="891" t="s">
        <v>106</v>
      </c>
      <c r="J3111" s="892"/>
      <c r="K3111" s="892"/>
      <c r="L3111" s="893"/>
      <c r="N3111" s="50" t="s">
        <v>288</v>
      </c>
    </row>
    <row r="3112" spans="9:15" ht="30.75" thickBot="1">
      <c r="I3112" s="57" t="s">
        <v>100</v>
      </c>
      <c r="J3112" s="58" t="s">
        <v>108</v>
      </c>
      <c r="K3112" s="287" t="s">
        <v>109</v>
      </c>
      <c r="L3112" s="60" t="s">
        <v>110</v>
      </c>
    </row>
    <row r="3113" spans="9:15">
      <c r="I3113" s="71">
        <v>719</v>
      </c>
      <c r="J3113" s="73">
        <f>+P3093+P3095+P3097+P3099</f>
        <v>250000</v>
      </c>
      <c r="K3113" s="74">
        <f>+L3076</f>
        <v>53780000</v>
      </c>
      <c r="L3113" s="195">
        <f>+J3113+K3113</f>
        <v>54030000</v>
      </c>
    </row>
    <row r="3114" spans="9:15">
      <c r="I3114" s="72">
        <v>721</v>
      </c>
      <c r="J3114" s="80"/>
      <c r="K3114" s="74">
        <f>+L3077</f>
        <v>179185546</v>
      </c>
      <c r="L3114" s="195">
        <f>+J3114+K3114</f>
        <v>179185546</v>
      </c>
    </row>
    <row r="3115" spans="9:15">
      <c r="I3115" s="72">
        <v>722</v>
      </c>
      <c r="J3115" s="80"/>
      <c r="K3115" s="74">
        <f>+L3078</f>
        <v>48461706</v>
      </c>
      <c r="L3115" s="195">
        <f>+J3115+K3115</f>
        <v>48461706</v>
      </c>
    </row>
    <row r="3116" spans="9:15" ht="15.75">
      <c r="I3116" s="72">
        <v>723</v>
      </c>
      <c r="J3116" s="80">
        <f>+P3100</f>
        <v>0</v>
      </c>
      <c r="K3116" s="74">
        <f>+L3079</f>
        <v>292631211</v>
      </c>
      <c r="L3116" s="195">
        <f>+J3116+K3116</f>
        <v>292631211</v>
      </c>
      <c r="N3116" s="193" t="s">
        <v>289</v>
      </c>
      <c r="O3116" s="175"/>
    </row>
    <row r="3117" spans="9:15" ht="16.5" thickBot="1">
      <c r="I3117" s="164" t="s">
        <v>1077</v>
      </c>
      <c r="J3117" s="165"/>
      <c r="K3117" s="74">
        <f>+L3080</f>
        <v>797500</v>
      </c>
      <c r="L3117" s="196">
        <f>+J3117+K3117</f>
        <v>797500</v>
      </c>
      <c r="N3117" s="52"/>
    </row>
    <row r="3118" spans="9:15" ht="16.5" thickBot="1">
      <c r="I3118" s="169"/>
      <c r="J3118" s="197">
        <f>SUM(J3113:J3117)</f>
        <v>250000</v>
      </c>
      <c r="K3118" s="197">
        <f>SUM(K3113:K3117)</f>
        <v>574855963</v>
      </c>
      <c r="L3118" s="198">
        <f>SUM(L3113:L3117)</f>
        <v>575105963</v>
      </c>
    </row>
    <row r="3119" spans="9:15" ht="16.5">
      <c r="I3119" s="49" t="s">
        <v>88</v>
      </c>
      <c r="J3119" s="50"/>
    </row>
    <row r="3120" spans="9:15">
      <c r="I3120" s="51" t="s">
        <v>89</v>
      </c>
    </row>
    <row r="3121" spans="9:16">
      <c r="I3121" s="51" t="s">
        <v>90</v>
      </c>
    </row>
    <row r="3122" spans="9:16">
      <c r="I3122" s="51" t="s">
        <v>91</v>
      </c>
    </row>
    <row r="3123" spans="9:16" ht="12" customHeight="1">
      <c r="I3123" s="50"/>
      <c r="J3123" s="50"/>
    </row>
    <row r="3124" spans="9:16" ht="15.75">
      <c r="I3124" s="260" t="s">
        <v>1227</v>
      </c>
      <c r="O3124" s="52"/>
    </row>
    <row r="3125" spans="9:16" ht="15.75">
      <c r="I3125" s="53" t="s">
        <v>535</v>
      </c>
      <c r="O3125" s="53"/>
    </row>
    <row r="3126" spans="9:16" ht="16.5">
      <c r="I3126" s="894" t="s">
        <v>1226</v>
      </c>
      <c r="J3126" s="894"/>
      <c r="K3126" s="894"/>
      <c r="L3126" s="894"/>
      <c r="M3126" s="894"/>
      <c r="N3126" s="894"/>
      <c r="O3126" s="894"/>
      <c r="P3126" s="894"/>
    </row>
    <row r="3127" spans="9:16" ht="15.75" thickBot="1"/>
    <row r="3128" spans="9:16">
      <c r="I3128" s="895" t="s">
        <v>94</v>
      </c>
      <c r="J3128" s="897" t="s">
        <v>95</v>
      </c>
      <c r="K3128" s="897" t="s">
        <v>96</v>
      </c>
      <c r="L3128" s="897" t="s">
        <v>3</v>
      </c>
      <c r="M3128" s="897" t="s">
        <v>97</v>
      </c>
      <c r="N3128" s="897" t="s">
        <v>98</v>
      </c>
      <c r="O3128" s="897" t="s">
        <v>99</v>
      </c>
      <c r="P3128" s="899"/>
    </row>
    <row r="3129" spans="9:16" ht="15.75" thickBot="1">
      <c r="I3129" s="896"/>
      <c r="J3129" s="898"/>
      <c r="K3129" s="898"/>
      <c r="L3129" s="898"/>
      <c r="M3129" s="898"/>
      <c r="N3129" s="898"/>
      <c r="O3129" s="240" t="s">
        <v>100</v>
      </c>
      <c r="P3129" s="182" t="s">
        <v>101</v>
      </c>
    </row>
    <row r="3130" spans="9:16">
      <c r="I3130" s="881">
        <v>334</v>
      </c>
      <c r="J3130" s="875">
        <v>42704</v>
      </c>
      <c r="K3130" s="877" t="s">
        <v>267</v>
      </c>
      <c r="L3130" s="879" t="s">
        <v>1233</v>
      </c>
      <c r="M3130" s="881" t="s">
        <v>148</v>
      </c>
      <c r="N3130" s="883">
        <v>65000</v>
      </c>
      <c r="O3130" s="55">
        <v>719</v>
      </c>
      <c r="P3130" s="78">
        <v>50000</v>
      </c>
    </row>
    <row r="3131" spans="9:16" ht="15.75" thickBot="1">
      <c r="I3131" s="882"/>
      <c r="J3131" s="876"/>
      <c r="K3131" s="878"/>
      <c r="L3131" s="880"/>
      <c r="M3131" s="882"/>
      <c r="N3131" s="884"/>
      <c r="O3131" s="56">
        <v>721</v>
      </c>
      <c r="P3131" s="79">
        <f>+N3130-P3130</f>
        <v>15000</v>
      </c>
    </row>
    <row r="3132" spans="9:16" ht="15" customHeight="1">
      <c r="I3132" s="881">
        <v>335</v>
      </c>
      <c r="J3132" s="875">
        <v>42704</v>
      </c>
      <c r="K3132" s="877" t="s">
        <v>28</v>
      </c>
      <c r="L3132" s="879" t="s">
        <v>1234</v>
      </c>
      <c r="M3132" s="881" t="s">
        <v>148</v>
      </c>
      <c r="N3132" s="883">
        <v>390000</v>
      </c>
      <c r="O3132" s="55">
        <v>719</v>
      </c>
      <c r="P3132" s="78">
        <v>300000</v>
      </c>
    </row>
    <row r="3133" spans="9:16" ht="15.75" customHeight="1" thickBot="1">
      <c r="I3133" s="882"/>
      <c r="J3133" s="876"/>
      <c r="K3133" s="878"/>
      <c r="L3133" s="880"/>
      <c r="M3133" s="882"/>
      <c r="N3133" s="884"/>
      <c r="O3133" s="56">
        <v>721</v>
      </c>
      <c r="P3133" s="79">
        <f>+N3132-P3132</f>
        <v>90000</v>
      </c>
    </row>
    <row r="3134" spans="9:16" ht="15" customHeight="1">
      <c r="I3134" s="881">
        <v>336</v>
      </c>
      <c r="J3134" s="875">
        <v>42704</v>
      </c>
      <c r="K3134" s="877" t="s">
        <v>111</v>
      </c>
      <c r="L3134" s="879" t="s">
        <v>1232</v>
      </c>
      <c r="M3134" s="881" t="s">
        <v>148</v>
      </c>
      <c r="N3134" s="883">
        <v>104000</v>
      </c>
      <c r="O3134" s="55">
        <v>719</v>
      </c>
      <c r="P3134" s="78">
        <v>80000</v>
      </c>
    </row>
    <row r="3135" spans="9:16" ht="15.75" customHeight="1" thickBot="1">
      <c r="I3135" s="882"/>
      <c r="J3135" s="876"/>
      <c r="K3135" s="878"/>
      <c r="L3135" s="880"/>
      <c r="M3135" s="882"/>
      <c r="N3135" s="884"/>
      <c r="O3135" s="56">
        <v>721</v>
      </c>
      <c r="P3135" s="79">
        <f>+N3134-P3134</f>
        <v>24000</v>
      </c>
    </row>
    <row r="3136" spans="9:16" ht="15" customHeight="1">
      <c r="I3136" s="881">
        <v>337</v>
      </c>
      <c r="J3136" s="875">
        <v>42704</v>
      </c>
      <c r="K3136" s="877" t="s">
        <v>1014</v>
      </c>
      <c r="L3136" s="879" t="s">
        <v>1231</v>
      </c>
      <c r="M3136" s="881" t="s">
        <v>148</v>
      </c>
      <c r="N3136" s="883">
        <v>676000</v>
      </c>
      <c r="O3136" s="55">
        <v>719</v>
      </c>
      <c r="P3136" s="78">
        <v>520000</v>
      </c>
    </row>
    <row r="3137" spans="9:16" ht="15.75" customHeight="1" thickBot="1">
      <c r="I3137" s="882"/>
      <c r="J3137" s="876"/>
      <c r="K3137" s="878"/>
      <c r="L3137" s="880"/>
      <c r="M3137" s="882"/>
      <c r="N3137" s="884"/>
      <c r="O3137" s="56">
        <v>721</v>
      </c>
      <c r="P3137" s="79">
        <f>+N3136-P3136</f>
        <v>156000</v>
      </c>
    </row>
    <row r="3138" spans="9:16" ht="15" customHeight="1">
      <c r="I3138" s="881">
        <v>338</v>
      </c>
      <c r="J3138" s="875">
        <v>42704</v>
      </c>
      <c r="K3138" s="877" t="s">
        <v>1223</v>
      </c>
      <c r="L3138" s="879" t="s">
        <v>1225</v>
      </c>
      <c r="M3138" s="881" t="s">
        <v>148</v>
      </c>
      <c r="N3138" s="883">
        <v>6240000</v>
      </c>
      <c r="O3138" s="55">
        <v>719</v>
      </c>
      <c r="P3138" s="78">
        <v>0</v>
      </c>
    </row>
    <row r="3139" spans="9:16" ht="15.75" customHeight="1" thickBot="1">
      <c r="I3139" s="882"/>
      <c r="J3139" s="876"/>
      <c r="K3139" s="878"/>
      <c r="L3139" s="880"/>
      <c r="M3139" s="882"/>
      <c r="N3139" s="884"/>
      <c r="O3139" s="56">
        <v>723</v>
      </c>
      <c r="P3139" s="79">
        <f>+N3138-P3138</f>
        <v>6240000</v>
      </c>
    </row>
    <row r="3140" spans="9:16" ht="16.5" thickBot="1">
      <c r="I3140" s="901" t="s">
        <v>102</v>
      </c>
      <c r="J3140" s="902"/>
      <c r="K3140" s="902"/>
      <c r="L3140" s="902"/>
      <c r="M3140" s="903"/>
      <c r="N3140" s="81">
        <f>SUM(N3130:N3139)</f>
        <v>7475000</v>
      </c>
    </row>
    <row r="3141" spans="9:16" ht="16.5" thickBot="1">
      <c r="I3141" s="885" t="s">
        <v>103</v>
      </c>
      <c r="J3141" s="886"/>
      <c r="K3141" s="886"/>
      <c r="L3141" s="886"/>
      <c r="M3141" s="887"/>
      <c r="N3141" s="69">
        <f>+N3105</f>
        <v>575175963</v>
      </c>
      <c r="O3141" s="241" t="s">
        <v>561</v>
      </c>
      <c r="P3141" s="242">
        <f>33+37+514+915</f>
        <v>1499</v>
      </c>
    </row>
    <row r="3142" spans="9:16" ht="16.5" thickBot="1">
      <c r="I3142" s="888" t="s">
        <v>104</v>
      </c>
      <c r="J3142" s="889"/>
      <c r="K3142" s="889"/>
      <c r="L3142" s="889"/>
      <c r="M3142" s="890"/>
      <c r="N3142" s="183">
        <f>SUM(N3140:N3141)</f>
        <v>582650963</v>
      </c>
    </row>
    <row r="3143" spans="9:16" ht="12.75" customHeight="1">
      <c r="I3143" s="61"/>
      <c r="J3143" s="61"/>
      <c r="K3143" s="61"/>
      <c r="L3143" s="61"/>
      <c r="M3143" s="61"/>
    </row>
    <row r="3144" spans="9:16">
      <c r="I3144" s="51" t="s">
        <v>1230</v>
      </c>
    </row>
    <row r="3145" spans="9:16" ht="13.5" customHeight="1">
      <c r="N3145" s="139"/>
    </row>
    <row r="3146" spans="9:16">
      <c r="I3146" s="50" t="s">
        <v>105</v>
      </c>
      <c r="L3146" s="146"/>
      <c r="N3146" s="139"/>
    </row>
    <row r="3147" spans="9:16" ht="13.5" customHeight="1" thickBot="1"/>
    <row r="3148" spans="9:16" ht="15.75" thickBot="1">
      <c r="I3148" s="891" t="s">
        <v>106</v>
      </c>
      <c r="J3148" s="892"/>
      <c r="K3148" s="892"/>
      <c r="L3148" s="893"/>
      <c r="N3148" s="50" t="s">
        <v>288</v>
      </c>
    </row>
    <row r="3149" spans="9:16" ht="30.75" thickBot="1">
      <c r="I3149" s="57" t="s">
        <v>100</v>
      </c>
      <c r="J3149" s="58" t="s">
        <v>108</v>
      </c>
      <c r="K3149" s="287" t="s">
        <v>109</v>
      </c>
      <c r="L3149" s="60" t="s">
        <v>110</v>
      </c>
    </row>
    <row r="3150" spans="9:16">
      <c r="I3150" s="71">
        <v>719</v>
      </c>
      <c r="J3150" s="73">
        <f>+P3130+P3132+P3134+P3136</f>
        <v>950000</v>
      </c>
      <c r="K3150" s="74">
        <f>+L3113</f>
        <v>54030000</v>
      </c>
      <c r="L3150" s="195">
        <f>+J3150+K3150</f>
        <v>54980000</v>
      </c>
    </row>
    <row r="3151" spans="9:16">
      <c r="I3151" s="72">
        <v>721</v>
      </c>
      <c r="J3151" s="80">
        <f>+P3137+P3135+P3133+P3131</f>
        <v>285000</v>
      </c>
      <c r="K3151" s="74">
        <f>+L3114</f>
        <v>179185546</v>
      </c>
      <c r="L3151" s="195">
        <f>+J3151+K3151</f>
        <v>179470546</v>
      </c>
    </row>
    <row r="3152" spans="9:16">
      <c r="I3152" s="72">
        <v>722</v>
      </c>
      <c r="J3152" s="80"/>
      <c r="K3152" s="74">
        <f>+L3115</f>
        <v>48461706</v>
      </c>
      <c r="L3152" s="195">
        <f>+J3152+K3152</f>
        <v>48461706</v>
      </c>
    </row>
    <row r="3153" spans="9:16" ht="15.75">
      <c r="I3153" s="72">
        <v>723</v>
      </c>
      <c r="J3153" s="80">
        <f>+P3139</f>
        <v>6240000</v>
      </c>
      <c r="K3153" s="74">
        <f>+L3116</f>
        <v>292631211</v>
      </c>
      <c r="L3153" s="195">
        <f>+J3153+K3153</f>
        <v>298871211</v>
      </c>
      <c r="N3153" s="193" t="s">
        <v>289</v>
      </c>
      <c r="O3153" s="175"/>
    </row>
    <row r="3154" spans="9:16" ht="16.5" thickBot="1">
      <c r="I3154" s="164" t="s">
        <v>1077</v>
      </c>
      <c r="J3154" s="165"/>
      <c r="K3154" s="74">
        <f>+L3117</f>
        <v>797500</v>
      </c>
      <c r="L3154" s="196">
        <f>+J3154+K3154</f>
        <v>797500</v>
      </c>
      <c r="N3154" s="52"/>
    </row>
    <row r="3155" spans="9:16" ht="16.5" thickBot="1">
      <c r="I3155" s="169"/>
      <c r="J3155" s="197">
        <f>SUM(J3150:J3154)</f>
        <v>7475000</v>
      </c>
      <c r="K3155" s="197">
        <f>SUM(K3150:K3154)</f>
        <v>575105963</v>
      </c>
      <c r="L3155" s="198">
        <f>SUM(L3150:L3154)</f>
        <v>582580963</v>
      </c>
    </row>
    <row r="3156" spans="9:16" ht="16.5">
      <c r="I3156" s="49" t="s">
        <v>88</v>
      </c>
      <c r="J3156" s="50"/>
    </row>
    <row r="3157" spans="9:16">
      <c r="I3157" s="51" t="s">
        <v>89</v>
      </c>
      <c r="L3157" s="139"/>
    </row>
    <row r="3158" spans="9:16">
      <c r="I3158" s="51" t="s">
        <v>90</v>
      </c>
    </row>
    <row r="3159" spans="9:16">
      <c r="I3159" s="51" t="s">
        <v>91</v>
      </c>
    </row>
    <row r="3160" spans="9:16" ht="9.75" customHeight="1">
      <c r="I3160" s="50"/>
      <c r="J3160" s="50"/>
    </row>
    <row r="3161" spans="9:16" ht="15.75">
      <c r="I3161" s="260" t="s">
        <v>1238</v>
      </c>
      <c r="O3161" s="52"/>
    </row>
    <row r="3162" spans="9:16" ht="15.75">
      <c r="I3162" s="53" t="s">
        <v>535</v>
      </c>
      <c r="O3162" s="53"/>
    </row>
    <row r="3163" spans="9:16" ht="16.5">
      <c r="I3163" s="894" t="s">
        <v>1243</v>
      </c>
      <c r="J3163" s="894"/>
      <c r="K3163" s="894"/>
      <c r="L3163" s="894"/>
      <c r="M3163" s="894"/>
      <c r="N3163" s="894"/>
      <c r="O3163" s="894"/>
      <c r="P3163" s="894"/>
    </row>
    <row r="3164" spans="9:16" ht="13.5" customHeight="1" thickBot="1"/>
    <row r="3165" spans="9:16">
      <c r="I3165" s="895" t="s">
        <v>94</v>
      </c>
      <c r="J3165" s="897" t="s">
        <v>95</v>
      </c>
      <c r="K3165" s="897" t="s">
        <v>96</v>
      </c>
      <c r="L3165" s="897" t="s">
        <v>3</v>
      </c>
      <c r="M3165" s="897" t="s">
        <v>97</v>
      </c>
      <c r="N3165" s="897" t="s">
        <v>98</v>
      </c>
      <c r="O3165" s="897" t="s">
        <v>99</v>
      </c>
      <c r="P3165" s="899"/>
    </row>
    <row r="3166" spans="9:16" ht="15.75" thickBot="1">
      <c r="I3166" s="896"/>
      <c r="J3166" s="898"/>
      <c r="K3166" s="898"/>
      <c r="L3166" s="898"/>
      <c r="M3166" s="898"/>
      <c r="N3166" s="898"/>
      <c r="O3166" s="240" t="s">
        <v>100</v>
      </c>
      <c r="P3166" s="182" t="s">
        <v>101</v>
      </c>
    </row>
    <row r="3167" spans="9:16" ht="13.5" customHeight="1">
      <c r="I3167" s="881">
        <v>339</v>
      </c>
      <c r="J3167" s="875">
        <v>42712</v>
      </c>
      <c r="K3167" s="877" t="s">
        <v>1014</v>
      </c>
      <c r="L3167" s="879" t="s">
        <v>1239</v>
      </c>
      <c r="M3167" s="881" t="s">
        <v>115</v>
      </c>
      <c r="N3167" s="883">
        <v>80000</v>
      </c>
      <c r="O3167" s="55">
        <v>719</v>
      </c>
      <c r="P3167" s="78">
        <v>80000</v>
      </c>
    </row>
    <row r="3168" spans="9:16" ht="13.5" customHeight="1" thickBot="1">
      <c r="I3168" s="882"/>
      <c r="J3168" s="876"/>
      <c r="K3168" s="878"/>
      <c r="L3168" s="880"/>
      <c r="M3168" s="882"/>
      <c r="N3168" s="884"/>
      <c r="O3168" s="56">
        <v>721</v>
      </c>
      <c r="P3168" s="79">
        <f>+N3167-P3167</f>
        <v>0</v>
      </c>
    </row>
    <row r="3169" spans="9:16" ht="14.25" customHeight="1">
      <c r="I3169" s="881">
        <v>340</v>
      </c>
      <c r="J3169" s="875">
        <v>42712</v>
      </c>
      <c r="K3169" s="877" t="s">
        <v>120</v>
      </c>
      <c r="L3169" s="879" t="s">
        <v>1239</v>
      </c>
      <c r="M3169" s="881" t="s">
        <v>115</v>
      </c>
      <c r="N3169" s="883">
        <v>140000</v>
      </c>
      <c r="O3169" s="55">
        <v>719</v>
      </c>
      <c r="P3169" s="78">
        <v>140000</v>
      </c>
    </row>
    <row r="3170" spans="9:16" ht="14.25" customHeight="1" thickBot="1">
      <c r="I3170" s="882"/>
      <c r="J3170" s="876"/>
      <c r="K3170" s="878"/>
      <c r="L3170" s="880"/>
      <c r="M3170" s="882"/>
      <c r="N3170" s="884"/>
      <c r="O3170" s="56">
        <v>721</v>
      </c>
      <c r="P3170" s="79">
        <f>+N3169-P3169</f>
        <v>0</v>
      </c>
    </row>
    <row r="3171" spans="9:16" ht="12.75" customHeight="1">
      <c r="I3171" s="881">
        <v>341</v>
      </c>
      <c r="J3171" s="875">
        <v>42712</v>
      </c>
      <c r="K3171" s="877" t="s">
        <v>28</v>
      </c>
      <c r="L3171" s="879" t="s">
        <v>1239</v>
      </c>
      <c r="M3171" s="881" t="s">
        <v>115</v>
      </c>
      <c r="N3171" s="883">
        <v>60000</v>
      </c>
      <c r="O3171" s="55">
        <v>719</v>
      </c>
      <c r="P3171" s="78">
        <v>60000</v>
      </c>
    </row>
    <row r="3172" spans="9:16" ht="13.5" customHeight="1" thickBot="1">
      <c r="I3172" s="882"/>
      <c r="J3172" s="876"/>
      <c r="K3172" s="878"/>
      <c r="L3172" s="880"/>
      <c r="M3172" s="882"/>
      <c r="N3172" s="884"/>
      <c r="O3172" s="56">
        <v>721</v>
      </c>
      <c r="P3172" s="79">
        <f>+N3171-P3171</f>
        <v>0</v>
      </c>
    </row>
    <row r="3173" spans="9:16" ht="13.5" customHeight="1">
      <c r="I3173" s="881">
        <v>342</v>
      </c>
      <c r="J3173" s="875">
        <v>42712</v>
      </c>
      <c r="K3173" s="877" t="s">
        <v>1174</v>
      </c>
      <c r="L3173" s="879" t="s">
        <v>1240</v>
      </c>
      <c r="M3173" s="881" t="s">
        <v>148</v>
      </c>
      <c r="N3173" s="883">
        <v>6287553</v>
      </c>
      <c r="O3173" s="55">
        <v>719</v>
      </c>
      <c r="P3173" s="78"/>
    </row>
    <row r="3174" spans="9:16" ht="15.75" customHeight="1" thickBot="1">
      <c r="I3174" s="882"/>
      <c r="J3174" s="876"/>
      <c r="K3174" s="878"/>
      <c r="L3174" s="880"/>
      <c r="M3174" s="882"/>
      <c r="N3174" s="884"/>
      <c r="O3174" s="56">
        <v>723</v>
      </c>
      <c r="P3174" s="79">
        <f>+N3173-P3173</f>
        <v>6287553</v>
      </c>
    </row>
    <row r="3175" spans="9:16" ht="14.25" customHeight="1">
      <c r="I3175" s="881">
        <v>343</v>
      </c>
      <c r="J3175" s="875">
        <v>42712</v>
      </c>
      <c r="K3175" s="877" t="s">
        <v>738</v>
      </c>
      <c r="L3175" s="879" t="s">
        <v>1244</v>
      </c>
      <c r="M3175" s="881" t="s">
        <v>148</v>
      </c>
      <c r="N3175" s="883">
        <v>5345430</v>
      </c>
      <c r="O3175" s="55">
        <v>719</v>
      </c>
      <c r="P3175" s="78">
        <v>0</v>
      </c>
    </row>
    <row r="3176" spans="9:16" ht="14.25" customHeight="1" thickBot="1">
      <c r="I3176" s="882"/>
      <c r="J3176" s="876"/>
      <c r="K3176" s="878"/>
      <c r="L3176" s="880"/>
      <c r="M3176" s="882"/>
      <c r="N3176" s="884"/>
      <c r="O3176" s="56">
        <v>721</v>
      </c>
      <c r="P3176" s="351">
        <f>+N3175-P3175</f>
        <v>5345430</v>
      </c>
    </row>
    <row r="3177" spans="9:16" ht="13.5" customHeight="1">
      <c r="I3177" s="881">
        <v>344</v>
      </c>
      <c r="J3177" s="875">
        <v>42712</v>
      </c>
      <c r="K3177" s="877" t="s">
        <v>738</v>
      </c>
      <c r="L3177" s="879" t="s">
        <v>1245</v>
      </c>
      <c r="M3177" s="881" t="s">
        <v>148</v>
      </c>
      <c r="N3177" s="883">
        <v>64517844</v>
      </c>
      <c r="O3177" s="55">
        <v>719</v>
      </c>
      <c r="P3177" s="78">
        <v>0</v>
      </c>
    </row>
    <row r="3178" spans="9:16" ht="13.5" customHeight="1" thickBot="1">
      <c r="I3178" s="882"/>
      <c r="J3178" s="876"/>
      <c r="K3178" s="878"/>
      <c r="L3178" s="880"/>
      <c r="M3178" s="882"/>
      <c r="N3178" s="884"/>
      <c r="O3178" s="56">
        <v>721</v>
      </c>
      <c r="P3178" s="351">
        <f>+N3177-P3177</f>
        <v>64517844</v>
      </c>
    </row>
    <row r="3179" spans="9:16" ht="16.5" thickBot="1">
      <c r="I3179" s="901" t="s">
        <v>102</v>
      </c>
      <c r="J3179" s="902"/>
      <c r="K3179" s="902"/>
      <c r="L3179" s="902"/>
      <c r="M3179" s="903"/>
      <c r="N3179" s="81">
        <f>SUM(N3167:N3178)</f>
        <v>76430827</v>
      </c>
    </row>
    <row r="3180" spans="9:16" ht="16.5" thickBot="1">
      <c r="I3180" s="885" t="s">
        <v>103</v>
      </c>
      <c r="J3180" s="886"/>
      <c r="K3180" s="886"/>
      <c r="L3180" s="886"/>
      <c r="M3180" s="887"/>
      <c r="N3180" s="69">
        <f>+N3142</f>
        <v>582650963</v>
      </c>
      <c r="O3180" s="241" t="s">
        <v>561</v>
      </c>
      <c r="P3180" s="242">
        <f>95+174+227</f>
        <v>496</v>
      </c>
    </row>
    <row r="3181" spans="9:16" ht="16.5" thickBot="1">
      <c r="I3181" s="888" t="s">
        <v>104</v>
      </c>
      <c r="J3181" s="889"/>
      <c r="K3181" s="889"/>
      <c r="L3181" s="889"/>
      <c r="M3181" s="890"/>
      <c r="N3181" s="183">
        <f>SUM(N3179:N3180)</f>
        <v>659081790</v>
      </c>
    </row>
    <row r="3182" spans="9:16" ht="13.5" customHeight="1">
      <c r="I3182" s="61"/>
      <c r="J3182" s="61"/>
      <c r="K3182" s="61"/>
      <c r="L3182" s="61"/>
      <c r="M3182" s="61"/>
    </row>
    <row r="3183" spans="9:16">
      <c r="I3183" s="51" t="s">
        <v>1246</v>
      </c>
    </row>
    <row r="3184" spans="9:16" ht="11.25" customHeight="1">
      <c r="N3184" s="139"/>
    </row>
    <row r="3185" spans="9:15">
      <c r="I3185" s="50" t="s">
        <v>105</v>
      </c>
      <c r="L3185" s="146"/>
      <c r="N3185" s="139"/>
    </row>
    <row r="3186" spans="9:15" ht="11.25" customHeight="1" thickBot="1"/>
    <row r="3187" spans="9:15" ht="15.75" thickBot="1">
      <c r="I3187" s="891" t="s">
        <v>106</v>
      </c>
      <c r="J3187" s="892"/>
      <c r="K3187" s="892"/>
      <c r="L3187" s="893"/>
      <c r="N3187" s="50" t="s">
        <v>1126</v>
      </c>
    </row>
    <row r="3188" spans="9:15" ht="30.75" thickBot="1">
      <c r="I3188" s="57" t="s">
        <v>100</v>
      </c>
      <c r="J3188" s="58" t="s">
        <v>108</v>
      </c>
      <c r="K3188" s="287" t="s">
        <v>109</v>
      </c>
      <c r="L3188" s="60" t="s">
        <v>110</v>
      </c>
    </row>
    <row r="3189" spans="9:15">
      <c r="I3189" s="71">
        <v>719</v>
      </c>
      <c r="J3189" s="73">
        <f>+P3167+P3171+P3173+P3169</f>
        <v>280000</v>
      </c>
      <c r="K3189" s="74">
        <f>+L3150</f>
        <v>54980000</v>
      </c>
      <c r="L3189" s="195">
        <f>+J3189+K3189</f>
        <v>55260000</v>
      </c>
    </row>
    <row r="3190" spans="9:15">
      <c r="I3190" s="72">
        <v>721</v>
      </c>
      <c r="J3190" s="80">
        <f>+P3178</f>
        <v>64517844</v>
      </c>
      <c r="K3190" s="74">
        <f>+L3151</f>
        <v>179470546</v>
      </c>
      <c r="L3190" s="195">
        <f>+J3190+K3190</f>
        <v>243988390</v>
      </c>
    </row>
    <row r="3191" spans="9:15" ht="13.5" customHeight="1">
      <c r="I3191" s="72">
        <v>722</v>
      </c>
      <c r="J3191" s="80"/>
      <c r="K3191" s="74">
        <f>+L3152</f>
        <v>48461706</v>
      </c>
      <c r="L3191" s="195">
        <f>+J3191+K3191</f>
        <v>48461706</v>
      </c>
    </row>
    <row r="3192" spans="9:15" ht="14.25" customHeight="1">
      <c r="I3192" s="72">
        <v>723</v>
      </c>
      <c r="J3192" s="80">
        <f>+P3174+P3176</f>
        <v>11632983</v>
      </c>
      <c r="K3192" s="74">
        <f>+L3153</f>
        <v>298871211</v>
      </c>
      <c r="L3192" s="195">
        <f>+J3192+K3192</f>
        <v>310504194</v>
      </c>
      <c r="M3192" s="139"/>
      <c r="N3192" s="193" t="s">
        <v>1125</v>
      </c>
      <c r="O3192" s="175"/>
    </row>
    <row r="3193" spans="9:15" ht="15" customHeight="1" thickBot="1">
      <c r="I3193" s="164" t="s">
        <v>1077</v>
      </c>
      <c r="J3193" s="165"/>
      <c r="K3193" s="74">
        <f>+L3154</f>
        <v>797500</v>
      </c>
      <c r="L3193" s="196">
        <f>+J3193+K3193</f>
        <v>797500</v>
      </c>
      <c r="N3193" s="52"/>
    </row>
    <row r="3194" spans="9:15" ht="16.5" thickBot="1">
      <c r="I3194" s="169"/>
      <c r="J3194" s="197">
        <f>SUM(J3189:J3193)</f>
        <v>76430827</v>
      </c>
      <c r="K3194" s="197">
        <f>SUM(K3189:K3193)</f>
        <v>582580963</v>
      </c>
      <c r="L3194" s="198">
        <f>SUM(L3189:L3193)</f>
        <v>659011790</v>
      </c>
    </row>
    <row r="3195" spans="9:15" ht="16.5">
      <c r="I3195" s="49" t="s">
        <v>88</v>
      </c>
      <c r="J3195" s="50"/>
    </row>
    <row r="3196" spans="9:15">
      <c r="I3196" s="51" t="s">
        <v>89</v>
      </c>
    </row>
    <row r="3197" spans="9:15">
      <c r="I3197" s="51" t="s">
        <v>90</v>
      </c>
    </row>
    <row r="3198" spans="9:15">
      <c r="I3198" s="51" t="s">
        <v>91</v>
      </c>
    </row>
    <row r="3199" spans="9:15" ht="17.25" customHeight="1">
      <c r="I3199" s="50"/>
      <c r="J3199" s="50"/>
    </row>
    <row r="3200" spans="9:15" ht="15.75">
      <c r="I3200" s="260" t="s">
        <v>1242</v>
      </c>
      <c r="O3200" s="52"/>
    </row>
    <row r="3201" spans="9:18" ht="18" customHeight="1">
      <c r="I3201" s="53" t="s">
        <v>535</v>
      </c>
      <c r="O3201" s="53"/>
    </row>
    <row r="3202" spans="9:18" ht="16.5">
      <c r="I3202" s="894" t="s">
        <v>1278</v>
      </c>
      <c r="J3202" s="894"/>
      <c r="K3202" s="894"/>
      <c r="L3202" s="894"/>
      <c r="M3202" s="894"/>
      <c r="N3202" s="894"/>
      <c r="O3202" s="894"/>
      <c r="P3202" s="894"/>
    </row>
    <row r="3203" spans="9:18" ht="15.75" thickBot="1"/>
    <row r="3204" spans="9:18">
      <c r="I3204" s="895" t="s">
        <v>94</v>
      </c>
      <c r="J3204" s="897" t="s">
        <v>95</v>
      </c>
      <c r="K3204" s="897" t="s">
        <v>96</v>
      </c>
      <c r="L3204" s="897" t="s">
        <v>3</v>
      </c>
      <c r="M3204" s="897" t="s">
        <v>97</v>
      </c>
      <c r="N3204" s="897" t="s">
        <v>98</v>
      </c>
      <c r="O3204" s="897" t="s">
        <v>99</v>
      </c>
      <c r="P3204" s="899"/>
    </row>
    <row r="3205" spans="9:18" ht="15.75" thickBot="1">
      <c r="I3205" s="896"/>
      <c r="J3205" s="898"/>
      <c r="K3205" s="898"/>
      <c r="L3205" s="898"/>
      <c r="M3205" s="898"/>
      <c r="N3205" s="898"/>
      <c r="O3205" s="240" t="s">
        <v>100</v>
      </c>
      <c r="P3205" s="182" t="s">
        <v>101</v>
      </c>
    </row>
    <row r="3206" spans="9:18">
      <c r="I3206" s="881">
        <v>345</v>
      </c>
      <c r="J3206" s="875">
        <v>42725</v>
      </c>
      <c r="K3206" s="877" t="s">
        <v>1014</v>
      </c>
      <c r="L3206" s="879" t="s">
        <v>1260</v>
      </c>
      <c r="M3206" s="881" t="s">
        <v>115</v>
      </c>
      <c r="N3206" s="883">
        <v>160000</v>
      </c>
      <c r="O3206" s="55">
        <v>719</v>
      </c>
      <c r="P3206" s="78">
        <v>160000</v>
      </c>
    </row>
    <row r="3207" spans="9:18" ht="15.75" thickBot="1">
      <c r="I3207" s="882"/>
      <c r="J3207" s="876"/>
      <c r="K3207" s="878"/>
      <c r="L3207" s="880"/>
      <c r="M3207" s="882"/>
      <c r="N3207" s="884"/>
      <c r="O3207" s="56">
        <v>721</v>
      </c>
      <c r="P3207" s="351">
        <f>+N3206-P3206</f>
        <v>0</v>
      </c>
    </row>
    <row r="3208" spans="9:18" ht="15" customHeight="1">
      <c r="I3208" s="881">
        <f>+I3206+1</f>
        <v>346</v>
      </c>
      <c r="J3208" s="875">
        <v>42725</v>
      </c>
      <c r="K3208" s="877" t="s">
        <v>28</v>
      </c>
      <c r="L3208" s="879" t="s">
        <v>1276</v>
      </c>
      <c r="M3208" s="881" t="s">
        <v>115</v>
      </c>
      <c r="N3208" s="883">
        <v>60000</v>
      </c>
      <c r="O3208" s="55">
        <v>722</v>
      </c>
      <c r="P3208" s="78">
        <v>60000</v>
      </c>
    </row>
    <row r="3209" spans="9:18" ht="15.75" customHeight="1" thickBot="1">
      <c r="I3209" s="882"/>
      <c r="J3209" s="876"/>
      <c r="K3209" s="878"/>
      <c r="L3209" s="880"/>
      <c r="M3209" s="882"/>
      <c r="N3209" s="884"/>
      <c r="O3209" s="56">
        <v>721</v>
      </c>
      <c r="P3209" s="352">
        <f>+N3208-P3208</f>
        <v>0</v>
      </c>
    </row>
    <row r="3210" spans="9:18" ht="15" customHeight="1">
      <c r="I3210" s="881">
        <f>+I3208+1</f>
        <v>347</v>
      </c>
      <c r="J3210" s="875">
        <v>42725</v>
      </c>
      <c r="K3210" s="877" t="s">
        <v>120</v>
      </c>
      <c r="L3210" s="879" t="s">
        <v>1276</v>
      </c>
      <c r="M3210" s="881" t="s">
        <v>115</v>
      </c>
      <c r="N3210" s="883">
        <v>140000</v>
      </c>
      <c r="O3210" s="55">
        <v>722</v>
      </c>
      <c r="P3210" s="78">
        <v>140000</v>
      </c>
      <c r="R3210" s="875"/>
    </row>
    <row r="3211" spans="9:18" ht="15.75" customHeight="1" thickBot="1">
      <c r="I3211" s="882"/>
      <c r="J3211" s="876"/>
      <c r="K3211" s="878"/>
      <c r="L3211" s="880"/>
      <c r="M3211" s="882"/>
      <c r="N3211" s="884"/>
      <c r="O3211" s="56">
        <v>721</v>
      </c>
      <c r="P3211" s="352">
        <f>+N3210-P3210</f>
        <v>0</v>
      </c>
      <c r="R3211" s="876"/>
    </row>
    <row r="3212" spans="9:18" ht="15" customHeight="1">
      <c r="I3212" s="881"/>
      <c r="J3212" s="875"/>
      <c r="K3212" s="877"/>
      <c r="L3212" s="879"/>
      <c r="M3212" s="881"/>
      <c r="N3212" s="883"/>
      <c r="O3212" s="55">
        <v>722</v>
      </c>
      <c r="P3212" s="78"/>
    </row>
    <row r="3213" spans="9:18" ht="15.75" customHeight="1" thickBot="1">
      <c r="I3213" s="882"/>
      <c r="J3213" s="876"/>
      <c r="K3213" s="878"/>
      <c r="L3213" s="880"/>
      <c r="M3213" s="882"/>
      <c r="N3213" s="884"/>
      <c r="O3213" s="56">
        <v>721</v>
      </c>
      <c r="P3213" s="79">
        <f>+N3212-P3212</f>
        <v>0</v>
      </c>
    </row>
    <row r="3214" spans="9:18" ht="16.5" thickBot="1">
      <c r="I3214" s="901" t="s">
        <v>102</v>
      </c>
      <c r="J3214" s="902"/>
      <c r="K3214" s="902"/>
      <c r="L3214" s="902"/>
      <c r="M3214" s="903"/>
      <c r="N3214" s="81">
        <f>SUM(N3206:N3213)</f>
        <v>360000</v>
      </c>
    </row>
    <row r="3215" spans="9:18" ht="16.5" thickBot="1">
      <c r="I3215" s="885" t="s">
        <v>103</v>
      </c>
      <c r="J3215" s="886"/>
      <c r="K3215" s="886"/>
      <c r="L3215" s="886"/>
      <c r="M3215" s="887"/>
      <c r="N3215" s="69">
        <f>+N3181</f>
        <v>659081790</v>
      </c>
      <c r="O3215" s="241" t="s">
        <v>561</v>
      </c>
      <c r="P3215" s="242">
        <f>108+107+310</f>
        <v>525</v>
      </c>
    </row>
    <row r="3216" spans="9:18" ht="16.5" thickBot="1">
      <c r="I3216" s="888" t="s">
        <v>104</v>
      </c>
      <c r="J3216" s="889"/>
      <c r="K3216" s="889"/>
      <c r="L3216" s="889"/>
      <c r="M3216" s="890"/>
      <c r="N3216" s="183">
        <f>SUM(N3214:N3215)</f>
        <v>659441790</v>
      </c>
    </row>
    <row r="3217" spans="9:15">
      <c r="I3217" s="61"/>
      <c r="J3217" s="61"/>
      <c r="K3217" s="61"/>
      <c r="L3217" s="61"/>
      <c r="M3217" s="61"/>
    </row>
    <row r="3218" spans="9:15">
      <c r="I3218" s="51" t="s">
        <v>1261</v>
      </c>
    </row>
    <row r="3219" spans="9:15" ht="19.5" customHeight="1">
      <c r="N3219" s="139"/>
    </row>
    <row r="3220" spans="9:15">
      <c r="I3220" s="50" t="s">
        <v>105</v>
      </c>
      <c r="L3220" s="146"/>
      <c r="N3220" s="139"/>
    </row>
    <row r="3221" spans="9:15" ht="15.75" thickBot="1"/>
    <row r="3222" spans="9:15" ht="15.75" thickBot="1">
      <c r="I3222" s="891" t="s">
        <v>106</v>
      </c>
      <c r="J3222" s="892"/>
      <c r="K3222" s="892"/>
      <c r="L3222" s="893"/>
      <c r="N3222" s="50" t="s">
        <v>288</v>
      </c>
    </row>
    <row r="3223" spans="9:15" ht="30.75" thickBot="1">
      <c r="I3223" s="57" t="s">
        <v>100</v>
      </c>
      <c r="J3223" s="58" t="s">
        <v>108</v>
      </c>
      <c r="K3223" s="287" t="s">
        <v>109</v>
      </c>
      <c r="L3223" s="60" t="s">
        <v>110</v>
      </c>
    </row>
    <row r="3224" spans="9:15">
      <c r="I3224" s="71">
        <v>719</v>
      </c>
      <c r="J3224" s="73">
        <f>+P3206+P3208+P3210+P3212</f>
        <v>360000</v>
      </c>
      <c r="K3224" s="74">
        <f>+L3189</f>
        <v>55260000</v>
      </c>
      <c r="L3224" s="195">
        <f>+J3224+K3224</f>
        <v>55620000</v>
      </c>
    </row>
    <row r="3225" spans="9:15">
      <c r="I3225" s="72">
        <v>721</v>
      </c>
      <c r="J3225" s="80"/>
      <c r="K3225" s="74">
        <f>+L3190</f>
        <v>243988390</v>
      </c>
      <c r="L3225" s="195">
        <f>+J3225+K3225</f>
        <v>243988390</v>
      </c>
    </row>
    <row r="3226" spans="9:15">
      <c r="I3226" s="72">
        <v>722</v>
      </c>
      <c r="J3226" s="80"/>
      <c r="K3226" s="74">
        <f>+L3191</f>
        <v>48461706</v>
      </c>
      <c r="L3226" s="195">
        <f>+J3226+K3226</f>
        <v>48461706</v>
      </c>
    </row>
    <row r="3227" spans="9:15" ht="15.75">
      <c r="I3227" s="72">
        <v>723</v>
      </c>
      <c r="J3227" s="80"/>
      <c r="K3227" s="74">
        <f>+L3192</f>
        <v>310504194</v>
      </c>
      <c r="L3227" s="195">
        <f>+J3227+K3227</f>
        <v>310504194</v>
      </c>
      <c r="N3227" s="193" t="s">
        <v>289</v>
      </c>
      <c r="O3227" s="175"/>
    </row>
    <row r="3228" spans="9:15" ht="16.5" thickBot="1">
      <c r="I3228" s="164" t="s">
        <v>1077</v>
      </c>
      <c r="J3228" s="165"/>
      <c r="K3228" s="74">
        <f>+L3193</f>
        <v>797500</v>
      </c>
      <c r="L3228" s="196">
        <f>+J3228+K3228</f>
        <v>797500</v>
      </c>
      <c r="N3228" s="52"/>
    </row>
    <row r="3229" spans="9:15" ht="16.5" thickBot="1">
      <c r="I3229" s="169"/>
      <c r="J3229" s="197">
        <f>SUM(J3224:J3228)</f>
        <v>360000</v>
      </c>
      <c r="K3229" s="197">
        <f>SUM(K3224:K3228)</f>
        <v>659011790</v>
      </c>
      <c r="L3229" s="198">
        <f>SUM(L3224:L3228)</f>
        <v>659371790</v>
      </c>
    </row>
    <row r="3230" spans="9:15" ht="16.5">
      <c r="I3230" s="49" t="s">
        <v>88</v>
      </c>
      <c r="J3230" s="50"/>
    </row>
    <row r="3231" spans="9:15">
      <c r="I3231" s="51" t="s">
        <v>89</v>
      </c>
    </row>
    <row r="3232" spans="9:15">
      <c r="I3232" s="51" t="s">
        <v>90</v>
      </c>
    </row>
    <row r="3233" spans="9:16">
      <c r="I3233" s="51" t="s">
        <v>91</v>
      </c>
    </row>
    <row r="3234" spans="9:16" ht="14.25" customHeight="1">
      <c r="I3234" s="50"/>
      <c r="J3234" s="50"/>
    </row>
    <row r="3235" spans="9:16" ht="15.75">
      <c r="I3235" s="260" t="s">
        <v>1264</v>
      </c>
      <c r="O3235" s="52"/>
    </row>
    <row r="3236" spans="9:16" ht="15.75">
      <c r="I3236" s="53" t="s">
        <v>535</v>
      </c>
      <c r="O3236" s="53"/>
    </row>
    <row r="3237" spans="9:16" ht="16.5">
      <c r="I3237" s="894" t="s">
        <v>1278</v>
      </c>
      <c r="J3237" s="894"/>
      <c r="K3237" s="894"/>
      <c r="L3237" s="894"/>
      <c r="M3237" s="894"/>
      <c r="N3237" s="894"/>
      <c r="O3237" s="894"/>
      <c r="P3237" s="894"/>
    </row>
    <row r="3238" spans="9:16" ht="15.75" thickBot="1"/>
    <row r="3239" spans="9:16">
      <c r="I3239" s="895" t="s">
        <v>94</v>
      </c>
      <c r="J3239" s="897" t="s">
        <v>95</v>
      </c>
      <c r="K3239" s="897" t="s">
        <v>96</v>
      </c>
      <c r="L3239" s="897" t="s">
        <v>3</v>
      </c>
      <c r="M3239" s="897" t="s">
        <v>97</v>
      </c>
      <c r="N3239" s="897" t="s">
        <v>98</v>
      </c>
      <c r="O3239" s="897" t="s">
        <v>99</v>
      </c>
      <c r="P3239" s="899"/>
    </row>
    <row r="3240" spans="9:16" ht="15.75" thickBot="1">
      <c r="I3240" s="896"/>
      <c r="J3240" s="898"/>
      <c r="K3240" s="898"/>
      <c r="L3240" s="898"/>
      <c r="M3240" s="898"/>
      <c r="N3240" s="898"/>
      <c r="O3240" s="240" t="s">
        <v>100</v>
      </c>
      <c r="P3240" s="182" t="s">
        <v>101</v>
      </c>
    </row>
    <row r="3241" spans="9:16">
      <c r="I3241" s="881">
        <v>348</v>
      </c>
      <c r="J3241" s="875">
        <v>42725</v>
      </c>
      <c r="K3241" s="877" t="s">
        <v>1014</v>
      </c>
      <c r="L3241" s="879" t="s">
        <v>1263</v>
      </c>
      <c r="M3241" s="881" t="s">
        <v>115</v>
      </c>
      <c r="N3241" s="883">
        <v>140000</v>
      </c>
      <c r="O3241" s="55">
        <v>719</v>
      </c>
      <c r="P3241" s="78">
        <v>140000</v>
      </c>
    </row>
    <row r="3242" spans="9:16" ht="15.75" thickBot="1">
      <c r="I3242" s="882"/>
      <c r="J3242" s="876"/>
      <c r="K3242" s="878"/>
      <c r="L3242" s="880"/>
      <c r="M3242" s="882"/>
      <c r="N3242" s="884"/>
      <c r="O3242" s="56">
        <v>721</v>
      </c>
      <c r="P3242" s="351">
        <f>+N3241-P3241</f>
        <v>0</v>
      </c>
    </row>
    <row r="3243" spans="9:16">
      <c r="I3243" s="881">
        <f>+I3241+1</f>
        <v>349</v>
      </c>
      <c r="J3243" s="875">
        <v>42725</v>
      </c>
      <c r="K3243" s="877" t="s">
        <v>28</v>
      </c>
      <c r="L3243" s="879" t="s">
        <v>1266</v>
      </c>
      <c r="M3243" s="881" t="s">
        <v>115</v>
      </c>
      <c r="N3243" s="883">
        <v>50000</v>
      </c>
      <c r="O3243" s="55">
        <v>722</v>
      </c>
      <c r="P3243" s="78">
        <v>50000</v>
      </c>
    </row>
    <row r="3244" spans="9:16" ht="15.75" thickBot="1">
      <c r="I3244" s="882"/>
      <c r="J3244" s="876"/>
      <c r="K3244" s="878"/>
      <c r="L3244" s="880"/>
      <c r="M3244" s="882"/>
      <c r="N3244" s="884"/>
      <c r="O3244" s="56">
        <v>721</v>
      </c>
      <c r="P3244" s="352"/>
    </row>
    <row r="3245" spans="9:16">
      <c r="I3245" s="881">
        <f>+I3243+1</f>
        <v>350</v>
      </c>
      <c r="J3245" s="875">
        <v>42725</v>
      </c>
      <c r="K3245" s="877" t="s">
        <v>120</v>
      </c>
      <c r="L3245" s="879" t="s">
        <v>1262</v>
      </c>
      <c r="M3245" s="881" t="s">
        <v>115</v>
      </c>
      <c r="N3245" s="883">
        <v>140000</v>
      </c>
      <c r="O3245" s="55">
        <v>722</v>
      </c>
      <c r="P3245" s="78">
        <v>140000</v>
      </c>
    </row>
    <row r="3246" spans="9:16" ht="15.75" thickBot="1">
      <c r="I3246" s="882"/>
      <c r="J3246" s="876"/>
      <c r="K3246" s="878"/>
      <c r="L3246" s="880"/>
      <c r="M3246" s="882"/>
      <c r="N3246" s="884"/>
      <c r="O3246" s="56">
        <v>721</v>
      </c>
      <c r="P3246" s="352">
        <f>+N3245-P3245</f>
        <v>0</v>
      </c>
    </row>
    <row r="3247" spans="9:16">
      <c r="I3247" s="881"/>
      <c r="J3247" s="875"/>
      <c r="K3247" s="877"/>
      <c r="L3247" s="879"/>
      <c r="M3247" s="881"/>
      <c r="N3247" s="883"/>
      <c r="O3247" s="55">
        <v>722</v>
      </c>
      <c r="P3247" s="78"/>
    </row>
    <row r="3248" spans="9:16" ht="15.75" thickBot="1">
      <c r="I3248" s="882"/>
      <c r="J3248" s="876"/>
      <c r="K3248" s="878"/>
      <c r="L3248" s="880"/>
      <c r="M3248" s="882"/>
      <c r="N3248" s="884"/>
      <c r="O3248" s="56">
        <v>721</v>
      </c>
      <c r="P3248" s="79">
        <f>+N3247-P3247</f>
        <v>0</v>
      </c>
    </row>
    <row r="3249" spans="9:16" ht="16.5" thickBot="1">
      <c r="I3249" s="901" t="s">
        <v>102</v>
      </c>
      <c r="J3249" s="902"/>
      <c r="K3249" s="902"/>
      <c r="L3249" s="902"/>
      <c r="M3249" s="903"/>
      <c r="N3249" s="81">
        <f>SUM(N3241:N3248)</f>
        <v>330000</v>
      </c>
    </row>
    <row r="3250" spans="9:16" ht="16.5" thickBot="1">
      <c r="I3250" s="885" t="s">
        <v>103</v>
      </c>
      <c r="J3250" s="886"/>
      <c r="K3250" s="886"/>
      <c r="L3250" s="886"/>
      <c r="M3250" s="887"/>
      <c r="N3250" s="69">
        <f>+N3216</f>
        <v>659441790</v>
      </c>
      <c r="O3250" s="241" t="s">
        <v>561</v>
      </c>
      <c r="P3250" s="242">
        <f>404+83+122</f>
        <v>609</v>
      </c>
    </row>
    <row r="3251" spans="9:16" ht="16.5" thickBot="1">
      <c r="I3251" s="888" t="s">
        <v>104</v>
      </c>
      <c r="J3251" s="889"/>
      <c r="K3251" s="889"/>
      <c r="L3251" s="889"/>
      <c r="M3251" s="890"/>
      <c r="N3251" s="183">
        <f>SUM(N3249:N3250)</f>
        <v>659771790</v>
      </c>
    </row>
    <row r="3252" spans="9:16">
      <c r="I3252" s="61"/>
      <c r="J3252" s="61"/>
      <c r="K3252" s="61"/>
      <c r="L3252" s="61"/>
      <c r="M3252" s="61"/>
    </row>
    <row r="3253" spans="9:16">
      <c r="I3253" s="51" t="s">
        <v>1265</v>
      </c>
    </row>
    <row r="3254" spans="9:16">
      <c r="N3254" s="139"/>
    </row>
    <row r="3255" spans="9:16">
      <c r="I3255" s="50" t="s">
        <v>105</v>
      </c>
      <c r="L3255" s="146"/>
      <c r="N3255" s="139"/>
    </row>
    <row r="3256" spans="9:16" ht="15.75" thickBot="1"/>
    <row r="3257" spans="9:16" ht="15.75" thickBot="1">
      <c r="I3257" s="891" t="s">
        <v>106</v>
      </c>
      <c r="J3257" s="892"/>
      <c r="K3257" s="892"/>
      <c r="L3257" s="893"/>
      <c r="N3257" s="50" t="s">
        <v>288</v>
      </c>
    </row>
    <row r="3258" spans="9:16" ht="30.75" thickBot="1">
      <c r="I3258" s="57" t="s">
        <v>100</v>
      </c>
      <c r="J3258" s="58" t="s">
        <v>108</v>
      </c>
      <c r="K3258" s="287" t="s">
        <v>109</v>
      </c>
      <c r="L3258" s="60" t="s">
        <v>110</v>
      </c>
    </row>
    <row r="3259" spans="9:16">
      <c r="I3259" s="71">
        <v>719</v>
      </c>
      <c r="J3259" s="73">
        <f>+P3241+P3243+P3245+P3247</f>
        <v>330000</v>
      </c>
      <c r="K3259" s="74">
        <f>+L3224</f>
        <v>55620000</v>
      </c>
      <c r="L3259" s="195">
        <f>+J3259+K3259</f>
        <v>55950000</v>
      </c>
    </row>
    <row r="3260" spans="9:16">
      <c r="I3260" s="72">
        <v>721</v>
      </c>
      <c r="J3260" s="80"/>
      <c r="K3260" s="74">
        <f>+L3225</f>
        <v>243988390</v>
      </c>
      <c r="L3260" s="195">
        <f>+J3260+K3260</f>
        <v>243988390</v>
      </c>
    </row>
    <row r="3261" spans="9:16">
      <c r="I3261" s="72">
        <v>722</v>
      </c>
      <c r="J3261" s="80"/>
      <c r="K3261" s="74">
        <f>+L3226</f>
        <v>48461706</v>
      </c>
      <c r="L3261" s="195">
        <f>+J3261+K3261</f>
        <v>48461706</v>
      </c>
    </row>
    <row r="3262" spans="9:16" ht="15.75">
      <c r="I3262" s="72">
        <v>723</v>
      </c>
      <c r="J3262" s="80"/>
      <c r="K3262" s="74">
        <f>+L3227</f>
        <v>310504194</v>
      </c>
      <c r="L3262" s="195">
        <f>+J3262+K3262</f>
        <v>310504194</v>
      </c>
      <c r="N3262" s="193" t="s">
        <v>289</v>
      </c>
      <c r="O3262" s="175"/>
    </row>
    <row r="3263" spans="9:16" ht="16.5" thickBot="1">
      <c r="I3263" s="164" t="s">
        <v>1077</v>
      </c>
      <c r="J3263" s="165"/>
      <c r="K3263" s="74">
        <f>+L3228</f>
        <v>797500</v>
      </c>
      <c r="L3263" s="196">
        <f>+J3263+K3263</f>
        <v>797500</v>
      </c>
      <c r="N3263" s="52"/>
    </row>
    <row r="3264" spans="9:16" ht="16.5" thickBot="1">
      <c r="I3264" s="169"/>
      <c r="J3264" s="197">
        <f>SUM(J3259:J3263)</f>
        <v>330000</v>
      </c>
      <c r="K3264" s="197">
        <f>SUM(K3259:K3263)</f>
        <v>659371790</v>
      </c>
      <c r="L3264" s="198">
        <f>SUM(L3259:L3263)</f>
        <v>659701790</v>
      </c>
    </row>
    <row r="3266" spans="9:16" ht="16.5">
      <c r="I3266" s="49" t="s">
        <v>88</v>
      </c>
      <c r="J3266" s="50"/>
    </row>
    <row r="3267" spans="9:16">
      <c r="I3267" s="51" t="s">
        <v>89</v>
      </c>
    </row>
    <row r="3268" spans="9:16">
      <c r="I3268" s="51" t="s">
        <v>90</v>
      </c>
    </row>
    <row r="3269" spans="9:16">
      <c r="I3269" s="51" t="s">
        <v>91</v>
      </c>
    </row>
    <row r="3270" spans="9:16">
      <c r="I3270" s="50"/>
      <c r="J3270" s="50"/>
    </row>
    <row r="3271" spans="9:16" ht="15.75">
      <c r="I3271" s="260" t="s">
        <v>1272</v>
      </c>
      <c r="O3271" s="52"/>
    </row>
    <row r="3272" spans="9:16" ht="15.75">
      <c r="I3272" s="53" t="s">
        <v>535</v>
      </c>
      <c r="O3272" s="53"/>
    </row>
    <row r="3273" spans="9:16" ht="16.5">
      <c r="I3273" s="894" t="s">
        <v>1277</v>
      </c>
      <c r="J3273" s="894"/>
      <c r="K3273" s="894"/>
      <c r="L3273" s="894"/>
      <c r="M3273" s="894"/>
      <c r="N3273" s="894"/>
      <c r="O3273" s="894"/>
      <c r="P3273" s="894"/>
    </row>
    <row r="3274" spans="9:16" ht="15.75" thickBot="1"/>
    <row r="3275" spans="9:16">
      <c r="I3275" s="895" t="s">
        <v>94</v>
      </c>
      <c r="J3275" s="897" t="s">
        <v>95</v>
      </c>
      <c r="K3275" s="897" t="s">
        <v>96</v>
      </c>
      <c r="L3275" s="897" t="s">
        <v>3</v>
      </c>
      <c r="M3275" s="897" t="s">
        <v>97</v>
      </c>
      <c r="N3275" s="897" t="s">
        <v>98</v>
      </c>
      <c r="O3275" s="897" t="s">
        <v>99</v>
      </c>
      <c r="P3275" s="899"/>
    </row>
    <row r="3276" spans="9:16" ht="15.75" thickBot="1">
      <c r="I3276" s="896"/>
      <c r="J3276" s="898"/>
      <c r="K3276" s="898"/>
      <c r="L3276" s="898"/>
      <c r="M3276" s="898"/>
      <c r="N3276" s="898"/>
      <c r="O3276" s="240" t="s">
        <v>100</v>
      </c>
      <c r="P3276" s="182" t="s">
        <v>101</v>
      </c>
    </row>
    <row r="3277" spans="9:16" ht="15" customHeight="1">
      <c r="I3277" s="881">
        <v>351</v>
      </c>
      <c r="J3277" s="875">
        <v>42732</v>
      </c>
      <c r="K3277" s="877" t="s">
        <v>1267</v>
      </c>
      <c r="L3277" s="879" t="s">
        <v>1270</v>
      </c>
      <c r="M3277" s="881" t="s">
        <v>115</v>
      </c>
      <c r="N3277" s="883">
        <v>14718204</v>
      </c>
      <c r="O3277" s="55">
        <v>719</v>
      </c>
      <c r="P3277" s="78">
        <v>0</v>
      </c>
    </row>
    <row r="3278" spans="9:16" ht="15.75" thickBot="1">
      <c r="I3278" s="882"/>
      <c r="J3278" s="876"/>
      <c r="K3278" s="900"/>
      <c r="L3278" s="880"/>
      <c r="M3278" s="882"/>
      <c r="N3278" s="884"/>
      <c r="O3278" s="56">
        <v>721</v>
      </c>
      <c r="P3278" s="351">
        <f>+N3277-P3277</f>
        <v>14718204</v>
      </c>
    </row>
    <row r="3279" spans="9:16" ht="15" customHeight="1">
      <c r="I3279" s="881">
        <f>+I3277+1</f>
        <v>352</v>
      </c>
      <c r="J3279" s="875">
        <v>42732</v>
      </c>
      <c r="K3279" s="900"/>
      <c r="L3279" s="879" t="s">
        <v>1271</v>
      </c>
      <c r="M3279" s="881" t="s">
        <v>115</v>
      </c>
      <c r="N3279" s="883">
        <v>3962065</v>
      </c>
      <c r="O3279" s="55">
        <v>722</v>
      </c>
      <c r="P3279" s="78">
        <v>0</v>
      </c>
    </row>
    <row r="3280" spans="9:16" ht="15.75" customHeight="1" thickBot="1">
      <c r="I3280" s="882"/>
      <c r="J3280" s="876"/>
      <c r="K3280" s="878"/>
      <c r="L3280" s="880"/>
      <c r="M3280" s="882"/>
      <c r="N3280" s="884"/>
      <c r="O3280" s="56">
        <v>721</v>
      </c>
      <c r="P3280" s="352">
        <f>+N3279-P3279</f>
        <v>3962065</v>
      </c>
    </row>
    <row r="3281" spans="9:16" ht="15" customHeight="1">
      <c r="I3281" s="881">
        <f>+I3279+1</f>
        <v>353</v>
      </c>
      <c r="J3281" s="875">
        <v>42732</v>
      </c>
      <c r="K3281" s="877" t="s">
        <v>1014</v>
      </c>
      <c r="L3281" s="879" t="s">
        <v>1273</v>
      </c>
      <c r="M3281" s="881" t="s">
        <v>115</v>
      </c>
      <c r="N3281" s="883">
        <v>90000</v>
      </c>
      <c r="O3281" s="55">
        <v>722</v>
      </c>
      <c r="P3281" s="78">
        <v>90000</v>
      </c>
    </row>
    <row r="3282" spans="9:16" ht="15.75" customHeight="1" thickBot="1">
      <c r="I3282" s="882"/>
      <c r="J3282" s="876"/>
      <c r="K3282" s="878"/>
      <c r="L3282" s="880"/>
      <c r="M3282" s="882"/>
      <c r="N3282" s="884"/>
      <c r="O3282" s="56">
        <v>721</v>
      </c>
      <c r="P3282" s="352">
        <f>+N3281-P3281</f>
        <v>0</v>
      </c>
    </row>
    <row r="3283" spans="9:16" ht="15" customHeight="1">
      <c r="I3283" s="881">
        <f>+I3281+1</f>
        <v>354</v>
      </c>
      <c r="J3283" s="875">
        <v>42732</v>
      </c>
      <c r="K3283" s="877" t="s">
        <v>120</v>
      </c>
      <c r="L3283" s="879" t="s">
        <v>1274</v>
      </c>
      <c r="M3283" s="881" t="s">
        <v>115</v>
      </c>
      <c r="N3283" s="883">
        <v>60000</v>
      </c>
      <c r="O3283" s="55">
        <v>722</v>
      </c>
      <c r="P3283" s="78">
        <v>60000</v>
      </c>
    </row>
    <row r="3284" spans="9:16" ht="15.75" customHeight="1" thickBot="1">
      <c r="I3284" s="882"/>
      <c r="J3284" s="876"/>
      <c r="K3284" s="878"/>
      <c r="L3284" s="880"/>
      <c r="M3284" s="882"/>
      <c r="N3284" s="884"/>
      <c r="O3284" s="56">
        <v>721</v>
      </c>
      <c r="P3284" s="79">
        <f>+N3283-P3283</f>
        <v>0</v>
      </c>
    </row>
    <row r="3285" spans="9:16" ht="16.5" thickBot="1">
      <c r="I3285" s="901" t="s">
        <v>102</v>
      </c>
      <c r="J3285" s="902"/>
      <c r="K3285" s="902"/>
      <c r="L3285" s="902"/>
      <c r="M3285" s="903"/>
      <c r="N3285" s="81">
        <f>SUM(N3277:N3284)</f>
        <v>18830269</v>
      </c>
    </row>
    <row r="3286" spans="9:16" ht="16.5" thickBot="1">
      <c r="I3286" s="885" t="s">
        <v>103</v>
      </c>
      <c r="J3286" s="886"/>
      <c r="K3286" s="886"/>
      <c r="L3286" s="886"/>
      <c r="M3286" s="887"/>
      <c r="N3286" s="69">
        <f>+N3251</f>
        <v>659771790</v>
      </c>
      <c r="O3286" s="241" t="s">
        <v>561</v>
      </c>
      <c r="P3286" s="242">
        <f>38+294</f>
        <v>332</v>
      </c>
    </row>
    <row r="3287" spans="9:16" ht="16.5" thickBot="1">
      <c r="I3287" s="888" t="s">
        <v>104</v>
      </c>
      <c r="J3287" s="889"/>
      <c r="K3287" s="889"/>
      <c r="L3287" s="889"/>
      <c r="M3287" s="890"/>
      <c r="N3287" s="183">
        <f>SUM(N3285:N3286)</f>
        <v>678602059</v>
      </c>
    </row>
    <row r="3288" spans="9:16">
      <c r="I3288" s="61"/>
      <c r="J3288" s="61"/>
      <c r="K3288" s="61"/>
      <c r="L3288" s="61"/>
      <c r="M3288" s="61"/>
    </row>
    <row r="3289" spans="9:16">
      <c r="I3289" s="51" t="s">
        <v>1275</v>
      </c>
    </row>
    <row r="3290" spans="9:16">
      <c r="N3290" s="139"/>
    </row>
    <row r="3291" spans="9:16">
      <c r="I3291" s="50" t="s">
        <v>105</v>
      </c>
      <c r="L3291" s="146"/>
      <c r="N3291" s="139"/>
    </row>
    <row r="3292" spans="9:16" ht="15.75" thickBot="1"/>
    <row r="3293" spans="9:16" ht="15.75" thickBot="1">
      <c r="I3293" s="891" t="s">
        <v>106</v>
      </c>
      <c r="J3293" s="892"/>
      <c r="K3293" s="892"/>
      <c r="L3293" s="893"/>
      <c r="N3293" s="50" t="s">
        <v>288</v>
      </c>
    </row>
    <row r="3294" spans="9:16" ht="30.75" thickBot="1">
      <c r="I3294" s="57" t="s">
        <v>100</v>
      </c>
      <c r="J3294" s="58" t="s">
        <v>108</v>
      </c>
      <c r="K3294" s="287" t="s">
        <v>109</v>
      </c>
      <c r="L3294" s="60" t="s">
        <v>110</v>
      </c>
    </row>
    <row r="3295" spans="9:16">
      <c r="I3295" s="71">
        <v>719</v>
      </c>
      <c r="J3295" s="73">
        <f>+P3277+P3279+P3281+P3283</f>
        <v>150000</v>
      </c>
      <c r="K3295" s="74">
        <f>+L3259</f>
        <v>55950000</v>
      </c>
      <c r="L3295" s="195">
        <f>+J3295+K3295</f>
        <v>56100000</v>
      </c>
    </row>
    <row r="3296" spans="9:16">
      <c r="I3296" s="72">
        <v>721</v>
      </c>
      <c r="J3296" s="80">
        <f>+P3278+P3280</f>
        <v>18680269</v>
      </c>
      <c r="K3296" s="74">
        <f>+L3260</f>
        <v>243988390</v>
      </c>
      <c r="L3296" s="195">
        <f>+J3296+K3296</f>
        <v>262668659</v>
      </c>
    </row>
    <row r="3297" spans="9:16">
      <c r="I3297" s="72">
        <v>722</v>
      </c>
      <c r="J3297" s="80"/>
      <c r="K3297" s="74">
        <f>+L3261</f>
        <v>48461706</v>
      </c>
      <c r="L3297" s="195">
        <f>+J3297+K3297</f>
        <v>48461706</v>
      </c>
    </row>
    <row r="3298" spans="9:16" ht="15.75">
      <c r="I3298" s="72">
        <v>723</v>
      </c>
      <c r="J3298" s="80"/>
      <c r="K3298" s="74">
        <f>+L3262</f>
        <v>310504194</v>
      </c>
      <c r="L3298" s="195">
        <f>+J3298+K3298</f>
        <v>310504194</v>
      </c>
      <c r="N3298" s="193" t="s">
        <v>289</v>
      </c>
      <c r="O3298" s="175"/>
    </row>
    <row r="3299" spans="9:16" ht="16.5" thickBot="1">
      <c r="I3299" s="164" t="s">
        <v>1077</v>
      </c>
      <c r="J3299" s="165"/>
      <c r="K3299" s="74">
        <f>+L3263</f>
        <v>797500</v>
      </c>
      <c r="L3299" s="196">
        <f>+J3299+K3299</f>
        <v>797500</v>
      </c>
      <c r="N3299" s="52"/>
    </row>
    <row r="3300" spans="9:16" ht="16.5" thickBot="1">
      <c r="I3300" s="169"/>
      <c r="J3300" s="197">
        <f>SUM(J3295:J3299)</f>
        <v>18830269</v>
      </c>
      <c r="K3300" s="197">
        <f>SUM(K3295:K3299)</f>
        <v>659701790</v>
      </c>
      <c r="L3300" s="198">
        <f>SUM(L3295:L3299)</f>
        <v>678532059</v>
      </c>
    </row>
    <row r="3301" spans="9:16" ht="16.5">
      <c r="I3301" s="49" t="s">
        <v>88</v>
      </c>
      <c r="J3301" s="50"/>
    </row>
    <row r="3302" spans="9:16">
      <c r="I3302" s="51" t="s">
        <v>89</v>
      </c>
    </row>
    <row r="3303" spans="9:16">
      <c r="I3303" s="51" t="s">
        <v>90</v>
      </c>
    </row>
    <row r="3304" spans="9:16">
      <c r="I3304" s="51" t="s">
        <v>91</v>
      </c>
    </row>
    <row r="3305" spans="9:16" ht="12" customHeight="1">
      <c r="I3305" s="50"/>
      <c r="J3305" s="50"/>
    </row>
    <row r="3306" spans="9:16" ht="15.75">
      <c r="I3306" s="260" t="s">
        <v>1279</v>
      </c>
      <c r="O3306" s="52"/>
    </row>
    <row r="3307" spans="9:16" ht="15.75">
      <c r="I3307" s="53" t="s">
        <v>535</v>
      </c>
      <c r="O3307" s="53"/>
    </row>
    <row r="3308" spans="9:16" ht="14.25" customHeight="1">
      <c r="I3308" s="894" t="s">
        <v>1288</v>
      </c>
      <c r="J3308" s="894"/>
      <c r="K3308" s="894"/>
      <c r="L3308" s="894"/>
      <c r="M3308" s="894"/>
      <c r="N3308" s="894"/>
      <c r="O3308" s="894"/>
      <c r="P3308" s="894"/>
    </row>
    <row r="3309" spans="9:16" ht="12.75" customHeight="1" thickBot="1"/>
    <row r="3310" spans="9:16">
      <c r="I3310" s="895" t="s">
        <v>94</v>
      </c>
      <c r="J3310" s="897" t="s">
        <v>95</v>
      </c>
      <c r="K3310" s="897" t="s">
        <v>96</v>
      </c>
      <c r="L3310" s="897" t="s">
        <v>3</v>
      </c>
      <c r="M3310" s="897" t="s">
        <v>97</v>
      </c>
      <c r="N3310" s="897" t="s">
        <v>98</v>
      </c>
      <c r="O3310" s="897" t="s">
        <v>99</v>
      </c>
      <c r="P3310" s="899"/>
    </row>
    <row r="3311" spans="9:16" ht="15.75" thickBot="1">
      <c r="I3311" s="896"/>
      <c r="J3311" s="898"/>
      <c r="K3311" s="898"/>
      <c r="L3311" s="898"/>
      <c r="M3311" s="898"/>
      <c r="N3311" s="898"/>
      <c r="O3311" s="240" t="s">
        <v>100</v>
      </c>
      <c r="P3311" s="182" t="s">
        <v>101</v>
      </c>
    </row>
    <row r="3312" spans="9:16" ht="12.75" customHeight="1">
      <c r="I3312" s="881">
        <v>355</v>
      </c>
      <c r="J3312" s="875">
        <v>42734</v>
      </c>
      <c r="K3312" s="877" t="s">
        <v>1280</v>
      </c>
      <c r="L3312" s="904">
        <v>42569</v>
      </c>
      <c r="M3312" s="881" t="s">
        <v>148</v>
      </c>
      <c r="N3312" s="883">
        <v>100000</v>
      </c>
      <c r="O3312" s="55">
        <v>719</v>
      </c>
      <c r="P3312" s="78">
        <v>0</v>
      </c>
    </row>
    <row r="3313" spans="9:16" ht="15.75" thickBot="1">
      <c r="I3313" s="882"/>
      <c r="J3313" s="876"/>
      <c r="K3313" s="878"/>
      <c r="L3313" s="880"/>
      <c r="M3313" s="882"/>
      <c r="N3313" s="884"/>
      <c r="O3313" s="56">
        <v>722</v>
      </c>
      <c r="P3313" s="351">
        <f>+N3312-P3312</f>
        <v>100000</v>
      </c>
    </row>
    <row r="3314" spans="9:16" ht="12" customHeight="1">
      <c r="I3314" s="881">
        <f>+I3312+1</f>
        <v>356</v>
      </c>
      <c r="J3314" s="875">
        <v>42734</v>
      </c>
      <c r="K3314" s="877" t="s">
        <v>1281</v>
      </c>
      <c r="L3314" s="904">
        <v>42569</v>
      </c>
      <c r="M3314" s="881" t="s">
        <v>148</v>
      </c>
      <c r="N3314" s="883">
        <v>100000</v>
      </c>
      <c r="O3314" s="55">
        <v>719</v>
      </c>
      <c r="P3314" s="78">
        <v>0</v>
      </c>
    </row>
    <row r="3315" spans="9:16" ht="15.75" customHeight="1" thickBot="1">
      <c r="I3315" s="882"/>
      <c r="J3315" s="876"/>
      <c r="K3315" s="878"/>
      <c r="L3315" s="880"/>
      <c r="M3315" s="882"/>
      <c r="N3315" s="884"/>
      <c r="O3315" s="56">
        <v>722</v>
      </c>
      <c r="P3315" s="352">
        <f>+N3314-P3314</f>
        <v>100000</v>
      </c>
    </row>
    <row r="3316" spans="9:16" ht="12.75" customHeight="1">
      <c r="I3316" s="881">
        <f>+I3314+1</f>
        <v>357</v>
      </c>
      <c r="J3316" s="875">
        <v>42734</v>
      </c>
      <c r="K3316" s="877" t="s">
        <v>1282</v>
      </c>
      <c r="L3316" s="904">
        <v>42569</v>
      </c>
      <c r="M3316" s="881" t="s">
        <v>148</v>
      </c>
      <c r="N3316" s="883">
        <v>100000</v>
      </c>
      <c r="O3316" s="55">
        <v>719</v>
      </c>
      <c r="P3316" s="78"/>
    </row>
    <row r="3317" spans="9:16" ht="15.75" customHeight="1" thickBot="1">
      <c r="I3317" s="882"/>
      <c r="J3317" s="876"/>
      <c r="K3317" s="878"/>
      <c r="L3317" s="880"/>
      <c r="M3317" s="882"/>
      <c r="N3317" s="884"/>
      <c r="O3317" s="56">
        <v>722</v>
      </c>
      <c r="P3317" s="352">
        <f>+N3316-P3316</f>
        <v>100000</v>
      </c>
    </row>
    <row r="3318" spans="9:16" ht="16.5" customHeight="1">
      <c r="I3318" s="881">
        <f>+I3316+1</f>
        <v>358</v>
      </c>
      <c r="J3318" s="875">
        <v>42734</v>
      </c>
      <c r="K3318" s="877" t="s">
        <v>1284</v>
      </c>
      <c r="L3318" s="904">
        <v>42569</v>
      </c>
      <c r="M3318" s="881" t="s">
        <v>148</v>
      </c>
      <c r="N3318" s="883">
        <v>100000</v>
      </c>
      <c r="O3318" s="55">
        <v>719</v>
      </c>
      <c r="P3318" s="78"/>
    </row>
    <row r="3319" spans="9:16" ht="15" customHeight="1" thickBot="1">
      <c r="I3319" s="882"/>
      <c r="J3319" s="876"/>
      <c r="K3319" s="878"/>
      <c r="L3319" s="907"/>
      <c r="M3319" s="882"/>
      <c r="N3319" s="884"/>
      <c r="O3319" s="56">
        <v>722</v>
      </c>
      <c r="P3319" s="352">
        <f>+N3318-P3318</f>
        <v>100000</v>
      </c>
    </row>
    <row r="3320" spans="9:16" ht="12.75" customHeight="1">
      <c r="I3320" s="881">
        <f>+I3318+1</f>
        <v>359</v>
      </c>
      <c r="J3320" s="875">
        <v>42734</v>
      </c>
      <c r="K3320" s="905" t="s">
        <v>1285</v>
      </c>
      <c r="L3320" s="904">
        <v>42570</v>
      </c>
      <c r="M3320" s="881" t="s">
        <v>148</v>
      </c>
      <c r="N3320" s="883">
        <v>100000</v>
      </c>
      <c r="O3320" s="55">
        <v>719</v>
      </c>
      <c r="P3320" s="78"/>
    </row>
    <row r="3321" spans="9:16" ht="14.25" customHeight="1" thickBot="1">
      <c r="I3321" s="882"/>
      <c r="J3321" s="876"/>
      <c r="K3321" s="906"/>
      <c r="L3321" s="907"/>
      <c r="M3321" s="882"/>
      <c r="N3321" s="884"/>
      <c r="O3321" s="56">
        <v>722</v>
      </c>
      <c r="P3321" s="352">
        <f>+N3320-P3320</f>
        <v>100000</v>
      </c>
    </row>
    <row r="3322" spans="9:16" ht="15" customHeight="1">
      <c r="I3322" s="881">
        <f>+I3320+1</f>
        <v>360</v>
      </c>
      <c r="J3322" s="875">
        <v>42734</v>
      </c>
      <c r="K3322" s="905" t="s">
        <v>1285</v>
      </c>
      <c r="L3322" s="904">
        <v>42570</v>
      </c>
      <c r="M3322" s="881" t="s">
        <v>148</v>
      </c>
      <c r="N3322" s="883">
        <v>100000</v>
      </c>
      <c r="O3322" s="55">
        <v>719</v>
      </c>
      <c r="P3322" s="78"/>
    </row>
    <row r="3323" spans="9:16" ht="15.75" customHeight="1" thickBot="1">
      <c r="I3323" s="882"/>
      <c r="J3323" s="876"/>
      <c r="K3323" s="906"/>
      <c r="L3323" s="907"/>
      <c r="M3323" s="882"/>
      <c r="N3323" s="884"/>
      <c r="O3323" s="56">
        <v>722</v>
      </c>
      <c r="P3323" s="79">
        <f>+N3322-P3322</f>
        <v>100000</v>
      </c>
    </row>
    <row r="3324" spans="9:16" ht="16.5" thickBot="1">
      <c r="I3324" s="901" t="s">
        <v>102</v>
      </c>
      <c r="J3324" s="902"/>
      <c r="K3324" s="902"/>
      <c r="L3324" s="902"/>
      <c r="M3324" s="903"/>
      <c r="N3324" s="81">
        <f>SUM(N3312:N3323)</f>
        <v>600000</v>
      </c>
    </row>
    <row r="3325" spans="9:16" ht="16.5" thickBot="1">
      <c r="I3325" s="885" t="s">
        <v>103</v>
      </c>
      <c r="J3325" s="886"/>
      <c r="K3325" s="886"/>
      <c r="L3325" s="886"/>
      <c r="M3325" s="887"/>
      <c r="N3325" s="69">
        <f>+N3287</f>
        <v>678602059</v>
      </c>
      <c r="O3325" s="241" t="s">
        <v>561</v>
      </c>
      <c r="P3325" s="242"/>
    </row>
    <row r="3326" spans="9:16" ht="16.5" thickBot="1">
      <c r="I3326" s="888" t="s">
        <v>104</v>
      </c>
      <c r="J3326" s="889"/>
      <c r="K3326" s="889"/>
      <c r="L3326" s="889"/>
      <c r="M3326" s="890"/>
      <c r="N3326" s="183">
        <f>SUM(N3324:N3325)</f>
        <v>679202059</v>
      </c>
    </row>
    <row r="3327" spans="9:16">
      <c r="I3327" s="61"/>
      <c r="J3327" s="61"/>
      <c r="K3327" s="61"/>
      <c r="L3327" s="61"/>
      <c r="M3327" s="61"/>
    </row>
    <row r="3328" spans="9:16">
      <c r="I3328" s="51" t="s">
        <v>1286</v>
      </c>
    </row>
    <row r="3329" spans="9:15" ht="11.25" customHeight="1">
      <c r="N3329" s="139"/>
    </row>
    <row r="3330" spans="9:15">
      <c r="I3330" s="50" t="s">
        <v>105</v>
      </c>
      <c r="L3330" s="146"/>
      <c r="N3330" s="139"/>
    </row>
    <row r="3331" spans="9:15" ht="13.5" customHeight="1" thickBot="1"/>
    <row r="3332" spans="9:15" ht="15.75" thickBot="1">
      <c r="I3332" s="891" t="s">
        <v>106</v>
      </c>
      <c r="J3332" s="892"/>
      <c r="K3332" s="892"/>
      <c r="L3332" s="893"/>
      <c r="N3332" s="50" t="s">
        <v>288</v>
      </c>
    </row>
    <row r="3333" spans="9:15" ht="30.75" thickBot="1">
      <c r="I3333" s="57" t="s">
        <v>100</v>
      </c>
      <c r="J3333" s="58" t="s">
        <v>108</v>
      </c>
      <c r="K3333" s="287" t="s">
        <v>109</v>
      </c>
      <c r="L3333" s="60" t="s">
        <v>110</v>
      </c>
    </row>
    <row r="3334" spans="9:15">
      <c r="I3334" s="71">
        <v>719</v>
      </c>
      <c r="J3334" s="73">
        <f>+P3312+P3314+P3320+P3322</f>
        <v>0</v>
      </c>
      <c r="K3334" s="74">
        <f>+L3295</f>
        <v>56100000</v>
      </c>
      <c r="L3334" s="195">
        <f>+J3334+K3334</f>
        <v>56100000</v>
      </c>
    </row>
    <row r="3335" spans="9:15">
      <c r="I3335" s="72">
        <v>721</v>
      </c>
      <c r="J3335" s="80"/>
      <c r="K3335" s="74">
        <f>+L3296</f>
        <v>262668659</v>
      </c>
      <c r="L3335" s="195">
        <f>+J3335+K3335</f>
        <v>262668659</v>
      </c>
    </row>
    <row r="3336" spans="9:15">
      <c r="I3336" s="72">
        <v>722</v>
      </c>
      <c r="J3336" s="80">
        <f>+P3323+P3321+P3317+P3315+P3313+P3319</f>
        <v>600000</v>
      </c>
      <c r="K3336" s="74">
        <f>+L3297</f>
        <v>48461706</v>
      </c>
      <c r="L3336" s="195">
        <f>+J3336+K3336</f>
        <v>49061706</v>
      </c>
    </row>
    <row r="3337" spans="9:15" ht="15.75">
      <c r="I3337" s="72">
        <v>723</v>
      </c>
      <c r="J3337" s="80"/>
      <c r="K3337" s="74">
        <f>+L3298</f>
        <v>310504194</v>
      </c>
      <c r="L3337" s="195">
        <f>+J3337+K3337</f>
        <v>310504194</v>
      </c>
      <c r="N3337" s="193" t="s">
        <v>289</v>
      </c>
      <c r="O3337" s="175"/>
    </row>
    <row r="3338" spans="9:15" ht="16.5" thickBot="1">
      <c r="I3338" s="164" t="s">
        <v>1077</v>
      </c>
      <c r="J3338" s="165"/>
      <c r="K3338" s="74">
        <f>+L3299</f>
        <v>797500</v>
      </c>
      <c r="L3338" s="196">
        <f>+J3338+K3338</f>
        <v>797500</v>
      </c>
      <c r="N3338" s="52"/>
    </row>
    <row r="3339" spans="9:15" ht="16.5" thickBot="1">
      <c r="I3339" s="169"/>
      <c r="J3339" s="197">
        <f>SUM(J3334:J3338)</f>
        <v>600000</v>
      </c>
      <c r="K3339" s="197">
        <f>SUM(K3334:K3338)</f>
        <v>678532059</v>
      </c>
      <c r="L3339" s="198">
        <f>SUM(L3334:L3338)</f>
        <v>679132059</v>
      </c>
    </row>
    <row r="3340" spans="9:15" ht="16.5">
      <c r="I3340" s="49" t="s">
        <v>88</v>
      </c>
      <c r="J3340" s="50"/>
    </row>
    <row r="3341" spans="9:15">
      <c r="I3341" s="51" t="s">
        <v>89</v>
      </c>
    </row>
    <row r="3342" spans="9:15">
      <c r="I3342" s="51" t="s">
        <v>90</v>
      </c>
    </row>
    <row r="3343" spans="9:15">
      <c r="I3343" s="51" t="s">
        <v>91</v>
      </c>
    </row>
    <row r="3344" spans="9:15">
      <c r="I3344" s="50"/>
      <c r="J3344" s="50"/>
    </row>
    <row r="3345" spans="9:16" ht="15.75">
      <c r="I3345" s="260" t="s">
        <v>1283</v>
      </c>
      <c r="O3345" s="52"/>
    </row>
    <row r="3346" spans="9:16" ht="15.75">
      <c r="I3346" s="53" t="s">
        <v>535</v>
      </c>
      <c r="O3346" s="53"/>
    </row>
    <row r="3347" spans="9:16" ht="16.5">
      <c r="I3347" s="894" t="s">
        <v>1288</v>
      </c>
      <c r="J3347" s="894"/>
      <c r="K3347" s="894"/>
      <c r="L3347" s="894"/>
      <c r="M3347" s="894"/>
      <c r="N3347" s="894"/>
      <c r="O3347" s="894"/>
      <c r="P3347" s="894"/>
    </row>
    <row r="3348" spans="9:16" ht="15.75" thickBot="1"/>
    <row r="3349" spans="9:16">
      <c r="I3349" s="895" t="s">
        <v>94</v>
      </c>
      <c r="J3349" s="897" t="s">
        <v>95</v>
      </c>
      <c r="K3349" s="897" t="s">
        <v>96</v>
      </c>
      <c r="L3349" s="897" t="s">
        <v>3</v>
      </c>
      <c r="M3349" s="897" t="s">
        <v>97</v>
      </c>
      <c r="N3349" s="897" t="s">
        <v>98</v>
      </c>
      <c r="O3349" s="897" t="s">
        <v>99</v>
      </c>
      <c r="P3349" s="899"/>
    </row>
    <row r="3350" spans="9:16" ht="15.75" thickBot="1">
      <c r="I3350" s="896"/>
      <c r="J3350" s="898"/>
      <c r="K3350" s="898"/>
      <c r="L3350" s="898"/>
      <c r="M3350" s="898"/>
      <c r="N3350" s="898"/>
      <c r="O3350" s="240" t="s">
        <v>100</v>
      </c>
      <c r="P3350" s="182" t="s">
        <v>101</v>
      </c>
    </row>
    <row r="3351" spans="9:16" ht="15" customHeight="1">
      <c r="I3351" s="873" t="s">
        <v>552</v>
      </c>
      <c r="J3351" s="875">
        <v>42735</v>
      </c>
      <c r="K3351" s="877" t="s">
        <v>790</v>
      </c>
      <c r="L3351" s="879" t="s">
        <v>1293</v>
      </c>
      <c r="M3351" s="881" t="s">
        <v>165</v>
      </c>
      <c r="N3351" s="883">
        <v>-401330</v>
      </c>
      <c r="O3351" s="55">
        <v>719</v>
      </c>
      <c r="P3351" s="78"/>
    </row>
    <row r="3352" spans="9:16" ht="15.75" thickBot="1">
      <c r="I3352" s="874"/>
      <c r="J3352" s="876"/>
      <c r="K3352" s="878"/>
      <c r="L3352" s="880"/>
      <c r="M3352" s="882"/>
      <c r="N3352" s="884"/>
      <c r="O3352" s="56">
        <v>723</v>
      </c>
      <c r="P3352" s="351">
        <f>+N3351-P3351</f>
        <v>-401330</v>
      </c>
    </row>
    <row r="3353" spans="9:16" ht="15" customHeight="1">
      <c r="I3353" s="873" t="s">
        <v>553</v>
      </c>
      <c r="J3353" s="875">
        <v>42735</v>
      </c>
      <c r="K3353" s="877" t="s">
        <v>791</v>
      </c>
      <c r="L3353" s="879" t="s">
        <v>1294</v>
      </c>
      <c r="M3353" s="881" t="s">
        <v>165</v>
      </c>
      <c r="N3353" s="883">
        <v>-164000</v>
      </c>
      <c r="O3353" s="55">
        <v>719</v>
      </c>
      <c r="P3353" s="78"/>
    </row>
    <row r="3354" spans="9:16" ht="15.75" customHeight="1" thickBot="1">
      <c r="I3354" s="874"/>
      <c r="J3354" s="876"/>
      <c r="K3354" s="878"/>
      <c r="L3354" s="880"/>
      <c r="M3354" s="882"/>
      <c r="N3354" s="884"/>
      <c r="O3354" s="56">
        <v>723</v>
      </c>
      <c r="P3354" s="352">
        <f>+N3353-P3353</f>
        <v>-164000</v>
      </c>
    </row>
    <row r="3355" spans="9:16" ht="15" customHeight="1">
      <c r="I3355" s="873"/>
      <c r="J3355" s="875"/>
      <c r="K3355" s="877"/>
      <c r="L3355" s="879"/>
      <c r="M3355" s="881"/>
      <c r="N3355" s="883"/>
      <c r="O3355" s="55">
        <v>719</v>
      </c>
      <c r="P3355" s="78"/>
    </row>
    <row r="3356" spans="9:16" ht="15.75" customHeight="1" thickBot="1">
      <c r="I3356" s="874"/>
      <c r="J3356" s="876"/>
      <c r="K3356" s="878"/>
      <c r="L3356" s="880"/>
      <c r="M3356" s="882"/>
      <c r="N3356" s="884"/>
      <c r="O3356" s="56">
        <v>722</v>
      </c>
      <c r="P3356" s="352"/>
    </row>
    <row r="3357" spans="9:16" ht="15" customHeight="1">
      <c r="I3357" s="873"/>
      <c r="J3357" s="875"/>
      <c r="K3357" s="877"/>
      <c r="L3357" s="879"/>
      <c r="M3357" s="881"/>
      <c r="N3357" s="883"/>
      <c r="O3357" s="55">
        <v>719</v>
      </c>
      <c r="P3357" s="78"/>
    </row>
    <row r="3358" spans="9:16" ht="15.75" customHeight="1" thickBot="1">
      <c r="I3358" s="874"/>
      <c r="J3358" s="876"/>
      <c r="K3358" s="878"/>
      <c r="L3358" s="880"/>
      <c r="M3358" s="882"/>
      <c r="N3358" s="884"/>
      <c r="O3358" s="56">
        <v>722</v>
      </c>
      <c r="P3358" s="79">
        <f>+N3357-P3357</f>
        <v>0</v>
      </c>
    </row>
    <row r="3359" spans="9:16" ht="16.5" thickBot="1">
      <c r="I3359" s="901" t="s">
        <v>102</v>
      </c>
      <c r="J3359" s="902"/>
      <c r="K3359" s="902"/>
      <c r="L3359" s="902"/>
      <c r="M3359" s="903"/>
      <c r="N3359" s="81">
        <f>SUM(N3351:N3358)</f>
        <v>-565330</v>
      </c>
    </row>
    <row r="3360" spans="9:16" ht="16.5" thickBot="1">
      <c r="I3360" s="885" t="s">
        <v>103</v>
      </c>
      <c r="J3360" s="886"/>
      <c r="K3360" s="886"/>
      <c r="L3360" s="886"/>
      <c r="M3360" s="887"/>
      <c r="N3360" s="69">
        <f>+N3326</f>
        <v>679202059</v>
      </c>
      <c r="O3360" s="241" t="s">
        <v>561</v>
      </c>
      <c r="P3360" s="242"/>
    </row>
    <row r="3361" spans="9:15" ht="16.5" thickBot="1">
      <c r="I3361" s="888" t="s">
        <v>104</v>
      </c>
      <c r="J3361" s="889"/>
      <c r="K3361" s="889"/>
      <c r="L3361" s="889"/>
      <c r="M3361" s="890"/>
      <c r="N3361" s="183">
        <f>SUM(N3359:N3360)</f>
        <v>678636729</v>
      </c>
    </row>
    <row r="3362" spans="9:15">
      <c r="I3362" s="61"/>
      <c r="J3362" s="61"/>
      <c r="K3362" s="61"/>
      <c r="L3362" s="61"/>
      <c r="M3362" s="61"/>
    </row>
    <row r="3363" spans="9:15">
      <c r="I3363" s="51" t="s">
        <v>1287</v>
      </c>
    </row>
    <row r="3364" spans="9:15">
      <c r="N3364" s="139"/>
    </row>
    <row r="3365" spans="9:15">
      <c r="I3365" s="50" t="s">
        <v>105</v>
      </c>
      <c r="L3365" s="146"/>
      <c r="N3365" s="139"/>
    </row>
    <row r="3366" spans="9:15" ht="15.75" thickBot="1"/>
    <row r="3367" spans="9:15" ht="15.75" thickBot="1">
      <c r="I3367" s="891" t="s">
        <v>106</v>
      </c>
      <c r="J3367" s="892"/>
      <c r="K3367" s="892"/>
      <c r="L3367" s="893"/>
      <c r="N3367" s="50" t="s">
        <v>288</v>
      </c>
    </row>
    <row r="3368" spans="9:15" ht="30.75" thickBot="1">
      <c r="I3368" s="57" t="s">
        <v>100</v>
      </c>
      <c r="J3368" s="58" t="s">
        <v>108</v>
      </c>
      <c r="K3368" s="287" t="s">
        <v>109</v>
      </c>
      <c r="L3368" s="60" t="s">
        <v>110</v>
      </c>
    </row>
    <row r="3369" spans="9:15">
      <c r="I3369" s="71">
        <v>719</v>
      </c>
      <c r="J3369" s="73">
        <f>+P3351+P3353+P3357</f>
        <v>0</v>
      </c>
      <c r="K3369" s="74">
        <f>+L3334</f>
        <v>56100000</v>
      </c>
      <c r="L3369" s="195">
        <f>+J3369+K3369</f>
        <v>56100000</v>
      </c>
    </row>
    <row r="3370" spans="9:15">
      <c r="I3370" s="72">
        <v>721</v>
      </c>
      <c r="J3370" s="80"/>
      <c r="K3370" s="74">
        <f>+L3335</f>
        <v>262668659</v>
      </c>
      <c r="L3370" s="195">
        <f>+J3370+K3370</f>
        <v>262668659</v>
      </c>
    </row>
    <row r="3371" spans="9:15">
      <c r="I3371" s="72">
        <v>722</v>
      </c>
      <c r="J3371" s="80"/>
      <c r="K3371" s="74">
        <f>+L3336</f>
        <v>49061706</v>
      </c>
      <c r="L3371" s="195">
        <f>+J3371+K3371</f>
        <v>49061706</v>
      </c>
    </row>
    <row r="3372" spans="9:15" ht="15.75">
      <c r="I3372" s="72">
        <v>723</v>
      </c>
      <c r="J3372" s="80">
        <f>+P3354+P3352</f>
        <v>-565330</v>
      </c>
      <c r="K3372" s="74">
        <f>+L3337</f>
        <v>310504194</v>
      </c>
      <c r="L3372" s="195">
        <f>+J3372+K3372</f>
        <v>309938864</v>
      </c>
      <c r="N3372" s="193" t="s">
        <v>289</v>
      </c>
      <c r="O3372" s="175"/>
    </row>
    <row r="3373" spans="9:15" ht="16.5" thickBot="1">
      <c r="I3373" s="164" t="s">
        <v>1077</v>
      </c>
      <c r="J3373" s="165"/>
      <c r="K3373" s="74">
        <f>+L3338</f>
        <v>797500</v>
      </c>
      <c r="L3373" s="196">
        <f>+J3373+K3373</f>
        <v>797500</v>
      </c>
      <c r="N3373" s="52"/>
    </row>
    <row r="3374" spans="9:15" ht="16.5" thickBot="1">
      <c r="I3374" s="169"/>
      <c r="J3374" s="197">
        <f>SUM(J3369:J3373)</f>
        <v>-565330</v>
      </c>
      <c r="K3374" s="197">
        <f>SUM(K3369:K3373)</f>
        <v>679132059</v>
      </c>
      <c r="L3374" s="198">
        <f>SUM(L3369:L3373)</f>
        <v>678566729</v>
      </c>
    </row>
    <row r="3375" spans="9:15" ht="15.75">
      <c r="I3375" s="397"/>
      <c r="J3375" s="398"/>
      <c r="K3375" s="398"/>
      <c r="L3375" s="399"/>
    </row>
    <row r="3376" spans="9:15" ht="16.5">
      <c r="I3376" s="49" t="s">
        <v>88</v>
      </c>
      <c r="J3376" s="50"/>
    </row>
    <row r="3377" spans="9:16">
      <c r="I3377" s="51" t="s">
        <v>89</v>
      </c>
    </row>
    <row r="3378" spans="9:16">
      <c r="I3378" s="51" t="s">
        <v>90</v>
      </c>
    </row>
    <row r="3379" spans="9:16">
      <c r="I3379" s="51" t="s">
        <v>91</v>
      </c>
    </row>
    <row r="3380" spans="9:16" ht="14.25" customHeight="1">
      <c r="I3380" s="50"/>
      <c r="J3380" s="50"/>
    </row>
    <row r="3381" spans="9:16" ht="15.75">
      <c r="I3381" s="260" t="s">
        <v>1289</v>
      </c>
      <c r="O3381" s="52"/>
    </row>
    <row r="3382" spans="9:16" ht="15.75">
      <c r="I3382" s="53" t="s">
        <v>535</v>
      </c>
      <c r="O3382" s="53"/>
    </row>
    <row r="3383" spans="9:16" ht="16.5">
      <c r="I3383" s="894" t="s">
        <v>1278</v>
      </c>
      <c r="J3383" s="894"/>
      <c r="K3383" s="894"/>
      <c r="L3383" s="894"/>
      <c r="M3383" s="894"/>
      <c r="N3383" s="894"/>
      <c r="O3383" s="894"/>
      <c r="P3383" s="894"/>
    </row>
    <row r="3384" spans="9:16" ht="15.75" thickBot="1"/>
    <row r="3385" spans="9:16">
      <c r="I3385" s="895" t="s">
        <v>94</v>
      </c>
      <c r="J3385" s="897" t="s">
        <v>95</v>
      </c>
      <c r="K3385" s="897" t="s">
        <v>96</v>
      </c>
      <c r="L3385" s="897" t="s">
        <v>3</v>
      </c>
      <c r="M3385" s="897" t="s">
        <v>97</v>
      </c>
      <c r="N3385" s="897" t="s">
        <v>98</v>
      </c>
      <c r="O3385" s="897" t="s">
        <v>99</v>
      </c>
      <c r="P3385" s="899"/>
    </row>
    <row r="3386" spans="9:16" ht="15.75" thickBot="1">
      <c r="I3386" s="896"/>
      <c r="J3386" s="898"/>
      <c r="K3386" s="898"/>
      <c r="L3386" s="898"/>
      <c r="M3386" s="898"/>
      <c r="N3386" s="898"/>
      <c r="O3386" s="240" t="s">
        <v>100</v>
      </c>
      <c r="P3386" s="182" t="s">
        <v>101</v>
      </c>
    </row>
    <row r="3387" spans="9:16" ht="15" customHeight="1">
      <c r="I3387" s="873" t="s">
        <v>1290</v>
      </c>
      <c r="J3387" s="875">
        <v>42734</v>
      </c>
      <c r="K3387" s="877" t="s">
        <v>1014</v>
      </c>
      <c r="L3387" s="879" t="s">
        <v>1293</v>
      </c>
      <c r="M3387" s="881" t="s">
        <v>115</v>
      </c>
      <c r="N3387" s="883">
        <v>50000</v>
      </c>
      <c r="O3387" s="55">
        <v>719</v>
      </c>
      <c r="P3387" s="78">
        <v>50000</v>
      </c>
    </row>
    <row r="3388" spans="9:16" ht="15.75" customHeight="1" thickBot="1">
      <c r="I3388" s="874"/>
      <c r="J3388" s="876"/>
      <c r="K3388" s="878"/>
      <c r="L3388" s="880"/>
      <c r="M3388" s="882"/>
      <c r="N3388" s="884"/>
      <c r="O3388" s="56">
        <v>723</v>
      </c>
      <c r="P3388" s="351">
        <f>+N3387-P3387</f>
        <v>0</v>
      </c>
    </row>
    <row r="3389" spans="9:16" ht="15" customHeight="1">
      <c r="I3389" s="873" t="s">
        <v>1291</v>
      </c>
      <c r="J3389" s="875">
        <v>42734</v>
      </c>
      <c r="K3389" s="877" t="s">
        <v>28</v>
      </c>
      <c r="L3389" s="879" t="s">
        <v>1294</v>
      </c>
      <c r="M3389" s="881" t="s">
        <v>115</v>
      </c>
      <c r="N3389" s="883">
        <v>50000</v>
      </c>
      <c r="O3389" s="55">
        <v>719</v>
      </c>
      <c r="P3389" s="78">
        <v>50000</v>
      </c>
    </row>
    <row r="3390" spans="9:16" ht="15.75" customHeight="1" thickBot="1">
      <c r="I3390" s="874"/>
      <c r="J3390" s="876"/>
      <c r="K3390" s="878"/>
      <c r="L3390" s="880"/>
      <c r="M3390" s="882"/>
      <c r="N3390" s="884"/>
      <c r="O3390" s="56">
        <v>723</v>
      </c>
      <c r="P3390" s="352">
        <f>+N3389-P3389</f>
        <v>0</v>
      </c>
    </row>
    <row r="3391" spans="9:16" ht="15" customHeight="1">
      <c r="I3391" s="873" t="s">
        <v>1292</v>
      </c>
      <c r="J3391" s="875">
        <v>42734</v>
      </c>
      <c r="K3391" s="877" t="s">
        <v>120</v>
      </c>
      <c r="L3391" s="879" t="s">
        <v>1294</v>
      </c>
      <c r="M3391" s="881" t="s">
        <v>115</v>
      </c>
      <c r="N3391" s="883">
        <v>140000</v>
      </c>
      <c r="O3391" s="55">
        <v>719</v>
      </c>
      <c r="P3391" s="78">
        <v>140000</v>
      </c>
    </row>
    <row r="3392" spans="9:16" ht="15.75" customHeight="1" thickBot="1">
      <c r="I3392" s="874"/>
      <c r="J3392" s="876"/>
      <c r="K3392" s="878"/>
      <c r="L3392" s="880"/>
      <c r="M3392" s="882"/>
      <c r="N3392" s="884"/>
      <c r="O3392" s="56">
        <v>722</v>
      </c>
      <c r="P3392" s="352">
        <f>+N3391-P3391</f>
        <v>0</v>
      </c>
    </row>
    <row r="3393" spans="9:16">
      <c r="I3393" s="881"/>
      <c r="J3393" s="875"/>
      <c r="K3393" s="877"/>
      <c r="L3393" s="904"/>
      <c r="M3393" s="881"/>
      <c r="N3393" s="883"/>
      <c r="O3393" s="55">
        <v>719</v>
      </c>
      <c r="P3393" s="78"/>
    </row>
    <row r="3394" spans="9:16" ht="15.75" thickBot="1">
      <c r="I3394" s="882"/>
      <c r="J3394" s="876"/>
      <c r="K3394" s="878"/>
      <c r="L3394" s="880"/>
      <c r="M3394" s="882"/>
      <c r="N3394" s="884"/>
      <c r="O3394" s="56">
        <v>722</v>
      </c>
      <c r="P3394" s="79">
        <f>+N3393-P3393</f>
        <v>0</v>
      </c>
    </row>
    <row r="3395" spans="9:16" ht="16.5" thickBot="1">
      <c r="I3395" s="901" t="s">
        <v>102</v>
      </c>
      <c r="J3395" s="902"/>
      <c r="K3395" s="902"/>
      <c r="L3395" s="902"/>
      <c r="M3395" s="903"/>
      <c r="N3395" s="81">
        <f>SUM(N3387:N3394)</f>
        <v>240000</v>
      </c>
    </row>
    <row r="3396" spans="9:16" ht="16.5" thickBot="1">
      <c r="I3396" s="885" t="s">
        <v>103</v>
      </c>
      <c r="J3396" s="886"/>
      <c r="K3396" s="886"/>
      <c r="L3396" s="886"/>
      <c r="M3396" s="887"/>
      <c r="N3396" s="69">
        <f>+N3361</f>
        <v>678636729</v>
      </c>
      <c r="O3396" s="241" t="s">
        <v>561</v>
      </c>
      <c r="P3396" s="242">
        <v>349</v>
      </c>
    </row>
    <row r="3397" spans="9:16" ht="16.5" thickBot="1">
      <c r="I3397" s="888" t="s">
        <v>104</v>
      </c>
      <c r="J3397" s="889"/>
      <c r="K3397" s="889"/>
      <c r="L3397" s="889"/>
      <c r="M3397" s="890"/>
      <c r="N3397" s="183">
        <f>SUM(N3395:N3396)</f>
        <v>678876729</v>
      </c>
    </row>
    <row r="3398" spans="9:16">
      <c r="I3398" s="61"/>
      <c r="J3398" s="61"/>
      <c r="K3398" s="61"/>
      <c r="L3398" s="61"/>
      <c r="M3398" s="61"/>
    </row>
    <row r="3399" spans="9:16">
      <c r="I3399" s="51" t="s">
        <v>1295</v>
      </c>
    </row>
    <row r="3400" spans="9:16">
      <c r="N3400" s="139"/>
    </row>
    <row r="3401" spans="9:16" ht="19.5" customHeight="1">
      <c r="I3401" s="50" t="s">
        <v>105</v>
      </c>
      <c r="L3401" s="146"/>
      <c r="N3401" s="139"/>
    </row>
    <row r="3402" spans="9:16" ht="18" customHeight="1" thickBot="1"/>
    <row r="3403" spans="9:16" ht="15.75" thickBot="1">
      <c r="I3403" s="891" t="s">
        <v>106</v>
      </c>
      <c r="J3403" s="892"/>
      <c r="K3403" s="892"/>
      <c r="L3403" s="893"/>
      <c r="N3403" s="50" t="s">
        <v>288</v>
      </c>
    </row>
    <row r="3404" spans="9:16" ht="30.75" thickBot="1">
      <c r="I3404" s="57" t="s">
        <v>100</v>
      </c>
      <c r="J3404" s="58" t="s">
        <v>108</v>
      </c>
      <c r="K3404" s="287" t="s">
        <v>109</v>
      </c>
      <c r="L3404" s="60" t="s">
        <v>110</v>
      </c>
    </row>
    <row r="3405" spans="9:16">
      <c r="I3405" s="71">
        <v>719</v>
      </c>
      <c r="J3405" s="73">
        <f>+P3387+P3389+P3393+P3391</f>
        <v>240000</v>
      </c>
      <c r="K3405" s="74">
        <f>+L3369</f>
        <v>56100000</v>
      </c>
      <c r="L3405" s="195">
        <f>+J3405+K3405</f>
        <v>56340000</v>
      </c>
    </row>
    <row r="3406" spans="9:16">
      <c r="I3406" s="72">
        <v>721</v>
      </c>
      <c r="J3406" s="80"/>
      <c r="K3406" s="74">
        <f>+L3370</f>
        <v>262668659</v>
      </c>
      <c r="L3406" s="195">
        <f>+J3406+K3406</f>
        <v>262668659</v>
      </c>
    </row>
    <row r="3407" spans="9:16">
      <c r="I3407" s="72">
        <v>722</v>
      </c>
      <c r="J3407" s="80"/>
      <c r="K3407" s="74">
        <f>+L3371</f>
        <v>49061706</v>
      </c>
      <c r="L3407" s="195">
        <f>+J3407+K3407</f>
        <v>49061706</v>
      </c>
    </row>
    <row r="3408" spans="9:16" ht="15.75">
      <c r="I3408" s="72">
        <v>723</v>
      </c>
      <c r="J3408" s="80">
        <f>+P3390+P3388</f>
        <v>0</v>
      </c>
      <c r="K3408" s="74">
        <f>+L3372</f>
        <v>309938864</v>
      </c>
      <c r="L3408" s="195">
        <f>+J3408+K3408</f>
        <v>309938864</v>
      </c>
      <c r="N3408" s="193" t="s">
        <v>289</v>
      </c>
      <c r="O3408" s="175"/>
    </row>
    <row r="3409" spans="9:16" ht="16.5" thickBot="1">
      <c r="I3409" s="164" t="s">
        <v>1077</v>
      </c>
      <c r="J3409" s="165"/>
      <c r="K3409" s="74">
        <f>+L3373</f>
        <v>797500</v>
      </c>
      <c r="L3409" s="196">
        <f>+J3409+K3409</f>
        <v>797500</v>
      </c>
      <c r="N3409" s="52"/>
    </row>
    <row r="3410" spans="9:16" ht="16.5" thickBot="1">
      <c r="I3410" s="169"/>
      <c r="J3410" s="197">
        <f>SUM(J3405:J3409)</f>
        <v>240000</v>
      </c>
      <c r="K3410" s="197">
        <f>SUM(K3405:K3409)</f>
        <v>678566729</v>
      </c>
      <c r="L3410" s="198">
        <f>SUM(L3405:L3409)</f>
        <v>678806729</v>
      </c>
    </row>
    <row r="3411" spans="9:16" ht="15.75">
      <c r="I3411" s="397"/>
      <c r="J3411" s="398"/>
      <c r="K3411" s="398"/>
      <c r="L3411" s="399"/>
    </row>
    <row r="3412" spans="9:16" ht="16.5">
      <c r="I3412" s="49" t="s">
        <v>88</v>
      </c>
      <c r="J3412" s="50"/>
    </row>
    <row r="3413" spans="9:16">
      <c r="I3413" s="50" t="s">
        <v>89</v>
      </c>
    </row>
    <row r="3414" spans="9:16">
      <c r="I3414" s="51" t="s">
        <v>90</v>
      </c>
    </row>
    <row r="3415" spans="9:16">
      <c r="I3415" s="51" t="s">
        <v>91</v>
      </c>
    </row>
    <row r="3416" spans="9:16" ht="9" customHeight="1">
      <c r="I3416" s="50"/>
      <c r="J3416" s="50"/>
    </row>
    <row r="3417" spans="9:16" ht="15.75">
      <c r="I3417" s="260" t="s">
        <v>1296</v>
      </c>
      <c r="O3417" s="52"/>
    </row>
    <row r="3418" spans="9:16" ht="15.75">
      <c r="I3418" s="53" t="s">
        <v>535</v>
      </c>
      <c r="O3418" s="53"/>
    </row>
    <row r="3419" spans="9:16" ht="15.75" customHeight="1">
      <c r="I3419" s="894" t="s">
        <v>1302</v>
      </c>
      <c r="J3419" s="894"/>
      <c r="K3419" s="894"/>
      <c r="L3419" s="894"/>
      <c r="M3419" s="894"/>
      <c r="N3419" s="894"/>
      <c r="O3419" s="894"/>
      <c r="P3419" s="894"/>
    </row>
    <row r="3420" spans="9:16" ht="12.75" customHeight="1" thickBot="1"/>
    <row r="3421" spans="9:16">
      <c r="I3421" s="895" t="s">
        <v>94</v>
      </c>
      <c r="J3421" s="897" t="s">
        <v>95</v>
      </c>
      <c r="K3421" s="897" t="s">
        <v>96</v>
      </c>
      <c r="L3421" s="897" t="s">
        <v>3</v>
      </c>
      <c r="M3421" s="897" t="s">
        <v>97</v>
      </c>
      <c r="N3421" s="897" t="s">
        <v>98</v>
      </c>
      <c r="O3421" s="897" t="s">
        <v>99</v>
      </c>
      <c r="P3421" s="899"/>
    </row>
    <row r="3422" spans="9:16" ht="15.75" thickBot="1">
      <c r="I3422" s="896"/>
      <c r="J3422" s="898"/>
      <c r="K3422" s="898"/>
      <c r="L3422" s="898"/>
      <c r="M3422" s="898"/>
      <c r="N3422" s="898"/>
      <c r="O3422" s="240" t="s">
        <v>100</v>
      </c>
      <c r="P3422" s="182" t="s">
        <v>101</v>
      </c>
    </row>
    <row r="3423" spans="9:16" ht="13.5" customHeight="1">
      <c r="I3423" s="873" t="s">
        <v>1297</v>
      </c>
      <c r="J3423" s="875">
        <v>42734</v>
      </c>
      <c r="K3423" s="400" t="s">
        <v>1267</v>
      </c>
      <c r="L3423" s="879" t="s">
        <v>1221</v>
      </c>
      <c r="M3423" s="881" t="s">
        <v>145</v>
      </c>
      <c r="N3423" s="883">
        <v>14718204</v>
      </c>
      <c r="O3423" s="55">
        <v>719</v>
      </c>
      <c r="P3423" s="78">
        <v>0</v>
      </c>
    </row>
    <row r="3424" spans="9:16" ht="14.25" customHeight="1" thickBot="1">
      <c r="I3424" s="874"/>
      <c r="J3424" s="876"/>
      <c r="K3424" s="402"/>
      <c r="L3424" s="880"/>
      <c r="M3424" s="882"/>
      <c r="N3424" s="884"/>
      <c r="O3424" s="56">
        <v>721</v>
      </c>
      <c r="P3424" s="351">
        <f>+N3423-P3423</f>
        <v>14718204</v>
      </c>
    </row>
    <row r="3425" spans="9:16" ht="13.5" customHeight="1">
      <c r="I3425" s="873" t="s">
        <v>1298</v>
      </c>
      <c r="J3425" s="875">
        <v>42734</v>
      </c>
      <c r="K3425" s="402"/>
      <c r="L3425" s="879" t="s">
        <v>1304</v>
      </c>
      <c r="M3425" s="881" t="s">
        <v>145</v>
      </c>
      <c r="N3425" s="883">
        <v>4941638</v>
      </c>
      <c r="O3425" s="55">
        <v>719</v>
      </c>
      <c r="P3425" s="78">
        <v>0</v>
      </c>
    </row>
    <row r="3426" spans="9:16" ht="15" customHeight="1" thickBot="1">
      <c r="I3426" s="874"/>
      <c r="J3426" s="876"/>
      <c r="K3426" s="402"/>
      <c r="L3426" s="880"/>
      <c r="M3426" s="882"/>
      <c r="N3426" s="884"/>
      <c r="O3426" s="56">
        <v>721</v>
      </c>
      <c r="P3426" s="352">
        <f>+N3425-P3425</f>
        <v>4941638</v>
      </c>
    </row>
    <row r="3427" spans="9:16" ht="15" customHeight="1">
      <c r="I3427" s="873" t="s">
        <v>1299</v>
      </c>
      <c r="J3427" s="875">
        <v>42734</v>
      </c>
      <c r="K3427" s="402"/>
      <c r="L3427" s="879" t="s">
        <v>1305</v>
      </c>
      <c r="M3427" s="881" t="s">
        <v>145</v>
      </c>
      <c r="N3427" s="883">
        <v>3962065</v>
      </c>
      <c r="O3427" s="55">
        <v>719</v>
      </c>
      <c r="P3427" s="78">
        <v>0</v>
      </c>
    </row>
    <row r="3428" spans="9:16" ht="15.75" customHeight="1" thickBot="1">
      <c r="I3428" s="874"/>
      <c r="J3428" s="876"/>
      <c r="K3428" s="402"/>
      <c r="L3428" s="880"/>
      <c r="M3428" s="882"/>
      <c r="N3428" s="884"/>
      <c r="O3428" s="56">
        <v>721</v>
      </c>
      <c r="P3428" s="352">
        <f>+N3427-P3427</f>
        <v>3962065</v>
      </c>
    </row>
    <row r="3429" spans="9:16" ht="14.25" customHeight="1">
      <c r="I3429" s="873" t="s">
        <v>1300</v>
      </c>
      <c r="J3429" s="875">
        <v>42734</v>
      </c>
      <c r="K3429" s="402"/>
      <c r="L3429" s="879" t="s">
        <v>1303</v>
      </c>
      <c r="M3429" s="881" t="s">
        <v>145</v>
      </c>
      <c r="N3429" s="883">
        <v>2449488</v>
      </c>
      <c r="O3429" s="55">
        <v>719</v>
      </c>
      <c r="P3429" s="78">
        <v>0</v>
      </c>
    </row>
    <row r="3430" spans="9:16" ht="14.25" customHeight="1" thickBot="1">
      <c r="I3430" s="874"/>
      <c r="J3430" s="876"/>
      <c r="K3430" s="402"/>
      <c r="L3430" s="880"/>
      <c r="M3430" s="882"/>
      <c r="N3430" s="884"/>
      <c r="O3430" s="56">
        <v>721</v>
      </c>
      <c r="P3430" s="352">
        <f>+N3429-P3429</f>
        <v>2449488</v>
      </c>
    </row>
    <row r="3431" spans="9:16" ht="13.5" customHeight="1">
      <c r="I3431" s="873" t="s">
        <v>1308</v>
      </c>
      <c r="J3431" s="875">
        <v>42734</v>
      </c>
      <c r="K3431" s="402"/>
      <c r="L3431" s="879" t="s">
        <v>1306</v>
      </c>
      <c r="M3431" s="881" t="s">
        <v>145</v>
      </c>
      <c r="N3431" s="883">
        <v>4151192</v>
      </c>
      <c r="O3431" s="55">
        <v>719</v>
      </c>
      <c r="P3431" s="78">
        <v>0</v>
      </c>
    </row>
    <row r="3432" spans="9:16" ht="15.75" customHeight="1" thickBot="1">
      <c r="I3432" s="874"/>
      <c r="J3432" s="876"/>
      <c r="K3432" s="402"/>
      <c r="L3432" s="880"/>
      <c r="M3432" s="882"/>
      <c r="N3432" s="884"/>
      <c r="O3432" s="56">
        <v>721</v>
      </c>
      <c r="P3432" s="352">
        <f>+N3431-P3431</f>
        <v>4151192</v>
      </c>
    </row>
    <row r="3433" spans="9:16" ht="12.75" customHeight="1">
      <c r="I3433" s="873" t="s">
        <v>1309</v>
      </c>
      <c r="J3433" s="875">
        <v>42734</v>
      </c>
      <c r="K3433" s="402"/>
      <c r="L3433" s="879" t="s">
        <v>1307</v>
      </c>
      <c r="M3433" s="881" t="s">
        <v>145</v>
      </c>
      <c r="N3433" s="883">
        <v>1734563</v>
      </c>
      <c r="O3433" s="55">
        <v>719</v>
      </c>
      <c r="P3433" s="78"/>
    </row>
    <row r="3434" spans="9:16" ht="12.75" customHeight="1" thickBot="1">
      <c r="I3434" s="874"/>
      <c r="J3434" s="876"/>
      <c r="K3434" s="401"/>
      <c r="L3434" s="880"/>
      <c r="M3434" s="882"/>
      <c r="N3434" s="884"/>
      <c r="O3434" s="56">
        <v>721</v>
      </c>
      <c r="P3434" s="79">
        <f>+N3433-P3433</f>
        <v>1734563</v>
      </c>
    </row>
    <row r="3435" spans="9:16" ht="16.5" thickBot="1">
      <c r="I3435" s="901" t="s">
        <v>102</v>
      </c>
      <c r="J3435" s="902"/>
      <c r="K3435" s="902"/>
      <c r="L3435" s="902"/>
      <c r="M3435" s="903"/>
      <c r="N3435" s="81">
        <f>SUM(N3423:N3434)</f>
        <v>31957150</v>
      </c>
    </row>
    <row r="3436" spans="9:16" ht="16.5" thickBot="1">
      <c r="I3436" s="885" t="s">
        <v>103</v>
      </c>
      <c r="J3436" s="886"/>
      <c r="K3436" s="886"/>
      <c r="L3436" s="886"/>
      <c r="M3436" s="887"/>
      <c r="N3436" s="69">
        <f>+N3397</f>
        <v>678876729</v>
      </c>
      <c r="O3436" s="241" t="s">
        <v>561</v>
      </c>
      <c r="P3436" s="242"/>
    </row>
    <row r="3437" spans="9:16" ht="16.5" thickBot="1">
      <c r="I3437" s="888" t="s">
        <v>104</v>
      </c>
      <c r="J3437" s="889"/>
      <c r="K3437" s="889"/>
      <c r="L3437" s="889"/>
      <c r="M3437" s="890"/>
      <c r="N3437" s="183">
        <f>SUM(N3435:N3436)</f>
        <v>710833879</v>
      </c>
    </row>
    <row r="3438" spans="9:16" ht="12.75" customHeight="1">
      <c r="I3438" s="61"/>
      <c r="J3438" s="61"/>
      <c r="K3438" s="61"/>
      <c r="L3438" s="61"/>
      <c r="M3438" s="61"/>
    </row>
    <row r="3439" spans="9:16">
      <c r="I3439" s="51" t="s">
        <v>1310</v>
      </c>
    </row>
    <row r="3440" spans="9:16" ht="8.25" customHeight="1">
      <c r="N3440" s="139"/>
    </row>
    <row r="3441" spans="9:15">
      <c r="I3441" s="50" t="s">
        <v>105</v>
      </c>
      <c r="L3441" s="146"/>
      <c r="N3441" s="139"/>
    </row>
    <row r="3442" spans="9:15" ht="9" customHeight="1" thickBot="1"/>
    <row r="3443" spans="9:15" ht="15.75" thickBot="1">
      <c r="I3443" s="891" t="s">
        <v>106</v>
      </c>
      <c r="J3443" s="892"/>
      <c r="K3443" s="892"/>
      <c r="L3443" s="893"/>
      <c r="N3443" s="50" t="s">
        <v>1126</v>
      </c>
    </row>
    <row r="3444" spans="9:15" ht="30.75" thickBot="1">
      <c r="I3444" s="57" t="s">
        <v>100</v>
      </c>
      <c r="J3444" s="58" t="s">
        <v>108</v>
      </c>
      <c r="K3444" s="287" t="s">
        <v>109</v>
      </c>
      <c r="L3444" s="60" t="s">
        <v>110</v>
      </c>
    </row>
    <row r="3445" spans="9:15">
      <c r="I3445" s="71">
        <v>719</v>
      </c>
      <c r="J3445" s="73">
        <f>+P3427+P3429+P3433+P3431</f>
        <v>0</v>
      </c>
      <c r="K3445" s="74">
        <f>+L3405</f>
        <v>56340000</v>
      </c>
      <c r="L3445" s="195">
        <f>+J3445+K3445</f>
        <v>56340000</v>
      </c>
    </row>
    <row r="3446" spans="9:15">
      <c r="I3446" s="72">
        <v>721</v>
      </c>
      <c r="J3446" s="80">
        <f>+P3434+P3432+P3430+P3428+P3426+P3424</f>
        <v>31957150</v>
      </c>
      <c r="K3446" s="74">
        <f>+L3406</f>
        <v>262668659</v>
      </c>
      <c r="L3446" s="195">
        <f>+J3446+K3446</f>
        <v>294625809</v>
      </c>
    </row>
    <row r="3447" spans="9:15">
      <c r="I3447" s="72">
        <v>722</v>
      </c>
      <c r="J3447" s="80"/>
      <c r="K3447" s="74">
        <f>+L3407</f>
        <v>49061706</v>
      </c>
      <c r="L3447" s="195">
        <f>+J3447+K3447</f>
        <v>49061706</v>
      </c>
    </row>
    <row r="3448" spans="9:15" ht="15.75">
      <c r="I3448" s="72">
        <v>723</v>
      </c>
      <c r="J3448" s="80"/>
      <c r="K3448" s="74">
        <f>+L3408</f>
        <v>309938864</v>
      </c>
      <c r="L3448" s="195">
        <f>+J3448+K3448</f>
        <v>309938864</v>
      </c>
      <c r="N3448" s="193" t="s">
        <v>1125</v>
      </c>
      <c r="O3448" s="175"/>
    </row>
    <row r="3449" spans="9:15" ht="16.5" thickBot="1">
      <c r="I3449" s="164" t="s">
        <v>1077</v>
      </c>
      <c r="J3449" s="165"/>
      <c r="K3449" s="74">
        <f>+L3409</f>
        <v>797500</v>
      </c>
      <c r="L3449" s="196">
        <f>+J3449+K3449</f>
        <v>797500</v>
      </c>
      <c r="N3449" s="52"/>
    </row>
    <row r="3450" spans="9:15" ht="16.5" thickBot="1">
      <c r="I3450" s="169"/>
      <c r="J3450" s="197">
        <f>SUM(J3445:J3449)</f>
        <v>31957150</v>
      </c>
      <c r="K3450" s="197">
        <f>SUM(K3445:K3449)</f>
        <v>678806729</v>
      </c>
      <c r="L3450" s="198">
        <f>SUM(L3445:L3449)</f>
        <v>710763879</v>
      </c>
    </row>
    <row r="3451" spans="9:15" ht="16.5">
      <c r="I3451" s="49" t="s">
        <v>88</v>
      </c>
      <c r="J3451" s="50"/>
    </row>
    <row r="3452" spans="9:15">
      <c r="I3452" s="51" t="s">
        <v>89</v>
      </c>
    </row>
    <row r="3453" spans="9:15">
      <c r="I3453" s="51" t="s">
        <v>90</v>
      </c>
    </row>
    <row r="3454" spans="9:15">
      <c r="I3454" s="51" t="s">
        <v>91</v>
      </c>
    </row>
    <row r="3455" spans="9:15">
      <c r="I3455" s="50"/>
      <c r="J3455" s="50"/>
    </row>
    <row r="3456" spans="9:15" ht="15.75">
      <c r="I3456" s="260" t="s">
        <v>1312</v>
      </c>
      <c r="O3456" s="52"/>
    </row>
    <row r="3457" spans="9:16" ht="15.75">
      <c r="I3457" s="53" t="s">
        <v>535</v>
      </c>
      <c r="O3457" s="53"/>
    </row>
    <row r="3458" spans="9:16" ht="16.5">
      <c r="I3458" s="894" t="s">
        <v>1316</v>
      </c>
      <c r="J3458" s="894"/>
      <c r="K3458" s="894"/>
      <c r="L3458" s="894"/>
      <c r="M3458" s="894"/>
      <c r="N3458" s="894"/>
      <c r="O3458" s="894"/>
      <c r="P3458" s="894"/>
    </row>
    <row r="3459" spans="9:16" ht="15.75" thickBot="1"/>
    <row r="3460" spans="9:16">
      <c r="I3460" s="895" t="s">
        <v>94</v>
      </c>
      <c r="J3460" s="897" t="s">
        <v>95</v>
      </c>
      <c r="K3460" s="897" t="s">
        <v>96</v>
      </c>
      <c r="L3460" s="897" t="s">
        <v>3</v>
      </c>
      <c r="M3460" s="897" t="s">
        <v>97</v>
      </c>
      <c r="N3460" s="897" t="s">
        <v>98</v>
      </c>
      <c r="O3460" s="897" t="s">
        <v>99</v>
      </c>
      <c r="P3460" s="899"/>
    </row>
    <row r="3461" spans="9:16" ht="15.75" thickBot="1">
      <c r="I3461" s="896"/>
      <c r="J3461" s="898"/>
      <c r="K3461" s="898"/>
      <c r="L3461" s="898"/>
      <c r="M3461" s="898"/>
      <c r="N3461" s="898"/>
      <c r="O3461" s="240" t="s">
        <v>100</v>
      </c>
      <c r="P3461" s="182" t="s">
        <v>101</v>
      </c>
    </row>
    <row r="3462" spans="9:16">
      <c r="I3462" s="873" t="s">
        <v>1311</v>
      </c>
      <c r="J3462" s="875">
        <v>42734</v>
      </c>
      <c r="K3462" s="877" t="s">
        <v>1315</v>
      </c>
      <c r="L3462" s="879" t="s">
        <v>1301</v>
      </c>
      <c r="M3462" s="881" t="s">
        <v>148</v>
      </c>
      <c r="N3462" s="883">
        <v>1817700</v>
      </c>
      <c r="O3462" s="55">
        <v>719</v>
      </c>
      <c r="P3462" s="78"/>
    </row>
    <row r="3463" spans="9:16" ht="15.75" thickBot="1">
      <c r="I3463" s="874"/>
      <c r="J3463" s="876"/>
      <c r="K3463" s="878"/>
      <c r="L3463" s="880"/>
      <c r="M3463" s="882"/>
      <c r="N3463" s="884"/>
      <c r="O3463" s="56">
        <v>723</v>
      </c>
      <c r="P3463" s="351">
        <f>+N3462-P3462</f>
        <v>1817700</v>
      </c>
    </row>
    <row r="3464" spans="9:16">
      <c r="I3464" s="873"/>
      <c r="J3464" s="875"/>
      <c r="K3464" s="877"/>
      <c r="L3464" s="879"/>
      <c r="M3464" s="881"/>
      <c r="N3464" s="883"/>
      <c r="O3464" s="55">
        <v>719</v>
      </c>
      <c r="P3464" s="78"/>
    </row>
    <row r="3465" spans="9:16" ht="15.75" thickBot="1">
      <c r="I3465" s="874"/>
      <c r="J3465" s="876"/>
      <c r="K3465" s="878"/>
      <c r="L3465" s="880"/>
      <c r="M3465" s="882"/>
      <c r="N3465" s="884"/>
      <c r="O3465" s="56">
        <v>723</v>
      </c>
      <c r="P3465" s="352">
        <f>+N3464-P3464</f>
        <v>0</v>
      </c>
    </row>
    <row r="3466" spans="9:16">
      <c r="I3466" s="873"/>
      <c r="J3466" s="875"/>
      <c r="K3466" s="877"/>
      <c r="L3466" s="879"/>
      <c r="M3466" s="881"/>
      <c r="N3466" s="883"/>
      <c r="O3466" s="55">
        <v>719</v>
      </c>
      <c r="P3466" s="78"/>
    </row>
    <row r="3467" spans="9:16" ht="15.75" thickBot="1">
      <c r="I3467" s="874"/>
      <c r="J3467" s="876"/>
      <c r="K3467" s="878"/>
      <c r="L3467" s="880"/>
      <c r="M3467" s="882"/>
      <c r="N3467" s="884"/>
      <c r="O3467" s="56">
        <v>722</v>
      </c>
      <c r="P3467" s="352">
        <f>+N3466-P3466</f>
        <v>0</v>
      </c>
    </row>
    <row r="3468" spans="9:16">
      <c r="I3468" s="881"/>
      <c r="J3468" s="875"/>
      <c r="K3468" s="877"/>
      <c r="L3468" s="904"/>
      <c r="M3468" s="881"/>
      <c r="N3468" s="883"/>
      <c r="O3468" s="55">
        <v>719</v>
      </c>
      <c r="P3468" s="78"/>
    </row>
    <row r="3469" spans="9:16" ht="15.75" thickBot="1">
      <c r="I3469" s="882"/>
      <c r="J3469" s="876"/>
      <c r="K3469" s="878"/>
      <c r="L3469" s="880"/>
      <c r="M3469" s="882"/>
      <c r="N3469" s="884"/>
      <c r="O3469" s="56">
        <v>722</v>
      </c>
      <c r="P3469" s="79">
        <f>+N3468-P3468</f>
        <v>0</v>
      </c>
    </row>
    <row r="3470" spans="9:16" ht="16.5" thickBot="1">
      <c r="I3470" s="901" t="s">
        <v>102</v>
      </c>
      <c r="J3470" s="902"/>
      <c r="K3470" s="902"/>
      <c r="L3470" s="902"/>
      <c r="M3470" s="903"/>
      <c r="N3470" s="81">
        <f>SUM(N3462:N3469)</f>
        <v>1817700</v>
      </c>
    </row>
    <row r="3471" spans="9:16" ht="16.5" thickBot="1">
      <c r="I3471" s="885" t="s">
        <v>103</v>
      </c>
      <c r="J3471" s="886"/>
      <c r="K3471" s="886"/>
      <c r="L3471" s="886"/>
      <c r="M3471" s="887"/>
      <c r="N3471" s="69">
        <f>+N3437</f>
        <v>710833879</v>
      </c>
      <c r="O3471" s="241" t="s">
        <v>561</v>
      </c>
      <c r="P3471" s="242"/>
    </row>
    <row r="3472" spans="9:16" ht="16.5" thickBot="1">
      <c r="I3472" s="888" t="s">
        <v>104</v>
      </c>
      <c r="J3472" s="889"/>
      <c r="K3472" s="889"/>
      <c r="L3472" s="889"/>
      <c r="M3472" s="890"/>
      <c r="N3472" s="183">
        <f>SUM(N3470:N3471)</f>
        <v>712651579</v>
      </c>
    </row>
    <row r="3473" spans="9:15">
      <c r="I3473" s="61"/>
      <c r="J3473" s="61"/>
      <c r="K3473" s="61"/>
      <c r="L3473" s="61"/>
      <c r="M3473" s="61"/>
    </row>
    <row r="3474" spans="9:15">
      <c r="I3474" s="51" t="s">
        <v>1314</v>
      </c>
    </row>
    <row r="3475" spans="9:15">
      <c r="N3475" s="139"/>
    </row>
    <row r="3476" spans="9:15">
      <c r="I3476" s="50" t="s">
        <v>105</v>
      </c>
      <c r="L3476" s="146"/>
      <c r="N3476" s="139"/>
    </row>
    <row r="3477" spans="9:15" ht="15.75" thickBot="1"/>
    <row r="3478" spans="9:15" ht="15.75" thickBot="1">
      <c r="I3478" s="891" t="s">
        <v>106</v>
      </c>
      <c r="J3478" s="892"/>
      <c r="K3478" s="892"/>
      <c r="L3478" s="893"/>
      <c r="N3478" s="50" t="s">
        <v>1313</v>
      </c>
    </row>
    <row r="3479" spans="9:15" ht="30.75" thickBot="1">
      <c r="I3479" s="57" t="s">
        <v>100</v>
      </c>
      <c r="J3479" s="58" t="s">
        <v>108</v>
      </c>
      <c r="K3479" s="287" t="s">
        <v>109</v>
      </c>
      <c r="L3479" s="60" t="s">
        <v>110</v>
      </c>
    </row>
    <row r="3480" spans="9:15">
      <c r="I3480" s="71">
        <v>719</v>
      </c>
      <c r="J3480" s="73"/>
      <c r="K3480" s="74">
        <f>+L3445</f>
        <v>56340000</v>
      </c>
      <c r="L3480" s="195">
        <f>+J3480+K3480</f>
        <v>56340000</v>
      </c>
    </row>
    <row r="3481" spans="9:15">
      <c r="I3481" s="72">
        <v>721</v>
      </c>
      <c r="J3481" s="80"/>
      <c r="K3481" s="74">
        <f>+L3446</f>
        <v>294625809</v>
      </c>
      <c r="L3481" s="195">
        <f>+J3481+K3481</f>
        <v>294625809</v>
      </c>
    </row>
    <row r="3482" spans="9:15">
      <c r="I3482" s="72">
        <v>722</v>
      </c>
      <c r="J3482" s="80"/>
      <c r="K3482" s="74">
        <f>+L3447</f>
        <v>49061706</v>
      </c>
      <c r="L3482" s="195">
        <f>+J3482+K3482</f>
        <v>49061706</v>
      </c>
    </row>
    <row r="3483" spans="9:15" ht="15.75">
      <c r="I3483" s="72">
        <v>723</v>
      </c>
      <c r="J3483" s="80">
        <f>+P3463</f>
        <v>1817700</v>
      </c>
      <c r="K3483" s="74">
        <f>+L3448</f>
        <v>309938864</v>
      </c>
      <c r="L3483" s="195">
        <f>+J3483+K3483</f>
        <v>311756564</v>
      </c>
      <c r="N3483" s="193" t="s">
        <v>1125</v>
      </c>
      <c r="O3483" s="175"/>
    </row>
    <row r="3484" spans="9:15" ht="16.5" thickBot="1">
      <c r="I3484" s="164" t="s">
        <v>1077</v>
      </c>
      <c r="J3484" s="165"/>
      <c r="K3484" s="74">
        <f>+L3449</f>
        <v>797500</v>
      </c>
      <c r="L3484" s="196">
        <f>+J3484+K3484</f>
        <v>797500</v>
      </c>
      <c r="N3484" s="52"/>
    </row>
    <row r="3485" spans="9:15" ht="16.5" thickBot="1">
      <c r="I3485" s="169"/>
      <c r="J3485" s="197">
        <f>SUM(J3480:J3484)</f>
        <v>1817700</v>
      </c>
      <c r="K3485" s="197">
        <f>SUM(K3480:K3484)</f>
        <v>710763879</v>
      </c>
      <c r="L3485" s="198">
        <f>SUM(L3480:L3484)</f>
        <v>712581579</v>
      </c>
    </row>
    <row r="3486" spans="9:15" ht="15.75">
      <c r="I3486" s="397"/>
      <c r="J3486" s="398"/>
      <c r="K3486" s="398"/>
      <c r="L3486" s="399"/>
    </row>
    <row r="3487" spans="9:15" ht="16.5">
      <c r="I3487" s="49" t="s">
        <v>88</v>
      </c>
      <c r="J3487" s="50"/>
    </row>
    <row r="3488" spans="9:15">
      <c r="I3488" s="51" t="s">
        <v>89</v>
      </c>
    </row>
    <row r="3489" spans="9:16">
      <c r="I3489" s="51" t="s">
        <v>90</v>
      </c>
    </row>
    <row r="3490" spans="9:16">
      <c r="I3490" s="51" t="s">
        <v>91</v>
      </c>
    </row>
    <row r="3491" spans="9:16">
      <c r="I3491" s="50"/>
      <c r="J3491" s="50"/>
    </row>
    <row r="3492" spans="9:16" ht="15.75">
      <c r="I3492" s="260" t="s">
        <v>1320</v>
      </c>
      <c r="O3492" s="52"/>
    </row>
    <row r="3493" spans="9:16" ht="15.75">
      <c r="I3493" s="53" t="s">
        <v>535</v>
      </c>
      <c r="O3493" s="53"/>
    </row>
    <row r="3494" spans="9:16" ht="16.5">
      <c r="I3494" s="894" t="s">
        <v>1317</v>
      </c>
      <c r="J3494" s="894"/>
      <c r="K3494" s="894"/>
      <c r="L3494" s="894"/>
      <c r="M3494" s="894"/>
      <c r="N3494" s="894"/>
      <c r="O3494" s="894"/>
      <c r="P3494" s="894"/>
    </row>
    <row r="3495" spans="9:16" ht="15.75" thickBot="1"/>
    <row r="3496" spans="9:16">
      <c r="I3496" s="895" t="s">
        <v>94</v>
      </c>
      <c r="J3496" s="897" t="s">
        <v>95</v>
      </c>
      <c r="K3496" s="897" t="s">
        <v>96</v>
      </c>
      <c r="L3496" s="897" t="s">
        <v>3</v>
      </c>
      <c r="M3496" s="897" t="s">
        <v>97</v>
      </c>
      <c r="N3496" s="897" t="s">
        <v>98</v>
      </c>
      <c r="O3496" s="897" t="s">
        <v>99</v>
      </c>
      <c r="P3496" s="899"/>
    </row>
    <row r="3497" spans="9:16" ht="15.75" thickBot="1">
      <c r="I3497" s="896"/>
      <c r="J3497" s="898"/>
      <c r="K3497" s="898"/>
      <c r="L3497" s="898"/>
      <c r="M3497" s="898"/>
      <c r="N3497" s="898"/>
      <c r="O3497" s="240" t="s">
        <v>100</v>
      </c>
      <c r="P3497" s="182" t="s">
        <v>101</v>
      </c>
    </row>
    <row r="3498" spans="9:16" ht="15" customHeight="1">
      <c r="I3498" s="873" t="s">
        <v>554</v>
      </c>
      <c r="J3498" s="875">
        <v>42735</v>
      </c>
      <c r="K3498" s="877" t="s">
        <v>1267</v>
      </c>
      <c r="L3498" s="879" t="s">
        <v>1221</v>
      </c>
      <c r="M3498" s="881" t="s">
        <v>145</v>
      </c>
      <c r="N3498" s="883">
        <v>-14718204</v>
      </c>
      <c r="O3498" s="55">
        <v>719</v>
      </c>
      <c r="P3498" s="78"/>
    </row>
    <row r="3499" spans="9:16" ht="15.75" customHeight="1" thickBot="1">
      <c r="I3499" s="874"/>
      <c r="J3499" s="876"/>
      <c r="K3499" s="900"/>
      <c r="L3499" s="880"/>
      <c r="M3499" s="882"/>
      <c r="N3499" s="884"/>
      <c r="O3499" s="56">
        <v>721</v>
      </c>
      <c r="P3499" s="351">
        <f>+N3498-P3498</f>
        <v>-14718204</v>
      </c>
    </row>
    <row r="3500" spans="9:16" ht="15" customHeight="1">
      <c r="I3500" s="873" t="s">
        <v>1318</v>
      </c>
      <c r="J3500" s="875">
        <v>42735</v>
      </c>
      <c r="K3500" s="900"/>
      <c r="L3500" s="879" t="s">
        <v>1305</v>
      </c>
      <c r="M3500" s="881" t="s">
        <v>145</v>
      </c>
      <c r="N3500" s="883">
        <v>-3962065</v>
      </c>
      <c r="O3500" s="55">
        <v>719</v>
      </c>
      <c r="P3500" s="78"/>
    </row>
    <row r="3501" spans="9:16" ht="15.75" customHeight="1" thickBot="1">
      <c r="I3501" s="874"/>
      <c r="J3501" s="876"/>
      <c r="K3501" s="878"/>
      <c r="L3501" s="880"/>
      <c r="M3501" s="882"/>
      <c r="N3501" s="884"/>
      <c r="O3501" s="56">
        <v>721</v>
      </c>
      <c r="P3501" s="352">
        <f>+N3500-P3500</f>
        <v>-3962065</v>
      </c>
    </row>
    <row r="3502" spans="9:16" ht="15.75" customHeight="1">
      <c r="I3502" s="462"/>
      <c r="J3502" s="252"/>
      <c r="K3502" s="253"/>
      <c r="L3502" s="463"/>
      <c r="M3502" s="251"/>
      <c r="N3502" s="254"/>
      <c r="O3502" s="255"/>
      <c r="P3502" s="464"/>
    </row>
    <row r="3503" spans="9:16" ht="15.75" customHeight="1">
      <c r="I3503" s="462"/>
      <c r="J3503" s="252"/>
      <c r="K3503" s="253"/>
      <c r="L3503" s="463"/>
      <c r="M3503" s="251"/>
      <c r="N3503" s="254"/>
      <c r="O3503" s="255"/>
      <c r="P3503" s="464"/>
    </row>
    <row r="3504" spans="9:16" ht="15.75" customHeight="1">
      <c r="I3504" s="462"/>
      <c r="J3504" s="252"/>
      <c r="K3504" s="253"/>
      <c r="L3504" s="463"/>
      <c r="M3504" s="251"/>
      <c r="N3504" s="254"/>
      <c r="O3504" s="255"/>
      <c r="P3504" s="464"/>
    </row>
    <row r="3505" spans="9:16" ht="15.75" customHeight="1" thickBot="1">
      <c r="I3505" s="462"/>
      <c r="J3505" s="252"/>
      <c r="K3505" s="253"/>
      <c r="L3505" s="463"/>
      <c r="M3505" s="251"/>
      <c r="N3505" s="254"/>
      <c r="O3505" s="255"/>
      <c r="P3505" s="464"/>
    </row>
    <row r="3506" spans="9:16" ht="15" customHeight="1">
      <c r="I3506" s="873"/>
      <c r="J3506" s="875"/>
      <c r="K3506" s="877"/>
      <c r="L3506" s="879"/>
      <c r="M3506" s="881"/>
      <c r="N3506" s="883"/>
      <c r="O3506" s="55">
        <v>719</v>
      </c>
      <c r="P3506" s="78"/>
    </row>
    <row r="3507" spans="9:16" ht="15.75" customHeight="1" thickBot="1">
      <c r="I3507" s="874"/>
      <c r="J3507" s="876"/>
      <c r="K3507" s="878"/>
      <c r="L3507" s="880"/>
      <c r="M3507" s="882"/>
      <c r="N3507" s="884"/>
      <c r="O3507" s="56">
        <v>722</v>
      </c>
      <c r="P3507" s="352"/>
    </row>
    <row r="3508" spans="9:16" ht="15" customHeight="1">
      <c r="I3508" s="873"/>
      <c r="J3508" s="875"/>
      <c r="K3508" s="877"/>
      <c r="L3508" s="879"/>
      <c r="M3508" s="881"/>
      <c r="N3508" s="883"/>
      <c r="O3508" s="55">
        <v>719</v>
      </c>
      <c r="P3508" s="78"/>
    </row>
    <row r="3509" spans="9:16" ht="15.75" customHeight="1" thickBot="1">
      <c r="I3509" s="874"/>
      <c r="J3509" s="876"/>
      <c r="K3509" s="878"/>
      <c r="L3509" s="880"/>
      <c r="M3509" s="882"/>
      <c r="N3509" s="884"/>
      <c r="O3509" s="56">
        <v>722</v>
      </c>
      <c r="P3509" s="79">
        <f>+N3508-P3508</f>
        <v>0</v>
      </c>
    </row>
    <row r="3510" spans="9:16" ht="16.5" thickBot="1">
      <c r="I3510" s="901" t="s">
        <v>102</v>
      </c>
      <c r="J3510" s="902"/>
      <c r="K3510" s="902"/>
      <c r="L3510" s="902"/>
      <c r="M3510" s="903"/>
      <c r="N3510" s="81">
        <f>SUM(N3498:N3509)</f>
        <v>-18680269</v>
      </c>
    </row>
    <row r="3511" spans="9:16" ht="16.5" thickBot="1">
      <c r="I3511" s="885" t="s">
        <v>103</v>
      </c>
      <c r="J3511" s="886"/>
      <c r="K3511" s="886"/>
      <c r="L3511" s="886"/>
      <c r="M3511" s="887"/>
      <c r="N3511" s="69">
        <f>+N3472</f>
        <v>712651579</v>
      </c>
      <c r="O3511" s="241" t="s">
        <v>561</v>
      </c>
      <c r="P3511" s="242"/>
    </row>
    <row r="3512" spans="9:16" ht="16.5" thickBot="1">
      <c r="I3512" s="888" t="s">
        <v>104</v>
      </c>
      <c r="J3512" s="889"/>
      <c r="K3512" s="889"/>
      <c r="L3512" s="889"/>
      <c r="M3512" s="890"/>
      <c r="N3512" s="183">
        <f>SUM(N3510:N3511)</f>
        <v>693971310</v>
      </c>
    </row>
    <row r="3513" spans="9:16">
      <c r="I3513" s="61"/>
      <c r="J3513" s="61"/>
      <c r="K3513" s="61"/>
      <c r="L3513" s="61"/>
      <c r="M3513" s="61"/>
    </row>
    <row r="3514" spans="9:16">
      <c r="I3514" s="51" t="s">
        <v>1319</v>
      </c>
    </row>
    <row r="3515" spans="9:16">
      <c r="N3515" s="139"/>
    </row>
    <row r="3516" spans="9:16">
      <c r="I3516" s="50" t="s">
        <v>105</v>
      </c>
      <c r="L3516" s="146"/>
      <c r="N3516" s="139"/>
    </row>
    <row r="3517" spans="9:16" ht="15.75" thickBot="1"/>
    <row r="3518" spans="9:16" ht="15.75" thickBot="1">
      <c r="I3518" s="891" t="s">
        <v>106</v>
      </c>
      <c r="J3518" s="892"/>
      <c r="K3518" s="892"/>
      <c r="L3518" s="893"/>
      <c r="N3518" s="50" t="s">
        <v>288</v>
      </c>
    </row>
    <row r="3519" spans="9:16" ht="30.75" thickBot="1">
      <c r="I3519" s="57" t="s">
        <v>100</v>
      </c>
      <c r="J3519" s="58" t="s">
        <v>108</v>
      </c>
      <c r="K3519" s="287" t="s">
        <v>109</v>
      </c>
      <c r="L3519" s="60" t="s">
        <v>110</v>
      </c>
    </row>
    <row r="3520" spans="9:16">
      <c r="I3520" s="71">
        <v>719</v>
      </c>
      <c r="J3520" s="73">
        <f>+P3498+P3500+P3508</f>
        <v>0</v>
      </c>
      <c r="K3520" s="74">
        <f>+L3480</f>
        <v>56340000</v>
      </c>
      <c r="L3520" s="195">
        <f>+J3520+K3520</f>
        <v>56340000</v>
      </c>
    </row>
    <row r="3521" spans="9:16">
      <c r="I3521" s="72">
        <v>721</v>
      </c>
      <c r="J3521" s="80">
        <f>+P3499+P3501</f>
        <v>-18680269</v>
      </c>
      <c r="K3521" s="74">
        <f>+L3481</f>
        <v>294625809</v>
      </c>
      <c r="L3521" s="195">
        <f>+J3521+K3521</f>
        <v>275945540</v>
      </c>
    </row>
    <row r="3522" spans="9:16" ht="15.75">
      <c r="I3522" s="72">
        <v>722</v>
      </c>
      <c r="J3522" s="80"/>
      <c r="K3522" s="74">
        <f>+L3482</f>
        <v>49061706</v>
      </c>
      <c r="L3522" s="195">
        <f>+J3522+K3522</f>
        <v>49061706</v>
      </c>
      <c r="N3522" s="193" t="s">
        <v>1125</v>
      </c>
    </row>
    <row r="3523" spans="9:16" ht="15.75">
      <c r="I3523" s="72">
        <v>723</v>
      </c>
      <c r="J3523" s="80"/>
      <c r="K3523" s="74">
        <f>+L3483</f>
        <v>311756564</v>
      </c>
      <c r="L3523" s="195">
        <f>+J3523+K3523</f>
        <v>311756564</v>
      </c>
      <c r="N3523" s="193"/>
      <c r="O3523" s="175"/>
    </row>
    <row r="3524" spans="9:16" ht="16.5" thickBot="1">
      <c r="I3524" s="164" t="s">
        <v>1077</v>
      </c>
      <c r="J3524" s="165"/>
      <c r="K3524" s="74">
        <f>+L3484</f>
        <v>797500</v>
      </c>
      <c r="L3524" s="196">
        <f>+J3524+K3524</f>
        <v>797500</v>
      </c>
      <c r="N3524" s="52"/>
    </row>
    <row r="3525" spans="9:16" ht="16.5" thickBot="1">
      <c r="I3525" s="169"/>
      <c r="J3525" s="197">
        <f>SUM(J3520:J3524)</f>
        <v>-18680269</v>
      </c>
      <c r="K3525" s="197">
        <f>SUM(K3520:K3524)</f>
        <v>712581579</v>
      </c>
      <c r="L3525" s="198">
        <f>SUM(L3520:L3524)</f>
        <v>693901310</v>
      </c>
    </row>
    <row r="3526" spans="9:16" ht="15.75">
      <c r="I3526" s="397"/>
      <c r="J3526" s="398"/>
      <c r="K3526" s="398"/>
      <c r="L3526" s="399"/>
    </row>
    <row r="3527" spans="9:16" ht="16.5">
      <c r="I3527" s="49" t="s">
        <v>88</v>
      </c>
      <c r="J3527" s="50"/>
    </row>
    <row r="3528" spans="9:16">
      <c r="I3528" s="51" t="s">
        <v>89</v>
      </c>
    </row>
    <row r="3529" spans="9:16">
      <c r="I3529" s="51" t="s">
        <v>90</v>
      </c>
    </row>
    <row r="3530" spans="9:16">
      <c r="I3530" s="51" t="s">
        <v>91</v>
      </c>
    </row>
    <row r="3531" spans="9:16">
      <c r="I3531" s="50"/>
      <c r="J3531" s="50"/>
    </row>
    <row r="3532" spans="9:16" ht="15.75">
      <c r="I3532" s="260" t="s">
        <v>1322</v>
      </c>
      <c r="O3532" s="52"/>
    </row>
    <row r="3533" spans="9:16" ht="15.75">
      <c r="I3533" s="53" t="s">
        <v>535</v>
      </c>
      <c r="O3533" s="53"/>
    </row>
    <row r="3534" spans="9:16" ht="16.5">
      <c r="I3534" s="894" t="s">
        <v>1328</v>
      </c>
      <c r="J3534" s="894"/>
      <c r="K3534" s="894"/>
      <c r="L3534" s="894"/>
      <c r="M3534" s="894"/>
      <c r="N3534" s="894"/>
      <c r="O3534" s="894"/>
      <c r="P3534" s="894"/>
    </row>
    <row r="3535" spans="9:16" ht="15.75" thickBot="1"/>
    <row r="3536" spans="9:16">
      <c r="I3536" s="895" t="s">
        <v>94</v>
      </c>
      <c r="J3536" s="897" t="s">
        <v>95</v>
      </c>
      <c r="K3536" s="897" t="s">
        <v>96</v>
      </c>
      <c r="L3536" s="897" t="s">
        <v>3</v>
      </c>
      <c r="M3536" s="897" t="s">
        <v>97</v>
      </c>
      <c r="N3536" s="897" t="s">
        <v>98</v>
      </c>
      <c r="O3536" s="897" t="s">
        <v>99</v>
      </c>
      <c r="P3536" s="899"/>
    </row>
    <row r="3537" spans="9:16" ht="15.75" thickBot="1">
      <c r="I3537" s="896"/>
      <c r="J3537" s="898"/>
      <c r="K3537" s="898"/>
      <c r="L3537" s="898"/>
      <c r="M3537" s="898"/>
      <c r="N3537" s="898"/>
      <c r="O3537" s="240" t="s">
        <v>100</v>
      </c>
      <c r="P3537" s="182" t="s">
        <v>101</v>
      </c>
    </row>
    <row r="3538" spans="9:16">
      <c r="I3538" s="873" t="s">
        <v>1323</v>
      </c>
      <c r="J3538" s="875">
        <v>42735</v>
      </c>
      <c r="K3538" s="877" t="s">
        <v>1267</v>
      </c>
      <c r="L3538" s="879" t="s">
        <v>1325</v>
      </c>
      <c r="M3538" s="881" t="s">
        <v>145</v>
      </c>
      <c r="N3538" s="883">
        <v>3379917</v>
      </c>
      <c r="O3538" s="55">
        <v>719</v>
      </c>
      <c r="P3538" s="78"/>
    </row>
    <row r="3539" spans="9:16" ht="15.75" thickBot="1">
      <c r="I3539" s="874"/>
      <c r="J3539" s="876"/>
      <c r="K3539" s="900"/>
      <c r="L3539" s="880"/>
      <c r="M3539" s="882"/>
      <c r="N3539" s="884"/>
      <c r="O3539" s="56">
        <v>721</v>
      </c>
      <c r="P3539" s="351">
        <f>+N3538-P3538</f>
        <v>3379917</v>
      </c>
    </row>
    <row r="3540" spans="9:16">
      <c r="I3540" s="873" t="s">
        <v>1324</v>
      </c>
      <c r="J3540" s="875">
        <v>42735</v>
      </c>
      <c r="K3540" s="900"/>
      <c r="L3540" s="879" t="s">
        <v>1326</v>
      </c>
      <c r="M3540" s="881" t="s">
        <v>145</v>
      </c>
      <c r="N3540" s="883">
        <v>1673382</v>
      </c>
      <c r="O3540" s="55">
        <v>719</v>
      </c>
      <c r="P3540" s="78"/>
    </row>
    <row r="3541" spans="9:16" ht="15.75" thickBot="1">
      <c r="I3541" s="874"/>
      <c r="J3541" s="876"/>
      <c r="K3541" s="878"/>
      <c r="L3541" s="880"/>
      <c r="M3541" s="882"/>
      <c r="N3541" s="884"/>
      <c r="O3541" s="56">
        <v>721</v>
      </c>
      <c r="P3541" s="352">
        <f>+N3540-P3540</f>
        <v>1673382</v>
      </c>
    </row>
    <row r="3542" spans="9:16" ht="16.5">
      <c r="I3542" s="462"/>
      <c r="J3542" s="252"/>
      <c r="K3542" s="253"/>
      <c r="L3542" s="463"/>
      <c r="M3542" s="251"/>
      <c r="N3542" s="254"/>
      <c r="O3542" s="255"/>
      <c r="P3542" s="464"/>
    </row>
    <row r="3543" spans="9:16" ht="16.5">
      <c r="I3543" s="462"/>
      <c r="J3543" s="252"/>
      <c r="K3543" s="253"/>
      <c r="L3543" s="463"/>
      <c r="M3543" s="251"/>
      <c r="N3543" s="254"/>
      <c r="O3543" s="255"/>
      <c r="P3543" s="464"/>
    </row>
    <row r="3544" spans="9:16" ht="16.5">
      <c r="I3544" s="462"/>
      <c r="J3544" s="252"/>
      <c r="K3544" s="253"/>
      <c r="L3544" s="463"/>
      <c r="M3544" s="251"/>
      <c r="N3544" s="254"/>
      <c r="O3544" s="255"/>
      <c r="P3544" s="464"/>
    </row>
    <row r="3545" spans="9:16" ht="16.5">
      <c r="I3545" s="462"/>
      <c r="J3545" s="252"/>
      <c r="K3545" s="253"/>
      <c r="L3545" s="463"/>
      <c r="M3545" s="251"/>
      <c r="N3545" s="254"/>
      <c r="O3545" s="255"/>
      <c r="P3545" s="464"/>
    </row>
    <row r="3546" spans="9:16" ht="16.5">
      <c r="I3546" s="462"/>
      <c r="J3546" s="252"/>
      <c r="K3546" s="253"/>
      <c r="L3546" s="463"/>
      <c r="M3546" s="251"/>
      <c r="N3546" s="254"/>
      <c r="O3546" s="255"/>
      <c r="P3546" s="464"/>
    </row>
    <row r="3547" spans="9:16" ht="16.5">
      <c r="I3547" s="462"/>
      <c r="J3547" s="252"/>
      <c r="K3547" s="253"/>
      <c r="L3547" s="463"/>
      <c r="M3547" s="251"/>
      <c r="N3547" s="254"/>
      <c r="O3547" s="255"/>
      <c r="P3547" s="464"/>
    </row>
    <row r="3548" spans="9:16" ht="16.5">
      <c r="I3548" s="462"/>
      <c r="J3548" s="252"/>
      <c r="K3548" s="253"/>
      <c r="L3548" s="463"/>
      <c r="M3548" s="251"/>
      <c r="N3548" s="254"/>
      <c r="O3548" s="255"/>
      <c r="P3548" s="464"/>
    </row>
    <row r="3549" spans="9:16" ht="16.5">
      <c r="I3549" s="462"/>
      <c r="J3549" s="252"/>
      <c r="K3549" s="253"/>
      <c r="L3549" s="463"/>
      <c r="M3549" s="251"/>
      <c r="N3549" s="254"/>
      <c r="O3549" s="255"/>
      <c r="P3549" s="464"/>
    </row>
    <row r="3550" spans="9:16" ht="16.5">
      <c r="I3550" s="462"/>
      <c r="J3550" s="252"/>
      <c r="K3550" s="253"/>
      <c r="L3550" s="463"/>
      <c r="M3550" s="251"/>
      <c r="N3550" s="254"/>
      <c r="O3550" s="255"/>
      <c r="P3550" s="464"/>
    </row>
    <row r="3551" spans="9:16" ht="16.5">
      <c r="I3551" s="462"/>
      <c r="J3551" s="252"/>
      <c r="K3551" s="253"/>
      <c r="L3551" s="463"/>
      <c r="M3551" s="251"/>
      <c r="N3551" s="254"/>
      <c r="O3551" s="255"/>
      <c r="P3551" s="464"/>
    </row>
    <row r="3552" spans="9:16" ht="16.5">
      <c r="I3552" s="462"/>
      <c r="J3552" s="252"/>
      <c r="K3552" s="253"/>
      <c r="L3552" s="463"/>
      <c r="M3552" s="251"/>
      <c r="N3552" s="254"/>
      <c r="O3552" s="255"/>
      <c r="P3552" s="464"/>
    </row>
    <row r="3553" spans="9:16" ht="17.25" thickBot="1">
      <c r="I3553" s="462"/>
      <c r="J3553" s="252"/>
      <c r="K3553" s="253"/>
      <c r="L3553" s="463"/>
      <c r="M3553" s="251"/>
      <c r="N3553" s="254"/>
      <c r="O3553" s="255"/>
      <c r="P3553" s="464"/>
    </row>
    <row r="3554" spans="9:16" ht="15" customHeight="1">
      <c r="I3554" s="873"/>
      <c r="J3554" s="875"/>
      <c r="K3554" s="877"/>
      <c r="L3554" s="879"/>
      <c r="M3554" s="881"/>
      <c r="N3554" s="883"/>
      <c r="O3554" s="55">
        <v>719</v>
      </c>
      <c r="P3554" s="78"/>
    </row>
    <row r="3555" spans="9:16" ht="15.75" customHeight="1" thickBot="1">
      <c r="I3555" s="874"/>
      <c r="J3555" s="876"/>
      <c r="K3555" s="878"/>
      <c r="L3555" s="880"/>
      <c r="M3555" s="882"/>
      <c r="N3555" s="884"/>
      <c r="O3555" s="56">
        <v>722</v>
      </c>
      <c r="P3555" s="352"/>
    </row>
    <row r="3556" spans="9:16" ht="15" customHeight="1">
      <c r="I3556" s="873"/>
      <c r="J3556" s="875"/>
      <c r="K3556" s="877"/>
      <c r="L3556" s="879"/>
      <c r="M3556" s="881"/>
      <c r="N3556" s="883"/>
      <c r="O3556" s="55">
        <v>719</v>
      </c>
      <c r="P3556" s="78"/>
    </row>
    <row r="3557" spans="9:16" ht="15.75" customHeight="1" thickBot="1">
      <c r="I3557" s="874"/>
      <c r="J3557" s="876"/>
      <c r="K3557" s="878"/>
      <c r="L3557" s="880"/>
      <c r="M3557" s="882"/>
      <c r="N3557" s="884"/>
      <c r="O3557" s="56">
        <v>722</v>
      </c>
      <c r="P3557" s="79">
        <f>+N3556-P3556</f>
        <v>0</v>
      </c>
    </row>
    <row r="3558" spans="9:16" ht="16.5" thickBot="1">
      <c r="I3558" s="901" t="s">
        <v>102</v>
      </c>
      <c r="J3558" s="902"/>
      <c r="K3558" s="902"/>
      <c r="L3558" s="902"/>
      <c r="M3558" s="903"/>
      <c r="N3558" s="81">
        <f>SUM(N3538:N3557)</f>
        <v>5053299</v>
      </c>
    </row>
    <row r="3559" spans="9:16" ht="16.5" thickBot="1">
      <c r="I3559" s="885" t="s">
        <v>103</v>
      </c>
      <c r="J3559" s="886"/>
      <c r="K3559" s="886"/>
      <c r="L3559" s="886"/>
      <c r="M3559" s="887"/>
      <c r="N3559" s="69">
        <f>+N3512</f>
        <v>693971310</v>
      </c>
      <c r="O3559" s="241" t="s">
        <v>561</v>
      </c>
      <c r="P3559" s="242"/>
    </row>
    <row r="3560" spans="9:16" ht="16.5" thickBot="1">
      <c r="I3560" s="888" t="s">
        <v>104</v>
      </c>
      <c r="J3560" s="889"/>
      <c r="K3560" s="889"/>
      <c r="L3560" s="889"/>
      <c r="M3560" s="890"/>
      <c r="N3560" s="183">
        <f>SUM(N3558:N3559)</f>
        <v>699024609</v>
      </c>
    </row>
    <row r="3561" spans="9:16">
      <c r="I3561" s="61"/>
      <c r="J3561" s="61"/>
      <c r="K3561" s="61"/>
      <c r="L3561" s="61"/>
      <c r="M3561" s="61"/>
    </row>
    <row r="3562" spans="9:16">
      <c r="I3562" s="51" t="s">
        <v>1327</v>
      </c>
    </row>
    <row r="3563" spans="9:16">
      <c r="N3563" s="139"/>
    </row>
    <row r="3564" spans="9:16">
      <c r="I3564" s="50" t="s">
        <v>105</v>
      </c>
      <c r="L3564" s="146"/>
      <c r="N3564" s="139"/>
    </row>
    <row r="3565" spans="9:16" ht="15.75" thickBot="1"/>
    <row r="3566" spans="9:16" ht="15.75" thickBot="1">
      <c r="I3566" s="891" t="s">
        <v>106</v>
      </c>
      <c r="J3566" s="892"/>
      <c r="K3566" s="892"/>
      <c r="L3566" s="893"/>
      <c r="N3566" s="50" t="s">
        <v>288</v>
      </c>
    </row>
    <row r="3567" spans="9:16" ht="30.75" thickBot="1">
      <c r="I3567" s="57" t="s">
        <v>100</v>
      </c>
      <c r="J3567" s="58" t="s">
        <v>108</v>
      </c>
      <c r="K3567" s="287" t="s">
        <v>109</v>
      </c>
      <c r="L3567" s="60" t="s">
        <v>110</v>
      </c>
    </row>
    <row r="3568" spans="9:16">
      <c r="I3568" s="71">
        <v>719</v>
      </c>
      <c r="J3568" s="73">
        <f>+P3538+P3540+P3556</f>
        <v>0</v>
      </c>
      <c r="K3568" s="74">
        <f>+L3520</f>
        <v>56340000</v>
      </c>
      <c r="L3568" s="195">
        <f>+J3568+K3568</f>
        <v>56340000</v>
      </c>
    </row>
    <row r="3569" spans="9:16">
      <c r="I3569" s="72">
        <v>721</v>
      </c>
      <c r="J3569" s="80">
        <f>+P3539+P3541</f>
        <v>5053299</v>
      </c>
      <c r="K3569" s="74">
        <f>+L3521</f>
        <v>275945540</v>
      </c>
      <c r="L3569" s="195">
        <f>+J3569+K3569</f>
        <v>280998839</v>
      </c>
    </row>
    <row r="3570" spans="9:16" ht="15.75">
      <c r="I3570" s="72">
        <v>722</v>
      </c>
      <c r="J3570" s="80"/>
      <c r="K3570" s="74">
        <f>+L3522</f>
        <v>49061706</v>
      </c>
      <c r="L3570" s="195">
        <f>+J3570+K3570</f>
        <v>49061706</v>
      </c>
      <c r="N3570" s="193" t="s">
        <v>23</v>
      </c>
    </row>
    <row r="3571" spans="9:16" ht="15.75">
      <c r="I3571" s="72">
        <v>723</v>
      </c>
      <c r="J3571" s="80"/>
      <c r="K3571" s="74">
        <f>+L3523</f>
        <v>311756564</v>
      </c>
      <c r="L3571" s="195">
        <f>+J3571+K3571</f>
        <v>311756564</v>
      </c>
      <c r="N3571" s="193"/>
      <c r="O3571" s="175"/>
    </row>
    <row r="3572" spans="9:16" ht="16.5" thickBot="1">
      <c r="I3572" s="164" t="s">
        <v>1077</v>
      </c>
      <c r="J3572" s="165"/>
      <c r="K3572" s="74">
        <f>+L3524</f>
        <v>797500</v>
      </c>
      <c r="L3572" s="196">
        <f>+J3572+K3572</f>
        <v>797500</v>
      </c>
      <c r="N3572" s="52"/>
    </row>
    <row r="3573" spans="9:16" ht="16.5" thickBot="1">
      <c r="I3573" s="169"/>
      <c r="J3573" s="197">
        <f>SUM(J3568:J3572)</f>
        <v>5053299</v>
      </c>
      <c r="K3573" s="197">
        <f>SUM(K3568:K3572)</f>
        <v>693901310</v>
      </c>
      <c r="L3573" s="198">
        <f>SUM(L3568:L3572)</f>
        <v>698954609</v>
      </c>
    </row>
    <row r="3574" spans="9:16" ht="16.5">
      <c r="I3574" s="49" t="s">
        <v>88</v>
      </c>
      <c r="J3574" s="50"/>
    </row>
    <row r="3575" spans="9:16">
      <c r="I3575" s="51" t="s">
        <v>89</v>
      </c>
    </row>
    <row r="3576" spans="9:16">
      <c r="I3576" s="51" t="s">
        <v>90</v>
      </c>
    </row>
    <row r="3577" spans="9:16">
      <c r="I3577" s="51" t="s">
        <v>91</v>
      </c>
    </row>
    <row r="3578" spans="9:16" ht="10.5" customHeight="1">
      <c r="I3578" s="50"/>
      <c r="J3578" s="50"/>
    </row>
    <row r="3579" spans="9:16" ht="15.75">
      <c r="I3579" s="260" t="s">
        <v>1699</v>
      </c>
      <c r="O3579" s="52"/>
    </row>
    <row r="3580" spans="9:16" ht="15.75">
      <c r="I3580" s="53" t="s">
        <v>1623</v>
      </c>
      <c r="O3580" s="53"/>
    </row>
    <row r="3581" spans="9:16" ht="16.5">
      <c r="I3581" s="894" t="s">
        <v>1700</v>
      </c>
      <c r="J3581" s="894"/>
      <c r="K3581" s="894"/>
      <c r="L3581" s="894"/>
      <c r="M3581" s="894"/>
      <c r="N3581" s="894"/>
      <c r="O3581" s="894"/>
      <c r="P3581" s="894"/>
    </row>
    <row r="3582" spans="9:16" ht="15.75" thickBot="1"/>
    <row r="3583" spans="9:16">
      <c r="I3583" s="895" t="s">
        <v>94</v>
      </c>
      <c r="J3583" s="897" t="s">
        <v>95</v>
      </c>
      <c r="K3583" s="897" t="s">
        <v>96</v>
      </c>
      <c r="L3583" s="897" t="s">
        <v>3</v>
      </c>
      <c r="M3583" s="897" t="s">
        <v>97</v>
      </c>
      <c r="N3583" s="897" t="s">
        <v>98</v>
      </c>
      <c r="O3583" s="897" t="s">
        <v>99</v>
      </c>
      <c r="P3583" s="899"/>
    </row>
    <row r="3584" spans="9:16" ht="15.75" thickBot="1">
      <c r="I3584" s="896"/>
      <c r="J3584" s="898"/>
      <c r="K3584" s="898"/>
      <c r="L3584" s="898"/>
      <c r="M3584" s="898"/>
      <c r="N3584" s="898"/>
      <c r="O3584" s="240" t="s">
        <v>100</v>
      </c>
      <c r="P3584" s="182" t="s">
        <v>101</v>
      </c>
    </row>
    <row r="3585" spans="9:16">
      <c r="I3585" s="873" t="s">
        <v>1698</v>
      </c>
      <c r="J3585" s="875">
        <v>43464</v>
      </c>
      <c r="K3585" s="877" t="s">
        <v>815</v>
      </c>
      <c r="L3585" s="879" t="s">
        <v>1697</v>
      </c>
      <c r="M3585" s="881" t="s">
        <v>115</v>
      </c>
      <c r="N3585" s="883">
        <v>681500</v>
      </c>
      <c r="O3585" s="55">
        <v>719</v>
      </c>
      <c r="P3585" s="78">
        <v>517000</v>
      </c>
    </row>
    <row r="3586" spans="9:16" ht="15.75" thickBot="1">
      <c r="I3586" s="874"/>
      <c r="J3586" s="876"/>
      <c r="K3586" s="900"/>
      <c r="L3586" s="880"/>
      <c r="M3586" s="882"/>
      <c r="N3586" s="884"/>
      <c r="O3586" s="56">
        <v>721</v>
      </c>
      <c r="P3586" s="351">
        <f>+N3585-P3585</f>
        <v>164500</v>
      </c>
    </row>
    <row r="3587" spans="9:16" ht="15" customHeight="1">
      <c r="I3587" s="873"/>
      <c r="J3587" s="875"/>
      <c r="K3587" s="877"/>
      <c r="L3587" s="879"/>
      <c r="M3587" s="881"/>
      <c r="N3587" s="883"/>
      <c r="O3587" s="55">
        <v>719</v>
      </c>
      <c r="P3587" s="78"/>
    </row>
    <row r="3588" spans="9:16" ht="15.75" customHeight="1" thickBot="1">
      <c r="I3588" s="874"/>
      <c r="J3588" s="876"/>
      <c r="K3588" s="878"/>
      <c r="L3588" s="880"/>
      <c r="M3588" s="882"/>
      <c r="N3588" s="884"/>
      <c r="O3588" s="56">
        <v>722</v>
      </c>
      <c r="P3588" s="352">
        <f>+N3587-P3587</f>
        <v>0</v>
      </c>
    </row>
    <row r="3589" spans="9:16">
      <c r="I3589" s="873"/>
      <c r="J3589" s="875"/>
      <c r="K3589" s="877"/>
      <c r="L3589" s="879"/>
      <c r="M3589" s="881"/>
      <c r="N3589" s="883"/>
      <c r="O3589" s="55">
        <v>719</v>
      </c>
      <c r="P3589" s="78"/>
    </row>
    <row r="3590" spans="9:16" ht="15.75" thickBot="1">
      <c r="I3590" s="874"/>
      <c r="J3590" s="876"/>
      <c r="K3590" s="878"/>
      <c r="L3590" s="880"/>
      <c r="M3590" s="882"/>
      <c r="N3590" s="884"/>
      <c r="O3590" s="56">
        <v>722</v>
      </c>
      <c r="P3590" s="79">
        <f>+N3589-P3589</f>
        <v>0</v>
      </c>
    </row>
    <row r="3591" spans="9:16" ht="16.5" thickBot="1">
      <c r="I3591" s="901" t="s">
        <v>102</v>
      </c>
      <c r="J3591" s="902"/>
      <c r="K3591" s="902"/>
      <c r="L3591" s="902"/>
      <c r="M3591" s="903"/>
      <c r="N3591" s="81">
        <f>SUM(N3585:N3590)</f>
        <v>681500</v>
      </c>
    </row>
    <row r="3592" spans="9:16" ht="16.5" thickBot="1">
      <c r="I3592" s="885" t="s">
        <v>103</v>
      </c>
      <c r="J3592" s="886"/>
      <c r="K3592" s="886"/>
      <c r="L3592" s="886"/>
      <c r="M3592" s="887"/>
      <c r="N3592" s="69">
        <v>514609750</v>
      </c>
      <c r="O3592" s="241" t="s">
        <v>561</v>
      </c>
      <c r="P3592" s="242">
        <v>904</v>
      </c>
    </row>
    <row r="3593" spans="9:16" ht="16.5" thickBot="1">
      <c r="I3593" s="888" t="s">
        <v>104</v>
      </c>
      <c r="J3593" s="889"/>
      <c r="K3593" s="889"/>
      <c r="L3593" s="889"/>
      <c r="M3593" s="890"/>
      <c r="N3593" s="183">
        <f>SUM(N3591:N3592)</f>
        <v>515291250</v>
      </c>
    </row>
    <row r="3594" spans="9:16">
      <c r="I3594" s="61"/>
      <c r="J3594" s="61"/>
      <c r="K3594" s="61"/>
      <c r="L3594" s="61"/>
      <c r="M3594" s="61"/>
    </row>
    <row r="3595" spans="9:16">
      <c r="I3595" s="51" t="s">
        <v>1701</v>
      </c>
    </row>
    <row r="3596" spans="9:16" ht="9.75" customHeight="1">
      <c r="N3596" s="139"/>
    </row>
    <row r="3597" spans="9:16">
      <c r="I3597" s="50" t="s">
        <v>105</v>
      </c>
      <c r="L3597" s="146"/>
      <c r="N3597" s="139"/>
    </row>
    <row r="3598" spans="9:16" ht="11.25" customHeight="1" thickBot="1"/>
    <row r="3599" spans="9:16" ht="15.75" thickBot="1">
      <c r="I3599" s="891" t="s">
        <v>106</v>
      </c>
      <c r="J3599" s="892"/>
      <c r="K3599" s="892"/>
      <c r="L3599" s="893"/>
      <c r="N3599" s="50" t="s">
        <v>288</v>
      </c>
    </row>
    <row r="3600" spans="9:16" ht="30.75" thickBot="1">
      <c r="I3600" s="57" t="s">
        <v>100</v>
      </c>
      <c r="J3600" s="58" t="s">
        <v>108</v>
      </c>
      <c r="K3600" s="287" t="s">
        <v>109</v>
      </c>
      <c r="L3600" s="60" t="s">
        <v>110</v>
      </c>
    </row>
    <row r="3601" spans="9:18">
      <c r="I3601" s="71">
        <v>719</v>
      </c>
      <c r="J3601" s="73">
        <f>+P3585+P3587+P3589</f>
        <v>517000</v>
      </c>
      <c r="K3601" s="74">
        <v>27970000</v>
      </c>
      <c r="L3601" s="195">
        <f>+J3601+K3601</f>
        <v>28487000</v>
      </c>
    </row>
    <row r="3602" spans="9:18">
      <c r="I3602" s="72">
        <v>721</v>
      </c>
      <c r="J3602" s="80">
        <f>+P3586</f>
        <v>164500</v>
      </c>
      <c r="K3602" s="74">
        <v>90116743</v>
      </c>
      <c r="L3602" s="195">
        <f>+J3602+K3602</f>
        <v>90281243</v>
      </c>
    </row>
    <row r="3603" spans="9:18" ht="15.75">
      <c r="I3603" s="72">
        <v>722</v>
      </c>
      <c r="J3603" s="80">
        <f>+P3588</f>
        <v>0</v>
      </c>
      <c r="K3603" s="74">
        <v>30732180</v>
      </c>
      <c r="L3603" s="195">
        <f>+J3603+K3603</f>
        <v>30732180</v>
      </c>
      <c r="N3603" s="872" t="s">
        <v>1696</v>
      </c>
      <c r="O3603" s="872"/>
    </row>
    <row r="3604" spans="9:18" ht="16.5" thickBot="1">
      <c r="I3604" s="72">
        <v>723</v>
      </c>
      <c r="J3604" s="80"/>
      <c r="K3604" s="74">
        <v>365790827</v>
      </c>
      <c r="L3604" s="195">
        <f>+J3604+K3604</f>
        <v>365790827</v>
      </c>
      <c r="N3604" s="193"/>
      <c r="O3604" s="175"/>
    </row>
    <row r="3605" spans="9:18" ht="16.5" hidden="1" thickBot="1">
      <c r="I3605" s="164" t="s">
        <v>1077</v>
      </c>
      <c r="J3605" s="165"/>
      <c r="K3605" s="74"/>
      <c r="L3605" s="196">
        <f>+J3605+K3605</f>
        <v>0</v>
      </c>
      <c r="N3605" s="52"/>
    </row>
    <row r="3606" spans="9:18" ht="16.5" thickBot="1">
      <c r="I3606" s="169"/>
      <c r="J3606" s="197">
        <f>SUM(J3601:J3605)</f>
        <v>681500</v>
      </c>
      <c r="K3606" s="197">
        <f>SUM(K3601:K3605)</f>
        <v>514609750</v>
      </c>
      <c r="L3606" s="198">
        <f>SUM(L3601:L3605)</f>
        <v>515291250</v>
      </c>
    </row>
    <row r="3607" spans="9:18">
      <c r="R3607" s="139">
        <f>+K3601+K3602+K3603+K3604</f>
        <v>514609750</v>
      </c>
    </row>
  </sheetData>
  <mergeCells count="5639">
    <mergeCell ref="I281:I282"/>
    <mergeCell ref="J281:J282"/>
    <mergeCell ref="K281:K282"/>
    <mergeCell ref="L281:L282"/>
    <mergeCell ref="M281:M282"/>
    <mergeCell ref="N281:N282"/>
    <mergeCell ref="I3591:M3591"/>
    <mergeCell ref="I3592:M3592"/>
    <mergeCell ref="I3593:M3593"/>
    <mergeCell ref="I3599:L3599"/>
    <mergeCell ref="N3603:O3603"/>
    <mergeCell ref="I3589:I3590"/>
    <mergeCell ref="J3589:J3590"/>
    <mergeCell ref="K3589:K3590"/>
    <mergeCell ref="L3589:L3590"/>
    <mergeCell ref="M3589:M3590"/>
    <mergeCell ref="N3589:N3590"/>
    <mergeCell ref="I3587:I3588"/>
    <mergeCell ref="J3587:J3588"/>
    <mergeCell ref="K3587:K3588"/>
    <mergeCell ref="L3587:L3588"/>
    <mergeCell ref="M3587:M3588"/>
    <mergeCell ref="N3587:N3588"/>
    <mergeCell ref="N3583:N3584"/>
    <mergeCell ref="O3583:P3583"/>
    <mergeCell ref="I3585:I3586"/>
    <mergeCell ref="J3585:J3586"/>
    <mergeCell ref="K3585:K3586"/>
    <mergeCell ref="L3585:L3586"/>
    <mergeCell ref="M3585:M3586"/>
    <mergeCell ref="N3585:N3586"/>
    <mergeCell ref="I3558:M3558"/>
    <mergeCell ref="I3559:M3559"/>
    <mergeCell ref="I3560:M3560"/>
    <mergeCell ref="I3566:L3566"/>
    <mergeCell ref="I3581:P3581"/>
    <mergeCell ref="I3583:I3584"/>
    <mergeCell ref="J3583:J3584"/>
    <mergeCell ref="K3583:K3584"/>
    <mergeCell ref="L3583:L3584"/>
    <mergeCell ref="M3583:M3584"/>
    <mergeCell ref="I3556:I3557"/>
    <mergeCell ref="J3556:J3557"/>
    <mergeCell ref="K3556:K3557"/>
    <mergeCell ref="L3556:L3557"/>
    <mergeCell ref="M3556:M3557"/>
    <mergeCell ref="N3556:N3557"/>
    <mergeCell ref="L3540:L3541"/>
    <mergeCell ref="M3540:M3541"/>
    <mergeCell ref="N3540:N3541"/>
    <mergeCell ref="I3554:I3555"/>
    <mergeCell ref="J3554:J3555"/>
    <mergeCell ref="K3554:K3555"/>
    <mergeCell ref="L3554:L3555"/>
    <mergeCell ref="M3554:M3555"/>
    <mergeCell ref="N3554:N3555"/>
    <mergeCell ref="N3536:N3537"/>
    <mergeCell ref="O3536:P3536"/>
    <mergeCell ref="I3538:I3539"/>
    <mergeCell ref="J3538:J3539"/>
    <mergeCell ref="K3538:K3541"/>
    <mergeCell ref="L3538:L3539"/>
    <mergeCell ref="M3538:M3539"/>
    <mergeCell ref="N3538:N3539"/>
    <mergeCell ref="I3540:I3541"/>
    <mergeCell ref="J3540:J3541"/>
    <mergeCell ref="I3510:M3510"/>
    <mergeCell ref="I3511:M3511"/>
    <mergeCell ref="I3512:M3512"/>
    <mergeCell ref="I3518:L3518"/>
    <mergeCell ref="I3534:P3534"/>
    <mergeCell ref="I3536:I3537"/>
    <mergeCell ref="J3536:J3537"/>
    <mergeCell ref="K3536:K3537"/>
    <mergeCell ref="L3536:L3537"/>
    <mergeCell ref="M3536:M3537"/>
    <mergeCell ref="I3508:I3509"/>
    <mergeCell ref="J3508:J3509"/>
    <mergeCell ref="K3508:K3509"/>
    <mergeCell ref="L3508:L3509"/>
    <mergeCell ref="M3508:M3509"/>
    <mergeCell ref="N3508:N3509"/>
    <mergeCell ref="L3500:L3501"/>
    <mergeCell ref="M3500:M3501"/>
    <mergeCell ref="N3500:N3501"/>
    <mergeCell ref="I3506:I3507"/>
    <mergeCell ref="J3506:J3507"/>
    <mergeCell ref="K3506:K3507"/>
    <mergeCell ref="L3506:L3507"/>
    <mergeCell ref="M3506:M3507"/>
    <mergeCell ref="N3506:N3507"/>
    <mergeCell ref="N3496:N3497"/>
    <mergeCell ref="O3496:P3496"/>
    <mergeCell ref="I3498:I3499"/>
    <mergeCell ref="J3498:J3499"/>
    <mergeCell ref="K3498:K3501"/>
    <mergeCell ref="L3498:L3499"/>
    <mergeCell ref="M3498:M3499"/>
    <mergeCell ref="N3498:N3499"/>
    <mergeCell ref="I3500:I3501"/>
    <mergeCell ref="J3500:J3501"/>
    <mergeCell ref="I3470:M3470"/>
    <mergeCell ref="I3471:M3471"/>
    <mergeCell ref="I3472:M3472"/>
    <mergeCell ref="I3478:L3478"/>
    <mergeCell ref="I3494:P3494"/>
    <mergeCell ref="I3496:I3497"/>
    <mergeCell ref="J3496:J3497"/>
    <mergeCell ref="K3496:K3497"/>
    <mergeCell ref="L3496:L3497"/>
    <mergeCell ref="M3496:M3497"/>
    <mergeCell ref="I3468:I3469"/>
    <mergeCell ref="J3468:J3469"/>
    <mergeCell ref="K3468:K3469"/>
    <mergeCell ref="L3468:L3469"/>
    <mergeCell ref="M3468:M3469"/>
    <mergeCell ref="N3468:N3469"/>
    <mergeCell ref="I3466:I3467"/>
    <mergeCell ref="J3466:J3467"/>
    <mergeCell ref="K3466:K3467"/>
    <mergeCell ref="L3466:L3467"/>
    <mergeCell ref="M3466:M3467"/>
    <mergeCell ref="N3466:N3467"/>
    <mergeCell ref="I3464:I3465"/>
    <mergeCell ref="J3464:J3465"/>
    <mergeCell ref="K3464:K3465"/>
    <mergeCell ref="L3464:L3465"/>
    <mergeCell ref="M3464:M3465"/>
    <mergeCell ref="N3464:N3465"/>
    <mergeCell ref="O3460:P3460"/>
    <mergeCell ref="I3462:I3463"/>
    <mergeCell ref="J3462:J3463"/>
    <mergeCell ref="K3462:K3463"/>
    <mergeCell ref="L3462:L3463"/>
    <mergeCell ref="M3462:M3463"/>
    <mergeCell ref="N3462:N3463"/>
    <mergeCell ref="I3436:M3436"/>
    <mergeCell ref="I3437:M3437"/>
    <mergeCell ref="I3443:L3443"/>
    <mergeCell ref="I3458:P3458"/>
    <mergeCell ref="I3460:I3461"/>
    <mergeCell ref="J3460:J3461"/>
    <mergeCell ref="K3460:K3461"/>
    <mergeCell ref="L3460:L3461"/>
    <mergeCell ref="M3460:M3461"/>
    <mergeCell ref="N3460:N3461"/>
    <mergeCell ref="I3433:I3434"/>
    <mergeCell ref="J3433:J3434"/>
    <mergeCell ref="L3433:L3434"/>
    <mergeCell ref="M3433:M3434"/>
    <mergeCell ref="N3433:N3434"/>
    <mergeCell ref="I3435:M3435"/>
    <mergeCell ref="I3429:I3430"/>
    <mergeCell ref="J3429:J3430"/>
    <mergeCell ref="L3429:L3430"/>
    <mergeCell ref="M3429:M3430"/>
    <mergeCell ref="N3429:N3430"/>
    <mergeCell ref="I3431:I3432"/>
    <mergeCell ref="J3431:J3432"/>
    <mergeCell ref="L3431:L3432"/>
    <mergeCell ref="M3431:M3432"/>
    <mergeCell ref="N3431:N3432"/>
    <mergeCell ref="I3425:I3426"/>
    <mergeCell ref="J3425:J3426"/>
    <mergeCell ref="L3425:L3426"/>
    <mergeCell ref="M3425:M3426"/>
    <mergeCell ref="N3425:N3426"/>
    <mergeCell ref="I3427:I3428"/>
    <mergeCell ref="J3427:J3428"/>
    <mergeCell ref="L3427:L3428"/>
    <mergeCell ref="M3427:M3428"/>
    <mergeCell ref="N3427:N3428"/>
    <mergeCell ref="N3421:N3422"/>
    <mergeCell ref="O3421:P3421"/>
    <mergeCell ref="I3423:I3424"/>
    <mergeCell ref="J3423:J3424"/>
    <mergeCell ref="L3423:L3424"/>
    <mergeCell ref="M3423:M3424"/>
    <mergeCell ref="N3423:N3424"/>
    <mergeCell ref="I3395:M3395"/>
    <mergeCell ref="I3396:M3396"/>
    <mergeCell ref="I3397:M3397"/>
    <mergeCell ref="I3403:L3403"/>
    <mergeCell ref="I3419:P3419"/>
    <mergeCell ref="I3421:I3422"/>
    <mergeCell ref="J3421:J3422"/>
    <mergeCell ref="K3421:K3422"/>
    <mergeCell ref="L3421:L3422"/>
    <mergeCell ref="M3421:M3422"/>
    <mergeCell ref="I3393:I3394"/>
    <mergeCell ref="J3393:J3394"/>
    <mergeCell ref="K3393:K3394"/>
    <mergeCell ref="L3393:L3394"/>
    <mergeCell ref="M3393:M3394"/>
    <mergeCell ref="N3393:N3394"/>
    <mergeCell ref="I3391:I3392"/>
    <mergeCell ref="J3391:J3392"/>
    <mergeCell ref="K3391:K3392"/>
    <mergeCell ref="L3391:L3392"/>
    <mergeCell ref="M3391:M3392"/>
    <mergeCell ref="N3391:N3392"/>
    <mergeCell ref="I3389:I3390"/>
    <mergeCell ref="J3389:J3390"/>
    <mergeCell ref="K3389:K3390"/>
    <mergeCell ref="L3389:L3390"/>
    <mergeCell ref="M3389:M3390"/>
    <mergeCell ref="N3389:N3390"/>
    <mergeCell ref="N3385:N3386"/>
    <mergeCell ref="O3385:P3385"/>
    <mergeCell ref="I3387:I3388"/>
    <mergeCell ref="J3387:J3388"/>
    <mergeCell ref="K3387:K3388"/>
    <mergeCell ref="L3387:L3388"/>
    <mergeCell ref="M3387:M3388"/>
    <mergeCell ref="N3387:N3388"/>
    <mergeCell ref="I3359:M3359"/>
    <mergeCell ref="I3360:M3360"/>
    <mergeCell ref="I3361:M3361"/>
    <mergeCell ref="I3367:L3367"/>
    <mergeCell ref="I3383:P3383"/>
    <mergeCell ref="I3385:I3386"/>
    <mergeCell ref="J3385:J3386"/>
    <mergeCell ref="K3385:K3386"/>
    <mergeCell ref="L3385:L3386"/>
    <mergeCell ref="M3385:M3386"/>
    <mergeCell ref="I3357:I3358"/>
    <mergeCell ref="J3357:J3358"/>
    <mergeCell ref="K3357:K3358"/>
    <mergeCell ref="L3357:L3358"/>
    <mergeCell ref="M3357:M3358"/>
    <mergeCell ref="N3357:N3358"/>
    <mergeCell ref="I3355:I3356"/>
    <mergeCell ref="J3355:J3356"/>
    <mergeCell ref="K3355:K3356"/>
    <mergeCell ref="L3355:L3356"/>
    <mergeCell ref="M3355:M3356"/>
    <mergeCell ref="N3355:N3356"/>
    <mergeCell ref="I3353:I3354"/>
    <mergeCell ref="J3353:J3354"/>
    <mergeCell ref="K3353:K3354"/>
    <mergeCell ref="L3353:L3354"/>
    <mergeCell ref="M3353:M3354"/>
    <mergeCell ref="N3353:N3354"/>
    <mergeCell ref="N3349:N3350"/>
    <mergeCell ref="O3349:P3349"/>
    <mergeCell ref="I3351:I3352"/>
    <mergeCell ref="J3351:J3352"/>
    <mergeCell ref="K3351:K3352"/>
    <mergeCell ref="L3351:L3352"/>
    <mergeCell ref="M3351:M3352"/>
    <mergeCell ref="N3351:N3352"/>
    <mergeCell ref="I3324:M3324"/>
    <mergeCell ref="I3325:M3325"/>
    <mergeCell ref="I3326:M3326"/>
    <mergeCell ref="I3332:L3332"/>
    <mergeCell ref="I3347:P3347"/>
    <mergeCell ref="I3349:I3350"/>
    <mergeCell ref="J3349:J3350"/>
    <mergeCell ref="K3349:K3350"/>
    <mergeCell ref="L3349:L3350"/>
    <mergeCell ref="M3349:M3350"/>
    <mergeCell ref="I3322:I3323"/>
    <mergeCell ref="J3322:J3323"/>
    <mergeCell ref="K3322:K3323"/>
    <mergeCell ref="L3322:L3323"/>
    <mergeCell ref="M3322:M3323"/>
    <mergeCell ref="N3322:N3323"/>
    <mergeCell ref="I3320:I3321"/>
    <mergeCell ref="J3320:J3321"/>
    <mergeCell ref="K3320:K3321"/>
    <mergeCell ref="L3320:L3321"/>
    <mergeCell ref="M3320:M3321"/>
    <mergeCell ref="N3320:N3321"/>
    <mergeCell ref="I3318:I3319"/>
    <mergeCell ref="J3318:J3319"/>
    <mergeCell ref="K3318:K3319"/>
    <mergeCell ref="L3318:L3319"/>
    <mergeCell ref="M3318:M3319"/>
    <mergeCell ref="N3318:N3319"/>
    <mergeCell ref="I3316:I3317"/>
    <mergeCell ref="J3316:J3317"/>
    <mergeCell ref="K3316:K3317"/>
    <mergeCell ref="L3316:L3317"/>
    <mergeCell ref="M3316:M3317"/>
    <mergeCell ref="N3316:N3317"/>
    <mergeCell ref="I3314:I3315"/>
    <mergeCell ref="J3314:J3315"/>
    <mergeCell ref="K3314:K3315"/>
    <mergeCell ref="L3314:L3315"/>
    <mergeCell ref="M3314:M3315"/>
    <mergeCell ref="N3314:N3315"/>
    <mergeCell ref="N3310:N3311"/>
    <mergeCell ref="O3310:P3310"/>
    <mergeCell ref="I3312:I3313"/>
    <mergeCell ref="J3312:J3313"/>
    <mergeCell ref="K3312:K3313"/>
    <mergeCell ref="L3312:L3313"/>
    <mergeCell ref="M3312:M3313"/>
    <mergeCell ref="N3312:N3313"/>
    <mergeCell ref="I3285:M3285"/>
    <mergeCell ref="I3286:M3286"/>
    <mergeCell ref="I3287:M3287"/>
    <mergeCell ref="I3293:L3293"/>
    <mergeCell ref="I3308:P3308"/>
    <mergeCell ref="I3310:I3311"/>
    <mergeCell ref="J3310:J3311"/>
    <mergeCell ref="K3310:K3311"/>
    <mergeCell ref="L3310:L3311"/>
    <mergeCell ref="M3310:M3311"/>
    <mergeCell ref="I3283:I3284"/>
    <mergeCell ref="J3283:J3284"/>
    <mergeCell ref="K3283:K3284"/>
    <mergeCell ref="L3283:L3284"/>
    <mergeCell ref="M3283:M3284"/>
    <mergeCell ref="N3283:N3284"/>
    <mergeCell ref="L3279:L3280"/>
    <mergeCell ref="M3279:M3280"/>
    <mergeCell ref="N3279:N3280"/>
    <mergeCell ref="I3281:I3282"/>
    <mergeCell ref="J3281:J3282"/>
    <mergeCell ref="K3281:K3282"/>
    <mergeCell ref="L3281:L3282"/>
    <mergeCell ref="M3281:M3282"/>
    <mergeCell ref="N3281:N3282"/>
    <mergeCell ref="N3275:N3276"/>
    <mergeCell ref="O3275:P3275"/>
    <mergeCell ref="I3277:I3278"/>
    <mergeCell ref="J3277:J3278"/>
    <mergeCell ref="K3277:K3280"/>
    <mergeCell ref="L3277:L3278"/>
    <mergeCell ref="M3277:M3278"/>
    <mergeCell ref="N3277:N3278"/>
    <mergeCell ref="I3279:I3280"/>
    <mergeCell ref="J3279:J3280"/>
    <mergeCell ref="I3249:M3249"/>
    <mergeCell ref="I3250:M3250"/>
    <mergeCell ref="I3251:M3251"/>
    <mergeCell ref="I3257:L3257"/>
    <mergeCell ref="I3273:P3273"/>
    <mergeCell ref="I3275:I3276"/>
    <mergeCell ref="J3275:J3276"/>
    <mergeCell ref="K3275:K3276"/>
    <mergeCell ref="L3275:L3276"/>
    <mergeCell ref="M3275:M3276"/>
    <mergeCell ref="I3247:I3248"/>
    <mergeCell ref="J3247:J3248"/>
    <mergeCell ref="K3247:K3248"/>
    <mergeCell ref="L3247:L3248"/>
    <mergeCell ref="M3247:M3248"/>
    <mergeCell ref="N3247:N3248"/>
    <mergeCell ref="I3245:I3246"/>
    <mergeCell ref="J3245:J3246"/>
    <mergeCell ref="K3245:K3246"/>
    <mergeCell ref="L3245:L3246"/>
    <mergeCell ref="M3245:M3246"/>
    <mergeCell ref="N3245:N3246"/>
    <mergeCell ref="I3243:I3244"/>
    <mergeCell ref="J3243:J3244"/>
    <mergeCell ref="K3243:K3244"/>
    <mergeCell ref="L3243:L3244"/>
    <mergeCell ref="M3243:M3244"/>
    <mergeCell ref="N3243:N3244"/>
    <mergeCell ref="N3239:N3240"/>
    <mergeCell ref="O3239:P3239"/>
    <mergeCell ref="I3241:I3242"/>
    <mergeCell ref="J3241:J3242"/>
    <mergeCell ref="K3241:K3242"/>
    <mergeCell ref="L3241:L3242"/>
    <mergeCell ref="M3241:M3242"/>
    <mergeCell ref="N3241:N3242"/>
    <mergeCell ref="I3214:M3214"/>
    <mergeCell ref="I3215:M3215"/>
    <mergeCell ref="I3216:M3216"/>
    <mergeCell ref="I3222:L3222"/>
    <mergeCell ref="I3237:P3237"/>
    <mergeCell ref="I3239:I3240"/>
    <mergeCell ref="J3239:J3240"/>
    <mergeCell ref="K3239:K3240"/>
    <mergeCell ref="L3239:L3240"/>
    <mergeCell ref="M3239:M3240"/>
    <mergeCell ref="R3210:R3211"/>
    <mergeCell ref="I3212:I3213"/>
    <mergeCell ref="J3212:J3213"/>
    <mergeCell ref="K3212:K3213"/>
    <mergeCell ref="L3212:L3213"/>
    <mergeCell ref="M3212:M3213"/>
    <mergeCell ref="N3212:N3213"/>
    <mergeCell ref="I3210:I3211"/>
    <mergeCell ref="J3210:J3211"/>
    <mergeCell ref="K3210:K3211"/>
    <mergeCell ref="L3210:L3211"/>
    <mergeCell ref="M3210:M3211"/>
    <mergeCell ref="N3210:N3211"/>
    <mergeCell ref="I3208:I3209"/>
    <mergeCell ref="J3208:J3209"/>
    <mergeCell ref="K3208:K3209"/>
    <mergeCell ref="L3208:L3209"/>
    <mergeCell ref="M3208:M3209"/>
    <mergeCell ref="N3208:N3209"/>
    <mergeCell ref="N3204:N3205"/>
    <mergeCell ref="O3204:P3204"/>
    <mergeCell ref="I3206:I3207"/>
    <mergeCell ref="J3206:J3207"/>
    <mergeCell ref="K3206:K3207"/>
    <mergeCell ref="L3206:L3207"/>
    <mergeCell ref="M3206:M3207"/>
    <mergeCell ref="N3206:N3207"/>
    <mergeCell ref="I3179:M3179"/>
    <mergeCell ref="I3180:M3180"/>
    <mergeCell ref="I3181:M3181"/>
    <mergeCell ref="I3187:L3187"/>
    <mergeCell ref="I3202:P3202"/>
    <mergeCell ref="I3204:I3205"/>
    <mergeCell ref="J3204:J3205"/>
    <mergeCell ref="K3204:K3205"/>
    <mergeCell ref="L3204:L3205"/>
    <mergeCell ref="M3204:M3205"/>
    <mergeCell ref="I3177:I3178"/>
    <mergeCell ref="J3177:J3178"/>
    <mergeCell ref="K3177:K3178"/>
    <mergeCell ref="L3177:L3178"/>
    <mergeCell ref="M3177:M3178"/>
    <mergeCell ref="N3177:N3178"/>
    <mergeCell ref="I3175:I3176"/>
    <mergeCell ref="J3175:J3176"/>
    <mergeCell ref="K3175:K3176"/>
    <mergeCell ref="L3175:L3176"/>
    <mergeCell ref="M3175:M3176"/>
    <mergeCell ref="N3175:N3176"/>
    <mergeCell ref="I3173:I3174"/>
    <mergeCell ref="J3173:J3174"/>
    <mergeCell ref="K3173:K3174"/>
    <mergeCell ref="L3173:L3174"/>
    <mergeCell ref="M3173:M3174"/>
    <mergeCell ref="N3173:N3174"/>
    <mergeCell ref="I3171:I3172"/>
    <mergeCell ref="J3171:J3172"/>
    <mergeCell ref="K3171:K3172"/>
    <mergeCell ref="L3171:L3172"/>
    <mergeCell ref="M3171:M3172"/>
    <mergeCell ref="N3171:N3172"/>
    <mergeCell ref="I3169:I3170"/>
    <mergeCell ref="J3169:J3170"/>
    <mergeCell ref="K3169:K3170"/>
    <mergeCell ref="L3169:L3170"/>
    <mergeCell ref="M3169:M3170"/>
    <mergeCell ref="N3169:N3170"/>
    <mergeCell ref="N3165:N3166"/>
    <mergeCell ref="O3165:P3165"/>
    <mergeCell ref="I3167:I3168"/>
    <mergeCell ref="J3167:J3168"/>
    <mergeCell ref="K3167:K3168"/>
    <mergeCell ref="L3167:L3168"/>
    <mergeCell ref="M3167:M3168"/>
    <mergeCell ref="N3167:N3168"/>
    <mergeCell ref="I3140:M3140"/>
    <mergeCell ref="I3141:M3141"/>
    <mergeCell ref="I3142:M3142"/>
    <mergeCell ref="I3148:L3148"/>
    <mergeCell ref="I3163:P3163"/>
    <mergeCell ref="I3165:I3166"/>
    <mergeCell ref="J3165:J3166"/>
    <mergeCell ref="K3165:K3166"/>
    <mergeCell ref="L3165:L3166"/>
    <mergeCell ref="M3165:M3166"/>
    <mergeCell ref="I3138:I3139"/>
    <mergeCell ref="J3138:J3139"/>
    <mergeCell ref="K3138:K3139"/>
    <mergeCell ref="L3138:L3139"/>
    <mergeCell ref="M3138:M3139"/>
    <mergeCell ref="N3138:N3139"/>
    <mergeCell ref="I3136:I3137"/>
    <mergeCell ref="J3136:J3137"/>
    <mergeCell ref="K3136:K3137"/>
    <mergeCell ref="L3136:L3137"/>
    <mergeCell ref="M3136:M3137"/>
    <mergeCell ref="N3136:N3137"/>
    <mergeCell ref="I3134:I3135"/>
    <mergeCell ref="J3134:J3135"/>
    <mergeCell ref="K3134:K3135"/>
    <mergeCell ref="L3134:L3135"/>
    <mergeCell ref="M3134:M3135"/>
    <mergeCell ref="N3134:N3135"/>
    <mergeCell ref="I3132:I3133"/>
    <mergeCell ref="J3132:J3133"/>
    <mergeCell ref="K3132:K3133"/>
    <mergeCell ref="L3132:L3133"/>
    <mergeCell ref="M3132:M3133"/>
    <mergeCell ref="N3132:N3133"/>
    <mergeCell ref="N3128:N3129"/>
    <mergeCell ref="O3128:P3128"/>
    <mergeCell ref="I3130:I3131"/>
    <mergeCell ref="J3130:J3131"/>
    <mergeCell ref="K3130:K3131"/>
    <mergeCell ref="L3130:L3131"/>
    <mergeCell ref="M3130:M3131"/>
    <mergeCell ref="N3130:N3131"/>
    <mergeCell ref="I3103:M3103"/>
    <mergeCell ref="I3104:M3104"/>
    <mergeCell ref="I3105:M3105"/>
    <mergeCell ref="I3111:L3111"/>
    <mergeCell ref="I3126:P3126"/>
    <mergeCell ref="I3128:I3129"/>
    <mergeCell ref="J3128:J3129"/>
    <mergeCell ref="K3128:K3129"/>
    <mergeCell ref="L3128:L3129"/>
    <mergeCell ref="M3128:M3129"/>
    <mergeCell ref="I3101:I3102"/>
    <mergeCell ref="J3101:J3102"/>
    <mergeCell ref="K3101:K3102"/>
    <mergeCell ref="L3101:L3102"/>
    <mergeCell ref="M3101:M3102"/>
    <mergeCell ref="N3101:N3102"/>
    <mergeCell ref="I3099:I3100"/>
    <mergeCell ref="J3099:J3100"/>
    <mergeCell ref="K3099:K3100"/>
    <mergeCell ref="L3099:L3100"/>
    <mergeCell ref="M3099:M3100"/>
    <mergeCell ref="N3099:N3100"/>
    <mergeCell ref="I3097:I3098"/>
    <mergeCell ref="J3097:J3098"/>
    <mergeCell ref="K3097:K3098"/>
    <mergeCell ref="L3097:L3098"/>
    <mergeCell ref="M3097:M3098"/>
    <mergeCell ref="N3097:N3098"/>
    <mergeCell ref="I3095:I3096"/>
    <mergeCell ref="J3095:J3096"/>
    <mergeCell ref="K3095:K3096"/>
    <mergeCell ref="L3095:L3096"/>
    <mergeCell ref="M3095:M3096"/>
    <mergeCell ref="N3095:N3096"/>
    <mergeCell ref="N3091:N3092"/>
    <mergeCell ref="O3091:P3091"/>
    <mergeCell ref="I3093:I3094"/>
    <mergeCell ref="J3093:J3094"/>
    <mergeCell ref="K3093:K3094"/>
    <mergeCell ref="L3093:L3094"/>
    <mergeCell ref="M3093:M3094"/>
    <mergeCell ref="N3093:N3094"/>
    <mergeCell ref="I3066:M3066"/>
    <mergeCell ref="I3067:M3067"/>
    <mergeCell ref="I3068:M3068"/>
    <mergeCell ref="I3074:L3074"/>
    <mergeCell ref="I3089:P3089"/>
    <mergeCell ref="I3091:I3092"/>
    <mergeCell ref="J3091:J3092"/>
    <mergeCell ref="K3091:K3092"/>
    <mergeCell ref="L3091:L3092"/>
    <mergeCell ref="M3091:M3092"/>
    <mergeCell ref="I3064:I3065"/>
    <mergeCell ref="J3064:J3065"/>
    <mergeCell ref="K3064:K3065"/>
    <mergeCell ref="L3064:L3065"/>
    <mergeCell ref="M3064:M3065"/>
    <mergeCell ref="N3064:N3065"/>
    <mergeCell ref="I3062:I3063"/>
    <mergeCell ref="J3062:J3063"/>
    <mergeCell ref="K3062:K3063"/>
    <mergeCell ref="L3062:L3063"/>
    <mergeCell ref="M3062:M3063"/>
    <mergeCell ref="N3062:N3063"/>
    <mergeCell ref="I3060:I3061"/>
    <mergeCell ref="J3060:J3061"/>
    <mergeCell ref="K3060:K3061"/>
    <mergeCell ref="L3060:L3061"/>
    <mergeCell ref="M3060:M3061"/>
    <mergeCell ref="N3060:N3061"/>
    <mergeCell ref="I3058:I3059"/>
    <mergeCell ref="J3058:J3059"/>
    <mergeCell ref="K3058:K3059"/>
    <mergeCell ref="L3058:L3059"/>
    <mergeCell ref="M3058:M3059"/>
    <mergeCell ref="N3058:N3059"/>
    <mergeCell ref="N3054:N3055"/>
    <mergeCell ref="O3054:P3054"/>
    <mergeCell ref="I3056:I3057"/>
    <mergeCell ref="J3056:J3057"/>
    <mergeCell ref="K3056:K3057"/>
    <mergeCell ref="L3056:L3057"/>
    <mergeCell ref="M3056:M3057"/>
    <mergeCell ref="N3056:N3057"/>
    <mergeCell ref="I3029:M3029"/>
    <mergeCell ref="I3030:M3030"/>
    <mergeCell ref="I3031:M3031"/>
    <mergeCell ref="I3037:L3037"/>
    <mergeCell ref="I3052:P3052"/>
    <mergeCell ref="I3054:I3055"/>
    <mergeCell ref="J3054:J3055"/>
    <mergeCell ref="K3054:K3055"/>
    <mergeCell ref="L3054:L3055"/>
    <mergeCell ref="M3054:M3055"/>
    <mergeCell ref="I3027:I3028"/>
    <mergeCell ref="J3027:J3028"/>
    <mergeCell ref="K3027:K3028"/>
    <mergeCell ref="L3027:L3028"/>
    <mergeCell ref="M3027:M3028"/>
    <mergeCell ref="N3027:N3028"/>
    <mergeCell ref="I3025:I3026"/>
    <mergeCell ref="J3025:J3026"/>
    <mergeCell ref="K3025:K3026"/>
    <mergeCell ref="L3025:L3026"/>
    <mergeCell ref="M3025:M3026"/>
    <mergeCell ref="N3025:N3026"/>
    <mergeCell ref="I3023:I3024"/>
    <mergeCell ref="J3023:J3024"/>
    <mergeCell ref="K3023:K3024"/>
    <mergeCell ref="L3023:L3024"/>
    <mergeCell ref="M3023:M3024"/>
    <mergeCell ref="N3023:N3024"/>
    <mergeCell ref="I3021:I3022"/>
    <mergeCell ref="J3021:J3022"/>
    <mergeCell ref="K3021:K3022"/>
    <mergeCell ref="L3021:L3022"/>
    <mergeCell ref="M3021:M3022"/>
    <mergeCell ref="N3021:N3022"/>
    <mergeCell ref="N3017:N3018"/>
    <mergeCell ref="O3017:P3017"/>
    <mergeCell ref="I3019:I3020"/>
    <mergeCell ref="J3019:J3020"/>
    <mergeCell ref="K3019:K3020"/>
    <mergeCell ref="L3019:L3020"/>
    <mergeCell ref="M3019:M3020"/>
    <mergeCell ref="N3019:N3020"/>
    <mergeCell ref="I2992:M2992"/>
    <mergeCell ref="I2993:M2993"/>
    <mergeCell ref="I2994:M2994"/>
    <mergeCell ref="I3000:L3000"/>
    <mergeCell ref="I3015:P3015"/>
    <mergeCell ref="I3017:I3018"/>
    <mergeCell ref="J3017:J3018"/>
    <mergeCell ref="K3017:K3018"/>
    <mergeCell ref="L3017:L3018"/>
    <mergeCell ref="M3017:M3018"/>
    <mergeCell ref="I2990:I2991"/>
    <mergeCell ref="J2990:J2991"/>
    <mergeCell ref="K2990:K2991"/>
    <mergeCell ref="L2990:L2991"/>
    <mergeCell ref="M2990:M2991"/>
    <mergeCell ref="N2990:N2991"/>
    <mergeCell ref="I2988:I2989"/>
    <mergeCell ref="J2988:J2989"/>
    <mergeCell ref="K2988:K2989"/>
    <mergeCell ref="L2988:L2989"/>
    <mergeCell ref="M2988:M2989"/>
    <mergeCell ref="N2988:N2989"/>
    <mergeCell ref="I2986:I2987"/>
    <mergeCell ref="J2986:J2987"/>
    <mergeCell ref="K2986:K2987"/>
    <mergeCell ref="L2986:L2987"/>
    <mergeCell ref="M2986:M2987"/>
    <mergeCell ref="N2986:N2987"/>
    <mergeCell ref="I2984:I2985"/>
    <mergeCell ref="J2984:J2985"/>
    <mergeCell ref="K2984:K2985"/>
    <mergeCell ref="L2984:L2985"/>
    <mergeCell ref="M2984:M2985"/>
    <mergeCell ref="N2984:N2985"/>
    <mergeCell ref="N2980:N2981"/>
    <mergeCell ref="O2980:P2980"/>
    <mergeCell ref="I2982:I2983"/>
    <mergeCell ref="J2982:J2983"/>
    <mergeCell ref="K2982:K2983"/>
    <mergeCell ref="L2982:L2983"/>
    <mergeCell ref="M2982:M2983"/>
    <mergeCell ref="N2982:N2983"/>
    <mergeCell ref="I2955:M2955"/>
    <mergeCell ref="I2956:M2956"/>
    <mergeCell ref="I2957:M2957"/>
    <mergeCell ref="I2963:L2963"/>
    <mergeCell ref="I2978:P2978"/>
    <mergeCell ref="I2980:I2981"/>
    <mergeCell ref="J2980:J2981"/>
    <mergeCell ref="K2980:K2981"/>
    <mergeCell ref="L2980:L2981"/>
    <mergeCell ref="M2980:M2981"/>
    <mergeCell ref="I2953:I2954"/>
    <mergeCell ref="J2953:J2954"/>
    <mergeCell ref="K2953:K2954"/>
    <mergeCell ref="L2953:L2954"/>
    <mergeCell ref="M2953:M2954"/>
    <mergeCell ref="N2953:N2954"/>
    <mergeCell ref="I2951:I2952"/>
    <mergeCell ref="J2951:J2952"/>
    <mergeCell ref="K2951:K2952"/>
    <mergeCell ref="L2951:L2952"/>
    <mergeCell ref="M2951:M2952"/>
    <mergeCell ref="N2951:N2952"/>
    <mergeCell ref="I2949:I2950"/>
    <mergeCell ref="J2949:J2950"/>
    <mergeCell ref="K2949:K2950"/>
    <mergeCell ref="L2949:L2950"/>
    <mergeCell ref="M2949:M2950"/>
    <mergeCell ref="N2949:N2950"/>
    <mergeCell ref="I2947:I2948"/>
    <mergeCell ref="J2947:J2948"/>
    <mergeCell ref="K2947:K2948"/>
    <mergeCell ref="L2947:L2948"/>
    <mergeCell ref="M2947:M2948"/>
    <mergeCell ref="N2947:N2948"/>
    <mergeCell ref="N2943:N2944"/>
    <mergeCell ref="O2943:P2943"/>
    <mergeCell ref="I2945:I2946"/>
    <mergeCell ref="J2945:J2946"/>
    <mergeCell ref="K2945:K2946"/>
    <mergeCell ref="L2945:L2946"/>
    <mergeCell ref="M2945:M2946"/>
    <mergeCell ref="N2945:N2946"/>
    <mergeCell ref="I2918:M2918"/>
    <mergeCell ref="I2919:M2919"/>
    <mergeCell ref="I2920:M2920"/>
    <mergeCell ref="I2926:L2926"/>
    <mergeCell ref="I2941:P2941"/>
    <mergeCell ref="I2943:I2944"/>
    <mergeCell ref="J2943:J2944"/>
    <mergeCell ref="K2943:K2944"/>
    <mergeCell ref="L2943:L2944"/>
    <mergeCell ref="M2943:M2944"/>
    <mergeCell ref="I2916:I2917"/>
    <mergeCell ref="J2916:J2917"/>
    <mergeCell ref="K2916:K2917"/>
    <mergeCell ref="L2916:L2917"/>
    <mergeCell ref="M2916:M2917"/>
    <mergeCell ref="N2916:N2917"/>
    <mergeCell ref="I2914:I2915"/>
    <mergeCell ref="J2914:J2915"/>
    <mergeCell ref="K2914:K2915"/>
    <mergeCell ref="L2914:L2915"/>
    <mergeCell ref="M2914:M2915"/>
    <mergeCell ref="N2914:N2915"/>
    <mergeCell ref="I2912:I2913"/>
    <mergeCell ref="J2912:J2913"/>
    <mergeCell ref="K2912:K2913"/>
    <mergeCell ref="L2912:L2913"/>
    <mergeCell ref="M2912:M2913"/>
    <mergeCell ref="N2912:N2913"/>
    <mergeCell ref="I2910:I2911"/>
    <mergeCell ref="J2910:J2911"/>
    <mergeCell ref="K2910:K2911"/>
    <mergeCell ref="L2910:L2911"/>
    <mergeCell ref="M2910:M2911"/>
    <mergeCell ref="N2910:N2911"/>
    <mergeCell ref="N2906:N2907"/>
    <mergeCell ref="O2906:P2906"/>
    <mergeCell ref="I2908:I2909"/>
    <mergeCell ref="J2908:J2909"/>
    <mergeCell ref="K2908:K2909"/>
    <mergeCell ref="L2908:L2909"/>
    <mergeCell ref="M2908:M2909"/>
    <mergeCell ref="N2908:N2909"/>
    <mergeCell ref="I2881:M2881"/>
    <mergeCell ref="I2882:M2882"/>
    <mergeCell ref="I2883:M2883"/>
    <mergeCell ref="I2889:L2889"/>
    <mergeCell ref="I2904:P2904"/>
    <mergeCell ref="I2906:I2907"/>
    <mergeCell ref="J2906:J2907"/>
    <mergeCell ref="K2906:K2907"/>
    <mergeCell ref="L2906:L2907"/>
    <mergeCell ref="M2906:M2907"/>
    <mergeCell ref="I2879:I2880"/>
    <mergeCell ref="J2879:J2880"/>
    <mergeCell ref="K2879:K2880"/>
    <mergeCell ref="L2879:L2880"/>
    <mergeCell ref="M2879:M2880"/>
    <mergeCell ref="N2879:N2880"/>
    <mergeCell ref="I2877:I2878"/>
    <mergeCell ref="J2877:J2878"/>
    <mergeCell ref="K2877:K2878"/>
    <mergeCell ref="L2877:L2878"/>
    <mergeCell ref="M2877:M2878"/>
    <mergeCell ref="N2877:N2878"/>
    <mergeCell ref="I2875:I2876"/>
    <mergeCell ref="J2875:J2876"/>
    <mergeCell ref="K2875:K2876"/>
    <mergeCell ref="L2875:L2876"/>
    <mergeCell ref="M2875:M2876"/>
    <mergeCell ref="N2875:N2876"/>
    <mergeCell ref="I2873:I2874"/>
    <mergeCell ref="J2873:J2874"/>
    <mergeCell ref="K2873:K2874"/>
    <mergeCell ref="L2873:L2874"/>
    <mergeCell ref="M2873:M2874"/>
    <mergeCell ref="N2873:N2874"/>
    <mergeCell ref="N2869:N2870"/>
    <mergeCell ref="O2869:P2869"/>
    <mergeCell ref="I2871:I2872"/>
    <mergeCell ref="J2871:J2872"/>
    <mergeCell ref="K2871:K2872"/>
    <mergeCell ref="L2871:L2872"/>
    <mergeCell ref="M2871:M2872"/>
    <mergeCell ref="N2871:N2872"/>
    <mergeCell ref="I2844:M2844"/>
    <mergeCell ref="I2845:M2845"/>
    <mergeCell ref="I2846:M2846"/>
    <mergeCell ref="I2852:L2852"/>
    <mergeCell ref="I2867:P2867"/>
    <mergeCell ref="I2869:I2870"/>
    <mergeCell ref="J2869:J2870"/>
    <mergeCell ref="K2869:K2870"/>
    <mergeCell ref="L2869:L2870"/>
    <mergeCell ref="M2869:M2870"/>
    <mergeCell ref="I2842:I2843"/>
    <mergeCell ref="J2842:J2843"/>
    <mergeCell ref="K2842:K2843"/>
    <mergeCell ref="L2842:L2843"/>
    <mergeCell ref="M2842:M2843"/>
    <mergeCell ref="N2842:N2843"/>
    <mergeCell ref="I2840:I2841"/>
    <mergeCell ref="J2840:J2841"/>
    <mergeCell ref="K2840:K2841"/>
    <mergeCell ref="L2840:L2841"/>
    <mergeCell ref="M2840:M2841"/>
    <mergeCell ref="N2840:N2841"/>
    <mergeCell ref="I2838:I2839"/>
    <mergeCell ref="J2838:J2839"/>
    <mergeCell ref="K2838:K2839"/>
    <mergeCell ref="L2838:L2839"/>
    <mergeCell ref="M2838:M2839"/>
    <mergeCell ref="N2838:N2839"/>
    <mergeCell ref="I2836:I2837"/>
    <mergeCell ref="J2836:J2837"/>
    <mergeCell ref="K2836:K2837"/>
    <mergeCell ref="L2836:L2837"/>
    <mergeCell ref="M2836:M2837"/>
    <mergeCell ref="N2836:N2837"/>
    <mergeCell ref="I2834:I2835"/>
    <mergeCell ref="J2834:J2835"/>
    <mergeCell ref="K2834:K2835"/>
    <mergeCell ref="L2834:L2835"/>
    <mergeCell ref="M2834:M2835"/>
    <mergeCell ref="N2834:N2835"/>
    <mergeCell ref="N2830:N2831"/>
    <mergeCell ref="O2830:P2830"/>
    <mergeCell ref="I2832:I2833"/>
    <mergeCell ref="J2832:J2833"/>
    <mergeCell ref="K2832:K2833"/>
    <mergeCell ref="L2832:L2833"/>
    <mergeCell ref="M2832:M2833"/>
    <mergeCell ref="N2832:N2833"/>
    <mergeCell ref="I2805:M2805"/>
    <mergeCell ref="I2806:M2806"/>
    <mergeCell ref="I2807:M2807"/>
    <mergeCell ref="I2813:L2813"/>
    <mergeCell ref="I2828:P2828"/>
    <mergeCell ref="I2830:I2831"/>
    <mergeCell ref="J2830:J2831"/>
    <mergeCell ref="K2830:K2831"/>
    <mergeCell ref="L2830:L2831"/>
    <mergeCell ref="M2830:M2831"/>
    <mergeCell ref="I2803:I2804"/>
    <mergeCell ref="J2803:J2804"/>
    <mergeCell ref="K2803:K2804"/>
    <mergeCell ref="L2803:L2804"/>
    <mergeCell ref="M2803:M2804"/>
    <mergeCell ref="N2803:N2804"/>
    <mergeCell ref="I2801:I2802"/>
    <mergeCell ref="J2801:J2802"/>
    <mergeCell ref="K2801:K2802"/>
    <mergeCell ref="L2801:L2802"/>
    <mergeCell ref="M2801:M2802"/>
    <mergeCell ref="N2801:N2802"/>
    <mergeCell ref="I2799:I2800"/>
    <mergeCell ref="J2799:J2800"/>
    <mergeCell ref="K2799:K2800"/>
    <mergeCell ref="L2799:L2800"/>
    <mergeCell ref="M2799:M2800"/>
    <mergeCell ref="N2799:N2800"/>
    <mergeCell ref="I2797:I2798"/>
    <mergeCell ref="J2797:J2798"/>
    <mergeCell ref="K2797:K2798"/>
    <mergeCell ref="L2797:L2798"/>
    <mergeCell ref="M2797:M2798"/>
    <mergeCell ref="N2797:N2798"/>
    <mergeCell ref="I2795:I2796"/>
    <mergeCell ref="J2795:J2796"/>
    <mergeCell ref="K2795:K2796"/>
    <mergeCell ref="L2795:L2796"/>
    <mergeCell ref="M2795:M2796"/>
    <mergeCell ref="N2795:N2796"/>
    <mergeCell ref="N2791:N2792"/>
    <mergeCell ref="O2791:P2791"/>
    <mergeCell ref="I2793:I2794"/>
    <mergeCell ref="J2793:J2794"/>
    <mergeCell ref="K2793:K2794"/>
    <mergeCell ref="L2793:L2794"/>
    <mergeCell ref="M2793:M2794"/>
    <mergeCell ref="N2793:N2794"/>
    <mergeCell ref="I2766:M2766"/>
    <mergeCell ref="I2767:M2767"/>
    <mergeCell ref="I2768:M2768"/>
    <mergeCell ref="I2774:L2774"/>
    <mergeCell ref="I2789:P2789"/>
    <mergeCell ref="I2791:I2792"/>
    <mergeCell ref="J2791:J2792"/>
    <mergeCell ref="K2791:K2792"/>
    <mergeCell ref="L2791:L2792"/>
    <mergeCell ref="M2791:M2792"/>
    <mergeCell ref="I2764:I2765"/>
    <mergeCell ref="J2764:J2765"/>
    <mergeCell ref="K2764:K2765"/>
    <mergeCell ref="L2764:L2765"/>
    <mergeCell ref="M2764:M2765"/>
    <mergeCell ref="N2764:N2765"/>
    <mergeCell ref="I2762:I2763"/>
    <mergeCell ref="J2762:J2763"/>
    <mergeCell ref="K2762:K2763"/>
    <mergeCell ref="L2762:L2763"/>
    <mergeCell ref="M2762:M2763"/>
    <mergeCell ref="N2762:N2763"/>
    <mergeCell ref="I2760:I2761"/>
    <mergeCell ref="J2760:J2761"/>
    <mergeCell ref="K2760:K2761"/>
    <mergeCell ref="L2760:L2761"/>
    <mergeCell ref="M2760:M2761"/>
    <mergeCell ref="N2760:N2761"/>
    <mergeCell ref="I2758:I2759"/>
    <mergeCell ref="J2758:J2759"/>
    <mergeCell ref="K2758:K2759"/>
    <mergeCell ref="L2758:L2759"/>
    <mergeCell ref="M2758:M2759"/>
    <mergeCell ref="N2758:N2759"/>
    <mergeCell ref="N2754:N2755"/>
    <mergeCell ref="O2754:P2754"/>
    <mergeCell ref="I2756:I2757"/>
    <mergeCell ref="J2756:J2757"/>
    <mergeCell ref="K2756:K2757"/>
    <mergeCell ref="L2756:L2757"/>
    <mergeCell ref="M2756:M2757"/>
    <mergeCell ref="N2756:N2757"/>
    <mergeCell ref="I2729:M2729"/>
    <mergeCell ref="I2730:M2730"/>
    <mergeCell ref="I2731:M2731"/>
    <mergeCell ref="I2737:L2737"/>
    <mergeCell ref="I2752:P2752"/>
    <mergeCell ref="I2754:I2755"/>
    <mergeCell ref="J2754:J2755"/>
    <mergeCell ref="K2754:K2755"/>
    <mergeCell ref="L2754:L2755"/>
    <mergeCell ref="M2754:M2755"/>
    <mergeCell ref="I2727:I2728"/>
    <mergeCell ref="J2727:J2728"/>
    <mergeCell ref="K2727:K2728"/>
    <mergeCell ref="L2727:L2728"/>
    <mergeCell ref="M2727:M2728"/>
    <mergeCell ref="N2727:N2728"/>
    <mergeCell ref="I2725:I2726"/>
    <mergeCell ref="J2725:J2726"/>
    <mergeCell ref="K2725:K2726"/>
    <mergeCell ref="L2725:L2726"/>
    <mergeCell ref="M2725:M2726"/>
    <mergeCell ref="N2725:N2726"/>
    <mergeCell ref="I2723:I2724"/>
    <mergeCell ref="J2723:J2724"/>
    <mergeCell ref="K2723:K2724"/>
    <mergeCell ref="L2723:L2724"/>
    <mergeCell ref="M2723:M2724"/>
    <mergeCell ref="N2723:N2724"/>
    <mergeCell ref="I2721:I2722"/>
    <mergeCell ref="J2721:J2722"/>
    <mergeCell ref="K2721:K2722"/>
    <mergeCell ref="L2721:L2722"/>
    <mergeCell ref="M2721:M2722"/>
    <mergeCell ref="N2721:N2722"/>
    <mergeCell ref="N2717:N2718"/>
    <mergeCell ref="O2717:P2717"/>
    <mergeCell ref="I2719:I2720"/>
    <mergeCell ref="J2719:J2720"/>
    <mergeCell ref="K2719:K2720"/>
    <mergeCell ref="L2719:L2720"/>
    <mergeCell ref="M2719:M2720"/>
    <mergeCell ref="N2719:N2720"/>
    <mergeCell ref="I2692:M2692"/>
    <mergeCell ref="I2693:M2693"/>
    <mergeCell ref="I2694:M2694"/>
    <mergeCell ref="I2700:L2700"/>
    <mergeCell ref="I2715:P2715"/>
    <mergeCell ref="I2717:I2718"/>
    <mergeCell ref="J2717:J2718"/>
    <mergeCell ref="K2717:K2718"/>
    <mergeCell ref="L2717:L2718"/>
    <mergeCell ref="M2717:M2718"/>
    <mergeCell ref="I2690:I2691"/>
    <mergeCell ref="J2690:J2691"/>
    <mergeCell ref="K2690:K2691"/>
    <mergeCell ref="L2690:L2691"/>
    <mergeCell ref="M2690:M2691"/>
    <mergeCell ref="N2690:N2691"/>
    <mergeCell ref="I2688:I2689"/>
    <mergeCell ref="J2688:J2689"/>
    <mergeCell ref="K2688:K2689"/>
    <mergeCell ref="L2688:L2689"/>
    <mergeCell ref="M2688:M2689"/>
    <mergeCell ref="N2688:N2689"/>
    <mergeCell ref="I2686:I2687"/>
    <mergeCell ref="J2686:J2687"/>
    <mergeCell ref="K2686:K2687"/>
    <mergeCell ref="L2686:L2687"/>
    <mergeCell ref="M2686:M2687"/>
    <mergeCell ref="N2686:N2687"/>
    <mergeCell ref="I2684:I2685"/>
    <mergeCell ref="J2684:J2685"/>
    <mergeCell ref="K2684:K2685"/>
    <mergeCell ref="L2684:L2685"/>
    <mergeCell ref="M2684:M2685"/>
    <mergeCell ref="N2684:N2685"/>
    <mergeCell ref="N2680:N2681"/>
    <mergeCell ref="O2680:P2680"/>
    <mergeCell ref="I2682:I2683"/>
    <mergeCell ref="J2682:J2683"/>
    <mergeCell ref="K2682:K2683"/>
    <mergeCell ref="L2682:L2683"/>
    <mergeCell ref="M2682:M2683"/>
    <mergeCell ref="N2682:N2683"/>
    <mergeCell ref="I2655:M2655"/>
    <mergeCell ref="I2656:M2656"/>
    <mergeCell ref="I2657:M2657"/>
    <mergeCell ref="I2663:L2663"/>
    <mergeCell ref="I2678:P2678"/>
    <mergeCell ref="I2680:I2681"/>
    <mergeCell ref="J2680:J2681"/>
    <mergeCell ref="K2680:K2681"/>
    <mergeCell ref="L2680:L2681"/>
    <mergeCell ref="M2680:M2681"/>
    <mergeCell ref="I2653:I2654"/>
    <mergeCell ref="J2653:J2654"/>
    <mergeCell ref="K2653:K2654"/>
    <mergeCell ref="L2653:L2654"/>
    <mergeCell ref="M2653:M2654"/>
    <mergeCell ref="N2653:N2654"/>
    <mergeCell ref="I2651:I2652"/>
    <mergeCell ref="J2651:J2652"/>
    <mergeCell ref="K2651:K2652"/>
    <mergeCell ref="L2651:L2652"/>
    <mergeCell ref="M2651:M2652"/>
    <mergeCell ref="N2651:N2652"/>
    <mergeCell ref="I2649:I2650"/>
    <mergeCell ref="J2649:J2650"/>
    <mergeCell ref="K2649:K2650"/>
    <mergeCell ref="L2649:L2650"/>
    <mergeCell ref="M2649:M2650"/>
    <mergeCell ref="N2649:N2650"/>
    <mergeCell ref="I2647:I2648"/>
    <mergeCell ref="J2647:J2648"/>
    <mergeCell ref="K2647:K2648"/>
    <mergeCell ref="L2647:L2648"/>
    <mergeCell ref="M2647:M2648"/>
    <mergeCell ref="N2647:N2648"/>
    <mergeCell ref="N2643:N2644"/>
    <mergeCell ref="O2643:P2643"/>
    <mergeCell ref="I2645:I2646"/>
    <mergeCell ref="J2645:J2646"/>
    <mergeCell ref="K2645:K2646"/>
    <mergeCell ref="L2645:L2646"/>
    <mergeCell ref="M2645:M2646"/>
    <mergeCell ref="N2645:N2646"/>
    <mergeCell ref="I2618:M2618"/>
    <mergeCell ref="I2619:M2619"/>
    <mergeCell ref="I2620:M2620"/>
    <mergeCell ref="I2626:L2626"/>
    <mergeCell ref="I2641:P2641"/>
    <mergeCell ref="I2643:I2644"/>
    <mergeCell ref="J2643:J2644"/>
    <mergeCell ref="K2643:K2644"/>
    <mergeCell ref="L2643:L2644"/>
    <mergeCell ref="M2643:M2644"/>
    <mergeCell ref="I2616:I2617"/>
    <mergeCell ref="J2616:J2617"/>
    <mergeCell ref="K2616:K2617"/>
    <mergeCell ref="L2616:L2617"/>
    <mergeCell ref="M2616:M2617"/>
    <mergeCell ref="N2616:N2617"/>
    <mergeCell ref="I2614:I2615"/>
    <mergeCell ref="J2614:J2615"/>
    <mergeCell ref="K2614:K2615"/>
    <mergeCell ref="L2614:L2615"/>
    <mergeCell ref="M2614:M2615"/>
    <mergeCell ref="N2614:N2615"/>
    <mergeCell ref="I2612:I2613"/>
    <mergeCell ref="J2612:J2613"/>
    <mergeCell ref="K2612:K2613"/>
    <mergeCell ref="L2612:L2613"/>
    <mergeCell ref="M2612:M2613"/>
    <mergeCell ref="N2612:N2613"/>
    <mergeCell ref="I2610:I2611"/>
    <mergeCell ref="J2610:J2611"/>
    <mergeCell ref="K2610:K2611"/>
    <mergeCell ref="L2610:L2611"/>
    <mergeCell ref="M2610:M2611"/>
    <mergeCell ref="N2610:N2611"/>
    <mergeCell ref="I2608:I2609"/>
    <mergeCell ref="J2608:J2609"/>
    <mergeCell ref="K2608:K2609"/>
    <mergeCell ref="L2608:L2609"/>
    <mergeCell ref="M2608:M2609"/>
    <mergeCell ref="N2608:N2609"/>
    <mergeCell ref="I2606:I2607"/>
    <mergeCell ref="J2606:J2607"/>
    <mergeCell ref="K2606:K2607"/>
    <mergeCell ref="L2606:L2607"/>
    <mergeCell ref="M2606:M2607"/>
    <mergeCell ref="N2606:N2607"/>
    <mergeCell ref="I2602:P2602"/>
    <mergeCell ref="I2604:I2605"/>
    <mergeCell ref="J2604:J2605"/>
    <mergeCell ref="K2604:K2605"/>
    <mergeCell ref="L2604:L2605"/>
    <mergeCell ref="M2604:M2605"/>
    <mergeCell ref="N2604:N2605"/>
    <mergeCell ref="O2604:P2604"/>
    <mergeCell ref="I2579:M2579"/>
    <mergeCell ref="I2580:M2580"/>
    <mergeCell ref="I2581:M2581"/>
    <mergeCell ref="I2587:L2587"/>
    <mergeCell ref="N2587:P2587"/>
    <mergeCell ref="N2592:P2592"/>
    <mergeCell ref="I2577:I2578"/>
    <mergeCell ref="J2577:J2578"/>
    <mergeCell ref="K2577:K2578"/>
    <mergeCell ref="L2577:L2578"/>
    <mergeCell ref="M2577:M2578"/>
    <mergeCell ref="N2577:N2578"/>
    <mergeCell ref="I2575:I2576"/>
    <mergeCell ref="J2575:J2576"/>
    <mergeCell ref="K2575:K2576"/>
    <mergeCell ref="L2575:L2576"/>
    <mergeCell ref="M2575:M2576"/>
    <mergeCell ref="N2575:N2576"/>
    <mergeCell ref="I2573:I2574"/>
    <mergeCell ref="J2573:J2574"/>
    <mergeCell ref="K2573:K2574"/>
    <mergeCell ref="L2573:L2574"/>
    <mergeCell ref="M2573:M2574"/>
    <mergeCell ref="N2573:N2574"/>
    <mergeCell ref="I2571:I2572"/>
    <mergeCell ref="J2571:J2572"/>
    <mergeCell ref="K2571:K2572"/>
    <mergeCell ref="L2571:L2572"/>
    <mergeCell ref="M2571:M2572"/>
    <mergeCell ref="N2571:N2572"/>
    <mergeCell ref="N2567:N2568"/>
    <mergeCell ref="O2567:P2567"/>
    <mergeCell ref="I2569:I2570"/>
    <mergeCell ref="J2569:J2570"/>
    <mergeCell ref="K2569:K2570"/>
    <mergeCell ref="L2569:L2570"/>
    <mergeCell ref="M2569:M2570"/>
    <mergeCell ref="N2569:N2570"/>
    <mergeCell ref="I2542:M2542"/>
    <mergeCell ref="I2543:M2543"/>
    <mergeCell ref="I2544:M2544"/>
    <mergeCell ref="I2550:L2550"/>
    <mergeCell ref="I2565:P2565"/>
    <mergeCell ref="I2567:I2568"/>
    <mergeCell ref="J2567:J2568"/>
    <mergeCell ref="K2567:K2568"/>
    <mergeCell ref="L2567:L2568"/>
    <mergeCell ref="M2567:M2568"/>
    <mergeCell ref="I2540:I2541"/>
    <mergeCell ref="J2540:J2541"/>
    <mergeCell ref="K2540:K2541"/>
    <mergeCell ref="L2540:L2541"/>
    <mergeCell ref="M2540:M2541"/>
    <mergeCell ref="N2540:N2541"/>
    <mergeCell ref="I2538:I2539"/>
    <mergeCell ref="J2538:J2539"/>
    <mergeCell ref="K2538:K2539"/>
    <mergeCell ref="L2538:L2539"/>
    <mergeCell ref="M2538:M2539"/>
    <mergeCell ref="N2538:N2539"/>
    <mergeCell ref="I2536:I2537"/>
    <mergeCell ref="J2536:J2537"/>
    <mergeCell ref="K2536:K2537"/>
    <mergeCell ref="L2536:L2537"/>
    <mergeCell ref="M2536:M2537"/>
    <mergeCell ref="N2536:N2537"/>
    <mergeCell ref="I2534:I2535"/>
    <mergeCell ref="J2534:J2535"/>
    <mergeCell ref="K2534:K2535"/>
    <mergeCell ref="L2534:L2535"/>
    <mergeCell ref="M2534:M2535"/>
    <mergeCell ref="N2534:N2535"/>
    <mergeCell ref="N2530:N2531"/>
    <mergeCell ref="O2530:P2530"/>
    <mergeCell ref="I2532:I2533"/>
    <mergeCell ref="J2532:J2533"/>
    <mergeCell ref="K2532:K2533"/>
    <mergeCell ref="L2532:L2533"/>
    <mergeCell ref="M2532:M2533"/>
    <mergeCell ref="N2532:N2533"/>
    <mergeCell ref="I2505:M2505"/>
    <mergeCell ref="I2506:M2506"/>
    <mergeCell ref="I2507:M2507"/>
    <mergeCell ref="I2513:L2513"/>
    <mergeCell ref="I2528:P2528"/>
    <mergeCell ref="I2530:I2531"/>
    <mergeCell ref="J2530:J2531"/>
    <mergeCell ref="K2530:K2531"/>
    <mergeCell ref="L2530:L2531"/>
    <mergeCell ref="M2530:M2531"/>
    <mergeCell ref="I2503:I2504"/>
    <mergeCell ref="J2503:J2504"/>
    <mergeCell ref="K2503:K2504"/>
    <mergeCell ref="L2503:L2504"/>
    <mergeCell ref="M2503:M2504"/>
    <mergeCell ref="N2503:N2504"/>
    <mergeCell ref="I2501:I2502"/>
    <mergeCell ref="J2501:J2502"/>
    <mergeCell ref="K2501:K2502"/>
    <mergeCell ref="L2501:L2502"/>
    <mergeCell ref="M2501:M2502"/>
    <mergeCell ref="N2501:N2502"/>
    <mergeCell ref="I2499:I2500"/>
    <mergeCell ref="J2499:J2500"/>
    <mergeCell ref="K2499:K2500"/>
    <mergeCell ref="L2499:L2500"/>
    <mergeCell ref="M2499:M2500"/>
    <mergeCell ref="N2499:N2500"/>
    <mergeCell ref="I2497:I2498"/>
    <mergeCell ref="J2497:J2498"/>
    <mergeCell ref="K2497:K2498"/>
    <mergeCell ref="L2497:L2498"/>
    <mergeCell ref="M2497:M2498"/>
    <mergeCell ref="N2497:N2498"/>
    <mergeCell ref="N2493:N2494"/>
    <mergeCell ref="O2493:P2493"/>
    <mergeCell ref="I2495:I2496"/>
    <mergeCell ref="J2495:J2496"/>
    <mergeCell ref="K2495:K2496"/>
    <mergeCell ref="L2495:L2496"/>
    <mergeCell ref="M2495:M2496"/>
    <mergeCell ref="N2495:N2496"/>
    <mergeCell ref="I2468:M2468"/>
    <mergeCell ref="I2469:M2469"/>
    <mergeCell ref="I2470:M2470"/>
    <mergeCell ref="I2476:L2476"/>
    <mergeCell ref="I2491:P2491"/>
    <mergeCell ref="I2493:I2494"/>
    <mergeCell ref="J2493:J2494"/>
    <mergeCell ref="K2493:K2494"/>
    <mergeCell ref="L2493:L2494"/>
    <mergeCell ref="M2493:M2494"/>
    <mergeCell ref="I2466:I2467"/>
    <mergeCell ref="J2466:J2467"/>
    <mergeCell ref="K2466:K2467"/>
    <mergeCell ref="L2466:L2467"/>
    <mergeCell ref="M2466:M2467"/>
    <mergeCell ref="N2466:N2467"/>
    <mergeCell ref="I2464:I2465"/>
    <mergeCell ref="J2464:J2465"/>
    <mergeCell ref="K2464:K2465"/>
    <mergeCell ref="L2464:L2465"/>
    <mergeCell ref="M2464:M2465"/>
    <mergeCell ref="N2464:N2465"/>
    <mergeCell ref="I2462:I2463"/>
    <mergeCell ref="J2462:J2463"/>
    <mergeCell ref="K2462:K2463"/>
    <mergeCell ref="L2462:L2463"/>
    <mergeCell ref="M2462:M2463"/>
    <mergeCell ref="N2462:N2463"/>
    <mergeCell ref="I2460:I2461"/>
    <mergeCell ref="J2460:J2461"/>
    <mergeCell ref="K2460:K2461"/>
    <mergeCell ref="L2460:L2461"/>
    <mergeCell ref="M2460:M2461"/>
    <mergeCell ref="N2460:N2461"/>
    <mergeCell ref="I2458:I2459"/>
    <mergeCell ref="J2458:J2459"/>
    <mergeCell ref="K2458:K2459"/>
    <mergeCell ref="L2458:L2459"/>
    <mergeCell ref="M2458:M2459"/>
    <mergeCell ref="N2458:N2459"/>
    <mergeCell ref="N2454:N2455"/>
    <mergeCell ref="O2454:P2454"/>
    <mergeCell ref="I2456:I2457"/>
    <mergeCell ref="J2456:J2457"/>
    <mergeCell ref="K2456:K2457"/>
    <mergeCell ref="L2456:L2457"/>
    <mergeCell ref="M2456:M2457"/>
    <mergeCell ref="N2456:N2457"/>
    <mergeCell ref="I2429:M2429"/>
    <mergeCell ref="I2430:M2430"/>
    <mergeCell ref="I2431:M2431"/>
    <mergeCell ref="I2437:L2437"/>
    <mergeCell ref="I2452:P2452"/>
    <mergeCell ref="I2454:I2455"/>
    <mergeCell ref="J2454:J2455"/>
    <mergeCell ref="K2454:K2455"/>
    <mergeCell ref="L2454:L2455"/>
    <mergeCell ref="M2454:M2455"/>
    <mergeCell ref="I2427:I2428"/>
    <mergeCell ref="J2427:J2428"/>
    <mergeCell ref="K2427:K2428"/>
    <mergeCell ref="L2427:L2428"/>
    <mergeCell ref="M2427:M2428"/>
    <mergeCell ref="N2427:N2428"/>
    <mergeCell ref="I2425:I2426"/>
    <mergeCell ref="J2425:J2426"/>
    <mergeCell ref="K2425:K2426"/>
    <mergeCell ref="L2425:L2426"/>
    <mergeCell ref="M2425:M2426"/>
    <mergeCell ref="N2425:N2426"/>
    <mergeCell ref="I2423:I2424"/>
    <mergeCell ref="J2423:J2424"/>
    <mergeCell ref="K2423:K2424"/>
    <mergeCell ref="L2423:L2424"/>
    <mergeCell ref="M2423:M2424"/>
    <mergeCell ref="N2423:N2424"/>
    <mergeCell ref="I2421:I2422"/>
    <mergeCell ref="J2421:J2422"/>
    <mergeCell ref="K2421:K2422"/>
    <mergeCell ref="L2421:L2422"/>
    <mergeCell ref="M2421:M2422"/>
    <mergeCell ref="N2421:N2422"/>
    <mergeCell ref="N2417:N2418"/>
    <mergeCell ref="O2417:P2417"/>
    <mergeCell ref="I2419:I2420"/>
    <mergeCell ref="J2419:J2420"/>
    <mergeCell ref="K2419:K2420"/>
    <mergeCell ref="L2419:L2420"/>
    <mergeCell ref="M2419:M2420"/>
    <mergeCell ref="N2419:N2420"/>
    <mergeCell ref="I2392:M2392"/>
    <mergeCell ref="I2393:M2393"/>
    <mergeCell ref="I2394:M2394"/>
    <mergeCell ref="I2400:L2400"/>
    <mergeCell ref="I2415:P2415"/>
    <mergeCell ref="I2417:I2418"/>
    <mergeCell ref="J2417:J2418"/>
    <mergeCell ref="K2417:K2418"/>
    <mergeCell ref="L2417:L2418"/>
    <mergeCell ref="M2417:M2418"/>
    <mergeCell ref="I2390:I2391"/>
    <mergeCell ref="J2390:J2391"/>
    <mergeCell ref="K2390:K2391"/>
    <mergeCell ref="L2390:L2391"/>
    <mergeCell ref="M2390:M2391"/>
    <mergeCell ref="N2390:N2391"/>
    <mergeCell ref="I2388:I2389"/>
    <mergeCell ref="J2388:J2389"/>
    <mergeCell ref="K2388:K2389"/>
    <mergeCell ref="L2388:L2389"/>
    <mergeCell ref="M2388:M2389"/>
    <mergeCell ref="N2388:N2389"/>
    <mergeCell ref="I2386:I2387"/>
    <mergeCell ref="J2386:J2387"/>
    <mergeCell ref="K2386:K2387"/>
    <mergeCell ref="L2386:L2387"/>
    <mergeCell ref="M2386:M2387"/>
    <mergeCell ref="N2386:N2387"/>
    <mergeCell ref="I2384:I2385"/>
    <mergeCell ref="J2384:J2385"/>
    <mergeCell ref="K2384:K2385"/>
    <mergeCell ref="L2384:L2385"/>
    <mergeCell ref="M2384:M2385"/>
    <mergeCell ref="N2384:N2385"/>
    <mergeCell ref="N2380:N2381"/>
    <mergeCell ref="O2380:P2380"/>
    <mergeCell ref="I2382:I2383"/>
    <mergeCell ref="J2382:J2383"/>
    <mergeCell ref="K2382:K2383"/>
    <mergeCell ref="L2382:L2383"/>
    <mergeCell ref="M2382:M2383"/>
    <mergeCell ref="N2382:N2383"/>
    <mergeCell ref="I2355:M2355"/>
    <mergeCell ref="I2356:M2356"/>
    <mergeCell ref="I2357:M2357"/>
    <mergeCell ref="I2363:L2363"/>
    <mergeCell ref="I2378:P2378"/>
    <mergeCell ref="I2380:I2381"/>
    <mergeCell ref="J2380:J2381"/>
    <mergeCell ref="K2380:K2381"/>
    <mergeCell ref="L2380:L2381"/>
    <mergeCell ref="M2380:M2381"/>
    <mergeCell ref="I2353:I2354"/>
    <mergeCell ref="J2353:J2354"/>
    <mergeCell ref="K2353:K2354"/>
    <mergeCell ref="L2353:L2354"/>
    <mergeCell ref="M2353:M2354"/>
    <mergeCell ref="N2353:N2354"/>
    <mergeCell ref="I2351:I2352"/>
    <mergeCell ref="J2351:J2352"/>
    <mergeCell ref="K2351:K2352"/>
    <mergeCell ref="L2351:L2352"/>
    <mergeCell ref="M2351:M2352"/>
    <mergeCell ref="N2351:N2352"/>
    <mergeCell ref="I2349:I2350"/>
    <mergeCell ref="J2349:J2350"/>
    <mergeCell ref="K2349:K2350"/>
    <mergeCell ref="L2349:L2350"/>
    <mergeCell ref="M2349:M2350"/>
    <mergeCell ref="N2349:N2350"/>
    <mergeCell ref="I2347:I2348"/>
    <mergeCell ref="J2347:J2348"/>
    <mergeCell ref="K2347:K2348"/>
    <mergeCell ref="L2347:L2348"/>
    <mergeCell ref="M2347:M2348"/>
    <mergeCell ref="N2347:N2348"/>
    <mergeCell ref="N2343:N2344"/>
    <mergeCell ref="O2343:P2343"/>
    <mergeCell ref="I2345:I2346"/>
    <mergeCell ref="J2345:J2346"/>
    <mergeCell ref="K2345:K2346"/>
    <mergeCell ref="L2345:L2346"/>
    <mergeCell ref="M2345:M2346"/>
    <mergeCell ref="N2345:N2346"/>
    <mergeCell ref="I2318:M2318"/>
    <mergeCell ref="I2319:M2319"/>
    <mergeCell ref="I2320:M2320"/>
    <mergeCell ref="I2326:L2326"/>
    <mergeCell ref="I2341:P2341"/>
    <mergeCell ref="I2343:I2344"/>
    <mergeCell ref="J2343:J2344"/>
    <mergeCell ref="K2343:K2344"/>
    <mergeCell ref="L2343:L2344"/>
    <mergeCell ref="M2343:M2344"/>
    <mergeCell ref="I2316:I2317"/>
    <mergeCell ref="J2316:J2317"/>
    <mergeCell ref="K2316:K2317"/>
    <mergeCell ref="L2316:L2317"/>
    <mergeCell ref="M2316:M2317"/>
    <mergeCell ref="N2316:N2317"/>
    <mergeCell ref="I2314:I2315"/>
    <mergeCell ref="J2314:J2315"/>
    <mergeCell ref="K2314:K2315"/>
    <mergeCell ref="L2314:L2315"/>
    <mergeCell ref="M2314:M2315"/>
    <mergeCell ref="N2314:N2315"/>
    <mergeCell ref="I2312:I2313"/>
    <mergeCell ref="J2312:J2313"/>
    <mergeCell ref="K2312:K2313"/>
    <mergeCell ref="L2312:L2313"/>
    <mergeCell ref="M2312:M2313"/>
    <mergeCell ref="N2312:N2313"/>
    <mergeCell ref="I2310:I2311"/>
    <mergeCell ref="J2310:J2311"/>
    <mergeCell ref="K2310:K2311"/>
    <mergeCell ref="L2310:L2311"/>
    <mergeCell ref="M2310:M2311"/>
    <mergeCell ref="N2310:N2311"/>
    <mergeCell ref="N2306:N2307"/>
    <mergeCell ref="O2306:P2306"/>
    <mergeCell ref="I2308:I2309"/>
    <mergeCell ref="J2308:J2309"/>
    <mergeCell ref="K2308:K2309"/>
    <mergeCell ref="L2308:L2309"/>
    <mergeCell ref="M2308:M2309"/>
    <mergeCell ref="N2308:N2309"/>
    <mergeCell ref="I2281:M2281"/>
    <mergeCell ref="I2282:M2282"/>
    <mergeCell ref="I2283:M2283"/>
    <mergeCell ref="I2289:L2289"/>
    <mergeCell ref="I2304:P2304"/>
    <mergeCell ref="I2306:I2307"/>
    <mergeCell ref="J2306:J2307"/>
    <mergeCell ref="K2306:K2307"/>
    <mergeCell ref="L2306:L2307"/>
    <mergeCell ref="M2306:M2307"/>
    <mergeCell ref="I2279:I2280"/>
    <mergeCell ref="J2279:J2280"/>
    <mergeCell ref="K2279:K2280"/>
    <mergeCell ref="L2279:L2280"/>
    <mergeCell ref="M2279:M2280"/>
    <mergeCell ref="N2279:N2280"/>
    <mergeCell ref="I2277:I2278"/>
    <mergeCell ref="J2277:J2278"/>
    <mergeCell ref="K2277:K2278"/>
    <mergeCell ref="L2277:L2278"/>
    <mergeCell ref="M2277:M2278"/>
    <mergeCell ref="N2277:N2278"/>
    <mergeCell ref="I2275:I2276"/>
    <mergeCell ref="J2275:J2276"/>
    <mergeCell ref="K2275:K2276"/>
    <mergeCell ref="L2275:L2276"/>
    <mergeCell ref="M2275:M2276"/>
    <mergeCell ref="N2275:N2276"/>
    <mergeCell ref="I2273:I2274"/>
    <mergeCell ref="J2273:J2274"/>
    <mergeCell ref="K2273:K2274"/>
    <mergeCell ref="L2273:L2274"/>
    <mergeCell ref="M2273:M2274"/>
    <mergeCell ref="N2273:N2274"/>
    <mergeCell ref="N2269:N2270"/>
    <mergeCell ref="O2269:P2269"/>
    <mergeCell ref="I2271:I2272"/>
    <mergeCell ref="J2271:J2272"/>
    <mergeCell ref="K2271:K2272"/>
    <mergeCell ref="L2271:L2272"/>
    <mergeCell ref="M2271:M2272"/>
    <mergeCell ref="N2271:N2272"/>
    <mergeCell ref="I2244:M2244"/>
    <mergeCell ref="I2245:M2245"/>
    <mergeCell ref="I2246:M2246"/>
    <mergeCell ref="I2252:L2252"/>
    <mergeCell ref="I2267:P2267"/>
    <mergeCell ref="I2269:I2270"/>
    <mergeCell ref="J2269:J2270"/>
    <mergeCell ref="K2269:K2270"/>
    <mergeCell ref="L2269:L2270"/>
    <mergeCell ref="M2269:M2270"/>
    <mergeCell ref="I2242:I2243"/>
    <mergeCell ref="J2242:J2243"/>
    <mergeCell ref="K2242:K2243"/>
    <mergeCell ref="L2242:L2243"/>
    <mergeCell ref="M2242:M2243"/>
    <mergeCell ref="N2242:N2243"/>
    <mergeCell ref="I2240:I2241"/>
    <mergeCell ref="J2240:J2241"/>
    <mergeCell ref="K2240:K2241"/>
    <mergeCell ref="L2240:L2241"/>
    <mergeCell ref="M2240:M2241"/>
    <mergeCell ref="N2240:N2241"/>
    <mergeCell ref="I2238:I2239"/>
    <mergeCell ref="J2238:J2239"/>
    <mergeCell ref="K2238:K2239"/>
    <mergeCell ref="L2238:L2239"/>
    <mergeCell ref="M2238:M2239"/>
    <mergeCell ref="N2238:N2239"/>
    <mergeCell ref="I2236:I2237"/>
    <mergeCell ref="J2236:J2237"/>
    <mergeCell ref="K2236:K2237"/>
    <mergeCell ref="L2236:L2237"/>
    <mergeCell ref="M2236:M2237"/>
    <mergeCell ref="N2236:N2237"/>
    <mergeCell ref="N2232:N2233"/>
    <mergeCell ref="O2232:P2232"/>
    <mergeCell ref="I2234:I2235"/>
    <mergeCell ref="J2234:J2235"/>
    <mergeCell ref="K2234:K2235"/>
    <mergeCell ref="L2234:L2235"/>
    <mergeCell ref="M2234:M2235"/>
    <mergeCell ref="N2234:N2235"/>
    <mergeCell ref="I2207:M2207"/>
    <mergeCell ref="I2208:M2208"/>
    <mergeCell ref="I2209:M2209"/>
    <mergeCell ref="I2215:L2215"/>
    <mergeCell ref="I2230:P2230"/>
    <mergeCell ref="I2232:I2233"/>
    <mergeCell ref="J2232:J2233"/>
    <mergeCell ref="K2232:K2233"/>
    <mergeCell ref="L2232:L2233"/>
    <mergeCell ref="M2232:M2233"/>
    <mergeCell ref="I2205:I2206"/>
    <mergeCell ref="J2205:J2206"/>
    <mergeCell ref="K2205:K2206"/>
    <mergeCell ref="L2205:L2206"/>
    <mergeCell ref="M2205:M2206"/>
    <mergeCell ref="N2205:N2206"/>
    <mergeCell ref="I2203:I2204"/>
    <mergeCell ref="J2203:J2204"/>
    <mergeCell ref="K2203:K2204"/>
    <mergeCell ref="L2203:L2204"/>
    <mergeCell ref="M2203:M2204"/>
    <mergeCell ref="N2203:N2204"/>
    <mergeCell ref="I2201:I2202"/>
    <mergeCell ref="J2201:J2202"/>
    <mergeCell ref="K2201:K2202"/>
    <mergeCell ref="L2201:L2202"/>
    <mergeCell ref="M2201:M2202"/>
    <mergeCell ref="N2201:N2202"/>
    <mergeCell ref="I2199:I2200"/>
    <mergeCell ref="J2199:J2200"/>
    <mergeCell ref="K2199:K2200"/>
    <mergeCell ref="L2199:L2200"/>
    <mergeCell ref="M2199:M2200"/>
    <mergeCell ref="N2199:N2200"/>
    <mergeCell ref="N2195:N2196"/>
    <mergeCell ref="O2195:P2195"/>
    <mergeCell ref="I2197:I2198"/>
    <mergeCell ref="J2197:J2198"/>
    <mergeCell ref="K2197:K2198"/>
    <mergeCell ref="L2197:L2198"/>
    <mergeCell ref="M2197:M2198"/>
    <mergeCell ref="N2197:N2198"/>
    <mergeCell ref="I2170:M2170"/>
    <mergeCell ref="I2171:M2171"/>
    <mergeCell ref="I2172:M2172"/>
    <mergeCell ref="I2178:L2178"/>
    <mergeCell ref="I2193:P2193"/>
    <mergeCell ref="I2195:I2196"/>
    <mergeCell ref="J2195:J2196"/>
    <mergeCell ref="K2195:K2196"/>
    <mergeCell ref="L2195:L2196"/>
    <mergeCell ref="M2195:M2196"/>
    <mergeCell ref="I2168:I2169"/>
    <mergeCell ref="J2168:J2169"/>
    <mergeCell ref="K2168:K2169"/>
    <mergeCell ref="L2168:L2169"/>
    <mergeCell ref="M2168:M2169"/>
    <mergeCell ref="N2168:N2169"/>
    <mergeCell ref="I2166:I2167"/>
    <mergeCell ref="J2166:J2167"/>
    <mergeCell ref="K2166:K2167"/>
    <mergeCell ref="L2166:L2167"/>
    <mergeCell ref="M2166:M2167"/>
    <mergeCell ref="N2166:N2167"/>
    <mergeCell ref="I2164:I2165"/>
    <mergeCell ref="J2164:J2165"/>
    <mergeCell ref="K2164:K2165"/>
    <mergeCell ref="L2164:L2165"/>
    <mergeCell ref="M2164:M2165"/>
    <mergeCell ref="N2164:N2165"/>
    <mergeCell ref="I2162:I2163"/>
    <mergeCell ref="J2162:J2163"/>
    <mergeCell ref="K2162:K2163"/>
    <mergeCell ref="L2162:L2163"/>
    <mergeCell ref="M2162:M2163"/>
    <mergeCell ref="N2162:N2163"/>
    <mergeCell ref="I2160:I2161"/>
    <mergeCell ref="J2160:J2161"/>
    <mergeCell ref="K2160:K2161"/>
    <mergeCell ref="L2160:L2161"/>
    <mergeCell ref="M2160:M2161"/>
    <mergeCell ref="N2160:N2161"/>
    <mergeCell ref="N2156:N2157"/>
    <mergeCell ref="O2156:P2156"/>
    <mergeCell ref="I2158:I2159"/>
    <mergeCell ref="J2158:J2159"/>
    <mergeCell ref="K2158:K2159"/>
    <mergeCell ref="L2158:L2159"/>
    <mergeCell ref="M2158:M2159"/>
    <mergeCell ref="N2158:N2159"/>
    <mergeCell ref="I2131:M2131"/>
    <mergeCell ref="I2132:M2132"/>
    <mergeCell ref="I2133:M2133"/>
    <mergeCell ref="I2139:L2139"/>
    <mergeCell ref="I2154:P2154"/>
    <mergeCell ref="I2156:I2157"/>
    <mergeCell ref="J2156:J2157"/>
    <mergeCell ref="K2156:K2157"/>
    <mergeCell ref="L2156:L2157"/>
    <mergeCell ref="M2156:M2157"/>
    <mergeCell ref="I2129:I2130"/>
    <mergeCell ref="J2129:J2130"/>
    <mergeCell ref="K2129:K2130"/>
    <mergeCell ref="L2129:L2130"/>
    <mergeCell ref="M2129:M2130"/>
    <mergeCell ref="N2129:N2130"/>
    <mergeCell ref="I2127:I2128"/>
    <mergeCell ref="J2127:J2128"/>
    <mergeCell ref="K2127:K2128"/>
    <mergeCell ref="L2127:L2128"/>
    <mergeCell ref="M2127:M2128"/>
    <mergeCell ref="N2127:N2128"/>
    <mergeCell ref="I2125:I2126"/>
    <mergeCell ref="J2125:J2126"/>
    <mergeCell ref="K2125:K2126"/>
    <mergeCell ref="L2125:L2126"/>
    <mergeCell ref="M2125:M2126"/>
    <mergeCell ref="N2125:N2126"/>
    <mergeCell ref="I2123:I2124"/>
    <mergeCell ref="J2123:J2124"/>
    <mergeCell ref="K2123:K2124"/>
    <mergeCell ref="L2123:L2124"/>
    <mergeCell ref="M2123:M2124"/>
    <mergeCell ref="N2123:N2124"/>
    <mergeCell ref="N2119:N2120"/>
    <mergeCell ref="O2119:P2119"/>
    <mergeCell ref="I2121:I2122"/>
    <mergeCell ref="J2121:J2122"/>
    <mergeCell ref="K2121:K2122"/>
    <mergeCell ref="L2121:L2122"/>
    <mergeCell ref="M2121:M2122"/>
    <mergeCell ref="N2121:N2122"/>
    <mergeCell ref="I2094:M2094"/>
    <mergeCell ref="I2095:M2095"/>
    <mergeCell ref="I2096:M2096"/>
    <mergeCell ref="I2102:L2102"/>
    <mergeCell ref="I2117:P2117"/>
    <mergeCell ref="I2119:I2120"/>
    <mergeCell ref="J2119:J2120"/>
    <mergeCell ref="K2119:K2120"/>
    <mergeCell ref="L2119:L2120"/>
    <mergeCell ref="M2119:M2120"/>
    <mergeCell ref="I2092:I2093"/>
    <mergeCell ref="J2092:J2093"/>
    <mergeCell ref="K2092:K2093"/>
    <mergeCell ref="L2092:L2093"/>
    <mergeCell ref="M2092:M2093"/>
    <mergeCell ref="N2092:N2093"/>
    <mergeCell ref="I2090:I2091"/>
    <mergeCell ref="J2090:J2091"/>
    <mergeCell ref="K2090:K2091"/>
    <mergeCell ref="L2090:L2091"/>
    <mergeCell ref="M2090:M2091"/>
    <mergeCell ref="N2090:N2091"/>
    <mergeCell ref="I2088:I2089"/>
    <mergeCell ref="J2088:J2089"/>
    <mergeCell ref="K2088:K2089"/>
    <mergeCell ref="L2088:L2089"/>
    <mergeCell ref="M2088:M2089"/>
    <mergeCell ref="N2088:N2089"/>
    <mergeCell ref="I2086:I2087"/>
    <mergeCell ref="J2086:J2087"/>
    <mergeCell ref="K2086:K2087"/>
    <mergeCell ref="L2086:L2087"/>
    <mergeCell ref="M2086:M2087"/>
    <mergeCell ref="N2086:N2087"/>
    <mergeCell ref="N2082:N2083"/>
    <mergeCell ref="O2082:P2082"/>
    <mergeCell ref="I2084:I2085"/>
    <mergeCell ref="J2084:J2085"/>
    <mergeCell ref="K2084:K2085"/>
    <mergeCell ref="L2084:L2085"/>
    <mergeCell ref="M2084:M2085"/>
    <mergeCell ref="N2084:N2085"/>
    <mergeCell ref="I2057:M2057"/>
    <mergeCell ref="I2058:M2058"/>
    <mergeCell ref="I2059:M2059"/>
    <mergeCell ref="I2065:L2065"/>
    <mergeCell ref="I2080:P2080"/>
    <mergeCell ref="I2082:I2083"/>
    <mergeCell ref="J2082:J2083"/>
    <mergeCell ref="K2082:K2083"/>
    <mergeCell ref="L2082:L2083"/>
    <mergeCell ref="M2082:M2083"/>
    <mergeCell ref="I2055:I2056"/>
    <mergeCell ref="J2055:J2056"/>
    <mergeCell ref="K2055:K2056"/>
    <mergeCell ref="L2055:L2056"/>
    <mergeCell ref="M2055:M2056"/>
    <mergeCell ref="N2055:N2056"/>
    <mergeCell ref="I2053:I2054"/>
    <mergeCell ref="J2053:J2054"/>
    <mergeCell ref="K2053:K2054"/>
    <mergeCell ref="L2053:L2054"/>
    <mergeCell ref="M2053:M2054"/>
    <mergeCell ref="N2053:N2054"/>
    <mergeCell ref="I2051:I2052"/>
    <mergeCell ref="J2051:J2052"/>
    <mergeCell ref="K2051:K2052"/>
    <mergeCell ref="L2051:L2052"/>
    <mergeCell ref="M2051:M2052"/>
    <mergeCell ref="N2051:N2052"/>
    <mergeCell ref="I2049:I2050"/>
    <mergeCell ref="J2049:J2050"/>
    <mergeCell ref="K2049:K2050"/>
    <mergeCell ref="L2049:L2050"/>
    <mergeCell ref="M2049:M2050"/>
    <mergeCell ref="N2049:N2050"/>
    <mergeCell ref="N2045:N2046"/>
    <mergeCell ref="O2045:P2045"/>
    <mergeCell ref="I2047:I2048"/>
    <mergeCell ref="J2047:J2048"/>
    <mergeCell ref="K2047:K2048"/>
    <mergeCell ref="L2047:L2048"/>
    <mergeCell ref="M2047:M2048"/>
    <mergeCell ref="N2047:N2048"/>
    <mergeCell ref="I2020:M2020"/>
    <mergeCell ref="I2021:M2021"/>
    <mergeCell ref="I2022:M2022"/>
    <mergeCell ref="I2028:L2028"/>
    <mergeCell ref="I2043:P2043"/>
    <mergeCell ref="I2045:I2046"/>
    <mergeCell ref="J2045:J2046"/>
    <mergeCell ref="K2045:K2046"/>
    <mergeCell ref="L2045:L2046"/>
    <mergeCell ref="M2045:M2046"/>
    <mergeCell ref="I2018:I2019"/>
    <mergeCell ref="J2018:J2019"/>
    <mergeCell ref="K2018:K2019"/>
    <mergeCell ref="L2018:L2019"/>
    <mergeCell ref="M2018:M2019"/>
    <mergeCell ref="N2018:N2019"/>
    <mergeCell ref="I2016:I2017"/>
    <mergeCell ref="J2016:J2017"/>
    <mergeCell ref="K2016:K2017"/>
    <mergeCell ref="L2016:L2017"/>
    <mergeCell ref="M2016:M2017"/>
    <mergeCell ref="N2016:N2017"/>
    <mergeCell ref="I2014:I2015"/>
    <mergeCell ref="J2014:J2015"/>
    <mergeCell ref="K2014:K2015"/>
    <mergeCell ref="L2014:L2015"/>
    <mergeCell ref="M2014:M2015"/>
    <mergeCell ref="N2014:N2015"/>
    <mergeCell ref="I2012:I2013"/>
    <mergeCell ref="J2012:J2013"/>
    <mergeCell ref="K2012:K2013"/>
    <mergeCell ref="L2012:L2013"/>
    <mergeCell ref="M2012:M2013"/>
    <mergeCell ref="N2012:N2013"/>
    <mergeCell ref="N2008:N2009"/>
    <mergeCell ref="O2008:P2008"/>
    <mergeCell ref="I2010:I2011"/>
    <mergeCell ref="J2010:J2011"/>
    <mergeCell ref="K2010:K2011"/>
    <mergeCell ref="L2010:L2011"/>
    <mergeCell ref="M2010:M2011"/>
    <mergeCell ref="N2010:N2011"/>
    <mergeCell ref="I1983:M1983"/>
    <mergeCell ref="I1984:M1984"/>
    <mergeCell ref="I1985:M1985"/>
    <mergeCell ref="I1991:L1991"/>
    <mergeCell ref="I2006:P2006"/>
    <mergeCell ref="I2008:I2009"/>
    <mergeCell ref="J2008:J2009"/>
    <mergeCell ref="K2008:K2009"/>
    <mergeCell ref="L2008:L2009"/>
    <mergeCell ref="M2008:M2009"/>
    <mergeCell ref="I1981:I1982"/>
    <mergeCell ref="J1981:J1982"/>
    <mergeCell ref="K1981:K1982"/>
    <mergeCell ref="L1981:L1982"/>
    <mergeCell ref="M1981:M1982"/>
    <mergeCell ref="N1981:N1982"/>
    <mergeCell ref="I1979:I1980"/>
    <mergeCell ref="J1979:J1980"/>
    <mergeCell ref="K1979:K1980"/>
    <mergeCell ref="L1979:L1980"/>
    <mergeCell ref="M1979:M1980"/>
    <mergeCell ref="N1979:N1980"/>
    <mergeCell ref="I1977:I1978"/>
    <mergeCell ref="J1977:J1978"/>
    <mergeCell ref="K1977:K1978"/>
    <mergeCell ref="L1977:L1978"/>
    <mergeCell ref="M1977:M1978"/>
    <mergeCell ref="N1977:N1978"/>
    <mergeCell ref="I1975:I1976"/>
    <mergeCell ref="J1975:J1976"/>
    <mergeCell ref="K1975:K1976"/>
    <mergeCell ref="L1975:L1976"/>
    <mergeCell ref="M1975:M1976"/>
    <mergeCell ref="N1975:N1976"/>
    <mergeCell ref="N1971:N1972"/>
    <mergeCell ref="O1971:P1971"/>
    <mergeCell ref="I1973:I1974"/>
    <mergeCell ref="J1973:J1974"/>
    <mergeCell ref="K1973:K1974"/>
    <mergeCell ref="L1973:L1974"/>
    <mergeCell ref="M1973:M1974"/>
    <mergeCell ref="N1973:N1974"/>
    <mergeCell ref="I1946:M1946"/>
    <mergeCell ref="I1947:M1947"/>
    <mergeCell ref="I1948:M1948"/>
    <mergeCell ref="I1954:L1954"/>
    <mergeCell ref="I1969:P1969"/>
    <mergeCell ref="I1971:I1972"/>
    <mergeCell ref="J1971:J1972"/>
    <mergeCell ref="K1971:K1972"/>
    <mergeCell ref="L1971:L1972"/>
    <mergeCell ref="M1971:M1972"/>
    <mergeCell ref="I1944:I1945"/>
    <mergeCell ref="J1944:J1945"/>
    <mergeCell ref="K1944:K1945"/>
    <mergeCell ref="L1944:L1945"/>
    <mergeCell ref="M1944:M1945"/>
    <mergeCell ref="N1944:N1945"/>
    <mergeCell ref="I1942:I1943"/>
    <mergeCell ref="J1942:J1943"/>
    <mergeCell ref="K1942:K1943"/>
    <mergeCell ref="L1942:L1943"/>
    <mergeCell ref="M1942:M1943"/>
    <mergeCell ref="N1942:N1943"/>
    <mergeCell ref="I1940:I1941"/>
    <mergeCell ref="J1940:J1941"/>
    <mergeCell ref="K1940:K1941"/>
    <mergeCell ref="L1940:L1941"/>
    <mergeCell ref="M1940:M1941"/>
    <mergeCell ref="N1940:N1941"/>
    <mergeCell ref="I1938:I1939"/>
    <mergeCell ref="J1938:J1939"/>
    <mergeCell ref="K1938:K1939"/>
    <mergeCell ref="L1938:L1939"/>
    <mergeCell ref="M1938:M1939"/>
    <mergeCell ref="N1938:N1939"/>
    <mergeCell ref="N1934:N1935"/>
    <mergeCell ref="O1934:P1934"/>
    <mergeCell ref="I1936:I1937"/>
    <mergeCell ref="J1936:J1937"/>
    <mergeCell ref="K1936:K1937"/>
    <mergeCell ref="L1936:L1937"/>
    <mergeCell ref="M1936:M1937"/>
    <mergeCell ref="N1936:N1937"/>
    <mergeCell ref="I1909:M1909"/>
    <mergeCell ref="I1910:M1910"/>
    <mergeCell ref="I1911:M1911"/>
    <mergeCell ref="I1917:L1917"/>
    <mergeCell ref="I1932:P1932"/>
    <mergeCell ref="I1934:I1935"/>
    <mergeCell ref="J1934:J1935"/>
    <mergeCell ref="K1934:K1935"/>
    <mergeCell ref="L1934:L1935"/>
    <mergeCell ref="M1934:M1935"/>
    <mergeCell ref="I1907:I1908"/>
    <mergeCell ref="J1907:J1908"/>
    <mergeCell ref="K1907:K1908"/>
    <mergeCell ref="L1907:L1908"/>
    <mergeCell ref="M1907:M1908"/>
    <mergeCell ref="N1907:N1908"/>
    <mergeCell ref="I1905:I1906"/>
    <mergeCell ref="J1905:J1906"/>
    <mergeCell ref="K1905:K1906"/>
    <mergeCell ref="L1905:L1906"/>
    <mergeCell ref="M1905:M1906"/>
    <mergeCell ref="N1905:N1906"/>
    <mergeCell ref="I1903:I1904"/>
    <mergeCell ref="J1903:J1904"/>
    <mergeCell ref="K1903:K1904"/>
    <mergeCell ref="L1903:L1904"/>
    <mergeCell ref="M1903:M1904"/>
    <mergeCell ref="N1903:N1904"/>
    <mergeCell ref="I1901:I1902"/>
    <mergeCell ref="J1901:J1902"/>
    <mergeCell ref="K1901:K1902"/>
    <mergeCell ref="L1901:L1902"/>
    <mergeCell ref="M1901:M1902"/>
    <mergeCell ref="N1901:N1902"/>
    <mergeCell ref="N1897:N1898"/>
    <mergeCell ref="O1897:P1897"/>
    <mergeCell ref="I1899:I1900"/>
    <mergeCell ref="J1899:J1900"/>
    <mergeCell ref="K1899:K1900"/>
    <mergeCell ref="L1899:L1900"/>
    <mergeCell ref="M1899:M1900"/>
    <mergeCell ref="N1899:N1900"/>
    <mergeCell ref="I1872:M1872"/>
    <mergeCell ref="I1873:M1873"/>
    <mergeCell ref="I1874:M1874"/>
    <mergeCell ref="I1880:L1880"/>
    <mergeCell ref="I1895:P1895"/>
    <mergeCell ref="I1897:I1898"/>
    <mergeCell ref="J1897:J1898"/>
    <mergeCell ref="K1897:K1898"/>
    <mergeCell ref="L1897:L1898"/>
    <mergeCell ref="M1897:M1898"/>
    <mergeCell ref="I1870:I1871"/>
    <mergeCell ref="J1870:J1871"/>
    <mergeCell ref="K1870:K1871"/>
    <mergeCell ref="L1870:L1871"/>
    <mergeCell ref="M1870:M1871"/>
    <mergeCell ref="N1870:N1871"/>
    <mergeCell ref="I1868:I1869"/>
    <mergeCell ref="J1868:J1869"/>
    <mergeCell ref="K1868:K1869"/>
    <mergeCell ref="L1868:L1869"/>
    <mergeCell ref="M1868:M1869"/>
    <mergeCell ref="N1868:N1869"/>
    <mergeCell ref="I1866:I1867"/>
    <mergeCell ref="J1866:J1867"/>
    <mergeCell ref="K1866:K1867"/>
    <mergeCell ref="L1866:L1867"/>
    <mergeCell ref="M1866:M1867"/>
    <mergeCell ref="N1866:N1867"/>
    <mergeCell ref="I1864:I1865"/>
    <mergeCell ref="J1864:J1865"/>
    <mergeCell ref="K1864:K1865"/>
    <mergeCell ref="L1864:L1865"/>
    <mergeCell ref="M1864:M1865"/>
    <mergeCell ref="N1864:N1865"/>
    <mergeCell ref="N1860:N1861"/>
    <mergeCell ref="O1860:P1860"/>
    <mergeCell ref="I1862:I1863"/>
    <mergeCell ref="J1862:J1863"/>
    <mergeCell ref="K1862:K1863"/>
    <mergeCell ref="L1862:L1863"/>
    <mergeCell ref="M1862:M1863"/>
    <mergeCell ref="N1862:N1863"/>
    <mergeCell ref="I1835:M1835"/>
    <mergeCell ref="I1836:M1836"/>
    <mergeCell ref="I1837:M1837"/>
    <mergeCell ref="I1843:L1843"/>
    <mergeCell ref="I1858:P1858"/>
    <mergeCell ref="I1860:I1861"/>
    <mergeCell ref="J1860:J1861"/>
    <mergeCell ref="K1860:K1861"/>
    <mergeCell ref="L1860:L1861"/>
    <mergeCell ref="M1860:M1861"/>
    <mergeCell ref="I1833:I1834"/>
    <mergeCell ref="J1833:J1834"/>
    <mergeCell ref="K1833:K1834"/>
    <mergeCell ref="L1833:L1834"/>
    <mergeCell ref="M1833:M1834"/>
    <mergeCell ref="N1833:N1834"/>
    <mergeCell ref="I1831:I1832"/>
    <mergeCell ref="J1831:J1832"/>
    <mergeCell ref="K1831:K1832"/>
    <mergeCell ref="L1831:L1832"/>
    <mergeCell ref="M1831:M1832"/>
    <mergeCell ref="N1831:N1832"/>
    <mergeCell ref="I1829:I1830"/>
    <mergeCell ref="J1829:J1830"/>
    <mergeCell ref="K1829:K1830"/>
    <mergeCell ref="L1829:L1830"/>
    <mergeCell ref="M1829:M1830"/>
    <mergeCell ref="N1829:N1830"/>
    <mergeCell ref="I1827:I1828"/>
    <mergeCell ref="J1827:J1828"/>
    <mergeCell ref="K1827:K1828"/>
    <mergeCell ref="L1827:L1828"/>
    <mergeCell ref="M1827:M1828"/>
    <mergeCell ref="N1827:N1828"/>
    <mergeCell ref="N1823:N1824"/>
    <mergeCell ref="O1823:P1823"/>
    <mergeCell ref="I1825:I1826"/>
    <mergeCell ref="J1825:J1826"/>
    <mergeCell ref="K1825:K1826"/>
    <mergeCell ref="L1825:L1826"/>
    <mergeCell ref="M1825:M1826"/>
    <mergeCell ref="N1825:N1826"/>
    <mergeCell ref="I1798:M1798"/>
    <mergeCell ref="I1799:M1799"/>
    <mergeCell ref="I1800:M1800"/>
    <mergeCell ref="I1806:L1806"/>
    <mergeCell ref="I1821:P1821"/>
    <mergeCell ref="I1823:I1824"/>
    <mergeCell ref="J1823:J1824"/>
    <mergeCell ref="K1823:K1824"/>
    <mergeCell ref="L1823:L1824"/>
    <mergeCell ref="M1823:M1824"/>
    <mergeCell ref="I1796:I1797"/>
    <mergeCell ref="J1796:J1797"/>
    <mergeCell ref="K1796:K1797"/>
    <mergeCell ref="L1796:L1797"/>
    <mergeCell ref="M1796:M1797"/>
    <mergeCell ref="N1796:N1797"/>
    <mergeCell ref="I1794:I1795"/>
    <mergeCell ref="J1794:J1795"/>
    <mergeCell ref="K1794:K1795"/>
    <mergeCell ref="L1794:L1795"/>
    <mergeCell ref="M1794:M1795"/>
    <mergeCell ref="N1794:N1795"/>
    <mergeCell ref="I1792:I1793"/>
    <mergeCell ref="J1792:J1793"/>
    <mergeCell ref="K1792:K1793"/>
    <mergeCell ref="L1792:L1793"/>
    <mergeCell ref="M1792:M1793"/>
    <mergeCell ref="N1792:N1793"/>
    <mergeCell ref="I1790:I1791"/>
    <mergeCell ref="J1790:J1791"/>
    <mergeCell ref="K1790:K1791"/>
    <mergeCell ref="L1790:L1791"/>
    <mergeCell ref="M1790:M1791"/>
    <mergeCell ref="N1790:N1791"/>
    <mergeCell ref="N1786:N1787"/>
    <mergeCell ref="O1786:P1786"/>
    <mergeCell ref="I1788:I1789"/>
    <mergeCell ref="J1788:J1789"/>
    <mergeCell ref="K1788:K1789"/>
    <mergeCell ref="L1788:L1789"/>
    <mergeCell ref="M1788:M1789"/>
    <mergeCell ref="N1788:N1789"/>
    <mergeCell ref="I1761:M1761"/>
    <mergeCell ref="I1762:M1762"/>
    <mergeCell ref="I1763:M1763"/>
    <mergeCell ref="I1769:L1769"/>
    <mergeCell ref="I1784:P1784"/>
    <mergeCell ref="I1786:I1787"/>
    <mergeCell ref="J1786:J1787"/>
    <mergeCell ref="K1786:K1787"/>
    <mergeCell ref="L1786:L1787"/>
    <mergeCell ref="M1786:M1787"/>
    <mergeCell ref="I1759:I1760"/>
    <mergeCell ref="J1759:J1760"/>
    <mergeCell ref="K1759:K1760"/>
    <mergeCell ref="L1759:L1760"/>
    <mergeCell ref="M1759:M1760"/>
    <mergeCell ref="N1759:N1760"/>
    <mergeCell ref="I1757:I1758"/>
    <mergeCell ref="J1757:J1758"/>
    <mergeCell ref="K1757:K1758"/>
    <mergeCell ref="L1757:L1758"/>
    <mergeCell ref="M1757:M1758"/>
    <mergeCell ref="N1757:N1758"/>
    <mergeCell ref="I1755:I1756"/>
    <mergeCell ref="J1755:J1756"/>
    <mergeCell ref="K1755:K1756"/>
    <mergeCell ref="L1755:L1756"/>
    <mergeCell ref="M1755:M1756"/>
    <mergeCell ref="N1755:N1756"/>
    <mergeCell ref="I1753:I1754"/>
    <mergeCell ref="J1753:J1754"/>
    <mergeCell ref="K1753:K1754"/>
    <mergeCell ref="L1753:L1754"/>
    <mergeCell ref="M1753:M1754"/>
    <mergeCell ref="N1753:N1754"/>
    <mergeCell ref="N1749:N1750"/>
    <mergeCell ref="O1749:P1749"/>
    <mergeCell ref="I1751:I1752"/>
    <mergeCell ref="J1751:J1752"/>
    <mergeCell ref="K1751:K1752"/>
    <mergeCell ref="L1751:L1752"/>
    <mergeCell ref="M1751:M1752"/>
    <mergeCell ref="N1751:N1752"/>
    <mergeCell ref="I1724:M1724"/>
    <mergeCell ref="I1725:M1725"/>
    <mergeCell ref="I1726:M1726"/>
    <mergeCell ref="I1732:L1732"/>
    <mergeCell ref="I1747:P1747"/>
    <mergeCell ref="I1749:I1750"/>
    <mergeCell ref="J1749:J1750"/>
    <mergeCell ref="K1749:K1750"/>
    <mergeCell ref="L1749:L1750"/>
    <mergeCell ref="M1749:M1750"/>
    <mergeCell ref="I1722:I1723"/>
    <mergeCell ref="J1722:J1723"/>
    <mergeCell ref="K1722:K1723"/>
    <mergeCell ref="L1722:L1723"/>
    <mergeCell ref="M1722:M1723"/>
    <mergeCell ref="N1722:N1723"/>
    <mergeCell ref="I1720:I1721"/>
    <mergeCell ref="J1720:J1721"/>
    <mergeCell ref="K1720:K1721"/>
    <mergeCell ref="L1720:L1721"/>
    <mergeCell ref="M1720:M1721"/>
    <mergeCell ref="N1720:N1721"/>
    <mergeCell ref="I1718:I1719"/>
    <mergeCell ref="J1718:J1719"/>
    <mergeCell ref="K1718:K1719"/>
    <mergeCell ref="L1718:L1719"/>
    <mergeCell ref="M1718:M1719"/>
    <mergeCell ref="N1718:N1719"/>
    <mergeCell ref="I1716:I1717"/>
    <mergeCell ref="J1716:J1717"/>
    <mergeCell ref="K1716:K1717"/>
    <mergeCell ref="L1716:L1717"/>
    <mergeCell ref="M1716:M1717"/>
    <mergeCell ref="N1716:N1717"/>
    <mergeCell ref="I1714:I1715"/>
    <mergeCell ref="J1714:J1715"/>
    <mergeCell ref="K1714:K1715"/>
    <mergeCell ref="L1714:L1715"/>
    <mergeCell ref="M1714:M1715"/>
    <mergeCell ref="N1714:N1715"/>
    <mergeCell ref="N1710:N1711"/>
    <mergeCell ref="O1710:P1710"/>
    <mergeCell ref="I1712:I1713"/>
    <mergeCell ref="J1712:J1713"/>
    <mergeCell ref="K1712:K1713"/>
    <mergeCell ref="L1712:L1713"/>
    <mergeCell ref="M1712:M1713"/>
    <mergeCell ref="N1712:N1713"/>
    <mergeCell ref="I1685:M1685"/>
    <mergeCell ref="I1686:M1686"/>
    <mergeCell ref="I1687:M1687"/>
    <mergeCell ref="I1693:L1693"/>
    <mergeCell ref="I1708:P1708"/>
    <mergeCell ref="I1710:I1711"/>
    <mergeCell ref="J1710:J1711"/>
    <mergeCell ref="K1710:K1711"/>
    <mergeCell ref="L1710:L1711"/>
    <mergeCell ref="M1710:M1711"/>
    <mergeCell ref="I1683:I1684"/>
    <mergeCell ref="J1683:J1684"/>
    <mergeCell ref="K1683:K1684"/>
    <mergeCell ref="L1683:L1684"/>
    <mergeCell ref="M1683:M1684"/>
    <mergeCell ref="N1683:N1684"/>
    <mergeCell ref="I1681:I1682"/>
    <mergeCell ref="J1681:J1682"/>
    <mergeCell ref="K1681:K1682"/>
    <mergeCell ref="L1681:L1682"/>
    <mergeCell ref="M1681:M1682"/>
    <mergeCell ref="N1681:N1682"/>
    <mergeCell ref="I1679:I1680"/>
    <mergeCell ref="J1679:J1680"/>
    <mergeCell ref="K1679:K1680"/>
    <mergeCell ref="L1679:L1680"/>
    <mergeCell ref="M1679:M1680"/>
    <mergeCell ref="N1679:N1680"/>
    <mergeCell ref="I1677:I1678"/>
    <mergeCell ref="J1677:J1678"/>
    <mergeCell ref="K1677:K1678"/>
    <mergeCell ref="L1677:L1678"/>
    <mergeCell ref="M1677:M1678"/>
    <mergeCell ref="N1677:N1678"/>
    <mergeCell ref="N1673:N1674"/>
    <mergeCell ref="O1673:P1673"/>
    <mergeCell ref="I1675:I1676"/>
    <mergeCell ref="J1675:J1676"/>
    <mergeCell ref="K1675:K1676"/>
    <mergeCell ref="L1675:L1676"/>
    <mergeCell ref="M1675:M1676"/>
    <mergeCell ref="N1675:N1676"/>
    <mergeCell ref="I1648:M1648"/>
    <mergeCell ref="I1649:M1649"/>
    <mergeCell ref="I1650:M1650"/>
    <mergeCell ref="I1656:L1656"/>
    <mergeCell ref="I1671:P1671"/>
    <mergeCell ref="I1673:I1674"/>
    <mergeCell ref="J1673:J1674"/>
    <mergeCell ref="K1673:K1674"/>
    <mergeCell ref="L1673:L1674"/>
    <mergeCell ref="M1673:M1674"/>
    <mergeCell ref="I1646:I1647"/>
    <mergeCell ref="J1646:J1647"/>
    <mergeCell ref="K1646:K1647"/>
    <mergeCell ref="L1646:L1647"/>
    <mergeCell ref="M1646:M1647"/>
    <mergeCell ref="N1646:N1647"/>
    <mergeCell ref="I1644:I1645"/>
    <mergeCell ref="J1644:J1645"/>
    <mergeCell ref="K1644:K1645"/>
    <mergeCell ref="L1644:L1645"/>
    <mergeCell ref="M1644:M1645"/>
    <mergeCell ref="N1644:N1645"/>
    <mergeCell ref="I1642:I1643"/>
    <mergeCell ref="J1642:J1643"/>
    <mergeCell ref="K1642:K1643"/>
    <mergeCell ref="L1642:L1643"/>
    <mergeCell ref="M1642:M1643"/>
    <mergeCell ref="N1642:N1643"/>
    <mergeCell ref="I1640:I1641"/>
    <mergeCell ref="J1640:J1641"/>
    <mergeCell ref="K1640:K1641"/>
    <mergeCell ref="L1640:L1641"/>
    <mergeCell ref="M1640:M1641"/>
    <mergeCell ref="N1640:N1641"/>
    <mergeCell ref="N1636:N1637"/>
    <mergeCell ref="O1636:P1636"/>
    <mergeCell ref="I1638:I1639"/>
    <mergeCell ref="J1638:J1639"/>
    <mergeCell ref="K1638:K1639"/>
    <mergeCell ref="L1638:L1639"/>
    <mergeCell ref="M1638:M1639"/>
    <mergeCell ref="N1638:N1639"/>
    <mergeCell ref="I1611:M1611"/>
    <mergeCell ref="I1612:M1612"/>
    <mergeCell ref="I1613:M1613"/>
    <mergeCell ref="I1619:L1619"/>
    <mergeCell ref="I1634:P1634"/>
    <mergeCell ref="I1636:I1637"/>
    <mergeCell ref="J1636:J1637"/>
    <mergeCell ref="K1636:K1637"/>
    <mergeCell ref="L1636:L1637"/>
    <mergeCell ref="M1636:M1637"/>
    <mergeCell ref="I1609:I1610"/>
    <mergeCell ref="J1609:J1610"/>
    <mergeCell ref="K1609:K1610"/>
    <mergeCell ref="L1609:L1610"/>
    <mergeCell ref="M1609:M1610"/>
    <mergeCell ref="N1609:N1610"/>
    <mergeCell ref="I1607:I1608"/>
    <mergeCell ref="J1607:J1608"/>
    <mergeCell ref="K1607:K1608"/>
    <mergeCell ref="L1607:L1608"/>
    <mergeCell ref="M1607:M1608"/>
    <mergeCell ref="N1607:N1608"/>
    <mergeCell ref="I1605:I1606"/>
    <mergeCell ref="J1605:J1606"/>
    <mergeCell ref="K1605:K1606"/>
    <mergeCell ref="L1605:L1606"/>
    <mergeCell ref="M1605:M1606"/>
    <mergeCell ref="N1605:N1606"/>
    <mergeCell ref="I1603:I1604"/>
    <mergeCell ref="J1603:J1604"/>
    <mergeCell ref="K1603:K1604"/>
    <mergeCell ref="L1603:L1604"/>
    <mergeCell ref="M1603:M1604"/>
    <mergeCell ref="N1603:N1604"/>
    <mergeCell ref="N1599:N1600"/>
    <mergeCell ref="O1599:P1599"/>
    <mergeCell ref="I1601:I1602"/>
    <mergeCell ref="J1601:J1602"/>
    <mergeCell ref="K1601:K1602"/>
    <mergeCell ref="L1601:L1602"/>
    <mergeCell ref="M1601:M1602"/>
    <mergeCell ref="N1601:N1602"/>
    <mergeCell ref="I1574:M1574"/>
    <mergeCell ref="I1575:M1575"/>
    <mergeCell ref="I1576:M1576"/>
    <mergeCell ref="I1582:L1582"/>
    <mergeCell ref="I1597:P1597"/>
    <mergeCell ref="I1599:I1600"/>
    <mergeCell ref="J1599:J1600"/>
    <mergeCell ref="K1599:K1600"/>
    <mergeCell ref="L1599:L1600"/>
    <mergeCell ref="M1599:M1600"/>
    <mergeCell ref="I1572:I1573"/>
    <mergeCell ref="J1572:J1573"/>
    <mergeCell ref="K1572:K1573"/>
    <mergeCell ref="L1572:L1573"/>
    <mergeCell ref="M1572:M1573"/>
    <mergeCell ref="N1572:N1573"/>
    <mergeCell ref="I1570:I1571"/>
    <mergeCell ref="J1570:J1571"/>
    <mergeCell ref="K1570:K1571"/>
    <mergeCell ref="L1570:L1571"/>
    <mergeCell ref="M1570:M1571"/>
    <mergeCell ref="N1570:N1571"/>
    <mergeCell ref="I1568:I1569"/>
    <mergeCell ref="J1568:J1569"/>
    <mergeCell ref="K1568:K1569"/>
    <mergeCell ref="L1568:L1569"/>
    <mergeCell ref="M1568:M1569"/>
    <mergeCell ref="N1568:N1569"/>
    <mergeCell ref="I1566:I1567"/>
    <mergeCell ref="J1566:J1567"/>
    <mergeCell ref="K1566:K1567"/>
    <mergeCell ref="L1566:L1567"/>
    <mergeCell ref="M1566:M1567"/>
    <mergeCell ref="N1566:N1567"/>
    <mergeCell ref="N1562:N1563"/>
    <mergeCell ref="O1562:P1562"/>
    <mergeCell ref="I1564:I1565"/>
    <mergeCell ref="J1564:J1565"/>
    <mergeCell ref="K1564:K1565"/>
    <mergeCell ref="L1564:L1565"/>
    <mergeCell ref="M1564:M1565"/>
    <mergeCell ref="N1564:N1565"/>
    <mergeCell ref="I1537:M1537"/>
    <mergeCell ref="I1538:M1538"/>
    <mergeCell ref="I1539:M1539"/>
    <mergeCell ref="I1545:L1545"/>
    <mergeCell ref="I1560:P1560"/>
    <mergeCell ref="I1562:I1563"/>
    <mergeCell ref="J1562:J1563"/>
    <mergeCell ref="K1562:K1563"/>
    <mergeCell ref="L1562:L1563"/>
    <mergeCell ref="M1562:M1563"/>
    <mergeCell ref="I1535:I1536"/>
    <mergeCell ref="J1535:J1536"/>
    <mergeCell ref="K1535:K1536"/>
    <mergeCell ref="L1535:L1536"/>
    <mergeCell ref="M1535:M1536"/>
    <mergeCell ref="N1535:N1536"/>
    <mergeCell ref="I1533:I1534"/>
    <mergeCell ref="J1533:J1534"/>
    <mergeCell ref="K1533:K1534"/>
    <mergeCell ref="L1533:L1534"/>
    <mergeCell ref="M1533:M1534"/>
    <mergeCell ref="N1533:N1534"/>
    <mergeCell ref="I1531:I1532"/>
    <mergeCell ref="J1531:J1532"/>
    <mergeCell ref="K1531:K1532"/>
    <mergeCell ref="L1531:L1532"/>
    <mergeCell ref="M1531:M1532"/>
    <mergeCell ref="N1531:N1532"/>
    <mergeCell ref="I1529:I1530"/>
    <mergeCell ref="J1529:J1530"/>
    <mergeCell ref="K1529:K1530"/>
    <mergeCell ref="L1529:L1530"/>
    <mergeCell ref="M1529:M1530"/>
    <mergeCell ref="N1529:N1530"/>
    <mergeCell ref="O1525:P1525"/>
    <mergeCell ref="I1527:I1528"/>
    <mergeCell ref="J1527:J1528"/>
    <mergeCell ref="K1527:K1528"/>
    <mergeCell ref="L1527:L1528"/>
    <mergeCell ref="M1527:M1528"/>
    <mergeCell ref="N1527:N1528"/>
    <mergeCell ref="I1525:I1526"/>
    <mergeCell ref="J1525:J1526"/>
    <mergeCell ref="K1525:K1526"/>
    <mergeCell ref="L1525:L1526"/>
    <mergeCell ref="M1525:M1526"/>
    <mergeCell ref="N1525:N1526"/>
    <mergeCell ref="I1500:M1500"/>
    <mergeCell ref="I1501:M1501"/>
    <mergeCell ref="I1502:M1502"/>
    <mergeCell ref="I1508:L1508"/>
    <mergeCell ref="N1513:P1513"/>
    <mergeCell ref="I1523:P1523"/>
    <mergeCell ref="I1498:I1499"/>
    <mergeCell ref="J1498:J1499"/>
    <mergeCell ref="K1498:K1499"/>
    <mergeCell ref="L1498:L1499"/>
    <mergeCell ref="M1498:M1499"/>
    <mergeCell ref="N1498:N1499"/>
    <mergeCell ref="I1496:I1497"/>
    <mergeCell ref="J1496:J1497"/>
    <mergeCell ref="K1496:K1497"/>
    <mergeCell ref="L1496:L1497"/>
    <mergeCell ref="M1496:M1497"/>
    <mergeCell ref="N1496:N1497"/>
    <mergeCell ref="I1494:I1495"/>
    <mergeCell ref="J1494:J1495"/>
    <mergeCell ref="K1494:K1495"/>
    <mergeCell ref="L1494:L1495"/>
    <mergeCell ref="M1494:M1495"/>
    <mergeCell ref="N1494:N1495"/>
    <mergeCell ref="I1492:I1493"/>
    <mergeCell ref="J1492:J1493"/>
    <mergeCell ref="K1492:K1493"/>
    <mergeCell ref="L1492:L1493"/>
    <mergeCell ref="M1492:M1493"/>
    <mergeCell ref="N1492:N1493"/>
    <mergeCell ref="I1490:I1491"/>
    <mergeCell ref="J1490:J1491"/>
    <mergeCell ref="K1490:K1491"/>
    <mergeCell ref="L1490:L1491"/>
    <mergeCell ref="M1490:M1491"/>
    <mergeCell ref="N1490:N1491"/>
    <mergeCell ref="I1488:I1489"/>
    <mergeCell ref="J1488:J1489"/>
    <mergeCell ref="K1488:K1489"/>
    <mergeCell ref="L1488:L1489"/>
    <mergeCell ref="M1488:M1489"/>
    <mergeCell ref="N1488:N1489"/>
    <mergeCell ref="A1470:D1470"/>
    <mergeCell ref="N1474:P1474"/>
    <mergeCell ref="I1484:P1484"/>
    <mergeCell ref="I1486:I1487"/>
    <mergeCell ref="J1486:J1487"/>
    <mergeCell ref="K1486:K1487"/>
    <mergeCell ref="L1486:L1487"/>
    <mergeCell ref="M1486:M1487"/>
    <mergeCell ref="N1486:N1487"/>
    <mergeCell ref="O1486:P1486"/>
    <mergeCell ref="A1462:E1462"/>
    <mergeCell ref="I1462:M1462"/>
    <mergeCell ref="A1463:E1463"/>
    <mergeCell ref="I1463:M1463"/>
    <mergeCell ref="A1464:E1464"/>
    <mergeCell ref="I1469:L1469"/>
    <mergeCell ref="L1459:L1460"/>
    <mergeCell ref="M1459:M1460"/>
    <mergeCell ref="N1459:N1460"/>
    <mergeCell ref="A1460:A1461"/>
    <mergeCell ref="B1460:B1461"/>
    <mergeCell ref="C1460:C1461"/>
    <mergeCell ref="D1460:D1461"/>
    <mergeCell ref="E1460:E1461"/>
    <mergeCell ref="F1460:F1461"/>
    <mergeCell ref="I1461:M1461"/>
    <mergeCell ref="N1457:N1458"/>
    <mergeCell ref="A1458:A1459"/>
    <mergeCell ref="B1458:B1459"/>
    <mergeCell ref="C1458:C1459"/>
    <mergeCell ref="D1458:D1459"/>
    <mergeCell ref="E1458:E1459"/>
    <mergeCell ref="F1458:F1459"/>
    <mergeCell ref="I1459:I1460"/>
    <mergeCell ref="J1459:J1460"/>
    <mergeCell ref="K1459:K1460"/>
    <mergeCell ref="J1455:J1456"/>
    <mergeCell ref="K1455:K1456"/>
    <mergeCell ref="L1455:L1456"/>
    <mergeCell ref="M1455:M1456"/>
    <mergeCell ref="N1455:N1456"/>
    <mergeCell ref="I1457:I1458"/>
    <mergeCell ref="J1457:J1458"/>
    <mergeCell ref="K1457:K1458"/>
    <mergeCell ref="L1457:L1458"/>
    <mergeCell ref="M1457:M1458"/>
    <mergeCell ref="L1453:L1454"/>
    <mergeCell ref="M1453:M1454"/>
    <mergeCell ref="N1453:N1454"/>
    <mergeCell ref="A1454:A1457"/>
    <mergeCell ref="B1454:B1457"/>
    <mergeCell ref="C1454:C1457"/>
    <mergeCell ref="D1454:D1457"/>
    <mergeCell ref="E1454:E1457"/>
    <mergeCell ref="F1454:F1457"/>
    <mergeCell ref="I1455:I1456"/>
    <mergeCell ref="N1451:N1452"/>
    <mergeCell ref="A1452:A1453"/>
    <mergeCell ref="B1452:B1453"/>
    <mergeCell ref="C1452:C1453"/>
    <mergeCell ref="D1452:D1453"/>
    <mergeCell ref="E1452:E1453"/>
    <mergeCell ref="F1452:F1453"/>
    <mergeCell ref="I1453:I1454"/>
    <mergeCell ref="J1453:J1454"/>
    <mergeCell ref="K1453:K1454"/>
    <mergeCell ref="F1450:F1451"/>
    <mergeCell ref="I1451:I1452"/>
    <mergeCell ref="J1451:J1452"/>
    <mergeCell ref="K1451:K1452"/>
    <mergeCell ref="L1451:L1452"/>
    <mergeCell ref="M1451:M1452"/>
    <mergeCell ref="J1449:J1450"/>
    <mergeCell ref="K1449:K1450"/>
    <mergeCell ref="L1449:L1450"/>
    <mergeCell ref="M1449:M1450"/>
    <mergeCell ref="N1449:N1450"/>
    <mergeCell ref="A1450:A1451"/>
    <mergeCell ref="B1450:B1451"/>
    <mergeCell ref="C1450:C1451"/>
    <mergeCell ref="D1450:D1451"/>
    <mergeCell ref="E1450:E1451"/>
    <mergeCell ref="N1447:N1448"/>
    <mergeCell ref="O1447:P1447"/>
    <mergeCell ref="A1448:A1449"/>
    <mergeCell ref="B1448:B1449"/>
    <mergeCell ref="C1448:C1449"/>
    <mergeCell ref="D1448:D1449"/>
    <mergeCell ref="E1448:E1449"/>
    <mergeCell ref="F1448:F1449"/>
    <mergeCell ref="G1448:H1448"/>
    <mergeCell ref="I1449:I1450"/>
    <mergeCell ref="I1430:L1430"/>
    <mergeCell ref="A1432:D1432"/>
    <mergeCell ref="N1435:P1435"/>
    <mergeCell ref="I1445:P1445"/>
    <mergeCell ref="A1446:H1446"/>
    <mergeCell ref="I1447:I1448"/>
    <mergeCell ref="J1447:J1448"/>
    <mergeCell ref="K1447:K1448"/>
    <mergeCell ref="L1447:L1448"/>
    <mergeCell ref="M1447:M1448"/>
    <mergeCell ref="I1422:M1422"/>
    <mergeCell ref="I1423:M1423"/>
    <mergeCell ref="A1424:E1424"/>
    <mergeCell ref="I1424:M1424"/>
    <mergeCell ref="A1425:E1425"/>
    <mergeCell ref="A1426:E1426"/>
    <mergeCell ref="A1422:A1423"/>
    <mergeCell ref="B1422:B1423"/>
    <mergeCell ref="C1422:C1423"/>
    <mergeCell ref="D1422:D1423"/>
    <mergeCell ref="E1422:E1423"/>
    <mergeCell ref="F1422:F1423"/>
    <mergeCell ref="I1420:I1421"/>
    <mergeCell ref="J1420:J1421"/>
    <mergeCell ref="K1420:K1421"/>
    <mergeCell ref="L1420:L1421"/>
    <mergeCell ref="M1420:M1421"/>
    <mergeCell ref="N1420:N1421"/>
    <mergeCell ref="A1420:A1421"/>
    <mergeCell ref="B1420:B1421"/>
    <mergeCell ref="C1420:C1421"/>
    <mergeCell ref="D1420:D1421"/>
    <mergeCell ref="E1420:E1421"/>
    <mergeCell ref="F1420:F1421"/>
    <mergeCell ref="I1418:I1419"/>
    <mergeCell ref="J1418:J1419"/>
    <mergeCell ref="K1418:K1419"/>
    <mergeCell ref="L1418:L1419"/>
    <mergeCell ref="M1418:M1419"/>
    <mergeCell ref="N1418:N1419"/>
    <mergeCell ref="A1418:A1419"/>
    <mergeCell ref="B1418:B1419"/>
    <mergeCell ref="C1418:C1419"/>
    <mergeCell ref="D1418:D1419"/>
    <mergeCell ref="E1418:E1419"/>
    <mergeCell ref="F1418:F1419"/>
    <mergeCell ref="I1416:I1417"/>
    <mergeCell ref="J1416:J1417"/>
    <mergeCell ref="K1416:K1417"/>
    <mergeCell ref="L1416:L1417"/>
    <mergeCell ref="M1416:M1417"/>
    <mergeCell ref="N1416:N1417"/>
    <mergeCell ref="A1416:A1417"/>
    <mergeCell ref="B1416:B1417"/>
    <mergeCell ref="C1416:C1417"/>
    <mergeCell ref="D1416:D1417"/>
    <mergeCell ref="E1416:E1417"/>
    <mergeCell ref="F1416:F1417"/>
    <mergeCell ref="I1414:I1415"/>
    <mergeCell ref="J1414:J1415"/>
    <mergeCell ref="K1414:K1415"/>
    <mergeCell ref="L1414:L1415"/>
    <mergeCell ref="M1414:M1415"/>
    <mergeCell ref="N1414:N1415"/>
    <mergeCell ref="K1412:K1413"/>
    <mergeCell ref="L1412:L1413"/>
    <mergeCell ref="M1412:M1413"/>
    <mergeCell ref="N1412:N1413"/>
    <mergeCell ref="A1414:A1415"/>
    <mergeCell ref="B1414:B1415"/>
    <mergeCell ref="C1414:C1415"/>
    <mergeCell ref="D1414:D1415"/>
    <mergeCell ref="E1414:E1415"/>
    <mergeCell ref="F1414:F1415"/>
    <mergeCell ref="O1410:P1410"/>
    <mergeCell ref="A1412:A1413"/>
    <mergeCell ref="B1412:B1413"/>
    <mergeCell ref="C1412:C1413"/>
    <mergeCell ref="D1412:D1413"/>
    <mergeCell ref="E1412:E1413"/>
    <mergeCell ref="F1412:F1413"/>
    <mergeCell ref="G1412:H1412"/>
    <mergeCell ref="I1412:I1413"/>
    <mergeCell ref="J1412:J1413"/>
    <mergeCell ref="A1395:D1395"/>
    <mergeCell ref="N1398:P1398"/>
    <mergeCell ref="I1408:P1408"/>
    <mergeCell ref="A1410:H1410"/>
    <mergeCell ref="I1410:I1411"/>
    <mergeCell ref="J1410:J1411"/>
    <mergeCell ref="K1410:K1411"/>
    <mergeCell ref="L1410:L1411"/>
    <mergeCell ref="M1410:M1411"/>
    <mergeCell ref="N1410:N1411"/>
    <mergeCell ref="I1386:M1386"/>
    <mergeCell ref="A1387:E1387"/>
    <mergeCell ref="I1387:M1387"/>
    <mergeCell ref="A1388:E1388"/>
    <mergeCell ref="A1389:E1389"/>
    <mergeCell ref="I1393:L1393"/>
    <mergeCell ref="L1383:L1384"/>
    <mergeCell ref="M1383:M1384"/>
    <mergeCell ref="N1383:N1384"/>
    <mergeCell ref="A1385:A1386"/>
    <mergeCell ref="B1385:B1386"/>
    <mergeCell ref="C1385:C1386"/>
    <mergeCell ref="D1385:D1386"/>
    <mergeCell ref="E1385:E1386"/>
    <mergeCell ref="F1385:F1386"/>
    <mergeCell ref="I1385:M1385"/>
    <mergeCell ref="N1381:N1382"/>
    <mergeCell ref="A1383:A1384"/>
    <mergeCell ref="B1383:B1384"/>
    <mergeCell ref="C1383:C1384"/>
    <mergeCell ref="D1383:D1384"/>
    <mergeCell ref="E1383:E1384"/>
    <mergeCell ref="F1383:F1384"/>
    <mergeCell ref="I1383:I1384"/>
    <mergeCell ref="J1383:J1384"/>
    <mergeCell ref="K1383:K1384"/>
    <mergeCell ref="F1381:F1382"/>
    <mergeCell ref="I1381:I1382"/>
    <mergeCell ref="J1381:J1382"/>
    <mergeCell ref="K1381:K1382"/>
    <mergeCell ref="L1381:L1382"/>
    <mergeCell ref="M1381:M1382"/>
    <mergeCell ref="J1379:J1380"/>
    <mergeCell ref="K1379:K1380"/>
    <mergeCell ref="L1379:L1380"/>
    <mergeCell ref="M1379:M1380"/>
    <mergeCell ref="N1379:N1380"/>
    <mergeCell ref="A1381:A1382"/>
    <mergeCell ref="B1381:B1382"/>
    <mergeCell ref="C1381:C1382"/>
    <mergeCell ref="D1381:D1382"/>
    <mergeCell ref="E1381:E1382"/>
    <mergeCell ref="L1377:L1378"/>
    <mergeCell ref="M1377:M1378"/>
    <mergeCell ref="N1377:N1378"/>
    <mergeCell ref="A1379:A1380"/>
    <mergeCell ref="B1379:B1380"/>
    <mergeCell ref="C1379:C1380"/>
    <mergeCell ref="D1379:D1380"/>
    <mergeCell ref="E1379:E1380"/>
    <mergeCell ref="F1379:F1380"/>
    <mergeCell ref="I1379:I1380"/>
    <mergeCell ref="N1375:N1376"/>
    <mergeCell ref="A1377:A1378"/>
    <mergeCell ref="B1377:B1378"/>
    <mergeCell ref="C1377:C1378"/>
    <mergeCell ref="D1377:D1378"/>
    <mergeCell ref="E1377:E1378"/>
    <mergeCell ref="F1377:F1378"/>
    <mergeCell ref="I1377:I1378"/>
    <mergeCell ref="J1377:J1378"/>
    <mergeCell ref="K1377:K1378"/>
    <mergeCell ref="G1375:H1375"/>
    <mergeCell ref="I1375:I1376"/>
    <mergeCell ref="J1375:J1376"/>
    <mergeCell ref="K1375:K1376"/>
    <mergeCell ref="L1375:L1376"/>
    <mergeCell ref="M1375:M1376"/>
    <mergeCell ref="A1375:A1376"/>
    <mergeCell ref="B1375:B1376"/>
    <mergeCell ref="C1375:C1376"/>
    <mergeCell ref="D1375:D1376"/>
    <mergeCell ref="E1375:E1376"/>
    <mergeCell ref="F1375:F1376"/>
    <mergeCell ref="N1361:P1361"/>
    <mergeCell ref="I1371:P1371"/>
    <mergeCell ref="A1373:H1373"/>
    <mergeCell ref="I1373:I1374"/>
    <mergeCell ref="J1373:J1374"/>
    <mergeCell ref="K1373:K1374"/>
    <mergeCell ref="L1373:L1374"/>
    <mergeCell ref="M1373:M1374"/>
    <mergeCell ref="N1373:N1374"/>
    <mergeCell ref="O1373:P1373"/>
    <mergeCell ref="A1350:E1350"/>
    <mergeCell ref="I1350:M1350"/>
    <mergeCell ref="A1351:E1351"/>
    <mergeCell ref="A1352:E1352"/>
    <mergeCell ref="I1356:L1356"/>
    <mergeCell ref="A1358:D1358"/>
    <mergeCell ref="N1346:N1347"/>
    <mergeCell ref="A1348:A1349"/>
    <mergeCell ref="B1348:B1349"/>
    <mergeCell ref="C1348:C1349"/>
    <mergeCell ref="D1348:D1349"/>
    <mergeCell ref="E1348:E1349"/>
    <mergeCell ref="F1348:F1349"/>
    <mergeCell ref="I1348:M1348"/>
    <mergeCell ref="I1349:M1349"/>
    <mergeCell ref="F1346:F1347"/>
    <mergeCell ref="I1346:I1347"/>
    <mergeCell ref="J1346:J1347"/>
    <mergeCell ref="K1346:K1347"/>
    <mergeCell ref="L1346:L1347"/>
    <mergeCell ref="M1346:M1347"/>
    <mergeCell ref="J1344:J1345"/>
    <mergeCell ref="K1344:K1345"/>
    <mergeCell ref="L1344:L1345"/>
    <mergeCell ref="M1344:M1345"/>
    <mergeCell ref="N1344:N1345"/>
    <mergeCell ref="A1346:A1347"/>
    <mergeCell ref="B1346:B1347"/>
    <mergeCell ref="C1346:C1347"/>
    <mergeCell ref="D1346:D1347"/>
    <mergeCell ref="E1346:E1347"/>
    <mergeCell ref="L1342:L1343"/>
    <mergeCell ref="M1342:M1343"/>
    <mergeCell ref="N1342:N1343"/>
    <mergeCell ref="A1344:A1345"/>
    <mergeCell ref="B1344:B1345"/>
    <mergeCell ref="C1344:C1345"/>
    <mergeCell ref="D1344:D1345"/>
    <mergeCell ref="E1344:E1345"/>
    <mergeCell ref="F1344:F1345"/>
    <mergeCell ref="I1344:I1345"/>
    <mergeCell ref="N1340:N1341"/>
    <mergeCell ref="A1342:A1343"/>
    <mergeCell ref="B1342:B1343"/>
    <mergeCell ref="C1342:C1343"/>
    <mergeCell ref="D1342:D1343"/>
    <mergeCell ref="E1342:E1343"/>
    <mergeCell ref="F1342:F1343"/>
    <mergeCell ref="I1342:I1343"/>
    <mergeCell ref="J1342:J1343"/>
    <mergeCell ref="K1342:K1343"/>
    <mergeCell ref="F1340:F1341"/>
    <mergeCell ref="I1340:I1341"/>
    <mergeCell ref="J1340:J1341"/>
    <mergeCell ref="K1340:K1341"/>
    <mergeCell ref="L1340:L1341"/>
    <mergeCell ref="M1340:M1341"/>
    <mergeCell ref="J1338:J1339"/>
    <mergeCell ref="K1338:K1339"/>
    <mergeCell ref="L1338:L1339"/>
    <mergeCell ref="M1338:M1339"/>
    <mergeCell ref="N1338:N1339"/>
    <mergeCell ref="A1340:A1341"/>
    <mergeCell ref="B1340:B1341"/>
    <mergeCell ref="C1340:C1341"/>
    <mergeCell ref="D1340:D1341"/>
    <mergeCell ref="E1340:E1341"/>
    <mergeCell ref="M1336:M1337"/>
    <mergeCell ref="N1336:N1337"/>
    <mergeCell ref="O1336:P1336"/>
    <mergeCell ref="A1338:A1339"/>
    <mergeCell ref="B1338:B1339"/>
    <mergeCell ref="C1338:C1339"/>
    <mergeCell ref="D1338:D1339"/>
    <mergeCell ref="E1338:E1339"/>
    <mergeCell ref="F1338:F1339"/>
    <mergeCell ref="I1338:I1339"/>
    <mergeCell ref="F1336:F1337"/>
    <mergeCell ref="G1336:H1336"/>
    <mergeCell ref="I1336:I1337"/>
    <mergeCell ref="J1336:J1337"/>
    <mergeCell ref="K1336:K1337"/>
    <mergeCell ref="L1336:L1337"/>
    <mergeCell ref="A1319:D1319"/>
    <mergeCell ref="I1319:L1319"/>
    <mergeCell ref="N1324:P1324"/>
    <mergeCell ref="A1334:H1334"/>
    <mergeCell ref="I1334:P1334"/>
    <mergeCell ref="A1336:A1337"/>
    <mergeCell ref="B1336:B1337"/>
    <mergeCell ref="C1336:C1337"/>
    <mergeCell ref="D1336:D1337"/>
    <mergeCell ref="E1336:E1337"/>
    <mergeCell ref="N1309:N1310"/>
    <mergeCell ref="A1311:E1311"/>
    <mergeCell ref="I1311:M1311"/>
    <mergeCell ref="A1312:E1312"/>
    <mergeCell ref="I1312:M1312"/>
    <mergeCell ref="A1313:E1313"/>
    <mergeCell ref="I1313:M1313"/>
    <mergeCell ref="F1309:F1310"/>
    <mergeCell ref="I1309:I1310"/>
    <mergeCell ref="J1309:J1310"/>
    <mergeCell ref="K1309:K1310"/>
    <mergeCell ref="L1309:L1310"/>
    <mergeCell ref="M1309:M1310"/>
    <mergeCell ref="J1307:J1308"/>
    <mergeCell ref="K1307:K1308"/>
    <mergeCell ref="L1307:L1308"/>
    <mergeCell ref="M1307:M1308"/>
    <mergeCell ref="N1307:N1308"/>
    <mergeCell ref="A1309:A1310"/>
    <mergeCell ref="B1309:B1310"/>
    <mergeCell ref="C1309:C1310"/>
    <mergeCell ref="D1309:D1310"/>
    <mergeCell ref="E1309:E1310"/>
    <mergeCell ref="L1305:L1306"/>
    <mergeCell ref="M1305:M1306"/>
    <mergeCell ref="N1305:N1306"/>
    <mergeCell ref="A1307:A1308"/>
    <mergeCell ref="B1307:B1308"/>
    <mergeCell ref="C1307:C1308"/>
    <mergeCell ref="D1307:D1308"/>
    <mergeCell ref="E1307:E1308"/>
    <mergeCell ref="F1307:F1308"/>
    <mergeCell ref="I1307:I1308"/>
    <mergeCell ref="N1303:N1304"/>
    <mergeCell ref="A1305:A1306"/>
    <mergeCell ref="B1305:B1306"/>
    <mergeCell ref="C1305:C1306"/>
    <mergeCell ref="D1305:D1306"/>
    <mergeCell ref="E1305:E1306"/>
    <mergeCell ref="F1305:F1306"/>
    <mergeCell ref="I1305:I1306"/>
    <mergeCell ref="J1305:J1306"/>
    <mergeCell ref="K1305:K1306"/>
    <mergeCell ref="F1303:F1304"/>
    <mergeCell ref="I1303:I1304"/>
    <mergeCell ref="J1303:J1304"/>
    <mergeCell ref="K1303:K1304"/>
    <mergeCell ref="L1303:L1304"/>
    <mergeCell ref="M1303:M1304"/>
    <mergeCell ref="J1301:J1302"/>
    <mergeCell ref="K1301:K1302"/>
    <mergeCell ref="L1301:L1302"/>
    <mergeCell ref="M1301:M1302"/>
    <mergeCell ref="N1301:N1302"/>
    <mergeCell ref="A1303:A1304"/>
    <mergeCell ref="B1303:B1304"/>
    <mergeCell ref="C1303:C1304"/>
    <mergeCell ref="D1303:D1304"/>
    <mergeCell ref="E1303:E1304"/>
    <mergeCell ref="M1299:M1300"/>
    <mergeCell ref="N1299:N1300"/>
    <mergeCell ref="O1299:P1299"/>
    <mergeCell ref="A1301:A1302"/>
    <mergeCell ref="B1301:B1302"/>
    <mergeCell ref="C1301:C1302"/>
    <mergeCell ref="D1301:D1302"/>
    <mergeCell ref="E1301:E1302"/>
    <mergeCell ref="F1301:F1302"/>
    <mergeCell ref="I1301:I1302"/>
    <mergeCell ref="F1299:F1300"/>
    <mergeCell ref="G1299:H1299"/>
    <mergeCell ref="I1299:I1300"/>
    <mergeCell ref="J1299:J1300"/>
    <mergeCell ref="K1299:K1300"/>
    <mergeCell ref="L1299:L1300"/>
    <mergeCell ref="A1282:D1282"/>
    <mergeCell ref="I1282:L1282"/>
    <mergeCell ref="N1287:P1287"/>
    <mergeCell ref="A1297:H1297"/>
    <mergeCell ref="I1297:P1297"/>
    <mergeCell ref="A1299:A1300"/>
    <mergeCell ref="B1299:B1300"/>
    <mergeCell ref="C1299:C1300"/>
    <mergeCell ref="D1299:D1300"/>
    <mergeCell ref="E1299:E1300"/>
    <mergeCell ref="A1274:E1274"/>
    <mergeCell ref="I1274:M1274"/>
    <mergeCell ref="A1275:E1275"/>
    <mergeCell ref="I1275:M1275"/>
    <mergeCell ref="A1276:E1276"/>
    <mergeCell ref="I1276:M1276"/>
    <mergeCell ref="I1272:I1273"/>
    <mergeCell ref="J1272:J1273"/>
    <mergeCell ref="K1272:K1273"/>
    <mergeCell ref="L1272:L1273"/>
    <mergeCell ref="M1272:M1273"/>
    <mergeCell ref="N1272:N1273"/>
    <mergeCell ref="A1272:A1273"/>
    <mergeCell ref="B1272:B1273"/>
    <mergeCell ref="C1272:C1273"/>
    <mergeCell ref="D1272:D1273"/>
    <mergeCell ref="E1272:E1273"/>
    <mergeCell ref="F1272:F1273"/>
    <mergeCell ref="I1270:I1271"/>
    <mergeCell ref="J1270:J1271"/>
    <mergeCell ref="K1270:K1271"/>
    <mergeCell ref="L1270:L1271"/>
    <mergeCell ref="M1270:M1271"/>
    <mergeCell ref="N1270:N1271"/>
    <mergeCell ref="A1270:A1271"/>
    <mergeCell ref="B1270:B1271"/>
    <mergeCell ref="C1270:C1271"/>
    <mergeCell ref="D1270:D1271"/>
    <mergeCell ref="E1270:E1271"/>
    <mergeCell ref="F1270:F1271"/>
    <mergeCell ref="I1268:I1269"/>
    <mergeCell ref="J1268:J1269"/>
    <mergeCell ref="K1268:K1269"/>
    <mergeCell ref="L1268:L1269"/>
    <mergeCell ref="M1268:M1269"/>
    <mergeCell ref="N1268:N1269"/>
    <mergeCell ref="A1268:A1269"/>
    <mergeCell ref="B1268:B1269"/>
    <mergeCell ref="C1268:C1269"/>
    <mergeCell ref="D1268:D1269"/>
    <mergeCell ref="E1268:E1269"/>
    <mergeCell ref="F1268:F1269"/>
    <mergeCell ref="I1266:I1267"/>
    <mergeCell ref="J1266:J1267"/>
    <mergeCell ref="K1266:K1267"/>
    <mergeCell ref="L1266:L1267"/>
    <mergeCell ref="M1266:M1267"/>
    <mergeCell ref="N1266:N1267"/>
    <mergeCell ref="K1264:K1265"/>
    <mergeCell ref="L1264:L1265"/>
    <mergeCell ref="M1264:M1265"/>
    <mergeCell ref="N1264:N1265"/>
    <mergeCell ref="A1266:A1267"/>
    <mergeCell ref="B1266:B1267"/>
    <mergeCell ref="C1266:C1267"/>
    <mergeCell ref="D1266:D1267"/>
    <mergeCell ref="E1266:E1267"/>
    <mergeCell ref="F1266:F1267"/>
    <mergeCell ref="N1262:N1263"/>
    <mergeCell ref="O1262:P1262"/>
    <mergeCell ref="A1264:A1265"/>
    <mergeCell ref="B1264:B1265"/>
    <mergeCell ref="C1264:C1265"/>
    <mergeCell ref="D1264:D1265"/>
    <mergeCell ref="E1264:E1265"/>
    <mergeCell ref="F1264:F1265"/>
    <mergeCell ref="I1264:I1265"/>
    <mergeCell ref="J1264:J1265"/>
    <mergeCell ref="G1262:H1262"/>
    <mergeCell ref="I1262:I1263"/>
    <mergeCell ref="J1262:J1263"/>
    <mergeCell ref="K1262:K1263"/>
    <mergeCell ref="L1262:L1263"/>
    <mergeCell ref="M1262:M1263"/>
    <mergeCell ref="A1262:A1263"/>
    <mergeCell ref="B1262:B1263"/>
    <mergeCell ref="C1262:C1263"/>
    <mergeCell ref="D1262:D1263"/>
    <mergeCell ref="E1262:E1263"/>
    <mergeCell ref="F1262:F1263"/>
    <mergeCell ref="A1245:D1245"/>
    <mergeCell ref="I1245:L1245"/>
    <mergeCell ref="N1245:P1245"/>
    <mergeCell ref="N1249:P1249"/>
    <mergeCell ref="N1250:P1250"/>
    <mergeCell ref="A1260:H1260"/>
    <mergeCell ref="I1260:P1260"/>
    <mergeCell ref="A1237:E1237"/>
    <mergeCell ref="I1237:M1237"/>
    <mergeCell ref="A1238:E1238"/>
    <mergeCell ref="I1238:M1238"/>
    <mergeCell ref="A1239:E1239"/>
    <mergeCell ref="I1239:M1239"/>
    <mergeCell ref="I1235:I1236"/>
    <mergeCell ref="J1235:J1236"/>
    <mergeCell ref="K1235:K1236"/>
    <mergeCell ref="L1235:L1236"/>
    <mergeCell ref="M1235:M1236"/>
    <mergeCell ref="N1235:N1236"/>
    <mergeCell ref="A1235:A1236"/>
    <mergeCell ref="B1235:B1236"/>
    <mergeCell ref="C1235:C1236"/>
    <mergeCell ref="D1235:D1236"/>
    <mergeCell ref="E1235:E1236"/>
    <mergeCell ref="F1235:F1236"/>
    <mergeCell ref="I1233:I1234"/>
    <mergeCell ref="J1233:J1234"/>
    <mergeCell ref="K1233:K1234"/>
    <mergeCell ref="L1233:L1234"/>
    <mergeCell ref="M1233:M1234"/>
    <mergeCell ref="N1233:N1234"/>
    <mergeCell ref="A1233:A1234"/>
    <mergeCell ref="B1233:B1234"/>
    <mergeCell ref="C1233:C1234"/>
    <mergeCell ref="D1233:D1234"/>
    <mergeCell ref="E1233:E1234"/>
    <mergeCell ref="F1233:F1234"/>
    <mergeCell ref="I1231:I1232"/>
    <mergeCell ref="J1231:J1232"/>
    <mergeCell ref="K1231:K1232"/>
    <mergeCell ref="L1231:L1232"/>
    <mergeCell ref="M1231:M1232"/>
    <mergeCell ref="N1231:N1232"/>
    <mergeCell ref="A1231:A1232"/>
    <mergeCell ref="B1231:B1232"/>
    <mergeCell ref="C1231:C1232"/>
    <mergeCell ref="D1231:D1232"/>
    <mergeCell ref="E1231:E1232"/>
    <mergeCell ref="F1231:F1232"/>
    <mergeCell ref="I1229:I1230"/>
    <mergeCell ref="J1229:J1230"/>
    <mergeCell ref="K1229:K1230"/>
    <mergeCell ref="L1229:L1230"/>
    <mergeCell ref="M1229:M1230"/>
    <mergeCell ref="N1229:N1230"/>
    <mergeCell ref="K1227:K1228"/>
    <mergeCell ref="L1227:L1228"/>
    <mergeCell ref="M1227:M1228"/>
    <mergeCell ref="N1227:N1228"/>
    <mergeCell ref="A1229:A1230"/>
    <mergeCell ref="B1229:B1230"/>
    <mergeCell ref="C1229:C1230"/>
    <mergeCell ref="D1229:D1230"/>
    <mergeCell ref="E1229:E1230"/>
    <mergeCell ref="F1229:F1230"/>
    <mergeCell ref="N1225:N1226"/>
    <mergeCell ref="O1225:P1225"/>
    <mergeCell ref="A1227:A1228"/>
    <mergeCell ref="B1227:B1228"/>
    <mergeCell ref="C1227:C1228"/>
    <mergeCell ref="D1227:D1228"/>
    <mergeCell ref="E1227:E1228"/>
    <mergeCell ref="F1227:F1228"/>
    <mergeCell ref="I1227:I1228"/>
    <mergeCell ref="J1227:J1228"/>
    <mergeCell ref="G1225:H1225"/>
    <mergeCell ref="I1225:I1226"/>
    <mergeCell ref="J1225:J1226"/>
    <mergeCell ref="K1225:K1226"/>
    <mergeCell ref="L1225:L1226"/>
    <mergeCell ref="M1225:M1226"/>
    <mergeCell ref="A1225:A1226"/>
    <mergeCell ref="B1225:B1226"/>
    <mergeCell ref="C1225:C1226"/>
    <mergeCell ref="D1225:D1226"/>
    <mergeCell ref="E1225:E1226"/>
    <mergeCell ref="F1225:F1226"/>
    <mergeCell ref="A1208:D1208"/>
    <mergeCell ref="I1208:L1208"/>
    <mergeCell ref="N1208:P1208"/>
    <mergeCell ref="N1213:P1213"/>
    <mergeCell ref="A1223:H1223"/>
    <mergeCell ref="I1223:P1223"/>
    <mergeCell ref="A1200:E1200"/>
    <mergeCell ref="I1200:M1200"/>
    <mergeCell ref="A1201:E1201"/>
    <mergeCell ref="I1201:M1201"/>
    <mergeCell ref="A1202:E1202"/>
    <mergeCell ref="I1202:M1202"/>
    <mergeCell ref="I1198:I1199"/>
    <mergeCell ref="J1198:J1199"/>
    <mergeCell ref="K1198:K1199"/>
    <mergeCell ref="L1198:L1199"/>
    <mergeCell ref="M1198:M1199"/>
    <mergeCell ref="N1198:N1199"/>
    <mergeCell ref="A1198:A1199"/>
    <mergeCell ref="B1198:B1199"/>
    <mergeCell ref="C1198:C1199"/>
    <mergeCell ref="D1198:D1199"/>
    <mergeCell ref="E1198:E1199"/>
    <mergeCell ref="F1198:F1199"/>
    <mergeCell ref="I1196:I1197"/>
    <mergeCell ref="J1196:J1197"/>
    <mergeCell ref="K1196:K1197"/>
    <mergeCell ref="L1196:L1197"/>
    <mergeCell ref="M1196:M1197"/>
    <mergeCell ref="N1196:N1197"/>
    <mergeCell ref="I1194:I1195"/>
    <mergeCell ref="J1194:J1195"/>
    <mergeCell ref="K1194:K1195"/>
    <mergeCell ref="L1194:L1195"/>
    <mergeCell ref="M1194:M1195"/>
    <mergeCell ref="N1194:N1195"/>
    <mergeCell ref="A1194:A1195"/>
    <mergeCell ref="B1194:B1195"/>
    <mergeCell ref="C1194:C1195"/>
    <mergeCell ref="D1194:D1195"/>
    <mergeCell ref="E1194:E1195"/>
    <mergeCell ref="F1194:F1195"/>
    <mergeCell ref="I1192:I1193"/>
    <mergeCell ref="J1192:J1193"/>
    <mergeCell ref="K1192:K1193"/>
    <mergeCell ref="L1192:L1193"/>
    <mergeCell ref="M1192:M1193"/>
    <mergeCell ref="N1192:N1193"/>
    <mergeCell ref="A1192:A1193"/>
    <mergeCell ref="B1192:B1193"/>
    <mergeCell ref="C1192:C1193"/>
    <mergeCell ref="D1192:D1193"/>
    <mergeCell ref="E1192:E1193"/>
    <mergeCell ref="F1192:F1193"/>
    <mergeCell ref="I1190:I1191"/>
    <mergeCell ref="J1190:J1191"/>
    <mergeCell ref="K1190:K1191"/>
    <mergeCell ref="L1190:L1191"/>
    <mergeCell ref="M1190:M1191"/>
    <mergeCell ref="N1190:N1191"/>
    <mergeCell ref="K1188:K1189"/>
    <mergeCell ref="L1188:L1189"/>
    <mergeCell ref="M1188:M1189"/>
    <mergeCell ref="N1188:N1189"/>
    <mergeCell ref="A1190:A1191"/>
    <mergeCell ref="B1190:B1191"/>
    <mergeCell ref="C1190:C1191"/>
    <mergeCell ref="D1190:D1191"/>
    <mergeCell ref="E1190:E1191"/>
    <mergeCell ref="F1190:F1191"/>
    <mergeCell ref="N1186:N1187"/>
    <mergeCell ref="O1186:P1186"/>
    <mergeCell ref="A1188:A1189"/>
    <mergeCell ref="B1188:B1189"/>
    <mergeCell ref="C1188:C1189"/>
    <mergeCell ref="D1188:D1189"/>
    <mergeCell ref="E1188:E1189"/>
    <mergeCell ref="F1188:F1189"/>
    <mergeCell ref="I1188:I1189"/>
    <mergeCell ref="J1188:J1189"/>
    <mergeCell ref="G1186:H1186"/>
    <mergeCell ref="I1186:I1187"/>
    <mergeCell ref="J1186:J1187"/>
    <mergeCell ref="K1186:K1187"/>
    <mergeCell ref="L1186:L1187"/>
    <mergeCell ref="M1186:M1187"/>
    <mergeCell ref="A1186:A1187"/>
    <mergeCell ref="B1186:B1187"/>
    <mergeCell ref="C1186:C1187"/>
    <mergeCell ref="D1186:D1187"/>
    <mergeCell ref="E1186:E1187"/>
    <mergeCell ref="F1186:F1187"/>
    <mergeCell ref="A1169:D1169"/>
    <mergeCell ref="I1169:L1169"/>
    <mergeCell ref="N1169:P1169"/>
    <mergeCell ref="N1173:P1173"/>
    <mergeCell ref="A1184:H1184"/>
    <mergeCell ref="I1184:P1184"/>
    <mergeCell ref="A1161:E1161"/>
    <mergeCell ref="I1161:M1161"/>
    <mergeCell ref="A1162:E1162"/>
    <mergeCell ref="I1162:M1162"/>
    <mergeCell ref="A1163:E1163"/>
    <mergeCell ref="I1163:M1163"/>
    <mergeCell ref="I1159:I1160"/>
    <mergeCell ref="J1159:J1160"/>
    <mergeCell ref="K1159:K1160"/>
    <mergeCell ref="L1159:L1160"/>
    <mergeCell ref="M1159:M1160"/>
    <mergeCell ref="N1159:N1160"/>
    <mergeCell ref="A1159:A1160"/>
    <mergeCell ref="B1159:B1160"/>
    <mergeCell ref="C1159:C1160"/>
    <mergeCell ref="D1159:D1160"/>
    <mergeCell ref="E1159:E1160"/>
    <mergeCell ref="F1159:F1160"/>
    <mergeCell ref="I1157:I1158"/>
    <mergeCell ref="J1157:J1158"/>
    <mergeCell ref="K1157:K1158"/>
    <mergeCell ref="L1157:L1158"/>
    <mergeCell ref="M1157:M1158"/>
    <mergeCell ref="N1157:N1158"/>
    <mergeCell ref="A1157:A1158"/>
    <mergeCell ref="B1157:B1158"/>
    <mergeCell ref="C1157:C1158"/>
    <mergeCell ref="D1157:D1158"/>
    <mergeCell ref="E1157:E1158"/>
    <mergeCell ref="F1157:F1158"/>
    <mergeCell ref="I1155:I1156"/>
    <mergeCell ref="J1155:J1156"/>
    <mergeCell ref="K1155:K1156"/>
    <mergeCell ref="L1155:L1156"/>
    <mergeCell ref="M1155:M1156"/>
    <mergeCell ref="N1155:N1156"/>
    <mergeCell ref="A1155:A1156"/>
    <mergeCell ref="B1155:B1156"/>
    <mergeCell ref="C1155:C1156"/>
    <mergeCell ref="D1155:D1156"/>
    <mergeCell ref="E1155:E1156"/>
    <mergeCell ref="F1155:F1156"/>
    <mergeCell ref="I1153:I1154"/>
    <mergeCell ref="J1153:J1154"/>
    <mergeCell ref="K1153:K1154"/>
    <mergeCell ref="L1153:L1154"/>
    <mergeCell ref="M1153:M1154"/>
    <mergeCell ref="N1153:N1154"/>
    <mergeCell ref="K1151:K1152"/>
    <mergeCell ref="L1151:L1152"/>
    <mergeCell ref="M1151:M1152"/>
    <mergeCell ref="N1151:N1152"/>
    <mergeCell ref="A1153:A1154"/>
    <mergeCell ref="B1153:B1154"/>
    <mergeCell ref="C1153:C1154"/>
    <mergeCell ref="D1153:D1154"/>
    <mergeCell ref="E1153:E1154"/>
    <mergeCell ref="F1153:F1154"/>
    <mergeCell ref="N1149:N1150"/>
    <mergeCell ref="O1149:P1149"/>
    <mergeCell ref="A1151:A1152"/>
    <mergeCell ref="B1151:B1152"/>
    <mergeCell ref="C1151:C1152"/>
    <mergeCell ref="D1151:D1152"/>
    <mergeCell ref="E1151:E1152"/>
    <mergeCell ref="F1151:F1152"/>
    <mergeCell ref="I1151:I1152"/>
    <mergeCell ref="J1151:J1152"/>
    <mergeCell ref="G1149:H1149"/>
    <mergeCell ref="I1149:I1150"/>
    <mergeCell ref="J1149:J1150"/>
    <mergeCell ref="K1149:K1150"/>
    <mergeCell ref="L1149:L1150"/>
    <mergeCell ref="M1149:M1150"/>
    <mergeCell ref="A1149:A1150"/>
    <mergeCell ref="B1149:B1150"/>
    <mergeCell ref="C1149:C1150"/>
    <mergeCell ref="D1149:D1150"/>
    <mergeCell ref="E1149:E1150"/>
    <mergeCell ref="F1149:F1150"/>
    <mergeCell ref="A1132:D1132"/>
    <mergeCell ref="I1132:L1132"/>
    <mergeCell ref="N1132:P1132"/>
    <mergeCell ref="N1136:P1136"/>
    <mergeCell ref="A1147:H1147"/>
    <mergeCell ref="I1147:P1147"/>
    <mergeCell ref="A1124:E1124"/>
    <mergeCell ref="I1124:M1124"/>
    <mergeCell ref="A1125:E1125"/>
    <mergeCell ref="I1125:M1125"/>
    <mergeCell ref="A1126:E1126"/>
    <mergeCell ref="I1126:M1126"/>
    <mergeCell ref="I1122:I1123"/>
    <mergeCell ref="J1122:J1123"/>
    <mergeCell ref="K1122:K1123"/>
    <mergeCell ref="L1122:L1123"/>
    <mergeCell ref="M1122:M1123"/>
    <mergeCell ref="N1122:N1123"/>
    <mergeCell ref="A1122:A1123"/>
    <mergeCell ref="B1122:B1123"/>
    <mergeCell ref="C1122:C1123"/>
    <mergeCell ref="D1122:D1123"/>
    <mergeCell ref="E1122:E1123"/>
    <mergeCell ref="F1122:F1123"/>
    <mergeCell ref="I1120:I1121"/>
    <mergeCell ref="J1120:J1121"/>
    <mergeCell ref="K1120:K1121"/>
    <mergeCell ref="L1120:L1121"/>
    <mergeCell ref="M1120:M1121"/>
    <mergeCell ref="N1120:N1121"/>
    <mergeCell ref="A1120:A1121"/>
    <mergeCell ref="B1120:B1121"/>
    <mergeCell ref="C1120:C1121"/>
    <mergeCell ref="D1120:D1121"/>
    <mergeCell ref="E1120:E1121"/>
    <mergeCell ref="F1120:F1121"/>
    <mergeCell ref="I1118:I1119"/>
    <mergeCell ref="J1118:J1119"/>
    <mergeCell ref="K1118:K1119"/>
    <mergeCell ref="L1118:L1119"/>
    <mergeCell ref="M1118:M1119"/>
    <mergeCell ref="N1118:N1119"/>
    <mergeCell ref="A1118:A1119"/>
    <mergeCell ref="B1118:B1119"/>
    <mergeCell ref="C1118:C1119"/>
    <mergeCell ref="D1118:D1119"/>
    <mergeCell ref="E1118:E1119"/>
    <mergeCell ref="F1118:F1119"/>
    <mergeCell ref="I1116:I1117"/>
    <mergeCell ref="J1116:J1117"/>
    <mergeCell ref="K1116:K1117"/>
    <mergeCell ref="L1116:L1117"/>
    <mergeCell ref="M1116:M1117"/>
    <mergeCell ref="N1116:N1117"/>
    <mergeCell ref="K1114:K1115"/>
    <mergeCell ref="L1114:L1115"/>
    <mergeCell ref="M1114:M1115"/>
    <mergeCell ref="N1114:N1115"/>
    <mergeCell ref="A1116:A1117"/>
    <mergeCell ref="B1116:B1117"/>
    <mergeCell ref="C1116:C1117"/>
    <mergeCell ref="D1116:D1117"/>
    <mergeCell ref="E1116:E1117"/>
    <mergeCell ref="F1116:F1117"/>
    <mergeCell ref="N1112:N1113"/>
    <mergeCell ref="O1112:P1112"/>
    <mergeCell ref="A1114:A1115"/>
    <mergeCell ref="B1114:B1115"/>
    <mergeCell ref="C1114:C1115"/>
    <mergeCell ref="D1114:D1115"/>
    <mergeCell ref="E1114:E1115"/>
    <mergeCell ref="F1114:F1115"/>
    <mergeCell ref="I1114:I1115"/>
    <mergeCell ref="J1114:J1115"/>
    <mergeCell ref="G1112:H1112"/>
    <mergeCell ref="I1112:I1113"/>
    <mergeCell ref="J1112:J1113"/>
    <mergeCell ref="K1112:K1113"/>
    <mergeCell ref="L1112:L1113"/>
    <mergeCell ref="M1112:M1113"/>
    <mergeCell ref="A1112:A1113"/>
    <mergeCell ref="B1112:B1113"/>
    <mergeCell ref="C1112:C1113"/>
    <mergeCell ref="D1112:D1113"/>
    <mergeCell ref="E1112:E1113"/>
    <mergeCell ref="F1112:F1113"/>
    <mergeCell ref="A1095:D1095"/>
    <mergeCell ref="I1095:L1095"/>
    <mergeCell ref="N1095:P1095"/>
    <mergeCell ref="N1100:P1100"/>
    <mergeCell ref="A1110:H1110"/>
    <mergeCell ref="I1110:P1110"/>
    <mergeCell ref="A1087:E1087"/>
    <mergeCell ref="I1087:M1087"/>
    <mergeCell ref="A1088:E1088"/>
    <mergeCell ref="I1088:M1088"/>
    <mergeCell ref="A1089:E1089"/>
    <mergeCell ref="I1089:M1089"/>
    <mergeCell ref="I1085:I1086"/>
    <mergeCell ref="J1085:J1086"/>
    <mergeCell ref="K1085:K1086"/>
    <mergeCell ref="L1085:L1086"/>
    <mergeCell ref="M1085:M1086"/>
    <mergeCell ref="N1085:N1086"/>
    <mergeCell ref="I1083:I1084"/>
    <mergeCell ref="J1083:J1084"/>
    <mergeCell ref="K1083:K1084"/>
    <mergeCell ref="L1083:L1084"/>
    <mergeCell ref="M1083:M1084"/>
    <mergeCell ref="N1083:N1084"/>
    <mergeCell ref="I1081:I1082"/>
    <mergeCell ref="J1081:J1082"/>
    <mergeCell ref="K1081:K1082"/>
    <mergeCell ref="L1081:L1082"/>
    <mergeCell ref="M1081:M1082"/>
    <mergeCell ref="N1081:N1082"/>
    <mergeCell ref="I1079:I1080"/>
    <mergeCell ref="J1079:J1080"/>
    <mergeCell ref="K1079:K1080"/>
    <mergeCell ref="L1079:L1080"/>
    <mergeCell ref="M1079:M1080"/>
    <mergeCell ref="N1079:N1080"/>
    <mergeCell ref="A1079:A1080"/>
    <mergeCell ref="B1079:B1080"/>
    <mergeCell ref="C1079:C1080"/>
    <mergeCell ref="D1079:D1080"/>
    <mergeCell ref="E1079:E1080"/>
    <mergeCell ref="F1079:F1080"/>
    <mergeCell ref="I1077:I1078"/>
    <mergeCell ref="J1077:J1078"/>
    <mergeCell ref="K1077:K1078"/>
    <mergeCell ref="L1077:L1078"/>
    <mergeCell ref="M1077:M1078"/>
    <mergeCell ref="N1077:N1078"/>
    <mergeCell ref="K1075:K1076"/>
    <mergeCell ref="L1075:L1076"/>
    <mergeCell ref="M1075:M1076"/>
    <mergeCell ref="N1075:N1076"/>
    <mergeCell ref="A1077:A1078"/>
    <mergeCell ref="B1077:B1078"/>
    <mergeCell ref="C1077:C1078"/>
    <mergeCell ref="D1077:D1078"/>
    <mergeCell ref="E1077:E1078"/>
    <mergeCell ref="F1077:F1078"/>
    <mergeCell ref="N1073:N1074"/>
    <mergeCell ref="O1073:P1073"/>
    <mergeCell ref="A1075:A1076"/>
    <mergeCell ref="B1075:B1076"/>
    <mergeCell ref="C1075:C1076"/>
    <mergeCell ref="D1075:D1076"/>
    <mergeCell ref="E1075:E1076"/>
    <mergeCell ref="F1075:F1076"/>
    <mergeCell ref="I1075:I1076"/>
    <mergeCell ref="J1075:J1076"/>
    <mergeCell ref="G1073:H1073"/>
    <mergeCell ref="I1073:I1074"/>
    <mergeCell ref="J1073:J1074"/>
    <mergeCell ref="K1073:K1074"/>
    <mergeCell ref="L1073:L1074"/>
    <mergeCell ref="M1073:M1074"/>
    <mergeCell ref="A1073:A1074"/>
    <mergeCell ref="B1073:B1074"/>
    <mergeCell ref="C1073:C1074"/>
    <mergeCell ref="D1073:D1074"/>
    <mergeCell ref="E1073:E1074"/>
    <mergeCell ref="F1073:F1074"/>
    <mergeCell ref="A1050:E1050"/>
    <mergeCell ref="I1050:M1050"/>
    <mergeCell ref="A1056:D1056"/>
    <mergeCell ref="I1056:L1056"/>
    <mergeCell ref="N1061:P1061"/>
    <mergeCell ref="A1071:H1071"/>
    <mergeCell ref="I1071:P1071"/>
    <mergeCell ref="L1046:L1047"/>
    <mergeCell ref="M1046:M1047"/>
    <mergeCell ref="N1046:N1047"/>
    <mergeCell ref="A1048:E1048"/>
    <mergeCell ref="I1048:M1048"/>
    <mergeCell ref="A1049:E1049"/>
    <mergeCell ref="I1049:M1049"/>
    <mergeCell ref="N1044:N1045"/>
    <mergeCell ref="A1046:A1047"/>
    <mergeCell ref="B1046:B1047"/>
    <mergeCell ref="C1046:C1047"/>
    <mergeCell ref="D1046:D1047"/>
    <mergeCell ref="E1046:E1047"/>
    <mergeCell ref="F1046:F1047"/>
    <mergeCell ref="I1046:I1047"/>
    <mergeCell ref="J1046:J1047"/>
    <mergeCell ref="K1046:K1047"/>
    <mergeCell ref="F1044:F1045"/>
    <mergeCell ref="I1044:I1045"/>
    <mergeCell ref="J1044:J1045"/>
    <mergeCell ref="K1044:K1045"/>
    <mergeCell ref="L1044:L1045"/>
    <mergeCell ref="M1044:M1045"/>
    <mergeCell ref="J1042:J1043"/>
    <mergeCell ref="K1042:K1043"/>
    <mergeCell ref="L1042:L1043"/>
    <mergeCell ref="M1042:M1043"/>
    <mergeCell ref="N1042:N1043"/>
    <mergeCell ref="A1044:A1045"/>
    <mergeCell ref="B1044:B1045"/>
    <mergeCell ref="C1044:C1045"/>
    <mergeCell ref="D1044:D1045"/>
    <mergeCell ref="E1044:E1045"/>
    <mergeCell ref="L1040:L1041"/>
    <mergeCell ref="M1040:M1041"/>
    <mergeCell ref="N1040:N1041"/>
    <mergeCell ref="A1042:A1043"/>
    <mergeCell ref="B1042:B1043"/>
    <mergeCell ref="C1042:C1043"/>
    <mergeCell ref="D1042:D1043"/>
    <mergeCell ref="E1042:E1043"/>
    <mergeCell ref="F1042:F1043"/>
    <mergeCell ref="I1042:I1043"/>
    <mergeCell ref="O1038:P1038"/>
    <mergeCell ref="A1040:A1041"/>
    <mergeCell ref="B1040:B1041"/>
    <mergeCell ref="C1040:C1041"/>
    <mergeCell ref="D1040:D1041"/>
    <mergeCell ref="E1040:E1041"/>
    <mergeCell ref="F1040:F1041"/>
    <mergeCell ref="I1040:I1041"/>
    <mergeCell ref="J1040:J1041"/>
    <mergeCell ref="K1040:K1041"/>
    <mergeCell ref="I1038:I1039"/>
    <mergeCell ref="J1038:J1039"/>
    <mergeCell ref="K1038:K1039"/>
    <mergeCell ref="L1038:L1039"/>
    <mergeCell ref="M1038:M1039"/>
    <mergeCell ref="N1038:N1039"/>
    <mergeCell ref="N1026:P1026"/>
    <mergeCell ref="A1036:H1036"/>
    <mergeCell ref="I1036:P1036"/>
    <mergeCell ref="A1038:A1039"/>
    <mergeCell ref="B1038:B1039"/>
    <mergeCell ref="C1038:C1039"/>
    <mergeCell ref="D1038:D1039"/>
    <mergeCell ref="E1038:E1039"/>
    <mergeCell ref="F1038:F1039"/>
    <mergeCell ref="G1038:H1038"/>
    <mergeCell ref="A1015:E1015"/>
    <mergeCell ref="I1015:M1015"/>
    <mergeCell ref="A1016:E1016"/>
    <mergeCell ref="A1017:E1017"/>
    <mergeCell ref="I1021:L1021"/>
    <mergeCell ref="A1023:D1023"/>
    <mergeCell ref="N1011:N1012"/>
    <mergeCell ref="A1013:A1014"/>
    <mergeCell ref="B1013:B1014"/>
    <mergeCell ref="C1013:C1014"/>
    <mergeCell ref="D1013:D1014"/>
    <mergeCell ref="E1013:E1014"/>
    <mergeCell ref="F1013:F1014"/>
    <mergeCell ref="I1013:M1013"/>
    <mergeCell ref="I1014:M1014"/>
    <mergeCell ref="F1011:F1012"/>
    <mergeCell ref="I1011:I1012"/>
    <mergeCell ref="J1011:J1012"/>
    <mergeCell ref="K1011:K1012"/>
    <mergeCell ref="L1011:L1012"/>
    <mergeCell ref="M1011:M1012"/>
    <mergeCell ref="J1009:J1010"/>
    <mergeCell ref="K1009:K1010"/>
    <mergeCell ref="L1009:L1010"/>
    <mergeCell ref="M1009:M1010"/>
    <mergeCell ref="N1009:N1010"/>
    <mergeCell ref="A1011:A1012"/>
    <mergeCell ref="B1011:B1012"/>
    <mergeCell ref="C1011:C1012"/>
    <mergeCell ref="D1011:D1012"/>
    <mergeCell ref="E1011:E1012"/>
    <mergeCell ref="L1007:L1008"/>
    <mergeCell ref="M1007:M1008"/>
    <mergeCell ref="N1007:N1008"/>
    <mergeCell ref="A1009:A1010"/>
    <mergeCell ref="B1009:B1010"/>
    <mergeCell ref="C1009:C1010"/>
    <mergeCell ref="D1009:D1010"/>
    <mergeCell ref="E1009:E1010"/>
    <mergeCell ref="F1009:F1010"/>
    <mergeCell ref="I1009:I1010"/>
    <mergeCell ref="N1005:N1006"/>
    <mergeCell ref="A1007:A1008"/>
    <mergeCell ref="B1007:B1008"/>
    <mergeCell ref="C1007:C1008"/>
    <mergeCell ref="D1007:D1008"/>
    <mergeCell ref="E1007:E1008"/>
    <mergeCell ref="F1007:F1008"/>
    <mergeCell ref="I1007:I1008"/>
    <mergeCell ref="J1007:J1008"/>
    <mergeCell ref="K1007:K1008"/>
    <mergeCell ref="F1005:F1006"/>
    <mergeCell ref="I1005:I1006"/>
    <mergeCell ref="J1005:J1006"/>
    <mergeCell ref="K1005:K1006"/>
    <mergeCell ref="L1005:L1006"/>
    <mergeCell ref="M1005:M1006"/>
    <mergeCell ref="J1003:J1004"/>
    <mergeCell ref="K1003:K1004"/>
    <mergeCell ref="L1003:L1004"/>
    <mergeCell ref="M1003:M1004"/>
    <mergeCell ref="N1003:N1004"/>
    <mergeCell ref="A1005:A1006"/>
    <mergeCell ref="B1005:B1006"/>
    <mergeCell ref="C1005:C1006"/>
    <mergeCell ref="D1005:D1006"/>
    <mergeCell ref="E1005:E1006"/>
    <mergeCell ref="N1001:N1002"/>
    <mergeCell ref="O1001:P1001"/>
    <mergeCell ref="A1003:A1004"/>
    <mergeCell ref="B1003:B1004"/>
    <mergeCell ref="C1003:C1004"/>
    <mergeCell ref="D1003:D1004"/>
    <mergeCell ref="E1003:E1004"/>
    <mergeCell ref="F1003:F1004"/>
    <mergeCell ref="G1003:H1003"/>
    <mergeCell ref="I1003:I1004"/>
    <mergeCell ref="I984:L984"/>
    <mergeCell ref="A986:D986"/>
    <mergeCell ref="N989:P989"/>
    <mergeCell ref="I999:P999"/>
    <mergeCell ref="A1001:H1001"/>
    <mergeCell ref="I1001:I1002"/>
    <mergeCell ref="J1001:J1002"/>
    <mergeCell ref="K1001:K1002"/>
    <mergeCell ref="L1001:L1002"/>
    <mergeCell ref="M1001:M1002"/>
    <mergeCell ref="I976:M976"/>
    <mergeCell ref="I977:M977"/>
    <mergeCell ref="A978:E978"/>
    <mergeCell ref="I978:M978"/>
    <mergeCell ref="A979:E979"/>
    <mergeCell ref="A980:E980"/>
    <mergeCell ref="A976:A977"/>
    <mergeCell ref="B976:B977"/>
    <mergeCell ref="C976:C977"/>
    <mergeCell ref="D976:D977"/>
    <mergeCell ref="E976:E977"/>
    <mergeCell ref="F976:F977"/>
    <mergeCell ref="I974:I975"/>
    <mergeCell ref="J974:J975"/>
    <mergeCell ref="K974:K975"/>
    <mergeCell ref="L974:L975"/>
    <mergeCell ref="M974:M975"/>
    <mergeCell ref="N974:N975"/>
    <mergeCell ref="A974:A975"/>
    <mergeCell ref="B974:B975"/>
    <mergeCell ref="C974:C975"/>
    <mergeCell ref="D974:D975"/>
    <mergeCell ref="E974:E975"/>
    <mergeCell ref="F974:F975"/>
    <mergeCell ref="I972:I973"/>
    <mergeCell ref="J972:J973"/>
    <mergeCell ref="K972:K973"/>
    <mergeCell ref="L972:L973"/>
    <mergeCell ref="M972:M973"/>
    <mergeCell ref="N972:N973"/>
    <mergeCell ref="A972:A973"/>
    <mergeCell ref="B972:B973"/>
    <mergeCell ref="C972:C973"/>
    <mergeCell ref="D972:D973"/>
    <mergeCell ref="E972:E973"/>
    <mergeCell ref="F972:F973"/>
    <mergeCell ref="L968:L969"/>
    <mergeCell ref="M968:M969"/>
    <mergeCell ref="N968:N969"/>
    <mergeCell ref="I970:I971"/>
    <mergeCell ref="J970:J971"/>
    <mergeCell ref="K970:K971"/>
    <mergeCell ref="L970:L971"/>
    <mergeCell ref="M970:M971"/>
    <mergeCell ref="N970:N971"/>
    <mergeCell ref="N966:N967"/>
    <mergeCell ref="A968:A969"/>
    <mergeCell ref="B968:B969"/>
    <mergeCell ref="C968:C969"/>
    <mergeCell ref="D968:D969"/>
    <mergeCell ref="E968:E969"/>
    <mergeCell ref="F968:F969"/>
    <mergeCell ref="I968:I969"/>
    <mergeCell ref="J968:J969"/>
    <mergeCell ref="K968:K969"/>
    <mergeCell ref="F966:F967"/>
    <mergeCell ref="I966:I967"/>
    <mergeCell ref="J966:J967"/>
    <mergeCell ref="K966:K967"/>
    <mergeCell ref="L966:L967"/>
    <mergeCell ref="M966:M967"/>
    <mergeCell ref="J964:J965"/>
    <mergeCell ref="K964:K965"/>
    <mergeCell ref="L964:L965"/>
    <mergeCell ref="M964:M965"/>
    <mergeCell ref="N964:N965"/>
    <mergeCell ref="A966:A967"/>
    <mergeCell ref="B966:B967"/>
    <mergeCell ref="C966:C967"/>
    <mergeCell ref="D966:D967"/>
    <mergeCell ref="E966:E967"/>
    <mergeCell ref="N962:N963"/>
    <mergeCell ref="O962:P962"/>
    <mergeCell ref="A964:A965"/>
    <mergeCell ref="B964:B965"/>
    <mergeCell ref="C964:C965"/>
    <mergeCell ref="D964:D965"/>
    <mergeCell ref="E964:E965"/>
    <mergeCell ref="F964:F965"/>
    <mergeCell ref="G964:H964"/>
    <mergeCell ref="I964:I965"/>
    <mergeCell ref="I945:L945"/>
    <mergeCell ref="A947:D947"/>
    <mergeCell ref="N950:P950"/>
    <mergeCell ref="I960:P960"/>
    <mergeCell ref="A962:H962"/>
    <mergeCell ref="I962:I963"/>
    <mergeCell ref="J962:J963"/>
    <mergeCell ref="K962:K963"/>
    <mergeCell ref="L962:L963"/>
    <mergeCell ref="M962:M963"/>
    <mergeCell ref="I937:M937"/>
    <mergeCell ref="I938:M938"/>
    <mergeCell ref="A939:E939"/>
    <mergeCell ref="I939:M939"/>
    <mergeCell ref="A940:E940"/>
    <mergeCell ref="A941:E941"/>
    <mergeCell ref="A937:A938"/>
    <mergeCell ref="B937:B938"/>
    <mergeCell ref="C937:C938"/>
    <mergeCell ref="D937:D938"/>
    <mergeCell ref="E937:E938"/>
    <mergeCell ref="F937:F938"/>
    <mergeCell ref="I935:I936"/>
    <mergeCell ref="J935:J936"/>
    <mergeCell ref="K935:K936"/>
    <mergeCell ref="L935:L936"/>
    <mergeCell ref="M935:M936"/>
    <mergeCell ref="N935:N936"/>
    <mergeCell ref="A935:A936"/>
    <mergeCell ref="B935:B936"/>
    <mergeCell ref="C935:C936"/>
    <mergeCell ref="D935:D936"/>
    <mergeCell ref="E935:E936"/>
    <mergeCell ref="F935:F936"/>
    <mergeCell ref="I933:I934"/>
    <mergeCell ref="J933:J934"/>
    <mergeCell ref="K933:K934"/>
    <mergeCell ref="L933:L934"/>
    <mergeCell ref="M933:M934"/>
    <mergeCell ref="N933:N934"/>
    <mergeCell ref="A933:A934"/>
    <mergeCell ref="B933:B934"/>
    <mergeCell ref="C933:C934"/>
    <mergeCell ref="D933:D934"/>
    <mergeCell ref="E933:E934"/>
    <mergeCell ref="F933:F934"/>
    <mergeCell ref="L929:L930"/>
    <mergeCell ref="M929:M930"/>
    <mergeCell ref="N929:N930"/>
    <mergeCell ref="I931:I932"/>
    <mergeCell ref="J931:J932"/>
    <mergeCell ref="K931:K932"/>
    <mergeCell ref="L931:L932"/>
    <mergeCell ref="M931:M932"/>
    <mergeCell ref="N931:N932"/>
    <mergeCell ref="N927:N928"/>
    <mergeCell ref="A929:A930"/>
    <mergeCell ref="B929:B930"/>
    <mergeCell ref="C929:C930"/>
    <mergeCell ref="D929:D930"/>
    <mergeCell ref="E929:E930"/>
    <mergeCell ref="F929:F930"/>
    <mergeCell ref="I929:I930"/>
    <mergeCell ref="J929:J930"/>
    <mergeCell ref="K929:K930"/>
    <mergeCell ref="F927:F928"/>
    <mergeCell ref="I927:I928"/>
    <mergeCell ref="J927:J928"/>
    <mergeCell ref="K927:K928"/>
    <mergeCell ref="L927:L928"/>
    <mergeCell ref="M927:M928"/>
    <mergeCell ref="J925:J926"/>
    <mergeCell ref="K925:K926"/>
    <mergeCell ref="L925:L926"/>
    <mergeCell ref="M925:M926"/>
    <mergeCell ref="N925:N926"/>
    <mergeCell ref="A927:A928"/>
    <mergeCell ref="B927:B928"/>
    <mergeCell ref="C927:C928"/>
    <mergeCell ref="D927:D928"/>
    <mergeCell ref="E927:E928"/>
    <mergeCell ref="N923:N924"/>
    <mergeCell ref="O923:P923"/>
    <mergeCell ref="A925:A926"/>
    <mergeCell ref="B925:B926"/>
    <mergeCell ref="C925:C926"/>
    <mergeCell ref="D925:D926"/>
    <mergeCell ref="E925:E926"/>
    <mergeCell ref="F925:F926"/>
    <mergeCell ref="G925:H925"/>
    <mergeCell ref="I925:I926"/>
    <mergeCell ref="N906:P906"/>
    <mergeCell ref="A908:D908"/>
    <mergeCell ref="N911:P911"/>
    <mergeCell ref="I921:P921"/>
    <mergeCell ref="A923:H923"/>
    <mergeCell ref="I923:I924"/>
    <mergeCell ref="J923:J924"/>
    <mergeCell ref="K923:K924"/>
    <mergeCell ref="L923:L924"/>
    <mergeCell ref="M923:M924"/>
    <mergeCell ref="I899:M899"/>
    <mergeCell ref="A900:E900"/>
    <mergeCell ref="I900:M900"/>
    <mergeCell ref="A901:E901"/>
    <mergeCell ref="A902:E902"/>
    <mergeCell ref="I906:L906"/>
    <mergeCell ref="L896:L897"/>
    <mergeCell ref="M896:M897"/>
    <mergeCell ref="N896:N897"/>
    <mergeCell ref="A898:A899"/>
    <mergeCell ref="B898:B899"/>
    <mergeCell ref="C898:C899"/>
    <mergeCell ref="D898:D899"/>
    <mergeCell ref="E898:E899"/>
    <mergeCell ref="F898:F899"/>
    <mergeCell ref="I898:M898"/>
    <mergeCell ref="N894:N895"/>
    <mergeCell ref="A896:A897"/>
    <mergeCell ref="B896:B897"/>
    <mergeCell ref="C896:C897"/>
    <mergeCell ref="D896:D897"/>
    <mergeCell ref="E896:E897"/>
    <mergeCell ref="F896:F897"/>
    <mergeCell ref="I896:I897"/>
    <mergeCell ref="J896:J897"/>
    <mergeCell ref="K896:K897"/>
    <mergeCell ref="F894:F895"/>
    <mergeCell ref="I894:I895"/>
    <mergeCell ref="J894:J895"/>
    <mergeCell ref="K894:K895"/>
    <mergeCell ref="L894:L895"/>
    <mergeCell ref="M894:M895"/>
    <mergeCell ref="J892:J893"/>
    <mergeCell ref="K892:K893"/>
    <mergeCell ref="L892:L893"/>
    <mergeCell ref="M892:M893"/>
    <mergeCell ref="N892:N893"/>
    <mergeCell ref="A894:A895"/>
    <mergeCell ref="B894:B895"/>
    <mergeCell ref="C894:C895"/>
    <mergeCell ref="D894:D895"/>
    <mergeCell ref="E894:E895"/>
    <mergeCell ref="L890:L891"/>
    <mergeCell ref="M890:M891"/>
    <mergeCell ref="N890:N891"/>
    <mergeCell ref="A892:A893"/>
    <mergeCell ref="B892:B893"/>
    <mergeCell ref="C892:C893"/>
    <mergeCell ref="D892:D893"/>
    <mergeCell ref="E892:E893"/>
    <mergeCell ref="F892:F893"/>
    <mergeCell ref="I892:I893"/>
    <mergeCell ref="N888:N889"/>
    <mergeCell ref="A890:A891"/>
    <mergeCell ref="B890:B891"/>
    <mergeCell ref="C890:C891"/>
    <mergeCell ref="D890:D891"/>
    <mergeCell ref="E890:E891"/>
    <mergeCell ref="F890:F891"/>
    <mergeCell ref="I890:I891"/>
    <mergeCell ref="J890:J891"/>
    <mergeCell ref="K890:K891"/>
    <mergeCell ref="G888:H888"/>
    <mergeCell ref="I888:I889"/>
    <mergeCell ref="J888:J889"/>
    <mergeCell ref="K888:K889"/>
    <mergeCell ref="L888:L889"/>
    <mergeCell ref="M888:M889"/>
    <mergeCell ref="A888:A889"/>
    <mergeCell ref="B888:B889"/>
    <mergeCell ref="C888:C889"/>
    <mergeCell ref="D888:D889"/>
    <mergeCell ref="E888:E889"/>
    <mergeCell ref="F888:F889"/>
    <mergeCell ref="I884:P884"/>
    <mergeCell ref="A886:H886"/>
    <mergeCell ref="I886:I887"/>
    <mergeCell ref="J886:J887"/>
    <mergeCell ref="K886:K887"/>
    <mergeCell ref="L886:L887"/>
    <mergeCell ref="M886:M887"/>
    <mergeCell ref="N886:N887"/>
    <mergeCell ref="O886:P886"/>
    <mergeCell ref="N869:P869"/>
    <mergeCell ref="A871:D871"/>
    <mergeCell ref="N871:P871"/>
    <mergeCell ref="N872:P872"/>
    <mergeCell ref="N873:P873"/>
    <mergeCell ref="N874:P874"/>
    <mergeCell ref="I862:M862"/>
    <mergeCell ref="A863:E863"/>
    <mergeCell ref="I863:M863"/>
    <mergeCell ref="A864:E864"/>
    <mergeCell ref="A865:E865"/>
    <mergeCell ref="I869:L869"/>
    <mergeCell ref="L859:L860"/>
    <mergeCell ref="M859:M860"/>
    <mergeCell ref="N859:N860"/>
    <mergeCell ref="A861:A862"/>
    <mergeCell ref="B861:B862"/>
    <mergeCell ref="C861:C862"/>
    <mergeCell ref="D861:D862"/>
    <mergeCell ref="E861:E862"/>
    <mergeCell ref="F861:F862"/>
    <mergeCell ref="I861:M861"/>
    <mergeCell ref="N857:N858"/>
    <mergeCell ref="A859:A860"/>
    <mergeCell ref="B859:B860"/>
    <mergeCell ref="C859:C860"/>
    <mergeCell ref="D859:D860"/>
    <mergeCell ref="E859:E860"/>
    <mergeCell ref="F859:F860"/>
    <mergeCell ref="I859:I860"/>
    <mergeCell ref="J859:J860"/>
    <mergeCell ref="K859:K860"/>
    <mergeCell ref="J855:J856"/>
    <mergeCell ref="K855:K856"/>
    <mergeCell ref="L855:L856"/>
    <mergeCell ref="M855:M856"/>
    <mergeCell ref="N855:N856"/>
    <mergeCell ref="I857:I858"/>
    <mergeCell ref="J857:J858"/>
    <mergeCell ref="K857:K858"/>
    <mergeCell ref="L857:L858"/>
    <mergeCell ref="M857:M858"/>
    <mergeCell ref="L853:L854"/>
    <mergeCell ref="M853:M854"/>
    <mergeCell ref="N853:N854"/>
    <mergeCell ref="A855:A856"/>
    <mergeCell ref="B855:B856"/>
    <mergeCell ref="C855:C856"/>
    <mergeCell ref="D855:D856"/>
    <mergeCell ref="E855:E856"/>
    <mergeCell ref="F855:F856"/>
    <mergeCell ref="I855:I856"/>
    <mergeCell ref="N851:N852"/>
    <mergeCell ref="A853:A854"/>
    <mergeCell ref="B853:B854"/>
    <mergeCell ref="C853:C854"/>
    <mergeCell ref="D853:D854"/>
    <mergeCell ref="E853:E854"/>
    <mergeCell ref="F853:F854"/>
    <mergeCell ref="I853:I854"/>
    <mergeCell ref="J853:J854"/>
    <mergeCell ref="K853:K854"/>
    <mergeCell ref="F851:F852"/>
    <mergeCell ref="I851:I852"/>
    <mergeCell ref="J851:J852"/>
    <mergeCell ref="K851:K852"/>
    <mergeCell ref="L851:L852"/>
    <mergeCell ref="M851:M852"/>
    <mergeCell ref="J849:J850"/>
    <mergeCell ref="K849:K850"/>
    <mergeCell ref="L849:L850"/>
    <mergeCell ref="M849:M850"/>
    <mergeCell ref="N849:N850"/>
    <mergeCell ref="A851:A852"/>
    <mergeCell ref="B851:B852"/>
    <mergeCell ref="C851:C852"/>
    <mergeCell ref="D851:D852"/>
    <mergeCell ref="E851:E852"/>
    <mergeCell ref="N847:N848"/>
    <mergeCell ref="O847:P847"/>
    <mergeCell ref="A849:A850"/>
    <mergeCell ref="B849:B850"/>
    <mergeCell ref="C849:C850"/>
    <mergeCell ref="D849:D850"/>
    <mergeCell ref="E849:E850"/>
    <mergeCell ref="F849:F850"/>
    <mergeCell ref="G849:H849"/>
    <mergeCell ref="I849:I850"/>
    <mergeCell ref="A847:H847"/>
    <mergeCell ref="I847:I848"/>
    <mergeCell ref="J847:J848"/>
    <mergeCell ref="K847:K848"/>
    <mergeCell ref="L847:L848"/>
    <mergeCell ref="M847:M848"/>
    <mergeCell ref="I830:L830"/>
    <mergeCell ref="A832:D832"/>
    <mergeCell ref="N832:P832"/>
    <mergeCell ref="N836:P836"/>
    <mergeCell ref="N837:P837"/>
    <mergeCell ref="I845:P845"/>
    <mergeCell ref="I822:M822"/>
    <mergeCell ref="I823:M823"/>
    <mergeCell ref="A824:E824"/>
    <mergeCell ref="I824:M824"/>
    <mergeCell ref="A825:E825"/>
    <mergeCell ref="A826:E826"/>
    <mergeCell ref="A822:A823"/>
    <mergeCell ref="B822:B823"/>
    <mergeCell ref="C822:C823"/>
    <mergeCell ref="D822:D823"/>
    <mergeCell ref="E822:E823"/>
    <mergeCell ref="F822:F823"/>
    <mergeCell ref="I820:I821"/>
    <mergeCell ref="J820:J821"/>
    <mergeCell ref="K820:K821"/>
    <mergeCell ref="L820:L821"/>
    <mergeCell ref="M820:M821"/>
    <mergeCell ref="N820:N821"/>
    <mergeCell ref="A820:A821"/>
    <mergeCell ref="B820:B821"/>
    <mergeCell ref="C820:C821"/>
    <mergeCell ref="D820:D821"/>
    <mergeCell ref="E820:E821"/>
    <mergeCell ref="F820:F821"/>
    <mergeCell ref="L816:L817"/>
    <mergeCell ref="M816:M817"/>
    <mergeCell ref="N816:N817"/>
    <mergeCell ref="I818:I819"/>
    <mergeCell ref="J818:J819"/>
    <mergeCell ref="K818:K819"/>
    <mergeCell ref="L818:L819"/>
    <mergeCell ref="M818:M819"/>
    <mergeCell ref="N818:N819"/>
    <mergeCell ref="N814:N815"/>
    <mergeCell ref="A816:A817"/>
    <mergeCell ref="B816:B817"/>
    <mergeCell ref="C816:C817"/>
    <mergeCell ref="D816:D817"/>
    <mergeCell ref="E816:E817"/>
    <mergeCell ref="F816:F817"/>
    <mergeCell ref="I816:I817"/>
    <mergeCell ref="J816:J817"/>
    <mergeCell ref="K816:K817"/>
    <mergeCell ref="F814:F815"/>
    <mergeCell ref="I814:I815"/>
    <mergeCell ref="J814:J815"/>
    <mergeCell ref="K814:K815"/>
    <mergeCell ref="L814:L815"/>
    <mergeCell ref="M814:M815"/>
    <mergeCell ref="J812:J813"/>
    <mergeCell ref="K812:K813"/>
    <mergeCell ref="L812:L813"/>
    <mergeCell ref="M812:M813"/>
    <mergeCell ref="N812:N813"/>
    <mergeCell ref="A814:A815"/>
    <mergeCell ref="B814:B815"/>
    <mergeCell ref="C814:C815"/>
    <mergeCell ref="D814:D815"/>
    <mergeCell ref="E814:E815"/>
    <mergeCell ref="M810:M811"/>
    <mergeCell ref="N810:N811"/>
    <mergeCell ref="O810:P810"/>
    <mergeCell ref="A812:A813"/>
    <mergeCell ref="B812:B813"/>
    <mergeCell ref="C812:C813"/>
    <mergeCell ref="D812:D813"/>
    <mergeCell ref="E812:E813"/>
    <mergeCell ref="F812:F813"/>
    <mergeCell ref="I812:I813"/>
    <mergeCell ref="I793:L793"/>
    <mergeCell ref="N793:P793"/>
    <mergeCell ref="A795:D795"/>
    <mergeCell ref="N798:P798"/>
    <mergeCell ref="I808:P808"/>
    <mergeCell ref="A810:H810"/>
    <mergeCell ref="I810:I811"/>
    <mergeCell ref="J810:J811"/>
    <mergeCell ref="K810:K811"/>
    <mergeCell ref="L810:L811"/>
    <mergeCell ref="I785:M785"/>
    <mergeCell ref="I786:M786"/>
    <mergeCell ref="A787:E787"/>
    <mergeCell ref="I787:M787"/>
    <mergeCell ref="A788:E788"/>
    <mergeCell ref="A789:E789"/>
    <mergeCell ref="A785:A786"/>
    <mergeCell ref="B785:B786"/>
    <mergeCell ref="C785:C786"/>
    <mergeCell ref="D785:D786"/>
    <mergeCell ref="E785:E786"/>
    <mergeCell ref="F785:F786"/>
    <mergeCell ref="I783:I784"/>
    <mergeCell ref="J783:J784"/>
    <mergeCell ref="K783:K784"/>
    <mergeCell ref="L783:L784"/>
    <mergeCell ref="M783:M784"/>
    <mergeCell ref="N783:N784"/>
    <mergeCell ref="A783:A784"/>
    <mergeCell ref="B783:B784"/>
    <mergeCell ref="C783:C784"/>
    <mergeCell ref="D783:D784"/>
    <mergeCell ref="E783:E784"/>
    <mergeCell ref="F783:F784"/>
    <mergeCell ref="I781:I782"/>
    <mergeCell ref="J781:J782"/>
    <mergeCell ref="K781:K782"/>
    <mergeCell ref="L781:L782"/>
    <mergeCell ref="M781:M782"/>
    <mergeCell ref="N781:N782"/>
    <mergeCell ref="I779:I780"/>
    <mergeCell ref="J779:J780"/>
    <mergeCell ref="K779:K780"/>
    <mergeCell ref="L779:L780"/>
    <mergeCell ref="M779:M780"/>
    <mergeCell ref="N779:N780"/>
    <mergeCell ref="A779:A780"/>
    <mergeCell ref="B779:B780"/>
    <mergeCell ref="C779:C780"/>
    <mergeCell ref="D779:D780"/>
    <mergeCell ref="E779:E780"/>
    <mergeCell ref="F779:F780"/>
    <mergeCell ref="I777:I778"/>
    <mergeCell ref="J777:J778"/>
    <mergeCell ref="K777:K778"/>
    <mergeCell ref="L777:L778"/>
    <mergeCell ref="M777:M778"/>
    <mergeCell ref="N777:N778"/>
    <mergeCell ref="M775:M776"/>
    <mergeCell ref="N775:N776"/>
    <mergeCell ref="O775:P775"/>
    <mergeCell ref="A777:A778"/>
    <mergeCell ref="B777:B778"/>
    <mergeCell ref="C777:C778"/>
    <mergeCell ref="D777:D778"/>
    <mergeCell ref="E777:E778"/>
    <mergeCell ref="F777:F778"/>
    <mergeCell ref="G777:H777"/>
    <mergeCell ref="I758:L758"/>
    <mergeCell ref="N758:P758"/>
    <mergeCell ref="A760:D760"/>
    <mergeCell ref="N763:P763"/>
    <mergeCell ref="I773:P773"/>
    <mergeCell ref="A775:H775"/>
    <mergeCell ref="I775:I776"/>
    <mergeCell ref="J775:J776"/>
    <mergeCell ref="K775:K776"/>
    <mergeCell ref="L775:L776"/>
    <mergeCell ref="I750:M750"/>
    <mergeCell ref="I751:M751"/>
    <mergeCell ref="A752:E752"/>
    <mergeCell ref="I752:M752"/>
    <mergeCell ref="A753:E753"/>
    <mergeCell ref="A754:E754"/>
    <mergeCell ref="A750:A751"/>
    <mergeCell ref="B750:B751"/>
    <mergeCell ref="C750:C751"/>
    <mergeCell ref="D750:D751"/>
    <mergeCell ref="E750:E751"/>
    <mergeCell ref="F750:F751"/>
    <mergeCell ref="I748:I749"/>
    <mergeCell ref="J748:J749"/>
    <mergeCell ref="K748:K749"/>
    <mergeCell ref="L748:L749"/>
    <mergeCell ref="M748:M749"/>
    <mergeCell ref="N748:N749"/>
    <mergeCell ref="A748:A749"/>
    <mergeCell ref="B748:B749"/>
    <mergeCell ref="C748:C749"/>
    <mergeCell ref="D748:D749"/>
    <mergeCell ref="E748:E749"/>
    <mergeCell ref="F748:F749"/>
    <mergeCell ref="I746:I747"/>
    <mergeCell ref="J746:J747"/>
    <mergeCell ref="K746:K747"/>
    <mergeCell ref="L746:L747"/>
    <mergeCell ref="M746:M747"/>
    <mergeCell ref="N746:N747"/>
    <mergeCell ref="A746:A747"/>
    <mergeCell ref="B746:B747"/>
    <mergeCell ref="C746:C747"/>
    <mergeCell ref="D746:D747"/>
    <mergeCell ref="E746:E747"/>
    <mergeCell ref="F746:F747"/>
    <mergeCell ref="I744:I745"/>
    <mergeCell ref="J744:J745"/>
    <mergeCell ref="K744:K745"/>
    <mergeCell ref="L744:L745"/>
    <mergeCell ref="M744:M745"/>
    <mergeCell ref="N744:N745"/>
    <mergeCell ref="A744:A745"/>
    <mergeCell ref="B744:B745"/>
    <mergeCell ref="C744:C745"/>
    <mergeCell ref="D744:D745"/>
    <mergeCell ref="E744:E745"/>
    <mergeCell ref="F744:F745"/>
    <mergeCell ref="I742:I743"/>
    <mergeCell ref="J742:J743"/>
    <mergeCell ref="K742:K743"/>
    <mergeCell ref="L742:L743"/>
    <mergeCell ref="M742:M743"/>
    <mergeCell ref="N742:N743"/>
    <mergeCell ref="I740:I741"/>
    <mergeCell ref="J740:J741"/>
    <mergeCell ref="K740:K741"/>
    <mergeCell ref="L740:L741"/>
    <mergeCell ref="M740:M741"/>
    <mergeCell ref="N740:N741"/>
    <mergeCell ref="M738:M739"/>
    <mergeCell ref="N738:N739"/>
    <mergeCell ref="O738:P738"/>
    <mergeCell ref="A740:A741"/>
    <mergeCell ref="B740:B741"/>
    <mergeCell ref="C740:C741"/>
    <mergeCell ref="D740:D741"/>
    <mergeCell ref="E740:E741"/>
    <mergeCell ref="F740:F741"/>
    <mergeCell ref="G740:H740"/>
    <mergeCell ref="I721:L721"/>
    <mergeCell ref="N721:P721"/>
    <mergeCell ref="A723:D723"/>
    <mergeCell ref="N726:P726"/>
    <mergeCell ref="I736:P736"/>
    <mergeCell ref="A738:H738"/>
    <mergeCell ref="I738:I739"/>
    <mergeCell ref="J738:J739"/>
    <mergeCell ref="K738:K739"/>
    <mergeCell ref="L738:L739"/>
    <mergeCell ref="I713:M713"/>
    <mergeCell ref="I714:M714"/>
    <mergeCell ref="A715:E715"/>
    <mergeCell ref="I715:M715"/>
    <mergeCell ref="A716:E716"/>
    <mergeCell ref="A717:E717"/>
    <mergeCell ref="A713:A714"/>
    <mergeCell ref="B713:B714"/>
    <mergeCell ref="C713:C714"/>
    <mergeCell ref="D713:D714"/>
    <mergeCell ref="E713:E714"/>
    <mergeCell ref="F713:F714"/>
    <mergeCell ref="I711:I712"/>
    <mergeCell ref="J711:J712"/>
    <mergeCell ref="K711:K712"/>
    <mergeCell ref="L711:L712"/>
    <mergeCell ref="M711:M712"/>
    <mergeCell ref="N711:N712"/>
    <mergeCell ref="A711:A712"/>
    <mergeCell ref="B711:B712"/>
    <mergeCell ref="C711:C712"/>
    <mergeCell ref="D711:D712"/>
    <mergeCell ref="E711:E712"/>
    <mergeCell ref="F711:F712"/>
    <mergeCell ref="I709:I710"/>
    <mergeCell ref="J709:J710"/>
    <mergeCell ref="K709:K710"/>
    <mergeCell ref="L709:L710"/>
    <mergeCell ref="M709:M710"/>
    <mergeCell ref="N709:N710"/>
    <mergeCell ref="I707:I708"/>
    <mergeCell ref="J707:J708"/>
    <mergeCell ref="K707:K708"/>
    <mergeCell ref="L707:L708"/>
    <mergeCell ref="M707:M708"/>
    <mergeCell ref="N707:N708"/>
    <mergeCell ref="K705:K706"/>
    <mergeCell ref="L705:L706"/>
    <mergeCell ref="M705:M706"/>
    <mergeCell ref="N705:N706"/>
    <mergeCell ref="A707:A708"/>
    <mergeCell ref="B707:B708"/>
    <mergeCell ref="C707:C708"/>
    <mergeCell ref="D707:D708"/>
    <mergeCell ref="E707:E708"/>
    <mergeCell ref="F707:F708"/>
    <mergeCell ref="N703:N704"/>
    <mergeCell ref="O703:P703"/>
    <mergeCell ref="A705:A706"/>
    <mergeCell ref="B705:B706"/>
    <mergeCell ref="C705:C706"/>
    <mergeCell ref="D705:D706"/>
    <mergeCell ref="E705:E706"/>
    <mergeCell ref="F705:F706"/>
    <mergeCell ref="I705:I706"/>
    <mergeCell ref="J705:J706"/>
    <mergeCell ref="G703:H703"/>
    <mergeCell ref="I703:I704"/>
    <mergeCell ref="J703:J704"/>
    <mergeCell ref="K703:K704"/>
    <mergeCell ref="L703:L704"/>
    <mergeCell ref="M703:M704"/>
    <mergeCell ref="A703:A704"/>
    <mergeCell ref="B703:B704"/>
    <mergeCell ref="C703:C704"/>
    <mergeCell ref="D703:D704"/>
    <mergeCell ref="E703:E704"/>
    <mergeCell ref="F703:F704"/>
    <mergeCell ref="A686:D686"/>
    <mergeCell ref="I686:L686"/>
    <mergeCell ref="N686:P686"/>
    <mergeCell ref="N691:P691"/>
    <mergeCell ref="A701:H701"/>
    <mergeCell ref="I701:P701"/>
    <mergeCell ref="A678:E678"/>
    <mergeCell ref="I678:M678"/>
    <mergeCell ref="A679:E679"/>
    <mergeCell ref="I679:M679"/>
    <mergeCell ref="A680:E680"/>
    <mergeCell ref="I680:M680"/>
    <mergeCell ref="I676:I677"/>
    <mergeCell ref="J676:J677"/>
    <mergeCell ref="K676:K677"/>
    <mergeCell ref="L676:L677"/>
    <mergeCell ref="M676:M677"/>
    <mergeCell ref="N676:N677"/>
    <mergeCell ref="A676:A677"/>
    <mergeCell ref="B676:B677"/>
    <mergeCell ref="C676:C677"/>
    <mergeCell ref="D676:D677"/>
    <mergeCell ref="E676:E677"/>
    <mergeCell ref="F676:F677"/>
    <mergeCell ref="N689:P689"/>
    <mergeCell ref="I674:I675"/>
    <mergeCell ref="J674:J675"/>
    <mergeCell ref="K674:K675"/>
    <mergeCell ref="L674:L675"/>
    <mergeCell ref="M674:M675"/>
    <mergeCell ref="N674:N675"/>
    <mergeCell ref="A674:A675"/>
    <mergeCell ref="B674:B675"/>
    <mergeCell ref="C674:C675"/>
    <mergeCell ref="D674:D675"/>
    <mergeCell ref="E674:E675"/>
    <mergeCell ref="F674:F675"/>
    <mergeCell ref="I672:I673"/>
    <mergeCell ref="J672:J673"/>
    <mergeCell ref="K672:K673"/>
    <mergeCell ref="L672:L673"/>
    <mergeCell ref="M672:M673"/>
    <mergeCell ref="N672:N673"/>
    <mergeCell ref="K670:K671"/>
    <mergeCell ref="L670:L671"/>
    <mergeCell ref="M670:M671"/>
    <mergeCell ref="N670:N671"/>
    <mergeCell ref="A672:A673"/>
    <mergeCell ref="B672:B673"/>
    <mergeCell ref="C672:C673"/>
    <mergeCell ref="D672:D673"/>
    <mergeCell ref="E672:E673"/>
    <mergeCell ref="F672:F673"/>
    <mergeCell ref="N668:N669"/>
    <mergeCell ref="O668:P668"/>
    <mergeCell ref="A670:A671"/>
    <mergeCell ref="B670:B671"/>
    <mergeCell ref="C670:C671"/>
    <mergeCell ref="D670:D671"/>
    <mergeCell ref="E670:E671"/>
    <mergeCell ref="F670:F671"/>
    <mergeCell ref="I670:I671"/>
    <mergeCell ref="J670:J671"/>
    <mergeCell ref="G668:H668"/>
    <mergeCell ref="I668:I669"/>
    <mergeCell ref="J668:J669"/>
    <mergeCell ref="K668:K669"/>
    <mergeCell ref="L668:L669"/>
    <mergeCell ref="M668:M669"/>
    <mergeCell ref="A668:A669"/>
    <mergeCell ref="B668:B669"/>
    <mergeCell ref="C668:C669"/>
    <mergeCell ref="D668:D669"/>
    <mergeCell ref="E668:E669"/>
    <mergeCell ref="F668:F669"/>
    <mergeCell ref="A651:D651"/>
    <mergeCell ref="I651:L651"/>
    <mergeCell ref="N652:P652"/>
    <mergeCell ref="N657:P657"/>
    <mergeCell ref="A666:H666"/>
    <mergeCell ref="I666:P666"/>
    <mergeCell ref="A643:E643"/>
    <mergeCell ref="I643:M643"/>
    <mergeCell ref="A644:E644"/>
    <mergeCell ref="I644:M644"/>
    <mergeCell ref="A645:E645"/>
    <mergeCell ref="I645:M645"/>
    <mergeCell ref="I641:I642"/>
    <mergeCell ref="J641:J642"/>
    <mergeCell ref="K641:K642"/>
    <mergeCell ref="L641:L642"/>
    <mergeCell ref="M641:M642"/>
    <mergeCell ref="N641:N642"/>
    <mergeCell ref="I639:I640"/>
    <mergeCell ref="J639:J640"/>
    <mergeCell ref="K639:K640"/>
    <mergeCell ref="L639:L640"/>
    <mergeCell ref="M639:M640"/>
    <mergeCell ref="N639:N640"/>
    <mergeCell ref="I637:I638"/>
    <mergeCell ref="J637:J638"/>
    <mergeCell ref="K637:K638"/>
    <mergeCell ref="L637:L638"/>
    <mergeCell ref="M637:M638"/>
    <mergeCell ref="N637:N638"/>
    <mergeCell ref="A637:A638"/>
    <mergeCell ref="B637:B638"/>
    <mergeCell ref="C637:C638"/>
    <mergeCell ref="D637:D638"/>
    <mergeCell ref="E637:E638"/>
    <mergeCell ref="F637:F638"/>
    <mergeCell ref="F631:F632"/>
    <mergeCell ref="I635:I636"/>
    <mergeCell ref="J635:J636"/>
    <mergeCell ref="K635:K636"/>
    <mergeCell ref="L635:L636"/>
    <mergeCell ref="M635:M636"/>
    <mergeCell ref="N635:N636"/>
    <mergeCell ref="K633:K634"/>
    <mergeCell ref="L633:L634"/>
    <mergeCell ref="M633:M634"/>
    <mergeCell ref="N633:N634"/>
    <mergeCell ref="A635:A636"/>
    <mergeCell ref="B635:B636"/>
    <mergeCell ref="C635:C636"/>
    <mergeCell ref="D635:D636"/>
    <mergeCell ref="E635:E636"/>
    <mergeCell ref="F635:F636"/>
    <mergeCell ref="N631:N632"/>
    <mergeCell ref="A614:D614"/>
    <mergeCell ref="I614:L614"/>
    <mergeCell ref="N614:P614"/>
    <mergeCell ref="N619:P619"/>
    <mergeCell ref="A629:H629"/>
    <mergeCell ref="I629:P629"/>
    <mergeCell ref="A606:E606"/>
    <mergeCell ref="I606:M606"/>
    <mergeCell ref="A607:E607"/>
    <mergeCell ref="I607:M607"/>
    <mergeCell ref="A608:E608"/>
    <mergeCell ref="I608:M608"/>
    <mergeCell ref="O631:P631"/>
    <mergeCell ref="A633:A634"/>
    <mergeCell ref="B633:B634"/>
    <mergeCell ref="C633:C634"/>
    <mergeCell ref="D633:D634"/>
    <mergeCell ref="E633:E634"/>
    <mergeCell ref="F633:F634"/>
    <mergeCell ref="I633:I634"/>
    <mergeCell ref="J633:J634"/>
    <mergeCell ref="G631:H631"/>
    <mergeCell ref="I631:I632"/>
    <mergeCell ref="J631:J632"/>
    <mergeCell ref="K631:K632"/>
    <mergeCell ref="L631:L632"/>
    <mergeCell ref="M631:M632"/>
    <mergeCell ref="A631:A632"/>
    <mergeCell ref="B631:B632"/>
    <mergeCell ref="C631:C632"/>
    <mergeCell ref="D631:D632"/>
    <mergeCell ref="E631:E632"/>
    <mergeCell ref="I602:I603"/>
    <mergeCell ref="J602:J603"/>
    <mergeCell ref="K602:K603"/>
    <mergeCell ref="L602:L603"/>
    <mergeCell ref="M602:M603"/>
    <mergeCell ref="N602:N603"/>
    <mergeCell ref="I600:I601"/>
    <mergeCell ref="J600:J601"/>
    <mergeCell ref="K600:K601"/>
    <mergeCell ref="L600:L601"/>
    <mergeCell ref="M600:M601"/>
    <mergeCell ref="N600:N601"/>
    <mergeCell ref="A600:A601"/>
    <mergeCell ref="B600:B601"/>
    <mergeCell ref="C600:C601"/>
    <mergeCell ref="D600:D601"/>
    <mergeCell ref="E600:E601"/>
    <mergeCell ref="F600:F601"/>
    <mergeCell ref="K596:K597"/>
    <mergeCell ref="L596:L597"/>
    <mergeCell ref="M596:M597"/>
    <mergeCell ref="N596:N597"/>
    <mergeCell ref="I598:I599"/>
    <mergeCell ref="J598:J599"/>
    <mergeCell ref="K598:K599"/>
    <mergeCell ref="L598:L599"/>
    <mergeCell ref="M598:M599"/>
    <mergeCell ref="N598:N599"/>
    <mergeCell ref="N594:N595"/>
    <mergeCell ref="O594:P594"/>
    <mergeCell ref="A596:A597"/>
    <mergeCell ref="B596:B597"/>
    <mergeCell ref="C596:C597"/>
    <mergeCell ref="D596:D597"/>
    <mergeCell ref="E596:E597"/>
    <mergeCell ref="F596:F597"/>
    <mergeCell ref="I596:I597"/>
    <mergeCell ref="J596:J597"/>
    <mergeCell ref="G594:H594"/>
    <mergeCell ref="I594:I595"/>
    <mergeCell ref="J594:J595"/>
    <mergeCell ref="K594:K595"/>
    <mergeCell ref="L594:L595"/>
    <mergeCell ref="M594:M595"/>
    <mergeCell ref="A594:A595"/>
    <mergeCell ref="B594:B595"/>
    <mergeCell ref="C594:C595"/>
    <mergeCell ref="D594:D595"/>
    <mergeCell ref="E594:E595"/>
    <mergeCell ref="F594:F595"/>
    <mergeCell ref="A577:D577"/>
    <mergeCell ref="I577:L577"/>
    <mergeCell ref="N577:P577"/>
    <mergeCell ref="N582:P582"/>
    <mergeCell ref="A592:H592"/>
    <mergeCell ref="I592:P592"/>
    <mergeCell ref="A569:E569"/>
    <mergeCell ref="I569:M569"/>
    <mergeCell ref="A570:E570"/>
    <mergeCell ref="I570:M570"/>
    <mergeCell ref="A571:E571"/>
    <mergeCell ref="I571:M571"/>
    <mergeCell ref="I567:I568"/>
    <mergeCell ref="J567:J568"/>
    <mergeCell ref="K567:K568"/>
    <mergeCell ref="L567:L568"/>
    <mergeCell ref="M567:M568"/>
    <mergeCell ref="N567:N568"/>
    <mergeCell ref="A567:A568"/>
    <mergeCell ref="B567:B568"/>
    <mergeCell ref="C567:C568"/>
    <mergeCell ref="D567:D568"/>
    <mergeCell ref="E567:E568"/>
    <mergeCell ref="F567:F568"/>
    <mergeCell ref="I565:I566"/>
    <mergeCell ref="J565:J566"/>
    <mergeCell ref="K565:K566"/>
    <mergeCell ref="L565:L566"/>
    <mergeCell ref="M565:M566"/>
    <mergeCell ref="N565:N566"/>
    <mergeCell ref="K563:K564"/>
    <mergeCell ref="L563:L564"/>
    <mergeCell ref="M563:M564"/>
    <mergeCell ref="N563:N564"/>
    <mergeCell ref="A565:A566"/>
    <mergeCell ref="B565:B566"/>
    <mergeCell ref="C565:C566"/>
    <mergeCell ref="D565:D566"/>
    <mergeCell ref="E565:E566"/>
    <mergeCell ref="F565:F566"/>
    <mergeCell ref="N561:N562"/>
    <mergeCell ref="O561:P561"/>
    <mergeCell ref="A563:A564"/>
    <mergeCell ref="B563:B564"/>
    <mergeCell ref="C563:C564"/>
    <mergeCell ref="D563:D564"/>
    <mergeCell ref="E563:E564"/>
    <mergeCell ref="F563:F564"/>
    <mergeCell ref="I563:I564"/>
    <mergeCell ref="J563:J564"/>
    <mergeCell ref="G561:H561"/>
    <mergeCell ref="I561:I562"/>
    <mergeCell ref="J561:J562"/>
    <mergeCell ref="K561:K562"/>
    <mergeCell ref="L561:L562"/>
    <mergeCell ref="M561:M562"/>
    <mergeCell ref="A561:A562"/>
    <mergeCell ref="B561:B562"/>
    <mergeCell ref="C561:C562"/>
    <mergeCell ref="D561:D562"/>
    <mergeCell ref="E561:E562"/>
    <mergeCell ref="F561:F562"/>
    <mergeCell ref="A544:D544"/>
    <mergeCell ref="I544:L544"/>
    <mergeCell ref="N544:P544"/>
    <mergeCell ref="N549:P549"/>
    <mergeCell ref="A559:H559"/>
    <mergeCell ref="I559:P559"/>
    <mergeCell ref="A536:E536"/>
    <mergeCell ref="I536:M536"/>
    <mergeCell ref="A537:E537"/>
    <mergeCell ref="I537:M537"/>
    <mergeCell ref="A538:E538"/>
    <mergeCell ref="I538:M538"/>
    <mergeCell ref="I534:I535"/>
    <mergeCell ref="J534:J535"/>
    <mergeCell ref="K534:K535"/>
    <mergeCell ref="L534:L535"/>
    <mergeCell ref="M534:M535"/>
    <mergeCell ref="N534:N535"/>
    <mergeCell ref="A534:A535"/>
    <mergeCell ref="B534:B535"/>
    <mergeCell ref="C534:C535"/>
    <mergeCell ref="D534:D535"/>
    <mergeCell ref="E534:E535"/>
    <mergeCell ref="F534:F535"/>
    <mergeCell ref="I532:I533"/>
    <mergeCell ref="J532:J533"/>
    <mergeCell ref="K532:K533"/>
    <mergeCell ref="L532:L533"/>
    <mergeCell ref="M532:M533"/>
    <mergeCell ref="N532:N533"/>
    <mergeCell ref="K528:K529"/>
    <mergeCell ref="L528:L529"/>
    <mergeCell ref="M528:M529"/>
    <mergeCell ref="N528:N529"/>
    <mergeCell ref="A532:A533"/>
    <mergeCell ref="B532:B533"/>
    <mergeCell ref="C532:C533"/>
    <mergeCell ref="D532:D533"/>
    <mergeCell ref="E532:E533"/>
    <mergeCell ref="F532:F533"/>
    <mergeCell ref="N526:N527"/>
    <mergeCell ref="I530:I531"/>
    <mergeCell ref="J530:J531"/>
    <mergeCell ref="K530:K531"/>
    <mergeCell ref="L530:L531"/>
    <mergeCell ref="M530:M531"/>
    <mergeCell ref="N530:N531"/>
    <mergeCell ref="O526:P526"/>
    <mergeCell ref="A528:A529"/>
    <mergeCell ref="B528:B529"/>
    <mergeCell ref="C528:C529"/>
    <mergeCell ref="D528:D529"/>
    <mergeCell ref="E528:E529"/>
    <mergeCell ref="F528:F529"/>
    <mergeCell ref="I528:I529"/>
    <mergeCell ref="J528:J529"/>
    <mergeCell ref="G526:H526"/>
    <mergeCell ref="I526:I527"/>
    <mergeCell ref="J526:J527"/>
    <mergeCell ref="K526:K527"/>
    <mergeCell ref="L526:L527"/>
    <mergeCell ref="M526:M527"/>
    <mergeCell ref="A526:A527"/>
    <mergeCell ref="B526:B527"/>
    <mergeCell ref="C526:C527"/>
    <mergeCell ref="D526:D527"/>
    <mergeCell ref="E526:E527"/>
    <mergeCell ref="F526:F527"/>
    <mergeCell ref="A509:D509"/>
    <mergeCell ref="I509:L509"/>
    <mergeCell ref="N509:P509"/>
    <mergeCell ref="N514:P514"/>
    <mergeCell ref="A524:H524"/>
    <mergeCell ref="I524:P524"/>
    <mergeCell ref="A501:E501"/>
    <mergeCell ref="I501:M501"/>
    <mergeCell ref="A502:E502"/>
    <mergeCell ref="I502:M502"/>
    <mergeCell ref="A503:E503"/>
    <mergeCell ref="I503:M503"/>
    <mergeCell ref="I499:I500"/>
    <mergeCell ref="J499:J500"/>
    <mergeCell ref="K499:K500"/>
    <mergeCell ref="L499:L500"/>
    <mergeCell ref="M499:M500"/>
    <mergeCell ref="N499:N500"/>
    <mergeCell ref="A499:A500"/>
    <mergeCell ref="B499:B500"/>
    <mergeCell ref="C499:C500"/>
    <mergeCell ref="D499:D500"/>
    <mergeCell ref="E499:E500"/>
    <mergeCell ref="F499:F500"/>
    <mergeCell ref="I497:I498"/>
    <mergeCell ref="J497:J498"/>
    <mergeCell ref="K497:K498"/>
    <mergeCell ref="L497:L498"/>
    <mergeCell ref="M497:M498"/>
    <mergeCell ref="N497:N498"/>
    <mergeCell ref="A497:A498"/>
    <mergeCell ref="B497:B498"/>
    <mergeCell ref="C497:C498"/>
    <mergeCell ref="D497:D498"/>
    <mergeCell ref="E497:E498"/>
    <mergeCell ref="F497:F498"/>
    <mergeCell ref="K493:K494"/>
    <mergeCell ref="L493:L494"/>
    <mergeCell ref="M493:M494"/>
    <mergeCell ref="N493:N494"/>
    <mergeCell ref="I495:I496"/>
    <mergeCell ref="J495:J496"/>
    <mergeCell ref="K495:K496"/>
    <mergeCell ref="L495:L496"/>
    <mergeCell ref="M495:M496"/>
    <mergeCell ref="N495:N496"/>
    <mergeCell ref="N491:N492"/>
    <mergeCell ref="O491:P491"/>
    <mergeCell ref="A493:A494"/>
    <mergeCell ref="B493:B494"/>
    <mergeCell ref="C493:C494"/>
    <mergeCell ref="D493:D494"/>
    <mergeCell ref="E493:E494"/>
    <mergeCell ref="F493:F494"/>
    <mergeCell ref="I493:I494"/>
    <mergeCell ref="J493:J494"/>
    <mergeCell ref="G491:H491"/>
    <mergeCell ref="I491:I492"/>
    <mergeCell ref="J491:J492"/>
    <mergeCell ref="K491:K492"/>
    <mergeCell ref="L491:L492"/>
    <mergeCell ref="M491:M492"/>
    <mergeCell ref="A491:A492"/>
    <mergeCell ref="B491:B492"/>
    <mergeCell ref="C491:C492"/>
    <mergeCell ref="D491:D492"/>
    <mergeCell ref="E491:E492"/>
    <mergeCell ref="F491:F492"/>
    <mergeCell ref="A474:D474"/>
    <mergeCell ref="I474:L474"/>
    <mergeCell ref="N474:P474"/>
    <mergeCell ref="N479:P479"/>
    <mergeCell ref="A489:H489"/>
    <mergeCell ref="I489:P489"/>
    <mergeCell ref="A466:E466"/>
    <mergeCell ref="I466:M466"/>
    <mergeCell ref="A467:E467"/>
    <mergeCell ref="I467:M467"/>
    <mergeCell ref="A468:E468"/>
    <mergeCell ref="I468:M468"/>
    <mergeCell ref="I464:I465"/>
    <mergeCell ref="J464:J465"/>
    <mergeCell ref="K464:K465"/>
    <mergeCell ref="L464:L465"/>
    <mergeCell ref="M464:M465"/>
    <mergeCell ref="N464:N465"/>
    <mergeCell ref="A464:A465"/>
    <mergeCell ref="B464:B465"/>
    <mergeCell ref="C464:C465"/>
    <mergeCell ref="D464:D465"/>
    <mergeCell ref="E464:E465"/>
    <mergeCell ref="F464:F465"/>
    <mergeCell ref="I462:I463"/>
    <mergeCell ref="J462:J463"/>
    <mergeCell ref="K462:K463"/>
    <mergeCell ref="L462:L463"/>
    <mergeCell ref="M462:M463"/>
    <mergeCell ref="N462:N463"/>
    <mergeCell ref="A462:A463"/>
    <mergeCell ref="B462:B463"/>
    <mergeCell ref="C462:C463"/>
    <mergeCell ref="D462:D463"/>
    <mergeCell ref="E462:E463"/>
    <mergeCell ref="F462:F463"/>
    <mergeCell ref="I460:I461"/>
    <mergeCell ref="J460:J461"/>
    <mergeCell ref="K460:K461"/>
    <mergeCell ref="L460:L461"/>
    <mergeCell ref="M460:M461"/>
    <mergeCell ref="N460:N461"/>
    <mergeCell ref="K458:K459"/>
    <mergeCell ref="L458:L459"/>
    <mergeCell ref="M458:M459"/>
    <mergeCell ref="N458:N459"/>
    <mergeCell ref="A460:A461"/>
    <mergeCell ref="B460:B461"/>
    <mergeCell ref="C460:C461"/>
    <mergeCell ref="D460:D461"/>
    <mergeCell ref="E460:E461"/>
    <mergeCell ref="F460:F461"/>
    <mergeCell ref="N456:N457"/>
    <mergeCell ref="O456:P456"/>
    <mergeCell ref="A458:A459"/>
    <mergeCell ref="B458:B459"/>
    <mergeCell ref="C458:C459"/>
    <mergeCell ref="D458:D459"/>
    <mergeCell ref="E458:E459"/>
    <mergeCell ref="F458:F459"/>
    <mergeCell ref="I458:I459"/>
    <mergeCell ref="J458:J459"/>
    <mergeCell ref="G456:H456"/>
    <mergeCell ref="I456:I457"/>
    <mergeCell ref="J456:J457"/>
    <mergeCell ref="K456:K457"/>
    <mergeCell ref="L456:L457"/>
    <mergeCell ref="M456:M457"/>
    <mergeCell ref="A456:A457"/>
    <mergeCell ref="B456:B457"/>
    <mergeCell ref="C456:C457"/>
    <mergeCell ref="D456:D457"/>
    <mergeCell ref="E456:E457"/>
    <mergeCell ref="F456:F457"/>
    <mergeCell ref="A439:D439"/>
    <mergeCell ref="I439:L439"/>
    <mergeCell ref="N439:P439"/>
    <mergeCell ref="N444:P444"/>
    <mergeCell ref="A454:H454"/>
    <mergeCell ref="I454:P454"/>
    <mergeCell ref="A431:E431"/>
    <mergeCell ref="I431:M431"/>
    <mergeCell ref="A432:E432"/>
    <mergeCell ref="I432:M432"/>
    <mergeCell ref="A433:E433"/>
    <mergeCell ref="I433:M433"/>
    <mergeCell ref="I429:I430"/>
    <mergeCell ref="J429:J430"/>
    <mergeCell ref="K429:K430"/>
    <mergeCell ref="L429:L430"/>
    <mergeCell ref="M429:M430"/>
    <mergeCell ref="N429:N430"/>
    <mergeCell ref="A429:A430"/>
    <mergeCell ref="B429:B430"/>
    <mergeCell ref="C429:C430"/>
    <mergeCell ref="D429:D430"/>
    <mergeCell ref="E429:E430"/>
    <mergeCell ref="F429:F430"/>
    <mergeCell ref="I427:I428"/>
    <mergeCell ref="J427:J428"/>
    <mergeCell ref="K427:K428"/>
    <mergeCell ref="L427:L428"/>
    <mergeCell ref="M427:M428"/>
    <mergeCell ref="N427:N428"/>
    <mergeCell ref="A427:A428"/>
    <mergeCell ref="B427:B428"/>
    <mergeCell ref="C427:C428"/>
    <mergeCell ref="D427:D428"/>
    <mergeCell ref="E427:E428"/>
    <mergeCell ref="F427:F428"/>
    <mergeCell ref="I425:I426"/>
    <mergeCell ref="J425:J426"/>
    <mergeCell ref="K425:K426"/>
    <mergeCell ref="L425:L426"/>
    <mergeCell ref="M425:M426"/>
    <mergeCell ref="N425:N426"/>
    <mergeCell ref="K423:K424"/>
    <mergeCell ref="L423:L424"/>
    <mergeCell ref="M423:M424"/>
    <mergeCell ref="N423:N424"/>
    <mergeCell ref="A425:A426"/>
    <mergeCell ref="B425:B426"/>
    <mergeCell ref="C425:C426"/>
    <mergeCell ref="D425:D426"/>
    <mergeCell ref="E425:E426"/>
    <mergeCell ref="F425:F426"/>
    <mergeCell ref="N421:N422"/>
    <mergeCell ref="O421:P421"/>
    <mergeCell ref="A423:A424"/>
    <mergeCell ref="B423:B424"/>
    <mergeCell ref="C423:C424"/>
    <mergeCell ref="D423:D424"/>
    <mergeCell ref="E423:E424"/>
    <mergeCell ref="F423:F424"/>
    <mergeCell ref="I423:I424"/>
    <mergeCell ref="J423:J424"/>
    <mergeCell ref="G421:H421"/>
    <mergeCell ref="I421:I422"/>
    <mergeCell ref="J421:J422"/>
    <mergeCell ref="K421:K422"/>
    <mergeCell ref="L421:L422"/>
    <mergeCell ref="M421:M422"/>
    <mergeCell ref="A421:A422"/>
    <mergeCell ref="B421:B422"/>
    <mergeCell ref="C421:C422"/>
    <mergeCell ref="D421:D422"/>
    <mergeCell ref="E421:E422"/>
    <mergeCell ref="F421:F422"/>
    <mergeCell ref="A404:D404"/>
    <mergeCell ref="I404:L404"/>
    <mergeCell ref="N404:P404"/>
    <mergeCell ref="N409:P409"/>
    <mergeCell ref="A419:H419"/>
    <mergeCell ref="I419:P419"/>
    <mergeCell ref="A396:E396"/>
    <mergeCell ref="I396:M396"/>
    <mergeCell ref="A397:E397"/>
    <mergeCell ref="I397:M397"/>
    <mergeCell ref="A398:E398"/>
    <mergeCell ref="I398:M398"/>
    <mergeCell ref="I394:I395"/>
    <mergeCell ref="J394:J395"/>
    <mergeCell ref="K394:K395"/>
    <mergeCell ref="L394:L395"/>
    <mergeCell ref="M394:M395"/>
    <mergeCell ref="N394:N395"/>
    <mergeCell ref="A394:A395"/>
    <mergeCell ref="B394:B395"/>
    <mergeCell ref="C394:C395"/>
    <mergeCell ref="D394:D395"/>
    <mergeCell ref="E394:E395"/>
    <mergeCell ref="F394:F395"/>
    <mergeCell ref="I392:I393"/>
    <mergeCell ref="J392:J393"/>
    <mergeCell ref="K392:K393"/>
    <mergeCell ref="L392:L393"/>
    <mergeCell ref="M392:M393"/>
    <mergeCell ref="N392:N393"/>
    <mergeCell ref="A392:A393"/>
    <mergeCell ref="B392:B393"/>
    <mergeCell ref="C392:C393"/>
    <mergeCell ref="D392:D393"/>
    <mergeCell ref="E392:E393"/>
    <mergeCell ref="F392:F393"/>
    <mergeCell ref="I390:I391"/>
    <mergeCell ref="J390:J391"/>
    <mergeCell ref="K390:K391"/>
    <mergeCell ref="L390:L391"/>
    <mergeCell ref="M390:M391"/>
    <mergeCell ref="N390:N391"/>
    <mergeCell ref="A390:A391"/>
    <mergeCell ref="B390:B391"/>
    <mergeCell ref="C390:C391"/>
    <mergeCell ref="D390:D391"/>
    <mergeCell ref="E390:E391"/>
    <mergeCell ref="F390:F391"/>
    <mergeCell ref="I388:I389"/>
    <mergeCell ref="J388:J389"/>
    <mergeCell ref="K388:K389"/>
    <mergeCell ref="L388:L389"/>
    <mergeCell ref="M388:M389"/>
    <mergeCell ref="N388:N389"/>
    <mergeCell ref="K386:K387"/>
    <mergeCell ref="L386:L387"/>
    <mergeCell ref="M386:M387"/>
    <mergeCell ref="N386:N387"/>
    <mergeCell ref="A388:A389"/>
    <mergeCell ref="B388:B389"/>
    <mergeCell ref="C388:C389"/>
    <mergeCell ref="D388:D389"/>
    <mergeCell ref="E388:E389"/>
    <mergeCell ref="F388:F389"/>
    <mergeCell ref="N384:N385"/>
    <mergeCell ref="K357:K358"/>
    <mergeCell ref="L357:L358"/>
    <mergeCell ref="M357:M358"/>
    <mergeCell ref="N357:N358"/>
    <mergeCell ref="A357:A358"/>
    <mergeCell ref="B357:B358"/>
    <mergeCell ref="C357:C358"/>
    <mergeCell ref="D357:D358"/>
    <mergeCell ref="E357:E358"/>
    <mergeCell ref="F357:F358"/>
    <mergeCell ref="O384:P384"/>
    <mergeCell ref="A386:A387"/>
    <mergeCell ref="B386:B387"/>
    <mergeCell ref="C386:C387"/>
    <mergeCell ref="D386:D387"/>
    <mergeCell ref="E386:E387"/>
    <mergeCell ref="F386:F387"/>
    <mergeCell ref="I386:I387"/>
    <mergeCell ref="J386:J387"/>
    <mergeCell ref="G384:H384"/>
    <mergeCell ref="I384:I385"/>
    <mergeCell ref="J384:J385"/>
    <mergeCell ref="K384:K385"/>
    <mergeCell ref="L384:L385"/>
    <mergeCell ref="M384:M385"/>
    <mergeCell ref="A384:A385"/>
    <mergeCell ref="B384:B385"/>
    <mergeCell ref="C384:C385"/>
    <mergeCell ref="D384:D385"/>
    <mergeCell ref="E384:E385"/>
    <mergeCell ref="F384:F385"/>
    <mergeCell ref="D347:D348"/>
    <mergeCell ref="E347:E348"/>
    <mergeCell ref="F347:F348"/>
    <mergeCell ref="I353:I354"/>
    <mergeCell ref="J353:J354"/>
    <mergeCell ref="K353:K354"/>
    <mergeCell ref="L353:L354"/>
    <mergeCell ref="M353:M354"/>
    <mergeCell ref="N353:N354"/>
    <mergeCell ref="A353:A354"/>
    <mergeCell ref="B353:B354"/>
    <mergeCell ref="C353:C354"/>
    <mergeCell ref="D353:D354"/>
    <mergeCell ref="E353:E354"/>
    <mergeCell ref="F353:F354"/>
    <mergeCell ref="K349:K350"/>
    <mergeCell ref="L349:L350"/>
    <mergeCell ref="M349:M350"/>
    <mergeCell ref="N349:N350"/>
    <mergeCell ref="I351:I352"/>
    <mergeCell ref="J351:J352"/>
    <mergeCell ref="K351:K352"/>
    <mergeCell ref="L351:L352"/>
    <mergeCell ref="M351:M352"/>
    <mergeCell ref="N351:N352"/>
    <mergeCell ref="A330:D330"/>
    <mergeCell ref="I330:L330"/>
    <mergeCell ref="N330:P330"/>
    <mergeCell ref="N334:P334"/>
    <mergeCell ref="N335:P335"/>
    <mergeCell ref="A345:H345"/>
    <mergeCell ref="I345:P345"/>
    <mergeCell ref="A322:E322"/>
    <mergeCell ref="I322:M322"/>
    <mergeCell ref="A323:E323"/>
    <mergeCell ref="I323:M323"/>
    <mergeCell ref="A324:E324"/>
    <mergeCell ref="I324:M324"/>
    <mergeCell ref="N347:N348"/>
    <mergeCell ref="O347:P347"/>
    <mergeCell ref="A349:A350"/>
    <mergeCell ref="B349:B350"/>
    <mergeCell ref="C349:C350"/>
    <mergeCell ref="D349:D350"/>
    <mergeCell ref="E349:E350"/>
    <mergeCell ref="F349:F350"/>
    <mergeCell ref="I349:I350"/>
    <mergeCell ref="J349:J350"/>
    <mergeCell ref="G347:H347"/>
    <mergeCell ref="I347:I348"/>
    <mergeCell ref="J347:J348"/>
    <mergeCell ref="K347:K348"/>
    <mergeCell ref="L347:L348"/>
    <mergeCell ref="M347:M348"/>
    <mergeCell ref="A347:A348"/>
    <mergeCell ref="B347:B348"/>
    <mergeCell ref="C347:C348"/>
    <mergeCell ref="I320:I321"/>
    <mergeCell ref="J320:J321"/>
    <mergeCell ref="K320:K321"/>
    <mergeCell ref="L320:L321"/>
    <mergeCell ref="M320:M321"/>
    <mergeCell ref="N320:N321"/>
    <mergeCell ref="I318:I319"/>
    <mergeCell ref="J318:J319"/>
    <mergeCell ref="K318:K319"/>
    <mergeCell ref="L318:L319"/>
    <mergeCell ref="M318:M319"/>
    <mergeCell ref="N318:N319"/>
    <mergeCell ref="A318:A319"/>
    <mergeCell ref="B318:B319"/>
    <mergeCell ref="C318:C319"/>
    <mergeCell ref="D318:D319"/>
    <mergeCell ref="E318:E319"/>
    <mergeCell ref="F318:F319"/>
    <mergeCell ref="I316:I317"/>
    <mergeCell ref="J316:J317"/>
    <mergeCell ref="K316:K317"/>
    <mergeCell ref="L316:L317"/>
    <mergeCell ref="M316:M317"/>
    <mergeCell ref="N316:N317"/>
    <mergeCell ref="A316:A317"/>
    <mergeCell ref="B316:B317"/>
    <mergeCell ref="C316:C317"/>
    <mergeCell ref="D316:D317"/>
    <mergeCell ref="E316:E317"/>
    <mergeCell ref="F316:F317"/>
    <mergeCell ref="I314:I315"/>
    <mergeCell ref="J314:J315"/>
    <mergeCell ref="K314:K315"/>
    <mergeCell ref="L314:L315"/>
    <mergeCell ref="M314:M315"/>
    <mergeCell ref="N314:N315"/>
    <mergeCell ref="K312:K313"/>
    <mergeCell ref="L312:L313"/>
    <mergeCell ref="M312:M313"/>
    <mergeCell ref="N312:N313"/>
    <mergeCell ref="A314:A315"/>
    <mergeCell ref="B314:B315"/>
    <mergeCell ref="C314:C315"/>
    <mergeCell ref="D314:D315"/>
    <mergeCell ref="E314:E315"/>
    <mergeCell ref="F314:F315"/>
    <mergeCell ref="N310:N311"/>
    <mergeCell ref="O310:P310"/>
    <mergeCell ref="A312:A313"/>
    <mergeCell ref="B312:B313"/>
    <mergeCell ref="C312:C313"/>
    <mergeCell ref="D312:D313"/>
    <mergeCell ref="E312:E313"/>
    <mergeCell ref="F312:F313"/>
    <mergeCell ref="I312:I313"/>
    <mergeCell ref="J312:J313"/>
    <mergeCell ref="G310:H310"/>
    <mergeCell ref="I310:I311"/>
    <mergeCell ref="J310:J311"/>
    <mergeCell ref="K310:K311"/>
    <mergeCell ref="L310:L311"/>
    <mergeCell ref="M310:M311"/>
    <mergeCell ref="A310:A311"/>
    <mergeCell ref="B310:B311"/>
    <mergeCell ref="C310:C311"/>
    <mergeCell ref="D310:D311"/>
    <mergeCell ref="E310:E311"/>
    <mergeCell ref="F310:F311"/>
    <mergeCell ref="A293:D293"/>
    <mergeCell ref="I293:L293"/>
    <mergeCell ref="N293:P293"/>
    <mergeCell ref="N298:P298"/>
    <mergeCell ref="A308:H308"/>
    <mergeCell ref="I308:P308"/>
    <mergeCell ref="A285:E285"/>
    <mergeCell ref="I285:M285"/>
    <mergeCell ref="A286:E286"/>
    <mergeCell ref="I286:M286"/>
    <mergeCell ref="A287:E287"/>
    <mergeCell ref="I287:M287"/>
    <mergeCell ref="I283:I284"/>
    <mergeCell ref="J283:J284"/>
    <mergeCell ref="K283:K284"/>
    <mergeCell ref="L283:L284"/>
    <mergeCell ref="M283:M284"/>
    <mergeCell ref="N283:N284"/>
    <mergeCell ref="A283:A284"/>
    <mergeCell ref="B283:B284"/>
    <mergeCell ref="C283:C284"/>
    <mergeCell ref="D283:D284"/>
    <mergeCell ref="E283:E284"/>
    <mergeCell ref="F283:F284"/>
    <mergeCell ref="I279:I280"/>
    <mergeCell ref="J279:J280"/>
    <mergeCell ref="K279:K280"/>
    <mergeCell ref="L279:L280"/>
    <mergeCell ref="M279:M280"/>
    <mergeCell ref="N279:N280"/>
    <mergeCell ref="A279:A280"/>
    <mergeCell ref="B279:B280"/>
    <mergeCell ref="C279:C280"/>
    <mergeCell ref="D279:D280"/>
    <mergeCell ref="E279:E280"/>
    <mergeCell ref="F279:F280"/>
    <mergeCell ref="I277:I278"/>
    <mergeCell ref="J277:J278"/>
    <mergeCell ref="K277:K278"/>
    <mergeCell ref="L277:L278"/>
    <mergeCell ref="M277:M278"/>
    <mergeCell ref="N277:N278"/>
    <mergeCell ref="A277:A278"/>
    <mergeCell ref="B277:B278"/>
    <mergeCell ref="C277:C278"/>
    <mergeCell ref="D277:D278"/>
    <mergeCell ref="E277:E278"/>
    <mergeCell ref="F277:F278"/>
    <mergeCell ref="I275:I276"/>
    <mergeCell ref="J275:J276"/>
    <mergeCell ref="K275:K276"/>
    <mergeCell ref="L275:L276"/>
    <mergeCell ref="M275:M276"/>
    <mergeCell ref="N275:N276"/>
    <mergeCell ref="K273:K274"/>
    <mergeCell ref="L273:L274"/>
    <mergeCell ref="M273:M274"/>
    <mergeCell ref="N273:N274"/>
    <mergeCell ref="A275:A276"/>
    <mergeCell ref="B275:B276"/>
    <mergeCell ref="C275:C276"/>
    <mergeCell ref="D275:D276"/>
    <mergeCell ref="E275:E276"/>
    <mergeCell ref="F275:F276"/>
    <mergeCell ref="N271:N272"/>
    <mergeCell ref="O271:P271"/>
    <mergeCell ref="A273:A274"/>
    <mergeCell ref="B273:B274"/>
    <mergeCell ref="C273:C274"/>
    <mergeCell ref="D273:D274"/>
    <mergeCell ref="E273:E274"/>
    <mergeCell ref="F273:F274"/>
    <mergeCell ref="I273:I274"/>
    <mergeCell ref="J273:J274"/>
    <mergeCell ref="G271:H271"/>
    <mergeCell ref="I271:I272"/>
    <mergeCell ref="J271:J272"/>
    <mergeCell ref="K271:K272"/>
    <mergeCell ref="L271:L272"/>
    <mergeCell ref="M271:M272"/>
    <mergeCell ref="A271:A272"/>
    <mergeCell ref="B271:B272"/>
    <mergeCell ref="C271:C272"/>
    <mergeCell ref="D271:D272"/>
    <mergeCell ref="E271:E272"/>
    <mergeCell ref="F271:F272"/>
    <mergeCell ref="A254:D254"/>
    <mergeCell ref="I254:L254"/>
    <mergeCell ref="N254:P254"/>
    <mergeCell ref="N259:P259"/>
    <mergeCell ref="A269:H269"/>
    <mergeCell ref="I269:P269"/>
    <mergeCell ref="A246:E246"/>
    <mergeCell ref="I246:M246"/>
    <mergeCell ref="A247:E247"/>
    <mergeCell ref="I247:M247"/>
    <mergeCell ref="A248:E248"/>
    <mergeCell ref="I248:M248"/>
    <mergeCell ref="I244:I245"/>
    <mergeCell ref="J244:J245"/>
    <mergeCell ref="K244:K245"/>
    <mergeCell ref="L244:L245"/>
    <mergeCell ref="M244:M245"/>
    <mergeCell ref="N244:N245"/>
    <mergeCell ref="A244:A245"/>
    <mergeCell ref="B244:B245"/>
    <mergeCell ref="C244:C245"/>
    <mergeCell ref="D244:D245"/>
    <mergeCell ref="E244:E245"/>
    <mergeCell ref="F244:F245"/>
    <mergeCell ref="I242:I243"/>
    <mergeCell ref="J242:J243"/>
    <mergeCell ref="K242:K243"/>
    <mergeCell ref="L242:L243"/>
    <mergeCell ref="M242:M243"/>
    <mergeCell ref="N242:N243"/>
    <mergeCell ref="A242:A243"/>
    <mergeCell ref="B242:B243"/>
    <mergeCell ref="C242:C243"/>
    <mergeCell ref="D242:D243"/>
    <mergeCell ref="E242:E243"/>
    <mergeCell ref="F242:F243"/>
    <mergeCell ref="I240:I241"/>
    <mergeCell ref="J240:J241"/>
    <mergeCell ref="K240:K241"/>
    <mergeCell ref="L240:L241"/>
    <mergeCell ref="M240:M241"/>
    <mergeCell ref="N240:N241"/>
    <mergeCell ref="I238:I239"/>
    <mergeCell ref="J238:J239"/>
    <mergeCell ref="K238:K239"/>
    <mergeCell ref="L238:L239"/>
    <mergeCell ref="M238:M239"/>
    <mergeCell ref="N238:N239"/>
    <mergeCell ref="A238:A239"/>
    <mergeCell ref="B238:B239"/>
    <mergeCell ref="C238:C239"/>
    <mergeCell ref="D238:D239"/>
    <mergeCell ref="E238:E239"/>
    <mergeCell ref="F238:F239"/>
    <mergeCell ref="I236:I237"/>
    <mergeCell ref="J236:J237"/>
    <mergeCell ref="K236:K237"/>
    <mergeCell ref="L236:L237"/>
    <mergeCell ref="M236:M237"/>
    <mergeCell ref="N236:N237"/>
    <mergeCell ref="K234:K235"/>
    <mergeCell ref="L234:L235"/>
    <mergeCell ref="M234:M235"/>
    <mergeCell ref="N234:N235"/>
    <mergeCell ref="A236:A237"/>
    <mergeCell ref="B236:B237"/>
    <mergeCell ref="C236:C237"/>
    <mergeCell ref="D236:D237"/>
    <mergeCell ref="E236:E237"/>
    <mergeCell ref="F236:F237"/>
    <mergeCell ref="N232:N233"/>
    <mergeCell ref="O232:P232"/>
    <mergeCell ref="A234:A235"/>
    <mergeCell ref="B234:B235"/>
    <mergeCell ref="C234:C235"/>
    <mergeCell ref="D234:D235"/>
    <mergeCell ref="E234:E235"/>
    <mergeCell ref="F234:F235"/>
    <mergeCell ref="I234:I235"/>
    <mergeCell ref="J234:J235"/>
    <mergeCell ref="G232:H232"/>
    <mergeCell ref="I232:I233"/>
    <mergeCell ref="J232:J233"/>
    <mergeCell ref="K232:K233"/>
    <mergeCell ref="L232:L233"/>
    <mergeCell ref="M232:M233"/>
    <mergeCell ref="N215:P215"/>
    <mergeCell ref="N220:P220"/>
    <mergeCell ref="A230:H230"/>
    <mergeCell ref="I230:P230"/>
    <mergeCell ref="A232:A233"/>
    <mergeCell ref="B232:B233"/>
    <mergeCell ref="C232:C233"/>
    <mergeCell ref="D232:D233"/>
    <mergeCell ref="E232:E233"/>
    <mergeCell ref="F232:F233"/>
    <mergeCell ref="A208:E208"/>
    <mergeCell ref="I208:M208"/>
    <mergeCell ref="A209:E209"/>
    <mergeCell ref="I209:M209"/>
    <mergeCell ref="A215:D215"/>
    <mergeCell ref="I215:L215"/>
    <mergeCell ref="J205:J206"/>
    <mergeCell ref="K205:K206"/>
    <mergeCell ref="L205:L206"/>
    <mergeCell ref="M205:M206"/>
    <mergeCell ref="N205:N206"/>
    <mergeCell ref="A207:E207"/>
    <mergeCell ref="I207:M207"/>
    <mergeCell ref="L203:L204"/>
    <mergeCell ref="M203:M204"/>
    <mergeCell ref="N203:N204"/>
    <mergeCell ref="A205:A206"/>
    <mergeCell ref="B205:B206"/>
    <mergeCell ref="C205:C206"/>
    <mergeCell ref="D205:D206"/>
    <mergeCell ref="E205:E206"/>
    <mergeCell ref="F205:F206"/>
    <mergeCell ref="I205:I206"/>
    <mergeCell ref="R202:R203"/>
    <mergeCell ref="A203:A204"/>
    <mergeCell ref="B203:B204"/>
    <mergeCell ref="C203:C204"/>
    <mergeCell ref="D203:D204"/>
    <mergeCell ref="E203:E204"/>
    <mergeCell ref="F203:F204"/>
    <mergeCell ref="I203:I204"/>
    <mergeCell ref="J203:J204"/>
    <mergeCell ref="K203:K204"/>
    <mergeCell ref="I201:I202"/>
    <mergeCell ref="J201:J202"/>
    <mergeCell ref="K201:K202"/>
    <mergeCell ref="L201:L202"/>
    <mergeCell ref="M201:M202"/>
    <mergeCell ref="N201:N202"/>
    <mergeCell ref="A201:A202"/>
    <mergeCell ref="B201:B202"/>
    <mergeCell ref="C201:C202"/>
    <mergeCell ref="D201:D202"/>
    <mergeCell ref="E201:E202"/>
    <mergeCell ref="F201:F202"/>
    <mergeCell ref="I199:I200"/>
    <mergeCell ref="J199:J200"/>
    <mergeCell ref="K199:K200"/>
    <mergeCell ref="L199:L200"/>
    <mergeCell ref="M199:M200"/>
    <mergeCell ref="N199:N200"/>
    <mergeCell ref="K197:K198"/>
    <mergeCell ref="L197:L198"/>
    <mergeCell ref="M197:M198"/>
    <mergeCell ref="N197:N198"/>
    <mergeCell ref="A199:A200"/>
    <mergeCell ref="B199:B200"/>
    <mergeCell ref="C199:C200"/>
    <mergeCell ref="D199:D200"/>
    <mergeCell ref="E199:E200"/>
    <mergeCell ref="F199:F200"/>
    <mergeCell ref="N195:N196"/>
    <mergeCell ref="O195:P195"/>
    <mergeCell ref="A197:A198"/>
    <mergeCell ref="B197:B198"/>
    <mergeCell ref="C197:C198"/>
    <mergeCell ref="D197:D198"/>
    <mergeCell ref="E197:E198"/>
    <mergeCell ref="F197:F198"/>
    <mergeCell ref="I197:I198"/>
    <mergeCell ref="J197:J198"/>
    <mergeCell ref="G195:H195"/>
    <mergeCell ref="I195:I196"/>
    <mergeCell ref="J195:J196"/>
    <mergeCell ref="K195:K196"/>
    <mergeCell ref="L195:L196"/>
    <mergeCell ref="M195:M196"/>
    <mergeCell ref="A195:A196"/>
    <mergeCell ref="B195:B196"/>
    <mergeCell ref="C195:C196"/>
    <mergeCell ref="D195:D196"/>
    <mergeCell ref="E195:E196"/>
    <mergeCell ref="F195:F196"/>
    <mergeCell ref="A178:D178"/>
    <mergeCell ref="I178:L178"/>
    <mergeCell ref="N178:P178"/>
    <mergeCell ref="N182:P182"/>
    <mergeCell ref="A193:H193"/>
    <mergeCell ref="I193:P193"/>
    <mergeCell ref="A170:E170"/>
    <mergeCell ref="I170:M170"/>
    <mergeCell ref="A171:E171"/>
    <mergeCell ref="I171:M171"/>
    <mergeCell ref="A172:E172"/>
    <mergeCell ref="I172:M172"/>
    <mergeCell ref="I168:I169"/>
    <mergeCell ref="J168:J169"/>
    <mergeCell ref="K168:K169"/>
    <mergeCell ref="L168:L169"/>
    <mergeCell ref="M168:M169"/>
    <mergeCell ref="N168:N169"/>
    <mergeCell ref="A168:A169"/>
    <mergeCell ref="B168:B169"/>
    <mergeCell ref="C168:C169"/>
    <mergeCell ref="D168:D169"/>
    <mergeCell ref="E168:E169"/>
    <mergeCell ref="F168:F169"/>
    <mergeCell ref="I166:I167"/>
    <mergeCell ref="J166:J167"/>
    <mergeCell ref="K166:K167"/>
    <mergeCell ref="L166:L167"/>
    <mergeCell ref="M166:M167"/>
    <mergeCell ref="N166:N167"/>
    <mergeCell ref="I164:I165"/>
    <mergeCell ref="J164:J165"/>
    <mergeCell ref="K164:K165"/>
    <mergeCell ref="L164:L165"/>
    <mergeCell ref="M164:M165"/>
    <mergeCell ref="N164:N165"/>
    <mergeCell ref="A164:A165"/>
    <mergeCell ref="B164:B165"/>
    <mergeCell ref="C164:C165"/>
    <mergeCell ref="D164:D165"/>
    <mergeCell ref="E164:E165"/>
    <mergeCell ref="F164:F165"/>
    <mergeCell ref="K160:K161"/>
    <mergeCell ref="L160:L161"/>
    <mergeCell ref="M160:M161"/>
    <mergeCell ref="N160:N161"/>
    <mergeCell ref="I162:I163"/>
    <mergeCell ref="J162:J163"/>
    <mergeCell ref="K162:K163"/>
    <mergeCell ref="L162:L163"/>
    <mergeCell ref="M162:M163"/>
    <mergeCell ref="N162:N163"/>
    <mergeCell ref="N158:N159"/>
    <mergeCell ref="O158:P158"/>
    <mergeCell ref="A160:A161"/>
    <mergeCell ref="B160:B161"/>
    <mergeCell ref="C160:C161"/>
    <mergeCell ref="D160:D161"/>
    <mergeCell ref="E160:E161"/>
    <mergeCell ref="F160:F161"/>
    <mergeCell ref="I160:I161"/>
    <mergeCell ref="J160:J161"/>
    <mergeCell ref="G158:H158"/>
    <mergeCell ref="I158:I159"/>
    <mergeCell ref="J158:J159"/>
    <mergeCell ref="K158:K159"/>
    <mergeCell ref="L158:L159"/>
    <mergeCell ref="M158:M159"/>
    <mergeCell ref="A158:A159"/>
    <mergeCell ref="B158:B159"/>
    <mergeCell ref="C158:C159"/>
    <mergeCell ref="D158:D159"/>
    <mergeCell ref="E158:E159"/>
    <mergeCell ref="F158:F159"/>
    <mergeCell ref="A141:D141"/>
    <mergeCell ref="I141:L141"/>
    <mergeCell ref="N141:P141"/>
    <mergeCell ref="N146:P146"/>
    <mergeCell ref="A156:H156"/>
    <mergeCell ref="I156:P156"/>
    <mergeCell ref="A133:E133"/>
    <mergeCell ref="I133:M133"/>
    <mergeCell ref="A134:E134"/>
    <mergeCell ref="I134:M134"/>
    <mergeCell ref="A135:E135"/>
    <mergeCell ref="I135:M135"/>
    <mergeCell ref="I131:I132"/>
    <mergeCell ref="J131:J132"/>
    <mergeCell ref="K131:K132"/>
    <mergeCell ref="L131:L132"/>
    <mergeCell ref="M131:M132"/>
    <mergeCell ref="N131:N132"/>
    <mergeCell ref="A131:A132"/>
    <mergeCell ref="B131:B132"/>
    <mergeCell ref="C131:C132"/>
    <mergeCell ref="D131:D132"/>
    <mergeCell ref="E131:E132"/>
    <mergeCell ref="F131:F132"/>
    <mergeCell ref="I129:I130"/>
    <mergeCell ref="J129:J130"/>
    <mergeCell ref="K129:K130"/>
    <mergeCell ref="L129:L130"/>
    <mergeCell ref="M129:M130"/>
    <mergeCell ref="N129:N130"/>
    <mergeCell ref="I127:I128"/>
    <mergeCell ref="J127:J128"/>
    <mergeCell ref="K127:K128"/>
    <mergeCell ref="L127:L128"/>
    <mergeCell ref="M127:M128"/>
    <mergeCell ref="N127:N128"/>
    <mergeCell ref="A127:A128"/>
    <mergeCell ref="B127:B128"/>
    <mergeCell ref="C127:C128"/>
    <mergeCell ref="D127:D128"/>
    <mergeCell ref="E127:E128"/>
    <mergeCell ref="F127:F128"/>
    <mergeCell ref="I125:I126"/>
    <mergeCell ref="J125:J126"/>
    <mergeCell ref="K125:K126"/>
    <mergeCell ref="L125:L126"/>
    <mergeCell ref="M125:M126"/>
    <mergeCell ref="N125:N126"/>
    <mergeCell ref="K123:K124"/>
    <mergeCell ref="L123:L124"/>
    <mergeCell ref="M123:M124"/>
    <mergeCell ref="N123:N124"/>
    <mergeCell ref="A125:A126"/>
    <mergeCell ref="B125:B126"/>
    <mergeCell ref="C125:C126"/>
    <mergeCell ref="D125:D126"/>
    <mergeCell ref="E125:E126"/>
    <mergeCell ref="F125:F126"/>
    <mergeCell ref="N121:N122"/>
    <mergeCell ref="O121:P121"/>
    <mergeCell ref="A123:A124"/>
    <mergeCell ref="B123:B124"/>
    <mergeCell ref="C123:C124"/>
    <mergeCell ref="D123:D124"/>
    <mergeCell ref="E123:E124"/>
    <mergeCell ref="F123:F124"/>
    <mergeCell ref="I123:I124"/>
    <mergeCell ref="J123:J124"/>
    <mergeCell ref="G121:H121"/>
    <mergeCell ref="I121:I122"/>
    <mergeCell ref="J121:J122"/>
    <mergeCell ref="K121:K122"/>
    <mergeCell ref="L121:L122"/>
    <mergeCell ref="M121:M122"/>
    <mergeCell ref="A121:A122"/>
    <mergeCell ref="B121:B122"/>
    <mergeCell ref="C121:C122"/>
    <mergeCell ref="D121:D122"/>
    <mergeCell ref="E121:E122"/>
    <mergeCell ref="F121:F122"/>
    <mergeCell ref="A104:D104"/>
    <mergeCell ref="I104:L104"/>
    <mergeCell ref="N104:P104"/>
    <mergeCell ref="N109:P109"/>
    <mergeCell ref="A119:H119"/>
    <mergeCell ref="I119:P119"/>
    <mergeCell ref="A96:E96"/>
    <mergeCell ref="I96:M96"/>
    <mergeCell ref="A97:E97"/>
    <mergeCell ref="I97:M97"/>
    <mergeCell ref="A98:E98"/>
    <mergeCell ref="I98:M98"/>
    <mergeCell ref="I94:I95"/>
    <mergeCell ref="J94:J95"/>
    <mergeCell ref="K94:K95"/>
    <mergeCell ref="L94:L95"/>
    <mergeCell ref="M94:M95"/>
    <mergeCell ref="N94:N95"/>
    <mergeCell ref="A94:A95"/>
    <mergeCell ref="B94:B95"/>
    <mergeCell ref="C94:C95"/>
    <mergeCell ref="D94:D95"/>
    <mergeCell ref="E94:E95"/>
    <mergeCell ref="F94:F95"/>
    <mergeCell ref="L90:L91"/>
    <mergeCell ref="M90:M91"/>
    <mergeCell ref="N90:N91"/>
    <mergeCell ref="I92:I93"/>
    <mergeCell ref="J92:J93"/>
    <mergeCell ref="K92:K93"/>
    <mergeCell ref="L92:L93"/>
    <mergeCell ref="M92:M93"/>
    <mergeCell ref="N92:N93"/>
    <mergeCell ref="N88:N89"/>
    <mergeCell ref="A90:A91"/>
    <mergeCell ref="B90:B91"/>
    <mergeCell ref="C90:C91"/>
    <mergeCell ref="D90:D91"/>
    <mergeCell ref="E90:E91"/>
    <mergeCell ref="F90:F91"/>
    <mergeCell ref="I90:I91"/>
    <mergeCell ref="J90:J91"/>
    <mergeCell ref="K90:K91"/>
    <mergeCell ref="F88:F89"/>
    <mergeCell ref="I88:I89"/>
    <mergeCell ref="J88:J89"/>
    <mergeCell ref="K88:K89"/>
    <mergeCell ref="L88:L89"/>
    <mergeCell ref="M88:M89"/>
    <mergeCell ref="J86:J87"/>
    <mergeCell ref="K86:K87"/>
    <mergeCell ref="L86:L87"/>
    <mergeCell ref="M86:M87"/>
    <mergeCell ref="N86:N87"/>
    <mergeCell ref="A88:A89"/>
    <mergeCell ref="B88:B89"/>
    <mergeCell ref="C88:C89"/>
    <mergeCell ref="D88:D89"/>
    <mergeCell ref="E88:E89"/>
    <mergeCell ref="M84:M85"/>
    <mergeCell ref="N84:N85"/>
    <mergeCell ref="O84:P84"/>
    <mergeCell ref="A86:A87"/>
    <mergeCell ref="B86:B87"/>
    <mergeCell ref="C86:C87"/>
    <mergeCell ref="D86:D87"/>
    <mergeCell ref="E86:E87"/>
    <mergeCell ref="F86:F87"/>
    <mergeCell ref="I86:I87"/>
    <mergeCell ref="F84:F85"/>
    <mergeCell ref="G84:H84"/>
    <mergeCell ref="I84:I85"/>
    <mergeCell ref="J84:J85"/>
    <mergeCell ref="K84:K85"/>
    <mergeCell ref="L84:L85"/>
    <mergeCell ref="A67:D67"/>
    <mergeCell ref="I67:L67"/>
    <mergeCell ref="N72:P72"/>
    <mergeCell ref="A82:H82"/>
    <mergeCell ref="I82:P82"/>
    <mergeCell ref="A84:A85"/>
    <mergeCell ref="B84:B85"/>
    <mergeCell ref="C84:C85"/>
    <mergeCell ref="D84:D85"/>
    <mergeCell ref="E84:E85"/>
    <mergeCell ref="A59:E59"/>
    <mergeCell ref="I59:M59"/>
    <mergeCell ref="A60:E60"/>
    <mergeCell ref="I60:M60"/>
    <mergeCell ref="A61:E61"/>
    <mergeCell ref="I61:M61"/>
    <mergeCell ref="I57:I58"/>
    <mergeCell ref="J57:J58"/>
    <mergeCell ref="K57:K58"/>
    <mergeCell ref="L57:L58"/>
    <mergeCell ref="M57:M58"/>
    <mergeCell ref="N57:N58"/>
    <mergeCell ref="A57:A58"/>
    <mergeCell ref="B57:B58"/>
    <mergeCell ref="C57:C58"/>
    <mergeCell ref="D57:D58"/>
    <mergeCell ref="E57:E58"/>
    <mergeCell ref="F57:F58"/>
    <mergeCell ref="I55:I56"/>
    <mergeCell ref="J55:J56"/>
    <mergeCell ref="K55:K56"/>
    <mergeCell ref="L55:L56"/>
    <mergeCell ref="M55:M56"/>
    <mergeCell ref="N55:N56"/>
    <mergeCell ref="A55:A56"/>
    <mergeCell ref="B55:B56"/>
    <mergeCell ref="C55:C56"/>
    <mergeCell ref="D55:D56"/>
    <mergeCell ref="E55:E56"/>
    <mergeCell ref="F55:F56"/>
    <mergeCell ref="N51:N52"/>
    <mergeCell ref="I53:I54"/>
    <mergeCell ref="J53:J54"/>
    <mergeCell ref="K53:K54"/>
    <mergeCell ref="L53:L54"/>
    <mergeCell ref="M53:M54"/>
    <mergeCell ref="N53:N54"/>
    <mergeCell ref="F51:F52"/>
    <mergeCell ref="I51:I52"/>
    <mergeCell ref="J51:J52"/>
    <mergeCell ref="K51:K52"/>
    <mergeCell ref="L51:L52"/>
    <mergeCell ref="M51:M52"/>
    <mergeCell ref="J49:J50"/>
    <mergeCell ref="K49:K50"/>
    <mergeCell ref="L49:L50"/>
    <mergeCell ref="M49:M50"/>
    <mergeCell ref="N49:N50"/>
    <mergeCell ref="A51:A52"/>
    <mergeCell ref="B51:B52"/>
    <mergeCell ref="C51:C52"/>
    <mergeCell ref="D51:D52"/>
    <mergeCell ref="E51:E52"/>
    <mergeCell ref="M47:M48"/>
    <mergeCell ref="N47:N48"/>
    <mergeCell ref="O47:P47"/>
    <mergeCell ref="A49:A50"/>
    <mergeCell ref="B49:B50"/>
    <mergeCell ref="C49:C50"/>
    <mergeCell ref="D49:D50"/>
    <mergeCell ref="E49:E50"/>
    <mergeCell ref="F49:F50"/>
    <mergeCell ref="I49:I50"/>
    <mergeCell ref="F47:F48"/>
    <mergeCell ref="G47:H47"/>
    <mergeCell ref="I47:I48"/>
    <mergeCell ref="J47:J48"/>
    <mergeCell ref="K47:K48"/>
    <mergeCell ref="L47:L48"/>
    <mergeCell ref="A30:D30"/>
    <mergeCell ref="I30:L30"/>
    <mergeCell ref="N35:P35"/>
    <mergeCell ref="A45:H45"/>
    <mergeCell ref="I45:P45"/>
    <mergeCell ref="A47:A48"/>
    <mergeCell ref="B47:B48"/>
    <mergeCell ref="C47:C48"/>
    <mergeCell ref="D47:D48"/>
    <mergeCell ref="E47:E48"/>
    <mergeCell ref="A22:E22"/>
    <mergeCell ref="I22:M22"/>
    <mergeCell ref="A23:E23"/>
    <mergeCell ref="I23:M23"/>
    <mergeCell ref="A24:E24"/>
    <mergeCell ref="I24:M24"/>
    <mergeCell ref="I20:I21"/>
    <mergeCell ref="J20:J21"/>
    <mergeCell ref="K20:K21"/>
    <mergeCell ref="L20:L21"/>
    <mergeCell ref="M20:M21"/>
    <mergeCell ref="N20:N21"/>
    <mergeCell ref="A20:A21"/>
    <mergeCell ref="B20:B21"/>
    <mergeCell ref="C20:C21"/>
    <mergeCell ref="D20:D21"/>
    <mergeCell ref="E20:E21"/>
    <mergeCell ref="F20:F21"/>
    <mergeCell ref="M12:M13"/>
    <mergeCell ref="N12:N13"/>
    <mergeCell ref="A12:A13"/>
    <mergeCell ref="B12:B13"/>
    <mergeCell ref="C12:C13"/>
    <mergeCell ref="D12:D13"/>
    <mergeCell ref="E12:E13"/>
    <mergeCell ref="F12:F13"/>
    <mergeCell ref="I18:I19"/>
    <mergeCell ref="J18:J19"/>
    <mergeCell ref="K18:K19"/>
    <mergeCell ref="L18:L19"/>
    <mergeCell ref="M18:M19"/>
    <mergeCell ref="N18:N19"/>
    <mergeCell ref="A18:A19"/>
    <mergeCell ref="B18:B19"/>
    <mergeCell ref="C18:C19"/>
    <mergeCell ref="D18:D19"/>
    <mergeCell ref="E18:E19"/>
    <mergeCell ref="F18:F19"/>
    <mergeCell ref="I16:I17"/>
    <mergeCell ref="J16:J17"/>
    <mergeCell ref="K16:K17"/>
    <mergeCell ref="L16:L17"/>
    <mergeCell ref="M16:M17"/>
    <mergeCell ref="N16:N17"/>
    <mergeCell ref="J10:J11"/>
    <mergeCell ref="K10:K11"/>
    <mergeCell ref="L10:L11"/>
    <mergeCell ref="M10:M11"/>
    <mergeCell ref="N10:N11"/>
    <mergeCell ref="O10:P10"/>
    <mergeCell ref="A8:H8"/>
    <mergeCell ref="I8:P8"/>
    <mergeCell ref="A10:A11"/>
    <mergeCell ref="B10:B11"/>
    <mergeCell ref="C10:C11"/>
    <mergeCell ref="D10:D11"/>
    <mergeCell ref="E10:E11"/>
    <mergeCell ref="F10:F11"/>
    <mergeCell ref="G10:H10"/>
    <mergeCell ref="I10:I11"/>
    <mergeCell ref="I14:I15"/>
    <mergeCell ref="J14:J15"/>
    <mergeCell ref="K14:K15"/>
    <mergeCell ref="L14:L15"/>
    <mergeCell ref="M14:M15"/>
    <mergeCell ref="N14:N15"/>
    <mergeCell ref="A14:A15"/>
    <mergeCell ref="B14:B15"/>
    <mergeCell ref="C14:C15"/>
    <mergeCell ref="D14:D15"/>
    <mergeCell ref="E14:E15"/>
    <mergeCell ref="F14:F15"/>
    <mergeCell ref="I12:I13"/>
    <mergeCell ref="J12:J13"/>
    <mergeCell ref="K12:K13"/>
    <mergeCell ref="L12:L13"/>
    <mergeCell ref="N604:N605"/>
    <mergeCell ref="M604:M605"/>
    <mergeCell ref="L604:L605"/>
    <mergeCell ref="K604:K605"/>
    <mergeCell ref="J604:J605"/>
    <mergeCell ref="I604:I605"/>
    <mergeCell ref="F604:F605"/>
    <mergeCell ref="E604:E605"/>
    <mergeCell ref="D604:D605"/>
    <mergeCell ref="C604:C605"/>
    <mergeCell ref="B604:B605"/>
    <mergeCell ref="A604:A605"/>
    <mergeCell ref="I355:I356"/>
    <mergeCell ref="J355:J356"/>
    <mergeCell ref="K355:K356"/>
    <mergeCell ref="L355:L356"/>
    <mergeCell ref="M355:M356"/>
    <mergeCell ref="N355:N356"/>
    <mergeCell ref="A367:D367"/>
    <mergeCell ref="I367:L367"/>
    <mergeCell ref="N367:P367"/>
    <mergeCell ref="N372:P372"/>
    <mergeCell ref="A382:H382"/>
    <mergeCell ref="I382:P382"/>
    <mergeCell ref="A359:E359"/>
    <mergeCell ref="I359:M359"/>
    <mergeCell ref="A360:E360"/>
    <mergeCell ref="I360:M360"/>
    <mergeCell ref="A361:E361"/>
    <mergeCell ref="I361:M361"/>
    <mergeCell ref="I357:I358"/>
    <mergeCell ref="J357:J358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01"/>
  <sheetViews>
    <sheetView topLeftCell="I18472" workbookViewId="0">
      <selection activeCell="N18499" sqref="N18499"/>
    </sheetView>
  </sheetViews>
  <sheetFormatPr baseColWidth="10" defaultRowHeight="15"/>
  <cols>
    <col min="1" max="1" width="13.28515625" style="51" hidden="1" customWidth="1"/>
    <col min="2" max="2" width="21.140625" style="51" hidden="1" customWidth="1"/>
    <col min="3" max="3" width="19.7109375" style="51" hidden="1" customWidth="1"/>
    <col min="4" max="4" width="19.140625" style="51" hidden="1" customWidth="1"/>
    <col min="5" max="5" width="18.28515625" style="51" hidden="1" customWidth="1"/>
    <col min="6" max="6" width="22.140625" style="51" hidden="1" customWidth="1"/>
    <col min="7" max="7" width="7.140625" style="51" hidden="1" customWidth="1"/>
    <col min="8" max="8" width="14.42578125" style="51" hidden="1" customWidth="1"/>
    <col min="9" max="9" width="13.28515625" style="51" customWidth="1"/>
    <col min="10" max="10" width="20.5703125" style="51" customWidth="1"/>
    <col min="11" max="11" width="18.42578125" style="51" customWidth="1"/>
    <col min="12" max="12" width="21.42578125" style="51" customWidth="1"/>
    <col min="13" max="13" width="14.28515625" style="51" customWidth="1"/>
    <col min="14" max="14" width="21.7109375" style="51" customWidth="1"/>
    <col min="15" max="15" width="8" style="51" customWidth="1"/>
    <col min="16" max="16" width="13" style="51" customWidth="1"/>
    <col min="17" max="17" width="11.42578125" style="51"/>
    <col min="18" max="18" width="14.140625" style="51" bestFit="1" customWidth="1"/>
    <col min="19" max="16384" width="11.42578125" style="51"/>
  </cols>
  <sheetData>
    <row r="1" spans="1:16" ht="14.25" customHeight="1">
      <c r="A1" s="49" t="s">
        <v>88</v>
      </c>
      <c r="B1" s="50"/>
      <c r="I1" s="49" t="s">
        <v>88</v>
      </c>
      <c r="J1" s="50"/>
    </row>
    <row r="2" spans="1:16">
      <c r="A2" s="51" t="s">
        <v>89</v>
      </c>
      <c r="I2" s="51" t="s">
        <v>89</v>
      </c>
    </row>
    <row r="3" spans="1:16">
      <c r="A3" s="51" t="s">
        <v>90</v>
      </c>
      <c r="I3" s="51" t="s">
        <v>90</v>
      </c>
    </row>
    <row r="4" spans="1:16">
      <c r="A4" s="51" t="s">
        <v>91</v>
      </c>
      <c r="I4" s="51" t="s">
        <v>91</v>
      </c>
    </row>
    <row r="5" spans="1:16" ht="5.25" customHeight="1">
      <c r="A5" s="50"/>
      <c r="B5" s="50"/>
      <c r="I5" s="50"/>
      <c r="J5" s="50"/>
    </row>
    <row r="6" spans="1:16" ht="16.5">
      <c r="A6" s="52" t="s">
        <v>172</v>
      </c>
      <c r="G6" s="52"/>
      <c r="I6" s="52" t="s">
        <v>534</v>
      </c>
      <c r="O6" s="52"/>
    </row>
    <row r="7" spans="1:16" ht="15.75">
      <c r="A7" s="53" t="s">
        <v>92</v>
      </c>
      <c r="G7" s="53"/>
      <c r="I7" s="53" t="s">
        <v>2012</v>
      </c>
      <c r="O7" s="53"/>
    </row>
    <row r="8" spans="1:16" ht="13.5" customHeight="1">
      <c r="A8" s="894" t="s">
        <v>93</v>
      </c>
      <c r="B8" s="894"/>
      <c r="C8" s="894"/>
      <c r="D8" s="894"/>
      <c r="E8" s="894"/>
      <c r="F8" s="894"/>
      <c r="G8" s="894"/>
      <c r="H8" s="894"/>
      <c r="I8" s="894" t="s">
        <v>903</v>
      </c>
      <c r="J8" s="894"/>
      <c r="K8" s="894"/>
      <c r="L8" s="894"/>
      <c r="M8" s="894"/>
      <c r="N8" s="894"/>
      <c r="O8" s="894"/>
      <c r="P8" s="894"/>
    </row>
    <row r="9" spans="1:16" ht="7.5" customHeight="1" thickBot="1"/>
    <row r="10" spans="1:16">
      <c r="A10" s="895" t="s">
        <v>94</v>
      </c>
      <c r="B10" s="897" t="s">
        <v>95</v>
      </c>
      <c r="C10" s="897" t="s">
        <v>96</v>
      </c>
      <c r="D10" s="897" t="s">
        <v>3</v>
      </c>
      <c r="E10" s="897" t="s">
        <v>97</v>
      </c>
      <c r="F10" s="897" t="s">
        <v>98</v>
      </c>
      <c r="G10" s="897" t="s">
        <v>99</v>
      </c>
      <c r="H10" s="899"/>
      <c r="I10" s="895" t="s">
        <v>94</v>
      </c>
      <c r="J10" s="897" t="s">
        <v>95</v>
      </c>
      <c r="K10" s="897" t="s">
        <v>96</v>
      </c>
      <c r="L10" s="897" t="s">
        <v>3</v>
      </c>
      <c r="M10" s="897" t="s">
        <v>97</v>
      </c>
      <c r="N10" s="897" t="s">
        <v>98</v>
      </c>
      <c r="O10" s="897" t="s">
        <v>99</v>
      </c>
      <c r="P10" s="899"/>
    </row>
    <row r="11" spans="1:16" ht="15.75" thickBot="1">
      <c r="A11" s="896"/>
      <c r="B11" s="898"/>
      <c r="C11" s="898"/>
      <c r="D11" s="898"/>
      <c r="E11" s="898"/>
      <c r="F11" s="898"/>
      <c r="G11" s="240" t="s">
        <v>100</v>
      </c>
      <c r="H11" s="182" t="s">
        <v>101</v>
      </c>
      <c r="I11" s="896"/>
      <c r="J11" s="898"/>
      <c r="K11" s="898"/>
      <c r="L11" s="898"/>
      <c r="M11" s="898"/>
      <c r="N11" s="898"/>
      <c r="O11" s="240" t="s">
        <v>100</v>
      </c>
      <c r="P11" s="182" t="s">
        <v>101</v>
      </c>
    </row>
    <row r="12" spans="1:16" ht="12" customHeight="1">
      <c r="A12" s="881">
        <v>237</v>
      </c>
      <c r="B12" s="875">
        <v>42228</v>
      </c>
      <c r="C12" s="942" t="s">
        <v>31</v>
      </c>
      <c r="D12" s="881" t="s">
        <v>174</v>
      </c>
      <c r="E12" s="881" t="s">
        <v>115</v>
      </c>
      <c r="F12" s="883">
        <v>120000</v>
      </c>
      <c r="G12" s="55">
        <v>719</v>
      </c>
      <c r="H12" s="78">
        <v>120000</v>
      </c>
      <c r="I12" s="873" t="s">
        <v>545</v>
      </c>
      <c r="J12" s="875">
        <v>44201</v>
      </c>
      <c r="K12" s="877" t="s">
        <v>1079</v>
      </c>
      <c r="L12" s="881" t="s">
        <v>2014</v>
      </c>
      <c r="M12" s="881" t="s">
        <v>148</v>
      </c>
      <c r="N12" s="883">
        <v>46252500</v>
      </c>
      <c r="O12" s="55">
        <v>719</v>
      </c>
      <c r="P12" s="78"/>
    </row>
    <row r="13" spans="1:16" ht="14.25" customHeight="1" thickBot="1">
      <c r="A13" s="882"/>
      <c r="B13" s="934"/>
      <c r="C13" s="943"/>
      <c r="D13" s="882"/>
      <c r="E13" s="882"/>
      <c r="F13" s="884"/>
      <c r="G13" s="56">
        <v>721</v>
      </c>
      <c r="H13" s="79">
        <f>+F12-H12</f>
        <v>0</v>
      </c>
      <c r="I13" s="874"/>
      <c r="J13" s="876"/>
      <c r="K13" s="878"/>
      <c r="L13" s="882"/>
      <c r="M13" s="882"/>
      <c r="N13" s="884"/>
      <c r="O13" s="56">
        <v>723</v>
      </c>
      <c r="P13" s="79">
        <f>+N12-P12</f>
        <v>46252500</v>
      </c>
    </row>
    <row r="14" spans="1:16" ht="12.75" customHeight="1">
      <c r="A14" s="881">
        <f>+A12+1</f>
        <v>238</v>
      </c>
      <c r="B14" s="875">
        <v>42228</v>
      </c>
      <c r="C14" s="935" t="s">
        <v>28</v>
      </c>
      <c r="D14" s="881" t="s">
        <v>175</v>
      </c>
      <c r="E14" s="881" t="s">
        <v>115</v>
      </c>
      <c r="F14" s="883">
        <v>90000</v>
      </c>
      <c r="G14" s="55">
        <v>719</v>
      </c>
      <c r="H14" s="78">
        <v>90000</v>
      </c>
      <c r="I14" s="873" t="s">
        <v>547</v>
      </c>
      <c r="J14" s="875">
        <v>44201</v>
      </c>
      <c r="K14" s="877" t="s">
        <v>40</v>
      </c>
      <c r="L14" s="881" t="s">
        <v>2014</v>
      </c>
      <c r="M14" s="881" t="s">
        <v>148</v>
      </c>
      <c r="N14" s="883">
        <v>33195000</v>
      </c>
      <c r="O14" s="55">
        <v>719</v>
      </c>
      <c r="P14" s="78"/>
    </row>
    <row r="15" spans="1:16" ht="14.25" customHeight="1" thickBot="1">
      <c r="A15" s="882"/>
      <c r="B15" s="876"/>
      <c r="C15" s="936"/>
      <c r="D15" s="882"/>
      <c r="E15" s="882"/>
      <c r="F15" s="884"/>
      <c r="G15" s="56">
        <v>721</v>
      </c>
      <c r="H15" s="79"/>
      <c r="I15" s="874"/>
      <c r="J15" s="876"/>
      <c r="K15" s="878"/>
      <c r="L15" s="882"/>
      <c r="M15" s="882"/>
      <c r="N15" s="884"/>
      <c r="O15" s="56">
        <v>723</v>
      </c>
      <c r="P15" s="79">
        <f>+N14-P14</f>
        <v>33195000</v>
      </c>
    </row>
    <row r="16" spans="1:16" ht="14.25" customHeight="1">
      <c r="A16" s="251"/>
      <c r="B16" s="252"/>
      <c r="C16" s="472"/>
      <c r="D16" s="251"/>
      <c r="E16" s="251"/>
      <c r="F16" s="254"/>
      <c r="G16" s="255"/>
      <c r="H16" s="256"/>
      <c r="I16" s="873" t="s">
        <v>548</v>
      </c>
      <c r="J16" s="875">
        <v>44201</v>
      </c>
      <c r="K16" s="877" t="s">
        <v>1868</v>
      </c>
      <c r="L16" s="881" t="s">
        <v>2014</v>
      </c>
      <c r="M16" s="881" t="s">
        <v>148</v>
      </c>
      <c r="N16" s="883">
        <v>27916900</v>
      </c>
      <c r="O16" s="55">
        <v>719</v>
      </c>
      <c r="P16" s="78"/>
    </row>
    <row r="17" spans="1:16" ht="14.25" customHeight="1" thickBot="1">
      <c r="A17" s="251"/>
      <c r="B17" s="252"/>
      <c r="C17" s="472"/>
      <c r="D17" s="251"/>
      <c r="E17" s="251"/>
      <c r="F17" s="254"/>
      <c r="G17" s="255"/>
      <c r="H17" s="256"/>
      <c r="I17" s="874"/>
      <c r="J17" s="876"/>
      <c r="K17" s="878"/>
      <c r="L17" s="882"/>
      <c r="M17" s="882"/>
      <c r="N17" s="884"/>
      <c r="O17" s="56">
        <v>723</v>
      </c>
      <c r="P17" s="79">
        <f>+N16-P16</f>
        <v>27916900</v>
      </c>
    </row>
    <row r="18" spans="1:16" ht="12.75" customHeight="1">
      <c r="A18" s="881"/>
      <c r="B18" s="875"/>
      <c r="C18" s="935"/>
      <c r="D18" s="881"/>
      <c r="E18" s="881"/>
      <c r="F18" s="883"/>
      <c r="G18" s="55">
        <v>719</v>
      </c>
      <c r="H18" s="78"/>
      <c r="I18" s="873" t="s">
        <v>549</v>
      </c>
      <c r="J18" s="875">
        <v>44201</v>
      </c>
      <c r="K18" s="877" t="s">
        <v>694</v>
      </c>
      <c r="L18" s="881" t="s">
        <v>2014</v>
      </c>
      <c r="M18" s="881" t="s">
        <v>148</v>
      </c>
      <c r="N18" s="883">
        <v>25661698</v>
      </c>
      <c r="O18" s="55">
        <v>719</v>
      </c>
      <c r="P18" s="78"/>
    </row>
    <row r="19" spans="1:16" ht="12.75" customHeight="1" thickBot="1">
      <c r="A19" s="882"/>
      <c r="B19" s="934"/>
      <c r="C19" s="936"/>
      <c r="D19" s="882"/>
      <c r="E19" s="882"/>
      <c r="F19" s="884"/>
      <c r="G19" s="56">
        <v>721</v>
      </c>
      <c r="H19" s="79">
        <f>+F18-H18</f>
        <v>0</v>
      </c>
      <c r="I19" s="874"/>
      <c r="J19" s="876"/>
      <c r="K19" s="878"/>
      <c r="L19" s="882"/>
      <c r="M19" s="882"/>
      <c r="N19" s="884"/>
      <c r="O19" s="56">
        <v>723</v>
      </c>
      <c r="P19" s="79">
        <f>+N18-P18</f>
        <v>25661698</v>
      </c>
    </row>
    <row r="20" spans="1:16" ht="11.25" customHeight="1">
      <c r="A20" s="881"/>
      <c r="B20" s="875"/>
      <c r="C20" s="935"/>
      <c r="D20" s="877"/>
      <c r="E20" s="881"/>
      <c r="F20" s="883"/>
      <c r="G20" s="55">
        <v>719</v>
      </c>
      <c r="H20" s="78"/>
      <c r="I20" s="873" t="s">
        <v>550</v>
      </c>
      <c r="J20" s="875">
        <v>44201</v>
      </c>
      <c r="K20" s="877" t="s">
        <v>672</v>
      </c>
      <c r="L20" s="881" t="s">
        <v>2014</v>
      </c>
      <c r="M20" s="881" t="s">
        <v>148</v>
      </c>
      <c r="N20" s="883">
        <v>21521960</v>
      </c>
      <c r="O20" s="55">
        <v>719</v>
      </c>
      <c r="P20" s="78"/>
    </row>
    <row r="21" spans="1:16" ht="12.75" customHeight="1" thickBot="1">
      <c r="A21" s="882"/>
      <c r="B21" s="934"/>
      <c r="C21" s="936"/>
      <c r="D21" s="878"/>
      <c r="E21" s="882"/>
      <c r="F21" s="884"/>
      <c r="G21" s="56">
        <v>721</v>
      </c>
      <c r="H21" s="79">
        <f>+F20-H20</f>
        <v>0</v>
      </c>
      <c r="I21" s="874"/>
      <c r="J21" s="876"/>
      <c r="K21" s="878"/>
      <c r="L21" s="882"/>
      <c r="M21" s="882"/>
      <c r="N21" s="884"/>
      <c r="O21" s="56">
        <v>723</v>
      </c>
      <c r="P21" s="79">
        <f>+N20-P20</f>
        <v>21521960</v>
      </c>
    </row>
    <row r="22" spans="1:16" ht="15" customHeight="1" thickBot="1">
      <c r="A22" s="901" t="s">
        <v>102</v>
      </c>
      <c r="B22" s="902"/>
      <c r="C22" s="902"/>
      <c r="D22" s="902"/>
      <c r="E22" s="903"/>
      <c r="F22" s="81">
        <f>SUM(F12:F21)</f>
        <v>210000</v>
      </c>
      <c r="I22" s="901" t="s">
        <v>102</v>
      </c>
      <c r="J22" s="902"/>
      <c r="K22" s="902"/>
      <c r="L22" s="902"/>
      <c r="M22" s="903"/>
      <c r="N22" s="81">
        <f>SUM(N12:N21)</f>
        <v>154548058</v>
      </c>
    </row>
    <row r="23" spans="1:16" ht="15.75" customHeight="1" thickBot="1">
      <c r="A23" s="885" t="s">
        <v>103</v>
      </c>
      <c r="B23" s="886"/>
      <c r="C23" s="886"/>
      <c r="D23" s="886"/>
      <c r="E23" s="887"/>
      <c r="F23" s="69">
        <f>+C37</f>
        <v>610857841</v>
      </c>
      <c r="I23" s="885" t="s">
        <v>103</v>
      </c>
      <c r="J23" s="886"/>
      <c r="K23" s="886"/>
      <c r="L23" s="886"/>
      <c r="M23" s="887"/>
      <c r="N23" s="69">
        <v>0</v>
      </c>
      <c r="O23" s="241" t="s">
        <v>561</v>
      </c>
      <c r="P23" s="242"/>
    </row>
    <row r="24" spans="1:16" ht="16.5" thickBot="1">
      <c r="A24" s="888" t="s">
        <v>104</v>
      </c>
      <c r="B24" s="889"/>
      <c r="C24" s="889"/>
      <c r="D24" s="889"/>
      <c r="E24" s="890"/>
      <c r="F24" s="183">
        <f>SUM(F22:F23)</f>
        <v>611067841</v>
      </c>
      <c r="I24" s="888" t="s">
        <v>104</v>
      </c>
      <c r="J24" s="889"/>
      <c r="K24" s="889"/>
      <c r="L24" s="889"/>
      <c r="M24" s="890"/>
      <c r="N24" s="183">
        <f>SUM(N22:N23)</f>
        <v>154548058</v>
      </c>
    </row>
    <row r="25" spans="1:16" ht="8.25" customHeight="1">
      <c r="A25" s="61"/>
      <c r="B25" s="61"/>
      <c r="C25" s="61"/>
      <c r="D25" s="61"/>
      <c r="E25" s="61"/>
      <c r="I25" s="61"/>
      <c r="J25" s="61"/>
      <c r="K25" s="61"/>
      <c r="L25" s="61"/>
      <c r="M25" s="61"/>
    </row>
    <row r="26" spans="1:16" ht="16.5" customHeight="1">
      <c r="A26" s="51" t="s">
        <v>176</v>
      </c>
      <c r="I26" s="51" t="s">
        <v>1869</v>
      </c>
    </row>
    <row r="27" spans="1:16" ht="5.25" customHeight="1">
      <c r="F27" s="139"/>
      <c r="N27" s="139"/>
    </row>
    <row r="28" spans="1:16" ht="15" customHeight="1">
      <c r="A28" s="50" t="s">
        <v>105</v>
      </c>
      <c r="D28" s="146"/>
      <c r="F28" s="139"/>
      <c r="I28" s="50" t="s">
        <v>105</v>
      </c>
      <c r="L28" s="146"/>
      <c r="N28" s="139"/>
    </row>
    <row r="29" spans="1:16" ht="9.75" customHeight="1" thickBot="1"/>
    <row r="30" spans="1:16" ht="15.75" thickBot="1">
      <c r="A30" s="891" t="s">
        <v>106</v>
      </c>
      <c r="B30" s="892"/>
      <c r="C30" s="892"/>
      <c r="D30" s="893"/>
      <c r="F30" s="50" t="s">
        <v>107</v>
      </c>
      <c r="I30" s="891" t="s">
        <v>106</v>
      </c>
      <c r="J30" s="892"/>
      <c r="K30" s="892"/>
      <c r="L30" s="893"/>
      <c r="N30" s="50" t="s">
        <v>288</v>
      </c>
    </row>
    <row r="31" spans="1:16" ht="34.5" customHeight="1" thickBot="1">
      <c r="A31" s="57" t="s">
        <v>100</v>
      </c>
      <c r="B31" s="58" t="s">
        <v>108</v>
      </c>
      <c r="C31" s="59" t="s">
        <v>109</v>
      </c>
      <c r="D31" s="60" t="s">
        <v>110</v>
      </c>
      <c r="I31" s="57" t="s">
        <v>100</v>
      </c>
      <c r="J31" s="58" t="s">
        <v>108</v>
      </c>
      <c r="K31" s="264" t="s">
        <v>109</v>
      </c>
      <c r="L31" s="60" t="s">
        <v>110</v>
      </c>
    </row>
    <row r="32" spans="1:16" ht="13.5" customHeight="1">
      <c r="A32" s="71">
        <v>719</v>
      </c>
      <c r="B32" s="73">
        <v>210000</v>
      </c>
      <c r="C32" s="74">
        <v>28120000</v>
      </c>
      <c r="D32" s="76">
        <f>+B32+C32</f>
        <v>28330000</v>
      </c>
      <c r="I32" s="71">
        <v>719</v>
      </c>
      <c r="J32" s="73">
        <f>+P12+P14+P18+P20</f>
        <v>0</v>
      </c>
      <c r="K32" s="74">
        <f>+N23</f>
        <v>0</v>
      </c>
      <c r="L32" s="195">
        <f>+J32+K32</f>
        <v>0</v>
      </c>
    </row>
    <row r="33" spans="1:22" ht="13.5" customHeight="1">
      <c r="A33" s="72">
        <v>721</v>
      </c>
      <c r="B33" s="80"/>
      <c r="C33" s="75">
        <v>36156092</v>
      </c>
      <c r="D33" s="76">
        <f>+B33+C33</f>
        <v>36156092</v>
      </c>
      <c r="I33" s="72">
        <v>721</v>
      </c>
      <c r="J33" s="80"/>
      <c r="K33" s="74">
        <v>0</v>
      </c>
      <c r="L33" s="195">
        <f>+J33+K33</f>
        <v>0</v>
      </c>
    </row>
    <row r="34" spans="1:22" ht="12.75" customHeight="1">
      <c r="A34" s="72">
        <v>722</v>
      </c>
      <c r="B34" s="80"/>
      <c r="C34" s="75">
        <v>224787287</v>
      </c>
      <c r="D34" s="76">
        <f>+B34+C34</f>
        <v>224787287</v>
      </c>
      <c r="I34" s="72">
        <v>722</v>
      </c>
      <c r="J34" s="80"/>
      <c r="K34" s="74">
        <v>0</v>
      </c>
      <c r="L34" s="195">
        <f>+J34+K34</f>
        <v>0</v>
      </c>
    </row>
    <row r="35" spans="1:22" ht="13.5" customHeight="1" thickBot="1">
      <c r="A35" s="72">
        <v>723</v>
      </c>
      <c r="B35" s="80"/>
      <c r="C35" s="75">
        <v>319828837</v>
      </c>
      <c r="D35" s="76">
        <f>+B35+C35</f>
        <v>319828837</v>
      </c>
      <c r="F35" s="174" t="s">
        <v>23</v>
      </c>
      <c r="G35" s="175"/>
      <c r="I35" s="72">
        <v>723</v>
      </c>
      <c r="J35" s="80">
        <f>+P13+P15+P19+P21+P17</f>
        <v>154548058</v>
      </c>
      <c r="K35" s="74">
        <v>0</v>
      </c>
      <c r="L35" s="195">
        <f>+J35+K35</f>
        <v>154548058</v>
      </c>
      <c r="N35" s="909" t="s">
        <v>1696</v>
      </c>
      <c r="O35" s="909"/>
      <c r="P35" s="909"/>
    </row>
    <row r="36" spans="1:22" ht="14.25" hidden="1" customHeight="1">
      <c r="A36" s="164" t="s">
        <v>181</v>
      </c>
      <c r="B36" s="165"/>
      <c r="C36" s="166">
        <v>1965625</v>
      </c>
      <c r="D36" s="168">
        <f>+B36+C36</f>
        <v>1965625</v>
      </c>
      <c r="F36" s="52"/>
      <c r="I36" s="164" t="s">
        <v>181</v>
      </c>
      <c r="J36" s="165"/>
      <c r="K36" s="74">
        <v>0</v>
      </c>
      <c r="L36" s="196">
        <f>+J36+K36</f>
        <v>0</v>
      </c>
      <c r="N36" s="52"/>
    </row>
    <row r="37" spans="1:22" ht="16.5" thickBot="1">
      <c r="A37" s="169"/>
      <c r="B37" s="170">
        <f>SUM(B32:B36)</f>
        <v>210000</v>
      </c>
      <c r="C37" s="171">
        <f>SUM(C32:C36)</f>
        <v>610857841</v>
      </c>
      <c r="D37" s="172">
        <f>SUM(D32:D36)</f>
        <v>611067841</v>
      </c>
      <c r="I37" s="169"/>
      <c r="J37" s="197">
        <f>SUM(J32:J36)</f>
        <v>154548058</v>
      </c>
      <c r="K37" s="197">
        <f>SUM(K32:K36)</f>
        <v>0</v>
      </c>
      <c r="L37" s="198">
        <f>SUM(L32:L36)</f>
        <v>154548058</v>
      </c>
    </row>
    <row r="38" spans="1:22" ht="16.5">
      <c r="A38" s="49" t="s">
        <v>88</v>
      </c>
      <c r="B38" s="50"/>
      <c r="I38" s="49" t="s">
        <v>88</v>
      </c>
      <c r="J38" s="50"/>
    </row>
    <row r="39" spans="1:22" ht="13.5" customHeight="1">
      <c r="A39" s="51" t="s">
        <v>89</v>
      </c>
      <c r="I39" s="51" t="s">
        <v>89</v>
      </c>
    </row>
    <row r="40" spans="1:22" ht="14.25" customHeight="1">
      <c r="A40" s="51" t="s">
        <v>90</v>
      </c>
      <c r="I40" s="51" t="s">
        <v>90</v>
      </c>
    </row>
    <row r="41" spans="1:22" ht="14.25" customHeight="1">
      <c r="A41" s="51" t="s">
        <v>91</v>
      </c>
      <c r="I41" s="51" t="s">
        <v>91</v>
      </c>
    </row>
    <row r="42" spans="1:22" ht="6" customHeight="1">
      <c r="A42" s="50"/>
      <c r="B42" s="50"/>
      <c r="I42" s="50"/>
      <c r="J42" s="50"/>
    </row>
    <row r="43" spans="1:22" ht="16.5" customHeight="1">
      <c r="A43" s="52" t="s">
        <v>222</v>
      </c>
      <c r="G43" s="52"/>
      <c r="I43" s="52" t="s">
        <v>536</v>
      </c>
      <c r="O43" s="52"/>
    </row>
    <row r="44" spans="1:22" ht="15.75" customHeight="1">
      <c r="A44" s="53" t="s">
        <v>92</v>
      </c>
      <c r="G44" s="53"/>
      <c r="I44" s="53" t="s">
        <v>2012</v>
      </c>
      <c r="O44" s="53"/>
    </row>
    <row r="45" spans="1:22" ht="15.75" customHeight="1">
      <c r="A45" s="894" t="s">
        <v>93</v>
      </c>
      <c r="B45" s="894"/>
      <c r="C45" s="894"/>
      <c r="D45" s="894"/>
      <c r="E45" s="894"/>
      <c r="F45" s="894"/>
      <c r="G45" s="894"/>
      <c r="H45" s="894"/>
      <c r="I45" s="894" t="s">
        <v>903</v>
      </c>
      <c r="J45" s="894"/>
      <c r="K45" s="894"/>
      <c r="L45" s="894"/>
      <c r="M45" s="894"/>
      <c r="N45" s="894"/>
      <c r="O45" s="894"/>
      <c r="P45" s="894"/>
      <c r="V45" s="51">
        <v>189000000</v>
      </c>
    </row>
    <row r="46" spans="1:22" ht="12" customHeight="1" thickBot="1"/>
    <row r="47" spans="1:22">
      <c r="A47" s="895" t="s">
        <v>94</v>
      </c>
      <c r="B47" s="897" t="s">
        <v>95</v>
      </c>
      <c r="C47" s="897" t="s">
        <v>96</v>
      </c>
      <c r="D47" s="897" t="s">
        <v>3</v>
      </c>
      <c r="E47" s="897" t="s">
        <v>97</v>
      </c>
      <c r="F47" s="897" t="s">
        <v>98</v>
      </c>
      <c r="G47" s="897" t="s">
        <v>99</v>
      </c>
      <c r="H47" s="899"/>
      <c r="I47" s="895" t="s">
        <v>94</v>
      </c>
      <c r="J47" s="897" t="s">
        <v>95</v>
      </c>
      <c r="K47" s="897" t="s">
        <v>96</v>
      </c>
      <c r="L47" s="897" t="s">
        <v>3</v>
      </c>
      <c r="M47" s="897" t="s">
        <v>97</v>
      </c>
      <c r="N47" s="897" t="s">
        <v>98</v>
      </c>
      <c r="O47" s="897" t="s">
        <v>99</v>
      </c>
      <c r="P47" s="899"/>
    </row>
    <row r="48" spans="1:22" ht="15.75" thickBot="1">
      <c r="A48" s="896"/>
      <c r="B48" s="898"/>
      <c r="C48" s="898"/>
      <c r="D48" s="898"/>
      <c r="E48" s="898"/>
      <c r="F48" s="898"/>
      <c r="G48" s="240" t="s">
        <v>100</v>
      </c>
      <c r="H48" s="182" t="s">
        <v>101</v>
      </c>
      <c r="I48" s="896"/>
      <c r="J48" s="898"/>
      <c r="K48" s="898"/>
      <c r="L48" s="898"/>
      <c r="M48" s="898"/>
      <c r="N48" s="898"/>
      <c r="O48" s="240" t="s">
        <v>100</v>
      </c>
      <c r="P48" s="182" t="s">
        <v>101</v>
      </c>
    </row>
    <row r="49" spans="1:16" ht="13.5" customHeight="1">
      <c r="A49" s="881">
        <f>+A14+1</f>
        <v>239</v>
      </c>
      <c r="B49" s="875">
        <v>42240</v>
      </c>
      <c r="C49" s="935" t="s">
        <v>28</v>
      </c>
      <c r="D49" s="881" t="s">
        <v>223</v>
      </c>
      <c r="E49" s="881" t="s">
        <v>115</v>
      </c>
      <c r="F49" s="883">
        <v>60000</v>
      </c>
      <c r="G49" s="55">
        <v>719</v>
      </c>
      <c r="H49" s="78">
        <v>60000</v>
      </c>
      <c r="I49" s="873" t="s">
        <v>551</v>
      </c>
      <c r="J49" s="875">
        <v>44201</v>
      </c>
      <c r="K49" s="877" t="s">
        <v>1079</v>
      </c>
      <c r="L49" s="881" t="s">
        <v>2014</v>
      </c>
      <c r="M49" s="881" t="s">
        <v>148</v>
      </c>
      <c r="N49" s="883">
        <v>6662400</v>
      </c>
      <c r="O49" s="55">
        <v>719</v>
      </c>
      <c r="P49" s="78"/>
    </row>
    <row r="50" spans="1:16" ht="12.75" customHeight="1" thickBot="1">
      <c r="A50" s="882"/>
      <c r="B50" s="934"/>
      <c r="C50" s="936"/>
      <c r="D50" s="882"/>
      <c r="E50" s="882"/>
      <c r="F50" s="884"/>
      <c r="G50" s="56">
        <v>721</v>
      </c>
      <c r="H50" s="79">
        <f>+F49-H49</f>
        <v>0</v>
      </c>
      <c r="I50" s="874"/>
      <c r="J50" s="876"/>
      <c r="K50" s="878"/>
      <c r="L50" s="882"/>
      <c r="M50" s="882"/>
      <c r="N50" s="884"/>
      <c r="O50" s="56">
        <v>723</v>
      </c>
      <c r="P50" s="79">
        <f>+N49-P49</f>
        <v>6662400</v>
      </c>
    </row>
    <row r="51" spans="1:16" ht="12" customHeight="1">
      <c r="A51" s="881">
        <f>+A49+1</f>
        <v>240</v>
      </c>
      <c r="B51" s="875">
        <v>42240</v>
      </c>
      <c r="C51" s="942" t="s">
        <v>31</v>
      </c>
      <c r="D51" s="881" t="s">
        <v>224</v>
      </c>
      <c r="E51" s="881" t="s">
        <v>115</v>
      </c>
      <c r="F51" s="883">
        <v>140000</v>
      </c>
      <c r="G51" s="55">
        <v>719</v>
      </c>
      <c r="H51" s="78">
        <v>140000</v>
      </c>
      <c r="I51" s="873" t="s">
        <v>552</v>
      </c>
      <c r="J51" s="875">
        <v>44201</v>
      </c>
      <c r="K51" s="877" t="s">
        <v>1809</v>
      </c>
      <c r="L51" s="881" t="s">
        <v>2014</v>
      </c>
      <c r="M51" s="881" t="s">
        <v>148</v>
      </c>
      <c r="N51" s="883">
        <v>6117780</v>
      </c>
      <c r="O51" s="55">
        <v>719</v>
      </c>
      <c r="P51" s="78"/>
    </row>
    <row r="52" spans="1:16" ht="15" customHeight="1" thickBot="1">
      <c r="A52" s="882"/>
      <c r="B52" s="934"/>
      <c r="C52" s="943"/>
      <c r="D52" s="882"/>
      <c r="E52" s="882"/>
      <c r="F52" s="884"/>
      <c r="G52" s="56">
        <v>721</v>
      </c>
      <c r="H52" s="79"/>
      <c r="I52" s="874"/>
      <c r="J52" s="876"/>
      <c r="K52" s="878"/>
      <c r="L52" s="882"/>
      <c r="M52" s="882"/>
      <c r="N52" s="884"/>
      <c r="O52" s="56">
        <v>723</v>
      </c>
      <c r="P52" s="79">
        <f>+N51-P51</f>
        <v>6117780</v>
      </c>
    </row>
    <row r="53" spans="1:16" ht="13.5" customHeight="1">
      <c r="A53" s="251"/>
      <c r="B53" s="452"/>
      <c r="C53" s="465"/>
      <c r="D53" s="251"/>
      <c r="E53" s="251"/>
      <c r="F53" s="254"/>
      <c r="G53" s="255"/>
      <c r="H53" s="256"/>
      <c r="I53" s="873" t="s">
        <v>553</v>
      </c>
      <c r="J53" s="875">
        <v>44201</v>
      </c>
      <c r="K53" s="877" t="s">
        <v>1921</v>
      </c>
      <c r="L53" s="881" t="s">
        <v>2014</v>
      </c>
      <c r="M53" s="881" t="s">
        <v>148</v>
      </c>
      <c r="N53" s="883">
        <v>12395833</v>
      </c>
      <c r="O53" s="55">
        <v>719</v>
      </c>
      <c r="P53" s="78"/>
    </row>
    <row r="54" spans="1:16" ht="12.75" customHeight="1" thickBot="1">
      <c r="A54" s="251"/>
      <c r="B54" s="452"/>
      <c r="C54" s="465"/>
      <c r="D54" s="251"/>
      <c r="E54" s="251"/>
      <c r="F54" s="254"/>
      <c r="G54" s="255"/>
      <c r="H54" s="256"/>
      <c r="I54" s="874"/>
      <c r="J54" s="876"/>
      <c r="K54" s="878"/>
      <c r="L54" s="882"/>
      <c r="M54" s="882"/>
      <c r="N54" s="884"/>
      <c r="O54" s="56">
        <v>723</v>
      </c>
      <c r="P54" s="79">
        <f>+N53-P53</f>
        <v>12395833</v>
      </c>
    </row>
    <row r="55" spans="1:16" ht="12" customHeight="1">
      <c r="A55" s="881">
        <f>+A51+1</f>
        <v>241</v>
      </c>
      <c r="B55" s="875">
        <v>42240</v>
      </c>
      <c r="C55" s="942" t="s">
        <v>32</v>
      </c>
      <c r="D55" s="881" t="s">
        <v>225</v>
      </c>
      <c r="E55" s="881" t="s">
        <v>115</v>
      </c>
      <c r="F55" s="883">
        <v>50000</v>
      </c>
      <c r="G55" s="55">
        <v>719</v>
      </c>
      <c r="H55" s="78">
        <v>50000</v>
      </c>
      <c r="I55" s="873" t="s">
        <v>554</v>
      </c>
      <c r="J55" s="875">
        <v>44201</v>
      </c>
      <c r="K55" s="959" t="s">
        <v>1735</v>
      </c>
      <c r="L55" s="881" t="s">
        <v>2014</v>
      </c>
      <c r="M55" s="881" t="s">
        <v>148</v>
      </c>
      <c r="N55" s="883">
        <v>3600000</v>
      </c>
      <c r="O55" s="55">
        <v>719</v>
      </c>
      <c r="P55" s="78"/>
    </row>
    <row r="56" spans="1:16" ht="15" customHeight="1" thickBot="1">
      <c r="A56" s="882"/>
      <c r="B56" s="934"/>
      <c r="C56" s="943"/>
      <c r="D56" s="882"/>
      <c r="E56" s="882"/>
      <c r="F56" s="884"/>
      <c r="G56" s="56">
        <v>721</v>
      </c>
      <c r="H56" s="79">
        <f>+F55-H55</f>
        <v>0</v>
      </c>
      <c r="I56" s="874"/>
      <c r="J56" s="876"/>
      <c r="K56" s="960"/>
      <c r="L56" s="882"/>
      <c r="M56" s="882"/>
      <c r="N56" s="884"/>
      <c r="O56" s="56">
        <v>723</v>
      </c>
      <c r="P56" s="79">
        <f>+N55-P55</f>
        <v>3600000</v>
      </c>
    </row>
    <row r="57" spans="1:16" ht="12" customHeight="1">
      <c r="A57" s="881"/>
      <c r="B57" s="875"/>
      <c r="C57" s="935"/>
      <c r="D57" s="877"/>
      <c r="E57" s="881"/>
      <c r="F57" s="883"/>
      <c r="G57" s="55">
        <v>719</v>
      </c>
      <c r="H57" s="78"/>
      <c r="I57" s="873" t="s">
        <v>1318</v>
      </c>
      <c r="J57" s="875">
        <v>44201</v>
      </c>
      <c r="K57" s="910" t="s">
        <v>1893</v>
      </c>
      <c r="L57" s="881" t="s">
        <v>2014</v>
      </c>
      <c r="M57" s="881" t="s">
        <v>148</v>
      </c>
      <c r="N57" s="883">
        <v>8000000</v>
      </c>
      <c r="O57" s="55">
        <v>719</v>
      </c>
      <c r="P57" s="78"/>
    </row>
    <row r="58" spans="1:16" ht="13.5" customHeight="1" thickBot="1">
      <c r="A58" s="882"/>
      <c r="B58" s="934"/>
      <c r="C58" s="936"/>
      <c r="D58" s="878"/>
      <c r="E58" s="882"/>
      <c r="F58" s="884"/>
      <c r="G58" s="56">
        <v>721</v>
      </c>
      <c r="H58" s="79">
        <f>+F57-H57</f>
        <v>0</v>
      </c>
      <c r="I58" s="874"/>
      <c r="J58" s="876"/>
      <c r="K58" s="911"/>
      <c r="L58" s="882"/>
      <c r="M58" s="882"/>
      <c r="N58" s="884"/>
      <c r="O58" s="56">
        <v>723</v>
      </c>
      <c r="P58" s="79">
        <f>+N57</f>
        <v>8000000</v>
      </c>
    </row>
    <row r="59" spans="1:16" ht="15.75" customHeight="1" thickBot="1">
      <c r="A59" s="901" t="s">
        <v>102</v>
      </c>
      <c r="B59" s="902"/>
      <c r="C59" s="902"/>
      <c r="D59" s="902"/>
      <c r="E59" s="903"/>
      <c r="F59" s="81">
        <f>SUM(F49:F58)</f>
        <v>250000</v>
      </c>
      <c r="I59" s="901" t="s">
        <v>102</v>
      </c>
      <c r="J59" s="902"/>
      <c r="K59" s="902"/>
      <c r="L59" s="902"/>
      <c r="M59" s="903"/>
      <c r="N59" s="81">
        <f>SUM(N49:N58)</f>
        <v>36776013</v>
      </c>
    </row>
    <row r="60" spans="1:16" ht="16.5" thickBot="1">
      <c r="A60" s="885" t="s">
        <v>103</v>
      </c>
      <c r="B60" s="886"/>
      <c r="C60" s="886"/>
      <c r="D60" s="886"/>
      <c r="E60" s="887"/>
      <c r="F60" s="69">
        <f>+C74</f>
        <v>611067841</v>
      </c>
      <c r="I60" s="885" t="s">
        <v>103</v>
      </c>
      <c r="J60" s="886"/>
      <c r="K60" s="886"/>
      <c r="L60" s="886"/>
      <c r="M60" s="887"/>
      <c r="N60" s="69">
        <f>+N24</f>
        <v>154548058</v>
      </c>
      <c r="O60" s="241" t="s">
        <v>561</v>
      </c>
      <c r="P60" s="242"/>
    </row>
    <row r="61" spans="1:16" ht="15" customHeight="1" thickBot="1">
      <c r="A61" s="888" t="s">
        <v>104</v>
      </c>
      <c r="B61" s="889"/>
      <c r="C61" s="889"/>
      <c r="D61" s="889"/>
      <c r="E61" s="890"/>
      <c r="F61" s="183">
        <f>SUM(F59:F60)</f>
        <v>611317841</v>
      </c>
      <c r="I61" s="888" t="s">
        <v>104</v>
      </c>
      <c r="J61" s="889"/>
      <c r="K61" s="889"/>
      <c r="L61" s="889"/>
      <c r="M61" s="890"/>
      <c r="N61" s="183">
        <f>SUM(N59:N60)</f>
        <v>191324071</v>
      </c>
    </row>
    <row r="62" spans="1:16" ht="8.25" customHeight="1">
      <c r="A62" s="61"/>
      <c r="B62" s="61"/>
      <c r="C62" s="61"/>
      <c r="D62" s="61"/>
      <c r="E62" s="61"/>
      <c r="I62" s="61"/>
      <c r="J62" s="61"/>
      <c r="K62" s="61"/>
      <c r="L62" s="61"/>
      <c r="M62" s="61"/>
    </row>
    <row r="63" spans="1:16">
      <c r="A63" s="51" t="s">
        <v>226</v>
      </c>
      <c r="I63" s="51" t="s">
        <v>2017</v>
      </c>
    </row>
    <row r="64" spans="1:16" ht="7.5" customHeight="1">
      <c r="F64" s="139"/>
      <c r="N64" s="139"/>
    </row>
    <row r="65" spans="1:16">
      <c r="A65" s="50" t="s">
        <v>105</v>
      </c>
      <c r="D65" s="146"/>
      <c r="F65" s="139"/>
      <c r="I65" s="50" t="s">
        <v>105</v>
      </c>
      <c r="L65" s="146"/>
      <c r="N65" s="139"/>
    </row>
    <row r="66" spans="1:16" ht="7.5" customHeight="1" thickBot="1"/>
    <row r="67" spans="1:16" ht="15.75" thickBot="1">
      <c r="A67" s="891" t="s">
        <v>106</v>
      </c>
      <c r="B67" s="892"/>
      <c r="C67" s="892"/>
      <c r="D67" s="893"/>
      <c r="F67" s="50" t="s">
        <v>107</v>
      </c>
      <c r="I67" s="891" t="s">
        <v>106</v>
      </c>
      <c r="J67" s="892"/>
      <c r="K67" s="892"/>
      <c r="L67" s="893"/>
      <c r="N67" s="50" t="s">
        <v>288</v>
      </c>
    </row>
    <row r="68" spans="1:16" ht="28.5" customHeight="1" thickBot="1">
      <c r="A68" s="57" t="s">
        <v>100</v>
      </c>
      <c r="B68" s="58" t="s">
        <v>108</v>
      </c>
      <c r="C68" s="59" t="s">
        <v>109</v>
      </c>
      <c r="D68" s="60" t="s">
        <v>110</v>
      </c>
      <c r="I68" s="57" t="s">
        <v>100</v>
      </c>
      <c r="J68" s="58" t="s">
        <v>108</v>
      </c>
      <c r="K68" s="473" t="s">
        <v>109</v>
      </c>
      <c r="L68" s="60" t="s">
        <v>110</v>
      </c>
    </row>
    <row r="69" spans="1:16" ht="14.25" customHeight="1">
      <c r="A69" s="71">
        <v>719</v>
      </c>
      <c r="B69" s="73">
        <f>+H49+H51+H55</f>
        <v>250000</v>
      </c>
      <c r="C69" s="74">
        <f>+D32</f>
        <v>28330000</v>
      </c>
      <c r="D69" s="76">
        <f>+B69+C69</f>
        <v>28580000</v>
      </c>
      <c r="I69" s="71">
        <v>719</v>
      </c>
      <c r="J69" s="73">
        <f>+P49+P51+P55</f>
        <v>0</v>
      </c>
      <c r="K69" s="74">
        <f>+L32</f>
        <v>0</v>
      </c>
      <c r="L69" s="195">
        <f>+J69+K69</f>
        <v>0</v>
      </c>
    </row>
    <row r="70" spans="1:16" ht="13.5" customHeight="1">
      <c r="A70" s="72">
        <v>721</v>
      </c>
      <c r="B70" s="80"/>
      <c r="C70" s="74">
        <f>+D33</f>
        <v>36156092</v>
      </c>
      <c r="D70" s="76">
        <f>+B70+C70</f>
        <v>36156092</v>
      </c>
      <c r="I70" s="72">
        <v>721</v>
      </c>
      <c r="J70" s="80"/>
      <c r="K70" s="74">
        <f>+L33</f>
        <v>0</v>
      </c>
      <c r="L70" s="195">
        <f>+J70+K70</f>
        <v>0</v>
      </c>
    </row>
    <row r="71" spans="1:16" ht="12.75" customHeight="1">
      <c r="A71" s="72">
        <v>722</v>
      </c>
      <c r="B71" s="80"/>
      <c r="C71" s="74">
        <f>+D34</f>
        <v>224787287</v>
      </c>
      <c r="D71" s="76">
        <f>+B71+C71</f>
        <v>224787287</v>
      </c>
      <c r="I71" s="72">
        <v>722</v>
      </c>
      <c r="J71" s="80"/>
      <c r="K71" s="74">
        <f>+L34</f>
        <v>0</v>
      </c>
      <c r="L71" s="195">
        <f>+J71+K71</f>
        <v>0</v>
      </c>
    </row>
    <row r="72" spans="1:16" ht="14.25" customHeight="1" thickBot="1">
      <c r="A72" s="72">
        <v>723</v>
      </c>
      <c r="B72" s="80"/>
      <c r="C72" s="74">
        <f>+D35</f>
        <v>319828837</v>
      </c>
      <c r="D72" s="76">
        <f>+B72+C72</f>
        <v>319828837</v>
      </c>
      <c r="F72" s="174" t="s">
        <v>23</v>
      </c>
      <c r="G72" s="175"/>
      <c r="I72" s="72">
        <v>723</v>
      </c>
      <c r="J72" s="80">
        <f>+N59</f>
        <v>36776013</v>
      </c>
      <c r="K72" s="74">
        <f>+L35</f>
        <v>154548058</v>
      </c>
      <c r="L72" s="195">
        <f>+J72+K72</f>
        <v>191324071</v>
      </c>
      <c r="N72" s="909" t="s">
        <v>1696</v>
      </c>
      <c r="O72" s="909"/>
      <c r="P72" s="909"/>
    </row>
    <row r="73" spans="1:16" ht="14.25" hidden="1" customHeight="1">
      <c r="A73" s="164" t="s">
        <v>181</v>
      </c>
      <c r="B73" s="165"/>
      <c r="C73" s="74">
        <f>+D36</f>
        <v>1965625</v>
      </c>
      <c r="D73" s="168">
        <f>+B73+C73</f>
        <v>1965625</v>
      </c>
      <c r="F73" s="52"/>
      <c r="I73" s="164" t="s">
        <v>181</v>
      </c>
      <c r="J73" s="165"/>
      <c r="K73" s="74">
        <f>+L36</f>
        <v>0</v>
      </c>
      <c r="L73" s="196">
        <f>+J73+K73</f>
        <v>0</v>
      </c>
      <c r="N73" s="52"/>
    </row>
    <row r="74" spans="1:16" ht="16.5" thickBot="1">
      <c r="A74" s="169"/>
      <c r="B74" s="170">
        <f>SUM(B69:B73)</f>
        <v>250000</v>
      </c>
      <c r="C74" s="171">
        <f>SUM(C69:C73)</f>
        <v>611067841</v>
      </c>
      <c r="D74" s="172">
        <f>SUM(D69:D73)</f>
        <v>611317841</v>
      </c>
      <c r="I74" s="169"/>
      <c r="J74" s="197">
        <f>SUM(J69:J73)</f>
        <v>36776013</v>
      </c>
      <c r="K74" s="197">
        <f>SUM(K69:K73)</f>
        <v>154548058</v>
      </c>
      <c r="L74" s="198">
        <f>SUM(L69:L73)</f>
        <v>191324071</v>
      </c>
    </row>
    <row r="75" spans="1:16" ht="16.5">
      <c r="A75" s="49" t="s">
        <v>88</v>
      </c>
      <c r="B75" s="50"/>
      <c r="I75" s="49" t="s">
        <v>88</v>
      </c>
      <c r="J75" s="50"/>
    </row>
    <row r="76" spans="1:16" ht="14.25" customHeight="1">
      <c r="A76" s="51" t="s">
        <v>89</v>
      </c>
      <c r="I76" s="51" t="s">
        <v>89</v>
      </c>
    </row>
    <row r="77" spans="1:16" ht="12.75" customHeight="1">
      <c r="A77" s="51" t="s">
        <v>90</v>
      </c>
      <c r="I77" s="51" t="s">
        <v>90</v>
      </c>
    </row>
    <row r="78" spans="1:16" ht="15" customHeight="1">
      <c r="A78" s="51" t="s">
        <v>91</v>
      </c>
      <c r="I78" s="51" t="s">
        <v>91</v>
      </c>
    </row>
    <row r="79" spans="1:16" ht="6.75" customHeight="1">
      <c r="A79" s="50"/>
      <c r="B79" s="50"/>
      <c r="I79" s="50"/>
      <c r="J79" s="50"/>
    </row>
    <row r="80" spans="1:16" ht="13.5" customHeight="1">
      <c r="A80" s="52" t="s">
        <v>227</v>
      </c>
      <c r="B80" s="50"/>
      <c r="G80" s="52"/>
      <c r="I80" s="52" t="s">
        <v>539</v>
      </c>
      <c r="O80" s="52"/>
    </row>
    <row r="81" spans="1:16" ht="15.75" customHeight="1">
      <c r="A81" s="53" t="s">
        <v>92</v>
      </c>
      <c r="G81" s="53"/>
      <c r="I81" s="53" t="s">
        <v>2012</v>
      </c>
      <c r="O81" s="53"/>
    </row>
    <row r="82" spans="1:16" ht="15" customHeight="1">
      <c r="A82" s="894" t="s">
        <v>228</v>
      </c>
      <c r="B82" s="894"/>
      <c r="C82" s="894"/>
      <c r="D82" s="894"/>
      <c r="E82" s="894"/>
      <c r="F82" s="894"/>
      <c r="G82" s="894"/>
      <c r="H82" s="894"/>
      <c r="I82" s="894" t="s">
        <v>903</v>
      </c>
      <c r="J82" s="894"/>
      <c r="K82" s="894"/>
      <c r="L82" s="894"/>
      <c r="M82" s="894"/>
      <c r="N82" s="894"/>
      <c r="O82" s="894"/>
      <c r="P82" s="894"/>
    </row>
    <row r="83" spans="1:16" ht="8.25" customHeight="1" thickBot="1"/>
    <row r="84" spans="1:16" ht="15" customHeight="1">
      <c r="A84" s="895" t="s">
        <v>94</v>
      </c>
      <c r="B84" s="897" t="s">
        <v>95</v>
      </c>
      <c r="C84" s="897" t="s">
        <v>96</v>
      </c>
      <c r="D84" s="897" t="s">
        <v>3</v>
      </c>
      <c r="E84" s="897" t="s">
        <v>97</v>
      </c>
      <c r="F84" s="897" t="s">
        <v>98</v>
      </c>
      <c r="G84" s="897" t="s">
        <v>99</v>
      </c>
      <c r="H84" s="899"/>
      <c r="I84" s="895" t="s">
        <v>94</v>
      </c>
      <c r="J84" s="897" t="s">
        <v>95</v>
      </c>
      <c r="K84" s="897" t="s">
        <v>96</v>
      </c>
      <c r="L84" s="897" t="s">
        <v>3</v>
      </c>
      <c r="M84" s="897" t="s">
        <v>97</v>
      </c>
      <c r="N84" s="897" t="s">
        <v>98</v>
      </c>
      <c r="O84" s="897" t="s">
        <v>99</v>
      </c>
      <c r="P84" s="899"/>
    </row>
    <row r="85" spans="1:16" ht="15.75" customHeight="1" thickBot="1">
      <c r="A85" s="896"/>
      <c r="B85" s="898"/>
      <c r="C85" s="898"/>
      <c r="D85" s="898"/>
      <c r="E85" s="898"/>
      <c r="F85" s="898"/>
      <c r="G85" s="240" t="s">
        <v>100</v>
      </c>
      <c r="H85" s="182" t="s">
        <v>101</v>
      </c>
      <c r="I85" s="896"/>
      <c r="J85" s="898"/>
      <c r="K85" s="898"/>
      <c r="L85" s="898"/>
      <c r="M85" s="898"/>
      <c r="N85" s="898"/>
      <c r="O85" s="240" t="s">
        <v>100</v>
      </c>
      <c r="P85" s="182" t="s">
        <v>101</v>
      </c>
    </row>
    <row r="86" spans="1:16" ht="13.5" customHeight="1">
      <c r="A86" s="881">
        <f>+A55+1</f>
        <v>242</v>
      </c>
      <c r="B86" s="875">
        <v>42242</v>
      </c>
      <c r="C86" s="877" t="s">
        <v>230</v>
      </c>
      <c r="D86" s="881" t="s">
        <v>244</v>
      </c>
      <c r="E86" s="881" t="s">
        <v>148</v>
      </c>
      <c r="F86" s="883">
        <v>182000</v>
      </c>
      <c r="G86" s="55">
        <v>719</v>
      </c>
      <c r="H86" s="78">
        <v>130000</v>
      </c>
      <c r="I86" s="873" t="s">
        <v>1875</v>
      </c>
      <c r="J86" s="875">
        <v>44201</v>
      </c>
      <c r="K86" s="910" t="s">
        <v>1427</v>
      </c>
      <c r="L86" s="881" t="s">
        <v>2014</v>
      </c>
      <c r="M86" s="881" t="s">
        <v>148</v>
      </c>
      <c r="N86" s="883">
        <v>7875000</v>
      </c>
      <c r="O86" s="55">
        <v>719</v>
      </c>
      <c r="P86" s="78"/>
    </row>
    <row r="87" spans="1:16" ht="12.75" customHeight="1" thickBot="1">
      <c r="A87" s="882"/>
      <c r="B87" s="934"/>
      <c r="C87" s="878"/>
      <c r="D87" s="882"/>
      <c r="E87" s="882"/>
      <c r="F87" s="884"/>
      <c r="G87" s="56">
        <v>721</v>
      </c>
      <c r="H87" s="79">
        <f>+F86-H86</f>
        <v>52000</v>
      </c>
      <c r="I87" s="882"/>
      <c r="J87" s="876"/>
      <c r="K87" s="911"/>
      <c r="L87" s="882"/>
      <c r="M87" s="882"/>
      <c r="N87" s="884"/>
      <c r="O87" s="56">
        <v>723</v>
      </c>
      <c r="P87" s="79">
        <f>+N86-P86</f>
        <v>7875000</v>
      </c>
    </row>
    <row r="88" spans="1:16" ht="12" customHeight="1">
      <c r="A88" s="881">
        <f>+A86+1</f>
        <v>243</v>
      </c>
      <c r="B88" s="875">
        <v>42242</v>
      </c>
      <c r="C88" s="881" t="s">
        <v>28</v>
      </c>
      <c r="D88" s="881" t="s">
        <v>229</v>
      </c>
      <c r="E88" s="881" t="s">
        <v>148</v>
      </c>
      <c r="F88" s="883">
        <v>336000</v>
      </c>
      <c r="G88" s="55">
        <v>719</v>
      </c>
      <c r="H88" s="78">
        <v>240000</v>
      </c>
      <c r="I88" s="873" t="s">
        <v>1703</v>
      </c>
      <c r="J88" s="875">
        <v>44201</v>
      </c>
      <c r="K88" s="905" t="s">
        <v>555</v>
      </c>
      <c r="L88" s="881" t="s">
        <v>2014</v>
      </c>
      <c r="M88" s="881" t="s">
        <v>148</v>
      </c>
      <c r="N88" s="883">
        <v>4800000</v>
      </c>
      <c r="O88" s="55">
        <v>719</v>
      </c>
      <c r="P88" s="78"/>
    </row>
    <row r="89" spans="1:16" ht="14.25" customHeight="1" thickBot="1">
      <c r="A89" s="882"/>
      <c r="B89" s="934"/>
      <c r="C89" s="882"/>
      <c r="D89" s="882"/>
      <c r="E89" s="882"/>
      <c r="F89" s="884"/>
      <c r="G89" s="56">
        <v>721</v>
      </c>
      <c r="H89" s="79">
        <f>+F88-H88</f>
        <v>96000</v>
      </c>
      <c r="I89" s="882"/>
      <c r="J89" s="876"/>
      <c r="K89" s="906"/>
      <c r="L89" s="882"/>
      <c r="M89" s="882"/>
      <c r="N89" s="884"/>
      <c r="O89" s="56">
        <v>723</v>
      </c>
      <c r="P89" s="79">
        <f>+N88-P88</f>
        <v>4800000</v>
      </c>
    </row>
    <row r="90" spans="1:16" ht="11.25" customHeight="1">
      <c r="A90" s="881">
        <f>+A88+1</f>
        <v>244</v>
      </c>
      <c r="B90" s="875">
        <v>42242</v>
      </c>
      <c r="C90" s="877" t="s">
        <v>32</v>
      </c>
      <c r="D90" s="881" t="s">
        <v>229</v>
      </c>
      <c r="E90" s="881" t="s">
        <v>148</v>
      </c>
      <c r="F90" s="883">
        <v>56000</v>
      </c>
      <c r="G90" s="55">
        <v>719</v>
      </c>
      <c r="H90" s="78">
        <v>40000</v>
      </c>
      <c r="I90" s="873" t="s">
        <v>1704</v>
      </c>
      <c r="J90" s="875">
        <v>44201</v>
      </c>
      <c r="K90" s="905" t="s">
        <v>555</v>
      </c>
      <c r="L90" s="881" t="s">
        <v>2014</v>
      </c>
      <c r="M90" s="881" t="s">
        <v>148</v>
      </c>
      <c r="N90" s="883">
        <v>7623000</v>
      </c>
      <c r="O90" s="55">
        <v>719</v>
      </c>
      <c r="P90" s="78"/>
    </row>
    <row r="91" spans="1:16" ht="14.25" customHeight="1" thickBot="1">
      <c r="A91" s="882"/>
      <c r="B91" s="934"/>
      <c r="C91" s="878"/>
      <c r="D91" s="882"/>
      <c r="E91" s="882"/>
      <c r="F91" s="884"/>
      <c r="G91" s="56">
        <v>721</v>
      </c>
      <c r="H91" s="79">
        <f>+F90-H90</f>
        <v>16000</v>
      </c>
      <c r="I91" s="882"/>
      <c r="J91" s="876"/>
      <c r="K91" s="906"/>
      <c r="L91" s="882"/>
      <c r="M91" s="882"/>
      <c r="N91" s="884"/>
      <c r="O91" s="56">
        <v>723</v>
      </c>
      <c r="P91" s="79">
        <f>+N90-P90</f>
        <v>7623000</v>
      </c>
    </row>
    <row r="92" spans="1:16" ht="12" customHeight="1">
      <c r="A92" s="251"/>
      <c r="B92" s="452"/>
      <c r="C92" s="253"/>
      <c r="D92" s="251"/>
      <c r="E92" s="251"/>
      <c r="F92" s="254"/>
      <c r="G92" s="255"/>
      <c r="H92" s="256"/>
      <c r="I92" s="873" t="s">
        <v>1705</v>
      </c>
      <c r="J92" s="875">
        <v>44201</v>
      </c>
      <c r="K92" s="910" t="s">
        <v>1877</v>
      </c>
      <c r="L92" s="881" t="s">
        <v>2014</v>
      </c>
      <c r="M92" s="881" t="s">
        <v>148</v>
      </c>
      <c r="N92" s="883">
        <v>7337400</v>
      </c>
      <c r="O92" s="55">
        <v>719</v>
      </c>
      <c r="P92" s="78"/>
    </row>
    <row r="93" spans="1:16" ht="14.25" customHeight="1" thickBot="1">
      <c r="A93" s="251"/>
      <c r="B93" s="452"/>
      <c r="C93" s="253"/>
      <c r="D93" s="251"/>
      <c r="E93" s="251"/>
      <c r="F93" s="254"/>
      <c r="G93" s="255"/>
      <c r="H93" s="256"/>
      <c r="I93" s="882"/>
      <c r="J93" s="876"/>
      <c r="K93" s="911"/>
      <c r="L93" s="882"/>
      <c r="M93" s="882"/>
      <c r="N93" s="884"/>
      <c r="O93" s="56">
        <v>723</v>
      </c>
      <c r="P93" s="79">
        <f>+N92-P92</f>
        <v>7337400</v>
      </c>
    </row>
    <row r="94" spans="1:16" ht="11.25" customHeight="1">
      <c r="A94" s="881" t="e">
        <f>+#REF!+1</f>
        <v>#REF!</v>
      </c>
      <c r="B94" s="875">
        <v>42242</v>
      </c>
      <c r="C94" s="881" t="s">
        <v>31</v>
      </c>
      <c r="D94" s="881" t="s">
        <v>229</v>
      </c>
      <c r="E94" s="881" t="s">
        <v>148</v>
      </c>
      <c r="F94" s="883">
        <v>588000</v>
      </c>
      <c r="G94" s="55">
        <v>719</v>
      </c>
      <c r="H94" s="78">
        <v>420000</v>
      </c>
      <c r="I94" s="873" t="s">
        <v>1876</v>
      </c>
      <c r="J94" s="875">
        <v>44201</v>
      </c>
      <c r="K94" s="879" t="s">
        <v>695</v>
      </c>
      <c r="L94" s="881" t="s">
        <v>2014</v>
      </c>
      <c r="M94" s="881" t="s">
        <v>148</v>
      </c>
      <c r="N94" s="883">
        <v>7139940</v>
      </c>
      <c r="O94" s="55">
        <v>719</v>
      </c>
      <c r="P94" s="78"/>
    </row>
    <row r="95" spans="1:16" ht="14.25" customHeight="1" thickBot="1">
      <c r="A95" s="882"/>
      <c r="B95" s="934"/>
      <c r="C95" s="882"/>
      <c r="D95" s="882"/>
      <c r="E95" s="882"/>
      <c r="F95" s="884"/>
      <c r="G95" s="56">
        <v>721</v>
      </c>
      <c r="H95" s="79">
        <f>+F94-H94</f>
        <v>168000</v>
      </c>
      <c r="I95" s="882"/>
      <c r="J95" s="876"/>
      <c r="K95" s="880"/>
      <c r="L95" s="882"/>
      <c r="M95" s="882"/>
      <c r="N95" s="884"/>
      <c r="O95" s="56">
        <v>723</v>
      </c>
      <c r="P95" s="79">
        <f>+N94-P94</f>
        <v>7139940</v>
      </c>
    </row>
    <row r="96" spans="1:16" ht="16.5" thickBot="1">
      <c r="A96" s="901" t="s">
        <v>102</v>
      </c>
      <c r="B96" s="902"/>
      <c r="C96" s="902"/>
      <c r="D96" s="902"/>
      <c r="E96" s="903"/>
      <c r="F96" s="81">
        <f>SUM(F86:F95)</f>
        <v>1162000</v>
      </c>
      <c r="I96" s="901" t="s">
        <v>102</v>
      </c>
      <c r="J96" s="902"/>
      <c r="K96" s="902"/>
      <c r="L96" s="902"/>
      <c r="M96" s="903"/>
      <c r="N96" s="81">
        <f>+N86+N88+N90+N92+N94</f>
        <v>34775340</v>
      </c>
    </row>
    <row r="97" spans="1:16" ht="16.5" thickBot="1">
      <c r="A97" s="885" t="s">
        <v>103</v>
      </c>
      <c r="B97" s="886"/>
      <c r="C97" s="886"/>
      <c r="D97" s="886"/>
      <c r="E97" s="887"/>
      <c r="F97" s="184">
        <f>+C111</f>
        <v>611317841</v>
      </c>
      <c r="I97" s="885" t="s">
        <v>103</v>
      </c>
      <c r="J97" s="886"/>
      <c r="K97" s="886"/>
      <c r="L97" s="886"/>
      <c r="M97" s="887"/>
      <c r="N97" s="69">
        <f>+N61</f>
        <v>191324071</v>
      </c>
      <c r="O97" s="241" t="s">
        <v>561</v>
      </c>
      <c r="P97" s="242"/>
    </row>
    <row r="98" spans="1:16" ht="16.5" thickBot="1">
      <c r="A98" s="888" t="s">
        <v>104</v>
      </c>
      <c r="B98" s="889"/>
      <c r="C98" s="889"/>
      <c r="D98" s="889"/>
      <c r="E98" s="890"/>
      <c r="F98" s="183">
        <f>SUM(F96:F97)</f>
        <v>612479841</v>
      </c>
      <c r="I98" s="888" t="s">
        <v>104</v>
      </c>
      <c r="J98" s="889"/>
      <c r="K98" s="889"/>
      <c r="L98" s="889"/>
      <c r="M98" s="890"/>
      <c r="N98" s="183">
        <f>SUM(N96:N97)</f>
        <v>226099411</v>
      </c>
    </row>
    <row r="99" spans="1:16" ht="14.25" customHeight="1">
      <c r="A99" s="61"/>
      <c r="B99" s="61"/>
      <c r="C99" s="61"/>
      <c r="D99" s="61"/>
      <c r="E99" s="61"/>
      <c r="I99" s="61"/>
      <c r="J99" s="61"/>
      <c r="K99" s="61"/>
      <c r="L99" s="61"/>
      <c r="M99" s="61"/>
    </row>
    <row r="100" spans="1:16">
      <c r="A100" s="51" t="s">
        <v>232</v>
      </c>
      <c r="I100" s="51" t="s">
        <v>1878</v>
      </c>
    </row>
    <row r="101" spans="1:16" ht="4.5" customHeight="1">
      <c r="F101" s="139"/>
      <c r="N101" s="139"/>
    </row>
    <row r="102" spans="1:16" ht="12" customHeight="1">
      <c r="A102" s="50" t="s">
        <v>105</v>
      </c>
      <c r="D102" s="146"/>
      <c r="I102" s="50" t="s">
        <v>105</v>
      </c>
      <c r="L102" s="146"/>
      <c r="N102" s="139"/>
    </row>
    <row r="103" spans="1:16" ht="6" customHeight="1" thickBot="1"/>
    <row r="104" spans="1:16" ht="17.25" thickBot="1">
      <c r="A104" s="891" t="s">
        <v>106</v>
      </c>
      <c r="B104" s="892"/>
      <c r="C104" s="892"/>
      <c r="D104" s="893"/>
      <c r="F104" s="50" t="s">
        <v>107</v>
      </c>
      <c r="I104" s="891" t="s">
        <v>106</v>
      </c>
      <c r="J104" s="892"/>
      <c r="K104" s="892"/>
      <c r="L104" s="893"/>
      <c r="N104" s="604" t="s">
        <v>288</v>
      </c>
      <c r="O104" s="604"/>
      <c r="P104" s="604"/>
    </row>
    <row r="105" spans="1:16" ht="28.5" customHeight="1" thickBot="1">
      <c r="A105" s="57" t="s">
        <v>100</v>
      </c>
      <c r="B105" s="58" t="s">
        <v>108</v>
      </c>
      <c r="C105" s="59" t="s">
        <v>109</v>
      </c>
      <c r="D105" s="60" t="s">
        <v>110</v>
      </c>
      <c r="I105" s="57" t="s">
        <v>100</v>
      </c>
      <c r="J105" s="58" t="s">
        <v>108</v>
      </c>
      <c r="K105" s="59" t="s">
        <v>109</v>
      </c>
      <c r="L105" s="60" t="s">
        <v>110</v>
      </c>
      <c r="N105" s="12"/>
      <c r="O105" s="12"/>
      <c r="P105" s="12"/>
    </row>
    <row r="106" spans="1:16" ht="12.75" customHeight="1">
      <c r="A106" s="71">
        <v>719</v>
      </c>
      <c r="B106" s="73" t="e">
        <f>+H86+H88+H90+#REF!+H94</f>
        <v>#REF!</v>
      </c>
      <c r="C106" s="74">
        <f>+D69</f>
        <v>28580000</v>
      </c>
      <c r="D106" s="76" t="e">
        <f>+B106+C106</f>
        <v>#REF!</v>
      </c>
      <c r="I106" s="71">
        <v>719</v>
      </c>
      <c r="J106" s="73"/>
      <c r="K106" s="74"/>
      <c r="L106" s="195">
        <f>+J106+K106</f>
        <v>0</v>
      </c>
      <c r="N106" s="12"/>
      <c r="O106" s="12"/>
      <c r="P106" s="12"/>
    </row>
    <row r="107" spans="1:16" ht="13.5" customHeight="1">
      <c r="A107" s="72">
        <v>721</v>
      </c>
      <c r="B107" s="80" t="e">
        <f>+H95+#REF!+H91+H89+H87</f>
        <v>#REF!</v>
      </c>
      <c r="C107" s="74">
        <f>+D70</f>
        <v>36156092</v>
      </c>
      <c r="D107" s="76" t="e">
        <f>+B107+C107</f>
        <v>#REF!</v>
      </c>
      <c r="I107" s="72">
        <v>721</v>
      </c>
      <c r="J107" s="80"/>
      <c r="K107" s="74"/>
      <c r="L107" s="195">
        <f>+J107+K107</f>
        <v>0</v>
      </c>
      <c r="N107" s="12"/>
      <c r="O107" s="12"/>
      <c r="P107" s="12"/>
    </row>
    <row r="108" spans="1:16" ht="12.75" customHeight="1">
      <c r="A108" s="72">
        <v>722</v>
      </c>
      <c r="B108" s="80"/>
      <c r="C108" s="74">
        <f>+D71</f>
        <v>224787287</v>
      </c>
      <c r="D108" s="76">
        <f>+B108+C108</f>
        <v>224787287</v>
      </c>
      <c r="I108" s="72">
        <v>722</v>
      </c>
      <c r="J108" s="80">
        <v>0</v>
      </c>
      <c r="K108" s="74">
        <f>+L71</f>
        <v>0</v>
      </c>
      <c r="L108" s="195">
        <f>+J108+K108</f>
        <v>0</v>
      </c>
      <c r="N108" s="12"/>
      <c r="O108" s="12"/>
      <c r="P108" s="12"/>
    </row>
    <row r="109" spans="1:16" ht="17.25" customHeight="1" thickBot="1">
      <c r="A109" s="72">
        <v>723</v>
      </c>
      <c r="B109" s="80"/>
      <c r="C109" s="74">
        <f>+D72</f>
        <v>319828837</v>
      </c>
      <c r="D109" s="76">
        <f>+B109+C109</f>
        <v>319828837</v>
      </c>
      <c r="F109" s="174" t="s">
        <v>23</v>
      </c>
      <c r="I109" s="72">
        <v>723</v>
      </c>
      <c r="J109" s="80">
        <f>+N96</f>
        <v>34775340</v>
      </c>
      <c r="K109" s="74">
        <f>+L72</f>
        <v>191324071</v>
      </c>
      <c r="L109" s="195">
        <f>+J109+K109</f>
        <v>226099411</v>
      </c>
      <c r="N109" s="956" t="s">
        <v>1696</v>
      </c>
      <c r="O109" s="956"/>
      <c r="P109" s="956"/>
    </row>
    <row r="110" spans="1:16" ht="13.5" hidden="1" customHeight="1">
      <c r="A110" s="164" t="s">
        <v>181</v>
      </c>
      <c r="B110" s="165"/>
      <c r="C110" s="74">
        <f>+D73</f>
        <v>1965625</v>
      </c>
      <c r="D110" s="168">
        <f>+B110+C110</f>
        <v>1965625</v>
      </c>
      <c r="F110" s="52"/>
      <c r="I110" s="164" t="s">
        <v>181</v>
      </c>
      <c r="J110" s="165"/>
      <c r="K110" s="74">
        <f>+L73</f>
        <v>0</v>
      </c>
      <c r="L110" s="196">
        <f>+J110+K110</f>
        <v>0</v>
      </c>
      <c r="N110" s="191"/>
      <c r="O110" s="12"/>
      <c r="P110" s="12"/>
    </row>
    <row r="111" spans="1:16" ht="15" customHeight="1" thickBot="1">
      <c r="A111" s="169"/>
      <c r="B111" s="170" t="e">
        <f>SUM(B106:B110)</f>
        <v>#REF!</v>
      </c>
      <c r="C111" s="171">
        <f>SUM(C106:C110)</f>
        <v>611317841</v>
      </c>
      <c r="D111" s="172" t="e">
        <f>SUM(D106:D110)</f>
        <v>#REF!</v>
      </c>
      <c r="I111" s="169"/>
      <c r="J111" s="197">
        <f>SUM(J106:J110)</f>
        <v>34775340</v>
      </c>
      <c r="K111" s="197">
        <f>SUM(K106:K110)</f>
        <v>191324071</v>
      </c>
      <c r="L111" s="198">
        <f>SUM(L106:L110)</f>
        <v>226099411</v>
      </c>
    </row>
    <row r="112" spans="1:16" ht="16.5">
      <c r="A112" s="49" t="s">
        <v>88</v>
      </c>
      <c r="B112" s="50"/>
      <c r="I112" s="49" t="s">
        <v>88</v>
      </c>
      <c r="J112" s="50"/>
    </row>
    <row r="113" spans="1:16" ht="11.25" customHeight="1">
      <c r="A113" s="51" t="s">
        <v>89</v>
      </c>
      <c r="I113" s="51" t="s">
        <v>89</v>
      </c>
    </row>
    <row r="114" spans="1:16" ht="11.25" customHeight="1">
      <c r="A114" s="51" t="s">
        <v>90</v>
      </c>
      <c r="I114" s="51" t="s">
        <v>90</v>
      </c>
    </row>
    <row r="115" spans="1:16" ht="12.75" customHeight="1">
      <c r="A115" s="51" t="s">
        <v>91</v>
      </c>
      <c r="I115" s="51" t="s">
        <v>91</v>
      </c>
    </row>
    <row r="116" spans="1:16" ht="5.25" customHeight="1">
      <c r="A116" s="50"/>
      <c r="B116" s="50"/>
      <c r="I116" s="50"/>
      <c r="J116" s="50"/>
    </row>
    <row r="117" spans="1:16" ht="15.75" customHeight="1">
      <c r="A117" s="52" t="s">
        <v>233</v>
      </c>
      <c r="B117" s="50"/>
      <c r="G117" s="52"/>
      <c r="I117" s="52" t="s">
        <v>540</v>
      </c>
      <c r="O117" s="52"/>
    </row>
    <row r="118" spans="1:16" ht="15.75">
      <c r="A118" s="53" t="s">
        <v>92</v>
      </c>
      <c r="G118" s="53"/>
      <c r="I118" s="53" t="s">
        <v>2012</v>
      </c>
      <c r="O118" s="53"/>
    </row>
    <row r="119" spans="1:16" ht="15.75" customHeight="1">
      <c r="A119" s="894" t="s">
        <v>228</v>
      </c>
      <c r="B119" s="894"/>
      <c r="C119" s="894"/>
      <c r="D119" s="894"/>
      <c r="E119" s="894"/>
      <c r="F119" s="894"/>
      <c r="G119" s="894"/>
      <c r="H119" s="894"/>
      <c r="I119" s="894" t="s">
        <v>903</v>
      </c>
      <c r="J119" s="894"/>
      <c r="K119" s="894"/>
      <c r="L119" s="894"/>
      <c r="M119" s="894"/>
      <c r="N119" s="894"/>
      <c r="O119" s="894"/>
      <c r="P119" s="894"/>
    </row>
    <row r="120" spans="1:16" ht="12.75" customHeight="1" thickBot="1"/>
    <row r="121" spans="1:16" ht="15.75" customHeight="1">
      <c r="A121" s="895" t="s">
        <v>94</v>
      </c>
      <c r="B121" s="897" t="s">
        <v>95</v>
      </c>
      <c r="C121" s="897" t="s">
        <v>96</v>
      </c>
      <c r="D121" s="897" t="s">
        <v>3</v>
      </c>
      <c r="E121" s="897" t="s">
        <v>97</v>
      </c>
      <c r="F121" s="897" t="s">
        <v>98</v>
      </c>
      <c r="G121" s="897" t="s">
        <v>99</v>
      </c>
      <c r="H121" s="899"/>
      <c r="I121" s="895" t="s">
        <v>94</v>
      </c>
      <c r="J121" s="897" t="s">
        <v>95</v>
      </c>
      <c r="K121" s="897" t="s">
        <v>96</v>
      </c>
      <c r="L121" s="897" t="s">
        <v>3</v>
      </c>
      <c r="M121" s="897" t="s">
        <v>97</v>
      </c>
      <c r="N121" s="897" t="s">
        <v>98</v>
      </c>
      <c r="O121" s="897" t="s">
        <v>99</v>
      </c>
      <c r="P121" s="899"/>
    </row>
    <row r="122" spans="1:16" ht="15" customHeight="1" thickBot="1">
      <c r="A122" s="896"/>
      <c r="B122" s="898"/>
      <c r="C122" s="898"/>
      <c r="D122" s="898"/>
      <c r="E122" s="898"/>
      <c r="F122" s="898"/>
      <c r="G122" s="240" t="s">
        <v>100</v>
      </c>
      <c r="H122" s="182" t="s">
        <v>101</v>
      </c>
      <c r="I122" s="896"/>
      <c r="J122" s="898"/>
      <c r="K122" s="898"/>
      <c r="L122" s="898"/>
      <c r="M122" s="898"/>
      <c r="N122" s="898"/>
      <c r="O122" s="240" t="s">
        <v>100</v>
      </c>
      <c r="P122" s="182" t="s">
        <v>101</v>
      </c>
    </row>
    <row r="123" spans="1:16" ht="14.25" customHeight="1">
      <c r="A123" s="881" t="e">
        <f>+A94+1</f>
        <v>#REF!</v>
      </c>
      <c r="B123" s="875">
        <v>42242</v>
      </c>
      <c r="C123" s="942" t="s">
        <v>230</v>
      </c>
      <c r="D123" s="881" t="s">
        <v>234</v>
      </c>
      <c r="E123" s="881" t="s">
        <v>148</v>
      </c>
      <c r="F123" s="883">
        <v>196000</v>
      </c>
      <c r="G123" s="55">
        <v>719</v>
      </c>
      <c r="H123" s="78">
        <v>140000</v>
      </c>
      <c r="I123" s="873" t="s">
        <v>1346</v>
      </c>
      <c r="J123" s="875">
        <v>44201</v>
      </c>
      <c r="K123" s="910" t="s">
        <v>1677</v>
      </c>
      <c r="L123" s="881" t="s">
        <v>2014</v>
      </c>
      <c r="M123" s="881" t="s">
        <v>148</v>
      </c>
      <c r="N123" s="883">
        <v>6000000</v>
      </c>
      <c r="O123" s="55">
        <v>719</v>
      </c>
      <c r="P123" s="78"/>
    </row>
    <row r="124" spans="1:16" ht="13.5" customHeight="1" thickBot="1">
      <c r="A124" s="882"/>
      <c r="B124" s="934"/>
      <c r="C124" s="943"/>
      <c r="D124" s="882"/>
      <c r="E124" s="882"/>
      <c r="F124" s="884"/>
      <c r="G124" s="56">
        <v>721</v>
      </c>
      <c r="H124" s="79">
        <f>+F123-H123</f>
        <v>56000</v>
      </c>
      <c r="I124" s="882"/>
      <c r="J124" s="876"/>
      <c r="K124" s="911"/>
      <c r="L124" s="882"/>
      <c r="M124" s="882"/>
      <c r="N124" s="884"/>
      <c r="O124" s="56">
        <v>723</v>
      </c>
      <c r="P124" s="79">
        <f>+N123-P123</f>
        <v>6000000</v>
      </c>
    </row>
    <row r="125" spans="1:16" ht="11.25" customHeight="1">
      <c r="A125" s="881" t="e">
        <f>+A123+1</f>
        <v>#REF!</v>
      </c>
      <c r="B125" s="875">
        <v>42242</v>
      </c>
      <c r="C125" s="935" t="s">
        <v>28</v>
      </c>
      <c r="D125" s="881" t="s">
        <v>234</v>
      </c>
      <c r="E125" s="881" t="s">
        <v>148</v>
      </c>
      <c r="F125" s="883">
        <v>364000</v>
      </c>
      <c r="G125" s="55">
        <v>719</v>
      </c>
      <c r="H125" s="78">
        <v>260000</v>
      </c>
      <c r="I125" s="873" t="s">
        <v>1347</v>
      </c>
      <c r="J125" s="875">
        <v>44201</v>
      </c>
      <c r="K125" s="877" t="s">
        <v>2018</v>
      </c>
      <c r="L125" s="881" t="s">
        <v>2014</v>
      </c>
      <c r="M125" s="881" t="s">
        <v>148</v>
      </c>
      <c r="N125" s="883">
        <v>5400000</v>
      </c>
      <c r="O125" s="55">
        <v>719</v>
      </c>
      <c r="P125" s="78"/>
    </row>
    <row r="126" spans="1:16" ht="13.5" customHeight="1" thickBot="1">
      <c r="A126" s="882"/>
      <c r="B126" s="934"/>
      <c r="C126" s="936"/>
      <c r="D126" s="882"/>
      <c r="E126" s="882"/>
      <c r="F126" s="884"/>
      <c r="G126" s="56">
        <v>721</v>
      </c>
      <c r="H126" s="79">
        <f>+F125-H125</f>
        <v>104000</v>
      </c>
      <c r="I126" s="882"/>
      <c r="J126" s="876"/>
      <c r="K126" s="878"/>
      <c r="L126" s="882"/>
      <c r="M126" s="882"/>
      <c r="N126" s="884"/>
      <c r="O126" s="56">
        <v>723</v>
      </c>
      <c r="P126" s="79">
        <f>+N125-P125</f>
        <v>5400000</v>
      </c>
    </row>
    <row r="127" spans="1:16" ht="13.5" customHeight="1">
      <c r="A127" s="881" t="e">
        <f>+A125+1</f>
        <v>#REF!</v>
      </c>
      <c r="B127" s="875">
        <v>42242</v>
      </c>
      <c r="C127" s="942" t="s">
        <v>32</v>
      </c>
      <c r="D127" s="881" t="s">
        <v>235</v>
      </c>
      <c r="E127" s="881" t="s">
        <v>148</v>
      </c>
      <c r="F127" s="883">
        <v>70000</v>
      </c>
      <c r="G127" s="55">
        <v>719</v>
      </c>
      <c r="H127" s="78">
        <v>50000</v>
      </c>
      <c r="I127" s="873" t="s">
        <v>1348</v>
      </c>
      <c r="J127" s="875">
        <v>44201</v>
      </c>
      <c r="K127" s="877" t="s">
        <v>1885</v>
      </c>
      <c r="L127" s="881" t="s">
        <v>2014</v>
      </c>
      <c r="M127" s="881" t="s">
        <v>148</v>
      </c>
      <c r="N127" s="883">
        <v>5000000</v>
      </c>
      <c r="O127" s="55">
        <v>719</v>
      </c>
      <c r="P127" s="78"/>
    </row>
    <row r="128" spans="1:16" ht="12.75" customHeight="1" thickBot="1">
      <c r="A128" s="882"/>
      <c r="B128" s="934"/>
      <c r="C128" s="943"/>
      <c r="D128" s="882"/>
      <c r="E128" s="882"/>
      <c r="F128" s="884"/>
      <c r="G128" s="56">
        <v>721</v>
      </c>
      <c r="H128" s="79">
        <f>+F127-H127</f>
        <v>20000</v>
      </c>
      <c r="I128" s="882"/>
      <c r="J128" s="876"/>
      <c r="K128" s="878"/>
      <c r="L128" s="882"/>
      <c r="M128" s="882"/>
      <c r="N128" s="884"/>
      <c r="O128" s="56">
        <v>723</v>
      </c>
      <c r="P128" s="79">
        <f>+N127-P127</f>
        <v>5000000</v>
      </c>
    </row>
    <row r="129" spans="1:16" ht="12.75" customHeight="1">
      <c r="A129" s="251"/>
      <c r="B129" s="452"/>
      <c r="C129" s="465"/>
      <c r="D129" s="251"/>
      <c r="E129" s="251"/>
      <c r="F129" s="254"/>
      <c r="G129" s="255"/>
      <c r="H129" s="256"/>
      <c r="I129" s="873" t="s">
        <v>1725</v>
      </c>
      <c r="J129" s="875">
        <v>44201</v>
      </c>
      <c r="K129" s="877" t="s">
        <v>684</v>
      </c>
      <c r="L129" s="881" t="s">
        <v>2014</v>
      </c>
      <c r="M129" s="881" t="s">
        <v>148</v>
      </c>
      <c r="N129" s="883">
        <v>4410000</v>
      </c>
      <c r="O129" s="55">
        <v>719</v>
      </c>
      <c r="P129" s="78"/>
    </row>
    <row r="130" spans="1:16" ht="12.75" customHeight="1" thickBot="1">
      <c r="A130" s="251"/>
      <c r="B130" s="452"/>
      <c r="C130" s="465"/>
      <c r="D130" s="251"/>
      <c r="E130" s="251"/>
      <c r="F130" s="254"/>
      <c r="G130" s="255"/>
      <c r="H130" s="256"/>
      <c r="I130" s="882"/>
      <c r="J130" s="876"/>
      <c r="K130" s="878"/>
      <c r="L130" s="882"/>
      <c r="M130" s="882"/>
      <c r="N130" s="884"/>
      <c r="O130" s="56">
        <v>723</v>
      </c>
      <c r="P130" s="79">
        <f>+N129-P129</f>
        <v>4410000</v>
      </c>
    </row>
    <row r="131" spans="1:16" ht="11.25" customHeight="1">
      <c r="A131" s="881" t="e">
        <f>+A127+1</f>
        <v>#REF!</v>
      </c>
      <c r="B131" s="875">
        <v>42242</v>
      </c>
      <c r="C131" s="935" t="s">
        <v>169</v>
      </c>
      <c r="D131" s="881" t="s">
        <v>236</v>
      </c>
      <c r="E131" s="881" t="s">
        <v>148</v>
      </c>
      <c r="F131" s="883">
        <v>56000</v>
      </c>
      <c r="G131" s="55">
        <v>719</v>
      </c>
      <c r="H131" s="78">
        <v>40000</v>
      </c>
      <c r="I131" s="873" t="s">
        <v>574</v>
      </c>
      <c r="J131" s="875">
        <v>44201</v>
      </c>
      <c r="K131" s="877" t="s">
        <v>738</v>
      </c>
      <c r="L131" s="881" t="s">
        <v>2014</v>
      </c>
      <c r="M131" s="881" t="s">
        <v>148</v>
      </c>
      <c r="N131" s="883">
        <v>3937500</v>
      </c>
      <c r="O131" s="55">
        <v>719</v>
      </c>
      <c r="P131" s="78"/>
    </row>
    <row r="132" spans="1:16" ht="14.25" customHeight="1" thickBot="1">
      <c r="A132" s="882"/>
      <c r="B132" s="934"/>
      <c r="C132" s="936"/>
      <c r="D132" s="882"/>
      <c r="E132" s="882"/>
      <c r="F132" s="884"/>
      <c r="G132" s="56">
        <v>721</v>
      </c>
      <c r="H132" s="79">
        <f>+F131-H131</f>
        <v>16000</v>
      </c>
      <c r="I132" s="882"/>
      <c r="J132" s="876"/>
      <c r="K132" s="878"/>
      <c r="L132" s="882"/>
      <c r="M132" s="882"/>
      <c r="N132" s="884"/>
      <c r="O132" s="56">
        <v>723</v>
      </c>
      <c r="P132" s="79">
        <f>+N131</f>
        <v>3937500</v>
      </c>
    </row>
    <row r="133" spans="1:16" ht="16.5" thickBot="1">
      <c r="A133" s="901" t="s">
        <v>102</v>
      </c>
      <c r="B133" s="902"/>
      <c r="C133" s="902"/>
      <c r="D133" s="902"/>
      <c r="E133" s="903"/>
      <c r="F133" s="81">
        <f>SUM(F123:F132)</f>
        <v>686000</v>
      </c>
      <c r="I133" s="901" t="s">
        <v>102</v>
      </c>
      <c r="J133" s="902"/>
      <c r="K133" s="902"/>
      <c r="L133" s="902"/>
      <c r="M133" s="903"/>
      <c r="N133" s="81">
        <f>SUM(N123:N132)</f>
        <v>24747500</v>
      </c>
    </row>
    <row r="134" spans="1:16" ht="16.5" thickBot="1">
      <c r="A134" s="885" t="s">
        <v>103</v>
      </c>
      <c r="B134" s="886"/>
      <c r="C134" s="886"/>
      <c r="D134" s="886"/>
      <c r="E134" s="887"/>
      <c r="F134" s="184">
        <f>+F98</f>
        <v>612479841</v>
      </c>
      <c r="I134" s="885" t="s">
        <v>103</v>
      </c>
      <c r="J134" s="886"/>
      <c r="K134" s="886"/>
      <c r="L134" s="886"/>
      <c r="M134" s="887"/>
      <c r="N134" s="239">
        <f>+N98</f>
        <v>226099411</v>
      </c>
      <c r="O134" s="241" t="s">
        <v>561</v>
      </c>
      <c r="P134" s="242"/>
    </row>
    <row r="135" spans="1:16" ht="15" customHeight="1" thickBot="1">
      <c r="A135" s="888" t="s">
        <v>104</v>
      </c>
      <c r="B135" s="889"/>
      <c r="C135" s="889"/>
      <c r="D135" s="889"/>
      <c r="E135" s="890"/>
      <c r="F135" s="183">
        <f>SUM(F133:F134)</f>
        <v>613165841</v>
      </c>
      <c r="I135" s="888" t="s">
        <v>104</v>
      </c>
      <c r="J135" s="889"/>
      <c r="K135" s="889"/>
      <c r="L135" s="889"/>
      <c r="M135" s="890"/>
      <c r="N135" s="183">
        <f>SUM(N133:N134)</f>
        <v>250846911</v>
      </c>
    </row>
    <row r="136" spans="1:16" ht="9" customHeight="1">
      <c r="A136" s="61"/>
      <c r="B136" s="61"/>
      <c r="C136" s="61"/>
      <c r="D136" s="61"/>
      <c r="E136" s="61"/>
      <c r="I136" s="61"/>
      <c r="J136" s="61"/>
      <c r="K136" s="61"/>
      <c r="L136" s="61"/>
      <c r="M136" s="61"/>
    </row>
    <row r="137" spans="1:16" ht="15" customHeight="1">
      <c r="A137" s="51" t="s">
        <v>238</v>
      </c>
      <c r="I137" s="51" t="s">
        <v>2019</v>
      </c>
    </row>
    <row r="138" spans="1:16" ht="9.75" customHeight="1">
      <c r="F138" s="139"/>
      <c r="N138" s="139"/>
    </row>
    <row r="139" spans="1:16">
      <c r="A139" s="50" t="s">
        <v>105</v>
      </c>
      <c r="D139" s="146"/>
      <c r="I139" s="50" t="s">
        <v>105</v>
      </c>
      <c r="L139" s="146"/>
      <c r="N139" s="139"/>
    </row>
    <row r="140" spans="1:16" ht="8.25" customHeight="1" thickBot="1"/>
    <row r="141" spans="1:16" ht="17.25" thickBot="1">
      <c r="A141" s="891" t="s">
        <v>106</v>
      </c>
      <c r="B141" s="892"/>
      <c r="C141" s="892"/>
      <c r="D141" s="893"/>
      <c r="F141" s="50" t="s">
        <v>107</v>
      </c>
      <c r="I141" s="891" t="s">
        <v>106</v>
      </c>
      <c r="J141" s="892"/>
      <c r="K141" s="892"/>
      <c r="L141" s="893"/>
      <c r="N141" s="604" t="s">
        <v>288</v>
      </c>
      <c r="O141" s="604"/>
      <c r="P141" s="604"/>
    </row>
    <row r="142" spans="1:16" ht="31.5" thickBot="1">
      <c r="A142" s="57" t="s">
        <v>100</v>
      </c>
      <c r="B142" s="58" t="s">
        <v>108</v>
      </c>
      <c r="C142" s="59" t="s">
        <v>109</v>
      </c>
      <c r="D142" s="60" t="s">
        <v>110</v>
      </c>
      <c r="I142" s="57" t="s">
        <v>100</v>
      </c>
      <c r="J142" s="58" t="s">
        <v>108</v>
      </c>
      <c r="K142" s="59" t="s">
        <v>109</v>
      </c>
      <c r="L142" s="60" t="s">
        <v>110</v>
      </c>
      <c r="N142" s="12"/>
      <c r="O142" s="12"/>
      <c r="P142" s="12"/>
    </row>
    <row r="143" spans="1:16" ht="15" customHeight="1">
      <c r="A143" s="71">
        <v>719</v>
      </c>
      <c r="B143" s="73" t="e">
        <f>+H123+H125+H127+H131+#REF!</f>
        <v>#REF!</v>
      </c>
      <c r="C143" s="74" t="e">
        <f>+D106</f>
        <v>#REF!</v>
      </c>
      <c r="D143" s="76" t="e">
        <f>+B143+C143</f>
        <v>#REF!</v>
      </c>
      <c r="I143" s="71">
        <v>719</v>
      </c>
      <c r="J143" s="73"/>
      <c r="K143" s="74">
        <f>+L106</f>
        <v>0</v>
      </c>
      <c r="L143" s="195">
        <f>+J143+K143</f>
        <v>0</v>
      </c>
      <c r="N143" s="12"/>
      <c r="O143" s="12"/>
      <c r="P143" s="12"/>
    </row>
    <row r="144" spans="1:16" ht="12.75" customHeight="1">
      <c r="A144" s="72">
        <v>721</v>
      </c>
      <c r="B144" s="80" t="e">
        <f>+#REF!+H132+H128+H126+H124</f>
        <v>#REF!</v>
      </c>
      <c r="C144" s="74" t="e">
        <f>+D107</f>
        <v>#REF!</v>
      </c>
      <c r="D144" s="76" t="e">
        <f>+B144+C144</f>
        <v>#REF!</v>
      </c>
      <c r="I144" s="72">
        <v>721</v>
      </c>
      <c r="J144" s="80"/>
      <c r="K144" s="74">
        <f>+L107</f>
        <v>0</v>
      </c>
      <c r="L144" s="195">
        <f>+J144+K144</f>
        <v>0</v>
      </c>
      <c r="N144" s="12"/>
      <c r="O144" s="12"/>
      <c r="P144" s="12"/>
    </row>
    <row r="145" spans="1:16" ht="13.5" customHeight="1">
      <c r="A145" s="72">
        <v>722</v>
      </c>
      <c r="B145" s="80"/>
      <c r="C145" s="74">
        <f>+D108</f>
        <v>224787287</v>
      </c>
      <c r="D145" s="76">
        <f>+B145+C145</f>
        <v>224787287</v>
      </c>
      <c r="I145" s="72">
        <v>722</v>
      </c>
      <c r="J145" s="80"/>
      <c r="K145" s="74">
        <f>+L108</f>
        <v>0</v>
      </c>
      <c r="L145" s="195">
        <f>+J145+K145</f>
        <v>0</v>
      </c>
      <c r="N145" s="12"/>
      <c r="O145" s="12"/>
      <c r="P145" s="12"/>
    </row>
    <row r="146" spans="1:16" ht="13.5" customHeight="1" thickBot="1">
      <c r="A146" s="72">
        <v>723</v>
      </c>
      <c r="B146" s="80"/>
      <c r="C146" s="74">
        <f>+D109</f>
        <v>319828837</v>
      </c>
      <c r="D146" s="76">
        <f>+B146+C146</f>
        <v>319828837</v>
      </c>
      <c r="F146" s="174" t="s">
        <v>23</v>
      </c>
      <c r="I146" s="72">
        <v>723</v>
      </c>
      <c r="J146" s="80">
        <f>+P124+P126+P128+P132+P130</f>
        <v>24747500</v>
      </c>
      <c r="K146" s="74">
        <f>+L109</f>
        <v>226099411</v>
      </c>
      <c r="L146" s="195">
        <f>+J146+K146</f>
        <v>250846911</v>
      </c>
      <c r="N146" s="609" t="s">
        <v>1696</v>
      </c>
      <c r="O146" s="609"/>
      <c r="P146" s="609"/>
    </row>
    <row r="147" spans="1:16" ht="13.5" hidden="1" customHeight="1">
      <c r="A147" s="164" t="s">
        <v>181</v>
      </c>
      <c r="B147" s="165"/>
      <c r="C147" s="74">
        <f>+D110</f>
        <v>1965625</v>
      </c>
      <c r="D147" s="168">
        <f>+B147+C147</f>
        <v>1965625</v>
      </c>
      <c r="F147" s="52"/>
      <c r="I147" s="164" t="s">
        <v>181</v>
      </c>
      <c r="J147" s="165"/>
      <c r="K147" s="74">
        <f>+L110</f>
        <v>0</v>
      </c>
      <c r="L147" s="196">
        <f>+J147+K147</f>
        <v>0</v>
      </c>
      <c r="N147" s="52"/>
    </row>
    <row r="148" spans="1:16" ht="15.75" customHeight="1" thickBot="1">
      <c r="A148" s="169"/>
      <c r="B148" s="170" t="e">
        <f>SUM(B143:B147)</f>
        <v>#REF!</v>
      </c>
      <c r="C148" s="171" t="e">
        <f>SUM(C143:C147)</f>
        <v>#REF!</v>
      </c>
      <c r="D148" s="172" t="e">
        <f>SUM(D143:D147)</f>
        <v>#REF!</v>
      </c>
      <c r="I148" s="169"/>
      <c r="J148" s="197">
        <f>SUM(J143:J147)</f>
        <v>24747500</v>
      </c>
      <c r="K148" s="197">
        <f>SUM(K143:K147)</f>
        <v>226099411</v>
      </c>
      <c r="L148" s="198">
        <f>SUM(L143:L147)</f>
        <v>250846911</v>
      </c>
    </row>
    <row r="149" spans="1:16" ht="16.5">
      <c r="A149" s="49" t="s">
        <v>88</v>
      </c>
      <c r="B149" s="50"/>
      <c r="I149" s="49" t="s">
        <v>88</v>
      </c>
      <c r="J149" s="50"/>
    </row>
    <row r="150" spans="1:16" ht="13.5" customHeight="1">
      <c r="A150" s="51" t="s">
        <v>89</v>
      </c>
      <c r="I150" s="51" t="s">
        <v>89</v>
      </c>
    </row>
    <row r="151" spans="1:16" ht="14.25" customHeight="1">
      <c r="A151" s="51" t="s">
        <v>90</v>
      </c>
      <c r="I151" s="51" t="s">
        <v>90</v>
      </c>
    </row>
    <row r="152" spans="1:16">
      <c r="A152" s="51" t="s">
        <v>91</v>
      </c>
      <c r="I152" s="51" t="s">
        <v>91</v>
      </c>
    </row>
    <row r="153" spans="1:16" ht="4.5" customHeight="1">
      <c r="A153" s="50"/>
      <c r="B153" s="50"/>
      <c r="I153" s="50"/>
      <c r="J153" s="50"/>
    </row>
    <row r="154" spans="1:16" ht="15.75" customHeight="1">
      <c r="A154" s="52" t="s">
        <v>237</v>
      </c>
      <c r="B154" s="50"/>
      <c r="G154" s="52"/>
      <c r="I154" s="52" t="s">
        <v>564</v>
      </c>
      <c r="O154" s="52"/>
    </row>
    <row r="155" spans="1:16" ht="15" customHeight="1">
      <c r="A155" s="53" t="s">
        <v>92</v>
      </c>
      <c r="G155" s="53"/>
      <c r="I155" s="53" t="s">
        <v>2012</v>
      </c>
      <c r="O155" s="53"/>
    </row>
    <row r="156" spans="1:16" ht="14.25" customHeight="1">
      <c r="A156" s="894" t="s">
        <v>228</v>
      </c>
      <c r="B156" s="894"/>
      <c r="C156" s="894"/>
      <c r="D156" s="894"/>
      <c r="E156" s="894"/>
      <c r="F156" s="894"/>
      <c r="G156" s="894"/>
      <c r="H156" s="894"/>
      <c r="I156" s="894" t="s">
        <v>212</v>
      </c>
      <c r="J156" s="894"/>
      <c r="K156" s="894"/>
      <c r="L156" s="894"/>
      <c r="M156" s="894"/>
      <c r="N156" s="894"/>
      <c r="O156" s="894"/>
      <c r="P156" s="894"/>
    </row>
    <row r="157" spans="1:16" ht="9" customHeight="1" thickBot="1"/>
    <row r="158" spans="1:16" ht="15.75" customHeight="1">
      <c r="A158" s="895" t="s">
        <v>94</v>
      </c>
      <c r="B158" s="897" t="s">
        <v>95</v>
      </c>
      <c r="C158" s="897" t="s">
        <v>96</v>
      </c>
      <c r="D158" s="897" t="s">
        <v>3</v>
      </c>
      <c r="E158" s="897" t="s">
        <v>97</v>
      </c>
      <c r="F158" s="897" t="s">
        <v>98</v>
      </c>
      <c r="G158" s="897" t="s">
        <v>99</v>
      </c>
      <c r="H158" s="899"/>
      <c r="I158" s="895" t="s">
        <v>94</v>
      </c>
      <c r="J158" s="897" t="s">
        <v>95</v>
      </c>
      <c r="K158" s="897" t="s">
        <v>96</v>
      </c>
      <c r="L158" s="897" t="s">
        <v>3</v>
      </c>
      <c r="M158" s="897" t="s">
        <v>97</v>
      </c>
      <c r="N158" s="897" t="s">
        <v>98</v>
      </c>
      <c r="O158" s="897" t="s">
        <v>99</v>
      </c>
      <c r="P158" s="899"/>
    </row>
    <row r="159" spans="1:16" ht="15" customHeight="1" thickBot="1">
      <c r="A159" s="896"/>
      <c r="B159" s="898"/>
      <c r="C159" s="898"/>
      <c r="D159" s="898"/>
      <c r="E159" s="898"/>
      <c r="F159" s="898"/>
      <c r="G159" s="240" t="s">
        <v>100</v>
      </c>
      <c r="H159" s="182" t="s">
        <v>101</v>
      </c>
      <c r="I159" s="896"/>
      <c r="J159" s="898"/>
      <c r="K159" s="898"/>
      <c r="L159" s="898"/>
      <c r="M159" s="898"/>
      <c r="N159" s="898"/>
      <c r="O159" s="240" t="s">
        <v>100</v>
      </c>
      <c r="P159" s="182" t="s">
        <v>101</v>
      </c>
    </row>
    <row r="160" spans="1:16" ht="12" customHeight="1">
      <c r="A160" s="881" t="e">
        <f>+#REF!+1</f>
        <v>#REF!</v>
      </c>
      <c r="B160" s="875">
        <v>42242</v>
      </c>
      <c r="C160" s="942" t="s">
        <v>230</v>
      </c>
      <c r="D160" s="881" t="s">
        <v>242</v>
      </c>
      <c r="E160" s="881" t="s">
        <v>148</v>
      </c>
      <c r="F160" s="883">
        <v>182000</v>
      </c>
      <c r="G160" s="55">
        <v>719</v>
      </c>
      <c r="H160" s="78">
        <v>130000</v>
      </c>
      <c r="I160" s="873" t="s">
        <v>575</v>
      </c>
      <c r="J160" s="875">
        <v>44201</v>
      </c>
      <c r="K160" s="877" t="s">
        <v>806</v>
      </c>
      <c r="L160" s="881" t="s">
        <v>2024</v>
      </c>
      <c r="M160" s="881" t="s">
        <v>165</v>
      </c>
      <c r="N160" s="883">
        <v>1600000</v>
      </c>
      <c r="O160" s="55">
        <v>719</v>
      </c>
      <c r="P160" s="78"/>
    </row>
    <row r="161" spans="1:16" ht="15" customHeight="1" thickBot="1">
      <c r="A161" s="882"/>
      <c r="B161" s="934"/>
      <c r="C161" s="943"/>
      <c r="D161" s="882"/>
      <c r="E161" s="882"/>
      <c r="F161" s="884"/>
      <c r="G161" s="56">
        <v>721</v>
      </c>
      <c r="H161" s="79">
        <f>+F160-H160</f>
        <v>52000</v>
      </c>
      <c r="I161" s="882"/>
      <c r="J161" s="876"/>
      <c r="K161" s="878"/>
      <c r="L161" s="882"/>
      <c r="M161" s="882"/>
      <c r="N161" s="884"/>
      <c r="O161" s="56">
        <v>723</v>
      </c>
      <c r="P161" s="79">
        <f>+N160</f>
        <v>1600000</v>
      </c>
    </row>
    <row r="162" spans="1:16" ht="13.5" customHeight="1">
      <c r="A162" s="251"/>
      <c r="B162" s="452"/>
      <c r="C162" s="465"/>
      <c r="D162" s="251"/>
      <c r="E162" s="251"/>
      <c r="F162" s="254"/>
      <c r="G162" s="255"/>
      <c r="H162" s="256"/>
      <c r="I162" s="873" t="s">
        <v>576</v>
      </c>
      <c r="J162" s="875">
        <v>44201</v>
      </c>
      <c r="K162" s="877" t="s">
        <v>799</v>
      </c>
      <c r="L162" s="881" t="s">
        <v>2024</v>
      </c>
      <c r="M162" s="881" t="s">
        <v>165</v>
      </c>
      <c r="N162" s="883">
        <v>1200000</v>
      </c>
      <c r="O162" s="55">
        <v>719</v>
      </c>
      <c r="P162" s="78"/>
    </row>
    <row r="163" spans="1:16" ht="15" customHeight="1" thickBot="1">
      <c r="A163" s="251"/>
      <c r="B163" s="452"/>
      <c r="C163" s="465"/>
      <c r="D163" s="251"/>
      <c r="E163" s="251"/>
      <c r="F163" s="254"/>
      <c r="G163" s="255"/>
      <c r="H163" s="256"/>
      <c r="I163" s="882"/>
      <c r="J163" s="876"/>
      <c r="K163" s="878"/>
      <c r="L163" s="882"/>
      <c r="M163" s="882"/>
      <c r="N163" s="884"/>
      <c r="O163" s="56">
        <v>723</v>
      </c>
      <c r="P163" s="79">
        <f>+N162</f>
        <v>1200000</v>
      </c>
    </row>
    <row r="164" spans="1:16" ht="14.25" customHeight="1">
      <c r="A164" s="881" t="e">
        <f>+A160+1</f>
        <v>#REF!</v>
      </c>
      <c r="B164" s="875">
        <v>42242</v>
      </c>
      <c r="C164" s="935" t="s">
        <v>28</v>
      </c>
      <c r="D164" s="881" t="s">
        <v>240</v>
      </c>
      <c r="E164" s="881" t="s">
        <v>148</v>
      </c>
      <c r="F164" s="883">
        <v>364000</v>
      </c>
      <c r="G164" s="55">
        <v>719</v>
      </c>
      <c r="H164" s="78">
        <v>260000</v>
      </c>
      <c r="I164" s="873" t="s">
        <v>577</v>
      </c>
      <c r="J164" s="875">
        <v>44201</v>
      </c>
      <c r="K164" s="877" t="s">
        <v>1633</v>
      </c>
      <c r="L164" s="881" t="s">
        <v>2024</v>
      </c>
      <c r="M164" s="881" t="s">
        <v>165</v>
      </c>
      <c r="N164" s="883">
        <v>1500000</v>
      </c>
      <c r="O164" s="55">
        <v>719</v>
      </c>
      <c r="P164" s="78"/>
    </row>
    <row r="165" spans="1:16" ht="13.5" customHeight="1" thickBot="1">
      <c r="A165" s="882"/>
      <c r="B165" s="934"/>
      <c r="C165" s="936"/>
      <c r="D165" s="882"/>
      <c r="E165" s="882"/>
      <c r="F165" s="884"/>
      <c r="G165" s="56">
        <v>721</v>
      </c>
      <c r="H165" s="79">
        <f>+F164-H164</f>
        <v>104000</v>
      </c>
      <c r="I165" s="882"/>
      <c r="J165" s="876"/>
      <c r="K165" s="878"/>
      <c r="L165" s="882"/>
      <c r="M165" s="882"/>
      <c r="N165" s="884"/>
      <c r="O165" s="56">
        <v>723</v>
      </c>
      <c r="P165" s="79">
        <f>+N164</f>
        <v>1500000</v>
      </c>
    </row>
    <row r="166" spans="1:16" ht="13.5" customHeight="1">
      <c r="A166" s="251"/>
      <c r="B166" s="452"/>
      <c r="C166" s="472"/>
      <c r="D166" s="251"/>
      <c r="E166" s="251"/>
      <c r="F166" s="254"/>
      <c r="G166" s="255"/>
      <c r="H166" s="256"/>
      <c r="I166" s="873" t="s">
        <v>578</v>
      </c>
      <c r="J166" s="875">
        <v>44201</v>
      </c>
      <c r="K166" s="881" t="s">
        <v>2023</v>
      </c>
      <c r="L166" s="881" t="s">
        <v>2024</v>
      </c>
      <c r="M166" s="881" t="s">
        <v>1908</v>
      </c>
      <c r="N166" s="883">
        <v>1020000</v>
      </c>
      <c r="O166" s="55">
        <v>719</v>
      </c>
      <c r="P166" s="78"/>
    </row>
    <row r="167" spans="1:16" ht="13.5" customHeight="1" thickBot="1">
      <c r="A167" s="251"/>
      <c r="B167" s="452"/>
      <c r="C167" s="472"/>
      <c r="D167" s="251"/>
      <c r="E167" s="251"/>
      <c r="F167" s="254"/>
      <c r="G167" s="255"/>
      <c r="H167" s="256"/>
      <c r="I167" s="882"/>
      <c r="J167" s="876"/>
      <c r="K167" s="882"/>
      <c r="L167" s="882"/>
      <c r="M167" s="882"/>
      <c r="N167" s="884"/>
      <c r="O167" s="56">
        <v>723</v>
      </c>
      <c r="P167" s="79">
        <f>+N166</f>
        <v>1020000</v>
      </c>
    </row>
    <row r="168" spans="1:16" ht="12" customHeight="1">
      <c r="A168" s="881" t="e">
        <f>+A164+1</f>
        <v>#REF!</v>
      </c>
      <c r="B168" s="875">
        <v>42242</v>
      </c>
      <c r="C168" s="942" t="s">
        <v>32</v>
      </c>
      <c r="D168" s="881" t="s">
        <v>241</v>
      </c>
      <c r="E168" s="881" t="s">
        <v>148</v>
      </c>
      <c r="F168" s="883">
        <v>84000</v>
      </c>
      <c r="G168" s="55">
        <v>719</v>
      </c>
      <c r="H168" s="78">
        <v>60000</v>
      </c>
      <c r="I168" s="873" t="s">
        <v>579</v>
      </c>
      <c r="J168" s="875">
        <v>44201</v>
      </c>
      <c r="K168" s="877" t="s">
        <v>2025</v>
      </c>
      <c r="L168" s="881" t="s">
        <v>2024</v>
      </c>
      <c r="M168" s="881" t="s">
        <v>1946</v>
      </c>
      <c r="N168" s="883">
        <v>600000</v>
      </c>
      <c r="O168" s="55">
        <v>719</v>
      </c>
      <c r="P168" s="78"/>
    </row>
    <row r="169" spans="1:16" ht="12.75" customHeight="1" thickBot="1">
      <c r="A169" s="882"/>
      <c r="B169" s="934"/>
      <c r="C169" s="943"/>
      <c r="D169" s="882"/>
      <c r="E169" s="882"/>
      <c r="F169" s="884"/>
      <c r="G169" s="56">
        <v>721</v>
      </c>
      <c r="H169" s="79">
        <f>+F168-H168</f>
        <v>24000</v>
      </c>
      <c r="I169" s="882"/>
      <c r="J169" s="876"/>
      <c r="K169" s="878"/>
      <c r="L169" s="882"/>
      <c r="M169" s="882"/>
      <c r="N169" s="884"/>
      <c r="O169" s="56">
        <v>723</v>
      </c>
      <c r="P169" s="79">
        <f>+N168</f>
        <v>600000</v>
      </c>
    </row>
    <row r="170" spans="1:16" ht="17.25" customHeight="1" thickBot="1">
      <c r="A170" s="901" t="s">
        <v>102</v>
      </c>
      <c r="B170" s="902"/>
      <c r="C170" s="902"/>
      <c r="D170" s="902"/>
      <c r="E170" s="903"/>
      <c r="F170" s="81">
        <f>SUM(F160:F169)</f>
        <v>630000</v>
      </c>
      <c r="I170" s="901" t="s">
        <v>102</v>
      </c>
      <c r="J170" s="902"/>
      <c r="K170" s="902"/>
      <c r="L170" s="902"/>
      <c r="M170" s="903"/>
      <c r="N170" s="81">
        <f>SUM(N160:N169)</f>
        <v>5920000</v>
      </c>
    </row>
    <row r="171" spans="1:16" ht="16.5" thickBot="1">
      <c r="A171" s="885" t="s">
        <v>103</v>
      </c>
      <c r="B171" s="886"/>
      <c r="C171" s="886"/>
      <c r="D171" s="886"/>
      <c r="E171" s="887"/>
      <c r="F171" s="69">
        <f>+F135</f>
        <v>613165841</v>
      </c>
      <c r="I171" s="885" t="s">
        <v>103</v>
      </c>
      <c r="J171" s="886"/>
      <c r="K171" s="886"/>
      <c r="L171" s="886"/>
      <c r="M171" s="887"/>
      <c r="N171" s="239">
        <f>+N135</f>
        <v>250846911</v>
      </c>
      <c r="O171" s="241" t="s">
        <v>561</v>
      </c>
      <c r="P171" s="242"/>
    </row>
    <row r="172" spans="1:16" ht="15.75" customHeight="1" thickBot="1">
      <c r="A172" s="888" t="s">
        <v>104</v>
      </c>
      <c r="B172" s="889"/>
      <c r="C172" s="889"/>
      <c r="D172" s="889"/>
      <c r="E172" s="890"/>
      <c r="F172" s="70">
        <f>SUM(F170:F171)</f>
        <v>613795841</v>
      </c>
      <c r="I172" s="888" t="s">
        <v>104</v>
      </c>
      <c r="J172" s="889"/>
      <c r="K172" s="889"/>
      <c r="L172" s="889"/>
      <c r="M172" s="890"/>
      <c r="N172" s="183">
        <f>SUM(N170:N171)</f>
        <v>256766911</v>
      </c>
    </row>
    <row r="173" spans="1:16" ht="6.75" customHeight="1">
      <c r="A173" s="61"/>
      <c r="B173" s="61"/>
      <c r="C173" s="61"/>
      <c r="D173" s="61"/>
      <c r="E173" s="61"/>
      <c r="I173" s="61"/>
      <c r="J173" s="61"/>
      <c r="K173" s="61"/>
      <c r="L173" s="61"/>
      <c r="M173" s="61"/>
    </row>
    <row r="174" spans="1:16" ht="13.5" customHeight="1">
      <c r="A174" s="51" t="s">
        <v>243</v>
      </c>
      <c r="I174" s="51" t="s">
        <v>2026</v>
      </c>
    </row>
    <row r="175" spans="1:16" ht="6" customHeight="1">
      <c r="F175" s="139"/>
      <c r="N175" s="139"/>
    </row>
    <row r="176" spans="1:16" ht="18" customHeight="1">
      <c r="A176" s="50" t="s">
        <v>105</v>
      </c>
      <c r="D176" s="146"/>
      <c r="I176" s="453" t="s">
        <v>105</v>
      </c>
      <c r="L176" s="146"/>
      <c r="N176" s="139"/>
    </row>
    <row r="177" spans="1:16" ht="6" customHeight="1" thickBot="1"/>
    <row r="178" spans="1:16" ht="17.25" thickBot="1">
      <c r="A178" s="891" t="s">
        <v>106</v>
      </c>
      <c r="B178" s="892"/>
      <c r="C178" s="892"/>
      <c r="D178" s="893"/>
      <c r="F178" s="50" t="s">
        <v>107</v>
      </c>
      <c r="I178" s="891" t="s">
        <v>106</v>
      </c>
      <c r="J178" s="892"/>
      <c r="K178" s="892"/>
      <c r="L178" s="893"/>
      <c r="N178" s="604" t="s">
        <v>288</v>
      </c>
      <c r="O178" s="604"/>
      <c r="P178" s="604"/>
    </row>
    <row r="179" spans="1:16" ht="31.5" thickBot="1">
      <c r="A179" s="57" t="s">
        <v>100</v>
      </c>
      <c r="B179" s="58" t="s">
        <v>108</v>
      </c>
      <c r="C179" s="59" t="s">
        <v>109</v>
      </c>
      <c r="D179" s="60" t="s">
        <v>110</v>
      </c>
      <c r="I179" s="57" t="s">
        <v>100</v>
      </c>
      <c r="J179" s="58" t="s">
        <v>108</v>
      </c>
      <c r="K179" s="59" t="s">
        <v>109</v>
      </c>
      <c r="L179" s="60" t="s">
        <v>110</v>
      </c>
      <c r="N179" s="12"/>
      <c r="O179" s="12"/>
      <c r="P179" s="12"/>
    </row>
    <row r="180" spans="1:16" ht="12.75" customHeight="1">
      <c r="A180" s="71">
        <v>719</v>
      </c>
      <c r="B180" s="73" t="e">
        <f>+H160+H164+H168+#REF!+#REF!</f>
        <v>#REF!</v>
      </c>
      <c r="C180" s="74" t="e">
        <f>+D143</f>
        <v>#REF!</v>
      </c>
      <c r="D180" s="76" t="e">
        <f>+B180+C180</f>
        <v>#REF!</v>
      </c>
      <c r="I180" s="71">
        <v>719</v>
      </c>
      <c r="J180" s="73"/>
      <c r="K180" s="74">
        <f>+L143</f>
        <v>0</v>
      </c>
      <c r="L180" s="195">
        <f>+J180+K180</f>
        <v>0</v>
      </c>
      <c r="N180" s="12"/>
      <c r="O180" s="12"/>
      <c r="P180" s="12"/>
    </row>
    <row r="181" spans="1:16" ht="12" customHeight="1">
      <c r="A181" s="72">
        <v>721</v>
      </c>
      <c r="B181" s="80" t="e">
        <f>+#REF!+#REF!+H169+H165+H161</f>
        <v>#REF!</v>
      </c>
      <c r="C181" s="74" t="e">
        <f>+D144</f>
        <v>#REF!</v>
      </c>
      <c r="D181" s="76" t="e">
        <f>+B181+C181</f>
        <v>#REF!</v>
      </c>
      <c r="I181" s="72">
        <v>721</v>
      </c>
      <c r="J181" s="80">
        <v>0</v>
      </c>
      <c r="K181" s="74">
        <f>+L144</f>
        <v>0</v>
      </c>
      <c r="L181" s="195">
        <f>+J181+K181</f>
        <v>0</v>
      </c>
      <c r="N181" s="12"/>
      <c r="O181" s="12"/>
      <c r="P181" s="12"/>
    </row>
    <row r="182" spans="1:16" ht="14.25" customHeight="1">
      <c r="A182" s="72">
        <v>722</v>
      </c>
      <c r="B182" s="80"/>
      <c r="C182" s="74">
        <f>+D145</f>
        <v>224787287</v>
      </c>
      <c r="D182" s="76">
        <f>+B182+C182</f>
        <v>224787287</v>
      </c>
      <c r="I182" s="72">
        <v>722</v>
      </c>
      <c r="J182" s="80"/>
      <c r="K182" s="74">
        <f>+L145</f>
        <v>0</v>
      </c>
      <c r="L182" s="195">
        <f>+J182+K182</f>
        <v>0</v>
      </c>
      <c r="N182" s="609" t="s">
        <v>1696</v>
      </c>
      <c r="O182" s="609"/>
      <c r="P182" s="609"/>
    </row>
    <row r="183" spans="1:16" ht="14.25" customHeight="1" thickBot="1">
      <c r="A183" s="72">
        <v>723</v>
      </c>
      <c r="B183" s="80"/>
      <c r="C183" s="74">
        <f>+D146</f>
        <v>319828837</v>
      </c>
      <c r="D183" s="76">
        <f>+B183+C183</f>
        <v>319828837</v>
      </c>
      <c r="F183" s="174" t="s">
        <v>23</v>
      </c>
      <c r="I183" s="72">
        <v>723</v>
      </c>
      <c r="J183" s="80">
        <f>+P161+P165+P169+P163+P167</f>
        <v>5920000</v>
      </c>
      <c r="K183" s="74">
        <f>+L146</f>
        <v>250846911</v>
      </c>
      <c r="L183" s="195">
        <f>+J183+K183</f>
        <v>256766911</v>
      </c>
      <c r="N183" s="193"/>
      <c r="O183" s="175"/>
    </row>
    <row r="184" spans="1:16" ht="12.75" hidden="1" customHeight="1">
      <c r="A184" s="164" t="s">
        <v>181</v>
      </c>
      <c r="B184" s="165"/>
      <c r="C184" s="74">
        <f>+D147</f>
        <v>1965625</v>
      </c>
      <c r="D184" s="168">
        <f>+B184+C184</f>
        <v>1965625</v>
      </c>
      <c r="F184" s="52"/>
      <c r="I184" s="164" t="s">
        <v>181</v>
      </c>
      <c r="J184" s="165"/>
      <c r="K184" s="74">
        <f>+L147</f>
        <v>0</v>
      </c>
      <c r="L184" s="196">
        <f>+J184+K184</f>
        <v>0</v>
      </c>
      <c r="N184" s="52"/>
    </row>
    <row r="185" spans="1:16" ht="16.5" thickBot="1">
      <c r="A185" s="169"/>
      <c r="B185" s="170" t="e">
        <f>SUM(B180:B184)</f>
        <v>#REF!</v>
      </c>
      <c r="C185" s="171" t="e">
        <f>SUM(C180:C184)</f>
        <v>#REF!</v>
      </c>
      <c r="D185" s="172" t="e">
        <f>SUM(D180:D184)</f>
        <v>#REF!</v>
      </c>
      <c r="I185" s="169"/>
      <c r="J185" s="197">
        <f>SUM(J180:J184)</f>
        <v>5920000</v>
      </c>
      <c r="K185" s="197">
        <f>SUM(K180:K184)</f>
        <v>250846911</v>
      </c>
      <c r="L185" s="198">
        <f>SUM(L180:L184)</f>
        <v>256766911</v>
      </c>
    </row>
    <row r="186" spans="1:16" ht="16.5">
      <c r="A186" s="49" t="s">
        <v>88</v>
      </c>
      <c r="B186" s="50"/>
      <c r="I186" s="49" t="s">
        <v>88</v>
      </c>
      <c r="J186" s="50"/>
    </row>
    <row r="187" spans="1:16" ht="11.25" customHeight="1">
      <c r="A187" s="51" t="s">
        <v>89</v>
      </c>
      <c r="I187" s="51" t="s">
        <v>89</v>
      </c>
    </row>
    <row r="188" spans="1:16" ht="12.75" customHeight="1">
      <c r="A188" s="51" t="s">
        <v>90</v>
      </c>
      <c r="I188" s="51" t="s">
        <v>90</v>
      </c>
    </row>
    <row r="189" spans="1:16" ht="12.75" customHeight="1">
      <c r="A189" s="51" t="s">
        <v>91</v>
      </c>
      <c r="I189" s="51" t="s">
        <v>91</v>
      </c>
    </row>
    <row r="190" spans="1:16" ht="3.75" customHeight="1">
      <c r="A190" s="50"/>
      <c r="B190" s="50"/>
      <c r="I190" s="50"/>
      <c r="J190" s="50"/>
    </row>
    <row r="191" spans="1:16" ht="16.5">
      <c r="A191" s="52" t="s">
        <v>245</v>
      </c>
      <c r="G191" s="52"/>
      <c r="I191" s="52" t="s">
        <v>571</v>
      </c>
      <c r="O191" s="52"/>
    </row>
    <row r="192" spans="1:16" ht="15.75">
      <c r="A192" s="53" t="s">
        <v>92</v>
      </c>
      <c r="G192" s="53"/>
      <c r="I192" s="53" t="s">
        <v>2012</v>
      </c>
      <c r="O192" s="53"/>
    </row>
    <row r="193" spans="1:16" ht="14.25" customHeight="1">
      <c r="A193" s="894" t="s">
        <v>255</v>
      </c>
      <c r="B193" s="894"/>
      <c r="C193" s="894"/>
      <c r="D193" s="894"/>
      <c r="E193" s="894"/>
      <c r="F193" s="894"/>
      <c r="G193" s="894"/>
      <c r="H193" s="894"/>
      <c r="I193" s="894" t="s">
        <v>212</v>
      </c>
      <c r="J193" s="894"/>
      <c r="K193" s="894"/>
      <c r="L193" s="894"/>
      <c r="M193" s="894"/>
      <c r="N193" s="894"/>
      <c r="O193" s="894"/>
      <c r="P193" s="894"/>
    </row>
    <row r="194" spans="1:16" ht="12" customHeight="1" thickBot="1"/>
    <row r="195" spans="1:16">
      <c r="A195" s="895" t="s">
        <v>94</v>
      </c>
      <c r="B195" s="897" t="s">
        <v>95</v>
      </c>
      <c r="C195" s="897" t="s">
        <v>96</v>
      </c>
      <c r="D195" s="897" t="s">
        <v>3</v>
      </c>
      <c r="E195" s="897" t="s">
        <v>97</v>
      </c>
      <c r="F195" s="897" t="s">
        <v>98</v>
      </c>
      <c r="G195" s="897" t="s">
        <v>99</v>
      </c>
      <c r="H195" s="899"/>
      <c r="I195" s="895" t="s">
        <v>94</v>
      </c>
      <c r="J195" s="897" t="s">
        <v>95</v>
      </c>
      <c r="K195" s="897" t="s">
        <v>96</v>
      </c>
      <c r="L195" s="897" t="s">
        <v>3</v>
      </c>
      <c r="M195" s="897" t="s">
        <v>97</v>
      </c>
      <c r="N195" s="897" t="s">
        <v>98</v>
      </c>
      <c r="O195" s="897" t="s">
        <v>99</v>
      </c>
      <c r="P195" s="899"/>
    </row>
    <row r="196" spans="1:16" ht="15.75" thickBot="1">
      <c r="A196" s="896"/>
      <c r="B196" s="898"/>
      <c r="C196" s="898"/>
      <c r="D196" s="898"/>
      <c r="E196" s="898"/>
      <c r="F196" s="898"/>
      <c r="G196" s="240" t="s">
        <v>100</v>
      </c>
      <c r="H196" s="182" t="s">
        <v>101</v>
      </c>
      <c r="I196" s="896"/>
      <c r="J196" s="898"/>
      <c r="K196" s="898"/>
      <c r="L196" s="898"/>
      <c r="M196" s="898"/>
      <c r="N196" s="898"/>
      <c r="O196" s="240" t="s">
        <v>100</v>
      </c>
      <c r="P196" s="182" t="s">
        <v>101</v>
      </c>
    </row>
    <row r="197" spans="1:16" ht="12.75" customHeight="1">
      <c r="A197" s="881" t="e">
        <f>+#REF!+1</f>
        <v>#REF!</v>
      </c>
      <c r="B197" s="875">
        <v>42243</v>
      </c>
      <c r="C197" s="942" t="s">
        <v>31</v>
      </c>
      <c r="D197" s="881" t="s">
        <v>246</v>
      </c>
      <c r="E197" s="881" t="s">
        <v>115</v>
      </c>
      <c r="F197" s="883">
        <v>120000</v>
      </c>
      <c r="G197" s="55">
        <v>719</v>
      </c>
      <c r="H197" s="78">
        <v>120000</v>
      </c>
      <c r="I197" s="873" t="s">
        <v>580</v>
      </c>
      <c r="J197" s="875">
        <v>44204</v>
      </c>
      <c r="K197" s="877" t="s">
        <v>889</v>
      </c>
      <c r="L197" s="881" t="s">
        <v>2024</v>
      </c>
      <c r="M197" s="881" t="s">
        <v>145</v>
      </c>
      <c r="N197" s="883">
        <v>1950000</v>
      </c>
      <c r="O197" s="55">
        <v>719</v>
      </c>
      <c r="P197" s="78"/>
    </row>
    <row r="198" spans="1:16" ht="12.75" customHeight="1" thickBot="1">
      <c r="A198" s="882"/>
      <c r="B198" s="934"/>
      <c r="C198" s="943"/>
      <c r="D198" s="882"/>
      <c r="E198" s="882"/>
      <c r="F198" s="884"/>
      <c r="G198" s="56">
        <v>721</v>
      </c>
      <c r="H198" s="79">
        <f>+F197-H197</f>
        <v>0</v>
      </c>
      <c r="I198" s="874"/>
      <c r="J198" s="876"/>
      <c r="K198" s="878"/>
      <c r="L198" s="882"/>
      <c r="M198" s="882"/>
      <c r="N198" s="884"/>
      <c r="O198" s="56">
        <v>723</v>
      </c>
      <c r="P198" s="79">
        <f>+N197</f>
        <v>1950000</v>
      </c>
    </row>
    <row r="199" spans="1:16" ht="12.75" customHeight="1">
      <c r="A199" s="881" t="e">
        <f>+A197+1</f>
        <v>#REF!</v>
      </c>
      <c r="B199" s="875">
        <v>42243</v>
      </c>
      <c r="C199" s="935" t="s">
        <v>28</v>
      </c>
      <c r="D199" s="881" t="s">
        <v>247</v>
      </c>
      <c r="E199" s="881" t="s">
        <v>115</v>
      </c>
      <c r="F199" s="883">
        <v>50000</v>
      </c>
      <c r="G199" s="55">
        <v>719</v>
      </c>
      <c r="H199" s="78">
        <v>50000</v>
      </c>
      <c r="I199" s="873" t="s">
        <v>581</v>
      </c>
      <c r="J199" s="875">
        <v>44204</v>
      </c>
      <c r="K199" s="944" t="s">
        <v>1896</v>
      </c>
      <c r="L199" s="881" t="s">
        <v>2024</v>
      </c>
      <c r="M199" s="881" t="s">
        <v>145</v>
      </c>
      <c r="N199" s="946">
        <v>2200000</v>
      </c>
      <c r="O199" s="55">
        <v>719</v>
      </c>
      <c r="P199" s="78"/>
    </row>
    <row r="200" spans="1:16" ht="12.75" customHeight="1" thickBot="1">
      <c r="A200" s="882"/>
      <c r="B200" s="934"/>
      <c r="C200" s="936"/>
      <c r="D200" s="882"/>
      <c r="E200" s="882"/>
      <c r="F200" s="884"/>
      <c r="G200" s="56">
        <v>721</v>
      </c>
      <c r="H200" s="79"/>
      <c r="I200" s="874"/>
      <c r="J200" s="876"/>
      <c r="K200" s="945"/>
      <c r="L200" s="882"/>
      <c r="M200" s="882"/>
      <c r="N200" s="947"/>
      <c r="O200" s="56">
        <v>723</v>
      </c>
      <c r="P200" s="79">
        <f>+N199</f>
        <v>2200000</v>
      </c>
    </row>
    <row r="201" spans="1:16" ht="12" customHeight="1">
      <c r="A201" s="881" t="e">
        <f>+A199+1</f>
        <v>#REF!</v>
      </c>
      <c r="B201" s="875">
        <v>42243</v>
      </c>
      <c r="C201" s="877" t="s">
        <v>250</v>
      </c>
      <c r="D201" s="877" t="s">
        <v>248</v>
      </c>
      <c r="E201" s="881" t="s">
        <v>145</v>
      </c>
      <c r="F201" s="883">
        <v>4280256</v>
      </c>
      <c r="G201" s="55">
        <v>719</v>
      </c>
      <c r="H201" s="78"/>
      <c r="I201" s="873" t="s">
        <v>582</v>
      </c>
      <c r="J201" s="875">
        <v>44204</v>
      </c>
      <c r="K201" s="877" t="s">
        <v>2047</v>
      </c>
      <c r="L201" s="881" t="s">
        <v>2024</v>
      </c>
      <c r="M201" s="881" t="s">
        <v>1908</v>
      </c>
      <c r="N201" s="883">
        <v>2400000</v>
      </c>
      <c r="O201" s="55">
        <v>719</v>
      </c>
      <c r="P201" s="78"/>
    </row>
    <row r="202" spans="1:16" ht="15" customHeight="1" thickBot="1">
      <c r="A202" s="882"/>
      <c r="B202" s="934"/>
      <c r="C202" s="878"/>
      <c r="D202" s="878"/>
      <c r="E202" s="882"/>
      <c r="F202" s="884"/>
      <c r="G202" s="56">
        <v>722</v>
      </c>
      <c r="H202" s="79">
        <f>+F201-H201</f>
        <v>4280256</v>
      </c>
      <c r="I202" s="874"/>
      <c r="J202" s="876"/>
      <c r="K202" s="878"/>
      <c r="L202" s="882"/>
      <c r="M202" s="882"/>
      <c r="N202" s="884"/>
      <c r="O202" s="56">
        <v>723</v>
      </c>
      <c r="P202" s="79">
        <f>+N201</f>
        <v>2400000</v>
      </c>
    </row>
    <row r="203" spans="1:16" ht="12" customHeight="1">
      <c r="A203" s="881" t="e">
        <f>+A201+1</f>
        <v>#REF!</v>
      </c>
      <c r="B203" s="875">
        <v>42243</v>
      </c>
      <c r="C203" s="877" t="s">
        <v>249</v>
      </c>
      <c r="D203" s="877" t="s">
        <v>248</v>
      </c>
      <c r="E203" s="881" t="s">
        <v>145</v>
      </c>
      <c r="F203" s="883">
        <v>2140128</v>
      </c>
      <c r="G203" s="55">
        <v>719</v>
      </c>
      <c r="H203" s="78"/>
      <c r="I203" s="873" t="s">
        <v>583</v>
      </c>
      <c r="J203" s="875">
        <v>44204</v>
      </c>
      <c r="K203" s="905" t="s">
        <v>2038</v>
      </c>
      <c r="L203" s="881" t="s">
        <v>2024</v>
      </c>
      <c r="M203" s="881" t="s">
        <v>145</v>
      </c>
      <c r="N203" s="883">
        <v>3600000</v>
      </c>
      <c r="O203" s="55">
        <v>719</v>
      </c>
      <c r="P203" s="78"/>
    </row>
    <row r="204" spans="1:16" ht="15" customHeight="1" thickBot="1">
      <c r="A204" s="882"/>
      <c r="B204" s="934"/>
      <c r="C204" s="878"/>
      <c r="D204" s="878"/>
      <c r="E204" s="882"/>
      <c r="F204" s="884"/>
      <c r="G204" s="56">
        <v>722</v>
      </c>
      <c r="H204" s="79">
        <f>+F203-H203</f>
        <v>2140128</v>
      </c>
      <c r="I204" s="874"/>
      <c r="J204" s="876"/>
      <c r="K204" s="906"/>
      <c r="L204" s="882"/>
      <c r="M204" s="882"/>
      <c r="N204" s="884"/>
      <c r="O204" s="56">
        <v>723</v>
      </c>
      <c r="P204" s="79">
        <f>+N203</f>
        <v>3600000</v>
      </c>
    </row>
    <row r="205" spans="1:16" ht="13.5" customHeight="1">
      <c r="A205" s="881"/>
      <c r="B205" s="875"/>
      <c r="C205" s="935"/>
      <c r="D205" s="877"/>
      <c r="E205" s="881"/>
      <c r="F205" s="883"/>
      <c r="G205" s="55">
        <v>719</v>
      </c>
      <c r="H205" s="78"/>
      <c r="I205" s="873" t="s">
        <v>591</v>
      </c>
      <c r="J205" s="875">
        <v>44204</v>
      </c>
      <c r="K205" s="877" t="s">
        <v>2039</v>
      </c>
      <c r="L205" s="881" t="s">
        <v>2024</v>
      </c>
      <c r="M205" s="881" t="s">
        <v>148</v>
      </c>
      <c r="N205" s="883">
        <v>1463000</v>
      </c>
      <c r="O205" s="55">
        <v>719</v>
      </c>
      <c r="P205" s="78"/>
    </row>
    <row r="206" spans="1:16" ht="12.75" customHeight="1" thickBot="1">
      <c r="A206" s="882"/>
      <c r="B206" s="934"/>
      <c r="C206" s="936"/>
      <c r="D206" s="878"/>
      <c r="E206" s="882"/>
      <c r="F206" s="884"/>
      <c r="G206" s="56">
        <v>721</v>
      </c>
      <c r="H206" s="79">
        <f>+F205-H205</f>
        <v>0</v>
      </c>
      <c r="I206" s="874"/>
      <c r="J206" s="876"/>
      <c r="K206" s="878"/>
      <c r="L206" s="882"/>
      <c r="M206" s="882"/>
      <c r="N206" s="884"/>
      <c r="O206" s="56">
        <v>723</v>
      </c>
      <c r="P206" s="79">
        <f>+N205</f>
        <v>1463000</v>
      </c>
    </row>
    <row r="207" spans="1:16" ht="15" customHeight="1" thickBot="1">
      <c r="A207" s="901" t="s">
        <v>102</v>
      </c>
      <c r="B207" s="902"/>
      <c r="C207" s="902"/>
      <c r="D207" s="902"/>
      <c r="E207" s="903"/>
      <c r="F207" s="81">
        <f>SUM(F197:F206)</f>
        <v>6590384</v>
      </c>
      <c r="I207" s="901" t="s">
        <v>102</v>
      </c>
      <c r="J207" s="902"/>
      <c r="K207" s="902"/>
      <c r="L207" s="902"/>
      <c r="M207" s="903"/>
      <c r="N207" s="81">
        <f>SUM(N197:N206)</f>
        <v>11613000</v>
      </c>
    </row>
    <row r="208" spans="1:16" ht="15.75" customHeight="1" thickBot="1">
      <c r="A208" s="885" t="s">
        <v>103</v>
      </c>
      <c r="B208" s="886"/>
      <c r="C208" s="886"/>
      <c r="D208" s="886"/>
      <c r="E208" s="887"/>
      <c r="F208" s="69">
        <f>+F172</f>
        <v>613795841</v>
      </c>
      <c r="I208" s="885" t="s">
        <v>103</v>
      </c>
      <c r="J208" s="886"/>
      <c r="K208" s="886"/>
      <c r="L208" s="886"/>
      <c r="M208" s="887"/>
      <c r="N208" s="239">
        <f>+N172</f>
        <v>256766911</v>
      </c>
      <c r="O208" s="241" t="s">
        <v>561</v>
      </c>
      <c r="P208" s="242"/>
    </row>
    <row r="209" spans="1:16" ht="14.25" customHeight="1" thickBot="1">
      <c r="A209" s="888" t="s">
        <v>104</v>
      </c>
      <c r="B209" s="889"/>
      <c r="C209" s="889"/>
      <c r="D209" s="889"/>
      <c r="E209" s="890"/>
      <c r="F209" s="183">
        <f>SUM(F207:F208)</f>
        <v>620386225</v>
      </c>
      <c r="I209" s="888" t="s">
        <v>104</v>
      </c>
      <c r="J209" s="889"/>
      <c r="K209" s="889"/>
      <c r="L209" s="889"/>
      <c r="M209" s="890"/>
      <c r="N209" s="183">
        <f>SUM(N207:N208)</f>
        <v>268379911</v>
      </c>
    </row>
    <row r="210" spans="1:16" ht="7.5" customHeight="1">
      <c r="A210" s="61"/>
      <c r="B210" s="61"/>
      <c r="C210" s="61"/>
      <c r="D210" s="61"/>
      <c r="E210" s="61"/>
      <c r="I210" s="61"/>
      <c r="J210" s="61"/>
      <c r="K210" s="61"/>
      <c r="L210" s="61"/>
      <c r="M210" s="61"/>
    </row>
    <row r="211" spans="1:16">
      <c r="A211" s="51" t="s">
        <v>254</v>
      </c>
      <c r="I211" s="51" t="s">
        <v>2040</v>
      </c>
    </row>
    <row r="212" spans="1:16" ht="4.5" customHeight="1">
      <c r="F212" s="139"/>
      <c r="N212" s="139"/>
    </row>
    <row r="213" spans="1:16" ht="12.75" customHeight="1">
      <c r="A213" s="50" t="s">
        <v>105</v>
      </c>
      <c r="D213" s="146"/>
      <c r="F213" s="139"/>
      <c r="I213" s="50" t="s">
        <v>105</v>
      </c>
      <c r="L213" s="146"/>
      <c r="N213" s="139"/>
    </row>
    <row r="214" spans="1:16" ht="11.25" customHeight="1" thickBot="1"/>
    <row r="215" spans="1:16" ht="17.25" thickBot="1">
      <c r="A215" s="891" t="s">
        <v>106</v>
      </c>
      <c r="B215" s="892"/>
      <c r="C215" s="892"/>
      <c r="D215" s="893"/>
      <c r="F215" s="50" t="s">
        <v>107</v>
      </c>
      <c r="I215" s="891" t="s">
        <v>106</v>
      </c>
      <c r="J215" s="892"/>
      <c r="K215" s="892"/>
      <c r="L215" s="893"/>
      <c r="N215" s="604" t="s">
        <v>288</v>
      </c>
      <c r="O215" s="604"/>
      <c r="P215" s="604"/>
    </row>
    <row r="216" spans="1:16" ht="30" customHeight="1" thickBot="1">
      <c r="A216" s="57" t="s">
        <v>100</v>
      </c>
      <c r="B216" s="58" t="s">
        <v>108</v>
      </c>
      <c r="C216" s="59" t="s">
        <v>109</v>
      </c>
      <c r="D216" s="60" t="s">
        <v>110</v>
      </c>
      <c r="I216" s="57" t="s">
        <v>100</v>
      </c>
      <c r="J216" s="58" t="s">
        <v>108</v>
      </c>
      <c r="K216" s="473" t="s">
        <v>109</v>
      </c>
      <c r="L216" s="60" t="s">
        <v>110</v>
      </c>
      <c r="N216" s="12"/>
      <c r="O216" s="12"/>
      <c r="P216" s="12"/>
    </row>
    <row r="217" spans="1:16" ht="14.25" customHeight="1">
      <c r="A217" s="71">
        <v>719</v>
      </c>
      <c r="B217" s="73">
        <f>+H197+H199</f>
        <v>170000</v>
      </c>
      <c r="C217" s="74" t="e">
        <f>+D180</f>
        <v>#REF!</v>
      </c>
      <c r="D217" s="76" t="e">
        <f>+B217+C217</f>
        <v>#REF!</v>
      </c>
      <c r="I217" s="71">
        <v>719</v>
      </c>
      <c r="J217" s="73"/>
      <c r="K217" s="74">
        <f>+L180</f>
        <v>0</v>
      </c>
      <c r="L217" s="195">
        <f>+J217+K217</f>
        <v>0</v>
      </c>
      <c r="N217" s="12"/>
      <c r="O217" s="12"/>
      <c r="P217" s="12"/>
    </row>
    <row r="218" spans="1:16" ht="15" customHeight="1">
      <c r="A218" s="72">
        <v>721</v>
      </c>
      <c r="B218" s="80"/>
      <c r="C218" s="74" t="e">
        <f>+D181</f>
        <v>#REF!</v>
      </c>
      <c r="D218" s="76" t="e">
        <f>+B218+C218</f>
        <v>#REF!</v>
      </c>
      <c r="I218" s="72">
        <v>721</v>
      </c>
      <c r="J218" s="80"/>
      <c r="K218" s="74">
        <f>+L181</f>
        <v>0</v>
      </c>
      <c r="L218" s="195">
        <f>+J218+K218</f>
        <v>0</v>
      </c>
      <c r="N218" s="12"/>
      <c r="O218" s="12"/>
      <c r="P218" s="12"/>
    </row>
    <row r="219" spans="1:16" ht="12.75" customHeight="1">
      <c r="A219" s="72">
        <v>722</v>
      </c>
      <c r="B219" s="80">
        <f>+H202+H204</f>
        <v>6420384</v>
      </c>
      <c r="C219" s="74">
        <f>+D182</f>
        <v>224787287</v>
      </c>
      <c r="D219" s="76">
        <f>+B219+C219</f>
        <v>231207671</v>
      </c>
      <c r="I219" s="72">
        <v>722</v>
      </c>
      <c r="J219" s="80"/>
      <c r="K219" s="74">
        <f>+L182</f>
        <v>0</v>
      </c>
      <c r="L219" s="195">
        <f>+J219+K219</f>
        <v>0</v>
      </c>
      <c r="N219" s="12"/>
      <c r="O219" s="12"/>
      <c r="P219" s="12"/>
    </row>
    <row r="220" spans="1:16" ht="13.5" customHeight="1" thickBot="1">
      <c r="A220" s="72">
        <v>723</v>
      </c>
      <c r="B220" s="80"/>
      <c r="C220" s="74">
        <f>+D183</f>
        <v>319828837</v>
      </c>
      <c r="D220" s="76">
        <f>+B220+C220</f>
        <v>319828837</v>
      </c>
      <c r="F220" s="174" t="s">
        <v>23</v>
      </c>
      <c r="G220" s="175"/>
      <c r="I220" s="72">
        <v>723</v>
      </c>
      <c r="J220" s="80">
        <f>+P198+P200+P202+P204+P206</f>
        <v>11613000</v>
      </c>
      <c r="K220" s="74">
        <f>+L183</f>
        <v>256766911</v>
      </c>
      <c r="L220" s="195">
        <f>+J220+K220</f>
        <v>268379911</v>
      </c>
      <c r="N220" s="609" t="s">
        <v>1696</v>
      </c>
      <c r="O220" s="609"/>
      <c r="P220" s="609"/>
    </row>
    <row r="221" spans="1:16" ht="13.5" hidden="1" customHeight="1">
      <c r="A221" s="164" t="s">
        <v>181</v>
      </c>
      <c r="B221" s="165"/>
      <c r="C221" s="74">
        <f>+D184</f>
        <v>1965625</v>
      </c>
      <c r="D221" s="168">
        <f>+B221+C221</f>
        <v>1965625</v>
      </c>
      <c r="F221" s="52"/>
      <c r="I221" s="164" t="s">
        <v>181</v>
      </c>
      <c r="J221" s="165"/>
      <c r="K221" s="74">
        <f>+L184</f>
        <v>0</v>
      </c>
      <c r="L221" s="196">
        <f>+J221+K221</f>
        <v>0</v>
      </c>
      <c r="N221" s="52"/>
    </row>
    <row r="222" spans="1:16" ht="15" customHeight="1" thickBot="1">
      <c r="A222" s="169"/>
      <c r="B222" s="170">
        <f>SUM(B217:B221)</f>
        <v>6590384</v>
      </c>
      <c r="C222" s="171" t="e">
        <f>SUM(C217:C221)</f>
        <v>#REF!</v>
      </c>
      <c r="D222" s="172" t="e">
        <f>SUM(D217:D221)</f>
        <v>#REF!</v>
      </c>
      <c r="I222" s="169"/>
      <c r="J222" s="197">
        <f>SUM(J217:J221)</f>
        <v>11613000</v>
      </c>
      <c r="K222" s="197">
        <f>SUM(K217:K221)</f>
        <v>256766911</v>
      </c>
      <c r="L222" s="198">
        <f>SUM(L217:L221)</f>
        <v>268379911</v>
      </c>
    </row>
    <row r="223" spans="1:16" ht="15.75" customHeight="1">
      <c r="A223" s="49" t="s">
        <v>88</v>
      </c>
      <c r="B223" s="50"/>
      <c r="I223" s="49" t="s">
        <v>88</v>
      </c>
      <c r="J223" s="50"/>
    </row>
    <row r="224" spans="1:16" ht="12" customHeight="1">
      <c r="A224" s="51" t="s">
        <v>89</v>
      </c>
      <c r="I224" s="51" t="s">
        <v>89</v>
      </c>
    </row>
    <row r="225" spans="1:16" ht="12" customHeight="1">
      <c r="A225" s="51" t="s">
        <v>90</v>
      </c>
      <c r="I225" s="51" t="s">
        <v>90</v>
      </c>
    </row>
    <row r="226" spans="1:16" ht="11.25" customHeight="1">
      <c r="A226" s="51" t="s">
        <v>91</v>
      </c>
      <c r="I226" s="51" t="s">
        <v>91</v>
      </c>
    </row>
    <row r="227" spans="1:16" ht="4.5" customHeight="1">
      <c r="A227" s="50"/>
      <c r="B227" s="50"/>
      <c r="I227" s="50"/>
      <c r="J227" s="50"/>
    </row>
    <row r="228" spans="1:16" ht="12.75" customHeight="1">
      <c r="A228" s="52" t="s">
        <v>256</v>
      </c>
      <c r="G228" s="52"/>
      <c r="I228" s="52" t="s">
        <v>1641</v>
      </c>
      <c r="J228" s="243"/>
      <c r="O228" s="52"/>
    </row>
    <row r="229" spans="1:16" ht="15.75">
      <c r="A229" s="53" t="s">
        <v>92</v>
      </c>
      <c r="G229" s="53"/>
      <c r="I229" s="53" t="s">
        <v>2012</v>
      </c>
      <c r="O229" s="53"/>
    </row>
    <row r="230" spans="1:16" ht="13.5" customHeight="1">
      <c r="A230" s="894" t="s">
        <v>261</v>
      </c>
      <c r="B230" s="894"/>
      <c r="C230" s="894"/>
      <c r="D230" s="894"/>
      <c r="E230" s="894"/>
      <c r="F230" s="894"/>
      <c r="G230" s="894"/>
      <c r="H230" s="894"/>
      <c r="I230" s="894" t="s">
        <v>212</v>
      </c>
      <c r="J230" s="894"/>
      <c r="K230" s="894"/>
      <c r="L230" s="894"/>
      <c r="M230" s="894"/>
      <c r="N230" s="894"/>
      <c r="O230" s="894"/>
      <c r="P230" s="894"/>
    </row>
    <row r="231" spans="1:16" ht="8.25" customHeight="1" thickBot="1"/>
    <row r="232" spans="1:16">
      <c r="A232" s="895" t="s">
        <v>94</v>
      </c>
      <c r="B232" s="897" t="s">
        <v>95</v>
      </c>
      <c r="C232" s="897" t="s">
        <v>96</v>
      </c>
      <c r="D232" s="897" t="s">
        <v>3</v>
      </c>
      <c r="E232" s="897" t="s">
        <v>97</v>
      </c>
      <c r="F232" s="897" t="s">
        <v>98</v>
      </c>
      <c r="G232" s="897" t="s">
        <v>99</v>
      </c>
      <c r="H232" s="899"/>
      <c r="I232" s="895" t="s">
        <v>94</v>
      </c>
      <c r="J232" s="897" t="s">
        <v>95</v>
      </c>
      <c r="K232" s="897" t="s">
        <v>96</v>
      </c>
      <c r="L232" s="897" t="s">
        <v>3</v>
      </c>
      <c r="M232" s="897" t="s">
        <v>97</v>
      </c>
      <c r="N232" s="897" t="s">
        <v>98</v>
      </c>
      <c r="O232" s="897" t="s">
        <v>99</v>
      </c>
      <c r="P232" s="899"/>
    </row>
    <row r="233" spans="1:16" ht="15.75" thickBot="1">
      <c r="A233" s="896"/>
      <c r="B233" s="898"/>
      <c r="C233" s="898"/>
      <c r="D233" s="898"/>
      <c r="E233" s="898"/>
      <c r="F233" s="898"/>
      <c r="G233" s="240" t="s">
        <v>100</v>
      </c>
      <c r="H233" s="182" t="s">
        <v>101</v>
      </c>
      <c r="I233" s="896"/>
      <c r="J233" s="898"/>
      <c r="K233" s="898"/>
      <c r="L233" s="898"/>
      <c r="M233" s="898"/>
      <c r="N233" s="898"/>
      <c r="O233" s="240" t="s">
        <v>100</v>
      </c>
      <c r="P233" s="182" t="s">
        <v>101</v>
      </c>
    </row>
    <row r="234" spans="1:16" ht="13.5" customHeight="1">
      <c r="A234" s="881" t="e">
        <f>+A203+1</f>
        <v>#REF!</v>
      </c>
      <c r="B234" s="875">
        <v>42252</v>
      </c>
      <c r="C234" s="942" t="s">
        <v>31</v>
      </c>
      <c r="D234" s="881" t="s">
        <v>257</v>
      </c>
      <c r="E234" s="881" t="s">
        <v>115</v>
      </c>
      <c r="F234" s="883">
        <v>90000</v>
      </c>
      <c r="G234" s="55">
        <v>719</v>
      </c>
      <c r="H234" s="78">
        <v>90000</v>
      </c>
      <c r="I234" s="873" t="s">
        <v>592</v>
      </c>
      <c r="J234" s="875">
        <v>44207</v>
      </c>
      <c r="K234" s="877" t="s">
        <v>678</v>
      </c>
      <c r="L234" s="881" t="s">
        <v>2024</v>
      </c>
      <c r="M234" s="881" t="s">
        <v>148</v>
      </c>
      <c r="N234" s="883">
        <v>1260000</v>
      </c>
      <c r="O234" s="55">
        <v>719</v>
      </c>
      <c r="P234" s="78"/>
    </row>
    <row r="235" spans="1:16" ht="14.25" customHeight="1" thickBot="1">
      <c r="A235" s="882"/>
      <c r="B235" s="934"/>
      <c r="C235" s="943"/>
      <c r="D235" s="882"/>
      <c r="E235" s="882"/>
      <c r="F235" s="884"/>
      <c r="G235" s="56">
        <v>721</v>
      </c>
      <c r="H235" s="79">
        <f>+F234-H234</f>
        <v>0</v>
      </c>
      <c r="I235" s="882"/>
      <c r="J235" s="876"/>
      <c r="K235" s="878"/>
      <c r="L235" s="882"/>
      <c r="M235" s="882"/>
      <c r="N235" s="884"/>
      <c r="O235" s="56">
        <v>723</v>
      </c>
      <c r="P235" s="79">
        <f>+N234</f>
        <v>1260000</v>
      </c>
    </row>
    <row r="236" spans="1:16" ht="12.75" customHeight="1">
      <c r="A236" s="881" t="e">
        <f>+A234+1</f>
        <v>#REF!</v>
      </c>
      <c r="B236" s="875">
        <v>42252</v>
      </c>
      <c r="C236" s="935" t="s">
        <v>28</v>
      </c>
      <c r="D236" s="881" t="s">
        <v>258</v>
      </c>
      <c r="E236" s="881" t="s">
        <v>115</v>
      </c>
      <c r="F236" s="883">
        <v>40000</v>
      </c>
      <c r="G236" s="55">
        <v>719</v>
      </c>
      <c r="H236" s="78">
        <f>+F236</f>
        <v>40000</v>
      </c>
      <c r="I236" s="873" t="s">
        <v>593</v>
      </c>
      <c r="J236" s="875">
        <v>44207</v>
      </c>
      <c r="K236" s="877" t="s">
        <v>1896</v>
      </c>
      <c r="L236" s="881" t="s">
        <v>2024</v>
      </c>
      <c r="M236" s="881" t="s">
        <v>148</v>
      </c>
      <c r="N236" s="883">
        <v>600000</v>
      </c>
      <c r="O236" s="55">
        <v>719</v>
      </c>
      <c r="P236" s="78"/>
    </row>
    <row r="237" spans="1:16" ht="13.5" customHeight="1" thickBot="1">
      <c r="A237" s="882"/>
      <c r="B237" s="934"/>
      <c r="C237" s="936"/>
      <c r="D237" s="882"/>
      <c r="E237" s="882"/>
      <c r="F237" s="884"/>
      <c r="G237" s="56">
        <v>721</v>
      </c>
      <c r="H237" s="79"/>
      <c r="I237" s="882"/>
      <c r="J237" s="876"/>
      <c r="K237" s="878"/>
      <c r="L237" s="882"/>
      <c r="M237" s="882"/>
      <c r="N237" s="884"/>
      <c r="O237" s="56">
        <v>723</v>
      </c>
      <c r="P237" s="79">
        <f>+N236</f>
        <v>600000</v>
      </c>
    </row>
    <row r="238" spans="1:16" ht="12.75" customHeight="1">
      <c r="A238" s="881" t="e">
        <f>+A236+1</f>
        <v>#REF!</v>
      </c>
      <c r="B238" s="875">
        <v>42252</v>
      </c>
      <c r="C238" s="877" t="s">
        <v>32</v>
      </c>
      <c r="D238" s="881" t="s">
        <v>259</v>
      </c>
      <c r="E238" s="881" t="s">
        <v>115</v>
      </c>
      <c r="F238" s="883">
        <v>80000</v>
      </c>
      <c r="G238" s="55">
        <v>719</v>
      </c>
      <c r="H238" s="78">
        <v>80000</v>
      </c>
      <c r="I238" s="873" t="s">
        <v>594</v>
      </c>
      <c r="J238" s="875">
        <v>44207</v>
      </c>
      <c r="K238" s="877" t="s">
        <v>682</v>
      </c>
      <c r="L238" s="881" t="s">
        <v>2024</v>
      </c>
      <c r="M238" s="881" t="s">
        <v>148</v>
      </c>
      <c r="N238" s="883">
        <v>1800000</v>
      </c>
      <c r="O238" s="55">
        <v>719</v>
      </c>
      <c r="P238" s="78"/>
    </row>
    <row r="239" spans="1:16" ht="13.5" customHeight="1" thickBot="1">
      <c r="A239" s="882"/>
      <c r="B239" s="934"/>
      <c r="C239" s="878"/>
      <c r="D239" s="882"/>
      <c r="E239" s="882"/>
      <c r="F239" s="884"/>
      <c r="G239" s="56">
        <v>721</v>
      </c>
      <c r="H239" s="79">
        <f>+F238-H238</f>
        <v>0</v>
      </c>
      <c r="I239" s="882"/>
      <c r="J239" s="876"/>
      <c r="K239" s="878"/>
      <c r="L239" s="882"/>
      <c r="M239" s="882"/>
      <c r="N239" s="884"/>
      <c r="O239" s="56">
        <v>723</v>
      </c>
      <c r="P239" s="79">
        <f>+N238-P238</f>
        <v>1800000</v>
      </c>
    </row>
    <row r="240" spans="1:16" ht="13.5" customHeight="1">
      <c r="A240" s="251"/>
      <c r="B240" s="452"/>
      <c r="C240" s="253"/>
      <c r="D240" s="251"/>
      <c r="E240" s="251"/>
      <c r="F240" s="254"/>
      <c r="G240" s="255"/>
      <c r="H240" s="256"/>
      <c r="I240" s="873" t="s">
        <v>599</v>
      </c>
      <c r="J240" s="875">
        <v>44207</v>
      </c>
      <c r="K240" s="881" t="s">
        <v>1916</v>
      </c>
      <c r="L240" s="881" t="s">
        <v>2024</v>
      </c>
      <c r="M240" s="881" t="s">
        <v>148</v>
      </c>
      <c r="N240" s="883">
        <v>2479167</v>
      </c>
      <c r="O240" s="55">
        <v>719</v>
      </c>
      <c r="P240" s="78"/>
    </row>
    <row r="241" spans="1:16" ht="13.5" customHeight="1" thickBot="1">
      <c r="A241" s="251"/>
      <c r="B241" s="452"/>
      <c r="C241" s="253"/>
      <c r="D241" s="251"/>
      <c r="E241" s="251"/>
      <c r="F241" s="254"/>
      <c r="G241" s="255"/>
      <c r="H241" s="256"/>
      <c r="I241" s="882"/>
      <c r="J241" s="876"/>
      <c r="K241" s="882"/>
      <c r="L241" s="882"/>
      <c r="M241" s="882"/>
      <c r="N241" s="884"/>
      <c r="O241" s="56">
        <v>723</v>
      </c>
      <c r="P241" s="79">
        <f>+N240-P240</f>
        <v>2479167</v>
      </c>
    </row>
    <row r="242" spans="1:16" ht="13.5" customHeight="1">
      <c r="A242" s="881"/>
      <c r="B242" s="875"/>
      <c r="C242" s="877"/>
      <c r="D242" s="877"/>
      <c r="E242" s="881"/>
      <c r="F242" s="883"/>
      <c r="G242" s="55">
        <v>719</v>
      </c>
      <c r="H242" s="78"/>
      <c r="I242" s="873" t="s">
        <v>600</v>
      </c>
      <c r="J242" s="875">
        <v>44207</v>
      </c>
      <c r="K242" s="877" t="s">
        <v>679</v>
      </c>
      <c r="L242" s="881" t="s">
        <v>2024</v>
      </c>
      <c r="M242" s="881" t="s">
        <v>148</v>
      </c>
      <c r="N242" s="883">
        <v>945000</v>
      </c>
      <c r="O242" s="55">
        <v>719</v>
      </c>
      <c r="P242" s="78"/>
    </row>
    <row r="243" spans="1:16" ht="12.75" customHeight="1" thickBot="1">
      <c r="A243" s="882"/>
      <c r="B243" s="934"/>
      <c r="C243" s="878"/>
      <c r="D243" s="878"/>
      <c r="E243" s="882"/>
      <c r="F243" s="884"/>
      <c r="G243" s="56">
        <v>721</v>
      </c>
      <c r="H243" s="79">
        <f>+F242-H242</f>
        <v>0</v>
      </c>
      <c r="I243" s="882"/>
      <c r="J243" s="876"/>
      <c r="K243" s="878"/>
      <c r="L243" s="882"/>
      <c r="M243" s="882"/>
      <c r="N243" s="884"/>
      <c r="O243" s="56">
        <v>723</v>
      </c>
      <c r="P243" s="79">
        <f>+N242-P242</f>
        <v>945000</v>
      </c>
    </row>
    <row r="244" spans="1:16" ht="12.75" customHeight="1">
      <c r="A244" s="881"/>
      <c r="B244" s="875"/>
      <c r="C244" s="935"/>
      <c r="D244" s="877"/>
      <c r="E244" s="881"/>
      <c r="F244" s="883"/>
      <c r="G244" s="55">
        <v>719</v>
      </c>
      <c r="H244" s="78"/>
      <c r="I244" s="873" t="s">
        <v>601</v>
      </c>
      <c r="J244" s="875">
        <v>44207</v>
      </c>
      <c r="K244" s="877" t="s">
        <v>1893</v>
      </c>
      <c r="L244" s="881" t="s">
        <v>2024</v>
      </c>
      <c r="M244" s="881" t="s">
        <v>148</v>
      </c>
      <c r="N244" s="883">
        <v>3000000</v>
      </c>
      <c r="O244" s="55">
        <v>719</v>
      </c>
      <c r="P244" s="78"/>
    </row>
    <row r="245" spans="1:16" ht="13.5" customHeight="1" thickBot="1">
      <c r="A245" s="882"/>
      <c r="B245" s="934"/>
      <c r="C245" s="936"/>
      <c r="D245" s="878"/>
      <c r="E245" s="882"/>
      <c r="F245" s="884"/>
      <c r="G245" s="56">
        <v>721</v>
      </c>
      <c r="H245" s="79">
        <f>+F244-H244</f>
        <v>0</v>
      </c>
      <c r="I245" s="882"/>
      <c r="J245" s="876"/>
      <c r="K245" s="878"/>
      <c r="L245" s="882"/>
      <c r="M245" s="882"/>
      <c r="N245" s="884"/>
      <c r="O245" s="56">
        <v>723</v>
      </c>
      <c r="P245" s="79">
        <f>+N244-P244</f>
        <v>3000000</v>
      </c>
    </row>
    <row r="246" spans="1:16" ht="16.5" thickBot="1">
      <c r="A246" s="901" t="s">
        <v>102</v>
      </c>
      <c r="B246" s="902"/>
      <c r="C246" s="902"/>
      <c r="D246" s="902"/>
      <c r="E246" s="903"/>
      <c r="F246" s="81">
        <f>SUM(F234:F245)</f>
        <v>210000</v>
      </c>
      <c r="I246" s="901" t="s">
        <v>102</v>
      </c>
      <c r="J246" s="902"/>
      <c r="K246" s="902"/>
      <c r="L246" s="902"/>
      <c r="M246" s="903"/>
      <c r="N246" s="81">
        <f>SUM(N234:N245)</f>
        <v>10084167</v>
      </c>
    </row>
    <row r="247" spans="1:16" ht="14.25" customHeight="1" thickBot="1">
      <c r="A247" s="885" t="s">
        <v>103</v>
      </c>
      <c r="B247" s="886"/>
      <c r="C247" s="886"/>
      <c r="D247" s="886"/>
      <c r="E247" s="887"/>
      <c r="F247" s="69">
        <f>+F209</f>
        <v>620386225</v>
      </c>
      <c r="I247" s="885" t="s">
        <v>103</v>
      </c>
      <c r="J247" s="886"/>
      <c r="K247" s="886"/>
      <c r="L247" s="886"/>
      <c r="M247" s="887"/>
      <c r="N247" s="239">
        <f>+N209</f>
        <v>268379911</v>
      </c>
      <c r="O247" s="241" t="s">
        <v>561</v>
      </c>
      <c r="P247" s="242"/>
    </row>
    <row r="248" spans="1:16" ht="15" customHeight="1" thickBot="1">
      <c r="A248" s="888" t="s">
        <v>104</v>
      </c>
      <c r="B248" s="889"/>
      <c r="C248" s="889"/>
      <c r="D248" s="889"/>
      <c r="E248" s="890"/>
      <c r="F248" s="183">
        <f>SUM(F246:F247)</f>
        <v>620596225</v>
      </c>
      <c r="I248" s="888" t="s">
        <v>104</v>
      </c>
      <c r="J248" s="889"/>
      <c r="K248" s="889"/>
      <c r="L248" s="889"/>
      <c r="M248" s="890"/>
      <c r="N248" s="183">
        <f>SUM(N246:N247)</f>
        <v>278464078</v>
      </c>
    </row>
    <row r="249" spans="1:16" ht="7.5" customHeight="1">
      <c r="A249" s="61"/>
      <c r="B249" s="61"/>
      <c r="C249" s="61"/>
      <c r="D249" s="61"/>
      <c r="E249" s="61"/>
      <c r="I249" s="61"/>
      <c r="J249" s="61"/>
      <c r="K249" s="61"/>
      <c r="L249" s="61"/>
      <c r="M249" s="61"/>
    </row>
    <row r="250" spans="1:16">
      <c r="A250" s="51" t="s">
        <v>260</v>
      </c>
      <c r="I250" s="51" t="s">
        <v>2050</v>
      </c>
    </row>
    <row r="251" spans="1:16" ht="3.75" customHeight="1">
      <c r="F251" s="139"/>
      <c r="N251" s="139"/>
    </row>
    <row r="252" spans="1:16" ht="13.5" customHeight="1">
      <c r="A252" s="50" t="s">
        <v>105</v>
      </c>
      <c r="D252" s="146"/>
      <c r="F252" s="139"/>
      <c r="I252" s="50" t="s">
        <v>105</v>
      </c>
      <c r="L252" s="146"/>
      <c r="N252" s="139"/>
    </row>
    <row r="253" spans="1:16" ht="6.75" customHeight="1" thickBot="1"/>
    <row r="254" spans="1:16" ht="17.25" thickBot="1">
      <c r="A254" s="891" t="s">
        <v>106</v>
      </c>
      <c r="B254" s="892"/>
      <c r="C254" s="892"/>
      <c r="D254" s="893"/>
      <c r="F254" s="50" t="s">
        <v>263</v>
      </c>
      <c r="I254" s="891" t="s">
        <v>106</v>
      </c>
      <c r="J254" s="892"/>
      <c r="K254" s="892"/>
      <c r="L254" s="893"/>
      <c r="N254" s="604" t="s">
        <v>288</v>
      </c>
      <c r="O254" s="604"/>
      <c r="P254" s="604"/>
    </row>
    <row r="255" spans="1:16" ht="28.5" customHeight="1" thickBot="1">
      <c r="A255" s="57" t="s">
        <v>100</v>
      </c>
      <c r="B255" s="58" t="s">
        <v>108</v>
      </c>
      <c r="C255" s="59" t="s">
        <v>109</v>
      </c>
      <c r="D255" s="60" t="s">
        <v>110</v>
      </c>
      <c r="I255" s="57" t="s">
        <v>100</v>
      </c>
      <c r="J255" s="58" t="s">
        <v>108</v>
      </c>
      <c r="K255" s="263" t="s">
        <v>109</v>
      </c>
      <c r="L255" s="60" t="s">
        <v>110</v>
      </c>
      <c r="N255" s="12"/>
      <c r="O255" s="12"/>
      <c r="P255" s="12"/>
    </row>
    <row r="256" spans="1:16" ht="13.5" customHeight="1">
      <c r="A256" s="71">
        <v>719</v>
      </c>
      <c r="B256" s="73">
        <f>+H234+H236+H238</f>
        <v>210000</v>
      </c>
      <c r="C256" s="74" t="e">
        <f>+D217</f>
        <v>#REF!</v>
      </c>
      <c r="D256" s="76" t="e">
        <f>+B256+C256</f>
        <v>#REF!</v>
      </c>
      <c r="I256" s="71">
        <v>719</v>
      </c>
      <c r="J256" s="73">
        <f>+P234+P236+P238+P242+P244</f>
        <v>0</v>
      </c>
      <c r="K256" s="74">
        <f>+L217</f>
        <v>0</v>
      </c>
      <c r="L256" s="195">
        <f>+J256+K256</f>
        <v>0</v>
      </c>
      <c r="N256" s="12"/>
      <c r="O256" s="12"/>
      <c r="P256" s="12"/>
    </row>
    <row r="257" spans="1:16" ht="14.25" customHeight="1">
      <c r="A257" s="72">
        <v>721</v>
      </c>
      <c r="B257" s="80"/>
      <c r="C257" s="74" t="e">
        <f>+D218</f>
        <v>#REF!</v>
      </c>
      <c r="D257" s="76" t="e">
        <f>+B257+C257</f>
        <v>#REF!</v>
      </c>
      <c r="I257" s="72">
        <v>721</v>
      </c>
      <c r="J257" s="80">
        <v>0</v>
      </c>
      <c r="K257" s="74">
        <f>+L218</f>
        <v>0</v>
      </c>
      <c r="L257" s="195">
        <f>+J257+K257</f>
        <v>0</v>
      </c>
      <c r="N257" s="12"/>
      <c r="O257" s="12"/>
      <c r="P257" s="12"/>
    </row>
    <row r="258" spans="1:16" ht="12.75" customHeight="1">
      <c r="A258" s="72">
        <v>722</v>
      </c>
      <c r="B258" s="80"/>
      <c r="C258" s="74">
        <f>+D219</f>
        <v>231207671</v>
      </c>
      <c r="D258" s="76">
        <f>+B258+C258</f>
        <v>231207671</v>
      </c>
      <c r="I258" s="72">
        <v>722</v>
      </c>
      <c r="J258" s="80"/>
      <c r="K258" s="74">
        <f>+L219</f>
        <v>0</v>
      </c>
      <c r="L258" s="195">
        <f>+J258+K258</f>
        <v>0</v>
      </c>
      <c r="N258" s="12"/>
      <c r="O258" s="12"/>
      <c r="P258" s="12"/>
    </row>
    <row r="259" spans="1:16" ht="12.75" customHeight="1" thickBot="1">
      <c r="A259" s="72">
        <v>723</v>
      </c>
      <c r="B259" s="80"/>
      <c r="C259" s="74">
        <f>+D220</f>
        <v>319828837</v>
      </c>
      <c r="D259" s="76">
        <f>+B259+C259</f>
        <v>319828837</v>
      </c>
      <c r="F259" s="174" t="s">
        <v>262</v>
      </c>
      <c r="G259" s="175"/>
      <c r="I259" s="72">
        <v>723</v>
      </c>
      <c r="J259" s="80">
        <f>+P235+P237+P239+P243+P245+P241</f>
        <v>10084167</v>
      </c>
      <c r="K259" s="74">
        <f>+L220</f>
        <v>268379911</v>
      </c>
      <c r="L259" s="195">
        <f>+J259+K259</f>
        <v>278464078</v>
      </c>
      <c r="N259" s="609" t="s">
        <v>1696</v>
      </c>
      <c r="O259" s="609"/>
      <c r="P259" s="609"/>
    </row>
    <row r="260" spans="1:16" ht="13.5" hidden="1" customHeight="1">
      <c r="A260" s="164" t="s">
        <v>181</v>
      </c>
      <c r="B260" s="165"/>
      <c r="C260" s="74">
        <f>+D221</f>
        <v>1965625</v>
      </c>
      <c r="D260" s="168">
        <f>+B260+C260</f>
        <v>1965625</v>
      </c>
      <c r="F260" s="52"/>
      <c r="I260" s="164" t="s">
        <v>181</v>
      </c>
      <c r="J260" s="165"/>
      <c r="K260" s="74">
        <f>+L221</f>
        <v>0</v>
      </c>
      <c r="L260" s="196">
        <f>+J260+K260</f>
        <v>0</v>
      </c>
      <c r="N260" s="52"/>
    </row>
    <row r="261" spans="1:16" ht="15" customHeight="1" thickBot="1">
      <c r="A261" s="169"/>
      <c r="B261" s="170">
        <f>SUM(B256:B260)</f>
        <v>210000</v>
      </c>
      <c r="C261" s="171" t="e">
        <f>SUM(C256:C260)</f>
        <v>#REF!</v>
      </c>
      <c r="D261" s="172" t="e">
        <f>SUM(D256:D260)</f>
        <v>#REF!</v>
      </c>
      <c r="I261" s="169"/>
      <c r="J261" s="197">
        <f>SUM(J256:J260)</f>
        <v>10084167</v>
      </c>
      <c r="K261" s="197">
        <f>SUM(K256:K260)</f>
        <v>268379911</v>
      </c>
      <c r="L261" s="198">
        <f>SUM(L256:L260)</f>
        <v>278464078</v>
      </c>
    </row>
    <row r="262" spans="1:16" ht="15" customHeight="1">
      <c r="A262" s="49" t="s">
        <v>88</v>
      </c>
      <c r="B262" s="50"/>
      <c r="I262" s="49" t="s">
        <v>88</v>
      </c>
      <c r="J262" s="50"/>
    </row>
    <row r="263" spans="1:16" ht="12.75" customHeight="1">
      <c r="A263" s="51" t="s">
        <v>89</v>
      </c>
      <c r="I263" s="51" t="s">
        <v>89</v>
      </c>
    </row>
    <row r="264" spans="1:16" ht="13.5" customHeight="1">
      <c r="A264" s="51" t="s">
        <v>90</v>
      </c>
      <c r="I264" s="51" t="s">
        <v>90</v>
      </c>
    </row>
    <row r="265" spans="1:16" ht="13.5" customHeight="1">
      <c r="A265" s="51" t="s">
        <v>91</v>
      </c>
      <c r="I265" s="51" t="s">
        <v>91</v>
      </c>
    </row>
    <row r="266" spans="1:16" ht="4.5" customHeight="1">
      <c r="A266" s="50"/>
      <c r="B266" s="50"/>
      <c r="I266" s="50"/>
      <c r="J266" s="50"/>
    </row>
    <row r="267" spans="1:16" ht="14.25" customHeight="1">
      <c r="A267" s="52" t="s">
        <v>264</v>
      </c>
      <c r="G267" s="52"/>
      <c r="I267" s="52" t="s">
        <v>1731</v>
      </c>
      <c r="J267" s="244"/>
      <c r="O267" s="52"/>
    </row>
    <row r="268" spans="1:16" ht="15.75">
      <c r="A268" s="53" t="s">
        <v>92</v>
      </c>
      <c r="G268" s="53"/>
      <c r="I268" s="53" t="s">
        <v>2012</v>
      </c>
      <c r="O268" s="53"/>
    </row>
    <row r="269" spans="1:16" ht="14.25" customHeight="1">
      <c r="A269" s="894" t="s">
        <v>261</v>
      </c>
      <c r="B269" s="894"/>
      <c r="C269" s="894"/>
      <c r="D269" s="894"/>
      <c r="E269" s="894"/>
      <c r="F269" s="894"/>
      <c r="G269" s="894"/>
      <c r="H269" s="894"/>
      <c r="I269" s="894" t="s">
        <v>212</v>
      </c>
      <c r="J269" s="894"/>
      <c r="K269" s="894"/>
      <c r="L269" s="894"/>
      <c r="M269" s="894"/>
      <c r="N269" s="894"/>
      <c r="O269" s="894"/>
      <c r="P269" s="894"/>
    </row>
    <row r="270" spans="1:16" ht="11.25" customHeight="1" thickBot="1"/>
    <row r="271" spans="1:16">
      <c r="A271" s="895" t="s">
        <v>94</v>
      </c>
      <c r="B271" s="897" t="s">
        <v>95</v>
      </c>
      <c r="C271" s="897" t="s">
        <v>96</v>
      </c>
      <c r="D271" s="897" t="s">
        <v>3</v>
      </c>
      <c r="E271" s="897" t="s">
        <v>97</v>
      </c>
      <c r="F271" s="897" t="s">
        <v>98</v>
      </c>
      <c r="G271" s="897" t="s">
        <v>99</v>
      </c>
      <c r="H271" s="899"/>
      <c r="I271" s="895" t="s">
        <v>94</v>
      </c>
      <c r="J271" s="897" t="s">
        <v>95</v>
      </c>
      <c r="K271" s="897" t="s">
        <v>96</v>
      </c>
      <c r="L271" s="897" t="s">
        <v>3</v>
      </c>
      <c r="M271" s="897" t="s">
        <v>97</v>
      </c>
      <c r="N271" s="897" t="s">
        <v>98</v>
      </c>
      <c r="O271" s="897" t="s">
        <v>99</v>
      </c>
      <c r="P271" s="899"/>
    </row>
    <row r="272" spans="1:16" ht="15.75" thickBot="1">
      <c r="A272" s="896"/>
      <c r="B272" s="898"/>
      <c r="C272" s="898"/>
      <c r="D272" s="898"/>
      <c r="E272" s="898"/>
      <c r="F272" s="898"/>
      <c r="G272" s="240" t="s">
        <v>100</v>
      </c>
      <c r="H272" s="182" t="s">
        <v>101</v>
      </c>
      <c r="I272" s="896"/>
      <c r="J272" s="898"/>
      <c r="K272" s="898"/>
      <c r="L272" s="898"/>
      <c r="M272" s="898"/>
      <c r="N272" s="898"/>
      <c r="O272" s="240" t="s">
        <v>100</v>
      </c>
      <c r="P272" s="182" t="s">
        <v>101</v>
      </c>
    </row>
    <row r="273" spans="1:16" ht="13.5" customHeight="1">
      <c r="A273" s="881" t="e">
        <f>+A238+1</f>
        <v>#REF!</v>
      </c>
      <c r="B273" s="875">
        <v>42254</v>
      </c>
      <c r="C273" s="877" t="s">
        <v>267</v>
      </c>
      <c r="D273" s="881" t="s">
        <v>266</v>
      </c>
      <c r="E273" s="881" t="s">
        <v>148</v>
      </c>
      <c r="F273" s="883">
        <v>252000</v>
      </c>
      <c r="G273" s="55">
        <v>719</v>
      </c>
      <c r="H273" s="78">
        <v>180000</v>
      </c>
      <c r="I273" s="873" t="s">
        <v>602</v>
      </c>
      <c r="J273" s="875">
        <v>44207</v>
      </c>
      <c r="K273" s="877" t="s">
        <v>1897</v>
      </c>
      <c r="L273" s="881" t="s">
        <v>2024</v>
      </c>
      <c r="M273" s="881" t="s">
        <v>115</v>
      </c>
      <c r="N273" s="883">
        <v>7519800</v>
      </c>
      <c r="O273" s="55">
        <v>719</v>
      </c>
      <c r="P273" s="78"/>
    </row>
    <row r="274" spans="1:16" ht="14.25" customHeight="1" thickBot="1">
      <c r="A274" s="882"/>
      <c r="B274" s="934"/>
      <c r="C274" s="878"/>
      <c r="D274" s="882"/>
      <c r="E274" s="882"/>
      <c r="F274" s="884"/>
      <c r="G274" s="56">
        <v>721</v>
      </c>
      <c r="H274" s="79">
        <f>+F273-H273</f>
        <v>72000</v>
      </c>
      <c r="I274" s="882"/>
      <c r="J274" s="876"/>
      <c r="K274" s="878"/>
      <c r="L274" s="882"/>
      <c r="M274" s="882"/>
      <c r="N274" s="884"/>
      <c r="O274" s="56">
        <v>723</v>
      </c>
      <c r="P274" s="79">
        <f>+N273</f>
        <v>7519800</v>
      </c>
    </row>
    <row r="275" spans="1:16" ht="12" customHeight="1">
      <c r="A275" s="881" t="e">
        <f>+A273+1</f>
        <v>#REF!</v>
      </c>
      <c r="B275" s="875">
        <v>42254</v>
      </c>
      <c r="C275" s="881" t="s">
        <v>28</v>
      </c>
      <c r="D275" s="881" t="s">
        <v>258</v>
      </c>
      <c r="E275" s="881" t="s">
        <v>148</v>
      </c>
      <c r="F275" s="883">
        <v>560000</v>
      </c>
      <c r="G275" s="55">
        <v>719</v>
      </c>
      <c r="H275" s="78">
        <v>400000</v>
      </c>
      <c r="I275" s="873" t="s">
        <v>607</v>
      </c>
      <c r="J275" s="875">
        <v>44207</v>
      </c>
      <c r="K275" s="881" t="s">
        <v>894</v>
      </c>
      <c r="L275" s="881" t="s">
        <v>2024</v>
      </c>
      <c r="M275" s="881" t="s">
        <v>115</v>
      </c>
      <c r="N275" s="883">
        <v>6764500</v>
      </c>
      <c r="O275" s="55">
        <v>719</v>
      </c>
      <c r="P275" s="78"/>
    </row>
    <row r="276" spans="1:16" ht="13.5" customHeight="1" thickBot="1">
      <c r="A276" s="882"/>
      <c r="B276" s="934"/>
      <c r="C276" s="882"/>
      <c r="D276" s="882"/>
      <c r="E276" s="882"/>
      <c r="F276" s="884"/>
      <c r="G276" s="56">
        <v>721</v>
      </c>
      <c r="H276" s="79">
        <f>+F275-H275</f>
        <v>160000</v>
      </c>
      <c r="I276" s="882"/>
      <c r="J276" s="876"/>
      <c r="K276" s="882"/>
      <c r="L276" s="882"/>
      <c r="M276" s="882"/>
      <c r="N276" s="884"/>
      <c r="O276" s="56">
        <v>723</v>
      </c>
      <c r="P276" s="79">
        <f>+N275</f>
        <v>6764500</v>
      </c>
    </row>
    <row r="277" spans="1:16" ht="13.5" customHeight="1">
      <c r="A277" s="881" t="e">
        <f>+A275+1</f>
        <v>#REF!</v>
      </c>
      <c r="B277" s="875">
        <v>42254</v>
      </c>
      <c r="C277" s="877" t="s">
        <v>32</v>
      </c>
      <c r="D277" s="881" t="s">
        <v>265</v>
      </c>
      <c r="E277" s="881" t="s">
        <v>148</v>
      </c>
      <c r="F277" s="883">
        <v>154000</v>
      </c>
      <c r="G277" s="55">
        <v>719</v>
      </c>
      <c r="H277" s="78">
        <v>110000</v>
      </c>
      <c r="I277" s="873" t="s">
        <v>608</v>
      </c>
      <c r="J277" s="875">
        <v>44207</v>
      </c>
      <c r="K277" s="910" t="s">
        <v>1899</v>
      </c>
      <c r="L277" s="881" t="s">
        <v>2024</v>
      </c>
      <c r="M277" s="881" t="s">
        <v>115</v>
      </c>
      <c r="N277" s="883">
        <v>4000000</v>
      </c>
      <c r="O277" s="55">
        <v>719</v>
      </c>
      <c r="P277" s="78"/>
    </row>
    <row r="278" spans="1:16" ht="15.75" customHeight="1" thickBot="1">
      <c r="A278" s="882"/>
      <c r="B278" s="934"/>
      <c r="C278" s="878"/>
      <c r="D278" s="882"/>
      <c r="E278" s="882"/>
      <c r="F278" s="884"/>
      <c r="G278" s="56">
        <v>721</v>
      </c>
      <c r="H278" s="79">
        <f>+F277-H277</f>
        <v>44000</v>
      </c>
      <c r="I278" s="882"/>
      <c r="J278" s="876"/>
      <c r="K278" s="911"/>
      <c r="L278" s="882"/>
      <c r="M278" s="882"/>
      <c r="N278" s="884"/>
      <c r="O278" s="56">
        <v>723</v>
      </c>
      <c r="P278" s="79">
        <f>+N277</f>
        <v>4000000</v>
      </c>
    </row>
    <row r="279" spans="1:16" ht="12" customHeight="1">
      <c r="A279" s="881" t="e">
        <f>+A277+1</f>
        <v>#REF!</v>
      </c>
      <c r="B279" s="875">
        <v>42254</v>
      </c>
      <c r="C279" s="877" t="s">
        <v>31</v>
      </c>
      <c r="D279" s="881" t="s">
        <v>265</v>
      </c>
      <c r="E279" s="881" t="s">
        <v>148</v>
      </c>
      <c r="F279" s="883">
        <v>1078000</v>
      </c>
      <c r="G279" s="55">
        <v>719</v>
      </c>
      <c r="H279" s="78">
        <v>770000</v>
      </c>
      <c r="I279" s="873" t="s">
        <v>609</v>
      </c>
      <c r="J279" s="875">
        <v>44207</v>
      </c>
      <c r="K279" s="910" t="s">
        <v>1900</v>
      </c>
      <c r="L279" s="881" t="s">
        <v>2024</v>
      </c>
      <c r="M279" s="881" t="s">
        <v>115</v>
      </c>
      <c r="N279" s="883">
        <v>1221875</v>
      </c>
      <c r="O279" s="55">
        <v>719</v>
      </c>
      <c r="P279" s="78"/>
    </row>
    <row r="280" spans="1:16" ht="14.25" customHeight="1" thickBot="1">
      <c r="A280" s="882"/>
      <c r="B280" s="934"/>
      <c r="C280" s="878"/>
      <c r="D280" s="882"/>
      <c r="E280" s="882"/>
      <c r="F280" s="884"/>
      <c r="G280" s="56">
        <v>721</v>
      </c>
      <c r="H280" s="79">
        <f>+F279-H279</f>
        <v>308000</v>
      </c>
      <c r="I280" s="882"/>
      <c r="J280" s="876"/>
      <c r="K280" s="911"/>
      <c r="L280" s="882"/>
      <c r="M280" s="882"/>
      <c r="N280" s="884"/>
      <c r="O280" s="56">
        <v>723</v>
      </c>
      <c r="P280" s="79">
        <f>+N279</f>
        <v>1221875</v>
      </c>
    </row>
    <row r="281" spans="1:16" ht="11.25" customHeight="1">
      <c r="A281" s="881" t="e">
        <f>+A279+1</f>
        <v>#REF!</v>
      </c>
      <c r="B281" s="875">
        <v>42254</v>
      </c>
      <c r="C281" s="877" t="s">
        <v>111</v>
      </c>
      <c r="D281" s="881" t="s">
        <v>268</v>
      </c>
      <c r="E281" s="881" t="s">
        <v>148</v>
      </c>
      <c r="F281" s="883">
        <v>112000</v>
      </c>
      <c r="G281" s="55">
        <v>719</v>
      </c>
      <c r="H281" s="78">
        <v>80000</v>
      </c>
      <c r="I281" s="873" t="s">
        <v>610</v>
      </c>
      <c r="J281" s="875">
        <v>44207</v>
      </c>
      <c r="K281" s="877" t="s">
        <v>1901</v>
      </c>
      <c r="L281" s="881" t="s">
        <v>2024</v>
      </c>
      <c r="M281" s="881" t="s">
        <v>115</v>
      </c>
      <c r="N281" s="883">
        <v>1008000</v>
      </c>
      <c r="O281" s="55">
        <v>719</v>
      </c>
      <c r="P281" s="78"/>
    </row>
    <row r="282" spans="1:16" ht="14.25" customHeight="1" thickBot="1">
      <c r="A282" s="882"/>
      <c r="B282" s="934"/>
      <c r="C282" s="878"/>
      <c r="D282" s="882"/>
      <c r="E282" s="882"/>
      <c r="F282" s="884"/>
      <c r="G282" s="56">
        <v>721</v>
      </c>
      <c r="H282" s="79">
        <f>+F281-H281</f>
        <v>32000</v>
      </c>
      <c r="I282" s="882"/>
      <c r="J282" s="876"/>
      <c r="K282" s="878"/>
      <c r="L282" s="882"/>
      <c r="M282" s="882"/>
      <c r="N282" s="884"/>
      <c r="O282" s="56">
        <v>723</v>
      </c>
      <c r="P282" s="79">
        <f>+N281-P281</f>
        <v>1008000</v>
      </c>
    </row>
    <row r="283" spans="1:16" ht="13.5" customHeight="1" thickBot="1">
      <c r="A283" s="901" t="s">
        <v>102</v>
      </c>
      <c r="B283" s="902"/>
      <c r="C283" s="902"/>
      <c r="D283" s="902"/>
      <c r="E283" s="903"/>
      <c r="F283" s="81">
        <f>SUM(F273:F282)</f>
        <v>2156000</v>
      </c>
      <c r="I283" s="901" t="s">
        <v>102</v>
      </c>
      <c r="J283" s="902"/>
      <c r="K283" s="902"/>
      <c r="L283" s="902"/>
      <c r="M283" s="903"/>
      <c r="N283" s="81">
        <f>SUM(N273:N282)</f>
        <v>20514175</v>
      </c>
    </row>
    <row r="284" spans="1:16" ht="14.25" customHeight="1" thickBot="1">
      <c r="A284" s="885" t="s">
        <v>103</v>
      </c>
      <c r="B284" s="886"/>
      <c r="C284" s="886"/>
      <c r="D284" s="886"/>
      <c r="E284" s="887"/>
      <c r="F284" s="69">
        <f>+F248</f>
        <v>620596225</v>
      </c>
      <c r="I284" s="885" t="s">
        <v>103</v>
      </c>
      <c r="J284" s="886"/>
      <c r="K284" s="886"/>
      <c r="L284" s="886"/>
      <c r="M284" s="887"/>
      <c r="N284" s="239">
        <f>+N248</f>
        <v>278464078</v>
      </c>
      <c r="O284" s="241" t="s">
        <v>561</v>
      </c>
      <c r="P284" s="242"/>
    </row>
    <row r="285" spans="1:16" ht="15.75" customHeight="1" thickBot="1">
      <c r="A285" s="888" t="s">
        <v>104</v>
      </c>
      <c r="B285" s="889"/>
      <c r="C285" s="889"/>
      <c r="D285" s="889"/>
      <c r="E285" s="890"/>
      <c r="F285" s="183">
        <f>SUM(F283:F284)</f>
        <v>622752225</v>
      </c>
      <c r="I285" s="888" t="s">
        <v>104</v>
      </c>
      <c r="J285" s="889"/>
      <c r="K285" s="889"/>
      <c r="L285" s="889"/>
      <c r="M285" s="890"/>
      <c r="N285" s="183">
        <f>SUM(N283:N284)</f>
        <v>298978253</v>
      </c>
    </row>
    <row r="286" spans="1:16" ht="9" customHeight="1">
      <c r="A286" s="61"/>
      <c r="B286" s="61"/>
      <c r="C286" s="61"/>
      <c r="D286" s="61"/>
      <c r="E286" s="61"/>
      <c r="I286" s="61"/>
      <c r="J286" s="61"/>
      <c r="K286" s="61"/>
      <c r="L286" s="61"/>
      <c r="M286" s="61"/>
    </row>
    <row r="287" spans="1:16">
      <c r="A287" s="51" t="s">
        <v>269</v>
      </c>
      <c r="I287" s="51" t="s">
        <v>2054</v>
      </c>
    </row>
    <row r="288" spans="1:16" ht="4.5" customHeight="1">
      <c r="F288" s="139"/>
      <c r="N288" s="139"/>
    </row>
    <row r="289" spans="1:16" ht="12.75" customHeight="1">
      <c r="A289" s="50" t="s">
        <v>105</v>
      </c>
      <c r="D289" s="146"/>
      <c r="F289" s="139"/>
      <c r="I289" s="50" t="s">
        <v>105</v>
      </c>
      <c r="L289" s="146"/>
      <c r="N289" s="139"/>
    </row>
    <row r="290" spans="1:16" ht="6" customHeight="1" thickBot="1"/>
    <row r="291" spans="1:16" ht="17.25" thickBot="1">
      <c r="A291" s="891" t="s">
        <v>106</v>
      </c>
      <c r="B291" s="892"/>
      <c r="C291" s="892"/>
      <c r="D291" s="893"/>
      <c r="F291" s="50" t="s">
        <v>270</v>
      </c>
      <c r="I291" s="891" t="s">
        <v>106</v>
      </c>
      <c r="J291" s="892"/>
      <c r="K291" s="892"/>
      <c r="L291" s="893"/>
      <c r="N291" s="604" t="s">
        <v>288</v>
      </c>
      <c r="O291" s="604"/>
      <c r="P291" s="604"/>
    </row>
    <row r="292" spans="1:16" ht="31.5" thickBot="1">
      <c r="A292" s="57" t="s">
        <v>100</v>
      </c>
      <c r="B292" s="58" t="s">
        <v>108</v>
      </c>
      <c r="C292" s="59" t="s">
        <v>109</v>
      </c>
      <c r="D292" s="60" t="s">
        <v>110</v>
      </c>
      <c r="I292" s="57" t="s">
        <v>100</v>
      </c>
      <c r="J292" s="58" t="s">
        <v>108</v>
      </c>
      <c r="K292" s="59" t="s">
        <v>109</v>
      </c>
      <c r="L292" s="60" t="s">
        <v>110</v>
      </c>
      <c r="N292" s="12"/>
    </row>
    <row r="293" spans="1:16" ht="12.75" customHeight="1">
      <c r="A293" s="71">
        <v>719</v>
      </c>
      <c r="B293" s="73">
        <f>+H273+H275+H277+H279+H281</f>
        <v>1540000</v>
      </c>
      <c r="C293" s="74" t="e">
        <f>+D256</f>
        <v>#REF!</v>
      </c>
      <c r="D293" s="76" t="e">
        <f>+B293+C293</f>
        <v>#REF!</v>
      </c>
      <c r="I293" s="71">
        <v>719</v>
      </c>
      <c r="J293" s="73">
        <f>+P273+P275+P277+P279+P281</f>
        <v>0</v>
      </c>
      <c r="K293" s="74">
        <f>+L256</f>
        <v>0</v>
      </c>
      <c r="L293" s="195">
        <f>+J293+K293</f>
        <v>0</v>
      </c>
      <c r="N293" s="12"/>
    </row>
    <row r="294" spans="1:16" ht="13.5" customHeight="1">
      <c r="A294" s="72">
        <v>721</v>
      </c>
      <c r="B294" s="80">
        <f>+H280+H278+H276+H274+H282</f>
        <v>616000</v>
      </c>
      <c r="C294" s="74" t="e">
        <f>+D257</f>
        <v>#REF!</v>
      </c>
      <c r="D294" s="76" t="e">
        <f>+B294+C294</f>
        <v>#REF!</v>
      </c>
      <c r="I294" s="72">
        <v>721</v>
      </c>
      <c r="J294" s="80"/>
      <c r="K294" s="74">
        <f>+L257</f>
        <v>0</v>
      </c>
      <c r="L294" s="195">
        <f>+J294+K294</f>
        <v>0</v>
      </c>
      <c r="N294" s="12"/>
    </row>
    <row r="295" spans="1:16" ht="14.25" customHeight="1">
      <c r="A295" s="72">
        <v>722</v>
      </c>
      <c r="B295" s="80"/>
      <c r="C295" s="74">
        <f>+D258</f>
        <v>231207671</v>
      </c>
      <c r="D295" s="76">
        <f>+B295+C295</f>
        <v>231207671</v>
      </c>
      <c r="I295" s="72">
        <v>722</v>
      </c>
      <c r="J295" s="80"/>
      <c r="K295" s="74">
        <f>+L258</f>
        <v>0</v>
      </c>
      <c r="L295" s="195">
        <f>+J295+K295</f>
        <v>0</v>
      </c>
      <c r="N295" s="12"/>
    </row>
    <row r="296" spans="1:16" ht="12" customHeight="1">
      <c r="A296" s="72">
        <v>723</v>
      </c>
      <c r="B296" s="80"/>
      <c r="C296" s="74">
        <f>+D259</f>
        <v>319828837</v>
      </c>
      <c r="D296" s="76">
        <f>+B296+C296</f>
        <v>319828837</v>
      </c>
      <c r="F296" s="174" t="s">
        <v>262</v>
      </c>
      <c r="G296" s="175"/>
      <c r="I296" s="72">
        <v>723</v>
      </c>
      <c r="J296" s="80">
        <f>+P282+P280+P278+P276+P274</f>
        <v>20514175</v>
      </c>
      <c r="K296" s="74">
        <f>+L259</f>
        <v>278464078</v>
      </c>
      <c r="L296" s="195">
        <f>+J296+K296</f>
        <v>298978253</v>
      </c>
      <c r="N296" s="609" t="s">
        <v>1696</v>
      </c>
      <c r="O296" s="609"/>
      <c r="P296" s="609"/>
    </row>
    <row r="297" spans="1:16" ht="14.25" customHeight="1" thickBot="1">
      <c r="A297" s="164" t="s">
        <v>181</v>
      </c>
      <c r="B297" s="165"/>
      <c r="C297" s="74">
        <f>+D260</f>
        <v>1965625</v>
      </c>
      <c r="D297" s="168">
        <f>+B297+C297</f>
        <v>1965625</v>
      </c>
      <c r="F297" s="52"/>
      <c r="I297" s="164" t="s">
        <v>181</v>
      </c>
      <c r="J297" s="165"/>
      <c r="K297" s="74">
        <f>+L260</f>
        <v>0</v>
      </c>
      <c r="L297" s="196">
        <f>+J297+K297</f>
        <v>0</v>
      </c>
      <c r="N297" s="52"/>
    </row>
    <row r="298" spans="1:16" ht="16.5" thickBot="1">
      <c r="A298" s="169"/>
      <c r="B298" s="170">
        <f>SUM(B293:B297)</f>
        <v>2156000</v>
      </c>
      <c r="C298" s="171" t="e">
        <f>SUM(C293:C297)</f>
        <v>#REF!</v>
      </c>
      <c r="D298" s="172" t="e">
        <f>SUM(D293:D297)</f>
        <v>#REF!</v>
      </c>
      <c r="I298" s="169"/>
      <c r="J298" s="197">
        <f>SUM(J293:J297)</f>
        <v>20514175</v>
      </c>
      <c r="K298" s="197">
        <f>SUM(K293:K297)</f>
        <v>278464078</v>
      </c>
      <c r="L298" s="198">
        <f>SUM(L293:L297)</f>
        <v>298978253</v>
      </c>
    </row>
    <row r="299" spans="1:16" ht="14.25" customHeight="1">
      <c r="A299" s="49" t="s">
        <v>88</v>
      </c>
      <c r="B299" s="50"/>
      <c r="I299" s="49" t="s">
        <v>88</v>
      </c>
      <c r="J299" s="50"/>
    </row>
    <row r="300" spans="1:16" ht="12.75" customHeight="1">
      <c r="A300" s="51" t="s">
        <v>89</v>
      </c>
      <c r="I300" s="51" t="s">
        <v>89</v>
      </c>
    </row>
    <row r="301" spans="1:16" ht="12.75" customHeight="1">
      <c r="A301" s="51" t="s">
        <v>90</v>
      </c>
      <c r="I301" s="51" t="s">
        <v>90</v>
      </c>
    </row>
    <row r="302" spans="1:16">
      <c r="A302" s="51" t="s">
        <v>91</v>
      </c>
      <c r="I302" s="51" t="s">
        <v>91</v>
      </c>
    </row>
    <row r="303" spans="1:16" ht="3.75" customHeight="1">
      <c r="A303" s="50"/>
      <c r="B303" s="50"/>
      <c r="I303" s="50"/>
      <c r="J303" s="50"/>
    </row>
    <row r="304" spans="1:16" ht="13.5" customHeight="1">
      <c r="A304" s="52" t="s">
        <v>271</v>
      </c>
      <c r="G304" s="52"/>
      <c r="I304" s="52" t="s">
        <v>573</v>
      </c>
      <c r="O304" s="52"/>
    </row>
    <row r="305" spans="1:16" ht="14.25" customHeight="1">
      <c r="A305" s="53" t="s">
        <v>92</v>
      </c>
      <c r="G305" s="53"/>
      <c r="I305" s="53" t="s">
        <v>2012</v>
      </c>
      <c r="O305" s="53"/>
    </row>
    <row r="306" spans="1:16" ht="15" customHeight="1">
      <c r="A306" s="894" t="s">
        <v>261</v>
      </c>
      <c r="B306" s="894"/>
      <c r="C306" s="894"/>
      <c r="D306" s="894"/>
      <c r="E306" s="894"/>
      <c r="F306" s="894"/>
      <c r="G306" s="894"/>
      <c r="H306" s="894"/>
      <c r="I306" s="894" t="s">
        <v>2065</v>
      </c>
      <c r="J306" s="894"/>
      <c r="K306" s="894"/>
      <c r="L306" s="894"/>
      <c r="M306" s="894"/>
      <c r="N306" s="894"/>
      <c r="O306" s="894"/>
      <c r="P306" s="894"/>
    </row>
    <row r="307" spans="1:16" ht="7.5" customHeight="1" thickBot="1"/>
    <row r="308" spans="1:16">
      <c r="A308" s="895" t="s">
        <v>94</v>
      </c>
      <c r="B308" s="897" t="s">
        <v>95</v>
      </c>
      <c r="C308" s="897" t="s">
        <v>96</v>
      </c>
      <c r="D308" s="897" t="s">
        <v>3</v>
      </c>
      <c r="E308" s="897" t="s">
        <v>97</v>
      </c>
      <c r="F308" s="897" t="s">
        <v>98</v>
      </c>
      <c r="G308" s="897" t="s">
        <v>99</v>
      </c>
      <c r="H308" s="899"/>
      <c r="I308" s="895" t="s">
        <v>94</v>
      </c>
      <c r="J308" s="897" t="s">
        <v>95</v>
      </c>
      <c r="K308" s="897" t="s">
        <v>96</v>
      </c>
      <c r="L308" s="897" t="s">
        <v>3</v>
      </c>
      <c r="M308" s="897" t="s">
        <v>97</v>
      </c>
      <c r="N308" s="897" t="s">
        <v>98</v>
      </c>
      <c r="O308" s="897" t="s">
        <v>99</v>
      </c>
      <c r="P308" s="899"/>
    </row>
    <row r="309" spans="1:16" ht="15.75" thickBot="1">
      <c r="A309" s="896"/>
      <c r="B309" s="898"/>
      <c r="C309" s="898"/>
      <c r="D309" s="898"/>
      <c r="E309" s="898"/>
      <c r="F309" s="898"/>
      <c r="G309" s="240" t="s">
        <v>100</v>
      </c>
      <c r="H309" s="182" t="s">
        <v>101</v>
      </c>
      <c r="I309" s="896"/>
      <c r="J309" s="898"/>
      <c r="K309" s="898"/>
      <c r="L309" s="898"/>
      <c r="M309" s="898"/>
      <c r="N309" s="898"/>
      <c r="O309" s="240" t="s">
        <v>100</v>
      </c>
      <c r="P309" s="182" t="s">
        <v>101</v>
      </c>
    </row>
    <row r="310" spans="1:16" ht="12.75" customHeight="1">
      <c r="A310" s="881" t="e">
        <f>+A281+1</f>
        <v>#REF!</v>
      </c>
      <c r="B310" s="875">
        <v>42261</v>
      </c>
      <c r="C310" s="877" t="s">
        <v>267</v>
      </c>
      <c r="D310" s="881" t="s">
        <v>273</v>
      </c>
      <c r="E310" s="881" t="s">
        <v>148</v>
      </c>
      <c r="F310" s="883">
        <v>154000</v>
      </c>
      <c r="G310" s="55">
        <v>719</v>
      </c>
      <c r="H310" s="78">
        <v>110000</v>
      </c>
      <c r="I310" s="873" t="s">
        <v>611</v>
      </c>
      <c r="J310" s="875">
        <v>44207</v>
      </c>
      <c r="K310" s="877" t="s">
        <v>1958</v>
      </c>
      <c r="L310" s="881" t="s">
        <v>2014</v>
      </c>
      <c r="M310" s="881" t="s">
        <v>148</v>
      </c>
      <c r="N310" s="883">
        <v>2520000</v>
      </c>
      <c r="O310" s="55">
        <v>719</v>
      </c>
      <c r="P310" s="78">
        <v>0</v>
      </c>
    </row>
    <row r="311" spans="1:16" ht="13.5" customHeight="1" thickBot="1">
      <c r="A311" s="882"/>
      <c r="B311" s="934"/>
      <c r="C311" s="878"/>
      <c r="D311" s="882"/>
      <c r="E311" s="882"/>
      <c r="F311" s="884"/>
      <c r="G311" s="56">
        <v>721</v>
      </c>
      <c r="H311" s="79">
        <f>+F310-H310</f>
        <v>44000</v>
      </c>
      <c r="I311" s="882"/>
      <c r="J311" s="876"/>
      <c r="K311" s="878"/>
      <c r="L311" s="882"/>
      <c r="M311" s="882"/>
      <c r="N311" s="884"/>
      <c r="O311" s="56">
        <v>723</v>
      </c>
      <c r="P311" s="79">
        <f>+N310-P310</f>
        <v>2520000</v>
      </c>
    </row>
    <row r="312" spans="1:16" ht="12.75" customHeight="1">
      <c r="A312" s="881" t="e">
        <f>+A310+1</f>
        <v>#REF!</v>
      </c>
      <c r="B312" s="875">
        <v>42261</v>
      </c>
      <c r="C312" s="881" t="s">
        <v>28</v>
      </c>
      <c r="D312" s="881" t="s">
        <v>274</v>
      </c>
      <c r="E312" s="881" t="s">
        <v>148</v>
      </c>
      <c r="F312" s="883">
        <v>238000</v>
      </c>
      <c r="G312" s="55">
        <v>719</v>
      </c>
      <c r="H312" s="78">
        <v>170000</v>
      </c>
      <c r="I312" s="873" t="s">
        <v>617</v>
      </c>
      <c r="J312" s="875">
        <v>44207</v>
      </c>
      <c r="K312" s="877" t="s">
        <v>779</v>
      </c>
      <c r="L312" s="881" t="s">
        <v>2014</v>
      </c>
      <c r="M312" s="881" t="s">
        <v>115</v>
      </c>
      <c r="N312" s="883">
        <v>702500</v>
      </c>
      <c r="O312" s="55">
        <v>719</v>
      </c>
      <c r="P312" s="78"/>
    </row>
    <row r="313" spans="1:16" ht="14.25" customHeight="1" thickBot="1">
      <c r="A313" s="882"/>
      <c r="B313" s="934"/>
      <c r="C313" s="882"/>
      <c r="D313" s="882"/>
      <c r="E313" s="882"/>
      <c r="F313" s="884"/>
      <c r="G313" s="56">
        <v>721</v>
      </c>
      <c r="H313" s="79">
        <f>+F312-H312</f>
        <v>68000</v>
      </c>
      <c r="I313" s="882"/>
      <c r="J313" s="876"/>
      <c r="K313" s="878"/>
      <c r="L313" s="882"/>
      <c r="M313" s="882"/>
      <c r="N313" s="884"/>
      <c r="O313" s="56">
        <v>723</v>
      </c>
      <c r="P313" s="79">
        <f>+N312-P312</f>
        <v>702500</v>
      </c>
    </row>
    <row r="314" spans="1:16" ht="12" customHeight="1">
      <c r="A314" s="881" t="e">
        <f>+A312+1</f>
        <v>#REF!</v>
      </c>
      <c r="B314" s="875">
        <v>42261</v>
      </c>
      <c r="C314" s="877" t="s">
        <v>32</v>
      </c>
      <c r="D314" s="881" t="s">
        <v>275</v>
      </c>
      <c r="E314" s="881" t="s">
        <v>148</v>
      </c>
      <c r="F314" s="883">
        <v>98000</v>
      </c>
      <c r="G314" s="55">
        <v>719</v>
      </c>
      <c r="H314" s="78">
        <v>70000</v>
      </c>
      <c r="I314" s="873" t="s">
        <v>618</v>
      </c>
      <c r="J314" s="875">
        <v>44207</v>
      </c>
      <c r="K314" s="877" t="s">
        <v>1907</v>
      </c>
      <c r="L314" s="881" t="s">
        <v>2014</v>
      </c>
      <c r="M314" s="881" t="s">
        <v>115</v>
      </c>
      <c r="N314" s="883">
        <v>441000</v>
      </c>
      <c r="O314" s="55">
        <v>719</v>
      </c>
      <c r="P314" s="78"/>
    </row>
    <row r="315" spans="1:16" ht="15.75" customHeight="1" thickBot="1">
      <c r="A315" s="882"/>
      <c r="B315" s="934"/>
      <c r="C315" s="878"/>
      <c r="D315" s="882"/>
      <c r="E315" s="882"/>
      <c r="F315" s="884"/>
      <c r="G315" s="56">
        <v>721</v>
      </c>
      <c r="H315" s="79">
        <f>+F314-H314</f>
        <v>28000</v>
      </c>
      <c r="I315" s="882"/>
      <c r="J315" s="876"/>
      <c r="K315" s="878"/>
      <c r="L315" s="882"/>
      <c r="M315" s="882"/>
      <c r="N315" s="884"/>
      <c r="O315" s="56">
        <v>723</v>
      </c>
      <c r="P315" s="79">
        <f>+N314-P314</f>
        <v>441000</v>
      </c>
    </row>
    <row r="316" spans="1:16" ht="12.75" customHeight="1">
      <c r="A316" s="881" t="e">
        <f>+A314+1</f>
        <v>#REF!</v>
      </c>
      <c r="B316" s="875">
        <v>42261</v>
      </c>
      <c r="C316" s="877" t="s">
        <v>111</v>
      </c>
      <c r="D316" s="881" t="s">
        <v>273</v>
      </c>
      <c r="E316" s="881" t="s">
        <v>148</v>
      </c>
      <c r="F316" s="883">
        <v>42000</v>
      </c>
      <c r="G316" s="55">
        <v>719</v>
      </c>
      <c r="H316" s="78">
        <v>30000</v>
      </c>
      <c r="I316" s="873" t="s">
        <v>619</v>
      </c>
      <c r="J316" s="875">
        <v>44207</v>
      </c>
      <c r="K316" s="877" t="s">
        <v>1404</v>
      </c>
      <c r="L316" s="881" t="s">
        <v>2014</v>
      </c>
      <c r="M316" s="881" t="s">
        <v>148</v>
      </c>
      <c r="N316" s="883">
        <v>2500000</v>
      </c>
      <c r="O316" s="55">
        <v>719</v>
      </c>
      <c r="P316" s="78"/>
    </row>
    <row r="317" spans="1:16" ht="13.5" customHeight="1" thickBot="1">
      <c r="A317" s="882"/>
      <c r="B317" s="934"/>
      <c r="C317" s="878"/>
      <c r="D317" s="882"/>
      <c r="E317" s="882"/>
      <c r="F317" s="884"/>
      <c r="G317" s="56">
        <v>721</v>
      </c>
      <c r="H317" s="79">
        <f>+F316-H316</f>
        <v>12000</v>
      </c>
      <c r="I317" s="882"/>
      <c r="J317" s="876"/>
      <c r="K317" s="878"/>
      <c r="L317" s="882"/>
      <c r="M317" s="882"/>
      <c r="N317" s="884"/>
      <c r="O317" s="56">
        <v>723</v>
      </c>
      <c r="P317" s="79">
        <f>+N316-P316</f>
        <v>2500000</v>
      </c>
    </row>
    <row r="318" spans="1:16" ht="13.5" customHeight="1">
      <c r="A318" s="251"/>
      <c r="B318" s="452"/>
      <c r="C318" s="253"/>
      <c r="D318" s="251"/>
      <c r="E318" s="251"/>
      <c r="F318" s="254"/>
      <c r="G318" s="255"/>
      <c r="H318" s="256"/>
      <c r="I318" s="873" t="s">
        <v>620</v>
      </c>
      <c r="J318" s="875">
        <v>44207</v>
      </c>
      <c r="K318" s="877" t="s">
        <v>2058</v>
      </c>
      <c r="L318" s="881" t="s">
        <v>2014</v>
      </c>
      <c r="M318" s="881" t="s">
        <v>148</v>
      </c>
      <c r="N318" s="883">
        <v>1800000</v>
      </c>
      <c r="O318" s="55">
        <v>719</v>
      </c>
      <c r="P318" s="78"/>
    </row>
    <row r="319" spans="1:16" ht="13.5" customHeight="1" thickBot="1">
      <c r="A319" s="251"/>
      <c r="B319" s="452"/>
      <c r="C319" s="253"/>
      <c r="D319" s="251"/>
      <c r="E319" s="251"/>
      <c r="F319" s="254"/>
      <c r="G319" s="255"/>
      <c r="H319" s="256"/>
      <c r="I319" s="882"/>
      <c r="J319" s="876"/>
      <c r="K319" s="878"/>
      <c r="L319" s="882"/>
      <c r="M319" s="882"/>
      <c r="N319" s="884"/>
      <c r="O319" s="56">
        <v>723</v>
      </c>
      <c r="P319" s="79">
        <f>+N318-P318</f>
        <v>1800000</v>
      </c>
    </row>
    <row r="320" spans="1:16" ht="13.5" customHeight="1">
      <c r="A320" s="881" t="e">
        <f>+A316+1</f>
        <v>#REF!</v>
      </c>
      <c r="B320" s="875">
        <v>42261</v>
      </c>
      <c r="C320" s="877" t="s">
        <v>272</v>
      </c>
      <c r="D320" s="881" t="s">
        <v>274</v>
      </c>
      <c r="E320" s="881" t="s">
        <v>148</v>
      </c>
      <c r="F320" s="883">
        <v>378000</v>
      </c>
      <c r="G320" s="55">
        <v>719</v>
      </c>
      <c r="H320" s="78">
        <v>270000</v>
      </c>
      <c r="I320" s="873" t="s">
        <v>545</v>
      </c>
      <c r="J320" s="875">
        <v>44207</v>
      </c>
      <c r="K320" s="877" t="s">
        <v>674</v>
      </c>
      <c r="L320" s="881" t="s">
        <v>2014</v>
      </c>
      <c r="M320" s="881" t="s">
        <v>148</v>
      </c>
      <c r="N320" s="883">
        <v>-6000000</v>
      </c>
      <c r="O320" s="55">
        <v>719</v>
      </c>
      <c r="P320" s="78"/>
    </row>
    <row r="321" spans="1:17" ht="13.5" customHeight="1" thickBot="1">
      <c r="A321" s="882"/>
      <c r="B321" s="934"/>
      <c r="C321" s="878"/>
      <c r="D321" s="882"/>
      <c r="E321" s="882"/>
      <c r="F321" s="884"/>
      <c r="G321" s="56">
        <v>721</v>
      </c>
      <c r="H321" s="79">
        <f>+F320-H320</f>
        <v>108000</v>
      </c>
      <c r="I321" s="882"/>
      <c r="J321" s="876"/>
      <c r="K321" s="878"/>
      <c r="L321" s="882"/>
      <c r="M321" s="882"/>
      <c r="N321" s="884"/>
      <c r="O321" s="56">
        <v>723</v>
      </c>
      <c r="P321" s="79">
        <f>+N320-P320</f>
        <v>-6000000</v>
      </c>
    </row>
    <row r="322" spans="1:17" ht="14.25" customHeight="1" thickBot="1">
      <c r="A322" s="901" t="s">
        <v>102</v>
      </c>
      <c r="B322" s="902"/>
      <c r="C322" s="902"/>
      <c r="D322" s="902"/>
      <c r="E322" s="903"/>
      <c r="F322" s="81">
        <f>SUM(F310:F321)</f>
        <v>910000</v>
      </c>
      <c r="I322" s="901" t="s">
        <v>102</v>
      </c>
      <c r="J322" s="902"/>
      <c r="K322" s="902"/>
      <c r="L322" s="902"/>
      <c r="M322" s="903"/>
      <c r="N322" s="81">
        <f>SUM(N310:N321)</f>
        <v>1963500</v>
      </c>
    </row>
    <row r="323" spans="1:17" ht="14.25" customHeight="1" thickBot="1">
      <c r="A323" s="885" t="s">
        <v>103</v>
      </c>
      <c r="B323" s="886"/>
      <c r="C323" s="886"/>
      <c r="D323" s="886"/>
      <c r="E323" s="887"/>
      <c r="F323" s="69">
        <f>+F285</f>
        <v>622752225</v>
      </c>
      <c r="I323" s="885" t="s">
        <v>103</v>
      </c>
      <c r="J323" s="886"/>
      <c r="K323" s="886"/>
      <c r="L323" s="886"/>
      <c r="M323" s="887"/>
      <c r="N323" s="239">
        <f>+N285</f>
        <v>298978253</v>
      </c>
      <c r="O323" s="241" t="s">
        <v>561</v>
      </c>
      <c r="P323" s="242"/>
    </row>
    <row r="324" spans="1:17" ht="13.5" customHeight="1" thickBot="1">
      <c r="A324" s="888" t="s">
        <v>104</v>
      </c>
      <c r="B324" s="889"/>
      <c r="C324" s="889"/>
      <c r="D324" s="889"/>
      <c r="E324" s="890"/>
      <c r="F324" s="183">
        <f>SUM(F322:F323)</f>
        <v>623662225</v>
      </c>
      <c r="I324" s="888" t="s">
        <v>104</v>
      </c>
      <c r="J324" s="889"/>
      <c r="K324" s="889"/>
      <c r="L324" s="889"/>
      <c r="M324" s="890"/>
      <c r="N324" s="183">
        <f>SUM(N322:N323)</f>
        <v>300941753</v>
      </c>
    </row>
    <row r="325" spans="1:17" ht="6" customHeight="1">
      <c r="A325" s="61"/>
      <c r="B325" s="61"/>
      <c r="C325" s="61"/>
      <c r="D325" s="61"/>
      <c r="E325" s="61"/>
      <c r="I325" s="61"/>
      <c r="J325" s="61"/>
      <c r="K325" s="61"/>
      <c r="L325" s="61"/>
      <c r="M325" s="61"/>
    </row>
    <row r="326" spans="1:17">
      <c r="A326" s="51" t="s">
        <v>276</v>
      </c>
      <c r="I326" s="51" t="s">
        <v>2059</v>
      </c>
    </row>
    <row r="327" spans="1:17" ht="4.5" customHeight="1">
      <c r="F327" s="139"/>
      <c r="N327" s="139"/>
    </row>
    <row r="328" spans="1:17" ht="12.75" customHeight="1">
      <c r="A328" s="50" t="s">
        <v>105</v>
      </c>
      <c r="D328" s="146"/>
      <c r="F328" s="139"/>
      <c r="I328" s="50" t="s">
        <v>105</v>
      </c>
      <c r="L328" s="146"/>
      <c r="N328" s="139"/>
    </row>
    <row r="329" spans="1:17" ht="5.25" customHeight="1" thickBot="1"/>
    <row r="330" spans="1:17" ht="17.25" thickBot="1">
      <c r="A330" s="891" t="s">
        <v>106</v>
      </c>
      <c r="B330" s="892"/>
      <c r="C330" s="892"/>
      <c r="D330" s="893"/>
      <c r="F330" s="50" t="s">
        <v>270</v>
      </c>
      <c r="I330" s="891" t="s">
        <v>106</v>
      </c>
      <c r="J330" s="892"/>
      <c r="K330" s="892"/>
      <c r="L330" s="893"/>
      <c r="N330" s="604" t="s">
        <v>288</v>
      </c>
      <c r="O330" s="604"/>
      <c r="P330" s="604"/>
    </row>
    <row r="331" spans="1:17" ht="30.75" thickBot="1">
      <c r="A331" s="57" t="s">
        <v>100</v>
      </c>
      <c r="B331" s="58" t="s">
        <v>108</v>
      </c>
      <c r="C331" s="59" t="s">
        <v>109</v>
      </c>
      <c r="D331" s="60" t="s">
        <v>110</v>
      </c>
      <c r="I331" s="57" t="s">
        <v>100</v>
      </c>
      <c r="J331" s="58" t="s">
        <v>108</v>
      </c>
      <c r="K331" s="59" t="s">
        <v>109</v>
      </c>
      <c r="L331" s="60" t="s">
        <v>110</v>
      </c>
    </row>
    <row r="332" spans="1:17" ht="12" customHeight="1">
      <c r="A332" s="71">
        <v>719</v>
      </c>
      <c r="B332" s="73">
        <f>+H310+H312+H314+H316+H320</f>
        <v>650000</v>
      </c>
      <c r="C332" s="74" t="e">
        <f>+D293</f>
        <v>#REF!</v>
      </c>
      <c r="D332" s="76" t="e">
        <f>+B332+C332</f>
        <v>#REF!</v>
      </c>
      <c r="I332" s="71">
        <v>719</v>
      </c>
      <c r="J332" s="73">
        <f>+P310+P312+P314+P316+P320</f>
        <v>0</v>
      </c>
      <c r="K332" s="74">
        <f>+L293</f>
        <v>0</v>
      </c>
      <c r="L332" s="195">
        <f>+J332+K332</f>
        <v>0</v>
      </c>
    </row>
    <row r="333" spans="1:17" ht="13.5" customHeight="1">
      <c r="A333" s="72">
        <v>721</v>
      </c>
      <c r="B333" s="80">
        <f>+H317+H315+H313+H311+H321</f>
        <v>260000</v>
      </c>
      <c r="C333" s="74" t="e">
        <f>+D294</f>
        <v>#REF!</v>
      </c>
      <c r="D333" s="76" t="e">
        <f>+B333+C333</f>
        <v>#REF!</v>
      </c>
      <c r="I333" s="72">
        <v>721</v>
      </c>
      <c r="J333" s="80"/>
      <c r="K333" s="74">
        <f>+L294</f>
        <v>0</v>
      </c>
      <c r="L333" s="195">
        <f>+J333+K333</f>
        <v>0</v>
      </c>
    </row>
    <row r="334" spans="1:17" ht="12.75" customHeight="1">
      <c r="A334" s="72">
        <v>722</v>
      </c>
      <c r="B334" s="80"/>
      <c r="C334" s="74">
        <f>+D295</f>
        <v>231207671</v>
      </c>
      <c r="D334" s="76">
        <f>+B334+C334</f>
        <v>231207671</v>
      </c>
      <c r="I334" s="72">
        <v>722</v>
      </c>
      <c r="J334" s="80"/>
      <c r="K334" s="74">
        <f>+L295</f>
        <v>0</v>
      </c>
      <c r="L334" s="195">
        <f>+J334+K334</f>
        <v>0</v>
      </c>
      <c r="N334" s="609" t="s">
        <v>1696</v>
      </c>
      <c r="O334" s="609"/>
      <c r="P334" s="609"/>
    </row>
    <row r="335" spans="1:17" ht="12" customHeight="1" thickBot="1">
      <c r="A335" s="72">
        <v>723</v>
      </c>
      <c r="B335" s="80"/>
      <c r="C335" s="74">
        <f>+D296</f>
        <v>319828837</v>
      </c>
      <c r="D335" s="76">
        <f>+B335+C335</f>
        <v>319828837</v>
      </c>
      <c r="F335" s="174" t="s">
        <v>262</v>
      </c>
      <c r="G335" s="175"/>
      <c r="I335" s="72">
        <v>723</v>
      </c>
      <c r="J335" s="80">
        <f>+P321+P317+P315+P313+P311+P319</f>
        <v>1963500</v>
      </c>
      <c r="K335" s="74">
        <f>+L296</f>
        <v>298978253</v>
      </c>
      <c r="L335" s="475">
        <f>+J335+K335</f>
        <v>300941753</v>
      </c>
      <c r="N335" s="609"/>
      <c r="O335" s="609"/>
      <c r="P335" s="609"/>
      <c r="Q335" s="259"/>
    </row>
    <row r="336" spans="1:17" ht="13.5" hidden="1" customHeight="1" thickBot="1">
      <c r="A336" s="164" t="s">
        <v>181</v>
      </c>
      <c r="B336" s="165"/>
      <c r="C336" s="74">
        <f>+D297</f>
        <v>1965625</v>
      </c>
      <c r="D336" s="168">
        <f>+B336+C336</f>
        <v>1965625</v>
      </c>
      <c r="F336" s="52"/>
      <c r="I336" s="164" t="s">
        <v>181</v>
      </c>
      <c r="J336" s="165"/>
      <c r="K336" s="74">
        <f>+L297</f>
        <v>0</v>
      </c>
      <c r="L336" s="196">
        <f>+J336+K336</f>
        <v>0</v>
      </c>
      <c r="N336" s="52"/>
    </row>
    <row r="337" spans="1:16" ht="16.5" thickBot="1">
      <c r="A337" s="169"/>
      <c r="B337" s="170">
        <f>SUM(B332:B336)</f>
        <v>910000</v>
      </c>
      <c r="C337" s="171" t="e">
        <f>SUM(C332:C336)</f>
        <v>#REF!</v>
      </c>
      <c r="D337" s="172" t="e">
        <f>SUM(D332:D336)</f>
        <v>#REF!</v>
      </c>
      <c r="I337" s="169"/>
      <c r="J337" s="197">
        <f>SUM(J332:J336)</f>
        <v>1963500</v>
      </c>
      <c r="K337" s="197">
        <f>SUM(K332:K336)</f>
        <v>298978253</v>
      </c>
      <c r="L337" s="198">
        <f>SUM(L332:L336)</f>
        <v>300941753</v>
      </c>
    </row>
    <row r="338" spans="1:16" ht="15.75" customHeight="1">
      <c r="A338" s="49" t="s">
        <v>88</v>
      </c>
      <c r="B338" s="50"/>
      <c r="I338" s="49" t="s">
        <v>88</v>
      </c>
      <c r="J338" s="50"/>
    </row>
    <row r="339" spans="1:16" ht="13.5" customHeight="1">
      <c r="A339" s="51" t="s">
        <v>89</v>
      </c>
      <c r="I339" s="51" t="s">
        <v>89</v>
      </c>
    </row>
    <row r="340" spans="1:16" ht="13.5" customHeight="1">
      <c r="A340" s="51" t="s">
        <v>90</v>
      </c>
      <c r="I340" s="51" t="s">
        <v>90</v>
      </c>
    </row>
    <row r="341" spans="1:16">
      <c r="A341" s="51" t="s">
        <v>91</v>
      </c>
      <c r="I341" s="51" t="s">
        <v>91</v>
      </c>
    </row>
    <row r="342" spans="1:16" ht="2.25" customHeight="1">
      <c r="A342" s="50"/>
      <c r="B342" s="50"/>
      <c r="I342" s="50"/>
      <c r="J342" s="50"/>
    </row>
    <row r="343" spans="1:16" ht="14.25" customHeight="1">
      <c r="A343" s="52" t="s">
        <v>277</v>
      </c>
      <c r="G343" s="52"/>
      <c r="I343" s="52" t="s">
        <v>590</v>
      </c>
      <c r="O343" s="52"/>
    </row>
    <row r="344" spans="1:16" ht="14.25" customHeight="1">
      <c r="A344" s="53" t="s">
        <v>92</v>
      </c>
      <c r="G344" s="53"/>
      <c r="I344" s="53" t="s">
        <v>2012</v>
      </c>
      <c r="O344" s="53"/>
    </row>
    <row r="345" spans="1:16" ht="15" customHeight="1">
      <c r="A345" s="894" t="s">
        <v>278</v>
      </c>
      <c r="B345" s="894"/>
      <c r="C345" s="894"/>
      <c r="D345" s="894"/>
      <c r="E345" s="894"/>
      <c r="F345" s="894"/>
      <c r="G345" s="894"/>
      <c r="H345" s="894"/>
      <c r="I345" s="894" t="s">
        <v>2071</v>
      </c>
      <c r="J345" s="894"/>
      <c r="K345" s="894"/>
      <c r="L345" s="894"/>
      <c r="M345" s="894"/>
      <c r="N345" s="894"/>
      <c r="O345" s="894"/>
      <c r="P345" s="894"/>
    </row>
    <row r="346" spans="1:16" ht="9.75" customHeight="1" thickBot="1"/>
    <row r="347" spans="1:16">
      <c r="A347" s="895" t="s">
        <v>94</v>
      </c>
      <c r="B347" s="897" t="s">
        <v>95</v>
      </c>
      <c r="C347" s="897" t="s">
        <v>96</v>
      </c>
      <c r="D347" s="897" t="s">
        <v>3</v>
      </c>
      <c r="E347" s="897" t="s">
        <v>97</v>
      </c>
      <c r="F347" s="897" t="s">
        <v>98</v>
      </c>
      <c r="G347" s="897" t="s">
        <v>99</v>
      </c>
      <c r="H347" s="899"/>
      <c r="I347" s="895" t="s">
        <v>94</v>
      </c>
      <c r="J347" s="897" t="s">
        <v>95</v>
      </c>
      <c r="K347" s="897" t="s">
        <v>96</v>
      </c>
      <c r="L347" s="897" t="s">
        <v>3</v>
      </c>
      <c r="M347" s="897" t="s">
        <v>97</v>
      </c>
      <c r="N347" s="897" t="s">
        <v>98</v>
      </c>
      <c r="O347" s="897" t="s">
        <v>99</v>
      </c>
      <c r="P347" s="899"/>
    </row>
    <row r="348" spans="1:16" ht="15.75" thickBot="1">
      <c r="A348" s="896"/>
      <c r="B348" s="898"/>
      <c r="C348" s="898"/>
      <c r="D348" s="898"/>
      <c r="E348" s="898"/>
      <c r="F348" s="898"/>
      <c r="G348" s="240" t="s">
        <v>100</v>
      </c>
      <c r="H348" s="182" t="s">
        <v>101</v>
      </c>
      <c r="I348" s="896"/>
      <c r="J348" s="898"/>
      <c r="K348" s="898"/>
      <c r="L348" s="898"/>
      <c r="M348" s="898"/>
      <c r="N348" s="898"/>
      <c r="O348" s="240" t="s">
        <v>100</v>
      </c>
      <c r="P348" s="182" t="s">
        <v>101</v>
      </c>
    </row>
    <row r="349" spans="1:16" ht="12.75" customHeight="1">
      <c r="A349" s="881" t="e">
        <f>+A320+1</f>
        <v>#REF!</v>
      </c>
      <c r="B349" s="875">
        <v>42261</v>
      </c>
      <c r="C349" s="877" t="s">
        <v>267</v>
      </c>
      <c r="D349" s="881" t="s">
        <v>284</v>
      </c>
      <c r="E349" s="881" t="s">
        <v>115</v>
      </c>
      <c r="F349" s="883">
        <v>130000</v>
      </c>
      <c r="G349" s="55">
        <v>719</v>
      </c>
      <c r="H349" s="78">
        <v>130000</v>
      </c>
      <c r="I349" s="873" t="s">
        <v>547</v>
      </c>
      <c r="J349" s="875">
        <v>44284</v>
      </c>
      <c r="K349" s="877" t="s">
        <v>2070</v>
      </c>
      <c r="L349" s="881" t="s">
        <v>2072</v>
      </c>
      <c r="M349" s="881" t="s">
        <v>1965</v>
      </c>
      <c r="N349" s="883">
        <v>-298880</v>
      </c>
      <c r="O349" s="55">
        <v>719</v>
      </c>
      <c r="P349" s="78"/>
    </row>
    <row r="350" spans="1:16" ht="12.75" customHeight="1" thickBot="1">
      <c r="A350" s="882"/>
      <c r="B350" s="934"/>
      <c r="C350" s="878"/>
      <c r="D350" s="882"/>
      <c r="E350" s="882"/>
      <c r="F350" s="884"/>
      <c r="G350" s="56">
        <v>721</v>
      </c>
      <c r="H350" s="79">
        <f>+F349-H349</f>
        <v>0</v>
      </c>
      <c r="I350" s="882"/>
      <c r="J350" s="876"/>
      <c r="K350" s="878"/>
      <c r="L350" s="882"/>
      <c r="M350" s="882"/>
      <c r="N350" s="884"/>
      <c r="O350" s="56">
        <v>714</v>
      </c>
      <c r="P350" s="79">
        <f>+N349-P349</f>
        <v>-298880</v>
      </c>
    </row>
    <row r="351" spans="1:16" ht="12.75" customHeight="1">
      <c r="A351" s="251"/>
      <c r="B351" s="452"/>
      <c r="C351" s="253"/>
      <c r="D351" s="251"/>
      <c r="E351" s="251"/>
      <c r="F351" s="254"/>
      <c r="G351" s="255"/>
      <c r="H351" s="256"/>
      <c r="I351" s="881"/>
      <c r="J351" s="875"/>
      <c r="K351" s="877"/>
      <c r="L351" s="881"/>
      <c r="M351" s="881"/>
      <c r="N351" s="883"/>
      <c r="O351" s="55">
        <v>719</v>
      </c>
      <c r="P351" s="78"/>
    </row>
    <row r="352" spans="1:16" ht="12.75" customHeight="1" thickBot="1">
      <c r="A352" s="251"/>
      <c r="B352" s="452"/>
      <c r="C352" s="253"/>
      <c r="D352" s="251"/>
      <c r="E352" s="251"/>
      <c r="F352" s="254"/>
      <c r="G352" s="255"/>
      <c r="H352" s="256"/>
      <c r="I352" s="882"/>
      <c r="J352" s="876"/>
      <c r="K352" s="878"/>
      <c r="L352" s="882"/>
      <c r="M352" s="882"/>
      <c r="N352" s="884"/>
      <c r="O352" s="56">
        <v>723</v>
      </c>
      <c r="P352" s="79">
        <f>+N351-P351</f>
        <v>0</v>
      </c>
    </row>
    <row r="353" spans="1:16" ht="13.5" customHeight="1">
      <c r="A353" s="881" t="e">
        <f>+A349+1</f>
        <v>#REF!</v>
      </c>
      <c r="B353" s="875">
        <v>42261</v>
      </c>
      <c r="C353" s="881" t="s">
        <v>28</v>
      </c>
      <c r="D353" s="881" t="s">
        <v>283</v>
      </c>
      <c r="E353" s="881" t="s">
        <v>115</v>
      </c>
      <c r="F353" s="883">
        <v>70000</v>
      </c>
      <c r="G353" s="55">
        <v>719</v>
      </c>
      <c r="H353" s="78">
        <v>70000</v>
      </c>
      <c r="I353" s="873"/>
      <c r="J353" s="875"/>
      <c r="K353" s="877"/>
      <c r="L353" s="881"/>
      <c r="M353" s="881"/>
      <c r="N353" s="883"/>
      <c r="O353" s="55">
        <v>719</v>
      </c>
      <c r="P353" s="78"/>
    </row>
    <row r="354" spans="1:16" ht="12.75" customHeight="1" thickBot="1">
      <c r="A354" s="882"/>
      <c r="B354" s="876"/>
      <c r="C354" s="882"/>
      <c r="D354" s="882"/>
      <c r="E354" s="882"/>
      <c r="F354" s="884"/>
      <c r="G354" s="56">
        <v>721</v>
      </c>
      <c r="H354" s="79">
        <f>+F353-H353</f>
        <v>0</v>
      </c>
      <c r="I354" s="874"/>
      <c r="J354" s="876"/>
      <c r="K354" s="878"/>
      <c r="L354" s="882"/>
      <c r="M354" s="882"/>
      <c r="N354" s="884"/>
      <c r="O354" s="56">
        <v>723</v>
      </c>
      <c r="P354" s="79">
        <f>+N353-P353</f>
        <v>0</v>
      </c>
    </row>
    <row r="355" spans="1:16" ht="12.75" customHeight="1">
      <c r="A355" s="881" t="e">
        <f>+#REF!+1</f>
        <v>#REF!</v>
      </c>
      <c r="B355" s="875">
        <v>42261</v>
      </c>
      <c r="C355" s="910" t="s">
        <v>282</v>
      </c>
      <c r="D355" s="881" t="s">
        <v>279</v>
      </c>
      <c r="E355" s="881" t="s">
        <v>165</v>
      </c>
      <c r="F355" s="883">
        <v>300000</v>
      </c>
      <c r="G355" s="55">
        <v>719</v>
      </c>
      <c r="H355" s="78"/>
      <c r="I355" s="873"/>
      <c r="J355" s="875"/>
      <c r="K355" s="877"/>
      <c r="L355" s="881"/>
      <c r="M355" s="881"/>
      <c r="N355" s="883"/>
      <c r="O355" s="55">
        <v>719</v>
      </c>
      <c r="P355" s="78"/>
    </row>
    <row r="356" spans="1:16" ht="13.5" customHeight="1" thickBot="1">
      <c r="A356" s="882"/>
      <c r="B356" s="876"/>
      <c r="C356" s="911"/>
      <c r="D356" s="882"/>
      <c r="E356" s="882"/>
      <c r="F356" s="884"/>
      <c r="G356" s="56">
        <v>723</v>
      </c>
      <c r="H356" s="79">
        <f>+F355-H355</f>
        <v>300000</v>
      </c>
      <c r="I356" s="874"/>
      <c r="J356" s="876"/>
      <c r="K356" s="878"/>
      <c r="L356" s="882"/>
      <c r="M356" s="882"/>
      <c r="N356" s="884"/>
      <c r="O356" s="56">
        <v>721</v>
      </c>
      <c r="P356" s="79">
        <f>+N355-P355</f>
        <v>0</v>
      </c>
    </row>
    <row r="357" spans="1:16" ht="14.25" customHeight="1" thickBot="1">
      <c r="A357" s="901" t="s">
        <v>102</v>
      </c>
      <c r="B357" s="902"/>
      <c r="C357" s="902"/>
      <c r="D357" s="902"/>
      <c r="E357" s="903"/>
      <c r="F357" s="81">
        <f>SUM(F349:F356)</f>
        <v>500000</v>
      </c>
      <c r="I357" s="901" t="s">
        <v>102</v>
      </c>
      <c r="J357" s="902"/>
      <c r="K357" s="902"/>
      <c r="L357" s="902"/>
      <c r="M357" s="903"/>
      <c r="N357" s="81">
        <f>SUM(N349:N356)</f>
        <v>-298880</v>
      </c>
    </row>
    <row r="358" spans="1:16" ht="15" customHeight="1" thickBot="1">
      <c r="A358" s="885" t="s">
        <v>103</v>
      </c>
      <c r="B358" s="886"/>
      <c r="C358" s="886"/>
      <c r="D358" s="886"/>
      <c r="E358" s="887"/>
      <c r="F358" s="69">
        <f>+F324</f>
        <v>623662225</v>
      </c>
      <c r="I358" s="885" t="s">
        <v>103</v>
      </c>
      <c r="J358" s="886"/>
      <c r="K358" s="886"/>
      <c r="L358" s="886"/>
      <c r="M358" s="887"/>
      <c r="N358" s="239">
        <f>+N324</f>
        <v>300941753</v>
      </c>
      <c r="O358" s="241" t="s">
        <v>561</v>
      </c>
      <c r="P358" s="242">
        <v>0</v>
      </c>
    </row>
    <row r="359" spans="1:16" ht="16.5" customHeight="1" thickBot="1">
      <c r="A359" s="888" t="s">
        <v>104</v>
      </c>
      <c r="B359" s="889"/>
      <c r="C359" s="889"/>
      <c r="D359" s="889"/>
      <c r="E359" s="890"/>
      <c r="F359" s="183">
        <f>SUM(F357:F358)</f>
        <v>624162225</v>
      </c>
      <c r="I359" s="888" t="s">
        <v>104</v>
      </c>
      <c r="J359" s="889"/>
      <c r="K359" s="889"/>
      <c r="L359" s="889"/>
      <c r="M359" s="890"/>
      <c r="N359" s="183">
        <f>SUM(N357:N358)</f>
        <v>300642873</v>
      </c>
    </row>
    <row r="360" spans="1:16" ht="12.75" customHeight="1">
      <c r="A360" s="61"/>
      <c r="B360" s="61"/>
      <c r="C360" s="61"/>
      <c r="D360" s="61"/>
      <c r="E360" s="61"/>
      <c r="I360" s="61"/>
      <c r="J360" s="61"/>
      <c r="K360" s="61"/>
      <c r="L360" s="61"/>
      <c r="M360" s="61"/>
    </row>
    <row r="361" spans="1:16">
      <c r="A361" s="51" t="s">
        <v>285</v>
      </c>
      <c r="I361" s="51" t="s">
        <v>2073</v>
      </c>
    </row>
    <row r="362" spans="1:16" ht="11.25" customHeight="1">
      <c r="F362" s="139"/>
      <c r="N362" s="139"/>
    </row>
    <row r="363" spans="1:16" ht="12.75" customHeight="1">
      <c r="A363" s="50" t="s">
        <v>105</v>
      </c>
      <c r="D363" s="146"/>
      <c r="F363" s="139"/>
      <c r="I363" s="50" t="s">
        <v>105</v>
      </c>
      <c r="L363" s="146"/>
      <c r="N363" s="139" t="s">
        <v>631</v>
      </c>
    </row>
    <row r="364" spans="1:16" ht="14.25" customHeight="1" thickBot="1"/>
    <row r="365" spans="1:16" ht="17.25" thickBot="1">
      <c r="A365" s="891" t="s">
        <v>106</v>
      </c>
      <c r="B365" s="892"/>
      <c r="C365" s="892"/>
      <c r="D365" s="893"/>
      <c r="F365" s="50" t="s">
        <v>270</v>
      </c>
      <c r="I365" s="891" t="s">
        <v>106</v>
      </c>
      <c r="J365" s="892"/>
      <c r="K365" s="892"/>
      <c r="L365" s="893"/>
      <c r="N365" s="604" t="s">
        <v>288</v>
      </c>
      <c r="O365" s="604"/>
      <c r="P365" s="604"/>
    </row>
    <row r="366" spans="1:16" ht="30.75" thickBot="1">
      <c r="A366" s="57" t="s">
        <v>100</v>
      </c>
      <c r="B366" s="58" t="s">
        <v>108</v>
      </c>
      <c r="C366" s="59" t="s">
        <v>109</v>
      </c>
      <c r="D366" s="60" t="s">
        <v>110</v>
      </c>
      <c r="I366" s="57" t="s">
        <v>100</v>
      </c>
      <c r="J366" s="58" t="s">
        <v>108</v>
      </c>
      <c r="K366" s="59" t="s">
        <v>109</v>
      </c>
      <c r="L366" s="60" t="s">
        <v>110</v>
      </c>
    </row>
    <row r="367" spans="1:16" ht="13.5" customHeight="1">
      <c r="A367" s="71">
        <v>719</v>
      </c>
      <c r="B367" s="73" t="e">
        <f>+H349+H353+#REF!+#REF!+H355</f>
        <v>#REF!</v>
      </c>
      <c r="C367" s="74" t="e">
        <f>+D332</f>
        <v>#REF!</v>
      </c>
      <c r="D367" s="76" t="e">
        <f>+B367+C367</f>
        <v>#REF!</v>
      </c>
      <c r="I367" s="71">
        <v>719</v>
      </c>
      <c r="J367" s="73"/>
      <c r="K367" s="74">
        <f>+L332</f>
        <v>0</v>
      </c>
      <c r="L367" s="195">
        <f>+J367+K367</f>
        <v>0</v>
      </c>
    </row>
    <row r="368" spans="1:16" ht="13.5" customHeight="1">
      <c r="A368" s="72">
        <v>721</v>
      </c>
      <c r="B368" s="80"/>
      <c r="C368" s="74" t="e">
        <f>+D333</f>
        <v>#REF!</v>
      </c>
      <c r="D368" s="76" t="e">
        <f>+B368+C368</f>
        <v>#REF!</v>
      </c>
      <c r="I368" s="72">
        <v>721</v>
      </c>
      <c r="J368" s="80"/>
      <c r="K368" s="74">
        <f>+L333</f>
        <v>0</v>
      </c>
      <c r="L368" s="195">
        <f>+J368+K368</f>
        <v>0</v>
      </c>
    </row>
    <row r="369" spans="1:16" ht="13.5" customHeight="1">
      <c r="A369" s="72">
        <v>722</v>
      </c>
      <c r="B369" s="80"/>
      <c r="C369" s="74">
        <f>+D334</f>
        <v>231207671</v>
      </c>
      <c r="D369" s="76">
        <f>+B369+C369</f>
        <v>231207671</v>
      </c>
      <c r="I369" s="72">
        <v>722</v>
      </c>
      <c r="J369" s="80"/>
      <c r="K369" s="74">
        <f>+L334</f>
        <v>0</v>
      </c>
      <c r="L369" s="195">
        <f>+J369+K369</f>
        <v>0</v>
      </c>
    </row>
    <row r="370" spans="1:16" ht="13.5" customHeight="1">
      <c r="A370" s="72">
        <v>723</v>
      </c>
      <c r="B370" s="80" t="e">
        <f>+#REF!+H356</f>
        <v>#REF!</v>
      </c>
      <c r="C370" s="74">
        <f>+D335</f>
        <v>319828837</v>
      </c>
      <c r="D370" s="76" t="e">
        <f>+B370+C370</f>
        <v>#REF!</v>
      </c>
      <c r="F370" s="174" t="s">
        <v>262</v>
      </c>
      <c r="G370" s="175"/>
      <c r="I370" s="72">
        <v>723</v>
      </c>
      <c r="J370" s="80"/>
      <c r="K370" s="74">
        <f>+L335</f>
        <v>300941753</v>
      </c>
      <c r="L370" s="195">
        <f>+J370+K370</f>
        <v>300941753</v>
      </c>
      <c r="N370" s="918" t="s">
        <v>1696</v>
      </c>
      <c r="O370" s="608"/>
      <c r="P370" s="608"/>
    </row>
    <row r="371" spans="1:16" ht="15.75" customHeight="1" thickBot="1">
      <c r="A371" s="164" t="s">
        <v>181</v>
      </c>
      <c r="B371" s="165"/>
      <c r="C371" s="74">
        <f>+D336</f>
        <v>1965625</v>
      </c>
      <c r="D371" s="168">
        <f>+B371+C371</f>
        <v>1965625</v>
      </c>
      <c r="F371" s="52"/>
      <c r="I371" s="164" t="s">
        <v>181</v>
      </c>
      <c r="J371" s="165">
        <f>+P350</f>
        <v>-298880</v>
      </c>
      <c r="K371" s="74">
        <f>+L336</f>
        <v>0</v>
      </c>
      <c r="L371" s="196">
        <f>+J371+K371</f>
        <v>-298880</v>
      </c>
      <c r="N371" s="52"/>
    </row>
    <row r="372" spans="1:16" ht="16.5" thickBot="1">
      <c r="A372" s="169"/>
      <c r="B372" s="170" t="e">
        <f>SUM(B367:B371)</f>
        <v>#REF!</v>
      </c>
      <c r="C372" s="171" t="e">
        <f>SUM(C367:C371)</f>
        <v>#REF!</v>
      </c>
      <c r="D372" s="172" t="e">
        <f>SUM(D367:D371)</f>
        <v>#REF!</v>
      </c>
      <c r="I372" s="169"/>
      <c r="J372" s="197">
        <f>SUM(J367:J371)</f>
        <v>-298880</v>
      </c>
      <c r="K372" s="197">
        <f>SUM(K367:K371)</f>
        <v>300941753</v>
      </c>
      <c r="L372" s="198">
        <f>SUM(L367:L371)</f>
        <v>300642873</v>
      </c>
    </row>
    <row r="373" spans="1:16" ht="14.25" customHeight="1">
      <c r="A373" s="49" t="s">
        <v>88</v>
      </c>
      <c r="B373" s="50"/>
      <c r="I373" s="49" t="s">
        <v>88</v>
      </c>
      <c r="J373" s="50"/>
    </row>
    <row r="374" spans="1:16" ht="15.75" customHeight="1">
      <c r="A374" s="51" t="s">
        <v>89</v>
      </c>
      <c r="I374" s="51" t="s">
        <v>89</v>
      </c>
    </row>
    <row r="375" spans="1:16" ht="15.75" customHeight="1">
      <c r="A375" s="51" t="s">
        <v>90</v>
      </c>
      <c r="I375" s="51" t="s">
        <v>90</v>
      </c>
    </row>
    <row r="376" spans="1:16" ht="17.25" customHeight="1">
      <c r="A376" s="51" t="s">
        <v>91</v>
      </c>
      <c r="I376" s="51" t="s">
        <v>91</v>
      </c>
    </row>
    <row r="377" spans="1:16" ht="11.25" customHeight="1">
      <c r="A377" s="50"/>
      <c r="B377" s="50"/>
      <c r="I377" s="50"/>
      <c r="J377" s="50"/>
    </row>
    <row r="378" spans="1:16" ht="14.25" customHeight="1">
      <c r="A378" s="52" t="s">
        <v>287</v>
      </c>
      <c r="G378" s="52"/>
      <c r="I378" s="52" t="s">
        <v>606</v>
      </c>
      <c r="O378" s="52"/>
    </row>
    <row r="379" spans="1:16" ht="15.75">
      <c r="A379" s="53" t="s">
        <v>92</v>
      </c>
      <c r="G379" s="53"/>
      <c r="I379" s="53" t="s">
        <v>2012</v>
      </c>
      <c r="O379" s="53"/>
    </row>
    <row r="380" spans="1:16" ht="14.25" customHeight="1">
      <c r="A380" s="894" t="s">
        <v>261</v>
      </c>
      <c r="B380" s="894"/>
      <c r="C380" s="894"/>
      <c r="D380" s="894"/>
      <c r="E380" s="894"/>
      <c r="F380" s="894"/>
      <c r="G380" s="894"/>
      <c r="H380" s="894"/>
      <c r="I380" s="894" t="s">
        <v>1927</v>
      </c>
      <c r="J380" s="894"/>
      <c r="K380" s="894"/>
      <c r="L380" s="894"/>
      <c r="M380" s="894"/>
      <c r="N380" s="894"/>
      <c r="O380" s="894"/>
      <c r="P380" s="894"/>
    </row>
    <row r="381" spans="1:16" ht="15.75" customHeight="1" thickBot="1"/>
    <row r="382" spans="1:16">
      <c r="A382" s="895" t="s">
        <v>94</v>
      </c>
      <c r="B382" s="897" t="s">
        <v>95</v>
      </c>
      <c r="C382" s="897" t="s">
        <v>96</v>
      </c>
      <c r="D382" s="897" t="s">
        <v>3</v>
      </c>
      <c r="E382" s="897" t="s">
        <v>97</v>
      </c>
      <c r="F382" s="897" t="s">
        <v>98</v>
      </c>
      <c r="G382" s="897" t="s">
        <v>99</v>
      </c>
      <c r="H382" s="899"/>
      <c r="I382" s="895" t="s">
        <v>94</v>
      </c>
      <c r="J382" s="897" t="s">
        <v>95</v>
      </c>
      <c r="K382" s="897" t="s">
        <v>96</v>
      </c>
      <c r="L382" s="897" t="s">
        <v>3</v>
      </c>
      <c r="M382" s="897" t="s">
        <v>97</v>
      </c>
      <c r="N382" s="897" t="s">
        <v>98</v>
      </c>
      <c r="O382" s="897" t="s">
        <v>99</v>
      </c>
      <c r="P382" s="899"/>
    </row>
    <row r="383" spans="1:16" ht="15.75" thickBot="1">
      <c r="A383" s="896"/>
      <c r="B383" s="898"/>
      <c r="C383" s="898"/>
      <c r="D383" s="898"/>
      <c r="E383" s="898"/>
      <c r="F383" s="898"/>
      <c r="G383" s="240" t="s">
        <v>100</v>
      </c>
      <c r="H383" s="182" t="s">
        <v>101</v>
      </c>
      <c r="I383" s="896"/>
      <c r="J383" s="898"/>
      <c r="K383" s="898"/>
      <c r="L383" s="898"/>
      <c r="M383" s="898"/>
      <c r="N383" s="898"/>
      <c r="O383" s="240" t="s">
        <v>100</v>
      </c>
      <c r="P383" s="182" t="s">
        <v>101</v>
      </c>
    </row>
    <row r="384" spans="1:16" ht="13.5" customHeight="1">
      <c r="A384" s="881" t="e">
        <f>+A355+1</f>
        <v>#REF!</v>
      </c>
      <c r="B384" s="875">
        <v>42264</v>
      </c>
      <c r="C384" s="877" t="s">
        <v>267</v>
      </c>
      <c r="D384" s="881" t="s">
        <v>290</v>
      </c>
      <c r="E384" s="881" t="s">
        <v>148</v>
      </c>
      <c r="F384" s="883">
        <v>168000</v>
      </c>
      <c r="G384" s="55">
        <v>719</v>
      </c>
      <c r="H384" s="78">
        <v>120000</v>
      </c>
      <c r="I384" s="873" t="s">
        <v>1424</v>
      </c>
      <c r="J384" s="875">
        <v>44263</v>
      </c>
      <c r="K384" s="877" t="s">
        <v>815</v>
      </c>
      <c r="L384" s="881" t="s">
        <v>2066</v>
      </c>
      <c r="M384" s="881" t="s">
        <v>115</v>
      </c>
      <c r="N384" s="883">
        <v>135000</v>
      </c>
      <c r="O384" s="55">
        <v>719</v>
      </c>
      <c r="P384" s="78">
        <v>100000</v>
      </c>
    </row>
    <row r="385" spans="1:16" ht="12.75" customHeight="1" thickBot="1">
      <c r="A385" s="882"/>
      <c r="B385" s="934"/>
      <c r="C385" s="878"/>
      <c r="D385" s="882"/>
      <c r="E385" s="882"/>
      <c r="F385" s="884"/>
      <c r="G385" s="56">
        <v>721</v>
      </c>
      <c r="H385" s="79">
        <f>+F384-H384</f>
        <v>48000</v>
      </c>
      <c r="I385" s="882"/>
      <c r="J385" s="876"/>
      <c r="K385" s="878"/>
      <c r="L385" s="882"/>
      <c r="M385" s="882"/>
      <c r="N385" s="884"/>
      <c r="O385" s="56">
        <v>721</v>
      </c>
      <c r="P385" s="79">
        <f>+N384-P384</f>
        <v>35000</v>
      </c>
    </row>
    <row r="386" spans="1:16" ht="14.25" customHeight="1">
      <c r="A386" s="881" t="e">
        <f>+A384+1</f>
        <v>#REF!</v>
      </c>
      <c r="B386" s="875">
        <v>42264</v>
      </c>
      <c r="C386" s="881" t="s">
        <v>28</v>
      </c>
      <c r="D386" s="881" t="s">
        <v>292</v>
      </c>
      <c r="E386" s="881" t="s">
        <v>148</v>
      </c>
      <c r="F386" s="883">
        <v>238000</v>
      </c>
      <c r="G386" s="55">
        <v>719</v>
      </c>
      <c r="H386" s="78">
        <v>170000</v>
      </c>
      <c r="I386" s="873" t="s">
        <v>1431</v>
      </c>
      <c r="J386" s="875">
        <v>44263</v>
      </c>
      <c r="K386" s="877" t="s">
        <v>815</v>
      </c>
      <c r="L386" s="881" t="s">
        <v>2067</v>
      </c>
      <c r="M386" s="881" t="s">
        <v>115</v>
      </c>
      <c r="N386" s="883">
        <v>823500</v>
      </c>
      <c r="O386" s="55">
        <v>719</v>
      </c>
      <c r="P386" s="78">
        <v>610000</v>
      </c>
    </row>
    <row r="387" spans="1:16" ht="14.25" customHeight="1" thickBot="1">
      <c r="A387" s="882"/>
      <c r="B387" s="934"/>
      <c r="C387" s="882"/>
      <c r="D387" s="882"/>
      <c r="E387" s="882"/>
      <c r="F387" s="884"/>
      <c r="G387" s="56">
        <v>721</v>
      </c>
      <c r="H387" s="79">
        <f>+F386-H386</f>
        <v>68000</v>
      </c>
      <c r="I387" s="882"/>
      <c r="J387" s="876"/>
      <c r="K387" s="878"/>
      <c r="L387" s="882"/>
      <c r="M387" s="882"/>
      <c r="N387" s="884"/>
      <c r="O387" s="56">
        <v>723</v>
      </c>
      <c r="P387" s="79">
        <f>+N386-P386</f>
        <v>213500</v>
      </c>
    </row>
    <row r="388" spans="1:16" ht="12.75" customHeight="1">
      <c r="A388" s="881" t="e">
        <f>+A386+1</f>
        <v>#REF!</v>
      </c>
      <c r="B388" s="875">
        <v>42264</v>
      </c>
      <c r="C388" s="877" t="s">
        <v>32</v>
      </c>
      <c r="D388" s="881" t="s">
        <v>292</v>
      </c>
      <c r="E388" s="881" t="s">
        <v>148</v>
      </c>
      <c r="F388" s="883">
        <v>126000</v>
      </c>
      <c r="G388" s="55">
        <v>719</v>
      </c>
      <c r="H388" s="78">
        <v>90000</v>
      </c>
      <c r="I388" s="873" t="s">
        <v>1432</v>
      </c>
      <c r="J388" s="875">
        <v>44263</v>
      </c>
      <c r="K388" s="877" t="s">
        <v>815</v>
      </c>
      <c r="L388" s="881" t="s">
        <v>2068</v>
      </c>
      <c r="M388" s="881" t="s">
        <v>115</v>
      </c>
      <c r="N388" s="883">
        <v>729000</v>
      </c>
      <c r="O388" s="55">
        <v>719</v>
      </c>
      <c r="P388" s="78">
        <v>540000</v>
      </c>
    </row>
    <row r="389" spans="1:16" ht="12.75" customHeight="1" thickBot="1">
      <c r="A389" s="882"/>
      <c r="B389" s="934"/>
      <c r="C389" s="878"/>
      <c r="D389" s="882"/>
      <c r="E389" s="882"/>
      <c r="F389" s="884"/>
      <c r="G389" s="56">
        <v>721</v>
      </c>
      <c r="H389" s="79">
        <f>+F388-H388</f>
        <v>36000</v>
      </c>
      <c r="I389" s="882"/>
      <c r="J389" s="876"/>
      <c r="K389" s="878"/>
      <c r="L389" s="882"/>
      <c r="M389" s="882"/>
      <c r="N389" s="884"/>
      <c r="O389" s="56">
        <v>723</v>
      </c>
      <c r="P389" s="79">
        <f>+N388-P388</f>
        <v>189000</v>
      </c>
    </row>
    <row r="390" spans="1:16" ht="13.5" hidden="1" customHeight="1">
      <c r="A390" s="881" t="e">
        <f>+A388+1</f>
        <v>#REF!</v>
      </c>
      <c r="B390" s="875">
        <v>42264</v>
      </c>
      <c r="C390" s="877" t="s">
        <v>111</v>
      </c>
      <c r="D390" s="881" t="s">
        <v>291</v>
      </c>
      <c r="E390" s="881" t="s">
        <v>148</v>
      </c>
      <c r="F390" s="883">
        <v>84000</v>
      </c>
      <c r="G390" s="55">
        <v>719</v>
      </c>
      <c r="H390" s="78">
        <v>60000</v>
      </c>
      <c r="I390" s="873" t="s">
        <v>1433</v>
      </c>
      <c r="J390" s="875">
        <v>43935</v>
      </c>
      <c r="K390" s="877" t="s">
        <v>1091</v>
      </c>
      <c r="L390" s="881" t="s">
        <v>1918</v>
      </c>
      <c r="M390" s="881" t="s">
        <v>148</v>
      </c>
      <c r="N390" s="883">
        <v>870000</v>
      </c>
      <c r="O390" s="55">
        <v>719</v>
      </c>
      <c r="P390" s="78">
        <v>870000</v>
      </c>
    </row>
    <row r="391" spans="1:16" ht="13.5" hidden="1" customHeight="1">
      <c r="A391" s="882"/>
      <c r="B391" s="934"/>
      <c r="C391" s="878"/>
      <c r="D391" s="882"/>
      <c r="E391" s="882"/>
      <c r="F391" s="884"/>
      <c r="G391" s="56">
        <v>721</v>
      </c>
      <c r="H391" s="79">
        <f>+F390-H390</f>
        <v>24000</v>
      </c>
      <c r="I391" s="882"/>
      <c r="J391" s="876"/>
      <c r="K391" s="878"/>
      <c r="L391" s="882"/>
      <c r="M391" s="882"/>
      <c r="N391" s="884"/>
      <c r="O391" s="56">
        <v>723</v>
      </c>
      <c r="P391" s="79">
        <f>+N390-P390</f>
        <v>0</v>
      </c>
    </row>
    <row r="392" spans="1:16" ht="13.5" hidden="1" customHeight="1">
      <c r="A392" s="881" t="e">
        <f>+A390+1</f>
        <v>#REF!</v>
      </c>
      <c r="B392" s="875">
        <v>42264</v>
      </c>
      <c r="C392" s="877" t="s">
        <v>272</v>
      </c>
      <c r="D392" s="881" t="s">
        <v>290</v>
      </c>
      <c r="E392" s="881" t="s">
        <v>148</v>
      </c>
      <c r="F392" s="883">
        <v>532000</v>
      </c>
      <c r="G392" s="55">
        <v>719</v>
      </c>
      <c r="H392" s="78">
        <v>380000</v>
      </c>
      <c r="I392" s="873" t="s">
        <v>1458</v>
      </c>
      <c r="J392" s="875">
        <v>43935</v>
      </c>
      <c r="K392" s="877" t="s">
        <v>1931</v>
      </c>
      <c r="L392" s="881" t="s">
        <v>1887</v>
      </c>
      <c r="M392" s="881" t="s">
        <v>148</v>
      </c>
      <c r="N392" s="883">
        <v>-1800000</v>
      </c>
      <c r="O392" s="55">
        <v>719</v>
      </c>
      <c r="P392" s="78"/>
    </row>
    <row r="393" spans="1:16" ht="14.25" hidden="1" customHeight="1">
      <c r="A393" s="882"/>
      <c r="B393" s="934"/>
      <c r="C393" s="878"/>
      <c r="D393" s="882"/>
      <c r="E393" s="882"/>
      <c r="F393" s="884"/>
      <c r="G393" s="56">
        <v>721</v>
      </c>
      <c r="H393" s="79">
        <f>+F392-H392</f>
        <v>152000</v>
      </c>
      <c r="I393" s="882"/>
      <c r="J393" s="876"/>
      <c r="K393" s="878"/>
      <c r="L393" s="882"/>
      <c r="M393" s="882"/>
      <c r="N393" s="884"/>
      <c r="O393" s="56">
        <v>723</v>
      </c>
      <c r="P393" s="79">
        <f>+N392-P392</f>
        <v>-1800000</v>
      </c>
    </row>
    <row r="394" spans="1:16" ht="14.25" customHeight="1" thickBot="1">
      <c r="A394" s="901" t="s">
        <v>102</v>
      </c>
      <c r="B394" s="902"/>
      <c r="C394" s="902"/>
      <c r="D394" s="902"/>
      <c r="E394" s="903"/>
      <c r="F394" s="81">
        <f>SUM(F384:F393)</f>
        <v>1148000</v>
      </c>
      <c r="I394" s="901" t="s">
        <v>102</v>
      </c>
      <c r="J394" s="902"/>
      <c r="K394" s="902"/>
      <c r="L394" s="902"/>
      <c r="M394" s="903"/>
      <c r="N394" s="81">
        <f>SUM(N384:N389)</f>
        <v>1687500</v>
      </c>
    </row>
    <row r="395" spans="1:16" ht="13.5" customHeight="1" thickBot="1">
      <c r="A395" s="885" t="s">
        <v>103</v>
      </c>
      <c r="B395" s="886"/>
      <c r="C395" s="886"/>
      <c r="D395" s="886"/>
      <c r="E395" s="887"/>
      <c r="F395" s="69">
        <f>+F359</f>
        <v>624162225</v>
      </c>
      <c r="I395" s="885" t="s">
        <v>103</v>
      </c>
      <c r="J395" s="886"/>
      <c r="K395" s="886"/>
      <c r="L395" s="886"/>
      <c r="M395" s="887"/>
      <c r="N395" s="239">
        <f>+N359</f>
        <v>300642873</v>
      </c>
      <c r="O395" s="241" t="s">
        <v>561</v>
      </c>
      <c r="P395" s="242">
        <f>1004+252+1281</f>
        <v>2537</v>
      </c>
    </row>
    <row r="396" spans="1:16" ht="14.25" customHeight="1" thickBot="1">
      <c r="A396" s="888" t="s">
        <v>104</v>
      </c>
      <c r="B396" s="889"/>
      <c r="C396" s="889"/>
      <c r="D396" s="889"/>
      <c r="E396" s="890"/>
      <c r="F396" s="183">
        <f>SUM(F394:F395)</f>
        <v>625310225</v>
      </c>
      <c r="I396" s="888" t="s">
        <v>104</v>
      </c>
      <c r="J396" s="889"/>
      <c r="K396" s="889"/>
      <c r="L396" s="889"/>
      <c r="M396" s="890"/>
      <c r="N396" s="183">
        <f>SUM(N394:N395)</f>
        <v>302330373</v>
      </c>
    </row>
    <row r="397" spans="1:16" ht="12.75" customHeight="1">
      <c r="A397" s="61"/>
      <c r="B397" s="61"/>
      <c r="C397" s="61"/>
      <c r="D397" s="61"/>
      <c r="E397" s="61"/>
      <c r="I397" s="61"/>
      <c r="J397" s="61"/>
      <c r="K397" s="61"/>
      <c r="L397" s="61"/>
      <c r="M397" s="61"/>
    </row>
    <row r="398" spans="1:16">
      <c r="A398" s="51" t="s">
        <v>294</v>
      </c>
      <c r="I398" s="51" t="s">
        <v>2069</v>
      </c>
    </row>
    <row r="399" spans="1:16" ht="13.5" customHeight="1">
      <c r="F399" s="139"/>
      <c r="N399" s="139"/>
    </row>
    <row r="400" spans="1:16">
      <c r="A400" s="50" t="s">
        <v>105</v>
      </c>
      <c r="D400" s="146"/>
      <c r="F400" s="139"/>
      <c r="I400" s="50" t="s">
        <v>105</v>
      </c>
      <c r="L400" s="146"/>
      <c r="N400" s="139"/>
    </row>
    <row r="401" spans="1:16" ht="15" customHeight="1" thickBot="1"/>
    <row r="402" spans="1:16" ht="17.25" thickBot="1">
      <c r="A402" s="891" t="s">
        <v>106</v>
      </c>
      <c r="B402" s="892"/>
      <c r="C402" s="892"/>
      <c r="D402" s="893"/>
      <c r="F402" s="50" t="s">
        <v>288</v>
      </c>
      <c r="I402" s="891" t="s">
        <v>106</v>
      </c>
      <c r="J402" s="892"/>
      <c r="K402" s="892"/>
      <c r="L402" s="893"/>
      <c r="N402" s="604" t="s">
        <v>288</v>
      </c>
      <c r="O402" s="604"/>
      <c r="P402" s="604"/>
    </row>
    <row r="403" spans="1:16" ht="30.75" thickBot="1">
      <c r="A403" s="57" t="s">
        <v>100</v>
      </c>
      <c r="B403" s="58" t="s">
        <v>108</v>
      </c>
      <c r="C403" s="59" t="s">
        <v>109</v>
      </c>
      <c r="D403" s="60" t="s">
        <v>110</v>
      </c>
      <c r="I403" s="57" t="s">
        <v>100</v>
      </c>
      <c r="J403" s="58" t="s">
        <v>108</v>
      </c>
      <c r="K403" s="59" t="s">
        <v>109</v>
      </c>
      <c r="L403" s="60" t="s">
        <v>110</v>
      </c>
    </row>
    <row r="404" spans="1:16" ht="12.75" customHeight="1">
      <c r="A404" s="71">
        <v>719</v>
      </c>
      <c r="B404" s="73">
        <f>+H384+H386+H388+H390+H392</f>
        <v>820000</v>
      </c>
      <c r="C404" s="74" t="e">
        <f>+D367</f>
        <v>#REF!</v>
      </c>
      <c r="D404" s="76" t="e">
        <f>+B404+C404</f>
        <v>#REF!</v>
      </c>
      <c r="I404" s="71">
        <v>719</v>
      </c>
      <c r="J404" s="73">
        <f>+P384+P386+P388</f>
        <v>1250000</v>
      </c>
      <c r="K404" s="74">
        <f>+L367</f>
        <v>0</v>
      </c>
      <c r="L404" s="195">
        <f>+J404+K404</f>
        <v>1250000</v>
      </c>
    </row>
    <row r="405" spans="1:16" ht="13.5" customHeight="1">
      <c r="A405" s="72">
        <v>721</v>
      </c>
      <c r="B405" s="80">
        <f>+H385+H387+H389+H391+H393</f>
        <v>328000</v>
      </c>
      <c r="C405" s="74" t="e">
        <f>+D368</f>
        <v>#REF!</v>
      </c>
      <c r="D405" s="76" t="e">
        <f>+B405+C405</f>
        <v>#REF!</v>
      </c>
      <c r="I405" s="72">
        <v>721</v>
      </c>
      <c r="J405" s="80">
        <f>+P389+P387+P385</f>
        <v>437500</v>
      </c>
      <c r="K405" s="74">
        <f>+L368</f>
        <v>0</v>
      </c>
      <c r="L405" s="195">
        <f>+J405+K405</f>
        <v>437500</v>
      </c>
    </row>
    <row r="406" spans="1:16" ht="13.5" customHeight="1">
      <c r="A406" s="72">
        <v>722</v>
      </c>
      <c r="B406" s="80"/>
      <c r="C406" s="74">
        <f>+D369</f>
        <v>231207671</v>
      </c>
      <c r="D406" s="76">
        <f>+B406+C406</f>
        <v>231207671</v>
      </c>
      <c r="I406" s="72">
        <v>722</v>
      </c>
      <c r="J406" s="80"/>
      <c r="K406" s="74">
        <f>+L369</f>
        <v>0</v>
      </c>
      <c r="L406" s="195">
        <f>+J406+K406</f>
        <v>0</v>
      </c>
    </row>
    <row r="407" spans="1:16" ht="13.5" customHeight="1">
      <c r="A407" s="72">
        <v>723</v>
      </c>
      <c r="B407" s="80"/>
      <c r="C407" s="74" t="e">
        <f>+D370</f>
        <v>#REF!</v>
      </c>
      <c r="D407" s="76" t="e">
        <f>+B407+C407</f>
        <v>#REF!</v>
      </c>
      <c r="F407" s="193" t="s">
        <v>289</v>
      </c>
      <c r="G407" s="175"/>
      <c r="I407" s="72">
        <v>723</v>
      </c>
      <c r="J407" s="80"/>
      <c r="K407" s="74">
        <f>+L370</f>
        <v>300941753</v>
      </c>
      <c r="L407" s="195">
        <f>+J407+K407</f>
        <v>300941753</v>
      </c>
      <c r="N407" s="918" t="s">
        <v>1744</v>
      </c>
      <c r="O407" s="608"/>
      <c r="P407" s="608"/>
    </row>
    <row r="408" spans="1:16" ht="13.5" customHeight="1" thickBot="1">
      <c r="A408" s="164" t="s">
        <v>181</v>
      </c>
      <c r="B408" s="165"/>
      <c r="C408" s="74">
        <f>+D371</f>
        <v>1965625</v>
      </c>
      <c r="D408" s="168">
        <f>+B408+C408</f>
        <v>1965625</v>
      </c>
      <c r="F408" s="52"/>
      <c r="I408" s="164" t="s">
        <v>181</v>
      </c>
      <c r="J408" s="165"/>
      <c r="K408" s="74">
        <f>+L371</f>
        <v>-298880</v>
      </c>
      <c r="L408" s="196">
        <f>+J408+K408</f>
        <v>-298880</v>
      </c>
      <c r="N408" s="52"/>
    </row>
    <row r="409" spans="1:16" ht="16.5" thickBot="1">
      <c r="A409" s="169"/>
      <c r="B409" s="170">
        <f>SUM(B404:B408)</f>
        <v>1148000</v>
      </c>
      <c r="C409" s="171" t="e">
        <f>SUM(C404:C408)</f>
        <v>#REF!</v>
      </c>
      <c r="D409" s="172" t="e">
        <f>SUM(D404:D408)</f>
        <v>#REF!</v>
      </c>
      <c r="I409" s="169"/>
      <c r="J409" s="197">
        <f>SUM(J404:J408)</f>
        <v>1687500</v>
      </c>
      <c r="K409" s="197">
        <f>SUM(K404:K408)</f>
        <v>300642873</v>
      </c>
      <c r="L409" s="198">
        <f>SUM(L404:L408)</f>
        <v>302330373</v>
      </c>
    </row>
    <row r="410" spans="1:16" ht="14.25" customHeight="1">
      <c r="A410" s="49" t="s">
        <v>88</v>
      </c>
      <c r="B410" s="50"/>
      <c r="I410" s="49" t="s">
        <v>88</v>
      </c>
      <c r="J410" s="50"/>
    </row>
    <row r="411" spans="1:16" ht="12.75" customHeight="1">
      <c r="A411" s="51" t="s">
        <v>89</v>
      </c>
      <c r="I411" s="51" t="s">
        <v>89</v>
      </c>
    </row>
    <row r="412" spans="1:16" ht="13.5" customHeight="1">
      <c r="A412" s="51" t="s">
        <v>90</v>
      </c>
      <c r="I412" s="51" t="s">
        <v>90</v>
      </c>
    </row>
    <row r="413" spans="1:16" ht="12.75" customHeight="1">
      <c r="A413" s="51" t="s">
        <v>91</v>
      </c>
      <c r="I413" s="51" t="s">
        <v>91</v>
      </c>
    </row>
    <row r="414" spans="1:16" ht="3" customHeight="1">
      <c r="A414" s="50"/>
      <c r="B414" s="50"/>
      <c r="I414" s="50"/>
      <c r="J414" s="50"/>
    </row>
    <row r="415" spans="1:16" ht="13.5" customHeight="1">
      <c r="A415" s="52" t="s">
        <v>295</v>
      </c>
      <c r="G415" s="52"/>
      <c r="I415" s="52" t="s">
        <v>635</v>
      </c>
      <c r="O415" s="52"/>
    </row>
    <row r="416" spans="1:16" ht="14.25" customHeight="1">
      <c r="A416" s="53" t="s">
        <v>92</v>
      </c>
      <c r="G416" s="53"/>
      <c r="I416" s="53" t="s">
        <v>2012</v>
      </c>
      <c r="O416" s="53"/>
    </row>
    <row r="417" spans="1:16" ht="14.25" customHeight="1">
      <c r="A417" s="894" t="s">
        <v>261</v>
      </c>
      <c r="B417" s="894"/>
      <c r="C417" s="894"/>
      <c r="D417" s="894"/>
      <c r="E417" s="894"/>
      <c r="F417" s="894"/>
      <c r="G417" s="894"/>
      <c r="H417" s="894"/>
      <c r="I417" s="894" t="s">
        <v>212</v>
      </c>
      <c r="J417" s="894"/>
      <c r="K417" s="894"/>
      <c r="L417" s="894"/>
      <c r="M417" s="894"/>
      <c r="N417" s="894"/>
      <c r="O417" s="894"/>
      <c r="P417" s="894"/>
    </row>
    <row r="418" spans="1:16" ht="13.5" customHeight="1" thickBot="1"/>
    <row r="419" spans="1:16">
      <c r="A419" s="895" t="s">
        <v>94</v>
      </c>
      <c r="B419" s="897" t="s">
        <v>95</v>
      </c>
      <c r="C419" s="897" t="s">
        <v>96</v>
      </c>
      <c r="D419" s="897" t="s">
        <v>3</v>
      </c>
      <c r="E419" s="897" t="s">
        <v>97</v>
      </c>
      <c r="F419" s="897" t="s">
        <v>98</v>
      </c>
      <c r="G419" s="897" t="s">
        <v>99</v>
      </c>
      <c r="H419" s="899"/>
      <c r="I419" s="895" t="s">
        <v>94</v>
      </c>
      <c r="J419" s="897" t="s">
        <v>95</v>
      </c>
      <c r="K419" s="897" t="s">
        <v>96</v>
      </c>
      <c r="L419" s="897" t="s">
        <v>3</v>
      </c>
      <c r="M419" s="897" t="s">
        <v>97</v>
      </c>
      <c r="N419" s="897" t="s">
        <v>98</v>
      </c>
      <c r="O419" s="897" t="s">
        <v>99</v>
      </c>
      <c r="P419" s="899"/>
    </row>
    <row r="420" spans="1:16" ht="15.75" thickBot="1">
      <c r="A420" s="896"/>
      <c r="B420" s="898"/>
      <c r="C420" s="898"/>
      <c r="D420" s="898"/>
      <c r="E420" s="898"/>
      <c r="F420" s="898"/>
      <c r="G420" s="240" t="s">
        <v>100</v>
      </c>
      <c r="H420" s="182" t="s">
        <v>101</v>
      </c>
      <c r="I420" s="896"/>
      <c r="J420" s="898"/>
      <c r="K420" s="898"/>
      <c r="L420" s="898"/>
      <c r="M420" s="898"/>
      <c r="N420" s="898"/>
      <c r="O420" s="240" t="s">
        <v>100</v>
      </c>
      <c r="P420" s="182" t="s">
        <v>101</v>
      </c>
    </row>
    <row r="421" spans="1:16" ht="12.75" customHeight="1">
      <c r="A421" s="881" t="e">
        <f>+A392+1</f>
        <v>#REF!</v>
      </c>
      <c r="B421" s="875">
        <v>42275</v>
      </c>
      <c r="C421" s="877" t="s">
        <v>267</v>
      </c>
      <c r="D421" s="881" t="s">
        <v>296</v>
      </c>
      <c r="E421" s="935" t="s">
        <v>31</v>
      </c>
      <c r="F421" s="883">
        <v>100000</v>
      </c>
      <c r="G421" s="55">
        <v>719</v>
      </c>
      <c r="H421" s="78">
        <v>100000</v>
      </c>
      <c r="I421" s="873" t="s">
        <v>632</v>
      </c>
      <c r="J421" s="875">
        <v>44309</v>
      </c>
      <c r="K421" s="910" t="s">
        <v>1984</v>
      </c>
      <c r="L421" s="926" t="s">
        <v>2074</v>
      </c>
      <c r="M421" s="881" t="s">
        <v>148</v>
      </c>
      <c r="N421" s="883">
        <v>810000</v>
      </c>
      <c r="O421" s="55">
        <v>723</v>
      </c>
      <c r="P421" s="78">
        <v>600000</v>
      </c>
    </row>
    <row r="422" spans="1:16" ht="14.25" customHeight="1" thickBot="1">
      <c r="A422" s="882"/>
      <c r="B422" s="934"/>
      <c r="C422" s="878"/>
      <c r="D422" s="882"/>
      <c r="E422" s="936"/>
      <c r="F422" s="884"/>
      <c r="G422" s="56">
        <v>721</v>
      </c>
      <c r="H422" s="79"/>
      <c r="I422" s="882"/>
      <c r="J422" s="876"/>
      <c r="K422" s="911"/>
      <c r="L422" s="927"/>
      <c r="M422" s="882"/>
      <c r="N422" s="884"/>
      <c r="O422" s="56">
        <v>721</v>
      </c>
      <c r="P422" s="79">
        <f>+N421-P421</f>
        <v>210000</v>
      </c>
    </row>
    <row r="423" spans="1:16" ht="13.5" customHeight="1">
      <c r="A423" s="881" t="e">
        <f>+A421+1</f>
        <v>#REF!</v>
      </c>
      <c r="B423" s="875">
        <v>42275</v>
      </c>
      <c r="C423" s="881" t="s">
        <v>28</v>
      </c>
      <c r="D423" s="881" t="s">
        <v>297</v>
      </c>
      <c r="E423" s="935" t="s">
        <v>28</v>
      </c>
      <c r="F423" s="883">
        <v>50000</v>
      </c>
      <c r="G423" s="55">
        <v>719</v>
      </c>
      <c r="H423" s="78">
        <v>50000</v>
      </c>
      <c r="I423" s="873" t="s">
        <v>641</v>
      </c>
      <c r="J423" s="875">
        <v>43990</v>
      </c>
      <c r="K423" s="910" t="s">
        <v>120</v>
      </c>
      <c r="L423" s="881" t="s">
        <v>2075</v>
      </c>
      <c r="M423" s="881" t="s">
        <v>148</v>
      </c>
      <c r="N423" s="883">
        <v>769500</v>
      </c>
      <c r="O423" s="55">
        <v>723</v>
      </c>
      <c r="P423" s="78">
        <v>570000</v>
      </c>
    </row>
    <row r="424" spans="1:16" ht="14.25" customHeight="1" thickBot="1">
      <c r="A424" s="882"/>
      <c r="B424" s="934"/>
      <c r="C424" s="882"/>
      <c r="D424" s="882"/>
      <c r="E424" s="936"/>
      <c r="F424" s="884"/>
      <c r="G424" s="56">
        <v>721</v>
      </c>
      <c r="H424" s="79">
        <f>+F423-H423</f>
        <v>0</v>
      </c>
      <c r="I424" s="882"/>
      <c r="J424" s="876"/>
      <c r="K424" s="911"/>
      <c r="L424" s="882"/>
      <c r="M424" s="882"/>
      <c r="N424" s="884"/>
      <c r="O424" s="56">
        <v>721</v>
      </c>
      <c r="P424" s="79">
        <f>+N423-P423</f>
        <v>199500</v>
      </c>
    </row>
    <row r="425" spans="1:16" ht="14.25" customHeight="1">
      <c r="A425" s="881" t="e">
        <f>+A423+1</f>
        <v>#REF!</v>
      </c>
      <c r="B425" s="875">
        <v>42275</v>
      </c>
      <c r="C425" s="877" t="s">
        <v>32</v>
      </c>
      <c r="D425" s="881" t="s">
        <v>297</v>
      </c>
      <c r="E425" s="877" t="s">
        <v>32</v>
      </c>
      <c r="F425" s="883">
        <v>30000</v>
      </c>
      <c r="G425" s="55">
        <v>719</v>
      </c>
      <c r="H425" s="78">
        <v>30000</v>
      </c>
      <c r="I425" s="873"/>
      <c r="J425" s="875"/>
      <c r="K425" s="877"/>
      <c r="L425" s="881"/>
      <c r="M425" s="881"/>
      <c r="N425" s="883"/>
      <c r="O425" s="55">
        <v>723</v>
      </c>
      <c r="P425" s="78">
        <f>+N425</f>
        <v>0</v>
      </c>
    </row>
    <row r="426" spans="1:16" ht="12.75" customHeight="1" thickBot="1">
      <c r="A426" s="882"/>
      <c r="B426" s="934"/>
      <c r="C426" s="878"/>
      <c r="D426" s="882"/>
      <c r="E426" s="878"/>
      <c r="F426" s="884"/>
      <c r="G426" s="56">
        <v>721</v>
      </c>
      <c r="H426" s="79">
        <f>+F425-H425</f>
        <v>0</v>
      </c>
      <c r="I426" s="874"/>
      <c r="J426" s="876"/>
      <c r="K426" s="878"/>
      <c r="L426" s="882"/>
      <c r="M426" s="882"/>
      <c r="N426" s="884"/>
      <c r="O426" s="56">
        <v>721</v>
      </c>
      <c r="P426" s="79">
        <f>+N425-P425</f>
        <v>0</v>
      </c>
    </row>
    <row r="427" spans="1:16" ht="13.5" customHeight="1">
      <c r="A427" s="881"/>
      <c r="B427" s="875"/>
      <c r="C427" s="877"/>
      <c r="D427" s="881"/>
      <c r="E427" s="881"/>
      <c r="F427" s="883"/>
      <c r="G427" s="55">
        <v>719</v>
      </c>
      <c r="H427" s="78"/>
      <c r="I427" s="873"/>
      <c r="J427" s="875"/>
      <c r="K427" s="877"/>
      <c r="L427" s="881"/>
      <c r="M427" s="881"/>
      <c r="N427" s="883"/>
      <c r="O427" s="55">
        <v>723</v>
      </c>
      <c r="P427" s="78">
        <f>+N427</f>
        <v>0</v>
      </c>
    </row>
    <row r="428" spans="1:16" ht="12" customHeight="1" thickBot="1">
      <c r="A428" s="882"/>
      <c r="B428" s="934"/>
      <c r="C428" s="878"/>
      <c r="D428" s="882"/>
      <c r="E428" s="882"/>
      <c r="F428" s="884"/>
      <c r="G428" s="56">
        <v>721</v>
      </c>
      <c r="H428" s="79">
        <f>+F427-H427</f>
        <v>0</v>
      </c>
      <c r="I428" s="874"/>
      <c r="J428" s="876"/>
      <c r="K428" s="878"/>
      <c r="L428" s="882"/>
      <c r="M428" s="882"/>
      <c r="N428" s="884"/>
      <c r="O428" s="56">
        <v>721</v>
      </c>
      <c r="P428" s="79">
        <f>+N427-P427</f>
        <v>0</v>
      </c>
    </row>
    <row r="429" spans="1:16" ht="13.5" customHeight="1" thickBot="1">
      <c r="A429" s="901" t="s">
        <v>102</v>
      </c>
      <c r="B429" s="902"/>
      <c r="C429" s="902"/>
      <c r="D429" s="902"/>
      <c r="E429" s="903"/>
      <c r="F429" s="81">
        <f>SUM(F421:F428)</f>
        <v>180000</v>
      </c>
      <c r="I429" s="901" t="s">
        <v>102</v>
      </c>
      <c r="J429" s="902"/>
      <c r="K429" s="902"/>
      <c r="L429" s="902"/>
      <c r="M429" s="903"/>
      <c r="N429" s="81">
        <f>SUM(N421:N428)</f>
        <v>1579500</v>
      </c>
    </row>
    <row r="430" spans="1:16" ht="13.5" customHeight="1" thickBot="1">
      <c r="A430" s="885" t="s">
        <v>103</v>
      </c>
      <c r="B430" s="886"/>
      <c r="C430" s="886"/>
      <c r="D430" s="886"/>
      <c r="E430" s="887"/>
      <c r="F430" s="69">
        <f>+F396</f>
        <v>625310225</v>
      </c>
      <c r="I430" s="885" t="s">
        <v>103</v>
      </c>
      <c r="J430" s="886"/>
      <c r="K430" s="886"/>
      <c r="L430" s="886"/>
      <c r="M430" s="887"/>
      <c r="N430" s="239">
        <f>+N396</f>
        <v>302330373</v>
      </c>
      <c r="O430" s="241" t="s">
        <v>561</v>
      </c>
      <c r="P430" s="242"/>
    </row>
    <row r="431" spans="1:16" ht="14.25" customHeight="1" thickBot="1">
      <c r="A431" s="888" t="s">
        <v>104</v>
      </c>
      <c r="B431" s="889"/>
      <c r="C431" s="889"/>
      <c r="D431" s="889"/>
      <c r="E431" s="890"/>
      <c r="F431" s="183">
        <f>SUM(F429:F430)</f>
        <v>625490225</v>
      </c>
      <c r="I431" s="888" t="s">
        <v>104</v>
      </c>
      <c r="J431" s="889"/>
      <c r="K431" s="889"/>
      <c r="L431" s="889"/>
      <c r="M431" s="890"/>
      <c r="N431" s="183">
        <f>SUM(N429:N430)</f>
        <v>303909873</v>
      </c>
    </row>
    <row r="432" spans="1:16" ht="12" customHeight="1">
      <c r="A432" s="61"/>
      <c r="B432" s="61"/>
      <c r="C432" s="61"/>
      <c r="D432" s="61"/>
      <c r="E432" s="61"/>
      <c r="I432" s="61"/>
      <c r="J432" s="61"/>
      <c r="K432" s="61"/>
      <c r="L432" s="61"/>
      <c r="M432" s="61"/>
    </row>
    <row r="433" spans="1:16">
      <c r="A433" s="51" t="s">
        <v>298</v>
      </c>
      <c r="I433" s="51" t="s">
        <v>2076</v>
      </c>
    </row>
    <row r="434" spans="1:16" ht="7.5" customHeight="1">
      <c r="F434" s="139"/>
      <c r="N434" s="139"/>
    </row>
    <row r="435" spans="1:16">
      <c r="A435" s="50" t="s">
        <v>105</v>
      </c>
      <c r="D435" s="146"/>
      <c r="F435" s="139"/>
      <c r="I435" s="50" t="s">
        <v>105</v>
      </c>
      <c r="L435" s="146"/>
      <c r="N435" s="139"/>
    </row>
    <row r="436" spans="1:16" ht="15" customHeight="1" thickBot="1"/>
    <row r="437" spans="1:16" ht="17.25" thickBot="1">
      <c r="A437" s="891" t="s">
        <v>106</v>
      </c>
      <c r="B437" s="892"/>
      <c r="C437" s="892"/>
      <c r="D437" s="893"/>
      <c r="F437" s="50" t="s">
        <v>288</v>
      </c>
      <c r="I437" s="891" t="s">
        <v>106</v>
      </c>
      <c r="J437" s="892"/>
      <c r="K437" s="892"/>
      <c r="L437" s="893"/>
      <c r="N437" s="605" t="s">
        <v>288</v>
      </c>
      <c r="O437" s="605"/>
      <c r="P437" s="605"/>
    </row>
    <row r="438" spans="1:16" ht="30.75" thickBot="1">
      <c r="A438" s="57" t="s">
        <v>100</v>
      </c>
      <c r="B438" s="58" t="s">
        <v>108</v>
      </c>
      <c r="C438" s="59" t="s">
        <v>109</v>
      </c>
      <c r="D438" s="60" t="s">
        <v>110</v>
      </c>
      <c r="I438" s="57" t="s">
        <v>100</v>
      </c>
      <c r="J438" s="58" t="s">
        <v>108</v>
      </c>
      <c r="K438" s="59" t="s">
        <v>109</v>
      </c>
      <c r="L438" s="60" t="s">
        <v>110</v>
      </c>
      <c r="N438" s="202"/>
      <c r="O438" s="202"/>
      <c r="P438" s="202"/>
    </row>
    <row r="439" spans="1:16" ht="15" customHeight="1">
      <c r="A439" s="71">
        <v>719</v>
      </c>
      <c r="B439" s="73" t="e">
        <f>+H421+H423+H425+#REF!+H427</f>
        <v>#REF!</v>
      </c>
      <c r="C439" s="74" t="e">
        <f>+D404</f>
        <v>#REF!</v>
      </c>
      <c r="D439" s="76" t="e">
        <f>+B439+C439</f>
        <v>#REF!</v>
      </c>
      <c r="I439" s="71">
        <v>719</v>
      </c>
      <c r="J439" s="73">
        <f>+P421+P423</f>
        <v>1170000</v>
      </c>
      <c r="K439" s="74">
        <f>+L404</f>
        <v>1250000</v>
      </c>
      <c r="L439" s="195">
        <f>+J439+K439</f>
        <v>2420000</v>
      </c>
      <c r="N439" s="202"/>
      <c r="O439" s="202"/>
      <c r="P439" s="202"/>
    </row>
    <row r="440" spans="1:16" ht="13.5" customHeight="1">
      <c r="A440" s="72">
        <v>721</v>
      </c>
      <c r="B440" s="80" t="e">
        <f>+H422+H424+H426+#REF!+H428</f>
        <v>#REF!</v>
      </c>
      <c r="C440" s="74" t="e">
        <f>+D405</f>
        <v>#REF!</v>
      </c>
      <c r="D440" s="76" t="e">
        <f>+B440+C440</f>
        <v>#REF!</v>
      </c>
      <c r="I440" s="72">
        <v>721</v>
      </c>
      <c r="J440" s="80">
        <f>+P422+P424+P426+P428</f>
        <v>409500</v>
      </c>
      <c r="K440" s="74">
        <f>+L405</f>
        <v>437500</v>
      </c>
      <c r="L440" s="195">
        <f>+J440+K440</f>
        <v>847000</v>
      </c>
      <c r="N440" s="202"/>
      <c r="O440" s="202"/>
      <c r="P440" s="202"/>
    </row>
    <row r="441" spans="1:16" ht="12.75" customHeight="1">
      <c r="A441" s="72">
        <v>722</v>
      </c>
      <c r="B441" s="80"/>
      <c r="C441" s="74">
        <f>+D406</f>
        <v>231207671</v>
      </c>
      <c r="D441" s="76">
        <f>+B441+C441</f>
        <v>231207671</v>
      </c>
      <c r="I441" s="72">
        <v>722</v>
      </c>
      <c r="J441" s="80"/>
      <c r="K441" s="74">
        <f>+L406</f>
        <v>0</v>
      </c>
      <c r="L441" s="195">
        <f>+J441+K441</f>
        <v>0</v>
      </c>
      <c r="N441" s="202"/>
      <c r="O441" s="202"/>
      <c r="P441" s="202"/>
    </row>
    <row r="442" spans="1:16" ht="14.25" customHeight="1">
      <c r="A442" s="72">
        <v>723</v>
      </c>
      <c r="B442" s="80"/>
      <c r="C442" s="74" t="e">
        <f>+D407</f>
        <v>#REF!</v>
      </c>
      <c r="D442" s="76" t="e">
        <f>+B442+C442</f>
        <v>#REF!</v>
      </c>
      <c r="F442" s="193" t="s">
        <v>289</v>
      </c>
      <c r="G442" s="175"/>
      <c r="I442" s="72">
        <v>723</v>
      </c>
      <c r="J442" s="80"/>
      <c r="K442" s="74">
        <f>+L407</f>
        <v>300941753</v>
      </c>
      <c r="L442" s="195">
        <f>+J442+K442</f>
        <v>300941753</v>
      </c>
      <c r="N442" s="918" t="s">
        <v>1696</v>
      </c>
      <c r="O442" s="608"/>
      <c r="P442" s="608"/>
    </row>
    <row r="443" spans="1:16" ht="15.75" customHeight="1" thickBot="1">
      <c r="A443" s="164" t="s">
        <v>181</v>
      </c>
      <c r="B443" s="165"/>
      <c r="C443" s="74">
        <f>+D408</f>
        <v>1965625</v>
      </c>
      <c r="D443" s="168">
        <f>+B443+C443</f>
        <v>1965625</v>
      </c>
      <c r="F443" s="52"/>
      <c r="I443" s="164" t="s">
        <v>181</v>
      </c>
      <c r="J443" s="165"/>
      <c r="K443" s="74">
        <f>+L408</f>
        <v>-298880</v>
      </c>
      <c r="L443" s="196">
        <f>+J443+K443</f>
        <v>-298880</v>
      </c>
      <c r="N443" s="52"/>
    </row>
    <row r="444" spans="1:16" ht="16.5" customHeight="1" thickBot="1">
      <c r="A444" s="169"/>
      <c r="B444" s="170" t="e">
        <f>SUM(B439:B443)</f>
        <v>#REF!</v>
      </c>
      <c r="C444" s="171" t="e">
        <f>SUM(C439:C443)</f>
        <v>#REF!</v>
      </c>
      <c r="D444" s="172" t="e">
        <f>SUM(D439:D443)</f>
        <v>#REF!</v>
      </c>
      <c r="I444" s="169"/>
      <c r="J444" s="197">
        <f>SUM(J439:J443)</f>
        <v>1579500</v>
      </c>
      <c r="K444" s="197">
        <f>SUM(K439:K443)</f>
        <v>302330373</v>
      </c>
      <c r="L444" s="198">
        <f>SUM(L439:L443)</f>
        <v>303909873</v>
      </c>
    </row>
    <row r="445" spans="1:16" ht="13.5" customHeight="1">
      <c r="A445" s="49" t="s">
        <v>88</v>
      </c>
      <c r="B445" s="50"/>
      <c r="I445" s="49" t="s">
        <v>88</v>
      </c>
      <c r="J445" s="50"/>
    </row>
    <row r="446" spans="1:16" ht="12.75" customHeight="1">
      <c r="A446" s="51" t="s">
        <v>89</v>
      </c>
      <c r="I446" s="51" t="s">
        <v>89</v>
      </c>
    </row>
    <row r="447" spans="1:16" ht="13.5" customHeight="1">
      <c r="A447" s="51" t="s">
        <v>90</v>
      </c>
      <c r="I447" s="51" t="s">
        <v>90</v>
      </c>
    </row>
    <row r="448" spans="1:16" ht="12.75" customHeight="1">
      <c r="A448" s="51" t="s">
        <v>91</v>
      </c>
      <c r="I448" s="51" t="s">
        <v>91</v>
      </c>
    </row>
    <row r="449" spans="1:16" ht="3.75" customHeight="1">
      <c r="A449" s="50"/>
      <c r="B449" s="50"/>
      <c r="I449" s="50"/>
      <c r="J449" s="50"/>
    </row>
    <row r="450" spans="1:16" ht="12.75" customHeight="1">
      <c r="A450" s="52" t="s">
        <v>299</v>
      </c>
      <c r="G450" s="52"/>
      <c r="I450" s="52" t="s">
        <v>636</v>
      </c>
      <c r="O450" s="52"/>
    </row>
    <row r="451" spans="1:16" ht="15.75">
      <c r="A451" s="53" t="s">
        <v>92</v>
      </c>
      <c r="G451" s="53"/>
      <c r="I451" s="53" t="s">
        <v>2012</v>
      </c>
      <c r="O451" s="53"/>
    </row>
    <row r="452" spans="1:16" ht="13.5" customHeight="1">
      <c r="A452" s="894" t="s">
        <v>261</v>
      </c>
      <c r="B452" s="894"/>
      <c r="C452" s="894"/>
      <c r="D452" s="894"/>
      <c r="E452" s="894"/>
      <c r="F452" s="894"/>
      <c r="G452" s="894"/>
      <c r="H452" s="894"/>
      <c r="I452" s="894" t="s">
        <v>212</v>
      </c>
      <c r="J452" s="894"/>
      <c r="K452" s="894"/>
      <c r="L452" s="894"/>
      <c r="M452" s="894"/>
      <c r="N452" s="894"/>
      <c r="O452" s="894"/>
      <c r="P452" s="894"/>
    </row>
    <row r="453" spans="1:16" ht="9" customHeight="1" thickBot="1"/>
    <row r="454" spans="1:16">
      <c r="A454" s="895" t="s">
        <v>94</v>
      </c>
      <c r="B454" s="897" t="s">
        <v>95</v>
      </c>
      <c r="C454" s="897" t="s">
        <v>96</v>
      </c>
      <c r="D454" s="897" t="s">
        <v>3</v>
      </c>
      <c r="E454" s="897" t="s">
        <v>97</v>
      </c>
      <c r="F454" s="897" t="s">
        <v>98</v>
      </c>
      <c r="G454" s="897" t="s">
        <v>99</v>
      </c>
      <c r="H454" s="899"/>
      <c r="I454" s="895" t="s">
        <v>94</v>
      </c>
      <c r="J454" s="897" t="s">
        <v>95</v>
      </c>
      <c r="K454" s="897" t="s">
        <v>96</v>
      </c>
      <c r="L454" s="897" t="s">
        <v>3</v>
      </c>
      <c r="M454" s="897" t="s">
        <v>97</v>
      </c>
      <c r="N454" s="897" t="s">
        <v>98</v>
      </c>
      <c r="O454" s="897" t="s">
        <v>99</v>
      </c>
      <c r="P454" s="899"/>
    </row>
    <row r="455" spans="1:16" ht="15.75" thickBot="1">
      <c r="A455" s="896"/>
      <c r="B455" s="898"/>
      <c r="C455" s="898"/>
      <c r="D455" s="898"/>
      <c r="E455" s="898"/>
      <c r="F455" s="898"/>
      <c r="G455" s="240" t="s">
        <v>100</v>
      </c>
      <c r="H455" s="182" t="s">
        <v>101</v>
      </c>
      <c r="I455" s="896"/>
      <c r="J455" s="898"/>
      <c r="K455" s="898"/>
      <c r="L455" s="898"/>
      <c r="M455" s="898"/>
      <c r="N455" s="898"/>
      <c r="O455" s="240" t="s">
        <v>100</v>
      </c>
      <c r="P455" s="182" t="s">
        <v>101</v>
      </c>
    </row>
    <row r="456" spans="1:16" ht="14.25" customHeight="1">
      <c r="A456" s="881" t="e">
        <f>+A425+1</f>
        <v>#REF!</v>
      </c>
      <c r="B456" s="875">
        <v>42278</v>
      </c>
      <c r="C456" s="877" t="s">
        <v>267</v>
      </c>
      <c r="D456" s="881" t="s">
        <v>300</v>
      </c>
      <c r="E456" s="881" t="s">
        <v>148</v>
      </c>
      <c r="F456" s="883">
        <v>196000</v>
      </c>
      <c r="G456" s="55">
        <v>719</v>
      </c>
      <c r="H456" s="78">
        <v>160000</v>
      </c>
      <c r="I456" s="873" t="s">
        <v>642</v>
      </c>
      <c r="J456" s="875">
        <v>44316</v>
      </c>
      <c r="K456" s="877" t="s">
        <v>1079</v>
      </c>
      <c r="L456" s="881" t="s">
        <v>2077</v>
      </c>
      <c r="M456" s="881" t="s">
        <v>148</v>
      </c>
      <c r="N456" s="883">
        <v>1093500</v>
      </c>
      <c r="O456" s="55">
        <v>719</v>
      </c>
      <c r="P456" s="78">
        <v>810000</v>
      </c>
    </row>
    <row r="457" spans="1:16" ht="13.5" customHeight="1" thickBot="1">
      <c r="A457" s="882"/>
      <c r="B457" s="934"/>
      <c r="C457" s="878"/>
      <c r="D457" s="882"/>
      <c r="E457" s="882"/>
      <c r="F457" s="884"/>
      <c r="G457" s="56">
        <v>721</v>
      </c>
      <c r="H457" s="79">
        <f>+F456-H456</f>
        <v>36000</v>
      </c>
      <c r="I457" s="882"/>
      <c r="J457" s="876"/>
      <c r="K457" s="878"/>
      <c r="L457" s="882"/>
      <c r="M457" s="882"/>
      <c r="N457" s="884"/>
      <c r="O457" s="56">
        <v>723</v>
      </c>
      <c r="P457" s="79">
        <f>+N456-P456</f>
        <v>283500</v>
      </c>
    </row>
    <row r="458" spans="1:16" ht="12.75" customHeight="1">
      <c r="A458" s="881" t="e">
        <f>+A456+1</f>
        <v>#REF!</v>
      </c>
      <c r="B458" s="875">
        <v>42278</v>
      </c>
      <c r="C458" s="881" t="s">
        <v>28</v>
      </c>
      <c r="D458" s="881" t="s">
        <v>301</v>
      </c>
      <c r="E458" s="881" t="s">
        <v>148</v>
      </c>
      <c r="F458" s="883">
        <v>224000</v>
      </c>
      <c r="G458" s="55">
        <v>719</v>
      </c>
      <c r="H458" s="78">
        <v>160000</v>
      </c>
      <c r="I458" s="873" t="s">
        <v>643</v>
      </c>
      <c r="J458" s="875">
        <v>44316</v>
      </c>
      <c r="K458" s="877" t="s">
        <v>1079</v>
      </c>
      <c r="L458" s="881" t="s">
        <v>2078</v>
      </c>
      <c r="M458" s="881" t="s">
        <v>148</v>
      </c>
      <c r="N458" s="883">
        <v>1161000</v>
      </c>
      <c r="O458" s="55">
        <v>719</v>
      </c>
      <c r="P458" s="78">
        <v>860000</v>
      </c>
    </row>
    <row r="459" spans="1:16" ht="13.5" customHeight="1" thickBot="1">
      <c r="A459" s="882"/>
      <c r="B459" s="934"/>
      <c r="C459" s="882"/>
      <c r="D459" s="882"/>
      <c r="E459" s="882"/>
      <c r="F459" s="884"/>
      <c r="G459" s="56">
        <v>721</v>
      </c>
      <c r="H459" s="79">
        <f>+F458-H458</f>
        <v>64000</v>
      </c>
      <c r="I459" s="882"/>
      <c r="J459" s="876"/>
      <c r="K459" s="878"/>
      <c r="L459" s="882"/>
      <c r="M459" s="882"/>
      <c r="N459" s="884"/>
      <c r="O459" s="56">
        <v>723</v>
      </c>
      <c r="P459" s="79">
        <f>+N458-P458</f>
        <v>301000</v>
      </c>
    </row>
    <row r="460" spans="1:16" ht="13.5" customHeight="1">
      <c r="A460" s="881" t="e">
        <f>+A458+1</f>
        <v>#REF!</v>
      </c>
      <c r="B460" s="875">
        <v>42278</v>
      </c>
      <c r="C460" s="877" t="s">
        <v>32</v>
      </c>
      <c r="D460" s="881" t="s">
        <v>301</v>
      </c>
      <c r="E460" s="881" t="s">
        <v>148</v>
      </c>
      <c r="F460" s="883">
        <v>112000</v>
      </c>
      <c r="G460" s="55">
        <v>719</v>
      </c>
      <c r="H460" s="78">
        <v>80000</v>
      </c>
      <c r="I460" s="873" t="s">
        <v>644</v>
      </c>
      <c r="J460" s="875">
        <v>44316</v>
      </c>
      <c r="K460" s="877" t="s">
        <v>111</v>
      </c>
      <c r="L460" s="881" t="s">
        <v>2079</v>
      </c>
      <c r="M460" s="881" t="s">
        <v>148</v>
      </c>
      <c r="N460" s="883">
        <v>864000</v>
      </c>
      <c r="O460" s="55">
        <v>719</v>
      </c>
      <c r="P460" s="78">
        <v>640000</v>
      </c>
    </row>
    <row r="461" spans="1:16" ht="13.5" customHeight="1" thickBot="1">
      <c r="A461" s="882"/>
      <c r="B461" s="934"/>
      <c r="C461" s="878"/>
      <c r="D461" s="882"/>
      <c r="E461" s="882"/>
      <c r="F461" s="884"/>
      <c r="G461" s="56">
        <v>721</v>
      </c>
      <c r="H461" s="79">
        <f>+F460-H460</f>
        <v>32000</v>
      </c>
      <c r="I461" s="882"/>
      <c r="J461" s="876"/>
      <c r="K461" s="878"/>
      <c r="L461" s="882"/>
      <c r="M461" s="882"/>
      <c r="N461" s="884"/>
      <c r="O461" s="56">
        <v>723</v>
      </c>
      <c r="P461" s="79">
        <f>+N460-P460</f>
        <v>224000</v>
      </c>
    </row>
    <row r="462" spans="1:16" ht="12.75" customHeight="1">
      <c r="A462" s="881" t="e">
        <f>+A460+1</f>
        <v>#REF!</v>
      </c>
      <c r="B462" s="875">
        <v>42278</v>
      </c>
      <c r="C462" s="877" t="s">
        <v>111</v>
      </c>
      <c r="D462" s="881" t="s">
        <v>302</v>
      </c>
      <c r="E462" s="881" t="s">
        <v>148</v>
      </c>
      <c r="F462" s="883">
        <v>84000</v>
      </c>
      <c r="G462" s="55">
        <v>719</v>
      </c>
      <c r="H462" s="78">
        <v>60000</v>
      </c>
      <c r="I462" s="873" t="s">
        <v>645</v>
      </c>
      <c r="J462" s="875">
        <v>44316</v>
      </c>
      <c r="K462" s="877" t="s">
        <v>111</v>
      </c>
      <c r="L462" s="881" t="s">
        <v>2078</v>
      </c>
      <c r="M462" s="881" t="s">
        <v>148</v>
      </c>
      <c r="N462" s="883">
        <v>486000</v>
      </c>
      <c r="O462" s="55">
        <v>719</v>
      </c>
      <c r="P462" s="78">
        <v>360000</v>
      </c>
    </row>
    <row r="463" spans="1:16" ht="14.25" customHeight="1" thickBot="1">
      <c r="A463" s="882"/>
      <c r="B463" s="934"/>
      <c r="C463" s="878"/>
      <c r="D463" s="882"/>
      <c r="E463" s="882"/>
      <c r="F463" s="884"/>
      <c r="G463" s="56">
        <v>721</v>
      </c>
      <c r="H463" s="79">
        <f>+F462-H462</f>
        <v>24000</v>
      </c>
      <c r="I463" s="882"/>
      <c r="J463" s="876"/>
      <c r="K463" s="878"/>
      <c r="L463" s="882"/>
      <c r="M463" s="882"/>
      <c r="N463" s="884"/>
      <c r="O463" s="56">
        <v>723</v>
      </c>
      <c r="P463" s="79">
        <f>+N462-P462</f>
        <v>126000</v>
      </c>
    </row>
    <row r="464" spans="1:16" ht="16.5" thickBot="1">
      <c r="A464" s="901" t="s">
        <v>102</v>
      </c>
      <c r="B464" s="902"/>
      <c r="C464" s="902"/>
      <c r="D464" s="902"/>
      <c r="E464" s="903"/>
      <c r="F464" s="81">
        <f>SUM(F456:F463)</f>
        <v>616000</v>
      </c>
      <c r="I464" s="901" t="s">
        <v>102</v>
      </c>
      <c r="J464" s="902"/>
      <c r="K464" s="902"/>
      <c r="L464" s="902"/>
      <c r="M464" s="903"/>
      <c r="N464" s="81">
        <f>SUM(N456:N463)</f>
        <v>3604500</v>
      </c>
    </row>
    <row r="465" spans="1:16" ht="16.5" thickBot="1">
      <c r="A465" s="885" t="s">
        <v>103</v>
      </c>
      <c r="B465" s="886"/>
      <c r="C465" s="886"/>
      <c r="D465" s="886"/>
      <c r="E465" s="887"/>
      <c r="F465" s="69">
        <f>+F431</f>
        <v>625490225</v>
      </c>
      <c r="I465" s="885" t="s">
        <v>103</v>
      </c>
      <c r="J465" s="886"/>
      <c r="K465" s="886"/>
      <c r="L465" s="886"/>
      <c r="M465" s="887"/>
      <c r="N465" s="239">
        <f>+N431</f>
        <v>303909873</v>
      </c>
      <c r="O465" s="241" t="s">
        <v>561</v>
      </c>
      <c r="P465" s="242"/>
    </row>
    <row r="466" spans="1:16" ht="16.5" thickBot="1">
      <c r="A466" s="888" t="s">
        <v>104</v>
      </c>
      <c r="B466" s="889"/>
      <c r="C466" s="889"/>
      <c r="D466" s="889"/>
      <c r="E466" s="890"/>
      <c r="F466" s="183">
        <f>SUM(F464:F465)</f>
        <v>626106225</v>
      </c>
      <c r="I466" s="888" t="s">
        <v>104</v>
      </c>
      <c r="J466" s="889"/>
      <c r="K466" s="889"/>
      <c r="L466" s="889"/>
      <c r="M466" s="890"/>
      <c r="N466" s="183">
        <f>SUM(N464:N465)</f>
        <v>307514373</v>
      </c>
    </row>
    <row r="467" spans="1:16" ht="13.5" customHeight="1">
      <c r="A467" s="61"/>
      <c r="B467" s="61"/>
      <c r="C467" s="61"/>
      <c r="D467" s="61"/>
      <c r="E467" s="61"/>
      <c r="I467" s="61"/>
      <c r="J467" s="61"/>
      <c r="K467" s="61"/>
      <c r="L467" s="61"/>
      <c r="M467" s="61"/>
    </row>
    <row r="468" spans="1:16">
      <c r="A468" s="51" t="s">
        <v>303</v>
      </c>
      <c r="I468" s="51" t="s">
        <v>2080</v>
      </c>
    </row>
    <row r="469" spans="1:16" ht="11.25" customHeight="1">
      <c r="F469" s="139"/>
      <c r="N469" s="139"/>
    </row>
    <row r="470" spans="1:16">
      <c r="A470" s="50" t="s">
        <v>105</v>
      </c>
      <c r="D470" s="146"/>
      <c r="F470" s="139"/>
      <c r="I470" s="50" t="s">
        <v>105</v>
      </c>
      <c r="L470" s="146"/>
      <c r="N470" s="139"/>
    </row>
    <row r="471" spans="1:16" ht="11.25" customHeight="1" thickBot="1"/>
    <row r="472" spans="1:16" ht="17.25" thickBot="1">
      <c r="A472" s="891" t="s">
        <v>106</v>
      </c>
      <c r="B472" s="892"/>
      <c r="C472" s="892"/>
      <c r="D472" s="893"/>
      <c r="F472" s="50" t="s">
        <v>288</v>
      </c>
      <c r="I472" s="891" t="s">
        <v>106</v>
      </c>
      <c r="J472" s="892"/>
      <c r="K472" s="892"/>
      <c r="L472" s="893"/>
      <c r="N472" s="605" t="s">
        <v>288</v>
      </c>
      <c r="O472" s="605"/>
      <c r="P472" s="605"/>
    </row>
    <row r="473" spans="1:16" ht="28.5" customHeight="1" thickBot="1">
      <c r="A473" s="57" t="s">
        <v>100</v>
      </c>
      <c r="B473" s="58" t="s">
        <v>108</v>
      </c>
      <c r="C473" s="59" t="s">
        <v>109</v>
      </c>
      <c r="D473" s="60" t="s">
        <v>110</v>
      </c>
      <c r="I473" s="57" t="s">
        <v>100</v>
      </c>
      <c r="J473" s="58" t="s">
        <v>108</v>
      </c>
      <c r="K473" s="59" t="s">
        <v>109</v>
      </c>
      <c r="L473" s="60" t="s">
        <v>110</v>
      </c>
      <c r="N473" s="202"/>
      <c r="O473" s="202"/>
      <c r="P473" s="202"/>
    </row>
    <row r="474" spans="1:16" ht="15" customHeight="1">
      <c r="A474" s="71">
        <v>719</v>
      </c>
      <c r="B474" s="73" t="e">
        <f>+H456+H458+H460+H462+#REF!</f>
        <v>#REF!</v>
      </c>
      <c r="C474" s="74" t="e">
        <f>+D439</f>
        <v>#REF!</v>
      </c>
      <c r="D474" s="195" t="e">
        <f>+B474+C474</f>
        <v>#REF!</v>
      </c>
      <c r="I474" s="71">
        <v>719</v>
      </c>
      <c r="J474" s="73">
        <f>+P456+P458+P460+P462</f>
        <v>2670000</v>
      </c>
      <c r="K474" s="74">
        <f>+L439</f>
        <v>2420000</v>
      </c>
      <c r="L474" s="195">
        <f>+J474+K474</f>
        <v>5090000</v>
      </c>
      <c r="N474" s="202"/>
      <c r="O474" s="202"/>
      <c r="P474" s="202"/>
    </row>
    <row r="475" spans="1:16" ht="13.5" customHeight="1">
      <c r="A475" s="72">
        <v>721</v>
      </c>
      <c r="B475" s="80" t="e">
        <f>+H457+H459+H461+H463+#REF!</f>
        <v>#REF!</v>
      </c>
      <c r="C475" s="74" t="e">
        <f>+D440</f>
        <v>#REF!</v>
      </c>
      <c r="D475" s="195" t="e">
        <f>+B475+C475</f>
        <v>#REF!</v>
      </c>
      <c r="I475" s="72">
        <v>721</v>
      </c>
      <c r="J475" s="80">
        <f>+P457+P459+P461+P463</f>
        <v>934500</v>
      </c>
      <c r="K475" s="74">
        <f>+L440</f>
        <v>847000</v>
      </c>
      <c r="L475" s="195">
        <f>+J475+K475</f>
        <v>1781500</v>
      </c>
      <c r="N475" s="202"/>
      <c r="O475" s="202"/>
      <c r="P475" s="202"/>
    </row>
    <row r="476" spans="1:16" ht="15" customHeight="1">
      <c r="A476" s="72">
        <v>722</v>
      </c>
      <c r="B476" s="80"/>
      <c r="C476" s="74">
        <f>+D441</f>
        <v>231207671</v>
      </c>
      <c r="D476" s="195">
        <f>+B476+C476</f>
        <v>231207671</v>
      </c>
      <c r="I476" s="72">
        <v>722</v>
      </c>
      <c r="J476" s="80"/>
      <c r="K476" s="74">
        <f>+L441</f>
        <v>0</v>
      </c>
      <c r="L476" s="195">
        <f>+J476+K476</f>
        <v>0</v>
      </c>
      <c r="N476" s="202"/>
      <c r="O476" s="202"/>
      <c r="P476" s="202"/>
    </row>
    <row r="477" spans="1:16" ht="14.25" customHeight="1">
      <c r="A477" s="72">
        <v>723</v>
      </c>
      <c r="B477" s="80"/>
      <c r="C477" s="74" t="e">
        <f>+D442</f>
        <v>#REF!</v>
      </c>
      <c r="D477" s="195" t="e">
        <f>+B477+C477</f>
        <v>#REF!</v>
      </c>
      <c r="F477" s="193" t="s">
        <v>289</v>
      </c>
      <c r="G477" s="175"/>
      <c r="I477" s="72">
        <v>723</v>
      </c>
      <c r="J477" s="80"/>
      <c r="K477" s="74">
        <f>+L442</f>
        <v>300941753</v>
      </c>
      <c r="L477" s="195">
        <f>+J477+K477</f>
        <v>300941753</v>
      </c>
      <c r="N477" s="918" t="s">
        <v>1696</v>
      </c>
      <c r="O477" s="608"/>
      <c r="P477" s="608"/>
    </row>
    <row r="478" spans="1:16" ht="15" customHeight="1" thickBot="1">
      <c r="A478" s="164" t="s">
        <v>181</v>
      </c>
      <c r="B478" s="165"/>
      <c r="C478" s="74">
        <f>+D443</f>
        <v>1965625</v>
      </c>
      <c r="D478" s="196">
        <f>+B478+C478</f>
        <v>1965625</v>
      </c>
      <c r="F478" s="52"/>
      <c r="I478" s="164" t="s">
        <v>181</v>
      </c>
      <c r="J478" s="165"/>
      <c r="K478" s="74">
        <f>+L443</f>
        <v>-298880</v>
      </c>
      <c r="L478" s="196">
        <f>+J478+K478</f>
        <v>-298880</v>
      </c>
      <c r="N478" s="52"/>
    </row>
    <row r="479" spans="1:16" ht="15" customHeight="1" thickBot="1">
      <c r="A479" s="169"/>
      <c r="B479" s="170" t="e">
        <f>SUM(B474:B478)</f>
        <v>#REF!</v>
      </c>
      <c r="C479" s="171" t="e">
        <f>SUM(C474:C478)</f>
        <v>#REF!</v>
      </c>
      <c r="D479" s="172" t="e">
        <f>SUM(D474:D478)</f>
        <v>#REF!</v>
      </c>
      <c r="I479" s="169"/>
      <c r="J479" s="197">
        <f>SUM(J474:J478)</f>
        <v>3604500</v>
      </c>
      <c r="K479" s="197">
        <f>SUM(K474:K478)</f>
        <v>303909873</v>
      </c>
      <c r="L479" s="198">
        <f>SUM(L474:L478)</f>
        <v>307514373</v>
      </c>
    </row>
    <row r="480" spans="1:16" ht="16.5">
      <c r="A480" s="49" t="s">
        <v>88</v>
      </c>
      <c r="B480" s="50"/>
      <c r="I480" s="49" t="s">
        <v>88</v>
      </c>
      <c r="J480" s="50"/>
    </row>
    <row r="481" spans="1:16" ht="13.5" customHeight="1">
      <c r="A481" s="51" t="s">
        <v>89</v>
      </c>
      <c r="I481" s="51" t="s">
        <v>89</v>
      </c>
    </row>
    <row r="482" spans="1:16">
      <c r="A482" s="51" t="s">
        <v>90</v>
      </c>
      <c r="I482" s="51" t="s">
        <v>90</v>
      </c>
    </row>
    <row r="483" spans="1:16">
      <c r="A483" s="51" t="s">
        <v>91</v>
      </c>
      <c r="I483" s="51" t="s">
        <v>91</v>
      </c>
    </row>
    <row r="484" spans="1:16" ht="5.25" customHeight="1">
      <c r="A484" s="50"/>
      <c r="B484" s="50"/>
      <c r="I484" s="50"/>
      <c r="J484" s="50"/>
    </row>
    <row r="485" spans="1:16" ht="16.5">
      <c r="A485" s="52" t="s">
        <v>307</v>
      </c>
      <c r="G485" s="52"/>
      <c r="I485" s="52" t="s">
        <v>637</v>
      </c>
      <c r="O485" s="52"/>
    </row>
    <row r="486" spans="1:16" ht="15.75">
      <c r="A486" s="53" t="s">
        <v>92</v>
      </c>
      <c r="G486" s="53"/>
      <c r="I486" s="53" t="s">
        <v>2012</v>
      </c>
      <c r="O486" s="53"/>
    </row>
    <row r="487" spans="1:16" ht="16.5">
      <c r="A487" s="894" t="s">
        <v>261</v>
      </c>
      <c r="B487" s="894"/>
      <c r="C487" s="894"/>
      <c r="D487" s="894"/>
      <c r="E487" s="894"/>
      <c r="F487" s="894"/>
      <c r="G487" s="894"/>
      <c r="H487" s="894"/>
      <c r="I487" s="894" t="s">
        <v>2083</v>
      </c>
      <c r="J487" s="894"/>
      <c r="K487" s="894"/>
      <c r="L487" s="894"/>
      <c r="M487" s="894"/>
      <c r="N487" s="894"/>
      <c r="O487" s="894"/>
      <c r="P487" s="894"/>
    </row>
    <row r="488" spans="1:16" ht="12.75" customHeight="1" thickBot="1"/>
    <row r="489" spans="1:16">
      <c r="A489" s="895" t="s">
        <v>94</v>
      </c>
      <c r="B489" s="897" t="s">
        <v>95</v>
      </c>
      <c r="C489" s="897" t="s">
        <v>96</v>
      </c>
      <c r="D489" s="897" t="s">
        <v>3</v>
      </c>
      <c r="E489" s="897" t="s">
        <v>97</v>
      </c>
      <c r="F489" s="897" t="s">
        <v>98</v>
      </c>
      <c r="G489" s="897" t="s">
        <v>99</v>
      </c>
      <c r="H489" s="899"/>
      <c r="I489" s="895" t="s">
        <v>94</v>
      </c>
      <c r="J489" s="897" t="s">
        <v>95</v>
      </c>
      <c r="K489" s="897" t="s">
        <v>96</v>
      </c>
      <c r="L489" s="897" t="s">
        <v>3</v>
      </c>
      <c r="M489" s="897" t="s">
        <v>97</v>
      </c>
      <c r="N489" s="897" t="s">
        <v>98</v>
      </c>
      <c r="O489" s="897" t="s">
        <v>99</v>
      </c>
      <c r="P489" s="899"/>
    </row>
    <row r="490" spans="1:16" ht="15.75" thickBot="1">
      <c r="A490" s="896"/>
      <c r="B490" s="898"/>
      <c r="C490" s="898"/>
      <c r="D490" s="898"/>
      <c r="E490" s="898"/>
      <c r="F490" s="898"/>
      <c r="G490" s="240" t="s">
        <v>100</v>
      </c>
      <c r="H490" s="182" t="s">
        <v>101</v>
      </c>
      <c r="I490" s="896"/>
      <c r="J490" s="898"/>
      <c r="K490" s="898"/>
      <c r="L490" s="898"/>
      <c r="M490" s="898"/>
      <c r="N490" s="898"/>
      <c r="O490" s="240" t="s">
        <v>100</v>
      </c>
      <c r="P490" s="182" t="s">
        <v>101</v>
      </c>
    </row>
    <row r="491" spans="1:16" ht="13.5" customHeight="1">
      <c r="A491" s="881" t="e">
        <f>+#REF!+1</f>
        <v>#REF!</v>
      </c>
      <c r="B491" s="875">
        <v>42278</v>
      </c>
      <c r="C491" s="877" t="s">
        <v>272</v>
      </c>
      <c r="D491" s="881" t="s">
        <v>305</v>
      </c>
      <c r="E491" s="881" t="s">
        <v>148</v>
      </c>
      <c r="F491" s="883">
        <v>100000</v>
      </c>
      <c r="G491" s="55">
        <v>719</v>
      </c>
      <c r="H491" s="78">
        <v>100000</v>
      </c>
      <c r="I491" s="873" t="s">
        <v>1433</v>
      </c>
      <c r="J491" s="875">
        <v>44323</v>
      </c>
      <c r="K491" s="877" t="s">
        <v>815</v>
      </c>
      <c r="L491" s="881" t="s">
        <v>2081</v>
      </c>
      <c r="M491" s="881" t="s">
        <v>115</v>
      </c>
      <c r="N491" s="883">
        <v>850500</v>
      </c>
      <c r="O491" s="55">
        <v>719</v>
      </c>
      <c r="P491" s="78">
        <v>630000</v>
      </c>
    </row>
    <row r="492" spans="1:16" ht="12.75" customHeight="1" thickBot="1">
      <c r="A492" s="882"/>
      <c r="B492" s="934"/>
      <c r="C492" s="878"/>
      <c r="D492" s="882"/>
      <c r="E492" s="882"/>
      <c r="F492" s="884"/>
      <c r="G492" s="56">
        <v>721</v>
      </c>
      <c r="H492" s="79">
        <f>+F491-H491</f>
        <v>0</v>
      </c>
      <c r="I492" s="882"/>
      <c r="J492" s="876"/>
      <c r="K492" s="878"/>
      <c r="L492" s="882"/>
      <c r="M492" s="882"/>
      <c r="N492" s="884"/>
      <c r="O492" s="461">
        <v>723</v>
      </c>
      <c r="P492" s="352">
        <f>+N491-P491</f>
        <v>220500</v>
      </c>
    </row>
    <row r="493" spans="1:16" ht="12.75" customHeight="1">
      <c r="A493" s="251"/>
      <c r="B493" s="452"/>
      <c r="C493" s="253"/>
      <c r="D493" s="251"/>
      <c r="E493" s="251"/>
      <c r="F493" s="254"/>
      <c r="G493" s="255"/>
      <c r="H493" s="256"/>
      <c r="I493" s="873" t="s">
        <v>1434</v>
      </c>
      <c r="J493" s="875">
        <v>44323</v>
      </c>
      <c r="K493" s="877" t="s">
        <v>1315</v>
      </c>
      <c r="L493" s="881" t="s">
        <v>2082</v>
      </c>
      <c r="M493" s="881" t="s">
        <v>148</v>
      </c>
      <c r="N493" s="883">
        <v>2150500</v>
      </c>
      <c r="O493" s="55">
        <v>719</v>
      </c>
      <c r="P493" s="78"/>
    </row>
    <row r="494" spans="1:16" ht="12.75" customHeight="1" thickBot="1">
      <c r="A494" s="251"/>
      <c r="B494" s="452"/>
      <c r="C494" s="253"/>
      <c r="D494" s="251"/>
      <c r="E494" s="251"/>
      <c r="F494" s="254"/>
      <c r="G494" s="255"/>
      <c r="H494" s="256"/>
      <c r="I494" s="882"/>
      <c r="J494" s="876"/>
      <c r="K494" s="878"/>
      <c r="L494" s="882"/>
      <c r="M494" s="882"/>
      <c r="N494" s="884"/>
      <c r="O494" s="461">
        <v>721</v>
      </c>
      <c r="P494" s="79">
        <f>+N493-P493</f>
        <v>2150500</v>
      </c>
    </row>
    <row r="495" spans="1:16" ht="12" customHeight="1">
      <c r="A495" s="881" t="e">
        <f>+A491+1</f>
        <v>#REF!</v>
      </c>
      <c r="B495" s="875">
        <v>42278</v>
      </c>
      <c r="C495" s="881" t="s">
        <v>28</v>
      </c>
      <c r="D495" s="881" t="s">
        <v>304</v>
      </c>
      <c r="E495" s="881" t="s">
        <v>115</v>
      </c>
      <c r="F495" s="883">
        <v>80000</v>
      </c>
      <c r="G495" s="55">
        <v>719</v>
      </c>
      <c r="H495" s="78">
        <v>80000</v>
      </c>
      <c r="I495" s="873" t="s">
        <v>1435</v>
      </c>
      <c r="J495" s="875">
        <v>44323</v>
      </c>
      <c r="K495" s="877" t="s">
        <v>1079</v>
      </c>
      <c r="L495" s="881" t="s">
        <v>2084</v>
      </c>
      <c r="M495" s="881" t="s">
        <v>148</v>
      </c>
      <c r="N495" s="883">
        <v>891000</v>
      </c>
      <c r="O495" s="55">
        <v>719</v>
      </c>
      <c r="P495" s="78">
        <v>660000</v>
      </c>
    </row>
    <row r="496" spans="1:16" ht="14.25" customHeight="1" thickBot="1">
      <c r="A496" s="882"/>
      <c r="B496" s="934"/>
      <c r="C496" s="882"/>
      <c r="D496" s="882"/>
      <c r="E496" s="882"/>
      <c r="F496" s="884"/>
      <c r="G496" s="56">
        <v>721</v>
      </c>
      <c r="H496" s="79">
        <f>+F495-H495</f>
        <v>0</v>
      </c>
      <c r="I496" s="882"/>
      <c r="J496" s="876"/>
      <c r="K496" s="878"/>
      <c r="L496" s="882"/>
      <c r="M496" s="882"/>
      <c r="N496" s="884"/>
      <c r="O496" s="461">
        <v>721</v>
      </c>
      <c r="P496" s="79">
        <f>+N495-P495</f>
        <v>231000</v>
      </c>
    </row>
    <row r="497" spans="1:16" ht="12.75" customHeight="1">
      <c r="A497" s="881"/>
      <c r="B497" s="875"/>
      <c r="C497" s="877"/>
      <c r="D497" s="881"/>
      <c r="E497" s="881"/>
      <c r="F497" s="883"/>
      <c r="G497" s="55">
        <v>719</v>
      </c>
      <c r="H497" s="78"/>
      <c r="I497" s="873" t="s">
        <v>1443</v>
      </c>
      <c r="J497" s="875">
        <v>44323</v>
      </c>
      <c r="K497" s="877" t="s">
        <v>1079</v>
      </c>
      <c r="L497" s="881" t="s">
        <v>2085</v>
      </c>
      <c r="M497" s="881" t="s">
        <v>148</v>
      </c>
      <c r="N497" s="883">
        <v>810000</v>
      </c>
      <c r="O497" s="55">
        <v>719</v>
      </c>
      <c r="P497" s="78">
        <v>600000</v>
      </c>
    </row>
    <row r="498" spans="1:16" ht="14.25" customHeight="1" thickBot="1">
      <c r="A498" s="882"/>
      <c r="B498" s="934"/>
      <c r="C498" s="878"/>
      <c r="D498" s="882"/>
      <c r="E498" s="882"/>
      <c r="F498" s="884"/>
      <c r="G498" s="56">
        <v>721</v>
      </c>
      <c r="H498" s="79">
        <f>+F497-H497</f>
        <v>0</v>
      </c>
      <c r="I498" s="882"/>
      <c r="J498" s="876"/>
      <c r="K498" s="878"/>
      <c r="L498" s="882"/>
      <c r="M498" s="882"/>
      <c r="N498" s="884"/>
      <c r="O498" s="461">
        <v>721</v>
      </c>
      <c r="P498" s="79">
        <f>+N497-P497</f>
        <v>210000</v>
      </c>
    </row>
    <row r="499" spans="1:16" ht="16.5" thickBot="1">
      <c r="A499" s="901" t="s">
        <v>102</v>
      </c>
      <c r="B499" s="902"/>
      <c r="C499" s="902"/>
      <c r="D499" s="902"/>
      <c r="E499" s="903"/>
      <c r="F499" s="81">
        <f>SUM(F491:F498)</f>
        <v>180000</v>
      </c>
      <c r="I499" s="901" t="s">
        <v>102</v>
      </c>
      <c r="J499" s="902"/>
      <c r="K499" s="902"/>
      <c r="L499" s="902"/>
      <c r="M499" s="903"/>
      <c r="N499" s="81">
        <f>SUM(N491:N498)</f>
        <v>4702000</v>
      </c>
    </row>
    <row r="500" spans="1:16" ht="16.5" thickBot="1">
      <c r="A500" s="885" t="s">
        <v>103</v>
      </c>
      <c r="B500" s="886"/>
      <c r="C500" s="886"/>
      <c r="D500" s="886"/>
      <c r="E500" s="887"/>
      <c r="F500" s="69">
        <f>+F466</f>
        <v>626106225</v>
      </c>
      <c r="I500" s="885" t="s">
        <v>103</v>
      </c>
      <c r="J500" s="886"/>
      <c r="K500" s="886"/>
      <c r="L500" s="886"/>
      <c r="M500" s="887"/>
      <c r="N500" s="239">
        <f>+N466</f>
        <v>307514373</v>
      </c>
      <c r="O500" s="241" t="s">
        <v>561</v>
      </c>
      <c r="P500" s="242"/>
    </row>
    <row r="501" spans="1:16" ht="16.5" thickBot="1">
      <c r="A501" s="888" t="s">
        <v>104</v>
      </c>
      <c r="B501" s="889"/>
      <c r="C501" s="889"/>
      <c r="D501" s="889"/>
      <c r="E501" s="890"/>
      <c r="F501" s="183">
        <f>SUM(F499:F500)</f>
        <v>626286225</v>
      </c>
      <c r="I501" s="888" t="s">
        <v>104</v>
      </c>
      <c r="J501" s="889"/>
      <c r="K501" s="889"/>
      <c r="L501" s="889"/>
      <c r="M501" s="890"/>
      <c r="N501" s="183">
        <f>SUM(N499:N500)</f>
        <v>312216373</v>
      </c>
    </row>
    <row r="502" spans="1:16" ht="9.75" customHeight="1">
      <c r="A502" s="61"/>
      <c r="B502" s="61"/>
      <c r="C502" s="61"/>
      <c r="D502" s="61"/>
      <c r="E502" s="61"/>
      <c r="I502" s="61"/>
      <c r="J502" s="61"/>
      <c r="K502" s="61"/>
      <c r="L502" s="61"/>
      <c r="M502" s="61"/>
    </row>
    <row r="503" spans="1:16">
      <c r="A503" s="51" t="s">
        <v>306</v>
      </c>
      <c r="I503" s="51" t="s">
        <v>2086</v>
      </c>
    </row>
    <row r="504" spans="1:16" ht="9.75" customHeight="1">
      <c r="F504" s="139"/>
      <c r="N504" s="139"/>
    </row>
    <row r="505" spans="1:16">
      <c r="A505" s="50" t="s">
        <v>105</v>
      </c>
      <c r="D505" s="146"/>
      <c r="F505" s="139"/>
      <c r="I505" s="50" t="s">
        <v>105</v>
      </c>
      <c r="L505" s="146"/>
      <c r="N505" s="139"/>
    </row>
    <row r="506" spans="1:16" ht="16.5" customHeight="1" thickBot="1"/>
    <row r="507" spans="1:16" ht="16.5" customHeight="1" thickBot="1">
      <c r="A507" s="891" t="s">
        <v>106</v>
      </c>
      <c r="B507" s="892"/>
      <c r="C507" s="892"/>
      <c r="D507" s="893"/>
      <c r="F507" s="50" t="s">
        <v>288</v>
      </c>
      <c r="I507" s="891" t="s">
        <v>106</v>
      </c>
      <c r="J507" s="892"/>
      <c r="K507" s="892"/>
      <c r="L507" s="893"/>
      <c r="N507" s="605" t="s">
        <v>288</v>
      </c>
      <c r="O507" s="605"/>
      <c r="P507" s="605"/>
    </row>
    <row r="508" spans="1:16" ht="27" customHeight="1" thickBot="1">
      <c r="A508" s="57" t="s">
        <v>100</v>
      </c>
      <c r="B508" s="58" t="s">
        <v>108</v>
      </c>
      <c r="C508" s="59" t="s">
        <v>109</v>
      </c>
      <c r="D508" s="60" t="s">
        <v>110</v>
      </c>
      <c r="I508" s="57" t="s">
        <v>100</v>
      </c>
      <c r="J508" s="58" t="s">
        <v>108</v>
      </c>
      <c r="K508" s="59" t="s">
        <v>109</v>
      </c>
      <c r="L508" s="60" t="s">
        <v>110</v>
      </c>
      <c r="N508" s="202"/>
      <c r="O508" s="202"/>
      <c r="P508" s="202"/>
    </row>
    <row r="509" spans="1:16" ht="12" customHeight="1">
      <c r="A509" s="71">
        <v>719</v>
      </c>
      <c r="B509" s="73" t="e">
        <f>+H491+H495+#REF!+#REF!+H497</f>
        <v>#REF!</v>
      </c>
      <c r="C509" s="74" t="e">
        <f>+D474</f>
        <v>#REF!</v>
      </c>
      <c r="D509" s="195" t="e">
        <f>+B509+C509</f>
        <v>#REF!</v>
      </c>
      <c r="I509" s="71">
        <v>719</v>
      </c>
      <c r="J509" s="73">
        <f>+P491+P495+P497</f>
        <v>1890000</v>
      </c>
      <c r="K509" s="74">
        <f>+L474</f>
        <v>5090000</v>
      </c>
      <c r="L509" s="195">
        <f>+J509+K509</f>
        <v>6980000</v>
      </c>
      <c r="N509" s="202"/>
      <c r="O509" s="202"/>
      <c r="P509" s="202"/>
    </row>
    <row r="510" spans="1:16" ht="12" customHeight="1">
      <c r="A510" s="72">
        <v>721</v>
      </c>
      <c r="B510" s="80" t="e">
        <f>+H492+H496+#REF!+#REF!+H498</f>
        <v>#REF!</v>
      </c>
      <c r="C510" s="74" t="e">
        <f>+D475</f>
        <v>#REF!</v>
      </c>
      <c r="D510" s="195" t="e">
        <f>+B510+C510</f>
        <v>#REF!</v>
      </c>
      <c r="I510" s="72">
        <v>721</v>
      </c>
      <c r="J510" s="80">
        <f>+P492+P496+P498</f>
        <v>661500</v>
      </c>
      <c r="K510" s="74">
        <f>+L475</f>
        <v>1781500</v>
      </c>
      <c r="L510" s="195">
        <f>+J510+K510</f>
        <v>2443000</v>
      </c>
      <c r="N510" s="202"/>
      <c r="O510" s="202"/>
      <c r="P510" s="202"/>
    </row>
    <row r="511" spans="1:16" ht="14.25" customHeight="1">
      <c r="A511" s="72">
        <v>722</v>
      </c>
      <c r="B511" s="80"/>
      <c r="C511" s="74">
        <f>+D476</f>
        <v>231207671</v>
      </c>
      <c r="D511" s="195">
        <f>+B511+C511</f>
        <v>231207671</v>
      </c>
      <c r="I511" s="72">
        <v>722</v>
      </c>
      <c r="J511" s="80"/>
      <c r="K511" s="74">
        <f>+L476</f>
        <v>0</v>
      </c>
      <c r="L511" s="195">
        <f>+J511+K511</f>
        <v>0</v>
      </c>
      <c r="N511" s="202"/>
      <c r="O511" s="202"/>
      <c r="P511" s="202"/>
    </row>
    <row r="512" spans="1:16" ht="13.5" customHeight="1">
      <c r="A512" s="72">
        <v>723</v>
      </c>
      <c r="B512" s="80"/>
      <c r="C512" s="74" t="e">
        <f>+D477</f>
        <v>#REF!</v>
      </c>
      <c r="D512" s="195" t="e">
        <f>+B512+C512</f>
        <v>#REF!</v>
      </c>
      <c r="F512" s="193" t="s">
        <v>289</v>
      </c>
      <c r="G512" s="175"/>
      <c r="I512" s="72">
        <v>723</v>
      </c>
      <c r="J512" s="80">
        <f>+P494</f>
        <v>2150500</v>
      </c>
      <c r="K512" s="74">
        <f>+L477</f>
        <v>300941753</v>
      </c>
      <c r="L512" s="195">
        <f>+J512+K512</f>
        <v>303092253</v>
      </c>
      <c r="N512" s="918" t="s">
        <v>1696</v>
      </c>
      <c r="O512" s="608"/>
      <c r="P512" s="608"/>
    </row>
    <row r="513" spans="1:16" ht="13.5" customHeight="1" thickBot="1">
      <c r="A513" s="164" t="s">
        <v>181</v>
      </c>
      <c r="B513" s="165"/>
      <c r="C513" s="74">
        <f>+D478</f>
        <v>1965625</v>
      </c>
      <c r="D513" s="196">
        <f>+B513+C513</f>
        <v>1965625</v>
      </c>
      <c r="F513" s="52"/>
      <c r="I513" s="164" t="s">
        <v>181</v>
      </c>
      <c r="J513" s="165"/>
      <c r="K513" s="74">
        <f>+L478</f>
        <v>-298880</v>
      </c>
      <c r="L513" s="196">
        <f>+J513+K513</f>
        <v>-298880</v>
      </c>
      <c r="N513" s="52"/>
    </row>
    <row r="514" spans="1:16" ht="15.75" customHeight="1" thickBot="1">
      <c r="A514" s="169"/>
      <c r="B514" s="170" t="e">
        <f>SUM(B509:B513)</f>
        <v>#REF!</v>
      </c>
      <c r="C514" s="171" t="e">
        <f>SUM(C509:C513)</f>
        <v>#REF!</v>
      </c>
      <c r="D514" s="172" t="e">
        <f>SUM(D509:D513)</f>
        <v>#REF!</v>
      </c>
      <c r="I514" s="169"/>
      <c r="J514" s="197">
        <f>SUM(J509:J513)</f>
        <v>4702000</v>
      </c>
      <c r="K514" s="197">
        <f>SUM(K509:K513)</f>
        <v>307514373</v>
      </c>
      <c r="L514" s="198">
        <f>SUM(L509:L513)</f>
        <v>312216373</v>
      </c>
    </row>
    <row r="515" spans="1:16" ht="16.5">
      <c r="A515" s="49" t="s">
        <v>88</v>
      </c>
      <c r="B515" s="50"/>
      <c r="I515" s="49" t="s">
        <v>88</v>
      </c>
      <c r="J515" s="50"/>
    </row>
    <row r="516" spans="1:16">
      <c r="A516" s="51" t="s">
        <v>89</v>
      </c>
      <c r="I516" s="51" t="s">
        <v>89</v>
      </c>
    </row>
    <row r="517" spans="1:16">
      <c r="A517" s="51" t="s">
        <v>90</v>
      </c>
      <c r="I517" s="51" t="s">
        <v>90</v>
      </c>
    </row>
    <row r="518" spans="1:16">
      <c r="A518" s="51" t="s">
        <v>91</v>
      </c>
      <c r="I518" s="51" t="s">
        <v>91</v>
      </c>
    </row>
    <row r="519" spans="1:16" ht="6.75" customHeight="1">
      <c r="A519" s="50"/>
      <c r="B519" s="50"/>
      <c r="I519" s="50"/>
      <c r="J519" s="50"/>
    </row>
    <row r="520" spans="1:16" ht="16.5">
      <c r="A520" s="52" t="s">
        <v>308</v>
      </c>
      <c r="G520" s="52"/>
      <c r="I520" s="52" t="s">
        <v>638</v>
      </c>
      <c r="O520" s="52"/>
    </row>
    <row r="521" spans="1:16" ht="15.75">
      <c r="A521" s="53" t="s">
        <v>92</v>
      </c>
      <c r="G521" s="53"/>
      <c r="I521" s="53" t="s">
        <v>2012</v>
      </c>
      <c r="O521" s="53"/>
    </row>
    <row r="522" spans="1:16" ht="16.5">
      <c r="A522" s="894" t="s">
        <v>261</v>
      </c>
      <c r="B522" s="894"/>
      <c r="C522" s="894"/>
      <c r="D522" s="894"/>
      <c r="E522" s="894"/>
      <c r="F522" s="894"/>
      <c r="G522" s="894"/>
      <c r="H522" s="894"/>
      <c r="I522" s="894" t="s">
        <v>1795</v>
      </c>
      <c r="J522" s="894"/>
      <c r="K522" s="894"/>
      <c r="L522" s="894"/>
      <c r="M522" s="894"/>
      <c r="N522" s="894"/>
      <c r="O522" s="894"/>
      <c r="P522" s="894"/>
    </row>
    <row r="523" spans="1:16" ht="12.75" customHeight="1" thickBot="1"/>
    <row r="524" spans="1:16">
      <c r="A524" s="895" t="s">
        <v>94</v>
      </c>
      <c r="B524" s="897" t="s">
        <v>95</v>
      </c>
      <c r="C524" s="897" t="s">
        <v>96</v>
      </c>
      <c r="D524" s="897" t="s">
        <v>3</v>
      </c>
      <c r="E524" s="897" t="s">
        <v>97</v>
      </c>
      <c r="F524" s="897" t="s">
        <v>98</v>
      </c>
      <c r="G524" s="897" t="s">
        <v>99</v>
      </c>
      <c r="H524" s="899"/>
      <c r="I524" s="895" t="s">
        <v>94</v>
      </c>
      <c r="J524" s="897" t="s">
        <v>95</v>
      </c>
      <c r="K524" s="897" t="s">
        <v>96</v>
      </c>
      <c r="L524" s="897" t="s">
        <v>3</v>
      </c>
      <c r="M524" s="897" t="s">
        <v>97</v>
      </c>
      <c r="N524" s="897" t="s">
        <v>98</v>
      </c>
      <c r="O524" s="897" t="s">
        <v>99</v>
      </c>
      <c r="P524" s="899"/>
    </row>
    <row r="525" spans="1:16" ht="15.75" thickBot="1">
      <c r="A525" s="896"/>
      <c r="B525" s="898"/>
      <c r="C525" s="898"/>
      <c r="D525" s="898"/>
      <c r="E525" s="898"/>
      <c r="F525" s="898"/>
      <c r="G525" s="240" t="s">
        <v>100</v>
      </c>
      <c r="H525" s="182" t="s">
        <v>101</v>
      </c>
      <c r="I525" s="896"/>
      <c r="J525" s="898"/>
      <c r="K525" s="898"/>
      <c r="L525" s="898"/>
      <c r="M525" s="898"/>
      <c r="N525" s="898"/>
      <c r="O525" s="240" t="s">
        <v>100</v>
      </c>
      <c r="P525" s="182" t="s">
        <v>101</v>
      </c>
    </row>
    <row r="526" spans="1:16" ht="12" customHeight="1">
      <c r="A526" s="881" t="e">
        <f>+#REF!+1</f>
        <v>#REF!</v>
      </c>
      <c r="B526" s="875">
        <v>42286</v>
      </c>
      <c r="C526" s="877" t="s">
        <v>267</v>
      </c>
      <c r="D526" s="881" t="s">
        <v>310</v>
      </c>
      <c r="E526" s="881" t="s">
        <v>148</v>
      </c>
      <c r="F526" s="883">
        <v>224000</v>
      </c>
      <c r="G526" s="55">
        <v>719</v>
      </c>
      <c r="H526" s="78">
        <v>160000</v>
      </c>
      <c r="I526" s="873" t="s">
        <v>653</v>
      </c>
      <c r="J526" s="875">
        <v>44362</v>
      </c>
      <c r="K526" s="877" t="s">
        <v>1079</v>
      </c>
      <c r="L526" s="881" t="s">
        <v>2088</v>
      </c>
      <c r="M526" s="881" t="s">
        <v>148</v>
      </c>
      <c r="N526" s="883">
        <v>715500</v>
      </c>
      <c r="O526" s="55">
        <v>719</v>
      </c>
      <c r="P526" s="78">
        <v>530000</v>
      </c>
    </row>
    <row r="527" spans="1:16" ht="13.5" customHeight="1" thickBot="1">
      <c r="A527" s="882"/>
      <c r="B527" s="934"/>
      <c r="C527" s="878"/>
      <c r="D527" s="882"/>
      <c r="E527" s="882"/>
      <c r="F527" s="884"/>
      <c r="G527" s="56">
        <v>721</v>
      </c>
      <c r="H527" s="79">
        <f>+F526-H526</f>
        <v>64000</v>
      </c>
      <c r="I527" s="882"/>
      <c r="J527" s="876"/>
      <c r="K527" s="878"/>
      <c r="L527" s="882"/>
      <c r="M527" s="882"/>
      <c r="N527" s="884"/>
      <c r="O527" s="56">
        <v>723</v>
      </c>
      <c r="P527" s="79">
        <f>+N526-P526</f>
        <v>185500</v>
      </c>
    </row>
    <row r="528" spans="1:16" ht="13.5" customHeight="1">
      <c r="A528" s="881" t="e">
        <f>+A526+1</f>
        <v>#REF!</v>
      </c>
      <c r="B528" s="875">
        <v>42286</v>
      </c>
      <c r="C528" s="881" t="s">
        <v>28</v>
      </c>
      <c r="D528" s="881" t="s">
        <v>310</v>
      </c>
      <c r="E528" s="881" t="s">
        <v>148</v>
      </c>
      <c r="F528" s="883">
        <v>392000</v>
      </c>
      <c r="G528" s="55">
        <v>719</v>
      </c>
      <c r="H528" s="78">
        <v>280000</v>
      </c>
      <c r="I528" s="873" t="s">
        <v>654</v>
      </c>
      <c r="J528" s="875">
        <v>44362</v>
      </c>
      <c r="K528" s="877" t="s">
        <v>111</v>
      </c>
      <c r="L528" s="881" t="s">
        <v>2087</v>
      </c>
      <c r="M528" s="881" t="s">
        <v>148</v>
      </c>
      <c r="N528" s="883">
        <v>27000</v>
      </c>
      <c r="O528" s="55">
        <v>719</v>
      </c>
      <c r="P528" s="78">
        <v>20000</v>
      </c>
    </row>
    <row r="529" spans="1:16" ht="13.5" customHeight="1" thickBot="1">
      <c r="A529" s="882"/>
      <c r="B529" s="934"/>
      <c r="C529" s="882"/>
      <c r="D529" s="882"/>
      <c r="E529" s="882"/>
      <c r="F529" s="884"/>
      <c r="G529" s="56">
        <v>721</v>
      </c>
      <c r="H529" s="79">
        <f>+F528-H528</f>
        <v>112000</v>
      </c>
      <c r="I529" s="882"/>
      <c r="J529" s="876"/>
      <c r="K529" s="878"/>
      <c r="L529" s="882"/>
      <c r="M529" s="882"/>
      <c r="N529" s="884"/>
      <c r="O529" s="56">
        <v>721</v>
      </c>
      <c r="P529" s="79">
        <f>+N528-P528</f>
        <v>7000</v>
      </c>
    </row>
    <row r="530" spans="1:16" ht="11.25" customHeight="1">
      <c r="A530" s="881" t="e">
        <f>+#REF!+1</f>
        <v>#REF!</v>
      </c>
      <c r="B530" s="875">
        <v>42286</v>
      </c>
      <c r="C530" s="877" t="s">
        <v>111</v>
      </c>
      <c r="D530" s="881" t="s">
        <v>311</v>
      </c>
      <c r="E530" s="881" t="s">
        <v>148</v>
      </c>
      <c r="F530" s="883">
        <v>84000</v>
      </c>
      <c r="G530" s="55">
        <v>719</v>
      </c>
      <c r="H530" s="78">
        <v>60000</v>
      </c>
      <c r="I530" s="873" t="s">
        <v>655</v>
      </c>
      <c r="J530" s="875">
        <v>44362</v>
      </c>
      <c r="K530" s="950" t="s">
        <v>1267</v>
      </c>
      <c r="L530" s="881" t="s">
        <v>1716</v>
      </c>
      <c r="M530" s="881" t="s">
        <v>145</v>
      </c>
      <c r="N530" s="883">
        <v>14081628</v>
      </c>
      <c r="O530" s="55">
        <v>721</v>
      </c>
      <c r="P530" s="78"/>
    </row>
    <row r="531" spans="1:16" ht="21" customHeight="1" thickBot="1">
      <c r="A531" s="882"/>
      <c r="B531" s="934"/>
      <c r="C531" s="878"/>
      <c r="D531" s="882"/>
      <c r="E531" s="882"/>
      <c r="F531" s="884"/>
      <c r="G531" s="56">
        <v>721</v>
      </c>
      <c r="H531" s="79">
        <f>+F530-H530</f>
        <v>24000</v>
      </c>
      <c r="I531" s="882"/>
      <c r="J531" s="876"/>
      <c r="K531" s="951"/>
      <c r="L531" s="882"/>
      <c r="M531" s="882"/>
      <c r="N531" s="884"/>
      <c r="O531" s="56">
        <v>722</v>
      </c>
      <c r="P531" s="79">
        <f>+N530-P530</f>
        <v>14081628</v>
      </c>
    </row>
    <row r="532" spans="1:16" ht="16.5" thickBot="1">
      <c r="A532" s="901" t="s">
        <v>102</v>
      </c>
      <c r="B532" s="902"/>
      <c r="C532" s="902"/>
      <c r="D532" s="902"/>
      <c r="E532" s="903"/>
      <c r="F532" s="81">
        <f>SUM(F526:F531)</f>
        <v>700000</v>
      </c>
      <c r="I532" s="901" t="s">
        <v>102</v>
      </c>
      <c r="J532" s="902"/>
      <c r="K532" s="902"/>
      <c r="L532" s="902"/>
      <c r="M532" s="903"/>
      <c r="N532" s="81">
        <f>SUM(N526:N531)</f>
        <v>14824128</v>
      </c>
    </row>
    <row r="533" spans="1:16" ht="16.5" thickBot="1">
      <c r="A533" s="885" t="s">
        <v>103</v>
      </c>
      <c r="B533" s="886"/>
      <c r="C533" s="886"/>
      <c r="D533" s="886"/>
      <c r="E533" s="887"/>
      <c r="F533" s="69">
        <f>+F501</f>
        <v>626286225</v>
      </c>
      <c r="I533" s="885" t="s">
        <v>103</v>
      </c>
      <c r="J533" s="886"/>
      <c r="K533" s="886"/>
      <c r="L533" s="886"/>
      <c r="M533" s="887"/>
      <c r="N533" s="239">
        <f>+N501</f>
        <v>312216373</v>
      </c>
      <c r="O533" s="241" t="s">
        <v>561</v>
      </c>
      <c r="P533" s="242">
        <f>3+287</f>
        <v>290</v>
      </c>
    </row>
    <row r="534" spans="1:16" ht="16.5" thickBot="1">
      <c r="A534" s="888" t="s">
        <v>104</v>
      </c>
      <c r="B534" s="889"/>
      <c r="C534" s="889"/>
      <c r="D534" s="889"/>
      <c r="E534" s="890"/>
      <c r="F534" s="183">
        <f>SUM(F532:F533)</f>
        <v>626986225</v>
      </c>
      <c r="I534" s="888" t="s">
        <v>104</v>
      </c>
      <c r="J534" s="889"/>
      <c r="K534" s="889"/>
      <c r="L534" s="889"/>
      <c r="M534" s="890"/>
      <c r="N534" s="183">
        <f>SUM(N532:N533)</f>
        <v>327040501</v>
      </c>
    </row>
    <row r="535" spans="1:16" ht="6.75" customHeight="1">
      <c r="A535" s="61"/>
      <c r="B535" s="61"/>
      <c r="C535" s="61"/>
      <c r="D535" s="61"/>
      <c r="E535" s="61"/>
      <c r="I535" s="61"/>
      <c r="J535" s="61"/>
      <c r="K535" s="61"/>
      <c r="L535" s="61"/>
      <c r="M535" s="61"/>
    </row>
    <row r="536" spans="1:16">
      <c r="A536" s="51" t="s">
        <v>312</v>
      </c>
      <c r="I536" s="51" t="s">
        <v>2089</v>
      </c>
    </row>
    <row r="537" spans="1:16" ht="5.25" customHeight="1">
      <c r="F537" s="139"/>
      <c r="N537" s="139"/>
    </row>
    <row r="538" spans="1:16">
      <c r="A538" s="50" t="s">
        <v>105</v>
      </c>
      <c r="D538" s="146"/>
      <c r="F538" s="139"/>
      <c r="I538" s="50" t="s">
        <v>105</v>
      </c>
      <c r="L538" s="146"/>
      <c r="N538" s="139"/>
    </row>
    <row r="539" spans="1:16" ht="16.5" customHeight="1" thickBot="1"/>
    <row r="540" spans="1:16" ht="17.25" thickBot="1">
      <c r="A540" s="891" t="s">
        <v>106</v>
      </c>
      <c r="B540" s="892"/>
      <c r="C540" s="892"/>
      <c r="D540" s="893"/>
      <c r="F540" s="50" t="s">
        <v>288</v>
      </c>
      <c r="I540" s="891" t="s">
        <v>106</v>
      </c>
      <c r="J540" s="892"/>
      <c r="K540" s="892"/>
      <c r="L540" s="893"/>
      <c r="N540" s="605" t="s">
        <v>288</v>
      </c>
      <c r="O540" s="605"/>
      <c r="P540" s="605"/>
    </row>
    <row r="541" spans="1:16" ht="30.75" thickBot="1">
      <c r="A541" s="57" t="s">
        <v>100</v>
      </c>
      <c r="B541" s="58" t="s">
        <v>108</v>
      </c>
      <c r="C541" s="59" t="s">
        <v>109</v>
      </c>
      <c r="D541" s="60" t="s">
        <v>110</v>
      </c>
      <c r="I541" s="57" t="s">
        <v>100</v>
      </c>
      <c r="J541" s="58" t="s">
        <v>108</v>
      </c>
      <c r="K541" s="59" t="s">
        <v>109</v>
      </c>
      <c r="L541" s="60" t="s">
        <v>110</v>
      </c>
      <c r="N541" s="202"/>
      <c r="O541" s="202"/>
      <c r="P541" s="202"/>
    </row>
    <row r="542" spans="1:16" ht="14.25" customHeight="1">
      <c r="A542" s="71">
        <v>719</v>
      </c>
      <c r="B542" s="73" t="e">
        <f>+H526+H528+#REF!+H530+#REF!</f>
        <v>#REF!</v>
      </c>
      <c r="C542" s="74" t="e">
        <f>+D509</f>
        <v>#REF!</v>
      </c>
      <c r="D542" s="195" t="e">
        <f>+B542+C542</f>
        <v>#REF!</v>
      </c>
      <c r="I542" s="71">
        <v>719</v>
      </c>
      <c r="J542" s="73">
        <f>+P526+P528</f>
        <v>550000</v>
      </c>
      <c r="K542" s="74">
        <f>+L509</f>
        <v>6980000</v>
      </c>
      <c r="L542" s="195">
        <f>+J542+K542</f>
        <v>7530000</v>
      </c>
      <c r="N542" s="202"/>
      <c r="O542" s="202"/>
      <c r="P542" s="202"/>
    </row>
    <row r="543" spans="1:16" ht="15" customHeight="1">
      <c r="A543" s="72">
        <v>721</v>
      </c>
      <c r="B543" s="80" t="e">
        <f>+H527+H529+#REF!+H531+#REF!</f>
        <v>#REF!</v>
      </c>
      <c r="C543" s="74" t="e">
        <f>+D510</f>
        <v>#REF!</v>
      </c>
      <c r="D543" s="195" t="e">
        <f>+B543+C543</f>
        <v>#REF!</v>
      </c>
      <c r="I543" s="72">
        <v>721</v>
      </c>
      <c r="J543" s="80">
        <f>+P527+P529</f>
        <v>192500</v>
      </c>
      <c r="K543" s="74">
        <f>+L510</f>
        <v>2443000</v>
      </c>
      <c r="L543" s="195">
        <f>+J543+K543</f>
        <v>2635500</v>
      </c>
      <c r="N543" s="202"/>
      <c r="O543" s="202"/>
      <c r="P543" s="202"/>
    </row>
    <row r="544" spans="1:16" ht="14.25" customHeight="1">
      <c r="A544" s="72">
        <v>722</v>
      </c>
      <c r="B544" s="80"/>
      <c r="C544" s="74">
        <f>+D511</f>
        <v>231207671</v>
      </c>
      <c r="D544" s="195">
        <f>+B544+C544</f>
        <v>231207671</v>
      </c>
      <c r="I544" s="72">
        <v>722</v>
      </c>
      <c r="J544" s="80">
        <f>+P531</f>
        <v>14081628</v>
      </c>
      <c r="K544" s="74">
        <f>+L511</f>
        <v>0</v>
      </c>
      <c r="L544" s="195">
        <f>+J544+K544</f>
        <v>14081628</v>
      </c>
      <c r="N544" s="202"/>
      <c r="O544" s="202"/>
      <c r="P544" s="202"/>
    </row>
    <row r="545" spans="1:16" ht="14.25" customHeight="1">
      <c r="A545" s="72">
        <v>723</v>
      </c>
      <c r="B545" s="80"/>
      <c r="C545" s="74" t="e">
        <f>+D512</f>
        <v>#REF!</v>
      </c>
      <c r="D545" s="195" t="e">
        <f>+B545+C545</f>
        <v>#REF!</v>
      </c>
      <c r="F545" s="193" t="s">
        <v>289</v>
      </c>
      <c r="G545" s="175"/>
      <c r="I545" s="72">
        <v>723</v>
      </c>
      <c r="J545" s="80"/>
      <c r="K545" s="74">
        <f>+L512</f>
        <v>303092253</v>
      </c>
      <c r="L545" s="195">
        <f>+J545+K545</f>
        <v>303092253</v>
      </c>
      <c r="N545" s="918" t="s">
        <v>1696</v>
      </c>
      <c r="O545" s="608"/>
      <c r="P545" s="608"/>
    </row>
    <row r="546" spans="1:16" ht="12.75" customHeight="1" thickBot="1">
      <c r="A546" s="482"/>
      <c r="B546" s="483"/>
      <c r="C546" s="199"/>
      <c r="D546" s="196"/>
      <c r="F546" s="193"/>
      <c r="G546" s="175"/>
      <c r="I546" s="164" t="s">
        <v>181</v>
      </c>
      <c r="J546" s="484"/>
      <c r="K546" s="485">
        <f>+L513</f>
        <v>-298880</v>
      </c>
      <c r="L546" s="486">
        <f>+J546+K546</f>
        <v>-298880</v>
      </c>
      <c r="N546" s="189"/>
      <c r="O546" s="222"/>
      <c r="P546" s="222"/>
    </row>
    <row r="547" spans="1:16" ht="18" customHeight="1" thickBot="1">
      <c r="A547" s="169"/>
      <c r="B547" s="170" t="e">
        <f>SUM(B542:B545)</f>
        <v>#REF!</v>
      </c>
      <c r="C547" s="171" t="e">
        <f>SUM(C542:C545)</f>
        <v>#REF!</v>
      </c>
      <c r="D547" s="172" t="e">
        <f>SUM(D542:D545)</f>
        <v>#REF!</v>
      </c>
      <c r="I547" s="169"/>
      <c r="J547" s="470">
        <f>SUM(J542:J545)</f>
        <v>14824128</v>
      </c>
      <c r="K547" s="470">
        <f>SUM(K542:K546)</f>
        <v>312216373</v>
      </c>
      <c r="L547" s="487">
        <f>SUM(L542:L546)</f>
        <v>327040501</v>
      </c>
    </row>
    <row r="548" spans="1:16" ht="16.5">
      <c r="A548" s="49" t="s">
        <v>88</v>
      </c>
      <c r="B548" s="50"/>
      <c r="I548" s="49" t="s">
        <v>88</v>
      </c>
      <c r="J548" s="50"/>
    </row>
    <row r="549" spans="1:16">
      <c r="A549" s="51" t="s">
        <v>89</v>
      </c>
      <c r="I549" s="51" t="s">
        <v>89</v>
      </c>
    </row>
    <row r="550" spans="1:16">
      <c r="A550" s="51" t="s">
        <v>90</v>
      </c>
      <c r="I550" s="51" t="s">
        <v>90</v>
      </c>
    </row>
    <row r="551" spans="1:16">
      <c r="A551" s="51" t="s">
        <v>91</v>
      </c>
      <c r="I551" s="51" t="s">
        <v>91</v>
      </c>
    </row>
    <row r="552" spans="1:16" ht="9.75" customHeight="1">
      <c r="A552" s="50"/>
      <c r="B552" s="50"/>
      <c r="I552" s="50"/>
      <c r="J552" s="50"/>
    </row>
    <row r="553" spans="1:16" ht="16.5">
      <c r="A553" s="52" t="s">
        <v>309</v>
      </c>
      <c r="G553" s="52"/>
      <c r="I553" s="52" t="s">
        <v>639</v>
      </c>
      <c r="O553" s="52"/>
    </row>
    <row r="554" spans="1:16" ht="15.75">
      <c r="A554" s="53" t="s">
        <v>92</v>
      </c>
      <c r="G554" s="53"/>
      <c r="I554" s="53" t="s">
        <v>2012</v>
      </c>
      <c r="O554" s="53"/>
    </row>
    <row r="555" spans="1:16" ht="15" customHeight="1">
      <c r="A555" s="894" t="s">
        <v>261</v>
      </c>
      <c r="B555" s="894"/>
      <c r="C555" s="894"/>
      <c r="D555" s="894"/>
      <c r="E555" s="894"/>
      <c r="F555" s="894"/>
      <c r="G555" s="894"/>
      <c r="H555" s="894"/>
      <c r="I555" s="894" t="s">
        <v>228</v>
      </c>
      <c r="J555" s="894"/>
      <c r="K555" s="894"/>
      <c r="L555" s="894"/>
      <c r="M555" s="894"/>
      <c r="N555" s="894"/>
      <c r="O555" s="894"/>
      <c r="P555" s="894"/>
    </row>
    <row r="556" spans="1:16" ht="9.75" customHeight="1" thickBot="1"/>
    <row r="557" spans="1:16">
      <c r="A557" s="895" t="s">
        <v>94</v>
      </c>
      <c r="B557" s="897" t="s">
        <v>95</v>
      </c>
      <c r="C557" s="897" t="s">
        <v>96</v>
      </c>
      <c r="D557" s="897" t="s">
        <v>3</v>
      </c>
      <c r="E557" s="897" t="s">
        <v>97</v>
      </c>
      <c r="F557" s="897" t="s">
        <v>98</v>
      </c>
      <c r="G557" s="897" t="s">
        <v>99</v>
      </c>
      <c r="H557" s="899"/>
      <c r="I557" s="895" t="s">
        <v>94</v>
      </c>
      <c r="J557" s="897" t="s">
        <v>95</v>
      </c>
      <c r="K557" s="897" t="s">
        <v>96</v>
      </c>
      <c r="L557" s="897" t="s">
        <v>3</v>
      </c>
      <c r="M557" s="897" t="s">
        <v>97</v>
      </c>
      <c r="N557" s="897" t="s">
        <v>98</v>
      </c>
      <c r="O557" s="897" t="s">
        <v>99</v>
      </c>
      <c r="P557" s="899"/>
    </row>
    <row r="558" spans="1:16" ht="15.75" thickBot="1">
      <c r="A558" s="896"/>
      <c r="B558" s="898"/>
      <c r="C558" s="898"/>
      <c r="D558" s="898"/>
      <c r="E558" s="898"/>
      <c r="F558" s="898"/>
      <c r="G558" s="240" t="s">
        <v>100</v>
      </c>
      <c r="H558" s="182" t="s">
        <v>101</v>
      </c>
      <c r="I558" s="896"/>
      <c r="J558" s="898"/>
      <c r="K558" s="898"/>
      <c r="L558" s="898"/>
      <c r="M558" s="898"/>
      <c r="N558" s="898"/>
      <c r="O558" s="240" t="s">
        <v>100</v>
      </c>
      <c r="P558" s="182" t="s">
        <v>101</v>
      </c>
    </row>
    <row r="559" spans="1:16" ht="13.5" customHeight="1">
      <c r="A559" s="881" t="e">
        <f>+#REF!+1</f>
        <v>#REF!</v>
      </c>
      <c r="B559" s="875">
        <v>42286</v>
      </c>
      <c r="C559" s="877" t="s">
        <v>272</v>
      </c>
      <c r="D559" s="881" t="s">
        <v>313</v>
      </c>
      <c r="E559" s="881" t="s">
        <v>115</v>
      </c>
      <c r="F559" s="883">
        <v>50000</v>
      </c>
      <c r="G559" s="55">
        <v>719</v>
      </c>
      <c r="H559" s="78">
        <v>50000</v>
      </c>
      <c r="I559" s="873" t="s">
        <v>656</v>
      </c>
      <c r="J559" s="875">
        <v>44398</v>
      </c>
      <c r="K559" s="877" t="s">
        <v>815</v>
      </c>
      <c r="L559" s="881" t="s">
        <v>2092</v>
      </c>
      <c r="M559" s="881" t="s">
        <v>115</v>
      </c>
      <c r="N559" s="883">
        <v>877500</v>
      </c>
      <c r="O559" s="55">
        <v>719</v>
      </c>
      <c r="P559" s="78">
        <v>650000</v>
      </c>
    </row>
    <row r="560" spans="1:16" ht="12.75" customHeight="1" thickBot="1">
      <c r="A560" s="882"/>
      <c r="B560" s="876"/>
      <c r="C560" s="878"/>
      <c r="D560" s="882"/>
      <c r="E560" s="882"/>
      <c r="F560" s="884"/>
      <c r="G560" s="56">
        <v>721</v>
      </c>
      <c r="H560" s="79">
        <f>+F559-H559</f>
        <v>0</v>
      </c>
      <c r="I560" s="882"/>
      <c r="J560" s="876"/>
      <c r="K560" s="878"/>
      <c r="L560" s="882"/>
      <c r="M560" s="882"/>
      <c r="N560" s="884"/>
      <c r="O560" s="56">
        <v>721</v>
      </c>
      <c r="P560" s="79">
        <f>+N559-P559</f>
        <v>227500</v>
      </c>
    </row>
    <row r="561" spans="1:19" ht="12.75" customHeight="1">
      <c r="A561" s="881" t="e">
        <f>+A559+1</f>
        <v>#REF!</v>
      </c>
      <c r="B561" s="875">
        <v>42286</v>
      </c>
      <c r="C561" s="881" t="s">
        <v>28</v>
      </c>
      <c r="D561" s="881" t="s">
        <v>314</v>
      </c>
      <c r="E561" s="881" t="s">
        <v>115</v>
      </c>
      <c r="F561" s="883">
        <v>20000</v>
      </c>
      <c r="G561" s="55">
        <v>719</v>
      </c>
      <c r="H561" s="78">
        <v>20000</v>
      </c>
      <c r="I561" s="873" t="s">
        <v>657</v>
      </c>
      <c r="J561" s="875">
        <v>44398</v>
      </c>
      <c r="K561" s="877" t="s">
        <v>815</v>
      </c>
      <c r="L561" s="881" t="s">
        <v>2093</v>
      </c>
      <c r="M561" s="881" t="s">
        <v>115</v>
      </c>
      <c r="N561" s="883">
        <v>837000</v>
      </c>
      <c r="O561" s="55">
        <v>719</v>
      </c>
      <c r="P561" s="78">
        <v>620000</v>
      </c>
      <c r="S561" s="51" t="s">
        <v>631</v>
      </c>
    </row>
    <row r="562" spans="1:19" ht="12.75" customHeight="1" thickBot="1">
      <c r="A562" s="882"/>
      <c r="B562" s="876"/>
      <c r="C562" s="882"/>
      <c r="D562" s="882"/>
      <c r="E562" s="882"/>
      <c r="F562" s="884"/>
      <c r="G562" s="56">
        <v>721</v>
      </c>
      <c r="H562" s="79">
        <f>+F561-H561</f>
        <v>0</v>
      </c>
      <c r="I562" s="882"/>
      <c r="J562" s="876"/>
      <c r="K562" s="878"/>
      <c r="L562" s="882"/>
      <c r="M562" s="882"/>
      <c r="N562" s="884"/>
      <c r="O562" s="56">
        <v>721</v>
      </c>
      <c r="P562" s="79">
        <f>+N561-P561</f>
        <v>217000</v>
      </c>
    </row>
    <row r="563" spans="1:19" ht="15" customHeight="1">
      <c r="A563" s="881" t="e">
        <f>+#REF!+1</f>
        <v>#REF!</v>
      </c>
      <c r="B563" s="875">
        <v>42286</v>
      </c>
      <c r="C563" s="877" t="s">
        <v>120</v>
      </c>
      <c r="D563" s="881" t="s">
        <v>316</v>
      </c>
      <c r="E563" s="881" t="s">
        <v>115</v>
      </c>
      <c r="F563" s="883">
        <v>10000</v>
      </c>
      <c r="G563" s="55">
        <v>719</v>
      </c>
      <c r="H563" s="78">
        <v>10000</v>
      </c>
      <c r="I563" s="873"/>
      <c r="J563" s="875"/>
      <c r="K563" s="877"/>
      <c r="L563" s="881"/>
      <c r="M563" s="881"/>
      <c r="N563" s="883"/>
      <c r="O563" s="55">
        <v>723</v>
      </c>
      <c r="P563" s="78">
        <f>+N563</f>
        <v>0</v>
      </c>
    </row>
    <row r="564" spans="1:19" ht="12.75" customHeight="1" thickBot="1">
      <c r="A564" s="882"/>
      <c r="B564" s="876"/>
      <c r="C564" s="878"/>
      <c r="D564" s="882"/>
      <c r="E564" s="882"/>
      <c r="F564" s="884"/>
      <c r="G564" s="56">
        <v>721</v>
      </c>
      <c r="H564" s="79">
        <f>+F563-H563</f>
        <v>0</v>
      </c>
      <c r="I564" s="882"/>
      <c r="J564" s="876"/>
      <c r="K564" s="878"/>
      <c r="L564" s="882"/>
      <c r="M564" s="882"/>
      <c r="N564" s="884"/>
      <c r="O564" s="56">
        <v>721</v>
      </c>
      <c r="P564" s="79">
        <f>+N563-P563</f>
        <v>0</v>
      </c>
    </row>
    <row r="565" spans="1:19" ht="16.5" thickBot="1">
      <c r="A565" s="901" t="s">
        <v>102</v>
      </c>
      <c r="B565" s="902"/>
      <c r="C565" s="902"/>
      <c r="D565" s="902"/>
      <c r="E565" s="903"/>
      <c r="F565" s="81">
        <f>SUM(F559:F564)</f>
        <v>80000</v>
      </c>
      <c r="I565" s="901" t="s">
        <v>102</v>
      </c>
      <c r="J565" s="902"/>
      <c r="K565" s="902"/>
      <c r="L565" s="902"/>
      <c r="M565" s="903"/>
      <c r="N565" s="81">
        <f>SUM(N559:N564)</f>
        <v>1714500</v>
      </c>
    </row>
    <row r="566" spans="1:19" ht="16.5" thickBot="1">
      <c r="A566" s="885" t="s">
        <v>103</v>
      </c>
      <c r="B566" s="886"/>
      <c r="C566" s="886"/>
      <c r="D566" s="886"/>
      <c r="E566" s="887"/>
      <c r="F566" s="69">
        <f>+F534</f>
        <v>626986225</v>
      </c>
      <c r="I566" s="885" t="s">
        <v>103</v>
      </c>
      <c r="J566" s="886"/>
      <c r="K566" s="886"/>
      <c r="L566" s="886"/>
      <c r="M566" s="887"/>
      <c r="N566" s="239">
        <f>+N534</f>
        <v>327040501</v>
      </c>
      <c r="O566" s="241" t="s">
        <v>561</v>
      </c>
      <c r="P566" s="242">
        <f>1350+1355</f>
        <v>2705</v>
      </c>
    </row>
    <row r="567" spans="1:19" ht="14.25" customHeight="1" thickBot="1">
      <c r="A567" s="888" t="s">
        <v>104</v>
      </c>
      <c r="B567" s="889"/>
      <c r="C567" s="889"/>
      <c r="D567" s="889"/>
      <c r="E567" s="890"/>
      <c r="F567" s="183">
        <f>SUM(F565:F566)</f>
        <v>627066225</v>
      </c>
      <c r="I567" s="888" t="s">
        <v>104</v>
      </c>
      <c r="J567" s="889"/>
      <c r="K567" s="889"/>
      <c r="L567" s="889"/>
      <c r="M567" s="890"/>
      <c r="N567" s="183">
        <f>SUM(N565:N566)</f>
        <v>328755001</v>
      </c>
    </row>
    <row r="568" spans="1:19" ht="9.75" customHeight="1">
      <c r="A568" s="61"/>
      <c r="B568" s="61"/>
      <c r="C568" s="61"/>
      <c r="D568" s="61"/>
      <c r="E568" s="61"/>
      <c r="I568" s="61"/>
      <c r="J568" s="61"/>
      <c r="K568" s="61"/>
      <c r="L568" s="61"/>
      <c r="M568" s="61"/>
    </row>
    <row r="569" spans="1:19">
      <c r="A569" s="51" t="s">
        <v>317</v>
      </c>
      <c r="I569" s="51" t="s">
        <v>2090</v>
      </c>
    </row>
    <row r="570" spans="1:19" ht="9" customHeight="1">
      <c r="F570" s="139"/>
      <c r="N570" s="139"/>
    </row>
    <row r="571" spans="1:19">
      <c r="A571" s="50" t="s">
        <v>105</v>
      </c>
      <c r="D571" s="146"/>
      <c r="F571" s="139"/>
      <c r="I571" s="50" t="s">
        <v>105</v>
      </c>
      <c r="L571" s="146"/>
      <c r="N571" s="139"/>
    </row>
    <row r="572" spans="1:19" ht="9.75" customHeight="1" thickBot="1"/>
    <row r="573" spans="1:19" ht="17.25" thickBot="1">
      <c r="A573" s="891" t="s">
        <v>106</v>
      </c>
      <c r="B573" s="892"/>
      <c r="C573" s="892"/>
      <c r="D573" s="893"/>
      <c r="F573" s="50" t="s">
        <v>288</v>
      </c>
      <c r="I573" s="891" t="s">
        <v>106</v>
      </c>
      <c r="J573" s="892"/>
      <c r="K573" s="892"/>
      <c r="L573" s="893"/>
      <c r="N573" s="605" t="s">
        <v>288</v>
      </c>
      <c r="O573" s="605"/>
      <c r="P573" s="605"/>
    </row>
    <row r="574" spans="1:19" ht="29.25" customHeight="1" thickBot="1">
      <c r="A574" s="57" t="s">
        <v>100</v>
      </c>
      <c r="B574" s="58" t="s">
        <v>108</v>
      </c>
      <c r="C574" s="59" t="s">
        <v>109</v>
      </c>
      <c r="D574" s="60" t="s">
        <v>110</v>
      </c>
      <c r="I574" s="57" t="s">
        <v>100</v>
      </c>
      <c r="J574" s="58" t="s">
        <v>108</v>
      </c>
      <c r="K574" s="59" t="s">
        <v>109</v>
      </c>
      <c r="L574" s="60" t="s">
        <v>110</v>
      </c>
      <c r="N574" s="202"/>
      <c r="O574" s="202"/>
      <c r="P574" s="202"/>
    </row>
    <row r="575" spans="1:19" ht="16.5">
      <c r="A575" s="71">
        <v>719</v>
      </c>
      <c r="B575" s="73" t="e">
        <f>+H559+H561+#REF!+H563+#REF!</f>
        <v>#REF!</v>
      </c>
      <c r="C575" s="74" t="e">
        <f>+D542</f>
        <v>#REF!</v>
      </c>
      <c r="D575" s="195" t="e">
        <f>+B575+C575</f>
        <v>#REF!</v>
      </c>
      <c r="I575" s="71">
        <v>719</v>
      </c>
      <c r="J575" s="73">
        <f>+P559+P561</f>
        <v>1270000</v>
      </c>
      <c r="K575" s="74">
        <f>+L542</f>
        <v>7530000</v>
      </c>
      <c r="L575" s="195">
        <f>+J575+K575</f>
        <v>8800000</v>
      </c>
      <c r="N575" s="202"/>
      <c r="O575" s="202"/>
      <c r="P575" s="202"/>
    </row>
    <row r="576" spans="1:19" ht="12.75" customHeight="1">
      <c r="A576" s="72">
        <v>721</v>
      </c>
      <c r="B576" s="80" t="e">
        <f>+H560+H562+#REF!+H564+#REF!</f>
        <v>#REF!</v>
      </c>
      <c r="C576" s="74" t="e">
        <f>+D543</f>
        <v>#REF!</v>
      </c>
      <c r="D576" s="195" t="e">
        <f>+B576+C576</f>
        <v>#REF!</v>
      </c>
      <c r="I576" s="72">
        <v>721</v>
      </c>
      <c r="J576" s="80">
        <f>+P560+P562</f>
        <v>444500</v>
      </c>
      <c r="K576" s="74">
        <f>+L543</f>
        <v>2635500</v>
      </c>
      <c r="L576" s="195">
        <f>+J576+K576</f>
        <v>3080000</v>
      </c>
      <c r="N576" s="202"/>
      <c r="O576" s="202"/>
      <c r="P576" s="202"/>
    </row>
    <row r="577" spans="1:16" ht="12.75" customHeight="1">
      <c r="A577" s="72">
        <v>722</v>
      </c>
      <c r="B577" s="80"/>
      <c r="C577" s="74">
        <f>+D544</f>
        <v>231207671</v>
      </c>
      <c r="D577" s="195">
        <f>+B577+C577</f>
        <v>231207671</v>
      </c>
      <c r="I577" s="72">
        <v>722</v>
      </c>
      <c r="J577" s="80"/>
      <c r="K577" s="74">
        <f>+L544</f>
        <v>14081628</v>
      </c>
      <c r="L577" s="195">
        <f>+J577+K577</f>
        <v>14081628</v>
      </c>
      <c r="N577" s="202"/>
      <c r="O577" s="202"/>
      <c r="P577" s="202"/>
    </row>
    <row r="578" spans="1:16" ht="14.25" customHeight="1">
      <c r="A578" s="72">
        <v>723</v>
      </c>
      <c r="B578" s="80"/>
      <c r="C578" s="74" t="e">
        <f>+D545</f>
        <v>#REF!</v>
      </c>
      <c r="D578" s="195" t="e">
        <f>+B578+C578</f>
        <v>#REF!</v>
      </c>
      <c r="F578" s="193" t="s">
        <v>289</v>
      </c>
      <c r="G578" s="175"/>
      <c r="I578" s="72">
        <v>723</v>
      </c>
      <c r="J578" s="80"/>
      <c r="K578" s="74">
        <f>+L545</f>
        <v>303092253</v>
      </c>
      <c r="L578" s="195">
        <f>+J578+K578</f>
        <v>303092253</v>
      </c>
      <c r="N578" s="918" t="s">
        <v>1696</v>
      </c>
      <c r="O578" s="608"/>
      <c r="P578" s="608"/>
    </row>
    <row r="579" spans="1:16" ht="14.25" customHeight="1" thickBot="1">
      <c r="A579" s="482"/>
      <c r="B579" s="484"/>
      <c r="C579" s="488"/>
      <c r="D579" s="486"/>
      <c r="F579" s="193"/>
      <c r="G579" s="175"/>
      <c r="I579" s="164" t="s">
        <v>181</v>
      </c>
      <c r="J579" s="484"/>
      <c r="K579" s="485">
        <f>+K546</f>
        <v>-298880</v>
      </c>
      <c r="L579" s="486">
        <f>+J579+K579</f>
        <v>-298880</v>
      </c>
      <c r="N579" s="189"/>
      <c r="O579" s="222"/>
      <c r="P579" s="222"/>
    </row>
    <row r="580" spans="1:16" ht="18" customHeight="1" thickBot="1">
      <c r="A580" s="169"/>
      <c r="B580" s="197" t="e">
        <f>SUM(B575:B578)</f>
        <v>#REF!</v>
      </c>
      <c r="C580" s="200" t="e">
        <f>+D547</f>
        <v>#REF!</v>
      </c>
      <c r="D580" s="198" t="e">
        <f>SUM(D575:D578)</f>
        <v>#REF!</v>
      </c>
      <c r="I580" s="169"/>
      <c r="J580" s="470">
        <f>SUM(J575:J578)</f>
        <v>1714500</v>
      </c>
      <c r="K580" s="470">
        <f>SUM(K575:K579)</f>
        <v>327040501</v>
      </c>
      <c r="L580" s="198">
        <f>SUM(L575:L579)</f>
        <v>328755001</v>
      </c>
    </row>
    <row r="581" spans="1:16" ht="16.5">
      <c r="A581" s="49" t="s">
        <v>88</v>
      </c>
      <c r="B581" s="50"/>
      <c r="I581" s="49" t="s">
        <v>88</v>
      </c>
      <c r="J581" s="50"/>
    </row>
    <row r="582" spans="1:16">
      <c r="A582" s="51" t="s">
        <v>89</v>
      </c>
      <c r="I582" s="51" t="s">
        <v>89</v>
      </c>
    </row>
    <row r="583" spans="1:16">
      <c r="A583" s="51" t="s">
        <v>90</v>
      </c>
      <c r="I583" s="51" t="s">
        <v>90</v>
      </c>
    </row>
    <row r="584" spans="1:16">
      <c r="A584" s="51" t="s">
        <v>91</v>
      </c>
      <c r="I584" s="51" t="s">
        <v>91</v>
      </c>
    </row>
    <row r="585" spans="1:16" ht="6.75" customHeight="1">
      <c r="A585" s="50"/>
      <c r="B585" s="50"/>
      <c r="I585" s="50"/>
      <c r="J585" s="50"/>
    </row>
    <row r="586" spans="1:16" ht="14.25" customHeight="1">
      <c r="A586" s="52" t="s">
        <v>318</v>
      </c>
      <c r="G586" s="52"/>
      <c r="I586" s="52" t="s">
        <v>640</v>
      </c>
      <c r="O586" s="52"/>
    </row>
    <row r="587" spans="1:16" ht="15.75">
      <c r="A587" s="53" t="s">
        <v>92</v>
      </c>
      <c r="G587" s="53"/>
      <c r="I587" s="53" t="s">
        <v>2012</v>
      </c>
      <c r="O587" s="53"/>
    </row>
    <row r="588" spans="1:16" ht="16.5">
      <c r="A588" s="894" t="s">
        <v>261</v>
      </c>
      <c r="B588" s="894"/>
      <c r="C588" s="894"/>
      <c r="D588" s="894"/>
      <c r="E588" s="894"/>
      <c r="F588" s="894"/>
      <c r="G588" s="894"/>
      <c r="H588" s="894"/>
      <c r="I588" s="894" t="s">
        <v>228</v>
      </c>
      <c r="J588" s="894"/>
      <c r="K588" s="894"/>
      <c r="L588" s="894"/>
      <c r="M588" s="894"/>
      <c r="N588" s="894"/>
      <c r="O588" s="894"/>
      <c r="P588" s="894"/>
    </row>
    <row r="589" spans="1:16" ht="6" customHeight="1" thickBot="1"/>
    <row r="590" spans="1:16">
      <c r="A590" s="895" t="s">
        <v>94</v>
      </c>
      <c r="B590" s="897" t="s">
        <v>95</v>
      </c>
      <c r="C590" s="897" t="s">
        <v>96</v>
      </c>
      <c r="D590" s="897" t="s">
        <v>3</v>
      </c>
      <c r="E590" s="897" t="s">
        <v>97</v>
      </c>
      <c r="F590" s="897" t="s">
        <v>98</v>
      </c>
      <c r="G590" s="897" t="s">
        <v>99</v>
      </c>
      <c r="H590" s="899"/>
      <c r="I590" s="895" t="s">
        <v>94</v>
      </c>
      <c r="J590" s="897" t="s">
        <v>95</v>
      </c>
      <c r="K590" s="897" t="s">
        <v>96</v>
      </c>
      <c r="L590" s="897" t="s">
        <v>3</v>
      </c>
      <c r="M590" s="897" t="s">
        <v>97</v>
      </c>
      <c r="N590" s="897" t="s">
        <v>98</v>
      </c>
      <c r="O590" s="897" t="s">
        <v>99</v>
      </c>
      <c r="P590" s="899"/>
    </row>
    <row r="591" spans="1:16" ht="15.75" thickBot="1">
      <c r="A591" s="896"/>
      <c r="B591" s="898"/>
      <c r="C591" s="898"/>
      <c r="D591" s="898"/>
      <c r="E591" s="898"/>
      <c r="F591" s="898"/>
      <c r="G591" s="240" t="s">
        <v>100</v>
      </c>
      <c r="H591" s="182" t="s">
        <v>101</v>
      </c>
      <c r="I591" s="896"/>
      <c r="J591" s="898"/>
      <c r="K591" s="898"/>
      <c r="L591" s="898"/>
      <c r="M591" s="898"/>
      <c r="N591" s="898"/>
      <c r="O591" s="240" t="s">
        <v>100</v>
      </c>
      <c r="P591" s="182" t="s">
        <v>101</v>
      </c>
    </row>
    <row r="592" spans="1:16" ht="14.25" customHeight="1">
      <c r="A592" s="881" t="e">
        <f>+A563+1</f>
        <v>#REF!</v>
      </c>
      <c r="B592" s="875">
        <v>42286</v>
      </c>
      <c r="C592" s="877" t="s">
        <v>267</v>
      </c>
      <c r="D592" s="881" t="s">
        <v>320</v>
      </c>
      <c r="E592" s="881" t="s">
        <v>148</v>
      </c>
      <c r="F592" s="883">
        <v>70000</v>
      </c>
      <c r="G592" s="55">
        <v>719</v>
      </c>
      <c r="H592" s="78">
        <v>50000</v>
      </c>
      <c r="I592" s="873" t="s">
        <v>658</v>
      </c>
      <c r="J592" s="875">
        <v>44427</v>
      </c>
      <c r="K592" s="877" t="s">
        <v>815</v>
      </c>
      <c r="L592" s="881" t="s">
        <v>2093</v>
      </c>
      <c r="M592" s="881" t="s">
        <v>115</v>
      </c>
      <c r="N592" s="883">
        <v>972000</v>
      </c>
      <c r="O592" s="55">
        <v>719</v>
      </c>
      <c r="P592" s="78">
        <v>720000</v>
      </c>
    </row>
    <row r="593" spans="1:16" ht="12" customHeight="1" thickBot="1">
      <c r="A593" s="882"/>
      <c r="B593" s="934"/>
      <c r="C593" s="878"/>
      <c r="D593" s="882"/>
      <c r="E593" s="882"/>
      <c r="F593" s="884"/>
      <c r="G593" s="56">
        <v>721</v>
      </c>
      <c r="H593" s="79">
        <f>+F592-H592</f>
        <v>20000</v>
      </c>
      <c r="I593" s="882"/>
      <c r="J593" s="876"/>
      <c r="K593" s="878"/>
      <c r="L593" s="882"/>
      <c r="M593" s="882"/>
      <c r="N593" s="884"/>
      <c r="O593" s="56">
        <v>721</v>
      </c>
      <c r="P593" s="79">
        <f>+N592-P592</f>
        <v>252000</v>
      </c>
    </row>
    <row r="594" spans="1:16" ht="13.5" customHeight="1">
      <c r="A594" s="251"/>
      <c r="B594" s="452"/>
      <c r="C594" s="253"/>
      <c r="D594" s="251"/>
      <c r="E594" s="251"/>
      <c r="F594" s="254"/>
      <c r="G594" s="255"/>
      <c r="H594" s="256"/>
      <c r="I594" s="873" t="s">
        <v>659</v>
      </c>
      <c r="J594" s="875">
        <v>44427</v>
      </c>
      <c r="K594" s="877" t="s">
        <v>2098</v>
      </c>
      <c r="L594" s="881" t="s">
        <v>2099</v>
      </c>
      <c r="M594" s="881" t="s">
        <v>148</v>
      </c>
      <c r="N594" s="883">
        <v>756000</v>
      </c>
      <c r="O594" s="55">
        <v>719</v>
      </c>
      <c r="P594" s="78">
        <v>560000</v>
      </c>
    </row>
    <row r="595" spans="1:16" ht="12.75" customHeight="1" thickBot="1">
      <c r="A595" s="251"/>
      <c r="B595" s="452"/>
      <c r="C595" s="253"/>
      <c r="D595" s="251"/>
      <c r="E595" s="251"/>
      <c r="F595" s="254"/>
      <c r="G595" s="255"/>
      <c r="H595" s="256"/>
      <c r="I595" s="882"/>
      <c r="J595" s="876"/>
      <c r="K595" s="878"/>
      <c r="L595" s="882"/>
      <c r="M595" s="882"/>
      <c r="N595" s="884"/>
      <c r="O595" s="56">
        <v>721</v>
      </c>
      <c r="P595" s="79">
        <f>+N594-P594</f>
        <v>196000</v>
      </c>
    </row>
    <row r="596" spans="1:16" ht="13.5" customHeight="1">
      <c r="A596" s="881" t="e">
        <f>+A592+1</f>
        <v>#REF!</v>
      </c>
      <c r="B596" s="875">
        <v>42286</v>
      </c>
      <c r="C596" s="881" t="s">
        <v>28</v>
      </c>
      <c r="D596" s="881" t="s">
        <v>321</v>
      </c>
      <c r="E596" s="881" t="s">
        <v>148</v>
      </c>
      <c r="F596" s="883">
        <v>182000</v>
      </c>
      <c r="G596" s="55">
        <v>719</v>
      </c>
      <c r="H596" s="78">
        <v>130000</v>
      </c>
      <c r="I596" s="873" t="s">
        <v>660</v>
      </c>
      <c r="J596" s="875">
        <v>44427</v>
      </c>
      <c r="K596" s="877" t="s">
        <v>1079</v>
      </c>
      <c r="L596" s="881" t="s">
        <v>2100</v>
      </c>
      <c r="M596" s="881" t="s">
        <v>148</v>
      </c>
      <c r="N596" s="883">
        <v>985500</v>
      </c>
      <c r="O596" s="55">
        <v>719</v>
      </c>
      <c r="P596" s="78">
        <v>730000</v>
      </c>
    </row>
    <row r="597" spans="1:16" ht="12" customHeight="1" thickBot="1">
      <c r="A597" s="882"/>
      <c r="B597" s="934"/>
      <c r="C597" s="882"/>
      <c r="D597" s="882"/>
      <c r="E597" s="882"/>
      <c r="F597" s="884"/>
      <c r="G597" s="56">
        <v>721</v>
      </c>
      <c r="H597" s="79">
        <f>+F596-H596</f>
        <v>52000</v>
      </c>
      <c r="I597" s="882"/>
      <c r="J597" s="876"/>
      <c r="K597" s="878"/>
      <c r="L597" s="882"/>
      <c r="M597" s="882"/>
      <c r="N597" s="884"/>
      <c r="O597" s="56">
        <v>721</v>
      </c>
      <c r="P597" s="79">
        <f>+N596-P596</f>
        <v>255500</v>
      </c>
    </row>
    <row r="598" spans="1:16" ht="12" customHeight="1">
      <c r="A598" s="251"/>
      <c r="B598" s="452"/>
      <c r="C598" s="251"/>
      <c r="D598" s="251"/>
      <c r="E598" s="251"/>
      <c r="F598" s="254"/>
      <c r="G598" s="255"/>
      <c r="H598" s="256"/>
      <c r="I598" s="873" t="s">
        <v>661</v>
      </c>
      <c r="J598" s="875">
        <v>44427</v>
      </c>
      <c r="K598" s="877" t="s">
        <v>1079</v>
      </c>
      <c r="L598" s="881" t="s">
        <v>2101</v>
      </c>
      <c r="M598" s="881" t="s">
        <v>148</v>
      </c>
      <c r="N598" s="883">
        <v>459000</v>
      </c>
      <c r="O598" s="55">
        <v>719</v>
      </c>
      <c r="P598" s="78">
        <v>340000</v>
      </c>
    </row>
    <row r="599" spans="1:16" ht="12" customHeight="1" thickBot="1">
      <c r="A599" s="251"/>
      <c r="B599" s="452"/>
      <c r="C599" s="251"/>
      <c r="D599" s="251"/>
      <c r="E599" s="251"/>
      <c r="F599" s="254"/>
      <c r="G599" s="255"/>
      <c r="H599" s="256"/>
      <c r="I599" s="882"/>
      <c r="J599" s="876"/>
      <c r="K599" s="878"/>
      <c r="L599" s="882"/>
      <c r="M599" s="882"/>
      <c r="N599" s="884"/>
      <c r="O599" s="56">
        <v>721</v>
      </c>
      <c r="P599" s="79">
        <f>+N598-P598</f>
        <v>119000</v>
      </c>
    </row>
    <row r="600" spans="1:16" ht="12" customHeight="1">
      <c r="A600" s="881" t="e">
        <f>+#REF!+1</f>
        <v>#REF!</v>
      </c>
      <c r="B600" s="875">
        <v>42286</v>
      </c>
      <c r="C600" s="877" t="s">
        <v>111</v>
      </c>
      <c r="D600" s="881" t="s">
        <v>319</v>
      </c>
      <c r="E600" s="881" t="s">
        <v>148</v>
      </c>
      <c r="F600" s="883">
        <v>28000</v>
      </c>
      <c r="G600" s="55">
        <v>719</v>
      </c>
      <c r="H600" s="78">
        <v>20000</v>
      </c>
      <c r="I600" s="873" t="s">
        <v>662</v>
      </c>
      <c r="J600" s="875">
        <v>44427</v>
      </c>
      <c r="K600" s="877" t="s">
        <v>1315</v>
      </c>
      <c r="L600" s="881" t="s">
        <v>2093</v>
      </c>
      <c r="M600" s="881" t="s">
        <v>148</v>
      </c>
      <c r="N600" s="883">
        <v>558350</v>
      </c>
      <c r="O600" s="55">
        <v>719</v>
      </c>
      <c r="P600" s="78"/>
    </row>
    <row r="601" spans="1:16" ht="12" customHeight="1" thickBot="1">
      <c r="A601" s="882"/>
      <c r="B601" s="934"/>
      <c r="C601" s="878"/>
      <c r="D601" s="882"/>
      <c r="E601" s="882"/>
      <c r="F601" s="884"/>
      <c r="G601" s="56">
        <v>721</v>
      </c>
      <c r="H601" s="79">
        <f>+F600-H600</f>
        <v>8000</v>
      </c>
      <c r="I601" s="882"/>
      <c r="J601" s="876"/>
      <c r="K601" s="878"/>
      <c r="L601" s="882"/>
      <c r="M601" s="882"/>
      <c r="N601" s="884"/>
      <c r="O601" s="56">
        <v>723</v>
      </c>
      <c r="P601" s="79">
        <f>+N600-P600</f>
        <v>558350</v>
      </c>
    </row>
    <row r="602" spans="1:16" ht="16.5" thickBot="1">
      <c r="A602" s="901" t="s">
        <v>102</v>
      </c>
      <c r="B602" s="902"/>
      <c r="C602" s="902"/>
      <c r="D602" s="902"/>
      <c r="E602" s="903"/>
      <c r="F602" s="81">
        <f>SUM(F592:F601)</f>
        <v>280000</v>
      </c>
      <c r="I602" s="901" t="s">
        <v>102</v>
      </c>
      <c r="J602" s="902"/>
      <c r="K602" s="902"/>
      <c r="L602" s="902"/>
      <c r="M602" s="903"/>
      <c r="N602" s="81">
        <f>SUM(N592:N601)</f>
        <v>3730850</v>
      </c>
    </row>
    <row r="603" spans="1:16" ht="16.5" thickBot="1">
      <c r="A603" s="885" t="s">
        <v>103</v>
      </c>
      <c r="B603" s="886"/>
      <c r="C603" s="886"/>
      <c r="D603" s="886"/>
      <c r="E603" s="887"/>
      <c r="F603" s="69">
        <f>+F567</f>
        <v>627066225</v>
      </c>
      <c r="I603" s="885" t="s">
        <v>103</v>
      </c>
      <c r="J603" s="886"/>
      <c r="K603" s="886"/>
      <c r="L603" s="886"/>
      <c r="M603" s="887"/>
      <c r="N603" s="239">
        <f>+N567</f>
        <v>328755001</v>
      </c>
      <c r="O603" s="241" t="s">
        <v>561</v>
      </c>
      <c r="P603" s="242">
        <f>221+369+926+331</f>
        <v>1847</v>
      </c>
    </row>
    <row r="604" spans="1:16" ht="16.5" thickBot="1">
      <c r="A604" s="888" t="s">
        <v>104</v>
      </c>
      <c r="B604" s="889"/>
      <c r="C604" s="889"/>
      <c r="D604" s="889"/>
      <c r="E604" s="890"/>
      <c r="F604" s="183">
        <f>SUM(F602:F603)</f>
        <v>627346225</v>
      </c>
      <c r="I604" s="888" t="s">
        <v>104</v>
      </c>
      <c r="J604" s="889"/>
      <c r="K604" s="889"/>
      <c r="L604" s="889"/>
      <c r="M604" s="890"/>
      <c r="N604" s="183">
        <f>SUM(N602:N603)</f>
        <v>332485851</v>
      </c>
    </row>
    <row r="605" spans="1:16" ht="8.25" customHeight="1">
      <c r="A605" s="61"/>
      <c r="B605" s="61"/>
      <c r="C605" s="61"/>
      <c r="D605" s="61"/>
      <c r="E605" s="61"/>
      <c r="I605" s="61"/>
      <c r="J605" s="61"/>
      <c r="K605" s="61"/>
      <c r="L605" s="61"/>
      <c r="M605" s="61"/>
    </row>
    <row r="606" spans="1:16">
      <c r="A606" s="51" t="s">
        <v>323</v>
      </c>
      <c r="I606" s="51" t="s">
        <v>2102</v>
      </c>
    </row>
    <row r="607" spans="1:16" ht="5.25" customHeight="1">
      <c r="F607" s="139"/>
      <c r="N607" s="139"/>
    </row>
    <row r="608" spans="1:16">
      <c r="A608" s="50" t="s">
        <v>105</v>
      </c>
      <c r="D608" s="146"/>
      <c r="F608" s="139"/>
      <c r="I608" s="50" t="s">
        <v>105</v>
      </c>
      <c r="L608" s="146"/>
      <c r="N608" s="139"/>
    </row>
    <row r="609" spans="1:16" ht="6" customHeight="1" thickBot="1"/>
    <row r="610" spans="1:16" ht="17.25" thickBot="1">
      <c r="A610" s="891" t="s">
        <v>106</v>
      </c>
      <c r="B610" s="892"/>
      <c r="C610" s="892"/>
      <c r="D610" s="893"/>
      <c r="F610" s="50" t="s">
        <v>288</v>
      </c>
      <c r="I610" s="891" t="s">
        <v>106</v>
      </c>
      <c r="J610" s="892"/>
      <c r="K610" s="892"/>
      <c r="L610" s="893"/>
      <c r="N610" s="605" t="s">
        <v>288</v>
      </c>
      <c r="O610" s="605"/>
      <c r="P610" s="605"/>
    </row>
    <row r="611" spans="1:16" ht="28.5" customHeight="1" thickBot="1">
      <c r="A611" s="57" t="s">
        <v>100</v>
      </c>
      <c r="B611" s="58" t="s">
        <v>108</v>
      </c>
      <c r="C611" s="59" t="s">
        <v>109</v>
      </c>
      <c r="D611" s="60" t="s">
        <v>110</v>
      </c>
      <c r="I611" s="57" t="s">
        <v>100</v>
      </c>
      <c r="J611" s="58" t="s">
        <v>108</v>
      </c>
      <c r="K611" s="59" t="s">
        <v>109</v>
      </c>
      <c r="L611" s="60" t="s">
        <v>110</v>
      </c>
      <c r="N611" s="202"/>
      <c r="O611" s="202"/>
      <c r="P611" s="202"/>
    </row>
    <row r="612" spans="1:16" ht="12.75" customHeight="1">
      <c r="A612" s="71">
        <v>719</v>
      </c>
      <c r="B612" s="73" t="e">
        <f>+H592+H596+#REF!+H600+#REF!</f>
        <v>#REF!</v>
      </c>
      <c r="C612" s="74" t="e">
        <f>+D575</f>
        <v>#REF!</v>
      </c>
      <c r="D612" s="195" t="e">
        <f>+B612+C612</f>
        <v>#REF!</v>
      </c>
      <c r="I612" s="71">
        <v>719</v>
      </c>
      <c r="J612" s="73">
        <f>+P592+P594+P596+P598</f>
        <v>2350000</v>
      </c>
      <c r="K612" s="74">
        <f>+L575</f>
        <v>8800000</v>
      </c>
      <c r="L612" s="195">
        <f>+J612+K612</f>
        <v>11150000</v>
      </c>
      <c r="N612" s="202"/>
      <c r="O612" s="202"/>
      <c r="P612" s="202"/>
    </row>
    <row r="613" spans="1:16" ht="12.75" customHeight="1">
      <c r="A613" s="72">
        <v>721</v>
      </c>
      <c r="B613" s="80" t="e">
        <f>+H593+H597+#REF!+H601+#REF!</f>
        <v>#REF!</v>
      </c>
      <c r="C613" s="74" t="e">
        <f>+D576</f>
        <v>#REF!</v>
      </c>
      <c r="D613" s="195" t="e">
        <f>+B613+C613</f>
        <v>#REF!</v>
      </c>
      <c r="I613" s="72">
        <v>721</v>
      </c>
      <c r="J613" s="80">
        <f>+P593+P595+P597+P599</f>
        <v>822500</v>
      </c>
      <c r="K613" s="74">
        <f>+L576</f>
        <v>3080000</v>
      </c>
      <c r="L613" s="195">
        <f>+J613+K613</f>
        <v>3902500</v>
      </c>
      <c r="N613" s="202"/>
      <c r="O613" s="202"/>
      <c r="P613" s="202"/>
    </row>
    <row r="614" spans="1:16" ht="12" customHeight="1">
      <c r="A614" s="72">
        <v>722</v>
      </c>
      <c r="B614" s="80"/>
      <c r="C614" s="74">
        <f>+D577</f>
        <v>231207671</v>
      </c>
      <c r="D614" s="195">
        <f>+B614+C614</f>
        <v>231207671</v>
      </c>
      <c r="I614" s="72">
        <v>722</v>
      </c>
      <c r="J614" s="80"/>
      <c r="K614" s="74">
        <f>+L577</f>
        <v>14081628</v>
      </c>
      <c r="L614" s="195">
        <f>+J614+K614</f>
        <v>14081628</v>
      </c>
      <c r="N614" s="202"/>
      <c r="O614" s="202"/>
      <c r="P614" s="202"/>
    </row>
    <row r="615" spans="1:16" ht="13.5" customHeight="1">
      <c r="A615" s="72">
        <v>723</v>
      </c>
      <c r="B615" s="80"/>
      <c r="C615" s="74" t="e">
        <f>+D578</f>
        <v>#REF!</v>
      </c>
      <c r="D615" s="195" t="e">
        <f>+B615+C615</f>
        <v>#REF!</v>
      </c>
      <c r="F615" s="193" t="s">
        <v>289</v>
      </c>
      <c r="G615" s="175"/>
      <c r="I615" s="72">
        <v>723</v>
      </c>
      <c r="J615" s="80">
        <f>+P601</f>
        <v>558350</v>
      </c>
      <c r="K615" s="74">
        <f>+L578</f>
        <v>303092253</v>
      </c>
      <c r="L615" s="195">
        <f>+J615+K615</f>
        <v>303650603</v>
      </c>
      <c r="N615" s="918" t="s">
        <v>1696</v>
      </c>
      <c r="O615" s="608"/>
      <c r="P615" s="608"/>
    </row>
    <row r="616" spans="1:16" ht="12.75" customHeight="1" thickBot="1">
      <c r="A616" s="482"/>
      <c r="B616" s="483"/>
      <c r="C616" s="199"/>
      <c r="D616" s="196"/>
      <c r="F616" s="193"/>
      <c r="G616" s="175"/>
      <c r="I616" s="482" t="str">
        <f>+I579</f>
        <v>710-718</v>
      </c>
      <c r="J616" s="484"/>
      <c r="K616" s="485">
        <f>+L579</f>
        <v>-298880</v>
      </c>
      <c r="L616" s="195">
        <f>+J616+K616</f>
        <v>-298880</v>
      </c>
      <c r="N616" s="189"/>
      <c r="O616" s="222"/>
      <c r="P616" s="222"/>
    </row>
    <row r="617" spans="1:16" ht="16.5" thickBot="1">
      <c r="A617" s="169"/>
      <c r="B617" s="170" t="e">
        <f>SUM(B612:B615)</f>
        <v>#REF!</v>
      </c>
      <c r="C617" s="171" t="e">
        <f>SUM(C612:C615)</f>
        <v>#REF!</v>
      </c>
      <c r="D617" s="172" t="e">
        <f>SUM(D612:D615)</f>
        <v>#REF!</v>
      </c>
      <c r="I617" s="169"/>
      <c r="J617" s="197">
        <f>SUM(J612:J615)</f>
        <v>3730850</v>
      </c>
      <c r="K617" s="197">
        <f>SUM(K612:K616)</f>
        <v>328755001</v>
      </c>
      <c r="L617" s="198">
        <f>SUM(L612:L616)</f>
        <v>332485851</v>
      </c>
    </row>
    <row r="618" spans="1:16" ht="16.5">
      <c r="A618" s="49" t="s">
        <v>88</v>
      </c>
      <c r="B618" s="50"/>
      <c r="I618" s="49" t="s">
        <v>88</v>
      </c>
      <c r="J618" s="50"/>
    </row>
    <row r="619" spans="1:16" ht="12.75" customHeight="1">
      <c r="A619" s="51" t="s">
        <v>89</v>
      </c>
      <c r="I619" s="51" t="s">
        <v>89</v>
      </c>
    </row>
    <row r="620" spans="1:16" ht="13.5" customHeight="1">
      <c r="A620" s="51" t="s">
        <v>90</v>
      </c>
      <c r="I620" s="51" t="s">
        <v>90</v>
      </c>
    </row>
    <row r="621" spans="1:16" ht="12.75" customHeight="1">
      <c r="A621" s="51" t="s">
        <v>91</v>
      </c>
      <c r="I621" s="51" t="s">
        <v>91</v>
      </c>
    </row>
    <row r="622" spans="1:16" ht="6" customHeight="1">
      <c r="A622" s="50"/>
      <c r="B622" s="50"/>
      <c r="I622" s="50"/>
      <c r="J622" s="50"/>
    </row>
    <row r="623" spans="1:16" ht="13.5" customHeight="1">
      <c r="A623" s="52" t="s">
        <v>344</v>
      </c>
      <c r="G623" s="52"/>
      <c r="I623" s="52" t="s">
        <v>725</v>
      </c>
      <c r="O623" s="52"/>
    </row>
    <row r="624" spans="1:16" ht="14.25" customHeight="1">
      <c r="A624" s="53" t="s">
        <v>92</v>
      </c>
      <c r="G624" s="53"/>
      <c r="I624" s="53" t="s">
        <v>2012</v>
      </c>
      <c r="O624" s="53"/>
    </row>
    <row r="625" spans="1:16" ht="16.5">
      <c r="A625" s="894" t="s">
        <v>347</v>
      </c>
      <c r="B625" s="894"/>
      <c r="C625" s="894"/>
      <c r="D625" s="894"/>
      <c r="E625" s="894"/>
      <c r="F625" s="894"/>
      <c r="G625" s="894"/>
      <c r="H625" s="894"/>
      <c r="I625" s="894" t="s">
        <v>228</v>
      </c>
      <c r="J625" s="894"/>
      <c r="K625" s="894"/>
      <c r="L625" s="894"/>
      <c r="M625" s="894"/>
      <c r="N625" s="894"/>
      <c r="O625" s="894"/>
      <c r="P625" s="894"/>
    </row>
    <row r="626" spans="1:16" ht="9" customHeight="1" thickBot="1"/>
    <row r="627" spans="1:16">
      <c r="A627" s="895" t="s">
        <v>94</v>
      </c>
      <c r="B627" s="897" t="s">
        <v>95</v>
      </c>
      <c r="C627" s="897" t="s">
        <v>96</v>
      </c>
      <c r="D627" s="897" t="s">
        <v>3</v>
      </c>
      <c r="E627" s="897" t="s">
        <v>97</v>
      </c>
      <c r="F627" s="897" t="s">
        <v>98</v>
      </c>
      <c r="G627" s="897" t="s">
        <v>99</v>
      </c>
      <c r="H627" s="899"/>
      <c r="I627" s="895" t="s">
        <v>94</v>
      </c>
      <c r="J627" s="897" t="s">
        <v>95</v>
      </c>
      <c r="K627" s="897" t="s">
        <v>96</v>
      </c>
      <c r="L627" s="897" t="s">
        <v>3</v>
      </c>
      <c r="M627" s="897" t="s">
        <v>97</v>
      </c>
      <c r="N627" s="897" t="s">
        <v>98</v>
      </c>
      <c r="O627" s="897" t="s">
        <v>99</v>
      </c>
      <c r="P627" s="899"/>
    </row>
    <row r="628" spans="1:16" ht="15.75" thickBot="1">
      <c r="A628" s="896"/>
      <c r="B628" s="898"/>
      <c r="C628" s="898"/>
      <c r="D628" s="898"/>
      <c r="E628" s="898"/>
      <c r="F628" s="898"/>
      <c r="G628" s="240" t="s">
        <v>100</v>
      </c>
      <c r="H628" s="182" t="s">
        <v>101</v>
      </c>
      <c r="I628" s="896"/>
      <c r="J628" s="898"/>
      <c r="K628" s="898"/>
      <c r="L628" s="898"/>
      <c r="M628" s="898"/>
      <c r="N628" s="898"/>
      <c r="O628" s="240" t="s">
        <v>100</v>
      </c>
      <c r="P628" s="182" t="s">
        <v>101</v>
      </c>
    </row>
    <row r="629" spans="1:16" ht="12.75" customHeight="1">
      <c r="A629" s="881" t="e">
        <f>+#REF!+1</f>
        <v>#REF!</v>
      </c>
      <c r="B629" s="875">
        <v>42293</v>
      </c>
      <c r="C629" s="877" t="s">
        <v>325</v>
      </c>
      <c r="D629" s="877" t="s">
        <v>324</v>
      </c>
      <c r="E629" s="881" t="s">
        <v>145</v>
      </c>
      <c r="F629" s="883">
        <v>20276705</v>
      </c>
      <c r="G629" s="55">
        <v>719</v>
      </c>
      <c r="H629" s="78"/>
      <c r="I629" s="873" t="s">
        <v>663</v>
      </c>
      <c r="J629" s="875">
        <v>44459</v>
      </c>
      <c r="K629" s="877" t="s">
        <v>815</v>
      </c>
      <c r="L629" s="881" t="s">
        <v>2103</v>
      </c>
      <c r="M629" s="881" t="s">
        <v>115</v>
      </c>
      <c r="N629" s="883">
        <v>1093500</v>
      </c>
      <c r="O629" s="55">
        <v>719</v>
      </c>
      <c r="P629" s="258">
        <v>810000</v>
      </c>
    </row>
    <row r="630" spans="1:16" ht="14.25" customHeight="1" thickBot="1">
      <c r="A630" s="882"/>
      <c r="B630" s="876"/>
      <c r="C630" s="878"/>
      <c r="D630" s="878"/>
      <c r="E630" s="882"/>
      <c r="F630" s="884"/>
      <c r="G630" s="56">
        <v>721</v>
      </c>
      <c r="H630" s="79">
        <f>+F629-H629</f>
        <v>20276705</v>
      </c>
      <c r="I630" s="882"/>
      <c r="J630" s="876"/>
      <c r="K630" s="878"/>
      <c r="L630" s="882"/>
      <c r="M630" s="882"/>
      <c r="N630" s="884"/>
      <c r="O630" s="56">
        <v>721</v>
      </c>
      <c r="P630" s="79">
        <f>+N629-P629</f>
        <v>283500</v>
      </c>
    </row>
    <row r="631" spans="1:16" ht="12.75" customHeight="1">
      <c r="A631" s="881" t="e">
        <f>+A629+1</f>
        <v>#REF!</v>
      </c>
      <c r="B631" s="875">
        <v>42293</v>
      </c>
      <c r="C631" s="877" t="s">
        <v>345</v>
      </c>
      <c r="D631" s="877" t="s">
        <v>346</v>
      </c>
      <c r="E631" s="881" t="s">
        <v>165</v>
      </c>
      <c r="F631" s="883">
        <v>200000</v>
      </c>
      <c r="G631" s="55">
        <v>719</v>
      </c>
      <c r="H631" s="78"/>
      <c r="I631" s="873" t="s">
        <v>664</v>
      </c>
      <c r="J631" s="875">
        <v>44459</v>
      </c>
      <c r="K631" s="877" t="s">
        <v>1079</v>
      </c>
      <c r="L631" s="881" t="s">
        <v>2106</v>
      </c>
      <c r="M631" s="881" t="s">
        <v>148</v>
      </c>
      <c r="N631" s="883">
        <v>715500</v>
      </c>
      <c r="O631" s="55">
        <v>719</v>
      </c>
      <c r="P631" s="78">
        <v>530000</v>
      </c>
    </row>
    <row r="632" spans="1:16" ht="13.5" customHeight="1" thickBot="1">
      <c r="A632" s="882"/>
      <c r="B632" s="876"/>
      <c r="C632" s="878"/>
      <c r="D632" s="878"/>
      <c r="E632" s="882"/>
      <c r="F632" s="884"/>
      <c r="G632" s="56">
        <v>723</v>
      </c>
      <c r="H632" s="79">
        <f>+F631-H631</f>
        <v>200000</v>
      </c>
      <c r="I632" s="882"/>
      <c r="J632" s="876"/>
      <c r="K632" s="878"/>
      <c r="L632" s="882"/>
      <c r="M632" s="882"/>
      <c r="N632" s="884"/>
      <c r="O632" s="56">
        <v>721</v>
      </c>
      <c r="P632" s="79">
        <f>+N631-P631</f>
        <v>185500</v>
      </c>
    </row>
    <row r="633" spans="1:16" ht="12.75" customHeight="1">
      <c r="A633" s="881"/>
      <c r="B633" s="875"/>
      <c r="C633" s="877"/>
      <c r="D633" s="881"/>
      <c r="E633" s="881"/>
      <c r="F633" s="883"/>
      <c r="G633" s="55">
        <v>719</v>
      </c>
      <c r="H633" s="78"/>
      <c r="I633" s="873" t="s">
        <v>665</v>
      </c>
      <c r="J633" s="875">
        <v>44459</v>
      </c>
      <c r="K633" s="877" t="s">
        <v>1079</v>
      </c>
      <c r="L633" s="881" t="s">
        <v>2105</v>
      </c>
      <c r="M633" s="881" t="s">
        <v>148</v>
      </c>
      <c r="N633" s="883">
        <v>783000</v>
      </c>
      <c r="O633" s="55">
        <v>719</v>
      </c>
      <c r="P633" s="258">
        <v>580000</v>
      </c>
    </row>
    <row r="634" spans="1:16" ht="12.75" customHeight="1" thickBot="1">
      <c r="A634" s="882"/>
      <c r="B634" s="876"/>
      <c r="C634" s="878"/>
      <c r="D634" s="882"/>
      <c r="E634" s="882"/>
      <c r="F634" s="884"/>
      <c r="G634" s="56">
        <v>721</v>
      </c>
      <c r="H634" s="79">
        <f>+F633-H633</f>
        <v>0</v>
      </c>
      <c r="I634" s="882"/>
      <c r="J634" s="876"/>
      <c r="K634" s="878"/>
      <c r="L634" s="882"/>
      <c r="M634" s="882"/>
      <c r="N634" s="884"/>
      <c r="O634" s="56">
        <v>721</v>
      </c>
      <c r="P634" s="79">
        <f>+N633-P633</f>
        <v>203000</v>
      </c>
    </row>
    <row r="635" spans="1:16" ht="12.75" customHeight="1">
      <c r="A635" s="251"/>
      <c r="B635" s="252"/>
      <c r="C635" s="253"/>
      <c r="D635" s="251"/>
      <c r="E635" s="251"/>
      <c r="F635" s="254"/>
      <c r="G635" s="255"/>
      <c r="H635" s="256"/>
      <c r="I635" s="873" t="s">
        <v>666</v>
      </c>
      <c r="J635" s="875">
        <v>44459</v>
      </c>
      <c r="K635" s="877" t="s">
        <v>1079</v>
      </c>
      <c r="L635" s="881" t="s">
        <v>2104</v>
      </c>
      <c r="M635" s="881" t="s">
        <v>148</v>
      </c>
      <c r="N635" s="883">
        <v>837000</v>
      </c>
      <c r="O635" s="55">
        <v>719</v>
      </c>
      <c r="P635" s="258">
        <v>620000</v>
      </c>
    </row>
    <row r="636" spans="1:16" ht="12.75" customHeight="1" thickBot="1">
      <c r="A636" s="251"/>
      <c r="B636" s="252"/>
      <c r="C636" s="253"/>
      <c r="D636" s="251"/>
      <c r="E636" s="251"/>
      <c r="F636" s="254"/>
      <c r="G636" s="255"/>
      <c r="H636" s="256"/>
      <c r="I636" s="882"/>
      <c r="J636" s="876"/>
      <c r="K636" s="878"/>
      <c r="L636" s="882"/>
      <c r="M636" s="882"/>
      <c r="N636" s="884"/>
      <c r="O636" s="56">
        <v>721</v>
      </c>
      <c r="P636" s="79">
        <f>+N635-P635</f>
        <v>217000</v>
      </c>
    </row>
    <row r="637" spans="1:16" ht="12.75" customHeight="1">
      <c r="A637" s="251"/>
      <c r="B637" s="252"/>
      <c r="C637" s="253"/>
      <c r="D637" s="251"/>
      <c r="E637" s="251"/>
      <c r="F637" s="254"/>
      <c r="G637" s="255"/>
      <c r="H637" s="256"/>
      <c r="I637" s="873" t="s">
        <v>667</v>
      </c>
      <c r="J637" s="875">
        <v>44459</v>
      </c>
      <c r="K637" s="877" t="s">
        <v>1079</v>
      </c>
      <c r="L637" s="881" t="s">
        <v>2107</v>
      </c>
      <c r="M637" s="881" t="s">
        <v>148</v>
      </c>
      <c r="N637" s="883">
        <v>742500</v>
      </c>
      <c r="O637" s="55">
        <v>719</v>
      </c>
      <c r="P637" s="258">
        <v>550000</v>
      </c>
    </row>
    <row r="638" spans="1:16" ht="12.75" customHeight="1" thickBot="1">
      <c r="A638" s="251"/>
      <c r="B638" s="252"/>
      <c r="C638" s="253"/>
      <c r="D638" s="251"/>
      <c r="E638" s="251"/>
      <c r="F638" s="254"/>
      <c r="G638" s="255"/>
      <c r="H638" s="256"/>
      <c r="I638" s="882"/>
      <c r="J638" s="876"/>
      <c r="K638" s="878"/>
      <c r="L638" s="882"/>
      <c r="M638" s="882"/>
      <c r="N638" s="884"/>
      <c r="O638" s="56">
        <v>721</v>
      </c>
      <c r="P638" s="79">
        <f>+N637-P637</f>
        <v>192500</v>
      </c>
    </row>
    <row r="639" spans="1:16" ht="16.5" thickBot="1">
      <c r="A639" s="901" t="s">
        <v>102</v>
      </c>
      <c r="B639" s="902"/>
      <c r="C639" s="902"/>
      <c r="D639" s="902"/>
      <c r="E639" s="903"/>
      <c r="F639" s="81">
        <f>SUM(F629:F638)</f>
        <v>20476705</v>
      </c>
      <c r="I639" s="901" t="s">
        <v>102</v>
      </c>
      <c r="J639" s="902"/>
      <c r="K639" s="902"/>
      <c r="L639" s="902"/>
      <c r="M639" s="903"/>
      <c r="N639" s="81">
        <f>SUM(N629:N638)</f>
        <v>4171500</v>
      </c>
    </row>
    <row r="640" spans="1:16" ht="16.5" thickBot="1">
      <c r="A640" s="885" t="s">
        <v>103</v>
      </c>
      <c r="B640" s="886"/>
      <c r="C640" s="886"/>
      <c r="D640" s="886"/>
      <c r="E640" s="887"/>
      <c r="F640" s="69">
        <f>+F604</f>
        <v>627346225</v>
      </c>
      <c r="I640" s="885" t="s">
        <v>103</v>
      </c>
      <c r="J640" s="886"/>
      <c r="K640" s="886"/>
      <c r="L640" s="886"/>
      <c r="M640" s="887"/>
      <c r="N640" s="239">
        <f>+N604</f>
        <v>332485851</v>
      </c>
      <c r="O640" s="241" t="s">
        <v>561</v>
      </c>
      <c r="P640" s="242">
        <f>281+498+349+301+2382</f>
        <v>3811</v>
      </c>
    </row>
    <row r="641" spans="1:16" ht="16.5" thickBot="1">
      <c r="A641" s="888" t="s">
        <v>104</v>
      </c>
      <c r="B641" s="889"/>
      <c r="C641" s="889"/>
      <c r="D641" s="889"/>
      <c r="E641" s="890"/>
      <c r="F641" s="183">
        <f>SUM(F639:F640)</f>
        <v>647822930</v>
      </c>
      <c r="I641" s="888" t="s">
        <v>104</v>
      </c>
      <c r="J641" s="889"/>
      <c r="K641" s="889"/>
      <c r="L641" s="889"/>
      <c r="M641" s="890"/>
      <c r="N641" s="183">
        <f>SUM(N639:N640)</f>
        <v>336657351</v>
      </c>
    </row>
    <row r="642" spans="1:16" ht="10.5" customHeight="1">
      <c r="A642" s="61"/>
      <c r="B642" s="61"/>
      <c r="C642" s="61"/>
      <c r="D642" s="61"/>
      <c r="E642" s="61"/>
      <c r="I642" s="61"/>
      <c r="J642" s="61"/>
      <c r="K642" s="61"/>
      <c r="L642" s="61"/>
      <c r="M642" s="61"/>
    </row>
    <row r="643" spans="1:16">
      <c r="A643" s="51" t="s">
        <v>349</v>
      </c>
      <c r="I643" s="51" t="s">
        <v>2108</v>
      </c>
    </row>
    <row r="644" spans="1:16" ht="5.25" customHeight="1">
      <c r="F644" s="139"/>
      <c r="N644" s="139"/>
    </row>
    <row r="645" spans="1:16">
      <c r="A645" s="50" t="s">
        <v>105</v>
      </c>
      <c r="D645" s="146"/>
      <c r="F645" s="139"/>
      <c r="I645" s="50" t="s">
        <v>105</v>
      </c>
      <c r="L645" s="146"/>
      <c r="N645" s="139"/>
    </row>
    <row r="646" spans="1:16" ht="10.5" customHeight="1" thickBot="1"/>
    <row r="647" spans="1:16" ht="15.75" thickBot="1">
      <c r="A647" s="891" t="s">
        <v>106</v>
      </c>
      <c r="B647" s="892"/>
      <c r="C647" s="892"/>
      <c r="D647" s="893"/>
      <c r="F647" s="50" t="s">
        <v>270</v>
      </c>
      <c r="I647" s="891" t="s">
        <v>106</v>
      </c>
      <c r="J647" s="892"/>
      <c r="K647" s="892"/>
      <c r="L647" s="893"/>
    </row>
    <row r="648" spans="1:16" ht="30.75" thickBot="1">
      <c r="A648" s="57" t="s">
        <v>100</v>
      </c>
      <c r="B648" s="58" t="s">
        <v>108</v>
      </c>
      <c r="C648" s="59" t="s">
        <v>109</v>
      </c>
      <c r="D648" s="60" t="s">
        <v>110</v>
      </c>
      <c r="I648" s="57" t="s">
        <v>100</v>
      </c>
      <c r="J648" s="58" t="s">
        <v>108</v>
      </c>
      <c r="K648" s="59" t="s">
        <v>109</v>
      </c>
      <c r="L648" s="60" t="s">
        <v>110</v>
      </c>
      <c r="N648" s="605" t="s">
        <v>288</v>
      </c>
      <c r="O648" s="605"/>
      <c r="P648" s="605"/>
    </row>
    <row r="649" spans="1:16" ht="13.5" customHeight="1">
      <c r="A649" s="71">
        <v>719</v>
      </c>
      <c r="B649" s="73" t="e">
        <f>+H629+H631+H633+#REF!+#REF!</f>
        <v>#REF!</v>
      </c>
      <c r="C649" s="74" t="e">
        <f>+D612</f>
        <v>#REF!</v>
      </c>
      <c r="D649" s="195" t="e">
        <f>+B649+C649</f>
        <v>#REF!</v>
      </c>
      <c r="I649" s="71">
        <v>719</v>
      </c>
      <c r="J649" s="73">
        <f>+P629+P631+P633+P635+P637</f>
        <v>3090000</v>
      </c>
      <c r="K649" s="74">
        <f>+L612</f>
        <v>11150000</v>
      </c>
      <c r="L649" s="195">
        <f>+J649+K649</f>
        <v>14240000</v>
      </c>
      <c r="N649" s="202"/>
      <c r="O649" s="202"/>
      <c r="P649" s="202"/>
    </row>
    <row r="650" spans="1:16" ht="12.75" customHeight="1">
      <c r="A650" s="72">
        <v>721</v>
      </c>
      <c r="B650" s="80">
        <f>+H630</f>
        <v>20276705</v>
      </c>
      <c r="C650" s="74" t="e">
        <f>+D613</f>
        <v>#REF!</v>
      </c>
      <c r="D650" s="195" t="e">
        <f>+B650+C650</f>
        <v>#REF!</v>
      </c>
      <c r="I650" s="72">
        <v>721</v>
      </c>
      <c r="J650" s="80">
        <f>+P630+P632+P634+P636+P638</f>
        <v>1081500</v>
      </c>
      <c r="K650" s="74">
        <f>+L613</f>
        <v>3902500</v>
      </c>
      <c r="L650" s="195">
        <f>+J650+K650</f>
        <v>4984000</v>
      </c>
      <c r="N650" s="202"/>
      <c r="O650" s="202"/>
      <c r="P650" s="202"/>
    </row>
    <row r="651" spans="1:16" ht="14.25" customHeight="1">
      <c r="A651" s="72">
        <v>722</v>
      </c>
      <c r="B651" s="80"/>
      <c r="C651" s="74">
        <f>+D614</f>
        <v>231207671</v>
      </c>
      <c r="D651" s="195">
        <f>+B651+C651</f>
        <v>231207671</v>
      </c>
      <c r="I651" s="72">
        <v>722</v>
      </c>
      <c r="J651" s="80"/>
      <c r="K651" s="74">
        <f>+L614</f>
        <v>14081628</v>
      </c>
      <c r="L651" s="195">
        <f>+J651+K651</f>
        <v>14081628</v>
      </c>
      <c r="N651" s="202"/>
      <c r="O651" s="202"/>
      <c r="P651" s="202"/>
    </row>
    <row r="652" spans="1:16" ht="16.5">
      <c r="A652" s="72">
        <v>723</v>
      </c>
      <c r="B652" s="80">
        <f>+H632</f>
        <v>200000</v>
      </c>
      <c r="C652" s="74" t="e">
        <f>+D615</f>
        <v>#REF!</v>
      </c>
      <c r="D652" s="195" t="e">
        <f>+B652+C652</f>
        <v>#REF!</v>
      </c>
      <c r="F652" s="193" t="s">
        <v>348</v>
      </c>
      <c r="G652" s="175"/>
      <c r="I652" s="72">
        <v>723</v>
      </c>
      <c r="J652" s="80"/>
      <c r="K652" s="74">
        <f>+L615</f>
        <v>303650603</v>
      </c>
      <c r="L652" s="195">
        <f>+J652+K652</f>
        <v>303650603</v>
      </c>
      <c r="N652" s="202"/>
      <c r="O652" s="202"/>
      <c r="P652" s="202"/>
    </row>
    <row r="653" spans="1:16" ht="16.5" thickBot="1">
      <c r="A653" s="164" t="s">
        <v>181</v>
      </c>
      <c r="B653" s="165"/>
      <c r="C653" s="74" t="e">
        <f>+#REF!</f>
        <v>#REF!</v>
      </c>
      <c r="D653" s="196" t="e">
        <f>+B653+C653</f>
        <v>#REF!</v>
      </c>
      <c r="F653" s="52"/>
      <c r="I653" s="164" t="s">
        <v>181</v>
      </c>
      <c r="J653" s="165"/>
      <c r="K653" s="74">
        <f>+K616</f>
        <v>-298880</v>
      </c>
      <c r="L653" s="195">
        <f>+J653+K653</f>
        <v>-298880</v>
      </c>
      <c r="N653" s="918" t="s">
        <v>1696</v>
      </c>
      <c r="O653" s="608"/>
      <c r="P653" s="608"/>
    </row>
    <row r="654" spans="1:16" ht="16.5" thickBot="1">
      <c r="A654" s="169"/>
      <c r="B654" s="170" t="e">
        <f>SUM(B649:B653)</f>
        <v>#REF!</v>
      </c>
      <c r="C654" s="171" t="e">
        <f>SUM(C649:C653)</f>
        <v>#REF!</v>
      </c>
      <c r="D654" s="172" t="e">
        <f>SUM(D649:D653)</f>
        <v>#REF!</v>
      </c>
      <c r="I654" s="169"/>
      <c r="J654" s="197">
        <f>SUM(J649:J653)</f>
        <v>4171500</v>
      </c>
      <c r="K654" s="197">
        <f>SUM(K649:K653)</f>
        <v>332485851</v>
      </c>
      <c r="L654" s="198">
        <f>SUM(L649:L653)</f>
        <v>336657351</v>
      </c>
    </row>
    <row r="655" spans="1:16" ht="16.5">
      <c r="A655" s="49" t="s">
        <v>88</v>
      </c>
      <c r="B655" s="50"/>
      <c r="I655" s="49" t="s">
        <v>88</v>
      </c>
      <c r="J655" s="50"/>
    </row>
    <row r="656" spans="1:16" ht="13.5" customHeight="1">
      <c r="A656" s="51" t="s">
        <v>89</v>
      </c>
      <c r="I656" s="51" t="s">
        <v>89</v>
      </c>
    </row>
    <row r="657" spans="1:16" ht="13.5" customHeight="1">
      <c r="A657" s="51" t="s">
        <v>90</v>
      </c>
      <c r="I657" s="51" t="s">
        <v>90</v>
      </c>
    </row>
    <row r="658" spans="1:16" ht="14.25" customHeight="1">
      <c r="A658" s="51" t="s">
        <v>91</v>
      </c>
      <c r="I658" s="51" t="s">
        <v>91</v>
      </c>
    </row>
    <row r="659" spans="1:16" ht="11.25" customHeight="1">
      <c r="A659" s="50"/>
      <c r="B659" s="50"/>
      <c r="I659" s="50"/>
      <c r="J659" s="50"/>
    </row>
    <row r="660" spans="1:16" ht="16.5">
      <c r="A660" s="52" t="s">
        <v>351</v>
      </c>
      <c r="G660" s="52"/>
      <c r="I660" s="52" t="s">
        <v>731</v>
      </c>
      <c r="O660" s="52"/>
    </row>
    <row r="661" spans="1:16" ht="15.75">
      <c r="A661" s="53" t="s">
        <v>92</v>
      </c>
      <c r="G661" s="53"/>
      <c r="I661" s="53" t="s">
        <v>2012</v>
      </c>
      <c r="O661" s="53"/>
    </row>
    <row r="662" spans="1:16" ht="15" customHeight="1">
      <c r="A662" s="894" t="s">
        <v>93</v>
      </c>
      <c r="B662" s="894"/>
      <c r="C662" s="894"/>
      <c r="D662" s="894"/>
      <c r="E662" s="894"/>
      <c r="F662" s="894"/>
      <c r="G662" s="894"/>
      <c r="H662" s="894"/>
      <c r="I662" s="894" t="s">
        <v>2112</v>
      </c>
      <c r="J662" s="894"/>
      <c r="K662" s="894"/>
      <c r="L662" s="894"/>
      <c r="M662" s="894"/>
      <c r="N662" s="894"/>
      <c r="O662" s="894"/>
      <c r="P662" s="894"/>
    </row>
    <row r="663" spans="1:16" ht="11.25" customHeight="1" thickBot="1"/>
    <row r="664" spans="1:16">
      <c r="A664" s="895" t="s">
        <v>94</v>
      </c>
      <c r="B664" s="897" t="s">
        <v>95</v>
      </c>
      <c r="C664" s="897" t="s">
        <v>96</v>
      </c>
      <c r="D664" s="897" t="s">
        <v>3</v>
      </c>
      <c r="E664" s="897" t="s">
        <v>97</v>
      </c>
      <c r="F664" s="897" t="s">
        <v>98</v>
      </c>
      <c r="G664" s="897" t="s">
        <v>99</v>
      </c>
      <c r="H664" s="899"/>
      <c r="I664" s="895" t="s">
        <v>94</v>
      </c>
      <c r="J664" s="897" t="s">
        <v>95</v>
      </c>
      <c r="K664" s="897" t="s">
        <v>96</v>
      </c>
      <c r="L664" s="897" t="s">
        <v>3</v>
      </c>
      <c r="M664" s="897" t="s">
        <v>97</v>
      </c>
      <c r="N664" s="897" t="s">
        <v>98</v>
      </c>
      <c r="O664" s="897" t="s">
        <v>99</v>
      </c>
      <c r="P664" s="899"/>
    </row>
    <row r="665" spans="1:16" ht="15.75" thickBot="1">
      <c r="A665" s="896"/>
      <c r="B665" s="898"/>
      <c r="C665" s="898"/>
      <c r="D665" s="898"/>
      <c r="E665" s="898"/>
      <c r="F665" s="898"/>
      <c r="G665" s="240" t="s">
        <v>100</v>
      </c>
      <c r="H665" s="182" t="s">
        <v>101</v>
      </c>
      <c r="I665" s="896"/>
      <c r="J665" s="898"/>
      <c r="K665" s="898"/>
      <c r="L665" s="898"/>
      <c r="M665" s="898"/>
      <c r="N665" s="898"/>
      <c r="O665" s="240" t="s">
        <v>100</v>
      </c>
      <c r="P665" s="182" t="s">
        <v>101</v>
      </c>
    </row>
    <row r="666" spans="1:16" ht="14.25" customHeight="1">
      <c r="A666" s="881" t="e">
        <f>+A631+1</f>
        <v>#REF!</v>
      </c>
      <c r="B666" s="875">
        <v>42296</v>
      </c>
      <c r="C666" s="877" t="s">
        <v>267</v>
      </c>
      <c r="D666" s="881" t="s">
        <v>359</v>
      </c>
      <c r="E666" s="881" t="s">
        <v>148</v>
      </c>
      <c r="F666" s="883">
        <v>154000</v>
      </c>
      <c r="G666" s="55">
        <v>719</v>
      </c>
      <c r="H666" s="78">
        <v>110000</v>
      </c>
      <c r="I666" s="873" t="s">
        <v>668</v>
      </c>
      <c r="J666" s="875">
        <v>44516</v>
      </c>
      <c r="K666" s="877" t="s">
        <v>815</v>
      </c>
      <c r="L666" s="881" t="s">
        <v>2109</v>
      </c>
      <c r="M666" s="881" t="s">
        <v>115</v>
      </c>
      <c r="N666" s="883">
        <v>1147500</v>
      </c>
      <c r="O666" s="55">
        <v>719</v>
      </c>
      <c r="P666" s="78">
        <v>850000</v>
      </c>
    </row>
    <row r="667" spans="1:16" ht="13.5" customHeight="1" thickBot="1">
      <c r="A667" s="882"/>
      <c r="B667" s="876"/>
      <c r="C667" s="878"/>
      <c r="D667" s="882"/>
      <c r="E667" s="882"/>
      <c r="F667" s="884"/>
      <c r="G667" s="56">
        <v>721</v>
      </c>
      <c r="H667" s="79">
        <f>+F666-H666</f>
        <v>44000</v>
      </c>
      <c r="I667" s="882"/>
      <c r="J667" s="876"/>
      <c r="K667" s="878"/>
      <c r="L667" s="882"/>
      <c r="M667" s="882"/>
      <c r="N667" s="884"/>
      <c r="O667" s="56">
        <v>721</v>
      </c>
      <c r="P667" s="79">
        <f>+N666-P666</f>
        <v>297500</v>
      </c>
    </row>
    <row r="668" spans="1:16" ht="12.75" customHeight="1">
      <c r="A668" s="881" t="e">
        <f>+A666+1</f>
        <v>#REF!</v>
      </c>
      <c r="B668" s="875">
        <v>42296</v>
      </c>
      <c r="C668" s="881" t="s">
        <v>28</v>
      </c>
      <c r="D668" s="881" t="s">
        <v>357</v>
      </c>
      <c r="E668" s="881" t="s">
        <v>148</v>
      </c>
      <c r="F668" s="883">
        <v>280000</v>
      </c>
      <c r="G668" s="55">
        <v>719</v>
      </c>
      <c r="H668" s="78">
        <v>200000</v>
      </c>
      <c r="I668" s="873" t="s">
        <v>669</v>
      </c>
      <c r="J668" s="875">
        <v>44516</v>
      </c>
      <c r="K668" s="877" t="s">
        <v>815</v>
      </c>
      <c r="L668" s="881" t="s">
        <v>2110</v>
      </c>
      <c r="M668" s="881" t="s">
        <v>115</v>
      </c>
      <c r="N668" s="883">
        <v>918000</v>
      </c>
      <c r="O668" s="55">
        <v>723</v>
      </c>
      <c r="P668" s="78">
        <v>680000</v>
      </c>
    </row>
    <row r="669" spans="1:16" ht="12.75" customHeight="1" thickBot="1">
      <c r="A669" s="882"/>
      <c r="B669" s="876"/>
      <c r="C669" s="882"/>
      <c r="D669" s="882"/>
      <c r="E669" s="882"/>
      <c r="F669" s="884"/>
      <c r="G669" s="56">
        <v>721</v>
      </c>
      <c r="H669" s="79">
        <f>+F668-H668</f>
        <v>80000</v>
      </c>
      <c r="I669" s="882"/>
      <c r="J669" s="876"/>
      <c r="K669" s="878"/>
      <c r="L669" s="882"/>
      <c r="M669" s="882"/>
      <c r="N669" s="884"/>
      <c r="O669" s="56">
        <v>723</v>
      </c>
      <c r="P669" s="79">
        <f>+N668-P668</f>
        <v>238000</v>
      </c>
    </row>
    <row r="670" spans="1:16" ht="12" customHeight="1">
      <c r="A670" s="881" t="e">
        <f>+A668+1</f>
        <v>#REF!</v>
      </c>
      <c r="B670" s="875">
        <v>42296</v>
      </c>
      <c r="C670" s="877" t="s">
        <v>32</v>
      </c>
      <c r="D670" s="881" t="s">
        <v>357</v>
      </c>
      <c r="E670" s="881" t="s">
        <v>148</v>
      </c>
      <c r="F670" s="883">
        <v>98000</v>
      </c>
      <c r="G670" s="55">
        <v>719</v>
      </c>
      <c r="H670" s="78">
        <v>70000</v>
      </c>
      <c r="I670" s="873" t="s">
        <v>670</v>
      </c>
      <c r="J670" s="875">
        <v>44516</v>
      </c>
      <c r="K670" s="877" t="s">
        <v>2121</v>
      </c>
      <c r="L670" s="881" t="s">
        <v>2111</v>
      </c>
      <c r="M670" s="881" t="s">
        <v>145</v>
      </c>
      <c r="N670" s="883">
        <v>1152000</v>
      </c>
      <c r="O670" s="55">
        <v>719</v>
      </c>
      <c r="P670" s="78"/>
    </row>
    <row r="671" spans="1:16" ht="14.25" customHeight="1" thickBot="1">
      <c r="A671" s="882"/>
      <c r="B671" s="876"/>
      <c r="C671" s="878"/>
      <c r="D671" s="882"/>
      <c r="E671" s="882"/>
      <c r="F671" s="884"/>
      <c r="G671" s="56">
        <v>721</v>
      </c>
      <c r="H671" s="79">
        <f>+F670-H670</f>
        <v>28000</v>
      </c>
      <c r="I671" s="882"/>
      <c r="J671" s="876"/>
      <c r="K671" s="878"/>
      <c r="L671" s="882"/>
      <c r="M671" s="882"/>
      <c r="N671" s="884"/>
      <c r="O671" s="56">
        <v>723</v>
      </c>
      <c r="P671" s="79">
        <f>+N670-P670</f>
        <v>1152000</v>
      </c>
    </row>
    <row r="672" spans="1:16" ht="12.75" customHeight="1">
      <c r="A672" s="881" t="e">
        <f>+#REF!+1</f>
        <v>#REF!</v>
      </c>
      <c r="B672" s="875">
        <v>42296</v>
      </c>
      <c r="C672" s="877" t="s">
        <v>272</v>
      </c>
      <c r="D672" s="881" t="s">
        <v>357</v>
      </c>
      <c r="E672" s="881" t="s">
        <v>148</v>
      </c>
      <c r="F672" s="883">
        <v>616000</v>
      </c>
      <c r="G672" s="55">
        <v>719</v>
      </c>
      <c r="H672" s="78">
        <v>440000</v>
      </c>
      <c r="I672" s="873"/>
      <c r="J672" s="875"/>
      <c r="K672" s="877"/>
      <c r="L672" s="881"/>
      <c r="M672" s="881"/>
      <c r="N672" s="883"/>
      <c r="O672" s="55">
        <v>719</v>
      </c>
      <c r="P672" s="78">
        <v>0</v>
      </c>
    </row>
    <row r="673" spans="1:16" ht="12.75" customHeight="1" thickBot="1">
      <c r="A673" s="882"/>
      <c r="B673" s="876"/>
      <c r="C673" s="878"/>
      <c r="D673" s="882"/>
      <c r="E673" s="882"/>
      <c r="F673" s="884"/>
      <c r="G673" s="56">
        <v>721</v>
      </c>
      <c r="H673" s="79">
        <f>+F672-H672</f>
        <v>176000</v>
      </c>
      <c r="I673" s="882"/>
      <c r="J673" s="876"/>
      <c r="K673" s="878"/>
      <c r="L673" s="882"/>
      <c r="M673" s="882"/>
      <c r="N673" s="884"/>
      <c r="O673" s="56">
        <v>723</v>
      </c>
      <c r="P673" s="79">
        <f>+N672-P672</f>
        <v>0</v>
      </c>
    </row>
    <row r="674" spans="1:16" ht="16.5" thickBot="1">
      <c r="A674" s="901" t="s">
        <v>102</v>
      </c>
      <c r="B674" s="902"/>
      <c r="C674" s="902"/>
      <c r="D674" s="902"/>
      <c r="E674" s="903"/>
      <c r="F674" s="81">
        <f>SUM(F666:F673)</f>
        <v>1148000</v>
      </c>
      <c r="I674" s="901" t="s">
        <v>102</v>
      </c>
      <c r="J674" s="902"/>
      <c r="K674" s="902"/>
      <c r="L674" s="902"/>
      <c r="M674" s="903"/>
      <c r="N674" s="81">
        <f>SUM(N666:N673)</f>
        <v>3217500</v>
      </c>
    </row>
    <row r="675" spans="1:16" ht="16.5" thickBot="1">
      <c r="A675" s="885" t="s">
        <v>103</v>
      </c>
      <c r="B675" s="886"/>
      <c r="C675" s="886"/>
      <c r="D675" s="886"/>
      <c r="E675" s="887"/>
      <c r="F675" s="69">
        <f>+F641</f>
        <v>647822930</v>
      </c>
      <c r="I675" s="885" t="s">
        <v>103</v>
      </c>
      <c r="J675" s="886"/>
      <c r="K675" s="886"/>
      <c r="L675" s="886"/>
      <c r="M675" s="887"/>
      <c r="N675" s="239">
        <f>+N641</f>
        <v>336657351</v>
      </c>
      <c r="O675" s="241" t="s">
        <v>561</v>
      </c>
      <c r="P675" s="242">
        <f>1941+1558</f>
        <v>3499</v>
      </c>
    </row>
    <row r="676" spans="1:16" ht="16.5" thickBot="1">
      <c r="A676" s="888" t="s">
        <v>104</v>
      </c>
      <c r="B676" s="889"/>
      <c r="C676" s="889"/>
      <c r="D676" s="889"/>
      <c r="E676" s="890"/>
      <c r="F676" s="183">
        <f>SUM(F674:F675)</f>
        <v>648970930</v>
      </c>
      <c r="I676" s="888" t="s">
        <v>104</v>
      </c>
      <c r="J676" s="889"/>
      <c r="K676" s="889"/>
      <c r="L676" s="889"/>
      <c r="M676" s="890"/>
      <c r="N676" s="183">
        <f>SUM(N674:N675)</f>
        <v>339874851</v>
      </c>
    </row>
    <row r="677" spans="1:16" ht="15.75" customHeight="1">
      <c r="A677" s="61"/>
      <c r="B677" s="61"/>
      <c r="C677" s="61"/>
      <c r="D677" s="61"/>
      <c r="E677" s="61"/>
      <c r="I677" s="61"/>
      <c r="J677" s="61"/>
      <c r="K677" s="61"/>
      <c r="L677" s="61"/>
      <c r="M677" s="61"/>
    </row>
    <row r="678" spans="1:16">
      <c r="A678" s="51" t="s">
        <v>353</v>
      </c>
      <c r="I678" s="51" t="s">
        <v>2122</v>
      </c>
    </row>
    <row r="679" spans="1:16" ht="12" customHeight="1">
      <c r="F679" s="139"/>
      <c r="N679" s="139"/>
    </row>
    <row r="680" spans="1:16">
      <c r="A680" s="50" t="s">
        <v>105</v>
      </c>
      <c r="D680" s="146"/>
      <c r="F680" s="139"/>
      <c r="I680" s="50" t="s">
        <v>105</v>
      </c>
      <c r="L680" s="146"/>
      <c r="N680" s="139"/>
    </row>
    <row r="681" spans="1:16" ht="9" customHeight="1" thickBot="1"/>
    <row r="682" spans="1:16" ht="15.75" customHeight="1" thickBot="1">
      <c r="A682" s="891" t="s">
        <v>106</v>
      </c>
      <c r="B682" s="892"/>
      <c r="C682" s="892"/>
      <c r="D682" s="893"/>
      <c r="F682" s="50" t="s">
        <v>270</v>
      </c>
      <c r="I682" s="891" t="s">
        <v>106</v>
      </c>
      <c r="J682" s="892"/>
      <c r="K682" s="892"/>
      <c r="L682" s="893"/>
      <c r="N682" s="605" t="s">
        <v>288</v>
      </c>
      <c r="O682" s="605"/>
      <c r="P682" s="605"/>
    </row>
    <row r="683" spans="1:16" ht="28.5" customHeight="1" thickBot="1">
      <c r="A683" s="57" t="s">
        <v>100</v>
      </c>
      <c r="B683" s="58" t="s">
        <v>108</v>
      </c>
      <c r="C683" s="59" t="s">
        <v>109</v>
      </c>
      <c r="D683" s="60" t="s">
        <v>110</v>
      </c>
      <c r="I683" s="57" t="s">
        <v>100</v>
      </c>
      <c r="J683" s="58" t="s">
        <v>108</v>
      </c>
      <c r="K683" s="59" t="s">
        <v>109</v>
      </c>
      <c r="L683" s="60" t="s">
        <v>110</v>
      </c>
      <c r="N683" s="202"/>
      <c r="O683" s="202"/>
      <c r="P683" s="202"/>
    </row>
    <row r="684" spans="1:16" ht="14.25" customHeight="1">
      <c r="A684" s="71">
        <v>719</v>
      </c>
      <c r="B684" s="73" t="e">
        <f>+H666+H668+H670+#REF!+H672</f>
        <v>#REF!</v>
      </c>
      <c r="C684" s="74" t="e">
        <f>+D649</f>
        <v>#REF!</v>
      </c>
      <c r="D684" s="195" t="e">
        <f>+B684+C684</f>
        <v>#REF!</v>
      </c>
      <c r="I684" s="71">
        <v>719</v>
      </c>
      <c r="J684" s="73">
        <f>+P666+P668</f>
        <v>1530000</v>
      </c>
      <c r="K684" s="74">
        <f>+L649</f>
        <v>14240000</v>
      </c>
      <c r="L684" s="195">
        <f>+J684+K684</f>
        <v>15770000</v>
      </c>
      <c r="N684" s="202"/>
      <c r="O684" s="202"/>
      <c r="P684" s="202"/>
    </row>
    <row r="685" spans="1:16" ht="12.75" customHeight="1">
      <c r="A685" s="72">
        <v>721</v>
      </c>
      <c r="B685" s="80" t="e">
        <f>+H667+H669+H671+#REF!+H673</f>
        <v>#REF!</v>
      </c>
      <c r="C685" s="74" t="e">
        <f>+D650</f>
        <v>#REF!</v>
      </c>
      <c r="D685" s="195" t="e">
        <f>+B685+C685</f>
        <v>#REF!</v>
      </c>
      <c r="I685" s="72">
        <v>721</v>
      </c>
      <c r="J685" s="80">
        <f>+P667+P669</f>
        <v>535500</v>
      </c>
      <c r="K685" s="74">
        <f>+L650</f>
        <v>4984000</v>
      </c>
      <c r="L685" s="195">
        <f>+J685+K685</f>
        <v>5519500</v>
      </c>
      <c r="N685" s="202"/>
      <c r="O685" s="202"/>
      <c r="P685" s="202"/>
    </row>
    <row r="686" spans="1:16" ht="12.75" customHeight="1">
      <c r="A686" s="72">
        <v>722</v>
      </c>
      <c r="B686" s="80"/>
      <c r="C686" s="74">
        <f>+D651</f>
        <v>231207671</v>
      </c>
      <c r="D686" s="195">
        <f>+B686+C686</f>
        <v>231207671</v>
      </c>
      <c r="I686" s="72">
        <v>722</v>
      </c>
      <c r="J686" s="80"/>
      <c r="K686" s="74">
        <f>+L651</f>
        <v>14081628</v>
      </c>
      <c r="L686" s="195">
        <f>+J686+K686</f>
        <v>14081628</v>
      </c>
      <c r="N686" s="202"/>
      <c r="O686" s="202"/>
      <c r="P686" s="202"/>
    </row>
    <row r="687" spans="1:16" ht="13.5" customHeight="1" thickBot="1">
      <c r="A687" s="72">
        <v>723</v>
      </c>
      <c r="B687" s="80"/>
      <c r="C687" s="74" t="e">
        <f>+D652</f>
        <v>#REF!</v>
      </c>
      <c r="D687" s="195" t="e">
        <f>+B687+C687</f>
        <v>#REF!</v>
      </c>
      <c r="F687" s="193" t="s">
        <v>348</v>
      </c>
      <c r="G687" s="175"/>
      <c r="I687" s="72">
        <v>723</v>
      </c>
      <c r="J687" s="80">
        <f>+P671</f>
        <v>1152000</v>
      </c>
      <c r="K687" s="74">
        <f>+L652</f>
        <v>303650603</v>
      </c>
      <c r="L687" s="195">
        <f>+J687+K687</f>
        <v>304802603</v>
      </c>
      <c r="N687" s="918" t="s">
        <v>1696</v>
      </c>
      <c r="O687" s="608"/>
      <c r="P687" s="608"/>
    </row>
    <row r="688" spans="1:16" ht="12.75" hidden="1" customHeight="1">
      <c r="A688" s="164" t="s">
        <v>181</v>
      </c>
      <c r="B688" s="165"/>
      <c r="C688" s="74" t="e">
        <f>+D653</f>
        <v>#REF!</v>
      </c>
      <c r="D688" s="196" t="e">
        <f>+B688+C688</f>
        <v>#REF!</v>
      </c>
      <c r="F688" s="52"/>
      <c r="I688" s="164" t="s">
        <v>181</v>
      </c>
      <c r="J688" s="165"/>
      <c r="K688" s="74">
        <f>+L653</f>
        <v>-298880</v>
      </c>
      <c r="L688" s="196">
        <f>+J688+K688</f>
        <v>-298880</v>
      </c>
      <c r="N688" s="52"/>
    </row>
    <row r="689" spans="1:16" ht="16.5" thickBot="1">
      <c r="A689" s="169"/>
      <c r="B689" s="170" t="e">
        <f>SUM(B684:B688)</f>
        <v>#REF!</v>
      </c>
      <c r="C689" s="171" t="e">
        <f>SUM(C684:C688)</f>
        <v>#REF!</v>
      </c>
      <c r="D689" s="172" t="e">
        <f>SUM(D684:D688)</f>
        <v>#REF!</v>
      </c>
      <c r="I689" s="169"/>
      <c r="J689" s="197">
        <f>SUM(J684:J688)</f>
        <v>3217500</v>
      </c>
      <c r="K689" s="197">
        <f>SUM(K684:K688)</f>
        <v>336657351</v>
      </c>
      <c r="L689" s="198">
        <f>SUM(L684:L688)</f>
        <v>339874851</v>
      </c>
    </row>
    <row r="690" spans="1:16" ht="16.5">
      <c r="A690" s="49" t="s">
        <v>88</v>
      </c>
      <c r="B690" s="50"/>
      <c r="I690" s="49" t="s">
        <v>88</v>
      </c>
      <c r="J690" s="50"/>
    </row>
    <row r="691" spans="1:16">
      <c r="A691" s="51" t="s">
        <v>89</v>
      </c>
      <c r="I691" s="51" t="s">
        <v>89</v>
      </c>
    </row>
    <row r="692" spans="1:16">
      <c r="A692" s="51" t="s">
        <v>90</v>
      </c>
      <c r="I692" s="51" t="s">
        <v>90</v>
      </c>
    </row>
    <row r="693" spans="1:16">
      <c r="A693" s="51" t="s">
        <v>91</v>
      </c>
      <c r="I693" s="51" t="s">
        <v>91</v>
      </c>
    </row>
    <row r="694" spans="1:16" ht="8.25" customHeight="1">
      <c r="A694" s="50"/>
      <c r="B694" s="50"/>
      <c r="I694" s="50"/>
      <c r="J694" s="50"/>
    </row>
    <row r="695" spans="1:16" ht="16.5">
      <c r="A695" s="52" t="s">
        <v>352</v>
      </c>
      <c r="G695" s="52"/>
      <c r="I695" s="260" t="s">
        <v>743</v>
      </c>
      <c r="J695" s="262"/>
      <c r="O695" s="52"/>
    </row>
    <row r="696" spans="1:16" ht="15.75">
      <c r="A696" s="53" t="s">
        <v>92</v>
      </c>
      <c r="G696" s="53"/>
      <c r="I696" s="261" t="s">
        <v>2012</v>
      </c>
      <c r="J696" s="262"/>
      <c r="O696" s="53"/>
    </row>
    <row r="697" spans="1:16" ht="17.25" customHeight="1">
      <c r="A697" s="894" t="s">
        <v>93</v>
      </c>
      <c r="B697" s="894"/>
      <c r="C697" s="894"/>
      <c r="D697" s="894"/>
      <c r="E697" s="894"/>
      <c r="F697" s="894"/>
      <c r="G697" s="894"/>
      <c r="H697" s="894"/>
      <c r="I697" s="894" t="s">
        <v>170</v>
      </c>
      <c r="J697" s="894"/>
      <c r="K697" s="894"/>
      <c r="L697" s="894"/>
      <c r="M697" s="894"/>
      <c r="N697" s="894"/>
      <c r="O697" s="894"/>
      <c r="P697" s="894"/>
    </row>
    <row r="698" spans="1:16" ht="6" customHeight="1" thickBot="1"/>
    <row r="699" spans="1:16">
      <c r="A699" s="895" t="s">
        <v>94</v>
      </c>
      <c r="B699" s="897" t="s">
        <v>95</v>
      </c>
      <c r="C699" s="897" t="s">
        <v>96</v>
      </c>
      <c r="D699" s="897" t="s">
        <v>3</v>
      </c>
      <c r="E699" s="897" t="s">
        <v>97</v>
      </c>
      <c r="F699" s="897" t="s">
        <v>98</v>
      </c>
      <c r="G699" s="897" t="s">
        <v>99</v>
      </c>
      <c r="H699" s="899"/>
      <c r="I699" s="895" t="s">
        <v>94</v>
      </c>
      <c r="J699" s="897" t="s">
        <v>95</v>
      </c>
      <c r="K699" s="897" t="s">
        <v>96</v>
      </c>
      <c r="L699" s="897" t="s">
        <v>3</v>
      </c>
      <c r="M699" s="897" t="s">
        <v>97</v>
      </c>
      <c r="N699" s="897" t="s">
        <v>98</v>
      </c>
      <c r="O699" s="897" t="s">
        <v>99</v>
      </c>
      <c r="P699" s="899"/>
    </row>
    <row r="700" spans="1:16" ht="15.75" thickBot="1">
      <c r="A700" s="896"/>
      <c r="B700" s="898"/>
      <c r="C700" s="898"/>
      <c r="D700" s="898"/>
      <c r="E700" s="898"/>
      <c r="F700" s="898"/>
      <c r="G700" s="240" t="s">
        <v>100</v>
      </c>
      <c r="H700" s="182" t="s">
        <v>101</v>
      </c>
      <c r="I700" s="896"/>
      <c r="J700" s="898"/>
      <c r="K700" s="898"/>
      <c r="L700" s="898"/>
      <c r="M700" s="898"/>
      <c r="N700" s="898"/>
      <c r="O700" s="240" t="s">
        <v>100</v>
      </c>
      <c r="P700" s="182" t="s">
        <v>101</v>
      </c>
    </row>
    <row r="701" spans="1:16" ht="15" customHeight="1">
      <c r="A701" s="881" t="e">
        <f>+A672+1</f>
        <v>#REF!</v>
      </c>
      <c r="B701" s="875">
        <v>42296</v>
      </c>
      <c r="C701" s="877" t="s">
        <v>272</v>
      </c>
      <c r="D701" s="881" t="s">
        <v>356</v>
      </c>
      <c r="E701" s="881" t="s">
        <v>115</v>
      </c>
      <c r="F701" s="883">
        <v>100000</v>
      </c>
      <c r="G701" s="55">
        <v>719</v>
      </c>
      <c r="H701" s="78">
        <v>100000</v>
      </c>
      <c r="I701" s="873" t="s">
        <v>547</v>
      </c>
      <c r="J701" s="875">
        <v>44159</v>
      </c>
      <c r="K701" s="877" t="s">
        <v>2124</v>
      </c>
      <c r="L701" s="881" t="s">
        <v>2125</v>
      </c>
      <c r="M701" s="881" t="s">
        <v>148</v>
      </c>
      <c r="N701" s="883">
        <v>-2500784</v>
      </c>
      <c r="O701" s="55">
        <v>723</v>
      </c>
      <c r="P701" s="78">
        <v>0</v>
      </c>
    </row>
    <row r="702" spans="1:16" ht="13.5" customHeight="1" thickBot="1">
      <c r="A702" s="882"/>
      <c r="B702" s="876"/>
      <c r="C702" s="878"/>
      <c r="D702" s="882"/>
      <c r="E702" s="882"/>
      <c r="F702" s="884"/>
      <c r="G702" s="56">
        <v>721</v>
      </c>
      <c r="H702" s="79">
        <f>+F701-H701</f>
        <v>0</v>
      </c>
      <c r="I702" s="882"/>
      <c r="J702" s="876"/>
      <c r="K702" s="878"/>
      <c r="L702" s="882"/>
      <c r="M702" s="882"/>
      <c r="N702" s="884"/>
      <c r="O702" s="56">
        <v>723</v>
      </c>
      <c r="P702" s="79">
        <f>+N701-P701</f>
        <v>-2500784</v>
      </c>
    </row>
    <row r="703" spans="1:16" ht="13.5" customHeight="1">
      <c r="A703" s="881" t="e">
        <f>+A701+1</f>
        <v>#REF!</v>
      </c>
      <c r="B703" s="875">
        <v>42296</v>
      </c>
      <c r="C703" s="881" t="s">
        <v>28</v>
      </c>
      <c r="D703" s="881" t="s">
        <v>355</v>
      </c>
      <c r="E703" s="881" t="s">
        <v>115</v>
      </c>
      <c r="F703" s="883">
        <v>50000</v>
      </c>
      <c r="G703" s="55">
        <v>719</v>
      </c>
      <c r="H703" s="78">
        <v>50000</v>
      </c>
      <c r="I703" s="873"/>
      <c r="J703" s="875"/>
      <c r="K703" s="877"/>
      <c r="L703" s="881"/>
      <c r="M703" s="881"/>
      <c r="N703" s="883"/>
      <c r="O703" s="55">
        <v>723</v>
      </c>
      <c r="P703" s="78"/>
    </row>
    <row r="704" spans="1:16" ht="12.75" customHeight="1" thickBot="1">
      <c r="A704" s="882"/>
      <c r="B704" s="876"/>
      <c r="C704" s="882"/>
      <c r="D704" s="882"/>
      <c r="E704" s="882"/>
      <c r="F704" s="884"/>
      <c r="G704" s="56">
        <v>721</v>
      </c>
      <c r="H704" s="79">
        <f>+F703-H703</f>
        <v>0</v>
      </c>
      <c r="I704" s="882"/>
      <c r="J704" s="876"/>
      <c r="K704" s="878"/>
      <c r="L704" s="882"/>
      <c r="M704" s="882"/>
      <c r="N704" s="884"/>
      <c r="O704" s="56">
        <v>721</v>
      </c>
      <c r="P704" s="79">
        <f>+N703-P703</f>
        <v>0</v>
      </c>
    </row>
    <row r="705" spans="1:16" ht="12.75" customHeight="1">
      <c r="A705" s="251"/>
      <c r="B705" s="252"/>
      <c r="C705" s="251"/>
      <c r="D705" s="251"/>
      <c r="E705" s="251"/>
      <c r="F705" s="254"/>
      <c r="G705" s="255"/>
      <c r="H705" s="256"/>
      <c r="I705" s="873"/>
      <c r="J705" s="875"/>
      <c r="K705" s="877"/>
      <c r="L705" s="881"/>
      <c r="M705" s="881"/>
      <c r="N705" s="883"/>
      <c r="O705" s="55">
        <v>723</v>
      </c>
      <c r="P705" s="78"/>
    </row>
    <row r="706" spans="1:16" ht="12.75" customHeight="1" thickBot="1">
      <c r="A706" s="251"/>
      <c r="B706" s="252"/>
      <c r="C706" s="251"/>
      <c r="D706" s="251"/>
      <c r="E706" s="251"/>
      <c r="F706" s="254"/>
      <c r="G706" s="255"/>
      <c r="H706" s="256"/>
      <c r="I706" s="882"/>
      <c r="J706" s="876"/>
      <c r="K706" s="878"/>
      <c r="L706" s="882"/>
      <c r="M706" s="882"/>
      <c r="N706" s="884"/>
      <c r="O706" s="56">
        <v>721</v>
      </c>
      <c r="P706" s="79">
        <f>+N705-P705</f>
        <v>0</v>
      </c>
    </row>
    <row r="707" spans="1:16" ht="15" customHeight="1">
      <c r="A707" s="881" t="e">
        <f>+#REF!+1</f>
        <v>#REF!</v>
      </c>
      <c r="B707" s="875">
        <v>42296</v>
      </c>
      <c r="C707" s="877" t="s">
        <v>272</v>
      </c>
      <c r="D707" s="881" t="s">
        <v>427</v>
      </c>
      <c r="E707" s="881" t="s">
        <v>115</v>
      </c>
      <c r="F707" s="883">
        <v>90000</v>
      </c>
      <c r="G707" s="55">
        <v>719</v>
      </c>
      <c r="H707" s="78">
        <f>+F707</f>
        <v>90000</v>
      </c>
      <c r="I707" s="873"/>
      <c r="J707" s="875"/>
      <c r="K707" s="877"/>
      <c r="L707" s="881"/>
      <c r="M707" s="881"/>
      <c r="N707" s="883"/>
      <c r="O707" s="55">
        <v>719</v>
      </c>
      <c r="P707" s="78"/>
    </row>
    <row r="708" spans="1:16" ht="12.75" customHeight="1" thickBot="1">
      <c r="A708" s="882"/>
      <c r="B708" s="876"/>
      <c r="C708" s="878"/>
      <c r="D708" s="882"/>
      <c r="E708" s="882"/>
      <c r="F708" s="884"/>
      <c r="G708" s="56">
        <v>721</v>
      </c>
      <c r="H708" s="79"/>
      <c r="I708" s="882"/>
      <c r="J708" s="876"/>
      <c r="K708" s="878"/>
      <c r="L708" s="882"/>
      <c r="M708" s="882"/>
      <c r="N708" s="884"/>
      <c r="O708" s="56">
        <v>721</v>
      </c>
      <c r="P708" s="79">
        <f>+N707-P707</f>
        <v>0</v>
      </c>
    </row>
    <row r="709" spans="1:16" ht="15" customHeight="1" thickBot="1">
      <c r="A709" s="881" t="e">
        <f>+A707+1</f>
        <v>#REF!</v>
      </c>
      <c r="B709" s="875">
        <v>42296</v>
      </c>
      <c r="C709" s="881" t="s">
        <v>28</v>
      </c>
      <c r="D709" s="881" t="s">
        <v>355</v>
      </c>
      <c r="E709" s="881" t="s">
        <v>115</v>
      </c>
      <c r="F709" s="883">
        <v>50000</v>
      </c>
      <c r="G709" s="55">
        <v>719</v>
      </c>
      <c r="H709" s="78">
        <v>50000</v>
      </c>
      <c r="I709" s="901" t="s">
        <v>102</v>
      </c>
      <c r="J709" s="902"/>
      <c r="K709" s="902"/>
      <c r="L709" s="902"/>
      <c r="M709" s="903"/>
      <c r="N709" s="81">
        <f>SUM(N701:N708)</f>
        <v>-2500784</v>
      </c>
    </row>
    <row r="710" spans="1:16" ht="12.75" customHeight="1" thickBot="1">
      <c r="A710" s="882"/>
      <c r="B710" s="876"/>
      <c r="C710" s="882"/>
      <c r="D710" s="882"/>
      <c r="E710" s="882"/>
      <c r="F710" s="884"/>
      <c r="G710" s="56">
        <v>721</v>
      </c>
      <c r="H710" s="79">
        <f>+F709-H709</f>
        <v>0</v>
      </c>
      <c r="I710" s="885" t="s">
        <v>103</v>
      </c>
      <c r="J710" s="886"/>
      <c r="K710" s="886"/>
      <c r="L710" s="886"/>
      <c r="M710" s="887"/>
      <c r="N710" s="239">
        <f>+N676</f>
        <v>339874851</v>
      </c>
      <c r="O710" s="241" t="s">
        <v>561</v>
      </c>
      <c r="P710" s="242"/>
    </row>
    <row r="711" spans="1:16" ht="16.5" thickBot="1">
      <c r="A711" s="901" t="s">
        <v>102</v>
      </c>
      <c r="B711" s="902"/>
      <c r="C711" s="902"/>
      <c r="D711" s="902"/>
      <c r="E711" s="903"/>
      <c r="F711" s="81">
        <f>SUM(F701:F710)</f>
        <v>290000</v>
      </c>
      <c r="I711" s="888" t="s">
        <v>104</v>
      </c>
      <c r="J711" s="889"/>
      <c r="K711" s="889"/>
      <c r="L711" s="889"/>
      <c r="M711" s="890"/>
      <c r="N711" s="183">
        <f>SUM(N709:N710)</f>
        <v>337374067</v>
      </c>
    </row>
    <row r="712" spans="1:16" ht="18" customHeight="1" thickBot="1">
      <c r="A712" s="885" t="s">
        <v>103</v>
      </c>
      <c r="B712" s="886"/>
      <c r="C712" s="886"/>
      <c r="D712" s="886"/>
      <c r="E712" s="887"/>
      <c r="F712" s="69">
        <f>+F676</f>
        <v>648970930</v>
      </c>
      <c r="I712" s="61"/>
      <c r="J712" s="61"/>
      <c r="K712" s="61"/>
      <c r="L712" s="61"/>
      <c r="M712" s="61"/>
    </row>
    <row r="713" spans="1:16" ht="18" customHeight="1" thickBot="1">
      <c r="A713" s="888" t="s">
        <v>104</v>
      </c>
      <c r="B713" s="889"/>
      <c r="C713" s="889"/>
      <c r="D713" s="889"/>
      <c r="E713" s="890"/>
      <c r="F713" s="183">
        <f>SUM(F711:F712)</f>
        <v>649260930</v>
      </c>
      <c r="I713" s="51" t="s">
        <v>2126</v>
      </c>
    </row>
    <row r="714" spans="1:16" ht="5.25" customHeight="1">
      <c r="A714" s="61"/>
      <c r="B714" s="61"/>
      <c r="C714" s="61"/>
      <c r="D714" s="61"/>
      <c r="E714" s="61"/>
      <c r="N714" s="139"/>
    </row>
    <row r="715" spans="1:16">
      <c r="A715" s="51" t="s">
        <v>428</v>
      </c>
      <c r="I715" s="50" t="s">
        <v>105</v>
      </c>
      <c r="L715" s="146"/>
      <c r="N715" s="139"/>
    </row>
    <row r="716" spans="1:16" ht="5.25" customHeight="1" thickBot="1">
      <c r="F716" s="139"/>
    </row>
    <row r="717" spans="1:16" ht="17.25" thickBot="1">
      <c r="A717" s="50" t="s">
        <v>105</v>
      </c>
      <c r="D717" s="146"/>
      <c r="F717" s="139"/>
      <c r="I717" s="891" t="s">
        <v>106</v>
      </c>
      <c r="J717" s="892"/>
      <c r="K717" s="892"/>
      <c r="L717" s="893"/>
      <c r="N717" s="605" t="s">
        <v>288</v>
      </c>
      <c r="O717" s="605"/>
      <c r="P717" s="605"/>
    </row>
    <row r="718" spans="1:16" ht="26.25" customHeight="1" thickBot="1">
      <c r="I718" s="57" t="s">
        <v>100</v>
      </c>
      <c r="J718" s="58" t="s">
        <v>108</v>
      </c>
      <c r="K718" s="59" t="s">
        <v>109</v>
      </c>
      <c r="L718" s="60" t="s">
        <v>110</v>
      </c>
      <c r="N718" s="202"/>
      <c r="O718" s="202"/>
      <c r="P718" s="202"/>
    </row>
    <row r="719" spans="1:16" ht="15" customHeight="1" thickBot="1">
      <c r="A719" s="891" t="s">
        <v>106</v>
      </c>
      <c r="B719" s="892"/>
      <c r="C719" s="892"/>
      <c r="D719" s="893"/>
      <c r="F719" s="50" t="s">
        <v>288</v>
      </c>
      <c r="I719" s="71">
        <v>719</v>
      </c>
      <c r="J719" s="73"/>
      <c r="K719" s="74">
        <f>+L684</f>
        <v>15770000</v>
      </c>
      <c r="L719" s="195">
        <f>+J719+K719</f>
        <v>15770000</v>
      </c>
      <c r="N719" s="202"/>
      <c r="O719" s="202"/>
      <c r="P719" s="202"/>
    </row>
    <row r="720" spans="1:16" ht="14.25" customHeight="1" thickBot="1">
      <c r="A720" s="57" t="s">
        <v>100</v>
      </c>
      <c r="B720" s="58" t="s">
        <v>108</v>
      </c>
      <c r="C720" s="59" t="s">
        <v>109</v>
      </c>
      <c r="D720" s="60" t="s">
        <v>110</v>
      </c>
      <c r="I720" s="72">
        <v>721</v>
      </c>
      <c r="J720" s="257"/>
      <c r="K720" s="74">
        <f>+L685</f>
        <v>5519500</v>
      </c>
      <c r="L720" s="195">
        <f>+J720+K720</f>
        <v>5519500</v>
      </c>
      <c r="N720" s="202"/>
      <c r="O720" s="202"/>
      <c r="P720" s="202"/>
    </row>
    <row r="721" spans="1:16" ht="13.5" customHeight="1">
      <c r="A721" s="71">
        <v>719</v>
      </c>
      <c r="B721" s="73" t="e">
        <f>+H701+H703+#REF!+#REF!+H709+H707</f>
        <v>#REF!</v>
      </c>
      <c r="C721" s="74" t="e">
        <f>+D684</f>
        <v>#REF!</v>
      </c>
      <c r="D721" s="195" t="e">
        <f>+B721+C721</f>
        <v>#REF!</v>
      </c>
      <c r="I721" s="72">
        <v>722</v>
      </c>
      <c r="J721" s="257"/>
      <c r="K721" s="74">
        <f>+L686</f>
        <v>14081628</v>
      </c>
      <c r="L721" s="195">
        <f>+J721+K721</f>
        <v>14081628</v>
      </c>
      <c r="N721" s="202"/>
      <c r="O721" s="202"/>
      <c r="P721" s="202"/>
    </row>
    <row r="722" spans="1:16" ht="14.25" customHeight="1" thickBot="1">
      <c r="A722" s="72">
        <v>721</v>
      </c>
      <c r="B722" s="80">
        <f>+H702</f>
        <v>0</v>
      </c>
      <c r="C722" s="74" t="e">
        <f>+D685</f>
        <v>#REF!</v>
      </c>
      <c r="D722" s="195" t="e">
        <f>+B722+C722</f>
        <v>#REF!</v>
      </c>
      <c r="I722" s="72">
        <v>723</v>
      </c>
      <c r="J722" s="257">
        <f>+P702</f>
        <v>-2500784</v>
      </c>
      <c r="K722" s="74">
        <f>+L687</f>
        <v>304802603</v>
      </c>
      <c r="L722" s="195">
        <f>+J722+K722</f>
        <v>302301819</v>
      </c>
      <c r="N722" s="918" t="s">
        <v>1696</v>
      </c>
      <c r="O722" s="608"/>
      <c r="P722" s="608"/>
    </row>
    <row r="723" spans="1:16" ht="15" hidden="1" customHeight="1">
      <c r="A723" s="72">
        <v>722</v>
      </c>
      <c r="B723" s="80"/>
      <c r="C723" s="74">
        <f>+D686</f>
        <v>231207671</v>
      </c>
      <c r="D723" s="195">
        <f>+B723+C723</f>
        <v>231207671</v>
      </c>
      <c r="I723" s="164" t="s">
        <v>181</v>
      </c>
      <c r="J723" s="165"/>
      <c r="K723" s="74">
        <f>+L688</f>
        <v>-298880</v>
      </c>
      <c r="L723" s="196">
        <f>+J723+K723</f>
        <v>-298880</v>
      </c>
      <c r="N723" s="52"/>
    </row>
    <row r="724" spans="1:16" ht="16.5" thickBot="1">
      <c r="A724" s="72">
        <v>723</v>
      </c>
      <c r="B724" s="80">
        <f>+H704</f>
        <v>0</v>
      </c>
      <c r="C724" s="74" t="e">
        <f>+D687</f>
        <v>#REF!</v>
      </c>
      <c r="D724" s="195" t="e">
        <f>+B724+C724</f>
        <v>#REF!</v>
      </c>
      <c r="F724" s="193" t="s">
        <v>23</v>
      </c>
      <c r="G724" s="175"/>
      <c r="I724" s="169"/>
      <c r="J724" s="197">
        <f>SUM(J719:J723)</f>
        <v>-2500784</v>
      </c>
      <c r="K724" s="197">
        <f>SUM(K719:K723)</f>
        <v>339874851</v>
      </c>
      <c r="L724" s="198">
        <f>SUM(L719:L723)</f>
        <v>337374067</v>
      </c>
    </row>
    <row r="725" spans="1:16" ht="17.25" thickBot="1">
      <c r="A725" s="164" t="s">
        <v>181</v>
      </c>
      <c r="B725" s="165"/>
      <c r="C725" s="74" t="e">
        <f>+D688</f>
        <v>#REF!</v>
      </c>
      <c r="D725" s="196" t="e">
        <f>+B725+C725</f>
        <v>#REF!</v>
      </c>
      <c r="F725" s="52"/>
      <c r="I725" s="49" t="s">
        <v>88</v>
      </c>
      <c r="J725" s="50"/>
    </row>
    <row r="726" spans="1:16" ht="15" customHeight="1" thickBot="1">
      <c r="A726" s="169"/>
      <c r="B726" s="170" t="e">
        <f>SUM(B721:B725)</f>
        <v>#REF!</v>
      </c>
      <c r="C726" s="171" t="e">
        <f>SUM(C721:C725)</f>
        <v>#REF!</v>
      </c>
      <c r="D726" s="172" t="e">
        <f>SUM(D721:D725)</f>
        <v>#REF!</v>
      </c>
      <c r="I726" s="51" t="s">
        <v>89</v>
      </c>
    </row>
    <row r="727" spans="1:16" ht="13.5" customHeight="1">
      <c r="A727" s="49" t="s">
        <v>88</v>
      </c>
      <c r="B727" s="50"/>
      <c r="I727" s="51" t="s">
        <v>90</v>
      </c>
    </row>
    <row r="728" spans="1:16" ht="13.5" customHeight="1">
      <c r="A728" s="51" t="s">
        <v>89</v>
      </c>
      <c r="I728" s="51" t="s">
        <v>91</v>
      </c>
    </row>
    <row r="729" spans="1:16" ht="3" customHeight="1">
      <c r="A729" s="51" t="s">
        <v>90</v>
      </c>
      <c r="I729" s="50"/>
      <c r="J729" s="50"/>
    </row>
    <row r="730" spans="1:16" ht="16.5">
      <c r="A730" s="51" t="s">
        <v>91</v>
      </c>
      <c r="I730" s="260" t="s">
        <v>761</v>
      </c>
      <c r="J730" s="262"/>
      <c r="O730" s="52"/>
    </row>
    <row r="731" spans="1:16" ht="15.75" customHeight="1">
      <c r="A731" s="50"/>
      <c r="B731" s="50"/>
      <c r="I731" s="261" t="s">
        <v>2012</v>
      </c>
      <c r="J731" s="262"/>
      <c r="O731" s="53"/>
    </row>
    <row r="732" spans="1:16" ht="14.25" customHeight="1">
      <c r="A732" s="52" t="s">
        <v>431</v>
      </c>
      <c r="G732" s="52"/>
      <c r="I732" s="894" t="s">
        <v>170</v>
      </c>
      <c r="J732" s="894"/>
      <c r="K732" s="894"/>
      <c r="L732" s="894"/>
      <c r="M732" s="894"/>
      <c r="N732" s="894"/>
      <c r="O732" s="894"/>
      <c r="P732" s="894"/>
    </row>
    <row r="733" spans="1:16" ht="9.75" customHeight="1" thickBot="1">
      <c r="A733" s="53" t="s">
        <v>92</v>
      </c>
      <c r="G733" s="53"/>
    </row>
    <row r="734" spans="1:16" ht="16.5">
      <c r="A734" s="894" t="s">
        <v>93</v>
      </c>
      <c r="B734" s="894"/>
      <c r="C734" s="894"/>
      <c r="D734" s="894"/>
      <c r="E734" s="894"/>
      <c r="F734" s="894"/>
      <c r="G734" s="894"/>
      <c r="H734" s="894"/>
      <c r="I734" s="895" t="s">
        <v>94</v>
      </c>
      <c r="J734" s="897" t="s">
        <v>95</v>
      </c>
      <c r="K734" s="897" t="s">
        <v>96</v>
      </c>
      <c r="L734" s="897" t="s">
        <v>3</v>
      </c>
      <c r="M734" s="897" t="s">
        <v>97</v>
      </c>
      <c r="N734" s="897" t="s">
        <v>98</v>
      </c>
      <c r="O734" s="897" t="s">
        <v>99</v>
      </c>
      <c r="P734" s="899"/>
    </row>
    <row r="735" spans="1:16" ht="13.5" customHeight="1" thickBot="1">
      <c r="I735" s="896"/>
      <c r="J735" s="898"/>
      <c r="K735" s="898"/>
      <c r="L735" s="898"/>
      <c r="M735" s="898"/>
      <c r="N735" s="898"/>
      <c r="O735" s="240" t="s">
        <v>100</v>
      </c>
      <c r="P735" s="182" t="s">
        <v>101</v>
      </c>
    </row>
    <row r="736" spans="1:16" ht="13.5" customHeight="1">
      <c r="A736" s="895" t="s">
        <v>94</v>
      </c>
      <c r="B736" s="897" t="s">
        <v>95</v>
      </c>
      <c r="C736" s="897" t="s">
        <v>96</v>
      </c>
      <c r="D736" s="897" t="s">
        <v>3</v>
      </c>
      <c r="E736" s="897" t="s">
        <v>97</v>
      </c>
      <c r="F736" s="897" t="s">
        <v>98</v>
      </c>
      <c r="G736" s="897" t="s">
        <v>99</v>
      </c>
      <c r="H736" s="899"/>
      <c r="I736" s="873" t="s">
        <v>717</v>
      </c>
      <c r="J736" s="875">
        <v>44549</v>
      </c>
      <c r="K736" s="877" t="s">
        <v>815</v>
      </c>
      <c r="L736" s="881" t="s">
        <v>2127</v>
      </c>
      <c r="M736" s="881" t="s">
        <v>775</v>
      </c>
      <c r="N736" s="883">
        <v>1053000</v>
      </c>
      <c r="O736" s="55">
        <v>719</v>
      </c>
      <c r="P736" s="78">
        <v>780000</v>
      </c>
    </row>
    <row r="737" spans="1:16" ht="13.5" customHeight="1" thickBot="1">
      <c r="A737" s="896"/>
      <c r="B737" s="898"/>
      <c r="C737" s="898"/>
      <c r="D737" s="898"/>
      <c r="E737" s="898"/>
      <c r="F737" s="898"/>
      <c r="G737" s="240" t="s">
        <v>100</v>
      </c>
      <c r="H737" s="182" t="s">
        <v>101</v>
      </c>
      <c r="I737" s="882"/>
      <c r="J737" s="876"/>
      <c r="K737" s="878"/>
      <c r="L737" s="882"/>
      <c r="M737" s="882"/>
      <c r="N737" s="884"/>
      <c r="O737" s="56">
        <v>721</v>
      </c>
      <c r="P737" s="79">
        <f>+N736-P736</f>
        <v>273000</v>
      </c>
    </row>
    <row r="738" spans="1:16" ht="13.5" customHeight="1">
      <c r="A738" s="478"/>
      <c r="B738" s="479"/>
      <c r="C738" s="479"/>
      <c r="D738" s="479"/>
      <c r="E738" s="479"/>
      <c r="F738" s="479"/>
      <c r="G738" s="479"/>
      <c r="H738" s="480"/>
      <c r="I738" s="873" t="s">
        <v>718</v>
      </c>
      <c r="J738" s="875">
        <v>44549</v>
      </c>
      <c r="K738" s="877" t="s">
        <v>815</v>
      </c>
      <c r="L738" s="881" t="s">
        <v>2128</v>
      </c>
      <c r="M738" s="881" t="s">
        <v>775</v>
      </c>
      <c r="N738" s="883">
        <v>135000</v>
      </c>
      <c r="O738" s="55">
        <v>719</v>
      </c>
      <c r="P738" s="78">
        <v>100000</v>
      </c>
    </row>
    <row r="739" spans="1:16" ht="13.5" customHeight="1" thickBot="1">
      <c r="A739" s="478"/>
      <c r="B739" s="479"/>
      <c r="C739" s="479"/>
      <c r="D739" s="479"/>
      <c r="E739" s="479"/>
      <c r="F739" s="479"/>
      <c r="G739" s="479"/>
      <c r="H739" s="480"/>
      <c r="I739" s="882"/>
      <c r="J739" s="876"/>
      <c r="K739" s="878"/>
      <c r="L739" s="882"/>
      <c r="M739" s="882"/>
      <c r="N739" s="884"/>
      <c r="O739" s="56">
        <v>723</v>
      </c>
      <c r="P739" s="79">
        <f>+N738-P738</f>
        <v>35000</v>
      </c>
    </row>
    <row r="740" spans="1:16" ht="12.75" customHeight="1">
      <c r="A740" s="881" t="e">
        <f>+A709+1</f>
        <v>#REF!</v>
      </c>
      <c r="B740" s="875">
        <v>42306</v>
      </c>
      <c r="C740" s="877" t="s">
        <v>267</v>
      </c>
      <c r="D740" s="881" t="s">
        <v>436</v>
      </c>
      <c r="E740" s="881" t="s">
        <v>148</v>
      </c>
      <c r="F740" s="883">
        <v>112000</v>
      </c>
      <c r="G740" s="55">
        <v>719</v>
      </c>
      <c r="H740" s="78">
        <v>80000</v>
      </c>
      <c r="I740" s="873" t="s">
        <v>719</v>
      </c>
      <c r="J740" s="875">
        <v>44549</v>
      </c>
      <c r="K740" s="877" t="s">
        <v>2129</v>
      </c>
      <c r="L740" s="881" t="s">
        <v>2130</v>
      </c>
      <c r="M740" s="881" t="s">
        <v>165</v>
      </c>
      <c r="N740" s="883">
        <v>600000</v>
      </c>
      <c r="O740" s="55">
        <v>719</v>
      </c>
      <c r="P740" s="78">
        <v>0</v>
      </c>
    </row>
    <row r="741" spans="1:16" ht="13.5" customHeight="1" thickBot="1">
      <c r="A741" s="882"/>
      <c r="B741" s="876"/>
      <c r="C741" s="878"/>
      <c r="D741" s="882"/>
      <c r="E741" s="882"/>
      <c r="F741" s="884"/>
      <c r="G741" s="56">
        <v>721</v>
      </c>
      <c r="H741" s="79">
        <f>+F740-H740</f>
        <v>32000</v>
      </c>
      <c r="I741" s="882"/>
      <c r="J741" s="876"/>
      <c r="K741" s="878"/>
      <c r="L741" s="882"/>
      <c r="M741" s="882"/>
      <c r="N741" s="884"/>
      <c r="O741" s="56">
        <v>723</v>
      </c>
      <c r="P741" s="79">
        <f>+N740-P740</f>
        <v>600000</v>
      </c>
    </row>
    <row r="742" spans="1:16" ht="13.5" customHeight="1">
      <c r="A742" s="881" t="e">
        <f>+A740+1</f>
        <v>#REF!</v>
      </c>
      <c r="B742" s="875">
        <v>42306</v>
      </c>
      <c r="C742" s="881" t="s">
        <v>28</v>
      </c>
      <c r="D742" s="881" t="s">
        <v>437</v>
      </c>
      <c r="E742" s="881" t="s">
        <v>148</v>
      </c>
      <c r="F742" s="883">
        <v>210000</v>
      </c>
      <c r="G742" s="55">
        <v>719</v>
      </c>
      <c r="H742" s="78">
        <v>150000</v>
      </c>
      <c r="I742" s="873" t="s">
        <v>720</v>
      </c>
      <c r="J742" s="875">
        <v>44549</v>
      </c>
      <c r="K742" s="877" t="s">
        <v>1315</v>
      </c>
      <c r="L742" s="881" t="s">
        <v>1989</v>
      </c>
      <c r="M742" s="881" t="s">
        <v>148</v>
      </c>
      <c r="N742" s="883">
        <v>3031000</v>
      </c>
      <c r="O742" s="55">
        <v>719</v>
      </c>
      <c r="P742" s="78">
        <v>0</v>
      </c>
    </row>
    <row r="743" spans="1:16" ht="13.5" customHeight="1" thickBot="1">
      <c r="A743" s="882"/>
      <c r="B743" s="876"/>
      <c r="C743" s="882"/>
      <c r="D743" s="882"/>
      <c r="E743" s="882"/>
      <c r="F743" s="884"/>
      <c r="G743" s="56">
        <v>721</v>
      </c>
      <c r="H743" s="79">
        <f>+F742-H742</f>
        <v>60000</v>
      </c>
      <c r="I743" s="882"/>
      <c r="J743" s="876"/>
      <c r="K743" s="878"/>
      <c r="L743" s="882"/>
      <c r="M743" s="882"/>
      <c r="N743" s="884"/>
      <c r="O743" s="56">
        <v>723</v>
      </c>
      <c r="P743" s="79">
        <f>+N742-P742</f>
        <v>3031000</v>
      </c>
    </row>
    <row r="744" spans="1:16" ht="15" customHeight="1">
      <c r="A744" s="881" t="e">
        <f>+#REF!+1</f>
        <v>#REF!</v>
      </c>
      <c r="B744" s="875">
        <v>42306</v>
      </c>
      <c r="C744" s="877" t="s">
        <v>111</v>
      </c>
      <c r="D744" s="881" t="s">
        <v>439</v>
      </c>
      <c r="E744" s="881" t="s">
        <v>148</v>
      </c>
      <c r="F744" s="883">
        <v>56000</v>
      </c>
      <c r="G744" s="55">
        <v>719</v>
      </c>
      <c r="H744" s="78">
        <v>40000</v>
      </c>
      <c r="I744" s="873" t="s">
        <v>721</v>
      </c>
      <c r="J744" s="875">
        <v>44549</v>
      </c>
      <c r="K744" s="877" t="s">
        <v>2131</v>
      </c>
      <c r="L744" s="881" t="s">
        <v>2132</v>
      </c>
      <c r="M744" s="881" t="s">
        <v>145</v>
      </c>
      <c r="N744" s="883">
        <v>7560000</v>
      </c>
      <c r="O744" s="55">
        <v>719</v>
      </c>
      <c r="P744" s="78">
        <v>0</v>
      </c>
    </row>
    <row r="745" spans="1:16" ht="13.5" customHeight="1" thickBot="1">
      <c r="A745" s="882"/>
      <c r="B745" s="876"/>
      <c r="C745" s="878"/>
      <c r="D745" s="882"/>
      <c r="E745" s="882"/>
      <c r="F745" s="884"/>
      <c r="G745" s="56">
        <v>721</v>
      </c>
      <c r="H745" s="79">
        <f>+F744-H744</f>
        <v>16000</v>
      </c>
      <c r="I745" s="882"/>
      <c r="J745" s="876"/>
      <c r="K745" s="878"/>
      <c r="L745" s="882"/>
      <c r="M745" s="882"/>
      <c r="N745" s="884"/>
      <c r="O745" s="56">
        <v>721</v>
      </c>
      <c r="P745" s="79">
        <f>+N744-P744</f>
        <v>7560000</v>
      </c>
    </row>
    <row r="746" spans="1:16" ht="15" customHeight="1" thickBot="1">
      <c r="A746" s="881" t="e">
        <f>+A744+1</f>
        <v>#REF!</v>
      </c>
      <c r="B746" s="875">
        <v>42306</v>
      </c>
      <c r="C746" s="877" t="s">
        <v>272</v>
      </c>
      <c r="D746" s="881" t="s">
        <v>437</v>
      </c>
      <c r="E746" s="881" t="s">
        <v>115</v>
      </c>
      <c r="F746" s="931">
        <v>714000</v>
      </c>
      <c r="G746" s="55">
        <v>719</v>
      </c>
      <c r="H746" s="78">
        <v>510000</v>
      </c>
      <c r="I746" s="901" t="s">
        <v>102</v>
      </c>
      <c r="J746" s="902"/>
      <c r="K746" s="902"/>
      <c r="L746" s="902"/>
      <c r="M746" s="903"/>
      <c r="N746" s="81">
        <f>SUM(N736:N745)</f>
        <v>12379000</v>
      </c>
    </row>
    <row r="747" spans="1:16" ht="15.75" customHeight="1" thickBot="1">
      <c r="A747" s="882"/>
      <c r="B747" s="876"/>
      <c r="C747" s="878"/>
      <c r="D747" s="882"/>
      <c r="E747" s="882"/>
      <c r="F747" s="932"/>
      <c r="G747" s="56">
        <v>721</v>
      </c>
      <c r="H747" s="79">
        <f>+F746-H746</f>
        <v>204000</v>
      </c>
      <c r="I747" s="885" t="s">
        <v>103</v>
      </c>
      <c r="J747" s="886"/>
      <c r="K747" s="886"/>
      <c r="L747" s="886"/>
      <c r="M747" s="887"/>
      <c r="N747" s="239">
        <f>+N711</f>
        <v>337374067</v>
      </c>
      <c r="O747" s="241" t="s">
        <v>561</v>
      </c>
      <c r="P747" s="242">
        <f>228+1562</f>
        <v>1790</v>
      </c>
    </row>
    <row r="748" spans="1:16" ht="16.5" thickBot="1">
      <c r="A748" s="901" t="s">
        <v>102</v>
      </c>
      <c r="B748" s="902"/>
      <c r="C748" s="902"/>
      <c r="D748" s="902"/>
      <c r="E748" s="903"/>
      <c r="F748" s="81">
        <f>SUM(F740:F747)</f>
        <v>1092000</v>
      </c>
      <c r="I748" s="888" t="s">
        <v>104</v>
      </c>
      <c r="J748" s="889"/>
      <c r="K748" s="889"/>
      <c r="L748" s="889"/>
      <c r="M748" s="890"/>
      <c r="N748" s="183">
        <f>SUM(N746:N747)</f>
        <v>349753067</v>
      </c>
    </row>
    <row r="749" spans="1:16" ht="8.25" customHeight="1" thickBot="1">
      <c r="A749" s="885" t="s">
        <v>103</v>
      </c>
      <c r="B749" s="886"/>
      <c r="C749" s="886"/>
      <c r="D749" s="886"/>
      <c r="E749" s="887"/>
      <c r="F749" s="69">
        <f>+F713</f>
        <v>649260930</v>
      </c>
      <c r="I749" s="61"/>
      <c r="J749" s="61"/>
      <c r="K749" s="61"/>
      <c r="L749" s="61"/>
      <c r="M749" s="61"/>
    </row>
    <row r="750" spans="1:16" ht="16.5" thickBot="1">
      <c r="A750" s="888" t="s">
        <v>104</v>
      </c>
      <c r="B750" s="889"/>
      <c r="C750" s="889"/>
      <c r="D750" s="889"/>
      <c r="E750" s="890"/>
      <c r="F750" s="183">
        <f>SUM(F748:F749)</f>
        <v>650352930</v>
      </c>
      <c r="I750" s="51" t="s">
        <v>2133</v>
      </c>
    </row>
    <row r="751" spans="1:16" ht="6.75" customHeight="1">
      <c r="A751" s="61"/>
      <c r="B751" s="61"/>
      <c r="C751" s="61"/>
      <c r="D751" s="61"/>
      <c r="E751" s="61"/>
      <c r="N751" s="139"/>
    </row>
    <row r="752" spans="1:16">
      <c r="A752" s="51" t="s">
        <v>440</v>
      </c>
      <c r="I752" s="50" t="s">
        <v>105</v>
      </c>
      <c r="L752" s="146"/>
      <c r="N752" s="139"/>
    </row>
    <row r="753" spans="1:16" ht="6.75" customHeight="1" thickBot="1">
      <c r="F753" s="139"/>
    </row>
    <row r="754" spans="1:16" ht="17.25" thickBot="1">
      <c r="A754" s="50" t="s">
        <v>105</v>
      </c>
      <c r="D754" s="146"/>
      <c r="F754" s="139"/>
      <c r="I754" s="891" t="s">
        <v>106</v>
      </c>
      <c r="J754" s="892"/>
      <c r="K754" s="892"/>
      <c r="L754" s="893"/>
      <c r="N754" s="605" t="s">
        <v>288</v>
      </c>
      <c r="O754" s="605"/>
      <c r="P754" s="605"/>
    </row>
    <row r="755" spans="1:16" ht="29.25" customHeight="1" thickBot="1">
      <c r="I755" s="57" t="s">
        <v>100</v>
      </c>
      <c r="J755" s="58" t="s">
        <v>108</v>
      </c>
      <c r="K755" s="263" t="s">
        <v>109</v>
      </c>
      <c r="L755" s="60" t="s">
        <v>110</v>
      </c>
      <c r="N755" s="202"/>
      <c r="O755" s="202"/>
      <c r="P755" s="202"/>
    </row>
    <row r="756" spans="1:16" ht="13.5" customHeight="1" thickBot="1">
      <c r="A756" s="891" t="s">
        <v>106</v>
      </c>
      <c r="B756" s="892"/>
      <c r="C756" s="892"/>
      <c r="D756" s="893"/>
      <c r="F756" s="50" t="s">
        <v>288</v>
      </c>
      <c r="I756" s="71">
        <v>719</v>
      </c>
      <c r="J756" s="73">
        <f>+P736+P738</f>
        <v>880000</v>
      </c>
      <c r="K756" s="74">
        <f>+L719</f>
        <v>15770000</v>
      </c>
      <c r="L756" s="195">
        <f>+J756+K756</f>
        <v>16650000</v>
      </c>
      <c r="N756" s="202"/>
      <c r="O756" s="202"/>
      <c r="P756" s="202"/>
    </row>
    <row r="757" spans="1:16" ht="13.5" customHeight="1" thickBot="1">
      <c r="A757" s="57" t="s">
        <v>100</v>
      </c>
      <c r="B757" s="58" t="s">
        <v>108</v>
      </c>
      <c r="C757" s="59" t="s">
        <v>109</v>
      </c>
      <c r="D757" s="60" t="s">
        <v>110</v>
      </c>
      <c r="I757" s="72">
        <v>721</v>
      </c>
      <c r="J757" s="257">
        <f>+P737+P739+P745</f>
        <v>7868000</v>
      </c>
      <c r="K757" s="74">
        <f>+L720</f>
        <v>5519500</v>
      </c>
      <c r="L757" s="195">
        <f>+J757+K757</f>
        <v>13387500</v>
      </c>
      <c r="N757" s="202"/>
      <c r="O757" s="202"/>
      <c r="P757" s="202"/>
    </row>
    <row r="758" spans="1:16" ht="12" customHeight="1">
      <c r="A758" s="71">
        <v>719</v>
      </c>
      <c r="B758" s="73" t="e">
        <f>+H740+H742+#REF!+H744+H746</f>
        <v>#REF!</v>
      </c>
      <c r="C758" s="74" t="e">
        <f>+D721</f>
        <v>#REF!</v>
      </c>
      <c r="D758" s="195" t="e">
        <f>+B758+C758</f>
        <v>#REF!</v>
      </c>
      <c r="I758" s="72">
        <v>722</v>
      </c>
      <c r="J758" s="257"/>
      <c r="K758" s="74">
        <f>+L721</f>
        <v>14081628</v>
      </c>
      <c r="L758" s="195">
        <f>+J758+K758</f>
        <v>14081628</v>
      </c>
      <c r="N758" s="202"/>
      <c r="O758" s="202"/>
      <c r="P758" s="202"/>
    </row>
    <row r="759" spans="1:16" ht="12.75" customHeight="1" thickBot="1">
      <c r="A759" s="72">
        <v>721</v>
      </c>
      <c r="B759" s="80" t="e">
        <f>+H741+H743+#REF!+H745+H747</f>
        <v>#REF!</v>
      </c>
      <c r="C759" s="74" t="e">
        <f>+D722</f>
        <v>#REF!</v>
      </c>
      <c r="D759" s="195" t="e">
        <f>+B759+C759</f>
        <v>#REF!</v>
      </c>
      <c r="I759" s="72">
        <v>723</v>
      </c>
      <c r="J759" s="257">
        <f>+P743+P741</f>
        <v>3631000</v>
      </c>
      <c r="K759" s="74">
        <f>+L722</f>
        <v>302301819</v>
      </c>
      <c r="L759" s="195">
        <f>+J759+K759</f>
        <v>305932819</v>
      </c>
      <c r="N759" s="918" t="s">
        <v>1696</v>
      </c>
      <c r="O759" s="608"/>
      <c r="P759" s="608"/>
    </row>
    <row r="760" spans="1:16" ht="12.75" hidden="1" customHeight="1">
      <c r="A760" s="72">
        <v>722</v>
      </c>
      <c r="B760" s="80"/>
      <c r="C760" s="74">
        <f>+D723</f>
        <v>231207671</v>
      </c>
      <c r="D760" s="195">
        <f>+B760+C760</f>
        <v>231207671</v>
      </c>
      <c r="I760" s="164" t="s">
        <v>181</v>
      </c>
      <c r="J760" s="165"/>
      <c r="K760" s="74">
        <f>+L723</f>
        <v>-298880</v>
      </c>
      <c r="L760" s="196">
        <f>+J760+K760</f>
        <v>-298880</v>
      </c>
      <c r="N760" s="52"/>
    </row>
    <row r="761" spans="1:16" ht="16.5" thickBot="1">
      <c r="A761" s="72">
        <v>723</v>
      </c>
      <c r="B761" s="80"/>
      <c r="C761" s="74" t="e">
        <f>+D724</f>
        <v>#REF!</v>
      </c>
      <c r="D761" s="195" t="e">
        <f>+B761+C761</f>
        <v>#REF!</v>
      </c>
      <c r="F761" s="174" t="s">
        <v>23</v>
      </c>
      <c r="G761" s="175"/>
      <c r="I761" s="169"/>
      <c r="J761" s="197">
        <f>SUM(J756:J760)</f>
        <v>12379000</v>
      </c>
      <c r="K761" s="197">
        <f>SUM(K756:K760)</f>
        <v>337374067</v>
      </c>
      <c r="L761" s="198">
        <f>SUM(L756:L760)</f>
        <v>349753067</v>
      </c>
    </row>
    <row r="762" spans="1:16" ht="17.25" thickBot="1">
      <c r="A762" s="164" t="s">
        <v>181</v>
      </c>
      <c r="B762" s="165"/>
      <c r="C762" s="74" t="e">
        <f>+D725</f>
        <v>#REF!</v>
      </c>
      <c r="D762" s="196" t="e">
        <f>+B762+C762</f>
        <v>#REF!</v>
      </c>
      <c r="F762" s="52"/>
      <c r="I762" s="49" t="s">
        <v>88</v>
      </c>
      <c r="J762" s="50"/>
    </row>
    <row r="763" spans="1:16" ht="16.5" thickBot="1">
      <c r="A763" s="169"/>
      <c r="B763" s="170" t="e">
        <f>SUM(B758:B762)</f>
        <v>#REF!</v>
      </c>
      <c r="C763" s="171" t="e">
        <f>SUM(C758:C762)</f>
        <v>#REF!</v>
      </c>
      <c r="D763" s="172" t="e">
        <f>SUM(D758:D762)</f>
        <v>#REF!</v>
      </c>
      <c r="I763" s="51" t="s">
        <v>89</v>
      </c>
    </row>
    <row r="764" spans="1:16" ht="16.5">
      <c r="A764" s="49" t="s">
        <v>88</v>
      </c>
      <c r="B764" s="50"/>
      <c r="I764" s="51" t="s">
        <v>90</v>
      </c>
    </row>
    <row r="765" spans="1:16">
      <c r="A765" s="51" t="s">
        <v>89</v>
      </c>
      <c r="I765" s="51" t="s">
        <v>91</v>
      </c>
    </row>
    <row r="766" spans="1:16" ht="3" customHeight="1">
      <c r="A766" s="51" t="s">
        <v>90</v>
      </c>
      <c r="I766" s="50"/>
      <c r="J766" s="50"/>
    </row>
    <row r="767" spans="1:16" ht="16.5">
      <c r="A767" s="51" t="s">
        <v>91</v>
      </c>
      <c r="I767" s="260" t="s">
        <v>762</v>
      </c>
      <c r="J767" s="262"/>
      <c r="O767" s="52"/>
    </row>
    <row r="768" spans="1:16" ht="15" customHeight="1">
      <c r="A768" s="50"/>
      <c r="B768" s="50"/>
      <c r="I768" s="261" t="s">
        <v>2012</v>
      </c>
      <c r="J768" s="262"/>
      <c r="O768" s="53"/>
    </row>
    <row r="769" spans="1:16" ht="16.5">
      <c r="A769" s="52" t="s">
        <v>432</v>
      </c>
      <c r="G769" s="52"/>
      <c r="I769" s="894" t="s">
        <v>2174</v>
      </c>
      <c r="J769" s="894"/>
      <c r="K769" s="894"/>
      <c r="L769" s="894"/>
      <c r="M769" s="894"/>
      <c r="N769" s="894"/>
      <c r="O769" s="894"/>
      <c r="P769" s="894"/>
    </row>
    <row r="770" spans="1:16" ht="10.5" customHeight="1" thickBot="1">
      <c r="A770" s="53" t="s">
        <v>92</v>
      </c>
      <c r="G770" s="53"/>
    </row>
    <row r="771" spans="1:16" ht="16.5">
      <c r="A771" s="894" t="s">
        <v>93</v>
      </c>
      <c r="B771" s="894"/>
      <c r="C771" s="894"/>
      <c r="D771" s="894"/>
      <c r="E771" s="894"/>
      <c r="F771" s="894"/>
      <c r="G771" s="894"/>
      <c r="H771" s="894"/>
      <c r="I771" s="895" t="s">
        <v>94</v>
      </c>
      <c r="J771" s="897" t="s">
        <v>95</v>
      </c>
      <c r="K771" s="897" t="s">
        <v>96</v>
      </c>
      <c r="L771" s="897" t="s">
        <v>3</v>
      </c>
      <c r="M771" s="897" t="s">
        <v>97</v>
      </c>
      <c r="N771" s="897" t="s">
        <v>98</v>
      </c>
      <c r="O771" s="897" t="s">
        <v>99</v>
      </c>
      <c r="P771" s="899"/>
    </row>
    <row r="772" spans="1:16" ht="13.5" customHeight="1" thickBot="1">
      <c r="I772" s="896"/>
      <c r="J772" s="898"/>
      <c r="K772" s="898"/>
      <c r="L772" s="898"/>
      <c r="M772" s="898"/>
      <c r="N772" s="898"/>
      <c r="O772" s="240" t="s">
        <v>100</v>
      </c>
      <c r="P772" s="182" t="s">
        <v>101</v>
      </c>
    </row>
    <row r="773" spans="1:16" ht="13.5" customHeight="1">
      <c r="A773" s="895" t="s">
        <v>94</v>
      </c>
      <c r="B773" s="897" t="s">
        <v>95</v>
      </c>
      <c r="C773" s="897" t="s">
        <v>96</v>
      </c>
      <c r="D773" s="897" t="s">
        <v>3</v>
      </c>
      <c r="E773" s="897" t="s">
        <v>97</v>
      </c>
      <c r="F773" s="897" t="s">
        <v>98</v>
      </c>
      <c r="G773" s="897" t="s">
        <v>99</v>
      </c>
      <c r="H773" s="899"/>
      <c r="I773" s="873" t="s">
        <v>732</v>
      </c>
      <c r="J773" s="875">
        <v>44572</v>
      </c>
      <c r="K773" s="877" t="s">
        <v>1079</v>
      </c>
      <c r="L773" s="881" t="s">
        <v>2170</v>
      </c>
      <c r="M773" s="881" t="s">
        <v>148</v>
      </c>
      <c r="N773" s="883">
        <v>2092500</v>
      </c>
      <c r="O773" s="55">
        <v>719</v>
      </c>
      <c r="P773" s="78">
        <v>1550000</v>
      </c>
    </row>
    <row r="774" spans="1:16" ht="15.75" thickBot="1">
      <c r="A774" s="896"/>
      <c r="B774" s="898"/>
      <c r="C774" s="898"/>
      <c r="D774" s="898"/>
      <c r="E774" s="898"/>
      <c r="F774" s="898"/>
      <c r="G774" s="240" t="s">
        <v>100</v>
      </c>
      <c r="H774" s="182" t="s">
        <v>101</v>
      </c>
      <c r="I774" s="882"/>
      <c r="J774" s="876"/>
      <c r="K774" s="878"/>
      <c r="L774" s="882"/>
      <c r="M774" s="882"/>
      <c r="N774" s="884"/>
      <c r="O774" s="56">
        <v>721</v>
      </c>
      <c r="P774" s="352">
        <f>+N773-P773</f>
        <v>542500</v>
      </c>
    </row>
    <row r="775" spans="1:16" ht="12.75" customHeight="1">
      <c r="A775" s="881" t="e">
        <f>+A746+1</f>
        <v>#REF!</v>
      </c>
      <c r="B775" s="875">
        <v>42306</v>
      </c>
      <c r="C775" s="877" t="s">
        <v>272</v>
      </c>
      <c r="D775" s="881" t="s">
        <v>433</v>
      </c>
      <c r="E775" s="881" t="s">
        <v>115</v>
      </c>
      <c r="F775" s="883">
        <v>40000</v>
      </c>
      <c r="G775" s="55">
        <v>719</v>
      </c>
      <c r="H775" s="78">
        <v>40000</v>
      </c>
      <c r="I775" s="873" t="s">
        <v>733</v>
      </c>
      <c r="J775" s="875">
        <v>44572</v>
      </c>
      <c r="K775" s="877" t="s">
        <v>120</v>
      </c>
      <c r="L775" s="881" t="s">
        <v>2171</v>
      </c>
      <c r="M775" s="881" t="s">
        <v>115</v>
      </c>
      <c r="N775" s="883">
        <v>634500</v>
      </c>
      <c r="O775" s="55">
        <v>719</v>
      </c>
      <c r="P775" s="78">
        <v>470000</v>
      </c>
    </row>
    <row r="776" spans="1:16" ht="14.25" customHeight="1" thickBot="1">
      <c r="A776" s="882"/>
      <c r="B776" s="876"/>
      <c r="C776" s="878"/>
      <c r="D776" s="882"/>
      <c r="E776" s="882"/>
      <c r="F776" s="884"/>
      <c r="G776" s="56">
        <v>721</v>
      </c>
      <c r="H776" s="79">
        <f>+F775-H775</f>
        <v>0</v>
      </c>
      <c r="I776" s="882"/>
      <c r="J776" s="876"/>
      <c r="K776" s="878"/>
      <c r="L776" s="882"/>
      <c r="M776" s="882"/>
      <c r="N776" s="884"/>
      <c r="O776" s="56">
        <v>721</v>
      </c>
      <c r="P776" s="352">
        <f>+N775-P775</f>
        <v>164500</v>
      </c>
    </row>
    <row r="777" spans="1:16" ht="14.25" customHeight="1">
      <c r="A777" s="251"/>
      <c r="B777" s="252"/>
      <c r="C777" s="251"/>
      <c r="D777" s="251"/>
      <c r="E777" s="251"/>
      <c r="F777" s="254"/>
      <c r="G777" s="255"/>
      <c r="H777" s="256"/>
      <c r="I777" s="873" t="s">
        <v>548</v>
      </c>
      <c r="J777" s="875">
        <v>44572</v>
      </c>
      <c r="K777" s="877" t="s">
        <v>2172</v>
      </c>
      <c r="L777" s="881" t="s">
        <v>2173</v>
      </c>
      <c r="M777" s="881" t="s">
        <v>165</v>
      </c>
      <c r="N777" s="883">
        <v>-600000</v>
      </c>
      <c r="O777" s="55">
        <v>719</v>
      </c>
      <c r="P777" s="78">
        <v>0</v>
      </c>
    </row>
    <row r="778" spans="1:16" ht="14.25" customHeight="1" thickBot="1">
      <c r="A778" s="251"/>
      <c r="B778" s="252"/>
      <c r="C778" s="251"/>
      <c r="D778" s="251"/>
      <c r="E778" s="251"/>
      <c r="F778" s="254"/>
      <c r="G778" s="255"/>
      <c r="H778" s="256"/>
      <c r="I778" s="882"/>
      <c r="J778" s="876"/>
      <c r="K778" s="878"/>
      <c r="L778" s="882"/>
      <c r="M778" s="882"/>
      <c r="N778" s="884"/>
      <c r="O778" s="56">
        <v>723</v>
      </c>
      <c r="P778" s="352">
        <f>+N777-P777</f>
        <v>-600000</v>
      </c>
    </row>
    <row r="779" spans="1:16" ht="12" customHeight="1">
      <c r="A779" s="881"/>
      <c r="B779" s="875"/>
      <c r="C779" s="877"/>
      <c r="D779" s="881"/>
      <c r="E779" s="881"/>
      <c r="F779" s="883"/>
      <c r="G779" s="55">
        <v>719</v>
      </c>
      <c r="H779" s="78"/>
      <c r="I779" s="873"/>
      <c r="J779" s="875"/>
      <c r="K779" s="877"/>
      <c r="L779" s="881"/>
      <c r="M779" s="881"/>
      <c r="N779" s="883"/>
      <c r="O779" s="471"/>
      <c r="P779" s="78"/>
    </row>
    <row r="780" spans="1:16" ht="12.75" customHeight="1" thickBot="1">
      <c r="A780" s="882"/>
      <c r="B780" s="876"/>
      <c r="C780" s="878"/>
      <c r="D780" s="882"/>
      <c r="E780" s="882"/>
      <c r="F780" s="884"/>
      <c r="G780" s="56">
        <v>721</v>
      </c>
      <c r="H780" s="79">
        <f>+F779-H779</f>
        <v>0</v>
      </c>
      <c r="I780" s="882"/>
      <c r="J780" s="876"/>
      <c r="K780" s="878"/>
      <c r="L780" s="882"/>
      <c r="M780" s="882"/>
      <c r="N780" s="884"/>
      <c r="O780" s="461"/>
      <c r="P780" s="79"/>
    </row>
    <row r="781" spans="1:16" ht="15" customHeight="1" thickBot="1">
      <c r="A781" s="881"/>
      <c r="B781" s="875"/>
      <c r="C781" s="881"/>
      <c r="D781" s="881"/>
      <c r="E781" s="881"/>
      <c r="F781" s="883"/>
      <c r="G781" s="55">
        <v>719</v>
      </c>
      <c r="H781" s="78"/>
      <c r="I781" s="901" t="s">
        <v>102</v>
      </c>
      <c r="J781" s="902"/>
      <c r="K781" s="902"/>
      <c r="L781" s="902"/>
      <c r="M781" s="903"/>
      <c r="N781" s="81">
        <f>SUM(N773:N780)</f>
        <v>2127000</v>
      </c>
    </row>
    <row r="782" spans="1:16" ht="15.75" customHeight="1" thickBot="1">
      <c r="A782" s="882"/>
      <c r="B782" s="876"/>
      <c r="C782" s="882"/>
      <c r="D782" s="882"/>
      <c r="E782" s="882"/>
      <c r="F782" s="884"/>
      <c r="G782" s="56">
        <v>721</v>
      </c>
      <c r="H782" s="79">
        <f>+F781-H781</f>
        <v>0</v>
      </c>
      <c r="I782" s="885" t="s">
        <v>103</v>
      </c>
      <c r="J782" s="886"/>
      <c r="K782" s="886"/>
      <c r="L782" s="886"/>
      <c r="M782" s="887"/>
      <c r="N782" s="239">
        <f>+N748</f>
        <v>349753067</v>
      </c>
      <c r="O782" s="241" t="s">
        <v>561</v>
      </c>
      <c r="P782" s="242"/>
    </row>
    <row r="783" spans="1:16" ht="16.5" thickBot="1">
      <c r="A783" s="901" t="s">
        <v>102</v>
      </c>
      <c r="B783" s="902"/>
      <c r="C783" s="902"/>
      <c r="D783" s="902"/>
      <c r="E783" s="903"/>
      <c r="F783" s="81">
        <f>SUM(F775:F782)</f>
        <v>40000</v>
      </c>
      <c r="I783" s="888" t="s">
        <v>104</v>
      </c>
      <c r="J783" s="889"/>
      <c r="K783" s="889"/>
      <c r="L783" s="889"/>
      <c r="M783" s="890"/>
      <c r="N783" s="183">
        <f>SUM(N781:N782)</f>
        <v>351880067</v>
      </c>
    </row>
    <row r="784" spans="1:16" ht="8.25" customHeight="1" thickBot="1">
      <c r="A784" s="885" t="s">
        <v>103</v>
      </c>
      <c r="B784" s="886"/>
      <c r="C784" s="886"/>
      <c r="D784" s="886"/>
      <c r="E784" s="887"/>
      <c r="F784" s="69">
        <f>+F750</f>
        <v>650352930</v>
      </c>
      <c r="I784" s="61"/>
      <c r="J784" s="61"/>
      <c r="K784" s="61"/>
      <c r="L784" s="61"/>
      <c r="M784" s="61"/>
    </row>
    <row r="785" spans="1:16" ht="16.5" thickBot="1">
      <c r="A785" s="888" t="s">
        <v>104</v>
      </c>
      <c r="B785" s="889"/>
      <c r="C785" s="889"/>
      <c r="D785" s="889"/>
      <c r="E785" s="890"/>
      <c r="F785" s="183">
        <f>SUM(F783:F784)</f>
        <v>650392930</v>
      </c>
      <c r="I785" s="51" t="s">
        <v>2175</v>
      </c>
    </row>
    <row r="786" spans="1:16" ht="2.25" customHeight="1">
      <c r="A786" s="61"/>
      <c r="B786" s="61"/>
      <c r="C786" s="61"/>
      <c r="D786" s="61"/>
      <c r="E786" s="61"/>
      <c r="N786" s="139"/>
    </row>
    <row r="787" spans="1:16">
      <c r="A787" s="51" t="s">
        <v>441</v>
      </c>
      <c r="I787" s="50" t="s">
        <v>105</v>
      </c>
      <c r="L787" s="146"/>
      <c r="N787" s="139"/>
    </row>
    <row r="788" spans="1:16" ht="7.5" customHeight="1" thickBot="1">
      <c r="F788" s="139"/>
    </row>
    <row r="789" spans="1:16" ht="17.25" thickBot="1">
      <c r="A789" s="50" t="s">
        <v>105</v>
      </c>
      <c r="D789" s="146"/>
      <c r="F789" s="139"/>
      <c r="I789" s="891" t="s">
        <v>106</v>
      </c>
      <c r="J789" s="892"/>
      <c r="K789" s="892"/>
      <c r="L789" s="893"/>
      <c r="N789" s="605" t="s">
        <v>288</v>
      </c>
      <c r="O789" s="605"/>
      <c r="P789" s="605"/>
    </row>
    <row r="790" spans="1:16" ht="27" customHeight="1" thickBot="1">
      <c r="I790" s="57" t="s">
        <v>100</v>
      </c>
      <c r="J790" s="58" t="s">
        <v>108</v>
      </c>
      <c r="K790" s="264" t="s">
        <v>109</v>
      </c>
      <c r="L790" s="60" t="s">
        <v>110</v>
      </c>
      <c r="N790" s="202"/>
      <c r="O790" s="202"/>
      <c r="P790" s="202"/>
    </row>
    <row r="791" spans="1:16" ht="13.5" customHeight="1" thickBot="1">
      <c r="A791" s="891" t="s">
        <v>106</v>
      </c>
      <c r="B791" s="892"/>
      <c r="C791" s="892"/>
      <c r="D791" s="893"/>
      <c r="F791" s="50" t="s">
        <v>288</v>
      </c>
      <c r="I791" s="71">
        <v>719</v>
      </c>
      <c r="J791" s="73">
        <f>+P773+P775</f>
        <v>2020000</v>
      </c>
      <c r="K791" s="74">
        <f>+L756</f>
        <v>16650000</v>
      </c>
      <c r="L791" s="195">
        <f>+J791+K791</f>
        <v>18670000</v>
      </c>
      <c r="N791" s="202"/>
      <c r="O791" s="202"/>
      <c r="P791" s="202"/>
    </row>
    <row r="792" spans="1:16" ht="15" customHeight="1" thickBot="1">
      <c r="A792" s="57" t="s">
        <v>100</v>
      </c>
      <c r="B792" s="58" t="s">
        <v>108</v>
      </c>
      <c r="C792" s="59" t="s">
        <v>109</v>
      </c>
      <c r="D792" s="60" t="s">
        <v>110</v>
      </c>
      <c r="I792" s="72">
        <v>721</v>
      </c>
      <c r="J792" s="257">
        <f>+P774+P776</f>
        <v>707000</v>
      </c>
      <c r="K792" s="74">
        <f>+L757</f>
        <v>13387500</v>
      </c>
      <c r="L792" s="195">
        <f>+J792+K792</f>
        <v>14094500</v>
      </c>
      <c r="N792" s="202"/>
      <c r="O792" s="202"/>
      <c r="P792" s="202"/>
    </row>
    <row r="793" spans="1:16" ht="12" customHeight="1">
      <c r="A793" s="71">
        <v>719</v>
      </c>
      <c r="B793" s="73" t="e">
        <f>+H775+#REF!+#REF!+H779+H781</f>
        <v>#REF!</v>
      </c>
      <c r="C793" s="74" t="e">
        <f>+D758</f>
        <v>#REF!</v>
      </c>
      <c r="D793" s="195" t="e">
        <f>+B793+C793</f>
        <v>#REF!</v>
      </c>
      <c r="I793" s="72">
        <v>722</v>
      </c>
      <c r="J793" s="257"/>
      <c r="K793" s="74">
        <f>+L758</f>
        <v>14081628</v>
      </c>
      <c r="L793" s="195">
        <f>+J793+K793</f>
        <v>14081628</v>
      </c>
      <c r="N793" s="202"/>
      <c r="O793" s="202"/>
      <c r="P793" s="202"/>
    </row>
    <row r="794" spans="1:16" ht="13.5" customHeight="1">
      <c r="A794" s="72">
        <v>721</v>
      </c>
      <c r="B794" s="80">
        <f>+H776</f>
        <v>0</v>
      </c>
      <c r="C794" s="74" t="e">
        <f>+D759</f>
        <v>#REF!</v>
      </c>
      <c r="D794" s="195" t="e">
        <f>+B794+C794</f>
        <v>#REF!</v>
      </c>
      <c r="I794" s="72">
        <v>723</v>
      </c>
      <c r="J794" s="257">
        <f>+P778</f>
        <v>-600000</v>
      </c>
      <c r="K794" s="74">
        <f>+L759</f>
        <v>305932819</v>
      </c>
      <c r="L794" s="195">
        <f>+J794+K794</f>
        <v>305332819</v>
      </c>
      <c r="N794" s="918" t="s">
        <v>2147</v>
      </c>
      <c r="O794" s="608"/>
      <c r="P794" s="608"/>
    </row>
    <row r="795" spans="1:16" ht="13.5" customHeight="1" thickBot="1">
      <c r="A795" s="72">
        <v>722</v>
      </c>
      <c r="B795" s="80"/>
      <c r="C795" s="74">
        <f>+D760</f>
        <v>231207671</v>
      </c>
      <c r="D795" s="195">
        <f>+B795+C795</f>
        <v>231207671</v>
      </c>
      <c r="I795" s="164" t="s">
        <v>181</v>
      </c>
      <c r="J795" s="165"/>
      <c r="K795" s="74">
        <f>+L760</f>
        <v>-298880</v>
      </c>
      <c r="L795" s="196">
        <f>+J795+K795</f>
        <v>-298880</v>
      </c>
      <c r="N795" s="52"/>
    </row>
    <row r="796" spans="1:16" ht="16.5" thickBot="1">
      <c r="A796" s="72">
        <v>723</v>
      </c>
      <c r="B796" s="80" t="e">
        <f>+#REF!</f>
        <v>#REF!</v>
      </c>
      <c r="C796" s="74" t="e">
        <f>+D761</f>
        <v>#REF!</v>
      </c>
      <c r="D796" s="195" t="e">
        <f>+B796+C796</f>
        <v>#REF!</v>
      </c>
      <c r="F796" s="174" t="s">
        <v>23</v>
      </c>
      <c r="G796" s="175"/>
      <c r="I796" s="169"/>
      <c r="J796" s="197">
        <f>SUM(J791:J795)</f>
        <v>2127000</v>
      </c>
      <c r="K796" s="197">
        <f>SUM(K791:K795)</f>
        <v>349753067</v>
      </c>
      <c r="L796" s="198">
        <f>SUM(L791:L795)</f>
        <v>351880067</v>
      </c>
    </row>
    <row r="797" spans="1:16" ht="17.25" thickBot="1">
      <c r="A797" s="164" t="s">
        <v>181</v>
      </c>
      <c r="B797" s="165"/>
      <c r="C797" s="74" t="e">
        <f>+D762</f>
        <v>#REF!</v>
      </c>
      <c r="D797" s="196" t="e">
        <f>+B797+C797</f>
        <v>#REF!</v>
      </c>
      <c r="F797" s="52"/>
      <c r="I797" s="49" t="s">
        <v>88</v>
      </c>
      <c r="J797" s="50"/>
    </row>
    <row r="798" spans="1:16" ht="15" customHeight="1" thickBot="1">
      <c r="A798" s="169"/>
      <c r="B798" s="170" t="e">
        <f>SUM(B793:B797)</f>
        <v>#REF!</v>
      </c>
      <c r="C798" s="171" t="e">
        <f>SUM(C793:C797)</f>
        <v>#REF!</v>
      </c>
      <c r="D798" s="172" t="e">
        <f>SUM(D793:D797)</f>
        <v>#REF!</v>
      </c>
      <c r="I798" s="51" t="s">
        <v>89</v>
      </c>
    </row>
    <row r="799" spans="1:16" ht="15" customHeight="1">
      <c r="A799" s="49" t="s">
        <v>88</v>
      </c>
      <c r="B799" s="50"/>
      <c r="I799" s="51" t="s">
        <v>90</v>
      </c>
    </row>
    <row r="800" spans="1:16">
      <c r="A800" s="51" t="s">
        <v>89</v>
      </c>
      <c r="I800" s="51" t="s">
        <v>91</v>
      </c>
    </row>
    <row r="801" spans="1:16" ht="4.5" customHeight="1">
      <c r="A801" s="51" t="s">
        <v>90</v>
      </c>
      <c r="I801" s="50"/>
      <c r="J801" s="50"/>
    </row>
    <row r="802" spans="1:16" ht="16.5">
      <c r="A802" s="51" t="s">
        <v>91</v>
      </c>
      <c r="I802" s="260" t="s">
        <v>763</v>
      </c>
      <c r="J802" s="262"/>
      <c r="O802" s="52"/>
    </row>
    <row r="803" spans="1:16" ht="14.25" customHeight="1">
      <c r="A803" s="50"/>
      <c r="B803" s="50"/>
      <c r="I803" s="261" t="s">
        <v>2012</v>
      </c>
      <c r="J803" s="262"/>
      <c r="O803" s="53"/>
    </row>
    <row r="804" spans="1:16" ht="16.5">
      <c r="A804" s="52" t="s">
        <v>442</v>
      </c>
      <c r="G804" s="52"/>
      <c r="I804" s="894" t="s">
        <v>2000</v>
      </c>
      <c r="J804" s="894"/>
      <c r="K804" s="894"/>
      <c r="L804" s="894"/>
      <c r="M804" s="894"/>
      <c r="N804" s="894"/>
      <c r="O804" s="894"/>
      <c r="P804" s="894"/>
    </row>
    <row r="805" spans="1:16" ht="9" customHeight="1" thickBot="1">
      <c r="A805" s="53" t="s">
        <v>92</v>
      </c>
      <c r="G805" s="53"/>
    </row>
    <row r="806" spans="1:16" ht="16.5">
      <c r="A806" s="894" t="s">
        <v>93</v>
      </c>
      <c r="B806" s="894"/>
      <c r="C806" s="894"/>
      <c r="D806" s="894"/>
      <c r="E806" s="894"/>
      <c r="F806" s="894"/>
      <c r="G806" s="894"/>
      <c r="H806" s="894"/>
      <c r="I806" s="895" t="s">
        <v>94</v>
      </c>
      <c r="J806" s="897" t="s">
        <v>95</v>
      </c>
      <c r="K806" s="897" t="s">
        <v>96</v>
      </c>
      <c r="L806" s="897" t="s">
        <v>3</v>
      </c>
      <c r="M806" s="897" t="s">
        <v>97</v>
      </c>
      <c r="N806" s="897" t="s">
        <v>98</v>
      </c>
      <c r="O806" s="897" t="s">
        <v>99</v>
      </c>
      <c r="P806" s="899"/>
    </row>
    <row r="807" spans="1:16" ht="15.75" thickBot="1">
      <c r="I807" s="896"/>
      <c r="J807" s="898"/>
      <c r="K807" s="898"/>
      <c r="L807" s="898"/>
      <c r="M807" s="898"/>
      <c r="N807" s="898"/>
      <c r="O807" s="240" t="s">
        <v>100</v>
      </c>
      <c r="P807" s="182" t="s">
        <v>101</v>
      </c>
    </row>
    <row r="808" spans="1:16" ht="14.25" customHeight="1">
      <c r="A808" s="881" t="e">
        <f>+#REF!+1</f>
        <v>#REF!</v>
      </c>
      <c r="B808" s="875">
        <v>42317</v>
      </c>
      <c r="C808" s="877" t="s">
        <v>267</v>
      </c>
      <c r="D808" s="881" t="s">
        <v>444</v>
      </c>
      <c r="E808" s="881" t="s">
        <v>148</v>
      </c>
      <c r="F808" s="883">
        <v>252000</v>
      </c>
      <c r="G808" s="55">
        <v>719</v>
      </c>
      <c r="H808" s="78">
        <v>180000</v>
      </c>
      <c r="I808" s="873" t="s">
        <v>2001</v>
      </c>
      <c r="J808" s="875">
        <v>44560</v>
      </c>
      <c r="K808" s="877" t="s">
        <v>2345</v>
      </c>
      <c r="L808" s="879" t="s">
        <v>1867</v>
      </c>
      <c r="M808" s="881" t="s">
        <v>145</v>
      </c>
      <c r="N808" s="883">
        <v>-700000</v>
      </c>
      <c r="O808" s="55">
        <v>719</v>
      </c>
      <c r="P808" s="78"/>
    </row>
    <row r="809" spans="1:16" ht="12.75" customHeight="1" thickBot="1">
      <c r="A809" s="882"/>
      <c r="B809" s="876"/>
      <c r="C809" s="878"/>
      <c r="D809" s="882"/>
      <c r="E809" s="882"/>
      <c r="F809" s="884"/>
      <c r="G809" s="56">
        <v>721</v>
      </c>
      <c r="H809" s="79">
        <f>+F808-H808</f>
        <v>72000</v>
      </c>
      <c r="I809" s="874"/>
      <c r="J809" s="876"/>
      <c r="K809" s="878"/>
      <c r="L809" s="880"/>
      <c r="M809" s="882"/>
      <c r="N809" s="884"/>
      <c r="O809" s="56">
        <v>723</v>
      </c>
      <c r="P809" s="79">
        <f>+N808</f>
        <v>-700000</v>
      </c>
    </row>
    <row r="810" spans="1:16" ht="12.75" customHeight="1">
      <c r="A810" s="881" t="e">
        <f>+A808+1</f>
        <v>#REF!</v>
      </c>
      <c r="B810" s="875">
        <v>42317</v>
      </c>
      <c r="C810" s="881" t="s">
        <v>28</v>
      </c>
      <c r="D810" s="881" t="s">
        <v>445</v>
      </c>
      <c r="E810" s="881" t="s">
        <v>148</v>
      </c>
      <c r="F810" s="883">
        <v>574000</v>
      </c>
      <c r="G810" s="55">
        <v>719</v>
      </c>
      <c r="H810" s="78">
        <v>410000</v>
      </c>
      <c r="I810" s="873"/>
      <c r="J810" s="875"/>
      <c r="K810" s="877"/>
      <c r="L810" s="881"/>
      <c r="M810" s="881"/>
      <c r="N810" s="883"/>
      <c r="O810" s="55"/>
      <c r="P810" s="78"/>
    </row>
    <row r="811" spans="1:16" ht="12.75" customHeight="1" thickBot="1">
      <c r="A811" s="882"/>
      <c r="B811" s="876"/>
      <c r="C811" s="882"/>
      <c r="D811" s="882"/>
      <c r="E811" s="882"/>
      <c r="F811" s="884"/>
      <c r="G811" s="56">
        <v>721</v>
      </c>
      <c r="H811" s="79">
        <f>+F810-H810</f>
        <v>164000</v>
      </c>
      <c r="I811" s="874"/>
      <c r="J811" s="876"/>
      <c r="K811" s="878"/>
      <c r="L811" s="882"/>
      <c r="M811" s="882"/>
      <c r="N811" s="884"/>
      <c r="O811" s="56"/>
      <c r="P811" s="79"/>
    </row>
    <row r="812" spans="1:16" ht="12.75" customHeight="1">
      <c r="A812" s="881" t="e">
        <f>+A810+1</f>
        <v>#REF!</v>
      </c>
      <c r="B812" s="875">
        <v>42317</v>
      </c>
      <c r="C812" s="877" t="s">
        <v>32</v>
      </c>
      <c r="D812" s="881" t="s">
        <v>446</v>
      </c>
      <c r="E812" s="881" t="s">
        <v>148</v>
      </c>
      <c r="F812" s="883">
        <v>28000</v>
      </c>
      <c r="G812" s="55">
        <v>719</v>
      </c>
      <c r="H812" s="78">
        <v>20000</v>
      </c>
      <c r="I812" s="873"/>
      <c r="J812" s="875"/>
      <c r="K812" s="877"/>
      <c r="L812" s="881"/>
      <c r="M812" s="881"/>
      <c r="N812" s="883"/>
      <c r="O812" s="55"/>
      <c r="P812" s="78"/>
    </row>
    <row r="813" spans="1:16" ht="13.5" customHeight="1" thickBot="1">
      <c r="A813" s="882"/>
      <c r="B813" s="876"/>
      <c r="C813" s="878"/>
      <c r="D813" s="882"/>
      <c r="E813" s="882"/>
      <c r="F813" s="884"/>
      <c r="G813" s="56">
        <v>721</v>
      </c>
      <c r="H813" s="79">
        <f>+F812-H812</f>
        <v>8000</v>
      </c>
      <c r="I813" s="874"/>
      <c r="J813" s="876"/>
      <c r="K813" s="878"/>
      <c r="L813" s="882"/>
      <c r="M813" s="882"/>
      <c r="N813" s="884"/>
      <c r="O813" s="56"/>
      <c r="P813" s="79"/>
    </row>
    <row r="814" spans="1:16" ht="12" customHeight="1">
      <c r="A814" s="881" t="e">
        <f>+A812+1</f>
        <v>#REF!</v>
      </c>
      <c r="B814" s="875">
        <v>42317</v>
      </c>
      <c r="C814" s="877" t="s">
        <v>111</v>
      </c>
      <c r="D814" s="881" t="s">
        <v>447</v>
      </c>
      <c r="E814" s="881" t="s">
        <v>148</v>
      </c>
      <c r="F814" s="883">
        <v>140000</v>
      </c>
      <c r="G814" s="55">
        <v>719</v>
      </c>
      <c r="H814" s="78">
        <v>100000</v>
      </c>
      <c r="I814" s="873"/>
      <c r="J814" s="875"/>
      <c r="K814" s="877"/>
      <c r="L814" s="881"/>
      <c r="M814" s="881"/>
      <c r="N814" s="883"/>
      <c r="O814" s="55"/>
      <c r="P814" s="78"/>
    </row>
    <row r="815" spans="1:16" ht="12.75" customHeight="1" thickBot="1">
      <c r="A815" s="882"/>
      <c r="B815" s="876"/>
      <c r="C815" s="878"/>
      <c r="D815" s="882"/>
      <c r="E815" s="882"/>
      <c r="F815" s="884"/>
      <c r="G815" s="56">
        <v>721</v>
      </c>
      <c r="H815" s="79">
        <f>+F814-H814</f>
        <v>40000</v>
      </c>
      <c r="I815" s="874"/>
      <c r="J815" s="876"/>
      <c r="K815" s="878"/>
      <c r="L815" s="882"/>
      <c r="M815" s="882"/>
      <c r="N815" s="884"/>
      <c r="O815" s="56"/>
      <c r="P815" s="79"/>
    </row>
    <row r="816" spans="1:16" ht="15" customHeight="1" thickBot="1">
      <c r="A816" s="881" t="e">
        <f>+A814+1</f>
        <v>#REF!</v>
      </c>
      <c r="B816" s="875">
        <v>42317</v>
      </c>
      <c r="C816" s="877" t="s">
        <v>272</v>
      </c>
      <c r="D816" s="881" t="s">
        <v>444</v>
      </c>
      <c r="E816" s="881" t="s">
        <v>148</v>
      </c>
      <c r="F816" s="883">
        <v>756000</v>
      </c>
      <c r="G816" s="55">
        <v>719</v>
      </c>
      <c r="H816" s="78">
        <v>540000</v>
      </c>
      <c r="I816" s="901" t="s">
        <v>102</v>
      </c>
      <c r="J816" s="902"/>
      <c r="K816" s="902"/>
      <c r="L816" s="902"/>
      <c r="M816" s="903"/>
      <c r="N816" s="81">
        <f>SUM(N808:N815)</f>
        <v>-700000</v>
      </c>
    </row>
    <row r="817" spans="1:16" ht="15.75" customHeight="1" thickBot="1">
      <c r="A817" s="882"/>
      <c r="B817" s="876"/>
      <c r="C817" s="878"/>
      <c r="D817" s="882"/>
      <c r="E817" s="882"/>
      <c r="F817" s="884"/>
      <c r="G817" s="56">
        <v>721</v>
      </c>
      <c r="H817" s="79">
        <f>+F816-H816</f>
        <v>216000</v>
      </c>
      <c r="I817" s="885" t="s">
        <v>103</v>
      </c>
      <c r="J817" s="886"/>
      <c r="K817" s="886"/>
      <c r="L817" s="886"/>
      <c r="M817" s="887"/>
      <c r="N817" s="239">
        <f>+N783</f>
        <v>351880067</v>
      </c>
      <c r="O817" s="241" t="s">
        <v>561</v>
      </c>
      <c r="P817" s="242"/>
    </row>
    <row r="818" spans="1:16" ht="16.5" thickBot="1">
      <c r="A818" s="901" t="s">
        <v>102</v>
      </c>
      <c r="B818" s="902"/>
      <c r="C818" s="902"/>
      <c r="D818" s="902"/>
      <c r="E818" s="903"/>
      <c r="F818" s="81">
        <f>SUM(F808:F817)</f>
        <v>1750000</v>
      </c>
      <c r="I818" s="888" t="s">
        <v>104</v>
      </c>
      <c r="J818" s="889"/>
      <c r="K818" s="889"/>
      <c r="L818" s="889"/>
      <c r="M818" s="890"/>
      <c r="N818" s="183">
        <f>SUM(N816:N817)</f>
        <v>351180067</v>
      </c>
    </row>
    <row r="819" spans="1:16" ht="6.75" customHeight="1" thickBot="1">
      <c r="A819" s="885" t="s">
        <v>103</v>
      </c>
      <c r="B819" s="886"/>
      <c r="C819" s="886"/>
      <c r="D819" s="886"/>
      <c r="E819" s="887"/>
      <c r="F819" s="69">
        <f>+F785</f>
        <v>650392930</v>
      </c>
      <c r="I819" s="61"/>
      <c r="J819" s="61"/>
      <c r="K819" s="61"/>
      <c r="L819" s="61"/>
      <c r="M819" s="61"/>
    </row>
    <row r="820" spans="1:16" ht="16.5" thickBot="1">
      <c r="A820" s="888" t="s">
        <v>104</v>
      </c>
      <c r="B820" s="889"/>
      <c r="C820" s="889"/>
      <c r="D820" s="889"/>
      <c r="E820" s="890"/>
      <c r="F820" s="183">
        <f>SUM(F818:F819)</f>
        <v>652142930</v>
      </c>
      <c r="I820" s="51" t="s">
        <v>2346</v>
      </c>
    </row>
    <row r="821" spans="1:16" ht="17.25" customHeight="1">
      <c r="A821" s="61"/>
      <c r="B821" s="61"/>
      <c r="C821" s="61"/>
      <c r="D821" s="61"/>
      <c r="E821" s="61"/>
      <c r="N821" s="139"/>
    </row>
    <row r="822" spans="1:16">
      <c r="A822" s="51" t="s">
        <v>448</v>
      </c>
      <c r="I822" s="50" t="s">
        <v>105</v>
      </c>
      <c r="L822" s="146"/>
      <c r="N822" s="139"/>
    </row>
    <row r="823" spans="1:16" ht="17.25" customHeight="1" thickBot="1">
      <c r="F823" s="139"/>
    </row>
    <row r="824" spans="1:16" ht="15.75" thickBot="1">
      <c r="A824" s="50" t="s">
        <v>105</v>
      </c>
      <c r="D824" s="146"/>
      <c r="F824" s="139"/>
      <c r="I824" s="891" t="s">
        <v>106</v>
      </c>
      <c r="J824" s="892"/>
      <c r="K824" s="892"/>
      <c r="L824" s="893"/>
    </row>
    <row r="825" spans="1:16" ht="28.5" customHeight="1" thickBot="1">
      <c r="I825" s="57" t="s">
        <v>100</v>
      </c>
      <c r="J825" s="58" t="s">
        <v>108</v>
      </c>
      <c r="K825" s="263" t="s">
        <v>109</v>
      </c>
      <c r="L825" s="60" t="s">
        <v>110</v>
      </c>
      <c r="N825" s="202"/>
      <c r="O825" s="202"/>
      <c r="P825" s="202"/>
    </row>
    <row r="826" spans="1:16" ht="15" customHeight="1" thickBot="1">
      <c r="A826" s="891" t="s">
        <v>106</v>
      </c>
      <c r="B826" s="892"/>
      <c r="C826" s="892"/>
      <c r="D826" s="893"/>
      <c r="F826" s="50" t="s">
        <v>288</v>
      </c>
      <c r="I826" s="71">
        <v>719</v>
      </c>
      <c r="J826" s="73"/>
      <c r="K826" s="74">
        <f>+L791</f>
        <v>18670000</v>
      </c>
      <c r="L826" s="195">
        <f>+J826+K826</f>
        <v>18670000</v>
      </c>
      <c r="N826" s="605" t="s">
        <v>1126</v>
      </c>
      <c r="O826" s="605"/>
      <c r="P826" s="605"/>
    </row>
    <row r="827" spans="1:16" ht="14.25" customHeight="1" thickBot="1">
      <c r="A827" s="57" t="s">
        <v>100</v>
      </c>
      <c r="B827" s="58" t="s">
        <v>108</v>
      </c>
      <c r="C827" s="59" t="s">
        <v>109</v>
      </c>
      <c r="D827" s="60" t="s">
        <v>110</v>
      </c>
      <c r="I827" s="72">
        <v>721</v>
      </c>
      <c r="J827" s="257"/>
      <c r="K827" s="74">
        <f>+L792</f>
        <v>14094500</v>
      </c>
      <c r="L827" s="195">
        <f>+J827+K827</f>
        <v>14094500</v>
      </c>
      <c r="N827" s="202"/>
      <c r="O827" s="202"/>
      <c r="P827" s="202"/>
    </row>
    <row r="828" spans="1:16" ht="14.25" customHeight="1">
      <c r="A828" s="71">
        <v>719</v>
      </c>
      <c r="B828" s="73">
        <f>+H808+H810+H812+H814+H816</f>
        <v>1250000</v>
      </c>
      <c r="C828" s="74" t="e">
        <f>+D793</f>
        <v>#REF!</v>
      </c>
      <c r="D828" s="195" t="e">
        <f>+B828+C828</f>
        <v>#REF!</v>
      </c>
      <c r="I828" s="72">
        <v>722</v>
      </c>
      <c r="J828" s="257"/>
      <c r="K828" s="74">
        <f>+L793</f>
        <v>14081628</v>
      </c>
      <c r="L828" s="195">
        <f>+J828+K828</f>
        <v>14081628</v>
      </c>
      <c r="N828" s="288"/>
      <c r="O828" s="288"/>
      <c r="P828" s="288"/>
    </row>
    <row r="829" spans="1:16" ht="14.25" customHeight="1" thickBot="1">
      <c r="A829" s="72">
        <v>721</v>
      </c>
      <c r="B829" s="80">
        <f>+H809+H811+H813+H815+H817</f>
        <v>500000</v>
      </c>
      <c r="C829" s="74" t="e">
        <f>+D794</f>
        <v>#REF!</v>
      </c>
      <c r="D829" s="195" t="e">
        <f>+B829+C829</f>
        <v>#REF!</v>
      </c>
      <c r="I829" s="72">
        <v>723</v>
      </c>
      <c r="J829" s="257">
        <f>+N808</f>
        <v>-700000</v>
      </c>
      <c r="K829" s="74">
        <f>+L794</f>
        <v>305332819</v>
      </c>
      <c r="L829" s="195">
        <f>+J829+K829</f>
        <v>304632819</v>
      </c>
      <c r="N829" s="288"/>
      <c r="O829" s="288"/>
      <c r="P829" s="288"/>
    </row>
    <row r="830" spans="1:16" ht="15" hidden="1" customHeight="1">
      <c r="A830" s="72">
        <v>722</v>
      </c>
      <c r="B830" s="80"/>
      <c r="C830" s="74">
        <f>+D795</f>
        <v>231207671</v>
      </c>
      <c r="D830" s="195">
        <f>+B830+C830</f>
        <v>231207671</v>
      </c>
      <c r="I830" s="164" t="s">
        <v>181</v>
      </c>
      <c r="J830" s="165"/>
      <c r="K830" s="74">
        <f>+L795</f>
        <v>-298880</v>
      </c>
      <c r="L830" s="196">
        <f>+J830+K830</f>
        <v>-298880</v>
      </c>
      <c r="N830" s="918"/>
      <c r="O830" s="918"/>
      <c r="P830" s="918"/>
    </row>
    <row r="831" spans="1:16" ht="16.5" thickBot="1">
      <c r="A831" s="72">
        <v>723</v>
      </c>
      <c r="B831" s="80"/>
      <c r="C831" s="74" t="e">
        <f>+D796</f>
        <v>#REF!</v>
      </c>
      <c r="D831" s="195" t="e">
        <f>+B831+C831</f>
        <v>#REF!</v>
      </c>
      <c r="F831" s="174" t="s">
        <v>23</v>
      </c>
      <c r="G831" s="175"/>
      <c r="I831" s="169"/>
      <c r="J831" s="197">
        <f>SUM(J826:J830)</f>
        <v>-700000</v>
      </c>
      <c r="K831" s="197">
        <f>SUM(K826:K830)</f>
        <v>351880067</v>
      </c>
      <c r="L831" s="198">
        <f>SUM(L826:L830)</f>
        <v>351180067</v>
      </c>
      <c r="N831" s="918" t="s">
        <v>2347</v>
      </c>
      <c r="O831" s="918"/>
      <c r="P831" s="918"/>
    </row>
    <row r="832" spans="1:16" ht="17.25" thickBot="1">
      <c r="A832" s="164" t="s">
        <v>181</v>
      </c>
      <c r="B832" s="165"/>
      <c r="C832" s="74" t="e">
        <f>+D797</f>
        <v>#REF!</v>
      </c>
      <c r="D832" s="196" t="e">
        <f>+B832+C832</f>
        <v>#REF!</v>
      </c>
      <c r="F832" s="52"/>
      <c r="I832" s="49" t="s">
        <v>88</v>
      </c>
      <c r="J832" s="50"/>
    </row>
    <row r="833" spans="1:16" ht="16.5" thickBot="1">
      <c r="A833" s="169"/>
      <c r="B833" s="170">
        <f>SUM(B828:B832)</f>
        <v>1750000</v>
      </c>
      <c r="C833" s="171" t="e">
        <f>SUM(C828:C832)</f>
        <v>#REF!</v>
      </c>
      <c r="D833" s="172" t="e">
        <f>SUM(D828:D832)</f>
        <v>#REF!</v>
      </c>
      <c r="I833" s="51" t="s">
        <v>89</v>
      </c>
    </row>
    <row r="834" spans="1:16" ht="16.5">
      <c r="A834" s="49" t="s">
        <v>88</v>
      </c>
      <c r="B834" s="50"/>
      <c r="I834" s="51" t="s">
        <v>90</v>
      </c>
    </row>
    <row r="835" spans="1:16">
      <c r="A835" s="51" t="s">
        <v>89</v>
      </c>
      <c r="I835" s="51" t="s">
        <v>91</v>
      </c>
    </row>
    <row r="836" spans="1:16" ht="8.25" customHeight="1">
      <c r="A836" s="51" t="s">
        <v>90</v>
      </c>
      <c r="I836" s="50"/>
      <c r="J836" s="50"/>
    </row>
    <row r="837" spans="1:16" ht="16.5">
      <c r="A837" s="51" t="s">
        <v>91</v>
      </c>
      <c r="I837" s="260" t="s">
        <v>789</v>
      </c>
      <c r="J837" s="262"/>
      <c r="O837" s="52"/>
    </row>
    <row r="838" spans="1:16" ht="14.25" customHeight="1">
      <c r="A838" s="50"/>
      <c r="B838" s="50"/>
      <c r="I838" s="261" t="s">
        <v>1702</v>
      </c>
      <c r="J838" s="262"/>
      <c r="O838" s="53"/>
    </row>
    <row r="839" spans="1:16" ht="16.5">
      <c r="A839" s="52" t="s">
        <v>443</v>
      </c>
      <c r="G839" s="52"/>
      <c r="I839" s="894" t="s">
        <v>1823</v>
      </c>
      <c r="J839" s="894"/>
      <c r="K839" s="894"/>
      <c r="L839" s="894"/>
      <c r="M839" s="894"/>
      <c r="N839" s="894"/>
      <c r="O839" s="894"/>
      <c r="P839" s="894"/>
    </row>
    <row r="840" spans="1:16" ht="9.75" customHeight="1" thickBot="1">
      <c r="A840" s="53" t="s">
        <v>92</v>
      </c>
      <c r="G840" s="53"/>
    </row>
    <row r="841" spans="1:16" ht="16.5">
      <c r="A841" s="894" t="s">
        <v>93</v>
      </c>
      <c r="B841" s="894"/>
      <c r="C841" s="894"/>
      <c r="D841" s="894"/>
      <c r="E841" s="894"/>
      <c r="F841" s="894"/>
      <c r="G841" s="894"/>
      <c r="H841" s="894"/>
      <c r="I841" s="895" t="s">
        <v>94</v>
      </c>
      <c r="J841" s="897" t="s">
        <v>95</v>
      </c>
      <c r="K841" s="897" t="s">
        <v>96</v>
      </c>
      <c r="L841" s="897" t="s">
        <v>3</v>
      </c>
      <c r="M841" s="897" t="s">
        <v>97</v>
      </c>
      <c r="N841" s="897" t="s">
        <v>98</v>
      </c>
      <c r="O841" s="897" t="s">
        <v>99</v>
      </c>
      <c r="P841" s="899"/>
    </row>
    <row r="842" spans="1:16" ht="12.75" customHeight="1" thickBot="1">
      <c r="I842" s="896"/>
      <c r="J842" s="898"/>
      <c r="K842" s="898"/>
      <c r="L842" s="898"/>
      <c r="M842" s="898"/>
      <c r="N842" s="898"/>
      <c r="O842" s="240" t="s">
        <v>100</v>
      </c>
      <c r="P842" s="182" t="s">
        <v>101</v>
      </c>
    </row>
    <row r="843" spans="1:16" ht="14.25" customHeight="1">
      <c r="A843" s="895" t="s">
        <v>94</v>
      </c>
      <c r="B843" s="897" t="s">
        <v>95</v>
      </c>
      <c r="C843" s="897" t="s">
        <v>96</v>
      </c>
      <c r="D843" s="897" t="s">
        <v>3</v>
      </c>
      <c r="E843" s="897" t="s">
        <v>97</v>
      </c>
      <c r="F843" s="897" t="s">
        <v>98</v>
      </c>
      <c r="G843" s="897" t="s">
        <v>99</v>
      </c>
      <c r="H843" s="899"/>
      <c r="I843" s="928">
        <f>+I814+1</f>
        <v>1</v>
      </c>
      <c r="J843" s="875">
        <v>43669</v>
      </c>
      <c r="K843" s="877" t="s">
        <v>1079</v>
      </c>
      <c r="L843" s="881" t="s">
        <v>1825</v>
      </c>
      <c r="M843" s="881" t="s">
        <v>148</v>
      </c>
      <c r="N843" s="883">
        <v>860000</v>
      </c>
      <c r="O843" s="55">
        <v>719</v>
      </c>
      <c r="P843" s="78">
        <v>860000</v>
      </c>
    </row>
    <row r="844" spans="1:16" ht="13.5" customHeight="1" thickBot="1">
      <c r="A844" s="896"/>
      <c r="B844" s="898"/>
      <c r="C844" s="898"/>
      <c r="D844" s="898"/>
      <c r="E844" s="898"/>
      <c r="F844" s="898"/>
      <c r="G844" s="240" t="s">
        <v>100</v>
      </c>
      <c r="H844" s="182" t="s">
        <v>101</v>
      </c>
      <c r="I844" s="929"/>
      <c r="J844" s="876"/>
      <c r="K844" s="878"/>
      <c r="L844" s="882"/>
      <c r="M844" s="882"/>
      <c r="N844" s="884"/>
      <c r="O844" s="56">
        <v>721</v>
      </c>
      <c r="P844" s="79">
        <f>+N843-P843</f>
        <v>0</v>
      </c>
    </row>
    <row r="845" spans="1:16" ht="13.5" customHeight="1">
      <c r="A845" s="881" t="e">
        <f>+A816+1</f>
        <v>#REF!</v>
      </c>
      <c r="B845" s="875">
        <v>42317</v>
      </c>
      <c r="C845" s="877" t="s">
        <v>272</v>
      </c>
      <c r="D845" s="881" t="s">
        <v>449</v>
      </c>
      <c r="E845" s="881" t="s">
        <v>115</v>
      </c>
      <c r="F845" s="883">
        <v>210000</v>
      </c>
      <c r="G845" s="55">
        <v>719</v>
      </c>
      <c r="H845" s="78">
        <v>210000</v>
      </c>
      <c r="I845" s="928">
        <f>+I843+1</f>
        <v>2</v>
      </c>
      <c r="J845" s="875">
        <v>43669</v>
      </c>
      <c r="K845" s="877" t="s">
        <v>111</v>
      </c>
      <c r="L845" s="881" t="s">
        <v>1827</v>
      </c>
      <c r="M845" s="881" t="s">
        <v>148</v>
      </c>
      <c r="N845" s="883">
        <v>240000</v>
      </c>
      <c r="O845" s="55">
        <v>719</v>
      </c>
      <c r="P845" s="78">
        <v>240000</v>
      </c>
    </row>
    <row r="846" spans="1:16" ht="13.5" customHeight="1" thickBot="1">
      <c r="A846" s="882"/>
      <c r="B846" s="876"/>
      <c r="C846" s="878"/>
      <c r="D846" s="882"/>
      <c r="E846" s="882"/>
      <c r="F846" s="884"/>
      <c r="G846" s="56">
        <v>721</v>
      </c>
      <c r="H846" s="79">
        <f>+F845-H845</f>
        <v>0</v>
      </c>
      <c r="I846" s="929"/>
      <c r="J846" s="876"/>
      <c r="K846" s="878"/>
      <c r="L846" s="882"/>
      <c r="M846" s="882"/>
      <c r="N846" s="884"/>
      <c r="O846" s="56">
        <v>721</v>
      </c>
      <c r="P846" s="79">
        <f>+N845-P845</f>
        <v>0</v>
      </c>
    </row>
    <row r="847" spans="1:16" ht="13.5" customHeight="1">
      <c r="A847" s="881" t="e">
        <f>+A845+1</f>
        <v>#REF!</v>
      </c>
      <c r="B847" s="875">
        <v>42317</v>
      </c>
      <c r="C847" s="881" t="s">
        <v>28</v>
      </c>
      <c r="D847" s="881" t="s">
        <v>450</v>
      </c>
      <c r="E847" s="881" t="s">
        <v>115</v>
      </c>
      <c r="F847" s="883">
        <v>20000</v>
      </c>
      <c r="G847" s="55">
        <v>719</v>
      </c>
      <c r="H847" s="78">
        <v>20000</v>
      </c>
      <c r="I847" s="928">
        <f>+I845+1</f>
        <v>3</v>
      </c>
      <c r="J847" s="875">
        <v>43669</v>
      </c>
      <c r="K847" s="877" t="s">
        <v>267</v>
      </c>
      <c r="L847" s="881" t="s">
        <v>1826</v>
      </c>
      <c r="M847" s="881" t="s">
        <v>148</v>
      </c>
      <c r="N847" s="883">
        <v>340000</v>
      </c>
      <c r="O847" s="55">
        <v>719</v>
      </c>
      <c r="P847" s="78">
        <v>340000</v>
      </c>
    </row>
    <row r="848" spans="1:16" ht="12.75" customHeight="1" thickBot="1">
      <c r="A848" s="882"/>
      <c r="B848" s="876"/>
      <c r="C848" s="882"/>
      <c r="D848" s="882"/>
      <c r="E848" s="882"/>
      <c r="F848" s="884"/>
      <c r="G848" s="56">
        <v>721</v>
      </c>
      <c r="H848" s="79">
        <f>+F847-H847</f>
        <v>0</v>
      </c>
      <c r="I848" s="929"/>
      <c r="J848" s="876"/>
      <c r="K848" s="878"/>
      <c r="L848" s="882"/>
      <c r="M848" s="882"/>
      <c r="N848" s="884"/>
      <c r="O848" s="56">
        <v>721</v>
      </c>
      <c r="P848" s="79">
        <f>+N847-P847</f>
        <v>0</v>
      </c>
    </row>
    <row r="849" spans="1:16" ht="13.5" customHeight="1">
      <c r="A849" s="881" t="e">
        <f>+A847+1</f>
        <v>#REF!</v>
      </c>
      <c r="B849" s="875">
        <v>42317</v>
      </c>
      <c r="C849" s="877" t="s">
        <v>32</v>
      </c>
      <c r="D849" s="881" t="s">
        <v>451</v>
      </c>
      <c r="E849" s="881" t="s">
        <v>115</v>
      </c>
      <c r="F849" s="883">
        <v>30000</v>
      </c>
      <c r="G849" s="55">
        <v>719</v>
      </c>
      <c r="H849" s="78">
        <v>30000</v>
      </c>
      <c r="I849" s="928">
        <f>+I847+1</f>
        <v>4</v>
      </c>
      <c r="J849" s="875">
        <v>43669</v>
      </c>
      <c r="K849" s="877" t="s">
        <v>267</v>
      </c>
      <c r="L849" s="881" t="s">
        <v>1824</v>
      </c>
      <c r="M849" s="881" t="s">
        <v>115</v>
      </c>
      <c r="N849" s="883">
        <v>108000</v>
      </c>
      <c r="O849" s="55">
        <v>719</v>
      </c>
      <c r="P849" s="78">
        <v>80000</v>
      </c>
    </row>
    <row r="850" spans="1:16" ht="13.5" customHeight="1" thickBot="1">
      <c r="A850" s="882"/>
      <c r="B850" s="876"/>
      <c r="C850" s="878"/>
      <c r="D850" s="882"/>
      <c r="E850" s="882"/>
      <c r="F850" s="884"/>
      <c r="G850" s="56">
        <v>721</v>
      </c>
      <c r="H850" s="79">
        <f>+F849-H849</f>
        <v>0</v>
      </c>
      <c r="I850" s="929"/>
      <c r="J850" s="876"/>
      <c r="K850" s="878"/>
      <c r="L850" s="882"/>
      <c r="M850" s="882"/>
      <c r="N850" s="884"/>
      <c r="O850" s="56">
        <v>721</v>
      </c>
      <c r="P850" s="79">
        <f>+N849-P849</f>
        <v>28000</v>
      </c>
    </row>
    <row r="851" spans="1:16" ht="13.5" customHeight="1">
      <c r="A851" s="251"/>
      <c r="B851" s="252"/>
      <c r="C851" s="253"/>
      <c r="D851" s="251"/>
      <c r="E851" s="251"/>
      <c r="F851" s="254"/>
      <c r="G851" s="255"/>
      <c r="H851" s="256"/>
      <c r="I851" s="928">
        <f>+I849+1</f>
        <v>5</v>
      </c>
      <c r="J851" s="875">
        <v>43669</v>
      </c>
      <c r="K851" s="877" t="s">
        <v>815</v>
      </c>
      <c r="L851" s="881" t="s">
        <v>1828</v>
      </c>
      <c r="M851" s="881" t="s">
        <v>148</v>
      </c>
      <c r="N851" s="883">
        <v>459000</v>
      </c>
      <c r="O851" s="55">
        <v>719</v>
      </c>
      <c r="P851" s="78">
        <f>+N851-P852</f>
        <v>340000</v>
      </c>
    </row>
    <row r="852" spans="1:16" ht="13.5" customHeight="1" thickBot="1">
      <c r="A852" s="251"/>
      <c r="B852" s="252"/>
      <c r="C852" s="253"/>
      <c r="D852" s="251"/>
      <c r="E852" s="251"/>
      <c r="F852" s="254"/>
      <c r="G852" s="255"/>
      <c r="H852" s="256"/>
      <c r="I852" s="929"/>
      <c r="J852" s="876"/>
      <c r="K852" s="878"/>
      <c r="L852" s="882"/>
      <c r="M852" s="882"/>
      <c r="N852" s="884"/>
      <c r="O852" s="56">
        <v>721</v>
      </c>
      <c r="P852" s="79">
        <v>119000</v>
      </c>
    </row>
    <row r="853" spans="1:16" ht="13.5" customHeight="1">
      <c r="A853" s="881" t="e">
        <f>+A849+1</f>
        <v>#REF!</v>
      </c>
      <c r="B853" s="875">
        <v>42317</v>
      </c>
      <c r="C853" s="881" t="s">
        <v>28</v>
      </c>
      <c r="D853" s="881" t="s">
        <v>452</v>
      </c>
      <c r="E853" s="881" t="s">
        <v>115</v>
      </c>
      <c r="F853" s="883">
        <v>30000</v>
      </c>
      <c r="G853" s="55">
        <v>719</v>
      </c>
      <c r="H853" s="78">
        <v>30000</v>
      </c>
      <c r="I853" s="928">
        <f>+I851+1</f>
        <v>6</v>
      </c>
      <c r="J853" s="875">
        <v>43669</v>
      </c>
      <c r="K853" s="877" t="s">
        <v>1315</v>
      </c>
      <c r="L853" s="881" t="s">
        <v>1829</v>
      </c>
      <c r="M853" s="881" t="s">
        <v>148</v>
      </c>
      <c r="N853" s="883">
        <v>1787750</v>
      </c>
      <c r="O853" s="55">
        <v>723</v>
      </c>
      <c r="P853" s="78">
        <v>1787750</v>
      </c>
    </row>
    <row r="854" spans="1:16" ht="14.25" customHeight="1" thickBot="1">
      <c r="A854" s="882"/>
      <c r="B854" s="876"/>
      <c r="C854" s="882"/>
      <c r="D854" s="882"/>
      <c r="E854" s="882"/>
      <c r="F854" s="884"/>
      <c r="G854" s="56">
        <v>721</v>
      </c>
      <c r="H854" s="79">
        <f>+F853-H853</f>
        <v>0</v>
      </c>
      <c r="I854" s="929"/>
      <c r="J854" s="876"/>
      <c r="K854" s="878"/>
      <c r="L854" s="882"/>
      <c r="M854" s="882"/>
      <c r="N854" s="884"/>
      <c r="O854" s="56">
        <v>721</v>
      </c>
      <c r="P854" s="79">
        <f>+N853-P853</f>
        <v>0</v>
      </c>
    </row>
    <row r="855" spans="1:16" ht="15" customHeight="1" thickBot="1">
      <c r="A855" s="881" t="e">
        <f>+A853+1</f>
        <v>#REF!</v>
      </c>
      <c r="B855" s="875">
        <v>42317</v>
      </c>
      <c r="C855" s="877" t="s">
        <v>272</v>
      </c>
      <c r="D855" s="881" t="s">
        <v>453</v>
      </c>
      <c r="E855" s="881" t="s">
        <v>115</v>
      </c>
      <c r="F855" s="883">
        <v>50000</v>
      </c>
      <c r="G855" s="55">
        <v>719</v>
      </c>
      <c r="H855" s="78">
        <v>50000</v>
      </c>
      <c r="I855" s="901" t="s">
        <v>102</v>
      </c>
      <c r="J855" s="902"/>
      <c r="K855" s="902"/>
      <c r="L855" s="902"/>
      <c r="M855" s="903"/>
      <c r="N855" s="81">
        <f>SUM(N843:N854)</f>
        <v>3794750</v>
      </c>
    </row>
    <row r="856" spans="1:16" ht="15.75" customHeight="1" thickBot="1">
      <c r="A856" s="882"/>
      <c r="B856" s="876"/>
      <c r="C856" s="878"/>
      <c r="D856" s="882"/>
      <c r="E856" s="882"/>
      <c r="F856" s="884"/>
      <c r="G856" s="56">
        <v>721</v>
      </c>
      <c r="H856" s="79">
        <f>+F855-H855</f>
        <v>0</v>
      </c>
      <c r="I856" s="885" t="s">
        <v>103</v>
      </c>
      <c r="J856" s="886"/>
      <c r="K856" s="886"/>
      <c r="L856" s="886"/>
      <c r="M856" s="887"/>
      <c r="N856" s="239">
        <f>+N818</f>
        <v>351180067</v>
      </c>
      <c r="O856" s="241" t="s">
        <v>561</v>
      </c>
      <c r="P856" s="242">
        <f>99+240+722+586+170</f>
        <v>1817</v>
      </c>
    </row>
    <row r="857" spans="1:16" ht="16.5" thickBot="1">
      <c r="A857" s="901" t="s">
        <v>102</v>
      </c>
      <c r="B857" s="902"/>
      <c r="C857" s="902"/>
      <c r="D857" s="902"/>
      <c r="E857" s="903"/>
      <c r="F857" s="81">
        <f>SUM(F845:F856)</f>
        <v>340000</v>
      </c>
      <c r="I857" s="888" t="s">
        <v>104</v>
      </c>
      <c r="J857" s="889"/>
      <c r="K857" s="889"/>
      <c r="L857" s="889"/>
      <c r="M857" s="890"/>
      <c r="N857" s="183">
        <f>SUM(N855:N856)</f>
        <v>354974817</v>
      </c>
    </row>
    <row r="858" spans="1:16" ht="9.75" customHeight="1" thickBot="1">
      <c r="A858" s="885" t="s">
        <v>103</v>
      </c>
      <c r="B858" s="886"/>
      <c r="C858" s="886"/>
      <c r="D858" s="886"/>
      <c r="E858" s="887"/>
      <c r="F858" s="69">
        <f>+F820</f>
        <v>652142930</v>
      </c>
      <c r="I858" s="61"/>
      <c r="J858" s="61"/>
      <c r="K858" s="61"/>
      <c r="L858" s="61"/>
      <c r="M858" s="61"/>
    </row>
    <row r="859" spans="1:16" ht="16.5" thickBot="1">
      <c r="A859" s="888" t="s">
        <v>104</v>
      </c>
      <c r="B859" s="889"/>
      <c r="C859" s="889"/>
      <c r="D859" s="889"/>
      <c r="E859" s="890"/>
      <c r="F859" s="183">
        <f>SUM(F857:F858)</f>
        <v>652482930</v>
      </c>
      <c r="I859" s="51" t="s">
        <v>1502</v>
      </c>
    </row>
    <row r="860" spans="1:16" ht="8.25" customHeight="1">
      <c r="A860" s="61"/>
      <c r="B860" s="61"/>
      <c r="C860" s="61"/>
      <c r="D860" s="61"/>
      <c r="E860" s="61"/>
      <c r="N860" s="139"/>
    </row>
    <row r="861" spans="1:16">
      <c r="A861" s="51" t="s">
        <v>454</v>
      </c>
      <c r="I861" s="50" t="s">
        <v>105</v>
      </c>
      <c r="L861" s="146"/>
      <c r="N861" s="139"/>
    </row>
    <row r="862" spans="1:16" ht="11.25" customHeight="1" thickBot="1">
      <c r="F862" s="139"/>
    </row>
    <row r="863" spans="1:16" ht="17.25" thickBot="1">
      <c r="A863" s="50" t="s">
        <v>105</v>
      </c>
      <c r="D863" s="146"/>
      <c r="F863" s="139"/>
      <c r="I863" s="891" t="s">
        <v>106</v>
      </c>
      <c r="J863" s="892"/>
      <c r="K863" s="892"/>
      <c r="L863" s="893"/>
      <c r="N863" s="605" t="s">
        <v>288</v>
      </c>
      <c r="O863" s="605"/>
      <c r="P863" s="605"/>
    </row>
    <row r="864" spans="1:16" ht="30.75" thickBot="1">
      <c r="I864" s="57" t="s">
        <v>100</v>
      </c>
      <c r="J864" s="58" t="s">
        <v>108</v>
      </c>
      <c r="K864" s="59" t="s">
        <v>109</v>
      </c>
      <c r="L864" s="60" t="s">
        <v>110</v>
      </c>
      <c r="N864" s="202"/>
      <c r="O864" s="202"/>
      <c r="P864" s="202"/>
    </row>
    <row r="865" spans="1:16" ht="15.75" customHeight="1" thickBot="1">
      <c r="A865" s="891" t="s">
        <v>106</v>
      </c>
      <c r="B865" s="892"/>
      <c r="C865" s="892"/>
      <c r="D865" s="893"/>
      <c r="F865" s="50" t="s">
        <v>288</v>
      </c>
      <c r="I865" s="71">
        <v>719</v>
      </c>
      <c r="J865" s="73">
        <f>+P843+P845+P847+P849+P851</f>
        <v>1860000</v>
      </c>
      <c r="K865" s="74">
        <f>+L826</f>
        <v>18670000</v>
      </c>
      <c r="L865" s="195">
        <f>+J865+K865</f>
        <v>20530000</v>
      </c>
      <c r="N865" s="918"/>
      <c r="O865" s="918"/>
      <c r="P865" s="918"/>
    </row>
    <row r="866" spans="1:16" ht="12.75" customHeight="1" thickBot="1">
      <c r="A866" s="57" t="s">
        <v>100</v>
      </c>
      <c r="B866" s="58" t="s">
        <v>108</v>
      </c>
      <c r="C866" s="59" t="s">
        <v>109</v>
      </c>
      <c r="D866" s="60" t="s">
        <v>110</v>
      </c>
      <c r="I866" s="72">
        <v>721</v>
      </c>
      <c r="J866" s="257">
        <f>+P850+P852</f>
        <v>147000</v>
      </c>
      <c r="K866" s="74">
        <f>+L827</f>
        <v>14094500</v>
      </c>
      <c r="L866" s="195">
        <f>+J866+K866</f>
        <v>14241500</v>
      </c>
      <c r="N866" s="918"/>
      <c r="O866" s="918"/>
      <c r="P866" s="918"/>
    </row>
    <row r="867" spans="1:16" ht="14.25" customHeight="1">
      <c r="A867" s="71">
        <v>719</v>
      </c>
      <c r="B867" s="73">
        <f>+H845+H847+H849+H853+H855</f>
        <v>340000</v>
      </c>
      <c r="C867" s="74" t="e">
        <f>+D828</f>
        <v>#REF!</v>
      </c>
      <c r="D867" s="195" t="e">
        <f>+B867+C867</f>
        <v>#REF!</v>
      </c>
      <c r="I867" s="72">
        <v>722</v>
      </c>
      <c r="J867" s="257"/>
      <c r="K867" s="74">
        <f>+L828</f>
        <v>14081628</v>
      </c>
      <c r="L867" s="195">
        <f>+J867+K867</f>
        <v>14081628</v>
      </c>
      <c r="N867" s="918" t="s">
        <v>1696</v>
      </c>
      <c r="O867" s="918"/>
      <c r="P867" s="918"/>
    </row>
    <row r="868" spans="1:16" ht="13.5" customHeight="1" thickBot="1">
      <c r="A868" s="72">
        <v>721</v>
      </c>
      <c r="B868" s="80">
        <f>+H846</f>
        <v>0</v>
      </c>
      <c r="C868" s="74" t="e">
        <f>+D829</f>
        <v>#REF!</v>
      </c>
      <c r="D868" s="195" t="e">
        <f>+B868+C868</f>
        <v>#REF!</v>
      </c>
      <c r="I868" s="72">
        <v>723</v>
      </c>
      <c r="J868" s="257">
        <f>+P853</f>
        <v>1787750</v>
      </c>
      <c r="K868" s="74">
        <f>+L829</f>
        <v>304632819</v>
      </c>
      <c r="L868" s="195">
        <f>+J868+K868</f>
        <v>306420569</v>
      </c>
      <c r="N868" s="930"/>
      <c r="O868" s="930"/>
      <c r="P868" s="930"/>
    </row>
    <row r="869" spans="1:16" ht="15" hidden="1" customHeight="1">
      <c r="A869" s="72">
        <v>722</v>
      </c>
      <c r="B869" s="80"/>
      <c r="C869" s="74">
        <f>+D830</f>
        <v>231207671</v>
      </c>
      <c r="D869" s="195">
        <f>+B869+C869</f>
        <v>231207671</v>
      </c>
      <c r="I869" s="164" t="s">
        <v>181</v>
      </c>
      <c r="J869" s="165"/>
      <c r="K869" s="74">
        <f>+L830</f>
        <v>-298880</v>
      </c>
      <c r="L869" s="196">
        <f>+J869+K869</f>
        <v>-298880</v>
      </c>
      <c r="N869" s="52"/>
    </row>
    <row r="870" spans="1:16" ht="16.5" thickBot="1">
      <c r="A870" s="72">
        <v>723</v>
      </c>
      <c r="B870" s="80">
        <f>+H848</f>
        <v>0</v>
      </c>
      <c r="C870" s="74" t="e">
        <f>+D831</f>
        <v>#REF!</v>
      </c>
      <c r="D870" s="195" t="e">
        <f>+B870+C870</f>
        <v>#REF!</v>
      </c>
      <c r="F870" s="174" t="s">
        <v>23</v>
      </c>
      <c r="G870" s="175"/>
      <c r="I870" s="169"/>
      <c r="J870" s="197">
        <f>SUM(J865:J869)</f>
        <v>3794750</v>
      </c>
      <c r="K870" s="197">
        <f>SUM(K865:K869)</f>
        <v>351180067</v>
      </c>
      <c r="L870" s="198">
        <f>SUM(L865:L869)</f>
        <v>354974817</v>
      </c>
    </row>
    <row r="871" spans="1:16" ht="17.25" thickBot="1">
      <c r="A871" s="164" t="s">
        <v>181</v>
      </c>
      <c r="B871" s="165"/>
      <c r="C871" s="74" t="e">
        <f>+D832</f>
        <v>#REF!</v>
      </c>
      <c r="D871" s="196" t="e">
        <f>+B871+C871</f>
        <v>#REF!</v>
      </c>
      <c r="F871" s="52"/>
      <c r="I871" s="49" t="s">
        <v>88</v>
      </c>
      <c r="J871" s="50"/>
    </row>
    <row r="872" spans="1:16" ht="14.25" customHeight="1" thickBot="1">
      <c r="A872" s="169"/>
      <c r="B872" s="170">
        <f>SUM(B867:B871)</f>
        <v>340000</v>
      </c>
      <c r="C872" s="171" t="e">
        <f>SUM(C867:C871)</f>
        <v>#REF!</v>
      </c>
      <c r="D872" s="172" t="e">
        <f>SUM(D867:D871)</f>
        <v>#REF!</v>
      </c>
      <c r="I872" s="51" t="s">
        <v>89</v>
      </c>
    </row>
    <row r="873" spans="1:16" ht="14.25" customHeight="1">
      <c r="A873" s="49" t="s">
        <v>88</v>
      </c>
      <c r="B873" s="50"/>
      <c r="I873" s="51" t="s">
        <v>90</v>
      </c>
    </row>
    <row r="874" spans="1:16">
      <c r="A874" s="51" t="s">
        <v>89</v>
      </c>
      <c r="I874" s="51" t="s">
        <v>91</v>
      </c>
    </row>
    <row r="875" spans="1:16" ht="6" customHeight="1">
      <c r="A875" s="51" t="s">
        <v>90</v>
      </c>
      <c r="I875" s="50"/>
      <c r="J875" s="50"/>
    </row>
    <row r="876" spans="1:16" ht="16.5">
      <c r="A876" s="51" t="s">
        <v>91</v>
      </c>
      <c r="I876" s="260" t="s">
        <v>795</v>
      </c>
      <c r="O876" s="52"/>
    </row>
    <row r="877" spans="1:16" ht="15" customHeight="1">
      <c r="A877" s="50"/>
      <c r="B877" s="50"/>
      <c r="I877" s="261" t="s">
        <v>1702</v>
      </c>
      <c r="O877" s="53"/>
    </row>
    <row r="878" spans="1:16" ht="15" customHeight="1">
      <c r="A878" s="52" t="s">
        <v>455</v>
      </c>
      <c r="G878" s="52"/>
      <c r="I878" s="894" t="s">
        <v>1278</v>
      </c>
      <c r="J878" s="894"/>
      <c r="K878" s="894"/>
      <c r="L878" s="894"/>
      <c r="M878" s="894"/>
      <c r="N878" s="894"/>
      <c r="O878" s="894"/>
      <c r="P878" s="894"/>
    </row>
    <row r="879" spans="1:16" ht="14.25" customHeight="1" thickBot="1">
      <c r="A879" s="53" t="s">
        <v>92</v>
      </c>
      <c r="G879" s="53"/>
    </row>
    <row r="880" spans="1:16" ht="16.5">
      <c r="A880" s="894" t="s">
        <v>93</v>
      </c>
      <c r="B880" s="894"/>
      <c r="C880" s="894"/>
      <c r="D880" s="894"/>
      <c r="E880" s="894"/>
      <c r="F880" s="894"/>
      <c r="G880" s="894"/>
      <c r="H880" s="894"/>
      <c r="I880" s="895" t="s">
        <v>94</v>
      </c>
      <c r="J880" s="897" t="s">
        <v>95</v>
      </c>
      <c r="K880" s="897" t="s">
        <v>96</v>
      </c>
      <c r="L880" s="897" t="s">
        <v>3</v>
      </c>
      <c r="M880" s="897" t="s">
        <v>97</v>
      </c>
      <c r="N880" s="897" t="s">
        <v>98</v>
      </c>
      <c r="O880" s="897" t="s">
        <v>99</v>
      </c>
      <c r="P880" s="899"/>
    </row>
    <row r="881" spans="1:16" ht="15.75" thickBot="1">
      <c r="I881" s="896"/>
      <c r="J881" s="898"/>
      <c r="K881" s="898"/>
      <c r="L881" s="898"/>
      <c r="M881" s="898"/>
      <c r="N881" s="898"/>
      <c r="O881" s="240" t="s">
        <v>100</v>
      </c>
      <c r="P881" s="182" t="s">
        <v>101</v>
      </c>
    </row>
    <row r="882" spans="1:16" ht="15" customHeight="1">
      <c r="A882" s="895" t="s">
        <v>94</v>
      </c>
      <c r="B882" s="897" t="s">
        <v>95</v>
      </c>
      <c r="C882" s="897" t="s">
        <v>96</v>
      </c>
      <c r="D882" s="897" t="s">
        <v>3</v>
      </c>
      <c r="E882" s="897" t="s">
        <v>97</v>
      </c>
      <c r="F882" s="897" t="s">
        <v>98</v>
      </c>
      <c r="G882" s="897" t="s">
        <v>99</v>
      </c>
      <c r="H882" s="899"/>
      <c r="I882" s="928">
        <f>+I853+1</f>
        <v>7</v>
      </c>
      <c r="J882" s="875">
        <v>43711</v>
      </c>
      <c r="K882" s="877" t="s">
        <v>1315</v>
      </c>
      <c r="L882" s="881" t="s">
        <v>1830</v>
      </c>
      <c r="M882" s="881" t="s">
        <v>148</v>
      </c>
      <c r="N882" s="883">
        <v>1884800</v>
      </c>
      <c r="O882" s="55">
        <v>719</v>
      </c>
      <c r="P882" s="78"/>
    </row>
    <row r="883" spans="1:16" ht="15.75" customHeight="1" thickBot="1">
      <c r="A883" s="896"/>
      <c r="B883" s="898"/>
      <c r="C883" s="898"/>
      <c r="D883" s="898"/>
      <c r="E883" s="898"/>
      <c r="F883" s="898"/>
      <c r="G883" s="240" t="s">
        <v>100</v>
      </c>
      <c r="H883" s="182" t="s">
        <v>101</v>
      </c>
      <c r="I883" s="929"/>
      <c r="J883" s="876"/>
      <c r="K883" s="878"/>
      <c r="L883" s="882"/>
      <c r="M883" s="882"/>
      <c r="N883" s="884"/>
      <c r="O883" s="56">
        <v>723</v>
      </c>
      <c r="P883" s="79">
        <f>+N882-P882</f>
        <v>1884800</v>
      </c>
    </row>
    <row r="884" spans="1:16" ht="15" customHeight="1">
      <c r="A884" s="881" t="e">
        <f>+A855+1</f>
        <v>#REF!</v>
      </c>
      <c r="B884" s="875">
        <v>42320</v>
      </c>
      <c r="C884" s="877" t="s">
        <v>272</v>
      </c>
      <c r="D884" s="881" t="s">
        <v>456</v>
      </c>
      <c r="E884" s="881" t="s">
        <v>115</v>
      </c>
      <c r="F884" s="883">
        <v>60000</v>
      </c>
      <c r="G884" s="55">
        <v>719</v>
      </c>
      <c r="H884" s="78">
        <v>60000</v>
      </c>
      <c r="I884" s="928">
        <f>+I882+1</f>
        <v>8</v>
      </c>
      <c r="J884" s="875">
        <v>43005</v>
      </c>
      <c r="K884" s="877" t="s">
        <v>350</v>
      </c>
      <c r="L884" s="881" t="s">
        <v>1832</v>
      </c>
      <c r="M884" s="881" t="s">
        <v>115</v>
      </c>
      <c r="N884" s="883">
        <v>783000</v>
      </c>
      <c r="O884" s="55">
        <v>719</v>
      </c>
      <c r="P884" s="78">
        <v>580000</v>
      </c>
    </row>
    <row r="885" spans="1:16" ht="15.75" customHeight="1" thickBot="1">
      <c r="A885" s="882"/>
      <c r="B885" s="876"/>
      <c r="C885" s="878"/>
      <c r="D885" s="882"/>
      <c r="E885" s="882"/>
      <c r="F885" s="884"/>
      <c r="G885" s="56">
        <v>721</v>
      </c>
      <c r="H885" s="79">
        <f>+F884-H884</f>
        <v>0</v>
      </c>
      <c r="I885" s="929"/>
      <c r="J885" s="876"/>
      <c r="K885" s="878"/>
      <c r="L885" s="882"/>
      <c r="M885" s="882"/>
      <c r="N885" s="884"/>
      <c r="O885" s="56">
        <v>721</v>
      </c>
      <c r="P885" s="79">
        <f>+N884-P884</f>
        <v>203000</v>
      </c>
    </row>
    <row r="886" spans="1:16" ht="15" customHeight="1">
      <c r="A886" s="881" t="e">
        <f>+A884+1</f>
        <v>#REF!</v>
      </c>
      <c r="B886" s="875">
        <v>42320</v>
      </c>
      <c r="C886" s="881" t="s">
        <v>28</v>
      </c>
      <c r="D886" s="881" t="s">
        <v>456</v>
      </c>
      <c r="E886" s="881" t="s">
        <v>115</v>
      </c>
      <c r="F886" s="883">
        <v>30000</v>
      </c>
      <c r="G886" s="55">
        <v>719</v>
      </c>
      <c r="H886" s="78">
        <v>30000</v>
      </c>
      <c r="I886" s="928">
        <f>+I884+1</f>
        <v>9</v>
      </c>
      <c r="J886" s="875">
        <v>43005</v>
      </c>
      <c r="K886" s="877" t="s">
        <v>267</v>
      </c>
      <c r="L886" s="881" t="s">
        <v>1831</v>
      </c>
      <c r="M886" s="881" t="s">
        <v>115</v>
      </c>
      <c r="N886" s="883">
        <v>54000</v>
      </c>
      <c r="O886" s="55">
        <v>719</v>
      </c>
      <c r="P886" s="78">
        <v>40000</v>
      </c>
    </row>
    <row r="887" spans="1:16" ht="15.75" customHeight="1" thickBot="1">
      <c r="A887" s="882"/>
      <c r="B887" s="876"/>
      <c r="C887" s="882"/>
      <c r="D887" s="882"/>
      <c r="E887" s="882"/>
      <c r="F887" s="884"/>
      <c r="G887" s="56">
        <v>721</v>
      </c>
      <c r="H887" s="79">
        <f>+F886-H886</f>
        <v>0</v>
      </c>
      <c r="I887" s="929"/>
      <c r="J887" s="876"/>
      <c r="K887" s="878"/>
      <c r="L887" s="882"/>
      <c r="M887" s="882"/>
      <c r="N887" s="884"/>
      <c r="O887" s="56">
        <v>721</v>
      </c>
      <c r="P887" s="79">
        <f>+N886-P886</f>
        <v>14000</v>
      </c>
    </row>
    <row r="888" spans="1:16" ht="15" customHeight="1">
      <c r="A888" s="881" t="e">
        <f>+A886+1</f>
        <v>#REF!</v>
      </c>
      <c r="B888" s="875">
        <v>42320</v>
      </c>
      <c r="C888" s="877" t="s">
        <v>32</v>
      </c>
      <c r="D888" s="881" t="s">
        <v>457</v>
      </c>
      <c r="E888" s="881" t="s">
        <v>115</v>
      </c>
      <c r="F888" s="883">
        <v>20000</v>
      </c>
      <c r="G888" s="55">
        <v>719</v>
      </c>
      <c r="H888" s="78">
        <v>20000</v>
      </c>
      <c r="I888" s="928"/>
      <c r="J888" s="875"/>
      <c r="K888" s="877"/>
      <c r="L888" s="881"/>
      <c r="M888" s="881"/>
      <c r="N888" s="883"/>
      <c r="O888" s="55">
        <v>719</v>
      </c>
      <c r="P888" s="78"/>
    </row>
    <row r="889" spans="1:16" ht="13.5" customHeight="1" thickBot="1">
      <c r="A889" s="882"/>
      <c r="B889" s="876"/>
      <c r="C889" s="878"/>
      <c r="D889" s="882"/>
      <c r="E889" s="882"/>
      <c r="F889" s="884"/>
      <c r="G889" s="56">
        <v>721</v>
      </c>
      <c r="H889" s="79">
        <f>+F888-H888</f>
        <v>0</v>
      </c>
      <c r="I889" s="929"/>
      <c r="J889" s="876"/>
      <c r="K889" s="878"/>
      <c r="L889" s="882"/>
      <c r="M889" s="882"/>
      <c r="N889" s="884"/>
      <c r="O889" s="56">
        <v>721</v>
      </c>
      <c r="P889" s="79">
        <f>+N888-P888</f>
        <v>0</v>
      </c>
    </row>
    <row r="890" spans="1:16" ht="12" customHeight="1">
      <c r="A890" s="881"/>
      <c r="B890" s="875"/>
      <c r="C890" s="881"/>
      <c r="D890" s="881"/>
      <c r="E890" s="881"/>
      <c r="F890" s="883"/>
      <c r="G890" s="55">
        <v>719</v>
      </c>
      <c r="H890" s="78"/>
      <c r="I890" s="928"/>
      <c r="J890" s="875"/>
      <c r="K890" s="877"/>
      <c r="L890" s="881"/>
      <c r="M890" s="881"/>
      <c r="N890" s="883"/>
      <c r="O890" s="55">
        <v>719</v>
      </c>
      <c r="P890" s="78"/>
    </row>
    <row r="891" spans="1:16" ht="12" customHeight="1" thickBot="1">
      <c r="A891" s="882"/>
      <c r="B891" s="876"/>
      <c r="C891" s="882"/>
      <c r="D891" s="882"/>
      <c r="E891" s="882"/>
      <c r="F891" s="884"/>
      <c r="G891" s="56">
        <v>721</v>
      </c>
      <c r="H891" s="79">
        <f>+F890-H890</f>
        <v>0</v>
      </c>
      <c r="I891" s="929"/>
      <c r="J891" s="876"/>
      <c r="K891" s="878"/>
      <c r="L891" s="882"/>
      <c r="M891" s="882"/>
      <c r="N891" s="884"/>
      <c r="O891" s="56">
        <v>721</v>
      </c>
      <c r="P891" s="79">
        <f>+N890-P890</f>
        <v>0</v>
      </c>
    </row>
    <row r="892" spans="1:16" ht="16.5" thickBot="1">
      <c r="A892" s="881"/>
      <c r="B892" s="875"/>
      <c r="C892" s="877"/>
      <c r="D892" s="881"/>
      <c r="E892" s="881"/>
      <c r="F892" s="883"/>
      <c r="G892" s="55">
        <v>719</v>
      </c>
      <c r="H892" s="78"/>
      <c r="I892" s="901" t="s">
        <v>102</v>
      </c>
      <c r="J892" s="902"/>
      <c r="K892" s="902"/>
      <c r="L892" s="902"/>
      <c r="M892" s="903"/>
      <c r="N892" s="81">
        <f>SUM(N882:N891)</f>
        <v>2721800</v>
      </c>
    </row>
    <row r="893" spans="1:16" ht="16.5" thickBot="1">
      <c r="A893" s="882"/>
      <c r="B893" s="876"/>
      <c r="C893" s="878"/>
      <c r="D893" s="882"/>
      <c r="E893" s="882"/>
      <c r="F893" s="884"/>
      <c r="G893" s="56">
        <v>721</v>
      </c>
      <c r="H893" s="79">
        <f>+F892-H892</f>
        <v>0</v>
      </c>
      <c r="I893" s="885" t="s">
        <v>103</v>
      </c>
      <c r="J893" s="886"/>
      <c r="K893" s="886"/>
      <c r="L893" s="886"/>
      <c r="M893" s="887"/>
      <c r="N893" s="239">
        <f>+N857</f>
        <v>354974817</v>
      </c>
      <c r="O893" s="241" t="s">
        <v>561</v>
      </c>
      <c r="P893" s="242">
        <f>1327+136</f>
        <v>1463</v>
      </c>
    </row>
    <row r="894" spans="1:16" ht="15" customHeight="1" thickBot="1">
      <c r="A894" s="901" t="s">
        <v>102</v>
      </c>
      <c r="B894" s="902"/>
      <c r="C894" s="902"/>
      <c r="D894" s="902"/>
      <c r="E894" s="903"/>
      <c r="F894" s="81">
        <f>SUM(F884:F893)</f>
        <v>110000</v>
      </c>
      <c r="I894" s="888" t="s">
        <v>104</v>
      </c>
      <c r="J894" s="889"/>
      <c r="K894" s="889"/>
      <c r="L894" s="889"/>
      <c r="M894" s="890"/>
      <c r="N894" s="183">
        <f>SUM(N892:N893)</f>
        <v>357696617</v>
      </c>
    </row>
    <row r="895" spans="1:16" ht="13.5" customHeight="1" thickBot="1">
      <c r="A895" s="885" t="s">
        <v>103</v>
      </c>
      <c r="B895" s="886"/>
      <c r="C895" s="886"/>
      <c r="D895" s="886"/>
      <c r="E895" s="887"/>
      <c r="F895" s="69">
        <f>+F859</f>
        <v>652482930</v>
      </c>
      <c r="I895" s="61"/>
      <c r="J895" s="61"/>
      <c r="K895" s="61"/>
      <c r="L895" s="61"/>
      <c r="M895" s="61"/>
    </row>
    <row r="896" spans="1:16" ht="16.5" thickBot="1">
      <c r="A896" s="888" t="s">
        <v>104</v>
      </c>
      <c r="B896" s="889"/>
      <c r="C896" s="889"/>
      <c r="D896" s="889"/>
      <c r="E896" s="890"/>
      <c r="F896" s="183">
        <f>SUM(F894:F895)</f>
        <v>652592930</v>
      </c>
      <c r="I896" s="51" t="s">
        <v>1833</v>
      </c>
    </row>
    <row r="897" spans="1:16" ht="6.75" customHeight="1">
      <c r="A897" s="61"/>
      <c r="B897" s="61"/>
      <c r="C897" s="61"/>
      <c r="D897" s="61"/>
      <c r="E897" s="61"/>
      <c r="N897" s="139"/>
    </row>
    <row r="898" spans="1:16">
      <c r="A898" s="51" t="s">
        <v>458</v>
      </c>
      <c r="I898" s="50" t="s">
        <v>105</v>
      </c>
      <c r="L898" s="146"/>
      <c r="N898" s="139"/>
    </row>
    <row r="899" spans="1:16" ht="8.25" customHeight="1" thickBot="1">
      <c r="F899" s="139"/>
    </row>
    <row r="900" spans="1:16" ht="15.75" thickBot="1">
      <c r="A900" s="50" t="s">
        <v>105</v>
      </c>
      <c r="D900" s="146"/>
      <c r="F900" s="139"/>
      <c r="I900" s="891" t="s">
        <v>106</v>
      </c>
      <c r="J900" s="892"/>
      <c r="K900" s="892"/>
      <c r="L900" s="893"/>
      <c r="N900" s="925" t="s">
        <v>288</v>
      </c>
      <c r="O900" s="925"/>
      <c r="P900" s="925"/>
    </row>
    <row r="901" spans="1:16" ht="28.5" customHeight="1" thickBot="1">
      <c r="I901" s="57" t="s">
        <v>100</v>
      </c>
      <c r="J901" s="58" t="s">
        <v>108</v>
      </c>
      <c r="K901" s="59" t="s">
        <v>109</v>
      </c>
      <c r="L901" s="60" t="s">
        <v>110</v>
      </c>
    </row>
    <row r="902" spans="1:16" ht="14.25" customHeight="1" thickBot="1">
      <c r="A902" s="891" t="s">
        <v>106</v>
      </c>
      <c r="B902" s="892"/>
      <c r="C902" s="892"/>
      <c r="D902" s="893"/>
      <c r="F902" s="50" t="s">
        <v>288</v>
      </c>
      <c r="I902" s="71">
        <v>719</v>
      </c>
      <c r="J902" s="73">
        <f>+P882+P884+P886+P888+P890</f>
        <v>620000</v>
      </c>
      <c r="K902" s="74">
        <f>+L865</f>
        <v>20530000</v>
      </c>
      <c r="L902" s="195">
        <f>+J902+K902</f>
        <v>21150000</v>
      </c>
    </row>
    <row r="903" spans="1:16" ht="16.5" customHeight="1" thickBot="1">
      <c r="A903" s="57" t="s">
        <v>100</v>
      </c>
      <c r="B903" s="58" t="s">
        <v>108</v>
      </c>
      <c r="C903" s="59" t="s">
        <v>109</v>
      </c>
      <c r="D903" s="60" t="s">
        <v>110</v>
      </c>
      <c r="I903" s="72">
        <v>721</v>
      </c>
      <c r="J903" s="257">
        <f>+P885+P887</f>
        <v>217000</v>
      </c>
      <c r="K903" s="74">
        <f>+L866</f>
        <v>14241500</v>
      </c>
      <c r="L903" s="195">
        <f>+J903+K903</f>
        <v>14458500</v>
      </c>
    </row>
    <row r="904" spans="1:16" ht="13.5" customHeight="1">
      <c r="A904" s="71">
        <v>719</v>
      </c>
      <c r="B904" s="73">
        <f>+H884+H886+H888+H890+H892</f>
        <v>110000</v>
      </c>
      <c r="C904" s="74" t="e">
        <f>+D867</f>
        <v>#REF!</v>
      </c>
      <c r="D904" s="195" t="e">
        <f>+B904+C904</f>
        <v>#REF!</v>
      </c>
      <c r="I904" s="72">
        <v>722</v>
      </c>
      <c r="J904" s="257"/>
      <c r="K904" s="74">
        <f>+L867</f>
        <v>14081628</v>
      </c>
      <c r="L904" s="195">
        <f>+J904+K904</f>
        <v>14081628</v>
      </c>
    </row>
    <row r="905" spans="1:16" ht="15.75">
      <c r="A905" s="72">
        <v>721</v>
      </c>
      <c r="B905" s="80">
        <f>+H885</f>
        <v>0</v>
      </c>
      <c r="C905" s="74" t="e">
        <f>+D868</f>
        <v>#REF!</v>
      </c>
      <c r="D905" s="195" t="e">
        <f>+B905+C905</f>
        <v>#REF!</v>
      </c>
      <c r="I905" s="72">
        <v>723</v>
      </c>
      <c r="J905" s="257">
        <f>+P883</f>
        <v>1884800</v>
      </c>
      <c r="K905" s="74">
        <f>+L868</f>
        <v>306420569</v>
      </c>
      <c r="L905" s="195">
        <f>+J905+K905</f>
        <v>308305369</v>
      </c>
      <c r="N905" s="918" t="s">
        <v>1696</v>
      </c>
      <c r="O905" s="918"/>
      <c r="P905" s="918"/>
    </row>
    <row r="906" spans="1:16" ht="14.25" customHeight="1" thickBot="1">
      <c r="A906" s="72">
        <v>722</v>
      </c>
      <c r="B906" s="80"/>
      <c r="C906" s="74">
        <f>+D869</f>
        <v>231207671</v>
      </c>
      <c r="D906" s="195">
        <f>+B906+C906</f>
        <v>231207671</v>
      </c>
      <c r="I906" s="164" t="s">
        <v>181</v>
      </c>
      <c r="J906" s="165"/>
      <c r="K906" s="74">
        <f>+L869</f>
        <v>-298880</v>
      </c>
      <c r="L906" s="196">
        <f>+J906+K906</f>
        <v>-298880</v>
      </c>
      <c r="N906" s="52"/>
    </row>
    <row r="907" spans="1:16" ht="16.5" thickBot="1">
      <c r="A907" s="72">
        <v>723</v>
      </c>
      <c r="B907" s="80">
        <f>+H887</f>
        <v>0</v>
      </c>
      <c r="C907" s="74" t="e">
        <f>+D870</f>
        <v>#REF!</v>
      </c>
      <c r="D907" s="195" t="e">
        <f>+B907+C907</f>
        <v>#REF!</v>
      </c>
      <c r="F907" s="174" t="s">
        <v>23</v>
      </c>
      <c r="G907" s="175"/>
      <c r="I907" s="169"/>
      <c r="J907" s="197">
        <f>SUM(J902:J906)</f>
        <v>2721800</v>
      </c>
      <c r="K907" s="197">
        <f>SUM(K902:K906)</f>
        <v>354974817</v>
      </c>
      <c r="L907" s="198">
        <f>SUM(L902:L906)</f>
        <v>357696617</v>
      </c>
    </row>
    <row r="908" spans="1:16" ht="17.25" thickBot="1">
      <c r="A908" s="164" t="s">
        <v>181</v>
      </c>
      <c r="B908" s="165"/>
      <c r="C908" s="74" t="e">
        <f>+D871</f>
        <v>#REF!</v>
      </c>
      <c r="D908" s="196" t="e">
        <f>+B908+C908</f>
        <v>#REF!</v>
      </c>
      <c r="F908" s="52"/>
      <c r="I908" s="49" t="s">
        <v>88</v>
      </c>
      <c r="J908" s="50"/>
    </row>
    <row r="909" spans="1:16" ht="15" customHeight="1" thickBot="1">
      <c r="A909" s="169"/>
      <c r="B909" s="170">
        <f>SUM(B904:B908)</f>
        <v>110000</v>
      </c>
      <c r="C909" s="171" t="e">
        <f>SUM(C904:C908)</f>
        <v>#REF!</v>
      </c>
      <c r="D909" s="172" t="e">
        <f>SUM(D904:D908)</f>
        <v>#REF!</v>
      </c>
      <c r="I909" s="51" t="s">
        <v>89</v>
      </c>
    </row>
    <row r="910" spans="1:16" ht="15" customHeight="1">
      <c r="A910" s="49" t="s">
        <v>88</v>
      </c>
      <c r="B910" s="50"/>
      <c r="I910" s="51" t="s">
        <v>90</v>
      </c>
    </row>
    <row r="911" spans="1:16" ht="12.75" customHeight="1">
      <c r="A911" s="51" t="s">
        <v>89</v>
      </c>
      <c r="I911" s="51" t="s">
        <v>91</v>
      </c>
    </row>
    <row r="912" spans="1:16" ht="12.75" customHeight="1">
      <c r="A912" s="51" t="s">
        <v>90</v>
      </c>
      <c r="I912" s="50"/>
      <c r="J912" s="50"/>
    </row>
    <row r="913" spans="1:16" ht="16.5">
      <c r="A913" s="51" t="s">
        <v>91</v>
      </c>
      <c r="I913" s="52" t="s">
        <v>813</v>
      </c>
      <c r="O913" s="52"/>
    </row>
    <row r="914" spans="1:16" ht="13.5" customHeight="1">
      <c r="A914" s="50"/>
      <c r="B914" s="50"/>
      <c r="I914" s="53" t="s">
        <v>1702</v>
      </c>
      <c r="O914" s="53"/>
    </row>
    <row r="915" spans="1:16" ht="16.5">
      <c r="A915" s="52" t="s">
        <v>460</v>
      </c>
      <c r="G915" s="52"/>
      <c r="I915" s="894" t="s">
        <v>261</v>
      </c>
      <c r="J915" s="894"/>
      <c r="K915" s="894"/>
      <c r="L915" s="894"/>
      <c r="M915" s="894"/>
      <c r="N915" s="894"/>
      <c r="O915" s="894"/>
      <c r="P915" s="894"/>
    </row>
    <row r="916" spans="1:16" ht="13.5" customHeight="1" thickBot="1">
      <c r="A916" s="53" t="s">
        <v>92</v>
      </c>
      <c r="G916" s="53"/>
    </row>
    <row r="917" spans="1:16" ht="16.5">
      <c r="A917" s="894" t="s">
        <v>462</v>
      </c>
      <c r="B917" s="894"/>
      <c r="C917" s="894"/>
      <c r="D917" s="894"/>
      <c r="E917" s="894"/>
      <c r="F917" s="894"/>
      <c r="G917" s="894"/>
      <c r="H917" s="894"/>
      <c r="I917" s="895" t="s">
        <v>94</v>
      </c>
      <c r="J917" s="897" t="s">
        <v>95</v>
      </c>
      <c r="K917" s="897" t="s">
        <v>96</v>
      </c>
      <c r="L917" s="897" t="s">
        <v>3</v>
      </c>
      <c r="M917" s="897" t="s">
        <v>97</v>
      </c>
      <c r="N917" s="897" t="s">
        <v>98</v>
      </c>
      <c r="O917" s="897" t="s">
        <v>99</v>
      </c>
      <c r="P917" s="899"/>
    </row>
    <row r="918" spans="1:16" ht="15.75" thickBot="1">
      <c r="I918" s="896"/>
      <c r="J918" s="898"/>
      <c r="K918" s="898"/>
      <c r="L918" s="898"/>
      <c r="M918" s="898"/>
      <c r="N918" s="898"/>
      <c r="O918" s="240" t="s">
        <v>100</v>
      </c>
      <c r="P918" s="182" t="s">
        <v>101</v>
      </c>
    </row>
    <row r="919" spans="1:16" ht="12.75" customHeight="1">
      <c r="A919" s="895" t="s">
        <v>94</v>
      </c>
      <c r="B919" s="897" t="s">
        <v>95</v>
      </c>
      <c r="C919" s="897" t="s">
        <v>96</v>
      </c>
      <c r="D919" s="897" t="s">
        <v>3</v>
      </c>
      <c r="E919" s="897" t="s">
        <v>97</v>
      </c>
      <c r="F919" s="897" t="s">
        <v>98</v>
      </c>
      <c r="G919" s="897" t="s">
        <v>99</v>
      </c>
      <c r="H919" s="899"/>
      <c r="I919" s="873" t="s">
        <v>770</v>
      </c>
      <c r="J919" s="875">
        <v>43713</v>
      </c>
      <c r="K919" s="877" t="s">
        <v>120</v>
      </c>
      <c r="L919" s="881" t="s">
        <v>1834</v>
      </c>
      <c r="M919" s="881" t="s">
        <v>115</v>
      </c>
      <c r="N919" s="883">
        <v>1215000</v>
      </c>
      <c r="O919" s="55">
        <v>719</v>
      </c>
      <c r="P919" s="78">
        <v>900000</v>
      </c>
    </row>
    <row r="920" spans="1:16" ht="13.5" customHeight="1" thickBot="1">
      <c r="A920" s="896"/>
      <c r="B920" s="898"/>
      <c r="C920" s="898"/>
      <c r="D920" s="898"/>
      <c r="E920" s="898"/>
      <c r="F920" s="898"/>
      <c r="G920" s="240" t="s">
        <v>100</v>
      </c>
      <c r="H920" s="182" t="s">
        <v>101</v>
      </c>
      <c r="I920" s="882"/>
      <c r="J920" s="876"/>
      <c r="K920" s="878"/>
      <c r="L920" s="882"/>
      <c r="M920" s="882"/>
      <c r="N920" s="884"/>
      <c r="O920" s="56">
        <v>721</v>
      </c>
      <c r="P920" s="79">
        <f>+N919-P919</f>
        <v>315000</v>
      </c>
    </row>
    <row r="921" spans="1:16" ht="12" customHeight="1">
      <c r="A921" s="881" t="e">
        <f>+A888+1</f>
        <v>#REF!</v>
      </c>
      <c r="B921" s="875">
        <v>42328</v>
      </c>
      <c r="C921" s="877" t="s">
        <v>469</v>
      </c>
      <c r="D921" s="881" t="s">
        <v>459</v>
      </c>
      <c r="E921" s="881" t="s">
        <v>148</v>
      </c>
      <c r="F921" s="883">
        <v>1764708</v>
      </c>
      <c r="G921" s="55">
        <v>723</v>
      </c>
      <c r="H921" s="78">
        <f>+F921</f>
        <v>1764708</v>
      </c>
      <c r="I921" s="881">
        <f>+I919+1</f>
        <v>101</v>
      </c>
      <c r="J921" s="875">
        <v>43713</v>
      </c>
      <c r="K921" s="881" t="s">
        <v>1315</v>
      </c>
      <c r="L921" s="881" t="s">
        <v>1835</v>
      </c>
      <c r="M921" s="881" t="s">
        <v>148</v>
      </c>
      <c r="N921" s="883">
        <v>1180850</v>
      </c>
      <c r="O921" s="55">
        <v>723</v>
      </c>
      <c r="P921" s="78">
        <v>1180850</v>
      </c>
    </row>
    <row r="922" spans="1:16" ht="13.5" customHeight="1" thickBot="1">
      <c r="A922" s="882"/>
      <c r="B922" s="876"/>
      <c r="C922" s="878"/>
      <c r="D922" s="882"/>
      <c r="E922" s="882"/>
      <c r="F922" s="884"/>
      <c r="G922" s="56">
        <v>721</v>
      </c>
      <c r="H922" s="79">
        <f>+F921-H921</f>
        <v>0</v>
      </c>
      <c r="I922" s="882"/>
      <c r="J922" s="876"/>
      <c r="K922" s="882"/>
      <c r="L922" s="882"/>
      <c r="M922" s="882"/>
      <c r="N922" s="884"/>
      <c r="O922" s="56">
        <v>721</v>
      </c>
      <c r="P922" s="79">
        <f>+N921-P921</f>
        <v>0</v>
      </c>
    </row>
    <row r="923" spans="1:16" ht="15" customHeight="1">
      <c r="A923" s="881"/>
      <c r="B923" s="875"/>
      <c r="C923" s="881"/>
      <c r="D923" s="881"/>
      <c r="E923" s="881"/>
      <c r="F923" s="883"/>
      <c r="G923" s="55">
        <v>719</v>
      </c>
      <c r="H923" s="78"/>
      <c r="I923" s="881"/>
      <c r="J923" s="875"/>
      <c r="K923" s="881"/>
      <c r="L923" s="881"/>
      <c r="M923" s="881"/>
      <c r="N923" s="883"/>
      <c r="O923" s="55"/>
      <c r="P923" s="78"/>
    </row>
    <row r="924" spans="1:16" ht="13.5" customHeight="1" thickBot="1">
      <c r="A924" s="882"/>
      <c r="B924" s="876"/>
      <c r="C924" s="882"/>
      <c r="D924" s="882"/>
      <c r="E924" s="882"/>
      <c r="F924" s="884"/>
      <c r="G924" s="56">
        <v>721</v>
      </c>
      <c r="H924" s="79">
        <f>+F923-H923</f>
        <v>0</v>
      </c>
      <c r="I924" s="882"/>
      <c r="J924" s="876"/>
      <c r="K924" s="882"/>
      <c r="L924" s="882"/>
      <c r="M924" s="882"/>
      <c r="N924" s="884"/>
      <c r="O924" s="56"/>
      <c r="P924" s="79"/>
    </row>
    <row r="925" spans="1:16" ht="14.25" customHeight="1">
      <c r="A925" s="251"/>
      <c r="B925" s="252"/>
      <c r="C925" s="251"/>
      <c r="D925" s="251"/>
      <c r="E925" s="251"/>
      <c r="F925" s="254"/>
      <c r="G925" s="255"/>
      <c r="H925" s="256"/>
      <c r="I925" s="881"/>
      <c r="J925" s="875"/>
      <c r="K925" s="881"/>
      <c r="L925" s="881"/>
      <c r="M925" s="881"/>
      <c r="N925" s="883"/>
      <c r="O925" s="55"/>
      <c r="P925" s="78"/>
    </row>
    <row r="926" spans="1:16" ht="14.25" customHeight="1" thickBot="1">
      <c r="A926" s="251"/>
      <c r="B926" s="252"/>
      <c r="C926" s="251"/>
      <c r="D926" s="251"/>
      <c r="E926" s="251"/>
      <c r="F926" s="254"/>
      <c r="G926" s="255"/>
      <c r="H926" s="256"/>
      <c r="I926" s="882"/>
      <c r="J926" s="876"/>
      <c r="K926" s="882"/>
      <c r="L926" s="882"/>
      <c r="M926" s="882"/>
      <c r="N926" s="884"/>
      <c r="O926" s="56"/>
      <c r="P926" s="79"/>
    </row>
    <row r="927" spans="1:16" ht="15" customHeight="1">
      <c r="A927" s="881"/>
      <c r="B927" s="875"/>
      <c r="C927" s="877"/>
      <c r="D927" s="881"/>
      <c r="E927" s="881"/>
      <c r="F927" s="883"/>
      <c r="G927" s="55">
        <v>719</v>
      </c>
      <c r="H927" s="78"/>
      <c r="I927" s="881"/>
      <c r="J927" s="875"/>
      <c r="K927" s="881"/>
      <c r="L927" s="881"/>
      <c r="M927" s="881"/>
      <c r="N927" s="883"/>
      <c r="O927" s="55"/>
      <c r="P927" s="78"/>
    </row>
    <row r="928" spans="1:16" ht="12" customHeight="1" thickBot="1">
      <c r="A928" s="882"/>
      <c r="B928" s="876"/>
      <c r="C928" s="878"/>
      <c r="D928" s="882"/>
      <c r="E928" s="882"/>
      <c r="F928" s="884"/>
      <c r="G928" s="56">
        <v>721</v>
      </c>
      <c r="H928" s="79">
        <f>+F927-H927</f>
        <v>0</v>
      </c>
      <c r="I928" s="882"/>
      <c r="J928" s="876"/>
      <c r="K928" s="882"/>
      <c r="L928" s="882"/>
      <c r="M928" s="882"/>
      <c r="N928" s="884"/>
      <c r="O928" s="56"/>
      <c r="P928" s="79"/>
    </row>
    <row r="929" spans="1:16" ht="12" customHeight="1">
      <c r="A929" s="881"/>
      <c r="B929" s="875"/>
      <c r="C929" s="881"/>
      <c r="D929" s="881"/>
      <c r="E929" s="881"/>
      <c r="F929" s="883"/>
      <c r="G929" s="55">
        <v>719</v>
      </c>
      <c r="H929" s="78"/>
      <c r="I929" s="881"/>
      <c r="J929" s="875"/>
      <c r="K929" s="881"/>
      <c r="L929" s="881"/>
      <c r="M929" s="881"/>
      <c r="N929" s="883"/>
      <c r="O929" s="55"/>
      <c r="P929" s="78"/>
    </row>
    <row r="930" spans="1:16" ht="13.5" customHeight="1" thickBot="1">
      <c r="A930" s="882"/>
      <c r="B930" s="876"/>
      <c r="C930" s="882"/>
      <c r="D930" s="882"/>
      <c r="E930" s="882"/>
      <c r="F930" s="884"/>
      <c r="G930" s="56">
        <v>721</v>
      </c>
      <c r="H930" s="79">
        <f>+F929-H929</f>
        <v>0</v>
      </c>
      <c r="I930" s="882"/>
      <c r="J930" s="876"/>
      <c r="K930" s="882"/>
      <c r="L930" s="882"/>
      <c r="M930" s="882"/>
      <c r="N930" s="884"/>
      <c r="O930" s="56"/>
      <c r="P930" s="79"/>
    </row>
    <row r="931" spans="1:16" ht="16.5" thickBot="1">
      <c r="A931" s="881"/>
      <c r="B931" s="875"/>
      <c r="C931" s="877"/>
      <c r="D931" s="881"/>
      <c r="E931" s="881"/>
      <c r="F931" s="883"/>
      <c r="G931" s="55">
        <v>719</v>
      </c>
      <c r="H931" s="78"/>
      <c r="I931" s="901" t="s">
        <v>102</v>
      </c>
      <c r="J931" s="902"/>
      <c r="K931" s="902"/>
      <c r="L931" s="902"/>
      <c r="M931" s="903"/>
      <c r="N931" s="81">
        <f>SUM(N919:N930)</f>
        <v>2395850</v>
      </c>
    </row>
    <row r="932" spans="1:16" ht="16.5" thickBot="1">
      <c r="A932" s="882"/>
      <c r="B932" s="876"/>
      <c r="C932" s="878"/>
      <c r="D932" s="882"/>
      <c r="E932" s="882"/>
      <c r="F932" s="884"/>
      <c r="G932" s="56">
        <v>721</v>
      </c>
      <c r="H932" s="79">
        <f>+F931-H931</f>
        <v>0</v>
      </c>
      <c r="I932" s="885" t="s">
        <v>103</v>
      </c>
      <c r="J932" s="886"/>
      <c r="K932" s="886"/>
      <c r="L932" s="886"/>
      <c r="M932" s="887"/>
      <c r="N932" s="239">
        <f>+N894</f>
        <v>357696617</v>
      </c>
      <c r="O932" s="241" t="s">
        <v>561</v>
      </c>
      <c r="P932" s="242">
        <f>426+85+72+16+624</f>
        <v>1223</v>
      </c>
    </row>
    <row r="933" spans="1:16" ht="16.5" thickBot="1">
      <c r="A933" s="901" t="s">
        <v>102</v>
      </c>
      <c r="B933" s="902"/>
      <c r="C933" s="902"/>
      <c r="D933" s="902"/>
      <c r="E933" s="903"/>
      <c r="F933" s="81">
        <f>SUM(F921:F932)</f>
        <v>1764708</v>
      </c>
      <c r="I933" s="888" t="s">
        <v>104</v>
      </c>
      <c r="J933" s="889"/>
      <c r="K933" s="889"/>
      <c r="L933" s="889"/>
      <c r="M933" s="890"/>
      <c r="N933" s="183">
        <f>SUM(N931:N932)</f>
        <v>360092467</v>
      </c>
    </row>
    <row r="934" spans="1:16" ht="12" customHeight="1" thickBot="1">
      <c r="A934" s="885" t="s">
        <v>103</v>
      </c>
      <c r="B934" s="886"/>
      <c r="C934" s="886"/>
      <c r="D934" s="886"/>
      <c r="E934" s="887"/>
      <c r="F934" s="69">
        <f>+F896</f>
        <v>652592930</v>
      </c>
      <c r="I934" s="61"/>
      <c r="J934" s="61"/>
      <c r="K934" s="61"/>
      <c r="L934" s="61"/>
      <c r="M934" s="61"/>
    </row>
    <row r="935" spans="1:16" ht="16.5" thickBot="1">
      <c r="A935" s="888" t="s">
        <v>104</v>
      </c>
      <c r="B935" s="889"/>
      <c r="C935" s="889"/>
      <c r="D935" s="889"/>
      <c r="E935" s="890"/>
      <c r="F935" s="183">
        <f>SUM(F933:F934)</f>
        <v>654357638</v>
      </c>
      <c r="I935" s="51" t="s">
        <v>1518</v>
      </c>
    </row>
    <row r="936" spans="1:16" ht="9" customHeight="1">
      <c r="A936" s="61"/>
      <c r="B936" s="61"/>
      <c r="C936" s="61"/>
      <c r="D936" s="61"/>
      <c r="E936" s="61"/>
      <c r="N936" s="139"/>
    </row>
    <row r="937" spans="1:16">
      <c r="A937" s="51" t="s">
        <v>461</v>
      </c>
      <c r="I937" s="50" t="s">
        <v>105</v>
      </c>
      <c r="L937" s="146"/>
      <c r="N937" s="139"/>
    </row>
    <row r="938" spans="1:16" ht="12.75" customHeight="1" thickBot="1">
      <c r="F938" s="139"/>
    </row>
    <row r="939" spans="1:16" ht="15.75" thickBot="1">
      <c r="A939" s="50" t="s">
        <v>105</v>
      </c>
      <c r="D939" s="146"/>
      <c r="F939" s="139"/>
      <c r="I939" s="891" t="s">
        <v>106</v>
      </c>
      <c r="J939" s="892"/>
      <c r="K939" s="892"/>
      <c r="L939" s="893"/>
      <c r="N939" s="50" t="s">
        <v>288</v>
      </c>
    </row>
    <row r="940" spans="1:16" ht="12.75" customHeight="1" thickBot="1">
      <c r="I940" s="57" t="s">
        <v>100</v>
      </c>
      <c r="J940" s="58" t="s">
        <v>108</v>
      </c>
      <c r="K940" s="59" t="s">
        <v>109</v>
      </c>
      <c r="L940" s="60" t="s">
        <v>110</v>
      </c>
    </row>
    <row r="941" spans="1:16" ht="13.5" customHeight="1" thickBot="1">
      <c r="A941" s="891" t="s">
        <v>106</v>
      </c>
      <c r="B941" s="892"/>
      <c r="C941" s="892"/>
      <c r="D941" s="893"/>
      <c r="F941" s="50" t="s">
        <v>288</v>
      </c>
      <c r="I941" s="71">
        <v>719</v>
      </c>
      <c r="J941" s="73">
        <f>+P919+P923+P927+P929+P925</f>
        <v>900000</v>
      </c>
      <c r="K941" s="74">
        <f>+L902</f>
        <v>21150000</v>
      </c>
      <c r="L941" s="195">
        <f>+J941+K941</f>
        <v>22050000</v>
      </c>
    </row>
    <row r="942" spans="1:16" ht="13.5" customHeight="1" thickBot="1">
      <c r="A942" s="57" t="s">
        <v>100</v>
      </c>
      <c r="B942" s="58" t="s">
        <v>108</v>
      </c>
      <c r="C942" s="59" t="s">
        <v>109</v>
      </c>
      <c r="D942" s="60" t="s">
        <v>110</v>
      </c>
      <c r="I942" s="72">
        <v>721</v>
      </c>
      <c r="J942" s="80">
        <f>+P920+P922+P924+P928+P930+P926</f>
        <v>315000</v>
      </c>
      <c r="K942" s="74">
        <f>+L903</f>
        <v>14458500</v>
      </c>
      <c r="L942" s="195">
        <f>+J942+K942</f>
        <v>14773500</v>
      </c>
    </row>
    <row r="943" spans="1:16" ht="12.75" customHeight="1">
      <c r="A943" s="71">
        <v>719</v>
      </c>
      <c r="B943" s="73">
        <f>0</f>
        <v>0</v>
      </c>
      <c r="C943" s="74" t="e">
        <f>+D904</f>
        <v>#REF!</v>
      </c>
      <c r="D943" s="195" t="e">
        <f>+B943+C943</f>
        <v>#REF!</v>
      </c>
      <c r="I943" s="72">
        <v>722</v>
      </c>
      <c r="J943" s="80"/>
      <c r="K943" s="74">
        <f>+L904</f>
        <v>14081628</v>
      </c>
      <c r="L943" s="195">
        <f>+J943+K943</f>
        <v>14081628</v>
      </c>
    </row>
    <row r="944" spans="1:16" ht="14.25" customHeight="1">
      <c r="A944" s="72">
        <v>721</v>
      </c>
      <c r="B944" s="80">
        <f>+H922</f>
        <v>0</v>
      </c>
      <c r="C944" s="74" t="e">
        <f>+D905</f>
        <v>#REF!</v>
      </c>
      <c r="D944" s="195" t="e">
        <f>+B944+C944</f>
        <v>#REF!</v>
      </c>
      <c r="I944" s="72">
        <v>723</v>
      </c>
      <c r="J944" s="80">
        <f>+P921</f>
        <v>1180850</v>
      </c>
      <c r="K944" s="74">
        <f>+L905</f>
        <v>308305369</v>
      </c>
      <c r="L944" s="195">
        <f>+J944+K944</f>
        <v>309486219</v>
      </c>
      <c r="N944" s="918" t="s">
        <v>1481</v>
      </c>
      <c r="O944" s="918"/>
      <c r="P944" s="918"/>
    </row>
    <row r="945" spans="1:16" ht="13.5" customHeight="1" thickBot="1">
      <c r="A945" s="72">
        <v>722</v>
      </c>
      <c r="B945" s="80"/>
      <c r="C945" s="74">
        <f>+D906</f>
        <v>231207671</v>
      </c>
      <c r="D945" s="195">
        <f>+B945+C945</f>
        <v>231207671</v>
      </c>
      <c r="I945" s="164" t="s">
        <v>181</v>
      </c>
      <c r="J945" s="165"/>
      <c r="K945" s="74">
        <f>+L906</f>
        <v>-298880</v>
      </c>
      <c r="L945" s="196">
        <f>+J945+K945</f>
        <v>-298880</v>
      </c>
      <c r="N945" s="52"/>
    </row>
    <row r="946" spans="1:16" ht="16.5" thickBot="1">
      <c r="A946" s="72">
        <v>723</v>
      </c>
      <c r="B946" s="80">
        <f>+H921</f>
        <v>1764708</v>
      </c>
      <c r="C946" s="74" t="e">
        <f>+D907</f>
        <v>#REF!</v>
      </c>
      <c r="D946" s="195" t="e">
        <f>+B946+C946</f>
        <v>#REF!</v>
      </c>
      <c r="F946" s="174" t="s">
        <v>23</v>
      </c>
      <c r="G946" s="175"/>
      <c r="I946" s="169"/>
      <c r="J946" s="197">
        <f>SUM(J941:J945)</f>
        <v>2395850</v>
      </c>
      <c r="K946" s="197">
        <f>SUM(K941:K945)</f>
        <v>357696617</v>
      </c>
      <c r="L946" s="198">
        <f>SUM(L941:L945)</f>
        <v>360092467</v>
      </c>
    </row>
    <row r="947" spans="1:16" ht="17.25" thickBot="1">
      <c r="A947" s="164" t="s">
        <v>181</v>
      </c>
      <c r="B947" s="165"/>
      <c r="C947" s="74" t="e">
        <f>+D908</f>
        <v>#REF!</v>
      </c>
      <c r="D947" s="196" t="e">
        <f>+B947+C947</f>
        <v>#REF!</v>
      </c>
      <c r="F947" s="52"/>
      <c r="I947" s="49" t="s">
        <v>88</v>
      </c>
      <c r="J947" s="50"/>
    </row>
    <row r="948" spans="1:16" ht="16.5" thickBot="1">
      <c r="A948" s="169"/>
      <c r="B948" s="170">
        <f>SUM(B943:B947)</f>
        <v>1764708</v>
      </c>
      <c r="C948" s="171" t="e">
        <f>SUM(C943:C947)</f>
        <v>#REF!</v>
      </c>
      <c r="D948" s="172" t="e">
        <f>SUM(D943:D947)</f>
        <v>#REF!</v>
      </c>
      <c r="I948" s="51" t="s">
        <v>89</v>
      </c>
    </row>
    <row r="949" spans="1:16" ht="16.5">
      <c r="A949" s="49" t="s">
        <v>88</v>
      </c>
      <c r="B949" s="50"/>
      <c r="I949" s="51" t="s">
        <v>90</v>
      </c>
    </row>
    <row r="950" spans="1:16">
      <c r="A950" s="51" t="s">
        <v>89</v>
      </c>
      <c r="I950" s="51" t="s">
        <v>91</v>
      </c>
    </row>
    <row r="951" spans="1:16" ht="13.5" customHeight="1">
      <c r="A951" s="51" t="s">
        <v>90</v>
      </c>
      <c r="I951" s="50"/>
      <c r="J951" s="50"/>
    </row>
    <row r="952" spans="1:16" ht="16.5">
      <c r="A952" s="51" t="s">
        <v>91</v>
      </c>
      <c r="I952" s="52" t="s">
        <v>814</v>
      </c>
      <c r="O952" s="52"/>
    </row>
    <row r="953" spans="1:16" ht="13.5" customHeight="1">
      <c r="A953" s="50"/>
      <c r="B953" s="50"/>
      <c r="I953" s="53" t="s">
        <v>1702</v>
      </c>
      <c r="O953" s="53"/>
    </row>
    <row r="954" spans="1:16" ht="16.5">
      <c r="A954" s="52" t="s">
        <v>463</v>
      </c>
      <c r="G954" s="52"/>
      <c r="I954" s="894" t="s">
        <v>903</v>
      </c>
      <c r="J954" s="894"/>
      <c r="K954" s="894"/>
      <c r="L954" s="894"/>
      <c r="M954" s="894"/>
      <c r="N954" s="894"/>
      <c r="O954" s="894"/>
      <c r="P954" s="894"/>
    </row>
    <row r="955" spans="1:16" ht="13.5" customHeight="1" thickBot="1">
      <c r="A955" s="53" t="s">
        <v>92</v>
      </c>
      <c r="G955" s="53"/>
    </row>
    <row r="956" spans="1:16" ht="16.5">
      <c r="A956" s="894" t="s">
        <v>462</v>
      </c>
      <c r="B956" s="894"/>
      <c r="C956" s="894"/>
      <c r="D956" s="894"/>
      <c r="E956" s="894"/>
      <c r="F956" s="894"/>
      <c r="G956" s="894"/>
      <c r="H956" s="894"/>
      <c r="I956" s="895" t="s">
        <v>94</v>
      </c>
      <c r="J956" s="897" t="s">
        <v>95</v>
      </c>
      <c r="K956" s="897" t="s">
        <v>96</v>
      </c>
      <c r="L956" s="897" t="s">
        <v>3</v>
      </c>
      <c r="M956" s="897" t="s">
        <v>97</v>
      </c>
      <c r="N956" s="897" t="s">
        <v>98</v>
      </c>
      <c r="O956" s="897" t="s">
        <v>99</v>
      </c>
      <c r="P956" s="899"/>
    </row>
    <row r="957" spans="1:16" ht="15.75" thickBot="1">
      <c r="I957" s="896"/>
      <c r="J957" s="898"/>
      <c r="K957" s="898"/>
      <c r="L957" s="898"/>
      <c r="M957" s="898"/>
      <c r="N957" s="898"/>
      <c r="O957" s="240" t="s">
        <v>100</v>
      </c>
      <c r="P957" s="182" t="s">
        <v>101</v>
      </c>
    </row>
    <row r="958" spans="1:16" ht="12.75" customHeight="1">
      <c r="A958" s="895" t="s">
        <v>94</v>
      </c>
      <c r="B958" s="897" t="s">
        <v>95</v>
      </c>
      <c r="C958" s="897" t="s">
        <v>96</v>
      </c>
      <c r="D958" s="897" t="s">
        <v>3</v>
      </c>
      <c r="E958" s="897" t="s">
        <v>97</v>
      </c>
      <c r="F958" s="897" t="s">
        <v>98</v>
      </c>
      <c r="G958" s="897" t="s">
        <v>99</v>
      </c>
      <c r="H958" s="899"/>
      <c r="I958" s="873" t="s">
        <v>772</v>
      </c>
      <c r="J958" s="875">
        <v>43742</v>
      </c>
      <c r="K958" s="881" t="s">
        <v>1836</v>
      </c>
      <c r="L958" s="881" t="s">
        <v>1837</v>
      </c>
      <c r="M958" s="881" t="s">
        <v>148</v>
      </c>
      <c r="N958" s="883">
        <v>800000</v>
      </c>
      <c r="O958" s="55">
        <v>723</v>
      </c>
      <c r="P958" s="78">
        <v>800000</v>
      </c>
    </row>
    <row r="959" spans="1:16" ht="12.75" customHeight="1" thickBot="1">
      <c r="A959" s="896"/>
      <c r="B959" s="898"/>
      <c r="C959" s="898"/>
      <c r="D959" s="898"/>
      <c r="E959" s="898"/>
      <c r="F959" s="898"/>
      <c r="G959" s="240" t="s">
        <v>100</v>
      </c>
      <c r="H959" s="182" t="s">
        <v>101</v>
      </c>
      <c r="I959" s="874"/>
      <c r="J959" s="876"/>
      <c r="K959" s="882"/>
      <c r="L959" s="882"/>
      <c r="M959" s="882"/>
      <c r="N959" s="884"/>
      <c r="O959" s="56">
        <v>721</v>
      </c>
      <c r="P959" s="79">
        <f>+N958-P958</f>
        <v>0</v>
      </c>
    </row>
    <row r="960" spans="1:16" ht="13.5" customHeight="1">
      <c r="A960" s="881" t="e">
        <f>+A921+1</f>
        <v>#REF!</v>
      </c>
      <c r="B960" s="875">
        <v>42332</v>
      </c>
      <c r="C960" s="877" t="s">
        <v>272</v>
      </c>
      <c r="D960" s="881" t="s">
        <v>467</v>
      </c>
      <c r="E960" s="881" t="s">
        <v>115</v>
      </c>
      <c r="F960" s="883">
        <v>120000</v>
      </c>
      <c r="G960" s="55">
        <v>719</v>
      </c>
      <c r="H960" s="78">
        <f>+F960</f>
        <v>120000</v>
      </c>
      <c r="I960" s="881">
        <f>+I958+1</f>
        <v>103</v>
      </c>
      <c r="J960" s="875">
        <v>43742</v>
      </c>
      <c r="K960" s="910" t="s">
        <v>555</v>
      </c>
      <c r="L960" s="881" t="s">
        <v>1819</v>
      </c>
      <c r="M960" s="881" t="s">
        <v>148</v>
      </c>
      <c r="N960" s="883">
        <v>1750000</v>
      </c>
      <c r="O960" s="55">
        <v>723</v>
      </c>
      <c r="P960" s="78">
        <v>1750000</v>
      </c>
    </row>
    <row r="961" spans="1:16" ht="13.5" customHeight="1" thickBot="1">
      <c r="A961" s="882"/>
      <c r="B961" s="876"/>
      <c r="C961" s="878"/>
      <c r="D961" s="882"/>
      <c r="E961" s="882"/>
      <c r="F961" s="884"/>
      <c r="G961" s="56">
        <v>721</v>
      </c>
      <c r="H961" s="79">
        <f>+F960-H960</f>
        <v>0</v>
      </c>
      <c r="I961" s="882"/>
      <c r="J961" s="876"/>
      <c r="K961" s="911"/>
      <c r="L961" s="882"/>
      <c r="M961" s="882"/>
      <c r="N961" s="884"/>
      <c r="O961" s="56">
        <v>721</v>
      </c>
      <c r="P961" s="79">
        <f>+N960-P960</f>
        <v>0</v>
      </c>
    </row>
    <row r="962" spans="1:16" ht="12.75" customHeight="1">
      <c r="A962" s="881" t="e">
        <f>+A960+1</f>
        <v>#REF!</v>
      </c>
      <c r="B962" s="875">
        <v>42332</v>
      </c>
      <c r="C962" s="881" t="s">
        <v>28</v>
      </c>
      <c r="D962" s="881" t="s">
        <v>466</v>
      </c>
      <c r="E962" s="881" t="s">
        <v>115</v>
      </c>
      <c r="F962" s="883">
        <v>50000</v>
      </c>
      <c r="G962" s="55">
        <v>719</v>
      </c>
      <c r="H962" s="78">
        <v>50000</v>
      </c>
      <c r="I962" s="881">
        <f>+I960+1</f>
        <v>104</v>
      </c>
      <c r="J962" s="875">
        <v>43742</v>
      </c>
      <c r="K962" s="910" t="s">
        <v>1838</v>
      </c>
      <c r="L962" s="881" t="s">
        <v>1716</v>
      </c>
      <c r="M962" s="881" t="s">
        <v>148</v>
      </c>
      <c r="N962" s="883">
        <v>552000</v>
      </c>
      <c r="O962" s="55">
        <v>723</v>
      </c>
      <c r="P962" s="78">
        <v>552000</v>
      </c>
    </row>
    <row r="963" spans="1:16" ht="10.5" customHeight="1" thickBot="1">
      <c r="A963" s="882"/>
      <c r="B963" s="876"/>
      <c r="C963" s="882"/>
      <c r="D963" s="882"/>
      <c r="E963" s="882"/>
      <c r="F963" s="884"/>
      <c r="G963" s="56">
        <v>721</v>
      </c>
      <c r="H963" s="79">
        <f>+F962-H962</f>
        <v>0</v>
      </c>
      <c r="I963" s="882"/>
      <c r="J963" s="876"/>
      <c r="K963" s="911"/>
      <c r="L963" s="882"/>
      <c r="M963" s="882"/>
      <c r="N963" s="884"/>
      <c r="O963" s="56">
        <v>721</v>
      </c>
      <c r="P963" s="79">
        <f>+N962-P962</f>
        <v>0</v>
      </c>
    </row>
    <row r="964" spans="1:16" ht="11.25" customHeight="1">
      <c r="A964" s="251"/>
      <c r="B964" s="252"/>
      <c r="C964" s="251"/>
      <c r="D964" s="251"/>
      <c r="E964" s="251"/>
      <c r="F964" s="254"/>
      <c r="G964" s="255"/>
      <c r="H964" s="256"/>
      <c r="I964" s="881">
        <f>+I962+1</f>
        <v>105</v>
      </c>
      <c r="J964" s="875">
        <v>43742</v>
      </c>
      <c r="K964" s="910" t="s">
        <v>677</v>
      </c>
      <c r="L964" s="881" t="s">
        <v>1716</v>
      </c>
      <c r="M964" s="881" t="s">
        <v>148</v>
      </c>
      <c r="N964" s="883">
        <v>369410</v>
      </c>
      <c r="O964" s="55">
        <v>723</v>
      </c>
      <c r="P964" s="78">
        <v>369410</v>
      </c>
    </row>
    <row r="965" spans="1:16" ht="12" customHeight="1" thickBot="1">
      <c r="A965" s="251"/>
      <c r="B965" s="252"/>
      <c r="C965" s="251"/>
      <c r="D965" s="251"/>
      <c r="E965" s="251"/>
      <c r="F965" s="254"/>
      <c r="G965" s="255"/>
      <c r="H965" s="256"/>
      <c r="I965" s="882"/>
      <c r="J965" s="876"/>
      <c r="K965" s="911"/>
      <c r="L965" s="882"/>
      <c r="M965" s="882"/>
      <c r="N965" s="884"/>
      <c r="O965" s="56">
        <v>721</v>
      </c>
      <c r="P965" s="79">
        <f>+N964-P964</f>
        <v>0</v>
      </c>
    </row>
    <row r="966" spans="1:16" ht="11.25" customHeight="1">
      <c r="A966" s="881" t="e">
        <f>+A962+1</f>
        <v>#REF!</v>
      </c>
      <c r="B966" s="875">
        <v>42332</v>
      </c>
      <c r="C966" s="877" t="s">
        <v>32</v>
      </c>
      <c r="D966" s="881" t="s">
        <v>465</v>
      </c>
      <c r="E966" s="881" t="s">
        <v>115</v>
      </c>
      <c r="F966" s="883">
        <v>20000</v>
      </c>
      <c r="G966" s="55">
        <v>719</v>
      </c>
      <c r="H966" s="78">
        <v>20000</v>
      </c>
      <c r="I966" s="881"/>
      <c r="J966" s="875"/>
      <c r="K966" s="881"/>
      <c r="L966" s="881"/>
      <c r="M966" s="881"/>
      <c r="N966" s="883"/>
      <c r="O966" s="55">
        <v>719</v>
      </c>
      <c r="P966" s="78"/>
    </row>
    <row r="967" spans="1:16" ht="12.75" customHeight="1" thickBot="1">
      <c r="A967" s="882"/>
      <c r="B967" s="876"/>
      <c r="C967" s="878"/>
      <c r="D967" s="882"/>
      <c r="E967" s="882"/>
      <c r="F967" s="884"/>
      <c r="G967" s="56">
        <v>721</v>
      </c>
      <c r="H967" s="79">
        <f>+F966-H966</f>
        <v>0</v>
      </c>
      <c r="I967" s="882"/>
      <c r="J967" s="876"/>
      <c r="K967" s="882"/>
      <c r="L967" s="882"/>
      <c r="M967" s="882"/>
      <c r="N967" s="884"/>
      <c r="O967" s="56">
        <v>721</v>
      </c>
      <c r="P967" s="79"/>
    </row>
    <row r="968" spans="1:16" ht="13.5" customHeight="1">
      <c r="A968" s="881" t="e">
        <f>+A966+1</f>
        <v>#REF!</v>
      </c>
      <c r="B968" s="875">
        <v>42332</v>
      </c>
      <c r="C968" s="877" t="s">
        <v>120</v>
      </c>
      <c r="D968" s="881" t="s">
        <v>464</v>
      </c>
      <c r="E968" s="881" t="s">
        <v>115</v>
      </c>
      <c r="F968" s="883">
        <v>120000</v>
      </c>
      <c r="G968" s="55">
        <v>719</v>
      </c>
      <c r="H968" s="78">
        <v>120000</v>
      </c>
      <c r="I968" s="881"/>
      <c r="J968" s="875"/>
      <c r="K968" s="881"/>
      <c r="L968" s="881"/>
      <c r="M968" s="881"/>
      <c r="N968" s="883"/>
      <c r="O968" s="55">
        <v>719</v>
      </c>
      <c r="P968" s="78">
        <v>0</v>
      </c>
    </row>
    <row r="969" spans="1:16" ht="13.5" customHeight="1" thickBot="1">
      <c r="A969" s="882"/>
      <c r="B969" s="876"/>
      <c r="C969" s="878"/>
      <c r="D969" s="882"/>
      <c r="E969" s="882"/>
      <c r="F969" s="884"/>
      <c r="G969" s="56">
        <v>721</v>
      </c>
      <c r="H969" s="79">
        <f>+F968-H968</f>
        <v>0</v>
      </c>
      <c r="I969" s="882"/>
      <c r="J969" s="876"/>
      <c r="K969" s="882"/>
      <c r="L969" s="882"/>
      <c r="M969" s="882"/>
      <c r="N969" s="884"/>
      <c r="O969" s="56">
        <v>721</v>
      </c>
      <c r="P969" s="79">
        <f>+N968-P968</f>
        <v>0</v>
      </c>
    </row>
    <row r="970" spans="1:16" ht="16.5" thickBot="1">
      <c r="A970" s="881"/>
      <c r="B970" s="875"/>
      <c r="C970" s="877"/>
      <c r="D970" s="881"/>
      <c r="E970" s="881"/>
      <c r="F970" s="883"/>
      <c r="G970" s="55">
        <v>719</v>
      </c>
      <c r="H970" s="78"/>
      <c r="I970" s="901" t="s">
        <v>102</v>
      </c>
      <c r="J970" s="902"/>
      <c r="K970" s="902"/>
      <c r="L970" s="902"/>
      <c r="M970" s="903"/>
      <c r="N970" s="81">
        <f>SUM(N958:N969)</f>
        <v>3471410</v>
      </c>
    </row>
    <row r="971" spans="1:16" ht="16.5" thickBot="1">
      <c r="A971" s="882"/>
      <c r="B971" s="876"/>
      <c r="C971" s="878"/>
      <c r="D971" s="882"/>
      <c r="E971" s="882"/>
      <c r="F971" s="884"/>
      <c r="G971" s="56">
        <v>721</v>
      </c>
      <c r="H971" s="79">
        <f>+F970-H970</f>
        <v>0</v>
      </c>
      <c r="I971" s="885" t="s">
        <v>103</v>
      </c>
      <c r="J971" s="886"/>
      <c r="K971" s="886"/>
      <c r="L971" s="886"/>
      <c r="M971" s="887"/>
      <c r="N971" s="239">
        <f>+N933</f>
        <v>360092467</v>
      </c>
      <c r="O971" s="241" t="s">
        <v>561</v>
      </c>
      <c r="P971" s="242">
        <f>701+647+663+279+406+423</f>
        <v>3119</v>
      </c>
    </row>
    <row r="972" spans="1:16" ht="16.5" thickBot="1">
      <c r="A972" s="901" t="s">
        <v>102</v>
      </c>
      <c r="B972" s="902"/>
      <c r="C972" s="902"/>
      <c r="D972" s="902"/>
      <c r="E972" s="903"/>
      <c r="F972" s="81">
        <f>SUM(F960:F971)</f>
        <v>310000</v>
      </c>
      <c r="I972" s="888" t="s">
        <v>104</v>
      </c>
      <c r="J972" s="889"/>
      <c r="K972" s="889"/>
      <c r="L972" s="889"/>
      <c r="M972" s="890"/>
      <c r="N972" s="183">
        <f>SUM(N970:N971)</f>
        <v>363563877</v>
      </c>
    </row>
    <row r="973" spans="1:16" ht="12.75" customHeight="1" thickBot="1">
      <c r="A973" s="885" t="s">
        <v>103</v>
      </c>
      <c r="B973" s="886"/>
      <c r="C973" s="886"/>
      <c r="D973" s="886"/>
      <c r="E973" s="887"/>
      <c r="F973" s="69">
        <f>+F935</f>
        <v>654357638</v>
      </c>
      <c r="I973" s="61"/>
      <c r="J973" s="61"/>
      <c r="K973" s="61"/>
      <c r="L973" s="61"/>
      <c r="M973" s="61"/>
    </row>
    <row r="974" spans="1:16" ht="16.5" thickBot="1">
      <c r="A974" s="888" t="s">
        <v>104</v>
      </c>
      <c r="B974" s="889"/>
      <c r="C974" s="889"/>
      <c r="D974" s="889"/>
      <c r="E974" s="890"/>
      <c r="F974" s="183">
        <f>SUM(F972:F973)</f>
        <v>654667638</v>
      </c>
      <c r="I974" s="51" t="s">
        <v>1525</v>
      </c>
    </row>
    <row r="975" spans="1:16" ht="7.5" customHeight="1">
      <c r="A975" s="61"/>
      <c r="B975" s="61"/>
      <c r="C975" s="61"/>
      <c r="D975" s="61"/>
      <c r="E975" s="61"/>
      <c r="N975" s="139"/>
    </row>
    <row r="976" spans="1:16">
      <c r="A976" s="51" t="s">
        <v>468</v>
      </c>
      <c r="I976" s="50" t="s">
        <v>105</v>
      </c>
      <c r="L976" s="146"/>
      <c r="N976" s="139"/>
    </row>
    <row r="977" spans="1:16" ht="12" customHeight="1" thickBot="1">
      <c r="F977" s="139"/>
    </row>
    <row r="978" spans="1:16" ht="15.75" customHeight="1" thickBot="1">
      <c r="A978" s="50" t="s">
        <v>105</v>
      </c>
      <c r="D978" s="146"/>
      <c r="F978" s="139"/>
      <c r="I978" s="891" t="s">
        <v>106</v>
      </c>
      <c r="J978" s="892"/>
      <c r="K978" s="892"/>
      <c r="L978" s="893"/>
      <c r="N978" s="50" t="s">
        <v>288</v>
      </c>
    </row>
    <row r="979" spans="1:16" ht="12" customHeight="1" thickBot="1">
      <c r="I979" s="57" t="s">
        <v>100</v>
      </c>
      <c r="J979" s="58" t="s">
        <v>108</v>
      </c>
      <c r="K979" s="59" t="s">
        <v>109</v>
      </c>
      <c r="L979" s="60" t="s">
        <v>110</v>
      </c>
    </row>
    <row r="980" spans="1:16" ht="14.25" customHeight="1" thickBot="1">
      <c r="A980" s="891" t="s">
        <v>106</v>
      </c>
      <c r="B980" s="892"/>
      <c r="C980" s="892"/>
      <c r="D980" s="893"/>
      <c r="F980" s="50" t="s">
        <v>288</v>
      </c>
      <c r="I980" s="71">
        <v>719</v>
      </c>
      <c r="J980" s="73"/>
      <c r="K980" s="74">
        <f>+L941</f>
        <v>22050000</v>
      </c>
      <c r="L980" s="195">
        <f>+J980+K980</f>
        <v>22050000</v>
      </c>
    </row>
    <row r="981" spans="1:16" ht="14.25" customHeight="1" thickBot="1">
      <c r="A981" s="57" t="s">
        <v>100</v>
      </c>
      <c r="B981" s="58" t="s">
        <v>108</v>
      </c>
      <c r="C981" s="59" t="s">
        <v>109</v>
      </c>
      <c r="D981" s="60" t="s">
        <v>110</v>
      </c>
      <c r="I981" s="72">
        <v>721</v>
      </c>
      <c r="J981" s="80">
        <f>+P959+P961+P963+P967+P969</f>
        <v>0</v>
      </c>
      <c r="K981" s="74">
        <f>+L942</f>
        <v>14773500</v>
      </c>
      <c r="L981" s="195">
        <f>+J981+K981</f>
        <v>14773500</v>
      </c>
    </row>
    <row r="982" spans="1:16" ht="15.75" customHeight="1">
      <c r="A982" s="71">
        <v>719</v>
      </c>
      <c r="B982" s="73">
        <f>+H960+H962+H966+H968</f>
        <v>310000</v>
      </c>
      <c r="C982" s="74" t="e">
        <f>+D943</f>
        <v>#REF!</v>
      </c>
      <c r="D982" s="195" t="e">
        <f>+B982+C982</f>
        <v>#REF!</v>
      </c>
      <c r="I982" s="72">
        <v>722</v>
      </c>
      <c r="J982" s="80"/>
      <c r="K982" s="74">
        <f>+L943</f>
        <v>14081628</v>
      </c>
      <c r="L982" s="195">
        <f>+J982+K982</f>
        <v>14081628</v>
      </c>
    </row>
    <row r="983" spans="1:16" ht="15.75" customHeight="1" thickBot="1">
      <c r="A983" s="72">
        <v>721</v>
      </c>
      <c r="B983" s="80">
        <f>+H961</f>
        <v>0</v>
      </c>
      <c r="C983" s="74" t="e">
        <f>+D944</f>
        <v>#REF!</v>
      </c>
      <c r="D983" s="195" t="e">
        <f>+B983+C983</f>
        <v>#REF!</v>
      </c>
      <c r="I983" s="72">
        <v>723</v>
      </c>
      <c r="J983" s="80">
        <f>+P958+P960+P962+P964</f>
        <v>3471410</v>
      </c>
      <c r="K983" s="74">
        <f>+L944</f>
        <v>309486219</v>
      </c>
      <c r="L983" s="195">
        <f>+J983+K983</f>
        <v>312957629</v>
      </c>
      <c r="N983" s="918" t="s">
        <v>1696</v>
      </c>
      <c r="O983" s="918"/>
      <c r="P983" s="918"/>
    </row>
    <row r="984" spans="1:16" ht="14.25" hidden="1" customHeight="1">
      <c r="A984" s="72">
        <v>722</v>
      </c>
      <c r="B984" s="80"/>
      <c r="C984" s="74">
        <f>+D945</f>
        <v>231207671</v>
      </c>
      <c r="D984" s="195">
        <f>+B984+C984</f>
        <v>231207671</v>
      </c>
      <c r="I984" s="164" t="s">
        <v>181</v>
      </c>
      <c r="J984" s="165"/>
      <c r="K984" s="74">
        <f>+L945</f>
        <v>-298880</v>
      </c>
      <c r="L984" s="196">
        <f>+J984+K984</f>
        <v>-298880</v>
      </c>
      <c r="N984" s="52"/>
    </row>
    <row r="985" spans="1:16" ht="16.5" customHeight="1" thickBot="1">
      <c r="A985" s="72">
        <v>723</v>
      </c>
      <c r="B985" s="80"/>
      <c r="C985" s="74" t="e">
        <f>+D946</f>
        <v>#REF!</v>
      </c>
      <c r="D985" s="195" t="e">
        <f>+B985+C985</f>
        <v>#REF!</v>
      </c>
      <c r="F985" s="174" t="s">
        <v>23</v>
      </c>
      <c r="G985" s="175"/>
      <c r="I985" s="169"/>
      <c r="J985" s="197">
        <f>SUM(J980:J984)</f>
        <v>3471410</v>
      </c>
      <c r="K985" s="197">
        <f>SUM(K980:K984)</f>
        <v>360092467</v>
      </c>
      <c r="L985" s="198">
        <f>SUM(L980:L984)</f>
        <v>363563877</v>
      </c>
    </row>
    <row r="986" spans="1:16" ht="16.5" customHeight="1" thickBot="1">
      <c r="A986" s="164" t="s">
        <v>181</v>
      </c>
      <c r="B986" s="165"/>
      <c r="C986" s="74" t="e">
        <f>+D947</f>
        <v>#REF!</v>
      </c>
      <c r="D986" s="196" t="e">
        <f>+B986+C986</f>
        <v>#REF!</v>
      </c>
      <c r="F986" s="52"/>
      <c r="I986" s="49" t="s">
        <v>88</v>
      </c>
      <c r="J986" s="50"/>
    </row>
    <row r="987" spans="1:16" ht="16.5" thickBot="1">
      <c r="A987" s="169"/>
      <c r="B987" s="170">
        <f>SUM(B982:B986)</f>
        <v>310000</v>
      </c>
      <c r="C987" s="171" t="e">
        <f>SUM(C982:C986)</f>
        <v>#REF!</v>
      </c>
      <c r="D987" s="172" t="e">
        <f>SUM(D982:D986)</f>
        <v>#REF!</v>
      </c>
      <c r="I987" s="51" t="s">
        <v>89</v>
      </c>
    </row>
    <row r="988" spans="1:16" ht="16.5">
      <c r="A988" s="49" t="s">
        <v>88</v>
      </c>
      <c r="B988" s="50"/>
      <c r="I988" s="51" t="s">
        <v>90</v>
      </c>
    </row>
    <row r="989" spans="1:16">
      <c r="A989" s="51" t="s">
        <v>89</v>
      </c>
      <c r="I989" s="51" t="s">
        <v>91</v>
      </c>
    </row>
    <row r="990" spans="1:16" ht="6" customHeight="1">
      <c r="A990" s="51" t="s">
        <v>90</v>
      </c>
      <c r="I990" s="50"/>
      <c r="J990" s="50"/>
    </row>
    <row r="991" spans="1:16" ht="16.5">
      <c r="A991" s="51" t="s">
        <v>91</v>
      </c>
      <c r="I991" s="52" t="s">
        <v>836</v>
      </c>
      <c r="O991" s="52"/>
    </row>
    <row r="992" spans="1:16" ht="14.25" customHeight="1">
      <c r="A992" s="50"/>
      <c r="B992" s="50"/>
      <c r="I992" s="53" t="s">
        <v>1702</v>
      </c>
      <c r="O992" s="53"/>
    </row>
    <row r="993" spans="1:16" ht="16.5">
      <c r="A993" s="52" t="s">
        <v>470</v>
      </c>
      <c r="G993" s="52"/>
      <c r="I993" s="894" t="s">
        <v>1842</v>
      </c>
      <c r="J993" s="894"/>
      <c r="K993" s="894"/>
      <c r="L993" s="894"/>
      <c r="M993" s="894"/>
      <c r="N993" s="894"/>
      <c r="O993" s="894"/>
      <c r="P993" s="894"/>
    </row>
    <row r="994" spans="1:16" ht="17.25" customHeight="1" thickBot="1">
      <c r="A994" s="53" t="s">
        <v>92</v>
      </c>
      <c r="G994" s="53"/>
    </row>
    <row r="995" spans="1:16" ht="16.5">
      <c r="A995" s="894" t="s">
        <v>462</v>
      </c>
      <c r="B995" s="894"/>
      <c r="C995" s="894"/>
      <c r="D995" s="894"/>
      <c r="E995" s="894"/>
      <c r="F995" s="894"/>
      <c r="G995" s="894"/>
      <c r="H995" s="894"/>
      <c r="I995" s="895" t="s">
        <v>94</v>
      </c>
      <c r="J995" s="897" t="s">
        <v>95</v>
      </c>
      <c r="K995" s="897" t="s">
        <v>96</v>
      </c>
      <c r="L995" s="897" t="s">
        <v>3</v>
      </c>
      <c r="M995" s="897" t="s">
        <v>97</v>
      </c>
      <c r="N995" s="897" t="s">
        <v>98</v>
      </c>
      <c r="O995" s="897" t="s">
        <v>99</v>
      </c>
      <c r="P995" s="899"/>
    </row>
    <row r="996" spans="1:16" ht="15.75" thickBot="1">
      <c r="I996" s="896"/>
      <c r="J996" s="898"/>
      <c r="K996" s="898"/>
      <c r="L996" s="898"/>
      <c r="M996" s="898"/>
      <c r="N996" s="898"/>
      <c r="O996" s="240" t="s">
        <v>100</v>
      </c>
      <c r="P996" s="182" t="s">
        <v>101</v>
      </c>
    </row>
    <row r="997" spans="1:16" ht="14.25" customHeight="1">
      <c r="A997" s="895" t="s">
        <v>94</v>
      </c>
      <c r="B997" s="897" t="s">
        <v>95</v>
      </c>
      <c r="C997" s="897" t="s">
        <v>96</v>
      </c>
      <c r="D997" s="897" t="s">
        <v>3</v>
      </c>
      <c r="E997" s="897" t="s">
        <v>97</v>
      </c>
      <c r="F997" s="897" t="s">
        <v>98</v>
      </c>
      <c r="G997" s="897" t="s">
        <v>99</v>
      </c>
      <c r="H997" s="899"/>
      <c r="I997" s="873" t="s">
        <v>545</v>
      </c>
      <c r="J997" s="875">
        <v>43749</v>
      </c>
      <c r="K997" s="910" t="s">
        <v>555</v>
      </c>
      <c r="L997" s="881" t="s">
        <v>1819</v>
      </c>
      <c r="M997" s="881" t="s">
        <v>148</v>
      </c>
      <c r="N997" s="883">
        <v>-1750000</v>
      </c>
      <c r="O997" s="55">
        <v>723</v>
      </c>
      <c r="P997" s="78">
        <f>N997</f>
        <v>-1750000</v>
      </c>
    </row>
    <row r="998" spans="1:16" ht="12" customHeight="1" thickBot="1">
      <c r="A998" s="896"/>
      <c r="B998" s="898"/>
      <c r="C998" s="898"/>
      <c r="D998" s="898"/>
      <c r="E998" s="898"/>
      <c r="F998" s="898"/>
      <c r="G998" s="240" t="s">
        <v>100</v>
      </c>
      <c r="H998" s="182" t="s">
        <v>101</v>
      </c>
      <c r="I998" s="874"/>
      <c r="J998" s="876"/>
      <c r="K998" s="911"/>
      <c r="L998" s="882"/>
      <c r="M998" s="882"/>
      <c r="N998" s="884"/>
      <c r="O998" s="56">
        <v>721</v>
      </c>
      <c r="P998" s="79">
        <v>0</v>
      </c>
    </row>
    <row r="999" spans="1:16" ht="12.75" customHeight="1">
      <c r="A999" s="881" t="e">
        <f>+A960+1</f>
        <v>#REF!</v>
      </c>
      <c r="B999" s="875">
        <v>42345</v>
      </c>
      <c r="C999" s="877" t="s">
        <v>267</v>
      </c>
      <c r="D999" s="881" t="s">
        <v>475</v>
      </c>
      <c r="E999" s="881" t="s">
        <v>148</v>
      </c>
      <c r="F999" s="883">
        <v>420000</v>
      </c>
      <c r="G999" s="55">
        <v>719</v>
      </c>
      <c r="H999" s="78">
        <f>+F999-H1000</f>
        <v>300000</v>
      </c>
      <c r="I999" s="873" t="s">
        <v>1843</v>
      </c>
      <c r="J999" s="875">
        <v>43749</v>
      </c>
      <c r="K999" s="881" t="s">
        <v>1091</v>
      </c>
      <c r="L999" s="881" t="s">
        <v>1844</v>
      </c>
      <c r="M999" s="881" t="s">
        <v>148</v>
      </c>
      <c r="N999" s="883">
        <v>1020000</v>
      </c>
      <c r="O999" s="55">
        <v>719</v>
      </c>
      <c r="P999" s="78">
        <v>1020000</v>
      </c>
    </row>
    <row r="1000" spans="1:16" ht="13.5" customHeight="1" thickBot="1">
      <c r="A1000" s="882"/>
      <c r="B1000" s="876"/>
      <c r="C1000" s="878"/>
      <c r="D1000" s="882"/>
      <c r="E1000" s="882"/>
      <c r="F1000" s="884"/>
      <c r="G1000" s="56">
        <v>721</v>
      </c>
      <c r="H1000" s="79">
        <v>120000</v>
      </c>
      <c r="I1000" s="874"/>
      <c r="J1000" s="876"/>
      <c r="K1000" s="882"/>
      <c r="L1000" s="882"/>
      <c r="M1000" s="882"/>
      <c r="N1000" s="884"/>
      <c r="O1000" s="56">
        <v>721</v>
      </c>
      <c r="P1000" s="79">
        <f>+N999-P999</f>
        <v>0</v>
      </c>
    </row>
    <row r="1001" spans="1:16" ht="13.5" customHeight="1">
      <c r="A1001" s="881" t="e">
        <f>+A999+1</f>
        <v>#REF!</v>
      </c>
      <c r="B1001" s="875">
        <v>42345</v>
      </c>
      <c r="C1001" s="881" t="s">
        <v>28</v>
      </c>
      <c r="D1001" s="881" t="s">
        <v>476</v>
      </c>
      <c r="E1001" s="881" t="s">
        <v>148</v>
      </c>
      <c r="F1001" s="883">
        <v>714000</v>
      </c>
      <c r="G1001" s="55">
        <v>719</v>
      </c>
      <c r="H1001" s="78">
        <v>510000</v>
      </c>
      <c r="I1001" s="881">
        <f>+I999+1</f>
        <v>107</v>
      </c>
      <c r="J1001" s="875">
        <v>43749</v>
      </c>
      <c r="K1001" s="881" t="s">
        <v>1091</v>
      </c>
      <c r="L1001" s="881" t="s">
        <v>1845</v>
      </c>
      <c r="M1001" s="881" t="s">
        <v>148</v>
      </c>
      <c r="N1001" s="883">
        <v>2430000</v>
      </c>
      <c r="O1001" s="55">
        <v>719</v>
      </c>
      <c r="P1001" s="78">
        <v>2430000</v>
      </c>
    </row>
    <row r="1002" spans="1:16" ht="13.5" customHeight="1" thickBot="1">
      <c r="A1002" s="882"/>
      <c r="B1002" s="876"/>
      <c r="C1002" s="882"/>
      <c r="D1002" s="882"/>
      <c r="E1002" s="882"/>
      <c r="F1002" s="884"/>
      <c r="G1002" s="56">
        <v>721</v>
      </c>
      <c r="H1002" s="79">
        <f>+F1001-H1001</f>
        <v>204000</v>
      </c>
      <c r="I1002" s="882"/>
      <c r="J1002" s="876"/>
      <c r="K1002" s="882"/>
      <c r="L1002" s="882"/>
      <c r="M1002" s="882"/>
      <c r="N1002" s="884"/>
      <c r="O1002" s="56">
        <v>721</v>
      </c>
      <c r="P1002" s="79">
        <f>+N1001-P1001</f>
        <v>0</v>
      </c>
    </row>
    <row r="1003" spans="1:16" ht="13.5" customHeight="1">
      <c r="A1003" s="881" t="e">
        <f>+A1001+1</f>
        <v>#REF!</v>
      </c>
      <c r="B1003" s="875">
        <v>42345</v>
      </c>
      <c r="C1003" s="877" t="s">
        <v>32</v>
      </c>
      <c r="D1003" s="881" t="s">
        <v>476</v>
      </c>
      <c r="E1003" s="881" t="s">
        <v>148</v>
      </c>
      <c r="F1003" s="883">
        <v>140000</v>
      </c>
      <c r="G1003" s="55">
        <v>719</v>
      </c>
      <c r="H1003" s="78">
        <v>100000</v>
      </c>
      <c r="I1003" s="881">
        <f>+I1001+1</f>
        <v>108</v>
      </c>
      <c r="J1003" s="875">
        <v>43749</v>
      </c>
      <c r="K1003" s="881" t="s">
        <v>1091</v>
      </c>
      <c r="L1003" s="881" t="s">
        <v>1846</v>
      </c>
      <c r="M1003" s="881" t="s">
        <v>148</v>
      </c>
      <c r="N1003" s="883">
        <v>370000</v>
      </c>
      <c r="O1003" s="55">
        <v>719</v>
      </c>
      <c r="P1003" s="78">
        <v>370000</v>
      </c>
    </row>
    <row r="1004" spans="1:16" ht="12.75" customHeight="1" thickBot="1">
      <c r="A1004" s="882"/>
      <c r="B1004" s="876"/>
      <c r="C1004" s="878"/>
      <c r="D1004" s="882"/>
      <c r="E1004" s="882"/>
      <c r="F1004" s="884"/>
      <c r="G1004" s="56">
        <v>721</v>
      </c>
      <c r="H1004" s="79">
        <f>+F1003-H1003</f>
        <v>40000</v>
      </c>
      <c r="I1004" s="882"/>
      <c r="J1004" s="876"/>
      <c r="K1004" s="882"/>
      <c r="L1004" s="882"/>
      <c r="M1004" s="882"/>
      <c r="N1004" s="884"/>
      <c r="O1004" s="56">
        <v>721</v>
      </c>
      <c r="P1004" s="79">
        <f>+N1003-P1003</f>
        <v>0</v>
      </c>
    </row>
    <row r="1005" spans="1:16" ht="13.5" customHeight="1">
      <c r="A1005" s="881" t="e">
        <f>+A1003+1</f>
        <v>#REF!</v>
      </c>
      <c r="B1005" s="875">
        <v>42345</v>
      </c>
      <c r="C1005" s="877" t="s">
        <v>111</v>
      </c>
      <c r="D1005" s="881" t="s">
        <v>474</v>
      </c>
      <c r="E1005" s="881" t="s">
        <v>148</v>
      </c>
      <c r="F1005" s="883">
        <v>336000</v>
      </c>
      <c r="G1005" s="55">
        <v>719</v>
      </c>
      <c r="H1005" s="78">
        <v>240000</v>
      </c>
      <c r="I1005" s="881">
        <f>+I1003+1</f>
        <v>109</v>
      </c>
      <c r="J1005" s="875">
        <v>43749</v>
      </c>
      <c r="K1005" s="881" t="s">
        <v>815</v>
      </c>
      <c r="L1005" s="881" t="s">
        <v>1851</v>
      </c>
      <c r="M1005" s="881" t="s">
        <v>148</v>
      </c>
      <c r="N1005" s="883">
        <v>1039500</v>
      </c>
      <c r="O1005" s="55">
        <v>719</v>
      </c>
      <c r="P1005" s="78">
        <v>770000</v>
      </c>
    </row>
    <row r="1006" spans="1:16" ht="14.25" customHeight="1" thickBot="1">
      <c r="A1006" s="882"/>
      <c r="B1006" s="876"/>
      <c r="C1006" s="878"/>
      <c r="D1006" s="882"/>
      <c r="E1006" s="882"/>
      <c r="F1006" s="884"/>
      <c r="G1006" s="56">
        <v>721</v>
      </c>
      <c r="H1006" s="79">
        <f>+F1005-H1005</f>
        <v>96000</v>
      </c>
      <c r="I1006" s="882"/>
      <c r="J1006" s="876"/>
      <c r="K1006" s="882"/>
      <c r="L1006" s="882"/>
      <c r="M1006" s="882"/>
      <c r="N1006" s="884"/>
      <c r="O1006" s="56">
        <v>721</v>
      </c>
      <c r="P1006" s="79">
        <f>+N1005-P1005</f>
        <v>269500</v>
      </c>
    </row>
    <row r="1007" spans="1:16" ht="16.5" customHeight="1" thickBot="1">
      <c r="A1007" s="881" t="e">
        <f>+A1005+1</f>
        <v>#REF!</v>
      </c>
      <c r="B1007" s="875">
        <v>42345</v>
      </c>
      <c r="C1007" s="877" t="s">
        <v>272</v>
      </c>
      <c r="D1007" s="881" t="s">
        <v>474</v>
      </c>
      <c r="E1007" s="881" t="s">
        <v>148</v>
      </c>
      <c r="F1007" s="883">
        <v>2058000</v>
      </c>
      <c r="G1007" s="55">
        <v>719</v>
      </c>
      <c r="H1007" s="78">
        <v>1470000</v>
      </c>
      <c r="I1007" s="901" t="s">
        <v>102</v>
      </c>
      <c r="J1007" s="902"/>
      <c r="K1007" s="902"/>
      <c r="L1007" s="902"/>
      <c r="M1007" s="903"/>
      <c r="N1007" s="81">
        <f>SUM(N997:N1006)</f>
        <v>3109500</v>
      </c>
    </row>
    <row r="1008" spans="1:16" ht="16.5" customHeight="1" thickBot="1">
      <c r="A1008" s="882"/>
      <c r="B1008" s="876"/>
      <c r="C1008" s="878"/>
      <c r="D1008" s="882"/>
      <c r="E1008" s="882"/>
      <c r="F1008" s="884"/>
      <c r="G1008" s="56">
        <v>721</v>
      </c>
      <c r="H1008" s="79">
        <f>+F1007-H1007</f>
        <v>588000</v>
      </c>
      <c r="I1008" s="885" t="s">
        <v>103</v>
      </c>
      <c r="J1008" s="886"/>
      <c r="K1008" s="886"/>
      <c r="L1008" s="886"/>
      <c r="M1008" s="887"/>
      <c r="N1008" s="69">
        <f>+N972</f>
        <v>363563877</v>
      </c>
      <c r="O1008" s="241" t="s">
        <v>561</v>
      </c>
      <c r="P1008" s="242">
        <f>211+326+266+410+2+7+113</f>
        <v>1335</v>
      </c>
    </row>
    <row r="1009" spans="1:16" ht="16.5" thickBot="1">
      <c r="A1009" s="901" t="s">
        <v>102</v>
      </c>
      <c r="B1009" s="902"/>
      <c r="C1009" s="902"/>
      <c r="D1009" s="902"/>
      <c r="E1009" s="903"/>
      <c r="F1009" s="81">
        <f>SUM(F999:F1008)</f>
        <v>3668000</v>
      </c>
      <c r="I1009" s="888" t="s">
        <v>104</v>
      </c>
      <c r="J1009" s="889"/>
      <c r="K1009" s="889"/>
      <c r="L1009" s="889"/>
      <c r="M1009" s="890"/>
      <c r="N1009" s="183">
        <f>SUM(N1007:N1008)</f>
        <v>366673377</v>
      </c>
    </row>
    <row r="1010" spans="1:16" ht="16.5" thickBot="1">
      <c r="A1010" s="885" t="s">
        <v>103</v>
      </c>
      <c r="B1010" s="886"/>
      <c r="C1010" s="886"/>
      <c r="D1010" s="886"/>
      <c r="E1010" s="887"/>
      <c r="F1010" s="69">
        <f>+F974</f>
        <v>654667638</v>
      </c>
      <c r="I1010" s="61"/>
      <c r="J1010" s="61"/>
      <c r="K1010" s="61"/>
      <c r="L1010" s="61"/>
      <c r="M1010" s="61"/>
    </row>
    <row r="1011" spans="1:16" ht="16.5" thickBot="1">
      <c r="A1011" s="888" t="s">
        <v>104</v>
      </c>
      <c r="B1011" s="889"/>
      <c r="C1011" s="889"/>
      <c r="D1011" s="889"/>
      <c r="E1011" s="890"/>
      <c r="F1011" s="183">
        <f>SUM(F1009:F1010)</f>
        <v>658335638</v>
      </c>
      <c r="I1011" s="51" t="s">
        <v>1849</v>
      </c>
    </row>
    <row r="1012" spans="1:16" ht="8.25" customHeight="1">
      <c r="A1012" s="61"/>
      <c r="B1012" s="61"/>
      <c r="C1012" s="61"/>
      <c r="D1012" s="61"/>
      <c r="E1012" s="61"/>
      <c r="N1012" s="139"/>
    </row>
    <row r="1013" spans="1:16" ht="18" customHeight="1">
      <c r="A1013" s="51" t="s">
        <v>477</v>
      </c>
      <c r="I1013" s="50" t="s">
        <v>105</v>
      </c>
      <c r="L1013" s="146"/>
      <c r="N1013" s="139"/>
    </row>
    <row r="1014" spans="1:16" ht="9.75" customHeight="1" thickBot="1">
      <c r="F1014" s="139"/>
    </row>
    <row r="1015" spans="1:16" ht="16.5" customHeight="1" thickBot="1">
      <c r="A1015" s="50" t="s">
        <v>105</v>
      </c>
      <c r="D1015" s="146"/>
      <c r="F1015" s="139"/>
      <c r="I1015" s="891" t="s">
        <v>106</v>
      </c>
      <c r="J1015" s="892"/>
      <c r="K1015" s="892"/>
      <c r="L1015" s="893"/>
      <c r="N1015" s="30" t="s">
        <v>1126</v>
      </c>
    </row>
    <row r="1016" spans="1:16" ht="11.25" customHeight="1" thickBot="1">
      <c r="I1016" s="57" t="s">
        <v>100</v>
      </c>
      <c r="J1016" s="58" t="s">
        <v>108</v>
      </c>
      <c r="K1016" s="59" t="s">
        <v>109</v>
      </c>
      <c r="L1016" s="60" t="s">
        <v>110</v>
      </c>
    </row>
    <row r="1017" spans="1:16" ht="15.75" thickBot="1">
      <c r="A1017" s="891" t="s">
        <v>106</v>
      </c>
      <c r="B1017" s="892"/>
      <c r="C1017" s="892"/>
      <c r="D1017" s="893"/>
      <c r="F1017" s="50" t="s">
        <v>288</v>
      </c>
      <c r="I1017" s="71">
        <v>719</v>
      </c>
      <c r="J1017" s="73">
        <f>+P999+P1001+P1003+P1005</f>
        <v>4590000</v>
      </c>
      <c r="K1017" s="74">
        <f>+L980</f>
        <v>22050000</v>
      </c>
      <c r="L1017" s="195">
        <f>+J1017+K1017</f>
        <v>26640000</v>
      </c>
    </row>
    <row r="1018" spans="1:16" ht="15.75" customHeight="1" thickBot="1">
      <c r="A1018" s="57" t="s">
        <v>100</v>
      </c>
      <c r="B1018" s="58" t="s">
        <v>108</v>
      </c>
      <c r="C1018" s="59" t="s">
        <v>109</v>
      </c>
      <c r="D1018" s="60" t="s">
        <v>110</v>
      </c>
      <c r="I1018" s="72">
        <v>721</v>
      </c>
      <c r="J1018" s="80">
        <f>+P998+P1000+P1002+P1004+P1006</f>
        <v>269500</v>
      </c>
      <c r="K1018" s="74">
        <f>+L981</f>
        <v>14773500</v>
      </c>
      <c r="L1018" s="195">
        <f>+J1018+K1018</f>
        <v>15043000</v>
      </c>
    </row>
    <row r="1019" spans="1:16">
      <c r="A1019" s="71">
        <v>719</v>
      </c>
      <c r="B1019" s="73">
        <f>+H999+H1001+H1003+H1005+H1007</f>
        <v>2620000</v>
      </c>
      <c r="C1019" s="74" t="e">
        <f>+D982</f>
        <v>#REF!</v>
      </c>
      <c r="D1019" s="195" t="e">
        <f>+B1019+C1019</f>
        <v>#REF!</v>
      </c>
      <c r="I1019" s="72">
        <v>722</v>
      </c>
      <c r="J1019" s="80"/>
      <c r="K1019" s="74">
        <f>+L982</f>
        <v>14081628</v>
      </c>
      <c r="L1019" s="195">
        <f>+J1019+K1019</f>
        <v>14081628</v>
      </c>
    </row>
    <row r="1020" spans="1:16" ht="15.75">
      <c r="A1020" s="72">
        <v>721</v>
      </c>
      <c r="B1020" s="80">
        <f>+H1008+H1006+H1004+H1002+H1000</f>
        <v>1048000</v>
      </c>
      <c r="C1020" s="74" t="e">
        <f>+D983</f>
        <v>#REF!</v>
      </c>
      <c r="D1020" s="195" t="e">
        <f>+B1020+C1020</f>
        <v>#REF!</v>
      </c>
      <c r="I1020" s="72">
        <v>723</v>
      </c>
      <c r="J1020" s="80">
        <f>+P997</f>
        <v>-1750000</v>
      </c>
      <c r="K1020" s="74">
        <f>+L983</f>
        <v>312957629</v>
      </c>
      <c r="L1020" s="195">
        <f>+J1020+K1020</f>
        <v>311207629</v>
      </c>
      <c r="N1020" s="918" t="s">
        <v>1850</v>
      </c>
      <c r="O1020" s="918"/>
      <c r="P1020" s="918"/>
    </row>
    <row r="1021" spans="1:16" ht="16.5" thickBot="1">
      <c r="A1021" s="72">
        <v>722</v>
      </c>
      <c r="B1021" s="80"/>
      <c r="C1021" s="74">
        <f>+D984</f>
        <v>231207671</v>
      </c>
      <c r="D1021" s="195">
        <f>+B1021+C1021</f>
        <v>231207671</v>
      </c>
      <c r="I1021" s="164" t="s">
        <v>181</v>
      </c>
      <c r="J1021" s="165"/>
      <c r="K1021" s="74">
        <f>+L984</f>
        <v>-298880</v>
      </c>
      <c r="L1021" s="196">
        <f>+J1021+K1021</f>
        <v>-298880</v>
      </c>
      <c r="N1021" s="52"/>
    </row>
    <row r="1022" spans="1:16" ht="16.5" thickBot="1">
      <c r="A1022" s="72">
        <v>723</v>
      </c>
      <c r="B1022" s="80"/>
      <c r="C1022" s="74" t="e">
        <f>+D985</f>
        <v>#REF!</v>
      </c>
      <c r="D1022" s="195" t="e">
        <f>+B1022+C1022</f>
        <v>#REF!</v>
      </c>
      <c r="F1022" s="174" t="s">
        <v>23</v>
      </c>
      <c r="G1022" s="175"/>
      <c r="I1022" s="169"/>
      <c r="J1022" s="197">
        <f>SUM(J1017:J1021)</f>
        <v>3109500</v>
      </c>
      <c r="K1022" s="197">
        <f>SUM(K1017:K1021)</f>
        <v>363563877</v>
      </c>
      <c r="L1022" s="198">
        <f>SUM(L1017:L1021)</f>
        <v>366673377</v>
      </c>
    </row>
    <row r="1023" spans="1:16" ht="16.5">
      <c r="A1023" s="49" t="s">
        <v>88</v>
      </c>
      <c r="B1023" s="50"/>
      <c r="I1023" s="49" t="s">
        <v>88</v>
      </c>
      <c r="J1023" s="50"/>
    </row>
    <row r="1024" spans="1:16">
      <c r="A1024" s="51" t="s">
        <v>89</v>
      </c>
      <c r="I1024" s="51" t="s">
        <v>89</v>
      </c>
    </row>
    <row r="1025" spans="1:16">
      <c r="A1025" s="51" t="s">
        <v>90</v>
      </c>
      <c r="I1025" s="51" t="s">
        <v>90</v>
      </c>
    </row>
    <row r="1026" spans="1:16">
      <c r="A1026" s="51" t="s">
        <v>91</v>
      </c>
      <c r="I1026" s="51" t="s">
        <v>91</v>
      </c>
    </row>
    <row r="1027" spans="1:16" ht="12" customHeight="1">
      <c r="A1027" s="50"/>
      <c r="B1027" s="50"/>
      <c r="I1027" s="50"/>
      <c r="J1027" s="50"/>
    </row>
    <row r="1028" spans="1:16" ht="16.5">
      <c r="A1028" s="52" t="s">
        <v>471</v>
      </c>
      <c r="G1028" s="52"/>
      <c r="I1028" s="260" t="s">
        <v>840</v>
      </c>
      <c r="O1028" s="52"/>
    </row>
    <row r="1029" spans="1:16" ht="15.75">
      <c r="A1029" s="53" t="s">
        <v>92</v>
      </c>
      <c r="G1029" s="53"/>
      <c r="I1029" s="53" t="s">
        <v>1702</v>
      </c>
      <c r="O1029" s="53"/>
    </row>
    <row r="1030" spans="1:16" ht="16.5">
      <c r="A1030" s="894" t="s">
        <v>462</v>
      </c>
      <c r="B1030" s="894"/>
      <c r="C1030" s="894"/>
      <c r="D1030" s="894"/>
      <c r="E1030" s="894"/>
      <c r="F1030" s="894"/>
      <c r="G1030" s="894"/>
      <c r="H1030" s="894"/>
      <c r="I1030" s="894" t="s">
        <v>1852</v>
      </c>
      <c r="J1030" s="894"/>
      <c r="K1030" s="894"/>
      <c r="L1030" s="894"/>
      <c r="M1030" s="894"/>
      <c r="N1030" s="894"/>
      <c r="O1030" s="894"/>
      <c r="P1030" s="894"/>
    </row>
    <row r="1031" spans="1:16" ht="11.25" customHeight="1" thickBot="1"/>
    <row r="1032" spans="1:16">
      <c r="A1032" s="895" t="s">
        <v>94</v>
      </c>
      <c r="B1032" s="897" t="s">
        <v>95</v>
      </c>
      <c r="C1032" s="897" t="s">
        <v>96</v>
      </c>
      <c r="D1032" s="897" t="s">
        <v>3</v>
      </c>
      <c r="E1032" s="897" t="s">
        <v>97</v>
      </c>
      <c r="F1032" s="897" t="s">
        <v>98</v>
      </c>
      <c r="G1032" s="897" t="s">
        <v>99</v>
      </c>
      <c r="H1032" s="899"/>
      <c r="I1032" s="895" t="s">
        <v>94</v>
      </c>
      <c r="J1032" s="897" t="s">
        <v>95</v>
      </c>
      <c r="K1032" s="897" t="s">
        <v>96</v>
      </c>
      <c r="L1032" s="897" t="s">
        <v>3</v>
      </c>
      <c r="M1032" s="897" t="s">
        <v>97</v>
      </c>
      <c r="N1032" s="897" t="s">
        <v>98</v>
      </c>
      <c r="O1032" s="897" t="s">
        <v>99</v>
      </c>
      <c r="P1032" s="899"/>
    </row>
    <row r="1033" spans="1:16" ht="15.75" thickBot="1">
      <c r="A1033" s="896"/>
      <c r="B1033" s="898"/>
      <c r="C1033" s="898"/>
      <c r="D1033" s="898"/>
      <c r="E1033" s="898"/>
      <c r="F1033" s="898"/>
      <c r="G1033" s="240" t="s">
        <v>100</v>
      </c>
      <c r="H1033" s="182" t="s">
        <v>101</v>
      </c>
      <c r="I1033" s="896"/>
      <c r="J1033" s="898"/>
      <c r="K1033" s="898"/>
      <c r="L1033" s="898"/>
      <c r="M1033" s="898"/>
      <c r="N1033" s="898"/>
      <c r="O1033" s="240" t="s">
        <v>100</v>
      </c>
      <c r="P1033" s="182" t="s">
        <v>101</v>
      </c>
    </row>
    <row r="1034" spans="1:16" ht="15" customHeight="1">
      <c r="A1034" s="881" t="e">
        <f>+A1007+1</f>
        <v>#REF!</v>
      </c>
      <c r="B1034" s="875">
        <v>42345</v>
      </c>
      <c r="C1034" s="877" t="s">
        <v>31</v>
      </c>
      <c r="D1034" s="881" t="s">
        <v>478</v>
      </c>
      <c r="E1034" s="881" t="s">
        <v>115</v>
      </c>
      <c r="F1034" s="883">
        <v>110000</v>
      </c>
      <c r="G1034" s="55">
        <v>719</v>
      </c>
      <c r="H1034" s="78">
        <f>+F1034</f>
        <v>110000</v>
      </c>
      <c r="I1034" s="873" t="s">
        <v>1856</v>
      </c>
      <c r="J1034" s="875">
        <v>43007</v>
      </c>
      <c r="K1034" s="877" t="s">
        <v>1315</v>
      </c>
      <c r="L1034" s="881" t="s">
        <v>1854</v>
      </c>
      <c r="M1034" s="881" t="s">
        <v>148</v>
      </c>
      <c r="N1034" s="883">
        <v>4005550</v>
      </c>
      <c r="O1034" s="55">
        <v>723</v>
      </c>
      <c r="P1034" s="78">
        <v>4005550</v>
      </c>
    </row>
    <row r="1035" spans="1:16" ht="15.75" customHeight="1" thickBot="1">
      <c r="A1035" s="882"/>
      <c r="B1035" s="876"/>
      <c r="C1035" s="878"/>
      <c r="D1035" s="882"/>
      <c r="E1035" s="882"/>
      <c r="F1035" s="884"/>
      <c r="G1035" s="56">
        <v>721</v>
      </c>
      <c r="H1035" s="79">
        <f>+F1034-H1034</f>
        <v>0</v>
      </c>
      <c r="I1035" s="874"/>
      <c r="J1035" s="876"/>
      <c r="K1035" s="878"/>
      <c r="L1035" s="882"/>
      <c r="M1035" s="882"/>
      <c r="N1035" s="884"/>
      <c r="O1035" s="56">
        <v>721</v>
      </c>
      <c r="P1035" s="79">
        <f>+N1034-P1034</f>
        <v>0</v>
      </c>
    </row>
    <row r="1036" spans="1:16" ht="12.75" customHeight="1">
      <c r="A1036" s="881" t="e">
        <f>+A1034+1</f>
        <v>#REF!</v>
      </c>
      <c r="B1036" s="875">
        <v>42345</v>
      </c>
      <c r="C1036" s="881" t="s">
        <v>472</v>
      </c>
      <c r="D1036" s="881" t="s">
        <v>479</v>
      </c>
      <c r="E1036" s="881" t="s">
        <v>115</v>
      </c>
      <c r="F1036" s="883">
        <v>60000</v>
      </c>
      <c r="G1036" s="55">
        <v>719</v>
      </c>
      <c r="H1036" s="78">
        <v>60000</v>
      </c>
      <c r="I1036" s="881">
        <f>+I1034+1</f>
        <v>111</v>
      </c>
      <c r="J1036" s="875">
        <v>43007</v>
      </c>
      <c r="K1036" s="877" t="s">
        <v>1853</v>
      </c>
      <c r="L1036" s="881" t="s">
        <v>1660</v>
      </c>
      <c r="M1036" s="881" t="s">
        <v>145</v>
      </c>
      <c r="N1036" s="883">
        <v>42881706</v>
      </c>
      <c r="O1036" s="55">
        <v>722</v>
      </c>
      <c r="P1036" s="78">
        <v>42881706</v>
      </c>
    </row>
    <row r="1037" spans="1:16" ht="15.75" customHeight="1" thickBot="1">
      <c r="A1037" s="882"/>
      <c r="B1037" s="876"/>
      <c r="C1037" s="882"/>
      <c r="D1037" s="882"/>
      <c r="E1037" s="882"/>
      <c r="F1037" s="884"/>
      <c r="G1037" s="56">
        <v>721</v>
      </c>
      <c r="H1037" s="79">
        <f>+F1036-H1036</f>
        <v>0</v>
      </c>
      <c r="I1037" s="882"/>
      <c r="J1037" s="876"/>
      <c r="K1037" s="878"/>
      <c r="L1037" s="882"/>
      <c r="M1037" s="882"/>
      <c r="N1037" s="884"/>
      <c r="O1037" s="56">
        <v>721</v>
      </c>
      <c r="P1037" s="79">
        <f>+N1036-P1036</f>
        <v>0</v>
      </c>
    </row>
    <row r="1038" spans="1:16" ht="15" customHeight="1">
      <c r="A1038" s="881"/>
      <c r="B1038" s="875"/>
      <c r="C1038" s="877"/>
      <c r="D1038" s="881"/>
      <c r="E1038" s="881"/>
      <c r="F1038" s="883"/>
      <c r="G1038" s="55">
        <v>719</v>
      </c>
      <c r="H1038" s="78"/>
      <c r="I1038" s="881">
        <f>+I1036+1</f>
        <v>112</v>
      </c>
      <c r="J1038" s="875">
        <v>43007</v>
      </c>
      <c r="K1038" s="877" t="s">
        <v>815</v>
      </c>
      <c r="L1038" s="881" t="s">
        <v>1855</v>
      </c>
      <c r="M1038" s="881" t="s">
        <v>775</v>
      </c>
      <c r="N1038" s="883">
        <v>1012500</v>
      </c>
      <c r="O1038" s="55">
        <v>719</v>
      </c>
      <c r="P1038" s="78">
        <v>750000</v>
      </c>
    </row>
    <row r="1039" spans="1:16" ht="15" customHeight="1" thickBot="1">
      <c r="A1039" s="882"/>
      <c r="B1039" s="876"/>
      <c r="C1039" s="878"/>
      <c r="D1039" s="882"/>
      <c r="E1039" s="882"/>
      <c r="F1039" s="884"/>
      <c r="G1039" s="56">
        <v>721</v>
      </c>
      <c r="H1039" s="79">
        <f>+F1038-H1038</f>
        <v>0</v>
      </c>
      <c r="I1039" s="882"/>
      <c r="J1039" s="876"/>
      <c r="K1039" s="878"/>
      <c r="L1039" s="882"/>
      <c r="M1039" s="882"/>
      <c r="N1039" s="884"/>
      <c r="O1039" s="56">
        <v>721</v>
      </c>
      <c r="P1039" s="79">
        <f>+N1038-P1038</f>
        <v>262500</v>
      </c>
    </row>
    <row r="1040" spans="1:16" ht="13.5" customHeight="1">
      <c r="A1040" s="881"/>
      <c r="B1040" s="875"/>
      <c r="C1040" s="877"/>
      <c r="D1040" s="881"/>
      <c r="E1040" s="881"/>
      <c r="F1040" s="883"/>
      <c r="G1040" s="55">
        <v>719</v>
      </c>
      <c r="H1040" s="78"/>
      <c r="I1040" s="881">
        <f>+I1038+1</f>
        <v>113</v>
      </c>
      <c r="J1040" s="875">
        <v>43007</v>
      </c>
      <c r="K1040" s="877" t="s">
        <v>899</v>
      </c>
      <c r="L1040" s="881" t="s">
        <v>1495</v>
      </c>
      <c r="M1040" s="881" t="s">
        <v>165</v>
      </c>
      <c r="N1040" s="883"/>
      <c r="O1040" s="55">
        <v>723</v>
      </c>
      <c r="P1040" s="78"/>
    </row>
    <row r="1041" spans="1:16" ht="14.25" customHeight="1" thickBot="1">
      <c r="A1041" s="882"/>
      <c r="B1041" s="876"/>
      <c r="C1041" s="878"/>
      <c r="D1041" s="882"/>
      <c r="E1041" s="882"/>
      <c r="F1041" s="884"/>
      <c r="G1041" s="56">
        <v>721</v>
      </c>
      <c r="H1041" s="79">
        <f>+F1040-H1040</f>
        <v>0</v>
      </c>
      <c r="I1041" s="882"/>
      <c r="J1041" s="876"/>
      <c r="K1041" s="878"/>
      <c r="L1041" s="882"/>
      <c r="M1041" s="882"/>
      <c r="N1041" s="884"/>
      <c r="O1041" s="56">
        <v>721</v>
      </c>
      <c r="P1041" s="79">
        <f>+N1040-P1040</f>
        <v>0</v>
      </c>
    </row>
    <row r="1042" spans="1:16" ht="16.5" thickBot="1">
      <c r="A1042" s="901" t="s">
        <v>102</v>
      </c>
      <c r="B1042" s="902"/>
      <c r="C1042" s="902"/>
      <c r="D1042" s="902"/>
      <c r="E1042" s="903"/>
      <c r="F1042" s="81">
        <f>SUM(F1034:F1041)</f>
        <v>170000</v>
      </c>
      <c r="I1042" s="901" t="s">
        <v>102</v>
      </c>
      <c r="J1042" s="902"/>
      <c r="K1042" s="902"/>
      <c r="L1042" s="902"/>
      <c r="M1042" s="903"/>
      <c r="N1042" s="81">
        <f>SUM(N1034:N1041)</f>
        <v>47899756</v>
      </c>
    </row>
    <row r="1043" spans="1:16" ht="16.5" thickBot="1">
      <c r="A1043" s="885" t="s">
        <v>103</v>
      </c>
      <c r="B1043" s="886"/>
      <c r="C1043" s="886"/>
      <c r="D1043" s="886"/>
      <c r="E1043" s="887"/>
      <c r="F1043" s="69">
        <f>+F1011</f>
        <v>658335638</v>
      </c>
      <c r="I1043" s="885" t="s">
        <v>103</v>
      </c>
      <c r="J1043" s="886"/>
      <c r="K1043" s="886"/>
      <c r="L1043" s="886"/>
      <c r="M1043" s="887"/>
      <c r="N1043" s="69">
        <f>+N1009</f>
        <v>366673377</v>
      </c>
      <c r="O1043" s="241" t="s">
        <v>561</v>
      </c>
      <c r="P1043" s="242"/>
    </row>
    <row r="1044" spans="1:16" ht="16.5" thickBot="1">
      <c r="A1044" s="888" t="s">
        <v>104</v>
      </c>
      <c r="B1044" s="889"/>
      <c r="C1044" s="889"/>
      <c r="D1044" s="889"/>
      <c r="E1044" s="890"/>
      <c r="F1044" s="183">
        <f>SUM(F1042:F1043)</f>
        <v>658505638</v>
      </c>
      <c r="I1044" s="888" t="s">
        <v>104</v>
      </c>
      <c r="J1044" s="889"/>
      <c r="K1044" s="889"/>
      <c r="L1044" s="889"/>
      <c r="M1044" s="890"/>
      <c r="N1044" s="183">
        <f>SUM(N1042:N1043)</f>
        <v>414573133</v>
      </c>
    </row>
    <row r="1045" spans="1:16" ht="11.25" customHeight="1">
      <c r="A1045" s="61"/>
      <c r="B1045" s="61"/>
      <c r="C1045" s="61"/>
      <c r="D1045" s="61"/>
      <c r="E1045" s="61"/>
      <c r="I1045" s="61"/>
      <c r="J1045" s="61"/>
      <c r="K1045" s="61"/>
      <c r="L1045" s="61"/>
      <c r="M1045" s="61"/>
    </row>
    <row r="1046" spans="1:16">
      <c r="A1046" s="51" t="s">
        <v>480</v>
      </c>
      <c r="I1046" s="51" t="s">
        <v>849</v>
      </c>
    </row>
    <row r="1047" spans="1:16" ht="9.75" customHeight="1">
      <c r="F1047" s="139"/>
      <c r="N1047" s="139"/>
    </row>
    <row r="1048" spans="1:16">
      <c r="A1048" s="50" t="s">
        <v>105</v>
      </c>
      <c r="D1048" s="146"/>
      <c r="F1048" s="139"/>
      <c r="I1048" s="50" t="s">
        <v>105</v>
      </c>
      <c r="L1048" s="146"/>
      <c r="N1048" s="139"/>
    </row>
    <row r="1049" spans="1:16" ht="12" customHeight="1" thickBot="1"/>
    <row r="1050" spans="1:16" ht="15.75" thickBot="1">
      <c r="A1050" s="891" t="s">
        <v>106</v>
      </c>
      <c r="B1050" s="892"/>
      <c r="C1050" s="892"/>
      <c r="D1050" s="893"/>
      <c r="F1050" s="50" t="s">
        <v>288</v>
      </c>
      <c r="I1050" s="891" t="s">
        <v>106</v>
      </c>
      <c r="J1050" s="892"/>
      <c r="K1050" s="892"/>
      <c r="L1050" s="893"/>
      <c r="N1050" s="50" t="s">
        <v>1126</v>
      </c>
    </row>
    <row r="1051" spans="1:16" ht="30.75" thickBot="1">
      <c r="A1051" s="57" t="s">
        <v>100</v>
      </c>
      <c r="B1051" s="58" t="s">
        <v>108</v>
      </c>
      <c r="C1051" s="59" t="s">
        <v>109</v>
      </c>
      <c r="D1051" s="60" t="s">
        <v>110</v>
      </c>
      <c r="I1051" s="57" t="s">
        <v>100</v>
      </c>
      <c r="J1051" s="58" t="s">
        <v>108</v>
      </c>
      <c r="K1051" s="59" t="s">
        <v>109</v>
      </c>
      <c r="L1051" s="60" t="s">
        <v>110</v>
      </c>
    </row>
    <row r="1052" spans="1:16" ht="13.5" customHeight="1">
      <c r="A1052" s="71">
        <v>719</v>
      </c>
      <c r="B1052" s="73" t="e">
        <f>+H1034+H1036+H1038+#REF!</f>
        <v>#REF!</v>
      </c>
      <c r="C1052" s="74" t="e">
        <f>+D1019</f>
        <v>#REF!</v>
      </c>
      <c r="D1052" s="195" t="e">
        <f>+B1052+C1052</f>
        <v>#REF!</v>
      </c>
      <c r="I1052" s="71">
        <v>719</v>
      </c>
      <c r="J1052" s="73">
        <f>+P1038</f>
        <v>750000</v>
      </c>
      <c r="K1052" s="74">
        <f>+L1017</f>
        <v>26640000</v>
      </c>
      <c r="L1052" s="195">
        <f>+J1052+K1052</f>
        <v>27390000</v>
      </c>
    </row>
    <row r="1053" spans="1:16" ht="13.5" customHeight="1">
      <c r="A1053" s="72">
        <v>721</v>
      </c>
      <c r="B1053" s="80">
        <f>+H1035</f>
        <v>0</v>
      </c>
      <c r="C1053" s="74" t="e">
        <f>+D1020</f>
        <v>#REF!</v>
      </c>
      <c r="D1053" s="195" t="e">
        <f>+B1053+C1053</f>
        <v>#REF!</v>
      </c>
      <c r="I1053" s="72">
        <v>721</v>
      </c>
      <c r="J1053" s="80">
        <f>+P1039</f>
        <v>262500</v>
      </c>
      <c r="K1053" s="74">
        <f>+L1018</f>
        <v>15043000</v>
      </c>
      <c r="L1053" s="195">
        <f>+J1053+K1053</f>
        <v>15305500</v>
      </c>
    </row>
    <row r="1054" spans="1:16">
      <c r="A1054" s="72">
        <v>722</v>
      </c>
      <c r="B1054" s="80"/>
      <c r="C1054" s="74">
        <f>+D1021</f>
        <v>231207671</v>
      </c>
      <c r="D1054" s="195">
        <f>+B1054+C1054</f>
        <v>231207671</v>
      </c>
      <c r="I1054" s="72">
        <v>722</v>
      </c>
      <c r="J1054" s="80">
        <f>+P1036</f>
        <v>42881706</v>
      </c>
      <c r="K1054" s="74">
        <f>+L1019</f>
        <v>14081628</v>
      </c>
      <c r="L1054" s="195">
        <f>+J1054+K1054</f>
        <v>56963334</v>
      </c>
    </row>
    <row r="1055" spans="1:16" ht="14.25" customHeight="1">
      <c r="A1055" s="72">
        <v>723</v>
      </c>
      <c r="B1055" s="80"/>
      <c r="C1055" s="74" t="e">
        <f>+D1022</f>
        <v>#REF!</v>
      </c>
      <c r="D1055" s="195" t="e">
        <f>+B1055+C1055</f>
        <v>#REF!</v>
      </c>
      <c r="F1055" s="174" t="s">
        <v>23</v>
      </c>
      <c r="G1055" s="175"/>
      <c r="I1055" s="72">
        <v>723</v>
      </c>
      <c r="J1055" s="80">
        <f>+P1034</f>
        <v>4005550</v>
      </c>
      <c r="K1055" s="74">
        <f>+L1020</f>
        <v>311207629</v>
      </c>
      <c r="L1055" s="195">
        <f>+J1055+K1055</f>
        <v>315213179</v>
      </c>
      <c r="N1055" s="918" t="s">
        <v>1857</v>
      </c>
      <c r="O1055" s="918"/>
      <c r="P1055" s="918"/>
    </row>
    <row r="1056" spans="1:16" ht="13.5" customHeight="1" thickBot="1">
      <c r="A1056" s="164" t="s">
        <v>181</v>
      </c>
      <c r="B1056" s="165"/>
      <c r="C1056" s="74" t="e">
        <f>+#REF!</f>
        <v>#REF!</v>
      </c>
      <c r="D1056" s="196" t="e">
        <f>+B1056+C1056</f>
        <v>#REF!</v>
      </c>
      <c r="F1056" s="52"/>
      <c r="I1056" s="164" t="s">
        <v>181</v>
      </c>
      <c r="J1056" s="165"/>
      <c r="K1056" s="74">
        <f>+L1021</f>
        <v>-298880</v>
      </c>
      <c r="L1056" s="196">
        <f>+J1056+K1056</f>
        <v>-298880</v>
      </c>
      <c r="N1056" s="52"/>
    </row>
    <row r="1057" spans="1:16" ht="16.5" thickBot="1">
      <c r="A1057" s="169"/>
      <c r="B1057" s="170" t="e">
        <f>SUM(B1052:B1056)</f>
        <v>#REF!</v>
      </c>
      <c r="C1057" s="171" t="e">
        <f>SUM(C1052:C1056)</f>
        <v>#REF!</v>
      </c>
      <c r="D1057" s="172" t="e">
        <f>SUM(D1052:D1056)</f>
        <v>#REF!</v>
      </c>
      <c r="I1057" s="169"/>
      <c r="J1057" s="197">
        <f>SUM(J1052:J1056)</f>
        <v>47899756</v>
      </c>
      <c r="K1057" s="197">
        <f>SUM(K1052:K1056)</f>
        <v>366673377</v>
      </c>
      <c r="L1057" s="198">
        <f>SUM(L1052:L1056)</f>
        <v>414573133</v>
      </c>
    </row>
    <row r="1058" spans="1:16" ht="16.5">
      <c r="A1058" s="49" t="s">
        <v>88</v>
      </c>
      <c r="B1058" s="50"/>
      <c r="I1058" s="49" t="s">
        <v>88</v>
      </c>
      <c r="J1058" s="50"/>
    </row>
    <row r="1059" spans="1:16">
      <c r="A1059" s="51" t="s">
        <v>89</v>
      </c>
      <c r="I1059" s="51" t="s">
        <v>89</v>
      </c>
    </row>
    <row r="1060" spans="1:16">
      <c r="A1060" s="51" t="s">
        <v>90</v>
      </c>
      <c r="I1060" s="51" t="s">
        <v>90</v>
      </c>
    </row>
    <row r="1061" spans="1:16">
      <c r="A1061" s="51" t="s">
        <v>91</v>
      </c>
      <c r="I1061" s="51" t="s">
        <v>91</v>
      </c>
    </row>
    <row r="1062" spans="1:16" ht="12.75" customHeight="1">
      <c r="A1062" s="50"/>
      <c r="B1062" s="50"/>
      <c r="I1062" s="50"/>
      <c r="J1062" s="50"/>
    </row>
    <row r="1063" spans="1:16" ht="16.5">
      <c r="A1063" s="52" t="s">
        <v>473</v>
      </c>
      <c r="G1063" s="52"/>
      <c r="I1063" s="260" t="s">
        <v>841</v>
      </c>
      <c r="O1063" s="52"/>
    </row>
    <row r="1064" spans="1:16" ht="15.75">
      <c r="A1064" s="53" t="s">
        <v>92</v>
      </c>
      <c r="G1064" s="53"/>
      <c r="I1064" s="53" t="s">
        <v>1702</v>
      </c>
      <c r="O1064" s="53"/>
    </row>
    <row r="1065" spans="1:16" ht="16.5">
      <c r="A1065" s="894" t="s">
        <v>462</v>
      </c>
      <c r="B1065" s="894"/>
      <c r="C1065" s="894"/>
      <c r="D1065" s="894"/>
      <c r="E1065" s="894"/>
      <c r="F1065" s="894"/>
      <c r="G1065" s="894"/>
      <c r="H1065" s="894"/>
      <c r="I1065" s="894" t="s">
        <v>261</v>
      </c>
      <c r="J1065" s="894"/>
      <c r="K1065" s="894"/>
      <c r="L1065" s="894"/>
      <c r="M1065" s="894"/>
      <c r="N1065" s="894"/>
      <c r="O1065" s="894"/>
      <c r="P1065" s="894"/>
    </row>
    <row r="1066" spans="1:16" ht="15.75" thickBot="1"/>
    <row r="1067" spans="1:16">
      <c r="A1067" s="895" t="s">
        <v>94</v>
      </c>
      <c r="B1067" s="897" t="s">
        <v>95</v>
      </c>
      <c r="C1067" s="897" t="s">
        <v>96</v>
      </c>
      <c r="D1067" s="897" t="s">
        <v>3</v>
      </c>
      <c r="E1067" s="897" t="s">
        <v>97</v>
      </c>
      <c r="F1067" s="897" t="s">
        <v>98</v>
      </c>
      <c r="G1067" s="897" t="s">
        <v>99</v>
      </c>
      <c r="H1067" s="899"/>
      <c r="I1067" s="895" t="s">
        <v>94</v>
      </c>
      <c r="J1067" s="897" t="s">
        <v>95</v>
      </c>
      <c r="K1067" s="897" t="s">
        <v>96</v>
      </c>
      <c r="L1067" s="897" t="s">
        <v>3</v>
      </c>
      <c r="M1067" s="897" t="s">
        <v>97</v>
      </c>
      <c r="N1067" s="897" t="s">
        <v>98</v>
      </c>
      <c r="O1067" s="897" t="s">
        <v>99</v>
      </c>
      <c r="P1067" s="899"/>
    </row>
    <row r="1068" spans="1:16" ht="15.75" thickBot="1">
      <c r="A1068" s="896"/>
      <c r="B1068" s="898"/>
      <c r="C1068" s="898"/>
      <c r="D1068" s="898"/>
      <c r="E1068" s="898"/>
      <c r="F1068" s="898"/>
      <c r="G1068" s="240" t="s">
        <v>100</v>
      </c>
      <c r="H1068" s="182" t="s">
        <v>101</v>
      </c>
      <c r="I1068" s="896"/>
      <c r="J1068" s="898"/>
      <c r="K1068" s="898"/>
      <c r="L1068" s="898"/>
      <c r="M1068" s="898"/>
      <c r="N1068" s="898"/>
      <c r="O1068" s="240" t="s">
        <v>100</v>
      </c>
      <c r="P1068" s="182" t="s">
        <v>101</v>
      </c>
    </row>
    <row r="1069" spans="1:16" ht="15" customHeight="1">
      <c r="A1069" s="881" t="e">
        <f>+A1036+1</f>
        <v>#REF!</v>
      </c>
      <c r="B1069" s="875">
        <v>42345</v>
      </c>
      <c r="C1069" s="877" t="s">
        <v>267</v>
      </c>
      <c r="D1069" s="881" t="s">
        <v>481</v>
      </c>
      <c r="E1069" s="881" t="s">
        <v>148</v>
      </c>
      <c r="F1069" s="883">
        <v>182000</v>
      </c>
      <c r="G1069" s="55">
        <v>719</v>
      </c>
      <c r="H1069" s="78">
        <v>130000</v>
      </c>
      <c r="I1069" s="873" t="s">
        <v>1604</v>
      </c>
      <c r="J1069" s="875">
        <v>43817</v>
      </c>
      <c r="K1069" s="881" t="s">
        <v>815</v>
      </c>
      <c r="L1069" s="881" t="s">
        <v>1858</v>
      </c>
      <c r="M1069" s="881" t="s">
        <v>115</v>
      </c>
      <c r="N1069" s="883">
        <v>945000</v>
      </c>
      <c r="O1069" s="55">
        <v>719</v>
      </c>
      <c r="P1069" s="78">
        <v>700000</v>
      </c>
    </row>
    <row r="1070" spans="1:16" ht="13.5" customHeight="1" thickBot="1">
      <c r="A1070" s="882"/>
      <c r="B1070" s="876"/>
      <c r="C1070" s="878"/>
      <c r="D1070" s="882"/>
      <c r="E1070" s="882"/>
      <c r="F1070" s="884"/>
      <c r="G1070" s="56">
        <v>721</v>
      </c>
      <c r="H1070" s="79">
        <f>+F1069-H1069</f>
        <v>52000</v>
      </c>
      <c r="I1070" s="874"/>
      <c r="J1070" s="876"/>
      <c r="K1070" s="882"/>
      <c r="L1070" s="882"/>
      <c r="M1070" s="882"/>
      <c r="N1070" s="884"/>
      <c r="O1070" s="56">
        <v>721</v>
      </c>
      <c r="P1070" s="79">
        <f>+N1069-P1069</f>
        <v>245000</v>
      </c>
    </row>
    <row r="1071" spans="1:16" ht="12.75" customHeight="1">
      <c r="A1071" s="881" t="e">
        <f>+A1069+1</f>
        <v>#REF!</v>
      </c>
      <c r="B1071" s="875">
        <v>42345</v>
      </c>
      <c r="C1071" s="881" t="s">
        <v>28</v>
      </c>
      <c r="D1071" s="881" t="s">
        <v>482</v>
      </c>
      <c r="E1071" s="881" t="s">
        <v>148</v>
      </c>
      <c r="F1071" s="883">
        <v>266000</v>
      </c>
      <c r="G1071" s="55">
        <v>719</v>
      </c>
      <c r="H1071" s="78">
        <v>190000</v>
      </c>
      <c r="I1071" s="881">
        <f>+I1069+1</f>
        <v>115</v>
      </c>
      <c r="J1071" s="875">
        <v>43817</v>
      </c>
      <c r="K1071" s="910" t="s">
        <v>1864</v>
      </c>
      <c r="L1071" s="881" t="s">
        <v>1859</v>
      </c>
      <c r="M1071" s="881" t="s">
        <v>148</v>
      </c>
      <c r="N1071" s="883">
        <v>500000</v>
      </c>
      <c r="O1071" s="55">
        <v>719</v>
      </c>
      <c r="P1071" s="78">
        <v>500000</v>
      </c>
    </row>
    <row r="1072" spans="1:16" ht="13.5" customHeight="1" thickBot="1">
      <c r="A1072" s="882"/>
      <c r="B1072" s="876"/>
      <c r="C1072" s="882"/>
      <c r="D1072" s="882"/>
      <c r="E1072" s="882"/>
      <c r="F1072" s="884"/>
      <c r="G1072" s="56">
        <v>721</v>
      </c>
      <c r="H1072" s="79">
        <f>+F1071-H1071</f>
        <v>76000</v>
      </c>
      <c r="I1072" s="882"/>
      <c r="J1072" s="876"/>
      <c r="K1072" s="911"/>
      <c r="L1072" s="882"/>
      <c r="M1072" s="882"/>
      <c r="N1072" s="884"/>
      <c r="O1072" s="56">
        <v>721</v>
      </c>
      <c r="P1072" s="79">
        <f>+N1071-P1071</f>
        <v>0</v>
      </c>
    </row>
    <row r="1073" spans="1:16" ht="13.5" customHeight="1">
      <c r="A1073" s="881" t="e">
        <f>+A1071+1</f>
        <v>#REF!</v>
      </c>
      <c r="B1073" s="875">
        <v>42345</v>
      </c>
      <c r="C1073" s="877" t="s">
        <v>32</v>
      </c>
      <c r="D1073" s="881" t="s">
        <v>481</v>
      </c>
      <c r="E1073" s="881" t="s">
        <v>148</v>
      </c>
      <c r="F1073" s="883">
        <v>70000</v>
      </c>
      <c r="G1073" s="55">
        <v>719</v>
      </c>
      <c r="H1073" s="78">
        <v>50000</v>
      </c>
      <c r="I1073" s="881">
        <f>+I1071+1</f>
        <v>116</v>
      </c>
      <c r="J1073" s="875">
        <v>43817</v>
      </c>
      <c r="K1073" s="877" t="s">
        <v>111</v>
      </c>
      <c r="L1073" s="881" t="s">
        <v>1860</v>
      </c>
      <c r="M1073" s="881" t="s">
        <v>148</v>
      </c>
      <c r="N1073" s="883">
        <v>580000</v>
      </c>
      <c r="O1073" s="55">
        <v>719</v>
      </c>
      <c r="P1073" s="78">
        <v>580000</v>
      </c>
    </row>
    <row r="1074" spans="1:16" ht="12.75" customHeight="1" thickBot="1">
      <c r="A1074" s="882"/>
      <c r="B1074" s="876"/>
      <c r="C1074" s="878"/>
      <c r="D1074" s="882"/>
      <c r="E1074" s="882"/>
      <c r="F1074" s="884"/>
      <c r="G1074" s="56">
        <v>721</v>
      </c>
      <c r="H1074" s="79">
        <f>+F1073-H1073</f>
        <v>20000</v>
      </c>
      <c r="I1074" s="882"/>
      <c r="J1074" s="876"/>
      <c r="K1074" s="878"/>
      <c r="L1074" s="882"/>
      <c r="M1074" s="882"/>
      <c r="N1074" s="884"/>
      <c r="O1074" s="56">
        <v>721</v>
      </c>
      <c r="P1074" s="79">
        <f>+N1073-P1073</f>
        <v>0</v>
      </c>
    </row>
    <row r="1075" spans="1:16" ht="12.75" customHeight="1">
      <c r="A1075" s="251"/>
      <c r="B1075" s="252"/>
      <c r="C1075" s="253"/>
      <c r="D1075" s="251"/>
      <c r="E1075" s="251"/>
      <c r="F1075" s="254"/>
      <c r="G1075" s="255"/>
      <c r="H1075" s="256"/>
      <c r="I1075" s="881">
        <f>+I1073+1</f>
        <v>117</v>
      </c>
      <c r="J1075" s="875">
        <v>43817</v>
      </c>
      <c r="K1075" s="877" t="s">
        <v>267</v>
      </c>
      <c r="L1075" s="881" t="s">
        <v>1861</v>
      </c>
      <c r="M1075" s="881" t="s">
        <v>148</v>
      </c>
      <c r="N1075" s="883">
        <v>440000</v>
      </c>
      <c r="O1075" s="55">
        <v>719</v>
      </c>
      <c r="P1075" s="78">
        <v>440000</v>
      </c>
    </row>
    <row r="1076" spans="1:16" ht="12.75" customHeight="1" thickBot="1">
      <c r="A1076" s="251"/>
      <c r="B1076" s="252"/>
      <c r="C1076" s="253"/>
      <c r="D1076" s="251"/>
      <c r="E1076" s="251"/>
      <c r="F1076" s="254"/>
      <c r="G1076" s="255"/>
      <c r="H1076" s="256"/>
      <c r="I1076" s="882"/>
      <c r="J1076" s="876"/>
      <c r="K1076" s="878"/>
      <c r="L1076" s="882"/>
      <c r="M1076" s="882"/>
      <c r="N1076" s="884"/>
      <c r="O1076" s="56">
        <v>721</v>
      </c>
      <c r="P1076" s="79">
        <f>+N1075-P1075</f>
        <v>0</v>
      </c>
    </row>
    <row r="1077" spans="1:16" ht="12.75" customHeight="1">
      <c r="A1077" s="251"/>
      <c r="B1077" s="252"/>
      <c r="C1077" s="253"/>
      <c r="D1077" s="251"/>
      <c r="E1077" s="251"/>
      <c r="F1077" s="254"/>
      <c r="G1077" s="255"/>
      <c r="H1077" s="256"/>
      <c r="I1077" s="881">
        <f>+I1075+1</f>
        <v>118</v>
      </c>
      <c r="J1077" s="875">
        <v>43817</v>
      </c>
      <c r="K1077" s="877" t="s">
        <v>1079</v>
      </c>
      <c r="L1077" s="881" t="s">
        <v>1863</v>
      </c>
      <c r="M1077" s="881" t="s">
        <v>148</v>
      </c>
      <c r="N1077" s="883">
        <v>3280000</v>
      </c>
      <c r="O1077" s="55">
        <v>719</v>
      </c>
      <c r="P1077" s="78">
        <v>3280000</v>
      </c>
    </row>
    <row r="1078" spans="1:16" ht="12.75" customHeight="1" thickBot="1">
      <c r="A1078" s="251"/>
      <c r="B1078" s="252"/>
      <c r="C1078" s="253"/>
      <c r="D1078" s="251"/>
      <c r="E1078" s="251"/>
      <c r="F1078" s="254"/>
      <c r="G1078" s="255"/>
      <c r="H1078" s="256"/>
      <c r="I1078" s="882"/>
      <c r="J1078" s="876"/>
      <c r="K1078" s="878"/>
      <c r="L1078" s="882"/>
      <c r="M1078" s="882"/>
      <c r="N1078" s="884"/>
      <c r="O1078" s="56">
        <v>721</v>
      </c>
      <c r="P1078" s="79">
        <f>+N1077-P1077</f>
        <v>0</v>
      </c>
    </row>
    <row r="1079" spans="1:16" ht="12.75" customHeight="1">
      <c r="A1079" s="251"/>
      <c r="B1079" s="252"/>
      <c r="C1079" s="253"/>
      <c r="D1079" s="251"/>
      <c r="E1079" s="251"/>
      <c r="F1079" s="254"/>
      <c r="G1079" s="255"/>
      <c r="H1079" s="256"/>
      <c r="I1079" s="881">
        <f>+I1077+1</f>
        <v>119</v>
      </c>
      <c r="J1079" s="875">
        <v>43817</v>
      </c>
      <c r="K1079" s="877" t="s">
        <v>1315</v>
      </c>
      <c r="L1079" s="881" t="s">
        <v>1858</v>
      </c>
      <c r="M1079" s="881" t="s">
        <v>148</v>
      </c>
      <c r="N1079" s="883">
        <v>1803150</v>
      </c>
      <c r="O1079" s="55">
        <v>723</v>
      </c>
      <c r="P1079" s="78">
        <v>1803150</v>
      </c>
    </row>
    <row r="1080" spans="1:16" ht="12.75" customHeight="1" thickBot="1">
      <c r="A1080" s="251"/>
      <c r="B1080" s="252"/>
      <c r="C1080" s="253"/>
      <c r="D1080" s="251"/>
      <c r="E1080" s="251"/>
      <c r="F1080" s="254"/>
      <c r="G1080" s="255"/>
      <c r="H1080" s="256"/>
      <c r="I1080" s="882"/>
      <c r="J1080" s="876"/>
      <c r="K1080" s="878"/>
      <c r="L1080" s="882"/>
      <c r="M1080" s="882"/>
      <c r="N1080" s="884"/>
      <c r="O1080" s="56">
        <v>721</v>
      </c>
      <c r="P1080" s="79">
        <f>+N1079-P1079</f>
        <v>0</v>
      </c>
    </row>
    <row r="1081" spans="1:16" ht="16.5" thickBot="1">
      <c r="A1081" s="901" t="s">
        <v>102</v>
      </c>
      <c r="B1081" s="902"/>
      <c r="C1081" s="902"/>
      <c r="D1081" s="902"/>
      <c r="E1081" s="903"/>
      <c r="F1081" s="81">
        <f>SUM(F1069:F1080)</f>
        <v>518000</v>
      </c>
      <c r="I1081" s="901" t="s">
        <v>102</v>
      </c>
      <c r="J1081" s="902"/>
      <c r="K1081" s="902"/>
      <c r="L1081" s="902"/>
      <c r="M1081" s="903"/>
      <c r="N1081" s="81">
        <f>SUM(N1069:N1080)</f>
        <v>7548150</v>
      </c>
    </row>
    <row r="1082" spans="1:16" ht="16.5" thickBot="1">
      <c r="A1082" s="885" t="s">
        <v>103</v>
      </c>
      <c r="B1082" s="886"/>
      <c r="C1082" s="886"/>
      <c r="D1082" s="886"/>
      <c r="E1082" s="887"/>
      <c r="F1082" s="69">
        <f>+F1044</f>
        <v>658505638</v>
      </c>
      <c r="I1082" s="885" t="s">
        <v>103</v>
      </c>
      <c r="J1082" s="886"/>
      <c r="K1082" s="886"/>
      <c r="L1082" s="886"/>
      <c r="M1082" s="887"/>
      <c r="N1082" s="69">
        <f>+N1044</f>
        <v>414573133</v>
      </c>
      <c r="O1082" s="241" t="s">
        <v>561</v>
      </c>
      <c r="P1082" s="242"/>
    </row>
    <row r="1083" spans="1:16" ht="16.5" thickBot="1">
      <c r="A1083" s="888" t="s">
        <v>104</v>
      </c>
      <c r="B1083" s="889"/>
      <c r="C1083" s="889"/>
      <c r="D1083" s="889"/>
      <c r="E1083" s="890"/>
      <c r="F1083" s="183">
        <f>SUM(F1081:F1082)</f>
        <v>659023638</v>
      </c>
      <c r="I1083" s="888" t="s">
        <v>104</v>
      </c>
      <c r="J1083" s="889"/>
      <c r="K1083" s="889"/>
      <c r="L1083" s="889"/>
      <c r="M1083" s="890"/>
      <c r="N1083" s="183">
        <f>SUM(N1081:N1082)</f>
        <v>422121283</v>
      </c>
    </row>
    <row r="1084" spans="1:16" ht="12.75" customHeight="1">
      <c r="A1084" s="61"/>
      <c r="B1084" s="61"/>
      <c r="C1084" s="61"/>
      <c r="D1084" s="61"/>
      <c r="E1084" s="61"/>
      <c r="I1084" s="61"/>
      <c r="J1084" s="61"/>
      <c r="K1084" s="61"/>
      <c r="L1084" s="61"/>
      <c r="M1084" s="61"/>
    </row>
    <row r="1085" spans="1:16">
      <c r="A1085" s="51" t="s">
        <v>484</v>
      </c>
      <c r="I1085" s="51" t="s">
        <v>1865</v>
      </c>
    </row>
    <row r="1086" spans="1:16" ht="7.5" customHeight="1">
      <c r="F1086" s="139"/>
      <c r="N1086" s="139"/>
    </row>
    <row r="1087" spans="1:16">
      <c r="A1087" s="50" t="s">
        <v>105</v>
      </c>
      <c r="D1087" s="146"/>
      <c r="F1087" s="139"/>
      <c r="I1087" s="50" t="s">
        <v>105</v>
      </c>
      <c r="L1087" s="146"/>
      <c r="N1087" s="139"/>
    </row>
    <row r="1088" spans="1:16" ht="13.5" customHeight="1" thickBot="1"/>
    <row r="1089" spans="1:16" ht="15.75" thickBot="1">
      <c r="A1089" s="891" t="s">
        <v>106</v>
      </c>
      <c r="B1089" s="892"/>
      <c r="C1089" s="892"/>
      <c r="D1089" s="893"/>
      <c r="F1089" s="50" t="s">
        <v>288</v>
      </c>
      <c r="I1089" s="891" t="s">
        <v>106</v>
      </c>
      <c r="J1089" s="892"/>
      <c r="K1089" s="892"/>
      <c r="L1089" s="893"/>
      <c r="N1089" s="925" t="s">
        <v>288</v>
      </c>
      <c r="O1089" s="925"/>
      <c r="P1089" s="925"/>
    </row>
    <row r="1090" spans="1:16" ht="30.75" thickBot="1">
      <c r="A1090" s="57" t="s">
        <v>100</v>
      </c>
      <c r="B1090" s="58" t="s">
        <v>108</v>
      </c>
      <c r="C1090" s="59" t="s">
        <v>109</v>
      </c>
      <c r="D1090" s="60" t="s">
        <v>110</v>
      </c>
      <c r="I1090" s="57" t="s">
        <v>100</v>
      </c>
      <c r="J1090" s="58" t="s">
        <v>108</v>
      </c>
      <c r="K1090" s="59" t="s">
        <v>109</v>
      </c>
      <c r="L1090" s="60" t="s">
        <v>110</v>
      </c>
    </row>
    <row r="1091" spans="1:16">
      <c r="A1091" s="71">
        <v>719</v>
      </c>
      <c r="B1091" s="73" t="e">
        <f>+H1069+H1071+H1073+#REF!+#REF!</f>
        <v>#REF!</v>
      </c>
      <c r="C1091" s="74" t="e">
        <f>+D1052</f>
        <v>#REF!</v>
      </c>
      <c r="D1091" s="195" t="e">
        <f>+B1091+C1091</f>
        <v>#REF!</v>
      </c>
      <c r="I1091" s="71">
        <v>719</v>
      </c>
      <c r="J1091" s="73">
        <f>+P1069+P1073+P1075+P1071+P1077</f>
        <v>5500000</v>
      </c>
      <c r="K1091" s="74">
        <f>+L1052</f>
        <v>27390000</v>
      </c>
      <c r="L1091" s="195">
        <f>+J1091+K1091</f>
        <v>32890000</v>
      </c>
    </row>
    <row r="1092" spans="1:16" ht="12.75" customHeight="1">
      <c r="A1092" s="72">
        <v>721</v>
      </c>
      <c r="B1092" s="80" t="e">
        <f>+#REF!+#REF!+H1074+H1072+H1070</f>
        <v>#REF!</v>
      </c>
      <c r="C1092" s="74" t="e">
        <f>+D1053</f>
        <v>#REF!</v>
      </c>
      <c r="D1092" s="195" t="e">
        <f>+B1092+C1092</f>
        <v>#REF!</v>
      </c>
      <c r="I1092" s="72">
        <v>721</v>
      </c>
      <c r="J1092" s="80">
        <f>+P1070+P1072+P1074</f>
        <v>245000</v>
      </c>
      <c r="K1092" s="74">
        <f>+L1053</f>
        <v>15305500</v>
      </c>
      <c r="L1092" s="195">
        <f>+J1092+K1092</f>
        <v>15550500</v>
      </c>
    </row>
    <row r="1093" spans="1:16" ht="13.5" customHeight="1">
      <c r="A1093" s="72">
        <v>722</v>
      </c>
      <c r="B1093" s="80"/>
      <c r="C1093" s="74">
        <f>+D1054</f>
        <v>231207671</v>
      </c>
      <c r="D1093" s="195">
        <f>+B1093+C1093</f>
        <v>231207671</v>
      </c>
      <c r="I1093" s="72">
        <v>722</v>
      </c>
      <c r="J1093" s="80"/>
      <c r="K1093" s="74">
        <f>+L1054</f>
        <v>56963334</v>
      </c>
      <c r="L1093" s="195">
        <f>+J1093+K1093</f>
        <v>56963334</v>
      </c>
    </row>
    <row r="1094" spans="1:16" ht="13.5" customHeight="1">
      <c r="A1094" s="72">
        <v>723</v>
      </c>
      <c r="B1094" s="80"/>
      <c r="C1094" s="74" t="e">
        <f>+D1055</f>
        <v>#REF!</v>
      </c>
      <c r="D1094" s="195" t="e">
        <f>+B1094+C1094</f>
        <v>#REF!</v>
      </c>
      <c r="F1094" s="174" t="s">
        <v>23</v>
      </c>
      <c r="G1094" s="175"/>
      <c r="I1094" s="72">
        <v>723</v>
      </c>
      <c r="J1094" s="80">
        <f>+P1079</f>
        <v>1803150</v>
      </c>
      <c r="K1094" s="74">
        <f>+L1055</f>
        <v>315213179</v>
      </c>
      <c r="L1094" s="195">
        <f>+J1094+K1094</f>
        <v>317016329</v>
      </c>
      <c r="N1094" s="918" t="s">
        <v>1862</v>
      </c>
      <c r="O1094" s="918"/>
      <c r="P1094" s="918"/>
    </row>
    <row r="1095" spans="1:16" ht="14.25" customHeight="1" thickBot="1">
      <c r="A1095" s="164" t="s">
        <v>181</v>
      </c>
      <c r="B1095" s="165"/>
      <c r="C1095" s="74" t="e">
        <f>+D1056</f>
        <v>#REF!</v>
      </c>
      <c r="D1095" s="196" t="e">
        <f>+B1095+C1095</f>
        <v>#REF!</v>
      </c>
      <c r="F1095" s="52"/>
      <c r="I1095" s="164" t="s">
        <v>181</v>
      </c>
      <c r="J1095" s="165"/>
      <c r="K1095" s="74">
        <f>+L1056</f>
        <v>-298880</v>
      </c>
      <c r="L1095" s="196">
        <f>+J1095+K1095</f>
        <v>-298880</v>
      </c>
      <c r="N1095" s="52"/>
    </row>
    <row r="1096" spans="1:16" ht="16.5" thickBot="1">
      <c r="A1096" s="169"/>
      <c r="B1096" s="170" t="e">
        <f>SUM(B1091:B1095)</f>
        <v>#REF!</v>
      </c>
      <c r="C1096" s="171" t="e">
        <f>SUM(C1091:C1095)</f>
        <v>#REF!</v>
      </c>
      <c r="D1096" s="172" t="e">
        <f>SUM(D1091:D1095)</f>
        <v>#REF!</v>
      </c>
      <c r="I1096" s="169"/>
      <c r="J1096" s="197">
        <f>SUM(J1091:J1095)</f>
        <v>7548150</v>
      </c>
      <c r="K1096" s="197">
        <f>SUM(K1091:K1095)</f>
        <v>414573133</v>
      </c>
      <c r="L1096" s="198">
        <f>SUM(L1091:L1095)</f>
        <v>422121283</v>
      </c>
    </row>
    <row r="1097" spans="1:16" ht="16.5">
      <c r="A1097" s="49" t="s">
        <v>88</v>
      </c>
      <c r="B1097" s="50"/>
      <c r="I1097" s="49" t="s">
        <v>88</v>
      </c>
      <c r="J1097" s="50"/>
    </row>
    <row r="1098" spans="1:16">
      <c r="A1098" s="51" t="s">
        <v>89</v>
      </c>
      <c r="I1098" s="51" t="s">
        <v>89</v>
      </c>
    </row>
    <row r="1099" spans="1:16">
      <c r="A1099" s="51" t="s">
        <v>90</v>
      </c>
      <c r="I1099" s="51" t="s">
        <v>90</v>
      </c>
    </row>
    <row r="1100" spans="1:16">
      <c r="A1100" s="51" t="s">
        <v>91</v>
      </c>
      <c r="I1100" s="51" t="s">
        <v>91</v>
      </c>
    </row>
    <row r="1101" spans="1:16" ht="10.5" customHeight="1">
      <c r="A1101" s="50"/>
      <c r="B1101" s="50"/>
      <c r="I1101" s="50"/>
      <c r="J1101" s="50"/>
    </row>
    <row r="1102" spans="1:16" ht="16.5">
      <c r="A1102" s="52" t="s">
        <v>486</v>
      </c>
      <c r="G1102" s="52"/>
      <c r="I1102" s="260" t="s">
        <v>855</v>
      </c>
      <c r="O1102" s="52"/>
    </row>
    <row r="1103" spans="1:16" ht="15.75">
      <c r="A1103" s="53" t="s">
        <v>92</v>
      </c>
      <c r="G1103" s="53"/>
      <c r="I1103" s="53" t="s">
        <v>1333</v>
      </c>
      <c r="O1103" s="53"/>
    </row>
    <row r="1104" spans="1:16" ht="16.5">
      <c r="A1104" s="894" t="s">
        <v>485</v>
      </c>
      <c r="B1104" s="894"/>
      <c r="C1104" s="894"/>
      <c r="D1104" s="894"/>
      <c r="E1104" s="894"/>
      <c r="F1104" s="894"/>
      <c r="G1104" s="894"/>
      <c r="H1104" s="894"/>
      <c r="I1104" s="894" t="s">
        <v>1546</v>
      </c>
      <c r="J1104" s="894"/>
      <c r="K1104" s="894"/>
      <c r="L1104" s="894"/>
      <c r="M1104" s="894"/>
      <c r="N1104" s="894"/>
      <c r="O1104" s="894"/>
      <c r="P1104" s="894"/>
    </row>
    <row r="1105" spans="1:16" ht="15.75" thickBot="1"/>
    <row r="1106" spans="1:16">
      <c r="A1106" s="895" t="s">
        <v>94</v>
      </c>
      <c r="B1106" s="897" t="s">
        <v>95</v>
      </c>
      <c r="C1106" s="897" t="s">
        <v>96</v>
      </c>
      <c r="D1106" s="897" t="s">
        <v>3</v>
      </c>
      <c r="E1106" s="897" t="s">
        <v>97</v>
      </c>
      <c r="F1106" s="897" t="s">
        <v>98</v>
      </c>
      <c r="G1106" s="897" t="s">
        <v>99</v>
      </c>
      <c r="H1106" s="899"/>
      <c r="I1106" s="895" t="s">
        <v>94</v>
      </c>
      <c r="J1106" s="897" t="s">
        <v>95</v>
      </c>
      <c r="K1106" s="897" t="s">
        <v>96</v>
      </c>
      <c r="L1106" s="897" t="s">
        <v>3</v>
      </c>
      <c r="M1106" s="897" t="s">
        <v>97</v>
      </c>
      <c r="N1106" s="897" t="s">
        <v>98</v>
      </c>
      <c r="O1106" s="897" t="s">
        <v>99</v>
      </c>
      <c r="P1106" s="899"/>
    </row>
    <row r="1107" spans="1:16" ht="15.75" thickBot="1">
      <c r="A1107" s="896"/>
      <c r="B1107" s="898"/>
      <c r="C1107" s="898"/>
      <c r="D1107" s="898"/>
      <c r="E1107" s="898"/>
      <c r="F1107" s="898"/>
      <c r="G1107" s="240" t="s">
        <v>100</v>
      </c>
      <c r="H1107" s="182" t="s">
        <v>101</v>
      </c>
      <c r="I1107" s="896"/>
      <c r="J1107" s="898"/>
      <c r="K1107" s="898"/>
      <c r="L1107" s="898"/>
      <c r="M1107" s="898"/>
      <c r="N1107" s="898"/>
      <c r="O1107" s="240" t="s">
        <v>100</v>
      </c>
      <c r="P1107" s="182" t="s">
        <v>101</v>
      </c>
    </row>
    <row r="1108" spans="1:16" ht="13.5" customHeight="1">
      <c r="A1108" s="919">
        <v>1</v>
      </c>
      <c r="B1108" s="875">
        <v>42345</v>
      </c>
      <c r="C1108" s="877" t="s">
        <v>487</v>
      </c>
      <c r="D1108" s="877" t="s">
        <v>251</v>
      </c>
      <c r="E1108" s="881" t="s">
        <v>145</v>
      </c>
      <c r="F1108" s="883">
        <v>-4280256</v>
      </c>
      <c r="G1108" s="55">
        <v>719</v>
      </c>
      <c r="H1108" s="78"/>
      <c r="I1108" s="873" t="s">
        <v>1542</v>
      </c>
      <c r="J1108" s="875">
        <v>43062</v>
      </c>
      <c r="K1108" s="881" t="s">
        <v>1544</v>
      </c>
      <c r="L1108" s="881" t="s">
        <v>1548</v>
      </c>
      <c r="M1108" s="881" t="s">
        <v>115</v>
      </c>
      <c r="N1108" s="883">
        <v>250000</v>
      </c>
      <c r="O1108" s="55">
        <v>719</v>
      </c>
      <c r="P1108" s="78">
        <f>+N1108</f>
        <v>250000</v>
      </c>
    </row>
    <row r="1109" spans="1:16" ht="12.75" customHeight="1" thickBot="1">
      <c r="A1109" s="920"/>
      <c r="B1109" s="876"/>
      <c r="C1109" s="878"/>
      <c r="D1109" s="878"/>
      <c r="E1109" s="882"/>
      <c r="F1109" s="884"/>
      <c r="G1109" s="56">
        <v>721</v>
      </c>
      <c r="H1109" s="79">
        <f>+F1108-H1108</f>
        <v>-4280256</v>
      </c>
      <c r="I1109" s="874"/>
      <c r="J1109" s="876"/>
      <c r="K1109" s="882"/>
      <c r="L1109" s="882"/>
      <c r="M1109" s="882"/>
      <c r="N1109" s="884"/>
      <c r="O1109" s="56">
        <v>721</v>
      </c>
      <c r="P1109" s="79">
        <f>+N1108-P1108</f>
        <v>0</v>
      </c>
    </row>
    <row r="1110" spans="1:16" ht="13.5" customHeight="1">
      <c r="A1110" s="919">
        <v>2</v>
      </c>
      <c r="B1110" s="875">
        <v>42345</v>
      </c>
      <c r="C1110" s="877" t="s">
        <v>249</v>
      </c>
      <c r="D1110" s="877" t="s">
        <v>251</v>
      </c>
      <c r="E1110" s="881" t="s">
        <v>145</v>
      </c>
      <c r="F1110" s="883">
        <v>-2140128</v>
      </c>
      <c r="G1110" s="55">
        <v>719</v>
      </c>
      <c r="H1110" s="78"/>
      <c r="I1110" s="881">
        <f>+I1108+1</f>
        <v>141</v>
      </c>
      <c r="J1110" s="875">
        <v>43062</v>
      </c>
      <c r="K1110" s="881" t="s">
        <v>1544</v>
      </c>
      <c r="L1110" s="879" t="s">
        <v>1549</v>
      </c>
      <c r="M1110" s="881" t="s">
        <v>115</v>
      </c>
      <c r="N1110" s="883">
        <v>100000</v>
      </c>
      <c r="O1110" s="55">
        <v>719</v>
      </c>
      <c r="P1110" s="78">
        <v>100000</v>
      </c>
    </row>
    <row r="1111" spans="1:16" ht="12.75" customHeight="1" thickBot="1">
      <c r="A1111" s="920"/>
      <c r="B1111" s="876"/>
      <c r="C1111" s="878"/>
      <c r="D1111" s="878"/>
      <c r="E1111" s="882"/>
      <c r="F1111" s="884"/>
      <c r="G1111" s="56">
        <v>721</v>
      </c>
      <c r="H1111" s="79">
        <f>+F1110-H1110</f>
        <v>-2140128</v>
      </c>
      <c r="I1111" s="882"/>
      <c r="J1111" s="876"/>
      <c r="K1111" s="882"/>
      <c r="L1111" s="880"/>
      <c r="M1111" s="882"/>
      <c r="N1111" s="884"/>
      <c r="O1111" s="56">
        <v>721</v>
      </c>
      <c r="P1111" s="79">
        <v>0</v>
      </c>
    </row>
    <row r="1112" spans="1:16" ht="13.5" customHeight="1">
      <c r="A1112" s="881"/>
      <c r="B1112" s="875"/>
      <c r="C1112" s="877"/>
      <c r="D1112" s="881"/>
      <c r="E1112" s="881"/>
      <c r="F1112" s="883"/>
      <c r="G1112" s="55">
        <v>719</v>
      </c>
      <c r="H1112" s="78"/>
      <c r="I1112" s="881">
        <f>+I1110+1</f>
        <v>142</v>
      </c>
      <c r="J1112" s="875">
        <v>43062</v>
      </c>
      <c r="K1112" s="877" t="s">
        <v>28</v>
      </c>
      <c r="L1112" s="879" t="s">
        <v>1543</v>
      </c>
      <c r="M1112" s="881" t="s">
        <v>115</v>
      </c>
      <c r="N1112" s="883">
        <v>80000</v>
      </c>
      <c r="O1112" s="55">
        <v>719</v>
      </c>
      <c r="P1112" s="78">
        <v>80000</v>
      </c>
    </row>
    <row r="1113" spans="1:16" ht="13.5" customHeight="1" thickBot="1">
      <c r="A1113" s="882"/>
      <c r="B1113" s="876"/>
      <c r="C1113" s="878"/>
      <c r="D1113" s="882"/>
      <c r="E1113" s="882"/>
      <c r="F1113" s="884"/>
      <c r="G1113" s="56">
        <v>721</v>
      </c>
      <c r="H1113" s="79"/>
      <c r="I1113" s="882"/>
      <c r="J1113" s="876"/>
      <c r="K1113" s="878"/>
      <c r="L1113" s="880"/>
      <c r="M1113" s="882"/>
      <c r="N1113" s="884"/>
      <c r="O1113" s="56">
        <v>721</v>
      </c>
      <c r="P1113" s="79">
        <f>+N1112-P1112</f>
        <v>0</v>
      </c>
    </row>
    <row r="1114" spans="1:16" ht="12.75" customHeight="1">
      <c r="A1114" s="881"/>
      <c r="B1114" s="875"/>
      <c r="C1114" s="877"/>
      <c r="D1114" s="881"/>
      <c r="E1114" s="881"/>
      <c r="F1114" s="883"/>
      <c r="G1114" s="55">
        <v>719</v>
      </c>
      <c r="H1114" s="78"/>
      <c r="I1114" s="881">
        <f>+I1112+1</f>
        <v>143</v>
      </c>
      <c r="J1114" s="875">
        <v>43062</v>
      </c>
      <c r="K1114" s="877" t="s">
        <v>28</v>
      </c>
      <c r="L1114" s="879" t="s">
        <v>1550</v>
      </c>
      <c r="M1114" s="881" t="s">
        <v>115</v>
      </c>
      <c r="N1114" s="883">
        <v>200000</v>
      </c>
      <c r="O1114" s="55">
        <v>719</v>
      </c>
      <c r="P1114" s="78">
        <v>200000</v>
      </c>
    </row>
    <row r="1115" spans="1:16" ht="12.75" customHeight="1" thickBot="1">
      <c r="A1115" s="882"/>
      <c r="B1115" s="876"/>
      <c r="C1115" s="878"/>
      <c r="D1115" s="882"/>
      <c r="E1115" s="882"/>
      <c r="F1115" s="884"/>
      <c r="G1115" s="56">
        <v>721</v>
      </c>
      <c r="H1115" s="79">
        <f>+F1114-H1114</f>
        <v>0</v>
      </c>
      <c r="I1115" s="882"/>
      <c r="J1115" s="876"/>
      <c r="K1115" s="878"/>
      <c r="L1115" s="880"/>
      <c r="M1115" s="882"/>
      <c r="N1115" s="884"/>
      <c r="O1115" s="56">
        <v>721</v>
      </c>
      <c r="P1115" s="79">
        <f>+N1114-P1114</f>
        <v>0</v>
      </c>
    </row>
    <row r="1116" spans="1:16" ht="14.25" customHeight="1">
      <c r="A1116" s="881"/>
      <c r="B1116" s="875"/>
      <c r="C1116" s="877"/>
      <c r="D1116" s="881"/>
      <c r="E1116" s="881"/>
      <c r="F1116" s="883"/>
      <c r="G1116" s="55">
        <v>719</v>
      </c>
      <c r="H1116" s="78"/>
      <c r="I1116" s="881">
        <f>+I1114+1</f>
        <v>144</v>
      </c>
      <c r="J1116" s="875">
        <v>43062</v>
      </c>
      <c r="K1116" s="877" t="s">
        <v>28</v>
      </c>
      <c r="L1116" s="879" t="s">
        <v>1552</v>
      </c>
      <c r="M1116" s="881" t="s">
        <v>115</v>
      </c>
      <c r="N1116" s="883">
        <v>290000</v>
      </c>
      <c r="O1116" s="55">
        <v>719</v>
      </c>
      <c r="P1116" s="78">
        <v>290000</v>
      </c>
    </row>
    <row r="1117" spans="1:16" ht="13.5" customHeight="1" thickBot="1">
      <c r="A1117" s="882"/>
      <c r="B1117" s="876"/>
      <c r="C1117" s="878"/>
      <c r="D1117" s="882"/>
      <c r="E1117" s="882"/>
      <c r="F1117" s="884"/>
      <c r="G1117" s="56">
        <v>721</v>
      </c>
      <c r="H1117" s="79">
        <f>+F1116-H1116</f>
        <v>0</v>
      </c>
      <c r="I1117" s="882"/>
      <c r="J1117" s="876"/>
      <c r="K1117" s="878"/>
      <c r="L1117" s="880"/>
      <c r="M1117" s="882"/>
      <c r="N1117" s="884"/>
      <c r="O1117" s="56">
        <v>721</v>
      </c>
      <c r="P1117" s="79">
        <f>+N1116-P1116</f>
        <v>0</v>
      </c>
    </row>
    <row r="1118" spans="1:16" ht="16.5" thickBot="1">
      <c r="A1118" s="901" t="s">
        <v>102</v>
      </c>
      <c r="B1118" s="902"/>
      <c r="C1118" s="902"/>
      <c r="D1118" s="902"/>
      <c r="E1118" s="903"/>
      <c r="F1118" s="81">
        <f>SUM(F1108:F1117)</f>
        <v>-6420384</v>
      </c>
      <c r="I1118" s="901" t="s">
        <v>102</v>
      </c>
      <c r="J1118" s="902"/>
      <c r="K1118" s="902"/>
      <c r="L1118" s="902"/>
      <c r="M1118" s="903"/>
      <c r="N1118" s="81">
        <f>SUM(N1108:N1117)</f>
        <v>920000</v>
      </c>
    </row>
    <row r="1119" spans="1:16" ht="16.5" thickBot="1">
      <c r="A1119" s="885" t="s">
        <v>103</v>
      </c>
      <c r="B1119" s="886"/>
      <c r="C1119" s="886"/>
      <c r="D1119" s="886"/>
      <c r="E1119" s="887"/>
      <c r="F1119" s="69">
        <f>+F1083</f>
        <v>659023638</v>
      </c>
      <c r="I1119" s="885" t="s">
        <v>103</v>
      </c>
      <c r="J1119" s="886"/>
      <c r="K1119" s="886"/>
      <c r="L1119" s="886"/>
      <c r="M1119" s="887"/>
      <c r="N1119" s="69">
        <f>+N1083</f>
        <v>422121283</v>
      </c>
      <c r="O1119" s="241" t="s">
        <v>561</v>
      </c>
      <c r="P1119" s="242"/>
    </row>
    <row r="1120" spans="1:16" ht="16.5" thickBot="1">
      <c r="A1120" s="888" t="s">
        <v>104</v>
      </c>
      <c r="B1120" s="889"/>
      <c r="C1120" s="889"/>
      <c r="D1120" s="889"/>
      <c r="E1120" s="890"/>
      <c r="F1120" s="183">
        <f>SUM(F1118:F1119)</f>
        <v>652603254</v>
      </c>
      <c r="I1120" s="888" t="s">
        <v>104</v>
      </c>
      <c r="J1120" s="889"/>
      <c r="K1120" s="889"/>
      <c r="L1120" s="889"/>
      <c r="M1120" s="890"/>
      <c r="N1120" s="183">
        <f>SUM(N1118:N1119)</f>
        <v>423041283</v>
      </c>
    </row>
    <row r="1121" spans="1:16" ht="12.75" customHeight="1">
      <c r="A1121" s="61"/>
      <c r="B1121" s="61"/>
      <c r="C1121" s="61"/>
      <c r="D1121" s="61"/>
      <c r="E1121" s="61"/>
      <c r="I1121" s="61"/>
      <c r="J1121" s="61"/>
      <c r="K1121" s="61"/>
      <c r="L1121" s="61"/>
      <c r="M1121" s="61"/>
    </row>
    <row r="1122" spans="1:16">
      <c r="A1122" s="51" t="s">
        <v>488</v>
      </c>
      <c r="I1122" s="51" t="s">
        <v>1551</v>
      </c>
    </row>
    <row r="1123" spans="1:16" ht="12" customHeight="1">
      <c r="F1123" s="139"/>
      <c r="N1123" s="139"/>
    </row>
    <row r="1124" spans="1:16">
      <c r="A1124" s="50" t="s">
        <v>105</v>
      </c>
      <c r="D1124" s="146"/>
      <c r="F1124" s="139"/>
      <c r="I1124" s="50" t="s">
        <v>105</v>
      </c>
      <c r="L1124" s="146"/>
      <c r="N1124" s="139"/>
    </row>
    <row r="1125" spans="1:16" ht="12.75" customHeight="1" thickBot="1"/>
    <row r="1126" spans="1:16" ht="15.75" thickBot="1">
      <c r="A1126" s="891" t="s">
        <v>106</v>
      </c>
      <c r="B1126" s="892"/>
      <c r="C1126" s="892"/>
      <c r="D1126" s="893"/>
      <c r="F1126" s="50" t="s">
        <v>288</v>
      </c>
      <c r="I1126" s="891" t="s">
        <v>106</v>
      </c>
      <c r="J1126" s="892"/>
      <c r="K1126" s="892"/>
      <c r="L1126" s="893"/>
      <c r="N1126" s="925" t="s">
        <v>288</v>
      </c>
      <c r="O1126" s="925"/>
      <c r="P1126" s="925"/>
    </row>
    <row r="1127" spans="1:16" ht="30.75" thickBot="1">
      <c r="A1127" s="57" t="s">
        <v>100</v>
      </c>
      <c r="B1127" s="58" t="s">
        <v>108</v>
      </c>
      <c r="C1127" s="59" t="s">
        <v>109</v>
      </c>
      <c r="D1127" s="60" t="s">
        <v>110</v>
      </c>
      <c r="I1127" s="57" t="s">
        <v>100</v>
      </c>
      <c r="J1127" s="58" t="s">
        <v>108</v>
      </c>
      <c r="K1127" s="59" t="s">
        <v>109</v>
      </c>
      <c r="L1127" s="60" t="s">
        <v>110</v>
      </c>
    </row>
    <row r="1128" spans="1:16">
      <c r="A1128" s="71">
        <v>719</v>
      </c>
      <c r="B1128" s="73">
        <f>+H1108+H1110+H1112+H1114+H1116</f>
        <v>0</v>
      </c>
      <c r="C1128" s="74" t="e">
        <f>+D1091</f>
        <v>#REF!</v>
      </c>
      <c r="D1128" s="195" t="e">
        <f>+B1128+C1128</f>
        <v>#REF!</v>
      </c>
      <c r="I1128" s="71">
        <v>719</v>
      </c>
      <c r="J1128" s="73">
        <f>+P1108+P1110+P1112+P1116+P1114</f>
        <v>920000</v>
      </c>
      <c r="K1128" s="74">
        <f>+L1091</f>
        <v>32890000</v>
      </c>
      <c r="L1128" s="195">
        <f>+J1128+K1128</f>
        <v>33810000</v>
      </c>
    </row>
    <row r="1129" spans="1:16">
      <c r="A1129" s="72">
        <v>721</v>
      </c>
      <c r="B1129" s="80">
        <f>(+H1117+H1115+H1113+H1111+H1109)</f>
        <v>-6420384</v>
      </c>
      <c r="C1129" s="74" t="e">
        <f>+D1092</f>
        <v>#REF!</v>
      </c>
      <c r="D1129" s="195" t="e">
        <f>+B1129+C1129</f>
        <v>#REF!</v>
      </c>
      <c r="I1129" s="72">
        <v>721</v>
      </c>
      <c r="J1129" s="80">
        <f>+P1109+P1111+P1113+P1115+P1117</f>
        <v>0</v>
      </c>
      <c r="K1129" s="74">
        <f>+L1092</f>
        <v>15550500</v>
      </c>
      <c r="L1129" s="195">
        <f>+J1129+K1129</f>
        <v>15550500</v>
      </c>
    </row>
    <row r="1130" spans="1:16" ht="15.75">
      <c r="A1130" s="72">
        <v>722</v>
      </c>
      <c r="B1130" s="80"/>
      <c r="C1130" s="74">
        <f>+D1093</f>
        <v>231207671</v>
      </c>
      <c r="D1130" s="195">
        <f>+B1130+C1130</f>
        <v>231207671</v>
      </c>
      <c r="I1130" s="72">
        <v>722</v>
      </c>
      <c r="J1130" s="80"/>
      <c r="K1130" s="74">
        <f>+L1093</f>
        <v>56963334</v>
      </c>
      <c r="L1130" s="195">
        <f>+J1130+K1130</f>
        <v>56963334</v>
      </c>
      <c r="N1130" s="918" t="s">
        <v>1481</v>
      </c>
      <c r="O1130" s="918"/>
      <c r="P1130" s="918"/>
    </row>
    <row r="1131" spans="1:16" ht="14.25" customHeight="1">
      <c r="A1131" s="72">
        <v>723</v>
      </c>
      <c r="B1131" s="80"/>
      <c r="C1131" s="74" t="e">
        <f>+D1094</f>
        <v>#REF!</v>
      </c>
      <c r="D1131" s="195" t="e">
        <f>+B1131+C1131</f>
        <v>#REF!</v>
      </c>
      <c r="F1131" s="174" t="s">
        <v>23</v>
      </c>
      <c r="G1131" s="175"/>
      <c r="I1131" s="72">
        <v>723</v>
      </c>
      <c r="J1131" s="80"/>
      <c r="K1131" s="74">
        <f>+L1094</f>
        <v>317016329</v>
      </c>
      <c r="L1131" s="195">
        <f>+J1131+K1131</f>
        <v>317016329</v>
      </c>
      <c r="N1131" s="193"/>
      <c r="O1131" s="175"/>
    </row>
    <row r="1132" spans="1:16" ht="13.5" customHeight="1" thickBot="1">
      <c r="A1132" s="164" t="s">
        <v>181</v>
      </c>
      <c r="B1132" s="165"/>
      <c r="C1132" s="74" t="e">
        <f>+D1095</f>
        <v>#REF!</v>
      </c>
      <c r="D1132" s="196" t="e">
        <f>+B1132+C1132</f>
        <v>#REF!</v>
      </c>
      <c r="F1132" s="52"/>
      <c r="I1132" s="164" t="s">
        <v>181</v>
      </c>
      <c r="J1132" s="165"/>
      <c r="K1132" s="74">
        <f>+L1095</f>
        <v>-298880</v>
      </c>
      <c r="L1132" s="196">
        <f>+J1132+K1132</f>
        <v>-298880</v>
      </c>
      <c r="N1132" s="52"/>
    </row>
    <row r="1133" spans="1:16" ht="16.5" thickBot="1">
      <c r="A1133" s="169"/>
      <c r="B1133" s="170">
        <f>SUM(B1128:B1132)</f>
        <v>-6420384</v>
      </c>
      <c r="C1133" s="171" t="e">
        <f>SUM(C1128:C1132)</f>
        <v>#REF!</v>
      </c>
      <c r="D1133" s="172" t="e">
        <f>SUM(D1128:D1132)</f>
        <v>#REF!</v>
      </c>
      <c r="I1133" s="169"/>
      <c r="J1133" s="197">
        <f>SUM(J1128:J1132)</f>
        <v>920000</v>
      </c>
      <c r="K1133" s="197">
        <f>SUM(K1128:K1132)</f>
        <v>422121283</v>
      </c>
      <c r="L1133" s="198">
        <f>SUM(L1128:L1132)</f>
        <v>423041283</v>
      </c>
    </row>
    <row r="1134" spans="1:16" ht="16.5">
      <c r="A1134" s="49" t="s">
        <v>88</v>
      </c>
      <c r="B1134" s="50"/>
      <c r="I1134" s="49" t="s">
        <v>88</v>
      </c>
      <c r="J1134" s="50"/>
    </row>
    <row r="1135" spans="1:16" ht="14.25" customHeight="1">
      <c r="A1135" s="51" t="s">
        <v>89</v>
      </c>
      <c r="I1135" s="51" t="s">
        <v>89</v>
      </c>
    </row>
    <row r="1136" spans="1:16" ht="12.75" customHeight="1">
      <c r="A1136" s="51" t="s">
        <v>90</v>
      </c>
      <c r="I1136" s="51" t="s">
        <v>90</v>
      </c>
    </row>
    <row r="1137" spans="1:16">
      <c r="A1137" s="51" t="s">
        <v>91</v>
      </c>
      <c r="I1137" s="51" t="s">
        <v>91</v>
      </c>
    </row>
    <row r="1138" spans="1:16" ht="11.25" customHeight="1">
      <c r="A1138" s="50"/>
      <c r="B1138" s="50"/>
      <c r="I1138" s="50"/>
      <c r="J1138" s="50"/>
    </row>
    <row r="1139" spans="1:16" ht="16.5">
      <c r="A1139" s="52" t="s">
        <v>489</v>
      </c>
      <c r="G1139" s="52"/>
      <c r="I1139" s="260" t="s">
        <v>185</v>
      </c>
      <c r="O1139" s="52"/>
    </row>
    <row r="1140" spans="1:16" ht="15.75">
      <c r="A1140" s="53" t="s">
        <v>92</v>
      </c>
      <c r="G1140" s="53"/>
      <c r="I1140" s="53" t="s">
        <v>1333</v>
      </c>
      <c r="O1140" s="53"/>
    </row>
    <row r="1141" spans="1:16" ht="16.5">
      <c r="A1141" s="894" t="s">
        <v>462</v>
      </c>
      <c r="B1141" s="894"/>
      <c r="C1141" s="894"/>
      <c r="D1141" s="894"/>
      <c r="E1141" s="894"/>
      <c r="F1141" s="894"/>
      <c r="G1141" s="894"/>
      <c r="H1141" s="894"/>
      <c r="I1141" s="894" t="s">
        <v>1547</v>
      </c>
      <c r="J1141" s="894"/>
      <c r="K1141" s="894"/>
      <c r="L1141" s="894"/>
      <c r="M1141" s="894"/>
      <c r="N1141" s="894"/>
      <c r="O1141" s="894"/>
      <c r="P1141" s="894"/>
    </row>
    <row r="1142" spans="1:16" ht="15.75" thickBot="1"/>
    <row r="1143" spans="1:16">
      <c r="A1143" s="895" t="s">
        <v>94</v>
      </c>
      <c r="B1143" s="897" t="s">
        <v>95</v>
      </c>
      <c r="C1143" s="897" t="s">
        <v>96</v>
      </c>
      <c r="D1143" s="897" t="s">
        <v>3</v>
      </c>
      <c r="E1143" s="897" t="s">
        <v>97</v>
      </c>
      <c r="F1143" s="897" t="s">
        <v>98</v>
      </c>
      <c r="G1143" s="897" t="s">
        <v>99</v>
      </c>
      <c r="H1143" s="899"/>
      <c r="I1143" s="895" t="s">
        <v>94</v>
      </c>
      <c r="J1143" s="897" t="s">
        <v>95</v>
      </c>
      <c r="K1143" s="897" t="s">
        <v>96</v>
      </c>
      <c r="L1143" s="897" t="s">
        <v>3</v>
      </c>
      <c r="M1143" s="897" t="s">
        <v>97</v>
      </c>
      <c r="N1143" s="897" t="s">
        <v>98</v>
      </c>
      <c r="O1143" s="897" t="s">
        <v>99</v>
      </c>
      <c r="P1143" s="899"/>
    </row>
    <row r="1144" spans="1:16" ht="15.75" thickBot="1">
      <c r="A1144" s="896"/>
      <c r="B1144" s="898"/>
      <c r="C1144" s="898"/>
      <c r="D1144" s="898"/>
      <c r="E1144" s="898"/>
      <c r="F1144" s="898"/>
      <c r="G1144" s="240" t="s">
        <v>100</v>
      </c>
      <c r="H1144" s="182" t="s">
        <v>101</v>
      </c>
      <c r="I1144" s="896"/>
      <c r="J1144" s="898"/>
      <c r="K1144" s="898"/>
      <c r="L1144" s="898"/>
      <c r="M1144" s="898"/>
      <c r="N1144" s="898"/>
      <c r="O1144" s="240" t="s">
        <v>100</v>
      </c>
      <c r="P1144" s="182" t="s">
        <v>101</v>
      </c>
    </row>
    <row r="1145" spans="1:16" ht="12" customHeight="1">
      <c r="A1145" s="919" t="e">
        <f>+#REF!+1</f>
        <v>#REF!</v>
      </c>
      <c r="B1145" s="875">
        <v>42355</v>
      </c>
      <c r="C1145" s="877" t="s">
        <v>31</v>
      </c>
      <c r="D1145" s="877" t="s">
        <v>490</v>
      </c>
      <c r="E1145" s="881" t="s">
        <v>115</v>
      </c>
      <c r="F1145" s="883">
        <v>50000</v>
      </c>
      <c r="G1145" s="55">
        <v>719</v>
      </c>
      <c r="H1145" s="78">
        <v>50000</v>
      </c>
      <c r="I1145" s="873" t="s">
        <v>856</v>
      </c>
      <c r="J1145" s="875">
        <v>43062</v>
      </c>
      <c r="K1145" s="881" t="s">
        <v>472</v>
      </c>
      <c r="L1145" s="879" t="s">
        <v>1553</v>
      </c>
      <c r="M1145" s="881" t="s">
        <v>148</v>
      </c>
      <c r="N1145" s="883">
        <v>364000</v>
      </c>
      <c r="O1145" s="55">
        <v>719</v>
      </c>
      <c r="P1145" s="78">
        <f>+N1145-P1146</f>
        <v>280000</v>
      </c>
    </row>
    <row r="1146" spans="1:16" ht="14.25" customHeight="1" thickBot="1">
      <c r="A1146" s="920"/>
      <c r="B1146" s="876"/>
      <c r="C1146" s="878"/>
      <c r="D1146" s="878"/>
      <c r="E1146" s="882"/>
      <c r="F1146" s="884"/>
      <c r="G1146" s="56">
        <v>721</v>
      </c>
      <c r="H1146" s="79">
        <f>+F1145-H1145</f>
        <v>0</v>
      </c>
      <c r="I1146" s="874"/>
      <c r="J1146" s="876"/>
      <c r="K1146" s="882"/>
      <c r="L1146" s="880"/>
      <c r="M1146" s="882"/>
      <c r="N1146" s="884"/>
      <c r="O1146" s="56">
        <v>721</v>
      </c>
      <c r="P1146" s="79">
        <v>84000</v>
      </c>
    </row>
    <row r="1147" spans="1:16" ht="11.25" customHeight="1">
      <c r="A1147" s="919" t="e">
        <f>+A1145+1</f>
        <v>#REF!</v>
      </c>
      <c r="B1147" s="875">
        <v>42355</v>
      </c>
      <c r="C1147" s="877" t="s">
        <v>32</v>
      </c>
      <c r="D1147" s="877" t="s">
        <v>491</v>
      </c>
      <c r="E1147" s="881" t="s">
        <v>115</v>
      </c>
      <c r="F1147" s="883">
        <v>20000</v>
      </c>
      <c r="G1147" s="55">
        <v>719</v>
      </c>
      <c r="H1147" s="78">
        <v>20000</v>
      </c>
      <c r="I1147" s="881">
        <f>+I1145+1</f>
        <v>146</v>
      </c>
      <c r="J1147" s="875">
        <v>43062</v>
      </c>
      <c r="K1147" s="877" t="s">
        <v>40</v>
      </c>
      <c r="L1147" s="881" t="s">
        <v>1439</v>
      </c>
      <c r="M1147" s="881" t="s">
        <v>148</v>
      </c>
      <c r="N1147" s="883">
        <v>-7821240</v>
      </c>
      <c r="O1147" s="55">
        <v>719</v>
      </c>
      <c r="P1147" s="78"/>
    </row>
    <row r="1148" spans="1:16" ht="15.75" customHeight="1" thickBot="1">
      <c r="A1148" s="920"/>
      <c r="B1148" s="876"/>
      <c r="C1148" s="878"/>
      <c r="D1148" s="878"/>
      <c r="E1148" s="882"/>
      <c r="F1148" s="884"/>
      <c r="G1148" s="56">
        <v>721</v>
      </c>
      <c r="H1148" s="79">
        <f>+F1147-H1147</f>
        <v>0</v>
      </c>
      <c r="I1148" s="882"/>
      <c r="J1148" s="876"/>
      <c r="K1148" s="878"/>
      <c r="L1148" s="882"/>
      <c r="M1148" s="882"/>
      <c r="N1148" s="884"/>
      <c r="O1148" s="56">
        <v>723</v>
      </c>
      <c r="P1148" s="79">
        <f>+N1147-P1147</f>
        <v>-7821240</v>
      </c>
    </row>
    <row r="1149" spans="1:16" ht="12.75" customHeight="1">
      <c r="A1149" s="919"/>
      <c r="B1149" s="875"/>
      <c r="C1149" s="877"/>
      <c r="D1149" s="881"/>
      <c r="E1149" s="881"/>
      <c r="F1149" s="883"/>
      <c r="G1149" s="55">
        <v>719</v>
      </c>
      <c r="H1149" s="78"/>
      <c r="I1149" s="881">
        <f>+I1147+1</f>
        <v>147</v>
      </c>
      <c r="J1149" s="875">
        <v>43062</v>
      </c>
      <c r="K1149" s="881" t="s">
        <v>472</v>
      </c>
      <c r="L1149" s="879" t="s">
        <v>1554</v>
      </c>
      <c r="M1149" s="881" t="s">
        <v>148</v>
      </c>
      <c r="N1149" s="883">
        <v>299000</v>
      </c>
      <c r="O1149" s="55">
        <v>719</v>
      </c>
      <c r="P1149" s="78">
        <f>+N1149-P1150</f>
        <v>230000</v>
      </c>
    </row>
    <row r="1150" spans="1:16" ht="13.5" customHeight="1" thickBot="1">
      <c r="A1150" s="920"/>
      <c r="B1150" s="876"/>
      <c r="C1150" s="878"/>
      <c r="D1150" s="882"/>
      <c r="E1150" s="882"/>
      <c r="F1150" s="884"/>
      <c r="G1150" s="56">
        <v>721</v>
      </c>
      <c r="H1150" s="79"/>
      <c r="I1150" s="882"/>
      <c r="J1150" s="876"/>
      <c r="K1150" s="882"/>
      <c r="L1150" s="880"/>
      <c r="M1150" s="882"/>
      <c r="N1150" s="884"/>
      <c r="O1150" s="56">
        <v>721</v>
      </c>
      <c r="P1150" s="79">
        <v>69000</v>
      </c>
    </row>
    <row r="1151" spans="1:16" ht="12" customHeight="1">
      <c r="A1151" s="881"/>
      <c r="B1151" s="875"/>
      <c r="C1151" s="877"/>
      <c r="D1151" s="881"/>
      <c r="E1151" s="881"/>
      <c r="F1151" s="883"/>
      <c r="G1151" s="55">
        <v>719</v>
      </c>
      <c r="H1151" s="78"/>
      <c r="I1151" s="881">
        <f>+I1149+1</f>
        <v>148</v>
      </c>
      <c r="J1151" s="875">
        <v>43062</v>
      </c>
      <c r="K1151" s="881" t="s">
        <v>472</v>
      </c>
      <c r="L1151" s="879" t="s">
        <v>1555</v>
      </c>
      <c r="M1151" s="881" t="s">
        <v>148</v>
      </c>
      <c r="N1151" s="883">
        <v>559000</v>
      </c>
      <c r="O1151" s="55">
        <v>719</v>
      </c>
      <c r="P1151" s="78">
        <f>+N1151-P1152</f>
        <v>430000</v>
      </c>
    </row>
    <row r="1152" spans="1:16" ht="12.75" customHeight="1" thickBot="1">
      <c r="A1152" s="882"/>
      <c r="B1152" s="876"/>
      <c r="C1152" s="878"/>
      <c r="D1152" s="882"/>
      <c r="E1152" s="882"/>
      <c r="F1152" s="884"/>
      <c r="G1152" s="56">
        <v>721</v>
      </c>
      <c r="H1152" s="79">
        <f>+F1151-H1151</f>
        <v>0</v>
      </c>
      <c r="I1152" s="882"/>
      <c r="J1152" s="876"/>
      <c r="K1152" s="882"/>
      <c r="L1152" s="880"/>
      <c r="M1152" s="882"/>
      <c r="N1152" s="884"/>
      <c r="O1152" s="56">
        <v>721</v>
      </c>
      <c r="P1152" s="79">
        <v>129000</v>
      </c>
    </row>
    <row r="1153" spans="1:16" ht="12.75" customHeight="1">
      <c r="A1153" s="881"/>
      <c r="B1153" s="875"/>
      <c r="C1153" s="877"/>
      <c r="D1153" s="881"/>
      <c r="E1153" s="881"/>
      <c r="F1153" s="883"/>
      <c r="G1153" s="55">
        <v>719</v>
      </c>
      <c r="H1153" s="78"/>
      <c r="I1153" s="881">
        <f>+I1151+1</f>
        <v>149</v>
      </c>
      <c r="J1153" s="875">
        <v>43062</v>
      </c>
      <c r="K1153" s="881" t="s">
        <v>472</v>
      </c>
      <c r="L1153" s="879" t="s">
        <v>1556</v>
      </c>
      <c r="M1153" s="881" t="s">
        <v>148</v>
      </c>
      <c r="N1153" s="883">
        <v>637000</v>
      </c>
      <c r="O1153" s="55">
        <v>719</v>
      </c>
      <c r="P1153" s="78">
        <f>+N1153-P1154</f>
        <v>490000</v>
      </c>
    </row>
    <row r="1154" spans="1:16" ht="13.5" customHeight="1" thickBot="1">
      <c r="A1154" s="882"/>
      <c r="B1154" s="876"/>
      <c r="C1154" s="878"/>
      <c r="D1154" s="882"/>
      <c r="E1154" s="882"/>
      <c r="F1154" s="884"/>
      <c r="G1154" s="56">
        <v>721</v>
      </c>
      <c r="H1154" s="79">
        <f>+F1153-H1153</f>
        <v>0</v>
      </c>
      <c r="I1154" s="882"/>
      <c r="J1154" s="876"/>
      <c r="K1154" s="882"/>
      <c r="L1154" s="880"/>
      <c r="M1154" s="882"/>
      <c r="N1154" s="884"/>
      <c r="O1154" s="56">
        <v>721</v>
      </c>
      <c r="P1154" s="79">
        <v>147000</v>
      </c>
    </row>
    <row r="1155" spans="1:16" ht="16.5" thickBot="1">
      <c r="A1155" s="901" t="s">
        <v>102</v>
      </c>
      <c r="B1155" s="902"/>
      <c r="C1155" s="902"/>
      <c r="D1155" s="902"/>
      <c r="E1155" s="903"/>
      <c r="F1155" s="81">
        <f>SUM(F1145:F1154)</f>
        <v>70000</v>
      </c>
      <c r="I1155" s="901" t="s">
        <v>102</v>
      </c>
      <c r="J1155" s="902"/>
      <c r="K1155" s="902"/>
      <c r="L1155" s="902"/>
      <c r="M1155" s="903"/>
      <c r="N1155" s="81">
        <f>SUM(N1145:N1154)</f>
        <v>-5962240</v>
      </c>
    </row>
    <row r="1156" spans="1:16" ht="16.5" thickBot="1">
      <c r="A1156" s="885" t="s">
        <v>103</v>
      </c>
      <c r="B1156" s="886"/>
      <c r="C1156" s="886"/>
      <c r="D1156" s="886"/>
      <c r="E1156" s="887"/>
      <c r="F1156" s="69">
        <f>+F1120</f>
        <v>652603254</v>
      </c>
      <c r="I1156" s="885" t="s">
        <v>103</v>
      </c>
      <c r="J1156" s="886"/>
      <c r="K1156" s="886"/>
      <c r="L1156" s="886"/>
      <c r="M1156" s="887"/>
      <c r="N1156" s="69">
        <f>+N1120</f>
        <v>423041283</v>
      </c>
      <c r="O1156" s="241" t="s">
        <v>561</v>
      </c>
      <c r="P1156" s="242"/>
    </row>
    <row r="1157" spans="1:16" ht="16.5" thickBot="1">
      <c r="A1157" s="888" t="s">
        <v>104</v>
      </c>
      <c r="B1157" s="889"/>
      <c r="C1157" s="889"/>
      <c r="D1157" s="889"/>
      <c r="E1157" s="890"/>
      <c r="F1157" s="183">
        <f>SUM(F1155:F1156)</f>
        <v>652673254</v>
      </c>
      <c r="I1157" s="888" t="s">
        <v>104</v>
      </c>
      <c r="J1157" s="889"/>
      <c r="K1157" s="889"/>
      <c r="L1157" s="889"/>
      <c r="M1157" s="890"/>
      <c r="N1157" s="183">
        <f>SUM(N1155:N1156)</f>
        <v>417079043</v>
      </c>
    </row>
    <row r="1158" spans="1:16" ht="13.5" customHeight="1">
      <c r="A1158" s="61"/>
      <c r="B1158" s="61"/>
      <c r="C1158" s="61"/>
      <c r="D1158" s="61"/>
      <c r="E1158" s="61"/>
      <c r="I1158" s="61"/>
      <c r="J1158" s="61"/>
      <c r="K1158" s="61"/>
      <c r="L1158" s="61"/>
      <c r="M1158" s="61"/>
    </row>
    <row r="1159" spans="1:16">
      <c r="A1159" s="51" t="s">
        <v>492</v>
      </c>
      <c r="I1159" s="51" t="s">
        <v>1557</v>
      </c>
    </row>
    <row r="1160" spans="1:16" ht="11.25" customHeight="1">
      <c r="F1160" s="139"/>
      <c r="N1160" s="139"/>
    </row>
    <row r="1161" spans="1:16">
      <c r="A1161" s="50" t="s">
        <v>105</v>
      </c>
      <c r="D1161" s="146"/>
      <c r="F1161" s="139"/>
      <c r="I1161" s="50" t="s">
        <v>105</v>
      </c>
      <c r="L1161" s="146"/>
      <c r="N1161" s="139"/>
    </row>
    <row r="1162" spans="1:16" ht="13.5" customHeight="1" thickBot="1"/>
    <row r="1163" spans="1:16" ht="15.75" thickBot="1">
      <c r="A1163" s="891" t="s">
        <v>106</v>
      </c>
      <c r="B1163" s="892"/>
      <c r="C1163" s="892"/>
      <c r="D1163" s="893"/>
      <c r="F1163" s="50" t="s">
        <v>288</v>
      </c>
      <c r="I1163" s="891" t="s">
        <v>106</v>
      </c>
      <c r="J1163" s="892"/>
      <c r="K1163" s="892"/>
      <c r="L1163" s="893"/>
      <c r="N1163" s="925" t="s">
        <v>288</v>
      </c>
      <c r="O1163" s="925"/>
      <c r="P1163" s="925"/>
    </row>
    <row r="1164" spans="1:16" ht="30.75" thickBot="1">
      <c r="A1164" s="57" t="s">
        <v>100</v>
      </c>
      <c r="B1164" s="58" t="s">
        <v>108</v>
      </c>
      <c r="C1164" s="59" t="s">
        <v>109</v>
      </c>
      <c r="D1164" s="60" t="s">
        <v>110</v>
      </c>
      <c r="I1164" s="57" t="s">
        <v>100</v>
      </c>
      <c r="J1164" s="58" t="s">
        <v>108</v>
      </c>
      <c r="K1164" s="59" t="s">
        <v>109</v>
      </c>
      <c r="L1164" s="60" t="s">
        <v>110</v>
      </c>
    </row>
    <row r="1165" spans="1:16" ht="13.5" customHeight="1">
      <c r="A1165" s="71">
        <v>719</v>
      </c>
      <c r="B1165" s="73">
        <f>+H1145+H1147+H1149+H1151+H1153</f>
        <v>70000</v>
      </c>
      <c r="C1165" s="74" t="e">
        <f>+D1128</f>
        <v>#REF!</v>
      </c>
      <c r="D1165" s="195" t="e">
        <f>+B1165+C1165</f>
        <v>#REF!</v>
      </c>
      <c r="I1165" s="71">
        <v>719</v>
      </c>
      <c r="J1165" s="73">
        <f>+P1145+P1147+P1149+P1151+P1153</f>
        <v>1430000</v>
      </c>
      <c r="K1165" s="74">
        <f>+L1128</f>
        <v>33810000</v>
      </c>
      <c r="L1165" s="195">
        <f>+J1165+K1165</f>
        <v>35240000</v>
      </c>
    </row>
    <row r="1166" spans="1:16">
      <c r="A1166" s="72">
        <v>721</v>
      </c>
      <c r="B1166" s="80">
        <f>(+H1154+H1152+H1150+H1148+H1146)</f>
        <v>0</v>
      </c>
      <c r="C1166" s="74" t="e">
        <f>+D1129</f>
        <v>#REF!</v>
      </c>
      <c r="D1166" s="195" t="e">
        <f>+B1166+C1166</f>
        <v>#REF!</v>
      </c>
      <c r="I1166" s="72">
        <v>721</v>
      </c>
      <c r="J1166" s="80">
        <f>+P1146+P1150+P1152+P1154</f>
        <v>429000</v>
      </c>
      <c r="K1166" s="74">
        <f>+L1129</f>
        <v>15550500</v>
      </c>
      <c r="L1166" s="195">
        <f>+J1166+K1166</f>
        <v>15979500</v>
      </c>
    </row>
    <row r="1167" spans="1:16" ht="13.5" customHeight="1">
      <c r="A1167" s="72">
        <v>722</v>
      </c>
      <c r="B1167" s="80"/>
      <c r="C1167" s="74">
        <f>+D1130</f>
        <v>231207671</v>
      </c>
      <c r="D1167" s="195">
        <f>+B1167+C1167</f>
        <v>231207671</v>
      </c>
      <c r="I1167" s="72">
        <v>722</v>
      </c>
      <c r="J1167" s="80"/>
      <c r="K1167" s="74">
        <f>+L1130</f>
        <v>56963334</v>
      </c>
      <c r="L1167" s="195">
        <f>+J1167+K1167</f>
        <v>56963334</v>
      </c>
      <c r="N1167" s="918" t="s">
        <v>1481</v>
      </c>
      <c r="O1167" s="918"/>
      <c r="P1167" s="918"/>
    </row>
    <row r="1168" spans="1:16" ht="15.75">
      <c r="A1168" s="72">
        <v>723</v>
      </c>
      <c r="B1168" s="80"/>
      <c r="C1168" s="74" t="e">
        <f>+D1131</f>
        <v>#REF!</v>
      </c>
      <c r="D1168" s="195" t="e">
        <f>+B1168+C1168</f>
        <v>#REF!</v>
      </c>
      <c r="F1168" s="174" t="s">
        <v>23</v>
      </c>
      <c r="G1168" s="175"/>
      <c r="I1168" s="72">
        <v>723</v>
      </c>
      <c r="J1168" s="80">
        <f>+P1148</f>
        <v>-7821240</v>
      </c>
      <c r="K1168" s="74">
        <f>+L1131</f>
        <v>317016329</v>
      </c>
      <c r="L1168" s="195">
        <f>+J1168+K1168</f>
        <v>309195089</v>
      </c>
      <c r="N1168" s="193"/>
      <c r="O1168" s="175"/>
    </row>
    <row r="1169" spans="1:16" ht="14.25" customHeight="1" thickBot="1">
      <c r="A1169" s="164" t="s">
        <v>181</v>
      </c>
      <c r="B1169" s="165"/>
      <c r="C1169" s="74" t="e">
        <f>+D1132</f>
        <v>#REF!</v>
      </c>
      <c r="D1169" s="196" t="e">
        <f>+B1169+C1169</f>
        <v>#REF!</v>
      </c>
      <c r="F1169" s="52"/>
      <c r="I1169" s="164" t="s">
        <v>181</v>
      </c>
      <c r="J1169" s="165"/>
      <c r="K1169" s="74">
        <f>+L1132</f>
        <v>-298880</v>
      </c>
      <c r="L1169" s="196">
        <f>+J1169+K1169</f>
        <v>-298880</v>
      </c>
      <c r="N1169" s="52"/>
    </row>
    <row r="1170" spans="1:16" ht="16.5" thickBot="1">
      <c r="A1170" s="169"/>
      <c r="B1170" s="170">
        <f>SUM(B1165:B1169)</f>
        <v>70000</v>
      </c>
      <c r="C1170" s="171" t="e">
        <f>SUM(C1165:C1169)</f>
        <v>#REF!</v>
      </c>
      <c r="D1170" s="172" t="e">
        <f>SUM(D1165:D1169)</f>
        <v>#REF!</v>
      </c>
      <c r="I1170" s="169"/>
      <c r="J1170" s="197">
        <f>SUM(J1165:J1169)</f>
        <v>-5962240</v>
      </c>
      <c r="K1170" s="197">
        <f>SUM(K1165:K1169)</f>
        <v>423041283</v>
      </c>
      <c r="L1170" s="198">
        <f>SUM(L1165:L1169)</f>
        <v>417079043</v>
      </c>
    </row>
    <row r="1171" spans="1:16" ht="16.5">
      <c r="A1171" s="49" t="s">
        <v>88</v>
      </c>
      <c r="B1171" s="50"/>
      <c r="I1171" s="49" t="s">
        <v>88</v>
      </c>
      <c r="J1171" s="50"/>
    </row>
    <row r="1172" spans="1:16">
      <c r="A1172" s="51" t="s">
        <v>89</v>
      </c>
      <c r="I1172" s="51" t="s">
        <v>89</v>
      </c>
    </row>
    <row r="1173" spans="1:16">
      <c r="A1173" s="51" t="s">
        <v>90</v>
      </c>
      <c r="I1173" s="51" t="s">
        <v>90</v>
      </c>
    </row>
    <row r="1174" spans="1:16" ht="14.25" customHeight="1">
      <c r="A1174" s="51" t="s">
        <v>91</v>
      </c>
      <c r="I1174" s="51" t="s">
        <v>91</v>
      </c>
    </row>
    <row r="1175" spans="1:16" ht="10.5" customHeight="1">
      <c r="A1175" s="50"/>
      <c r="B1175" s="50"/>
      <c r="I1175" s="50"/>
      <c r="J1175" s="50"/>
    </row>
    <row r="1176" spans="1:16" ht="16.5">
      <c r="A1176" s="52" t="s">
        <v>493</v>
      </c>
      <c r="G1176" s="52"/>
      <c r="I1176" s="260" t="s">
        <v>870</v>
      </c>
      <c r="O1176" s="52"/>
    </row>
    <row r="1177" spans="1:16" ht="15.75">
      <c r="A1177" s="53" t="s">
        <v>92</v>
      </c>
      <c r="G1177" s="53"/>
      <c r="I1177" s="53" t="s">
        <v>1333</v>
      </c>
      <c r="O1177" s="53"/>
    </row>
    <row r="1178" spans="1:16" ht="16.5">
      <c r="A1178" s="894" t="s">
        <v>261</v>
      </c>
      <c r="B1178" s="894"/>
      <c r="C1178" s="894"/>
      <c r="D1178" s="894"/>
      <c r="E1178" s="894"/>
      <c r="F1178" s="894"/>
      <c r="G1178" s="894"/>
      <c r="H1178" s="894"/>
      <c r="I1178" s="894" t="s">
        <v>261</v>
      </c>
      <c r="J1178" s="894"/>
      <c r="K1178" s="894"/>
      <c r="L1178" s="894"/>
      <c r="M1178" s="894"/>
      <c r="N1178" s="894"/>
      <c r="O1178" s="894"/>
      <c r="P1178" s="894"/>
    </row>
    <row r="1179" spans="1:16" ht="15.75" thickBot="1"/>
    <row r="1180" spans="1:16">
      <c r="A1180" s="895" t="s">
        <v>94</v>
      </c>
      <c r="B1180" s="897" t="s">
        <v>95</v>
      </c>
      <c r="C1180" s="897" t="s">
        <v>96</v>
      </c>
      <c r="D1180" s="897" t="s">
        <v>3</v>
      </c>
      <c r="E1180" s="897" t="s">
        <v>97</v>
      </c>
      <c r="F1180" s="897" t="s">
        <v>98</v>
      </c>
      <c r="G1180" s="897" t="s">
        <v>99</v>
      </c>
      <c r="H1180" s="899"/>
      <c r="I1180" s="895" t="s">
        <v>94</v>
      </c>
      <c r="J1180" s="897" t="s">
        <v>95</v>
      </c>
      <c r="K1180" s="897" t="s">
        <v>96</v>
      </c>
      <c r="L1180" s="897" t="s">
        <v>3</v>
      </c>
      <c r="M1180" s="897" t="s">
        <v>97</v>
      </c>
      <c r="N1180" s="897" t="s">
        <v>98</v>
      </c>
      <c r="O1180" s="897" t="s">
        <v>99</v>
      </c>
      <c r="P1180" s="899"/>
    </row>
    <row r="1181" spans="1:16" ht="15.75" thickBot="1">
      <c r="A1181" s="896"/>
      <c r="B1181" s="898"/>
      <c r="C1181" s="898"/>
      <c r="D1181" s="898"/>
      <c r="E1181" s="898"/>
      <c r="F1181" s="898"/>
      <c r="G1181" s="240" t="s">
        <v>100</v>
      </c>
      <c r="H1181" s="182" t="s">
        <v>101</v>
      </c>
      <c r="I1181" s="896"/>
      <c r="J1181" s="898"/>
      <c r="K1181" s="898"/>
      <c r="L1181" s="898"/>
      <c r="M1181" s="898"/>
      <c r="N1181" s="898"/>
      <c r="O1181" s="240" t="s">
        <v>100</v>
      </c>
      <c r="P1181" s="182" t="s">
        <v>101</v>
      </c>
    </row>
    <row r="1182" spans="1:16" ht="12.75" customHeight="1">
      <c r="A1182" s="919" t="e">
        <f>+A1147+1</f>
        <v>#REF!</v>
      </c>
      <c r="B1182" s="875">
        <v>42360</v>
      </c>
      <c r="C1182" s="877" t="s">
        <v>31</v>
      </c>
      <c r="D1182" s="877" t="s">
        <v>494</v>
      </c>
      <c r="E1182" s="881" t="s">
        <v>115</v>
      </c>
      <c r="F1182" s="883">
        <v>70000</v>
      </c>
      <c r="G1182" s="55">
        <v>719</v>
      </c>
      <c r="H1182" s="78">
        <v>70000</v>
      </c>
      <c r="I1182" s="873" t="s">
        <v>863</v>
      </c>
      <c r="J1182" s="875">
        <v>43062</v>
      </c>
      <c r="K1182" s="881" t="s">
        <v>28</v>
      </c>
      <c r="L1182" s="881" t="s">
        <v>1558</v>
      </c>
      <c r="M1182" s="881" t="s">
        <v>148</v>
      </c>
      <c r="N1182" s="883">
        <v>741000</v>
      </c>
      <c r="O1182" s="55">
        <v>719</v>
      </c>
      <c r="P1182" s="78">
        <f>+N1182-P1183</f>
        <v>570000</v>
      </c>
    </row>
    <row r="1183" spans="1:16" ht="12.75" customHeight="1" thickBot="1">
      <c r="A1183" s="920"/>
      <c r="B1183" s="876"/>
      <c r="C1183" s="878"/>
      <c r="D1183" s="878"/>
      <c r="E1183" s="882"/>
      <c r="F1183" s="884"/>
      <c r="G1183" s="56">
        <v>721</v>
      </c>
      <c r="H1183" s="79">
        <f>+F1182-H1182</f>
        <v>0</v>
      </c>
      <c r="I1183" s="874"/>
      <c r="J1183" s="876"/>
      <c r="K1183" s="882"/>
      <c r="L1183" s="882"/>
      <c r="M1183" s="882"/>
      <c r="N1183" s="884"/>
      <c r="O1183" s="56">
        <v>721</v>
      </c>
      <c r="P1183" s="79">
        <v>171000</v>
      </c>
    </row>
    <row r="1184" spans="1:16" ht="12" customHeight="1">
      <c r="A1184" s="919" t="e">
        <f>+A1182+1</f>
        <v>#REF!</v>
      </c>
      <c r="B1184" s="875">
        <v>42360</v>
      </c>
      <c r="C1184" s="877" t="s">
        <v>472</v>
      </c>
      <c r="D1184" s="877" t="s">
        <v>495</v>
      </c>
      <c r="E1184" s="881" t="s">
        <v>115</v>
      </c>
      <c r="F1184" s="883">
        <v>60000</v>
      </c>
      <c r="G1184" s="55">
        <v>719</v>
      </c>
      <c r="H1184" s="78">
        <v>60000</v>
      </c>
      <c r="I1184" s="873">
        <f>+I1182+1</f>
        <v>151</v>
      </c>
      <c r="J1184" s="875">
        <v>43062</v>
      </c>
      <c r="K1184" s="881" t="s">
        <v>28</v>
      </c>
      <c r="L1184" s="881" t="s">
        <v>1559</v>
      </c>
      <c r="M1184" s="881" t="s">
        <v>148</v>
      </c>
      <c r="N1184" s="883">
        <v>299000</v>
      </c>
      <c r="O1184" s="55">
        <v>719</v>
      </c>
      <c r="P1184" s="78">
        <f>+N1184-P1185</f>
        <v>230000</v>
      </c>
    </row>
    <row r="1185" spans="1:16" ht="12" customHeight="1" thickBot="1">
      <c r="A1185" s="920"/>
      <c r="B1185" s="876"/>
      <c r="C1185" s="878"/>
      <c r="D1185" s="878"/>
      <c r="E1185" s="882"/>
      <c r="F1185" s="884"/>
      <c r="G1185" s="56">
        <v>721</v>
      </c>
      <c r="H1185" s="79">
        <f>+F1184-H1184</f>
        <v>0</v>
      </c>
      <c r="I1185" s="882"/>
      <c r="J1185" s="876"/>
      <c r="K1185" s="882"/>
      <c r="L1185" s="882"/>
      <c r="M1185" s="882"/>
      <c r="N1185" s="884"/>
      <c r="O1185" s="56">
        <v>721</v>
      </c>
      <c r="P1185" s="79">
        <v>69000</v>
      </c>
    </row>
    <row r="1186" spans="1:16" ht="12" customHeight="1">
      <c r="A1186" s="919" t="e">
        <f>+A1184+1</f>
        <v>#REF!</v>
      </c>
      <c r="B1186" s="875">
        <v>42360</v>
      </c>
      <c r="C1186" s="877" t="s">
        <v>32</v>
      </c>
      <c r="D1186" s="877" t="s">
        <v>496</v>
      </c>
      <c r="E1186" s="881" t="s">
        <v>115</v>
      </c>
      <c r="F1186" s="883">
        <v>50000</v>
      </c>
      <c r="G1186" s="55">
        <v>719</v>
      </c>
      <c r="H1186" s="78">
        <v>50000</v>
      </c>
      <c r="I1186" s="873">
        <f>+I1184+1</f>
        <v>152</v>
      </c>
      <c r="J1186" s="875">
        <v>43062</v>
      </c>
      <c r="K1186" s="881" t="s">
        <v>120</v>
      </c>
      <c r="L1186" s="881" t="s">
        <v>1560</v>
      </c>
      <c r="M1186" s="881" t="s">
        <v>115</v>
      </c>
      <c r="N1186" s="883">
        <v>320000</v>
      </c>
      <c r="O1186" s="55">
        <v>719</v>
      </c>
      <c r="P1186" s="78">
        <v>320000</v>
      </c>
    </row>
    <row r="1187" spans="1:16" ht="10.5" customHeight="1" thickBot="1">
      <c r="A1187" s="920"/>
      <c r="B1187" s="876"/>
      <c r="C1187" s="878"/>
      <c r="D1187" s="878"/>
      <c r="E1187" s="882"/>
      <c r="F1187" s="884"/>
      <c r="G1187" s="56">
        <v>721</v>
      </c>
      <c r="H1187" s="79">
        <f>+F1186-H1186</f>
        <v>0</v>
      </c>
      <c r="I1187" s="882"/>
      <c r="J1187" s="876"/>
      <c r="K1187" s="882"/>
      <c r="L1187" s="882"/>
      <c r="M1187" s="882"/>
      <c r="N1187" s="884"/>
      <c r="O1187" s="56">
        <v>721</v>
      </c>
      <c r="P1187" s="79">
        <v>0</v>
      </c>
    </row>
    <row r="1188" spans="1:16" ht="12" customHeight="1">
      <c r="A1188" s="919"/>
      <c r="B1188" s="875"/>
      <c r="C1188" s="877"/>
      <c r="D1188" s="881"/>
      <c r="E1188" s="881"/>
      <c r="F1188" s="883"/>
      <c r="G1188" s="55">
        <v>719</v>
      </c>
      <c r="H1188" s="78"/>
      <c r="I1188" s="873">
        <f>+I1186+1</f>
        <v>153</v>
      </c>
      <c r="J1188" s="875">
        <v>43062</v>
      </c>
      <c r="K1188" s="881" t="s">
        <v>120</v>
      </c>
      <c r="L1188" s="881" t="s">
        <v>1561</v>
      </c>
      <c r="M1188" s="881" t="s">
        <v>115</v>
      </c>
      <c r="N1188" s="883">
        <v>230000</v>
      </c>
      <c r="O1188" s="55">
        <v>719</v>
      </c>
      <c r="P1188" s="78">
        <v>230000</v>
      </c>
    </row>
    <row r="1189" spans="1:16" ht="11.25" customHeight="1" thickBot="1">
      <c r="A1189" s="920"/>
      <c r="B1189" s="876"/>
      <c r="C1189" s="878"/>
      <c r="D1189" s="882"/>
      <c r="E1189" s="882"/>
      <c r="F1189" s="884"/>
      <c r="G1189" s="56">
        <v>721</v>
      </c>
      <c r="H1189" s="79">
        <f>+F1188-H1188</f>
        <v>0</v>
      </c>
      <c r="I1189" s="882"/>
      <c r="J1189" s="876"/>
      <c r="K1189" s="882"/>
      <c r="L1189" s="882"/>
      <c r="M1189" s="882"/>
      <c r="N1189" s="884"/>
      <c r="O1189" s="56">
        <v>721</v>
      </c>
      <c r="P1189" s="79">
        <v>0</v>
      </c>
    </row>
    <row r="1190" spans="1:16" ht="13.5" customHeight="1">
      <c r="A1190" s="439"/>
      <c r="B1190" s="252"/>
      <c r="C1190" s="253"/>
      <c r="D1190" s="251"/>
      <c r="E1190" s="251"/>
      <c r="F1190" s="254"/>
      <c r="G1190" s="255"/>
      <c r="H1190" s="256"/>
      <c r="I1190" s="873">
        <f>+I1186+1</f>
        <v>153</v>
      </c>
      <c r="J1190" s="875">
        <v>43062</v>
      </c>
      <c r="K1190" s="881" t="s">
        <v>120</v>
      </c>
      <c r="L1190" s="879" t="s">
        <v>1562</v>
      </c>
      <c r="M1190" s="881" t="s">
        <v>115</v>
      </c>
      <c r="N1190" s="883">
        <v>320000</v>
      </c>
      <c r="O1190" s="55">
        <v>719</v>
      </c>
      <c r="P1190" s="78">
        <v>320000</v>
      </c>
    </row>
    <row r="1191" spans="1:16" ht="13.5" customHeight="1" thickBot="1">
      <c r="A1191" s="439"/>
      <c r="B1191" s="252"/>
      <c r="C1191" s="253"/>
      <c r="D1191" s="251"/>
      <c r="E1191" s="251"/>
      <c r="F1191" s="254"/>
      <c r="G1191" s="255"/>
      <c r="H1191" s="256"/>
      <c r="I1191" s="882"/>
      <c r="J1191" s="876"/>
      <c r="K1191" s="882"/>
      <c r="L1191" s="880"/>
      <c r="M1191" s="882"/>
      <c r="N1191" s="884"/>
      <c r="O1191" s="56">
        <v>721</v>
      </c>
      <c r="P1191" s="79">
        <f>+N1190-P1190</f>
        <v>0</v>
      </c>
    </row>
    <row r="1192" spans="1:16" ht="12" customHeight="1">
      <c r="A1192" s="881"/>
      <c r="B1192" s="875"/>
      <c r="C1192" s="877"/>
      <c r="D1192" s="881"/>
      <c r="E1192" s="881"/>
      <c r="F1192" s="883"/>
      <c r="G1192" s="55">
        <v>719</v>
      </c>
      <c r="H1192" s="78"/>
      <c r="I1192" s="873" t="s">
        <v>872</v>
      </c>
      <c r="J1192" s="875">
        <v>43062</v>
      </c>
      <c r="K1192" s="881" t="s">
        <v>120</v>
      </c>
      <c r="L1192" s="881" t="s">
        <v>1545</v>
      </c>
      <c r="M1192" s="881" t="s">
        <v>115</v>
      </c>
      <c r="N1192" s="883">
        <v>160000</v>
      </c>
      <c r="O1192" s="55">
        <v>719</v>
      </c>
      <c r="P1192" s="78">
        <v>160000</v>
      </c>
    </row>
    <row r="1193" spans="1:16" ht="12" customHeight="1" thickBot="1">
      <c r="A1193" s="882"/>
      <c r="B1193" s="876"/>
      <c r="C1193" s="878"/>
      <c r="D1193" s="882"/>
      <c r="E1193" s="882"/>
      <c r="F1193" s="884"/>
      <c r="G1193" s="56">
        <v>721</v>
      </c>
      <c r="H1193" s="79">
        <f>+F1192-H1192</f>
        <v>0</v>
      </c>
      <c r="I1193" s="874"/>
      <c r="J1193" s="876"/>
      <c r="K1193" s="882"/>
      <c r="L1193" s="882"/>
      <c r="M1193" s="882"/>
      <c r="N1193" s="884"/>
      <c r="O1193" s="56">
        <v>721</v>
      </c>
      <c r="P1193" s="79">
        <v>0</v>
      </c>
    </row>
    <row r="1194" spans="1:16" ht="15" customHeight="1" thickBot="1">
      <c r="A1194" s="901" t="s">
        <v>102</v>
      </c>
      <c r="B1194" s="902"/>
      <c r="C1194" s="902"/>
      <c r="D1194" s="902"/>
      <c r="E1194" s="903"/>
      <c r="F1194" s="81">
        <f>SUM(F1182:F1193)</f>
        <v>180000</v>
      </c>
      <c r="I1194" s="901" t="s">
        <v>102</v>
      </c>
      <c r="J1194" s="902"/>
      <c r="K1194" s="902"/>
      <c r="L1194" s="902"/>
      <c r="M1194" s="903"/>
      <c r="N1194" s="81">
        <f>SUM(N1182:N1193)</f>
        <v>2070000</v>
      </c>
    </row>
    <row r="1195" spans="1:16" ht="16.5" thickBot="1">
      <c r="A1195" s="885" t="s">
        <v>103</v>
      </c>
      <c r="B1195" s="886"/>
      <c r="C1195" s="886"/>
      <c r="D1195" s="886"/>
      <c r="E1195" s="887"/>
      <c r="F1195" s="69">
        <f>+F1157</f>
        <v>652673254</v>
      </c>
      <c r="I1195" s="885" t="s">
        <v>103</v>
      </c>
      <c r="J1195" s="886"/>
      <c r="K1195" s="886"/>
      <c r="L1195" s="886"/>
      <c r="M1195" s="887"/>
      <c r="N1195" s="69">
        <f>+N1157</f>
        <v>417079043</v>
      </c>
      <c r="O1195" s="241" t="s">
        <v>561</v>
      </c>
      <c r="P1195" s="242">
        <f>557+418+511+644</f>
        <v>2130</v>
      </c>
    </row>
    <row r="1196" spans="1:16" ht="16.5" thickBot="1">
      <c r="A1196" s="888" t="s">
        <v>104</v>
      </c>
      <c r="B1196" s="889"/>
      <c r="C1196" s="889"/>
      <c r="D1196" s="889"/>
      <c r="E1196" s="890"/>
      <c r="F1196" s="183">
        <f>SUM(F1194:F1195)</f>
        <v>652853254</v>
      </c>
      <c r="I1196" s="888" t="s">
        <v>104</v>
      </c>
      <c r="J1196" s="889"/>
      <c r="K1196" s="889"/>
      <c r="L1196" s="889"/>
      <c r="M1196" s="890"/>
      <c r="N1196" s="183">
        <f>SUM(N1194:N1195)</f>
        <v>419149043</v>
      </c>
    </row>
    <row r="1197" spans="1:16" ht="11.25" customHeight="1">
      <c r="A1197" s="61"/>
      <c r="B1197" s="61"/>
      <c r="C1197" s="61"/>
      <c r="D1197" s="61"/>
      <c r="E1197" s="61"/>
      <c r="I1197" s="61"/>
      <c r="J1197" s="61"/>
      <c r="K1197" s="61"/>
      <c r="L1197" s="61"/>
      <c r="M1197" s="61"/>
    </row>
    <row r="1198" spans="1:16">
      <c r="A1198" s="51" t="s">
        <v>497</v>
      </c>
      <c r="I1198" s="51" t="s">
        <v>1577</v>
      </c>
    </row>
    <row r="1199" spans="1:16" ht="9.75" customHeight="1">
      <c r="F1199" s="139"/>
      <c r="N1199" s="139"/>
    </row>
    <row r="1200" spans="1:16">
      <c r="A1200" s="50" t="s">
        <v>105</v>
      </c>
      <c r="D1200" s="146"/>
      <c r="F1200" s="139"/>
      <c r="I1200" s="50" t="s">
        <v>105</v>
      </c>
      <c r="L1200" s="146"/>
      <c r="N1200" s="139"/>
    </row>
    <row r="1201" spans="1:16" ht="9.75" customHeight="1" thickBot="1"/>
    <row r="1202" spans="1:16" ht="17.25" thickBot="1">
      <c r="A1202" s="891" t="s">
        <v>106</v>
      </c>
      <c r="B1202" s="892"/>
      <c r="C1202" s="892"/>
      <c r="D1202" s="893"/>
      <c r="F1202" s="50" t="s">
        <v>288</v>
      </c>
      <c r="I1202" s="891" t="s">
        <v>106</v>
      </c>
      <c r="J1202" s="892"/>
      <c r="K1202" s="892"/>
      <c r="L1202" s="893"/>
      <c r="N1202" s="604" t="s">
        <v>288</v>
      </c>
      <c r="O1202" s="604"/>
      <c r="P1202" s="604"/>
    </row>
    <row r="1203" spans="1:16" ht="30.75" thickBot="1">
      <c r="A1203" s="57" t="s">
        <v>100</v>
      </c>
      <c r="B1203" s="58" t="s">
        <v>108</v>
      </c>
      <c r="C1203" s="59" t="s">
        <v>109</v>
      </c>
      <c r="D1203" s="60" t="s">
        <v>110</v>
      </c>
      <c r="I1203" s="57" t="s">
        <v>100</v>
      </c>
      <c r="J1203" s="58" t="s">
        <v>108</v>
      </c>
      <c r="K1203" s="59" t="s">
        <v>109</v>
      </c>
      <c r="L1203" s="60" t="s">
        <v>110</v>
      </c>
    </row>
    <row r="1204" spans="1:16" ht="14.25" customHeight="1">
      <c r="A1204" s="71">
        <v>719</v>
      </c>
      <c r="B1204" s="73">
        <f>+H1182+H1184+H1186+H1188+H1192</f>
        <v>180000</v>
      </c>
      <c r="C1204" s="74" t="e">
        <f>+D1165</f>
        <v>#REF!</v>
      </c>
      <c r="D1204" s="195" t="e">
        <f>+B1204+C1204</f>
        <v>#REF!</v>
      </c>
      <c r="I1204" s="71">
        <v>719</v>
      </c>
      <c r="J1204" s="73">
        <f>+P1182+P1184+P1186+P1188+P1192+P1190</f>
        <v>1830000</v>
      </c>
      <c r="K1204" s="74">
        <f>+L1165</f>
        <v>35240000</v>
      </c>
      <c r="L1204" s="195">
        <f>+J1204+K1204</f>
        <v>37070000</v>
      </c>
    </row>
    <row r="1205" spans="1:16" ht="13.5" customHeight="1">
      <c r="A1205" s="72">
        <v>721</v>
      </c>
      <c r="B1205" s="80">
        <f>(+H1193+H1189+H1187+H1185+H1183)</f>
        <v>0</v>
      </c>
      <c r="C1205" s="74" t="e">
        <f>+D1166</f>
        <v>#REF!</v>
      </c>
      <c r="D1205" s="195" t="e">
        <f>+B1205+C1205</f>
        <v>#REF!</v>
      </c>
      <c r="I1205" s="72">
        <v>721</v>
      </c>
      <c r="J1205" s="80">
        <f>+P1193+P1189+P1187+P1185+P1183</f>
        <v>240000</v>
      </c>
      <c r="K1205" s="74">
        <f>+L1166</f>
        <v>15979500</v>
      </c>
      <c r="L1205" s="195">
        <f>+J1205+K1205</f>
        <v>16219500</v>
      </c>
    </row>
    <row r="1206" spans="1:16" ht="12.75" customHeight="1">
      <c r="A1206" s="72">
        <v>722</v>
      </c>
      <c r="B1206" s="80"/>
      <c r="C1206" s="74">
        <f>+D1167</f>
        <v>231207671</v>
      </c>
      <c r="D1206" s="195">
        <f>+B1206+C1206</f>
        <v>231207671</v>
      </c>
      <c r="I1206" s="72">
        <v>722</v>
      </c>
      <c r="J1206" s="80"/>
      <c r="K1206" s="74">
        <f>+L1167</f>
        <v>56963334</v>
      </c>
      <c r="L1206" s="195">
        <f>+J1206+K1206</f>
        <v>56963334</v>
      </c>
    </row>
    <row r="1207" spans="1:16" ht="14.25" customHeight="1">
      <c r="A1207" s="72">
        <v>723</v>
      </c>
      <c r="B1207" s="80"/>
      <c r="C1207" s="74" t="e">
        <f>+D1168</f>
        <v>#REF!</v>
      </c>
      <c r="D1207" s="195" t="e">
        <f>+B1207+C1207</f>
        <v>#REF!</v>
      </c>
      <c r="F1207" s="174" t="s">
        <v>23</v>
      </c>
      <c r="G1207" s="175"/>
      <c r="I1207" s="72">
        <v>723</v>
      </c>
      <c r="J1207" s="80"/>
      <c r="K1207" s="74">
        <f>+L1168</f>
        <v>309195089</v>
      </c>
      <c r="L1207" s="195">
        <f>+J1207+K1207</f>
        <v>309195089</v>
      </c>
      <c r="N1207" s="918" t="s">
        <v>1481</v>
      </c>
      <c r="O1207" s="918"/>
      <c r="P1207" s="918"/>
    </row>
    <row r="1208" spans="1:16" ht="14.25" customHeight="1" thickBot="1">
      <c r="A1208" s="164" t="s">
        <v>181</v>
      </c>
      <c r="B1208" s="165"/>
      <c r="C1208" s="74" t="e">
        <f>+D1169</f>
        <v>#REF!</v>
      </c>
      <c r="D1208" s="196" t="e">
        <f>+B1208+C1208</f>
        <v>#REF!</v>
      </c>
      <c r="F1208" s="52"/>
      <c r="I1208" s="164" t="s">
        <v>181</v>
      </c>
      <c r="J1208" s="165"/>
      <c r="K1208" s="74">
        <f>+L1169</f>
        <v>-298880</v>
      </c>
      <c r="L1208" s="196">
        <f>+J1208+K1208</f>
        <v>-298880</v>
      </c>
      <c r="N1208" s="52"/>
    </row>
    <row r="1209" spans="1:16" ht="15" customHeight="1" thickBot="1">
      <c r="A1209" s="169"/>
      <c r="B1209" s="170">
        <f>SUM(B1204:B1208)</f>
        <v>180000</v>
      </c>
      <c r="C1209" s="171" t="e">
        <f>SUM(C1204:C1208)</f>
        <v>#REF!</v>
      </c>
      <c r="D1209" s="172" t="e">
        <f>SUM(D1204:D1208)</f>
        <v>#REF!</v>
      </c>
      <c r="I1209" s="169"/>
      <c r="J1209" s="197">
        <f>SUM(J1204:J1208)</f>
        <v>2070000</v>
      </c>
      <c r="K1209" s="197">
        <f>SUM(K1204:K1208)</f>
        <v>417079043</v>
      </c>
      <c r="L1209" s="198">
        <f>SUM(L1204:L1208)</f>
        <v>419149043</v>
      </c>
    </row>
    <row r="1210" spans="1:16" ht="16.5">
      <c r="A1210" s="49" t="s">
        <v>88</v>
      </c>
      <c r="B1210" s="50"/>
      <c r="I1210" s="49" t="s">
        <v>88</v>
      </c>
      <c r="J1210" s="50"/>
    </row>
    <row r="1211" spans="1:16">
      <c r="A1211" s="51" t="s">
        <v>89</v>
      </c>
      <c r="I1211" s="51" t="s">
        <v>89</v>
      </c>
    </row>
    <row r="1212" spans="1:16">
      <c r="A1212" s="51" t="s">
        <v>90</v>
      </c>
      <c r="I1212" s="51" t="s">
        <v>90</v>
      </c>
    </row>
    <row r="1213" spans="1:16">
      <c r="A1213" s="51" t="s">
        <v>91</v>
      </c>
      <c r="I1213" s="51" t="s">
        <v>91</v>
      </c>
    </row>
    <row r="1214" spans="1:16" ht="12" customHeight="1">
      <c r="A1214" s="50"/>
      <c r="B1214" s="50"/>
      <c r="I1214" s="50"/>
      <c r="J1214" s="50"/>
    </row>
    <row r="1215" spans="1:16" ht="16.5">
      <c r="A1215" s="52" t="s">
        <v>498</v>
      </c>
      <c r="G1215" s="52"/>
      <c r="I1215" s="260" t="s">
        <v>200</v>
      </c>
      <c r="O1215" s="52"/>
    </row>
    <row r="1216" spans="1:16" ht="15.75">
      <c r="A1216" s="53" t="s">
        <v>92</v>
      </c>
      <c r="G1216" s="53"/>
      <c r="I1216" s="53" t="s">
        <v>1333</v>
      </c>
      <c r="O1216" s="53"/>
    </row>
    <row r="1217" spans="1:16" ht="16.5">
      <c r="A1217" s="894" t="s">
        <v>261</v>
      </c>
      <c r="B1217" s="894"/>
      <c r="C1217" s="894"/>
      <c r="D1217" s="894"/>
      <c r="E1217" s="894"/>
      <c r="F1217" s="894"/>
      <c r="G1217" s="894"/>
      <c r="H1217" s="894"/>
      <c r="I1217" s="894" t="s">
        <v>1564</v>
      </c>
      <c r="J1217" s="894"/>
      <c r="K1217" s="894"/>
      <c r="L1217" s="894"/>
      <c r="M1217" s="894"/>
      <c r="N1217" s="894"/>
      <c r="O1217" s="894"/>
      <c r="P1217" s="894"/>
    </row>
    <row r="1218" spans="1:16" ht="15.75" thickBot="1"/>
    <row r="1219" spans="1:16">
      <c r="A1219" s="895" t="s">
        <v>94</v>
      </c>
      <c r="B1219" s="897" t="s">
        <v>95</v>
      </c>
      <c r="C1219" s="897" t="s">
        <v>96</v>
      </c>
      <c r="D1219" s="897" t="s">
        <v>3</v>
      </c>
      <c r="E1219" s="897" t="s">
        <v>97</v>
      </c>
      <c r="F1219" s="897" t="s">
        <v>98</v>
      </c>
      <c r="G1219" s="897" t="s">
        <v>99</v>
      </c>
      <c r="H1219" s="899"/>
      <c r="I1219" s="895" t="s">
        <v>94</v>
      </c>
      <c r="J1219" s="897" t="s">
        <v>95</v>
      </c>
      <c r="K1219" s="897" t="s">
        <v>96</v>
      </c>
      <c r="L1219" s="897" t="s">
        <v>3</v>
      </c>
      <c r="M1219" s="897" t="s">
        <v>97</v>
      </c>
      <c r="N1219" s="897" t="s">
        <v>98</v>
      </c>
      <c r="O1219" s="897" t="s">
        <v>99</v>
      </c>
      <c r="P1219" s="899"/>
    </row>
    <row r="1220" spans="1:16" ht="15.75" thickBot="1">
      <c r="A1220" s="896"/>
      <c r="B1220" s="898"/>
      <c r="C1220" s="898"/>
      <c r="D1220" s="898"/>
      <c r="E1220" s="898"/>
      <c r="F1220" s="898"/>
      <c r="G1220" s="240" t="s">
        <v>100</v>
      </c>
      <c r="H1220" s="182" t="s">
        <v>101</v>
      </c>
      <c r="I1220" s="896"/>
      <c r="J1220" s="898"/>
      <c r="K1220" s="898"/>
      <c r="L1220" s="898"/>
      <c r="M1220" s="898"/>
      <c r="N1220" s="898"/>
      <c r="O1220" s="240" t="s">
        <v>100</v>
      </c>
      <c r="P1220" s="182" t="s">
        <v>101</v>
      </c>
    </row>
    <row r="1221" spans="1:16" ht="12" customHeight="1">
      <c r="A1221" s="919" t="e">
        <f>+A1186+1</f>
        <v>#REF!</v>
      </c>
      <c r="B1221" s="875">
        <v>42361</v>
      </c>
      <c r="C1221" s="877" t="s">
        <v>267</v>
      </c>
      <c r="D1221" s="877" t="s">
        <v>499</v>
      </c>
      <c r="E1221" s="881" t="s">
        <v>148</v>
      </c>
      <c r="F1221" s="883">
        <v>126000</v>
      </c>
      <c r="G1221" s="55">
        <v>719</v>
      </c>
      <c r="H1221" s="78">
        <v>90000</v>
      </c>
      <c r="I1221" s="873" t="s">
        <v>1569</v>
      </c>
      <c r="J1221" s="875">
        <v>43062</v>
      </c>
      <c r="K1221" s="881" t="s">
        <v>28</v>
      </c>
      <c r="L1221" s="879" t="s">
        <v>1566</v>
      </c>
      <c r="M1221" s="881" t="s">
        <v>115</v>
      </c>
      <c r="N1221" s="883">
        <v>50000</v>
      </c>
      <c r="O1221" s="55">
        <v>719</v>
      </c>
      <c r="P1221" s="78">
        <f>+N1221</f>
        <v>50000</v>
      </c>
    </row>
    <row r="1222" spans="1:16" ht="14.25" customHeight="1" thickBot="1">
      <c r="A1222" s="920"/>
      <c r="B1222" s="876"/>
      <c r="C1222" s="878"/>
      <c r="D1222" s="878"/>
      <c r="E1222" s="882"/>
      <c r="F1222" s="884"/>
      <c r="G1222" s="56">
        <v>721</v>
      </c>
      <c r="H1222" s="79">
        <f>+F1221-H1221</f>
        <v>36000</v>
      </c>
      <c r="I1222" s="874"/>
      <c r="J1222" s="876"/>
      <c r="K1222" s="882"/>
      <c r="L1222" s="880"/>
      <c r="M1222" s="882"/>
      <c r="N1222" s="884"/>
      <c r="O1222" s="56">
        <v>721</v>
      </c>
      <c r="P1222" s="79"/>
    </row>
    <row r="1223" spans="1:16" ht="15" customHeight="1">
      <c r="A1223" s="919" t="e">
        <f>+A1221+1</f>
        <v>#REF!</v>
      </c>
      <c r="B1223" s="875">
        <v>42361</v>
      </c>
      <c r="C1223" s="881" t="s">
        <v>28</v>
      </c>
      <c r="D1223" s="877" t="s">
        <v>500</v>
      </c>
      <c r="E1223" s="881" t="s">
        <v>148</v>
      </c>
      <c r="F1223" s="883">
        <v>196000</v>
      </c>
      <c r="G1223" s="55">
        <v>719</v>
      </c>
      <c r="H1223" s="78">
        <v>140000</v>
      </c>
      <c r="I1223" s="873" t="s">
        <v>1570</v>
      </c>
      <c r="J1223" s="875">
        <v>43062</v>
      </c>
      <c r="K1223" s="881" t="s">
        <v>120</v>
      </c>
      <c r="L1223" s="879" t="s">
        <v>1567</v>
      </c>
      <c r="M1223" s="881" t="s">
        <v>115</v>
      </c>
      <c r="N1223" s="883">
        <v>190000</v>
      </c>
      <c r="O1223" s="55">
        <v>719</v>
      </c>
      <c r="P1223" s="78">
        <f>+N1223</f>
        <v>190000</v>
      </c>
    </row>
    <row r="1224" spans="1:16" ht="13.5" customHeight="1" thickBot="1">
      <c r="A1224" s="920"/>
      <c r="B1224" s="876"/>
      <c r="C1224" s="882"/>
      <c r="D1224" s="878"/>
      <c r="E1224" s="882"/>
      <c r="F1224" s="884"/>
      <c r="G1224" s="56">
        <v>721</v>
      </c>
      <c r="H1224" s="79">
        <f>+F1223-H1223</f>
        <v>56000</v>
      </c>
      <c r="I1224" s="882"/>
      <c r="J1224" s="876"/>
      <c r="K1224" s="882"/>
      <c r="L1224" s="880"/>
      <c r="M1224" s="882"/>
      <c r="N1224" s="884"/>
      <c r="O1224" s="56">
        <v>721</v>
      </c>
      <c r="P1224" s="79"/>
    </row>
    <row r="1225" spans="1:16" ht="12.75" customHeight="1">
      <c r="A1225" s="919" t="e">
        <f>+A1223+1</f>
        <v>#REF!</v>
      </c>
      <c r="B1225" s="875">
        <v>42361</v>
      </c>
      <c r="C1225" s="877" t="s">
        <v>32</v>
      </c>
      <c r="D1225" s="877" t="s">
        <v>500</v>
      </c>
      <c r="E1225" s="881" t="s">
        <v>148</v>
      </c>
      <c r="F1225" s="883">
        <v>42000</v>
      </c>
      <c r="G1225" s="55">
        <v>719</v>
      </c>
      <c r="H1225" s="78">
        <v>30000</v>
      </c>
      <c r="I1225" s="873" t="s">
        <v>1568</v>
      </c>
      <c r="J1225" s="875">
        <v>43062</v>
      </c>
      <c r="K1225" s="877" t="s">
        <v>1571</v>
      </c>
      <c r="L1225" s="879" t="s">
        <v>1225</v>
      </c>
      <c r="M1225" s="881" t="s">
        <v>115</v>
      </c>
      <c r="N1225" s="883">
        <v>3980000</v>
      </c>
      <c r="O1225" s="55">
        <v>719</v>
      </c>
      <c r="P1225" s="78"/>
    </row>
    <row r="1226" spans="1:16" ht="15.75" customHeight="1" thickBot="1">
      <c r="A1226" s="920"/>
      <c r="B1226" s="876"/>
      <c r="C1226" s="878"/>
      <c r="D1226" s="878"/>
      <c r="E1226" s="882"/>
      <c r="F1226" s="884"/>
      <c r="G1226" s="56">
        <v>721</v>
      </c>
      <c r="H1226" s="79">
        <f>+F1225-H1225</f>
        <v>12000</v>
      </c>
      <c r="I1226" s="882"/>
      <c r="J1226" s="876"/>
      <c r="K1226" s="878"/>
      <c r="L1226" s="880"/>
      <c r="M1226" s="882"/>
      <c r="N1226" s="884"/>
      <c r="O1226" s="56">
        <v>723</v>
      </c>
      <c r="P1226" s="79">
        <f>+N1225</f>
        <v>3980000</v>
      </c>
    </row>
    <row r="1227" spans="1:16" ht="12" customHeight="1">
      <c r="A1227" s="919" t="e">
        <f>+A1225+1</f>
        <v>#REF!</v>
      </c>
      <c r="B1227" s="875">
        <v>42361</v>
      </c>
      <c r="C1227" s="877" t="s">
        <v>111</v>
      </c>
      <c r="D1227" s="877" t="s">
        <v>499</v>
      </c>
      <c r="E1227" s="881" t="s">
        <v>148</v>
      </c>
      <c r="F1227" s="883">
        <v>112000</v>
      </c>
      <c r="G1227" s="55">
        <v>719</v>
      </c>
      <c r="H1227" s="78">
        <v>80000</v>
      </c>
      <c r="I1227" s="873" t="s">
        <v>1563</v>
      </c>
      <c r="J1227" s="875">
        <v>43062</v>
      </c>
      <c r="K1227" s="881" t="s">
        <v>385</v>
      </c>
      <c r="L1227" s="879" t="s">
        <v>1188</v>
      </c>
      <c r="M1227" s="881" t="s">
        <v>148</v>
      </c>
      <c r="N1227" s="883">
        <v>22479749</v>
      </c>
      <c r="O1227" s="55">
        <v>719</v>
      </c>
      <c r="P1227" s="78"/>
    </row>
    <row r="1228" spans="1:16" ht="14.25" customHeight="1" thickBot="1">
      <c r="A1228" s="920"/>
      <c r="B1228" s="876"/>
      <c r="C1228" s="878"/>
      <c r="D1228" s="878"/>
      <c r="E1228" s="882"/>
      <c r="F1228" s="884"/>
      <c r="G1228" s="56">
        <v>721</v>
      </c>
      <c r="H1228" s="79">
        <f>+F1227-H1227</f>
        <v>32000</v>
      </c>
      <c r="I1228" s="882"/>
      <c r="J1228" s="876"/>
      <c r="K1228" s="882"/>
      <c r="L1228" s="880"/>
      <c r="M1228" s="882"/>
      <c r="N1228" s="884"/>
      <c r="O1228" s="56">
        <v>721</v>
      </c>
      <c r="P1228" s="79">
        <f>+N1227</f>
        <v>22479749</v>
      </c>
    </row>
    <row r="1229" spans="1:16" ht="12" customHeight="1">
      <c r="A1229" s="919" t="e">
        <f>+A1227+1</f>
        <v>#REF!</v>
      </c>
      <c r="B1229" s="875">
        <v>42361</v>
      </c>
      <c r="C1229" s="877" t="s">
        <v>272</v>
      </c>
      <c r="D1229" s="877" t="s">
        <v>500</v>
      </c>
      <c r="E1229" s="881" t="s">
        <v>148</v>
      </c>
      <c r="F1229" s="883">
        <v>588000</v>
      </c>
      <c r="G1229" s="55">
        <v>719</v>
      </c>
      <c r="H1229" s="78">
        <v>420000</v>
      </c>
      <c r="I1229" s="873" t="s">
        <v>873</v>
      </c>
      <c r="J1229" s="875">
        <v>43062</v>
      </c>
      <c r="K1229" s="881" t="s">
        <v>385</v>
      </c>
      <c r="L1229" s="879" t="s">
        <v>1245</v>
      </c>
      <c r="M1229" s="881" t="s">
        <v>148</v>
      </c>
      <c r="N1229" s="883">
        <v>55554732</v>
      </c>
      <c r="O1229" s="55">
        <v>719</v>
      </c>
      <c r="P1229" s="78"/>
    </row>
    <row r="1230" spans="1:16" ht="13.5" customHeight="1" thickBot="1">
      <c r="A1230" s="920"/>
      <c r="B1230" s="876"/>
      <c r="C1230" s="878"/>
      <c r="D1230" s="878"/>
      <c r="E1230" s="882"/>
      <c r="F1230" s="884"/>
      <c r="G1230" s="56">
        <v>721</v>
      </c>
      <c r="H1230" s="79">
        <f>+F1229-H1229</f>
        <v>168000</v>
      </c>
      <c r="I1230" s="882"/>
      <c r="J1230" s="876"/>
      <c r="K1230" s="882"/>
      <c r="L1230" s="880"/>
      <c r="M1230" s="882"/>
      <c r="N1230" s="884"/>
      <c r="O1230" s="56">
        <v>721</v>
      </c>
      <c r="P1230" s="79">
        <f>+N1229-P1229</f>
        <v>55554732</v>
      </c>
    </row>
    <row r="1231" spans="1:16" ht="16.5" thickBot="1">
      <c r="A1231" s="901" t="s">
        <v>102</v>
      </c>
      <c r="B1231" s="902"/>
      <c r="C1231" s="902"/>
      <c r="D1231" s="902"/>
      <c r="E1231" s="903"/>
      <c r="F1231" s="81">
        <f>SUM(F1221:F1230)</f>
        <v>1064000</v>
      </c>
      <c r="I1231" s="901" t="s">
        <v>102</v>
      </c>
      <c r="J1231" s="902"/>
      <c r="K1231" s="902"/>
      <c r="L1231" s="902"/>
      <c r="M1231" s="903"/>
      <c r="N1231" s="81">
        <f>SUM(N1221:N1230)</f>
        <v>82254481</v>
      </c>
    </row>
    <row r="1232" spans="1:16" ht="16.5" thickBot="1">
      <c r="A1232" s="885" t="s">
        <v>103</v>
      </c>
      <c r="B1232" s="886"/>
      <c r="C1232" s="886"/>
      <c r="D1232" s="886"/>
      <c r="E1232" s="887"/>
      <c r="F1232" s="69">
        <f>+F1196</f>
        <v>652853254</v>
      </c>
      <c r="I1232" s="885" t="s">
        <v>103</v>
      </c>
      <c r="J1232" s="886"/>
      <c r="K1232" s="886"/>
      <c r="L1232" s="886"/>
      <c r="M1232" s="887"/>
      <c r="N1232" s="69">
        <f>+N1196</f>
        <v>419149043</v>
      </c>
      <c r="O1232" s="241" t="s">
        <v>561</v>
      </c>
      <c r="P1232" s="242"/>
    </row>
    <row r="1233" spans="1:16" ht="16.5" thickBot="1">
      <c r="A1233" s="888" t="s">
        <v>104</v>
      </c>
      <c r="B1233" s="889"/>
      <c r="C1233" s="889"/>
      <c r="D1233" s="889"/>
      <c r="E1233" s="890"/>
      <c r="F1233" s="183">
        <f>SUM(F1231:F1232)</f>
        <v>653917254</v>
      </c>
      <c r="I1233" s="888" t="s">
        <v>104</v>
      </c>
      <c r="J1233" s="889"/>
      <c r="K1233" s="889"/>
      <c r="L1233" s="889"/>
      <c r="M1233" s="890"/>
      <c r="N1233" s="183">
        <f>SUM(N1231:N1232)</f>
        <v>501403524</v>
      </c>
    </row>
    <row r="1234" spans="1:16">
      <c r="A1234" s="61"/>
      <c r="B1234" s="61"/>
      <c r="C1234" s="61"/>
      <c r="D1234" s="61"/>
      <c r="E1234" s="61"/>
      <c r="I1234" s="61"/>
      <c r="J1234" s="61"/>
      <c r="K1234" s="61"/>
      <c r="L1234" s="61"/>
      <c r="M1234" s="61"/>
    </row>
    <row r="1235" spans="1:16">
      <c r="A1235" s="51" t="s">
        <v>501</v>
      </c>
      <c r="I1235" s="51" t="s">
        <v>1565</v>
      </c>
    </row>
    <row r="1236" spans="1:16" ht="11.25" customHeight="1">
      <c r="F1236" s="139"/>
      <c r="N1236" s="139"/>
    </row>
    <row r="1237" spans="1:16">
      <c r="A1237" s="50" t="s">
        <v>105</v>
      </c>
      <c r="D1237" s="146"/>
      <c r="F1237" s="139"/>
      <c r="I1237" s="50" t="s">
        <v>105</v>
      </c>
      <c r="L1237" s="146"/>
      <c r="N1237" s="139"/>
    </row>
    <row r="1238" spans="1:16" ht="13.5" customHeight="1" thickBot="1"/>
    <row r="1239" spans="1:16" ht="17.25" thickBot="1">
      <c r="A1239" s="891" t="s">
        <v>106</v>
      </c>
      <c r="B1239" s="892"/>
      <c r="C1239" s="892"/>
      <c r="D1239" s="893"/>
      <c r="F1239" s="50" t="s">
        <v>288</v>
      </c>
      <c r="I1239" s="891" t="s">
        <v>106</v>
      </c>
      <c r="J1239" s="892"/>
      <c r="K1239" s="892"/>
      <c r="L1239" s="893"/>
      <c r="N1239" s="604" t="s">
        <v>288</v>
      </c>
      <c r="O1239" s="604"/>
      <c r="P1239" s="604"/>
    </row>
    <row r="1240" spans="1:16" ht="26.25" customHeight="1" thickBot="1">
      <c r="A1240" s="57" t="s">
        <v>100</v>
      </c>
      <c r="B1240" s="58" t="s">
        <v>108</v>
      </c>
      <c r="C1240" s="59" t="s">
        <v>109</v>
      </c>
      <c r="D1240" s="60" t="s">
        <v>110</v>
      </c>
      <c r="I1240" s="57" t="s">
        <v>100</v>
      </c>
      <c r="J1240" s="58" t="s">
        <v>108</v>
      </c>
      <c r="K1240" s="59" t="s">
        <v>109</v>
      </c>
      <c r="L1240" s="60" t="s">
        <v>110</v>
      </c>
    </row>
    <row r="1241" spans="1:16">
      <c r="A1241" s="71">
        <v>719</v>
      </c>
      <c r="B1241" s="73">
        <f>+H1221+H1223+H1225+H1227+H1229</f>
        <v>760000</v>
      </c>
      <c r="C1241" s="74" t="e">
        <f>+D1204</f>
        <v>#REF!</v>
      </c>
      <c r="D1241" s="195" t="e">
        <f>+B1241+C1241</f>
        <v>#REF!</v>
      </c>
      <c r="I1241" s="71">
        <v>719</v>
      </c>
      <c r="J1241" s="73">
        <f>+P1221+P1223+P1225+P1227+P1229</f>
        <v>240000</v>
      </c>
      <c r="K1241" s="74">
        <f>+L1204</f>
        <v>37070000</v>
      </c>
      <c r="L1241" s="195">
        <f>+J1241+K1241</f>
        <v>37310000</v>
      </c>
    </row>
    <row r="1242" spans="1:16" ht="14.25" customHeight="1">
      <c r="A1242" s="72">
        <v>721</v>
      </c>
      <c r="B1242" s="80">
        <f>(+H1230+H1228+H1226+H1224+H1222)</f>
        <v>304000</v>
      </c>
      <c r="C1242" s="74" t="e">
        <f>+D1205</f>
        <v>#REF!</v>
      </c>
      <c r="D1242" s="195" t="e">
        <f>+B1242+C1242</f>
        <v>#REF!</v>
      </c>
      <c r="I1242" s="72">
        <v>721</v>
      </c>
      <c r="J1242" s="80">
        <f>+P1222+P1224++P1228+P1230</f>
        <v>78034481</v>
      </c>
      <c r="K1242" s="74">
        <f>+L1205</f>
        <v>16219500</v>
      </c>
      <c r="L1242" s="195">
        <f>+J1242+K1242</f>
        <v>94253981</v>
      </c>
    </row>
    <row r="1243" spans="1:16" ht="12.75" customHeight="1">
      <c r="A1243" s="72">
        <v>722</v>
      </c>
      <c r="B1243" s="80"/>
      <c r="C1243" s="74">
        <f>+D1206</f>
        <v>231207671</v>
      </c>
      <c r="D1243" s="195">
        <f>+B1243+C1243</f>
        <v>231207671</v>
      </c>
      <c r="I1243" s="72">
        <v>722</v>
      </c>
      <c r="J1243" s="80"/>
      <c r="K1243" s="74">
        <f>+L1206</f>
        <v>56963334</v>
      </c>
      <c r="L1243" s="195">
        <f>+J1243+K1243</f>
        <v>56963334</v>
      </c>
      <c r="N1243" s="918" t="s">
        <v>1481</v>
      </c>
      <c r="O1243" s="918"/>
      <c r="P1243" s="918"/>
    </row>
    <row r="1244" spans="1:16" ht="14.25" customHeight="1">
      <c r="A1244" s="72">
        <v>723</v>
      </c>
      <c r="B1244" s="80"/>
      <c r="C1244" s="74" t="e">
        <f>+D1207</f>
        <v>#REF!</v>
      </c>
      <c r="D1244" s="195" t="e">
        <f>+B1244+C1244</f>
        <v>#REF!</v>
      </c>
      <c r="F1244" s="174" t="s">
        <v>23</v>
      </c>
      <c r="G1244" s="175"/>
      <c r="I1244" s="72">
        <v>723</v>
      </c>
      <c r="J1244" s="80">
        <f>+P1226</f>
        <v>3980000</v>
      </c>
      <c r="K1244" s="74">
        <f>+L1207</f>
        <v>309195089</v>
      </c>
      <c r="L1244" s="195">
        <f>+J1244+K1244</f>
        <v>313175089</v>
      </c>
      <c r="N1244" s="918"/>
      <c r="O1244" s="918"/>
      <c r="P1244" s="918"/>
    </row>
    <row r="1245" spans="1:16" ht="14.25" customHeight="1" thickBot="1">
      <c r="A1245" s="164" t="s">
        <v>181</v>
      </c>
      <c r="B1245" s="165"/>
      <c r="C1245" s="74" t="e">
        <f>+D1208</f>
        <v>#REF!</v>
      </c>
      <c r="D1245" s="196" t="e">
        <f>+B1245+C1245</f>
        <v>#REF!</v>
      </c>
      <c r="F1245" s="52"/>
      <c r="I1245" s="164" t="s">
        <v>181</v>
      </c>
      <c r="J1245" s="165"/>
      <c r="K1245" s="74">
        <f>+L1208</f>
        <v>-298880</v>
      </c>
      <c r="L1245" s="196">
        <f>+J1245+K1245</f>
        <v>-298880</v>
      </c>
      <c r="N1245" s="52"/>
    </row>
    <row r="1246" spans="1:16" ht="16.5" thickBot="1">
      <c r="A1246" s="169"/>
      <c r="B1246" s="170">
        <f>SUM(B1241:B1245)</f>
        <v>1064000</v>
      </c>
      <c r="C1246" s="171" t="e">
        <f>SUM(C1241:C1245)</f>
        <v>#REF!</v>
      </c>
      <c r="D1246" s="172" t="e">
        <f>SUM(D1241:D1245)</f>
        <v>#REF!</v>
      </c>
      <c r="I1246" s="169"/>
      <c r="J1246" s="197">
        <f>SUM(J1241:J1245)</f>
        <v>82254481</v>
      </c>
      <c r="K1246" s="197">
        <f>SUM(K1241:K1245)</f>
        <v>419149043</v>
      </c>
      <c r="L1246" s="198">
        <f>SUM(L1241:L1245)</f>
        <v>501403524</v>
      </c>
    </row>
    <row r="1247" spans="1:16" ht="16.5">
      <c r="A1247" s="49" t="s">
        <v>88</v>
      </c>
      <c r="B1247" s="50"/>
      <c r="I1247" s="49" t="s">
        <v>88</v>
      </c>
      <c r="J1247" s="50"/>
    </row>
    <row r="1248" spans="1:16">
      <c r="A1248" s="51" t="s">
        <v>89</v>
      </c>
      <c r="I1248" s="51" t="s">
        <v>89</v>
      </c>
    </row>
    <row r="1249" spans="1:16">
      <c r="A1249" s="51" t="s">
        <v>90</v>
      </c>
      <c r="I1249" s="51" t="s">
        <v>90</v>
      </c>
    </row>
    <row r="1250" spans="1:16">
      <c r="A1250" s="51" t="s">
        <v>91</v>
      </c>
      <c r="I1250" s="51" t="s">
        <v>91</v>
      </c>
    </row>
    <row r="1251" spans="1:16" ht="12" customHeight="1">
      <c r="A1251" s="50"/>
      <c r="B1251" s="50"/>
      <c r="I1251" s="50"/>
      <c r="J1251" s="50"/>
    </row>
    <row r="1252" spans="1:16" ht="16.5">
      <c r="A1252" s="52" t="s">
        <v>502</v>
      </c>
      <c r="G1252" s="52"/>
      <c r="I1252" s="260" t="s">
        <v>871</v>
      </c>
      <c r="O1252" s="52"/>
    </row>
    <row r="1253" spans="1:16" ht="15.75">
      <c r="A1253" s="53" t="s">
        <v>92</v>
      </c>
      <c r="G1253" s="53"/>
      <c r="I1253" s="53" t="s">
        <v>1333</v>
      </c>
      <c r="O1253" s="53"/>
    </row>
    <row r="1254" spans="1:16" ht="16.5">
      <c r="A1254" s="894" t="s">
        <v>261</v>
      </c>
      <c r="B1254" s="894"/>
      <c r="C1254" s="894"/>
      <c r="D1254" s="894"/>
      <c r="E1254" s="894"/>
      <c r="F1254" s="894"/>
      <c r="G1254" s="894"/>
      <c r="H1254" s="894"/>
      <c r="I1254" s="894" t="s">
        <v>903</v>
      </c>
      <c r="J1254" s="894"/>
      <c r="K1254" s="894"/>
      <c r="L1254" s="894"/>
      <c r="M1254" s="894"/>
      <c r="N1254" s="894"/>
      <c r="O1254" s="894"/>
      <c r="P1254" s="894"/>
    </row>
    <row r="1255" spans="1:16" ht="12.75" customHeight="1" thickBot="1"/>
    <row r="1256" spans="1:16">
      <c r="A1256" s="895" t="s">
        <v>94</v>
      </c>
      <c r="B1256" s="897" t="s">
        <v>95</v>
      </c>
      <c r="C1256" s="897" t="s">
        <v>96</v>
      </c>
      <c r="D1256" s="897" t="s">
        <v>3</v>
      </c>
      <c r="E1256" s="897" t="s">
        <v>97</v>
      </c>
      <c r="F1256" s="897" t="s">
        <v>98</v>
      </c>
      <c r="G1256" s="897" t="s">
        <v>99</v>
      </c>
      <c r="H1256" s="899"/>
      <c r="I1256" s="895" t="s">
        <v>94</v>
      </c>
      <c r="J1256" s="897" t="s">
        <v>95</v>
      </c>
      <c r="K1256" s="897" t="s">
        <v>96</v>
      </c>
      <c r="L1256" s="897" t="s">
        <v>3</v>
      </c>
      <c r="M1256" s="897" t="s">
        <v>97</v>
      </c>
      <c r="N1256" s="897" t="s">
        <v>98</v>
      </c>
      <c r="O1256" s="897" t="s">
        <v>99</v>
      </c>
      <c r="P1256" s="899"/>
    </row>
    <row r="1257" spans="1:16" ht="15.75" thickBot="1">
      <c r="A1257" s="896"/>
      <c r="B1257" s="898"/>
      <c r="C1257" s="898"/>
      <c r="D1257" s="898"/>
      <c r="E1257" s="898"/>
      <c r="F1257" s="898"/>
      <c r="G1257" s="240" t="s">
        <v>100</v>
      </c>
      <c r="H1257" s="182" t="s">
        <v>101</v>
      </c>
      <c r="I1257" s="896"/>
      <c r="J1257" s="898"/>
      <c r="K1257" s="898"/>
      <c r="L1257" s="898"/>
      <c r="M1257" s="898"/>
      <c r="N1257" s="898"/>
      <c r="O1257" s="240" t="s">
        <v>100</v>
      </c>
      <c r="P1257" s="182" t="s">
        <v>101</v>
      </c>
    </row>
    <row r="1258" spans="1:16" ht="15" customHeight="1">
      <c r="A1258" s="919" t="e">
        <f>+A1229+1</f>
        <v>#REF!</v>
      </c>
      <c r="B1258" s="875">
        <v>42361</v>
      </c>
      <c r="C1258" s="877" t="s">
        <v>267</v>
      </c>
      <c r="D1258" s="877" t="s">
        <v>490</v>
      </c>
      <c r="E1258" s="881" t="s">
        <v>148</v>
      </c>
      <c r="F1258" s="883">
        <v>168000</v>
      </c>
      <c r="G1258" s="55">
        <v>719</v>
      </c>
      <c r="H1258" s="78">
        <v>120000</v>
      </c>
      <c r="I1258" s="873" t="s">
        <v>1578</v>
      </c>
      <c r="J1258" s="875">
        <v>43062</v>
      </c>
      <c r="K1258" s="877" t="s">
        <v>28</v>
      </c>
      <c r="L1258" s="881" t="s">
        <v>1582</v>
      </c>
      <c r="M1258" s="881" t="s">
        <v>115</v>
      </c>
      <c r="N1258" s="883">
        <v>80000</v>
      </c>
      <c r="O1258" s="55">
        <v>719</v>
      </c>
      <c r="P1258" s="78">
        <f>+N1258</f>
        <v>80000</v>
      </c>
    </row>
    <row r="1259" spans="1:16" ht="15.75" customHeight="1" thickBot="1">
      <c r="A1259" s="920"/>
      <c r="B1259" s="876"/>
      <c r="C1259" s="878"/>
      <c r="D1259" s="878"/>
      <c r="E1259" s="882"/>
      <c r="F1259" s="884"/>
      <c r="G1259" s="56">
        <v>721</v>
      </c>
      <c r="H1259" s="79">
        <f>+F1258-H1258</f>
        <v>48000</v>
      </c>
      <c r="I1259" s="874"/>
      <c r="J1259" s="876"/>
      <c r="K1259" s="878"/>
      <c r="L1259" s="882"/>
      <c r="M1259" s="882"/>
      <c r="N1259" s="884"/>
      <c r="O1259" s="56">
        <v>723</v>
      </c>
      <c r="P1259" s="79"/>
    </row>
    <row r="1260" spans="1:16" ht="15" customHeight="1">
      <c r="A1260" s="919" t="e">
        <f>+A1258+1</f>
        <v>#REF!</v>
      </c>
      <c r="B1260" s="875">
        <v>42361</v>
      </c>
      <c r="C1260" s="881" t="s">
        <v>28</v>
      </c>
      <c r="D1260" s="877" t="s">
        <v>503</v>
      </c>
      <c r="E1260" s="881" t="s">
        <v>148</v>
      </c>
      <c r="F1260" s="883">
        <v>182000</v>
      </c>
      <c r="G1260" s="55">
        <v>719</v>
      </c>
      <c r="H1260" s="78">
        <v>130000</v>
      </c>
      <c r="I1260" s="873" t="s">
        <v>1579</v>
      </c>
      <c r="J1260" s="875">
        <v>43062</v>
      </c>
      <c r="K1260" s="881" t="s">
        <v>120</v>
      </c>
      <c r="L1260" s="881" t="s">
        <v>1581</v>
      </c>
      <c r="M1260" s="881" t="s">
        <v>115</v>
      </c>
      <c r="N1260" s="883">
        <v>300000</v>
      </c>
      <c r="O1260" s="55">
        <v>719</v>
      </c>
      <c r="P1260" s="78">
        <f>+N1260</f>
        <v>300000</v>
      </c>
    </row>
    <row r="1261" spans="1:16" ht="15.75" customHeight="1" thickBot="1">
      <c r="A1261" s="920"/>
      <c r="B1261" s="876"/>
      <c r="C1261" s="882"/>
      <c r="D1261" s="878"/>
      <c r="E1261" s="882"/>
      <c r="F1261" s="884"/>
      <c r="G1261" s="56">
        <v>721</v>
      </c>
      <c r="H1261" s="79">
        <f>+F1260-H1260</f>
        <v>52000</v>
      </c>
      <c r="I1261" s="874"/>
      <c r="J1261" s="876"/>
      <c r="K1261" s="882"/>
      <c r="L1261" s="882"/>
      <c r="M1261" s="882"/>
      <c r="N1261" s="884"/>
      <c r="O1261" s="56">
        <v>723</v>
      </c>
      <c r="P1261" s="79">
        <v>0</v>
      </c>
    </row>
    <row r="1262" spans="1:16" ht="12.75" customHeight="1">
      <c r="A1262" s="919" t="e">
        <f>+A1260+1</f>
        <v>#REF!</v>
      </c>
      <c r="B1262" s="875">
        <v>42361</v>
      </c>
      <c r="C1262" s="877" t="s">
        <v>32</v>
      </c>
      <c r="D1262" s="877" t="s">
        <v>504</v>
      </c>
      <c r="E1262" s="881" t="s">
        <v>148</v>
      </c>
      <c r="F1262" s="883">
        <v>98000</v>
      </c>
      <c r="G1262" s="55">
        <v>719</v>
      </c>
      <c r="H1262" s="78">
        <v>70000</v>
      </c>
      <c r="I1262" s="881"/>
      <c r="J1262" s="875"/>
      <c r="K1262" s="877"/>
      <c r="L1262" s="881"/>
      <c r="M1262" s="881"/>
      <c r="N1262" s="883"/>
      <c r="O1262" s="55"/>
      <c r="P1262" s="78"/>
    </row>
    <row r="1263" spans="1:16" ht="12" customHeight="1" thickBot="1">
      <c r="A1263" s="920"/>
      <c r="B1263" s="876"/>
      <c r="C1263" s="878"/>
      <c r="D1263" s="878"/>
      <c r="E1263" s="882"/>
      <c r="F1263" s="884"/>
      <c r="G1263" s="56">
        <v>721</v>
      </c>
      <c r="H1263" s="79">
        <f>+F1262-H1262</f>
        <v>28000</v>
      </c>
      <c r="I1263" s="882"/>
      <c r="J1263" s="876"/>
      <c r="K1263" s="878"/>
      <c r="L1263" s="882"/>
      <c r="M1263" s="882"/>
      <c r="N1263" s="884"/>
      <c r="O1263" s="56"/>
      <c r="P1263" s="79"/>
    </row>
    <row r="1264" spans="1:16" ht="12.75" customHeight="1">
      <c r="A1264" s="919" t="e">
        <f>+A1262+1</f>
        <v>#REF!</v>
      </c>
      <c r="B1264" s="875">
        <v>42361</v>
      </c>
      <c r="C1264" s="877" t="s">
        <v>111</v>
      </c>
      <c r="D1264" s="877" t="s">
        <v>505</v>
      </c>
      <c r="E1264" s="881" t="s">
        <v>148</v>
      </c>
      <c r="F1264" s="883">
        <v>168000</v>
      </c>
      <c r="G1264" s="55">
        <v>719</v>
      </c>
      <c r="H1264" s="78">
        <v>120000</v>
      </c>
      <c r="I1264" s="881"/>
      <c r="J1264" s="875"/>
      <c r="K1264" s="877"/>
      <c r="L1264" s="881"/>
      <c r="M1264" s="881"/>
      <c r="N1264" s="883"/>
      <c r="O1264" s="55"/>
      <c r="P1264" s="78"/>
    </row>
    <row r="1265" spans="1:16" ht="12" customHeight="1" thickBot="1">
      <c r="A1265" s="920"/>
      <c r="B1265" s="876"/>
      <c r="C1265" s="878"/>
      <c r="D1265" s="878"/>
      <c r="E1265" s="882"/>
      <c r="F1265" s="884"/>
      <c r="G1265" s="56">
        <v>721</v>
      </c>
      <c r="H1265" s="79">
        <f>+F1264-H1264</f>
        <v>48000</v>
      </c>
      <c r="I1265" s="882"/>
      <c r="J1265" s="876"/>
      <c r="K1265" s="878"/>
      <c r="L1265" s="882"/>
      <c r="M1265" s="882"/>
      <c r="N1265" s="884"/>
      <c r="O1265" s="56"/>
      <c r="P1265" s="79"/>
    </row>
    <row r="1266" spans="1:16" ht="12" customHeight="1">
      <c r="A1266" s="919" t="e">
        <f>+A1264+1</f>
        <v>#REF!</v>
      </c>
      <c r="B1266" s="875">
        <v>42361</v>
      </c>
      <c r="C1266" s="877" t="s">
        <v>272</v>
      </c>
      <c r="D1266" s="877" t="s">
        <v>504</v>
      </c>
      <c r="E1266" s="881" t="s">
        <v>148</v>
      </c>
      <c r="F1266" s="883">
        <v>700000</v>
      </c>
      <c r="G1266" s="55">
        <v>719</v>
      </c>
      <c r="H1266" s="78">
        <v>500000</v>
      </c>
      <c r="I1266" s="881"/>
      <c r="J1266" s="875"/>
      <c r="K1266" s="877"/>
      <c r="L1266" s="881"/>
      <c r="M1266" s="881"/>
      <c r="N1266" s="883"/>
      <c r="O1266" s="55"/>
      <c r="P1266" s="78"/>
    </row>
    <row r="1267" spans="1:16" ht="13.5" customHeight="1" thickBot="1">
      <c r="A1267" s="920"/>
      <c r="B1267" s="876"/>
      <c r="C1267" s="878"/>
      <c r="D1267" s="878"/>
      <c r="E1267" s="882"/>
      <c r="F1267" s="884"/>
      <c r="G1267" s="56">
        <v>721</v>
      </c>
      <c r="H1267" s="79">
        <f>+F1266-H1266</f>
        <v>200000</v>
      </c>
      <c r="I1267" s="882"/>
      <c r="J1267" s="876"/>
      <c r="K1267" s="878"/>
      <c r="L1267" s="882"/>
      <c r="M1267" s="882"/>
      <c r="N1267" s="884"/>
      <c r="O1267" s="56"/>
      <c r="P1267" s="79"/>
    </row>
    <row r="1268" spans="1:16" ht="16.5" thickBot="1">
      <c r="A1268" s="901" t="s">
        <v>102</v>
      </c>
      <c r="B1268" s="902"/>
      <c r="C1268" s="902"/>
      <c r="D1268" s="902"/>
      <c r="E1268" s="903"/>
      <c r="F1268" s="81">
        <f>SUM(F1258:F1267)</f>
        <v>1316000</v>
      </c>
      <c r="I1268" s="901" t="s">
        <v>102</v>
      </c>
      <c r="J1268" s="902"/>
      <c r="K1268" s="902"/>
      <c r="L1268" s="902"/>
      <c r="M1268" s="903"/>
      <c r="N1268" s="81">
        <f>SUM(N1258:N1267)</f>
        <v>380000</v>
      </c>
    </row>
    <row r="1269" spans="1:16" ht="16.5" thickBot="1">
      <c r="A1269" s="885" t="s">
        <v>103</v>
      </c>
      <c r="B1269" s="886"/>
      <c r="C1269" s="886"/>
      <c r="D1269" s="886"/>
      <c r="E1269" s="887"/>
      <c r="F1269" s="69">
        <f>+F1233</f>
        <v>653917254</v>
      </c>
      <c r="I1269" s="885" t="s">
        <v>103</v>
      </c>
      <c r="J1269" s="886"/>
      <c r="K1269" s="886"/>
      <c r="L1269" s="886"/>
      <c r="M1269" s="887"/>
      <c r="N1269" s="69">
        <f>+N1233</f>
        <v>501403524</v>
      </c>
      <c r="O1269" s="241" t="s">
        <v>561</v>
      </c>
      <c r="P1269" s="242"/>
    </row>
    <row r="1270" spans="1:16" ht="16.5" thickBot="1">
      <c r="A1270" s="888" t="s">
        <v>104</v>
      </c>
      <c r="B1270" s="889"/>
      <c r="C1270" s="889"/>
      <c r="D1270" s="889"/>
      <c r="E1270" s="890"/>
      <c r="F1270" s="183">
        <f>SUM(F1268:F1269)</f>
        <v>655233254</v>
      </c>
      <c r="I1270" s="888" t="s">
        <v>104</v>
      </c>
      <c r="J1270" s="889"/>
      <c r="K1270" s="889"/>
      <c r="L1270" s="889"/>
      <c r="M1270" s="890"/>
      <c r="N1270" s="183">
        <f>SUM(N1268:N1269)</f>
        <v>501783524</v>
      </c>
    </row>
    <row r="1271" spans="1:16">
      <c r="A1271" s="61"/>
      <c r="B1271" s="61"/>
      <c r="C1271" s="61"/>
      <c r="D1271" s="61"/>
      <c r="E1271" s="61"/>
      <c r="I1271" s="61"/>
      <c r="J1271" s="61"/>
      <c r="K1271" s="61"/>
      <c r="L1271" s="61"/>
      <c r="M1271" s="61"/>
    </row>
    <row r="1272" spans="1:16">
      <c r="A1272" s="51" t="s">
        <v>506</v>
      </c>
      <c r="I1272" s="51" t="s">
        <v>1580</v>
      </c>
    </row>
    <row r="1273" spans="1:16" ht="12" customHeight="1">
      <c r="F1273" s="139"/>
      <c r="N1273" s="139"/>
    </row>
    <row r="1274" spans="1:16">
      <c r="A1274" s="50" t="s">
        <v>105</v>
      </c>
      <c r="D1274" s="146"/>
      <c r="F1274" s="139"/>
      <c r="I1274" s="50" t="s">
        <v>105</v>
      </c>
      <c r="L1274" s="146"/>
      <c r="N1274" s="139"/>
    </row>
    <row r="1275" spans="1:16" ht="12" customHeight="1" thickBot="1"/>
    <row r="1276" spans="1:16" ht="15.75" thickBot="1">
      <c r="A1276" s="891" t="s">
        <v>106</v>
      </c>
      <c r="B1276" s="892"/>
      <c r="C1276" s="892"/>
      <c r="D1276" s="893"/>
      <c r="F1276" s="50" t="s">
        <v>288</v>
      </c>
      <c r="I1276" s="891" t="s">
        <v>106</v>
      </c>
      <c r="J1276" s="892"/>
      <c r="K1276" s="892"/>
      <c r="L1276" s="893"/>
      <c r="N1276" s="50" t="s">
        <v>288</v>
      </c>
    </row>
    <row r="1277" spans="1:16" ht="30.75" thickBot="1">
      <c r="A1277" s="57" t="s">
        <v>100</v>
      </c>
      <c r="B1277" s="58" t="s">
        <v>108</v>
      </c>
      <c r="C1277" s="59" t="s">
        <v>109</v>
      </c>
      <c r="D1277" s="60" t="s">
        <v>110</v>
      </c>
      <c r="I1277" s="57" t="s">
        <v>100</v>
      </c>
      <c r="J1277" s="58" t="s">
        <v>108</v>
      </c>
      <c r="K1277" s="59" t="s">
        <v>109</v>
      </c>
      <c r="L1277" s="60" t="s">
        <v>110</v>
      </c>
    </row>
    <row r="1278" spans="1:16" ht="12.75" customHeight="1">
      <c r="A1278" s="71">
        <v>719</v>
      </c>
      <c r="B1278" s="73">
        <f>+H1258+H1260+H1262+H1264+H1266</f>
        <v>940000</v>
      </c>
      <c r="C1278" s="74" t="e">
        <f>+D1241</f>
        <v>#REF!</v>
      </c>
      <c r="D1278" s="195" t="e">
        <f>+B1278+C1278</f>
        <v>#REF!</v>
      </c>
      <c r="I1278" s="71">
        <v>719</v>
      </c>
      <c r="J1278" s="73">
        <f>+P1258+P1260+P1262+P1264+P1266</f>
        <v>380000</v>
      </c>
      <c r="K1278" s="74">
        <f>+L1241</f>
        <v>37310000</v>
      </c>
      <c r="L1278" s="195">
        <f>+J1278+K1278</f>
        <v>37690000</v>
      </c>
    </row>
    <row r="1279" spans="1:16" ht="13.5" customHeight="1">
      <c r="A1279" s="72">
        <v>721</v>
      </c>
      <c r="B1279" s="80">
        <f>(+H1267+H1265+H1263+H1261+H1259)</f>
        <v>376000</v>
      </c>
      <c r="C1279" s="74" t="e">
        <f>+D1242</f>
        <v>#REF!</v>
      </c>
      <c r="D1279" s="195" t="e">
        <f>+B1279+C1279</f>
        <v>#REF!</v>
      </c>
      <c r="I1279" s="72">
        <v>721</v>
      </c>
      <c r="J1279" s="80">
        <v>0</v>
      </c>
      <c r="K1279" s="74">
        <f>+L1242</f>
        <v>94253981</v>
      </c>
      <c r="L1279" s="195">
        <f>+J1279+K1279</f>
        <v>94253981</v>
      </c>
    </row>
    <row r="1280" spans="1:16" ht="14.25" customHeight="1">
      <c r="A1280" s="72">
        <v>722</v>
      </c>
      <c r="B1280" s="80"/>
      <c r="C1280" s="74">
        <f>+D1243</f>
        <v>231207671</v>
      </c>
      <c r="D1280" s="195">
        <f>+B1280+C1280</f>
        <v>231207671</v>
      </c>
      <c r="I1280" s="72">
        <v>722</v>
      </c>
      <c r="J1280" s="80"/>
      <c r="K1280" s="74">
        <f>+L1243</f>
        <v>56963334</v>
      </c>
      <c r="L1280" s="195">
        <f>+J1280+K1280</f>
        <v>56963334</v>
      </c>
    </row>
    <row r="1281" spans="1:16" ht="15.75">
      <c r="A1281" s="72">
        <v>723</v>
      </c>
      <c r="B1281" s="80"/>
      <c r="C1281" s="74" t="e">
        <f>+D1244</f>
        <v>#REF!</v>
      </c>
      <c r="D1281" s="195" t="e">
        <f>+B1281+C1281</f>
        <v>#REF!</v>
      </c>
      <c r="F1281" s="174" t="s">
        <v>23</v>
      </c>
      <c r="G1281" s="175"/>
      <c r="I1281" s="72">
        <v>723</v>
      </c>
      <c r="J1281" s="80">
        <f>+P1267+P1265+P1263+P1261+P1259</f>
        <v>0</v>
      </c>
      <c r="K1281" s="74">
        <f>+L1244</f>
        <v>313175089</v>
      </c>
      <c r="L1281" s="195">
        <f>+J1281+K1281</f>
        <v>313175089</v>
      </c>
      <c r="N1281" s="918" t="s">
        <v>1481</v>
      </c>
      <c r="O1281" s="918"/>
      <c r="P1281" s="918"/>
    </row>
    <row r="1282" spans="1:16" ht="13.5" customHeight="1" thickBot="1">
      <c r="A1282" s="164" t="s">
        <v>181</v>
      </c>
      <c r="B1282" s="165"/>
      <c r="C1282" s="74" t="e">
        <f>+D1245</f>
        <v>#REF!</v>
      </c>
      <c r="D1282" s="196" t="e">
        <f>+B1282+C1282</f>
        <v>#REF!</v>
      </c>
      <c r="F1282" s="52"/>
      <c r="I1282" s="164" t="s">
        <v>181</v>
      </c>
      <c r="J1282" s="165"/>
      <c r="K1282" s="74">
        <f>+L1245</f>
        <v>-298880</v>
      </c>
      <c r="L1282" s="196">
        <f>+J1282+K1282</f>
        <v>-298880</v>
      </c>
      <c r="N1282" s="52"/>
    </row>
    <row r="1283" spans="1:16" ht="16.5" thickBot="1">
      <c r="A1283" s="169"/>
      <c r="B1283" s="170">
        <f>SUM(B1278:B1282)</f>
        <v>1316000</v>
      </c>
      <c r="C1283" s="171" t="e">
        <f>SUM(C1278:C1282)</f>
        <v>#REF!</v>
      </c>
      <c r="D1283" s="172" t="e">
        <f>SUM(D1278:D1282)</f>
        <v>#REF!</v>
      </c>
      <c r="I1283" s="169"/>
      <c r="J1283" s="197">
        <f>SUM(J1278:J1282)</f>
        <v>380000</v>
      </c>
      <c r="K1283" s="197">
        <f>SUM(K1278:K1282)</f>
        <v>501403524</v>
      </c>
      <c r="L1283" s="198">
        <f>SUM(L1278:L1282)</f>
        <v>501783524</v>
      </c>
    </row>
    <row r="1284" spans="1:16" ht="16.5">
      <c r="A1284" s="49" t="s">
        <v>88</v>
      </c>
      <c r="B1284" s="50"/>
      <c r="I1284" s="49" t="s">
        <v>88</v>
      </c>
      <c r="J1284" s="50"/>
    </row>
    <row r="1285" spans="1:16">
      <c r="A1285" s="51" t="s">
        <v>89</v>
      </c>
      <c r="I1285" s="51" t="s">
        <v>89</v>
      </c>
    </row>
    <row r="1286" spans="1:16">
      <c r="A1286" s="51" t="s">
        <v>90</v>
      </c>
      <c r="I1286" s="51" t="s">
        <v>90</v>
      </c>
    </row>
    <row r="1287" spans="1:16">
      <c r="A1287" s="51" t="s">
        <v>91</v>
      </c>
      <c r="I1287" s="51" t="s">
        <v>91</v>
      </c>
    </row>
    <row r="1288" spans="1:16" ht="12" customHeight="1">
      <c r="A1288" s="50"/>
      <c r="B1288" s="50"/>
      <c r="I1288" s="50"/>
      <c r="J1288" s="50"/>
    </row>
    <row r="1289" spans="1:16" ht="16.5">
      <c r="A1289" s="52" t="s">
        <v>507</v>
      </c>
      <c r="G1289" s="52"/>
      <c r="I1289" s="260" t="s">
        <v>209</v>
      </c>
      <c r="O1289" s="52"/>
    </row>
    <row r="1290" spans="1:16" ht="15.75">
      <c r="A1290" s="53" t="s">
        <v>92</v>
      </c>
      <c r="G1290" s="53"/>
      <c r="I1290" s="53" t="s">
        <v>1333</v>
      </c>
      <c r="O1290" s="53"/>
    </row>
    <row r="1291" spans="1:16" ht="16.5">
      <c r="A1291" s="894" t="s">
        <v>261</v>
      </c>
      <c r="B1291" s="894"/>
      <c r="C1291" s="894"/>
      <c r="D1291" s="894"/>
      <c r="E1291" s="894"/>
      <c r="F1291" s="894"/>
      <c r="G1291" s="894"/>
      <c r="H1291" s="894"/>
      <c r="I1291" s="894" t="s">
        <v>903</v>
      </c>
      <c r="J1291" s="894"/>
      <c r="K1291" s="894"/>
      <c r="L1291" s="894"/>
      <c r="M1291" s="894"/>
      <c r="N1291" s="894"/>
      <c r="O1291" s="894"/>
      <c r="P1291" s="894"/>
    </row>
    <row r="1292" spans="1:16" ht="15.75" thickBot="1"/>
    <row r="1293" spans="1:16">
      <c r="A1293" s="895" t="s">
        <v>94</v>
      </c>
      <c r="B1293" s="897" t="s">
        <v>95</v>
      </c>
      <c r="C1293" s="897" t="s">
        <v>96</v>
      </c>
      <c r="D1293" s="897" t="s">
        <v>3</v>
      </c>
      <c r="E1293" s="897" t="s">
        <v>97</v>
      </c>
      <c r="F1293" s="897" t="s">
        <v>98</v>
      </c>
      <c r="G1293" s="897" t="s">
        <v>99</v>
      </c>
      <c r="H1293" s="899"/>
      <c r="I1293" s="895" t="s">
        <v>94</v>
      </c>
      <c r="J1293" s="897" t="s">
        <v>95</v>
      </c>
      <c r="K1293" s="897" t="s">
        <v>96</v>
      </c>
      <c r="L1293" s="897" t="s">
        <v>3</v>
      </c>
      <c r="M1293" s="897" t="s">
        <v>97</v>
      </c>
      <c r="N1293" s="897" t="s">
        <v>98</v>
      </c>
      <c r="O1293" s="897" t="s">
        <v>99</v>
      </c>
      <c r="P1293" s="899"/>
    </row>
    <row r="1294" spans="1:16" ht="15.75" thickBot="1">
      <c r="A1294" s="896"/>
      <c r="B1294" s="898"/>
      <c r="C1294" s="898"/>
      <c r="D1294" s="898"/>
      <c r="E1294" s="898"/>
      <c r="F1294" s="898"/>
      <c r="G1294" s="240" t="s">
        <v>100</v>
      </c>
      <c r="H1294" s="182" t="s">
        <v>101</v>
      </c>
      <c r="I1294" s="896"/>
      <c r="J1294" s="898"/>
      <c r="K1294" s="898"/>
      <c r="L1294" s="898"/>
      <c r="M1294" s="898"/>
      <c r="N1294" s="898"/>
      <c r="O1294" s="240" t="s">
        <v>100</v>
      </c>
      <c r="P1294" s="182" t="s">
        <v>101</v>
      </c>
    </row>
    <row r="1295" spans="1:16" ht="13.5" customHeight="1">
      <c r="A1295" s="919" t="e">
        <f>+A1266+1</f>
        <v>#REF!</v>
      </c>
      <c r="B1295" s="875">
        <v>42364</v>
      </c>
      <c r="C1295" s="877" t="s">
        <v>267</v>
      </c>
      <c r="D1295" s="877" t="s">
        <v>509</v>
      </c>
      <c r="E1295" s="881" t="s">
        <v>148</v>
      </c>
      <c r="F1295" s="883">
        <v>112000</v>
      </c>
      <c r="G1295" s="55">
        <v>719</v>
      </c>
      <c r="H1295" s="78">
        <v>80000</v>
      </c>
      <c r="I1295" s="873" t="s">
        <v>1589</v>
      </c>
      <c r="J1295" s="875">
        <v>43088</v>
      </c>
      <c r="K1295" s="877" t="s">
        <v>472</v>
      </c>
      <c r="L1295" s="881" t="s">
        <v>1522</v>
      </c>
      <c r="M1295" s="881" t="s">
        <v>148</v>
      </c>
      <c r="N1295" s="883">
        <v>325000</v>
      </c>
      <c r="O1295" s="55">
        <v>719</v>
      </c>
      <c r="P1295" s="78">
        <v>250000</v>
      </c>
    </row>
    <row r="1296" spans="1:16" ht="12.75" customHeight="1" thickBot="1">
      <c r="A1296" s="920"/>
      <c r="B1296" s="876"/>
      <c r="C1296" s="878"/>
      <c r="D1296" s="878"/>
      <c r="E1296" s="882"/>
      <c r="F1296" s="884"/>
      <c r="G1296" s="56">
        <v>721</v>
      </c>
      <c r="H1296" s="79">
        <f>+F1295-H1295</f>
        <v>32000</v>
      </c>
      <c r="I1296" s="874"/>
      <c r="J1296" s="876"/>
      <c r="K1296" s="878"/>
      <c r="L1296" s="882"/>
      <c r="M1296" s="882"/>
      <c r="N1296" s="884"/>
      <c r="O1296" s="56">
        <v>723</v>
      </c>
      <c r="P1296" s="79">
        <f>+N1295-P1295</f>
        <v>75000</v>
      </c>
    </row>
    <row r="1297" spans="1:16" ht="12" customHeight="1">
      <c r="A1297" s="919" t="e">
        <f>+A1295+1</f>
        <v>#REF!</v>
      </c>
      <c r="B1297" s="875">
        <v>42364</v>
      </c>
      <c r="C1297" s="881" t="s">
        <v>28</v>
      </c>
      <c r="D1297" s="877" t="s">
        <v>510</v>
      </c>
      <c r="E1297" s="881" t="s">
        <v>148</v>
      </c>
      <c r="F1297" s="883">
        <v>238000</v>
      </c>
      <c r="G1297" s="55">
        <v>719</v>
      </c>
      <c r="H1297" s="78">
        <v>170000</v>
      </c>
      <c r="I1297" s="881">
        <f>+I1295+1</f>
        <v>164</v>
      </c>
      <c r="J1297" s="875">
        <v>43088</v>
      </c>
      <c r="K1297" s="877" t="s">
        <v>472</v>
      </c>
      <c r="L1297" s="881" t="s">
        <v>1590</v>
      </c>
      <c r="M1297" s="881" t="s">
        <v>148</v>
      </c>
      <c r="N1297" s="883">
        <v>312000</v>
      </c>
      <c r="O1297" s="55">
        <v>719</v>
      </c>
      <c r="P1297" s="78">
        <v>240000</v>
      </c>
    </row>
    <row r="1298" spans="1:16" ht="13.5" customHeight="1" thickBot="1">
      <c r="A1298" s="920"/>
      <c r="B1298" s="876"/>
      <c r="C1298" s="882"/>
      <c r="D1298" s="878"/>
      <c r="E1298" s="882"/>
      <c r="F1298" s="884"/>
      <c r="G1298" s="56">
        <v>721</v>
      </c>
      <c r="H1298" s="79">
        <f>+F1297-H1297</f>
        <v>68000</v>
      </c>
      <c r="I1298" s="882"/>
      <c r="J1298" s="876"/>
      <c r="K1298" s="878"/>
      <c r="L1298" s="882"/>
      <c r="M1298" s="882"/>
      <c r="N1298" s="884"/>
      <c r="O1298" s="56">
        <v>723</v>
      </c>
      <c r="P1298" s="79">
        <f>+N1297-P1297</f>
        <v>72000</v>
      </c>
    </row>
    <row r="1299" spans="1:16" ht="12.75" customHeight="1">
      <c r="A1299" s="919" t="e">
        <f>+A1297+1</f>
        <v>#REF!</v>
      </c>
      <c r="B1299" s="875">
        <v>42364</v>
      </c>
      <c r="C1299" s="877" t="s">
        <v>32</v>
      </c>
      <c r="D1299" s="877" t="s">
        <v>510</v>
      </c>
      <c r="E1299" s="881" t="s">
        <v>148</v>
      </c>
      <c r="F1299" s="883">
        <v>112000</v>
      </c>
      <c r="G1299" s="55">
        <v>719</v>
      </c>
      <c r="H1299" s="78">
        <v>80000</v>
      </c>
      <c r="I1299" s="881">
        <f>+I1297+1</f>
        <v>165</v>
      </c>
      <c r="J1299" s="875">
        <v>43088</v>
      </c>
      <c r="K1299" s="877" t="s">
        <v>472</v>
      </c>
      <c r="L1299" s="881" t="s">
        <v>1507</v>
      </c>
      <c r="M1299" s="881" t="s">
        <v>148</v>
      </c>
      <c r="N1299" s="883">
        <v>247000</v>
      </c>
      <c r="O1299" s="55">
        <v>719</v>
      </c>
      <c r="P1299" s="78">
        <v>190000</v>
      </c>
    </row>
    <row r="1300" spans="1:16" ht="12.75" customHeight="1" thickBot="1">
      <c r="A1300" s="920"/>
      <c r="B1300" s="876"/>
      <c r="C1300" s="878"/>
      <c r="D1300" s="878"/>
      <c r="E1300" s="882"/>
      <c r="F1300" s="884"/>
      <c r="G1300" s="56">
        <v>721</v>
      </c>
      <c r="H1300" s="79">
        <f>+F1299-H1299</f>
        <v>32000</v>
      </c>
      <c r="I1300" s="882"/>
      <c r="J1300" s="876"/>
      <c r="K1300" s="878"/>
      <c r="L1300" s="882"/>
      <c r="M1300" s="882"/>
      <c r="N1300" s="884"/>
      <c r="O1300" s="56">
        <v>723</v>
      </c>
      <c r="P1300" s="79">
        <f>+N1299-P1299</f>
        <v>57000</v>
      </c>
    </row>
    <row r="1301" spans="1:16" ht="13.5" customHeight="1">
      <c r="A1301" s="919" t="e">
        <f>+A1299+1</f>
        <v>#REF!</v>
      </c>
      <c r="B1301" s="875">
        <v>42364</v>
      </c>
      <c r="C1301" s="877" t="s">
        <v>111</v>
      </c>
      <c r="D1301" s="877" t="s">
        <v>511</v>
      </c>
      <c r="E1301" s="881" t="s">
        <v>148</v>
      </c>
      <c r="F1301" s="883">
        <v>112000</v>
      </c>
      <c r="G1301" s="55">
        <v>719</v>
      </c>
      <c r="H1301" s="78">
        <v>80000</v>
      </c>
      <c r="I1301" s="881">
        <f>+I1299+1</f>
        <v>166</v>
      </c>
      <c r="J1301" s="875">
        <v>43088</v>
      </c>
      <c r="K1301" s="877" t="s">
        <v>472</v>
      </c>
      <c r="L1301" s="881" t="s">
        <v>1506</v>
      </c>
      <c r="M1301" s="881" t="s">
        <v>148</v>
      </c>
      <c r="N1301" s="883">
        <v>208000</v>
      </c>
      <c r="O1301" s="55">
        <v>719</v>
      </c>
      <c r="P1301" s="78">
        <v>160000</v>
      </c>
    </row>
    <row r="1302" spans="1:16" ht="13.5" customHeight="1" thickBot="1">
      <c r="A1302" s="920"/>
      <c r="B1302" s="876"/>
      <c r="C1302" s="878"/>
      <c r="D1302" s="878"/>
      <c r="E1302" s="882"/>
      <c r="F1302" s="884"/>
      <c r="G1302" s="56">
        <v>721</v>
      </c>
      <c r="H1302" s="79">
        <f>+F1301-H1301</f>
        <v>32000</v>
      </c>
      <c r="I1302" s="882"/>
      <c r="J1302" s="876"/>
      <c r="K1302" s="878"/>
      <c r="L1302" s="882"/>
      <c r="M1302" s="882"/>
      <c r="N1302" s="884"/>
      <c r="O1302" s="56">
        <v>723</v>
      </c>
      <c r="P1302" s="79">
        <f>+N1301-P1301</f>
        <v>48000</v>
      </c>
    </row>
    <row r="1303" spans="1:16" ht="12.75" customHeight="1">
      <c r="A1303" s="919" t="e">
        <f>+A1301+1</f>
        <v>#REF!</v>
      </c>
      <c r="B1303" s="875">
        <v>42364</v>
      </c>
      <c r="C1303" s="877" t="s">
        <v>272</v>
      </c>
      <c r="D1303" s="877" t="s">
        <v>510</v>
      </c>
      <c r="E1303" s="881" t="s">
        <v>148</v>
      </c>
      <c r="F1303" s="883">
        <v>616000</v>
      </c>
      <c r="G1303" s="55">
        <v>719</v>
      </c>
      <c r="H1303" s="78">
        <v>440000</v>
      </c>
      <c r="I1303" s="881">
        <f>+I1301+1</f>
        <v>167</v>
      </c>
      <c r="J1303" s="875">
        <v>43088</v>
      </c>
      <c r="K1303" s="877" t="s">
        <v>472</v>
      </c>
      <c r="L1303" s="881" t="s">
        <v>1510</v>
      </c>
      <c r="M1303" s="881" t="s">
        <v>148</v>
      </c>
      <c r="N1303" s="883">
        <v>234000</v>
      </c>
      <c r="O1303" s="55">
        <v>719</v>
      </c>
      <c r="P1303" s="78">
        <v>180000</v>
      </c>
    </row>
    <row r="1304" spans="1:16" ht="12.75" customHeight="1" thickBot="1">
      <c r="A1304" s="920"/>
      <c r="B1304" s="876"/>
      <c r="C1304" s="878"/>
      <c r="D1304" s="878"/>
      <c r="E1304" s="882"/>
      <c r="F1304" s="884"/>
      <c r="G1304" s="56">
        <v>721</v>
      </c>
      <c r="H1304" s="79">
        <f>+F1303-H1303</f>
        <v>176000</v>
      </c>
      <c r="I1304" s="882"/>
      <c r="J1304" s="876"/>
      <c r="K1304" s="878"/>
      <c r="L1304" s="882"/>
      <c r="M1304" s="882"/>
      <c r="N1304" s="884"/>
      <c r="O1304" s="56">
        <v>723</v>
      </c>
      <c r="P1304" s="79">
        <f>+N1303-P1303</f>
        <v>54000</v>
      </c>
    </row>
    <row r="1305" spans="1:16" ht="16.5" thickBot="1">
      <c r="A1305" s="901" t="s">
        <v>102</v>
      </c>
      <c r="B1305" s="902"/>
      <c r="C1305" s="902"/>
      <c r="D1305" s="902"/>
      <c r="E1305" s="903"/>
      <c r="F1305" s="81">
        <f>SUM(F1295:F1304)</f>
        <v>1190000</v>
      </c>
      <c r="I1305" s="901" t="s">
        <v>102</v>
      </c>
      <c r="J1305" s="902"/>
      <c r="K1305" s="902"/>
      <c r="L1305" s="902"/>
      <c r="M1305" s="903"/>
      <c r="N1305" s="81">
        <f>SUM(N1295:N1304)</f>
        <v>1326000</v>
      </c>
    </row>
    <row r="1306" spans="1:16" ht="16.5" thickBot="1">
      <c r="A1306" s="885" t="s">
        <v>103</v>
      </c>
      <c r="B1306" s="886"/>
      <c r="C1306" s="886"/>
      <c r="D1306" s="886"/>
      <c r="E1306" s="887"/>
      <c r="F1306" s="69">
        <f>+F1270</f>
        <v>655233254</v>
      </c>
      <c r="I1306" s="885" t="s">
        <v>103</v>
      </c>
      <c r="J1306" s="886"/>
      <c r="K1306" s="886"/>
      <c r="L1306" s="886"/>
      <c r="M1306" s="887"/>
      <c r="N1306" s="69">
        <f>+N1270</f>
        <v>501783524</v>
      </c>
      <c r="O1306" s="241" t="s">
        <v>561</v>
      </c>
      <c r="P1306" s="242">
        <f>426+320+398+660+676</f>
        <v>2480</v>
      </c>
    </row>
    <row r="1307" spans="1:16" ht="16.5" thickBot="1">
      <c r="A1307" s="888" t="s">
        <v>104</v>
      </c>
      <c r="B1307" s="889"/>
      <c r="C1307" s="889"/>
      <c r="D1307" s="889"/>
      <c r="E1307" s="890"/>
      <c r="F1307" s="183">
        <f>SUM(F1305:F1306)</f>
        <v>656423254</v>
      </c>
      <c r="I1307" s="888" t="s">
        <v>104</v>
      </c>
      <c r="J1307" s="889"/>
      <c r="K1307" s="889"/>
      <c r="L1307" s="889"/>
      <c r="M1307" s="890"/>
      <c r="N1307" s="183">
        <f>SUM(N1305:N1306)</f>
        <v>503109524</v>
      </c>
    </row>
    <row r="1308" spans="1:16">
      <c r="A1308" s="61"/>
      <c r="B1308" s="61"/>
      <c r="C1308" s="61"/>
      <c r="D1308" s="61"/>
      <c r="E1308" s="61"/>
      <c r="I1308" s="61"/>
      <c r="J1308" s="61"/>
      <c r="K1308" s="61"/>
      <c r="L1308" s="61"/>
      <c r="M1308" s="61"/>
    </row>
    <row r="1309" spans="1:16">
      <c r="A1309" s="51" t="s">
        <v>512</v>
      </c>
      <c r="I1309" s="51" t="s">
        <v>1598</v>
      </c>
    </row>
    <row r="1310" spans="1:16" ht="9.75" customHeight="1">
      <c r="F1310" s="139"/>
      <c r="N1310" s="139"/>
    </row>
    <row r="1311" spans="1:16">
      <c r="A1311" s="50" t="s">
        <v>105</v>
      </c>
      <c r="D1311" s="146"/>
      <c r="F1311" s="139"/>
      <c r="I1311" s="50" t="s">
        <v>105</v>
      </c>
      <c r="L1311" s="146"/>
      <c r="N1311" s="139"/>
    </row>
    <row r="1312" spans="1:16" ht="10.5" customHeight="1" thickBot="1"/>
    <row r="1313" spans="1:16" ht="15.75" thickBot="1">
      <c r="A1313" s="891" t="s">
        <v>106</v>
      </c>
      <c r="B1313" s="892"/>
      <c r="C1313" s="892"/>
      <c r="D1313" s="893"/>
      <c r="F1313" s="50" t="s">
        <v>288</v>
      </c>
      <c r="I1313" s="891" t="s">
        <v>106</v>
      </c>
      <c r="J1313" s="892"/>
      <c r="K1313" s="892"/>
      <c r="L1313" s="893"/>
      <c r="N1313" s="50" t="s">
        <v>288</v>
      </c>
    </row>
    <row r="1314" spans="1:16" ht="30.75" thickBot="1">
      <c r="A1314" s="57" t="s">
        <v>100</v>
      </c>
      <c r="B1314" s="58" t="s">
        <v>108</v>
      </c>
      <c r="C1314" s="59" t="s">
        <v>109</v>
      </c>
      <c r="D1314" s="60" t="s">
        <v>110</v>
      </c>
      <c r="I1314" s="57" t="s">
        <v>100</v>
      </c>
      <c r="J1314" s="58" t="s">
        <v>108</v>
      </c>
      <c r="K1314" s="59" t="s">
        <v>109</v>
      </c>
      <c r="L1314" s="60" t="s">
        <v>110</v>
      </c>
    </row>
    <row r="1315" spans="1:16">
      <c r="A1315" s="71">
        <v>719</v>
      </c>
      <c r="B1315" s="73">
        <f>+H1295+H1297+H1299+H1301+H1303</f>
        <v>850000</v>
      </c>
      <c r="C1315" s="74" t="e">
        <f>+D1278</f>
        <v>#REF!</v>
      </c>
      <c r="D1315" s="195" t="e">
        <f>+B1315+C1315</f>
        <v>#REF!</v>
      </c>
      <c r="I1315" s="71">
        <v>719</v>
      </c>
      <c r="J1315" s="73">
        <f>+P1295+P1297+P1299+P1301+P1303</f>
        <v>1020000</v>
      </c>
      <c r="K1315" s="74">
        <f>+L1278</f>
        <v>37690000</v>
      </c>
      <c r="L1315" s="195">
        <f>+J1315+K1315</f>
        <v>38710000</v>
      </c>
    </row>
    <row r="1316" spans="1:16">
      <c r="A1316" s="72">
        <v>721</v>
      </c>
      <c r="B1316" s="80">
        <f>(+H1304+H1302+H1300+H1298+H1296)</f>
        <v>340000</v>
      </c>
      <c r="C1316" s="74" t="e">
        <f>+D1279</f>
        <v>#REF!</v>
      </c>
      <c r="D1316" s="195" t="e">
        <f>+B1316+C1316</f>
        <v>#REF!</v>
      </c>
      <c r="I1316" s="72">
        <v>721</v>
      </c>
      <c r="J1316" s="80">
        <f>+P1296+P1298+P1300+P1302+P1304</f>
        <v>306000</v>
      </c>
      <c r="K1316" s="74">
        <f>+L1279</f>
        <v>94253981</v>
      </c>
      <c r="L1316" s="195">
        <f>+J1316+K1316</f>
        <v>94559981</v>
      </c>
    </row>
    <row r="1317" spans="1:16" ht="13.5" customHeight="1">
      <c r="A1317" s="72">
        <v>722</v>
      </c>
      <c r="B1317" s="80"/>
      <c r="C1317" s="74">
        <f>+D1280</f>
        <v>231207671</v>
      </c>
      <c r="D1317" s="195">
        <f>+B1317+C1317</f>
        <v>231207671</v>
      </c>
      <c r="I1317" s="72">
        <v>722</v>
      </c>
      <c r="J1317" s="80"/>
      <c r="K1317" s="74">
        <f>+L1280</f>
        <v>56963334</v>
      </c>
      <c r="L1317" s="195">
        <f>+J1317+K1317</f>
        <v>56963334</v>
      </c>
    </row>
    <row r="1318" spans="1:16" ht="15.75">
      <c r="A1318" s="72">
        <v>723</v>
      </c>
      <c r="B1318" s="80"/>
      <c r="C1318" s="74" t="e">
        <f>+D1281</f>
        <v>#REF!</v>
      </c>
      <c r="D1318" s="195" t="e">
        <f>+B1318+C1318</f>
        <v>#REF!</v>
      </c>
      <c r="F1318" s="174" t="s">
        <v>23</v>
      </c>
      <c r="G1318" s="175"/>
      <c r="I1318" s="72">
        <v>723</v>
      </c>
      <c r="J1318" s="80"/>
      <c r="K1318" s="74">
        <f>+L1281</f>
        <v>313175089</v>
      </c>
      <c r="L1318" s="195">
        <f>+J1318+K1318</f>
        <v>313175089</v>
      </c>
      <c r="N1318" s="918" t="s">
        <v>1481</v>
      </c>
      <c r="O1318" s="918"/>
      <c r="P1318" s="918"/>
    </row>
    <row r="1319" spans="1:16" ht="15" customHeight="1" thickBot="1">
      <c r="A1319" s="164" t="s">
        <v>181</v>
      </c>
      <c r="B1319" s="165"/>
      <c r="C1319" s="74" t="e">
        <f>+D1282</f>
        <v>#REF!</v>
      </c>
      <c r="D1319" s="196" t="e">
        <f>+B1319+C1319</f>
        <v>#REF!</v>
      </c>
      <c r="F1319" s="52"/>
      <c r="I1319" s="164" t="s">
        <v>181</v>
      </c>
      <c r="J1319" s="165"/>
      <c r="K1319" s="74">
        <f>+L1282</f>
        <v>-298880</v>
      </c>
      <c r="L1319" s="196">
        <f>+J1319+K1319</f>
        <v>-298880</v>
      </c>
      <c r="N1319" s="52"/>
    </row>
    <row r="1320" spans="1:16" ht="16.5" thickBot="1">
      <c r="A1320" s="169"/>
      <c r="B1320" s="170">
        <f>SUM(B1315:B1319)</f>
        <v>1190000</v>
      </c>
      <c r="C1320" s="171" t="e">
        <f>SUM(C1315:C1319)</f>
        <v>#REF!</v>
      </c>
      <c r="D1320" s="172" t="e">
        <f>SUM(D1315:D1319)</f>
        <v>#REF!</v>
      </c>
      <c r="I1320" s="169"/>
      <c r="J1320" s="197">
        <f>SUM(J1315:J1319)</f>
        <v>1326000</v>
      </c>
      <c r="K1320" s="197">
        <f>SUM(K1315:K1319)</f>
        <v>501783524</v>
      </c>
      <c r="L1320" s="198">
        <f>SUM(L1315:L1319)</f>
        <v>503109524</v>
      </c>
    </row>
    <row r="1321" spans="1:16" ht="16.5">
      <c r="A1321" s="49" t="s">
        <v>88</v>
      </c>
      <c r="B1321" s="50"/>
      <c r="I1321" s="49" t="s">
        <v>88</v>
      </c>
      <c r="J1321" s="50"/>
    </row>
    <row r="1322" spans="1:16">
      <c r="A1322" s="51" t="s">
        <v>89</v>
      </c>
      <c r="I1322" s="51" t="s">
        <v>89</v>
      </c>
    </row>
    <row r="1323" spans="1:16">
      <c r="A1323" s="51" t="s">
        <v>90</v>
      </c>
      <c r="I1323" s="51" t="s">
        <v>90</v>
      </c>
    </row>
    <row r="1324" spans="1:16">
      <c r="A1324" s="51" t="s">
        <v>91</v>
      </c>
      <c r="I1324" s="51" t="s">
        <v>91</v>
      </c>
    </row>
    <row r="1325" spans="1:16" ht="9.75" customHeight="1">
      <c r="A1325" s="50"/>
      <c r="B1325" s="50"/>
      <c r="I1325" s="50"/>
      <c r="J1325" s="50"/>
    </row>
    <row r="1326" spans="1:16" ht="16.5">
      <c r="A1326" s="52" t="s">
        <v>508</v>
      </c>
      <c r="G1326" s="52"/>
      <c r="I1326" s="260" t="s">
        <v>898</v>
      </c>
      <c r="O1326" s="52"/>
    </row>
    <row r="1327" spans="1:16" ht="14.25" customHeight="1">
      <c r="A1327" s="53" t="s">
        <v>92</v>
      </c>
      <c r="G1327" s="53"/>
      <c r="I1327" s="53" t="s">
        <v>1333</v>
      </c>
      <c r="O1327" s="53"/>
    </row>
    <row r="1328" spans="1:16" ht="16.5">
      <c r="A1328" s="894" t="s">
        <v>261</v>
      </c>
      <c r="B1328" s="894"/>
      <c r="C1328" s="894"/>
      <c r="D1328" s="894"/>
      <c r="E1328" s="894"/>
      <c r="F1328" s="894"/>
      <c r="G1328" s="894"/>
      <c r="H1328" s="894"/>
      <c r="I1328" s="894" t="s">
        <v>903</v>
      </c>
      <c r="J1328" s="894"/>
      <c r="K1328" s="894"/>
      <c r="L1328" s="894"/>
      <c r="M1328" s="894"/>
      <c r="N1328" s="894"/>
      <c r="O1328" s="894"/>
      <c r="P1328" s="894"/>
    </row>
    <row r="1329" spans="1:16" ht="13.5" customHeight="1" thickBot="1"/>
    <row r="1330" spans="1:16">
      <c r="A1330" s="895" t="s">
        <v>94</v>
      </c>
      <c r="B1330" s="897" t="s">
        <v>95</v>
      </c>
      <c r="C1330" s="897" t="s">
        <v>96</v>
      </c>
      <c r="D1330" s="897" t="s">
        <v>3</v>
      </c>
      <c r="E1330" s="897" t="s">
        <v>97</v>
      </c>
      <c r="F1330" s="897" t="s">
        <v>98</v>
      </c>
      <c r="G1330" s="897" t="s">
        <v>99</v>
      </c>
      <c r="H1330" s="899"/>
      <c r="I1330" s="895" t="s">
        <v>94</v>
      </c>
      <c r="J1330" s="897" t="s">
        <v>95</v>
      </c>
      <c r="K1330" s="897" t="s">
        <v>96</v>
      </c>
      <c r="L1330" s="897" t="s">
        <v>3</v>
      </c>
      <c r="M1330" s="897" t="s">
        <v>97</v>
      </c>
      <c r="N1330" s="897" t="s">
        <v>98</v>
      </c>
      <c r="O1330" s="897" t="s">
        <v>99</v>
      </c>
      <c r="P1330" s="899"/>
    </row>
    <row r="1331" spans="1:16" ht="15.75" thickBot="1">
      <c r="A1331" s="896"/>
      <c r="B1331" s="898"/>
      <c r="C1331" s="898"/>
      <c r="D1331" s="898"/>
      <c r="E1331" s="898"/>
      <c r="F1331" s="898"/>
      <c r="G1331" s="240" t="s">
        <v>100</v>
      </c>
      <c r="H1331" s="182" t="s">
        <v>101</v>
      </c>
      <c r="I1331" s="896"/>
      <c r="J1331" s="898"/>
      <c r="K1331" s="898"/>
      <c r="L1331" s="898"/>
      <c r="M1331" s="898"/>
      <c r="N1331" s="898"/>
      <c r="O1331" s="240" t="s">
        <v>100</v>
      </c>
      <c r="P1331" s="182" t="s">
        <v>101</v>
      </c>
    </row>
    <row r="1332" spans="1:16" ht="12.75" customHeight="1">
      <c r="A1332" s="919" t="e">
        <f>+A1303+1</f>
        <v>#REF!</v>
      </c>
      <c r="B1332" s="875">
        <v>42364</v>
      </c>
      <c r="C1332" s="877" t="s">
        <v>31</v>
      </c>
      <c r="D1332" s="877" t="s">
        <v>513</v>
      </c>
      <c r="E1332" s="881" t="s">
        <v>115</v>
      </c>
      <c r="F1332" s="883">
        <v>100000</v>
      </c>
      <c r="G1332" s="55">
        <v>719</v>
      </c>
      <c r="H1332" s="78">
        <v>100000</v>
      </c>
      <c r="I1332" s="873" t="s">
        <v>1591</v>
      </c>
      <c r="J1332" s="875">
        <v>42723</v>
      </c>
      <c r="K1332" s="877" t="s">
        <v>28</v>
      </c>
      <c r="L1332" s="881" t="s">
        <v>1592</v>
      </c>
      <c r="M1332" s="881" t="s">
        <v>775</v>
      </c>
      <c r="N1332" s="883">
        <v>230000</v>
      </c>
      <c r="O1332" s="55">
        <v>719</v>
      </c>
      <c r="P1332" s="78">
        <v>230000</v>
      </c>
    </row>
    <row r="1333" spans="1:16" ht="13.5" customHeight="1" thickBot="1">
      <c r="A1333" s="920"/>
      <c r="B1333" s="876"/>
      <c r="C1333" s="878"/>
      <c r="D1333" s="878"/>
      <c r="E1333" s="882"/>
      <c r="F1333" s="884"/>
      <c r="G1333" s="56">
        <v>721</v>
      </c>
      <c r="H1333" s="79">
        <f>+F1332-H1332</f>
        <v>0</v>
      </c>
      <c r="I1333" s="874"/>
      <c r="J1333" s="876"/>
      <c r="K1333" s="878"/>
      <c r="L1333" s="882"/>
      <c r="M1333" s="882"/>
      <c r="N1333" s="884"/>
      <c r="O1333" s="56">
        <v>723</v>
      </c>
      <c r="P1333" s="79">
        <f>+N1332-P1332</f>
        <v>0</v>
      </c>
    </row>
    <row r="1334" spans="1:16" ht="15" customHeight="1">
      <c r="A1334" s="919" t="e">
        <f>+A1332+1</f>
        <v>#REF!</v>
      </c>
      <c r="B1334" s="875">
        <v>42364</v>
      </c>
      <c r="C1334" s="877" t="s">
        <v>472</v>
      </c>
      <c r="D1334" s="877" t="s">
        <v>517</v>
      </c>
      <c r="E1334" s="881" t="s">
        <v>115</v>
      </c>
      <c r="F1334" s="883">
        <v>40000</v>
      </c>
      <c r="G1334" s="55">
        <v>719</v>
      </c>
      <c r="H1334" s="78">
        <v>40000</v>
      </c>
      <c r="I1334" s="881">
        <f>+I1332+1</f>
        <v>169</v>
      </c>
      <c r="J1334" s="875">
        <v>42723</v>
      </c>
      <c r="K1334" s="877" t="s">
        <v>28</v>
      </c>
      <c r="L1334" s="881" t="s">
        <v>1516</v>
      </c>
      <c r="M1334" s="881" t="s">
        <v>775</v>
      </c>
      <c r="N1334" s="883">
        <v>90000</v>
      </c>
      <c r="O1334" s="55">
        <v>719</v>
      </c>
      <c r="P1334" s="78">
        <v>90000</v>
      </c>
    </row>
    <row r="1335" spans="1:16" ht="13.5" customHeight="1" thickBot="1">
      <c r="A1335" s="920"/>
      <c r="B1335" s="876"/>
      <c r="C1335" s="878"/>
      <c r="D1335" s="878"/>
      <c r="E1335" s="882"/>
      <c r="F1335" s="884"/>
      <c r="G1335" s="56">
        <v>721</v>
      </c>
      <c r="H1335" s="79">
        <f>+F1334-H1334</f>
        <v>0</v>
      </c>
      <c r="I1335" s="882"/>
      <c r="J1335" s="876"/>
      <c r="K1335" s="878"/>
      <c r="L1335" s="882"/>
      <c r="M1335" s="882"/>
      <c r="N1335" s="884"/>
      <c r="O1335" s="56">
        <v>723</v>
      </c>
      <c r="P1335" s="79">
        <f>+N1334-P1334</f>
        <v>0</v>
      </c>
    </row>
    <row r="1336" spans="1:16" ht="14.25" customHeight="1">
      <c r="A1336" s="919" t="e">
        <f>+A1334+1</f>
        <v>#REF!</v>
      </c>
      <c r="B1336" s="875">
        <v>42364</v>
      </c>
      <c r="C1336" s="877" t="s">
        <v>32</v>
      </c>
      <c r="D1336" s="877" t="s">
        <v>518</v>
      </c>
      <c r="E1336" s="881" t="s">
        <v>115</v>
      </c>
      <c r="F1336" s="883">
        <v>40000</v>
      </c>
      <c r="G1336" s="55">
        <v>719</v>
      </c>
      <c r="H1336" s="78">
        <v>40000</v>
      </c>
      <c r="I1336" s="881">
        <f>+I1334+1</f>
        <v>170</v>
      </c>
      <c r="J1336" s="875">
        <v>42723</v>
      </c>
      <c r="K1336" s="877" t="s">
        <v>28</v>
      </c>
      <c r="L1336" s="881" t="s">
        <v>1517</v>
      </c>
      <c r="M1336" s="881" t="s">
        <v>775</v>
      </c>
      <c r="N1336" s="883">
        <v>220000</v>
      </c>
      <c r="O1336" s="55">
        <v>719</v>
      </c>
      <c r="P1336" s="78">
        <v>220000</v>
      </c>
    </row>
    <row r="1337" spans="1:16" ht="13.5" customHeight="1" thickBot="1">
      <c r="A1337" s="920"/>
      <c r="B1337" s="876"/>
      <c r="C1337" s="878"/>
      <c r="D1337" s="878"/>
      <c r="E1337" s="882"/>
      <c r="F1337" s="884"/>
      <c r="G1337" s="56">
        <v>721</v>
      </c>
      <c r="H1337" s="79">
        <f>+F1336-H1336</f>
        <v>0</v>
      </c>
      <c r="I1337" s="882"/>
      <c r="J1337" s="876"/>
      <c r="K1337" s="878"/>
      <c r="L1337" s="882"/>
      <c r="M1337" s="882"/>
      <c r="N1337" s="884"/>
      <c r="O1337" s="56">
        <v>723</v>
      </c>
      <c r="P1337" s="79">
        <f>+N1336-P1336</f>
        <v>0</v>
      </c>
    </row>
    <row r="1338" spans="1:16" ht="15" customHeight="1">
      <c r="A1338" s="919" t="e">
        <f>+A1336+1</f>
        <v>#REF!</v>
      </c>
      <c r="B1338" s="875">
        <v>42364</v>
      </c>
      <c r="C1338" s="877" t="s">
        <v>120</v>
      </c>
      <c r="D1338" s="877" t="s">
        <v>519</v>
      </c>
      <c r="E1338" s="881" t="s">
        <v>115</v>
      </c>
      <c r="F1338" s="883">
        <v>20000</v>
      </c>
      <c r="G1338" s="55">
        <v>719</v>
      </c>
      <c r="H1338" s="78">
        <v>20000</v>
      </c>
      <c r="I1338" s="881">
        <f>+I1336+1</f>
        <v>171</v>
      </c>
      <c r="J1338" s="875">
        <v>42723</v>
      </c>
      <c r="K1338" s="877" t="s">
        <v>28</v>
      </c>
      <c r="L1338" s="881" t="s">
        <v>1593</v>
      </c>
      <c r="M1338" s="881" t="s">
        <v>775</v>
      </c>
      <c r="N1338" s="883">
        <v>80000</v>
      </c>
      <c r="O1338" s="55">
        <v>719</v>
      </c>
      <c r="P1338" s="78">
        <v>80000</v>
      </c>
    </row>
    <row r="1339" spans="1:16" ht="12" customHeight="1" thickBot="1">
      <c r="A1339" s="920"/>
      <c r="B1339" s="876"/>
      <c r="C1339" s="878"/>
      <c r="D1339" s="878"/>
      <c r="E1339" s="882"/>
      <c r="F1339" s="884"/>
      <c r="G1339" s="56">
        <v>721</v>
      </c>
      <c r="H1339" s="79">
        <f>+F1338-H1338</f>
        <v>0</v>
      </c>
      <c r="I1339" s="882"/>
      <c r="J1339" s="876"/>
      <c r="K1339" s="878"/>
      <c r="L1339" s="882"/>
      <c r="M1339" s="882"/>
      <c r="N1339" s="884"/>
      <c r="O1339" s="56">
        <v>723</v>
      </c>
      <c r="P1339" s="79">
        <f>+N1338-P1338</f>
        <v>0</v>
      </c>
    </row>
    <row r="1340" spans="1:16" ht="14.25" customHeight="1">
      <c r="A1340" s="919" t="e">
        <f>+A1338+1</f>
        <v>#REF!</v>
      </c>
      <c r="B1340" s="875">
        <v>42364</v>
      </c>
      <c r="C1340" s="877" t="s">
        <v>31</v>
      </c>
      <c r="D1340" s="877" t="s">
        <v>514</v>
      </c>
      <c r="E1340" s="881" t="s">
        <v>115</v>
      </c>
      <c r="F1340" s="883">
        <v>50000</v>
      </c>
      <c r="G1340" s="55">
        <v>719</v>
      </c>
      <c r="H1340" s="78">
        <v>50000</v>
      </c>
      <c r="I1340" s="881">
        <f>+I1338+1</f>
        <v>172</v>
      </c>
      <c r="J1340" s="875">
        <v>42723</v>
      </c>
      <c r="K1340" s="877" t="s">
        <v>120</v>
      </c>
      <c r="L1340" s="881" t="s">
        <v>1594</v>
      </c>
      <c r="M1340" s="881" t="s">
        <v>775</v>
      </c>
      <c r="N1340" s="883">
        <v>370000</v>
      </c>
      <c r="O1340" s="55">
        <v>719</v>
      </c>
      <c r="P1340" s="78">
        <v>370000</v>
      </c>
    </row>
    <row r="1341" spans="1:16" ht="12.75" customHeight="1" thickBot="1">
      <c r="A1341" s="920"/>
      <c r="B1341" s="876"/>
      <c r="C1341" s="878"/>
      <c r="D1341" s="878"/>
      <c r="E1341" s="882"/>
      <c r="F1341" s="884"/>
      <c r="G1341" s="56">
        <v>721</v>
      </c>
      <c r="H1341" s="79">
        <f>+F1340-H1340</f>
        <v>0</v>
      </c>
      <c r="I1341" s="882"/>
      <c r="J1341" s="876"/>
      <c r="K1341" s="878"/>
      <c r="L1341" s="882"/>
      <c r="M1341" s="882"/>
      <c r="N1341" s="884"/>
      <c r="O1341" s="56">
        <v>723</v>
      </c>
      <c r="P1341" s="79">
        <f>+N1340-P1340</f>
        <v>0</v>
      </c>
    </row>
    <row r="1342" spans="1:16" ht="14.25" customHeight="1" thickBot="1">
      <c r="A1342" s="919" t="e">
        <f>+A1340+1</f>
        <v>#REF!</v>
      </c>
      <c r="B1342" s="875">
        <v>42364</v>
      </c>
      <c r="C1342" s="877" t="s">
        <v>472</v>
      </c>
      <c r="D1342" s="877" t="s">
        <v>515</v>
      </c>
      <c r="E1342" s="881" t="s">
        <v>115</v>
      </c>
      <c r="F1342" s="883">
        <v>20000</v>
      </c>
      <c r="G1342" s="55">
        <v>719</v>
      </c>
      <c r="H1342" s="78">
        <v>20000</v>
      </c>
      <c r="I1342" s="901" t="s">
        <v>102</v>
      </c>
      <c r="J1342" s="902"/>
      <c r="K1342" s="902"/>
      <c r="L1342" s="902"/>
      <c r="M1342" s="903"/>
      <c r="N1342" s="81">
        <f>SUM(N1332:N1341)</f>
        <v>990000</v>
      </c>
    </row>
    <row r="1343" spans="1:16" ht="14.25" customHeight="1" thickBot="1">
      <c r="A1343" s="920"/>
      <c r="B1343" s="876"/>
      <c r="C1343" s="878"/>
      <c r="D1343" s="878"/>
      <c r="E1343" s="882"/>
      <c r="F1343" s="884"/>
      <c r="G1343" s="56">
        <v>721</v>
      </c>
      <c r="H1343" s="79">
        <f>+F1342-H1342</f>
        <v>0</v>
      </c>
      <c r="I1343" s="885" t="s">
        <v>103</v>
      </c>
      <c r="J1343" s="886"/>
      <c r="K1343" s="886"/>
      <c r="L1343" s="886"/>
      <c r="M1343" s="887"/>
      <c r="N1343" s="69">
        <f>+N1307</f>
        <v>503109524</v>
      </c>
      <c r="O1343" s="241" t="s">
        <v>561</v>
      </c>
      <c r="P1343" s="242">
        <f>754+171+406+173+423</f>
        <v>1927</v>
      </c>
    </row>
    <row r="1344" spans="1:16" ht="16.5" thickBot="1">
      <c r="A1344" s="901" t="s">
        <v>102</v>
      </c>
      <c r="B1344" s="902"/>
      <c r="C1344" s="902"/>
      <c r="D1344" s="902"/>
      <c r="E1344" s="903"/>
      <c r="F1344" s="81">
        <f>SUM(F1332:F1343)</f>
        <v>270000</v>
      </c>
      <c r="I1344" s="888" t="s">
        <v>104</v>
      </c>
      <c r="J1344" s="889"/>
      <c r="K1344" s="889"/>
      <c r="L1344" s="889"/>
      <c r="M1344" s="890"/>
      <c r="N1344" s="183">
        <f>SUM(N1342:N1343)</f>
        <v>504099524</v>
      </c>
    </row>
    <row r="1345" spans="1:16" ht="12.75" customHeight="1" thickBot="1">
      <c r="A1345" s="885" t="s">
        <v>103</v>
      </c>
      <c r="B1345" s="886"/>
      <c r="C1345" s="886"/>
      <c r="D1345" s="886"/>
      <c r="E1345" s="887"/>
      <c r="F1345" s="69">
        <f>+F1307</f>
        <v>656423254</v>
      </c>
      <c r="I1345" s="61"/>
      <c r="J1345" s="61"/>
      <c r="K1345" s="61"/>
      <c r="L1345" s="61"/>
      <c r="M1345" s="61"/>
    </row>
    <row r="1346" spans="1:16" ht="16.5" thickBot="1">
      <c r="A1346" s="888" t="s">
        <v>104</v>
      </c>
      <c r="B1346" s="889"/>
      <c r="C1346" s="889"/>
      <c r="D1346" s="889"/>
      <c r="E1346" s="890"/>
      <c r="F1346" s="183">
        <f>SUM(F1344:F1345)</f>
        <v>656693254</v>
      </c>
      <c r="I1346" s="51" t="s">
        <v>1599</v>
      </c>
    </row>
    <row r="1347" spans="1:16" ht="13.5" customHeight="1">
      <c r="A1347" s="61"/>
      <c r="B1347" s="61"/>
      <c r="C1347" s="61"/>
      <c r="D1347" s="61"/>
      <c r="E1347" s="61"/>
      <c r="N1347" s="139"/>
    </row>
    <row r="1348" spans="1:16">
      <c r="A1348" s="51" t="s">
        <v>516</v>
      </c>
      <c r="I1348" s="50" t="s">
        <v>105</v>
      </c>
      <c r="L1348" s="146"/>
      <c r="N1348" s="139"/>
    </row>
    <row r="1349" spans="1:16" ht="14.25" customHeight="1" thickBot="1">
      <c r="F1349" s="139"/>
    </row>
    <row r="1350" spans="1:16" ht="15.75" thickBot="1">
      <c r="A1350" s="50" t="s">
        <v>105</v>
      </c>
      <c r="D1350" s="146"/>
      <c r="F1350" s="139"/>
      <c r="I1350" s="891" t="s">
        <v>106</v>
      </c>
      <c r="J1350" s="892"/>
      <c r="K1350" s="892"/>
      <c r="L1350" s="893"/>
      <c r="N1350" s="50" t="s">
        <v>288</v>
      </c>
    </row>
    <row r="1351" spans="1:16" ht="28.5" customHeight="1" thickBot="1">
      <c r="I1351" s="57" t="s">
        <v>100</v>
      </c>
      <c r="J1351" s="58" t="s">
        <v>108</v>
      </c>
      <c r="K1351" s="287" t="s">
        <v>109</v>
      </c>
      <c r="L1351" s="60" t="s">
        <v>110</v>
      </c>
    </row>
    <row r="1352" spans="1:16" ht="15.75" thickBot="1">
      <c r="A1352" s="891" t="s">
        <v>106</v>
      </c>
      <c r="B1352" s="892"/>
      <c r="C1352" s="892"/>
      <c r="D1352" s="893"/>
      <c r="F1352" s="50" t="s">
        <v>288</v>
      </c>
      <c r="I1352" s="71">
        <v>719</v>
      </c>
      <c r="J1352" s="73">
        <f>+P1332+P1334+P1336+P1338+P1340</f>
        <v>990000</v>
      </c>
      <c r="K1352" s="74">
        <f>+L1315</f>
        <v>38710000</v>
      </c>
      <c r="L1352" s="195">
        <f>+J1352+K1352</f>
        <v>39700000</v>
      </c>
    </row>
    <row r="1353" spans="1:16" ht="14.25" customHeight="1" thickBot="1">
      <c r="A1353" s="57" t="s">
        <v>100</v>
      </c>
      <c r="B1353" s="58" t="s">
        <v>108</v>
      </c>
      <c r="C1353" s="59" t="s">
        <v>109</v>
      </c>
      <c r="D1353" s="60" t="s">
        <v>110</v>
      </c>
      <c r="I1353" s="72">
        <v>721</v>
      </c>
      <c r="J1353" s="80">
        <v>0</v>
      </c>
      <c r="K1353" s="74">
        <f>+L1316</f>
        <v>94559981</v>
      </c>
      <c r="L1353" s="195">
        <f>+J1353+K1353</f>
        <v>94559981</v>
      </c>
    </row>
    <row r="1354" spans="1:16" ht="13.5" customHeight="1">
      <c r="A1354" s="71">
        <v>719</v>
      </c>
      <c r="B1354" s="73">
        <f>+H1332+H1334+H13+H1336+H135348+H1338+H1342+H1340</f>
        <v>270000</v>
      </c>
      <c r="C1354" s="74" t="e">
        <f>+D1315</f>
        <v>#REF!</v>
      </c>
      <c r="D1354" s="195" t="e">
        <f>+B1354+C1354</f>
        <v>#REF!</v>
      </c>
      <c r="I1354" s="72">
        <v>722</v>
      </c>
      <c r="J1354" s="80"/>
      <c r="K1354" s="74">
        <f>+L1317</f>
        <v>56963334</v>
      </c>
      <c r="L1354" s="195">
        <f>+J1354+K1354</f>
        <v>56963334</v>
      </c>
    </row>
    <row r="1355" spans="1:16" ht="15.75">
      <c r="A1355" s="72">
        <v>721</v>
      </c>
      <c r="B1355" s="80">
        <f>(+H1343+H1339+H1337+H1335+H1333)</f>
        <v>0</v>
      </c>
      <c r="C1355" s="74" t="e">
        <f>+D1316</f>
        <v>#REF!</v>
      </c>
      <c r="D1355" s="195" t="e">
        <f>+B1355+C1355</f>
        <v>#REF!</v>
      </c>
      <c r="I1355" s="72">
        <v>723</v>
      </c>
      <c r="J1355" s="80"/>
      <c r="K1355" s="74">
        <f>+L1318</f>
        <v>313175089</v>
      </c>
      <c r="L1355" s="195">
        <f>+J1355+K1355</f>
        <v>313175089</v>
      </c>
      <c r="N1355" s="918" t="s">
        <v>1481</v>
      </c>
      <c r="O1355" s="918"/>
      <c r="P1355" s="918"/>
    </row>
    <row r="1356" spans="1:16" ht="16.5" thickBot="1">
      <c r="A1356" s="72">
        <v>722</v>
      </c>
      <c r="B1356" s="80"/>
      <c r="C1356" s="74">
        <f>+D1317</f>
        <v>231207671</v>
      </c>
      <c r="D1356" s="195">
        <f>+B1356+C1356</f>
        <v>231207671</v>
      </c>
      <c r="I1356" s="164" t="s">
        <v>181</v>
      </c>
      <c r="J1356" s="165"/>
      <c r="K1356" s="74">
        <f>+L1319</f>
        <v>-298880</v>
      </c>
      <c r="L1356" s="196">
        <f>+J1356+K1356</f>
        <v>-298880</v>
      </c>
      <c r="N1356" s="52"/>
    </row>
    <row r="1357" spans="1:16" ht="16.5" thickBot="1">
      <c r="A1357" s="72">
        <v>723</v>
      </c>
      <c r="B1357" s="80"/>
      <c r="C1357" s="74" t="e">
        <f>+D1318</f>
        <v>#REF!</v>
      </c>
      <c r="D1357" s="195" t="e">
        <f>+B1357+C1357</f>
        <v>#REF!</v>
      </c>
      <c r="F1357" s="174" t="s">
        <v>23</v>
      </c>
      <c r="G1357" s="175"/>
      <c r="I1357" s="169"/>
      <c r="J1357" s="197">
        <f>SUM(J1352:J1356)</f>
        <v>990000</v>
      </c>
      <c r="K1357" s="197">
        <f>SUM(K1352:K1356)</f>
        <v>503109524</v>
      </c>
      <c r="L1357" s="198">
        <f>SUM(L1352:L1356)</f>
        <v>504099524</v>
      </c>
    </row>
    <row r="1358" spans="1:16" ht="17.25" thickBot="1">
      <c r="A1358" s="164" t="s">
        <v>181</v>
      </c>
      <c r="B1358" s="165"/>
      <c r="C1358" s="74" t="e">
        <f>+D1319</f>
        <v>#REF!</v>
      </c>
      <c r="D1358" s="196" t="e">
        <f>+B1358+C1358</f>
        <v>#REF!</v>
      </c>
      <c r="F1358" s="52"/>
      <c r="I1358" s="49" t="s">
        <v>88</v>
      </c>
      <c r="J1358" s="50"/>
    </row>
    <row r="1359" spans="1:16" ht="16.5" thickBot="1">
      <c r="A1359" s="169"/>
      <c r="B1359" s="170">
        <f>SUM(B1354:B1358)</f>
        <v>270000</v>
      </c>
      <c r="C1359" s="171" t="e">
        <f>SUM(C1354:C1358)</f>
        <v>#REF!</v>
      </c>
      <c r="D1359" s="172" t="e">
        <f>SUM(D1354:D1358)</f>
        <v>#REF!</v>
      </c>
      <c r="I1359" s="51" t="s">
        <v>89</v>
      </c>
    </row>
    <row r="1360" spans="1:16" ht="16.5">
      <c r="A1360" s="49" t="s">
        <v>88</v>
      </c>
      <c r="B1360" s="50"/>
      <c r="I1360" s="51" t="s">
        <v>90</v>
      </c>
    </row>
    <row r="1361" spans="1:16">
      <c r="A1361" s="51" t="s">
        <v>89</v>
      </c>
      <c r="I1361" s="51" t="s">
        <v>91</v>
      </c>
    </row>
    <row r="1362" spans="1:16" ht="11.25" customHeight="1">
      <c r="A1362" s="51" t="s">
        <v>90</v>
      </c>
      <c r="I1362" s="50"/>
      <c r="J1362" s="50"/>
    </row>
    <row r="1363" spans="1:16" ht="16.5">
      <c r="A1363" s="51" t="s">
        <v>91</v>
      </c>
      <c r="I1363" s="260" t="s">
        <v>908</v>
      </c>
      <c r="O1363" s="52"/>
    </row>
    <row r="1364" spans="1:16" ht="12.75" customHeight="1">
      <c r="A1364" s="50"/>
      <c r="B1364" s="50"/>
      <c r="I1364" s="53" t="s">
        <v>1333</v>
      </c>
      <c r="O1364" s="53"/>
    </row>
    <row r="1365" spans="1:16" ht="16.5">
      <c r="A1365" s="52" t="s">
        <v>520</v>
      </c>
      <c r="G1365" s="52"/>
      <c r="I1365" s="894" t="s">
        <v>909</v>
      </c>
      <c r="J1365" s="894"/>
      <c r="K1365" s="894"/>
      <c r="L1365" s="894"/>
      <c r="M1365" s="894"/>
      <c r="N1365" s="894"/>
      <c r="O1365" s="894"/>
      <c r="P1365" s="894"/>
    </row>
    <row r="1366" spans="1:16" ht="16.5" thickBot="1">
      <c r="A1366" s="53" t="s">
        <v>92</v>
      </c>
      <c r="G1366" s="53"/>
    </row>
    <row r="1367" spans="1:16" ht="16.5">
      <c r="A1367" s="894" t="s">
        <v>261</v>
      </c>
      <c r="B1367" s="894"/>
      <c r="C1367" s="894"/>
      <c r="D1367" s="894"/>
      <c r="E1367" s="894"/>
      <c r="F1367" s="894"/>
      <c r="G1367" s="894"/>
      <c r="H1367" s="894"/>
      <c r="I1367" s="895" t="s">
        <v>94</v>
      </c>
      <c r="J1367" s="897" t="s">
        <v>95</v>
      </c>
      <c r="K1367" s="897" t="s">
        <v>96</v>
      </c>
      <c r="L1367" s="897" t="s">
        <v>3</v>
      </c>
      <c r="M1367" s="897" t="s">
        <v>97</v>
      </c>
      <c r="N1367" s="897" t="s">
        <v>98</v>
      </c>
      <c r="O1367" s="897" t="s">
        <v>99</v>
      </c>
      <c r="P1367" s="899"/>
    </row>
    <row r="1368" spans="1:16" ht="15.75" thickBot="1">
      <c r="I1368" s="896"/>
      <c r="J1368" s="898"/>
      <c r="K1368" s="898"/>
      <c r="L1368" s="898"/>
      <c r="M1368" s="898"/>
      <c r="N1368" s="898"/>
      <c r="O1368" s="240" t="s">
        <v>100</v>
      </c>
      <c r="P1368" s="182" t="s">
        <v>101</v>
      </c>
    </row>
    <row r="1369" spans="1:16" ht="15" customHeight="1">
      <c r="A1369" s="895" t="s">
        <v>94</v>
      </c>
      <c r="B1369" s="897" t="s">
        <v>95</v>
      </c>
      <c r="C1369" s="897" t="s">
        <v>96</v>
      </c>
      <c r="D1369" s="897" t="s">
        <v>3</v>
      </c>
      <c r="E1369" s="897" t="s">
        <v>97</v>
      </c>
      <c r="F1369" s="897" t="s">
        <v>98</v>
      </c>
      <c r="G1369" s="897" t="s">
        <v>99</v>
      </c>
      <c r="H1369" s="899"/>
      <c r="I1369" s="873" t="s">
        <v>1595</v>
      </c>
      <c r="J1369" s="875">
        <v>42723</v>
      </c>
      <c r="K1369" s="877" t="s">
        <v>472</v>
      </c>
      <c r="L1369" s="881" t="s">
        <v>1524</v>
      </c>
      <c r="M1369" s="881" t="s">
        <v>148</v>
      </c>
      <c r="N1369" s="883">
        <v>507000</v>
      </c>
      <c r="O1369" s="55">
        <v>719</v>
      </c>
      <c r="P1369" s="78">
        <v>390000</v>
      </c>
    </row>
    <row r="1370" spans="1:16" ht="15.75" customHeight="1" thickBot="1">
      <c r="A1370" s="896"/>
      <c r="B1370" s="898"/>
      <c r="C1370" s="898"/>
      <c r="D1370" s="898"/>
      <c r="E1370" s="898"/>
      <c r="F1370" s="898"/>
      <c r="G1370" s="240" t="s">
        <v>100</v>
      </c>
      <c r="H1370" s="182" t="s">
        <v>101</v>
      </c>
      <c r="I1370" s="874"/>
      <c r="J1370" s="876"/>
      <c r="K1370" s="878"/>
      <c r="L1370" s="882"/>
      <c r="M1370" s="882"/>
      <c r="N1370" s="884"/>
      <c r="O1370" s="56">
        <v>721</v>
      </c>
      <c r="P1370" s="79">
        <f>+N1369-P1369</f>
        <v>117000</v>
      </c>
    </row>
    <row r="1371" spans="1:16" ht="15" customHeight="1">
      <c r="A1371" s="919" t="e">
        <f>+A1342+1</f>
        <v>#REF!</v>
      </c>
      <c r="B1371" s="875">
        <v>42369</v>
      </c>
      <c r="C1371" s="877" t="s">
        <v>31</v>
      </c>
      <c r="D1371" s="877" t="s">
        <v>523</v>
      </c>
      <c r="E1371" s="881" t="s">
        <v>115</v>
      </c>
      <c r="F1371" s="883">
        <v>180000</v>
      </c>
      <c r="G1371" s="55">
        <v>719</v>
      </c>
      <c r="H1371" s="78">
        <v>180000</v>
      </c>
      <c r="I1371" s="881">
        <f>+I1369+1</f>
        <v>174</v>
      </c>
      <c r="J1371" s="875">
        <v>42723</v>
      </c>
      <c r="K1371" s="877" t="s">
        <v>472</v>
      </c>
      <c r="L1371" s="881" t="s">
        <v>913</v>
      </c>
      <c r="M1371" s="881" t="s">
        <v>148</v>
      </c>
      <c r="N1371" s="883">
        <v>312000</v>
      </c>
      <c r="O1371" s="55">
        <v>719</v>
      </c>
      <c r="P1371" s="78">
        <v>240000</v>
      </c>
    </row>
    <row r="1372" spans="1:16" ht="15.75" customHeight="1" thickBot="1">
      <c r="A1372" s="920"/>
      <c r="B1372" s="876"/>
      <c r="C1372" s="878"/>
      <c r="D1372" s="878"/>
      <c r="E1372" s="882"/>
      <c r="F1372" s="884"/>
      <c r="G1372" s="56">
        <v>721</v>
      </c>
      <c r="H1372" s="79">
        <f>+F1371-H1371</f>
        <v>0</v>
      </c>
      <c r="I1372" s="882"/>
      <c r="J1372" s="876"/>
      <c r="K1372" s="878"/>
      <c r="L1372" s="882"/>
      <c r="M1372" s="882"/>
      <c r="N1372" s="884"/>
      <c r="O1372" s="56">
        <v>721</v>
      </c>
      <c r="P1372" s="79">
        <f>+N1371-P1371</f>
        <v>72000</v>
      </c>
    </row>
    <row r="1373" spans="1:16" ht="15" customHeight="1">
      <c r="A1373" s="919" t="e">
        <f>+A1371+1</f>
        <v>#REF!</v>
      </c>
      <c r="B1373" s="875">
        <v>42369</v>
      </c>
      <c r="C1373" s="877" t="s">
        <v>472</v>
      </c>
      <c r="D1373" s="877" t="s">
        <v>524</v>
      </c>
      <c r="E1373" s="881" t="s">
        <v>115</v>
      </c>
      <c r="F1373" s="883">
        <v>40000</v>
      </c>
      <c r="G1373" s="55">
        <v>719</v>
      </c>
      <c r="H1373" s="78">
        <v>40000</v>
      </c>
      <c r="I1373" s="881">
        <f>+I1371+1</f>
        <v>175</v>
      </c>
      <c r="J1373" s="875">
        <v>42723</v>
      </c>
      <c r="K1373" s="877" t="s">
        <v>472</v>
      </c>
      <c r="L1373" s="881" t="s">
        <v>914</v>
      </c>
      <c r="M1373" s="881" t="s">
        <v>148</v>
      </c>
      <c r="N1373" s="883">
        <v>338000</v>
      </c>
      <c r="O1373" s="55">
        <v>719</v>
      </c>
      <c r="P1373" s="78">
        <v>260000</v>
      </c>
    </row>
    <row r="1374" spans="1:16" ht="15.75" customHeight="1" thickBot="1">
      <c r="A1374" s="920"/>
      <c r="B1374" s="876"/>
      <c r="C1374" s="878"/>
      <c r="D1374" s="878"/>
      <c r="E1374" s="882"/>
      <c r="F1374" s="884"/>
      <c r="G1374" s="56">
        <v>721</v>
      </c>
      <c r="H1374" s="79">
        <f>+F1373-H1373</f>
        <v>0</v>
      </c>
      <c r="I1374" s="882"/>
      <c r="J1374" s="876"/>
      <c r="K1374" s="878"/>
      <c r="L1374" s="882"/>
      <c r="M1374" s="882"/>
      <c r="N1374" s="884"/>
      <c r="O1374" s="56">
        <v>721</v>
      </c>
      <c r="P1374" s="79">
        <f>+N1373-P1373</f>
        <v>78000</v>
      </c>
    </row>
    <row r="1375" spans="1:16" ht="11.25" customHeight="1">
      <c r="A1375" s="919" t="e">
        <f>+A1373+1</f>
        <v>#REF!</v>
      </c>
      <c r="B1375" s="875">
        <v>42369</v>
      </c>
      <c r="C1375" s="877" t="s">
        <v>32</v>
      </c>
      <c r="D1375" s="877" t="s">
        <v>521</v>
      </c>
      <c r="E1375" s="881" t="s">
        <v>115</v>
      </c>
      <c r="F1375" s="883">
        <v>40000</v>
      </c>
      <c r="G1375" s="55">
        <v>719</v>
      </c>
      <c r="H1375" s="78">
        <v>40000</v>
      </c>
      <c r="I1375" s="881"/>
      <c r="J1375" s="875"/>
      <c r="K1375" s="877"/>
      <c r="L1375" s="881"/>
      <c r="M1375" s="881"/>
      <c r="N1375" s="883"/>
      <c r="O1375" s="55">
        <v>719</v>
      </c>
      <c r="P1375" s="78"/>
    </row>
    <row r="1376" spans="1:16" ht="13.5" customHeight="1" thickBot="1">
      <c r="A1376" s="920"/>
      <c r="B1376" s="876"/>
      <c r="C1376" s="878"/>
      <c r="D1376" s="878"/>
      <c r="E1376" s="882"/>
      <c r="F1376" s="884"/>
      <c r="G1376" s="56">
        <v>721</v>
      </c>
      <c r="H1376" s="79">
        <f>+F1375-H1375</f>
        <v>0</v>
      </c>
      <c r="I1376" s="882"/>
      <c r="J1376" s="876"/>
      <c r="K1376" s="878"/>
      <c r="L1376" s="882"/>
      <c r="M1376" s="882"/>
      <c r="N1376" s="884"/>
      <c r="O1376" s="56">
        <v>721</v>
      </c>
      <c r="P1376" s="79">
        <f>+N1375-P1375</f>
        <v>0</v>
      </c>
    </row>
    <row r="1377" spans="1:16" ht="12.75" customHeight="1">
      <c r="A1377" s="919" t="e">
        <f>+A1375+1</f>
        <v>#REF!</v>
      </c>
      <c r="B1377" s="875">
        <v>42369</v>
      </c>
      <c r="C1377" s="877" t="s">
        <v>120</v>
      </c>
      <c r="D1377" s="877" t="s">
        <v>522</v>
      </c>
      <c r="E1377" s="881" t="s">
        <v>115</v>
      </c>
      <c r="F1377" s="883">
        <v>20000</v>
      </c>
      <c r="G1377" s="55">
        <v>719</v>
      </c>
      <c r="H1377" s="78">
        <v>20000</v>
      </c>
      <c r="I1377" s="881"/>
      <c r="J1377" s="875"/>
      <c r="K1377" s="877"/>
      <c r="L1377" s="881"/>
      <c r="M1377" s="881"/>
      <c r="N1377" s="883"/>
      <c r="O1377" s="55">
        <v>719</v>
      </c>
      <c r="P1377" s="78"/>
    </row>
    <row r="1378" spans="1:16" ht="12.75" customHeight="1" thickBot="1">
      <c r="A1378" s="920"/>
      <c r="B1378" s="876"/>
      <c r="C1378" s="878"/>
      <c r="D1378" s="878"/>
      <c r="E1378" s="882"/>
      <c r="F1378" s="884"/>
      <c r="G1378" s="56">
        <v>721</v>
      </c>
      <c r="H1378" s="79">
        <f>+F1377-H1377</f>
        <v>0</v>
      </c>
      <c r="I1378" s="882"/>
      <c r="J1378" s="876"/>
      <c r="K1378" s="878"/>
      <c r="L1378" s="882"/>
      <c r="M1378" s="882"/>
      <c r="N1378" s="884"/>
      <c r="O1378" s="56">
        <v>721</v>
      </c>
      <c r="P1378" s="79">
        <f>+N1377-P1377</f>
        <v>0</v>
      </c>
    </row>
    <row r="1379" spans="1:16" ht="15" customHeight="1" thickBot="1">
      <c r="A1379" s="919"/>
      <c r="B1379" s="875"/>
      <c r="C1379" s="877"/>
      <c r="D1379" s="877"/>
      <c r="E1379" s="881"/>
      <c r="F1379" s="883"/>
      <c r="G1379" s="55">
        <v>719</v>
      </c>
      <c r="H1379" s="78"/>
      <c r="I1379" s="901" t="s">
        <v>102</v>
      </c>
      <c r="J1379" s="902"/>
      <c r="K1379" s="902"/>
      <c r="L1379" s="902"/>
      <c r="M1379" s="903"/>
      <c r="N1379" s="81">
        <f>SUM(N1369:N1378)</f>
        <v>1157000</v>
      </c>
    </row>
    <row r="1380" spans="1:16" ht="15.75" customHeight="1" thickBot="1">
      <c r="A1380" s="920"/>
      <c r="B1380" s="876"/>
      <c r="C1380" s="878"/>
      <c r="D1380" s="878"/>
      <c r="E1380" s="882"/>
      <c r="F1380" s="884"/>
      <c r="G1380" s="56">
        <v>721</v>
      </c>
      <c r="H1380" s="79">
        <f>+F1379-H1379</f>
        <v>0</v>
      </c>
      <c r="I1380" s="885" t="s">
        <v>103</v>
      </c>
      <c r="J1380" s="886"/>
      <c r="K1380" s="886"/>
      <c r="L1380" s="886"/>
      <c r="M1380" s="887"/>
      <c r="N1380" s="69">
        <f>+N1344</f>
        <v>504099524</v>
      </c>
      <c r="O1380" s="241" t="s">
        <v>561</v>
      </c>
      <c r="P1380" s="242">
        <f>753+65+288</f>
        <v>1106</v>
      </c>
    </row>
    <row r="1381" spans="1:16" ht="15" customHeight="1" thickBot="1">
      <c r="A1381" s="901" t="s">
        <v>102</v>
      </c>
      <c r="B1381" s="902"/>
      <c r="C1381" s="902"/>
      <c r="D1381" s="902"/>
      <c r="E1381" s="903"/>
      <c r="F1381" s="81">
        <f>SUM(F1371:F1380)</f>
        <v>280000</v>
      </c>
      <c r="I1381" s="888" t="s">
        <v>104</v>
      </c>
      <c r="J1381" s="889"/>
      <c r="K1381" s="889"/>
      <c r="L1381" s="889"/>
      <c r="M1381" s="890"/>
      <c r="N1381" s="183">
        <f>SUM(N1379:N1380)</f>
        <v>505256524</v>
      </c>
    </row>
    <row r="1382" spans="1:16" ht="15.75" customHeight="1" thickBot="1">
      <c r="A1382" s="885" t="s">
        <v>103</v>
      </c>
      <c r="B1382" s="886"/>
      <c r="C1382" s="886"/>
      <c r="D1382" s="886"/>
      <c r="E1382" s="887"/>
      <c r="F1382" s="69">
        <f>+F1346</f>
        <v>656693254</v>
      </c>
      <c r="I1382" s="61"/>
      <c r="J1382" s="61"/>
      <c r="K1382" s="61"/>
      <c r="L1382" s="61"/>
      <c r="M1382" s="61"/>
    </row>
    <row r="1383" spans="1:16" ht="16.5" thickBot="1">
      <c r="A1383" s="888" t="s">
        <v>104</v>
      </c>
      <c r="B1383" s="889"/>
      <c r="C1383" s="889"/>
      <c r="D1383" s="889"/>
      <c r="E1383" s="890"/>
      <c r="F1383" s="183">
        <f>SUM(F1381:F1382)</f>
        <v>656973254</v>
      </c>
      <c r="I1383" s="51" t="s">
        <v>1596</v>
      </c>
    </row>
    <row r="1384" spans="1:16" ht="12" customHeight="1">
      <c r="A1384" s="61"/>
      <c r="B1384" s="61"/>
      <c r="C1384" s="61"/>
      <c r="D1384" s="61"/>
      <c r="E1384" s="61"/>
      <c r="N1384" s="139"/>
    </row>
    <row r="1385" spans="1:16">
      <c r="A1385" s="51" t="s">
        <v>525</v>
      </c>
      <c r="I1385" s="50" t="s">
        <v>105</v>
      </c>
      <c r="L1385" s="146"/>
      <c r="N1385" s="139"/>
    </row>
    <row r="1386" spans="1:16" ht="14.25" customHeight="1" thickBot="1">
      <c r="F1386" s="139"/>
    </row>
    <row r="1387" spans="1:16" ht="15.75" thickBot="1">
      <c r="A1387" s="50" t="s">
        <v>105</v>
      </c>
      <c r="D1387" s="146"/>
      <c r="F1387" s="139"/>
      <c r="I1387" s="891" t="s">
        <v>106</v>
      </c>
      <c r="J1387" s="892"/>
      <c r="K1387" s="892"/>
      <c r="L1387" s="893"/>
      <c r="N1387" s="50" t="s">
        <v>288</v>
      </c>
    </row>
    <row r="1388" spans="1:16" ht="11.25" customHeight="1" thickBot="1">
      <c r="I1388" s="57" t="s">
        <v>100</v>
      </c>
      <c r="J1388" s="58" t="s">
        <v>108</v>
      </c>
      <c r="K1388" s="287" t="s">
        <v>109</v>
      </c>
      <c r="L1388" s="60" t="s">
        <v>110</v>
      </c>
    </row>
    <row r="1389" spans="1:16" ht="15.75" thickBot="1">
      <c r="A1389" s="891" t="s">
        <v>106</v>
      </c>
      <c r="B1389" s="892"/>
      <c r="C1389" s="892"/>
      <c r="D1389" s="893"/>
      <c r="F1389" s="50" t="s">
        <v>288</v>
      </c>
      <c r="I1389" s="71">
        <v>719</v>
      </c>
      <c r="J1389" s="73">
        <f>+P1369+P1371+P1373+P1375+P1377</f>
        <v>890000</v>
      </c>
      <c r="K1389" s="74">
        <f>+L1352</f>
        <v>39700000</v>
      </c>
      <c r="L1389" s="195">
        <f>+J1389+K1389</f>
        <v>40590000</v>
      </c>
    </row>
    <row r="1390" spans="1:16" ht="12.75" customHeight="1" thickBot="1">
      <c r="A1390" s="57" t="s">
        <v>100</v>
      </c>
      <c r="B1390" s="58" t="s">
        <v>108</v>
      </c>
      <c r="C1390" s="59" t="s">
        <v>109</v>
      </c>
      <c r="D1390" s="60" t="s">
        <v>110</v>
      </c>
      <c r="I1390" s="72">
        <v>721</v>
      </c>
      <c r="J1390" s="80">
        <f>+P1370+P1372+P1374</f>
        <v>267000</v>
      </c>
      <c r="K1390" s="74">
        <f>+L1353</f>
        <v>94559981</v>
      </c>
      <c r="L1390" s="195">
        <f>+J1390+K1390</f>
        <v>94826981</v>
      </c>
    </row>
    <row r="1391" spans="1:16">
      <c r="A1391" s="71">
        <v>719</v>
      </c>
      <c r="B1391" s="73">
        <f>+H1371+H1373+H1375+H1377+H1379</f>
        <v>280000</v>
      </c>
      <c r="C1391" s="74" t="e">
        <f>+D1354</f>
        <v>#REF!</v>
      </c>
      <c r="D1391" s="195" t="e">
        <f>+B1391+C1391</f>
        <v>#REF!</v>
      </c>
      <c r="I1391" s="72">
        <v>722</v>
      </c>
      <c r="J1391" s="80"/>
      <c r="K1391" s="74">
        <f>+L1354</f>
        <v>56963334</v>
      </c>
      <c r="L1391" s="195">
        <f>+J1391+K1391</f>
        <v>56963334</v>
      </c>
    </row>
    <row r="1392" spans="1:16" ht="15.75">
      <c r="A1392" s="72">
        <v>721</v>
      </c>
      <c r="B1392" s="80">
        <f>(+H1380+H1378+H1376+H1374+H1372)</f>
        <v>0</v>
      </c>
      <c r="C1392" s="74" t="e">
        <f>+D1355</f>
        <v>#REF!</v>
      </c>
      <c r="D1392" s="195" t="e">
        <f>+B1392+C1392</f>
        <v>#REF!</v>
      </c>
      <c r="I1392" s="72">
        <v>723</v>
      </c>
      <c r="J1392" s="80"/>
      <c r="K1392" s="74">
        <f>+L1355</f>
        <v>313175089</v>
      </c>
      <c r="L1392" s="195">
        <f>+J1392+K1392</f>
        <v>313175089</v>
      </c>
      <c r="N1392" s="918" t="s">
        <v>1481</v>
      </c>
      <c r="O1392" s="918"/>
      <c r="P1392" s="918"/>
    </row>
    <row r="1393" spans="1:16" ht="16.5" thickBot="1">
      <c r="A1393" s="72">
        <v>722</v>
      </c>
      <c r="B1393" s="80"/>
      <c r="C1393" s="74">
        <f>+D1356</f>
        <v>231207671</v>
      </c>
      <c r="D1393" s="195">
        <f>+B1393+C1393</f>
        <v>231207671</v>
      </c>
      <c r="I1393" s="164" t="s">
        <v>181</v>
      </c>
      <c r="J1393" s="165"/>
      <c r="K1393" s="74">
        <f>+L1356</f>
        <v>-298880</v>
      </c>
      <c r="L1393" s="196">
        <f>+J1393+K1393</f>
        <v>-298880</v>
      </c>
      <c r="N1393" s="52"/>
    </row>
    <row r="1394" spans="1:16" ht="16.5" thickBot="1">
      <c r="A1394" s="72">
        <v>723</v>
      </c>
      <c r="B1394" s="80"/>
      <c r="C1394" s="74" t="e">
        <f>+D1357</f>
        <v>#REF!</v>
      </c>
      <c r="D1394" s="195" t="e">
        <f>+B1394+C1394</f>
        <v>#REF!</v>
      </c>
      <c r="F1394" s="174" t="s">
        <v>23</v>
      </c>
      <c r="G1394" s="175"/>
      <c r="I1394" s="169"/>
      <c r="J1394" s="197">
        <f>SUM(J1389:J1393)</f>
        <v>1157000</v>
      </c>
      <c r="K1394" s="197">
        <f>SUM(K1389:K1393)</f>
        <v>504099524</v>
      </c>
      <c r="L1394" s="198">
        <f>SUM(L1389:L1393)</f>
        <v>505256524</v>
      </c>
    </row>
    <row r="1395" spans="1:16" ht="17.25" thickBot="1">
      <c r="A1395" s="164" t="s">
        <v>181</v>
      </c>
      <c r="B1395" s="165"/>
      <c r="C1395" s="74" t="e">
        <f>+D1358</f>
        <v>#REF!</v>
      </c>
      <c r="D1395" s="196" t="e">
        <f>+B1395+C1395</f>
        <v>#REF!</v>
      </c>
      <c r="F1395" s="52"/>
      <c r="I1395" s="49" t="s">
        <v>88</v>
      </c>
      <c r="J1395" s="50"/>
    </row>
    <row r="1396" spans="1:16" ht="16.5" thickBot="1">
      <c r="A1396" s="169"/>
      <c r="B1396" s="170">
        <f>SUM(B1391:B1395)</f>
        <v>280000</v>
      </c>
      <c r="C1396" s="171" t="e">
        <f>SUM(C1391:C1395)</f>
        <v>#REF!</v>
      </c>
      <c r="D1396" s="172" t="e">
        <f>SUM(D1391:D1395)</f>
        <v>#REF!</v>
      </c>
      <c r="I1396" s="51" t="s">
        <v>89</v>
      </c>
    </row>
    <row r="1397" spans="1:16" ht="16.5">
      <c r="A1397" s="49" t="s">
        <v>88</v>
      </c>
      <c r="B1397" s="50"/>
      <c r="I1397" s="51" t="s">
        <v>90</v>
      </c>
    </row>
    <row r="1398" spans="1:16">
      <c r="A1398" s="51" t="s">
        <v>89</v>
      </c>
      <c r="I1398" s="51" t="s">
        <v>91</v>
      </c>
    </row>
    <row r="1399" spans="1:16">
      <c r="A1399" s="51" t="s">
        <v>90</v>
      </c>
      <c r="I1399" s="50"/>
      <c r="J1399" s="50"/>
    </row>
    <row r="1400" spans="1:16" ht="16.5">
      <c r="A1400" s="51" t="s">
        <v>91</v>
      </c>
      <c r="I1400" s="260" t="s">
        <v>917</v>
      </c>
      <c r="O1400" s="52"/>
    </row>
    <row r="1401" spans="1:16" ht="15" customHeight="1">
      <c r="A1401" s="50"/>
      <c r="B1401" s="50"/>
      <c r="I1401" s="53" t="s">
        <v>1333</v>
      </c>
      <c r="O1401" s="53"/>
    </row>
    <row r="1402" spans="1:16" ht="16.5">
      <c r="A1402" s="52" t="s">
        <v>528</v>
      </c>
      <c r="G1402" s="52"/>
      <c r="I1402" s="894" t="s">
        <v>1600</v>
      </c>
      <c r="J1402" s="894"/>
      <c r="K1402" s="894"/>
      <c r="L1402" s="894"/>
      <c r="M1402" s="894"/>
      <c r="N1402" s="894"/>
      <c r="O1402" s="894"/>
      <c r="P1402" s="894"/>
    </row>
    <row r="1403" spans="1:16" ht="12" customHeight="1" thickBot="1">
      <c r="A1403" s="53" t="s">
        <v>92</v>
      </c>
      <c r="G1403" s="53"/>
    </row>
    <row r="1404" spans="1:16" ht="16.5">
      <c r="A1404" s="894" t="s">
        <v>261</v>
      </c>
      <c r="B1404" s="894"/>
      <c r="C1404" s="894"/>
      <c r="D1404" s="894"/>
      <c r="E1404" s="894"/>
      <c r="F1404" s="894"/>
      <c r="G1404" s="894"/>
      <c r="H1404" s="894"/>
      <c r="I1404" s="895" t="s">
        <v>94</v>
      </c>
      <c r="J1404" s="897" t="s">
        <v>95</v>
      </c>
      <c r="K1404" s="897" t="s">
        <v>96</v>
      </c>
      <c r="L1404" s="897" t="s">
        <v>3</v>
      </c>
      <c r="M1404" s="897" t="s">
        <v>97</v>
      </c>
      <c r="N1404" s="897" t="s">
        <v>98</v>
      </c>
      <c r="O1404" s="897" t="s">
        <v>99</v>
      </c>
      <c r="P1404" s="899"/>
    </row>
    <row r="1405" spans="1:16" ht="15.75" thickBot="1">
      <c r="I1405" s="896"/>
      <c r="J1405" s="898"/>
      <c r="K1405" s="898"/>
      <c r="L1405" s="898"/>
      <c r="M1405" s="898"/>
      <c r="N1405" s="898"/>
      <c r="O1405" s="240" t="s">
        <v>100</v>
      </c>
      <c r="P1405" s="182" t="s">
        <v>101</v>
      </c>
    </row>
    <row r="1406" spans="1:16" ht="13.5" customHeight="1">
      <c r="A1406" s="895" t="s">
        <v>94</v>
      </c>
      <c r="B1406" s="897" t="s">
        <v>95</v>
      </c>
      <c r="C1406" s="897" t="s">
        <v>96</v>
      </c>
      <c r="D1406" s="897" t="s">
        <v>3</v>
      </c>
      <c r="E1406" s="897" t="s">
        <v>97</v>
      </c>
      <c r="F1406" s="897" t="s">
        <v>98</v>
      </c>
      <c r="G1406" s="897" t="s">
        <v>99</v>
      </c>
      <c r="H1406" s="899"/>
      <c r="I1406" s="873" t="s">
        <v>1526</v>
      </c>
      <c r="J1406" s="875">
        <v>43088</v>
      </c>
      <c r="K1406" s="877" t="s">
        <v>472</v>
      </c>
      <c r="L1406" s="881" t="s">
        <v>1522</v>
      </c>
      <c r="M1406" s="881" t="s">
        <v>148</v>
      </c>
      <c r="N1406" s="883">
        <v>-637000</v>
      </c>
      <c r="O1406" s="55">
        <v>719</v>
      </c>
      <c r="P1406" s="78">
        <v>-490000</v>
      </c>
    </row>
    <row r="1407" spans="1:16" ht="12.75" customHeight="1" thickBot="1">
      <c r="A1407" s="896"/>
      <c r="B1407" s="898"/>
      <c r="C1407" s="898"/>
      <c r="D1407" s="898"/>
      <c r="E1407" s="898"/>
      <c r="F1407" s="898"/>
      <c r="G1407" s="240" t="s">
        <v>100</v>
      </c>
      <c r="H1407" s="182" t="s">
        <v>101</v>
      </c>
      <c r="I1407" s="874"/>
      <c r="J1407" s="876"/>
      <c r="K1407" s="878"/>
      <c r="L1407" s="882"/>
      <c r="M1407" s="882"/>
      <c r="N1407" s="884"/>
      <c r="O1407" s="56">
        <v>721</v>
      </c>
      <c r="P1407" s="79">
        <f>+N1406-P1406</f>
        <v>-147000</v>
      </c>
    </row>
    <row r="1408" spans="1:16" ht="13.5" customHeight="1">
      <c r="A1408" s="919" t="e">
        <f>+A1377+1</f>
        <v>#REF!</v>
      </c>
      <c r="B1408" s="875">
        <v>42369</v>
      </c>
      <c r="C1408" s="877" t="s">
        <v>267</v>
      </c>
      <c r="D1408" s="877" t="s">
        <v>526</v>
      </c>
      <c r="E1408" s="881" t="s">
        <v>148</v>
      </c>
      <c r="F1408" s="883">
        <v>224000</v>
      </c>
      <c r="G1408" s="55">
        <v>719</v>
      </c>
      <c r="H1408" s="78">
        <v>160000</v>
      </c>
      <c r="I1408" s="873" t="s">
        <v>1603</v>
      </c>
      <c r="J1408" s="875">
        <v>43088</v>
      </c>
      <c r="K1408" s="877" t="s">
        <v>472</v>
      </c>
      <c r="L1408" s="881" t="s">
        <v>1590</v>
      </c>
      <c r="M1408" s="881" t="s">
        <v>148</v>
      </c>
      <c r="N1408" s="883">
        <v>-572000</v>
      </c>
      <c r="O1408" s="55">
        <v>719</v>
      </c>
      <c r="P1408" s="78">
        <v>-440000</v>
      </c>
    </row>
    <row r="1409" spans="1:16" ht="13.5" customHeight="1" thickBot="1">
      <c r="A1409" s="920"/>
      <c r="B1409" s="876"/>
      <c r="C1409" s="878"/>
      <c r="D1409" s="878"/>
      <c r="E1409" s="882"/>
      <c r="F1409" s="884"/>
      <c r="G1409" s="56">
        <v>721</v>
      </c>
      <c r="H1409" s="79">
        <f>+F1408-H1408</f>
        <v>64000</v>
      </c>
      <c r="I1409" s="874"/>
      <c r="J1409" s="876"/>
      <c r="K1409" s="878"/>
      <c r="L1409" s="882"/>
      <c r="M1409" s="882"/>
      <c r="N1409" s="884"/>
      <c r="O1409" s="56">
        <v>723</v>
      </c>
      <c r="P1409" s="79">
        <f>+N1408-P1408</f>
        <v>-132000</v>
      </c>
    </row>
    <row r="1410" spans="1:16" ht="12.75" customHeight="1">
      <c r="A1410" s="919" t="e">
        <f>+A1408+1</f>
        <v>#REF!</v>
      </c>
      <c r="B1410" s="875">
        <v>42369</v>
      </c>
      <c r="C1410" s="881" t="s">
        <v>28</v>
      </c>
      <c r="D1410" s="877" t="s">
        <v>526</v>
      </c>
      <c r="E1410" s="881" t="s">
        <v>148</v>
      </c>
      <c r="F1410" s="883">
        <v>224000</v>
      </c>
      <c r="G1410" s="55">
        <v>719</v>
      </c>
      <c r="H1410" s="78">
        <v>160000</v>
      </c>
      <c r="I1410" s="873" t="s">
        <v>1604</v>
      </c>
      <c r="J1410" s="875">
        <v>43088</v>
      </c>
      <c r="K1410" s="877" t="s">
        <v>472</v>
      </c>
      <c r="L1410" s="881" t="s">
        <v>1507</v>
      </c>
      <c r="M1410" s="881" t="s">
        <v>148</v>
      </c>
      <c r="N1410" s="883">
        <v>-481000</v>
      </c>
      <c r="O1410" s="55">
        <v>719</v>
      </c>
      <c r="P1410" s="78">
        <v>-370000</v>
      </c>
    </row>
    <row r="1411" spans="1:16" ht="14.25" customHeight="1" thickBot="1">
      <c r="A1411" s="920"/>
      <c r="B1411" s="876"/>
      <c r="C1411" s="882"/>
      <c r="D1411" s="878"/>
      <c r="E1411" s="882"/>
      <c r="F1411" s="884"/>
      <c r="G1411" s="56">
        <v>721</v>
      </c>
      <c r="H1411" s="79">
        <f>+F1410-H1410</f>
        <v>64000</v>
      </c>
      <c r="I1411" s="874"/>
      <c r="J1411" s="876"/>
      <c r="K1411" s="878"/>
      <c r="L1411" s="882"/>
      <c r="M1411" s="882"/>
      <c r="N1411" s="884"/>
      <c r="O1411" s="56">
        <v>723</v>
      </c>
      <c r="P1411" s="79">
        <f>+N1410-P1410</f>
        <v>-111000</v>
      </c>
    </row>
    <row r="1412" spans="1:16" ht="12.75" customHeight="1">
      <c r="A1412" s="919" t="e">
        <f>+A1410+1</f>
        <v>#REF!</v>
      </c>
      <c r="B1412" s="875">
        <v>42369</v>
      </c>
      <c r="C1412" s="877" t="s">
        <v>32</v>
      </c>
      <c r="D1412" s="877" t="s">
        <v>521</v>
      </c>
      <c r="E1412" s="881" t="s">
        <v>148</v>
      </c>
      <c r="F1412" s="883">
        <v>154000</v>
      </c>
      <c r="G1412" s="55">
        <v>719</v>
      </c>
      <c r="H1412" s="78">
        <v>110000</v>
      </c>
      <c r="I1412" s="873" t="s">
        <v>1605</v>
      </c>
      <c r="J1412" s="875">
        <v>43088</v>
      </c>
      <c r="K1412" s="877" t="s">
        <v>472</v>
      </c>
      <c r="L1412" s="881" t="s">
        <v>1506</v>
      </c>
      <c r="M1412" s="881" t="s">
        <v>148</v>
      </c>
      <c r="N1412" s="883">
        <v>-403000</v>
      </c>
      <c r="O1412" s="55">
        <v>719</v>
      </c>
      <c r="P1412" s="78">
        <v>-310000</v>
      </c>
    </row>
    <row r="1413" spans="1:16" ht="12.75" customHeight="1" thickBot="1">
      <c r="A1413" s="920"/>
      <c r="B1413" s="876"/>
      <c r="C1413" s="878"/>
      <c r="D1413" s="878"/>
      <c r="E1413" s="882"/>
      <c r="F1413" s="884"/>
      <c r="G1413" s="56">
        <v>721</v>
      </c>
      <c r="H1413" s="79">
        <f>+F1412-H1412</f>
        <v>44000</v>
      </c>
      <c r="I1413" s="874"/>
      <c r="J1413" s="876"/>
      <c r="K1413" s="878"/>
      <c r="L1413" s="882"/>
      <c r="M1413" s="882"/>
      <c r="N1413" s="884"/>
      <c r="O1413" s="56">
        <v>722</v>
      </c>
      <c r="P1413" s="79">
        <f>+N1412-P1412</f>
        <v>-93000</v>
      </c>
    </row>
    <row r="1414" spans="1:16" ht="12.75" customHeight="1">
      <c r="A1414" s="919" t="e">
        <f>+A1412+1</f>
        <v>#REF!</v>
      </c>
      <c r="B1414" s="875">
        <v>42369</v>
      </c>
      <c r="C1414" s="877" t="s">
        <v>272</v>
      </c>
      <c r="D1414" s="877" t="s">
        <v>526</v>
      </c>
      <c r="E1414" s="881" t="s">
        <v>148</v>
      </c>
      <c r="F1414" s="883">
        <v>644000</v>
      </c>
      <c r="G1414" s="55">
        <v>719</v>
      </c>
      <c r="H1414" s="78">
        <v>460000</v>
      </c>
      <c r="I1414" s="873" t="s">
        <v>1509</v>
      </c>
      <c r="J1414" s="875">
        <v>43088</v>
      </c>
      <c r="K1414" s="877" t="s">
        <v>472</v>
      </c>
      <c r="L1414" s="881" t="s">
        <v>1510</v>
      </c>
      <c r="M1414" s="881" t="s">
        <v>148</v>
      </c>
      <c r="N1414" s="883">
        <v>-429000</v>
      </c>
      <c r="O1414" s="55">
        <v>719</v>
      </c>
      <c r="P1414" s="78">
        <v>-330000</v>
      </c>
    </row>
    <row r="1415" spans="1:16" ht="14.25" customHeight="1" thickBot="1">
      <c r="A1415" s="920"/>
      <c r="B1415" s="876"/>
      <c r="C1415" s="878"/>
      <c r="D1415" s="878"/>
      <c r="E1415" s="882"/>
      <c r="F1415" s="884"/>
      <c r="G1415" s="56">
        <v>721</v>
      </c>
      <c r="H1415" s="79">
        <f>+F1414-H1414</f>
        <v>184000</v>
      </c>
      <c r="I1415" s="874"/>
      <c r="J1415" s="876"/>
      <c r="K1415" s="878"/>
      <c r="L1415" s="882"/>
      <c r="M1415" s="882"/>
      <c r="N1415" s="884"/>
      <c r="O1415" s="56">
        <v>721</v>
      </c>
      <c r="P1415" s="79">
        <f>+N1414-P1414</f>
        <v>-99000</v>
      </c>
    </row>
    <row r="1416" spans="1:16" ht="15" customHeight="1" thickBot="1">
      <c r="A1416" s="919"/>
      <c r="B1416" s="875"/>
      <c r="C1416" s="877"/>
      <c r="D1416" s="877"/>
      <c r="E1416" s="881"/>
      <c r="F1416" s="883"/>
      <c r="G1416" s="55">
        <v>719</v>
      </c>
      <c r="H1416" s="78"/>
      <c r="I1416" s="901" t="s">
        <v>102</v>
      </c>
      <c r="J1416" s="902"/>
      <c r="K1416" s="902"/>
      <c r="L1416" s="902"/>
      <c r="M1416" s="903"/>
      <c r="N1416" s="81">
        <f>SUM(N1406:N1415)</f>
        <v>-2522000</v>
      </c>
    </row>
    <row r="1417" spans="1:16" ht="15.75" customHeight="1" thickBot="1">
      <c r="A1417" s="920"/>
      <c r="B1417" s="876"/>
      <c r="C1417" s="878"/>
      <c r="D1417" s="878"/>
      <c r="E1417" s="882"/>
      <c r="F1417" s="884"/>
      <c r="G1417" s="56">
        <v>721</v>
      </c>
      <c r="H1417" s="79">
        <f>+F1416-H1416</f>
        <v>0</v>
      </c>
      <c r="I1417" s="885" t="s">
        <v>103</v>
      </c>
      <c r="J1417" s="886"/>
      <c r="K1417" s="886"/>
      <c r="L1417" s="886"/>
      <c r="M1417" s="887"/>
      <c r="N1417" s="69">
        <f>+N1381</f>
        <v>505256524</v>
      </c>
      <c r="O1417" s="241" t="s">
        <v>561</v>
      </c>
      <c r="P1417" s="242">
        <v>124</v>
      </c>
    </row>
    <row r="1418" spans="1:16" ht="16.5" thickBot="1">
      <c r="A1418" s="901" t="s">
        <v>102</v>
      </c>
      <c r="B1418" s="902"/>
      <c r="C1418" s="902"/>
      <c r="D1418" s="902"/>
      <c r="E1418" s="903"/>
      <c r="F1418" s="81">
        <f>SUM(F1408:F1417)</f>
        <v>1246000</v>
      </c>
      <c r="I1418" s="888" t="s">
        <v>104</v>
      </c>
      <c r="J1418" s="889"/>
      <c r="K1418" s="889"/>
      <c r="L1418" s="889"/>
      <c r="M1418" s="890"/>
      <c r="N1418" s="183">
        <f>SUM(N1416:N1417)</f>
        <v>502734524</v>
      </c>
    </row>
    <row r="1419" spans="1:16" ht="12.75" customHeight="1" thickBot="1">
      <c r="A1419" s="885" t="s">
        <v>103</v>
      </c>
      <c r="B1419" s="886"/>
      <c r="C1419" s="886"/>
      <c r="D1419" s="886"/>
      <c r="E1419" s="887"/>
      <c r="F1419" s="69">
        <f>+F1383</f>
        <v>656973254</v>
      </c>
      <c r="I1419" s="61"/>
      <c r="J1419" s="61"/>
      <c r="K1419" s="61"/>
      <c r="L1419" s="61"/>
      <c r="M1419" s="61"/>
    </row>
    <row r="1420" spans="1:16" ht="16.5" thickBot="1">
      <c r="A1420" s="888" t="s">
        <v>104</v>
      </c>
      <c r="B1420" s="889"/>
      <c r="C1420" s="889"/>
      <c r="D1420" s="889"/>
      <c r="E1420" s="890"/>
      <c r="F1420" s="183">
        <f>SUM(F1418:F1419)</f>
        <v>658219254</v>
      </c>
      <c r="I1420" s="51" t="s">
        <v>1601</v>
      </c>
    </row>
    <row r="1421" spans="1:16" ht="9.75" customHeight="1">
      <c r="A1421" s="61"/>
      <c r="B1421" s="61"/>
      <c r="C1421" s="61"/>
      <c r="D1421" s="61"/>
      <c r="E1421" s="61"/>
      <c r="N1421" s="139"/>
    </row>
    <row r="1422" spans="1:16">
      <c r="A1422" s="51" t="s">
        <v>527</v>
      </c>
      <c r="I1422" s="50" t="s">
        <v>105</v>
      </c>
      <c r="L1422" s="146"/>
      <c r="N1422" s="139"/>
    </row>
    <row r="1423" spans="1:16" ht="12.75" customHeight="1" thickBot="1">
      <c r="F1423" s="139"/>
    </row>
    <row r="1424" spans="1:16" ht="15.75" thickBot="1">
      <c r="A1424" s="50" t="s">
        <v>105</v>
      </c>
      <c r="D1424" s="146"/>
      <c r="F1424" s="139"/>
      <c r="I1424" s="891" t="s">
        <v>106</v>
      </c>
      <c r="J1424" s="892"/>
      <c r="K1424" s="892"/>
      <c r="L1424" s="893"/>
      <c r="N1424" s="50" t="s">
        <v>288</v>
      </c>
    </row>
    <row r="1425" spans="1:16" ht="30.75" thickBot="1">
      <c r="I1425" s="57" t="s">
        <v>100</v>
      </c>
      <c r="J1425" s="58" t="s">
        <v>108</v>
      </c>
      <c r="K1425" s="287" t="s">
        <v>109</v>
      </c>
      <c r="L1425" s="60" t="s">
        <v>110</v>
      </c>
    </row>
    <row r="1426" spans="1:16" ht="15.75" thickBot="1">
      <c r="A1426" s="891" t="s">
        <v>106</v>
      </c>
      <c r="B1426" s="892"/>
      <c r="C1426" s="892"/>
      <c r="D1426" s="893"/>
      <c r="F1426" s="50" t="s">
        <v>288</v>
      </c>
      <c r="I1426" s="71">
        <v>719</v>
      </c>
      <c r="J1426" s="73">
        <f>+P1406+P1408+P1410+P1412+P1414</f>
        <v>-1940000</v>
      </c>
      <c r="K1426" s="74">
        <f>+L1389</f>
        <v>40590000</v>
      </c>
      <c r="L1426" s="195">
        <f>+J1426+K1426</f>
        <v>38650000</v>
      </c>
    </row>
    <row r="1427" spans="1:16" ht="17.25" customHeight="1" thickBot="1">
      <c r="A1427" s="57" t="s">
        <v>100</v>
      </c>
      <c r="B1427" s="58" t="s">
        <v>108</v>
      </c>
      <c r="C1427" s="59" t="s">
        <v>109</v>
      </c>
      <c r="D1427" s="60" t="s">
        <v>110</v>
      </c>
      <c r="I1427" s="72">
        <v>721</v>
      </c>
      <c r="J1427" s="80">
        <v>0</v>
      </c>
      <c r="K1427" s="74">
        <f>+L1390</f>
        <v>94826981</v>
      </c>
      <c r="L1427" s="195">
        <f>+J1427+K1427</f>
        <v>94826981</v>
      </c>
    </row>
    <row r="1428" spans="1:16" ht="11.25" customHeight="1">
      <c r="A1428" s="71">
        <v>719</v>
      </c>
      <c r="B1428" s="73">
        <f>+H1408+H1410+H1412+H1414</f>
        <v>890000</v>
      </c>
      <c r="C1428" s="74" t="e">
        <f>+D1391</f>
        <v>#REF!</v>
      </c>
      <c r="D1428" s="195" t="e">
        <f>+B1428+C1428</f>
        <v>#REF!</v>
      </c>
      <c r="I1428" s="72">
        <v>722</v>
      </c>
      <c r="J1428" s="80"/>
      <c r="K1428" s="74">
        <f>+L1391</f>
        <v>56963334</v>
      </c>
      <c r="L1428" s="195">
        <f>+J1428+K1428</f>
        <v>56963334</v>
      </c>
    </row>
    <row r="1429" spans="1:16" ht="15.75">
      <c r="A1429" s="72">
        <v>721</v>
      </c>
      <c r="B1429" s="80">
        <f>+H1409+H1411+H1413+H1415</f>
        <v>356000</v>
      </c>
      <c r="C1429" s="74" t="e">
        <f>+D1392</f>
        <v>#REF!</v>
      </c>
      <c r="D1429" s="195" t="e">
        <f>+B1429+C1429</f>
        <v>#REF!</v>
      </c>
      <c r="I1429" s="72">
        <v>723</v>
      </c>
      <c r="J1429" s="80">
        <f>+P1409+P1411+P1413+P1415+P1407</f>
        <v>-582000</v>
      </c>
      <c r="K1429" s="74">
        <f>+L1392</f>
        <v>313175089</v>
      </c>
      <c r="L1429" s="195">
        <f>+J1429+K1429</f>
        <v>312593089</v>
      </c>
      <c r="N1429" s="918" t="s">
        <v>1481</v>
      </c>
      <c r="O1429" s="918"/>
      <c r="P1429" s="918"/>
    </row>
    <row r="1430" spans="1:16" ht="12" customHeight="1" thickBot="1">
      <c r="A1430" s="72">
        <v>722</v>
      </c>
      <c r="B1430" s="80"/>
      <c r="C1430" s="74">
        <f>+D1393</f>
        <v>231207671</v>
      </c>
      <c r="D1430" s="195">
        <f>+B1430+C1430</f>
        <v>231207671</v>
      </c>
      <c r="I1430" s="164" t="s">
        <v>181</v>
      </c>
      <c r="J1430" s="165"/>
      <c r="K1430" s="74">
        <f>+L1393</f>
        <v>-298880</v>
      </c>
      <c r="L1430" s="196">
        <f>+J1430+K1430</f>
        <v>-298880</v>
      </c>
      <c r="N1430" s="52"/>
    </row>
    <row r="1431" spans="1:16" ht="14.25" customHeight="1" thickBot="1">
      <c r="A1431" s="72">
        <v>723</v>
      </c>
      <c r="B1431" s="80"/>
      <c r="C1431" s="74" t="e">
        <f>+D1394</f>
        <v>#REF!</v>
      </c>
      <c r="D1431" s="195" t="e">
        <f>+B1431+C1431</f>
        <v>#REF!</v>
      </c>
      <c r="F1431" s="174" t="s">
        <v>23</v>
      </c>
      <c r="G1431" s="175"/>
      <c r="I1431" s="169"/>
      <c r="J1431" s="197">
        <f>SUM(J1426:J1430)</f>
        <v>-2522000</v>
      </c>
      <c r="K1431" s="197">
        <f>SUM(K1426:K1430)</f>
        <v>505256524</v>
      </c>
      <c r="L1431" s="198">
        <f>SUM(L1426:L1430)</f>
        <v>502734524</v>
      </c>
    </row>
    <row r="1432" spans="1:16" ht="15.75" customHeight="1" thickBot="1">
      <c r="A1432" s="169"/>
      <c r="B1432" s="170" t="e">
        <f>SUM(#REF!)</f>
        <v>#REF!</v>
      </c>
      <c r="C1432" s="171" t="e">
        <f>SUM(#REF!)</f>
        <v>#REF!</v>
      </c>
      <c r="D1432" s="172" t="e">
        <f>SUM(#REF!)</f>
        <v>#REF!</v>
      </c>
      <c r="I1432" s="49" t="s">
        <v>88</v>
      </c>
      <c r="J1432" s="50"/>
    </row>
    <row r="1433" spans="1:16" ht="13.5" customHeight="1">
      <c r="A1433" s="49" t="s">
        <v>88</v>
      </c>
      <c r="B1433" s="50"/>
      <c r="I1433" s="51" t="s">
        <v>89</v>
      </c>
    </row>
    <row r="1434" spans="1:16" ht="14.25" customHeight="1">
      <c r="A1434" s="51" t="s">
        <v>89</v>
      </c>
      <c r="I1434" s="51" t="s">
        <v>90</v>
      </c>
    </row>
    <row r="1435" spans="1:16" ht="12" customHeight="1">
      <c r="A1435" s="51" t="s">
        <v>90</v>
      </c>
      <c r="I1435" s="51" t="s">
        <v>91</v>
      </c>
    </row>
    <row r="1436" spans="1:16" ht="8.25" customHeight="1">
      <c r="A1436" s="51" t="s">
        <v>91</v>
      </c>
      <c r="I1436" s="50"/>
      <c r="J1436" s="50"/>
    </row>
    <row r="1437" spans="1:16" ht="12" customHeight="1">
      <c r="A1437" s="50"/>
      <c r="B1437" s="50"/>
      <c r="I1437" s="260" t="s">
        <v>927</v>
      </c>
      <c r="O1437" s="52"/>
    </row>
    <row r="1438" spans="1:16" ht="16.5">
      <c r="A1438" s="52" t="s">
        <v>544</v>
      </c>
      <c r="G1438" s="52"/>
      <c r="I1438" s="53" t="s">
        <v>535</v>
      </c>
      <c r="O1438" s="53"/>
    </row>
    <row r="1439" spans="1:16" ht="16.5">
      <c r="A1439" s="53" t="s">
        <v>92</v>
      </c>
      <c r="G1439" s="53"/>
      <c r="I1439" s="894" t="s">
        <v>1600</v>
      </c>
      <c r="J1439" s="894"/>
      <c r="K1439" s="894"/>
      <c r="L1439" s="894"/>
      <c r="M1439" s="894"/>
      <c r="N1439" s="894"/>
      <c r="O1439" s="894"/>
      <c r="P1439" s="894"/>
    </row>
    <row r="1440" spans="1:16" ht="7.5" customHeight="1" thickBot="1">
      <c r="A1440" s="894" t="s">
        <v>261</v>
      </c>
      <c r="B1440" s="894"/>
      <c r="C1440" s="894"/>
      <c r="D1440" s="894"/>
      <c r="E1440" s="894"/>
      <c r="F1440" s="894"/>
      <c r="G1440" s="894"/>
      <c r="H1440" s="894"/>
    </row>
    <row r="1441" spans="1:16" ht="15.75" thickBot="1">
      <c r="I1441" s="895" t="s">
        <v>94</v>
      </c>
      <c r="J1441" s="897" t="s">
        <v>95</v>
      </c>
      <c r="K1441" s="897" t="s">
        <v>96</v>
      </c>
      <c r="L1441" s="897" t="s">
        <v>3</v>
      </c>
      <c r="M1441" s="897" t="s">
        <v>97</v>
      </c>
      <c r="N1441" s="897" t="s">
        <v>98</v>
      </c>
      <c r="O1441" s="897" t="s">
        <v>99</v>
      </c>
      <c r="P1441" s="899"/>
    </row>
    <row r="1442" spans="1:16" ht="15.75" thickBot="1">
      <c r="A1442" s="895" t="s">
        <v>94</v>
      </c>
      <c r="B1442" s="897" t="s">
        <v>95</v>
      </c>
      <c r="C1442" s="897" t="s">
        <v>96</v>
      </c>
      <c r="D1442" s="897" t="s">
        <v>3</v>
      </c>
      <c r="E1442" s="897" t="s">
        <v>97</v>
      </c>
      <c r="F1442" s="897" t="s">
        <v>98</v>
      </c>
      <c r="G1442" s="897" t="s">
        <v>99</v>
      </c>
      <c r="H1442" s="899"/>
      <c r="I1442" s="896"/>
      <c r="J1442" s="898"/>
      <c r="K1442" s="898"/>
      <c r="L1442" s="898"/>
      <c r="M1442" s="898"/>
      <c r="N1442" s="898"/>
      <c r="O1442" s="240" t="s">
        <v>100</v>
      </c>
      <c r="P1442" s="182" t="s">
        <v>101</v>
      </c>
    </row>
    <row r="1443" spans="1:16" ht="14.25" customHeight="1" thickBot="1">
      <c r="A1443" s="896"/>
      <c r="B1443" s="898"/>
      <c r="C1443" s="898"/>
      <c r="D1443" s="898"/>
      <c r="E1443" s="898"/>
      <c r="F1443" s="898"/>
      <c r="G1443" s="240" t="s">
        <v>100</v>
      </c>
      <c r="H1443" s="182" t="s">
        <v>101</v>
      </c>
      <c r="I1443" s="873" t="s">
        <v>1519</v>
      </c>
      <c r="J1443" s="875">
        <v>42723</v>
      </c>
      <c r="K1443" s="877" t="s">
        <v>28</v>
      </c>
      <c r="L1443" s="881" t="s">
        <v>1592</v>
      </c>
      <c r="M1443" s="881" t="s">
        <v>775</v>
      </c>
      <c r="N1443" s="883">
        <v>-170000</v>
      </c>
      <c r="O1443" s="55">
        <v>719</v>
      </c>
      <c r="P1443" s="78">
        <v>-170000</v>
      </c>
    </row>
    <row r="1444" spans="1:16" ht="12" customHeight="1" thickBot="1">
      <c r="A1444" s="919" t="e">
        <f>+#REF!+1</f>
        <v>#REF!</v>
      </c>
      <c r="B1444" s="875">
        <v>42369</v>
      </c>
      <c r="C1444" s="877" t="s">
        <v>267</v>
      </c>
      <c r="D1444" s="881" t="s">
        <v>530</v>
      </c>
      <c r="E1444" s="881" t="s">
        <v>148</v>
      </c>
      <c r="F1444" s="883">
        <v>70000</v>
      </c>
      <c r="G1444" s="55">
        <v>719</v>
      </c>
      <c r="H1444" s="78">
        <v>50000</v>
      </c>
      <c r="I1444" s="874"/>
      <c r="J1444" s="876"/>
      <c r="K1444" s="878"/>
      <c r="L1444" s="882"/>
      <c r="M1444" s="882"/>
      <c r="N1444" s="884"/>
      <c r="O1444" s="56">
        <v>721</v>
      </c>
      <c r="P1444" s="79">
        <f>+N1443-P1443</f>
        <v>0</v>
      </c>
    </row>
    <row r="1445" spans="1:16" ht="14.25" customHeight="1" thickBot="1">
      <c r="A1445" s="920"/>
      <c r="B1445" s="876"/>
      <c r="C1445" s="878"/>
      <c r="D1445" s="882"/>
      <c r="E1445" s="882"/>
      <c r="F1445" s="884"/>
      <c r="G1445" s="56">
        <v>721</v>
      </c>
      <c r="H1445" s="79">
        <f>+F1444-H1444</f>
        <v>20000</v>
      </c>
      <c r="I1445" s="873" t="s">
        <v>1606</v>
      </c>
      <c r="J1445" s="875">
        <v>42723</v>
      </c>
      <c r="K1445" s="877" t="s">
        <v>28</v>
      </c>
      <c r="L1445" s="881" t="s">
        <v>1516</v>
      </c>
      <c r="M1445" s="881" t="s">
        <v>775</v>
      </c>
      <c r="N1445" s="883">
        <v>-70000</v>
      </c>
      <c r="O1445" s="55">
        <v>719</v>
      </c>
      <c r="P1445" s="78">
        <v>-70000</v>
      </c>
    </row>
    <row r="1446" spans="1:16" ht="12.75" customHeight="1" thickBot="1">
      <c r="A1446" s="919" t="e">
        <f>+A1444+1</f>
        <v>#REF!</v>
      </c>
      <c r="B1446" s="875">
        <v>42369</v>
      </c>
      <c r="C1446" s="881" t="s">
        <v>28</v>
      </c>
      <c r="D1446" s="881" t="s">
        <v>530</v>
      </c>
      <c r="E1446" s="881" t="s">
        <v>148</v>
      </c>
      <c r="F1446" s="883">
        <v>70000</v>
      </c>
      <c r="G1446" s="55">
        <v>719</v>
      </c>
      <c r="H1446" s="78">
        <v>50000</v>
      </c>
      <c r="I1446" s="874"/>
      <c r="J1446" s="876"/>
      <c r="K1446" s="878"/>
      <c r="L1446" s="882"/>
      <c r="M1446" s="882"/>
      <c r="N1446" s="884"/>
      <c r="O1446" s="56">
        <v>721</v>
      </c>
      <c r="P1446" s="79">
        <f>+N1445-P1445</f>
        <v>0</v>
      </c>
    </row>
    <row r="1447" spans="1:16" ht="14.25" customHeight="1" thickBot="1">
      <c r="A1447" s="920"/>
      <c r="B1447" s="876"/>
      <c r="C1447" s="882"/>
      <c r="D1447" s="882"/>
      <c r="E1447" s="882"/>
      <c r="F1447" s="884"/>
      <c r="G1447" s="56">
        <v>721</v>
      </c>
      <c r="H1447" s="79">
        <f>+F1446-H1446</f>
        <v>20000</v>
      </c>
      <c r="I1447" s="873" t="s">
        <v>1607</v>
      </c>
      <c r="J1447" s="875">
        <v>42723</v>
      </c>
      <c r="K1447" s="877" t="s">
        <v>28</v>
      </c>
      <c r="L1447" s="881" t="s">
        <v>1517</v>
      </c>
      <c r="M1447" s="881" t="s">
        <v>775</v>
      </c>
      <c r="N1447" s="883">
        <v>-160000</v>
      </c>
      <c r="O1447" s="55">
        <v>719</v>
      </c>
      <c r="P1447" s="78">
        <v>-160000</v>
      </c>
    </row>
    <row r="1448" spans="1:16" ht="11.25" customHeight="1" thickBot="1">
      <c r="A1448" s="919" t="e">
        <f>+A1446+1</f>
        <v>#REF!</v>
      </c>
      <c r="B1448" s="875">
        <v>42369</v>
      </c>
      <c r="C1448" s="877" t="s">
        <v>32</v>
      </c>
      <c r="D1448" s="881" t="s">
        <v>530</v>
      </c>
      <c r="E1448" s="881" t="s">
        <v>148</v>
      </c>
      <c r="F1448" s="883">
        <v>84000</v>
      </c>
      <c r="G1448" s="55">
        <v>719</v>
      </c>
      <c r="H1448" s="78">
        <v>60000</v>
      </c>
      <c r="I1448" s="874"/>
      <c r="J1448" s="876"/>
      <c r="K1448" s="878"/>
      <c r="L1448" s="882"/>
      <c r="M1448" s="882"/>
      <c r="N1448" s="884"/>
      <c r="O1448" s="56">
        <v>721</v>
      </c>
      <c r="P1448" s="79"/>
    </row>
    <row r="1449" spans="1:16" ht="13.5" customHeight="1">
      <c r="A1449" s="921"/>
      <c r="B1449" s="922"/>
      <c r="C1449" s="900"/>
      <c r="D1449" s="923"/>
      <c r="E1449" s="923"/>
      <c r="F1449" s="924"/>
      <c r="G1449" s="255"/>
      <c r="H1449" s="256"/>
      <c r="I1449" s="873" t="s">
        <v>1608</v>
      </c>
      <c r="J1449" s="875">
        <v>42723</v>
      </c>
      <c r="K1449" s="877" t="s">
        <v>28</v>
      </c>
      <c r="L1449" s="881" t="s">
        <v>1524</v>
      </c>
      <c r="M1449" s="881" t="s">
        <v>148</v>
      </c>
      <c r="N1449" s="883">
        <v>-1001000</v>
      </c>
      <c r="O1449" s="55">
        <v>719</v>
      </c>
      <c r="P1449" s="78">
        <v>-770000</v>
      </c>
    </row>
    <row r="1450" spans="1:16" ht="13.5" customHeight="1" thickBot="1">
      <c r="A1450" s="921"/>
      <c r="B1450" s="922"/>
      <c r="C1450" s="900"/>
      <c r="D1450" s="923"/>
      <c r="E1450" s="923"/>
      <c r="F1450" s="924"/>
      <c r="G1450" s="255"/>
      <c r="H1450" s="256"/>
      <c r="I1450" s="874"/>
      <c r="J1450" s="876"/>
      <c r="K1450" s="878"/>
      <c r="L1450" s="882"/>
      <c r="M1450" s="882"/>
      <c r="N1450" s="884"/>
      <c r="O1450" s="56">
        <v>721</v>
      </c>
      <c r="P1450" s="79">
        <v>-231000</v>
      </c>
    </row>
    <row r="1451" spans="1:16" ht="14.25" customHeight="1" thickBot="1">
      <c r="A1451" s="920"/>
      <c r="B1451" s="876"/>
      <c r="C1451" s="878"/>
      <c r="D1451" s="882"/>
      <c r="E1451" s="882"/>
      <c r="F1451" s="884"/>
      <c r="G1451" s="56">
        <v>721</v>
      </c>
      <c r="H1451" s="79">
        <f>+F1448-H1448</f>
        <v>24000</v>
      </c>
      <c r="I1451" s="873" t="s">
        <v>1609</v>
      </c>
      <c r="J1451" s="875">
        <v>42723</v>
      </c>
      <c r="K1451" s="877" t="s">
        <v>28</v>
      </c>
      <c r="L1451" s="881" t="s">
        <v>1527</v>
      </c>
      <c r="M1451" s="881" t="s">
        <v>148</v>
      </c>
      <c r="N1451" s="883">
        <v>-559000</v>
      </c>
      <c r="O1451" s="55">
        <v>719</v>
      </c>
      <c r="P1451" s="78">
        <v>-430000</v>
      </c>
    </row>
    <row r="1452" spans="1:16" ht="15" customHeight="1" thickBot="1">
      <c r="A1452" s="919" t="e">
        <f>+A1448+1</f>
        <v>#REF!</v>
      </c>
      <c r="B1452" s="875">
        <v>42369</v>
      </c>
      <c r="C1452" s="877" t="s">
        <v>272</v>
      </c>
      <c r="D1452" s="881" t="s">
        <v>530</v>
      </c>
      <c r="E1452" s="881" t="s">
        <v>148</v>
      </c>
      <c r="F1452" s="883">
        <v>294000</v>
      </c>
      <c r="G1452" s="55">
        <v>719</v>
      </c>
      <c r="H1452" s="78">
        <v>210000</v>
      </c>
      <c r="I1452" s="874"/>
      <c r="J1452" s="876"/>
      <c r="K1452" s="878"/>
      <c r="L1452" s="882"/>
      <c r="M1452" s="882"/>
      <c r="N1452" s="884"/>
      <c r="O1452" s="56">
        <v>721</v>
      </c>
      <c r="P1452" s="79">
        <f>+N1451-P1451</f>
        <v>-129000</v>
      </c>
    </row>
    <row r="1453" spans="1:16" ht="13.5" customHeight="1" thickBot="1">
      <c r="A1453" s="920"/>
      <c r="B1453" s="876"/>
      <c r="C1453" s="878"/>
      <c r="D1453" s="882"/>
      <c r="E1453" s="882"/>
      <c r="F1453" s="884"/>
      <c r="G1453" s="56">
        <v>721</v>
      </c>
      <c r="H1453" s="79">
        <f>+F1452-H1452</f>
        <v>84000</v>
      </c>
      <c r="I1453" s="873" t="s">
        <v>1610</v>
      </c>
      <c r="J1453" s="875">
        <v>42723</v>
      </c>
      <c r="K1453" s="877" t="s">
        <v>28</v>
      </c>
      <c r="L1453" s="881" t="s">
        <v>1529</v>
      </c>
      <c r="M1453" s="881" t="s">
        <v>148</v>
      </c>
      <c r="N1453" s="883">
        <v>-624000</v>
      </c>
      <c r="O1453" s="55">
        <v>719</v>
      </c>
      <c r="P1453" s="78">
        <v>-480000</v>
      </c>
    </row>
    <row r="1454" spans="1:16" ht="14.25" customHeight="1" thickBot="1">
      <c r="A1454" s="919"/>
      <c r="B1454" s="875"/>
      <c r="C1454" s="877"/>
      <c r="D1454" s="877"/>
      <c r="E1454" s="881"/>
      <c r="F1454" s="883"/>
      <c r="G1454" s="55">
        <v>719</v>
      </c>
      <c r="H1454" s="78"/>
      <c r="I1454" s="874"/>
      <c r="J1454" s="876"/>
      <c r="K1454" s="878"/>
      <c r="L1454" s="882"/>
      <c r="M1454" s="882"/>
      <c r="N1454" s="884"/>
      <c r="O1454" s="56">
        <v>721</v>
      </c>
      <c r="P1454" s="79">
        <f>+N1453-P1453</f>
        <v>-144000</v>
      </c>
    </row>
    <row r="1455" spans="1:16" ht="16.5" thickBot="1">
      <c r="A1455" s="920"/>
      <c r="B1455" s="876"/>
      <c r="C1455" s="878"/>
      <c r="D1455" s="878"/>
      <c r="E1455" s="882"/>
      <c r="F1455" s="884"/>
      <c r="G1455" s="56">
        <v>721</v>
      </c>
      <c r="H1455" s="79">
        <f>+F1454-H1454</f>
        <v>0</v>
      </c>
      <c r="I1455" s="901" t="s">
        <v>102</v>
      </c>
      <c r="J1455" s="902"/>
      <c r="K1455" s="902"/>
      <c r="L1455" s="902"/>
      <c r="M1455" s="903"/>
      <c r="N1455" s="81">
        <f>SUM(N1443:N1454)</f>
        <v>-2584000</v>
      </c>
    </row>
    <row r="1456" spans="1:16" ht="16.5" thickBot="1">
      <c r="A1456" s="901" t="s">
        <v>102</v>
      </c>
      <c r="B1456" s="902"/>
      <c r="C1456" s="902"/>
      <c r="D1456" s="902"/>
      <c r="E1456" s="903"/>
      <c r="F1456" s="81">
        <f>SUM(F1444:F1455)</f>
        <v>518000</v>
      </c>
      <c r="I1456" s="885" t="s">
        <v>103</v>
      </c>
      <c r="J1456" s="886"/>
      <c r="K1456" s="886"/>
      <c r="L1456" s="886"/>
      <c r="M1456" s="887"/>
      <c r="N1456" s="69">
        <f>+N1418</f>
        <v>502734524</v>
      </c>
      <c r="O1456" s="241" t="s">
        <v>561</v>
      </c>
      <c r="P1456" s="242"/>
    </row>
    <row r="1457" spans="1:16" ht="16.5" thickBot="1">
      <c r="A1457" s="885" t="s">
        <v>103</v>
      </c>
      <c r="B1457" s="886"/>
      <c r="C1457" s="886"/>
      <c r="D1457" s="886"/>
      <c r="E1457" s="887"/>
      <c r="F1457" s="69" t="e">
        <f>+#REF!</f>
        <v>#REF!</v>
      </c>
      <c r="I1457" s="888" t="s">
        <v>104</v>
      </c>
      <c r="J1457" s="889"/>
      <c r="K1457" s="889"/>
      <c r="L1457" s="889"/>
      <c r="M1457" s="890"/>
      <c r="N1457" s="183">
        <f>SUM(N1455:N1456)</f>
        <v>500150524</v>
      </c>
    </row>
    <row r="1458" spans="1:16" ht="14.25" customHeight="1" thickBot="1">
      <c r="A1458" s="888" t="s">
        <v>104</v>
      </c>
      <c r="B1458" s="889"/>
      <c r="C1458" s="889"/>
      <c r="D1458" s="889"/>
      <c r="E1458" s="890"/>
      <c r="F1458" s="183" t="e">
        <f>SUM(F1456:F1457)</f>
        <v>#REF!</v>
      </c>
      <c r="I1458" s="61"/>
      <c r="J1458" s="61"/>
      <c r="K1458" s="61"/>
      <c r="L1458" s="61"/>
      <c r="M1458" s="61"/>
    </row>
    <row r="1459" spans="1:16">
      <c r="A1459" s="61"/>
      <c r="B1459" s="61"/>
      <c r="C1459" s="61"/>
      <c r="D1459" s="61"/>
      <c r="E1459" s="61"/>
      <c r="I1459" s="51" t="s">
        <v>1602</v>
      </c>
    </row>
    <row r="1460" spans="1:16" ht="9" customHeight="1">
      <c r="A1460" s="51" t="s">
        <v>546</v>
      </c>
      <c r="N1460" s="139"/>
    </row>
    <row r="1461" spans="1:16" ht="12.75" customHeight="1">
      <c r="F1461" s="139"/>
      <c r="I1461" s="50" t="s">
        <v>105</v>
      </c>
      <c r="L1461" s="146"/>
      <c r="N1461" s="139"/>
    </row>
    <row r="1462" spans="1:16" ht="12" customHeight="1" thickBot="1">
      <c r="A1462" s="50" t="s">
        <v>105</v>
      </c>
      <c r="D1462" s="146"/>
      <c r="F1462" s="139"/>
    </row>
    <row r="1463" spans="1:16" ht="12" customHeight="1" thickBot="1">
      <c r="I1463" s="891" t="s">
        <v>106</v>
      </c>
      <c r="J1463" s="892"/>
      <c r="K1463" s="892"/>
      <c r="L1463" s="893"/>
      <c r="N1463" s="50" t="s">
        <v>288</v>
      </c>
    </row>
    <row r="1464" spans="1:16" ht="28.5" customHeight="1" thickBot="1">
      <c r="A1464" s="891" t="s">
        <v>106</v>
      </c>
      <c r="B1464" s="892"/>
      <c r="C1464" s="892"/>
      <c r="D1464" s="893"/>
      <c r="F1464" s="50" t="s">
        <v>288</v>
      </c>
      <c r="I1464" s="57" t="s">
        <v>100</v>
      </c>
      <c r="J1464" s="58" t="s">
        <v>108</v>
      </c>
      <c r="K1464" s="59" t="s">
        <v>109</v>
      </c>
      <c r="L1464" s="60" t="s">
        <v>110</v>
      </c>
    </row>
    <row r="1465" spans="1:16" ht="14.25" customHeight="1" thickBot="1">
      <c r="A1465" s="57" t="s">
        <v>100</v>
      </c>
      <c r="B1465" s="58" t="s">
        <v>108</v>
      </c>
      <c r="C1465" s="59" t="s">
        <v>109</v>
      </c>
      <c r="D1465" s="60" t="s">
        <v>110</v>
      </c>
      <c r="I1465" s="71">
        <v>719</v>
      </c>
      <c r="J1465" s="73">
        <f>+P1443+P1445+P1447+P1449+P1451+P1453</f>
        <v>-2080000</v>
      </c>
      <c r="K1465" s="74">
        <f>+L1426</f>
        <v>38650000</v>
      </c>
      <c r="L1465" s="195">
        <f>+J1465+K1465</f>
        <v>36570000</v>
      </c>
    </row>
    <row r="1466" spans="1:16" ht="13.5" customHeight="1">
      <c r="A1466" s="71">
        <v>719</v>
      </c>
      <c r="B1466" s="73">
        <f>+H1444+H1446+H1448+H1452</f>
        <v>370000</v>
      </c>
      <c r="C1466" s="74" t="e">
        <f>+#REF!</f>
        <v>#REF!</v>
      </c>
      <c r="D1466" s="195" t="e">
        <f>+B1466+C1466</f>
        <v>#REF!</v>
      </c>
      <c r="I1466" s="72">
        <v>721</v>
      </c>
      <c r="J1466" s="80">
        <f>+P1454+P1452+P1450</f>
        <v>-504000</v>
      </c>
      <c r="K1466" s="74">
        <f>+L1427</f>
        <v>94826981</v>
      </c>
      <c r="L1466" s="195">
        <f>+J1466+K1466</f>
        <v>94322981</v>
      </c>
    </row>
    <row r="1467" spans="1:16" ht="13.5" customHeight="1">
      <c r="A1467" s="72">
        <v>721</v>
      </c>
      <c r="B1467" s="80">
        <f>+H1445+H1447+H1451+H1453+H1455</f>
        <v>148000</v>
      </c>
      <c r="C1467" s="74" t="e">
        <f>+#REF!</f>
        <v>#REF!</v>
      </c>
      <c r="D1467" s="195" t="e">
        <f>+B1467+C1467</f>
        <v>#REF!</v>
      </c>
      <c r="I1467" s="72">
        <v>722</v>
      </c>
      <c r="J1467" s="80"/>
      <c r="K1467" s="74">
        <f>+L1428</f>
        <v>56963334</v>
      </c>
      <c r="L1467" s="195">
        <f>+J1467+K1467</f>
        <v>56963334</v>
      </c>
    </row>
    <row r="1468" spans="1:16" ht="15" customHeight="1">
      <c r="A1468" s="72">
        <v>722</v>
      </c>
      <c r="B1468" s="80"/>
      <c r="C1468" s="74" t="e">
        <f>+#REF!</f>
        <v>#REF!</v>
      </c>
      <c r="D1468" s="195" t="e">
        <f>+B1468+C1468</f>
        <v>#REF!</v>
      </c>
      <c r="I1468" s="72">
        <v>723</v>
      </c>
      <c r="J1468" s="80"/>
      <c r="K1468" s="74">
        <f>+L1429</f>
        <v>312593089</v>
      </c>
      <c r="L1468" s="195">
        <f>+J1468+K1468</f>
        <v>312593089</v>
      </c>
      <c r="N1468" s="918" t="s">
        <v>1481</v>
      </c>
      <c r="O1468" s="918"/>
      <c r="P1468" s="918"/>
    </row>
    <row r="1469" spans="1:16" ht="16.5" thickBot="1">
      <c r="A1469" s="72">
        <v>723</v>
      </c>
      <c r="B1469" s="80"/>
      <c r="C1469" s="74" t="e">
        <f>+#REF!</f>
        <v>#REF!</v>
      </c>
      <c r="D1469" s="195" t="e">
        <f>+B1469+C1469</f>
        <v>#REF!</v>
      </c>
      <c r="F1469" s="174" t="s">
        <v>23</v>
      </c>
      <c r="G1469" s="175"/>
      <c r="I1469" s="164" t="s">
        <v>181</v>
      </c>
      <c r="J1469" s="165"/>
      <c r="K1469" s="74">
        <f>+L1430</f>
        <v>-298880</v>
      </c>
      <c r="L1469" s="196">
        <f>+J1469+K1469</f>
        <v>-298880</v>
      </c>
      <c r="N1469" s="52"/>
    </row>
    <row r="1470" spans="1:16" ht="16.5" thickBot="1">
      <c r="A1470" s="164" t="s">
        <v>181</v>
      </c>
      <c r="B1470" s="165"/>
      <c r="C1470" s="74" t="e">
        <f>+#REF!</f>
        <v>#REF!</v>
      </c>
      <c r="D1470" s="196" t="e">
        <f>+B1470+C1470</f>
        <v>#REF!</v>
      </c>
      <c r="F1470" s="52"/>
      <c r="I1470" s="169"/>
      <c r="J1470" s="197">
        <f>SUM(J1465:J1469)</f>
        <v>-2584000</v>
      </c>
      <c r="K1470" s="197">
        <f>SUM(K1465:K1469)</f>
        <v>502734524</v>
      </c>
      <c r="L1470" s="198">
        <f>SUM(L1465:L1469)</f>
        <v>500150524</v>
      </c>
    </row>
    <row r="1471" spans="1:16" ht="17.25" thickBot="1">
      <c r="A1471" s="169"/>
      <c r="B1471" s="170">
        <f>SUM(B1466:B1470)</f>
        <v>518000</v>
      </c>
      <c r="C1471" s="171" t="e">
        <f>SUM(C1466:C1470)</f>
        <v>#REF!</v>
      </c>
      <c r="D1471" s="172" t="e">
        <f>SUM(D1466:D1470)</f>
        <v>#REF!</v>
      </c>
      <c r="I1471" s="49" t="s">
        <v>88</v>
      </c>
      <c r="J1471" s="50"/>
    </row>
    <row r="1472" spans="1:16">
      <c r="I1472" s="51" t="s">
        <v>89</v>
      </c>
    </row>
    <row r="1473" spans="9:16">
      <c r="I1473" s="51" t="s">
        <v>90</v>
      </c>
    </row>
    <row r="1474" spans="9:16">
      <c r="I1474" s="51" t="s">
        <v>91</v>
      </c>
    </row>
    <row r="1475" spans="9:16">
      <c r="I1475" s="50"/>
      <c r="J1475" s="50"/>
    </row>
    <row r="1476" spans="9:16" ht="15.75">
      <c r="I1476" s="260" t="s">
        <v>928</v>
      </c>
      <c r="O1476" s="52"/>
    </row>
    <row r="1477" spans="9:16" ht="15.75">
      <c r="I1477" s="53" t="s">
        <v>1333</v>
      </c>
      <c r="O1477" s="53"/>
    </row>
    <row r="1478" spans="9:16" ht="16.5">
      <c r="I1478" s="894" t="s">
        <v>909</v>
      </c>
      <c r="J1478" s="894"/>
      <c r="K1478" s="894"/>
      <c r="L1478" s="894"/>
      <c r="M1478" s="894"/>
      <c r="N1478" s="894"/>
      <c r="O1478" s="894"/>
      <c r="P1478" s="894"/>
    </row>
    <row r="1479" spans="9:16" ht="15.75" thickBot="1"/>
    <row r="1480" spans="9:16">
      <c r="I1480" s="895" t="s">
        <v>94</v>
      </c>
      <c r="J1480" s="897" t="s">
        <v>95</v>
      </c>
      <c r="K1480" s="897" t="s">
        <v>96</v>
      </c>
      <c r="L1480" s="897" t="s">
        <v>3</v>
      </c>
      <c r="M1480" s="897" t="s">
        <v>97</v>
      </c>
      <c r="N1480" s="897" t="s">
        <v>98</v>
      </c>
      <c r="O1480" s="897" t="s">
        <v>99</v>
      </c>
      <c r="P1480" s="899"/>
    </row>
    <row r="1481" spans="9:16" ht="15.75" thickBot="1">
      <c r="I1481" s="896"/>
      <c r="J1481" s="898"/>
      <c r="K1481" s="898"/>
      <c r="L1481" s="898"/>
      <c r="M1481" s="898"/>
      <c r="N1481" s="898"/>
      <c r="O1481" s="240" t="s">
        <v>100</v>
      </c>
      <c r="P1481" s="182" t="s">
        <v>101</v>
      </c>
    </row>
    <row r="1482" spans="9:16" ht="12" customHeight="1">
      <c r="I1482" s="873" t="s">
        <v>1611</v>
      </c>
      <c r="J1482" s="875">
        <v>43096</v>
      </c>
      <c r="K1482" s="881" t="s">
        <v>28</v>
      </c>
      <c r="L1482" s="881" t="s">
        <v>1615</v>
      </c>
      <c r="M1482" s="881" t="s">
        <v>148</v>
      </c>
      <c r="N1482" s="883">
        <v>650000</v>
      </c>
      <c r="O1482" s="55">
        <v>719</v>
      </c>
      <c r="P1482" s="78">
        <v>500000</v>
      </c>
    </row>
    <row r="1483" spans="9:16" ht="13.5" customHeight="1" thickBot="1">
      <c r="I1483" s="874"/>
      <c r="J1483" s="876"/>
      <c r="K1483" s="882"/>
      <c r="L1483" s="882"/>
      <c r="M1483" s="882"/>
      <c r="N1483" s="884"/>
      <c r="O1483" s="56">
        <v>721</v>
      </c>
      <c r="P1483" s="79">
        <f>+N1482-P1482</f>
        <v>150000</v>
      </c>
    </row>
    <row r="1484" spans="9:16" ht="12" customHeight="1">
      <c r="I1484" s="881">
        <f>+I1482+1</f>
        <v>177</v>
      </c>
      <c r="J1484" s="875">
        <v>43096</v>
      </c>
      <c r="K1484" s="881" t="s">
        <v>28</v>
      </c>
      <c r="L1484" s="879" t="s">
        <v>1614</v>
      </c>
      <c r="M1484" s="881" t="s">
        <v>148</v>
      </c>
      <c r="N1484" s="883">
        <v>650000</v>
      </c>
      <c r="O1484" s="55">
        <v>719</v>
      </c>
      <c r="P1484" s="78">
        <v>500000</v>
      </c>
    </row>
    <row r="1485" spans="9:16" ht="12.75" customHeight="1" thickBot="1">
      <c r="I1485" s="882"/>
      <c r="J1485" s="876"/>
      <c r="K1485" s="882"/>
      <c r="L1485" s="880"/>
      <c r="M1485" s="882"/>
      <c r="N1485" s="884"/>
      <c r="O1485" s="56">
        <v>721</v>
      </c>
      <c r="P1485" s="79">
        <f>+N1484-P1484</f>
        <v>150000</v>
      </c>
    </row>
    <row r="1486" spans="9:16" ht="12.75" customHeight="1">
      <c r="I1486" s="881">
        <f>+I1484+1</f>
        <v>178</v>
      </c>
      <c r="J1486" s="875">
        <v>43096</v>
      </c>
      <c r="K1486" s="877" t="s">
        <v>1079</v>
      </c>
      <c r="L1486" s="881" t="s">
        <v>1613</v>
      </c>
      <c r="M1486" s="881" t="s">
        <v>148</v>
      </c>
      <c r="N1486" s="883">
        <v>650000</v>
      </c>
      <c r="O1486" s="55">
        <v>719</v>
      </c>
      <c r="P1486" s="78">
        <v>500000</v>
      </c>
    </row>
    <row r="1487" spans="9:16" ht="12.75" customHeight="1" thickBot="1">
      <c r="I1487" s="882"/>
      <c r="J1487" s="876"/>
      <c r="K1487" s="878"/>
      <c r="L1487" s="882"/>
      <c r="M1487" s="882"/>
      <c r="N1487" s="884"/>
      <c r="O1487" s="56">
        <v>721</v>
      </c>
      <c r="P1487" s="79">
        <f>+N1486-P1486</f>
        <v>150000</v>
      </c>
    </row>
    <row r="1488" spans="9:16" ht="12" customHeight="1">
      <c r="I1488" s="881">
        <f>+I1486+1</f>
        <v>179</v>
      </c>
      <c r="J1488" s="875">
        <v>43096</v>
      </c>
      <c r="K1488" s="877" t="s">
        <v>1079</v>
      </c>
      <c r="L1488" s="879" t="s">
        <v>1612</v>
      </c>
      <c r="M1488" s="881" t="s">
        <v>148</v>
      </c>
      <c r="N1488" s="883">
        <v>650000</v>
      </c>
      <c r="O1488" s="55">
        <v>719</v>
      </c>
      <c r="P1488" s="78">
        <v>500000</v>
      </c>
    </row>
    <row r="1489" spans="9:16" ht="13.5" customHeight="1" thickBot="1">
      <c r="I1489" s="882"/>
      <c r="J1489" s="876"/>
      <c r="K1489" s="878"/>
      <c r="L1489" s="880"/>
      <c r="M1489" s="882"/>
      <c r="N1489" s="884"/>
      <c r="O1489" s="56">
        <v>721</v>
      </c>
      <c r="P1489" s="79">
        <f>+N1488-P1488</f>
        <v>150000</v>
      </c>
    </row>
    <row r="1490" spans="9:16" ht="13.5" customHeight="1">
      <c r="I1490" s="881">
        <f>+I1488+1</f>
        <v>180</v>
      </c>
      <c r="J1490" s="875">
        <v>43096</v>
      </c>
      <c r="K1490" s="881" t="s">
        <v>28</v>
      </c>
      <c r="L1490" s="879" t="s">
        <v>1616</v>
      </c>
      <c r="M1490" s="881" t="s">
        <v>115</v>
      </c>
      <c r="N1490" s="883">
        <v>70000</v>
      </c>
      <c r="O1490" s="55">
        <v>719</v>
      </c>
      <c r="P1490" s="78">
        <v>70000</v>
      </c>
    </row>
    <row r="1491" spans="9:16" ht="12.75" customHeight="1" thickBot="1">
      <c r="I1491" s="882"/>
      <c r="J1491" s="876"/>
      <c r="K1491" s="882"/>
      <c r="L1491" s="880"/>
      <c r="M1491" s="882"/>
      <c r="N1491" s="884"/>
      <c r="O1491" s="56">
        <v>721</v>
      </c>
      <c r="P1491" s="79">
        <f>+N1490-P1490</f>
        <v>0</v>
      </c>
    </row>
    <row r="1492" spans="9:16" ht="15" customHeight="1">
      <c r="I1492" s="881">
        <f>+I1490+1</f>
        <v>181</v>
      </c>
      <c r="J1492" s="875">
        <v>43096</v>
      </c>
      <c r="K1492" s="877" t="s">
        <v>120</v>
      </c>
      <c r="L1492" s="879" t="s">
        <v>1616</v>
      </c>
      <c r="M1492" s="881" t="s">
        <v>115</v>
      </c>
      <c r="N1492" s="883">
        <v>250000</v>
      </c>
      <c r="O1492" s="55">
        <v>719</v>
      </c>
      <c r="P1492" s="78">
        <v>250000</v>
      </c>
    </row>
    <row r="1493" spans="9:16" ht="12.75" customHeight="1" thickBot="1">
      <c r="I1493" s="882"/>
      <c r="J1493" s="876"/>
      <c r="K1493" s="878"/>
      <c r="L1493" s="880"/>
      <c r="M1493" s="882"/>
      <c r="N1493" s="884"/>
      <c r="O1493" s="56">
        <v>721</v>
      </c>
      <c r="P1493" s="79">
        <f>+N1492-P1492</f>
        <v>0</v>
      </c>
    </row>
    <row r="1494" spans="9:16" ht="16.5" thickBot="1">
      <c r="I1494" s="901" t="s">
        <v>102</v>
      </c>
      <c r="J1494" s="902"/>
      <c r="K1494" s="902"/>
      <c r="L1494" s="902"/>
      <c r="M1494" s="903"/>
      <c r="N1494" s="81">
        <f>SUM(N1482:N1493)</f>
        <v>2920000</v>
      </c>
    </row>
    <row r="1495" spans="9:16" ht="16.5" thickBot="1">
      <c r="I1495" s="885" t="s">
        <v>103</v>
      </c>
      <c r="J1495" s="886"/>
      <c r="K1495" s="886"/>
      <c r="L1495" s="886"/>
      <c r="M1495" s="887"/>
      <c r="N1495" s="69">
        <f>+N1457</f>
        <v>500150524</v>
      </c>
      <c r="O1495" s="241" t="s">
        <v>561</v>
      </c>
      <c r="P1495" s="242">
        <f>1207+1207+235+235+162+310</f>
        <v>3356</v>
      </c>
    </row>
    <row r="1496" spans="9:16" ht="16.5" thickBot="1">
      <c r="I1496" s="888" t="s">
        <v>104</v>
      </c>
      <c r="J1496" s="889"/>
      <c r="K1496" s="889"/>
      <c r="L1496" s="889"/>
      <c r="M1496" s="890"/>
      <c r="N1496" s="183">
        <f>SUM(N1494:N1495)</f>
        <v>503070524</v>
      </c>
    </row>
    <row r="1497" spans="9:16">
      <c r="I1497" s="61"/>
      <c r="J1497" s="61"/>
      <c r="K1497" s="61"/>
      <c r="L1497" s="61"/>
      <c r="M1497" s="61"/>
    </row>
    <row r="1498" spans="9:16">
      <c r="I1498" s="51" t="s">
        <v>1617</v>
      </c>
    </row>
    <row r="1499" spans="9:16" ht="9.75" customHeight="1">
      <c r="N1499" s="139"/>
    </row>
    <row r="1500" spans="9:16">
      <c r="I1500" s="50" t="s">
        <v>105</v>
      </c>
      <c r="L1500" s="146"/>
      <c r="N1500" s="139"/>
    </row>
    <row r="1501" spans="9:16" ht="13.5" customHeight="1" thickBot="1"/>
    <row r="1502" spans="9:16" ht="15.75" thickBot="1">
      <c r="I1502" s="891" t="s">
        <v>106</v>
      </c>
      <c r="J1502" s="892"/>
      <c r="K1502" s="892"/>
      <c r="L1502" s="893"/>
      <c r="N1502" s="50" t="s">
        <v>288</v>
      </c>
    </row>
    <row r="1503" spans="9:16" ht="30.75" thickBot="1">
      <c r="I1503" s="57" t="s">
        <v>100</v>
      </c>
      <c r="J1503" s="58" t="s">
        <v>108</v>
      </c>
      <c r="K1503" s="287" t="s">
        <v>109</v>
      </c>
      <c r="L1503" s="60" t="s">
        <v>110</v>
      </c>
    </row>
    <row r="1504" spans="9:16" ht="13.5" customHeight="1">
      <c r="I1504" s="71">
        <v>719</v>
      </c>
      <c r="J1504" s="73">
        <f>+P1482+P1484+P1486+P1488+P1492</f>
        <v>2250000</v>
      </c>
      <c r="K1504" s="74">
        <f>+L1465</f>
        <v>36570000</v>
      </c>
      <c r="L1504" s="195">
        <f>+J1504+K1504</f>
        <v>38820000</v>
      </c>
    </row>
    <row r="1505" spans="9:16" ht="12.75" customHeight="1">
      <c r="I1505" s="72">
        <v>721</v>
      </c>
      <c r="J1505" s="80">
        <f>+P1493+P1489+P1487+P1485+P1483</f>
        <v>600000</v>
      </c>
      <c r="K1505" s="74">
        <f>+L1466</f>
        <v>94322981</v>
      </c>
      <c r="L1505" s="195">
        <f>+J1505+K1505</f>
        <v>94922981</v>
      </c>
    </row>
    <row r="1506" spans="9:16" ht="12.75" customHeight="1">
      <c r="I1506" s="72">
        <v>722</v>
      </c>
      <c r="J1506" s="80"/>
      <c r="K1506" s="74">
        <f>+L1467</f>
        <v>56963334</v>
      </c>
      <c r="L1506" s="195">
        <f>+J1506+K1506</f>
        <v>56963334</v>
      </c>
    </row>
    <row r="1507" spans="9:16" ht="15.75">
      <c r="I1507" s="72">
        <v>723</v>
      </c>
      <c r="J1507" s="80"/>
      <c r="K1507" s="74">
        <f>+L1468</f>
        <v>312593089</v>
      </c>
      <c r="L1507" s="195">
        <f>+J1507+K1507</f>
        <v>312593089</v>
      </c>
      <c r="N1507" s="918" t="s">
        <v>1481</v>
      </c>
      <c r="O1507" s="918"/>
      <c r="P1507" s="918"/>
    </row>
    <row r="1508" spans="9:16" ht="13.5" customHeight="1" thickBot="1">
      <c r="I1508" s="164" t="s">
        <v>181</v>
      </c>
      <c r="J1508" s="165"/>
      <c r="K1508" s="74">
        <f>+L1469</f>
        <v>-298880</v>
      </c>
      <c r="L1508" s="196">
        <f>+J1508+K1508</f>
        <v>-298880</v>
      </c>
      <c r="N1508" s="52"/>
    </row>
    <row r="1509" spans="9:16" ht="16.5" thickBot="1">
      <c r="I1509" s="169"/>
      <c r="J1509" s="197">
        <f>SUM(J1504:J1508)</f>
        <v>2850000</v>
      </c>
      <c r="K1509" s="197">
        <f>SUM(K1504:K1508)</f>
        <v>500150524</v>
      </c>
      <c r="L1509" s="198">
        <f>SUM(L1504:L1508)</f>
        <v>503000524</v>
      </c>
    </row>
    <row r="1510" spans="9:16" ht="16.5">
      <c r="I1510" s="49" t="s">
        <v>88</v>
      </c>
      <c r="J1510" s="50"/>
    </row>
    <row r="1511" spans="9:16">
      <c r="I1511" s="51" t="s">
        <v>89</v>
      </c>
    </row>
    <row r="1512" spans="9:16">
      <c r="I1512" s="51" t="s">
        <v>90</v>
      </c>
    </row>
    <row r="1513" spans="9:16">
      <c r="I1513" s="51" t="s">
        <v>91</v>
      </c>
    </row>
    <row r="1514" spans="9:16" ht="10.5" customHeight="1">
      <c r="I1514" s="50"/>
      <c r="J1514" s="50"/>
    </row>
    <row r="1515" spans="9:16" ht="15.75">
      <c r="I1515" s="260" t="s">
        <v>929</v>
      </c>
      <c r="O1515" s="52"/>
    </row>
    <row r="1516" spans="9:16" ht="15.75">
      <c r="I1516" s="53" t="s">
        <v>1333</v>
      </c>
      <c r="O1516" s="53"/>
    </row>
    <row r="1517" spans="9:16" ht="16.5">
      <c r="I1517" s="894" t="s">
        <v>909</v>
      </c>
      <c r="J1517" s="894"/>
      <c r="K1517" s="894"/>
      <c r="L1517" s="894"/>
      <c r="M1517" s="894"/>
      <c r="N1517" s="894"/>
      <c r="O1517" s="894"/>
      <c r="P1517" s="894"/>
    </row>
    <row r="1518" spans="9:16" ht="13.5" customHeight="1" thickBot="1"/>
    <row r="1519" spans="9:16">
      <c r="I1519" s="895" t="s">
        <v>94</v>
      </c>
      <c r="J1519" s="897" t="s">
        <v>95</v>
      </c>
      <c r="K1519" s="897" t="s">
        <v>96</v>
      </c>
      <c r="L1519" s="897" t="s">
        <v>3</v>
      </c>
      <c r="M1519" s="897" t="s">
        <v>97</v>
      </c>
      <c r="N1519" s="897" t="s">
        <v>98</v>
      </c>
      <c r="O1519" s="897" t="s">
        <v>99</v>
      </c>
      <c r="P1519" s="899"/>
    </row>
    <row r="1520" spans="9:16" ht="15.75" thickBot="1">
      <c r="I1520" s="896"/>
      <c r="J1520" s="898"/>
      <c r="K1520" s="898"/>
      <c r="L1520" s="898"/>
      <c r="M1520" s="898"/>
      <c r="N1520" s="898"/>
      <c r="O1520" s="240" t="s">
        <v>100</v>
      </c>
      <c r="P1520" s="182" t="s">
        <v>101</v>
      </c>
    </row>
    <row r="1521" spans="9:16" ht="15" customHeight="1">
      <c r="I1521" s="881">
        <v>182</v>
      </c>
      <c r="J1521" s="875">
        <v>43097</v>
      </c>
      <c r="K1521" s="881" t="s">
        <v>28</v>
      </c>
      <c r="L1521" s="879" t="s">
        <v>1618</v>
      </c>
      <c r="M1521" s="881" t="s">
        <v>115</v>
      </c>
      <c r="N1521" s="883">
        <v>110000</v>
      </c>
      <c r="O1521" s="55">
        <v>719</v>
      </c>
      <c r="P1521" s="78">
        <v>110000</v>
      </c>
    </row>
    <row r="1522" spans="9:16" ht="15.75" customHeight="1" thickBot="1">
      <c r="I1522" s="882"/>
      <c r="J1522" s="876"/>
      <c r="K1522" s="882"/>
      <c r="L1522" s="880"/>
      <c r="M1522" s="882"/>
      <c r="N1522" s="884"/>
      <c r="O1522" s="56">
        <v>721</v>
      </c>
      <c r="P1522" s="79"/>
    </row>
    <row r="1523" spans="9:16" ht="15" customHeight="1">
      <c r="I1523" s="881">
        <v>183</v>
      </c>
      <c r="J1523" s="875">
        <v>43097</v>
      </c>
      <c r="K1523" s="881" t="s">
        <v>120</v>
      </c>
      <c r="L1523" s="879" t="s">
        <v>1618</v>
      </c>
      <c r="M1523" s="881" t="s">
        <v>115</v>
      </c>
      <c r="N1523" s="883">
        <v>440000</v>
      </c>
      <c r="O1523" s="55">
        <v>719</v>
      </c>
      <c r="P1523" s="78">
        <v>440000</v>
      </c>
    </row>
    <row r="1524" spans="9:16" ht="15.75" customHeight="1" thickBot="1">
      <c r="I1524" s="882"/>
      <c r="J1524" s="876"/>
      <c r="K1524" s="882"/>
      <c r="L1524" s="880"/>
      <c r="M1524" s="882"/>
      <c r="N1524" s="884"/>
      <c r="O1524" s="56">
        <v>721</v>
      </c>
      <c r="P1524" s="79">
        <f>+N1523-P1523</f>
        <v>0</v>
      </c>
    </row>
    <row r="1525" spans="9:16" ht="15" customHeight="1">
      <c r="I1525" s="881">
        <v>184</v>
      </c>
      <c r="J1525" s="875">
        <v>43097</v>
      </c>
      <c r="K1525" s="877" t="s">
        <v>385</v>
      </c>
      <c r="L1525" s="879" t="s">
        <v>1619</v>
      </c>
      <c r="M1525" s="881" t="s">
        <v>148</v>
      </c>
      <c r="N1525" s="883">
        <v>4500000</v>
      </c>
      <c r="O1525" s="55">
        <v>719</v>
      </c>
      <c r="P1525" s="78"/>
    </row>
    <row r="1526" spans="9:16" ht="15.75" customHeight="1" thickBot="1">
      <c r="I1526" s="882"/>
      <c r="J1526" s="876"/>
      <c r="K1526" s="878"/>
      <c r="L1526" s="880"/>
      <c r="M1526" s="882"/>
      <c r="N1526" s="884"/>
      <c r="O1526" s="56">
        <v>721</v>
      </c>
      <c r="P1526" s="79">
        <f>+N1525-P1525</f>
        <v>4500000</v>
      </c>
    </row>
    <row r="1527" spans="9:16">
      <c r="I1527" s="881">
        <v>185</v>
      </c>
      <c r="J1527" s="875"/>
      <c r="K1527" s="877"/>
      <c r="L1527" s="879"/>
      <c r="M1527" s="881"/>
      <c r="N1527" s="883"/>
      <c r="O1527" s="55">
        <v>719</v>
      </c>
      <c r="P1527" s="78"/>
    </row>
    <row r="1528" spans="9:16" ht="15.75" thickBot="1">
      <c r="I1528" s="882"/>
      <c r="J1528" s="876"/>
      <c r="K1528" s="878"/>
      <c r="L1528" s="880"/>
      <c r="M1528" s="882"/>
      <c r="N1528" s="884"/>
      <c r="O1528" s="56">
        <v>721</v>
      </c>
      <c r="P1528" s="79">
        <f>+N1527-P1527</f>
        <v>0</v>
      </c>
    </row>
    <row r="1529" spans="9:16">
      <c r="I1529" s="881"/>
      <c r="J1529" s="875"/>
      <c r="K1529" s="877"/>
      <c r="L1529" s="881"/>
      <c r="M1529" s="881"/>
      <c r="N1529" s="883"/>
      <c r="O1529" s="55">
        <v>719</v>
      </c>
      <c r="P1529" s="78"/>
    </row>
    <row r="1530" spans="9:16" ht="15.75" thickBot="1">
      <c r="I1530" s="882"/>
      <c r="J1530" s="876"/>
      <c r="K1530" s="878"/>
      <c r="L1530" s="882"/>
      <c r="M1530" s="882"/>
      <c r="N1530" s="884"/>
      <c r="O1530" s="56">
        <v>721</v>
      </c>
      <c r="P1530" s="79">
        <f>+N1529-P1529</f>
        <v>0</v>
      </c>
    </row>
    <row r="1531" spans="9:16" ht="16.5" thickBot="1">
      <c r="I1531" s="901" t="s">
        <v>102</v>
      </c>
      <c r="J1531" s="902"/>
      <c r="K1531" s="902"/>
      <c r="L1531" s="902"/>
      <c r="M1531" s="903"/>
      <c r="N1531" s="81">
        <f>SUM(N1521:N1530)</f>
        <v>5050000</v>
      </c>
    </row>
    <row r="1532" spans="9:16" ht="16.5" thickBot="1">
      <c r="I1532" s="885" t="s">
        <v>103</v>
      </c>
      <c r="J1532" s="886"/>
      <c r="K1532" s="886"/>
      <c r="L1532" s="886"/>
      <c r="M1532" s="887"/>
      <c r="N1532" s="69">
        <f>+N1496</f>
        <v>503070524</v>
      </c>
      <c r="O1532" s="241" t="s">
        <v>561</v>
      </c>
      <c r="P1532" s="242">
        <f>246+617</f>
        <v>863</v>
      </c>
    </row>
    <row r="1533" spans="9:16" ht="16.5" thickBot="1">
      <c r="I1533" s="888" t="s">
        <v>104</v>
      </c>
      <c r="J1533" s="889"/>
      <c r="K1533" s="889"/>
      <c r="L1533" s="889"/>
      <c r="M1533" s="890"/>
      <c r="N1533" s="183">
        <f>SUM(N1531:N1532)</f>
        <v>508120524</v>
      </c>
    </row>
    <row r="1534" spans="9:16">
      <c r="I1534" s="61"/>
      <c r="J1534" s="61"/>
      <c r="K1534" s="61"/>
      <c r="L1534" s="61"/>
      <c r="M1534" s="61"/>
    </row>
    <row r="1535" spans="9:16">
      <c r="I1535" s="51" t="s">
        <v>1620</v>
      </c>
    </row>
    <row r="1536" spans="9:16">
      <c r="N1536" s="139"/>
    </row>
    <row r="1537" spans="9:15">
      <c r="I1537" s="50" t="s">
        <v>105</v>
      </c>
      <c r="L1537" s="146"/>
      <c r="N1537" s="139"/>
    </row>
    <row r="1538" spans="9:15" ht="13.5" customHeight="1" thickBot="1"/>
    <row r="1539" spans="9:15" ht="15.75" thickBot="1">
      <c r="I1539" s="891" t="s">
        <v>106</v>
      </c>
      <c r="J1539" s="892"/>
      <c r="K1539" s="892"/>
      <c r="L1539" s="893"/>
      <c r="N1539" s="50" t="s">
        <v>288</v>
      </c>
    </row>
    <row r="1540" spans="9:15" ht="30.75" thickBot="1">
      <c r="I1540" s="57" t="s">
        <v>100</v>
      </c>
      <c r="J1540" s="58" t="s">
        <v>108</v>
      </c>
      <c r="K1540" s="287" t="s">
        <v>109</v>
      </c>
      <c r="L1540" s="60" t="s">
        <v>110</v>
      </c>
    </row>
    <row r="1541" spans="9:15">
      <c r="I1541" s="71">
        <v>719</v>
      </c>
      <c r="J1541" s="73">
        <f>+P1521+P1523+P1525+P1527+P1529</f>
        <v>550000</v>
      </c>
      <c r="K1541" s="74">
        <f>+L1504</f>
        <v>38820000</v>
      </c>
      <c r="L1541" s="195">
        <f>+J1541+K1541</f>
        <v>39370000</v>
      </c>
    </row>
    <row r="1542" spans="9:15">
      <c r="I1542" s="72">
        <v>721</v>
      </c>
      <c r="J1542" s="80">
        <v>0</v>
      </c>
      <c r="K1542" s="74">
        <f>+L1505</f>
        <v>94922981</v>
      </c>
      <c r="L1542" s="195">
        <f>+J1542+K1542</f>
        <v>94922981</v>
      </c>
    </row>
    <row r="1543" spans="9:15">
      <c r="I1543" s="72">
        <v>722</v>
      </c>
      <c r="J1543" s="80"/>
      <c r="K1543" s="74">
        <f>+L1506</f>
        <v>56963334</v>
      </c>
      <c r="L1543" s="195">
        <f>+J1543+K1543</f>
        <v>56963334</v>
      </c>
    </row>
    <row r="1544" spans="9:15" ht="15.75">
      <c r="I1544" s="72">
        <v>723</v>
      </c>
      <c r="J1544" s="80">
        <f>+P1530+P1528+P1526+P1524+P1522</f>
        <v>4500000</v>
      </c>
      <c r="K1544" s="74">
        <f>+L1507</f>
        <v>312593089</v>
      </c>
      <c r="L1544" s="195">
        <f>+J1544+K1544</f>
        <v>317093089</v>
      </c>
      <c r="N1544" s="193" t="s">
        <v>289</v>
      </c>
      <c r="O1544" s="175"/>
    </row>
    <row r="1545" spans="9:15" ht="16.5" thickBot="1">
      <c r="I1545" s="164" t="s">
        <v>181</v>
      </c>
      <c r="J1545" s="165"/>
      <c r="K1545" s="74">
        <f>+L1508</f>
        <v>-298880</v>
      </c>
      <c r="L1545" s="196">
        <f>+J1545+K1545</f>
        <v>-298880</v>
      </c>
      <c r="N1545" s="52"/>
    </row>
    <row r="1546" spans="9:15" ht="16.5" thickBot="1">
      <c r="I1546" s="169"/>
      <c r="J1546" s="197">
        <f>SUM(J1541:J1545)</f>
        <v>5050000</v>
      </c>
      <c r="K1546" s="197">
        <f>SUM(K1541:K1545)</f>
        <v>503000524</v>
      </c>
      <c r="L1546" s="198">
        <f>SUM(L1541:L1545)</f>
        <v>508050524</v>
      </c>
    </row>
    <row r="1547" spans="9:15" ht="16.5">
      <c r="I1547" s="49" t="s">
        <v>88</v>
      </c>
      <c r="J1547" s="50"/>
    </row>
    <row r="1548" spans="9:15">
      <c r="I1548" s="51" t="s">
        <v>89</v>
      </c>
    </row>
    <row r="1549" spans="9:15">
      <c r="I1549" s="51" t="s">
        <v>90</v>
      </c>
    </row>
    <row r="1550" spans="9:15">
      <c r="I1550" s="51" t="s">
        <v>91</v>
      </c>
    </row>
    <row r="1551" spans="9:15" ht="12" customHeight="1">
      <c r="I1551" s="50"/>
      <c r="J1551" s="50"/>
    </row>
    <row r="1552" spans="9:15" ht="15.75">
      <c r="I1552" s="260" t="s">
        <v>944</v>
      </c>
      <c r="O1552" s="52"/>
    </row>
    <row r="1553" spans="9:16" ht="15.75">
      <c r="I1553" s="53" t="s">
        <v>535</v>
      </c>
      <c r="O1553" s="53"/>
    </row>
    <row r="1554" spans="9:16" ht="16.5">
      <c r="I1554" s="894" t="s">
        <v>909</v>
      </c>
      <c r="J1554" s="894"/>
      <c r="K1554" s="894"/>
      <c r="L1554" s="894"/>
      <c r="M1554" s="894"/>
      <c r="N1554" s="894"/>
      <c r="O1554" s="894"/>
      <c r="P1554" s="894"/>
    </row>
    <row r="1555" spans="9:16" ht="15.75" thickBot="1"/>
    <row r="1556" spans="9:16">
      <c r="I1556" s="895" t="s">
        <v>94</v>
      </c>
      <c r="J1556" s="897" t="s">
        <v>95</v>
      </c>
      <c r="K1556" s="897" t="s">
        <v>96</v>
      </c>
      <c r="L1556" s="897" t="s">
        <v>3</v>
      </c>
      <c r="M1556" s="897" t="s">
        <v>97</v>
      </c>
      <c r="N1556" s="897" t="s">
        <v>98</v>
      </c>
      <c r="O1556" s="897" t="s">
        <v>99</v>
      </c>
      <c r="P1556" s="899"/>
    </row>
    <row r="1557" spans="9:16" ht="15.75" thickBot="1">
      <c r="I1557" s="896"/>
      <c r="J1557" s="898"/>
      <c r="K1557" s="898"/>
      <c r="L1557" s="898"/>
      <c r="M1557" s="898"/>
      <c r="N1557" s="898"/>
      <c r="O1557" s="240" t="s">
        <v>100</v>
      </c>
      <c r="P1557" s="182" t="s">
        <v>101</v>
      </c>
    </row>
    <row r="1558" spans="9:16">
      <c r="I1558" s="881">
        <v>194</v>
      </c>
      <c r="J1558" s="875">
        <v>42515</v>
      </c>
      <c r="K1558" s="877" t="s">
        <v>272</v>
      </c>
      <c r="L1558" s="879" t="s">
        <v>945</v>
      </c>
      <c r="M1558" s="881" t="s">
        <v>115</v>
      </c>
      <c r="N1558" s="883">
        <v>100000</v>
      </c>
      <c r="O1558" s="55">
        <v>719</v>
      </c>
      <c r="P1558" s="78">
        <v>100000</v>
      </c>
    </row>
    <row r="1559" spans="9:16" ht="15.75" thickBot="1">
      <c r="I1559" s="882"/>
      <c r="J1559" s="876"/>
      <c r="K1559" s="878"/>
      <c r="L1559" s="880"/>
      <c r="M1559" s="882"/>
      <c r="N1559" s="884"/>
      <c r="O1559" s="56">
        <v>721</v>
      </c>
      <c r="P1559" s="79">
        <f>+N1558-P1558</f>
        <v>0</v>
      </c>
    </row>
    <row r="1560" spans="9:16" ht="15" customHeight="1">
      <c r="I1560" s="881">
        <v>195</v>
      </c>
      <c r="J1560" s="875">
        <v>42515</v>
      </c>
      <c r="K1560" s="877" t="s">
        <v>28</v>
      </c>
      <c r="L1560" s="879" t="s">
        <v>946</v>
      </c>
      <c r="M1560" s="881" t="s">
        <v>115</v>
      </c>
      <c r="N1560" s="883">
        <v>70000</v>
      </c>
      <c r="O1560" s="55">
        <v>719</v>
      </c>
      <c r="P1560" s="78">
        <v>70000</v>
      </c>
    </row>
    <row r="1561" spans="9:16" ht="15.75" customHeight="1" thickBot="1">
      <c r="I1561" s="882"/>
      <c r="J1561" s="876"/>
      <c r="K1561" s="878"/>
      <c r="L1561" s="880"/>
      <c r="M1561" s="882"/>
      <c r="N1561" s="884"/>
      <c r="O1561" s="56">
        <v>721</v>
      </c>
      <c r="P1561" s="79">
        <f>+N1560-P1560</f>
        <v>0</v>
      </c>
    </row>
    <row r="1562" spans="9:16">
      <c r="I1562" s="881"/>
      <c r="J1562" s="875"/>
      <c r="K1562" s="877"/>
      <c r="L1562" s="881"/>
      <c r="M1562" s="881"/>
      <c r="N1562" s="883"/>
      <c r="O1562" s="55">
        <v>719</v>
      </c>
      <c r="P1562" s="78"/>
    </row>
    <row r="1563" spans="9:16" ht="15.75" thickBot="1">
      <c r="I1563" s="882"/>
      <c r="J1563" s="876"/>
      <c r="K1563" s="878"/>
      <c r="L1563" s="882"/>
      <c r="M1563" s="882"/>
      <c r="N1563" s="884"/>
      <c r="O1563" s="56">
        <v>721</v>
      </c>
      <c r="P1563" s="79">
        <f>+N1562-P1562</f>
        <v>0</v>
      </c>
    </row>
    <row r="1564" spans="9:16">
      <c r="I1564" s="881"/>
      <c r="J1564" s="875"/>
      <c r="K1564" s="877"/>
      <c r="L1564" s="879"/>
      <c r="M1564" s="881"/>
      <c r="N1564" s="883"/>
      <c r="O1564" s="55">
        <v>719</v>
      </c>
      <c r="P1564" s="78"/>
    </row>
    <row r="1565" spans="9:16" ht="15.75" thickBot="1">
      <c r="I1565" s="882"/>
      <c r="J1565" s="876"/>
      <c r="K1565" s="878"/>
      <c r="L1565" s="880"/>
      <c r="M1565" s="882"/>
      <c r="N1565" s="884"/>
      <c r="O1565" s="56">
        <v>721</v>
      </c>
      <c r="P1565" s="79">
        <f>+N1564-P1564</f>
        <v>0</v>
      </c>
    </row>
    <row r="1566" spans="9:16">
      <c r="I1566" s="881"/>
      <c r="J1566" s="875"/>
      <c r="K1566" s="877"/>
      <c r="L1566" s="881"/>
      <c r="M1566" s="881"/>
      <c r="N1566" s="883"/>
      <c r="O1566" s="55">
        <v>719</v>
      </c>
      <c r="P1566" s="78"/>
    </row>
    <row r="1567" spans="9:16" ht="15.75" thickBot="1">
      <c r="I1567" s="882"/>
      <c r="J1567" s="876"/>
      <c r="K1567" s="878"/>
      <c r="L1567" s="882"/>
      <c r="M1567" s="882"/>
      <c r="N1567" s="884"/>
      <c r="O1567" s="56">
        <v>721</v>
      </c>
      <c r="P1567" s="79">
        <f>+N1566-P1566</f>
        <v>0</v>
      </c>
    </row>
    <row r="1568" spans="9:16" ht="16.5" thickBot="1">
      <c r="I1568" s="901" t="s">
        <v>102</v>
      </c>
      <c r="J1568" s="902"/>
      <c r="K1568" s="902"/>
      <c r="L1568" s="902"/>
      <c r="M1568" s="903"/>
      <c r="N1568" s="81">
        <f>SUM(N1558:N1567)</f>
        <v>170000</v>
      </c>
    </row>
    <row r="1569" spans="9:16" ht="16.5" thickBot="1">
      <c r="I1569" s="885" t="s">
        <v>103</v>
      </c>
      <c r="J1569" s="886"/>
      <c r="K1569" s="886"/>
      <c r="L1569" s="886"/>
      <c r="M1569" s="887"/>
      <c r="N1569" s="69">
        <f>+N1533</f>
        <v>508120524</v>
      </c>
      <c r="O1569" s="241" t="s">
        <v>561</v>
      </c>
      <c r="P1569" s="242">
        <f>108+281</f>
        <v>389</v>
      </c>
    </row>
    <row r="1570" spans="9:16" ht="16.5" thickBot="1">
      <c r="I1570" s="888" t="s">
        <v>104</v>
      </c>
      <c r="J1570" s="889"/>
      <c r="K1570" s="889"/>
      <c r="L1570" s="889"/>
      <c r="M1570" s="890"/>
      <c r="N1570" s="183">
        <f>SUM(N1568:N1569)</f>
        <v>508290524</v>
      </c>
    </row>
    <row r="1571" spans="9:16">
      <c r="I1571" s="61"/>
      <c r="J1571" s="61"/>
      <c r="K1571" s="61"/>
      <c r="L1571" s="61"/>
      <c r="M1571" s="61"/>
    </row>
    <row r="1572" spans="9:16">
      <c r="I1572" s="51" t="s">
        <v>947</v>
      </c>
    </row>
    <row r="1573" spans="9:16" ht="12.75" customHeight="1">
      <c r="N1573" s="139"/>
    </row>
    <row r="1574" spans="9:16">
      <c r="I1574" s="50" t="s">
        <v>105</v>
      </c>
      <c r="L1574" s="146"/>
      <c r="N1574" s="139"/>
    </row>
    <row r="1575" spans="9:16" ht="10.5" customHeight="1" thickBot="1"/>
    <row r="1576" spans="9:16" ht="15.75" thickBot="1">
      <c r="I1576" s="891" t="s">
        <v>106</v>
      </c>
      <c r="J1576" s="892"/>
      <c r="K1576" s="892"/>
      <c r="L1576" s="893"/>
      <c r="N1576" s="50" t="s">
        <v>288</v>
      </c>
    </row>
    <row r="1577" spans="9:16" ht="30.75" thickBot="1">
      <c r="I1577" s="57" t="s">
        <v>100</v>
      </c>
      <c r="J1577" s="58" t="s">
        <v>108</v>
      </c>
      <c r="K1577" s="287" t="s">
        <v>109</v>
      </c>
      <c r="L1577" s="60" t="s">
        <v>110</v>
      </c>
    </row>
    <row r="1578" spans="9:16">
      <c r="I1578" s="71">
        <v>719</v>
      </c>
      <c r="J1578" s="73">
        <f>+P1558+P1560+P1562+P1564+P1566</f>
        <v>170000</v>
      </c>
      <c r="K1578" s="74">
        <f>+L1541</f>
        <v>39370000</v>
      </c>
      <c r="L1578" s="195">
        <f>+J1578+K1578</f>
        <v>39540000</v>
      </c>
    </row>
    <row r="1579" spans="9:16">
      <c r="I1579" s="72">
        <v>721</v>
      </c>
      <c r="J1579" s="80">
        <v>0</v>
      </c>
      <c r="K1579" s="74">
        <f>+L1542</f>
        <v>94922981</v>
      </c>
      <c r="L1579" s="195">
        <f>+J1579+K1579</f>
        <v>94922981</v>
      </c>
    </row>
    <row r="1580" spans="9:16">
      <c r="I1580" s="72">
        <v>722</v>
      </c>
      <c r="J1580" s="80"/>
      <c r="K1580" s="74">
        <f>+L1543</f>
        <v>56963334</v>
      </c>
      <c r="L1580" s="195">
        <f>+J1580+K1580</f>
        <v>56963334</v>
      </c>
    </row>
    <row r="1581" spans="9:16" ht="15.75">
      <c r="I1581" s="72">
        <v>723</v>
      </c>
      <c r="J1581" s="80">
        <f>+P1567+P1565+P1563+P1561+P1559</f>
        <v>0</v>
      </c>
      <c r="K1581" s="74">
        <f>+L1544</f>
        <v>317093089</v>
      </c>
      <c r="L1581" s="195">
        <f>+J1581+K1581</f>
        <v>317093089</v>
      </c>
      <c r="N1581" s="193" t="s">
        <v>289</v>
      </c>
      <c r="O1581" s="175"/>
    </row>
    <row r="1582" spans="9:16" ht="16.5" thickBot="1">
      <c r="I1582" s="164" t="s">
        <v>181</v>
      </c>
      <c r="J1582" s="165"/>
      <c r="K1582" s="74">
        <f>+L1545</f>
        <v>-298880</v>
      </c>
      <c r="L1582" s="196">
        <f>+J1582+K1582</f>
        <v>-298880</v>
      </c>
      <c r="N1582" s="52"/>
    </row>
    <row r="1583" spans="9:16" ht="16.5" thickBot="1">
      <c r="I1583" s="169"/>
      <c r="J1583" s="197">
        <f>SUM(J1578:J1582)</f>
        <v>170000</v>
      </c>
      <c r="K1583" s="197">
        <f>SUM(K1578:K1582)</f>
        <v>508050524</v>
      </c>
      <c r="L1583" s="198">
        <f>SUM(L1578:L1582)</f>
        <v>508220524</v>
      </c>
    </row>
    <row r="1584" spans="9:16" ht="16.5">
      <c r="I1584" s="49" t="s">
        <v>88</v>
      </c>
      <c r="J1584" s="50"/>
    </row>
    <row r="1585" spans="9:16">
      <c r="I1585" s="51" t="s">
        <v>89</v>
      </c>
    </row>
    <row r="1586" spans="9:16">
      <c r="I1586" s="51" t="s">
        <v>90</v>
      </c>
    </row>
    <row r="1587" spans="9:16">
      <c r="I1587" s="51" t="s">
        <v>91</v>
      </c>
    </row>
    <row r="1588" spans="9:16" ht="12" customHeight="1">
      <c r="I1588" s="50"/>
      <c r="J1588" s="50"/>
    </row>
    <row r="1589" spans="9:16" ht="15.75">
      <c r="I1589" s="260" t="s">
        <v>948</v>
      </c>
      <c r="O1589" s="52"/>
    </row>
    <row r="1590" spans="9:16" ht="15.75">
      <c r="I1590" s="53" t="s">
        <v>535</v>
      </c>
      <c r="O1590" s="53"/>
    </row>
    <row r="1591" spans="9:16" ht="16.5">
      <c r="I1591" s="894" t="s">
        <v>909</v>
      </c>
      <c r="J1591" s="894"/>
      <c r="K1591" s="894"/>
      <c r="L1591" s="894"/>
      <c r="M1591" s="894"/>
      <c r="N1591" s="894"/>
      <c r="O1591" s="894"/>
      <c r="P1591" s="894"/>
    </row>
    <row r="1592" spans="9:16" ht="15.75" thickBot="1"/>
    <row r="1593" spans="9:16">
      <c r="I1593" s="895" t="s">
        <v>94</v>
      </c>
      <c r="J1593" s="897" t="s">
        <v>95</v>
      </c>
      <c r="K1593" s="897" t="s">
        <v>96</v>
      </c>
      <c r="L1593" s="897" t="s">
        <v>3</v>
      </c>
      <c r="M1593" s="897" t="s">
        <v>97</v>
      </c>
      <c r="N1593" s="897" t="s">
        <v>98</v>
      </c>
      <c r="O1593" s="897" t="s">
        <v>99</v>
      </c>
      <c r="P1593" s="899"/>
    </row>
    <row r="1594" spans="9:16" ht="15.75" thickBot="1">
      <c r="I1594" s="896"/>
      <c r="J1594" s="898"/>
      <c r="K1594" s="898"/>
      <c r="L1594" s="898"/>
      <c r="M1594" s="898"/>
      <c r="N1594" s="898"/>
      <c r="O1594" s="240" t="s">
        <v>100</v>
      </c>
      <c r="P1594" s="182" t="s">
        <v>101</v>
      </c>
    </row>
    <row r="1595" spans="9:16">
      <c r="I1595" s="881">
        <v>196</v>
      </c>
      <c r="J1595" s="875">
        <v>42520</v>
      </c>
      <c r="K1595" s="877" t="s">
        <v>272</v>
      </c>
      <c r="L1595" s="879" t="s">
        <v>951</v>
      </c>
      <c r="M1595" s="881" t="s">
        <v>115</v>
      </c>
      <c r="N1595" s="883">
        <v>140000</v>
      </c>
      <c r="O1595" s="55">
        <v>719</v>
      </c>
      <c r="P1595" s="78">
        <v>140000</v>
      </c>
    </row>
    <row r="1596" spans="9:16" ht="15.75" thickBot="1">
      <c r="I1596" s="882"/>
      <c r="J1596" s="876"/>
      <c r="K1596" s="878"/>
      <c r="L1596" s="880"/>
      <c r="M1596" s="882"/>
      <c r="N1596" s="884"/>
      <c r="O1596" s="56">
        <v>721</v>
      </c>
      <c r="P1596" s="79">
        <f>+N1595-P1595</f>
        <v>0</v>
      </c>
    </row>
    <row r="1597" spans="9:16">
      <c r="I1597" s="881">
        <v>197</v>
      </c>
      <c r="J1597" s="875">
        <v>42520</v>
      </c>
      <c r="K1597" s="877" t="s">
        <v>28</v>
      </c>
      <c r="L1597" s="879" t="s">
        <v>952</v>
      </c>
      <c r="M1597" s="881" t="s">
        <v>115</v>
      </c>
      <c r="N1597" s="883">
        <v>60000</v>
      </c>
      <c r="O1597" s="55">
        <v>719</v>
      </c>
      <c r="P1597" s="78">
        <v>60000</v>
      </c>
    </row>
    <row r="1598" spans="9:16" ht="15.75" thickBot="1">
      <c r="I1598" s="882"/>
      <c r="J1598" s="876"/>
      <c r="K1598" s="878"/>
      <c r="L1598" s="880"/>
      <c r="M1598" s="882"/>
      <c r="N1598" s="884"/>
      <c r="O1598" s="56">
        <v>721</v>
      </c>
      <c r="P1598" s="79">
        <f>+N1597-P1597</f>
        <v>0</v>
      </c>
    </row>
    <row r="1599" spans="9:16" ht="15" customHeight="1">
      <c r="I1599" s="881">
        <v>198</v>
      </c>
      <c r="J1599" s="875">
        <v>42520</v>
      </c>
      <c r="K1599" s="877" t="s">
        <v>120</v>
      </c>
      <c r="L1599" s="879" t="s">
        <v>953</v>
      </c>
      <c r="M1599" s="881" t="s">
        <v>115</v>
      </c>
      <c r="N1599" s="883">
        <v>60000</v>
      </c>
      <c r="O1599" s="55">
        <v>719</v>
      </c>
      <c r="P1599" s="78">
        <v>60000</v>
      </c>
    </row>
    <row r="1600" spans="9:16" ht="15.75" customHeight="1" thickBot="1">
      <c r="I1600" s="882"/>
      <c r="J1600" s="876"/>
      <c r="K1600" s="878"/>
      <c r="L1600" s="880"/>
      <c r="M1600" s="882"/>
      <c r="N1600" s="884"/>
      <c r="O1600" s="56">
        <v>721</v>
      </c>
      <c r="P1600" s="79">
        <f>+N1599-P1599</f>
        <v>0</v>
      </c>
    </row>
    <row r="1601" spans="9:16">
      <c r="I1601" s="881"/>
      <c r="J1601" s="875"/>
      <c r="K1601" s="877"/>
      <c r="L1601" s="879"/>
      <c r="M1601" s="881"/>
      <c r="N1601" s="883"/>
      <c r="O1601" s="55">
        <v>719</v>
      </c>
      <c r="P1601" s="78"/>
    </row>
    <row r="1602" spans="9:16" ht="15.75" thickBot="1">
      <c r="I1602" s="882"/>
      <c r="J1602" s="876"/>
      <c r="K1602" s="878"/>
      <c r="L1602" s="880"/>
      <c r="M1602" s="882"/>
      <c r="N1602" s="884"/>
      <c r="O1602" s="56">
        <v>721</v>
      </c>
      <c r="P1602" s="79">
        <f>+N1601-P1601</f>
        <v>0</v>
      </c>
    </row>
    <row r="1603" spans="9:16">
      <c r="I1603" s="881"/>
      <c r="J1603" s="875"/>
      <c r="K1603" s="877"/>
      <c r="L1603" s="881"/>
      <c r="M1603" s="881"/>
      <c r="N1603" s="883"/>
      <c r="O1603" s="55">
        <v>719</v>
      </c>
      <c r="P1603" s="78"/>
    </row>
    <row r="1604" spans="9:16" ht="15.75" thickBot="1">
      <c r="I1604" s="882"/>
      <c r="J1604" s="876"/>
      <c r="K1604" s="878"/>
      <c r="L1604" s="882"/>
      <c r="M1604" s="882"/>
      <c r="N1604" s="884"/>
      <c r="O1604" s="56">
        <v>721</v>
      </c>
      <c r="P1604" s="79">
        <f>+N1603-P1603</f>
        <v>0</v>
      </c>
    </row>
    <row r="1605" spans="9:16" ht="16.5" thickBot="1">
      <c r="I1605" s="901" t="s">
        <v>102</v>
      </c>
      <c r="J1605" s="902"/>
      <c r="K1605" s="902"/>
      <c r="L1605" s="902"/>
      <c r="M1605" s="903"/>
      <c r="N1605" s="81">
        <f>SUM(N1595:N1604)</f>
        <v>260000</v>
      </c>
    </row>
    <row r="1606" spans="9:16" ht="16.5" thickBot="1">
      <c r="I1606" s="885" t="s">
        <v>103</v>
      </c>
      <c r="J1606" s="886"/>
      <c r="K1606" s="886"/>
      <c r="L1606" s="886"/>
      <c r="M1606" s="887"/>
      <c r="N1606" s="69">
        <f>+N1570</f>
        <v>508290524</v>
      </c>
      <c r="O1606" s="241" t="s">
        <v>561</v>
      </c>
      <c r="P1606" s="242">
        <f>108+281</f>
        <v>389</v>
      </c>
    </row>
    <row r="1607" spans="9:16" ht="16.5" thickBot="1">
      <c r="I1607" s="888" t="s">
        <v>104</v>
      </c>
      <c r="J1607" s="889"/>
      <c r="K1607" s="889"/>
      <c r="L1607" s="889"/>
      <c r="M1607" s="890"/>
      <c r="N1607" s="183">
        <f>SUM(N1605:N1606)</f>
        <v>508550524</v>
      </c>
    </row>
    <row r="1608" spans="9:16">
      <c r="I1608" s="61"/>
      <c r="J1608" s="61"/>
      <c r="K1608" s="61"/>
      <c r="L1608" s="61"/>
      <c r="M1608" s="61"/>
    </row>
    <row r="1609" spans="9:16">
      <c r="I1609" s="51" t="s">
        <v>954</v>
      </c>
    </row>
    <row r="1610" spans="9:16" ht="12.75" customHeight="1">
      <c r="N1610" s="139"/>
    </row>
    <row r="1611" spans="9:16">
      <c r="I1611" s="50" t="s">
        <v>105</v>
      </c>
      <c r="L1611" s="146"/>
      <c r="N1611" s="139"/>
    </row>
    <row r="1612" spans="9:16" ht="11.25" customHeight="1" thickBot="1"/>
    <row r="1613" spans="9:16" ht="15.75" thickBot="1">
      <c r="I1613" s="891" t="s">
        <v>106</v>
      </c>
      <c r="J1613" s="892"/>
      <c r="K1613" s="892"/>
      <c r="L1613" s="893"/>
      <c r="N1613" s="50" t="s">
        <v>288</v>
      </c>
    </row>
    <row r="1614" spans="9:16" ht="30.75" thickBot="1">
      <c r="I1614" s="57" t="s">
        <v>100</v>
      </c>
      <c r="J1614" s="58" t="s">
        <v>108</v>
      </c>
      <c r="K1614" s="287" t="s">
        <v>109</v>
      </c>
      <c r="L1614" s="60" t="s">
        <v>110</v>
      </c>
    </row>
    <row r="1615" spans="9:16">
      <c r="I1615" s="71">
        <v>719</v>
      </c>
      <c r="J1615" s="73">
        <f>+P1595+P1597+P1599+P1601+P1603</f>
        <v>260000</v>
      </c>
      <c r="K1615" s="74">
        <f>+L1578</f>
        <v>39540000</v>
      </c>
      <c r="L1615" s="195">
        <f>+J1615+K1615</f>
        <v>39800000</v>
      </c>
    </row>
    <row r="1616" spans="9:16">
      <c r="I1616" s="72">
        <v>721</v>
      </c>
      <c r="J1616" s="80">
        <v>0</v>
      </c>
      <c r="K1616" s="74">
        <f>+L1579</f>
        <v>94922981</v>
      </c>
      <c r="L1616" s="195">
        <f>+J1616+K1616</f>
        <v>94922981</v>
      </c>
    </row>
    <row r="1617" spans="9:16">
      <c r="I1617" s="72">
        <v>722</v>
      </c>
      <c r="J1617" s="80"/>
      <c r="K1617" s="74">
        <f>+L1580</f>
        <v>56963334</v>
      </c>
      <c r="L1617" s="195">
        <f>+J1617+K1617</f>
        <v>56963334</v>
      </c>
    </row>
    <row r="1618" spans="9:16" ht="15.75">
      <c r="I1618" s="72">
        <v>723</v>
      </c>
      <c r="J1618" s="80">
        <f>+P1604+P1602+P1600+P1598+P1596</f>
        <v>0</v>
      </c>
      <c r="K1618" s="74">
        <f>+L1581</f>
        <v>317093089</v>
      </c>
      <c r="L1618" s="195">
        <f>+J1618+K1618</f>
        <v>317093089</v>
      </c>
      <c r="N1618" s="193" t="s">
        <v>289</v>
      </c>
      <c r="O1618" s="175"/>
    </row>
    <row r="1619" spans="9:16" ht="16.5" thickBot="1">
      <c r="I1619" s="164" t="s">
        <v>181</v>
      </c>
      <c r="J1619" s="165"/>
      <c r="K1619" s="74">
        <f>+L1582</f>
        <v>-298880</v>
      </c>
      <c r="L1619" s="196">
        <f>+J1619+K1619</f>
        <v>-298880</v>
      </c>
      <c r="N1619" s="52"/>
    </row>
    <row r="1620" spans="9:16" ht="16.5" thickBot="1">
      <c r="I1620" s="169"/>
      <c r="J1620" s="197">
        <f>SUM(J1615:J1619)</f>
        <v>260000</v>
      </c>
      <c r="K1620" s="197">
        <f>SUM(K1615:K1619)</f>
        <v>508220524</v>
      </c>
      <c r="L1620" s="198">
        <f>SUM(L1615:L1619)</f>
        <v>508480524</v>
      </c>
    </row>
    <row r="1621" spans="9:16" ht="16.5">
      <c r="I1621" s="49" t="s">
        <v>88</v>
      </c>
      <c r="J1621" s="50"/>
    </row>
    <row r="1622" spans="9:16">
      <c r="I1622" s="51" t="s">
        <v>89</v>
      </c>
    </row>
    <row r="1623" spans="9:16">
      <c r="I1623" s="51" t="s">
        <v>90</v>
      </c>
    </row>
    <row r="1624" spans="9:16">
      <c r="I1624" s="51" t="s">
        <v>91</v>
      </c>
    </row>
    <row r="1625" spans="9:16" ht="12" customHeight="1">
      <c r="I1625" s="50"/>
      <c r="J1625" s="50"/>
    </row>
    <row r="1626" spans="9:16" ht="15.75">
      <c r="I1626" s="260" t="s">
        <v>949</v>
      </c>
      <c r="O1626" s="52"/>
    </row>
    <row r="1627" spans="9:16" ht="15.75">
      <c r="I1627" s="53" t="s">
        <v>535</v>
      </c>
      <c r="O1627" s="53"/>
    </row>
    <row r="1628" spans="9:16" ht="16.5">
      <c r="I1628" s="894" t="s">
        <v>909</v>
      </c>
      <c r="J1628" s="894"/>
      <c r="K1628" s="894"/>
      <c r="L1628" s="894"/>
      <c r="M1628" s="894"/>
      <c r="N1628" s="894"/>
      <c r="O1628" s="894"/>
      <c r="P1628" s="894"/>
    </row>
    <row r="1629" spans="9:16" ht="15.75" thickBot="1"/>
    <row r="1630" spans="9:16">
      <c r="I1630" s="895" t="s">
        <v>94</v>
      </c>
      <c r="J1630" s="897" t="s">
        <v>95</v>
      </c>
      <c r="K1630" s="897" t="s">
        <v>96</v>
      </c>
      <c r="L1630" s="897" t="s">
        <v>3</v>
      </c>
      <c r="M1630" s="897" t="s">
        <v>97</v>
      </c>
      <c r="N1630" s="897" t="s">
        <v>98</v>
      </c>
      <c r="O1630" s="897" t="s">
        <v>99</v>
      </c>
      <c r="P1630" s="899"/>
    </row>
    <row r="1631" spans="9:16" ht="15.75" thickBot="1">
      <c r="I1631" s="896"/>
      <c r="J1631" s="898"/>
      <c r="K1631" s="898"/>
      <c r="L1631" s="898"/>
      <c r="M1631" s="898"/>
      <c r="N1631" s="898"/>
      <c r="O1631" s="240" t="s">
        <v>100</v>
      </c>
      <c r="P1631" s="182" t="s">
        <v>101</v>
      </c>
    </row>
    <row r="1632" spans="9:16" ht="15" customHeight="1">
      <c r="I1632" s="881">
        <v>199</v>
      </c>
      <c r="J1632" s="875">
        <v>42520</v>
      </c>
      <c r="K1632" s="877" t="s">
        <v>267</v>
      </c>
      <c r="L1632" s="879" t="s">
        <v>955</v>
      </c>
      <c r="M1632" s="881" t="s">
        <v>148</v>
      </c>
      <c r="N1632" s="883">
        <v>42000</v>
      </c>
      <c r="O1632" s="55">
        <v>719</v>
      </c>
      <c r="P1632" s="78">
        <v>30000</v>
      </c>
    </row>
    <row r="1633" spans="9:16" ht="15.75" customHeight="1" thickBot="1">
      <c r="I1633" s="882"/>
      <c r="J1633" s="876"/>
      <c r="K1633" s="878"/>
      <c r="L1633" s="880"/>
      <c r="M1633" s="882"/>
      <c r="N1633" s="884"/>
      <c r="O1633" s="56">
        <v>721</v>
      </c>
      <c r="P1633" s="79">
        <f>+N1632-P1632</f>
        <v>12000</v>
      </c>
    </row>
    <row r="1634" spans="9:16" ht="15" customHeight="1">
      <c r="I1634" s="881">
        <v>200</v>
      </c>
      <c r="J1634" s="875">
        <v>42520</v>
      </c>
      <c r="K1634" s="877" t="s">
        <v>28</v>
      </c>
      <c r="L1634" s="879" t="s">
        <v>956</v>
      </c>
      <c r="M1634" s="881" t="s">
        <v>148</v>
      </c>
      <c r="N1634" s="883">
        <v>224000</v>
      </c>
      <c r="O1634" s="55">
        <v>719</v>
      </c>
      <c r="P1634" s="78">
        <v>160000</v>
      </c>
    </row>
    <row r="1635" spans="9:16" ht="15.75" customHeight="1" thickBot="1">
      <c r="I1635" s="882"/>
      <c r="J1635" s="876"/>
      <c r="K1635" s="878"/>
      <c r="L1635" s="880"/>
      <c r="M1635" s="882"/>
      <c r="N1635" s="884"/>
      <c r="O1635" s="56">
        <v>721</v>
      </c>
      <c r="P1635" s="79">
        <f>+N1634-P1634</f>
        <v>64000</v>
      </c>
    </row>
    <row r="1636" spans="9:16" ht="15" customHeight="1">
      <c r="I1636" s="881">
        <v>201</v>
      </c>
      <c r="J1636" s="875">
        <v>42520</v>
      </c>
      <c r="K1636" s="877" t="s">
        <v>111</v>
      </c>
      <c r="L1636" s="879" t="s">
        <v>957</v>
      </c>
      <c r="M1636" s="881" t="s">
        <v>148</v>
      </c>
      <c r="N1636" s="883">
        <v>56000</v>
      </c>
      <c r="O1636" s="55">
        <v>719</v>
      </c>
      <c r="P1636" s="78">
        <v>40000</v>
      </c>
    </row>
    <row r="1637" spans="9:16" ht="15.75" customHeight="1" thickBot="1">
      <c r="I1637" s="882"/>
      <c r="J1637" s="876"/>
      <c r="K1637" s="878"/>
      <c r="L1637" s="880"/>
      <c r="M1637" s="882"/>
      <c r="N1637" s="884"/>
      <c r="O1637" s="56">
        <v>721</v>
      </c>
      <c r="P1637" s="79">
        <f>+N1636-P1636</f>
        <v>16000</v>
      </c>
    </row>
    <row r="1638" spans="9:16" ht="15" customHeight="1">
      <c r="I1638" s="881">
        <v>202</v>
      </c>
      <c r="J1638" s="875">
        <v>42520</v>
      </c>
      <c r="K1638" s="877" t="s">
        <v>272</v>
      </c>
      <c r="L1638" s="879" t="s">
        <v>956</v>
      </c>
      <c r="M1638" s="881" t="s">
        <v>148</v>
      </c>
      <c r="N1638" s="883">
        <v>546000</v>
      </c>
      <c r="O1638" s="55">
        <v>719</v>
      </c>
      <c r="P1638" s="78">
        <v>390000</v>
      </c>
    </row>
    <row r="1639" spans="9:16" ht="15.75" customHeight="1" thickBot="1">
      <c r="I1639" s="882"/>
      <c r="J1639" s="876"/>
      <c r="K1639" s="878"/>
      <c r="L1639" s="880"/>
      <c r="M1639" s="882"/>
      <c r="N1639" s="884"/>
      <c r="O1639" s="56">
        <v>721</v>
      </c>
      <c r="P1639" s="79">
        <f>+N1638-P1638</f>
        <v>156000</v>
      </c>
    </row>
    <row r="1640" spans="9:16">
      <c r="I1640" s="881"/>
      <c r="J1640" s="875"/>
      <c r="K1640" s="877"/>
      <c r="L1640" s="881"/>
      <c r="M1640" s="881"/>
      <c r="N1640" s="883"/>
      <c r="O1640" s="55">
        <v>719</v>
      </c>
      <c r="P1640" s="78"/>
    </row>
    <row r="1641" spans="9:16" ht="15.75" thickBot="1">
      <c r="I1641" s="882"/>
      <c r="J1641" s="876"/>
      <c r="K1641" s="878"/>
      <c r="L1641" s="882"/>
      <c r="M1641" s="882"/>
      <c r="N1641" s="884"/>
      <c r="O1641" s="56">
        <v>721</v>
      </c>
      <c r="P1641" s="79">
        <f>+N1640-P1640</f>
        <v>0</v>
      </c>
    </row>
    <row r="1642" spans="9:16" ht="16.5" thickBot="1">
      <c r="I1642" s="901" t="s">
        <v>102</v>
      </c>
      <c r="J1642" s="902"/>
      <c r="K1642" s="902"/>
      <c r="L1642" s="902"/>
      <c r="M1642" s="903"/>
      <c r="N1642" s="81">
        <f>SUM(N1632:N1641)</f>
        <v>868000</v>
      </c>
    </row>
    <row r="1643" spans="9:16" ht="16.5" thickBot="1">
      <c r="I1643" s="885" t="s">
        <v>103</v>
      </c>
      <c r="J1643" s="886"/>
      <c r="K1643" s="886"/>
      <c r="L1643" s="886"/>
      <c r="M1643" s="887"/>
      <c r="N1643" s="69">
        <f>+N1607</f>
        <v>508550524</v>
      </c>
      <c r="O1643" s="241" t="s">
        <v>561</v>
      </c>
      <c r="P1643" s="242">
        <f>941+20+470+17</f>
        <v>1448</v>
      </c>
    </row>
    <row r="1644" spans="9:16" ht="16.5" thickBot="1">
      <c r="I1644" s="888" t="s">
        <v>104</v>
      </c>
      <c r="J1644" s="889"/>
      <c r="K1644" s="889"/>
      <c r="L1644" s="889"/>
      <c r="M1644" s="890"/>
      <c r="N1644" s="183">
        <f>SUM(N1642:N1643)</f>
        <v>509418524</v>
      </c>
    </row>
    <row r="1645" spans="9:16">
      <c r="I1645" s="61"/>
      <c r="J1645" s="61"/>
      <c r="K1645" s="61"/>
      <c r="L1645" s="61"/>
      <c r="M1645" s="61"/>
    </row>
    <row r="1646" spans="9:16">
      <c r="I1646" s="51" t="s">
        <v>962</v>
      </c>
    </row>
    <row r="1647" spans="9:16" ht="11.25" customHeight="1">
      <c r="N1647" s="139"/>
    </row>
    <row r="1648" spans="9:16">
      <c r="I1648" s="50" t="s">
        <v>105</v>
      </c>
      <c r="L1648" s="146"/>
      <c r="N1648" s="139"/>
    </row>
    <row r="1649" spans="9:15" ht="13.5" customHeight="1" thickBot="1"/>
    <row r="1650" spans="9:15" ht="15.75" thickBot="1">
      <c r="I1650" s="891" t="s">
        <v>106</v>
      </c>
      <c r="J1650" s="892"/>
      <c r="K1650" s="892"/>
      <c r="L1650" s="893"/>
      <c r="N1650" s="50" t="s">
        <v>288</v>
      </c>
    </row>
    <row r="1651" spans="9:15" ht="30.75" thickBot="1">
      <c r="I1651" s="57" t="s">
        <v>100</v>
      </c>
      <c r="J1651" s="58" t="s">
        <v>108</v>
      </c>
      <c r="K1651" s="287" t="s">
        <v>109</v>
      </c>
      <c r="L1651" s="60" t="s">
        <v>110</v>
      </c>
    </row>
    <row r="1652" spans="9:15">
      <c r="I1652" s="71">
        <v>719</v>
      </c>
      <c r="J1652" s="73">
        <f>+P1632+P1634+P1636+P1638+P1640</f>
        <v>620000</v>
      </c>
      <c r="K1652" s="74">
        <f>+L1615</f>
        <v>39800000</v>
      </c>
      <c r="L1652" s="195">
        <f>+J1652+K1652</f>
        <v>40420000</v>
      </c>
    </row>
    <row r="1653" spans="9:15">
      <c r="I1653" s="72">
        <v>721</v>
      </c>
      <c r="J1653" s="80">
        <f>+P1633+P1635+P1637+P1639</f>
        <v>248000</v>
      </c>
      <c r="K1653" s="74">
        <f>+L1616</f>
        <v>94922981</v>
      </c>
      <c r="L1653" s="195">
        <f>+J1653+K1653</f>
        <v>95170981</v>
      </c>
    </row>
    <row r="1654" spans="9:15">
      <c r="I1654" s="72">
        <v>722</v>
      </c>
      <c r="J1654" s="80"/>
      <c r="K1654" s="74">
        <f>+L1617</f>
        <v>56963334</v>
      </c>
      <c r="L1654" s="195">
        <f>+J1654+K1654</f>
        <v>56963334</v>
      </c>
    </row>
    <row r="1655" spans="9:15" ht="15.75">
      <c r="I1655" s="72">
        <v>723</v>
      </c>
      <c r="J1655" s="80"/>
      <c r="K1655" s="74">
        <f>+L1618</f>
        <v>317093089</v>
      </c>
      <c r="L1655" s="195">
        <f>+J1655+K1655</f>
        <v>317093089</v>
      </c>
      <c r="N1655" s="193" t="s">
        <v>289</v>
      </c>
      <c r="O1655" s="175"/>
    </row>
    <row r="1656" spans="9:15" ht="16.5" thickBot="1">
      <c r="I1656" s="164" t="s">
        <v>181</v>
      </c>
      <c r="J1656" s="165"/>
      <c r="K1656" s="74">
        <f>+L1619</f>
        <v>-298880</v>
      </c>
      <c r="L1656" s="196">
        <f>+J1656+K1656</f>
        <v>-298880</v>
      </c>
      <c r="N1656" s="52"/>
    </row>
    <row r="1657" spans="9:15" ht="16.5" thickBot="1">
      <c r="I1657" s="169"/>
      <c r="J1657" s="197">
        <f>SUM(J1652:J1656)</f>
        <v>868000</v>
      </c>
      <c r="K1657" s="197">
        <f>SUM(K1652:K1656)</f>
        <v>508480524</v>
      </c>
      <c r="L1657" s="198">
        <f>SUM(L1652:L1656)</f>
        <v>509348524</v>
      </c>
    </row>
    <row r="1658" spans="9:15" ht="16.5">
      <c r="I1658" s="49" t="s">
        <v>88</v>
      </c>
      <c r="J1658" s="50"/>
    </row>
    <row r="1659" spans="9:15">
      <c r="I1659" s="51" t="s">
        <v>89</v>
      </c>
    </row>
    <row r="1660" spans="9:15">
      <c r="I1660" s="51" t="s">
        <v>90</v>
      </c>
    </row>
    <row r="1661" spans="9:15">
      <c r="I1661" s="51" t="s">
        <v>91</v>
      </c>
    </row>
    <row r="1662" spans="9:15" ht="12.75" customHeight="1">
      <c r="I1662" s="50"/>
      <c r="J1662" s="50"/>
    </row>
    <row r="1663" spans="9:15" ht="15.75">
      <c r="I1663" s="260" t="s">
        <v>950</v>
      </c>
      <c r="O1663" s="52"/>
    </row>
    <row r="1664" spans="9:15" ht="15.75">
      <c r="I1664" s="53" t="s">
        <v>535</v>
      </c>
      <c r="O1664" s="53"/>
    </row>
    <row r="1665" spans="9:16" ht="16.5">
      <c r="I1665" s="894" t="s">
        <v>909</v>
      </c>
      <c r="J1665" s="894"/>
      <c r="K1665" s="894"/>
      <c r="L1665" s="894"/>
      <c r="M1665" s="894"/>
      <c r="N1665" s="894"/>
      <c r="O1665" s="894"/>
      <c r="P1665" s="894"/>
    </row>
    <row r="1666" spans="9:16" ht="15.75" thickBot="1"/>
    <row r="1667" spans="9:16">
      <c r="I1667" s="895" t="s">
        <v>94</v>
      </c>
      <c r="J1667" s="897" t="s">
        <v>95</v>
      </c>
      <c r="K1667" s="897" t="s">
        <v>96</v>
      </c>
      <c r="L1667" s="897" t="s">
        <v>3</v>
      </c>
      <c r="M1667" s="897" t="s">
        <v>97</v>
      </c>
      <c r="N1667" s="897" t="s">
        <v>98</v>
      </c>
      <c r="O1667" s="897" t="s">
        <v>99</v>
      </c>
      <c r="P1667" s="899"/>
    </row>
    <row r="1668" spans="9:16" ht="15.75" thickBot="1">
      <c r="I1668" s="896"/>
      <c r="J1668" s="898"/>
      <c r="K1668" s="898"/>
      <c r="L1668" s="898"/>
      <c r="M1668" s="898"/>
      <c r="N1668" s="898"/>
      <c r="O1668" s="240" t="s">
        <v>100</v>
      </c>
      <c r="P1668" s="182" t="s">
        <v>101</v>
      </c>
    </row>
    <row r="1669" spans="9:16" ht="15" customHeight="1">
      <c r="I1669" s="881">
        <v>203</v>
      </c>
      <c r="J1669" s="875">
        <v>42520</v>
      </c>
      <c r="K1669" s="877" t="s">
        <v>267</v>
      </c>
      <c r="L1669" s="879" t="s">
        <v>958</v>
      </c>
      <c r="M1669" s="881" t="s">
        <v>148</v>
      </c>
      <c r="N1669" s="883">
        <v>28000</v>
      </c>
      <c r="O1669" s="55">
        <v>719</v>
      </c>
      <c r="P1669" s="78">
        <v>20000</v>
      </c>
    </row>
    <row r="1670" spans="9:16" ht="15.75" customHeight="1" thickBot="1">
      <c r="I1670" s="882"/>
      <c r="J1670" s="876"/>
      <c r="K1670" s="878"/>
      <c r="L1670" s="880"/>
      <c r="M1670" s="882"/>
      <c r="N1670" s="884"/>
      <c r="O1670" s="56">
        <v>721</v>
      </c>
      <c r="P1670" s="79">
        <f>+N1669-P1669</f>
        <v>8000</v>
      </c>
    </row>
    <row r="1671" spans="9:16" ht="15" customHeight="1">
      <c r="I1671" s="881">
        <v>204</v>
      </c>
      <c r="J1671" s="875">
        <v>42520</v>
      </c>
      <c r="K1671" s="877" t="s">
        <v>28</v>
      </c>
      <c r="L1671" s="879" t="s">
        <v>959</v>
      </c>
      <c r="M1671" s="881" t="s">
        <v>148</v>
      </c>
      <c r="N1671" s="883">
        <v>238000</v>
      </c>
      <c r="O1671" s="55">
        <v>719</v>
      </c>
      <c r="P1671" s="78">
        <v>170000</v>
      </c>
    </row>
    <row r="1672" spans="9:16" ht="15.75" customHeight="1" thickBot="1">
      <c r="I1672" s="882"/>
      <c r="J1672" s="876"/>
      <c r="K1672" s="878"/>
      <c r="L1672" s="880"/>
      <c r="M1672" s="882"/>
      <c r="N1672" s="884"/>
      <c r="O1672" s="56">
        <v>721</v>
      </c>
      <c r="P1672" s="79">
        <f>+N1671-P1671</f>
        <v>68000</v>
      </c>
    </row>
    <row r="1673" spans="9:16" ht="15" customHeight="1">
      <c r="I1673" s="881">
        <v>205</v>
      </c>
      <c r="J1673" s="875">
        <v>42520</v>
      </c>
      <c r="K1673" s="877" t="s">
        <v>111</v>
      </c>
      <c r="L1673" s="879" t="s">
        <v>960</v>
      </c>
      <c r="M1673" s="881" t="s">
        <v>148</v>
      </c>
      <c r="N1673" s="883">
        <v>84000</v>
      </c>
      <c r="O1673" s="55">
        <v>719</v>
      </c>
      <c r="P1673" s="78">
        <v>60000</v>
      </c>
    </row>
    <row r="1674" spans="9:16" ht="15.75" customHeight="1" thickBot="1">
      <c r="I1674" s="882"/>
      <c r="J1674" s="876"/>
      <c r="K1674" s="878"/>
      <c r="L1674" s="880"/>
      <c r="M1674" s="882"/>
      <c r="N1674" s="884"/>
      <c r="O1674" s="56">
        <v>721</v>
      </c>
      <c r="P1674" s="79">
        <f>+N1673-P1673</f>
        <v>24000</v>
      </c>
    </row>
    <row r="1675" spans="9:16" ht="15" customHeight="1">
      <c r="I1675" s="881">
        <v>206</v>
      </c>
      <c r="J1675" s="875">
        <v>42520</v>
      </c>
      <c r="K1675" s="877" t="s">
        <v>272</v>
      </c>
      <c r="L1675" s="879" t="s">
        <v>959</v>
      </c>
      <c r="M1675" s="881" t="s">
        <v>148</v>
      </c>
      <c r="N1675" s="883">
        <v>504000</v>
      </c>
      <c r="O1675" s="55">
        <v>719</v>
      </c>
      <c r="P1675" s="78">
        <v>360000</v>
      </c>
    </row>
    <row r="1676" spans="9:16" ht="15.75" customHeight="1" thickBot="1">
      <c r="I1676" s="882"/>
      <c r="J1676" s="876"/>
      <c r="K1676" s="878"/>
      <c r="L1676" s="880"/>
      <c r="M1676" s="882"/>
      <c r="N1676" s="884"/>
      <c r="O1676" s="56">
        <v>721</v>
      </c>
      <c r="P1676" s="79">
        <f>+N1675-P1675</f>
        <v>144000</v>
      </c>
    </row>
    <row r="1677" spans="9:16">
      <c r="I1677" s="881"/>
      <c r="J1677" s="875"/>
      <c r="K1677" s="877"/>
      <c r="L1677" s="881"/>
      <c r="M1677" s="881"/>
      <c r="N1677" s="883"/>
      <c r="O1677" s="55">
        <v>719</v>
      </c>
      <c r="P1677" s="78"/>
    </row>
    <row r="1678" spans="9:16" ht="15.75" thickBot="1">
      <c r="I1678" s="882"/>
      <c r="J1678" s="876"/>
      <c r="K1678" s="878"/>
      <c r="L1678" s="882"/>
      <c r="M1678" s="882"/>
      <c r="N1678" s="884"/>
      <c r="O1678" s="56">
        <v>721</v>
      </c>
      <c r="P1678" s="79">
        <f>+N1677-P1677</f>
        <v>0</v>
      </c>
    </row>
    <row r="1679" spans="9:16" ht="16.5" thickBot="1">
      <c r="I1679" s="901" t="s">
        <v>102</v>
      </c>
      <c r="J1679" s="902"/>
      <c r="K1679" s="902"/>
      <c r="L1679" s="902"/>
      <c r="M1679" s="903"/>
      <c r="N1679" s="81">
        <f>SUM(N1669:N1678)</f>
        <v>854000</v>
      </c>
    </row>
    <row r="1680" spans="9:16" ht="16.5" thickBot="1">
      <c r="I1680" s="885" t="s">
        <v>103</v>
      </c>
      <c r="J1680" s="886"/>
      <c r="K1680" s="886"/>
      <c r="L1680" s="886"/>
      <c r="M1680" s="887"/>
      <c r="N1680" s="69">
        <f>+N1644</f>
        <v>509418524</v>
      </c>
      <c r="O1680" s="241" t="s">
        <v>561</v>
      </c>
      <c r="P1680" s="242">
        <f>746+26+428+20</f>
        <v>1220</v>
      </c>
    </row>
    <row r="1681" spans="9:15" ht="16.5" thickBot="1">
      <c r="I1681" s="888" t="s">
        <v>104</v>
      </c>
      <c r="J1681" s="889"/>
      <c r="K1681" s="889"/>
      <c r="L1681" s="889"/>
      <c r="M1681" s="890"/>
      <c r="N1681" s="183">
        <f>SUM(N1679:N1680)</f>
        <v>510272524</v>
      </c>
    </row>
    <row r="1682" spans="9:15">
      <c r="I1682" s="61"/>
      <c r="J1682" s="61"/>
      <c r="K1682" s="61"/>
      <c r="L1682" s="61"/>
      <c r="M1682" s="61"/>
    </row>
    <row r="1683" spans="9:15">
      <c r="I1683" s="51" t="s">
        <v>961</v>
      </c>
    </row>
    <row r="1684" spans="9:15" ht="12" customHeight="1">
      <c r="N1684" s="139"/>
    </row>
    <row r="1685" spans="9:15">
      <c r="I1685" s="50" t="s">
        <v>105</v>
      </c>
      <c r="L1685" s="146"/>
      <c r="N1685" s="139"/>
    </row>
    <row r="1686" spans="9:15" ht="11.25" customHeight="1" thickBot="1"/>
    <row r="1687" spans="9:15" ht="15.75" thickBot="1">
      <c r="I1687" s="891" t="s">
        <v>106</v>
      </c>
      <c r="J1687" s="892"/>
      <c r="K1687" s="892"/>
      <c r="L1687" s="893"/>
      <c r="N1687" s="50" t="s">
        <v>288</v>
      </c>
    </row>
    <row r="1688" spans="9:15" ht="30.75" thickBot="1">
      <c r="I1688" s="57" t="s">
        <v>100</v>
      </c>
      <c r="J1688" s="58" t="s">
        <v>108</v>
      </c>
      <c r="K1688" s="287" t="s">
        <v>109</v>
      </c>
      <c r="L1688" s="60" t="s">
        <v>110</v>
      </c>
    </row>
    <row r="1689" spans="9:15">
      <c r="I1689" s="71">
        <v>719</v>
      </c>
      <c r="J1689" s="73">
        <f>+P1669+P1671+P1673+P1675+P1677</f>
        <v>610000</v>
      </c>
      <c r="K1689" s="74">
        <f>+L1652</f>
        <v>40420000</v>
      </c>
      <c r="L1689" s="195">
        <f>+J1689+K1689</f>
        <v>41030000</v>
      </c>
    </row>
    <row r="1690" spans="9:15">
      <c r="I1690" s="72">
        <v>721</v>
      </c>
      <c r="J1690" s="80">
        <f>+P1670+P1672+P1674+P1676</f>
        <v>244000</v>
      </c>
      <c r="K1690" s="74">
        <f>+L1653</f>
        <v>95170981</v>
      </c>
      <c r="L1690" s="195">
        <f>+J1690+K1690</f>
        <v>95414981</v>
      </c>
    </row>
    <row r="1691" spans="9:15">
      <c r="I1691" s="72">
        <v>722</v>
      </c>
      <c r="J1691" s="80"/>
      <c r="K1691" s="74">
        <f>+L1654</f>
        <v>56963334</v>
      </c>
      <c r="L1691" s="195">
        <f>+J1691+K1691</f>
        <v>56963334</v>
      </c>
    </row>
    <row r="1692" spans="9:15" ht="15.75">
      <c r="I1692" s="72">
        <v>723</v>
      </c>
      <c r="J1692" s="80"/>
      <c r="K1692" s="74">
        <f>+L1655</f>
        <v>317093089</v>
      </c>
      <c r="L1692" s="195">
        <f>+J1692+K1692</f>
        <v>317093089</v>
      </c>
      <c r="N1692" s="193" t="s">
        <v>289</v>
      </c>
      <c r="O1692" s="175"/>
    </row>
    <row r="1693" spans="9:15" ht="16.5" thickBot="1">
      <c r="I1693" s="164" t="s">
        <v>181</v>
      </c>
      <c r="J1693" s="165"/>
      <c r="K1693" s="74">
        <f>+L1656</f>
        <v>-298880</v>
      </c>
      <c r="L1693" s="196">
        <f>+J1693+K1693</f>
        <v>-298880</v>
      </c>
      <c r="N1693" s="52"/>
    </row>
    <row r="1694" spans="9:15" ht="16.5" thickBot="1">
      <c r="I1694" s="169"/>
      <c r="J1694" s="197">
        <f>SUM(J1689:J1693)</f>
        <v>854000</v>
      </c>
      <c r="K1694" s="197">
        <f>SUM(K1689:K1693)</f>
        <v>509348524</v>
      </c>
      <c r="L1694" s="198">
        <f>SUM(L1689:L1693)</f>
        <v>510202524</v>
      </c>
    </row>
    <row r="1695" spans="9:15" ht="16.5">
      <c r="I1695" s="49" t="s">
        <v>88</v>
      </c>
      <c r="J1695" s="50"/>
    </row>
    <row r="1696" spans="9:15">
      <c r="I1696" s="51" t="s">
        <v>89</v>
      </c>
    </row>
    <row r="1697" spans="9:16">
      <c r="I1697" s="51" t="s">
        <v>90</v>
      </c>
    </row>
    <row r="1698" spans="9:16">
      <c r="I1698" s="51" t="s">
        <v>91</v>
      </c>
    </row>
    <row r="1699" spans="9:16" ht="12.75" customHeight="1">
      <c r="I1699" s="50"/>
      <c r="J1699" s="50"/>
    </row>
    <row r="1700" spans="9:16" ht="15.75">
      <c r="I1700" s="260" t="s">
        <v>976</v>
      </c>
      <c r="O1700" s="52"/>
    </row>
    <row r="1701" spans="9:16" ht="15.75">
      <c r="I1701" s="53" t="s">
        <v>535</v>
      </c>
      <c r="O1701" s="53"/>
    </row>
    <row r="1702" spans="9:16" ht="16.5">
      <c r="I1702" s="894" t="s">
        <v>967</v>
      </c>
      <c r="J1702" s="894"/>
      <c r="K1702" s="894"/>
      <c r="L1702" s="894"/>
      <c r="M1702" s="894"/>
      <c r="N1702" s="894"/>
      <c r="O1702" s="894"/>
      <c r="P1702" s="894"/>
    </row>
    <row r="1703" spans="9:16" ht="15.75" thickBot="1"/>
    <row r="1704" spans="9:16">
      <c r="I1704" s="916" t="s">
        <v>968</v>
      </c>
      <c r="J1704" s="912" t="s">
        <v>95</v>
      </c>
      <c r="K1704" s="912" t="s">
        <v>96</v>
      </c>
      <c r="L1704" s="912" t="s">
        <v>3</v>
      </c>
      <c r="M1704" s="912" t="s">
        <v>97</v>
      </c>
      <c r="N1704" s="912" t="s">
        <v>98</v>
      </c>
      <c r="O1704" s="914" t="s">
        <v>99</v>
      </c>
      <c r="P1704" s="915"/>
    </row>
    <row r="1705" spans="9:16" ht="15.75" thickBot="1">
      <c r="I1705" s="917"/>
      <c r="J1705" s="913"/>
      <c r="K1705" s="913"/>
      <c r="L1705" s="913"/>
      <c r="M1705" s="913"/>
      <c r="N1705" s="913"/>
      <c r="O1705" s="240" t="s">
        <v>100</v>
      </c>
      <c r="P1705" s="182" t="s">
        <v>101</v>
      </c>
    </row>
    <row r="1706" spans="9:16" ht="12" customHeight="1">
      <c r="I1706" s="873" t="s">
        <v>545</v>
      </c>
      <c r="J1706" s="875">
        <v>42520</v>
      </c>
      <c r="K1706" s="910" t="s">
        <v>695</v>
      </c>
      <c r="L1706" s="879" t="s">
        <v>556</v>
      </c>
      <c r="M1706" s="881" t="s">
        <v>148</v>
      </c>
      <c r="N1706" s="883"/>
      <c r="O1706" s="55">
        <v>719</v>
      </c>
      <c r="P1706" s="78"/>
    </row>
    <row r="1707" spans="9:16" ht="12.75" customHeight="1" thickBot="1">
      <c r="I1707" s="874"/>
      <c r="J1707" s="876"/>
      <c r="K1707" s="911"/>
      <c r="L1707" s="880"/>
      <c r="M1707" s="882"/>
      <c r="N1707" s="884"/>
      <c r="O1707" s="56">
        <v>723</v>
      </c>
      <c r="P1707" s="79">
        <f>+N1706-P1706</f>
        <v>0</v>
      </c>
    </row>
    <row r="1708" spans="9:16" ht="12.75" customHeight="1">
      <c r="I1708" s="873" t="s">
        <v>547</v>
      </c>
      <c r="J1708" s="875">
        <v>42520</v>
      </c>
      <c r="K1708" s="910" t="s">
        <v>695</v>
      </c>
      <c r="L1708" s="879" t="s">
        <v>556</v>
      </c>
      <c r="M1708" s="881" t="s">
        <v>115</v>
      </c>
      <c r="N1708" s="883"/>
      <c r="O1708" s="55">
        <v>719</v>
      </c>
      <c r="P1708" s="78"/>
    </row>
    <row r="1709" spans="9:16" ht="13.5" customHeight="1" thickBot="1">
      <c r="I1709" s="874"/>
      <c r="J1709" s="876"/>
      <c r="K1709" s="911"/>
      <c r="L1709" s="880"/>
      <c r="M1709" s="882"/>
      <c r="N1709" s="884"/>
      <c r="O1709" s="56">
        <v>723</v>
      </c>
      <c r="P1709" s="79">
        <f>+N1708-P1708</f>
        <v>0</v>
      </c>
    </row>
    <row r="1710" spans="9:16" ht="11.25" customHeight="1">
      <c r="I1710" s="873" t="s">
        <v>548</v>
      </c>
      <c r="J1710" s="875">
        <v>42520</v>
      </c>
      <c r="K1710" s="877" t="s">
        <v>701</v>
      </c>
      <c r="L1710" s="879" t="s">
        <v>556</v>
      </c>
      <c r="M1710" s="881" t="s">
        <v>148</v>
      </c>
      <c r="N1710" s="883"/>
      <c r="O1710" s="55">
        <v>719</v>
      </c>
      <c r="P1710" s="78"/>
    </row>
    <row r="1711" spans="9:16" ht="13.5" customHeight="1" thickBot="1">
      <c r="I1711" s="874"/>
      <c r="J1711" s="876"/>
      <c r="K1711" s="878"/>
      <c r="L1711" s="880"/>
      <c r="M1711" s="882"/>
      <c r="N1711" s="884"/>
      <c r="O1711" s="56">
        <v>723</v>
      </c>
      <c r="P1711" s="79">
        <f>+N1710-P1710</f>
        <v>0</v>
      </c>
    </row>
    <row r="1712" spans="9:16" ht="12.75" customHeight="1">
      <c r="I1712" s="873" t="s">
        <v>549</v>
      </c>
      <c r="J1712" s="875">
        <v>42520</v>
      </c>
      <c r="K1712" s="877" t="s">
        <v>673</v>
      </c>
      <c r="L1712" s="879" t="s">
        <v>556</v>
      </c>
      <c r="M1712" s="881" t="s">
        <v>148</v>
      </c>
      <c r="N1712" s="883"/>
      <c r="O1712" s="55">
        <v>719</v>
      </c>
      <c r="P1712" s="78"/>
    </row>
    <row r="1713" spans="9:19" ht="14.25" customHeight="1" thickBot="1">
      <c r="I1713" s="874"/>
      <c r="J1713" s="876"/>
      <c r="K1713" s="878"/>
      <c r="L1713" s="880"/>
      <c r="M1713" s="882"/>
      <c r="N1713" s="884"/>
      <c r="O1713" s="56">
        <v>723</v>
      </c>
      <c r="P1713" s="79">
        <f>+N1712-P1712</f>
        <v>0</v>
      </c>
    </row>
    <row r="1714" spans="9:19" ht="12" customHeight="1">
      <c r="I1714" s="873" t="s">
        <v>550</v>
      </c>
      <c r="J1714" s="875">
        <v>42520</v>
      </c>
      <c r="K1714" s="877" t="s">
        <v>729</v>
      </c>
      <c r="L1714" s="879" t="s">
        <v>556</v>
      </c>
      <c r="M1714" s="881" t="s">
        <v>148</v>
      </c>
      <c r="N1714" s="883"/>
      <c r="O1714" s="55">
        <v>719</v>
      </c>
      <c r="P1714" s="78"/>
    </row>
    <row r="1715" spans="9:19" ht="12.75" customHeight="1" thickBot="1">
      <c r="I1715" s="874"/>
      <c r="J1715" s="876"/>
      <c r="K1715" s="878"/>
      <c r="L1715" s="880"/>
      <c r="M1715" s="882"/>
      <c r="N1715" s="884"/>
      <c r="O1715" s="56">
        <v>723</v>
      </c>
      <c r="P1715" s="79">
        <f>+N1714-P1714</f>
        <v>0</v>
      </c>
    </row>
    <row r="1716" spans="9:19" ht="12.75" customHeight="1">
      <c r="I1716" s="873" t="s">
        <v>551</v>
      </c>
      <c r="J1716" s="875">
        <v>42520</v>
      </c>
      <c r="K1716" s="877" t="s">
        <v>694</v>
      </c>
      <c r="L1716" s="879" t="s">
        <v>556</v>
      </c>
      <c r="M1716" s="881" t="s">
        <v>148</v>
      </c>
      <c r="N1716" s="883"/>
      <c r="O1716" s="55">
        <v>719</v>
      </c>
      <c r="P1716" s="78"/>
    </row>
    <row r="1717" spans="9:19" ht="13.5" customHeight="1" thickBot="1">
      <c r="I1717" s="874"/>
      <c r="J1717" s="876"/>
      <c r="K1717" s="878"/>
      <c r="L1717" s="880"/>
      <c r="M1717" s="882"/>
      <c r="N1717" s="884"/>
      <c r="O1717" s="56">
        <v>723</v>
      </c>
      <c r="P1717" s="79">
        <f>+N1716-P1716</f>
        <v>0</v>
      </c>
    </row>
    <row r="1718" spans="9:19" ht="16.5" thickBot="1">
      <c r="I1718" s="888" t="s">
        <v>102</v>
      </c>
      <c r="J1718" s="889"/>
      <c r="K1718" s="889"/>
      <c r="L1718" s="889"/>
      <c r="M1718" s="890"/>
      <c r="N1718" s="81">
        <f>SUM(N1706:N1717)</f>
        <v>0</v>
      </c>
    </row>
    <row r="1719" spans="9:19" ht="16.5" thickBot="1">
      <c r="I1719" s="885" t="s">
        <v>103</v>
      </c>
      <c r="J1719" s="886"/>
      <c r="K1719" s="886"/>
      <c r="L1719" s="886"/>
      <c r="M1719" s="887"/>
      <c r="N1719" s="69">
        <f>+N1681</f>
        <v>510272524</v>
      </c>
      <c r="O1719" s="241" t="s">
        <v>561</v>
      </c>
      <c r="P1719" s="242"/>
    </row>
    <row r="1720" spans="9:19" ht="16.5" thickBot="1">
      <c r="I1720" s="888" t="s">
        <v>104</v>
      </c>
      <c r="J1720" s="889"/>
      <c r="K1720" s="889"/>
      <c r="L1720" s="889"/>
      <c r="M1720" s="890"/>
      <c r="N1720" s="183">
        <f>SUM(N1718:N1719)</f>
        <v>510272524</v>
      </c>
      <c r="S1720" s="51">
        <f>1945*1.05^4.5</f>
        <v>2422.5427600461721</v>
      </c>
    </row>
    <row r="1721" spans="9:19" ht="13.5" customHeight="1">
      <c r="I1721" s="61"/>
      <c r="J1721" s="61"/>
      <c r="K1721" s="61"/>
      <c r="L1721" s="61"/>
      <c r="M1721" s="61"/>
    </row>
    <row r="1722" spans="9:19">
      <c r="I1722" s="51" t="s">
        <v>966</v>
      </c>
    </row>
    <row r="1723" spans="9:19" ht="12.75" customHeight="1">
      <c r="N1723" s="139"/>
    </row>
    <row r="1724" spans="9:19">
      <c r="I1724" s="50" t="s">
        <v>105</v>
      </c>
      <c r="L1724" s="146"/>
      <c r="N1724" s="139"/>
    </row>
    <row r="1725" spans="9:19" ht="13.5" customHeight="1" thickBot="1"/>
    <row r="1726" spans="9:19" ht="15.75" thickBot="1">
      <c r="I1726" s="891" t="s">
        <v>106</v>
      </c>
      <c r="J1726" s="892"/>
      <c r="K1726" s="892"/>
      <c r="L1726" s="893"/>
      <c r="N1726" s="50" t="s">
        <v>288</v>
      </c>
    </row>
    <row r="1727" spans="9:19" ht="30.75" thickBot="1">
      <c r="I1727" s="57" t="s">
        <v>100</v>
      </c>
      <c r="J1727" s="58" t="s">
        <v>108</v>
      </c>
      <c r="K1727" s="287" t="s">
        <v>109</v>
      </c>
      <c r="L1727" s="60" t="s">
        <v>110</v>
      </c>
    </row>
    <row r="1728" spans="9:19">
      <c r="I1728" s="71">
        <v>719</v>
      </c>
      <c r="J1728" s="73">
        <f>+P1706+P1708+P1712+P1714+P1716</f>
        <v>0</v>
      </c>
      <c r="K1728" s="74">
        <f>+L1689</f>
        <v>41030000</v>
      </c>
      <c r="L1728" s="195">
        <f>+J1728+K1728</f>
        <v>41030000</v>
      </c>
    </row>
    <row r="1729" spans="9:16">
      <c r="I1729" s="72">
        <v>721</v>
      </c>
      <c r="J1729" s="80">
        <v>0</v>
      </c>
      <c r="K1729" s="74">
        <f>+L1690</f>
        <v>95414981</v>
      </c>
      <c r="L1729" s="195">
        <f>+J1729+K1729</f>
        <v>95414981</v>
      </c>
    </row>
    <row r="1730" spans="9:16">
      <c r="I1730" s="72">
        <v>722</v>
      </c>
      <c r="J1730" s="80"/>
      <c r="K1730" s="74">
        <f>+L1691</f>
        <v>56963334</v>
      </c>
      <c r="L1730" s="195">
        <f>+J1730+K1730</f>
        <v>56963334</v>
      </c>
    </row>
    <row r="1731" spans="9:16" ht="15.75">
      <c r="I1731" s="72">
        <v>723</v>
      </c>
      <c r="J1731" s="80">
        <f>+P1717+P1715+P1713+P1709+P1707+P1711</f>
        <v>0</v>
      </c>
      <c r="K1731" s="74">
        <f>+L1692</f>
        <v>317093089</v>
      </c>
      <c r="L1731" s="195">
        <f>+J1731+K1731</f>
        <v>317093089</v>
      </c>
      <c r="N1731" s="193" t="s">
        <v>289</v>
      </c>
      <c r="O1731" s="175"/>
    </row>
    <row r="1732" spans="9:16" ht="16.5" thickBot="1">
      <c r="I1732" s="164" t="s">
        <v>181</v>
      </c>
      <c r="J1732" s="165"/>
      <c r="K1732" s="74">
        <f>+L1693</f>
        <v>-298880</v>
      </c>
      <c r="L1732" s="196">
        <f>+J1732+K1732</f>
        <v>-298880</v>
      </c>
      <c r="N1732" s="52"/>
    </row>
    <row r="1733" spans="9:16" ht="16.5" thickBot="1">
      <c r="I1733" s="169"/>
      <c r="J1733" s="197">
        <f>SUM(J1728:J1732)</f>
        <v>0</v>
      </c>
      <c r="K1733" s="197">
        <f>SUM(K1728:K1732)</f>
        <v>510202524</v>
      </c>
      <c r="L1733" s="198">
        <f>SUM(L1728:L1732)</f>
        <v>510202524</v>
      </c>
    </row>
    <row r="1734" spans="9:16" ht="16.5">
      <c r="I1734" s="49" t="s">
        <v>88</v>
      </c>
      <c r="J1734" s="50"/>
    </row>
    <row r="1735" spans="9:16">
      <c r="I1735" s="51" t="s">
        <v>89</v>
      </c>
    </row>
    <row r="1736" spans="9:16">
      <c r="I1736" s="51" t="s">
        <v>90</v>
      </c>
    </row>
    <row r="1737" spans="9:16">
      <c r="I1737" s="51" t="s">
        <v>91</v>
      </c>
    </row>
    <row r="1738" spans="9:16" ht="9" customHeight="1">
      <c r="I1738" s="50"/>
      <c r="J1738" s="50"/>
    </row>
    <row r="1739" spans="9:16" ht="15.75">
      <c r="I1739" s="260" t="s">
        <v>964</v>
      </c>
      <c r="O1739" s="52"/>
    </row>
    <row r="1740" spans="9:16" ht="15.75">
      <c r="I1740" s="53" t="s">
        <v>535</v>
      </c>
      <c r="O1740" s="53"/>
    </row>
    <row r="1741" spans="9:16" ht="16.5">
      <c r="I1741" s="894" t="s">
        <v>909</v>
      </c>
      <c r="J1741" s="894"/>
      <c r="K1741" s="894"/>
      <c r="L1741" s="894"/>
      <c r="M1741" s="894"/>
      <c r="N1741" s="894"/>
      <c r="O1741" s="894"/>
      <c r="P1741" s="894"/>
    </row>
    <row r="1742" spans="9:16" ht="15.75" thickBot="1"/>
    <row r="1743" spans="9:16">
      <c r="I1743" s="895" t="s">
        <v>94</v>
      </c>
      <c r="J1743" s="897" t="s">
        <v>95</v>
      </c>
      <c r="K1743" s="897" t="s">
        <v>96</v>
      </c>
      <c r="L1743" s="897" t="s">
        <v>3</v>
      </c>
      <c r="M1743" s="897" t="s">
        <v>97</v>
      </c>
      <c r="N1743" s="897" t="s">
        <v>98</v>
      </c>
      <c r="O1743" s="897" t="s">
        <v>99</v>
      </c>
      <c r="P1743" s="899"/>
    </row>
    <row r="1744" spans="9:16" ht="15.75" thickBot="1">
      <c r="I1744" s="896"/>
      <c r="J1744" s="898"/>
      <c r="K1744" s="898"/>
      <c r="L1744" s="898"/>
      <c r="M1744" s="898"/>
      <c r="N1744" s="898"/>
      <c r="O1744" s="240" t="s">
        <v>100</v>
      </c>
      <c r="P1744" s="182" t="s">
        <v>101</v>
      </c>
    </row>
    <row r="1745" spans="9:16">
      <c r="I1745" s="881">
        <v>207</v>
      </c>
      <c r="J1745" s="875">
        <v>42521</v>
      </c>
      <c r="K1745" s="877" t="s">
        <v>267</v>
      </c>
      <c r="L1745" s="879" t="s">
        <v>971</v>
      </c>
      <c r="M1745" s="881" t="s">
        <v>148</v>
      </c>
      <c r="N1745" s="883">
        <v>28000</v>
      </c>
      <c r="O1745" s="55">
        <v>719</v>
      </c>
      <c r="P1745" s="78">
        <v>20000</v>
      </c>
    </row>
    <row r="1746" spans="9:16" ht="15.75" thickBot="1">
      <c r="I1746" s="882"/>
      <c r="J1746" s="876"/>
      <c r="K1746" s="878"/>
      <c r="L1746" s="880"/>
      <c r="M1746" s="882"/>
      <c r="N1746" s="884"/>
      <c r="O1746" s="56">
        <v>721</v>
      </c>
      <c r="P1746" s="79">
        <f>+N1745-P1745</f>
        <v>8000</v>
      </c>
    </row>
    <row r="1747" spans="9:16">
      <c r="I1747" s="881">
        <v>208</v>
      </c>
      <c r="J1747" s="875">
        <v>42521</v>
      </c>
      <c r="K1747" s="877" t="s">
        <v>28</v>
      </c>
      <c r="L1747" s="879" t="s">
        <v>970</v>
      </c>
      <c r="M1747" s="881" t="s">
        <v>148</v>
      </c>
      <c r="N1747" s="883">
        <v>294000</v>
      </c>
      <c r="O1747" s="55">
        <v>719</v>
      </c>
      <c r="P1747" s="78">
        <v>210000</v>
      </c>
    </row>
    <row r="1748" spans="9:16" ht="15.75" thickBot="1">
      <c r="I1748" s="882"/>
      <c r="J1748" s="876"/>
      <c r="K1748" s="878"/>
      <c r="L1748" s="880"/>
      <c r="M1748" s="882"/>
      <c r="N1748" s="884"/>
      <c r="O1748" s="56">
        <v>721</v>
      </c>
      <c r="P1748" s="79">
        <f>+N1747-P1747</f>
        <v>84000</v>
      </c>
    </row>
    <row r="1749" spans="9:16">
      <c r="I1749" s="881">
        <v>209</v>
      </c>
      <c r="J1749" s="875">
        <v>42521</v>
      </c>
      <c r="K1749" s="877" t="s">
        <v>111</v>
      </c>
      <c r="L1749" s="879" t="s">
        <v>951</v>
      </c>
      <c r="M1749" s="881" t="s">
        <v>148</v>
      </c>
      <c r="N1749" s="883">
        <v>56000</v>
      </c>
      <c r="O1749" s="55">
        <v>719</v>
      </c>
      <c r="P1749" s="78">
        <v>40000</v>
      </c>
    </row>
    <row r="1750" spans="9:16" ht="15.75" thickBot="1">
      <c r="I1750" s="882"/>
      <c r="J1750" s="876"/>
      <c r="K1750" s="878"/>
      <c r="L1750" s="880"/>
      <c r="M1750" s="882"/>
      <c r="N1750" s="884"/>
      <c r="O1750" s="56">
        <v>721</v>
      </c>
      <c r="P1750" s="79">
        <f>+N1749-P1749</f>
        <v>16000</v>
      </c>
    </row>
    <row r="1751" spans="9:16">
      <c r="I1751" s="881">
        <v>210</v>
      </c>
      <c r="J1751" s="875">
        <v>42521</v>
      </c>
      <c r="K1751" s="877" t="s">
        <v>272</v>
      </c>
      <c r="L1751" s="879" t="s">
        <v>970</v>
      </c>
      <c r="M1751" s="881" t="s">
        <v>148</v>
      </c>
      <c r="N1751" s="883">
        <v>672000</v>
      </c>
      <c r="O1751" s="55">
        <v>719</v>
      </c>
      <c r="P1751" s="78">
        <v>480000</v>
      </c>
    </row>
    <row r="1752" spans="9:16" ht="15.75" thickBot="1">
      <c r="I1752" s="882"/>
      <c r="J1752" s="876"/>
      <c r="K1752" s="878"/>
      <c r="L1752" s="880"/>
      <c r="M1752" s="882"/>
      <c r="N1752" s="884"/>
      <c r="O1752" s="56">
        <v>721</v>
      </c>
      <c r="P1752" s="79">
        <f>+N1751-P1751</f>
        <v>192000</v>
      </c>
    </row>
    <row r="1753" spans="9:16" ht="12.75" customHeight="1">
      <c r="I1753" s="881"/>
      <c r="J1753" s="875"/>
      <c r="K1753" s="877"/>
      <c r="L1753" s="881"/>
      <c r="M1753" s="881"/>
      <c r="N1753" s="883"/>
      <c r="O1753" s="55">
        <v>719</v>
      </c>
      <c r="P1753" s="78"/>
    </row>
    <row r="1754" spans="9:16" ht="13.5" customHeight="1" thickBot="1">
      <c r="I1754" s="882"/>
      <c r="J1754" s="876"/>
      <c r="K1754" s="878"/>
      <c r="L1754" s="882"/>
      <c r="M1754" s="882"/>
      <c r="N1754" s="884"/>
      <c r="O1754" s="56">
        <v>721</v>
      </c>
      <c r="P1754" s="79">
        <f>+N1753-P1753</f>
        <v>0</v>
      </c>
    </row>
    <row r="1755" spans="9:16" ht="16.5" thickBot="1">
      <c r="I1755" s="901" t="s">
        <v>102</v>
      </c>
      <c r="J1755" s="902"/>
      <c r="K1755" s="902"/>
      <c r="L1755" s="902"/>
      <c r="M1755" s="903"/>
      <c r="N1755" s="81">
        <f>SUM(N1745:N1754)</f>
        <v>1050000</v>
      </c>
    </row>
    <row r="1756" spans="9:16" ht="16.5" thickBot="1">
      <c r="I1756" s="885" t="s">
        <v>103</v>
      </c>
      <c r="J1756" s="886"/>
      <c r="K1756" s="886"/>
      <c r="L1756" s="886"/>
      <c r="M1756" s="887"/>
      <c r="N1756" s="69">
        <f>+N1720</f>
        <v>510272524</v>
      </c>
      <c r="O1756" s="241" t="s">
        <v>561</v>
      </c>
      <c r="P1756" s="242">
        <f>22+651+13+1233</f>
        <v>1919</v>
      </c>
    </row>
    <row r="1757" spans="9:16" ht="16.5" thickBot="1">
      <c r="I1757" s="888" t="s">
        <v>104</v>
      </c>
      <c r="J1757" s="889"/>
      <c r="K1757" s="889"/>
      <c r="L1757" s="889"/>
      <c r="M1757" s="890"/>
      <c r="N1757" s="183">
        <f>SUM(N1755:N1756)</f>
        <v>511322524</v>
      </c>
    </row>
    <row r="1758" spans="9:16">
      <c r="I1758" s="61"/>
      <c r="J1758" s="61"/>
      <c r="K1758" s="61"/>
      <c r="L1758" s="61"/>
      <c r="M1758" s="61"/>
    </row>
    <row r="1759" spans="9:16">
      <c r="I1759" s="51" t="s">
        <v>972</v>
      </c>
    </row>
    <row r="1760" spans="9:16" ht="12" customHeight="1">
      <c r="N1760" s="139"/>
    </row>
    <row r="1761" spans="9:15">
      <c r="I1761" s="50" t="s">
        <v>105</v>
      </c>
      <c r="L1761" s="146"/>
      <c r="N1761" s="139"/>
    </row>
    <row r="1762" spans="9:15" ht="15.75" thickBot="1"/>
    <row r="1763" spans="9:15" ht="15.75" thickBot="1">
      <c r="I1763" s="891" t="s">
        <v>106</v>
      </c>
      <c r="J1763" s="892"/>
      <c r="K1763" s="892"/>
      <c r="L1763" s="893"/>
      <c r="N1763" s="50" t="s">
        <v>288</v>
      </c>
    </row>
    <row r="1764" spans="9:15" ht="30.75" thickBot="1">
      <c r="I1764" s="57" t="s">
        <v>100</v>
      </c>
      <c r="J1764" s="58" t="s">
        <v>108</v>
      </c>
      <c r="K1764" s="287" t="s">
        <v>109</v>
      </c>
      <c r="L1764" s="60" t="s">
        <v>110</v>
      </c>
    </row>
    <row r="1765" spans="9:15">
      <c r="I1765" s="71">
        <v>719</v>
      </c>
      <c r="J1765" s="73">
        <f>+P1745+P1747+P1749+P1751+P1753</f>
        <v>750000</v>
      </c>
      <c r="K1765" s="74">
        <f>+L1728</f>
        <v>41030000</v>
      </c>
      <c r="L1765" s="195">
        <f>+J1765+K1765</f>
        <v>41780000</v>
      </c>
    </row>
    <row r="1766" spans="9:15">
      <c r="I1766" s="72">
        <v>721</v>
      </c>
      <c r="J1766" s="80">
        <f>+P1746+P1748+P1750+P1752</f>
        <v>300000</v>
      </c>
      <c r="K1766" s="74">
        <f>+L1729</f>
        <v>95414981</v>
      </c>
      <c r="L1766" s="195">
        <f>+J1766+K1766</f>
        <v>95714981</v>
      </c>
    </row>
    <row r="1767" spans="9:15">
      <c r="I1767" s="72">
        <v>722</v>
      </c>
      <c r="J1767" s="80"/>
      <c r="K1767" s="74">
        <f>+L1730</f>
        <v>56963334</v>
      </c>
      <c r="L1767" s="195">
        <f>+J1767+K1767</f>
        <v>56963334</v>
      </c>
    </row>
    <row r="1768" spans="9:15" ht="15.75">
      <c r="I1768" s="72">
        <v>723</v>
      </c>
      <c r="J1768" s="80"/>
      <c r="K1768" s="74">
        <f>+L1731</f>
        <v>317093089</v>
      </c>
      <c r="L1768" s="195">
        <f>+J1768+K1768</f>
        <v>317093089</v>
      </c>
      <c r="N1768" s="193" t="s">
        <v>289</v>
      </c>
      <c r="O1768" s="175"/>
    </row>
    <row r="1769" spans="9:15" ht="16.5" thickBot="1">
      <c r="I1769" s="164" t="s">
        <v>181</v>
      </c>
      <c r="J1769" s="165"/>
      <c r="K1769" s="74">
        <f>+L1732</f>
        <v>-298880</v>
      </c>
      <c r="L1769" s="196">
        <f>+J1769+K1769</f>
        <v>-298880</v>
      </c>
      <c r="N1769" s="52"/>
    </row>
    <row r="1770" spans="9:15" ht="16.5" thickBot="1">
      <c r="I1770" s="169"/>
      <c r="J1770" s="197">
        <f>SUM(J1765:J1769)</f>
        <v>1050000</v>
      </c>
      <c r="K1770" s="197">
        <f>SUM(K1765:K1769)</f>
        <v>510202524</v>
      </c>
      <c r="L1770" s="198">
        <f>SUM(L1765:L1769)</f>
        <v>511252524</v>
      </c>
    </row>
    <row r="1771" spans="9:15" ht="16.5">
      <c r="I1771" s="49" t="s">
        <v>88</v>
      </c>
      <c r="J1771" s="50"/>
    </row>
    <row r="1772" spans="9:15">
      <c r="I1772" s="51" t="s">
        <v>89</v>
      </c>
    </row>
    <row r="1773" spans="9:15">
      <c r="I1773" s="51" t="s">
        <v>90</v>
      </c>
    </row>
    <row r="1774" spans="9:15">
      <c r="I1774" s="51" t="s">
        <v>91</v>
      </c>
    </row>
    <row r="1775" spans="9:15" ht="12" customHeight="1">
      <c r="I1775" s="50"/>
      <c r="J1775" s="50"/>
    </row>
    <row r="1776" spans="9:15" ht="15.75">
      <c r="I1776" s="260" t="s">
        <v>969</v>
      </c>
      <c r="O1776" s="52"/>
    </row>
    <row r="1777" spans="9:16" ht="15.75">
      <c r="I1777" s="53" t="s">
        <v>535</v>
      </c>
      <c r="O1777" s="53"/>
    </row>
    <row r="1778" spans="9:16" ht="16.5">
      <c r="I1778" s="894" t="s">
        <v>979</v>
      </c>
      <c r="J1778" s="894"/>
      <c r="K1778" s="894"/>
      <c r="L1778" s="894"/>
      <c r="M1778" s="894"/>
      <c r="N1778" s="894"/>
      <c r="O1778" s="894"/>
      <c r="P1778" s="894"/>
    </row>
    <row r="1779" spans="9:16" ht="15.75" thickBot="1"/>
    <row r="1780" spans="9:16">
      <c r="I1780" s="895" t="s">
        <v>94</v>
      </c>
      <c r="J1780" s="897" t="s">
        <v>95</v>
      </c>
      <c r="K1780" s="897" t="s">
        <v>96</v>
      </c>
      <c r="L1780" s="897" t="s">
        <v>3</v>
      </c>
      <c r="M1780" s="897" t="s">
        <v>97</v>
      </c>
      <c r="N1780" s="897" t="s">
        <v>98</v>
      </c>
      <c r="O1780" s="897" t="s">
        <v>99</v>
      </c>
      <c r="P1780" s="899"/>
    </row>
    <row r="1781" spans="9:16" ht="15.75" thickBot="1">
      <c r="I1781" s="896"/>
      <c r="J1781" s="898"/>
      <c r="K1781" s="898"/>
      <c r="L1781" s="898"/>
      <c r="M1781" s="898"/>
      <c r="N1781" s="898"/>
      <c r="O1781" s="240" t="s">
        <v>100</v>
      </c>
      <c r="P1781" s="182" t="s">
        <v>101</v>
      </c>
    </row>
    <row r="1782" spans="9:16">
      <c r="I1782" s="881">
        <v>211</v>
      </c>
      <c r="J1782" s="875">
        <v>42521</v>
      </c>
      <c r="K1782" s="910" t="s">
        <v>974</v>
      </c>
      <c r="L1782" s="879" t="s">
        <v>556</v>
      </c>
      <c r="M1782" s="881" t="s">
        <v>145</v>
      </c>
      <c r="N1782" s="883">
        <v>2941578</v>
      </c>
      <c r="O1782" s="55">
        <v>719</v>
      </c>
      <c r="P1782" s="78">
        <v>0</v>
      </c>
    </row>
    <row r="1783" spans="9:16" ht="15.75" thickBot="1">
      <c r="I1783" s="882"/>
      <c r="J1783" s="876"/>
      <c r="K1783" s="911"/>
      <c r="L1783" s="880"/>
      <c r="M1783" s="882"/>
      <c r="N1783" s="884"/>
      <c r="O1783" s="56">
        <v>721</v>
      </c>
      <c r="P1783" s="79">
        <f>+N1782-P1782</f>
        <v>2941578</v>
      </c>
    </row>
    <row r="1784" spans="9:16">
      <c r="I1784" s="881"/>
      <c r="J1784" s="875"/>
      <c r="K1784" s="910"/>
      <c r="L1784" s="879"/>
      <c r="M1784" s="881"/>
      <c r="N1784" s="883"/>
      <c r="O1784" s="55">
        <v>719</v>
      </c>
      <c r="P1784" s="78">
        <v>0</v>
      </c>
    </row>
    <row r="1785" spans="9:16" ht="15.75" thickBot="1">
      <c r="I1785" s="882"/>
      <c r="J1785" s="876"/>
      <c r="K1785" s="911"/>
      <c r="L1785" s="880"/>
      <c r="M1785" s="882"/>
      <c r="N1785" s="884"/>
      <c r="O1785" s="56">
        <v>723</v>
      </c>
      <c r="P1785" s="79">
        <f>+N1784-P1784</f>
        <v>0</v>
      </c>
    </row>
    <row r="1786" spans="9:16">
      <c r="I1786" s="881"/>
      <c r="J1786" s="875"/>
      <c r="K1786" s="877"/>
      <c r="L1786" s="879"/>
      <c r="M1786" s="881"/>
      <c r="N1786" s="883"/>
      <c r="O1786" s="55">
        <v>719</v>
      </c>
      <c r="P1786" s="78"/>
    </row>
    <row r="1787" spans="9:16" ht="15.75" thickBot="1">
      <c r="I1787" s="882"/>
      <c r="J1787" s="876"/>
      <c r="K1787" s="878"/>
      <c r="L1787" s="880"/>
      <c r="M1787" s="882"/>
      <c r="N1787" s="884"/>
      <c r="O1787" s="56">
        <v>721</v>
      </c>
      <c r="P1787" s="79">
        <f>+N1786-P1786</f>
        <v>0</v>
      </c>
    </row>
    <row r="1788" spans="9:16" ht="12.75" customHeight="1">
      <c r="I1788" s="881"/>
      <c r="J1788" s="875"/>
      <c r="K1788" s="877"/>
      <c r="L1788" s="879"/>
      <c r="M1788" s="881"/>
      <c r="N1788" s="883"/>
      <c r="O1788" s="55">
        <v>719</v>
      </c>
      <c r="P1788" s="78"/>
    </row>
    <row r="1789" spans="9:16" ht="15.75" thickBot="1">
      <c r="I1789" s="882"/>
      <c r="J1789" s="876"/>
      <c r="K1789" s="878"/>
      <c r="L1789" s="880"/>
      <c r="M1789" s="882"/>
      <c r="N1789" s="884"/>
      <c r="O1789" s="56">
        <v>721</v>
      </c>
      <c r="P1789" s="79">
        <f>+N1788-P1788</f>
        <v>0</v>
      </c>
    </row>
    <row r="1790" spans="9:16">
      <c r="I1790" s="881"/>
      <c r="J1790" s="875"/>
      <c r="K1790" s="877"/>
      <c r="L1790" s="881"/>
      <c r="M1790" s="881"/>
      <c r="N1790" s="883"/>
      <c r="O1790" s="55">
        <v>719</v>
      </c>
      <c r="P1790" s="78"/>
    </row>
    <row r="1791" spans="9:16" ht="14.25" customHeight="1" thickBot="1">
      <c r="I1791" s="882"/>
      <c r="J1791" s="876"/>
      <c r="K1791" s="878"/>
      <c r="L1791" s="882"/>
      <c r="M1791" s="882"/>
      <c r="N1791" s="884"/>
      <c r="O1791" s="56">
        <v>721</v>
      </c>
      <c r="P1791" s="79">
        <f>+N1790-P1790</f>
        <v>0</v>
      </c>
    </row>
    <row r="1792" spans="9:16" ht="16.5" thickBot="1">
      <c r="I1792" s="901" t="s">
        <v>102</v>
      </c>
      <c r="J1792" s="902"/>
      <c r="K1792" s="902"/>
      <c r="L1792" s="902"/>
      <c r="M1792" s="903"/>
      <c r="N1792" s="81">
        <f>SUM(N1782:N1791)</f>
        <v>2941578</v>
      </c>
    </row>
    <row r="1793" spans="9:16" ht="16.5" thickBot="1">
      <c r="I1793" s="885" t="s">
        <v>103</v>
      </c>
      <c r="J1793" s="886"/>
      <c r="K1793" s="886"/>
      <c r="L1793" s="886"/>
      <c r="M1793" s="887"/>
      <c r="N1793" s="69">
        <f>+N1757</f>
        <v>511322524</v>
      </c>
      <c r="O1793" s="241" t="s">
        <v>561</v>
      </c>
      <c r="P1793" s="242"/>
    </row>
    <row r="1794" spans="9:16" ht="16.5" thickBot="1">
      <c r="I1794" s="888" t="s">
        <v>104</v>
      </c>
      <c r="J1794" s="889"/>
      <c r="K1794" s="889"/>
      <c r="L1794" s="889"/>
      <c r="M1794" s="890"/>
      <c r="N1794" s="183">
        <f>SUM(N1792:N1793)</f>
        <v>514264102</v>
      </c>
    </row>
    <row r="1795" spans="9:16">
      <c r="I1795" s="61"/>
      <c r="J1795" s="61"/>
      <c r="K1795" s="61"/>
      <c r="L1795" s="61"/>
      <c r="M1795" s="61"/>
    </row>
    <row r="1796" spans="9:16">
      <c r="I1796" s="51" t="s">
        <v>975</v>
      </c>
    </row>
    <row r="1797" spans="9:16">
      <c r="N1797" s="139"/>
    </row>
    <row r="1798" spans="9:16">
      <c r="I1798" s="50" t="s">
        <v>105</v>
      </c>
      <c r="L1798" s="146"/>
      <c r="N1798" s="139"/>
    </row>
    <row r="1799" spans="9:16" ht="12" customHeight="1" thickBot="1"/>
    <row r="1800" spans="9:16" ht="15.75" thickBot="1">
      <c r="I1800" s="891" t="s">
        <v>106</v>
      </c>
      <c r="J1800" s="892"/>
      <c r="K1800" s="892"/>
      <c r="L1800" s="893"/>
      <c r="N1800" s="50" t="s">
        <v>288</v>
      </c>
    </row>
    <row r="1801" spans="9:16" ht="30.75" thickBot="1">
      <c r="I1801" s="57" t="s">
        <v>100</v>
      </c>
      <c r="J1801" s="58" t="s">
        <v>108</v>
      </c>
      <c r="K1801" s="287" t="s">
        <v>109</v>
      </c>
      <c r="L1801" s="60" t="s">
        <v>110</v>
      </c>
    </row>
    <row r="1802" spans="9:16">
      <c r="I1802" s="71">
        <v>719</v>
      </c>
      <c r="J1802" s="73">
        <f>+P1782+P1784+P1786+P1788+P1790</f>
        <v>0</v>
      </c>
      <c r="K1802" s="74">
        <f>+L1765</f>
        <v>41780000</v>
      </c>
      <c r="L1802" s="195">
        <f>+J1802+K1802</f>
        <v>41780000</v>
      </c>
    </row>
    <row r="1803" spans="9:16">
      <c r="I1803" s="72">
        <v>721</v>
      </c>
      <c r="J1803" s="80">
        <f>+P1783</f>
        <v>2941578</v>
      </c>
      <c r="K1803" s="74">
        <f>+L1766</f>
        <v>95714981</v>
      </c>
      <c r="L1803" s="195">
        <f>+J1803+K1803</f>
        <v>98656559</v>
      </c>
    </row>
    <row r="1804" spans="9:16">
      <c r="I1804" s="72">
        <v>722</v>
      </c>
      <c r="J1804" s="80"/>
      <c r="K1804" s="74">
        <f>+L1767</f>
        <v>56963334</v>
      </c>
      <c r="L1804" s="195">
        <f>+J1804+K1804</f>
        <v>56963334</v>
      </c>
    </row>
    <row r="1805" spans="9:16" ht="15.75">
      <c r="I1805" s="72">
        <v>723</v>
      </c>
      <c r="J1805" s="80"/>
      <c r="K1805" s="74">
        <f>+L1768</f>
        <v>317093089</v>
      </c>
      <c r="L1805" s="195">
        <f>+J1805+K1805</f>
        <v>317093089</v>
      </c>
      <c r="N1805" s="193" t="s">
        <v>289</v>
      </c>
      <c r="O1805" s="175"/>
    </row>
    <row r="1806" spans="9:16" ht="16.5" thickBot="1">
      <c r="I1806" s="164" t="s">
        <v>181</v>
      </c>
      <c r="J1806" s="165"/>
      <c r="K1806" s="74">
        <f>+L1769</f>
        <v>-298880</v>
      </c>
      <c r="L1806" s="196">
        <f>+J1806+K1806</f>
        <v>-298880</v>
      </c>
      <c r="N1806" s="52"/>
    </row>
    <row r="1807" spans="9:16" ht="16.5" thickBot="1">
      <c r="I1807" s="169"/>
      <c r="J1807" s="197">
        <f>SUM(J1802:J1806)</f>
        <v>2941578</v>
      </c>
      <c r="K1807" s="197">
        <f>SUM(K1802:K1806)</f>
        <v>511252524</v>
      </c>
      <c r="L1807" s="198">
        <f>SUM(L1802:L1806)</f>
        <v>514194102</v>
      </c>
    </row>
    <row r="1808" spans="9:16" ht="16.5">
      <c r="I1808" s="49" t="s">
        <v>88</v>
      </c>
      <c r="J1808" s="50"/>
    </row>
    <row r="1809" spans="9:16">
      <c r="I1809" s="51" t="s">
        <v>89</v>
      </c>
    </row>
    <row r="1810" spans="9:16">
      <c r="I1810" s="51" t="s">
        <v>90</v>
      </c>
    </row>
    <row r="1811" spans="9:16">
      <c r="I1811" s="51" t="s">
        <v>91</v>
      </c>
    </row>
    <row r="1812" spans="9:16" ht="12" customHeight="1">
      <c r="I1812" s="50"/>
      <c r="J1812" s="50"/>
    </row>
    <row r="1813" spans="9:16" ht="15.75">
      <c r="I1813" s="260" t="s">
        <v>973</v>
      </c>
      <c r="O1813" s="52"/>
    </row>
    <row r="1814" spans="9:16" ht="15.75">
      <c r="I1814" s="53" t="s">
        <v>535</v>
      </c>
      <c r="O1814" s="53"/>
    </row>
    <row r="1815" spans="9:16" ht="16.5">
      <c r="I1815" s="894" t="s">
        <v>967</v>
      </c>
      <c r="J1815" s="894"/>
      <c r="K1815" s="894"/>
      <c r="L1815" s="894"/>
      <c r="M1815" s="894"/>
      <c r="N1815" s="894"/>
      <c r="O1815" s="894"/>
      <c r="P1815" s="894"/>
    </row>
    <row r="1816" spans="9:16" ht="15.75" thickBot="1"/>
    <row r="1817" spans="9:16">
      <c r="I1817" s="895" t="s">
        <v>968</v>
      </c>
      <c r="J1817" s="897" t="s">
        <v>95</v>
      </c>
      <c r="K1817" s="897" t="s">
        <v>96</v>
      </c>
      <c r="L1817" s="897" t="s">
        <v>3</v>
      </c>
      <c r="M1817" s="897" t="s">
        <v>97</v>
      </c>
      <c r="N1817" s="897" t="s">
        <v>98</v>
      </c>
      <c r="O1817" s="897" t="s">
        <v>99</v>
      </c>
      <c r="P1817" s="899"/>
    </row>
    <row r="1818" spans="9:16" ht="15.75" thickBot="1">
      <c r="I1818" s="896"/>
      <c r="J1818" s="898"/>
      <c r="K1818" s="898"/>
      <c r="L1818" s="898"/>
      <c r="M1818" s="898"/>
      <c r="N1818" s="898"/>
      <c r="O1818" s="240" t="s">
        <v>100</v>
      </c>
      <c r="P1818" s="182" t="s">
        <v>101</v>
      </c>
    </row>
    <row r="1819" spans="9:16">
      <c r="I1819" s="873" t="s">
        <v>545</v>
      </c>
      <c r="J1819" s="875">
        <v>42520</v>
      </c>
      <c r="K1819" s="910" t="s">
        <v>695</v>
      </c>
      <c r="L1819" s="879" t="s">
        <v>556</v>
      </c>
      <c r="M1819" s="881" t="s">
        <v>148</v>
      </c>
      <c r="N1819" s="883">
        <v>-241240</v>
      </c>
      <c r="O1819" s="55">
        <v>719</v>
      </c>
      <c r="P1819" s="78"/>
    </row>
    <row r="1820" spans="9:16" ht="15.75" thickBot="1">
      <c r="I1820" s="874"/>
      <c r="J1820" s="876"/>
      <c r="K1820" s="911"/>
      <c r="L1820" s="880"/>
      <c r="M1820" s="882"/>
      <c r="N1820" s="884"/>
      <c r="O1820" s="56">
        <v>723</v>
      </c>
      <c r="P1820" s="79">
        <f>+N1819-P1819</f>
        <v>-241240</v>
      </c>
    </row>
    <row r="1821" spans="9:16">
      <c r="I1821" s="873" t="s">
        <v>547</v>
      </c>
      <c r="J1821" s="875">
        <v>42520</v>
      </c>
      <c r="K1821" s="910" t="s">
        <v>695</v>
      </c>
      <c r="L1821" s="879" t="s">
        <v>556</v>
      </c>
      <c r="M1821" s="881" t="s">
        <v>115</v>
      </c>
      <c r="N1821" s="883">
        <v>-525000</v>
      </c>
      <c r="O1821" s="55">
        <v>719</v>
      </c>
      <c r="P1821" s="78"/>
    </row>
    <row r="1822" spans="9:16" ht="15.75" thickBot="1">
      <c r="I1822" s="874"/>
      <c r="J1822" s="876"/>
      <c r="K1822" s="911"/>
      <c r="L1822" s="880"/>
      <c r="M1822" s="882"/>
      <c r="N1822" s="884"/>
      <c r="O1822" s="56">
        <v>723</v>
      </c>
      <c r="P1822" s="79">
        <f>+N1821-P1821</f>
        <v>-525000</v>
      </c>
    </row>
    <row r="1823" spans="9:16" ht="12.75" customHeight="1">
      <c r="I1823" s="873"/>
      <c r="J1823" s="875"/>
      <c r="K1823" s="877"/>
      <c r="L1823" s="879"/>
      <c r="M1823" s="881"/>
      <c r="N1823" s="883"/>
      <c r="O1823" s="55">
        <v>719</v>
      </c>
      <c r="P1823" s="78"/>
    </row>
    <row r="1824" spans="9:16" ht="14.25" customHeight="1" thickBot="1">
      <c r="I1824" s="874"/>
      <c r="J1824" s="876"/>
      <c r="K1824" s="878"/>
      <c r="L1824" s="880"/>
      <c r="M1824" s="882"/>
      <c r="N1824" s="884"/>
      <c r="O1824" s="56">
        <v>723</v>
      </c>
      <c r="P1824" s="79">
        <f>+N1823-P1823</f>
        <v>0</v>
      </c>
    </row>
    <row r="1825" spans="9:16">
      <c r="I1825" s="873"/>
      <c r="J1825" s="875"/>
      <c r="K1825" s="877"/>
      <c r="L1825" s="879"/>
      <c r="M1825" s="881"/>
      <c r="N1825" s="883"/>
      <c r="O1825" s="55">
        <v>719</v>
      </c>
      <c r="P1825" s="78"/>
    </row>
    <row r="1826" spans="9:16" ht="15.75" thickBot="1">
      <c r="I1826" s="874"/>
      <c r="J1826" s="876"/>
      <c r="K1826" s="878"/>
      <c r="L1826" s="880"/>
      <c r="M1826" s="882"/>
      <c r="N1826" s="884"/>
      <c r="O1826" s="56">
        <v>723</v>
      </c>
      <c r="P1826" s="79">
        <f>+N1825-P1825</f>
        <v>0</v>
      </c>
    </row>
    <row r="1827" spans="9:16" ht="12.75" customHeight="1">
      <c r="I1827" s="873"/>
      <c r="J1827" s="875"/>
      <c r="K1827" s="877"/>
      <c r="L1827" s="879"/>
      <c r="M1827" s="881"/>
      <c r="N1827" s="883"/>
      <c r="O1827" s="55">
        <v>719</v>
      </c>
      <c r="P1827" s="78"/>
    </row>
    <row r="1828" spans="9:16" ht="15.75" thickBot="1">
      <c r="I1828" s="874"/>
      <c r="J1828" s="876"/>
      <c r="K1828" s="878"/>
      <c r="L1828" s="880"/>
      <c r="M1828" s="882"/>
      <c r="N1828" s="884"/>
      <c r="O1828" s="56">
        <v>723</v>
      </c>
      <c r="P1828" s="79">
        <f>+N1827-P1827</f>
        <v>0</v>
      </c>
    </row>
    <row r="1829" spans="9:16" ht="16.5" thickBot="1">
      <c r="I1829" s="901" t="s">
        <v>102</v>
      </c>
      <c r="J1829" s="902"/>
      <c r="K1829" s="902"/>
      <c r="L1829" s="902"/>
      <c r="M1829" s="903"/>
      <c r="N1829" s="81">
        <f>SUM(N1819:N1828)</f>
        <v>-766240</v>
      </c>
    </row>
    <row r="1830" spans="9:16" ht="16.5" thickBot="1">
      <c r="I1830" s="885" t="s">
        <v>103</v>
      </c>
      <c r="J1830" s="886"/>
      <c r="K1830" s="886"/>
      <c r="L1830" s="886"/>
      <c r="M1830" s="887"/>
      <c r="N1830" s="69">
        <f>+N1794</f>
        <v>514264102</v>
      </c>
      <c r="O1830" s="241" t="s">
        <v>561</v>
      </c>
      <c r="P1830" s="242"/>
    </row>
    <row r="1831" spans="9:16" ht="16.5" thickBot="1">
      <c r="I1831" s="888" t="s">
        <v>104</v>
      </c>
      <c r="J1831" s="889"/>
      <c r="K1831" s="889"/>
      <c r="L1831" s="889"/>
      <c r="M1831" s="890"/>
      <c r="N1831" s="183">
        <f>SUM(N1829:N1830)</f>
        <v>513497862</v>
      </c>
    </row>
    <row r="1832" spans="9:16">
      <c r="I1832" s="61"/>
      <c r="J1832" s="61"/>
      <c r="K1832" s="61"/>
      <c r="L1832" s="61"/>
      <c r="M1832" s="61"/>
    </row>
    <row r="1833" spans="9:16">
      <c r="I1833" s="51" t="s">
        <v>978</v>
      </c>
    </row>
    <row r="1834" spans="9:16" ht="12" customHeight="1">
      <c r="N1834" s="139"/>
    </row>
    <row r="1835" spans="9:16">
      <c r="I1835" s="50" t="s">
        <v>105</v>
      </c>
      <c r="L1835" s="146"/>
      <c r="N1835" s="139"/>
    </row>
    <row r="1836" spans="9:16" ht="12" customHeight="1" thickBot="1"/>
    <row r="1837" spans="9:16" ht="15.75" thickBot="1">
      <c r="I1837" s="891" t="s">
        <v>106</v>
      </c>
      <c r="J1837" s="892"/>
      <c r="K1837" s="892"/>
      <c r="L1837" s="893"/>
      <c r="N1837" s="50" t="s">
        <v>288</v>
      </c>
    </row>
    <row r="1838" spans="9:16" ht="30.75" thickBot="1">
      <c r="I1838" s="57" t="s">
        <v>100</v>
      </c>
      <c r="J1838" s="58" t="s">
        <v>108</v>
      </c>
      <c r="K1838" s="287" t="s">
        <v>109</v>
      </c>
      <c r="L1838" s="60" t="s">
        <v>110</v>
      </c>
    </row>
    <row r="1839" spans="9:16">
      <c r="I1839" s="71">
        <v>719</v>
      </c>
      <c r="J1839" s="73">
        <f>+P1819+P1821+P1823+P1825+P1827</f>
        <v>0</v>
      </c>
      <c r="K1839" s="74">
        <f>+L1802</f>
        <v>41780000</v>
      </c>
      <c r="L1839" s="195">
        <f>+J1839+K1839</f>
        <v>41780000</v>
      </c>
    </row>
    <row r="1840" spans="9:16">
      <c r="I1840" s="72">
        <v>721</v>
      </c>
      <c r="J1840" s="80">
        <v>0</v>
      </c>
      <c r="K1840" s="74">
        <f>+L1803</f>
        <v>98656559</v>
      </c>
      <c r="L1840" s="195">
        <f>+J1840+K1840</f>
        <v>98656559</v>
      </c>
    </row>
    <row r="1841" spans="9:16">
      <c r="I1841" s="72">
        <v>722</v>
      </c>
      <c r="J1841" s="80"/>
      <c r="K1841" s="74">
        <f>+L1804</f>
        <v>56963334</v>
      </c>
      <c r="L1841" s="195">
        <f>+J1841+K1841</f>
        <v>56963334</v>
      </c>
    </row>
    <row r="1842" spans="9:16" ht="15.75">
      <c r="I1842" s="72">
        <v>723</v>
      </c>
      <c r="J1842" s="80">
        <f>+P1828+P1826+P1824+P1822+P1820</f>
        <v>-766240</v>
      </c>
      <c r="K1842" s="74">
        <f>+L1805</f>
        <v>317093089</v>
      </c>
      <c r="L1842" s="195">
        <f>+J1842+K1842</f>
        <v>316326849</v>
      </c>
      <c r="N1842" s="193" t="s">
        <v>289</v>
      </c>
      <c r="O1842" s="175"/>
    </row>
    <row r="1843" spans="9:16" ht="16.5" thickBot="1">
      <c r="I1843" s="164" t="s">
        <v>181</v>
      </c>
      <c r="J1843" s="165"/>
      <c r="K1843" s="74">
        <f>+L1806</f>
        <v>-298880</v>
      </c>
      <c r="L1843" s="196">
        <f>+J1843+K1843</f>
        <v>-298880</v>
      </c>
      <c r="N1843" s="52"/>
    </row>
    <row r="1844" spans="9:16" ht="16.5" thickBot="1">
      <c r="I1844" s="169"/>
      <c r="J1844" s="197">
        <f>SUM(J1839:J1843)</f>
        <v>-766240</v>
      </c>
      <c r="K1844" s="197">
        <f>SUM(K1839:K1843)</f>
        <v>514194102</v>
      </c>
      <c r="L1844" s="198">
        <f>SUM(L1839:L1843)</f>
        <v>513427862</v>
      </c>
    </row>
    <row r="1845" spans="9:16" ht="16.5">
      <c r="I1845" s="49" t="s">
        <v>88</v>
      </c>
      <c r="J1845" s="50"/>
    </row>
    <row r="1846" spans="9:16">
      <c r="I1846" s="51" t="s">
        <v>89</v>
      </c>
    </row>
    <row r="1847" spans="9:16">
      <c r="I1847" s="51" t="s">
        <v>90</v>
      </c>
    </row>
    <row r="1848" spans="9:16">
      <c r="I1848" s="51" t="s">
        <v>91</v>
      </c>
    </row>
    <row r="1849" spans="9:16">
      <c r="I1849" s="50"/>
      <c r="J1849" s="50"/>
    </row>
    <row r="1850" spans="9:16" ht="15.75">
      <c r="I1850" s="260" t="s">
        <v>977</v>
      </c>
      <c r="O1850" s="52"/>
    </row>
    <row r="1851" spans="9:16" ht="15.75">
      <c r="I1851" s="53" t="s">
        <v>535</v>
      </c>
      <c r="O1851" s="53"/>
    </row>
    <row r="1852" spans="9:16" ht="16.5">
      <c r="I1852" s="894" t="s">
        <v>967</v>
      </c>
      <c r="J1852" s="894"/>
      <c r="K1852" s="894"/>
      <c r="L1852" s="894"/>
      <c r="M1852" s="894"/>
      <c r="N1852" s="894"/>
      <c r="O1852" s="894"/>
      <c r="P1852" s="894"/>
    </row>
    <row r="1853" spans="9:16" ht="15.75" thickBot="1"/>
    <row r="1854" spans="9:16">
      <c r="I1854" s="895" t="s">
        <v>968</v>
      </c>
      <c r="J1854" s="897" t="s">
        <v>95</v>
      </c>
      <c r="K1854" s="897" t="s">
        <v>96</v>
      </c>
      <c r="L1854" s="897" t="s">
        <v>3</v>
      </c>
      <c r="M1854" s="897" t="s">
        <v>97</v>
      </c>
      <c r="N1854" s="897" t="s">
        <v>98</v>
      </c>
      <c r="O1854" s="897" t="s">
        <v>99</v>
      </c>
      <c r="P1854" s="899"/>
    </row>
    <row r="1855" spans="9:16" ht="15.75" thickBot="1">
      <c r="I1855" s="896"/>
      <c r="J1855" s="898"/>
      <c r="K1855" s="898"/>
      <c r="L1855" s="898"/>
      <c r="M1855" s="898"/>
      <c r="N1855" s="898"/>
      <c r="O1855" s="240" t="s">
        <v>100</v>
      </c>
      <c r="P1855" s="182" t="s">
        <v>101</v>
      </c>
    </row>
    <row r="1856" spans="9:16" ht="13.5" customHeight="1">
      <c r="I1856" s="873" t="s">
        <v>548</v>
      </c>
      <c r="J1856" s="875">
        <v>42520</v>
      </c>
      <c r="K1856" s="877" t="s">
        <v>701</v>
      </c>
      <c r="L1856" s="879" t="s">
        <v>556</v>
      </c>
      <c r="M1856" s="881" t="s">
        <v>148</v>
      </c>
      <c r="N1856" s="883">
        <v>-630000</v>
      </c>
      <c r="O1856" s="55">
        <v>719</v>
      </c>
      <c r="P1856" s="78"/>
    </row>
    <row r="1857" spans="9:16" ht="15.75" customHeight="1" thickBot="1">
      <c r="I1857" s="874"/>
      <c r="J1857" s="876"/>
      <c r="K1857" s="878"/>
      <c r="L1857" s="880"/>
      <c r="M1857" s="882"/>
      <c r="N1857" s="884"/>
      <c r="O1857" s="56">
        <v>723</v>
      </c>
      <c r="P1857" s="79">
        <f>+N1856-P1856</f>
        <v>-630000</v>
      </c>
    </row>
    <row r="1858" spans="9:16" ht="15" customHeight="1">
      <c r="I1858" s="873" t="s">
        <v>549</v>
      </c>
      <c r="J1858" s="875">
        <v>42520</v>
      </c>
      <c r="K1858" s="877" t="s">
        <v>673</v>
      </c>
      <c r="L1858" s="879" t="s">
        <v>556</v>
      </c>
      <c r="M1858" s="881" t="s">
        <v>148</v>
      </c>
      <c r="N1858" s="883">
        <v>-630000</v>
      </c>
      <c r="O1858" s="55">
        <v>719</v>
      </c>
      <c r="P1858" s="78"/>
    </row>
    <row r="1859" spans="9:16" ht="13.5" customHeight="1" thickBot="1">
      <c r="I1859" s="874"/>
      <c r="J1859" s="876"/>
      <c r="K1859" s="878"/>
      <c r="L1859" s="880"/>
      <c r="M1859" s="882"/>
      <c r="N1859" s="884"/>
      <c r="O1859" s="56">
        <v>723</v>
      </c>
      <c r="P1859" s="79">
        <f>+N1858-P1858</f>
        <v>-630000</v>
      </c>
    </row>
    <row r="1860" spans="9:16" ht="15" customHeight="1">
      <c r="I1860" s="873" t="s">
        <v>550</v>
      </c>
      <c r="J1860" s="875">
        <v>42520</v>
      </c>
      <c r="K1860" s="877" t="s">
        <v>729</v>
      </c>
      <c r="L1860" s="879" t="s">
        <v>556</v>
      </c>
      <c r="M1860" s="881" t="s">
        <v>148</v>
      </c>
      <c r="N1860" s="883">
        <v>-945000</v>
      </c>
      <c r="O1860" s="55">
        <v>719</v>
      </c>
      <c r="P1860" s="78"/>
    </row>
    <row r="1861" spans="9:16" ht="15.75" customHeight="1" thickBot="1">
      <c r="I1861" s="874"/>
      <c r="J1861" s="876"/>
      <c r="K1861" s="878"/>
      <c r="L1861" s="880"/>
      <c r="M1861" s="882"/>
      <c r="N1861" s="884"/>
      <c r="O1861" s="56">
        <v>723</v>
      </c>
      <c r="P1861" s="79">
        <f>+N1860-P1860</f>
        <v>-945000</v>
      </c>
    </row>
    <row r="1862" spans="9:16" ht="15" customHeight="1">
      <c r="I1862" s="873" t="s">
        <v>551</v>
      </c>
      <c r="J1862" s="875">
        <v>42520</v>
      </c>
      <c r="K1862" s="877" t="s">
        <v>694</v>
      </c>
      <c r="L1862" s="879" t="s">
        <v>556</v>
      </c>
      <c r="M1862" s="881" t="s">
        <v>148</v>
      </c>
      <c r="N1862" s="883">
        <v>-25611697</v>
      </c>
      <c r="O1862" s="55">
        <v>719</v>
      </c>
      <c r="P1862" s="78"/>
    </row>
    <row r="1863" spans="9:16" ht="15.75" customHeight="1" thickBot="1">
      <c r="I1863" s="874"/>
      <c r="J1863" s="876"/>
      <c r="K1863" s="878"/>
      <c r="L1863" s="880"/>
      <c r="M1863" s="882"/>
      <c r="N1863" s="884"/>
      <c r="O1863" s="56">
        <v>723</v>
      </c>
      <c r="P1863" s="79">
        <f>+N1862-P1862</f>
        <v>-25611697</v>
      </c>
    </row>
    <row r="1864" spans="9:16" ht="12" customHeight="1">
      <c r="I1864" s="873"/>
      <c r="J1864" s="875"/>
      <c r="K1864" s="877"/>
      <c r="L1864" s="879"/>
      <c r="M1864" s="881"/>
      <c r="N1864" s="883"/>
      <c r="O1864" s="55">
        <v>719</v>
      </c>
      <c r="P1864" s="78"/>
    </row>
    <row r="1865" spans="9:16" ht="12" customHeight="1" thickBot="1">
      <c r="I1865" s="874"/>
      <c r="J1865" s="876"/>
      <c r="K1865" s="878"/>
      <c r="L1865" s="880"/>
      <c r="M1865" s="882"/>
      <c r="N1865" s="884"/>
      <c r="O1865" s="56">
        <v>723</v>
      </c>
      <c r="P1865" s="79">
        <f>+N1864-P1864</f>
        <v>0</v>
      </c>
    </row>
    <row r="1866" spans="9:16" ht="16.5" thickBot="1">
      <c r="I1866" s="901" t="s">
        <v>102</v>
      </c>
      <c r="J1866" s="902"/>
      <c r="K1866" s="902"/>
      <c r="L1866" s="902"/>
      <c r="M1866" s="903"/>
      <c r="N1866" s="81">
        <f>SUM(N1856:N1865)</f>
        <v>-27816697</v>
      </c>
    </row>
    <row r="1867" spans="9:16" ht="16.5" thickBot="1">
      <c r="I1867" s="885" t="s">
        <v>103</v>
      </c>
      <c r="J1867" s="886"/>
      <c r="K1867" s="886"/>
      <c r="L1867" s="886"/>
      <c r="M1867" s="887"/>
      <c r="N1867" s="69">
        <f>+N1831</f>
        <v>513497862</v>
      </c>
      <c r="O1867" s="241" t="s">
        <v>561</v>
      </c>
      <c r="P1867" s="242"/>
    </row>
    <row r="1868" spans="9:16" ht="16.5" thickBot="1">
      <c r="I1868" s="888" t="s">
        <v>104</v>
      </c>
      <c r="J1868" s="889"/>
      <c r="K1868" s="889"/>
      <c r="L1868" s="889"/>
      <c r="M1868" s="890"/>
      <c r="N1868" s="183">
        <f>SUM(N1866:N1867)</f>
        <v>485681165</v>
      </c>
    </row>
    <row r="1869" spans="9:16">
      <c r="I1869" s="61"/>
      <c r="J1869" s="61"/>
      <c r="K1869" s="61"/>
      <c r="L1869" s="61"/>
      <c r="M1869" s="61"/>
    </row>
    <row r="1870" spans="9:16">
      <c r="I1870" s="51" t="s">
        <v>989</v>
      </c>
    </row>
    <row r="1871" spans="9:16">
      <c r="N1871" s="139"/>
    </row>
    <row r="1872" spans="9:16">
      <c r="I1872" s="50" t="s">
        <v>105</v>
      </c>
      <c r="L1872" s="146"/>
      <c r="N1872" s="139"/>
    </row>
    <row r="1873" spans="9:15" ht="15.75" thickBot="1"/>
    <row r="1874" spans="9:15" ht="15.75" thickBot="1">
      <c r="I1874" s="891" t="s">
        <v>106</v>
      </c>
      <c r="J1874" s="892"/>
      <c r="K1874" s="892"/>
      <c r="L1874" s="893"/>
      <c r="N1874" s="50" t="s">
        <v>288</v>
      </c>
    </row>
    <row r="1875" spans="9:15" ht="30.75" thickBot="1">
      <c r="I1875" s="57" t="s">
        <v>100</v>
      </c>
      <c r="J1875" s="58" t="s">
        <v>108</v>
      </c>
      <c r="K1875" s="287" t="s">
        <v>109</v>
      </c>
      <c r="L1875" s="60" t="s">
        <v>110</v>
      </c>
    </row>
    <row r="1876" spans="9:15">
      <c r="I1876" s="71">
        <v>719</v>
      </c>
      <c r="J1876" s="73">
        <f>+P1856+P1858+P1862</f>
        <v>0</v>
      </c>
      <c r="K1876" s="74">
        <f>+L1839</f>
        <v>41780000</v>
      </c>
      <c r="L1876" s="195">
        <f>+J1876+K1876</f>
        <v>41780000</v>
      </c>
    </row>
    <row r="1877" spans="9:15">
      <c r="I1877" s="72">
        <v>721</v>
      </c>
      <c r="J1877" s="80">
        <v>0</v>
      </c>
      <c r="K1877" s="74">
        <f>+L1840</f>
        <v>98656559</v>
      </c>
      <c r="L1877" s="195">
        <f>+J1877+K1877</f>
        <v>98656559</v>
      </c>
    </row>
    <row r="1878" spans="9:15">
      <c r="I1878" s="72">
        <v>722</v>
      </c>
      <c r="J1878" s="80"/>
      <c r="K1878" s="74">
        <f>+L1841</f>
        <v>56963334</v>
      </c>
      <c r="L1878" s="195">
        <f>+J1878+K1878</f>
        <v>56963334</v>
      </c>
    </row>
    <row r="1879" spans="9:15" ht="15.75">
      <c r="I1879" s="72">
        <v>723</v>
      </c>
      <c r="J1879" s="80">
        <f>+P1863+P1859+P1857+P1861</f>
        <v>-27816697</v>
      </c>
      <c r="K1879" s="74">
        <f>+L1842</f>
        <v>316326849</v>
      </c>
      <c r="L1879" s="195">
        <f>+J1879+K1879</f>
        <v>288510152</v>
      </c>
      <c r="N1879" s="193" t="s">
        <v>289</v>
      </c>
      <c r="O1879" s="175"/>
    </row>
    <row r="1880" spans="9:15" ht="16.5" thickBot="1">
      <c r="I1880" s="164" t="s">
        <v>181</v>
      </c>
      <c r="J1880" s="165"/>
      <c r="K1880" s="74">
        <f>+L1843</f>
        <v>-298880</v>
      </c>
      <c r="L1880" s="196">
        <f>+J1880+K1880</f>
        <v>-298880</v>
      </c>
      <c r="N1880" s="52"/>
    </row>
    <row r="1881" spans="9:15" ht="16.5" thickBot="1">
      <c r="I1881" s="169"/>
      <c r="J1881" s="197">
        <f>SUM(J1876:J1880)</f>
        <v>-27816697</v>
      </c>
      <c r="K1881" s="197">
        <f>SUM(K1876:K1880)</f>
        <v>513427862</v>
      </c>
      <c r="L1881" s="198">
        <f>SUM(L1876:L1880)</f>
        <v>485611165</v>
      </c>
    </row>
    <row r="1882" spans="9:15" ht="16.5">
      <c r="I1882" s="49" t="s">
        <v>88</v>
      </c>
      <c r="J1882" s="50"/>
    </row>
    <row r="1883" spans="9:15">
      <c r="I1883" s="51" t="s">
        <v>89</v>
      </c>
    </row>
    <row r="1884" spans="9:15">
      <c r="I1884" s="51" t="s">
        <v>90</v>
      </c>
    </row>
    <row r="1885" spans="9:15">
      <c r="I1885" s="51" t="s">
        <v>91</v>
      </c>
    </row>
    <row r="1886" spans="9:15">
      <c r="I1886" s="50"/>
      <c r="J1886" s="50"/>
    </row>
    <row r="1887" spans="9:15" ht="15.75">
      <c r="I1887" s="260" t="s">
        <v>980</v>
      </c>
      <c r="O1887" s="52"/>
    </row>
    <row r="1888" spans="9:15" ht="15.75">
      <c r="I1888" s="53" t="s">
        <v>535</v>
      </c>
      <c r="O1888" s="53"/>
    </row>
    <row r="1889" spans="9:16" ht="16.5">
      <c r="I1889" s="894" t="s">
        <v>909</v>
      </c>
      <c r="J1889" s="894"/>
      <c r="K1889" s="894"/>
      <c r="L1889" s="894"/>
      <c r="M1889" s="894"/>
      <c r="N1889" s="894"/>
      <c r="O1889" s="894"/>
      <c r="P1889" s="894"/>
    </row>
    <row r="1890" spans="9:16" ht="15.75" thickBot="1"/>
    <row r="1891" spans="9:16">
      <c r="I1891" s="895" t="s">
        <v>94</v>
      </c>
      <c r="J1891" s="897" t="s">
        <v>95</v>
      </c>
      <c r="K1891" s="897" t="s">
        <v>96</v>
      </c>
      <c r="L1891" s="897" t="s">
        <v>3</v>
      </c>
      <c r="M1891" s="897" t="s">
        <v>97</v>
      </c>
      <c r="N1891" s="897" t="s">
        <v>98</v>
      </c>
      <c r="O1891" s="897" t="s">
        <v>99</v>
      </c>
      <c r="P1891" s="899"/>
    </row>
    <row r="1892" spans="9:16" ht="15.75" thickBot="1">
      <c r="I1892" s="896"/>
      <c r="J1892" s="898"/>
      <c r="K1892" s="898"/>
      <c r="L1892" s="898"/>
      <c r="M1892" s="898"/>
      <c r="N1892" s="898"/>
      <c r="O1892" s="240" t="s">
        <v>100</v>
      </c>
      <c r="P1892" s="182" t="s">
        <v>101</v>
      </c>
    </row>
    <row r="1893" spans="9:16">
      <c r="I1893" s="881">
        <v>212</v>
      </c>
      <c r="J1893" s="875">
        <v>42549</v>
      </c>
      <c r="K1893" s="877" t="s">
        <v>272</v>
      </c>
      <c r="L1893" s="879" t="s">
        <v>983</v>
      </c>
      <c r="M1893" s="881" t="s">
        <v>115</v>
      </c>
      <c r="N1893" s="883">
        <v>140000</v>
      </c>
      <c r="O1893" s="55">
        <v>719</v>
      </c>
      <c r="P1893" s="78">
        <v>140000</v>
      </c>
    </row>
    <row r="1894" spans="9:16" ht="15.75" thickBot="1">
      <c r="I1894" s="882"/>
      <c r="J1894" s="876"/>
      <c r="K1894" s="878"/>
      <c r="L1894" s="880"/>
      <c r="M1894" s="882"/>
      <c r="N1894" s="884"/>
      <c r="O1894" s="56">
        <v>721</v>
      </c>
      <c r="P1894" s="79">
        <f>+N1893-P1893</f>
        <v>0</v>
      </c>
    </row>
    <row r="1895" spans="9:16" ht="15" customHeight="1">
      <c r="I1895" s="881">
        <v>213</v>
      </c>
      <c r="J1895" s="875">
        <v>42549</v>
      </c>
      <c r="K1895" s="877" t="s">
        <v>28</v>
      </c>
      <c r="L1895" s="879" t="s">
        <v>982</v>
      </c>
      <c r="M1895" s="881" t="s">
        <v>115</v>
      </c>
      <c r="N1895" s="883">
        <v>40000</v>
      </c>
      <c r="O1895" s="55">
        <v>719</v>
      </c>
      <c r="P1895" s="78">
        <v>40000</v>
      </c>
    </row>
    <row r="1896" spans="9:16" ht="15.75" customHeight="1" thickBot="1">
      <c r="I1896" s="882"/>
      <c r="J1896" s="876"/>
      <c r="K1896" s="878"/>
      <c r="L1896" s="880"/>
      <c r="M1896" s="882"/>
      <c r="N1896" s="884"/>
      <c r="O1896" s="56">
        <v>721</v>
      </c>
      <c r="P1896" s="79">
        <f>+N1895-P1895</f>
        <v>0</v>
      </c>
    </row>
    <row r="1897" spans="9:16" ht="15" customHeight="1">
      <c r="I1897" s="881">
        <v>214</v>
      </c>
      <c r="J1897" s="875">
        <v>42549</v>
      </c>
      <c r="K1897" s="877" t="s">
        <v>120</v>
      </c>
      <c r="L1897" s="879" t="s">
        <v>984</v>
      </c>
      <c r="M1897" s="881" t="s">
        <v>115</v>
      </c>
      <c r="N1897" s="883">
        <v>30000</v>
      </c>
      <c r="O1897" s="55">
        <v>719</v>
      </c>
      <c r="P1897" s="78">
        <v>30000</v>
      </c>
    </row>
    <row r="1898" spans="9:16" ht="15.75" customHeight="1" thickBot="1">
      <c r="I1898" s="882"/>
      <c r="J1898" s="876"/>
      <c r="K1898" s="878"/>
      <c r="L1898" s="880"/>
      <c r="M1898" s="882"/>
      <c r="N1898" s="884"/>
      <c r="O1898" s="56">
        <v>721</v>
      </c>
      <c r="P1898" s="79">
        <f>+N1897-P1897</f>
        <v>0</v>
      </c>
    </row>
    <row r="1899" spans="9:16" ht="15" customHeight="1">
      <c r="I1899" s="881">
        <v>215</v>
      </c>
      <c r="J1899" s="875">
        <v>42549</v>
      </c>
      <c r="K1899" s="877" t="s">
        <v>272</v>
      </c>
      <c r="L1899" s="879" t="s">
        <v>985</v>
      </c>
      <c r="M1899" s="881" t="s">
        <v>115</v>
      </c>
      <c r="N1899" s="883">
        <v>200000</v>
      </c>
      <c r="O1899" s="55">
        <v>719</v>
      </c>
      <c r="P1899" s="78">
        <v>200000</v>
      </c>
    </row>
    <row r="1900" spans="9:16" ht="15.75" customHeight="1" thickBot="1">
      <c r="I1900" s="882"/>
      <c r="J1900" s="876"/>
      <c r="K1900" s="878"/>
      <c r="L1900" s="880"/>
      <c r="M1900" s="882"/>
      <c r="N1900" s="884"/>
      <c r="O1900" s="56">
        <v>721</v>
      </c>
      <c r="P1900" s="79">
        <f>+N1899-P1899</f>
        <v>0</v>
      </c>
    </row>
    <row r="1901" spans="9:16" ht="15" customHeight="1">
      <c r="I1901" s="881"/>
      <c r="J1901" s="875"/>
      <c r="K1901" s="877"/>
      <c r="L1901" s="881"/>
      <c r="M1901" s="881"/>
      <c r="N1901" s="883"/>
      <c r="O1901" s="55">
        <v>719</v>
      </c>
      <c r="P1901" s="78"/>
    </row>
    <row r="1902" spans="9:16" ht="12" customHeight="1" thickBot="1">
      <c r="I1902" s="882"/>
      <c r="J1902" s="876"/>
      <c r="K1902" s="878"/>
      <c r="L1902" s="882"/>
      <c r="M1902" s="882"/>
      <c r="N1902" s="884"/>
      <c r="O1902" s="56">
        <v>721</v>
      </c>
      <c r="P1902" s="79">
        <f>+N1901-P1901</f>
        <v>0</v>
      </c>
    </row>
    <row r="1903" spans="9:16" ht="16.5" thickBot="1">
      <c r="I1903" s="901" t="s">
        <v>102</v>
      </c>
      <c r="J1903" s="902"/>
      <c r="K1903" s="902"/>
      <c r="L1903" s="902"/>
      <c r="M1903" s="903"/>
      <c r="N1903" s="81">
        <f>SUM(N1893:N1902)</f>
        <v>410000</v>
      </c>
    </row>
    <row r="1904" spans="9:16" ht="16.5" thickBot="1">
      <c r="I1904" s="885" t="s">
        <v>103</v>
      </c>
      <c r="J1904" s="886"/>
      <c r="K1904" s="886"/>
      <c r="L1904" s="886"/>
      <c r="M1904" s="887"/>
      <c r="N1904" s="69">
        <f>+N1868</f>
        <v>485681165</v>
      </c>
      <c r="O1904" s="241" t="s">
        <v>561</v>
      </c>
      <c r="P1904" s="242">
        <f>649+441+67+12</f>
        <v>1169</v>
      </c>
    </row>
    <row r="1905" spans="9:15" ht="16.5" thickBot="1">
      <c r="I1905" s="888" t="s">
        <v>104</v>
      </c>
      <c r="J1905" s="889"/>
      <c r="K1905" s="889"/>
      <c r="L1905" s="889"/>
      <c r="M1905" s="890"/>
      <c r="N1905" s="183">
        <f>SUM(N1903:N1904)</f>
        <v>486091165</v>
      </c>
    </row>
    <row r="1906" spans="9:15">
      <c r="I1906" s="61"/>
      <c r="J1906" s="61"/>
      <c r="K1906" s="61"/>
      <c r="L1906" s="61"/>
      <c r="M1906" s="61"/>
    </row>
    <row r="1907" spans="9:15">
      <c r="I1907" s="51" t="s">
        <v>990</v>
      </c>
    </row>
    <row r="1908" spans="9:15" ht="12" customHeight="1">
      <c r="N1908" s="139"/>
    </row>
    <row r="1909" spans="9:15">
      <c r="I1909" s="50" t="s">
        <v>105</v>
      </c>
      <c r="L1909" s="146"/>
      <c r="N1909" s="139"/>
    </row>
    <row r="1910" spans="9:15" ht="12.75" customHeight="1" thickBot="1"/>
    <row r="1911" spans="9:15" ht="15.75" thickBot="1">
      <c r="I1911" s="891" t="s">
        <v>106</v>
      </c>
      <c r="J1911" s="892"/>
      <c r="K1911" s="892"/>
      <c r="L1911" s="893"/>
      <c r="N1911" s="50" t="s">
        <v>288</v>
      </c>
    </row>
    <row r="1912" spans="9:15" ht="30.75" thickBot="1">
      <c r="I1912" s="57" t="s">
        <v>100</v>
      </c>
      <c r="J1912" s="58" t="s">
        <v>108</v>
      </c>
      <c r="K1912" s="287" t="s">
        <v>109</v>
      </c>
      <c r="L1912" s="60" t="s">
        <v>110</v>
      </c>
    </row>
    <row r="1913" spans="9:15">
      <c r="I1913" s="71">
        <v>719</v>
      </c>
      <c r="J1913" s="73">
        <f>+P1893+P1895+P1897+P1899+P1901</f>
        <v>410000</v>
      </c>
      <c r="K1913" s="74">
        <f>+L1876</f>
        <v>41780000</v>
      </c>
      <c r="L1913" s="195">
        <f>+J1913+K1913</f>
        <v>42190000</v>
      </c>
    </row>
    <row r="1914" spans="9:15">
      <c r="I1914" s="72">
        <v>721</v>
      </c>
      <c r="J1914" s="80">
        <f>+P1894+P1896+P1898+P1900</f>
        <v>0</v>
      </c>
      <c r="K1914" s="74">
        <f>+L1877</f>
        <v>98656559</v>
      </c>
      <c r="L1914" s="195">
        <f>+J1914+K1914</f>
        <v>98656559</v>
      </c>
    </row>
    <row r="1915" spans="9:15">
      <c r="I1915" s="72">
        <v>722</v>
      </c>
      <c r="J1915" s="80"/>
      <c r="K1915" s="74">
        <f>+L1878</f>
        <v>56963334</v>
      </c>
      <c r="L1915" s="195">
        <f>+J1915+K1915</f>
        <v>56963334</v>
      </c>
    </row>
    <row r="1916" spans="9:15" ht="15.75">
      <c r="I1916" s="72">
        <v>723</v>
      </c>
      <c r="J1916" s="80"/>
      <c r="K1916" s="74">
        <f>+L1879</f>
        <v>288510152</v>
      </c>
      <c r="L1916" s="195">
        <f>+J1916+K1916</f>
        <v>288510152</v>
      </c>
      <c r="N1916" s="193" t="s">
        <v>289</v>
      </c>
      <c r="O1916" s="175"/>
    </row>
    <row r="1917" spans="9:15" ht="16.5" thickBot="1">
      <c r="I1917" s="164" t="s">
        <v>181</v>
      </c>
      <c r="J1917" s="165"/>
      <c r="K1917" s="74">
        <f>+L1880</f>
        <v>-298880</v>
      </c>
      <c r="L1917" s="196">
        <f>+J1917+K1917</f>
        <v>-298880</v>
      </c>
      <c r="N1917" s="52"/>
    </row>
    <row r="1918" spans="9:15" ht="16.5" thickBot="1">
      <c r="I1918" s="169"/>
      <c r="J1918" s="197">
        <f>SUM(J1913:J1917)</f>
        <v>410000</v>
      </c>
      <c r="K1918" s="197">
        <f>SUM(K1913:K1917)</f>
        <v>485611165</v>
      </c>
      <c r="L1918" s="198">
        <f>SUM(L1913:L1917)</f>
        <v>486021165</v>
      </c>
    </row>
    <row r="1919" spans="9:15" ht="16.5">
      <c r="I1919" s="49" t="s">
        <v>88</v>
      </c>
      <c r="J1919" s="50"/>
    </row>
    <row r="1920" spans="9:15">
      <c r="I1920" s="51" t="s">
        <v>89</v>
      </c>
    </row>
    <row r="1921" spans="9:16">
      <c r="I1921" s="51" t="s">
        <v>90</v>
      </c>
    </row>
    <row r="1922" spans="9:16">
      <c r="I1922" s="51" t="s">
        <v>91</v>
      </c>
    </row>
    <row r="1923" spans="9:16" ht="11.25" customHeight="1">
      <c r="I1923" s="50"/>
      <c r="J1923" s="50"/>
    </row>
    <row r="1924" spans="9:16" ht="15.75">
      <c r="I1924" s="260" t="s">
        <v>981</v>
      </c>
      <c r="O1924" s="52"/>
    </row>
    <row r="1925" spans="9:16" ht="15.75">
      <c r="I1925" s="53" t="s">
        <v>535</v>
      </c>
      <c r="O1925" s="53"/>
    </row>
    <row r="1926" spans="9:16" ht="16.5">
      <c r="I1926" s="894" t="s">
        <v>909</v>
      </c>
      <c r="J1926" s="894"/>
      <c r="K1926" s="894"/>
      <c r="L1926" s="894"/>
      <c r="M1926" s="894"/>
      <c r="N1926" s="894"/>
      <c r="O1926" s="894"/>
      <c r="P1926" s="894"/>
    </row>
    <row r="1927" spans="9:16" ht="15.75" thickBot="1"/>
    <row r="1928" spans="9:16">
      <c r="I1928" s="895" t="s">
        <v>94</v>
      </c>
      <c r="J1928" s="897" t="s">
        <v>95</v>
      </c>
      <c r="K1928" s="897" t="s">
        <v>96</v>
      </c>
      <c r="L1928" s="897" t="s">
        <v>3</v>
      </c>
      <c r="M1928" s="897" t="s">
        <v>97</v>
      </c>
      <c r="N1928" s="897" t="s">
        <v>98</v>
      </c>
      <c r="O1928" s="897" t="s">
        <v>99</v>
      </c>
      <c r="P1928" s="899"/>
    </row>
    <row r="1929" spans="9:16" ht="15.75" thickBot="1">
      <c r="I1929" s="896"/>
      <c r="J1929" s="898"/>
      <c r="K1929" s="898"/>
      <c r="L1929" s="898"/>
      <c r="M1929" s="898"/>
      <c r="N1929" s="898"/>
      <c r="O1929" s="240" t="s">
        <v>100</v>
      </c>
      <c r="P1929" s="182" t="s">
        <v>101</v>
      </c>
    </row>
    <row r="1930" spans="9:16" ht="15" customHeight="1">
      <c r="I1930" s="881">
        <v>216</v>
      </c>
      <c r="J1930" s="875">
        <v>42549</v>
      </c>
      <c r="K1930" s="877" t="s">
        <v>272</v>
      </c>
      <c r="L1930" s="879" t="s">
        <v>986</v>
      </c>
      <c r="M1930" s="881" t="s">
        <v>115</v>
      </c>
      <c r="N1930" s="883">
        <v>60000</v>
      </c>
      <c r="O1930" s="55">
        <v>719</v>
      </c>
      <c r="P1930" s="78">
        <v>60000</v>
      </c>
    </row>
    <row r="1931" spans="9:16" ht="15.75" customHeight="1" thickBot="1">
      <c r="I1931" s="882"/>
      <c r="J1931" s="876"/>
      <c r="K1931" s="878"/>
      <c r="L1931" s="880"/>
      <c r="M1931" s="882"/>
      <c r="N1931" s="884"/>
      <c r="O1931" s="56">
        <v>721</v>
      </c>
      <c r="P1931" s="79">
        <f>+N1930-P1930</f>
        <v>0</v>
      </c>
    </row>
    <row r="1932" spans="9:16" ht="15" customHeight="1">
      <c r="I1932" s="881">
        <v>217</v>
      </c>
      <c r="J1932" s="875">
        <v>42549</v>
      </c>
      <c r="K1932" s="877" t="s">
        <v>28</v>
      </c>
      <c r="L1932" s="879" t="s">
        <v>987</v>
      </c>
      <c r="M1932" s="881" t="s">
        <v>115</v>
      </c>
      <c r="N1932" s="883">
        <v>50000</v>
      </c>
      <c r="O1932" s="55">
        <v>719</v>
      </c>
      <c r="P1932" s="78">
        <v>50000</v>
      </c>
    </row>
    <row r="1933" spans="9:16" ht="15.75" customHeight="1" thickBot="1">
      <c r="I1933" s="882"/>
      <c r="J1933" s="876"/>
      <c r="K1933" s="878"/>
      <c r="L1933" s="880"/>
      <c r="M1933" s="882"/>
      <c r="N1933" s="884"/>
      <c r="O1933" s="56">
        <v>721</v>
      </c>
      <c r="P1933" s="79">
        <f>+N1932-P1932</f>
        <v>0</v>
      </c>
    </row>
    <row r="1934" spans="9:16" ht="15" customHeight="1">
      <c r="I1934" s="881">
        <v>218</v>
      </c>
      <c r="J1934" s="875">
        <v>42549</v>
      </c>
      <c r="K1934" s="877" t="s">
        <v>28</v>
      </c>
      <c r="L1934" s="879" t="s">
        <v>988</v>
      </c>
      <c r="M1934" s="881" t="s">
        <v>115</v>
      </c>
      <c r="N1934" s="883">
        <v>40000</v>
      </c>
      <c r="O1934" s="55">
        <v>719</v>
      </c>
      <c r="P1934" s="78">
        <v>40000</v>
      </c>
    </row>
    <row r="1935" spans="9:16" ht="15.75" customHeight="1" thickBot="1">
      <c r="I1935" s="882"/>
      <c r="J1935" s="876"/>
      <c r="K1935" s="878"/>
      <c r="L1935" s="880"/>
      <c r="M1935" s="882"/>
      <c r="N1935" s="884"/>
      <c r="O1935" s="56">
        <v>721</v>
      </c>
      <c r="P1935" s="79">
        <f>+N1934-P1934</f>
        <v>0</v>
      </c>
    </row>
    <row r="1936" spans="9:16" ht="15" customHeight="1">
      <c r="I1936" s="881"/>
      <c r="J1936" s="875"/>
      <c r="K1936" s="877"/>
      <c r="L1936" s="879"/>
      <c r="M1936" s="881"/>
      <c r="N1936" s="883"/>
      <c r="O1936" s="55">
        <v>719</v>
      </c>
      <c r="P1936" s="78">
        <v>0</v>
      </c>
    </row>
    <row r="1937" spans="9:16" ht="15.75" customHeight="1" thickBot="1">
      <c r="I1937" s="882"/>
      <c r="J1937" s="876"/>
      <c r="K1937" s="878"/>
      <c r="L1937" s="880"/>
      <c r="M1937" s="882"/>
      <c r="N1937" s="884"/>
      <c r="O1937" s="56">
        <v>721</v>
      </c>
      <c r="P1937" s="79">
        <f>+N1936-P1936</f>
        <v>0</v>
      </c>
    </row>
    <row r="1938" spans="9:16">
      <c r="I1938" s="881"/>
      <c r="J1938" s="875"/>
      <c r="K1938" s="877"/>
      <c r="L1938" s="881"/>
      <c r="M1938" s="881"/>
      <c r="N1938" s="883"/>
      <c r="O1938" s="55">
        <v>719</v>
      </c>
      <c r="P1938" s="78"/>
    </row>
    <row r="1939" spans="9:16" ht="15.75" thickBot="1">
      <c r="I1939" s="882"/>
      <c r="J1939" s="876"/>
      <c r="K1939" s="878"/>
      <c r="L1939" s="882"/>
      <c r="M1939" s="882"/>
      <c r="N1939" s="884"/>
      <c r="O1939" s="56">
        <v>721</v>
      </c>
      <c r="P1939" s="79">
        <f>+N1938-P1938</f>
        <v>0</v>
      </c>
    </row>
    <row r="1940" spans="9:16" ht="16.5" thickBot="1">
      <c r="I1940" s="901" t="s">
        <v>102</v>
      </c>
      <c r="J1940" s="902"/>
      <c r="K1940" s="902"/>
      <c r="L1940" s="902"/>
      <c r="M1940" s="903"/>
      <c r="N1940" s="81">
        <f>SUM(N1930:N1939)</f>
        <v>150000</v>
      </c>
    </row>
    <row r="1941" spans="9:16" ht="16.5" thickBot="1">
      <c r="I1941" s="885" t="s">
        <v>103</v>
      </c>
      <c r="J1941" s="886"/>
      <c r="K1941" s="886"/>
      <c r="L1941" s="886"/>
      <c r="M1941" s="887"/>
      <c r="N1941" s="69">
        <f>+N1905</f>
        <v>486091165</v>
      </c>
      <c r="O1941" s="241" t="s">
        <v>561</v>
      </c>
      <c r="P1941" s="242">
        <f>314+120+93</f>
        <v>527</v>
      </c>
    </row>
    <row r="1942" spans="9:16" ht="16.5" thickBot="1">
      <c r="I1942" s="888" t="s">
        <v>104</v>
      </c>
      <c r="J1942" s="889"/>
      <c r="K1942" s="889"/>
      <c r="L1942" s="889"/>
      <c r="M1942" s="890"/>
      <c r="N1942" s="183">
        <f>SUM(N1940:N1941)</f>
        <v>486241165</v>
      </c>
    </row>
    <row r="1943" spans="9:16" ht="14.25" customHeight="1">
      <c r="I1943" s="61"/>
      <c r="J1943" s="61"/>
      <c r="K1943" s="61"/>
      <c r="L1943" s="61"/>
      <c r="M1943" s="61"/>
    </row>
    <row r="1944" spans="9:16">
      <c r="I1944" s="51" t="s">
        <v>991</v>
      </c>
    </row>
    <row r="1945" spans="9:16" ht="11.25" customHeight="1">
      <c r="N1945" s="139"/>
    </row>
    <row r="1946" spans="9:16">
      <c r="I1946" s="50" t="s">
        <v>105</v>
      </c>
      <c r="L1946" s="146"/>
      <c r="N1946" s="139"/>
    </row>
    <row r="1947" spans="9:16" ht="12" customHeight="1" thickBot="1"/>
    <row r="1948" spans="9:16" ht="15.75" thickBot="1">
      <c r="I1948" s="891" t="s">
        <v>106</v>
      </c>
      <c r="J1948" s="892"/>
      <c r="K1948" s="892"/>
      <c r="L1948" s="893"/>
      <c r="N1948" s="50" t="s">
        <v>288</v>
      </c>
    </row>
    <row r="1949" spans="9:16" ht="30.75" thickBot="1">
      <c r="I1949" s="57" t="s">
        <v>100</v>
      </c>
      <c r="J1949" s="58" t="s">
        <v>108</v>
      </c>
      <c r="K1949" s="287" t="s">
        <v>109</v>
      </c>
      <c r="L1949" s="60" t="s">
        <v>110</v>
      </c>
    </row>
    <row r="1950" spans="9:16">
      <c r="I1950" s="71">
        <v>719</v>
      </c>
      <c r="J1950" s="73">
        <f>+P1930+P1932+P1934+P1936+P1938</f>
        <v>150000</v>
      </c>
      <c r="K1950" s="74">
        <f>+L1913</f>
        <v>42190000</v>
      </c>
      <c r="L1950" s="195">
        <f>+J1950+K1950</f>
        <v>42340000</v>
      </c>
    </row>
    <row r="1951" spans="9:16">
      <c r="I1951" s="72">
        <v>721</v>
      </c>
      <c r="J1951" s="80">
        <f>+P1931+P1933+P1935+P1937</f>
        <v>0</v>
      </c>
      <c r="K1951" s="74">
        <f>+L1914</f>
        <v>98656559</v>
      </c>
      <c r="L1951" s="195">
        <f>+J1951+K1951</f>
        <v>98656559</v>
      </c>
    </row>
    <row r="1952" spans="9:16">
      <c r="I1952" s="72">
        <v>722</v>
      </c>
      <c r="J1952" s="80"/>
      <c r="K1952" s="74">
        <f>+L1915</f>
        <v>56963334</v>
      </c>
      <c r="L1952" s="195">
        <f>+J1952+K1952</f>
        <v>56963334</v>
      </c>
    </row>
    <row r="1953" spans="9:16" ht="15.75">
      <c r="I1953" s="72">
        <v>723</v>
      </c>
      <c r="J1953" s="80"/>
      <c r="K1953" s="74">
        <f>+L1916</f>
        <v>288510152</v>
      </c>
      <c r="L1953" s="195">
        <f>+J1953+K1953</f>
        <v>288510152</v>
      </c>
      <c r="N1953" s="193" t="s">
        <v>289</v>
      </c>
      <c r="O1953" s="175"/>
    </row>
    <row r="1954" spans="9:16" ht="16.5" thickBot="1">
      <c r="I1954" s="164" t="s">
        <v>181</v>
      </c>
      <c r="J1954" s="165"/>
      <c r="K1954" s="74">
        <f>+L1917</f>
        <v>-298880</v>
      </c>
      <c r="L1954" s="196">
        <f>+J1954+K1954</f>
        <v>-298880</v>
      </c>
      <c r="N1954" s="52"/>
    </row>
    <row r="1955" spans="9:16" ht="16.5" thickBot="1">
      <c r="I1955" s="169"/>
      <c r="J1955" s="197">
        <f>SUM(J1950:J1954)</f>
        <v>150000</v>
      </c>
      <c r="K1955" s="197">
        <f>SUM(K1950:K1954)</f>
        <v>486021165</v>
      </c>
      <c r="L1955" s="198">
        <f>SUM(L1950:L1954)</f>
        <v>486171165</v>
      </c>
    </row>
    <row r="1956" spans="9:16" ht="16.5">
      <c r="I1956" s="49" t="s">
        <v>88</v>
      </c>
      <c r="J1956" s="50"/>
    </row>
    <row r="1957" spans="9:16">
      <c r="I1957" s="51" t="s">
        <v>89</v>
      </c>
    </row>
    <row r="1958" spans="9:16">
      <c r="I1958" s="51" t="s">
        <v>90</v>
      </c>
    </row>
    <row r="1959" spans="9:16">
      <c r="I1959" s="51" t="s">
        <v>91</v>
      </c>
    </row>
    <row r="1960" spans="9:16" ht="11.25" customHeight="1">
      <c r="I1960" s="50"/>
      <c r="J1960" s="50"/>
    </row>
    <row r="1961" spans="9:16" ht="15.75">
      <c r="I1961" s="260" t="s">
        <v>992</v>
      </c>
      <c r="O1961" s="52"/>
    </row>
    <row r="1962" spans="9:16" ht="15.75">
      <c r="I1962" s="53" t="s">
        <v>535</v>
      </c>
      <c r="O1962" s="53"/>
    </row>
    <row r="1963" spans="9:16" ht="16.5">
      <c r="I1963" s="894" t="s">
        <v>909</v>
      </c>
      <c r="J1963" s="894"/>
      <c r="K1963" s="894"/>
      <c r="L1963" s="894"/>
      <c r="M1963" s="894"/>
      <c r="N1963" s="894"/>
      <c r="O1963" s="894"/>
      <c r="P1963" s="894"/>
    </row>
    <row r="1964" spans="9:16" ht="15.75" thickBot="1"/>
    <row r="1965" spans="9:16">
      <c r="I1965" s="895" t="s">
        <v>94</v>
      </c>
      <c r="J1965" s="897" t="s">
        <v>95</v>
      </c>
      <c r="K1965" s="897" t="s">
        <v>96</v>
      </c>
      <c r="L1965" s="897" t="s">
        <v>3</v>
      </c>
      <c r="M1965" s="897" t="s">
        <v>97</v>
      </c>
      <c r="N1965" s="897" t="s">
        <v>98</v>
      </c>
      <c r="O1965" s="897" t="s">
        <v>99</v>
      </c>
      <c r="P1965" s="899"/>
    </row>
    <row r="1966" spans="9:16" ht="15.75" thickBot="1">
      <c r="I1966" s="896"/>
      <c r="J1966" s="898"/>
      <c r="K1966" s="898"/>
      <c r="L1966" s="898"/>
      <c r="M1966" s="898"/>
      <c r="N1966" s="898"/>
      <c r="O1966" s="240" t="s">
        <v>100</v>
      </c>
      <c r="P1966" s="182" t="s">
        <v>101</v>
      </c>
    </row>
    <row r="1967" spans="9:16">
      <c r="I1967" s="881">
        <v>219</v>
      </c>
      <c r="J1967" s="875">
        <v>42549</v>
      </c>
      <c r="K1967" s="877" t="s">
        <v>272</v>
      </c>
      <c r="L1967" s="879" t="s">
        <v>996</v>
      </c>
      <c r="M1967" s="881" t="s">
        <v>115</v>
      </c>
      <c r="N1967" s="883">
        <v>190000</v>
      </c>
      <c r="O1967" s="55">
        <v>719</v>
      </c>
      <c r="P1967" s="78">
        <v>190000</v>
      </c>
    </row>
    <row r="1968" spans="9:16" ht="15.75" thickBot="1">
      <c r="I1968" s="882"/>
      <c r="J1968" s="876"/>
      <c r="K1968" s="878"/>
      <c r="L1968" s="880"/>
      <c r="M1968" s="882"/>
      <c r="N1968" s="884"/>
      <c r="O1968" s="56">
        <v>721</v>
      </c>
      <c r="P1968" s="79">
        <f>+N1967-P1967</f>
        <v>0</v>
      </c>
    </row>
    <row r="1969" spans="9:16">
      <c r="I1969" s="881">
        <v>220</v>
      </c>
      <c r="J1969" s="875">
        <v>42549</v>
      </c>
      <c r="K1969" s="877" t="s">
        <v>28</v>
      </c>
      <c r="L1969" s="879" t="s">
        <v>993</v>
      </c>
      <c r="M1969" s="881" t="s">
        <v>115</v>
      </c>
      <c r="N1969" s="883">
        <v>60000</v>
      </c>
      <c r="O1969" s="55">
        <v>719</v>
      </c>
      <c r="P1969" s="78">
        <v>60000</v>
      </c>
    </row>
    <row r="1970" spans="9:16" ht="15.75" thickBot="1">
      <c r="I1970" s="882"/>
      <c r="J1970" s="876"/>
      <c r="K1970" s="878"/>
      <c r="L1970" s="880"/>
      <c r="M1970" s="882"/>
      <c r="N1970" s="884"/>
      <c r="O1970" s="56">
        <v>721</v>
      </c>
      <c r="P1970" s="79">
        <f>+N1969-P1969</f>
        <v>0</v>
      </c>
    </row>
    <row r="1971" spans="9:16">
      <c r="I1971" s="881">
        <v>221</v>
      </c>
      <c r="J1971" s="875">
        <v>42549</v>
      </c>
      <c r="K1971" s="877" t="s">
        <v>120</v>
      </c>
      <c r="L1971" s="879" t="s">
        <v>994</v>
      </c>
      <c r="M1971" s="881" t="s">
        <v>115</v>
      </c>
      <c r="N1971" s="883">
        <v>50000</v>
      </c>
      <c r="O1971" s="55">
        <v>719</v>
      </c>
      <c r="P1971" s="78">
        <v>50000</v>
      </c>
    </row>
    <row r="1972" spans="9:16" ht="15.75" thickBot="1">
      <c r="I1972" s="882"/>
      <c r="J1972" s="876"/>
      <c r="K1972" s="878"/>
      <c r="L1972" s="880"/>
      <c r="M1972" s="882"/>
      <c r="N1972" s="884"/>
      <c r="O1972" s="56">
        <v>721</v>
      </c>
      <c r="P1972" s="79">
        <f>+N1971-P1971</f>
        <v>0</v>
      </c>
    </row>
    <row r="1973" spans="9:16">
      <c r="I1973" s="881"/>
      <c r="J1973" s="875"/>
      <c r="K1973" s="877"/>
      <c r="L1973" s="879"/>
      <c r="M1973" s="881"/>
      <c r="N1973" s="883"/>
      <c r="O1973" s="55">
        <v>719</v>
      </c>
      <c r="P1973" s="78">
        <v>0</v>
      </c>
    </row>
    <row r="1974" spans="9:16" ht="13.5" customHeight="1" thickBot="1">
      <c r="I1974" s="882"/>
      <c r="J1974" s="876"/>
      <c r="K1974" s="878"/>
      <c r="L1974" s="880"/>
      <c r="M1974" s="882"/>
      <c r="N1974" s="884"/>
      <c r="O1974" s="56">
        <v>721</v>
      </c>
      <c r="P1974" s="79">
        <f>+N1973-P1973</f>
        <v>0</v>
      </c>
    </row>
    <row r="1975" spans="9:16">
      <c r="I1975" s="881"/>
      <c r="J1975" s="875"/>
      <c r="K1975" s="877"/>
      <c r="L1975" s="881"/>
      <c r="M1975" s="881"/>
      <c r="N1975" s="883"/>
      <c r="O1975" s="55">
        <v>719</v>
      </c>
      <c r="P1975" s="78"/>
    </row>
    <row r="1976" spans="9:16" ht="12" customHeight="1" thickBot="1">
      <c r="I1976" s="882"/>
      <c r="J1976" s="876"/>
      <c r="K1976" s="878"/>
      <c r="L1976" s="882"/>
      <c r="M1976" s="882"/>
      <c r="N1976" s="884"/>
      <c r="O1976" s="56">
        <v>721</v>
      </c>
      <c r="P1976" s="79">
        <f>+N1975-P1975</f>
        <v>0</v>
      </c>
    </row>
    <row r="1977" spans="9:16" ht="16.5" thickBot="1">
      <c r="I1977" s="901" t="s">
        <v>102</v>
      </c>
      <c r="J1977" s="902"/>
      <c r="K1977" s="902"/>
      <c r="L1977" s="902"/>
      <c r="M1977" s="903"/>
      <c r="N1977" s="81">
        <f>SUM(N1967:N1976)</f>
        <v>300000</v>
      </c>
    </row>
    <row r="1978" spans="9:16" ht="16.5" thickBot="1">
      <c r="I1978" s="885" t="s">
        <v>103</v>
      </c>
      <c r="J1978" s="886"/>
      <c r="K1978" s="886"/>
      <c r="L1978" s="886"/>
      <c r="M1978" s="887"/>
      <c r="N1978" s="69">
        <f>+N1942</f>
        <v>486241165</v>
      </c>
      <c r="O1978" s="241" t="s">
        <v>561</v>
      </c>
      <c r="P1978" s="242">
        <f>50+174+606</f>
        <v>830</v>
      </c>
    </row>
    <row r="1979" spans="9:16" ht="16.5" thickBot="1">
      <c r="I1979" s="888" t="s">
        <v>104</v>
      </c>
      <c r="J1979" s="889"/>
      <c r="K1979" s="889"/>
      <c r="L1979" s="889"/>
      <c r="M1979" s="890"/>
      <c r="N1979" s="183">
        <f>SUM(N1977:N1978)</f>
        <v>486541165</v>
      </c>
    </row>
    <row r="1980" spans="9:16">
      <c r="I1980" s="61"/>
      <c r="J1980" s="61"/>
      <c r="K1980" s="61"/>
      <c r="L1980" s="61"/>
      <c r="M1980" s="61"/>
    </row>
    <row r="1981" spans="9:16">
      <c r="I1981" s="51" t="s">
        <v>995</v>
      </c>
    </row>
    <row r="1982" spans="9:16">
      <c r="N1982" s="139"/>
    </row>
    <row r="1983" spans="9:16">
      <c r="I1983" s="50" t="s">
        <v>105</v>
      </c>
      <c r="L1983" s="146"/>
      <c r="N1983" s="139"/>
    </row>
    <row r="1984" spans="9:16" ht="12.75" customHeight="1" thickBot="1"/>
    <row r="1985" spans="9:16" ht="15.75" thickBot="1">
      <c r="I1985" s="891" t="s">
        <v>106</v>
      </c>
      <c r="J1985" s="892"/>
      <c r="K1985" s="892"/>
      <c r="L1985" s="893"/>
      <c r="N1985" s="50" t="s">
        <v>288</v>
      </c>
    </row>
    <row r="1986" spans="9:16" ht="30.75" thickBot="1">
      <c r="I1986" s="57" t="s">
        <v>100</v>
      </c>
      <c r="J1986" s="58" t="s">
        <v>108</v>
      </c>
      <c r="K1986" s="287" t="s">
        <v>109</v>
      </c>
      <c r="L1986" s="60" t="s">
        <v>110</v>
      </c>
    </row>
    <row r="1987" spans="9:16">
      <c r="I1987" s="71">
        <v>719</v>
      </c>
      <c r="J1987" s="73">
        <f>+P1967+P1969+P1971+P1973+P1975</f>
        <v>300000</v>
      </c>
      <c r="K1987" s="74">
        <f>+L1950</f>
        <v>42340000</v>
      </c>
      <c r="L1987" s="195">
        <f>+J1987+K1987</f>
        <v>42640000</v>
      </c>
    </row>
    <row r="1988" spans="9:16">
      <c r="I1988" s="72">
        <v>721</v>
      </c>
      <c r="J1988" s="80">
        <f>+P1968+P1970+P1972+P1974</f>
        <v>0</v>
      </c>
      <c r="K1988" s="74">
        <f>+L1951</f>
        <v>98656559</v>
      </c>
      <c r="L1988" s="195">
        <f>+J1988+K1988</f>
        <v>98656559</v>
      </c>
    </row>
    <row r="1989" spans="9:16">
      <c r="I1989" s="72">
        <v>722</v>
      </c>
      <c r="J1989" s="80"/>
      <c r="K1989" s="74">
        <f>+L1952</f>
        <v>56963334</v>
      </c>
      <c r="L1989" s="195">
        <f>+J1989+K1989</f>
        <v>56963334</v>
      </c>
    </row>
    <row r="1990" spans="9:16" ht="15.75">
      <c r="I1990" s="72">
        <v>723</v>
      </c>
      <c r="J1990" s="80"/>
      <c r="K1990" s="74">
        <f>+L1953</f>
        <v>288510152</v>
      </c>
      <c r="L1990" s="195">
        <f>+J1990+K1990</f>
        <v>288510152</v>
      </c>
      <c r="N1990" s="193" t="s">
        <v>289</v>
      </c>
      <c r="O1990" s="175"/>
    </row>
    <row r="1991" spans="9:16" ht="16.5" thickBot="1">
      <c r="I1991" s="164" t="s">
        <v>181</v>
      </c>
      <c r="J1991" s="165"/>
      <c r="K1991" s="74">
        <f>+L1954</f>
        <v>-298880</v>
      </c>
      <c r="L1991" s="196">
        <f>+J1991+K1991</f>
        <v>-298880</v>
      </c>
      <c r="N1991" s="52"/>
    </row>
    <row r="1992" spans="9:16" ht="16.5" thickBot="1">
      <c r="I1992" s="169"/>
      <c r="J1992" s="197">
        <f>SUM(J1987:J1991)</f>
        <v>300000</v>
      </c>
      <c r="K1992" s="197">
        <f>SUM(K1987:K1991)</f>
        <v>486171165</v>
      </c>
      <c r="L1992" s="198">
        <f>SUM(L1987:L1991)</f>
        <v>486471165</v>
      </c>
    </row>
    <row r="1993" spans="9:16" ht="16.5">
      <c r="I1993" s="49" t="s">
        <v>88</v>
      </c>
      <c r="J1993" s="50"/>
    </row>
    <row r="1994" spans="9:16">
      <c r="I1994" s="51" t="s">
        <v>89</v>
      </c>
    </row>
    <row r="1995" spans="9:16">
      <c r="I1995" s="51" t="s">
        <v>90</v>
      </c>
    </row>
    <row r="1996" spans="9:16">
      <c r="I1996" s="51" t="s">
        <v>91</v>
      </c>
    </row>
    <row r="1997" spans="9:16" ht="12.75" customHeight="1">
      <c r="I1997" s="50"/>
      <c r="J1997" s="50"/>
    </row>
    <row r="1998" spans="9:16" ht="15.75">
      <c r="I1998" s="260" t="s">
        <v>997</v>
      </c>
      <c r="O1998" s="52"/>
    </row>
    <row r="1999" spans="9:16" ht="15.75">
      <c r="I1999" s="53" t="s">
        <v>535</v>
      </c>
      <c r="O1999" s="53"/>
    </row>
    <row r="2000" spans="9:16" ht="16.5">
      <c r="I2000" s="894" t="s">
        <v>909</v>
      </c>
      <c r="J2000" s="894"/>
      <c r="K2000" s="894"/>
      <c r="L2000" s="894"/>
      <c r="M2000" s="894"/>
      <c r="N2000" s="894"/>
      <c r="O2000" s="894"/>
      <c r="P2000" s="894"/>
    </row>
    <row r="2001" spans="9:16" ht="15.75" thickBot="1"/>
    <row r="2002" spans="9:16">
      <c r="I2002" s="895" t="s">
        <v>94</v>
      </c>
      <c r="J2002" s="897" t="s">
        <v>95</v>
      </c>
      <c r="K2002" s="897" t="s">
        <v>96</v>
      </c>
      <c r="L2002" s="897" t="s">
        <v>3</v>
      </c>
      <c r="M2002" s="897" t="s">
        <v>97</v>
      </c>
      <c r="N2002" s="897" t="s">
        <v>98</v>
      </c>
      <c r="O2002" s="897" t="s">
        <v>99</v>
      </c>
      <c r="P2002" s="899"/>
    </row>
    <row r="2003" spans="9:16" ht="15.75" thickBot="1">
      <c r="I2003" s="896"/>
      <c r="J2003" s="898"/>
      <c r="K2003" s="898"/>
      <c r="L2003" s="898"/>
      <c r="M2003" s="898"/>
      <c r="N2003" s="898"/>
      <c r="O2003" s="240" t="s">
        <v>100</v>
      </c>
      <c r="P2003" s="182" t="s">
        <v>101</v>
      </c>
    </row>
    <row r="2004" spans="9:16">
      <c r="I2004" s="881">
        <v>222</v>
      </c>
      <c r="J2004" s="875">
        <v>42551</v>
      </c>
      <c r="K2004" s="877" t="s">
        <v>40</v>
      </c>
      <c r="L2004" s="879" t="s">
        <v>999</v>
      </c>
      <c r="M2004" s="881" t="s">
        <v>148</v>
      </c>
      <c r="N2004" s="883">
        <v>28000</v>
      </c>
      <c r="O2004" s="55">
        <v>719</v>
      </c>
      <c r="P2004" s="78">
        <v>20000</v>
      </c>
    </row>
    <row r="2005" spans="9:16" ht="15.75" thickBot="1">
      <c r="I2005" s="882"/>
      <c r="J2005" s="876"/>
      <c r="K2005" s="878"/>
      <c r="L2005" s="880"/>
      <c r="M2005" s="882"/>
      <c r="N2005" s="884"/>
      <c r="O2005" s="56">
        <v>721</v>
      </c>
      <c r="P2005" s="79">
        <f>+N2004-P2004</f>
        <v>8000</v>
      </c>
    </row>
    <row r="2006" spans="9:16" ht="15" customHeight="1">
      <c r="I2006" s="881">
        <v>223</v>
      </c>
      <c r="J2006" s="875">
        <v>42551</v>
      </c>
      <c r="K2006" s="877" t="s">
        <v>28</v>
      </c>
      <c r="L2006" s="879" t="s">
        <v>983</v>
      </c>
      <c r="M2006" s="881" t="s">
        <v>148</v>
      </c>
      <c r="N2006" s="883">
        <v>294000</v>
      </c>
      <c r="O2006" s="55">
        <v>719</v>
      </c>
      <c r="P2006" s="78">
        <v>210000</v>
      </c>
    </row>
    <row r="2007" spans="9:16" ht="15.75" customHeight="1" thickBot="1">
      <c r="I2007" s="882"/>
      <c r="J2007" s="876"/>
      <c r="K2007" s="878"/>
      <c r="L2007" s="880"/>
      <c r="M2007" s="882"/>
      <c r="N2007" s="884"/>
      <c r="O2007" s="56">
        <v>721</v>
      </c>
      <c r="P2007" s="79">
        <f>+N2006-P2006</f>
        <v>84000</v>
      </c>
    </row>
    <row r="2008" spans="9:16" ht="15" customHeight="1">
      <c r="I2008" s="881">
        <v>224</v>
      </c>
      <c r="J2008" s="875">
        <v>42551</v>
      </c>
      <c r="K2008" s="877" t="s">
        <v>111</v>
      </c>
      <c r="L2008" s="879" t="s">
        <v>1000</v>
      </c>
      <c r="M2008" s="881" t="s">
        <v>148</v>
      </c>
      <c r="N2008" s="883">
        <v>84000</v>
      </c>
      <c r="O2008" s="55">
        <v>719</v>
      </c>
      <c r="P2008" s="78">
        <v>60000</v>
      </c>
    </row>
    <row r="2009" spans="9:16" ht="15.75" customHeight="1" thickBot="1">
      <c r="I2009" s="882"/>
      <c r="J2009" s="876"/>
      <c r="K2009" s="878"/>
      <c r="L2009" s="880"/>
      <c r="M2009" s="882"/>
      <c r="N2009" s="884"/>
      <c r="O2009" s="56">
        <v>721</v>
      </c>
      <c r="P2009" s="79">
        <f>+N2008-P2008</f>
        <v>24000</v>
      </c>
    </row>
    <row r="2010" spans="9:16" ht="15" customHeight="1">
      <c r="I2010" s="881">
        <v>225</v>
      </c>
      <c r="J2010" s="875">
        <v>42551</v>
      </c>
      <c r="K2010" s="877" t="s">
        <v>272</v>
      </c>
      <c r="L2010" s="879" t="s">
        <v>983</v>
      </c>
      <c r="M2010" s="881" t="s">
        <v>148</v>
      </c>
      <c r="N2010" s="883">
        <v>672000</v>
      </c>
      <c r="O2010" s="55">
        <v>719</v>
      </c>
      <c r="P2010" s="78">
        <v>480000</v>
      </c>
    </row>
    <row r="2011" spans="9:16" ht="15.75" customHeight="1" thickBot="1">
      <c r="I2011" s="882"/>
      <c r="J2011" s="876"/>
      <c r="K2011" s="878"/>
      <c r="L2011" s="880"/>
      <c r="M2011" s="882"/>
      <c r="N2011" s="884"/>
      <c r="O2011" s="56">
        <v>721</v>
      </c>
      <c r="P2011" s="79">
        <f>+N2010-P2010</f>
        <v>192000</v>
      </c>
    </row>
    <row r="2012" spans="9:16" ht="14.25" customHeight="1">
      <c r="I2012" s="881"/>
      <c r="J2012" s="875"/>
      <c r="K2012" s="877"/>
      <c r="L2012" s="881"/>
      <c r="M2012" s="881"/>
      <c r="N2012" s="883"/>
      <c r="O2012" s="55">
        <v>719</v>
      </c>
      <c r="P2012" s="78"/>
    </row>
    <row r="2013" spans="9:16" ht="12.75" customHeight="1" thickBot="1">
      <c r="I2013" s="882"/>
      <c r="J2013" s="876"/>
      <c r="K2013" s="878"/>
      <c r="L2013" s="882"/>
      <c r="M2013" s="882"/>
      <c r="N2013" s="884"/>
      <c r="O2013" s="56">
        <v>721</v>
      </c>
      <c r="P2013" s="79">
        <f>+N2012-P2012</f>
        <v>0</v>
      </c>
    </row>
    <row r="2014" spans="9:16" ht="16.5" thickBot="1">
      <c r="I2014" s="901" t="s">
        <v>102</v>
      </c>
      <c r="J2014" s="902"/>
      <c r="K2014" s="902"/>
      <c r="L2014" s="902"/>
      <c r="M2014" s="903"/>
      <c r="N2014" s="81">
        <f>SUM(N2004:N2013)</f>
        <v>1078000</v>
      </c>
    </row>
    <row r="2015" spans="9:16" ht="16.5" thickBot="1">
      <c r="I2015" s="885" t="s">
        <v>103</v>
      </c>
      <c r="J2015" s="886"/>
      <c r="K2015" s="886"/>
      <c r="L2015" s="886"/>
      <c r="M2015" s="887"/>
      <c r="N2015" s="69">
        <f>+N1979</f>
        <v>486541165</v>
      </c>
      <c r="O2015" s="241" t="s">
        <v>561</v>
      </c>
      <c r="P2015" s="242">
        <f>22+571+21+917</f>
        <v>1531</v>
      </c>
    </row>
    <row r="2016" spans="9:16" ht="16.5" thickBot="1">
      <c r="I2016" s="888" t="s">
        <v>104</v>
      </c>
      <c r="J2016" s="889"/>
      <c r="K2016" s="889"/>
      <c r="L2016" s="889"/>
      <c r="M2016" s="890"/>
      <c r="N2016" s="183">
        <f>SUM(N2014:N2015)</f>
        <v>487619165</v>
      </c>
    </row>
    <row r="2017" spans="9:15">
      <c r="I2017" s="61"/>
      <c r="J2017" s="61"/>
      <c r="K2017" s="61"/>
      <c r="L2017" s="61"/>
      <c r="M2017" s="61"/>
    </row>
    <row r="2018" spans="9:15">
      <c r="I2018" s="51" t="s">
        <v>1006</v>
      </c>
    </row>
    <row r="2019" spans="9:15" ht="12.75" customHeight="1">
      <c r="N2019" s="139"/>
    </row>
    <row r="2020" spans="9:15">
      <c r="I2020" s="50" t="s">
        <v>105</v>
      </c>
      <c r="L2020" s="146"/>
      <c r="N2020" s="139"/>
    </row>
    <row r="2021" spans="9:15" ht="15.75" thickBot="1"/>
    <row r="2022" spans="9:15" ht="15.75" thickBot="1">
      <c r="I2022" s="891" t="s">
        <v>106</v>
      </c>
      <c r="J2022" s="892"/>
      <c r="K2022" s="892"/>
      <c r="L2022" s="893"/>
      <c r="N2022" s="50" t="s">
        <v>288</v>
      </c>
    </row>
    <row r="2023" spans="9:15" ht="30.75" thickBot="1">
      <c r="I2023" s="57" t="s">
        <v>100</v>
      </c>
      <c r="J2023" s="58" t="s">
        <v>108</v>
      </c>
      <c r="K2023" s="287" t="s">
        <v>109</v>
      </c>
      <c r="L2023" s="60" t="s">
        <v>110</v>
      </c>
    </row>
    <row r="2024" spans="9:15">
      <c r="I2024" s="71">
        <v>719</v>
      </c>
      <c r="J2024" s="73">
        <f>+P2004+P2006+P2008+P2010+P2012</f>
        <v>770000</v>
      </c>
      <c r="K2024" s="74">
        <f>+L1987</f>
        <v>42640000</v>
      </c>
      <c r="L2024" s="195">
        <f>+J2024+K2024</f>
        <v>43410000</v>
      </c>
    </row>
    <row r="2025" spans="9:15">
      <c r="I2025" s="72">
        <v>721</v>
      </c>
      <c r="J2025" s="80">
        <f>+P2005+P2007+P2009+P2011</f>
        <v>308000</v>
      </c>
      <c r="K2025" s="74">
        <f>+L1988</f>
        <v>98656559</v>
      </c>
      <c r="L2025" s="195">
        <f>+J2025+K2025</f>
        <v>98964559</v>
      </c>
    </row>
    <row r="2026" spans="9:15">
      <c r="I2026" s="72">
        <v>722</v>
      </c>
      <c r="J2026" s="80"/>
      <c r="K2026" s="74">
        <f>+L1989</f>
        <v>56963334</v>
      </c>
      <c r="L2026" s="195">
        <f>+J2026+K2026</f>
        <v>56963334</v>
      </c>
    </row>
    <row r="2027" spans="9:15" ht="15.75">
      <c r="I2027" s="72">
        <v>723</v>
      </c>
      <c r="J2027" s="80"/>
      <c r="K2027" s="74">
        <f>+L1990</f>
        <v>288510152</v>
      </c>
      <c r="L2027" s="195">
        <f>+J2027+K2027</f>
        <v>288510152</v>
      </c>
      <c r="N2027" s="193" t="s">
        <v>289</v>
      </c>
      <c r="O2027" s="175"/>
    </row>
    <row r="2028" spans="9:15" ht="16.5" thickBot="1">
      <c r="I2028" s="164" t="s">
        <v>181</v>
      </c>
      <c r="J2028" s="165"/>
      <c r="K2028" s="74">
        <f>+L1991</f>
        <v>-298880</v>
      </c>
      <c r="L2028" s="196">
        <f>+J2028+K2028</f>
        <v>-298880</v>
      </c>
      <c r="N2028" s="52"/>
    </row>
    <row r="2029" spans="9:15" ht="16.5" thickBot="1">
      <c r="I2029" s="169"/>
      <c r="J2029" s="197">
        <f>SUM(J2024:J2028)</f>
        <v>1078000</v>
      </c>
      <c r="K2029" s="197">
        <f>SUM(K2024:K2028)</f>
        <v>486471165</v>
      </c>
      <c r="L2029" s="198">
        <f>SUM(L2024:L2028)</f>
        <v>487549165</v>
      </c>
    </row>
    <row r="2030" spans="9:15" ht="16.5">
      <c r="I2030" s="49" t="s">
        <v>88</v>
      </c>
      <c r="J2030" s="50"/>
    </row>
    <row r="2031" spans="9:15">
      <c r="I2031" s="51" t="s">
        <v>89</v>
      </c>
    </row>
    <row r="2032" spans="9:15">
      <c r="I2032" s="51" t="s">
        <v>90</v>
      </c>
    </row>
    <row r="2033" spans="9:16">
      <c r="I2033" s="51" t="s">
        <v>91</v>
      </c>
    </row>
    <row r="2034" spans="9:16" ht="12.75" customHeight="1">
      <c r="I2034" s="50"/>
      <c r="J2034" s="50"/>
    </row>
    <row r="2035" spans="9:16" ht="15.75">
      <c r="I2035" s="260" t="s">
        <v>998</v>
      </c>
      <c r="O2035" s="52"/>
    </row>
    <row r="2036" spans="9:16" ht="15.75">
      <c r="I2036" s="53" t="s">
        <v>535</v>
      </c>
      <c r="O2036" s="53"/>
    </row>
    <row r="2037" spans="9:16" ht="16.5">
      <c r="I2037" s="894" t="s">
        <v>909</v>
      </c>
      <c r="J2037" s="894"/>
      <c r="K2037" s="894"/>
      <c r="L2037" s="894"/>
      <c r="M2037" s="894"/>
      <c r="N2037" s="894"/>
      <c r="O2037" s="894"/>
      <c r="P2037" s="894"/>
    </row>
    <row r="2038" spans="9:16" ht="15.75" thickBot="1"/>
    <row r="2039" spans="9:16">
      <c r="I2039" s="895" t="s">
        <v>94</v>
      </c>
      <c r="J2039" s="897" t="s">
        <v>95</v>
      </c>
      <c r="K2039" s="897" t="s">
        <v>96</v>
      </c>
      <c r="L2039" s="897" t="s">
        <v>3</v>
      </c>
      <c r="M2039" s="897" t="s">
        <v>97</v>
      </c>
      <c r="N2039" s="897" t="s">
        <v>98</v>
      </c>
      <c r="O2039" s="897" t="s">
        <v>99</v>
      </c>
      <c r="P2039" s="899"/>
    </row>
    <row r="2040" spans="9:16" ht="15.75" thickBot="1">
      <c r="I2040" s="896"/>
      <c r="J2040" s="898"/>
      <c r="K2040" s="898"/>
      <c r="L2040" s="898"/>
      <c r="M2040" s="898"/>
      <c r="N2040" s="898"/>
      <c r="O2040" s="240" t="s">
        <v>100</v>
      </c>
      <c r="P2040" s="182" t="s">
        <v>101</v>
      </c>
    </row>
    <row r="2041" spans="9:16" ht="15" customHeight="1">
      <c r="I2041" s="881">
        <v>226</v>
      </c>
      <c r="J2041" s="875">
        <v>42551</v>
      </c>
      <c r="K2041" s="877" t="s">
        <v>40</v>
      </c>
      <c r="L2041" s="879" t="s">
        <v>1001</v>
      </c>
      <c r="M2041" s="881" t="s">
        <v>148</v>
      </c>
      <c r="N2041" s="883">
        <v>140000</v>
      </c>
      <c r="O2041" s="55">
        <v>719</v>
      </c>
      <c r="P2041" s="78">
        <v>100000</v>
      </c>
    </row>
    <row r="2042" spans="9:16" ht="15.75" customHeight="1" thickBot="1">
      <c r="I2042" s="882"/>
      <c r="J2042" s="876"/>
      <c r="K2042" s="878"/>
      <c r="L2042" s="880"/>
      <c r="M2042" s="882"/>
      <c r="N2042" s="884"/>
      <c r="O2042" s="56">
        <v>721</v>
      </c>
      <c r="P2042" s="79">
        <f>+N2041-P2041</f>
        <v>40000</v>
      </c>
    </row>
    <row r="2043" spans="9:16" ht="15" customHeight="1">
      <c r="I2043" s="881">
        <v>227</v>
      </c>
      <c r="J2043" s="875">
        <v>42551</v>
      </c>
      <c r="K2043" s="877" t="s">
        <v>28</v>
      </c>
      <c r="L2043" s="879" t="s">
        <v>1002</v>
      </c>
      <c r="M2043" s="881" t="s">
        <v>148</v>
      </c>
      <c r="N2043" s="883">
        <v>966000</v>
      </c>
      <c r="O2043" s="55">
        <v>719</v>
      </c>
      <c r="P2043" s="78">
        <v>690000</v>
      </c>
    </row>
    <row r="2044" spans="9:16" ht="15.75" customHeight="1" thickBot="1">
      <c r="I2044" s="882"/>
      <c r="J2044" s="876"/>
      <c r="K2044" s="878"/>
      <c r="L2044" s="880"/>
      <c r="M2044" s="882"/>
      <c r="N2044" s="884"/>
      <c r="O2044" s="56">
        <v>721</v>
      </c>
      <c r="P2044" s="79">
        <f>+N2043-P2043</f>
        <v>276000</v>
      </c>
    </row>
    <row r="2045" spans="9:16" ht="15" customHeight="1">
      <c r="I2045" s="881">
        <v>228</v>
      </c>
      <c r="J2045" s="875">
        <v>42551</v>
      </c>
      <c r="K2045" s="877" t="s">
        <v>111</v>
      </c>
      <c r="L2045" s="879" t="s">
        <v>1003</v>
      </c>
      <c r="M2045" s="881" t="s">
        <v>148</v>
      </c>
      <c r="N2045" s="883">
        <v>252000</v>
      </c>
      <c r="O2045" s="55">
        <v>719</v>
      </c>
      <c r="P2045" s="78">
        <v>180000</v>
      </c>
    </row>
    <row r="2046" spans="9:16" ht="15.75" customHeight="1" thickBot="1">
      <c r="I2046" s="882"/>
      <c r="J2046" s="876"/>
      <c r="K2046" s="878"/>
      <c r="L2046" s="880"/>
      <c r="M2046" s="882"/>
      <c r="N2046" s="884"/>
      <c r="O2046" s="56">
        <v>721</v>
      </c>
      <c r="P2046" s="79">
        <f>+N2045-P2045</f>
        <v>72000</v>
      </c>
    </row>
    <row r="2047" spans="9:16" ht="15" customHeight="1">
      <c r="I2047" s="881">
        <v>229</v>
      </c>
      <c r="J2047" s="875">
        <v>42551</v>
      </c>
      <c r="K2047" s="877" t="s">
        <v>272</v>
      </c>
      <c r="L2047" s="879" t="s">
        <v>1004</v>
      </c>
      <c r="M2047" s="881" t="s">
        <v>148</v>
      </c>
      <c r="N2047" s="883">
        <v>1946000</v>
      </c>
      <c r="O2047" s="55">
        <v>719</v>
      </c>
      <c r="P2047" s="78">
        <v>1390000</v>
      </c>
    </row>
    <row r="2048" spans="9:16" ht="15.75" customHeight="1" thickBot="1">
      <c r="I2048" s="882"/>
      <c r="J2048" s="876"/>
      <c r="K2048" s="878"/>
      <c r="L2048" s="880"/>
      <c r="M2048" s="882"/>
      <c r="N2048" s="884"/>
      <c r="O2048" s="56">
        <v>721</v>
      </c>
      <c r="P2048" s="79">
        <f>+N2047-P2047</f>
        <v>556000</v>
      </c>
    </row>
    <row r="2049" spans="9:16">
      <c r="I2049" s="881"/>
      <c r="J2049" s="875"/>
      <c r="K2049" s="877"/>
      <c r="L2049" s="881"/>
      <c r="M2049" s="881"/>
      <c r="N2049" s="883"/>
      <c r="O2049" s="55">
        <v>719</v>
      </c>
      <c r="P2049" s="78"/>
    </row>
    <row r="2050" spans="9:16" ht="12" customHeight="1" thickBot="1">
      <c r="I2050" s="882"/>
      <c r="J2050" s="876"/>
      <c r="K2050" s="878"/>
      <c r="L2050" s="882"/>
      <c r="M2050" s="882"/>
      <c r="N2050" s="884"/>
      <c r="O2050" s="56">
        <v>721</v>
      </c>
      <c r="P2050" s="79">
        <f>+N2049-P2049</f>
        <v>0</v>
      </c>
    </row>
    <row r="2051" spans="9:16" ht="16.5" thickBot="1">
      <c r="I2051" s="901" t="s">
        <v>102</v>
      </c>
      <c r="J2051" s="902"/>
      <c r="K2051" s="902"/>
      <c r="L2051" s="902"/>
      <c r="M2051" s="903"/>
      <c r="N2051" s="81">
        <f>SUM(N2041:N2050)</f>
        <v>3304000</v>
      </c>
    </row>
    <row r="2052" spans="9:16" ht="16.5" thickBot="1">
      <c r="I2052" s="885" t="s">
        <v>103</v>
      </c>
      <c r="J2052" s="886"/>
      <c r="K2052" s="886"/>
      <c r="L2052" s="886"/>
      <c r="M2052" s="887"/>
      <c r="N2052" s="69">
        <f>+N2016</f>
        <v>487619165</v>
      </c>
      <c r="O2052" s="241" t="s">
        <v>561</v>
      </c>
      <c r="P2052" s="242">
        <f>89+1849+70+3374</f>
        <v>5382</v>
      </c>
    </row>
    <row r="2053" spans="9:16" ht="16.5" thickBot="1">
      <c r="I2053" s="888" t="s">
        <v>104</v>
      </c>
      <c r="J2053" s="889"/>
      <c r="K2053" s="889"/>
      <c r="L2053" s="889"/>
      <c r="M2053" s="890"/>
      <c r="N2053" s="183">
        <f>SUM(N2051:N2052)</f>
        <v>490923165</v>
      </c>
    </row>
    <row r="2054" spans="9:16">
      <c r="I2054" s="61"/>
      <c r="J2054" s="61"/>
      <c r="K2054" s="61"/>
      <c r="L2054" s="61"/>
      <c r="M2054" s="61"/>
    </row>
    <row r="2055" spans="9:16">
      <c r="I2055" s="51" t="s">
        <v>1005</v>
      </c>
    </row>
    <row r="2056" spans="9:16" ht="12.75" customHeight="1">
      <c r="N2056" s="139"/>
    </row>
    <row r="2057" spans="9:16">
      <c r="I2057" s="50" t="s">
        <v>105</v>
      </c>
      <c r="L2057" s="146"/>
      <c r="N2057" s="139"/>
    </row>
    <row r="2058" spans="9:16" ht="15.75" thickBot="1"/>
    <row r="2059" spans="9:16" ht="15.75" thickBot="1">
      <c r="I2059" s="891" t="s">
        <v>106</v>
      </c>
      <c r="J2059" s="892"/>
      <c r="K2059" s="892"/>
      <c r="L2059" s="893"/>
      <c r="N2059" s="50" t="s">
        <v>288</v>
      </c>
    </row>
    <row r="2060" spans="9:16" ht="30.75" thickBot="1">
      <c r="I2060" s="57" t="s">
        <v>100</v>
      </c>
      <c r="J2060" s="58" t="s">
        <v>108</v>
      </c>
      <c r="K2060" s="287" t="s">
        <v>109</v>
      </c>
      <c r="L2060" s="60" t="s">
        <v>110</v>
      </c>
    </row>
    <row r="2061" spans="9:16">
      <c r="I2061" s="71">
        <v>719</v>
      </c>
      <c r="J2061" s="73">
        <f>+P2041+P2043+P2045+P2047+P2049</f>
        <v>2360000</v>
      </c>
      <c r="K2061" s="74">
        <f>+L2024</f>
        <v>43410000</v>
      </c>
      <c r="L2061" s="195">
        <f>+J2061+K2061</f>
        <v>45770000</v>
      </c>
    </row>
    <row r="2062" spans="9:16">
      <c r="I2062" s="72">
        <v>721</v>
      </c>
      <c r="J2062" s="80">
        <f>+P2042+P2044+P2046+P2048</f>
        <v>944000</v>
      </c>
      <c r="K2062" s="74">
        <f>+L2025</f>
        <v>98964559</v>
      </c>
      <c r="L2062" s="195">
        <f>+J2062+K2062</f>
        <v>99908559</v>
      </c>
    </row>
    <row r="2063" spans="9:16">
      <c r="I2063" s="72">
        <v>722</v>
      </c>
      <c r="J2063" s="80"/>
      <c r="K2063" s="74">
        <f>+L2026</f>
        <v>56963334</v>
      </c>
      <c r="L2063" s="195">
        <f>+J2063+K2063</f>
        <v>56963334</v>
      </c>
    </row>
    <row r="2064" spans="9:16" ht="15.75">
      <c r="I2064" s="72">
        <v>723</v>
      </c>
      <c r="J2064" s="80"/>
      <c r="K2064" s="74">
        <f>+L2027</f>
        <v>288510152</v>
      </c>
      <c r="L2064" s="195">
        <f>+J2064+K2064</f>
        <v>288510152</v>
      </c>
      <c r="N2064" s="193" t="s">
        <v>289</v>
      </c>
      <c r="O2064" s="175"/>
    </row>
    <row r="2065" spans="9:16" ht="16.5" thickBot="1">
      <c r="I2065" s="164" t="s">
        <v>181</v>
      </c>
      <c r="J2065" s="165"/>
      <c r="K2065" s="74">
        <f>+L2028</f>
        <v>-298880</v>
      </c>
      <c r="L2065" s="196">
        <f>+J2065+K2065</f>
        <v>-298880</v>
      </c>
      <c r="N2065" s="52"/>
    </row>
    <row r="2066" spans="9:16" ht="16.5" thickBot="1">
      <c r="I2066" s="169"/>
      <c r="J2066" s="197">
        <f>SUM(J2061:J2065)</f>
        <v>3304000</v>
      </c>
      <c r="K2066" s="197">
        <f>SUM(K2061:K2065)</f>
        <v>487549165</v>
      </c>
      <c r="L2066" s="198">
        <f>SUM(L2061:L2065)</f>
        <v>490853165</v>
      </c>
    </row>
    <row r="2067" spans="9:16" ht="16.5">
      <c r="I2067" s="49" t="s">
        <v>88</v>
      </c>
      <c r="J2067" s="50"/>
    </row>
    <row r="2068" spans="9:16">
      <c r="I2068" s="51" t="s">
        <v>89</v>
      </c>
    </row>
    <row r="2069" spans="9:16">
      <c r="I2069" s="51" t="s">
        <v>90</v>
      </c>
    </row>
    <row r="2070" spans="9:16">
      <c r="I2070" s="51" t="s">
        <v>91</v>
      </c>
    </row>
    <row r="2071" spans="9:16" ht="12.75" customHeight="1">
      <c r="I2071" s="50"/>
      <c r="J2071" s="50"/>
    </row>
    <row r="2072" spans="9:16" ht="15.75">
      <c r="I2072" s="260" t="s">
        <v>1007</v>
      </c>
      <c r="O2072" s="52"/>
    </row>
    <row r="2073" spans="9:16" ht="15.75">
      <c r="I2073" s="53" t="s">
        <v>535</v>
      </c>
      <c r="O2073" s="53"/>
    </row>
    <row r="2074" spans="9:16" ht="16.5">
      <c r="I2074" s="894" t="s">
        <v>1011</v>
      </c>
      <c r="J2074" s="894"/>
      <c r="K2074" s="894"/>
      <c r="L2074" s="894"/>
      <c r="M2074" s="894"/>
      <c r="N2074" s="894"/>
      <c r="O2074" s="894"/>
      <c r="P2074" s="894"/>
    </row>
    <row r="2075" spans="9:16" ht="15.75" thickBot="1"/>
    <row r="2076" spans="9:16">
      <c r="I2076" s="895" t="s">
        <v>94</v>
      </c>
      <c r="J2076" s="897" t="s">
        <v>95</v>
      </c>
      <c r="K2076" s="897" t="s">
        <v>96</v>
      </c>
      <c r="L2076" s="897" t="s">
        <v>3</v>
      </c>
      <c r="M2076" s="897" t="s">
        <v>97</v>
      </c>
      <c r="N2076" s="897" t="s">
        <v>98</v>
      </c>
      <c r="O2076" s="897" t="s">
        <v>99</v>
      </c>
      <c r="P2076" s="899"/>
    </row>
    <row r="2077" spans="9:16" ht="15.75" thickBot="1">
      <c r="I2077" s="896"/>
      <c r="J2077" s="898"/>
      <c r="K2077" s="898"/>
      <c r="L2077" s="898"/>
      <c r="M2077" s="898"/>
      <c r="N2077" s="898"/>
      <c r="O2077" s="240" t="s">
        <v>100</v>
      </c>
      <c r="P2077" s="182" t="s">
        <v>101</v>
      </c>
    </row>
    <row r="2078" spans="9:16">
      <c r="I2078" s="881">
        <v>230</v>
      </c>
      <c r="J2078" s="875">
        <v>42551</v>
      </c>
      <c r="K2078" s="877" t="s">
        <v>1008</v>
      </c>
      <c r="L2078" s="879" t="s">
        <v>1010</v>
      </c>
      <c r="M2078" s="881" t="s">
        <v>145</v>
      </c>
      <c r="N2078" s="883">
        <v>100000</v>
      </c>
      <c r="O2078" s="55">
        <v>719</v>
      </c>
      <c r="P2078" s="78">
        <v>0</v>
      </c>
    </row>
    <row r="2079" spans="9:16" ht="15.75" thickBot="1">
      <c r="I2079" s="882"/>
      <c r="J2079" s="876"/>
      <c r="K2079" s="878"/>
      <c r="L2079" s="880"/>
      <c r="M2079" s="882"/>
      <c r="N2079" s="884"/>
      <c r="O2079" s="56">
        <v>721</v>
      </c>
      <c r="P2079" s="79">
        <v>100000</v>
      </c>
    </row>
    <row r="2080" spans="9:16" ht="15" customHeight="1">
      <c r="I2080" s="881">
        <v>231</v>
      </c>
      <c r="J2080" s="875">
        <v>42551</v>
      </c>
      <c r="K2080" s="877" t="s">
        <v>1009</v>
      </c>
      <c r="L2080" s="879" t="s">
        <v>1010</v>
      </c>
      <c r="M2080" s="881" t="s">
        <v>145</v>
      </c>
      <c r="N2080" s="883">
        <v>100000</v>
      </c>
      <c r="O2080" s="55">
        <v>719</v>
      </c>
      <c r="P2080" s="78">
        <v>0</v>
      </c>
    </row>
    <row r="2081" spans="9:16" ht="15.75" customHeight="1" thickBot="1">
      <c r="I2081" s="882"/>
      <c r="J2081" s="876"/>
      <c r="K2081" s="878"/>
      <c r="L2081" s="880"/>
      <c r="M2081" s="882"/>
      <c r="N2081" s="884"/>
      <c r="O2081" s="56">
        <v>721</v>
      </c>
      <c r="P2081" s="79">
        <v>100000</v>
      </c>
    </row>
    <row r="2082" spans="9:16">
      <c r="I2082" s="881"/>
      <c r="J2082" s="875"/>
      <c r="K2082" s="877"/>
      <c r="L2082" s="879"/>
      <c r="M2082" s="881"/>
      <c r="N2082" s="883"/>
      <c r="O2082" s="55">
        <v>719</v>
      </c>
      <c r="P2082" s="78">
        <v>0</v>
      </c>
    </row>
    <row r="2083" spans="9:16" ht="14.25" customHeight="1" thickBot="1">
      <c r="I2083" s="882"/>
      <c r="J2083" s="876"/>
      <c r="K2083" s="878"/>
      <c r="L2083" s="880"/>
      <c r="M2083" s="882"/>
      <c r="N2083" s="884"/>
      <c r="O2083" s="56">
        <v>721</v>
      </c>
      <c r="P2083" s="79">
        <f>+N2082-P2082</f>
        <v>0</v>
      </c>
    </row>
    <row r="2084" spans="9:16" ht="15" customHeight="1">
      <c r="I2084" s="881"/>
      <c r="J2084" s="875"/>
      <c r="K2084" s="877"/>
      <c r="L2084" s="879"/>
      <c r="M2084" s="881"/>
      <c r="N2084" s="883"/>
      <c r="O2084" s="55">
        <v>719</v>
      </c>
      <c r="P2084" s="78">
        <v>0</v>
      </c>
    </row>
    <row r="2085" spans="9:16" ht="15.75" customHeight="1" thickBot="1">
      <c r="I2085" s="882"/>
      <c r="J2085" s="876"/>
      <c r="K2085" s="878"/>
      <c r="L2085" s="880"/>
      <c r="M2085" s="882"/>
      <c r="N2085" s="884"/>
      <c r="O2085" s="56">
        <v>721</v>
      </c>
      <c r="P2085" s="79">
        <f>+N2084-P2084</f>
        <v>0</v>
      </c>
    </row>
    <row r="2086" spans="9:16" ht="10.5" customHeight="1">
      <c r="I2086" s="881"/>
      <c r="J2086" s="875"/>
      <c r="K2086" s="877"/>
      <c r="L2086" s="881"/>
      <c r="M2086" s="881"/>
      <c r="N2086" s="883"/>
      <c r="O2086" s="55">
        <v>719</v>
      </c>
      <c r="P2086" s="78"/>
    </row>
    <row r="2087" spans="9:16" ht="14.25" customHeight="1" thickBot="1">
      <c r="I2087" s="882"/>
      <c r="J2087" s="876"/>
      <c r="K2087" s="878"/>
      <c r="L2087" s="882"/>
      <c r="M2087" s="882"/>
      <c r="N2087" s="884"/>
      <c r="O2087" s="56">
        <v>721</v>
      </c>
      <c r="P2087" s="79">
        <f>+N2086-P2086</f>
        <v>0</v>
      </c>
    </row>
    <row r="2088" spans="9:16" ht="16.5" customHeight="1" thickBot="1">
      <c r="I2088" s="901" t="s">
        <v>102</v>
      </c>
      <c r="J2088" s="902"/>
      <c r="K2088" s="902"/>
      <c r="L2088" s="902"/>
      <c r="M2088" s="903"/>
      <c r="N2088" s="81">
        <f>SUM(N2078:N2087)</f>
        <v>200000</v>
      </c>
    </row>
    <row r="2089" spans="9:16" ht="16.5" customHeight="1" thickBot="1">
      <c r="I2089" s="885" t="s">
        <v>103</v>
      </c>
      <c r="J2089" s="886"/>
      <c r="K2089" s="886"/>
      <c r="L2089" s="886"/>
      <c r="M2089" s="887"/>
      <c r="N2089" s="69">
        <f>+N2053</f>
        <v>490923165</v>
      </c>
      <c r="O2089" s="241" t="s">
        <v>561</v>
      </c>
      <c r="P2089" s="242"/>
    </row>
    <row r="2090" spans="9:16" ht="16.5" customHeight="1" thickBot="1">
      <c r="I2090" s="888" t="s">
        <v>104</v>
      </c>
      <c r="J2090" s="889"/>
      <c r="K2090" s="889"/>
      <c r="L2090" s="889"/>
      <c r="M2090" s="890"/>
      <c r="N2090" s="183">
        <f>SUM(N2088:N2089)</f>
        <v>491123165</v>
      </c>
    </row>
    <row r="2091" spans="9:16" ht="15.75" customHeight="1">
      <c r="I2091" s="61"/>
      <c r="J2091" s="61"/>
      <c r="K2091" s="61"/>
      <c r="L2091" s="61"/>
      <c r="M2091" s="61"/>
    </row>
    <row r="2092" spans="9:16" ht="15" customHeight="1">
      <c r="I2092" s="51" t="s">
        <v>1012</v>
      </c>
    </row>
    <row r="2093" spans="9:16" ht="14.25" customHeight="1">
      <c r="N2093" s="139"/>
    </row>
    <row r="2094" spans="9:16">
      <c r="I2094" s="50" t="s">
        <v>105</v>
      </c>
      <c r="L2094" s="146"/>
      <c r="N2094" s="139"/>
    </row>
    <row r="2095" spans="9:16" ht="14.25" customHeight="1" thickBot="1"/>
    <row r="2096" spans="9:16" ht="15.75" thickBot="1">
      <c r="I2096" s="891" t="s">
        <v>106</v>
      </c>
      <c r="J2096" s="892"/>
      <c r="K2096" s="892"/>
      <c r="L2096" s="893"/>
      <c r="N2096" s="50" t="s">
        <v>288</v>
      </c>
    </row>
    <row r="2097" spans="9:16" ht="30.75" thickBot="1">
      <c r="I2097" s="57" t="s">
        <v>100</v>
      </c>
      <c r="J2097" s="58" t="s">
        <v>108</v>
      </c>
      <c r="K2097" s="287" t="s">
        <v>109</v>
      </c>
      <c r="L2097" s="60" t="s">
        <v>110</v>
      </c>
    </row>
    <row r="2098" spans="9:16">
      <c r="I2098" s="71">
        <v>719</v>
      </c>
      <c r="J2098" s="73">
        <f>+P2078+P2080+P2082+P2084+P2086</f>
        <v>0</v>
      </c>
      <c r="K2098" s="74">
        <f>+L2061</f>
        <v>45770000</v>
      </c>
      <c r="L2098" s="195">
        <f>+J2098+K2098</f>
        <v>45770000</v>
      </c>
    </row>
    <row r="2099" spans="9:16">
      <c r="I2099" s="72">
        <v>721</v>
      </c>
      <c r="J2099" s="80">
        <f>+P2079+P2081+P2083+P2085</f>
        <v>200000</v>
      </c>
      <c r="K2099" s="74">
        <f>+L2062</f>
        <v>99908559</v>
      </c>
      <c r="L2099" s="195">
        <f>+J2099+K2099</f>
        <v>100108559</v>
      </c>
    </row>
    <row r="2100" spans="9:16">
      <c r="I2100" s="72">
        <v>722</v>
      </c>
      <c r="J2100" s="80"/>
      <c r="K2100" s="74">
        <f>+L2063</f>
        <v>56963334</v>
      </c>
      <c r="L2100" s="195">
        <f>+J2100+K2100</f>
        <v>56963334</v>
      </c>
    </row>
    <row r="2101" spans="9:16" ht="15.75">
      <c r="I2101" s="72">
        <v>723</v>
      </c>
      <c r="J2101" s="80"/>
      <c r="K2101" s="74">
        <f>+L2064</f>
        <v>288510152</v>
      </c>
      <c r="L2101" s="195">
        <f>+J2101+K2101</f>
        <v>288510152</v>
      </c>
      <c r="N2101" s="193" t="s">
        <v>289</v>
      </c>
      <c r="O2101" s="175"/>
    </row>
    <row r="2102" spans="9:16" ht="16.5" thickBot="1">
      <c r="I2102" s="164" t="s">
        <v>181</v>
      </c>
      <c r="J2102" s="165"/>
      <c r="K2102" s="74">
        <f>+L2065</f>
        <v>-298880</v>
      </c>
      <c r="L2102" s="196">
        <f>+J2102+K2102</f>
        <v>-298880</v>
      </c>
      <c r="N2102" s="52"/>
    </row>
    <row r="2103" spans="9:16" ht="16.5" thickBot="1">
      <c r="I2103" s="169"/>
      <c r="J2103" s="197">
        <f>SUM(J2098:J2102)</f>
        <v>200000</v>
      </c>
      <c r="K2103" s="197">
        <f>SUM(K2098:K2102)</f>
        <v>490853165</v>
      </c>
      <c r="L2103" s="198">
        <f>SUM(L2098:L2102)</f>
        <v>491053165</v>
      </c>
    </row>
    <row r="2104" spans="9:16" ht="16.5">
      <c r="I2104" s="49" t="s">
        <v>88</v>
      </c>
      <c r="J2104" s="50"/>
    </row>
    <row r="2105" spans="9:16">
      <c r="I2105" s="51" t="s">
        <v>89</v>
      </c>
    </row>
    <row r="2106" spans="9:16">
      <c r="I2106" s="51" t="s">
        <v>90</v>
      </c>
    </row>
    <row r="2107" spans="9:16">
      <c r="I2107" s="51" t="s">
        <v>91</v>
      </c>
    </row>
    <row r="2108" spans="9:16">
      <c r="I2108" s="50"/>
      <c r="J2108" s="50"/>
    </row>
    <row r="2109" spans="9:16" ht="15.75">
      <c r="I2109" s="260" t="s">
        <v>1013</v>
      </c>
      <c r="O2109" s="52"/>
    </row>
    <row r="2110" spans="9:16" ht="15.75">
      <c r="I2110" s="53" t="s">
        <v>535</v>
      </c>
      <c r="O2110" s="53"/>
    </row>
    <row r="2111" spans="9:16" ht="16.5">
      <c r="I2111" s="894" t="s">
        <v>1011</v>
      </c>
      <c r="J2111" s="894"/>
      <c r="K2111" s="894"/>
      <c r="L2111" s="894"/>
      <c r="M2111" s="894"/>
      <c r="N2111" s="894"/>
      <c r="O2111" s="894"/>
      <c r="P2111" s="894"/>
    </row>
    <row r="2112" spans="9:16" ht="15.75" thickBot="1"/>
    <row r="2113" spans="9:18">
      <c r="I2113" s="895" t="s">
        <v>94</v>
      </c>
      <c r="J2113" s="897" t="s">
        <v>95</v>
      </c>
      <c r="K2113" s="897" t="s">
        <v>96</v>
      </c>
      <c r="L2113" s="897" t="s">
        <v>3</v>
      </c>
      <c r="M2113" s="897" t="s">
        <v>97</v>
      </c>
      <c r="N2113" s="897" t="s">
        <v>98</v>
      </c>
      <c r="O2113" s="897" t="s">
        <v>99</v>
      </c>
      <c r="P2113" s="899"/>
    </row>
    <row r="2114" spans="9:18" ht="15.75" thickBot="1">
      <c r="I2114" s="896"/>
      <c r="J2114" s="898"/>
      <c r="K2114" s="898"/>
      <c r="L2114" s="898"/>
      <c r="M2114" s="898"/>
      <c r="N2114" s="898"/>
      <c r="O2114" s="240" t="s">
        <v>100</v>
      </c>
      <c r="P2114" s="182" t="s">
        <v>101</v>
      </c>
      <c r="R2114" s="51" t="s">
        <v>631</v>
      </c>
    </row>
    <row r="2115" spans="9:18">
      <c r="I2115" s="881">
        <v>232</v>
      </c>
      <c r="J2115" s="875">
        <v>42556</v>
      </c>
      <c r="K2115" s="877" t="s">
        <v>1014</v>
      </c>
      <c r="L2115" s="879" t="s">
        <v>1010</v>
      </c>
      <c r="M2115" s="881" t="s">
        <v>115</v>
      </c>
      <c r="N2115" s="883">
        <v>50000</v>
      </c>
      <c r="O2115" s="55">
        <v>719</v>
      </c>
      <c r="P2115" s="78">
        <v>50000</v>
      </c>
    </row>
    <row r="2116" spans="9:18" ht="15.75" thickBot="1">
      <c r="I2116" s="882"/>
      <c r="J2116" s="876"/>
      <c r="K2116" s="878"/>
      <c r="L2116" s="880"/>
      <c r="M2116" s="882"/>
      <c r="N2116" s="884"/>
      <c r="O2116" s="56">
        <v>721</v>
      </c>
      <c r="P2116" s="79"/>
    </row>
    <row r="2117" spans="9:18">
      <c r="I2117" s="881">
        <v>233</v>
      </c>
      <c r="J2117" s="875">
        <v>42556</v>
      </c>
      <c r="K2117" s="877" t="s">
        <v>120</v>
      </c>
      <c r="L2117" s="879" t="s">
        <v>1015</v>
      </c>
      <c r="M2117" s="881" t="s">
        <v>115</v>
      </c>
      <c r="N2117" s="883">
        <v>10000</v>
      </c>
      <c r="O2117" s="55">
        <v>719</v>
      </c>
      <c r="P2117" s="78">
        <v>10000</v>
      </c>
    </row>
    <row r="2118" spans="9:18" ht="15.75" thickBot="1">
      <c r="I2118" s="882"/>
      <c r="J2118" s="876"/>
      <c r="K2118" s="878"/>
      <c r="L2118" s="880"/>
      <c r="M2118" s="882"/>
      <c r="N2118" s="884"/>
      <c r="O2118" s="56">
        <v>721</v>
      </c>
      <c r="P2118" s="79"/>
    </row>
    <row r="2119" spans="9:18">
      <c r="I2119" s="881"/>
      <c r="J2119" s="875"/>
      <c r="K2119" s="877"/>
      <c r="L2119" s="879"/>
      <c r="M2119" s="881"/>
      <c r="N2119" s="883"/>
      <c r="O2119" s="55">
        <v>719</v>
      </c>
      <c r="P2119" s="78">
        <v>0</v>
      </c>
    </row>
    <row r="2120" spans="9:18" ht="12.75" customHeight="1" thickBot="1">
      <c r="I2120" s="882"/>
      <c r="J2120" s="876"/>
      <c r="K2120" s="878"/>
      <c r="L2120" s="880"/>
      <c r="M2120" s="882"/>
      <c r="N2120" s="884"/>
      <c r="O2120" s="56">
        <v>721</v>
      </c>
      <c r="P2120" s="79">
        <f>+N2119-P2119</f>
        <v>0</v>
      </c>
    </row>
    <row r="2121" spans="9:18">
      <c r="I2121" s="881"/>
      <c r="J2121" s="875"/>
      <c r="K2121" s="877"/>
      <c r="L2121" s="879"/>
      <c r="M2121" s="881"/>
      <c r="N2121" s="883"/>
      <c r="O2121" s="55">
        <v>719</v>
      </c>
      <c r="P2121" s="78">
        <v>0</v>
      </c>
    </row>
    <row r="2122" spans="9:18" ht="12.75" customHeight="1" thickBot="1">
      <c r="I2122" s="882"/>
      <c r="J2122" s="876"/>
      <c r="K2122" s="878"/>
      <c r="L2122" s="880"/>
      <c r="M2122" s="882"/>
      <c r="N2122" s="884"/>
      <c r="O2122" s="56">
        <v>721</v>
      </c>
      <c r="P2122" s="79">
        <f>+N2121-P2121</f>
        <v>0</v>
      </c>
    </row>
    <row r="2123" spans="9:18">
      <c r="I2123" s="881"/>
      <c r="J2123" s="875"/>
      <c r="K2123" s="877"/>
      <c r="L2123" s="881"/>
      <c r="M2123" s="881"/>
      <c r="N2123" s="883"/>
      <c r="O2123" s="55">
        <v>719</v>
      </c>
      <c r="P2123" s="78"/>
    </row>
    <row r="2124" spans="9:18" ht="12.75" customHeight="1" thickBot="1">
      <c r="I2124" s="882"/>
      <c r="J2124" s="876"/>
      <c r="K2124" s="878"/>
      <c r="L2124" s="882"/>
      <c r="M2124" s="882"/>
      <c r="N2124" s="884"/>
      <c r="O2124" s="56">
        <v>721</v>
      </c>
      <c r="P2124" s="79">
        <f>+N2123-P2123</f>
        <v>0</v>
      </c>
    </row>
    <row r="2125" spans="9:18" ht="16.5" thickBot="1">
      <c r="I2125" s="901" t="s">
        <v>102</v>
      </c>
      <c r="J2125" s="902"/>
      <c r="K2125" s="902"/>
      <c r="L2125" s="902"/>
      <c r="M2125" s="903"/>
      <c r="N2125" s="81">
        <f>SUM(N2115:N2124)</f>
        <v>60000</v>
      </c>
    </row>
    <row r="2126" spans="9:18" ht="16.5" thickBot="1">
      <c r="I2126" s="885" t="s">
        <v>103</v>
      </c>
      <c r="J2126" s="886"/>
      <c r="K2126" s="886"/>
      <c r="L2126" s="886"/>
      <c r="M2126" s="887"/>
      <c r="N2126" s="69">
        <f>+N2090</f>
        <v>491123165</v>
      </c>
      <c r="O2126" s="241" t="s">
        <v>561</v>
      </c>
      <c r="P2126" s="242">
        <v>161</v>
      </c>
    </row>
    <row r="2127" spans="9:18" ht="16.5" thickBot="1">
      <c r="I2127" s="888" t="s">
        <v>104</v>
      </c>
      <c r="J2127" s="889"/>
      <c r="K2127" s="889"/>
      <c r="L2127" s="889"/>
      <c r="M2127" s="890"/>
      <c r="N2127" s="183">
        <f>SUM(N2125:N2126)</f>
        <v>491183165</v>
      </c>
    </row>
    <row r="2128" spans="9:18">
      <c r="I2128" s="61"/>
      <c r="J2128" s="61"/>
      <c r="K2128" s="61"/>
      <c r="L2128" s="61"/>
      <c r="M2128" s="61"/>
    </row>
    <row r="2129" spans="9:15">
      <c r="I2129" s="51" t="s">
        <v>1016</v>
      </c>
    </row>
    <row r="2130" spans="9:15">
      <c r="N2130" s="139"/>
    </row>
    <row r="2131" spans="9:15">
      <c r="I2131" s="50" t="s">
        <v>105</v>
      </c>
      <c r="L2131" s="146"/>
      <c r="N2131" s="139"/>
    </row>
    <row r="2132" spans="9:15" ht="15.75" thickBot="1"/>
    <row r="2133" spans="9:15" ht="15.75" thickBot="1">
      <c r="I2133" s="891" t="s">
        <v>106</v>
      </c>
      <c r="J2133" s="892"/>
      <c r="K2133" s="892"/>
      <c r="L2133" s="893"/>
      <c r="N2133" s="50" t="s">
        <v>288</v>
      </c>
    </row>
    <row r="2134" spans="9:15" ht="30.75" thickBot="1">
      <c r="I2134" s="57" t="s">
        <v>100</v>
      </c>
      <c r="J2134" s="58" t="s">
        <v>108</v>
      </c>
      <c r="K2134" s="287" t="s">
        <v>109</v>
      </c>
      <c r="L2134" s="60" t="s">
        <v>110</v>
      </c>
    </row>
    <row r="2135" spans="9:15">
      <c r="I2135" s="71">
        <v>719</v>
      </c>
      <c r="J2135" s="73">
        <f>+P2115+P2117+P2119+P2121+P2123</f>
        <v>60000</v>
      </c>
      <c r="K2135" s="74">
        <f>+L2098</f>
        <v>45770000</v>
      </c>
      <c r="L2135" s="195">
        <f>+J2135+K2135</f>
        <v>45830000</v>
      </c>
    </row>
    <row r="2136" spans="9:15">
      <c r="I2136" s="72">
        <v>721</v>
      </c>
      <c r="J2136" s="80">
        <f>+P2116+P2118+P2120+P2122</f>
        <v>0</v>
      </c>
      <c r="K2136" s="74">
        <f>+L2099</f>
        <v>100108559</v>
      </c>
      <c r="L2136" s="195">
        <f>+J2136+K2136</f>
        <v>100108559</v>
      </c>
    </row>
    <row r="2137" spans="9:15">
      <c r="I2137" s="72">
        <v>722</v>
      </c>
      <c r="J2137" s="80"/>
      <c r="K2137" s="74">
        <f>+L2100</f>
        <v>56963334</v>
      </c>
      <c r="L2137" s="195">
        <f>+J2137+K2137</f>
        <v>56963334</v>
      </c>
    </row>
    <row r="2138" spans="9:15" ht="15.75">
      <c r="I2138" s="72">
        <v>723</v>
      </c>
      <c r="J2138" s="80"/>
      <c r="K2138" s="74">
        <f>+L2101</f>
        <v>288510152</v>
      </c>
      <c r="L2138" s="195">
        <f>+J2138+K2138</f>
        <v>288510152</v>
      </c>
      <c r="N2138" s="193" t="s">
        <v>289</v>
      </c>
      <c r="O2138" s="175"/>
    </row>
    <row r="2139" spans="9:15" ht="16.5" thickBot="1">
      <c r="I2139" s="164" t="s">
        <v>181</v>
      </c>
      <c r="J2139" s="165"/>
      <c r="K2139" s="74">
        <f>+L2102</f>
        <v>-298880</v>
      </c>
      <c r="L2139" s="196">
        <f>+J2139+K2139</f>
        <v>-298880</v>
      </c>
      <c r="N2139" s="52"/>
    </row>
    <row r="2140" spans="9:15" ht="16.5" thickBot="1">
      <c r="I2140" s="169"/>
      <c r="J2140" s="197">
        <f>SUM(J2135:J2139)</f>
        <v>60000</v>
      </c>
      <c r="K2140" s="197">
        <f>SUM(K2135:K2139)</f>
        <v>491053165</v>
      </c>
      <c r="L2140" s="198">
        <f>SUM(L2135:L2139)</f>
        <v>491113165</v>
      </c>
    </row>
    <row r="2141" spans="9:15" ht="16.5">
      <c r="I2141" s="49" t="s">
        <v>88</v>
      </c>
      <c r="J2141" s="50"/>
    </row>
    <row r="2142" spans="9:15">
      <c r="I2142" s="51" t="s">
        <v>89</v>
      </c>
    </row>
    <row r="2143" spans="9:15">
      <c r="I2143" s="51" t="s">
        <v>90</v>
      </c>
    </row>
    <row r="2144" spans="9:15">
      <c r="I2144" s="51" t="s">
        <v>91</v>
      </c>
    </row>
    <row r="2145" spans="9:16" ht="10.5" customHeight="1">
      <c r="I2145" s="50"/>
      <c r="J2145" s="50"/>
    </row>
    <row r="2146" spans="9:16" ht="15.75">
      <c r="I2146" s="260" t="s">
        <v>1017</v>
      </c>
      <c r="O2146" s="52"/>
    </row>
    <row r="2147" spans="9:16" ht="15.75">
      <c r="I2147" s="53" t="s">
        <v>535</v>
      </c>
      <c r="O2147" s="53"/>
    </row>
    <row r="2148" spans="9:16" ht="15.75" customHeight="1">
      <c r="I2148" s="894" t="s">
        <v>909</v>
      </c>
      <c r="J2148" s="894"/>
      <c r="K2148" s="894"/>
      <c r="L2148" s="894"/>
      <c r="M2148" s="894"/>
      <c r="N2148" s="894"/>
      <c r="O2148" s="894"/>
      <c r="P2148" s="894"/>
    </row>
    <row r="2149" spans="9:16" ht="12.75" customHeight="1" thickBot="1"/>
    <row r="2150" spans="9:16">
      <c r="I2150" s="895" t="s">
        <v>94</v>
      </c>
      <c r="J2150" s="897" t="s">
        <v>95</v>
      </c>
      <c r="K2150" s="897" t="s">
        <v>96</v>
      </c>
      <c r="L2150" s="897" t="s">
        <v>3</v>
      </c>
      <c r="M2150" s="897" t="s">
        <v>97</v>
      </c>
      <c r="N2150" s="897" t="s">
        <v>98</v>
      </c>
      <c r="O2150" s="897" t="s">
        <v>99</v>
      </c>
      <c r="P2150" s="899"/>
    </row>
    <row r="2151" spans="9:16" ht="15.75" thickBot="1">
      <c r="I2151" s="896"/>
      <c r="J2151" s="898"/>
      <c r="K2151" s="898"/>
      <c r="L2151" s="898"/>
      <c r="M2151" s="898"/>
      <c r="N2151" s="898"/>
      <c r="O2151" s="240" t="s">
        <v>100</v>
      </c>
      <c r="P2151" s="182" t="s">
        <v>101</v>
      </c>
    </row>
    <row r="2152" spans="9:16">
      <c r="I2152" s="881">
        <v>234</v>
      </c>
      <c r="J2152" s="875">
        <v>42573</v>
      </c>
      <c r="K2152" s="877" t="s">
        <v>1014</v>
      </c>
      <c r="L2152" s="879" t="s">
        <v>1018</v>
      </c>
      <c r="M2152" s="881" t="s">
        <v>115</v>
      </c>
      <c r="N2152" s="883">
        <v>100000</v>
      </c>
      <c r="O2152" s="55">
        <v>719</v>
      </c>
      <c r="P2152" s="78">
        <v>100000</v>
      </c>
    </row>
    <row r="2153" spans="9:16" ht="11.25" customHeight="1" thickBot="1">
      <c r="I2153" s="882"/>
      <c r="J2153" s="876"/>
      <c r="K2153" s="878"/>
      <c r="L2153" s="880"/>
      <c r="M2153" s="882"/>
      <c r="N2153" s="884"/>
      <c r="O2153" s="56">
        <v>721</v>
      </c>
      <c r="P2153" s="79"/>
    </row>
    <row r="2154" spans="9:16" ht="15" customHeight="1">
      <c r="I2154" s="881">
        <v>235</v>
      </c>
      <c r="J2154" s="875">
        <v>42573</v>
      </c>
      <c r="K2154" s="877" t="s">
        <v>28</v>
      </c>
      <c r="L2154" s="879" t="s">
        <v>1019</v>
      </c>
      <c r="M2154" s="881" t="s">
        <v>115</v>
      </c>
      <c r="N2154" s="883">
        <v>10000</v>
      </c>
      <c r="O2154" s="55">
        <v>719</v>
      </c>
      <c r="P2154" s="78">
        <v>10000</v>
      </c>
    </row>
    <row r="2155" spans="9:16" ht="12.75" customHeight="1" thickBot="1">
      <c r="I2155" s="882"/>
      <c r="J2155" s="876"/>
      <c r="K2155" s="878"/>
      <c r="L2155" s="880"/>
      <c r="M2155" s="882"/>
      <c r="N2155" s="884"/>
      <c r="O2155" s="56">
        <v>721</v>
      </c>
      <c r="P2155" s="79"/>
    </row>
    <row r="2156" spans="9:16" ht="15" customHeight="1">
      <c r="I2156" s="881">
        <v>236</v>
      </c>
      <c r="J2156" s="875">
        <v>42573</v>
      </c>
      <c r="K2156" s="877" t="s">
        <v>1014</v>
      </c>
      <c r="L2156" s="879" t="s">
        <v>1020</v>
      </c>
      <c r="M2156" s="881" t="s">
        <v>115</v>
      </c>
      <c r="N2156" s="883">
        <v>140000</v>
      </c>
      <c r="O2156" s="55">
        <v>719</v>
      </c>
      <c r="P2156" s="78">
        <v>140000</v>
      </c>
    </row>
    <row r="2157" spans="9:16" ht="12.75" customHeight="1" thickBot="1">
      <c r="I2157" s="882"/>
      <c r="J2157" s="876"/>
      <c r="K2157" s="878"/>
      <c r="L2157" s="880"/>
      <c r="M2157" s="882"/>
      <c r="N2157" s="884"/>
      <c r="O2157" s="56">
        <v>721</v>
      </c>
      <c r="P2157" s="79">
        <f>+N2156-P2156</f>
        <v>0</v>
      </c>
    </row>
    <row r="2158" spans="9:16">
      <c r="I2158" s="881">
        <v>237</v>
      </c>
      <c r="J2158" s="875">
        <v>42573</v>
      </c>
      <c r="K2158" s="877" t="s">
        <v>28</v>
      </c>
      <c r="L2158" s="879" t="s">
        <v>1022</v>
      </c>
      <c r="M2158" s="881" t="s">
        <v>115</v>
      </c>
      <c r="N2158" s="883">
        <v>60000</v>
      </c>
      <c r="O2158" s="55">
        <v>719</v>
      </c>
      <c r="P2158" s="78">
        <v>60000</v>
      </c>
    </row>
    <row r="2159" spans="9:16" ht="13.5" customHeight="1" thickBot="1">
      <c r="I2159" s="882"/>
      <c r="J2159" s="876"/>
      <c r="K2159" s="878"/>
      <c r="L2159" s="880"/>
      <c r="M2159" s="882"/>
      <c r="N2159" s="884"/>
      <c r="O2159" s="56">
        <v>721</v>
      </c>
      <c r="P2159" s="79">
        <f>+N2158-P2158</f>
        <v>0</v>
      </c>
    </row>
    <row r="2160" spans="9:16" ht="15" customHeight="1">
      <c r="I2160" s="881">
        <v>238</v>
      </c>
      <c r="J2160" s="875">
        <v>42573</v>
      </c>
      <c r="K2160" s="877" t="s">
        <v>28</v>
      </c>
      <c r="L2160" s="879" t="s">
        <v>1021</v>
      </c>
      <c r="M2160" s="881" t="s">
        <v>115</v>
      </c>
      <c r="N2160" s="883">
        <v>40000</v>
      </c>
      <c r="O2160" s="55">
        <v>719</v>
      </c>
      <c r="P2160" s="78">
        <v>40000</v>
      </c>
    </row>
    <row r="2161" spans="9:16" ht="12" customHeight="1" thickBot="1">
      <c r="I2161" s="882"/>
      <c r="J2161" s="876"/>
      <c r="K2161" s="878"/>
      <c r="L2161" s="880"/>
      <c r="M2161" s="882"/>
      <c r="N2161" s="884"/>
      <c r="O2161" s="56">
        <v>721</v>
      </c>
      <c r="P2161" s="79">
        <f>+N2160-P2160</f>
        <v>0</v>
      </c>
    </row>
    <row r="2162" spans="9:16" ht="15" customHeight="1">
      <c r="I2162" s="881">
        <v>239</v>
      </c>
      <c r="J2162" s="875">
        <v>42573</v>
      </c>
      <c r="K2162" s="877" t="s">
        <v>120</v>
      </c>
      <c r="L2162" s="879" t="s">
        <v>1010</v>
      </c>
      <c r="M2162" s="881" t="s">
        <v>115</v>
      </c>
      <c r="N2162" s="883">
        <v>1259900</v>
      </c>
      <c r="O2162" s="55">
        <v>719</v>
      </c>
      <c r="P2162" s="78"/>
    </row>
    <row r="2163" spans="9:16" ht="12.75" customHeight="1" thickBot="1">
      <c r="I2163" s="882"/>
      <c r="J2163" s="876"/>
      <c r="K2163" s="878"/>
      <c r="L2163" s="880"/>
      <c r="M2163" s="882"/>
      <c r="N2163" s="884"/>
      <c r="O2163" s="56">
        <v>723</v>
      </c>
      <c r="P2163" s="79">
        <f>+N2162-P2162</f>
        <v>1259900</v>
      </c>
    </row>
    <row r="2164" spans="9:16" ht="16.5" thickBot="1">
      <c r="I2164" s="901" t="s">
        <v>102</v>
      </c>
      <c r="J2164" s="902"/>
      <c r="K2164" s="902"/>
      <c r="L2164" s="902"/>
      <c r="M2164" s="903"/>
      <c r="N2164" s="81">
        <f>SUM(N2152:N2163)</f>
        <v>1609900</v>
      </c>
    </row>
    <row r="2165" spans="9:16" ht="16.5" thickBot="1">
      <c r="I2165" s="885" t="s">
        <v>103</v>
      </c>
      <c r="J2165" s="886"/>
      <c r="K2165" s="886"/>
      <c r="L2165" s="886"/>
      <c r="M2165" s="887"/>
      <c r="N2165" s="69">
        <f>+N2127</f>
        <v>491183165</v>
      </c>
      <c r="O2165" s="241" t="s">
        <v>561</v>
      </c>
      <c r="P2165" s="242">
        <f>28+324+91+533+198</f>
        <v>1174</v>
      </c>
    </row>
    <row r="2166" spans="9:16" ht="16.5" thickBot="1">
      <c r="I2166" s="888" t="s">
        <v>104</v>
      </c>
      <c r="J2166" s="889"/>
      <c r="K2166" s="889"/>
      <c r="L2166" s="889"/>
      <c r="M2166" s="890"/>
      <c r="N2166" s="183">
        <f>SUM(N2164:N2165)</f>
        <v>492793065</v>
      </c>
    </row>
    <row r="2167" spans="9:16" ht="12.75" customHeight="1">
      <c r="I2167" s="61"/>
      <c r="J2167" s="61"/>
      <c r="K2167" s="61"/>
      <c r="L2167" s="61"/>
      <c r="M2167" s="61"/>
    </row>
    <row r="2168" spans="9:16">
      <c r="I2168" s="51" t="s">
        <v>1023</v>
      </c>
    </row>
    <row r="2169" spans="9:16" ht="12" customHeight="1">
      <c r="N2169" s="139"/>
    </row>
    <row r="2170" spans="9:16">
      <c r="I2170" s="50" t="s">
        <v>105</v>
      </c>
      <c r="L2170" s="146"/>
      <c r="N2170" s="139"/>
    </row>
    <row r="2171" spans="9:16" ht="12.75" customHeight="1" thickBot="1"/>
    <row r="2172" spans="9:16" ht="15.75" thickBot="1">
      <c r="I2172" s="891" t="s">
        <v>106</v>
      </c>
      <c r="J2172" s="892"/>
      <c r="K2172" s="892"/>
      <c r="L2172" s="893"/>
      <c r="N2172" s="50" t="s">
        <v>288</v>
      </c>
    </row>
    <row r="2173" spans="9:16" ht="30.75" thickBot="1">
      <c r="I2173" s="57" t="s">
        <v>100</v>
      </c>
      <c r="J2173" s="58" t="s">
        <v>108</v>
      </c>
      <c r="K2173" s="287" t="s">
        <v>109</v>
      </c>
      <c r="L2173" s="60" t="s">
        <v>110</v>
      </c>
    </row>
    <row r="2174" spans="9:16">
      <c r="I2174" s="71">
        <v>719</v>
      </c>
      <c r="J2174" s="73">
        <f>+P2152+P2154+P2156+P2160+P2162+P2158</f>
        <v>350000</v>
      </c>
      <c r="K2174" s="74">
        <f>+L2135</f>
        <v>45830000</v>
      </c>
      <c r="L2174" s="195">
        <f>+J2174+K2174</f>
        <v>46180000</v>
      </c>
    </row>
    <row r="2175" spans="9:16" ht="13.5" customHeight="1">
      <c r="I2175" s="72">
        <v>721</v>
      </c>
      <c r="J2175" s="80">
        <f>+P2153+P2155+P2157+P2161+P2159</f>
        <v>0</v>
      </c>
      <c r="K2175" s="74">
        <f>+L2136</f>
        <v>100108559</v>
      </c>
      <c r="L2175" s="195">
        <f>+J2175+K2175</f>
        <v>100108559</v>
      </c>
    </row>
    <row r="2176" spans="9:16">
      <c r="I2176" s="72">
        <v>722</v>
      </c>
      <c r="J2176" s="80"/>
      <c r="K2176" s="74">
        <f>+L2137</f>
        <v>56963334</v>
      </c>
      <c r="L2176" s="195">
        <f>+J2176+K2176</f>
        <v>56963334</v>
      </c>
    </row>
    <row r="2177" spans="9:16" ht="15" customHeight="1">
      <c r="I2177" s="72">
        <v>723</v>
      </c>
      <c r="J2177" s="80">
        <f>+P2163</f>
        <v>1259900</v>
      </c>
      <c r="K2177" s="74">
        <f>+L2138</f>
        <v>288510152</v>
      </c>
      <c r="L2177" s="195">
        <f>+J2177+K2177</f>
        <v>289770052</v>
      </c>
      <c r="N2177" s="193" t="s">
        <v>289</v>
      </c>
      <c r="O2177" s="175"/>
    </row>
    <row r="2178" spans="9:16" ht="13.5" customHeight="1" thickBot="1">
      <c r="I2178" s="164" t="s">
        <v>181</v>
      </c>
      <c r="J2178" s="165"/>
      <c r="K2178" s="74">
        <f>+L2139</f>
        <v>-298880</v>
      </c>
      <c r="L2178" s="196">
        <f>+J2178+K2178</f>
        <v>-298880</v>
      </c>
      <c r="N2178" s="52"/>
    </row>
    <row r="2179" spans="9:16" ht="16.5" thickBot="1">
      <c r="I2179" s="169"/>
      <c r="J2179" s="197">
        <f>SUM(J2174:J2178)</f>
        <v>1609900</v>
      </c>
      <c r="K2179" s="197">
        <f>SUM(K2174:K2178)</f>
        <v>491113165</v>
      </c>
      <c r="L2179" s="198">
        <f>SUM(L2174:L2178)</f>
        <v>492723065</v>
      </c>
    </row>
    <row r="2180" spans="9:16" ht="16.5">
      <c r="I2180" s="49" t="s">
        <v>88</v>
      </c>
      <c r="J2180" s="50"/>
    </row>
    <row r="2181" spans="9:16">
      <c r="I2181" s="51" t="s">
        <v>89</v>
      </c>
    </row>
    <row r="2182" spans="9:16">
      <c r="I2182" s="51" t="s">
        <v>90</v>
      </c>
    </row>
    <row r="2183" spans="9:16">
      <c r="I2183" s="51" t="s">
        <v>91</v>
      </c>
    </row>
    <row r="2184" spans="9:16" ht="10.5" customHeight="1">
      <c r="I2184" s="50"/>
      <c r="J2184" s="50"/>
    </row>
    <row r="2185" spans="9:16" ht="15.75">
      <c r="I2185" s="260" t="s">
        <v>1024</v>
      </c>
      <c r="O2185" s="52"/>
    </row>
    <row r="2186" spans="9:16" ht="15.75">
      <c r="I2186" s="53" t="s">
        <v>535</v>
      </c>
      <c r="O2186" s="53"/>
    </row>
    <row r="2187" spans="9:16" ht="16.5">
      <c r="I2187" s="894" t="s">
        <v>909</v>
      </c>
      <c r="J2187" s="894"/>
      <c r="K2187" s="894"/>
      <c r="L2187" s="894"/>
      <c r="M2187" s="894"/>
      <c r="N2187" s="894"/>
      <c r="O2187" s="894"/>
      <c r="P2187" s="894"/>
    </row>
    <row r="2188" spans="9:16" ht="15.75" thickBot="1"/>
    <row r="2189" spans="9:16">
      <c r="I2189" s="895" t="s">
        <v>94</v>
      </c>
      <c r="J2189" s="897" t="s">
        <v>95</v>
      </c>
      <c r="K2189" s="897" t="s">
        <v>96</v>
      </c>
      <c r="L2189" s="897" t="s">
        <v>3</v>
      </c>
      <c r="M2189" s="897" t="s">
        <v>97</v>
      </c>
      <c r="N2189" s="897" t="s">
        <v>98</v>
      </c>
      <c r="O2189" s="897" t="s">
        <v>99</v>
      </c>
      <c r="P2189" s="899"/>
    </row>
    <row r="2190" spans="9:16" ht="15.75" thickBot="1">
      <c r="I2190" s="896"/>
      <c r="J2190" s="898"/>
      <c r="K2190" s="898"/>
      <c r="L2190" s="898"/>
      <c r="M2190" s="898"/>
      <c r="N2190" s="898"/>
      <c r="O2190" s="240" t="s">
        <v>100</v>
      </c>
      <c r="P2190" s="182" t="s">
        <v>101</v>
      </c>
    </row>
    <row r="2191" spans="9:16">
      <c r="I2191" s="881">
        <v>240</v>
      </c>
      <c r="J2191" s="875">
        <v>42592</v>
      </c>
      <c r="K2191" s="877" t="s">
        <v>1014</v>
      </c>
      <c r="L2191" s="879" t="s">
        <v>1025</v>
      </c>
      <c r="M2191" s="881" t="s">
        <v>115</v>
      </c>
      <c r="N2191" s="883">
        <v>110000</v>
      </c>
      <c r="O2191" s="55">
        <v>719</v>
      </c>
      <c r="P2191" s="78">
        <f>+N2191</f>
        <v>110000</v>
      </c>
    </row>
    <row r="2192" spans="9:16" ht="15.75" thickBot="1">
      <c r="I2192" s="882"/>
      <c r="J2192" s="876"/>
      <c r="K2192" s="878"/>
      <c r="L2192" s="880"/>
      <c r="M2192" s="882"/>
      <c r="N2192" s="884"/>
      <c r="O2192" s="56">
        <v>721</v>
      </c>
      <c r="P2192" s="79"/>
    </row>
    <row r="2193" spans="9:16" ht="15" customHeight="1">
      <c r="I2193" s="881">
        <v>241</v>
      </c>
      <c r="J2193" s="875">
        <v>42592</v>
      </c>
      <c r="K2193" s="877" t="s">
        <v>28</v>
      </c>
      <c r="L2193" s="879" t="s">
        <v>1026</v>
      </c>
      <c r="M2193" s="881" t="s">
        <v>115</v>
      </c>
      <c r="N2193" s="883">
        <v>70000</v>
      </c>
      <c r="O2193" s="55">
        <v>719</v>
      </c>
      <c r="P2193" s="78">
        <f>+N2193</f>
        <v>70000</v>
      </c>
    </row>
    <row r="2194" spans="9:16" ht="15.75" customHeight="1" thickBot="1">
      <c r="I2194" s="882"/>
      <c r="J2194" s="876"/>
      <c r="K2194" s="878"/>
      <c r="L2194" s="880"/>
      <c r="M2194" s="882"/>
      <c r="N2194" s="884"/>
      <c r="O2194" s="56">
        <v>721</v>
      </c>
      <c r="P2194" s="79"/>
    </row>
    <row r="2195" spans="9:16" ht="15" customHeight="1">
      <c r="I2195" s="881">
        <v>242</v>
      </c>
      <c r="J2195" s="875">
        <v>42592</v>
      </c>
      <c r="K2195" s="877" t="s">
        <v>1014</v>
      </c>
      <c r="L2195" s="879" t="s">
        <v>1027</v>
      </c>
      <c r="M2195" s="881" t="s">
        <v>115</v>
      </c>
      <c r="N2195" s="883">
        <v>260000</v>
      </c>
      <c r="O2195" s="55">
        <v>719</v>
      </c>
      <c r="P2195" s="78">
        <v>260000</v>
      </c>
    </row>
    <row r="2196" spans="9:16" ht="15.75" customHeight="1" thickBot="1">
      <c r="I2196" s="882"/>
      <c r="J2196" s="876"/>
      <c r="K2196" s="878"/>
      <c r="L2196" s="880"/>
      <c r="M2196" s="882"/>
      <c r="N2196" s="884"/>
      <c r="O2196" s="56">
        <v>721</v>
      </c>
      <c r="P2196" s="79">
        <f>+N2195-P2195</f>
        <v>0</v>
      </c>
    </row>
    <row r="2197" spans="9:16" ht="15" customHeight="1">
      <c r="I2197" s="881"/>
      <c r="J2197" s="875"/>
      <c r="K2197" s="877"/>
      <c r="L2197" s="879"/>
      <c r="M2197" s="881"/>
      <c r="N2197" s="883"/>
      <c r="O2197" s="55">
        <v>719</v>
      </c>
      <c r="P2197" s="78">
        <v>0</v>
      </c>
    </row>
    <row r="2198" spans="9:16" ht="15.75" customHeight="1" thickBot="1">
      <c r="I2198" s="882"/>
      <c r="J2198" s="876"/>
      <c r="K2198" s="878"/>
      <c r="L2198" s="880"/>
      <c r="M2198" s="882"/>
      <c r="N2198" s="884"/>
      <c r="O2198" s="56">
        <v>721</v>
      </c>
      <c r="P2198" s="79">
        <f>+N2197-P2197</f>
        <v>0</v>
      </c>
    </row>
    <row r="2199" spans="9:16">
      <c r="I2199" s="881"/>
      <c r="J2199" s="875"/>
      <c r="K2199" s="877"/>
      <c r="L2199" s="879"/>
      <c r="M2199" s="881"/>
      <c r="N2199" s="883"/>
      <c r="O2199" s="55">
        <v>719</v>
      </c>
      <c r="P2199" s="78"/>
    </row>
    <row r="2200" spans="9:16" ht="15.75" thickBot="1">
      <c r="I2200" s="882"/>
      <c r="J2200" s="876"/>
      <c r="K2200" s="878"/>
      <c r="L2200" s="880"/>
      <c r="M2200" s="882"/>
      <c r="N2200" s="884"/>
      <c r="O2200" s="56">
        <v>723</v>
      </c>
      <c r="P2200" s="79">
        <f>+N2199-P2199</f>
        <v>0</v>
      </c>
    </row>
    <row r="2201" spans="9:16" ht="16.5" thickBot="1">
      <c r="I2201" s="901" t="s">
        <v>102</v>
      </c>
      <c r="J2201" s="902"/>
      <c r="K2201" s="902"/>
      <c r="L2201" s="902"/>
      <c r="M2201" s="903"/>
      <c r="N2201" s="81">
        <f>SUM(N2191:N2200)</f>
        <v>440000</v>
      </c>
    </row>
    <row r="2202" spans="9:16" ht="16.5" thickBot="1">
      <c r="I2202" s="885" t="s">
        <v>103</v>
      </c>
      <c r="J2202" s="886"/>
      <c r="K2202" s="886"/>
      <c r="L2202" s="886"/>
      <c r="M2202" s="887"/>
      <c r="N2202" s="69">
        <f>+N2166</f>
        <v>492793065</v>
      </c>
      <c r="O2202" s="241" t="s">
        <v>561</v>
      </c>
      <c r="P2202" s="242">
        <f>742+165+273</f>
        <v>1180</v>
      </c>
    </row>
    <row r="2203" spans="9:16" ht="16.5" thickBot="1">
      <c r="I2203" s="888" t="s">
        <v>104</v>
      </c>
      <c r="J2203" s="889"/>
      <c r="K2203" s="889"/>
      <c r="L2203" s="889"/>
      <c r="M2203" s="890"/>
      <c r="N2203" s="183">
        <f>SUM(N2201:N2202)</f>
        <v>493233065</v>
      </c>
    </row>
    <row r="2204" spans="9:16">
      <c r="I2204" s="61"/>
      <c r="J2204" s="61"/>
      <c r="K2204" s="61"/>
      <c r="L2204" s="61"/>
      <c r="M2204" s="61"/>
    </row>
    <row r="2205" spans="9:16">
      <c r="I2205" s="51" t="s">
        <v>1029</v>
      </c>
    </row>
    <row r="2206" spans="9:16" ht="12.75" customHeight="1">
      <c r="N2206" s="139"/>
    </row>
    <row r="2207" spans="9:16">
      <c r="I2207" s="50" t="s">
        <v>105</v>
      </c>
      <c r="L2207" s="146"/>
      <c r="N2207" s="139"/>
    </row>
    <row r="2208" spans="9:16" ht="12.75" customHeight="1" thickBot="1"/>
    <row r="2209" spans="9:16" ht="15.75" thickBot="1">
      <c r="I2209" s="891" t="s">
        <v>106</v>
      </c>
      <c r="J2209" s="892"/>
      <c r="K2209" s="892"/>
      <c r="L2209" s="893"/>
      <c r="N2209" s="50" t="s">
        <v>270</v>
      </c>
    </row>
    <row r="2210" spans="9:16" ht="30.75" thickBot="1">
      <c r="I2210" s="57" t="s">
        <v>100</v>
      </c>
      <c r="J2210" s="58" t="s">
        <v>108</v>
      </c>
      <c r="K2210" s="287" t="s">
        <v>109</v>
      </c>
      <c r="L2210" s="60" t="s">
        <v>110</v>
      </c>
    </row>
    <row r="2211" spans="9:16">
      <c r="I2211" s="71">
        <v>719</v>
      </c>
      <c r="J2211" s="73">
        <f>+P2191+P2193+P2195+P2197+P2199</f>
        <v>440000</v>
      </c>
      <c r="K2211" s="74">
        <f>+L2174</f>
        <v>46180000</v>
      </c>
      <c r="L2211" s="195">
        <f>+J2211+K2211</f>
        <v>46620000</v>
      </c>
    </row>
    <row r="2212" spans="9:16">
      <c r="I2212" s="72">
        <v>721</v>
      </c>
      <c r="J2212" s="80">
        <f>+P2192+P2194+P2196+P2198</f>
        <v>0</v>
      </c>
      <c r="K2212" s="74">
        <f>+L2175</f>
        <v>100108559</v>
      </c>
      <c r="L2212" s="195">
        <f>+J2212+K2212</f>
        <v>100108559</v>
      </c>
    </row>
    <row r="2213" spans="9:16">
      <c r="I2213" s="72">
        <v>722</v>
      </c>
      <c r="J2213" s="80"/>
      <c r="K2213" s="74">
        <f>+L2176</f>
        <v>56963334</v>
      </c>
      <c r="L2213" s="195">
        <f>+J2213+K2213</f>
        <v>56963334</v>
      </c>
    </row>
    <row r="2214" spans="9:16" ht="15.75">
      <c r="I2214" s="72">
        <v>723</v>
      </c>
      <c r="J2214" s="80">
        <f>+P2200</f>
        <v>0</v>
      </c>
      <c r="K2214" s="74">
        <f>+L2177</f>
        <v>289770052</v>
      </c>
      <c r="L2214" s="195">
        <f>+J2214+K2214</f>
        <v>289770052</v>
      </c>
      <c r="N2214" s="193" t="s">
        <v>1028</v>
      </c>
      <c r="O2214" s="175"/>
    </row>
    <row r="2215" spans="9:16" ht="16.5" thickBot="1">
      <c r="I2215" s="164" t="s">
        <v>181</v>
      </c>
      <c r="J2215" s="165"/>
      <c r="K2215" s="74">
        <f>+L2178</f>
        <v>-298880</v>
      </c>
      <c r="L2215" s="196">
        <f>+J2215+K2215</f>
        <v>-298880</v>
      </c>
      <c r="N2215" s="52"/>
    </row>
    <row r="2216" spans="9:16" ht="16.5" thickBot="1">
      <c r="I2216" s="169"/>
      <c r="J2216" s="197">
        <f>SUM(J2211:J2215)</f>
        <v>440000</v>
      </c>
      <c r="K2216" s="197">
        <f>SUM(K2211:K2215)</f>
        <v>492723065</v>
      </c>
      <c r="L2216" s="198">
        <f>SUM(L2211:L2215)</f>
        <v>493163065</v>
      </c>
    </row>
    <row r="2217" spans="9:16" ht="16.5">
      <c r="I2217" s="49" t="s">
        <v>88</v>
      </c>
      <c r="J2217" s="50"/>
    </row>
    <row r="2218" spans="9:16">
      <c r="I2218" s="51" t="s">
        <v>89</v>
      </c>
    </row>
    <row r="2219" spans="9:16">
      <c r="I2219" s="51" t="s">
        <v>90</v>
      </c>
    </row>
    <row r="2220" spans="9:16">
      <c r="I2220" s="51" t="s">
        <v>91</v>
      </c>
    </row>
    <row r="2221" spans="9:16" ht="10.5" customHeight="1">
      <c r="I2221" s="50"/>
      <c r="J2221" s="50"/>
    </row>
    <row r="2222" spans="9:16" ht="15.75">
      <c r="I2222" s="260" t="s">
        <v>1030</v>
      </c>
      <c r="O2222" s="52"/>
    </row>
    <row r="2223" spans="9:16" ht="15.75">
      <c r="I2223" s="53" t="s">
        <v>535</v>
      </c>
      <c r="O2223" s="53"/>
    </row>
    <row r="2224" spans="9:16" ht="16.5">
      <c r="I2224" s="894" t="s">
        <v>909</v>
      </c>
      <c r="J2224" s="894"/>
      <c r="K2224" s="894"/>
      <c r="L2224" s="894"/>
      <c r="M2224" s="894"/>
      <c r="N2224" s="894"/>
      <c r="O2224" s="894"/>
      <c r="P2224" s="894"/>
    </row>
    <row r="2225" spans="9:16" ht="12" customHeight="1" thickBot="1"/>
    <row r="2226" spans="9:16">
      <c r="I2226" s="895" t="s">
        <v>94</v>
      </c>
      <c r="J2226" s="897" t="s">
        <v>95</v>
      </c>
      <c r="K2226" s="897" t="s">
        <v>96</v>
      </c>
      <c r="L2226" s="897" t="s">
        <v>3</v>
      </c>
      <c r="M2226" s="897" t="s">
        <v>97</v>
      </c>
      <c r="N2226" s="897" t="s">
        <v>98</v>
      </c>
      <c r="O2226" s="897" t="s">
        <v>99</v>
      </c>
      <c r="P2226" s="899"/>
    </row>
    <row r="2227" spans="9:16" ht="15.75" thickBot="1">
      <c r="I2227" s="896"/>
      <c r="J2227" s="898"/>
      <c r="K2227" s="898"/>
      <c r="L2227" s="898"/>
      <c r="M2227" s="898"/>
      <c r="N2227" s="898"/>
      <c r="O2227" s="240" t="s">
        <v>100</v>
      </c>
      <c r="P2227" s="182" t="s">
        <v>101</v>
      </c>
    </row>
    <row r="2228" spans="9:16">
      <c r="I2228" s="881">
        <v>243</v>
      </c>
      <c r="J2228" s="875">
        <v>42621</v>
      </c>
      <c r="K2228" s="877" t="s">
        <v>1014</v>
      </c>
      <c r="L2228" s="879" t="s">
        <v>1033</v>
      </c>
      <c r="M2228" s="881" t="s">
        <v>115</v>
      </c>
      <c r="N2228" s="883">
        <v>190000</v>
      </c>
      <c r="O2228" s="55">
        <v>719</v>
      </c>
      <c r="P2228" s="78">
        <f>+N2228</f>
        <v>190000</v>
      </c>
    </row>
    <row r="2229" spans="9:16" ht="15.75" thickBot="1">
      <c r="I2229" s="882"/>
      <c r="J2229" s="876"/>
      <c r="K2229" s="878"/>
      <c r="L2229" s="880"/>
      <c r="M2229" s="882"/>
      <c r="N2229" s="884"/>
      <c r="O2229" s="56">
        <v>721</v>
      </c>
      <c r="P2229" s="79"/>
    </row>
    <row r="2230" spans="9:16" ht="15" customHeight="1">
      <c r="I2230" s="881">
        <v>244</v>
      </c>
      <c r="J2230" s="875">
        <v>42621</v>
      </c>
      <c r="K2230" s="877" t="s">
        <v>28</v>
      </c>
      <c r="L2230" s="879" t="s">
        <v>1033</v>
      </c>
      <c r="M2230" s="881" t="s">
        <v>115</v>
      </c>
      <c r="N2230" s="883">
        <v>60000</v>
      </c>
      <c r="O2230" s="55">
        <v>719</v>
      </c>
      <c r="P2230" s="78">
        <f>+N2230</f>
        <v>60000</v>
      </c>
    </row>
    <row r="2231" spans="9:16" ht="15.75" customHeight="1" thickBot="1">
      <c r="I2231" s="882"/>
      <c r="J2231" s="876"/>
      <c r="K2231" s="878"/>
      <c r="L2231" s="880"/>
      <c r="M2231" s="882"/>
      <c r="N2231" s="884"/>
      <c r="O2231" s="56">
        <v>721</v>
      </c>
      <c r="P2231" s="79"/>
    </row>
    <row r="2232" spans="9:16" ht="15" customHeight="1">
      <c r="I2232" s="881">
        <v>245</v>
      </c>
      <c r="J2232" s="875">
        <v>42621</v>
      </c>
      <c r="K2232" s="877" t="s">
        <v>1014</v>
      </c>
      <c r="L2232" s="879" t="s">
        <v>1034</v>
      </c>
      <c r="M2232" s="881" t="s">
        <v>115</v>
      </c>
      <c r="N2232" s="883">
        <v>560000</v>
      </c>
      <c r="O2232" s="55">
        <v>719</v>
      </c>
      <c r="P2232" s="78">
        <v>560000</v>
      </c>
    </row>
    <row r="2233" spans="9:16" ht="15.75" customHeight="1" thickBot="1">
      <c r="I2233" s="882"/>
      <c r="J2233" s="876"/>
      <c r="K2233" s="878"/>
      <c r="L2233" s="880"/>
      <c r="M2233" s="882"/>
      <c r="N2233" s="884"/>
      <c r="O2233" s="56">
        <v>721</v>
      </c>
      <c r="P2233" s="79">
        <f>+N2232-P2232</f>
        <v>0</v>
      </c>
    </row>
    <row r="2234" spans="9:16" ht="15" customHeight="1">
      <c r="I2234" s="881">
        <v>246</v>
      </c>
      <c r="J2234" s="875">
        <v>42621</v>
      </c>
      <c r="K2234" s="877" t="s">
        <v>28</v>
      </c>
      <c r="L2234" s="879" t="s">
        <v>1035</v>
      </c>
      <c r="M2234" s="881" t="s">
        <v>115</v>
      </c>
      <c r="N2234" s="883">
        <v>70000</v>
      </c>
      <c r="O2234" s="55">
        <v>719</v>
      </c>
      <c r="P2234" s="78">
        <v>70000</v>
      </c>
    </row>
    <row r="2235" spans="9:16" ht="15.75" customHeight="1" thickBot="1">
      <c r="I2235" s="882"/>
      <c r="J2235" s="876"/>
      <c r="K2235" s="878"/>
      <c r="L2235" s="880"/>
      <c r="M2235" s="882"/>
      <c r="N2235" s="884"/>
      <c r="O2235" s="56">
        <v>721</v>
      </c>
      <c r="P2235" s="79">
        <f>+N2234-P2234</f>
        <v>0</v>
      </c>
    </row>
    <row r="2236" spans="9:16" ht="15" customHeight="1">
      <c r="I2236" s="881"/>
      <c r="J2236" s="875"/>
      <c r="K2236" s="877"/>
      <c r="L2236" s="879"/>
      <c r="M2236" s="881"/>
      <c r="N2236" s="883"/>
      <c r="O2236" s="55">
        <v>719</v>
      </c>
      <c r="P2236" s="78"/>
    </row>
    <row r="2237" spans="9:16" ht="15.75" customHeight="1" thickBot="1">
      <c r="I2237" s="882"/>
      <c r="J2237" s="876"/>
      <c r="K2237" s="878"/>
      <c r="L2237" s="880"/>
      <c r="M2237" s="882"/>
      <c r="N2237" s="884"/>
      <c r="O2237" s="56">
        <v>723</v>
      </c>
      <c r="P2237" s="79">
        <f>+N2236-P2236</f>
        <v>0</v>
      </c>
    </row>
    <row r="2238" spans="9:16" ht="16.5" thickBot="1">
      <c r="I2238" s="901" t="s">
        <v>102</v>
      </c>
      <c r="J2238" s="902"/>
      <c r="K2238" s="902"/>
      <c r="L2238" s="902"/>
      <c r="M2238" s="903"/>
      <c r="N2238" s="81">
        <f>SUM(N2228:N2237)</f>
        <v>880000</v>
      </c>
    </row>
    <row r="2239" spans="9:16" ht="16.5" thickBot="1">
      <c r="I2239" s="885" t="s">
        <v>103</v>
      </c>
      <c r="J2239" s="886"/>
      <c r="K2239" s="886"/>
      <c r="L2239" s="886"/>
      <c r="M2239" s="887"/>
      <c r="N2239" s="69">
        <f>+N2203</f>
        <v>493233065</v>
      </c>
      <c r="O2239" s="241" t="s">
        <v>561</v>
      </c>
      <c r="P2239" s="242">
        <f>86+1021+143+512</f>
        <v>1762</v>
      </c>
    </row>
    <row r="2240" spans="9:16" ht="16.5" thickBot="1">
      <c r="I2240" s="888" t="s">
        <v>104</v>
      </c>
      <c r="J2240" s="889"/>
      <c r="K2240" s="889"/>
      <c r="L2240" s="889"/>
      <c r="M2240" s="890"/>
      <c r="N2240" s="183">
        <f>SUM(N2238:N2239)</f>
        <v>494113065</v>
      </c>
    </row>
    <row r="2241" spans="9:15">
      <c r="I2241" s="61"/>
      <c r="J2241" s="61"/>
      <c r="K2241" s="61"/>
      <c r="L2241" s="61"/>
      <c r="M2241" s="61"/>
    </row>
    <row r="2242" spans="9:15">
      <c r="I2242" s="51" t="s">
        <v>1036</v>
      </c>
    </row>
    <row r="2243" spans="9:15" ht="12.75" customHeight="1">
      <c r="N2243" s="139"/>
    </row>
    <row r="2244" spans="9:15">
      <c r="I2244" s="50" t="s">
        <v>105</v>
      </c>
      <c r="L2244" s="146"/>
      <c r="N2244" s="139"/>
    </row>
    <row r="2245" spans="9:15" ht="13.5" customHeight="1" thickBot="1"/>
    <row r="2246" spans="9:15" ht="15.75" thickBot="1">
      <c r="I2246" s="891" t="s">
        <v>106</v>
      </c>
      <c r="J2246" s="892"/>
      <c r="K2246" s="892"/>
      <c r="L2246" s="893"/>
      <c r="N2246" s="50" t="s">
        <v>288</v>
      </c>
    </row>
    <row r="2247" spans="9:15" ht="30.75" thickBot="1">
      <c r="I2247" s="57" t="s">
        <v>100</v>
      </c>
      <c r="J2247" s="58" t="s">
        <v>108</v>
      </c>
      <c r="K2247" s="287" t="s">
        <v>109</v>
      </c>
      <c r="L2247" s="60" t="s">
        <v>110</v>
      </c>
    </row>
    <row r="2248" spans="9:15">
      <c r="I2248" s="71">
        <v>719</v>
      </c>
      <c r="J2248" s="73">
        <f>+P2228+P2230+P2232+P2234+P2236</f>
        <v>880000</v>
      </c>
      <c r="K2248" s="74">
        <f>+L2211</f>
        <v>46620000</v>
      </c>
      <c r="L2248" s="195">
        <f>+J2248+K2248</f>
        <v>47500000</v>
      </c>
    </row>
    <row r="2249" spans="9:15">
      <c r="I2249" s="72">
        <v>721</v>
      </c>
      <c r="J2249" s="80">
        <f>+P2229+P2231+P2233+P2235</f>
        <v>0</v>
      </c>
      <c r="K2249" s="74">
        <f>+L2212</f>
        <v>100108559</v>
      </c>
      <c r="L2249" s="195">
        <f>+J2249+K2249</f>
        <v>100108559</v>
      </c>
    </row>
    <row r="2250" spans="9:15">
      <c r="I2250" s="72">
        <v>722</v>
      </c>
      <c r="J2250" s="80"/>
      <c r="K2250" s="74">
        <f>+L2213</f>
        <v>56963334</v>
      </c>
      <c r="L2250" s="195">
        <f>+J2250+K2250</f>
        <v>56963334</v>
      </c>
    </row>
    <row r="2251" spans="9:15" ht="15.75">
      <c r="I2251" s="72">
        <v>723</v>
      </c>
      <c r="J2251" s="80">
        <f>+P2237</f>
        <v>0</v>
      </c>
      <c r="K2251" s="74">
        <f>+L2214</f>
        <v>289770052</v>
      </c>
      <c r="L2251" s="195">
        <f>+J2251+K2251</f>
        <v>289770052</v>
      </c>
      <c r="N2251" s="193" t="s">
        <v>289</v>
      </c>
      <c r="O2251" s="175"/>
    </row>
    <row r="2252" spans="9:15" ht="16.5" thickBot="1">
      <c r="I2252" s="164" t="s">
        <v>181</v>
      </c>
      <c r="J2252" s="165"/>
      <c r="K2252" s="74">
        <f>+L2215</f>
        <v>-298880</v>
      </c>
      <c r="L2252" s="196">
        <f>+J2252+K2252</f>
        <v>-298880</v>
      </c>
      <c r="N2252" s="52"/>
    </row>
    <row r="2253" spans="9:15" ht="16.5" thickBot="1">
      <c r="I2253" s="169"/>
      <c r="J2253" s="197">
        <f>SUM(J2248:J2252)</f>
        <v>880000</v>
      </c>
      <c r="K2253" s="197">
        <f>SUM(K2248:K2252)</f>
        <v>493163065</v>
      </c>
      <c r="L2253" s="198">
        <f>SUM(L2248:L2252)</f>
        <v>494043065</v>
      </c>
    </row>
    <row r="2254" spans="9:15" ht="16.5">
      <c r="I2254" s="49" t="s">
        <v>88</v>
      </c>
      <c r="J2254" s="50"/>
    </row>
    <row r="2255" spans="9:15">
      <c r="I2255" s="51" t="s">
        <v>89</v>
      </c>
    </row>
    <row r="2256" spans="9:15">
      <c r="I2256" s="51" t="s">
        <v>90</v>
      </c>
    </row>
    <row r="2257" spans="9:16">
      <c r="I2257" s="51" t="s">
        <v>91</v>
      </c>
    </row>
    <row r="2258" spans="9:16" ht="11.25" customHeight="1">
      <c r="I2258" s="50"/>
      <c r="J2258" s="50"/>
    </row>
    <row r="2259" spans="9:16" ht="15.75">
      <c r="I2259" s="260" t="s">
        <v>1031</v>
      </c>
      <c r="O2259" s="52"/>
    </row>
    <row r="2260" spans="9:16" ht="15.75">
      <c r="I2260" s="53" t="s">
        <v>535</v>
      </c>
      <c r="O2260" s="53"/>
    </row>
    <row r="2261" spans="9:16" ht="16.5">
      <c r="I2261" s="894" t="s">
        <v>909</v>
      </c>
      <c r="J2261" s="894"/>
      <c r="K2261" s="894"/>
      <c r="L2261" s="894"/>
      <c r="M2261" s="894"/>
      <c r="N2261" s="894"/>
      <c r="O2261" s="894"/>
      <c r="P2261" s="894"/>
    </row>
    <row r="2262" spans="9:16" ht="15.75" thickBot="1"/>
    <row r="2263" spans="9:16">
      <c r="I2263" s="895" t="s">
        <v>94</v>
      </c>
      <c r="J2263" s="897" t="s">
        <v>95</v>
      </c>
      <c r="K2263" s="897" t="s">
        <v>96</v>
      </c>
      <c r="L2263" s="897" t="s">
        <v>3</v>
      </c>
      <c r="M2263" s="897" t="s">
        <v>97</v>
      </c>
      <c r="N2263" s="897" t="s">
        <v>98</v>
      </c>
      <c r="O2263" s="897" t="s">
        <v>99</v>
      </c>
      <c r="P2263" s="899"/>
    </row>
    <row r="2264" spans="9:16" ht="15.75" thickBot="1">
      <c r="I2264" s="896"/>
      <c r="J2264" s="898"/>
      <c r="K2264" s="898"/>
      <c r="L2264" s="898"/>
      <c r="M2264" s="898"/>
      <c r="N2264" s="898"/>
      <c r="O2264" s="240" t="s">
        <v>100</v>
      </c>
      <c r="P2264" s="182" t="s">
        <v>101</v>
      </c>
    </row>
    <row r="2265" spans="9:16">
      <c r="I2265" s="881">
        <v>247</v>
      </c>
      <c r="J2265" s="875">
        <v>42623</v>
      </c>
      <c r="K2265" s="877" t="s">
        <v>40</v>
      </c>
      <c r="L2265" s="879" t="s">
        <v>1037</v>
      </c>
      <c r="M2265" s="881" t="s">
        <v>148</v>
      </c>
      <c r="N2265" s="883">
        <v>140000</v>
      </c>
      <c r="O2265" s="55">
        <v>719</v>
      </c>
      <c r="P2265" s="78">
        <v>100000</v>
      </c>
    </row>
    <row r="2266" spans="9:16" ht="15.75" thickBot="1">
      <c r="I2266" s="882"/>
      <c r="J2266" s="876"/>
      <c r="K2266" s="878"/>
      <c r="L2266" s="880"/>
      <c r="M2266" s="882"/>
      <c r="N2266" s="884"/>
      <c r="O2266" s="56">
        <v>721</v>
      </c>
      <c r="P2266" s="79">
        <f>+N2265-P2265</f>
        <v>40000</v>
      </c>
    </row>
    <row r="2267" spans="9:16">
      <c r="I2267" s="881">
        <v>248</v>
      </c>
      <c r="J2267" s="875">
        <v>42623</v>
      </c>
      <c r="K2267" s="877" t="s">
        <v>28</v>
      </c>
      <c r="L2267" s="879" t="s">
        <v>1038</v>
      </c>
      <c r="M2267" s="881" t="s">
        <v>148</v>
      </c>
      <c r="N2267" s="883">
        <v>714000</v>
      </c>
      <c r="O2267" s="55">
        <v>719</v>
      </c>
      <c r="P2267" s="78">
        <f>+N2267-P2268</f>
        <v>510000</v>
      </c>
    </row>
    <row r="2268" spans="9:16" ht="15.75" thickBot="1">
      <c r="I2268" s="882"/>
      <c r="J2268" s="876"/>
      <c r="K2268" s="878"/>
      <c r="L2268" s="880"/>
      <c r="M2268" s="882"/>
      <c r="N2268" s="884"/>
      <c r="O2268" s="56">
        <v>721</v>
      </c>
      <c r="P2268" s="79">
        <v>204000</v>
      </c>
    </row>
    <row r="2269" spans="9:16">
      <c r="I2269" s="881">
        <v>249</v>
      </c>
      <c r="J2269" s="875">
        <v>42623</v>
      </c>
      <c r="K2269" s="877" t="s">
        <v>111</v>
      </c>
      <c r="L2269" s="879" t="s">
        <v>1039</v>
      </c>
      <c r="M2269" s="881" t="s">
        <v>148</v>
      </c>
      <c r="N2269" s="883">
        <v>252000</v>
      </c>
      <c r="O2269" s="55">
        <v>719</v>
      </c>
      <c r="P2269" s="78">
        <v>180000</v>
      </c>
    </row>
    <row r="2270" spans="9:16" ht="15.75" thickBot="1">
      <c r="I2270" s="882"/>
      <c r="J2270" s="876"/>
      <c r="K2270" s="878"/>
      <c r="L2270" s="880"/>
      <c r="M2270" s="882"/>
      <c r="N2270" s="884"/>
      <c r="O2270" s="56">
        <v>721</v>
      </c>
      <c r="P2270" s="79">
        <f>+N2269-P2269</f>
        <v>72000</v>
      </c>
    </row>
    <row r="2271" spans="9:16">
      <c r="I2271" s="881">
        <v>250</v>
      </c>
      <c r="J2271" s="875">
        <v>42623</v>
      </c>
      <c r="K2271" s="877" t="s">
        <v>40</v>
      </c>
      <c r="L2271" s="879" t="s">
        <v>1040</v>
      </c>
      <c r="M2271" s="881" t="s">
        <v>148</v>
      </c>
      <c r="N2271" s="883">
        <v>112000</v>
      </c>
      <c r="O2271" s="55">
        <v>719</v>
      </c>
      <c r="P2271" s="78">
        <v>80000</v>
      </c>
    </row>
    <row r="2272" spans="9:16" ht="15.75" thickBot="1">
      <c r="I2272" s="882"/>
      <c r="J2272" s="876"/>
      <c r="K2272" s="878"/>
      <c r="L2272" s="880"/>
      <c r="M2272" s="882"/>
      <c r="N2272" s="884"/>
      <c r="O2272" s="56">
        <v>721</v>
      </c>
      <c r="P2272" s="79">
        <f>+N2271-P2271</f>
        <v>32000</v>
      </c>
    </row>
    <row r="2273" spans="9:16">
      <c r="I2273" s="881">
        <v>251</v>
      </c>
      <c r="J2273" s="875">
        <v>42623</v>
      </c>
      <c r="K2273" s="877" t="s">
        <v>28</v>
      </c>
      <c r="L2273" s="879" t="s">
        <v>1041</v>
      </c>
      <c r="M2273" s="881" t="s">
        <v>148</v>
      </c>
      <c r="N2273" s="883">
        <v>504000</v>
      </c>
      <c r="O2273" s="55">
        <v>719</v>
      </c>
      <c r="P2273" s="78">
        <v>360000</v>
      </c>
    </row>
    <row r="2274" spans="9:16" ht="15.75" thickBot="1">
      <c r="I2274" s="882"/>
      <c r="J2274" s="876"/>
      <c r="K2274" s="878"/>
      <c r="L2274" s="880"/>
      <c r="M2274" s="882"/>
      <c r="N2274" s="884"/>
      <c r="O2274" s="56">
        <v>723</v>
      </c>
      <c r="P2274" s="79">
        <f>+N2273-P2273</f>
        <v>144000</v>
      </c>
    </row>
    <row r="2275" spans="9:16" ht="16.5" thickBot="1">
      <c r="I2275" s="901" t="s">
        <v>102</v>
      </c>
      <c r="J2275" s="902"/>
      <c r="K2275" s="902"/>
      <c r="L2275" s="902"/>
      <c r="M2275" s="903"/>
      <c r="N2275" s="81">
        <f>SUM(N2265:N2274)</f>
        <v>1722000</v>
      </c>
    </row>
    <row r="2276" spans="9:16" ht="16.5" thickBot="1">
      <c r="I2276" s="885" t="s">
        <v>103</v>
      </c>
      <c r="J2276" s="886"/>
      <c r="K2276" s="886"/>
      <c r="L2276" s="886"/>
      <c r="M2276" s="887"/>
      <c r="N2276" s="69">
        <f>+N2240</f>
        <v>494113065</v>
      </c>
      <c r="O2276" s="241" t="s">
        <v>561</v>
      </c>
      <c r="P2276" s="242">
        <f>875+40+72+1421+61</f>
        <v>2469</v>
      </c>
    </row>
    <row r="2277" spans="9:16" ht="16.5" thickBot="1">
      <c r="I2277" s="888" t="s">
        <v>104</v>
      </c>
      <c r="J2277" s="889"/>
      <c r="K2277" s="889"/>
      <c r="L2277" s="889"/>
      <c r="M2277" s="890"/>
      <c r="N2277" s="183">
        <f>SUM(N2275:N2276)</f>
        <v>495835065</v>
      </c>
    </row>
    <row r="2278" spans="9:16">
      <c r="I2278" s="61"/>
      <c r="J2278" s="61"/>
      <c r="K2278" s="61"/>
      <c r="L2278" s="61"/>
      <c r="M2278" s="61"/>
    </row>
    <row r="2279" spans="9:16">
      <c r="I2279" s="51" t="s">
        <v>1042</v>
      </c>
    </row>
    <row r="2280" spans="9:16" ht="12.75" customHeight="1">
      <c r="N2280" s="139"/>
    </row>
    <row r="2281" spans="9:16">
      <c r="I2281" s="50" t="s">
        <v>105</v>
      </c>
      <c r="L2281" s="146"/>
      <c r="N2281" s="139"/>
    </row>
    <row r="2282" spans="9:16" ht="13.5" customHeight="1" thickBot="1"/>
    <row r="2283" spans="9:16" ht="15.75" thickBot="1">
      <c r="I2283" s="891" t="s">
        <v>106</v>
      </c>
      <c r="J2283" s="892"/>
      <c r="K2283" s="892"/>
      <c r="L2283" s="893"/>
      <c r="N2283" s="50" t="s">
        <v>288</v>
      </c>
    </row>
    <row r="2284" spans="9:16" ht="30.75" thickBot="1">
      <c r="I2284" s="57" t="s">
        <v>100</v>
      </c>
      <c r="J2284" s="58" t="s">
        <v>108</v>
      </c>
      <c r="K2284" s="287" t="s">
        <v>109</v>
      </c>
      <c r="L2284" s="60" t="s">
        <v>110</v>
      </c>
    </row>
    <row r="2285" spans="9:16">
      <c r="I2285" s="71">
        <v>719</v>
      </c>
      <c r="J2285" s="73">
        <f>+P2265+P2267+P2269+P2271+P2273</f>
        <v>1230000</v>
      </c>
      <c r="K2285" s="74">
        <f>+L2248</f>
        <v>47500000</v>
      </c>
      <c r="L2285" s="195">
        <f>+J2285+K2285</f>
        <v>48730000</v>
      </c>
    </row>
    <row r="2286" spans="9:16">
      <c r="I2286" s="72">
        <v>721</v>
      </c>
      <c r="J2286" s="80">
        <f>+P2266+P2268+P2270+P2272+P2274</f>
        <v>492000</v>
      </c>
      <c r="K2286" s="74">
        <f>+L2249</f>
        <v>100108559</v>
      </c>
      <c r="L2286" s="195">
        <f>+J2286+K2286</f>
        <v>100600559</v>
      </c>
    </row>
    <row r="2287" spans="9:16">
      <c r="I2287" s="72">
        <v>722</v>
      </c>
      <c r="J2287" s="80"/>
      <c r="K2287" s="74">
        <f>+L2250</f>
        <v>56963334</v>
      </c>
      <c r="L2287" s="195">
        <f>+J2287+K2287</f>
        <v>56963334</v>
      </c>
    </row>
    <row r="2288" spans="9:16" ht="15.75">
      <c r="I2288" s="72">
        <v>723</v>
      </c>
      <c r="J2288" s="80"/>
      <c r="K2288" s="74">
        <f>+L2251</f>
        <v>289770052</v>
      </c>
      <c r="L2288" s="195">
        <f>+J2288+K2288</f>
        <v>289770052</v>
      </c>
      <c r="N2288" s="193" t="s">
        <v>289</v>
      </c>
      <c r="O2288" s="175"/>
    </row>
    <row r="2289" spans="9:16" ht="16.5" thickBot="1">
      <c r="I2289" s="164" t="s">
        <v>181</v>
      </c>
      <c r="J2289" s="165"/>
      <c r="K2289" s="74">
        <f>+L2252</f>
        <v>-298880</v>
      </c>
      <c r="L2289" s="196">
        <f>+J2289+K2289</f>
        <v>-298880</v>
      </c>
      <c r="N2289" s="52"/>
    </row>
    <row r="2290" spans="9:16" ht="16.5" thickBot="1">
      <c r="I2290" s="169"/>
      <c r="J2290" s="197">
        <f>SUM(J2285:J2289)</f>
        <v>1722000</v>
      </c>
      <c r="K2290" s="197">
        <f>SUM(K2285:K2289)</f>
        <v>494043065</v>
      </c>
      <c r="L2290" s="198">
        <f>SUM(L2285:L2289)</f>
        <v>495765065</v>
      </c>
    </row>
    <row r="2291" spans="9:16" ht="16.5">
      <c r="I2291" s="49" t="s">
        <v>88</v>
      </c>
      <c r="J2291" s="50"/>
    </row>
    <row r="2292" spans="9:16">
      <c r="I2292" s="51" t="s">
        <v>89</v>
      </c>
    </row>
    <row r="2293" spans="9:16">
      <c r="I2293" s="51" t="s">
        <v>90</v>
      </c>
    </row>
    <row r="2294" spans="9:16">
      <c r="I2294" s="51" t="s">
        <v>91</v>
      </c>
    </row>
    <row r="2295" spans="9:16" ht="12.75" customHeight="1">
      <c r="I2295" s="50"/>
      <c r="J2295" s="50"/>
    </row>
    <row r="2296" spans="9:16" ht="15.75">
      <c r="I2296" s="260" t="s">
        <v>1032</v>
      </c>
      <c r="O2296" s="52"/>
    </row>
    <row r="2297" spans="9:16" ht="15.75">
      <c r="I2297" s="53" t="s">
        <v>535</v>
      </c>
      <c r="O2297" s="53"/>
    </row>
    <row r="2298" spans="9:16" ht="16.5">
      <c r="I2298" s="894" t="s">
        <v>909</v>
      </c>
      <c r="J2298" s="894"/>
      <c r="K2298" s="894"/>
      <c r="L2298" s="894"/>
      <c r="M2298" s="894"/>
      <c r="N2298" s="894"/>
      <c r="O2298" s="894"/>
      <c r="P2298" s="894"/>
    </row>
    <row r="2299" spans="9:16" ht="15.75" thickBot="1"/>
    <row r="2300" spans="9:16">
      <c r="I2300" s="895" t="s">
        <v>94</v>
      </c>
      <c r="J2300" s="897" t="s">
        <v>95</v>
      </c>
      <c r="K2300" s="897" t="s">
        <v>96</v>
      </c>
      <c r="L2300" s="897" t="s">
        <v>3</v>
      </c>
      <c r="M2300" s="897" t="s">
        <v>97</v>
      </c>
      <c r="N2300" s="897" t="s">
        <v>98</v>
      </c>
      <c r="O2300" s="897" t="s">
        <v>99</v>
      </c>
      <c r="P2300" s="899"/>
    </row>
    <row r="2301" spans="9:16" ht="15.75" thickBot="1">
      <c r="I2301" s="896"/>
      <c r="J2301" s="898"/>
      <c r="K2301" s="898"/>
      <c r="L2301" s="898"/>
      <c r="M2301" s="898"/>
      <c r="N2301" s="898"/>
      <c r="O2301" s="240" t="s">
        <v>100</v>
      </c>
      <c r="P2301" s="182" t="s">
        <v>101</v>
      </c>
    </row>
    <row r="2302" spans="9:16" ht="15" customHeight="1">
      <c r="I2302" s="881">
        <v>252</v>
      </c>
      <c r="J2302" s="875">
        <v>42621</v>
      </c>
      <c r="K2302" s="877" t="s">
        <v>40</v>
      </c>
      <c r="L2302" s="879" t="s">
        <v>1043</v>
      </c>
      <c r="M2302" s="881" t="s">
        <v>148</v>
      </c>
      <c r="N2302" s="883">
        <v>56000</v>
      </c>
      <c r="O2302" s="55">
        <v>719</v>
      </c>
      <c r="P2302" s="78">
        <v>40000</v>
      </c>
    </row>
    <row r="2303" spans="9:16" ht="15.75" customHeight="1" thickBot="1">
      <c r="I2303" s="882"/>
      <c r="J2303" s="876"/>
      <c r="K2303" s="878"/>
      <c r="L2303" s="880"/>
      <c r="M2303" s="882"/>
      <c r="N2303" s="884"/>
      <c r="O2303" s="56">
        <v>721</v>
      </c>
      <c r="P2303" s="79">
        <f>+N2302-P2302</f>
        <v>16000</v>
      </c>
    </row>
    <row r="2304" spans="9:16" ht="15" customHeight="1">
      <c r="I2304" s="881">
        <v>253</v>
      </c>
      <c r="J2304" s="875">
        <v>42621</v>
      </c>
      <c r="K2304" s="877" t="s">
        <v>28</v>
      </c>
      <c r="L2304" s="879" t="s">
        <v>1044</v>
      </c>
      <c r="M2304" s="881" t="s">
        <v>148</v>
      </c>
      <c r="N2304" s="883">
        <v>252000</v>
      </c>
      <c r="O2304" s="55">
        <v>719</v>
      </c>
      <c r="P2304" s="78">
        <v>180000</v>
      </c>
    </row>
    <row r="2305" spans="9:16" ht="15.75" customHeight="1" thickBot="1">
      <c r="I2305" s="882"/>
      <c r="J2305" s="876"/>
      <c r="K2305" s="878"/>
      <c r="L2305" s="880"/>
      <c r="M2305" s="882"/>
      <c r="N2305" s="884"/>
      <c r="O2305" s="56">
        <v>721</v>
      </c>
      <c r="P2305" s="79">
        <f>+N2304-P2304</f>
        <v>72000</v>
      </c>
    </row>
    <row r="2306" spans="9:16" ht="15" customHeight="1">
      <c r="I2306" s="881">
        <v>254</v>
      </c>
      <c r="J2306" s="875">
        <v>42621</v>
      </c>
      <c r="K2306" s="877" t="s">
        <v>111</v>
      </c>
      <c r="L2306" s="879" t="s">
        <v>1045</v>
      </c>
      <c r="M2306" s="881" t="s">
        <v>148</v>
      </c>
      <c r="N2306" s="883">
        <v>112000</v>
      </c>
      <c r="O2306" s="55">
        <v>719</v>
      </c>
      <c r="P2306" s="78">
        <v>80000</v>
      </c>
    </row>
    <row r="2307" spans="9:16" ht="15.75" customHeight="1" thickBot="1">
      <c r="I2307" s="882"/>
      <c r="J2307" s="876"/>
      <c r="K2307" s="878"/>
      <c r="L2307" s="880"/>
      <c r="M2307" s="882"/>
      <c r="N2307" s="884"/>
      <c r="O2307" s="56">
        <v>721</v>
      </c>
      <c r="P2307" s="79">
        <f>+N2306-P2306</f>
        <v>32000</v>
      </c>
    </row>
    <row r="2308" spans="9:16" ht="15" customHeight="1">
      <c r="I2308" s="881">
        <v>255</v>
      </c>
      <c r="J2308" s="875">
        <v>42621</v>
      </c>
      <c r="K2308" s="877" t="s">
        <v>111</v>
      </c>
      <c r="L2308" s="879" t="s">
        <v>1044</v>
      </c>
      <c r="M2308" s="881" t="s">
        <v>148</v>
      </c>
      <c r="N2308" s="883">
        <v>56000</v>
      </c>
      <c r="O2308" s="55">
        <v>719</v>
      </c>
      <c r="P2308" s="78">
        <v>40000</v>
      </c>
    </row>
    <row r="2309" spans="9:16" ht="15.75" customHeight="1" thickBot="1">
      <c r="I2309" s="882"/>
      <c r="J2309" s="876"/>
      <c r="K2309" s="878"/>
      <c r="L2309" s="880"/>
      <c r="M2309" s="882"/>
      <c r="N2309" s="884"/>
      <c r="O2309" s="56">
        <v>721</v>
      </c>
      <c r="P2309" s="79">
        <f>+N2308-P2308</f>
        <v>16000</v>
      </c>
    </row>
    <row r="2310" spans="9:16">
      <c r="I2310" s="881"/>
      <c r="J2310" s="875"/>
      <c r="K2310" s="877"/>
      <c r="L2310" s="879"/>
      <c r="M2310" s="881"/>
      <c r="N2310" s="883"/>
      <c r="O2310" s="55">
        <v>719</v>
      </c>
      <c r="P2310" s="78"/>
    </row>
    <row r="2311" spans="9:16" ht="15.75" thickBot="1">
      <c r="I2311" s="882"/>
      <c r="J2311" s="876"/>
      <c r="K2311" s="878"/>
      <c r="L2311" s="880"/>
      <c r="M2311" s="882"/>
      <c r="N2311" s="884"/>
      <c r="O2311" s="56">
        <v>723</v>
      </c>
      <c r="P2311" s="79">
        <f>+N2310-P2310</f>
        <v>0</v>
      </c>
    </row>
    <row r="2312" spans="9:16" ht="16.5" thickBot="1">
      <c r="I2312" s="901" t="s">
        <v>102</v>
      </c>
      <c r="J2312" s="902"/>
      <c r="K2312" s="902"/>
      <c r="L2312" s="902"/>
      <c r="M2312" s="903"/>
      <c r="N2312" s="81">
        <f>SUM(N2302:N2311)</f>
        <v>476000</v>
      </c>
    </row>
    <row r="2313" spans="9:16" ht="16.5" thickBot="1">
      <c r="I2313" s="885" t="s">
        <v>103</v>
      </c>
      <c r="J2313" s="886"/>
      <c r="K2313" s="886"/>
      <c r="L2313" s="886"/>
      <c r="M2313" s="887"/>
      <c r="N2313" s="69">
        <f>+N2277</f>
        <v>495835065</v>
      </c>
      <c r="O2313" s="241" t="s">
        <v>561</v>
      </c>
      <c r="P2313" s="242">
        <f>451+25+37+18</f>
        <v>531</v>
      </c>
    </row>
    <row r="2314" spans="9:16" ht="16.5" thickBot="1">
      <c r="I2314" s="888" t="s">
        <v>104</v>
      </c>
      <c r="J2314" s="889"/>
      <c r="K2314" s="889"/>
      <c r="L2314" s="889"/>
      <c r="M2314" s="890"/>
      <c r="N2314" s="183">
        <f>SUM(N2312:N2313)</f>
        <v>496311065</v>
      </c>
    </row>
    <row r="2315" spans="9:16">
      <c r="I2315" s="61"/>
      <c r="J2315" s="61"/>
      <c r="K2315" s="61"/>
      <c r="L2315" s="61"/>
      <c r="M2315" s="61"/>
    </row>
    <row r="2316" spans="9:16">
      <c r="I2316" s="51" t="s">
        <v>1065</v>
      </c>
    </row>
    <row r="2317" spans="9:16" ht="12" customHeight="1">
      <c r="N2317" s="139"/>
    </row>
    <row r="2318" spans="9:16">
      <c r="I2318" s="50" t="s">
        <v>105</v>
      </c>
      <c r="L2318" s="146"/>
      <c r="N2318" s="139"/>
    </row>
    <row r="2319" spans="9:16" ht="12.75" customHeight="1" thickBot="1"/>
    <row r="2320" spans="9:16" ht="15.75" thickBot="1">
      <c r="I2320" s="891" t="s">
        <v>106</v>
      </c>
      <c r="J2320" s="892"/>
      <c r="K2320" s="892"/>
      <c r="L2320" s="893"/>
      <c r="N2320" s="50" t="s">
        <v>288</v>
      </c>
    </row>
    <row r="2321" spans="9:16" ht="30.75" thickBot="1">
      <c r="I2321" s="57" t="s">
        <v>100</v>
      </c>
      <c r="J2321" s="58" t="s">
        <v>108</v>
      </c>
      <c r="K2321" s="287" t="s">
        <v>109</v>
      </c>
      <c r="L2321" s="60" t="s">
        <v>110</v>
      </c>
    </row>
    <row r="2322" spans="9:16">
      <c r="I2322" s="71">
        <v>719</v>
      </c>
      <c r="J2322" s="73">
        <f>+P2302+P2304+P2306+P2308+P2310</f>
        <v>340000</v>
      </c>
      <c r="K2322" s="74">
        <f>+L2285</f>
        <v>48730000</v>
      </c>
      <c r="L2322" s="195">
        <f>+J2322+K2322</f>
        <v>49070000</v>
      </c>
    </row>
    <row r="2323" spans="9:16">
      <c r="I2323" s="72">
        <v>721</v>
      </c>
      <c r="J2323" s="80">
        <f>+P2303+P2305+P2307+P2309+P2311</f>
        <v>136000</v>
      </c>
      <c r="K2323" s="74">
        <f>+L2286</f>
        <v>100600559</v>
      </c>
      <c r="L2323" s="195">
        <f>+J2323+K2323</f>
        <v>100736559</v>
      </c>
    </row>
    <row r="2324" spans="9:16">
      <c r="I2324" s="72">
        <v>722</v>
      </c>
      <c r="J2324" s="80"/>
      <c r="K2324" s="74">
        <f>+L2287</f>
        <v>56963334</v>
      </c>
      <c r="L2324" s="195">
        <f>+J2324+K2324</f>
        <v>56963334</v>
      </c>
    </row>
    <row r="2325" spans="9:16" ht="15.75">
      <c r="I2325" s="72">
        <v>723</v>
      </c>
      <c r="J2325" s="80"/>
      <c r="K2325" s="74">
        <f>+L2288</f>
        <v>289770052</v>
      </c>
      <c r="L2325" s="195">
        <f>+J2325+K2325</f>
        <v>289770052</v>
      </c>
      <c r="N2325" s="193" t="s">
        <v>289</v>
      </c>
      <c r="O2325" s="175"/>
    </row>
    <row r="2326" spans="9:16" ht="16.5" thickBot="1">
      <c r="I2326" s="164" t="s">
        <v>181</v>
      </c>
      <c r="J2326" s="165"/>
      <c r="K2326" s="74">
        <f>+L2289</f>
        <v>-298880</v>
      </c>
      <c r="L2326" s="196">
        <f>+J2326+K2326</f>
        <v>-298880</v>
      </c>
      <c r="N2326" s="52"/>
    </row>
    <row r="2327" spans="9:16" ht="16.5" thickBot="1">
      <c r="I2327" s="169"/>
      <c r="J2327" s="197">
        <f>SUM(J2322:J2326)</f>
        <v>476000</v>
      </c>
      <c r="K2327" s="197">
        <f>SUM(K2322:K2326)</f>
        <v>495765065</v>
      </c>
      <c r="L2327" s="198">
        <f>SUM(L2322:L2326)</f>
        <v>496241065</v>
      </c>
    </row>
    <row r="2328" spans="9:16" ht="16.5">
      <c r="I2328" s="49" t="s">
        <v>88</v>
      </c>
      <c r="J2328" s="50"/>
    </row>
    <row r="2329" spans="9:16">
      <c r="I2329" s="51" t="s">
        <v>89</v>
      </c>
    </row>
    <row r="2330" spans="9:16">
      <c r="I2330" s="51" t="s">
        <v>90</v>
      </c>
    </row>
    <row r="2331" spans="9:16">
      <c r="I2331" s="51" t="s">
        <v>91</v>
      </c>
    </row>
    <row r="2332" spans="9:16" ht="12" customHeight="1">
      <c r="I2332" s="50"/>
      <c r="J2332" s="50"/>
    </row>
    <row r="2333" spans="9:16" ht="15.75">
      <c r="I2333" s="260" t="s">
        <v>1059</v>
      </c>
      <c r="O2333" s="52"/>
    </row>
    <row r="2334" spans="9:16" ht="15.75">
      <c r="I2334" s="53" t="s">
        <v>535</v>
      </c>
      <c r="O2334" s="53"/>
    </row>
    <row r="2335" spans="9:16" ht="16.5">
      <c r="I2335" s="894" t="s">
        <v>1063</v>
      </c>
      <c r="J2335" s="894"/>
      <c r="K2335" s="894"/>
      <c r="L2335" s="894"/>
      <c r="M2335" s="894"/>
      <c r="N2335" s="894"/>
      <c r="O2335" s="894"/>
      <c r="P2335" s="894"/>
    </row>
    <row r="2336" spans="9:16" ht="15.75" thickBot="1"/>
    <row r="2337" spans="9:16">
      <c r="I2337" s="895" t="s">
        <v>94</v>
      </c>
      <c r="J2337" s="897" t="s">
        <v>95</v>
      </c>
      <c r="K2337" s="897" t="s">
        <v>96</v>
      </c>
      <c r="L2337" s="897" t="s">
        <v>3</v>
      </c>
      <c r="M2337" s="897" t="s">
        <v>97</v>
      </c>
      <c r="N2337" s="897" t="s">
        <v>98</v>
      </c>
      <c r="O2337" s="897" t="s">
        <v>99</v>
      </c>
      <c r="P2337" s="899"/>
    </row>
    <row r="2338" spans="9:16" ht="15.75" thickBot="1">
      <c r="I2338" s="896"/>
      <c r="J2338" s="898"/>
      <c r="K2338" s="898"/>
      <c r="L2338" s="898"/>
      <c r="M2338" s="898"/>
      <c r="N2338" s="898"/>
      <c r="O2338" s="240" t="s">
        <v>100</v>
      </c>
      <c r="P2338" s="182" t="s">
        <v>101</v>
      </c>
    </row>
    <row r="2339" spans="9:16">
      <c r="I2339" s="881">
        <v>256</v>
      </c>
      <c r="J2339" s="875">
        <v>42622</v>
      </c>
      <c r="K2339" s="877" t="s">
        <v>1060</v>
      </c>
      <c r="L2339" s="879" t="s">
        <v>1061</v>
      </c>
      <c r="M2339" s="881" t="s">
        <v>148</v>
      </c>
      <c r="N2339" s="883">
        <v>2000000</v>
      </c>
      <c r="O2339" s="55">
        <v>722</v>
      </c>
      <c r="P2339" s="78">
        <v>2000000</v>
      </c>
    </row>
    <row r="2340" spans="9:16" ht="15.75" thickBot="1">
      <c r="I2340" s="882"/>
      <c r="J2340" s="876"/>
      <c r="K2340" s="878"/>
      <c r="L2340" s="880"/>
      <c r="M2340" s="882"/>
      <c r="N2340" s="884"/>
      <c r="O2340" s="56">
        <v>721</v>
      </c>
      <c r="P2340" s="79">
        <f>+N2339-P2339</f>
        <v>0</v>
      </c>
    </row>
    <row r="2341" spans="9:16">
      <c r="I2341" s="881"/>
      <c r="J2341" s="875"/>
      <c r="K2341" s="877"/>
      <c r="L2341" s="879"/>
      <c r="M2341" s="881"/>
      <c r="N2341" s="883"/>
      <c r="O2341" s="55">
        <v>719</v>
      </c>
      <c r="P2341" s="78"/>
    </row>
    <row r="2342" spans="9:16" ht="15.75" thickBot="1">
      <c r="I2342" s="882"/>
      <c r="J2342" s="876"/>
      <c r="K2342" s="878"/>
      <c r="L2342" s="880"/>
      <c r="M2342" s="882"/>
      <c r="N2342" s="884"/>
      <c r="O2342" s="56">
        <v>721</v>
      </c>
      <c r="P2342" s="79">
        <f>+N2341-P2341</f>
        <v>0</v>
      </c>
    </row>
    <row r="2343" spans="9:16">
      <c r="I2343" s="881"/>
      <c r="J2343" s="875"/>
      <c r="K2343" s="877"/>
      <c r="L2343" s="879"/>
      <c r="M2343" s="881"/>
      <c r="N2343" s="883"/>
      <c r="O2343" s="55">
        <v>719</v>
      </c>
      <c r="P2343" s="78"/>
    </row>
    <row r="2344" spans="9:16" ht="13.5" customHeight="1" thickBot="1">
      <c r="I2344" s="882"/>
      <c r="J2344" s="876"/>
      <c r="K2344" s="878"/>
      <c r="L2344" s="880"/>
      <c r="M2344" s="882"/>
      <c r="N2344" s="884"/>
      <c r="O2344" s="56">
        <v>721</v>
      </c>
      <c r="P2344" s="79">
        <f>+N2343-P2343</f>
        <v>0</v>
      </c>
    </row>
    <row r="2345" spans="9:16">
      <c r="I2345" s="881"/>
      <c r="J2345" s="875"/>
      <c r="K2345" s="877"/>
      <c r="L2345" s="879"/>
      <c r="M2345" s="881"/>
      <c r="N2345" s="883"/>
      <c r="O2345" s="55">
        <v>719</v>
      </c>
      <c r="P2345" s="78"/>
    </row>
    <row r="2346" spans="9:16" ht="15.75" thickBot="1">
      <c r="I2346" s="882"/>
      <c r="J2346" s="876"/>
      <c r="K2346" s="878"/>
      <c r="L2346" s="880"/>
      <c r="M2346" s="882"/>
      <c r="N2346" s="884"/>
      <c r="O2346" s="56">
        <v>721</v>
      </c>
      <c r="P2346" s="79">
        <f>+N2345-P2345</f>
        <v>0</v>
      </c>
    </row>
    <row r="2347" spans="9:16">
      <c r="I2347" s="881"/>
      <c r="J2347" s="875"/>
      <c r="K2347" s="877"/>
      <c r="L2347" s="879"/>
      <c r="M2347" s="881"/>
      <c r="N2347" s="883"/>
      <c r="O2347" s="55">
        <v>719</v>
      </c>
      <c r="P2347" s="78"/>
    </row>
    <row r="2348" spans="9:16" ht="12" customHeight="1" thickBot="1">
      <c r="I2348" s="882"/>
      <c r="J2348" s="876"/>
      <c r="K2348" s="878"/>
      <c r="L2348" s="880"/>
      <c r="M2348" s="882"/>
      <c r="N2348" s="884"/>
      <c r="O2348" s="56">
        <v>723</v>
      </c>
      <c r="P2348" s="79">
        <f>+N2347-P2347</f>
        <v>0</v>
      </c>
    </row>
    <row r="2349" spans="9:16" ht="16.5" thickBot="1">
      <c r="I2349" s="901" t="s">
        <v>102</v>
      </c>
      <c r="J2349" s="902"/>
      <c r="K2349" s="902"/>
      <c r="L2349" s="902"/>
      <c r="M2349" s="903"/>
      <c r="N2349" s="81">
        <f>SUM(N2339:N2348)</f>
        <v>2000000</v>
      </c>
    </row>
    <row r="2350" spans="9:16" ht="16.5" thickBot="1">
      <c r="I2350" s="885" t="s">
        <v>103</v>
      </c>
      <c r="J2350" s="886"/>
      <c r="K2350" s="886"/>
      <c r="L2350" s="886"/>
      <c r="M2350" s="887"/>
      <c r="N2350" s="69">
        <f>+N2314</f>
        <v>496311065</v>
      </c>
      <c r="O2350" s="241" t="s">
        <v>561</v>
      </c>
      <c r="P2350" s="242">
        <v>0</v>
      </c>
    </row>
    <row r="2351" spans="9:16" ht="16.5" thickBot="1">
      <c r="I2351" s="888" t="s">
        <v>104</v>
      </c>
      <c r="J2351" s="889"/>
      <c r="K2351" s="889"/>
      <c r="L2351" s="889"/>
      <c r="M2351" s="890"/>
      <c r="N2351" s="183">
        <f>SUM(N2349:N2350)</f>
        <v>498311065</v>
      </c>
    </row>
    <row r="2352" spans="9:16">
      <c r="I2352" s="61"/>
      <c r="J2352" s="61"/>
      <c r="K2352" s="61"/>
      <c r="L2352" s="61"/>
      <c r="M2352" s="61"/>
    </row>
    <row r="2353" spans="9:15">
      <c r="I2353" s="51" t="s">
        <v>1062</v>
      </c>
    </row>
    <row r="2354" spans="9:15" ht="12" customHeight="1">
      <c r="N2354" s="139"/>
    </row>
    <row r="2355" spans="9:15">
      <c r="I2355" s="50" t="s">
        <v>105</v>
      </c>
      <c r="L2355" s="146"/>
      <c r="N2355" s="139"/>
    </row>
    <row r="2356" spans="9:15" ht="15.75" thickBot="1"/>
    <row r="2357" spans="9:15" ht="15.75" thickBot="1">
      <c r="I2357" s="891" t="s">
        <v>106</v>
      </c>
      <c r="J2357" s="892"/>
      <c r="K2357" s="892"/>
      <c r="L2357" s="893"/>
      <c r="N2357" s="50" t="s">
        <v>288</v>
      </c>
    </row>
    <row r="2358" spans="9:15" ht="30.75" thickBot="1">
      <c r="I2358" s="57" t="s">
        <v>100</v>
      </c>
      <c r="J2358" s="58" t="s">
        <v>108</v>
      </c>
      <c r="K2358" s="287" t="s">
        <v>109</v>
      </c>
      <c r="L2358" s="60" t="s">
        <v>110</v>
      </c>
    </row>
    <row r="2359" spans="9:15">
      <c r="I2359" s="71">
        <v>719</v>
      </c>
      <c r="J2359" s="73"/>
      <c r="K2359" s="74">
        <f>+L2322</f>
        <v>49070000</v>
      </c>
      <c r="L2359" s="195">
        <f>+J2359+K2359</f>
        <v>49070000</v>
      </c>
    </row>
    <row r="2360" spans="9:15">
      <c r="I2360" s="72">
        <v>721</v>
      </c>
      <c r="J2360" s="80">
        <f>+P2340+P2342+P2344+P2346+P2348</f>
        <v>0</v>
      </c>
      <c r="K2360" s="74">
        <f>+L2323</f>
        <v>100736559</v>
      </c>
      <c r="L2360" s="195">
        <f>+J2360+K2360</f>
        <v>100736559</v>
      </c>
    </row>
    <row r="2361" spans="9:15">
      <c r="I2361" s="72">
        <v>722</v>
      </c>
      <c r="J2361" s="80">
        <f>+P2339</f>
        <v>2000000</v>
      </c>
      <c r="K2361" s="74">
        <f>+L2324</f>
        <v>56963334</v>
      </c>
      <c r="L2361" s="195">
        <f>+J2361+K2361</f>
        <v>58963334</v>
      </c>
    </row>
    <row r="2362" spans="9:15" ht="15.75">
      <c r="I2362" s="72">
        <v>723</v>
      </c>
      <c r="J2362" s="80"/>
      <c r="K2362" s="74">
        <f>+L2325</f>
        <v>289770052</v>
      </c>
      <c r="L2362" s="195">
        <f>+J2362+K2362</f>
        <v>289770052</v>
      </c>
      <c r="N2362" s="193" t="s">
        <v>289</v>
      </c>
      <c r="O2362" s="175"/>
    </row>
    <row r="2363" spans="9:15" ht="16.5" thickBot="1">
      <c r="I2363" s="164" t="s">
        <v>181</v>
      </c>
      <c r="J2363" s="165"/>
      <c r="K2363" s="74">
        <f>+L2326</f>
        <v>-298880</v>
      </c>
      <c r="L2363" s="196">
        <f>+J2363+K2363</f>
        <v>-298880</v>
      </c>
      <c r="N2363" s="52"/>
    </row>
    <row r="2364" spans="9:15" ht="16.5" thickBot="1">
      <c r="I2364" s="169"/>
      <c r="J2364" s="197">
        <f>SUM(J2359:J2363)</f>
        <v>2000000</v>
      </c>
      <c r="K2364" s="197">
        <f>SUM(K2359:K2363)</f>
        <v>496241065</v>
      </c>
      <c r="L2364" s="198">
        <f>SUM(L2359:L2363)</f>
        <v>498241065</v>
      </c>
    </row>
    <row r="2365" spans="9:15" ht="16.5">
      <c r="I2365" s="49" t="s">
        <v>88</v>
      </c>
      <c r="J2365" s="50"/>
    </row>
    <row r="2366" spans="9:15">
      <c r="I2366" s="51" t="s">
        <v>89</v>
      </c>
    </row>
    <row r="2367" spans="9:15">
      <c r="I2367" s="51" t="s">
        <v>90</v>
      </c>
    </row>
    <row r="2368" spans="9:15">
      <c r="I2368" s="51" t="s">
        <v>91</v>
      </c>
    </row>
    <row r="2369" spans="9:16" ht="12" customHeight="1">
      <c r="I2369" s="50"/>
      <c r="J2369" s="50"/>
    </row>
    <row r="2370" spans="9:16" ht="15.75">
      <c r="I2370" s="260" t="s">
        <v>1066</v>
      </c>
      <c r="O2370" s="52"/>
    </row>
    <row r="2371" spans="9:16" ht="15.75">
      <c r="I2371" s="53" t="s">
        <v>535</v>
      </c>
      <c r="O2371" s="53"/>
    </row>
    <row r="2372" spans="9:16" ht="16.5">
      <c r="I2372" s="894" t="s">
        <v>909</v>
      </c>
      <c r="J2372" s="894"/>
      <c r="K2372" s="894"/>
      <c r="L2372" s="894"/>
      <c r="M2372" s="894"/>
      <c r="N2372" s="894"/>
      <c r="O2372" s="894"/>
      <c r="P2372" s="894"/>
    </row>
    <row r="2373" spans="9:16" ht="15.75" thickBot="1"/>
    <row r="2374" spans="9:16">
      <c r="I2374" s="895" t="s">
        <v>94</v>
      </c>
      <c r="J2374" s="897" t="s">
        <v>95</v>
      </c>
      <c r="K2374" s="897" t="s">
        <v>96</v>
      </c>
      <c r="L2374" s="897" t="s">
        <v>3</v>
      </c>
      <c r="M2374" s="897" t="s">
        <v>97</v>
      </c>
      <c r="N2374" s="897" t="s">
        <v>98</v>
      </c>
      <c r="O2374" s="897" t="s">
        <v>99</v>
      </c>
      <c r="P2374" s="899"/>
    </row>
    <row r="2375" spans="9:16" ht="15.75" thickBot="1">
      <c r="I2375" s="896"/>
      <c r="J2375" s="898"/>
      <c r="K2375" s="898"/>
      <c r="L2375" s="898"/>
      <c r="M2375" s="898"/>
      <c r="N2375" s="898"/>
      <c r="O2375" s="240" t="s">
        <v>100</v>
      </c>
      <c r="P2375" s="182" t="s">
        <v>101</v>
      </c>
    </row>
    <row r="2376" spans="9:16" ht="15" customHeight="1">
      <c r="I2376" s="881">
        <v>257</v>
      </c>
      <c r="J2376" s="875">
        <v>42622</v>
      </c>
      <c r="K2376" s="877" t="s">
        <v>1014</v>
      </c>
      <c r="L2376" s="879" t="s">
        <v>1067</v>
      </c>
      <c r="M2376" s="881" t="s">
        <v>115</v>
      </c>
      <c r="N2376" s="883">
        <v>60000</v>
      </c>
      <c r="O2376" s="55">
        <v>719</v>
      </c>
      <c r="P2376" s="78">
        <v>60000</v>
      </c>
    </row>
    <row r="2377" spans="9:16" ht="15.75" customHeight="1" thickBot="1">
      <c r="I2377" s="882"/>
      <c r="J2377" s="876"/>
      <c r="K2377" s="878"/>
      <c r="L2377" s="880"/>
      <c r="M2377" s="882"/>
      <c r="N2377" s="884"/>
      <c r="O2377" s="56">
        <v>721</v>
      </c>
      <c r="P2377" s="79">
        <f>+N2376-P2376</f>
        <v>0</v>
      </c>
    </row>
    <row r="2378" spans="9:16" ht="15" customHeight="1">
      <c r="I2378" s="881">
        <v>258</v>
      </c>
      <c r="J2378" s="875">
        <v>42622</v>
      </c>
      <c r="K2378" s="877" t="s">
        <v>28</v>
      </c>
      <c r="L2378" s="879" t="s">
        <v>1069</v>
      </c>
      <c r="M2378" s="881" t="s">
        <v>115</v>
      </c>
      <c r="N2378" s="883">
        <v>50000</v>
      </c>
      <c r="O2378" s="55">
        <v>719</v>
      </c>
      <c r="P2378" s="78">
        <v>50000</v>
      </c>
    </row>
    <row r="2379" spans="9:16" ht="15.75" customHeight="1" thickBot="1">
      <c r="I2379" s="882"/>
      <c r="J2379" s="876"/>
      <c r="K2379" s="878"/>
      <c r="L2379" s="880"/>
      <c r="M2379" s="882"/>
      <c r="N2379" s="884"/>
      <c r="O2379" s="56">
        <v>721</v>
      </c>
      <c r="P2379" s="79">
        <f>+N2378-P2378</f>
        <v>0</v>
      </c>
    </row>
    <row r="2380" spans="9:16">
      <c r="I2380" s="881"/>
      <c r="J2380" s="875"/>
      <c r="K2380" s="877"/>
      <c r="L2380" s="879"/>
      <c r="M2380" s="881"/>
      <c r="N2380" s="883"/>
      <c r="O2380" s="55">
        <v>719</v>
      </c>
      <c r="P2380" s="78"/>
    </row>
    <row r="2381" spans="9:16" ht="15.75" thickBot="1">
      <c r="I2381" s="882"/>
      <c r="J2381" s="876"/>
      <c r="K2381" s="878"/>
      <c r="L2381" s="880"/>
      <c r="M2381" s="882"/>
      <c r="N2381" s="884"/>
      <c r="O2381" s="56">
        <v>721</v>
      </c>
      <c r="P2381" s="79">
        <f>+N2380-P2380</f>
        <v>0</v>
      </c>
    </row>
    <row r="2382" spans="9:16">
      <c r="I2382" s="881"/>
      <c r="J2382" s="875"/>
      <c r="K2382" s="877"/>
      <c r="L2382" s="879"/>
      <c r="M2382" s="881"/>
      <c r="N2382" s="883"/>
      <c r="O2382" s="55">
        <v>719</v>
      </c>
      <c r="P2382" s="78"/>
    </row>
    <row r="2383" spans="9:16" ht="15.75" thickBot="1">
      <c r="I2383" s="882"/>
      <c r="J2383" s="876"/>
      <c r="K2383" s="878"/>
      <c r="L2383" s="880"/>
      <c r="M2383" s="882"/>
      <c r="N2383" s="884"/>
      <c r="O2383" s="56">
        <v>721</v>
      </c>
      <c r="P2383" s="79">
        <f>+N2382-P2382</f>
        <v>0</v>
      </c>
    </row>
    <row r="2384" spans="9:16">
      <c r="I2384" s="881"/>
      <c r="J2384" s="875"/>
      <c r="K2384" s="877"/>
      <c r="L2384" s="879"/>
      <c r="M2384" s="881"/>
      <c r="N2384" s="883"/>
      <c r="O2384" s="55">
        <v>719</v>
      </c>
      <c r="P2384" s="78"/>
    </row>
    <row r="2385" spans="9:16" ht="15.75" thickBot="1">
      <c r="I2385" s="882"/>
      <c r="J2385" s="876"/>
      <c r="K2385" s="878"/>
      <c r="L2385" s="880"/>
      <c r="M2385" s="882"/>
      <c r="N2385" s="884"/>
      <c r="O2385" s="56">
        <v>723</v>
      </c>
      <c r="P2385" s="79">
        <f>+N2384-P2384</f>
        <v>0</v>
      </c>
    </row>
    <row r="2386" spans="9:16" ht="16.5" thickBot="1">
      <c r="I2386" s="901" t="s">
        <v>102</v>
      </c>
      <c r="J2386" s="902"/>
      <c r="K2386" s="902"/>
      <c r="L2386" s="902"/>
      <c r="M2386" s="903"/>
      <c r="N2386" s="81">
        <f>SUM(N2376:N2385)</f>
        <v>110000</v>
      </c>
    </row>
    <row r="2387" spans="9:16" ht="16.5" thickBot="1">
      <c r="I2387" s="885" t="s">
        <v>103</v>
      </c>
      <c r="J2387" s="886"/>
      <c r="K2387" s="886"/>
      <c r="L2387" s="886"/>
      <c r="M2387" s="887"/>
      <c r="N2387" s="69">
        <f>+N2351</f>
        <v>498311065</v>
      </c>
      <c r="O2387" s="241" t="s">
        <v>561</v>
      </c>
      <c r="P2387" s="242">
        <f>123+195</f>
        <v>318</v>
      </c>
    </row>
    <row r="2388" spans="9:16" ht="16.5" thickBot="1">
      <c r="I2388" s="888" t="s">
        <v>104</v>
      </c>
      <c r="J2388" s="889"/>
      <c r="K2388" s="889"/>
      <c r="L2388" s="889"/>
      <c r="M2388" s="890"/>
      <c r="N2388" s="183">
        <f>SUM(N2386:N2387)</f>
        <v>498421065</v>
      </c>
    </row>
    <row r="2389" spans="9:16">
      <c r="I2389" s="61"/>
      <c r="J2389" s="61"/>
      <c r="K2389" s="61"/>
      <c r="L2389" s="61"/>
      <c r="M2389" s="61"/>
    </row>
    <row r="2390" spans="9:16">
      <c r="I2390" s="51" t="s">
        <v>1068</v>
      </c>
    </row>
    <row r="2391" spans="9:16" ht="12" customHeight="1">
      <c r="N2391" s="139"/>
    </row>
    <row r="2392" spans="9:16">
      <c r="I2392" s="50" t="s">
        <v>105</v>
      </c>
      <c r="L2392" s="146"/>
      <c r="N2392" s="139"/>
    </row>
    <row r="2393" spans="9:16" ht="12.75" customHeight="1" thickBot="1"/>
    <row r="2394" spans="9:16" ht="15.75" thickBot="1">
      <c r="I2394" s="891" t="s">
        <v>106</v>
      </c>
      <c r="J2394" s="892"/>
      <c r="K2394" s="892"/>
      <c r="L2394" s="893"/>
      <c r="N2394" s="50" t="s">
        <v>288</v>
      </c>
    </row>
    <row r="2395" spans="9:16" ht="30.75" thickBot="1">
      <c r="I2395" s="57" t="s">
        <v>100</v>
      </c>
      <c r="J2395" s="58" t="s">
        <v>108</v>
      </c>
      <c r="K2395" s="287" t="s">
        <v>109</v>
      </c>
      <c r="L2395" s="60" t="s">
        <v>110</v>
      </c>
    </row>
    <row r="2396" spans="9:16">
      <c r="I2396" s="71">
        <v>719</v>
      </c>
      <c r="J2396" s="73">
        <f>+P2376+P2378</f>
        <v>110000</v>
      </c>
      <c r="K2396" s="74">
        <f>+L2359</f>
        <v>49070000</v>
      </c>
      <c r="L2396" s="195">
        <f>+J2396+K2396</f>
        <v>49180000</v>
      </c>
    </row>
    <row r="2397" spans="9:16">
      <c r="I2397" s="72">
        <v>721</v>
      </c>
      <c r="J2397" s="80">
        <f>+P2377+P2379+P2381+P2383+P2385</f>
        <v>0</v>
      </c>
      <c r="K2397" s="74">
        <f>+L2360</f>
        <v>100736559</v>
      </c>
      <c r="L2397" s="195">
        <f>+J2397+K2397</f>
        <v>100736559</v>
      </c>
    </row>
    <row r="2398" spans="9:16">
      <c r="I2398" s="72">
        <v>722</v>
      </c>
      <c r="J2398" s="80"/>
      <c r="K2398" s="74">
        <f>+L2361</f>
        <v>58963334</v>
      </c>
      <c r="L2398" s="195">
        <f>+J2398+K2398</f>
        <v>58963334</v>
      </c>
    </row>
    <row r="2399" spans="9:16" ht="15.75">
      <c r="I2399" s="72">
        <v>723</v>
      </c>
      <c r="J2399" s="80"/>
      <c r="K2399" s="74">
        <f>+L2362</f>
        <v>289770052</v>
      </c>
      <c r="L2399" s="195">
        <f>+J2399+K2399</f>
        <v>289770052</v>
      </c>
      <c r="N2399" s="193" t="s">
        <v>289</v>
      </c>
      <c r="O2399" s="175"/>
    </row>
    <row r="2400" spans="9:16" ht="16.5" thickBot="1">
      <c r="I2400" s="164" t="s">
        <v>181</v>
      </c>
      <c r="J2400" s="165"/>
      <c r="K2400" s="74">
        <f>+L2363</f>
        <v>-298880</v>
      </c>
      <c r="L2400" s="196">
        <f>+J2400+K2400</f>
        <v>-298880</v>
      </c>
      <c r="N2400" s="52"/>
    </row>
    <row r="2401" spans="9:16" ht="16.5" thickBot="1">
      <c r="I2401" s="169"/>
      <c r="J2401" s="197">
        <f>SUM(J2396:J2400)</f>
        <v>110000</v>
      </c>
      <c r="K2401" s="197">
        <f>SUM(K2396:K2400)</f>
        <v>498241065</v>
      </c>
      <c r="L2401" s="198">
        <f>SUM(L2396:L2400)</f>
        <v>498351065</v>
      </c>
    </row>
    <row r="2402" spans="9:16" ht="16.5">
      <c r="I2402" s="49" t="s">
        <v>88</v>
      </c>
      <c r="J2402" s="50"/>
    </row>
    <row r="2403" spans="9:16">
      <c r="I2403" s="51" t="s">
        <v>89</v>
      </c>
    </row>
    <row r="2404" spans="9:16">
      <c r="I2404" s="51" t="s">
        <v>90</v>
      </c>
    </row>
    <row r="2405" spans="9:16">
      <c r="I2405" s="51" t="s">
        <v>91</v>
      </c>
    </row>
    <row r="2406" spans="9:16" ht="11.25" customHeight="1">
      <c r="I2406" s="50"/>
      <c r="J2406" s="50"/>
    </row>
    <row r="2407" spans="9:16" ht="15.75">
      <c r="I2407" s="260" t="s">
        <v>1070</v>
      </c>
      <c r="O2407" s="52"/>
    </row>
    <row r="2408" spans="9:16" ht="15.75">
      <c r="I2408" s="53" t="s">
        <v>535</v>
      </c>
      <c r="O2408" s="53"/>
    </row>
    <row r="2409" spans="9:16" ht="16.5">
      <c r="I2409" s="894" t="s">
        <v>909</v>
      </c>
      <c r="J2409" s="894"/>
      <c r="K2409" s="894"/>
      <c r="L2409" s="894"/>
      <c r="M2409" s="894"/>
      <c r="N2409" s="894"/>
      <c r="O2409" s="894"/>
      <c r="P2409" s="894"/>
    </row>
    <row r="2410" spans="9:16" ht="15.75" thickBot="1"/>
    <row r="2411" spans="9:16">
      <c r="I2411" s="895" t="s">
        <v>94</v>
      </c>
      <c r="J2411" s="897" t="s">
        <v>95</v>
      </c>
      <c r="K2411" s="897" t="s">
        <v>96</v>
      </c>
      <c r="L2411" s="897" t="s">
        <v>3</v>
      </c>
      <c r="M2411" s="897" t="s">
        <v>97</v>
      </c>
      <c r="N2411" s="897" t="s">
        <v>98</v>
      </c>
      <c r="O2411" s="897" t="s">
        <v>99</v>
      </c>
      <c r="P2411" s="899"/>
    </row>
    <row r="2412" spans="9:16" ht="15.75" thickBot="1">
      <c r="I2412" s="896"/>
      <c r="J2412" s="898"/>
      <c r="K2412" s="898"/>
      <c r="L2412" s="898"/>
      <c r="M2412" s="898"/>
      <c r="N2412" s="898"/>
      <c r="O2412" s="240" t="s">
        <v>100</v>
      </c>
      <c r="P2412" s="182" t="s">
        <v>101</v>
      </c>
    </row>
    <row r="2413" spans="9:16">
      <c r="I2413" s="881">
        <v>259</v>
      </c>
      <c r="J2413" s="875">
        <v>42632</v>
      </c>
      <c r="K2413" s="877" t="s">
        <v>1014</v>
      </c>
      <c r="L2413" s="879" t="s">
        <v>1072</v>
      </c>
      <c r="M2413" s="881" t="s">
        <v>115</v>
      </c>
      <c r="N2413" s="883">
        <v>150000</v>
      </c>
      <c r="O2413" s="55">
        <v>719</v>
      </c>
      <c r="P2413" s="78">
        <v>150000</v>
      </c>
    </row>
    <row r="2414" spans="9:16" ht="15.75" thickBot="1">
      <c r="I2414" s="882"/>
      <c r="J2414" s="876"/>
      <c r="K2414" s="878"/>
      <c r="L2414" s="880"/>
      <c r="M2414" s="882"/>
      <c r="N2414" s="884"/>
      <c r="O2414" s="56">
        <v>721</v>
      </c>
      <c r="P2414" s="79">
        <f>+N2413-P2413</f>
        <v>0</v>
      </c>
    </row>
    <row r="2415" spans="9:16">
      <c r="I2415" s="881">
        <v>260</v>
      </c>
      <c r="J2415" s="875">
        <v>42632</v>
      </c>
      <c r="K2415" s="877" t="s">
        <v>120</v>
      </c>
      <c r="L2415" s="879" t="s">
        <v>1071</v>
      </c>
      <c r="M2415" s="881" t="s">
        <v>115</v>
      </c>
      <c r="N2415" s="883">
        <v>110000</v>
      </c>
      <c r="O2415" s="55">
        <v>719</v>
      </c>
      <c r="P2415" s="78">
        <v>110000</v>
      </c>
    </row>
    <row r="2416" spans="9:16" ht="15.75" thickBot="1">
      <c r="I2416" s="882"/>
      <c r="J2416" s="876"/>
      <c r="K2416" s="878"/>
      <c r="L2416" s="880"/>
      <c r="M2416" s="882"/>
      <c r="N2416" s="884"/>
      <c r="O2416" s="56">
        <v>721</v>
      </c>
      <c r="P2416" s="79">
        <f>+N2415-P2415</f>
        <v>0</v>
      </c>
    </row>
    <row r="2417" spans="9:16">
      <c r="I2417" s="881"/>
      <c r="J2417" s="875"/>
      <c r="K2417" s="877"/>
      <c r="L2417" s="879"/>
      <c r="M2417" s="881"/>
      <c r="N2417" s="883"/>
      <c r="O2417" s="55">
        <v>719</v>
      </c>
      <c r="P2417" s="78"/>
    </row>
    <row r="2418" spans="9:16" ht="14.25" customHeight="1" thickBot="1">
      <c r="I2418" s="882"/>
      <c r="J2418" s="876"/>
      <c r="K2418" s="878"/>
      <c r="L2418" s="880"/>
      <c r="M2418" s="882"/>
      <c r="N2418" s="884"/>
      <c r="O2418" s="56">
        <v>721</v>
      </c>
      <c r="P2418" s="79">
        <f>+N2417-P2417</f>
        <v>0</v>
      </c>
    </row>
    <row r="2419" spans="9:16">
      <c r="I2419" s="881"/>
      <c r="J2419" s="875"/>
      <c r="K2419" s="877"/>
      <c r="L2419" s="879"/>
      <c r="M2419" s="881"/>
      <c r="N2419" s="883"/>
      <c r="O2419" s="55">
        <v>719</v>
      </c>
      <c r="P2419" s="78"/>
    </row>
    <row r="2420" spans="9:16" ht="13.5" customHeight="1" thickBot="1">
      <c r="I2420" s="882"/>
      <c r="J2420" s="876"/>
      <c r="K2420" s="878"/>
      <c r="L2420" s="880"/>
      <c r="M2420" s="882"/>
      <c r="N2420" s="884"/>
      <c r="O2420" s="56">
        <v>721</v>
      </c>
      <c r="P2420" s="79">
        <f>+N2419-P2419</f>
        <v>0</v>
      </c>
    </row>
    <row r="2421" spans="9:16">
      <c r="I2421" s="881"/>
      <c r="J2421" s="875"/>
      <c r="K2421" s="877"/>
      <c r="L2421" s="879"/>
      <c r="M2421" s="881"/>
      <c r="N2421" s="883"/>
      <c r="O2421" s="55">
        <v>719</v>
      </c>
      <c r="P2421" s="78"/>
    </row>
    <row r="2422" spans="9:16" ht="14.25" customHeight="1" thickBot="1">
      <c r="I2422" s="882"/>
      <c r="J2422" s="876"/>
      <c r="K2422" s="878"/>
      <c r="L2422" s="880"/>
      <c r="M2422" s="882"/>
      <c r="N2422" s="884"/>
      <c r="O2422" s="56">
        <v>723</v>
      </c>
      <c r="P2422" s="79">
        <f>+N2421-P2421</f>
        <v>0</v>
      </c>
    </row>
    <row r="2423" spans="9:16" ht="16.5" thickBot="1">
      <c r="I2423" s="901" t="s">
        <v>102</v>
      </c>
      <c r="J2423" s="902"/>
      <c r="K2423" s="902"/>
      <c r="L2423" s="902"/>
      <c r="M2423" s="903"/>
      <c r="N2423" s="81">
        <f>SUM(N2413:N2422)</f>
        <v>260000</v>
      </c>
    </row>
    <row r="2424" spans="9:16" ht="16.5" thickBot="1">
      <c r="I2424" s="885" t="s">
        <v>103</v>
      </c>
      <c r="J2424" s="886"/>
      <c r="K2424" s="886"/>
      <c r="L2424" s="886"/>
      <c r="M2424" s="887"/>
      <c r="N2424" s="69">
        <f>+N2388</f>
        <v>498421065</v>
      </c>
      <c r="O2424" s="241" t="s">
        <v>561</v>
      </c>
      <c r="P2424" s="242">
        <f>528+24</f>
        <v>552</v>
      </c>
    </row>
    <row r="2425" spans="9:16" ht="16.5" thickBot="1">
      <c r="I2425" s="888" t="s">
        <v>104</v>
      </c>
      <c r="J2425" s="889"/>
      <c r="K2425" s="889"/>
      <c r="L2425" s="889"/>
      <c r="M2425" s="890"/>
      <c r="N2425" s="183">
        <f>SUM(N2423:N2424)</f>
        <v>498681065</v>
      </c>
    </row>
    <row r="2426" spans="9:16">
      <c r="I2426" s="61"/>
      <c r="J2426" s="61"/>
      <c r="K2426" s="61"/>
      <c r="L2426" s="61"/>
      <c r="M2426" s="61"/>
    </row>
    <row r="2427" spans="9:16">
      <c r="I2427" s="51" t="s">
        <v>1073</v>
      </c>
    </row>
    <row r="2428" spans="9:16">
      <c r="N2428" s="139"/>
    </row>
    <row r="2429" spans="9:16">
      <c r="I2429" s="50" t="s">
        <v>105</v>
      </c>
      <c r="L2429" s="146"/>
      <c r="N2429" s="139"/>
    </row>
    <row r="2430" spans="9:16" ht="15.75" thickBot="1"/>
    <row r="2431" spans="9:16" ht="15.75" thickBot="1">
      <c r="I2431" s="891" t="s">
        <v>106</v>
      </c>
      <c r="J2431" s="892"/>
      <c r="K2431" s="892"/>
      <c r="L2431" s="893"/>
      <c r="N2431" s="50" t="s">
        <v>288</v>
      </c>
    </row>
    <row r="2432" spans="9:16" ht="30.75" thickBot="1">
      <c r="I2432" s="57" t="s">
        <v>100</v>
      </c>
      <c r="J2432" s="58" t="s">
        <v>108</v>
      </c>
      <c r="K2432" s="287" t="s">
        <v>109</v>
      </c>
      <c r="L2432" s="60" t="s">
        <v>110</v>
      </c>
    </row>
    <row r="2433" spans="9:16">
      <c r="I2433" s="71">
        <v>719</v>
      </c>
      <c r="J2433" s="73">
        <f>+P2413+P2415</f>
        <v>260000</v>
      </c>
      <c r="K2433" s="74">
        <f>+L2396</f>
        <v>49180000</v>
      </c>
      <c r="L2433" s="195">
        <f>+J2433+K2433</f>
        <v>49440000</v>
      </c>
    </row>
    <row r="2434" spans="9:16">
      <c r="I2434" s="72">
        <v>721</v>
      </c>
      <c r="J2434" s="80">
        <f>+P2414+P2416+P2418+P2420+P2422</f>
        <v>0</v>
      </c>
      <c r="K2434" s="74">
        <f>+L2397</f>
        <v>100736559</v>
      </c>
      <c r="L2434" s="195">
        <f>+J2434+K2434</f>
        <v>100736559</v>
      </c>
    </row>
    <row r="2435" spans="9:16">
      <c r="I2435" s="72">
        <v>722</v>
      </c>
      <c r="J2435" s="80"/>
      <c r="K2435" s="74">
        <f>+L2398</f>
        <v>58963334</v>
      </c>
      <c r="L2435" s="195">
        <f>+J2435+K2435</f>
        <v>58963334</v>
      </c>
    </row>
    <row r="2436" spans="9:16" ht="15.75">
      <c r="I2436" s="72">
        <v>723</v>
      </c>
      <c r="J2436" s="80"/>
      <c r="K2436" s="74">
        <f>+L2399</f>
        <v>289770052</v>
      </c>
      <c r="L2436" s="195">
        <f>+J2436+K2436</f>
        <v>289770052</v>
      </c>
      <c r="N2436" s="193" t="s">
        <v>289</v>
      </c>
      <c r="O2436" s="175"/>
    </row>
    <row r="2437" spans="9:16" ht="16.5" thickBot="1">
      <c r="I2437" s="164" t="s">
        <v>181</v>
      </c>
      <c r="J2437" s="165"/>
      <c r="K2437" s="74">
        <f>+L2400</f>
        <v>-298880</v>
      </c>
      <c r="L2437" s="196">
        <f>+J2437+K2437</f>
        <v>-298880</v>
      </c>
      <c r="N2437" s="52"/>
    </row>
    <row r="2438" spans="9:16" ht="16.5" thickBot="1">
      <c r="I2438" s="169"/>
      <c r="J2438" s="197">
        <f>SUM(J2433:J2437)</f>
        <v>260000</v>
      </c>
      <c r="K2438" s="197">
        <f>SUM(K2433:K2437)</f>
        <v>498351065</v>
      </c>
      <c r="L2438" s="198">
        <f>SUM(L2433:L2437)</f>
        <v>498611065</v>
      </c>
    </row>
    <row r="2439" spans="9:16" ht="16.5">
      <c r="I2439" s="49" t="s">
        <v>88</v>
      </c>
      <c r="J2439" s="50"/>
    </row>
    <row r="2440" spans="9:16">
      <c r="I2440" s="51" t="s">
        <v>89</v>
      </c>
    </row>
    <row r="2441" spans="9:16">
      <c r="I2441" s="51" t="s">
        <v>90</v>
      </c>
    </row>
    <row r="2442" spans="9:16">
      <c r="I2442" s="51" t="s">
        <v>91</v>
      </c>
    </row>
    <row r="2443" spans="9:16" ht="6.75" customHeight="1">
      <c r="I2443" s="50"/>
      <c r="J2443" s="50"/>
    </row>
    <row r="2444" spans="9:16" ht="15.75">
      <c r="I2444" s="260" t="s">
        <v>1074</v>
      </c>
      <c r="O2444" s="52"/>
    </row>
    <row r="2445" spans="9:16" ht="15.75">
      <c r="I2445" s="53" t="s">
        <v>535</v>
      </c>
      <c r="O2445" s="53"/>
    </row>
    <row r="2446" spans="9:16" ht="15.75" customHeight="1">
      <c r="I2446" s="894" t="s">
        <v>1078</v>
      </c>
      <c r="J2446" s="894"/>
      <c r="K2446" s="894"/>
      <c r="L2446" s="894"/>
      <c r="M2446" s="894"/>
      <c r="N2446" s="894"/>
      <c r="O2446" s="894"/>
      <c r="P2446" s="894"/>
    </row>
    <row r="2447" spans="9:16" ht="15.75" thickBot="1"/>
    <row r="2448" spans="9:16">
      <c r="I2448" s="895" t="s">
        <v>94</v>
      </c>
      <c r="J2448" s="897" t="s">
        <v>95</v>
      </c>
      <c r="K2448" s="897" t="s">
        <v>96</v>
      </c>
      <c r="L2448" s="897" t="s">
        <v>3</v>
      </c>
      <c r="M2448" s="897" t="s">
        <v>97</v>
      </c>
      <c r="N2448" s="897" t="s">
        <v>98</v>
      </c>
      <c r="O2448" s="897" t="s">
        <v>99</v>
      </c>
      <c r="P2448" s="899"/>
    </row>
    <row r="2449" spans="9:16" ht="15.75" thickBot="1">
      <c r="I2449" s="896"/>
      <c r="J2449" s="898"/>
      <c r="K2449" s="898"/>
      <c r="L2449" s="898"/>
      <c r="M2449" s="898"/>
      <c r="N2449" s="898"/>
      <c r="O2449" s="240" t="s">
        <v>100</v>
      </c>
      <c r="P2449" s="182" t="s">
        <v>101</v>
      </c>
    </row>
    <row r="2450" spans="9:16" ht="15" customHeight="1">
      <c r="I2450" s="881">
        <v>261</v>
      </c>
      <c r="J2450" s="875">
        <v>42641</v>
      </c>
      <c r="K2450" s="877" t="s">
        <v>1079</v>
      </c>
      <c r="L2450" s="879" t="s">
        <v>1080</v>
      </c>
      <c r="M2450" s="881" t="s">
        <v>783</v>
      </c>
      <c r="N2450" s="883">
        <v>145000</v>
      </c>
      <c r="O2450" s="55">
        <v>719</v>
      </c>
      <c r="P2450" s="78">
        <v>145000</v>
      </c>
    </row>
    <row r="2451" spans="9:16" ht="12.75" customHeight="1" thickBot="1">
      <c r="I2451" s="882"/>
      <c r="J2451" s="876"/>
      <c r="K2451" s="878"/>
      <c r="L2451" s="880"/>
      <c r="M2451" s="882"/>
      <c r="N2451" s="884"/>
      <c r="O2451" s="56">
        <v>721</v>
      </c>
      <c r="P2451" s="79">
        <f>+N2450-P2450</f>
        <v>0</v>
      </c>
    </row>
    <row r="2452" spans="9:16" ht="15" customHeight="1">
      <c r="I2452" s="881">
        <v>262</v>
      </c>
      <c r="J2452" s="875">
        <v>42641</v>
      </c>
      <c r="K2452" s="877" t="s">
        <v>1079</v>
      </c>
      <c r="L2452" s="879" t="s">
        <v>1081</v>
      </c>
      <c r="M2452" s="881" t="s">
        <v>783</v>
      </c>
      <c r="N2452" s="883">
        <v>72500</v>
      </c>
      <c r="O2452" s="55">
        <v>719</v>
      </c>
      <c r="P2452" s="78">
        <v>72500</v>
      </c>
    </row>
    <row r="2453" spans="9:16" ht="13.5" customHeight="1" thickBot="1">
      <c r="I2453" s="882"/>
      <c r="J2453" s="876"/>
      <c r="K2453" s="878"/>
      <c r="L2453" s="880"/>
      <c r="M2453" s="882"/>
      <c r="N2453" s="884"/>
      <c r="O2453" s="56">
        <v>721</v>
      </c>
      <c r="P2453" s="79">
        <f>+N2452-P2452</f>
        <v>0</v>
      </c>
    </row>
    <row r="2454" spans="9:16" ht="15" customHeight="1">
      <c r="I2454" s="881">
        <v>263</v>
      </c>
      <c r="J2454" s="875">
        <v>42641</v>
      </c>
      <c r="K2454" s="877" t="s">
        <v>1079</v>
      </c>
      <c r="L2454" s="879" t="s">
        <v>1082</v>
      </c>
      <c r="M2454" s="881" t="s">
        <v>783</v>
      </c>
      <c r="N2454" s="883">
        <v>72500</v>
      </c>
      <c r="O2454" s="55">
        <v>719</v>
      </c>
      <c r="P2454" s="78">
        <v>72500</v>
      </c>
    </row>
    <row r="2455" spans="9:16" ht="14.25" customHeight="1" thickBot="1">
      <c r="I2455" s="882"/>
      <c r="J2455" s="876"/>
      <c r="K2455" s="878"/>
      <c r="L2455" s="880"/>
      <c r="M2455" s="882"/>
      <c r="N2455" s="884"/>
      <c r="O2455" s="56">
        <v>721</v>
      </c>
      <c r="P2455" s="79">
        <f>+N2454-P2454</f>
        <v>0</v>
      </c>
    </row>
    <row r="2456" spans="9:16" ht="15" customHeight="1">
      <c r="I2456" s="881">
        <v>264</v>
      </c>
      <c r="J2456" s="875">
        <v>42641</v>
      </c>
      <c r="K2456" s="877" t="s">
        <v>1079</v>
      </c>
      <c r="L2456" s="879" t="s">
        <v>1084</v>
      </c>
      <c r="M2456" s="881" t="s">
        <v>783</v>
      </c>
      <c r="N2456" s="883">
        <v>217500</v>
      </c>
      <c r="O2456" s="55">
        <v>719</v>
      </c>
      <c r="P2456" s="78">
        <v>217500</v>
      </c>
    </row>
    <row r="2457" spans="9:16" ht="13.5" customHeight="1" thickBot="1">
      <c r="I2457" s="882"/>
      <c r="J2457" s="876"/>
      <c r="K2457" s="878"/>
      <c r="L2457" s="880"/>
      <c r="M2457" s="882"/>
      <c r="N2457" s="884"/>
      <c r="O2457" s="56">
        <v>721</v>
      </c>
      <c r="P2457" s="79">
        <f>+N2456-P2456</f>
        <v>0</v>
      </c>
    </row>
    <row r="2458" spans="9:16" ht="15.75" customHeight="1">
      <c r="I2458" s="881">
        <v>265</v>
      </c>
      <c r="J2458" s="875">
        <v>42641</v>
      </c>
      <c r="K2458" s="877" t="s">
        <v>1079</v>
      </c>
      <c r="L2458" s="879" t="s">
        <v>1095</v>
      </c>
      <c r="M2458" s="881" t="s">
        <v>783</v>
      </c>
      <c r="N2458" s="883">
        <f>72500*2</f>
        <v>145000</v>
      </c>
      <c r="O2458" s="55">
        <v>719</v>
      </c>
      <c r="P2458" s="78">
        <v>145000</v>
      </c>
    </row>
    <row r="2459" spans="9:16" ht="13.5" customHeight="1" thickBot="1">
      <c r="I2459" s="882"/>
      <c r="J2459" s="876"/>
      <c r="K2459" s="878"/>
      <c r="L2459" s="880"/>
      <c r="M2459" s="882"/>
      <c r="N2459" s="884"/>
      <c r="O2459" s="56">
        <v>721</v>
      </c>
      <c r="P2459" s="79">
        <f>+N2458-P2458</f>
        <v>0</v>
      </c>
    </row>
    <row r="2460" spans="9:16" ht="15" customHeight="1">
      <c r="I2460" s="881">
        <v>266</v>
      </c>
      <c r="J2460" s="875">
        <v>42641</v>
      </c>
      <c r="K2460" s="877" t="s">
        <v>1079</v>
      </c>
      <c r="L2460" s="879" t="s">
        <v>1086</v>
      </c>
      <c r="M2460" s="881" t="s">
        <v>783</v>
      </c>
      <c r="N2460" s="883">
        <v>145000</v>
      </c>
      <c r="O2460" s="55">
        <v>719</v>
      </c>
      <c r="P2460" s="78">
        <v>145000</v>
      </c>
    </row>
    <row r="2461" spans="9:16" ht="13.5" customHeight="1" thickBot="1">
      <c r="I2461" s="882"/>
      <c r="J2461" s="876"/>
      <c r="K2461" s="878"/>
      <c r="L2461" s="880"/>
      <c r="M2461" s="882"/>
      <c r="N2461" s="884"/>
      <c r="O2461" s="56">
        <v>721</v>
      </c>
      <c r="P2461" s="79">
        <f>+N2460-P2460</f>
        <v>0</v>
      </c>
    </row>
    <row r="2462" spans="9:16" ht="16.5" thickBot="1">
      <c r="I2462" s="901" t="s">
        <v>102</v>
      </c>
      <c r="J2462" s="902"/>
      <c r="K2462" s="902"/>
      <c r="L2462" s="902"/>
      <c r="M2462" s="903"/>
      <c r="N2462" s="81">
        <f>SUM(N2450:N2461)</f>
        <v>797500</v>
      </c>
    </row>
    <row r="2463" spans="9:16" ht="16.5" thickBot="1">
      <c r="I2463" s="885" t="s">
        <v>103</v>
      </c>
      <c r="J2463" s="886"/>
      <c r="K2463" s="886"/>
      <c r="L2463" s="886"/>
      <c r="M2463" s="887"/>
      <c r="N2463" s="69">
        <f>+N2425</f>
        <v>498681065</v>
      </c>
      <c r="O2463" s="241" t="s">
        <v>561</v>
      </c>
      <c r="P2463" s="242"/>
    </row>
    <row r="2464" spans="9:16" ht="16.5" thickBot="1">
      <c r="I2464" s="888" t="s">
        <v>104</v>
      </c>
      <c r="J2464" s="889"/>
      <c r="K2464" s="889"/>
      <c r="L2464" s="889"/>
      <c r="M2464" s="890"/>
      <c r="N2464" s="183">
        <f>SUM(N2462:N2463)</f>
        <v>499478565</v>
      </c>
    </row>
    <row r="2465" spans="9:15" ht="9.75" customHeight="1">
      <c r="I2465" s="61"/>
      <c r="J2465" s="61"/>
      <c r="K2465" s="61"/>
      <c r="L2465" s="61"/>
      <c r="M2465" s="61"/>
    </row>
    <row r="2466" spans="9:15">
      <c r="I2466" s="51" t="s">
        <v>1101</v>
      </c>
    </row>
    <row r="2467" spans="9:15" ht="9.75" customHeight="1">
      <c r="N2467" s="139"/>
    </row>
    <row r="2468" spans="9:15">
      <c r="I2468" s="50" t="s">
        <v>105</v>
      </c>
      <c r="L2468" s="146"/>
      <c r="N2468" s="139"/>
    </row>
    <row r="2469" spans="9:15" ht="12" customHeight="1" thickBot="1"/>
    <row r="2470" spans="9:15" ht="15.75" thickBot="1">
      <c r="I2470" s="891" t="s">
        <v>106</v>
      </c>
      <c r="J2470" s="892"/>
      <c r="K2470" s="892"/>
      <c r="L2470" s="893"/>
      <c r="N2470" s="50" t="s">
        <v>288</v>
      </c>
    </row>
    <row r="2471" spans="9:15" ht="28.5" customHeight="1" thickBot="1">
      <c r="I2471" s="57" t="s">
        <v>100</v>
      </c>
      <c r="J2471" s="58" t="s">
        <v>108</v>
      </c>
      <c r="K2471" s="287" t="s">
        <v>109</v>
      </c>
      <c r="L2471" s="60" t="s">
        <v>110</v>
      </c>
    </row>
    <row r="2472" spans="9:15">
      <c r="I2472" s="71">
        <v>719</v>
      </c>
      <c r="J2472" s="73"/>
      <c r="K2472" s="74">
        <f>+L2433</f>
        <v>49440000</v>
      </c>
      <c r="L2472" s="195">
        <f>+J2472+K2472</f>
        <v>49440000</v>
      </c>
    </row>
    <row r="2473" spans="9:15">
      <c r="I2473" s="72">
        <v>721</v>
      </c>
      <c r="J2473" s="80"/>
      <c r="K2473" s="74">
        <f>+L2434</f>
        <v>100736559</v>
      </c>
      <c r="L2473" s="195">
        <f>+J2473+K2473</f>
        <v>100736559</v>
      </c>
    </row>
    <row r="2474" spans="9:15">
      <c r="I2474" s="72">
        <v>722</v>
      </c>
      <c r="J2474" s="80"/>
      <c r="K2474" s="74">
        <f>+L2435</f>
        <v>58963334</v>
      </c>
      <c r="L2474" s="195">
        <f>+J2474+K2474</f>
        <v>58963334</v>
      </c>
    </row>
    <row r="2475" spans="9:15" ht="15" customHeight="1">
      <c r="I2475" s="72">
        <v>723</v>
      </c>
      <c r="J2475" s="80"/>
      <c r="K2475" s="74">
        <f>+L2436</f>
        <v>289770052</v>
      </c>
      <c r="L2475" s="195">
        <f>+J2475+K2475</f>
        <v>289770052</v>
      </c>
      <c r="N2475" s="193" t="s">
        <v>289</v>
      </c>
      <c r="O2475" s="175"/>
    </row>
    <row r="2476" spans="9:15" ht="16.5" thickBot="1">
      <c r="I2476" s="164" t="s">
        <v>1077</v>
      </c>
      <c r="J2476" s="165">
        <f>+P2450+P2452+P2454+P2456+P2460+P2458</f>
        <v>797500</v>
      </c>
      <c r="K2476" s="74">
        <f>+L2437</f>
        <v>-298880</v>
      </c>
      <c r="L2476" s="196">
        <f>+J2476+K2476</f>
        <v>498620</v>
      </c>
      <c r="N2476" s="52"/>
    </row>
    <row r="2477" spans="9:15" ht="16.5" thickBot="1">
      <c r="I2477" s="316" t="s">
        <v>147</v>
      </c>
      <c r="J2477" s="197">
        <f>SUM(J2472:J2476)</f>
        <v>797500</v>
      </c>
      <c r="K2477" s="197">
        <f>SUM(K2472:K2476)</f>
        <v>498611065</v>
      </c>
      <c r="L2477" s="198">
        <f>SUM(L2472:L2476)</f>
        <v>499408565</v>
      </c>
    </row>
    <row r="2478" spans="9:15" ht="16.5">
      <c r="I2478" s="49" t="s">
        <v>88</v>
      </c>
      <c r="J2478" s="50"/>
    </row>
    <row r="2479" spans="9:15">
      <c r="I2479" s="51" t="s">
        <v>89</v>
      </c>
    </row>
    <row r="2480" spans="9:15">
      <c r="I2480" s="51" t="s">
        <v>90</v>
      </c>
    </row>
    <row r="2481" spans="9:16">
      <c r="I2481" s="51" t="s">
        <v>91</v>
      </c>
    </row>
    <row r="2482" spans="9:16" ht="12.75" customHeight="1">
      <c r="I2482" s="50"/>
      <c r="J2482" s="50"/>
    </row>
    <row r="2483" spans="9:16" ht="15.75">
      <c r="I2483" s="260" t="s">
        <v>1075</v>
      </c>
      <c r="O2483" s="52"/>
    </row>
    <row r="2484" spans="9:16" ht="15.75">
      <c r="I2484" s="53" t="s">
        <v>535</v>
      </c>
      <c r="O2484" s="53"/>
    </row>
    <row r="2485" spans="9:16" ht="16.5">
      <c r="I2485" s="894" t="s">
        <v>1098</v>
      </c>
      <c r="J2485" s="894"/>
      <c r="K2485" s="894"/>
      <c r="L2485" s="894"/>
      <c r="M2485" s="894"/>
      <c r="N2485" s="894"/>
      <c r="O2485" s="894"/>
      <c r="P2485" s="894"/>
    </row>
    <row r="2486" spans="9:16" ht="15.75" thickBot="1"/>
    <row r="2487" spans="9:16">
      <c r="I2487" s="895" t="s">
        <v>94</v>
      </c>
      <c r="J2487" s="897" t="s">
        <v>95</v>
      </c>
      <c r="K2487" s="897" t="s">
        <v>96</v>
      </c>
      <c r="L2487" s="897" t="s">
        <v>3</v>
      </c>
      <c r="M2487" s="897" t="s">
        <v>97</v>
      </c>
      <c r="N2487" s="897" t="s">
        <v>98</v>
      </c>
      <c r="O2487" s="897" t="s">
        <v>99</v>
      </c>
      <c r="P2487" s="899"/>
    </row>
    <row r="2488" spans="9:16" ht="15.75" thickBot="1">
      <c r="I2488" s="896"/>
      <c r="J2488" s="898"/>
      <c r="K2488" s="898"/>
      <c r="L2488" s="898"/>
      <c r="M2488" s="898"/>
      <c r="N2488" s="898"/>
      <c r="O2488" s="240" t="s">
        <v>100</v>
      </c>
      <c r="P2488" s="182" t="s">
        <v>101</v>
      </c>
    </row>
    <row r="2489" spans="9:16" ht="15" customHeight="1">
      <c r="I2489" s="881">
        <v>267</v>
      </c>
      <c r="J2489" s="875">
        <v>42641</v>
      </c>
      <c r="K2489" s="877" t="s">
        <v>738</v>
      </c>
      <c r="L2489" s="879" t="s">
        <v>1097</v>
      </c>
      <c r="M2489" s="881" t="s">
        <v>148</v>
      </c>
      <c r="N2489" s="883">
        <v>2672700</v>
      </c>
      <c r="O2489" s="55">
        <v>719</v>
      </c>
      <c r="P2489" s="78"/>
    </row>
    <row r="2490" spans="9:16" ht="15.75" customHeight="1" thickBot="1">
      <c r="I2490" s="882"/>
      <c r="J2490" s="876"/>
      <c r="K2490" s="878"/>
      <c r="L2490" s="880"/>
      <c r="M2490" s="882"/>
      <c r="N2490" s="884"/>
      <c r="O2490" s="56">
        <v>721</v>
      </c>
      <c r="P2490" s="79">
        <f>+N2489</f>
        <v>2672700</v>
      </c>
    </row>
    <row r="2491" spans="9:16" ht="15" customHeight="1">
      <c r="I2491" s="881">
        <v>268</v>
      </c>
      <c r="J2491" s="875">
        <v>42641</v>
      </c>
      <c r="K2491" s="877" t="s">
        <v>738</v>
      </c>
      <c r="L2491" s="879" t="s">
        <v>1099</v>
      </c>
      <c r="M2491" s="881" t="s">
        <v>148</v>
      </c>
      <c r="N2491" s="883">
        <v>773675</v>
      </c>
      <c r="O2491" s="55">
        <v>719</v>
      </c>
      <c r="P2491" s="78"/>
    </row>
    <row r="2492" spans="9:16" ht="15.75" customHeight="1" thickBot="1">
      <c r="I2492" s="882"/>
      <c r="J2492" s="876"/>
      <c r="K2492" s="878"/>
      <c r="L2492" s="880"/>
      <c r="M2492" s="882"/>
      <c r="N2492" s="884"/>
      <c r="O2492" s="56">
        <v>721</v>
      </c>
      <c r="P2492" s="79">
        <f>+N2491-P2491</f>
        <v>773675</v>
      </c>
    </row>
    <row r="2493" spans="9:16" ht="15" customHeight="1">
      <c r="I2493" s="881">
        <v>269</v>
      </c>
      <c r="J2493" s="875">
        <v>42641</v>
      </c>
      <c r="K2493" s="877" t="s">
        <v>738</v>
      </c>
      <c r="L2493" s="879" t="s">
        <v>1100</v>
      </c>
      <c r="M2493" s="881" t="s">
        <v>148</v>
      </c>
      <c r="N2493" s="883">
        <v>2672700</v>
      </c>
      <c r="O2493" s="55">
        <v>719</v>
      </c>
      <c r="P2493" s="78"/>
    </row>
    <row r="2494" spans="9:16" ht="14.25" customHeight="1" thickBot="1">
      <c r="I2494" s="882"/>
      <c r="J2494" s="876"/>
      <c r="K2494" s="878"/>
      <c r="L2494" s="880"/>
      <c r="M2494" s="882"/>
      <c r="N2494" s="884"/>
      <c r="O2494" s="56">
        <v>721</v>
      </c>
      <c r="P2494" s="79">
        <f>+N2493-P2493</f>
        <v>2672700</v>
      </c>
    </row>
    <row r="2495" spans="9:16" ht="14.25" customHeight="1">
      <c r="I2495" s="881"/>
      <c r="J2495" s="875"/>
      <c r="K2495" s="877"/>
      <c r="L2495" s="879"/>
      <c r="M2495" s="881"/>
      <c r="N2495" s="883"/>
      <c r="O2495" s="55">
        <v>719</v>
      </c>
      <c r="P2495" s="78"/>
    </row>
    <row r="2496" spans="9:16" ht="14.25" customHeight="1" thickBot="1">
      <c r="I2496" s="882"/>
      <c r="J2496" s="876"/>
      <c r="K2496" s="878"/>
      <c r="L2496" s="880"/>
      <c r="M2496" s="882"/>
      <c r="N2496" s="884"/>
      <c r="O2496" s="56">
        <v>721</v>
      </c>
      <c r="P2496" s="79">
        <f>+N2495-P2495</f>
        <v>0</v>
      </c>
    </row>
    <row r="2497" spans="9:16" ht="15" customHeight="1">
      <c r="I2497" s="881"/>
      <c r="J2497" s="875"/>
      <c r="K2497" s="877"/>
      <c r="L2497" s="879"/>
      <c r="M2497" s="881"/>
      <c r="N2497" s="883"/>
      <c r="O2497" s="55">
        <v>719</v>
      </c>
      <c r="P2497" s="78"/>
    </row>
    <row r="2498" spans="9:16" ht="11.25" customHeight="1" thickBot="1">
      <c r="I2498" s="882"/>
      <c r="J2498" s="876"/>
      <c r="K2498" s="878"/>
      <c r="L2498" s="880"/>
      <c r="M2498" s="882"/>
      <c r="N2498" s="884"/>
      <c r="O2498" s="56">
        <v>723</v>
      </c>
      <c r="P2498" s="79">
        <f>+N2497-P2497</f>
        <v>0</v>
      </c>
    </row>
    <row r="2499" spans="9:16" ht="16.5" thickBot="1">
      <c r="I2499" s="901" t="s">
        <v>102</v>
      </c>
      <c r="J2499" s="902"/>
      <c r="K2499" s="902"/>
      <c r="L2499" s="902"/>
      <c r="M2499" s="903"/>
      <c r="N2499" s="81">
        <f>SUM(N2489:N2498)</f>
        <v>6119075</v>
      </c>
    </row>
    <row r="2500" spans="9:16" ht="16.5" thickBot="1">
      <c r="I2500" s="885" t="s">
        <v>103</v>
      </c>
      <c r="J2500" s="886"/>
      <c r="K2500" s="886"/>
      <c r="L2500" s="886"/>
      <c r="M2500" s="887"/>
      <c r="N2500" s="69">
        <f>+N2464</f>
        <v>499478565</v>
      </c>
      <c r="O2500" s="241" t="s">
        <v>561</v>
      </c>
      <c r="P2500" s="242"/>
    </row>
    <row r="2501" spans="9:16" ht="16.5" thickBot="1">
      <c r="I2501" s="888" t="s">
        <v>104</v>
      </c>
      <c r="J2501" s="889"/>
      <c r="K2501" s="889"/>
      <c r="L2501" s="889"/>
      <c r="M2501" s="890"/>
      <c r="N2501" s="183">
        <f>SUM(N2499:N2500)</f>
        <v>505597640</v>
      </c>
    </row>
    <row r="2502" spans="9:16">
      <c r="I2502" s="61"/>
      <c r="J2502" s="61"/>
      <c r="K2502" s="61"/>
      <c r="L2502" s="61"/>
      <c r="M2502" s="61"/>
    </row>
    <row r="2503" spans="9:16">
      <c r="I2503" s="51" t="s">
        <v>1110</v>
      </c>
    </row>
    <row r="2504" spans="9:16" ht="12.75" customHeight="1">
      <c r="N2504" s="139"/>
    </row>
    <row r="2505" spans="9:16">
      <c r="I2505" s="50" t="s">
        <v>105</v>
      </c>
      <c r="L2505" s="146"/>
      <c r="N2505" s="139"/>
    </row>
    <row r="2506" spans="9:16" ht="14.25" customHeight="1" thickBot="1"/>
    <row r="2507" spans="9:16" ht="15.75" thickBot="1">
      <c r="I2507" s="891" t="s">
        <v>106</v>
      </c>
      <c r="J2507" s="892"/>
      <c r="K2507" s="892"/>
      <c r="L2507" s="893"/>
      <c r="N2507" s="50" t="s">
        <v>288</v>
      </c>
    </row>
    <row r="2508" spans="9:16" ht="30.75" thickBot="1">
      <c r="I2508" s="57" t="s">
        <v>100</v>
      </c>
      <c r="J2508" s="58" t="s">
        <v>108</v>
      </c>
      <c r="K2508" s="287" t="s">
        <v>109</v>
      </c>
      <c r="L2508" s="60" t="s">
        <v>110</v>
      </c>
    </row>
    <row r="2509" spans="9:16">
      <c r="I2509" s="71">
        <v>719</v>
      </c>
      <c r="J2509" s="73">
        <v>0</v>
      </c>
      <c r="K2509" s="74">
        <f>+L2472</f>
        <v>49440000</v>
      </c>
      <c r="L2509" s="195">
        <f>+J2509+K2509</f>
        <v>49440000</v>
      </c>
    </row>
    <row r="2510" spans="9:16">
      <c r="I2510" s="72">
        <v>721</v>
      </c>
      <c r="J2510" s="80">
        <f>+P2490+P2492+P2494+P2496+P2498</f>
        <v>6119075</v>
      </c>
      <c r="K2510" s="74">
        <f>+L2473</f>
        <v>100736559</v>
      </c>
      <c r="L2510" s="195">
        <f>+J2510+K2510</f>
        <v>106855634</v>
      </c>
    </row>
    <row r="2511" spans="9:16">
      <c r="I2511" s="72">
        <v>722</v>
      </c>
      <c r="J2511" s="80"/>
      <c r="K2511" s="74">
        <f>+L2474</f>
        <v>58963334</v>
      </c>
      <c r="L2511" s="195">
        <f>+J2511+K2511</f>
        <v>58963334</v>
      </c>
    </row>
    <row r="2512" spans="9:16" ht="15.75">
      <c r="I2512" s="72">
        <v>723</v>
      </c>
      <c r="J2512" s="80"/>
      <c r="K2512" s="74">
        <f>+L2475</f>
        <v>289770052</v>
      </c>
      <c r="L2512" s="195">
        <f>+J2512+K2512</f>
        <v>289770052</v>
      </c>
      <c r="N2512" s="193" t="s">
        <v>289</v>
      </c>
      <c r="O2512" s="175"/>
    </row>
    <row r="2513" spans="9:16" ht="16.5" thickBot="1">
      <c r="I2513" s="164" t="s">
        <v>1077</v>
      </c>
      <c r="J2513" s="165">
        <f>+P2489+P2491+P2493</f>
        <v>0</v>
      </c>
      <c r="K2513" s="74">
        <f>+L2476</f>
        <v>498620</v>
      </c>
      <c r="L2513" s="196">
        <f>+J2513+K2513</f>
        <v>498620</v>
      </c>
      <c r="N2513" s="52"/>
    </row>
    <row r="2514" spans="9:16" ht="16.5" thickBot="1">
      <c r="I2514" s="169"/>
      <c r="J2514" s="197">
        <f>SUM(J2509:J2513)</f>
        <v>6119075</v>
      </c>
      <c r="K2514" s="197">
        <f>SUM(K2509:K2513)</f>
        <v>499408565</v>
      </c>
      <c r="L2514" s="198">
        <f>SUM(L2509:L2513)</f>
        <v>505527640</v>
      </c>
    </row>
    <row r="2515" spans="9:16" ht="16.5">
      <c r="I2515" s="49" t="s">
        <v>88</v>
      </c>
      <c r="J2515" s="50"/>
    </row>
    <row r="2516" spans="9:16">
      <c r="I2516" s="51" t="s">
        <v>89</v>
      </c>
    </row>
    <row r="2517" spans="9:16">
      <c r="I2517" s="51" t="s">
        <v>90</v>
      </c>
    </row>
    <row r="2518" spans="9:16">
      <c r="I2518" s="51" t="s">
        <v>91</v>
      </c>
    </row>
    <row r="2519" spans="9:16" ht="11.25" customHeight="1">
      <c r="I2519" s="50"/>
      <c r="J2519" s="50"/>
    </row>
    <row r="2520" spans="9:16" ht="15.75">
      <c r="I2520" s="260" t="s">
        <v>1076</v>
      </c>
      <c r="O2520" s="52"/>
    </row>
    <row r="2521" spans="9:16" ht="15.75">
      <c r="I2521" s="53" t="s">
        <v>535</v>
      </c>
      <c r="O2521" s="53"/>
    </row>
    <row r="2522" spans="9:16" ht="16.5">
      <c r="I2522" s="894" t="s">
        <v>1121</v>
      </c>
      <c r="J2522" s="894"/>
      <c r="K2522" s="894"/>
      <c r="L2522" s="894"/>
      <c r="M2522" s="894"/>
      <c r="N2522" s="894"/>
      <c r="O2522" s="894"/>
      <c r="P2522" s="894"/>
    </row>
    <row r="2523" spans="9:16" ht="15.75" thickBot="1"/>
    <row r="2524" spans="9:16">
      <c r="I2524" s="895" t="s">
        <v>94</v>
      </c>
      <c r="J2524" s="897" t="s">
        <v>95</v>
      </c>
      <c r="K2524" s="897" t="s">
        <v>96</v>
      </c>
      <c r="L2524" s="897" t="s">
        <v>3</v>
      </c>
      <c r="M2524" s="897" t="s">
        <v>97</v>
      </c>
      <c r="N2524" s="897" t="s">
        <v>98</v>
      </c>
      <c r="O2524" s="897" t="s">
        <v>99</v>
      </c>
      <c r="P2524" s="899"/>
    </row>
    <row r="2525" spans="9:16" ht="15.75" thickBot="1">
      <c r="I2525" s="896"/>
      <c r="J2525" s="898"/>
      <c r="K2525" s="898"/>
      <c r="L2525" s="898"/>
      <c r="M2525" s="898"/>
      <c r="N2525" s="898"/>
      <c r="O2525" s="240" t="s">
        <v>100</v>
      </c>
      <c r="P2525" s="182" t="s">
        <v>101</v>
      </c>
    </row>
    <row r="2526" spans="9:16" ht="15" customHeight="1">
      <c r="I2526" s="881">
        <v>270</v>
      </c>
      <c r="J2526" s="875">
        <v>42641</v>
      </c>
      <c r="K2526" s="877" t="s">
        <v>1014</v>
      </c>
      <c r="L2526" s="879" t="s">
        <v>1120</v>
      </c>
      <c r="M2526" s="881" t="s">
        <v>115</v>
      </c>
      <c r="N2526" s="883">
        <v>90000</v>
      </c>
      <c r="O2526" s="55">
        <v>719</v>
      </c>
      <c r="P2526" s="78">
        <v>90000</v>
      </c>
    </row>
    <row r="2527" spans="9:16" ht="15.75" customHeight="1" thickBot="1">
      <c r="I2527" s="882"/>
      <c r="J2527" s="876"/>
      <c r="K2527" s="878"/>
      <c r="L2527" s="880"/>
      <c r="M2527" s="882"/>
      <c r="N2527" s="884"/>
      <c r="O2527" s="56">
        <v>721</v>
      </c>
      <c r="P2527" s="79">
        <f>+N2526-P2526</f>
        <v>0</v>
      </c>
    </row>
    <row r="2528" spans="9:16" ht="15" customHeight="1">
      <c r="I2528" s="881">
        <v>271</v>
      </c>
      <c r="J2528" s="875">
        <v>42641</v>
      </c>
      <c r="K2528" s="877" t="s">
        <v>28</v>
      </c>
      <c r="L2528" s="879" t="s">
        <v>1119</v>
      </c>
      <c r="M2528" s="881" t="s">
        <v>115</v>
      </c>
      <c r="N2528" s="883">
        <v>80000</v>
      </c>
      <c r="O2528" s="55">
        <v>719</v>
      </c>
      <c r="P2528" s="78">
        <v>80000</v>
      </c>
    </row>
    <row r="2529" spans="9:16" ht="15.75" customHeight="1" thickBot="1">
      <c r="I2529" s="882"/>
      <c r="J2529" s="876"/>
      <c r="K2529" s="878"/>
      <c r="L2529" s="880"/>
      <c r="M2529" s="882"/>
      <c r="N2529" s="884"/>
      <c r="O2529" s="56">
        <v>721</v>
      </c>
      <c r="P2529" s="79">
        <f>+N2528-P2528</f>
        <v>0</v>
      </c>
    </row>
    <row r="2530" spans="9:16" ht="13.5" customHeight="1">
      <c r="I2530" s="881">
        <v>272</v>
      </c>
      <c r="J2530" s="875">
        <v>42641</v>
      </c>
      <c r="K2530" s="877" t="s">
        <v>1116</v>
      </c>
      <c r="L2530" s="879" t="s">
        <v>1118</v>
      </c>
      <c r="M2530" s="881" t="s">
        <v>115</v>
      </c>
      <c r="N2530" s="883">
        <v>80000</v>
      </c>
      <c r="O2530" s="55">
        <v>719</v>
      </c>
      <c r="P2530" s="78">
        <v>80000</v>
      </c>
    </row>
    <row r="2531" spans="9:16" ht="14.25" customHeight="1" thickBot="1">
      <c r="I2531" s="882"/>
      <c r="J2531" s="876"/>
      <c r="K2531" s="878"/>
      <c r="L2531" s="880"/>
      <c r="M2531" s="882"/>
      <c r="N2531" s="884"/>
      <c r="O2531" s="56">
        <v>721</v>
      </c>
      <c r="P2531" s="79">
        <f>+N2530-P2530</f>
        <v>0</v>
      </c>
    </row>
    <row r="2532" spans="9:16" ht="14.25" customHeight="1">
      <c r="I2532" s="881"/>
      <c r="J2532" s="875"/>
      <c r="K2532" s="875"/>
      <c r="L2532" s="877"/>
      <c r="M2532" s="879"/>
      <c r="N2532" s="883"/>
      <c r="O2532" s="55">
        <v>719</v>
      </c>
      <c r="P2532" s="78"/>
    </row>
    <row r="2533" spans="9:16" ht="13.5" customHeight="1" thickBot="1">
      <c r="I2533" s="882"/>
      <c r="J2533" s="876"/>
      <c r="K2533" s="876"/>
      <c r="L2533" s="878"/>
      <c r="M2533" s="880"/>
      <c r="N2533" s="884"/>
      <c r="O2533" s="56">
        <v>721</v>
      </c>
      <c r="P2533" s="79">
        <f>+N2532-P2532</f>
        <v>0</v>
      </c>
    </row>
    <row r="2534" spans="9:16" ht="14.25" customHeight="1">
      <c r="I2534" s="881"/>
      <c r="J2534" s="875"/>
      <c r="K2534" s="877"/>
      <c r="L2534" s="879"/>
      <c r="M2534" s="881"/>
      <c r="N2534" s="883"/>
      <c r="O2534" s="55">
        <v>719</v>
      </c>
      <c r="P2534" s="78"/>
    </row>
    <row r="2535" spans="9:16" ht="13.5" customHeight="1" thickBot="1">
      <c r="I2535" s="882"/>
      <c r="J2535" s="876"/>
      <c r="K2535" s="878"/>
      <c r="L2535" s="880"/>
      <c r="M2535" s="882"/>
      <c r="N2535" s="884"/>
      <c r="O2535" s="56">
        <v>723</v>
      </c>
      <c r="P2535" s="79">
        <f>+N2534-P2534</f>
        <v>0</v>
      </c>
    </row>
    <row r="2536" spans="9:16" ht="16.5" thickBot="1">
      <c r="I2536" s="901" t="s">
        <v>102</v>
      </c>
      <c r="J2536" s="902"/>
      <c r="K2536" s="902"/>
      <c r="L2536" s="902"/>
      <c r="M2536" s="903"/>
      <c r="N2536" s="81">
        <f>SUM(N2526:N2535)</f>
        <v>250000</v>
      </c>
    </row>
    <row r="2537" spans="9:16" ht="16.5" thickBot="1">
      <c r="I2537" s="885" t="s">
        <v>103</v>
      </c>
      <c r="J2537" s="886"/>
      <c r="K2537" s="886"/>
      <c r="L2537" s="886"/>
      <c r="M2537" s="887"/>
      <c r="N2537" s="69">
        <f>+N2501</f>
        <v>505597640</v>
      </c>
      <c r="O2537" s="241" t="s">
        <v>561</v>
      </c>
      <c r="P2537" s="242">
        <f>325+46+159</f>
        <v>530</v>
      </c>
    </row>
    <row r="2538" spans="9:16" ht="16.5" thickBot="1">
      <c r="I2538" s="888" t="s">
        <v>104</v>
      </c>
      <c r="J2538" s="889"/>
      <c r="K2538" s="889"/>
      <c r="L2538" s="889"/>
      <c r="M2538" s="890"/>
      <c r="N2538" s="183">
        <f>SUM(N2536:N2537)</f>
        <v>505847640</v>
      </c>
    </row>
    <row r="2539" spans="9:16">
      <c r="I2539" s="61"/>
      <c r="J2539" s="61"/>
      <c r="K2539" s="61"/>
      <c r="L2539" s="61"/>
      <c r="M2539" s="61"/>
    </row>
    <row r="2540" spans="9:16">
      <c r="I2540" s="51" t="s">
        <v>1117</v>
      </c>
    </row>
    <row r="2541" spans="9:16" ht="12.75" customHeight="1">
      <c r="N2541" s="139"/>
    </row>
    <row r="2542" spans="9:16">
      <c r="I2542" s="50" t="s">
        <v>105</v>
      </c>
      <c r="L2542" s="146"/>
      <c r="N2542" s="139"/>
    </row>
    <row r="2543" spans="9:16" ht="14.25" customHeight="1" thickBot="1"/>
    <row r="2544" spans="9:16" ht="15.75" thickBot="1">
      <c r="I2544" s="891" t="s">
        <v>106</v>
      </c>
      <c r="J2544" s="892"/>
      <c r="K2544" s="892"/>
      <c r="L2544" s="893"/>
      <c r="N2544" s="50" t="s">
        <v>288</v>
      </c>
    </row>
    <row r="2545" spans="9:16" ht="30.75" thickBot="1">
      <c r="I2545" s="57" t="s">
        <v>100</v>
      </c>
      <c r="J2545" s="58" t="s">
        <v>108</v>
      </c>
      <c r="K2545" s="287" t="s">
        <v>109</v>
      </c>
      <c r="L2545" s="60" t="s">
        <v>110</v>
      </c>
    </row>
    <row r="2546" spans="9:16">
      <c r="I2546" s="71">
        <v>719</v>
      </c>
      <c r="J2546" s="73">
        <f>+P2526+P2528+P2530</f>
        <v>250000</v>
      </c>
      <c r="K2546" s="74">
        <f>+L2509</f>
        <v>49440000</v>
      </c>
      <c r="L2546" s="195">
        <f>+J2546+K2546</f>
        <v>49690000</v>
      </c>
    </row>
    <row r="2547" spans="9:16">
      <c r="I2547" s="72">
        <v>721</v>
      </c>
      <c r="J2547" s="80">
        <f>+P2527+P2529+P2531+P2533+P2535</f>
        <v>0</v>
      </c>
      <c r="K2547" s="74">
        <f>+L2510</f>
        <v>106855634</v>
      </c>
      <c r="L2547" s="195">
        <f>+J2547+K2547</f>
        <v>106855634</v>
      </c>
    </row>
    <row r="2548" spans="9:16">
      <c r="I2548" s="72">
        <v>722</v>
      </c>
      <c r="J2548" s="80"/>
      <c r="K2548" s="74">
        <f>+L2511</f>
        <v>58963334</v>
      </c>
      <c r="L2548" s="195">
        <f>+J2548+K2548</f>
        <v>58963334</v>
      </c>
    </row>
    <row r="2549" spans="9:16" ht="15.75">
      <c r="I2549" s="72">
        <v>723</v>
      </c>
      <c r="J2549" s="80"/>
      <c r="K2549" s="74">
        <f>+L2512</f>
        <v>289770052</v>
      </c>
      <c r="L2549" s="195">
        <f>+J2549+K2549</f>
        <v>289770052</v>
      </c>
      <c r="N2549" s="193" t="s">
        <v>289</v>
      </c>
      <c r="O2549" s="175"/>
    </row>
    <row r="2550" spans="9:16" ht="16.5" thickBot="1">
      <c r="I2550" s="164" t="s">
        <v>1077</v>
      </c>
      <c r="J2550" s="165"/>
      <c r="K2550" s="74">
        <f>+L2513</f>
        <v>498620</v>
      </c>
      <c r="L2550" s="196">
        <f>+J2550+K2550</f>
        <v>498620</v>
      </c>
      <c r="N2550" s="52"/>
    </row>
    <row r="2551" spans="9:16" ht="16.5" thickBot="1">
      <c r="I2551" s="169"/>
      <c r="J2551" s="197">
        <f>SUM(J2546:J2550)</f>
        <v>250000</v>
      </c>
      <c r="K2551" s="197">
        <f>SUM(K2546:K2550)</f>
        <v>505527640</v>
      </c>
      <c r="L2551" s="198">
        <f>SUM(L2546:L2550)</f>
        <v>505777640</v>
      </c>
    </row>
    <row r="2552" spans="9:16" ht="16.5">
      <c r="I2552" s="49" t="s">
        <v>88</v>
      </c>
      <c r="J2552" s="50"/>
    </row>
    <row r="2553" spans="9:16">
      <c r="I2553" s="51" t="s">
        <v>89</v>
      </c>
    </row>
    <row r="2554" spans="9:16">
      <c r="I2554" s="51" t="s">
        <v>90</v>
      </c>
    </row>
    <row r="2555" spans="9:16">
      <c r="I2555" s="51" t="s">
        <v>91</v>
      </c>
    </row>
    <row r="2556" spans="9:16" ht="14.25" customHeight="1">
      <c r="I2556" s="50"/>
      <c r="J2556" s="50"/>
    </row>
    <row r="2557" spans="9:16" ht="15.75">
      <c r="I2557" s="260" t="s">
        <v>1083</v>
      </c>
      <c r="O2557" s="52"/>
    </row>
    <row r="2558" spans="9:16" ht="15.75">
      <c r="I2558" s="53" t="s">
        <v>535</v>
      </c>
      <c r="O2558" s="53"/>
    </row>
    <row r="2559" spans="9:16" ht="16.5">
      <c r="I2559" s="894" t="s">
        <v>1121</v>
      </c>
      <c r="J2559" s="894"/>
      <c r="K2559" s="894"/>
      <c r="L2559" s="894"/>
      <c r="M2559" s="894"/>
      <c r="N2559" s="894"/>
      <c r="O2559" s="894"/>
      <c r="P2559" s="894"/>
    </row>
    <row r="2560" spans="9:16" ht="12.75" customHeight="1" thickBot="1"/>
    <row r="2561" spans="9:16">
      <c r="I2561" s="895" t="s">
        <v>94</v>
      </c>
      <c r="J2561" s="897" t="s">
        <v>95</v>
      </c>
      <c r="K2561" s="897" t="s">
        <v>96</v>
      </c>
      <c r="L2561" s="897" t="s">
        <v>3</v>
      </c>
      <c r="M2561" s="897" t="s">
        <v>97</v>
      </c>
      <c r="N2561" s="897" t="s">
        <v>98</v>
      </c>
      <c r="O2561" s="897" t="s">
        <v>99</v>
      </c>
      <c r="P2561" s="899"/>
    </row>
    <row r="2562" spans="9:16" ht="15.75" thickBot="1">
      <c r="I2562" s="896"/>
      <c r="J2562" s="898"/>
      <c r="K2562" s="898"/>
      <c r="L2562" s="898"/>
      <c r="M2562" s="898"/>
      <c r="N2562" s="898"/>
      <c r="O2562" s="240" t="s">
        <v>100</v>
      </c>
      <c r="P2562" s="182" t="s">
        <v>101</v>
      </c>
    </row>
    <row r="2563" spans="9:16" ht="15" customHeight="1">
      <c r="I2563" s="881">
        <v>273</v>
      </c>
      <c r="J2563" s="875">
        <v>42648</v>
      </c>
      <c r="K2563" s="877" t="s">
        <v>1014</v>
      </c>
      <c r="L2563" s="879" t="s">
        <v>1122</v>
      </c>
      <c r="M2563" s="881" t="s">
        <v>115</v>
      </c>
      <c r="N2563" s="883">
        <v>60000</v>
      </c>
      <c r="O2563" s="55">
        <v>719</v>
      </c>
      <c r="P2563" s="78">
        <v>60000</v>
      </c>
    </row>
    <row r="2564" spans="9:16" ht="15.75" customHeight="1" thickBot="1">
      <c r="I2564" s="882"/>
      <c r="J2564" s="876"/>
      <c r="K2564" s="878"/>
      <c r="L2564" s="880"/>
      <c r="M2564" s="882"/>
      <c r="N2564" s="884"/>
      <c r="O2564" s="56">
        <v>721</v>
      </c>
      <c r="P2564" s="79">
        <f>+N2563-P2563</f>
        <v>0</v>
      </c>
    </row>
    <row r="2565" spans="9:16" ht="15" customHeight="1">
      <c r="I2565" s="881">
        <v>274</v>
      </c>
      <c r="J2565" s="875">
        <v>42648</v>
      </c>
      <c r="K2565" s="877" t="s">
        <v>28</v>
      </c>
      <c r="L2565" s="879" t="s">
        <v>1123</v>
      </c>
      <c r="M2565" s="881" t="s">
        <v>115</v>
      </c>
      <c r="N2565" s="883">
        <v>40000</v>
      </c>
      <c r="O2565" s="55">
        <v>719</v>
      </c>
      <c r="P2565" s="78">
        <v>40000</v>
      </c>
    </row>
    <row r="2566" spans="9:16" ht="15.75" customHeight="1" thickBot="1">
      <c r="I2566" s="882"/>
      <c r="J2566" s="876"/>
      <c r="K2566" s="878"/>
      <c r="L2566" s="880"/>
      <c r="M2566" s="882"/>
      <c r="N2566" s="884"/>
      <c r="O2566" s="56">
        <v>721</v>
      </c>
      <c r="P2566" s="79">
        <f>+N2565-P2565</f>
        <v>0</v>
      </c>
    </row>
    <row r="2567" spans="9:16" ht="15" customHeight="1">
      <c r="I2567" s="881">
        <v>275</v>
      </c>
      <c r="J2567" s="875">
        <v>42648</v>
      </c>
      <c r="K2567" s="877" t="s">
        <v>120</v>
      </c>
      <c r="L2567" s="879" t="s">
        <v>1122</v>
      </c>
      <c r="M2567" s="881" t="s">
        <v>115</v>
      </c>
      <c r="N2567" s="883">
        <v>100000</v>
      </c>
      <c r="O2567" s="55">
        <v>719</v>
      </c>
      <c r="P2567" s="78">
        <v>100000</v>
      </c>
    </row>
    <row r="2568" spans="9:16" ht="15.75" customHeight="1" thickBot="1">
      <c r="I2568" s="882"/>
      <c r="J2568" s="876"/>
      <c r="K2568" s="878"/>
      <c r="L2568" s="880"/>
      <c r="M2568" s="882"/>
      <c r="N2568" s="884"/>
      <c r="O2568" s="56">
        <v>721</v>
      </c>
      <c r="P2568" s="79">
        <f>+N2567-P2567</f>
        <v>0</v>
      </c>
    </row>
    <row r="2569" spans="9:16" ht="15" customHeight="1">
      <c r="I2569" s="881"/>
      <c r="J2569" s="875"/>
      <c r="K2569" s="877"/>
      <c r="L2569" s="879"/>
      <c r="M2569" s="881"/>
      <c r="N2569" s="883"/>
      <c r="O2569" s="55">
        <v>719</v>
      </c>
      <c r="P2569" s="78">
        <v>0</v>
      </c>
    </row>
    <row r="2570" spans="9:16" ht="15.75" customHeight="1" thickBot="1">
      <c r="I2570" s="882"/>
      <c r="J2570" s="876"/>
      <c r="K2570" s="878"/>
      <c r="L2570" s="880"/>
      <c r="M2570" s="882"/>
      <c r="N2570" s="884"/>
      <c r="O2570" s="56">
        <v>721</v>
      </c>
      <c r="P2570" s="79">
        <f>+N2569-P2569</f>
        <v>0</v>
      </c>
    </row>
    <row r="2571" spans="9:16" ht="15" customHeight="1">
      <c r="I2571" s="881"/>
      <c r="J2571" s="875"/>
      <c r="K2571" s="877"/>
      <c r="L2571" s="879"/>
      <c r="M2571" s="881"/>
      <c r="N2571" s="883"/>
      <c r="O2571" s="55">
        <v>719</v>
      </c>
      <c r="P2571" s="78"/>
    </row>
    <row r="2572" spans="9:16" ht="15.75" customHeight="1" thickBot="1">
      <c r="I2572" s="882"/>
      <c r="J2572" s="876"/>
      <c r="K2572" s="878"/>
      <c r="L2572" s="880"/>
      <c r="M2572" s="882"/>
      <c r="N2572" s="884"/>
      <c r="O2572" s="56">
        <v>723</v>
      </c>
      <c r="P2572" s="79">
        <f>+N2571-P2571</f>
        <v>0</v>
      </c>
    </row>
    <row r="2573" spans="9:16" ht="16.5" thickBot="1">
      <c r="I2573" s="901" t="s">
        <v>102</v>
      </c>
      <c r="J2573" s="902"/>
      <c r="K2573" s="902"/>
      <c r="L2573" s="902"/>
      <c r="M2573" s="903"/>
      <c r="N2573" s="81">
        <f>SUM(N2563:N2572)</f>
        <v>200000</v>
      </c>
    </row>
    <row r="2574" spans="9:16" ht="16.5" thickBot="1">
      <c r="I2574" s="885" t="s">
        <v>103</v>
      </c>
      <c r="J2574" s="886"/>
      <c r="K2574" s="886"/>
      <c r="L2574" s="886"/>
      <c r="M2574" s="887"/>
      <c r="N2574" s="69">
        <f>+N2538</f>
        <v>505847640</v>
      </c>
      <c r="O2574" s="241" t="s">
        <v>561</v>
      </c>
      <c r="P2574" s="242"/>
    </row>
    <row r="2575" spans="9:16" ht="16.5" thickBot="1">
      <c r="I2575" s="888" t="s">
        <v>104</v>
      </c>
      <c r="J2575" s="889"/>
      <c r="K2575" s="889"/>
      <c r="L2575" s="889"/>
      <c r="M2575" s="890"/>
      <c r="N2575" s="183">
        <f>SUM(N2573:N2574)</f>
        <v>506047640</v>
      </c>
    </row>
    <row r="2576" spans="9:16">
      <c r="I2576" s="61"/>
      <c r="J2576" s="61"/>
      <c r="K2576" s="61"/>
      <c r="L2576" s="61"/>
      <c r="M2576" s="61"/>
    </row>
    <row r="2577" spans="9:16">
      <c r="I2577" s="51" t="s">
        <v>1124</v>
      </c>
    </row>
    <row r="2578" spans="9:16" ht="12.75" customHeight="1">
      <c r="N2578" s="139"/>
    </row>
    <row r="2579" spans="9:16">
      <c r="I2579" s="50" t="s">
        <v>105</v>
      </c>
      <c r="L2579" s="146"/>
      <c r="N2579" s="139"/>
    </row>
    <row r="2580" spans="9:16" ht="13.5" customHeight="1" thickBot="1"/>
    <row r="2581" spans="9:16" ht="15.75" thickBot="1">
      <c r="I2581" s="891" t="s">
        <v>106</v>
      </c>
      <c r="J2581" s="892"/>
      <c r="K2581" s="892"/>
      <c r="L2581" s="893"/>
      <c r="N2581" s="908" t="s">
        <v>1126</v>
      </c>
      <c r="O2581" s="908"/>
      <c r="P2581" s="908"/>
    </row>
    <row r="2582" spans="9:16" ht="30.75" thickBot="1">
      <c r="I2582" s="57" t="s">
        <v>100</v>
      </c>
      <c r="J2582" s="58" t="s">
        <v>108</v>
      </c>
      <c r="K2582" s="287" t="s">
        <v>109</v>
      </c>
      <c r="L2582" s="60" t="s">
        <v>110</v>
      </c>
    </row>
    <row r="2583" spans="9:16">
      <c r="I2583" s="71">
        <v>719</v>
      </c>
      <c r="J2583" s="73">
        <f>+P2571+P2569+P2567+P2565+P2563</f>
        <v>200000</v>
      </c>
      <c r="K2583" s="74">
        <f>+L2546</f>
        <v>49690000</v>
      </c>
      <c r="L2583" s="195">
        <f>+J2583+K2583</f>
        <v>49890000</v>
      </c>
    </row>
    <row r="2584" spans="9:16">
      <c r="I2584" s="72">
        <v>721</v>
      </c>
      <c r="J2584" s="80"/>
      <c r="K2584" s="74">
        <f>+L2547</f>
        <v>106855634</v>
      </c>
      <c r="L2584" s="195">
        <f>+J2584+K2584</f>
        <v>106855634</v>
      </c>
    </row>
    <row r="2585" spans="9:16">
      <c r="I2585" s="72">
        <v>722</v>
      </c>
      <c r="J2585" s="80"/>
      <c r="K2585" s="74">
        <f>+L2548</f>
        <v>58963334</v>
      </c>
      <c r="L2585" s="195">
        <f>+J2585+K2585</f>
        <v>58963334</v>
      </c>
    </row>
    <row r="2586" spans="9:16" ht="15.75">
      <c r="I2586" s="72">
        <v>723</v>
      </c>
      <c r="J2586" s="80"/>
      <c r="K2586" s="74">
        <f>+L2549</f>
        <v>289770052</v>
      </c>
      <c r="L2586" s="195">
        <f>+J2586+K2586</f>
        <v>289770052</v>
      </c>
      <c r="N2586" s="909" t="s">
        <v>1125</v>
      </c>
      <c r="O2586" s="909"/>
      <c r="P2586" s="909"/>
    </row>
    <row r="2587" spans="9:16" ht="16.5" thickBot="1">
      <c r="I2587" s="164" t="s">
        <v>1077</v>
      </c>
      <c r="J2587" s="165"/>
      <c r="K2587" s="74">
        <f>+L2550</f>
        <v>498620</v>
      </c>
      <c r="L2587" s="196">
        <f>+J2587+K2587</f>
        <v>498620</v>
      </c>
      <c r="N2587" s="52"/>
    </row>
    <row r="2588" spans="9:16" ht="16.5" thickBot="1">
      <c r="I2588" s="169"/>
      <c r="J2588" s="197">
        <f>SUM(J2583:J2587)</f>
        <v>200000</v>
      </c>
      <c r="K2588" s="197">
        <f>SUM(K2583:K2587)</f>
        <v>505777640</v>
      </c>
      <c r="L2588" s="198">
        <f>SUM(L2583:L2587)</f>
        <v>505977640</v>
      </c>
    </row>
    <row r="2589" spans="9:16" ht="16.5">
      <c r="I2589" s="49" t="s">
        <v>88</v>
      </c>
      <c r="J2589" s="50"/>
    </row>
    <row r="2590" spans="9:16">
      <c r="I2590" s="51" t="s">
        <v>89</v>
      </c>
    </row>
    <row r="2591" spans="9:16">
      <c r="I2591" s="51" t="s">
        <v>90</v>
      </c>
    </row>
    <row r="2592" spans="9:16">
      <c r="I2592" s="51" t="s">
        <v>91</v>
      </c>
    </row>
    <row r="2593" spans="9:16" ht="12" customHeight="1">
      <c r="I2593" s="50"/>
      <c r="J2593" s="50"/>
    </row>
    <row r="2594" spans="9:16" ht="15.75">
      <c r="I2594" s="260" t="s">
        <v>1085</v>
      </c>
      <c r="O2594" s="52"/>
    </row>
    <row r="2595" spans="9:16" ht="15.75">
      <c r="I2595" s="53" t="s">
        <v>535</v>
      </c>
      <c r="O2595" s="53"/>
    </row>
    <row r="2596" spans="9:16" ht="15" customHeight="1">
      <c r="I2596" s="894" t="s">
        <v>1078</v>
      </c>
      <c r="J2596" s="894"/>
      <c r="K2596" s="894"/>
      <c r="L2596" s="894"/>
      <c r="M2596" s="894"/>
      <c r="N2596" s="894"/>
      <c r="O2596" s="894"/>
      <c r="P2596" s="894"/>
    </row>
    <row r="2597" spans="9:16" ht="13.5" customHeight="1" thickBot="1"/>
    <row r="2598" spans="9:16">
      <c r="I2598" s="895" t="s">
        <v>94</v>
      </c>
      <c r="J2598" s="897" t="s">
        <v>95</v>
      </c>
      <c r="K2598" s="897" t="s">
        <v>96</v>
      </c>
      <c r="L2598" s="897" t="s">
        <v>3</v>
      </c>
      <c r="M2598" s="897" t="s">
        <v>97</v>
      </c>
      <c r="N2598" s="897" t="s">
        <v>98</v>
      </c>
      <c r="O2598" s="897" t="s">
        <v>99</v>
      </c>
      <c r="P2598" s="899"/>
    </row>
    <row r="2599" spans="9:16" ht="15.75" thickBot="1">
      <c r="I2599" s="896"/>
      <c r="J2599" s="898"/>
      <c r="K2599" s="898"/>
      <c r="L2599" s="898"/>
      <c r="M2599" s="898"/>
      <c r="N2599" s="898"/>
      <c r="O2599" s="240" t="s">
        <v>100</v>
      </c>
      <c r="P2599" s="182" t="s">
        <v>101</v>
      </c>
    </row>
    <row r="2600" spans="9:16" ht="12.75" customHeight="1">
      <c r="I2600" s="881">
        <v>276</v>
      </c>
      <c r="J2600" s="875">
        <v>42650</v>
      </c>
      <c r="K2600" s="877" t="s">
        <v>350</v>
      </c>
      <c r="L2600" s="879" t="s">
        <v>1127</v>
      </c>
      <c r="M2600" s="881" t="s">
        <v>148</v>
      </c>
      <c r="N2600" s="883">
        <v>598000</v>
      </c>
      <c r="O2600" s="55">
        <v>719</v>
      </c>
      <c r="P2600" s="78">
        <v>460000</v>
      </c>
    </row>
    <row r="2601" spans="9:16" ht="12" customHeight="1" thickBot="1">
      <c r="I2601" s="882"/>
      <c r="J2601" s="876"/>
      <c r="K2601" s="878"/>
      <c r="L2601" s="880"/>
      <c r="M2601" s="882"/>
      <c r="N2601" s="884"/>
      <c r="O2601" s="56">
        <v>721</v>
      </c>
      <c r="P2601" s="351">
        <f>+N2600-P2600</f>
        <v>138000</v>
      </c>
    </row>
    <row r="2602" spans="9:16" ht="12.75" customHeight="1">
      <c r="I2602" s="881">
        <v>277</v>
      </c>
      <c r="J2602" s="875">
        <v>42650</v>
      </c>
      <c r="K2602" s="877" t="s">
        <v>350</v>
      </c>
      <c r="L2602" s="879" t="s">
        <v>1038</v>
      </c>
      <c r="M2602" s="881" t="s">
        <v>148</v>
      </c>
      <c r="N2602" s="883">
        <v>1521000</v>
      </c>
      <c r="O2602" s="55">
        <v>719</v>
      </c>
      <c r="P2602" s="78">
        <v>1170000</v>
      </c>
    </row>
    <row r="2603" spans="9:16" ht="12" customHeight="1" thickBot="1">
      <c r="I2603" s="882"/>
      <c r="J2603" s="876"/>
      <c r="K2603" s="878"/>
      <c r="L2603" s="880"/>
      <c r="M2603" s="882"/>
      <c r="N2603" s="884"/>
      <c r="O2603" s="56">
        <v>721</v>
      </c>
      <c r="P2603" s="352">
        <f>+N2602-P2602</f>
        <v>351000</v>
      </c>
    </row>
    <row r="2604" spans="9:16" ht="15" customHeight="1">
      <c r="I2604" s="881">
        <v>278</v>
      </c>
      <c r="J2604" s="875">
        <v>42650</v>
      </c>
      <c r="K2604" s="877" t="s">
        <v>350</v>
      </c>
      <c r="L2604" s="879" t="s">
        <v>1122</v>
      </c>
      <c r="M2604" s="881" t="s">
        <v>148</v>
      </c>
      <c r="N2604" s="883">
        <v>923000</v>
      </c>
      <c r="O2604" s="55">
        <v>719</v>
      </c>
      <c r="P2604" s="78">
        <v>710000</v>
      </c>
    </row>
    <row r="2605" spans="9:16" ht="12" customHeight="1" thickBot="1">
      <c r="I2605" s="882"/>
      <c r="J2605" s="876"/>
      <c r="K2605" s="878"/>
      <c r="L2605" s="880"/>
      <c r="M2605" s="882"/>
      <c r="N2605" s="884"/>
      <c r="O2605" s="56">
        <v>721</v>
      </c>
      <c r="P2605" s="352">
        <f>+N2604-P2604</f>
        <v>213000</v>
      </c>
    </row>
    <row r="2606" spans="9:16" ht="15" customHeight="1">
      <c r="I2606" s="881">
        <v>279</v>
      </c>
      <c r="J2606" s="875">
        <v>42650</v>
      </c>
      <c r="K2606" s="877" t="s">
        <v>350</v>
      </c>
      <c r="L2606" s="879" t="s">
        <v>1122</v>
      </c>
      <c r="M2606" s="881" t="s">
        <v>148</v>
      </c>
      <c r="N2606" s="883">
        <v>715000</v>
      </c>
      <c r="O2606" s="55">
        <v>719</v>
      </c>
      <c r="P2606" s="78">
        <v>550000</v>
      </c>
    </row>
    <row r="2607" spans="9:16" ht="13.5" customHeight="1" thickBot="1">
      <c r="I2607" s="882"/>
      <c r="J2607" s="876"/>
      <c r="K2607" s="878"/>
      <c r="L2607" s="880"/>
      <c r="M2607" s="882"/>
      <c r="N2607" s="884"/>
      <c r="O2607" s="56">
        <v>721</v>
      </c>
      <c r="P2607" s="79">
        <f>+N2606-P2606</f>
        <v>165000</v>
      </c>
    </row>
    <row r="2608" spans="9:16" ht="15" customHeight="1">
      <c r="I2608" s="881">
        <v>280</v>
      </c>
      <c r="J2608" s="875">
        <v>42650</v>
      </c>
      <c r="K2608" s="877" t="s">
        <v>350</v>
      </c>
      <c r="L2608" s="879" t="s">
        <v>1122</v>
      </c>
      <c r="M2608" s="881" t="s">
        <v>148</v>
      </c>
      <c r="N2608" s="883">
        <v>879000</v>
      </c>
      <c r="O2608" s="55">
        <v>719</v>
      </c>
      <c r="P2608" s="78">
        <v>720000</v>
      </c>
    </row>
    <row r="2609" spans="9:16" ht="15" customHeight="1" thickBot="1">
      <c r="I2609" s="882"/>
      <c r="J2609" s="876"/>
      <c r="K2609" s="878"/>
      <c r="L2609" s="880"/>
      <c r="M2609" s="882"/>
      <c r="N2609" s="884"/>
      <c r="O2609" s="56">
        <v>721</v>
      </c>
      <c r="P2609" s="79">
        <f>+N2608-P2608</f>
        <v>159000</v>
      </c>
    </row>
    <row r="2610" spans="9:16" ht="12.75" customHeight="1">
      <c r="I2610" s="881">
        <v>281</v>
      </c>
      <c r="J2610" s="875">
        <v>42650</v>
      </c>
      <c r="K2610" s="877" t="s">
        <v>350</v>
      </c>
      <c r="L2610" s="879" t="s">
        <v>1122</v>
      </c>
      <c r="M2610" s="881" t="s">
        <v>148</v>
      </c>
      <c r="N2610" s="883">
        <v>300000</v>
      </c>
      <c r="O2610" s="55">
        <v>719</v>
      </c>
      <c r="P2610" s="78">
        <v>300000</v>
      </c>
    </row>
    <row r="2611" spans="9:16" ht="13.5" customHeight="1" thickBot="1">
      <c r="I2611" s="882"/>
      <c r="J2611" s="876"/>
      <c r="K2611" s="878"/>
      <c r="L2611" s="880"/>
      <c r="M2611" s="882"/>
      <c r="N2611" s="884"/>
      <c r="O2611" s="56">
        <v>723</v>
      </c>
      <c r="P2611" s="79">
        <f>+N2610-P2610</f>
        <v>0</v>
      </c>
    </row>
    <row r="2612" spans="9:16" ht="16.5" thickBot="1">
      <c r="I2612" s="901" t="s">
        <v>102</v>
      </c>
      <c r="J2612" s="902"/>
      <c r="K2612" s="902"/>
      <c r="L2612" s="902"/>
      <c r="M2612" s="903"/>
      <c r="N2612" s="81">
        <f>SUM(N2600:N2611)</f>
        <v>4936000</v>
      </c>
    </row>
    <row r="2613" spans="9:16" ht="16.5" thickBot="1">
      <c r="I2613" s="885" t="s">
        <v>103</v>
      </c>
      <c r="J2613" s="886"/>
      <c r="K2613" s="886"/>
      <c r="L2613" s="886"/>
      <c r="M2613" s="887"/>
      <c r="N2613" s="69">
        <f>+N2575</f>
        <v>506047640</v>
      </c>
      <c r="O2613" s="241" t="s">
        <v>561</v>
      </c>
      <c r="P2613" s="242">
        <v>6648</v>
      </c>
    </row>
    <row r="2614" spans="9:16" ht="16.5" thickBot="1">
      <c r="I2614" s="888" t="s">
        <v>104</v>
      </c>
      <c r="J2614" s="889"/>
      <c r="K2614" s="889"/>
      <c r="L2614" s="889"/>
      <c r="M2614" s="890"/>
      <c r="N2614" s="183">
        <f>SUM(N2612:N2613)</f>
        <v>510983640</v>
      </c>
    </row>
    <row r="2615" spans="9:16" ht="13.5" customHeight="1">
      <c r="I2615" s="61"/>
      <c r="J2615" s="61"/>
      <c r="K2615" s="61"/>
      <c r="L2615" s="61"/>
      <c r="M2615" s="61"/>
    </row>
    <row r="2616" spans="9:16">
      <c r="I2616" s="51" t="s">
        <v>1158</v>
      </c>
    </row>
    <row r="2617" spans="9:16" ht="10.5" customHeight="1">
      <c r="N2617" s="139"/>
    </row>
    <row r="2618" spans="9:16">
      <c r="I2618" s="50" t="s">
        <v>105</v>
      </c>
      <c r="L2618" s="146"/>
      <c r="N2618" s="139"/>
    </row>
    <row r="2619" spans="9:16" ht="10.5" customHeight="1" thickBot="1"/>
    <row r="2620" spans="9:16" ht="15.75" thickBot="1">
      <c r="I2620" s="891" t="s">
        <v>106</v>
      </c>
      <c r="J2620" s="892"/>
      <c r="K2620" s="892"/>
      <c r="L2620" s="893"/>
      <c r="N2620" s="50" t="s">
        <v>288</v>
      </c>
    </row>
    <row r="2621" spans="9:16" ht="30.75" thickBot="1">
      <c r="I2621" s="57" t="s">
        <v>100</v>
      </c>
      <c r="J2621" s="58" t="s">
        <v>108</v>
      </c>
      <c r="K2621" s="287" t="s">
        <v>109</v>
      </c>
      <c r="L2621" s="60" t="s">
        <v>110</v>
      </c>
    </row>
    <row r="2622" spans="9:16">
      <c r="I2622" s="71">
        <v>719</v>
      </c>
      <c r="J2622" s="73">
        <f>+P2600+P2602+P2604+P2606+P2608+P2610</f>
        <v>3910000</v>
      </c>
      <c r="K2622" s="74">
        <f>+L2583</f>
        <v>49890000</v>
      </c>
      <c r="L2622" s="195">
        <f>+J2622+K2622</f>
        <v>53800000</v>
      </c>
    </row>
    <row r="2623" spans="9:16">
      <c r="I2623" s="72">
        <v>721</v>
      </c>
      <c r="J2623" s="80">
        <f>+P2601+P2603+P2605+P2607+P2611+P2609</f>
        <v>1026000</v>
      </c>
      <c r="K2623" s="74">
        <f>+L2584</f>
        <v>106855634</v>
      </c>
      <c r="L2623" s="195">
        <f>+J2623+K2623</f>
        <v>107881634</v>
      </c>
    </row>
    <row r="2624" spans="9:16">
      <c r="I2624" s="72">
        <v>722</v>
      </c>
      <c r="J2624" s="80"/>
      <c r="K2624" s="74">
        <f>+L2585</f>
        <v>58963334</v>
      </c>
      <c r="L2624" s="195">
        <f>+J2624+K2624</f>
        <v>58963334</v>
      </c>
    </row>
    <row r="2625" spans="9:16" ht="15.75">
      <c r="I2625" s="72">
        <v>723</v>
      </c>
      <c r="J2625" s="80"/>
      <c r="K2625" s="74">
        <f>+L2586</f>
        <v>289770052</v>
      </c>
      <c r="L2625" s="195">
        <f>+J2625+K2625</f>
        <v>289770052</v>
      </c>
      <c r="N2625" s="193" t="s">
        <v>289</v>
      </c>
      <c r="O2625" s="175"/>
    </row>
    <row r="2626" spans="9:16" ht="16.5" thickBot="1">
      <c r="I2626" s="164" t="s">
        <v>1077</v>
      </c>
      <c r="J2626" s="165"/>
      <c r="K2626" s="74">
        <f>+L2587</f>
        <v>498620</v>
      </c>
      <c r="L2626" s="196">
        <f>+J2626+K2626</f>
        <v>498620</v>
      </c>
      <c r="N2626" s="52"/>
    </row>
    <row r="2627" spans="9:16" ht="16.5" thickBot="1">
      <c r="I2627" s="169"/>
      <c r="J2627" s="197">
        <f>SUM(J2622:J2626)</f>
        <v>4936000</v>
      </c>
      <c r="K2627" s="197">
        <f>SUM(K2622:K2626)</f>
        <v>505977640</v>
      </c>
      <c r="L2627" s="198">
        <f>SUM(L2622:L2626)</f>
        <v>510913640</v>
      </c>
    </row>
    <row r="2628" spans="9:16" ht="16.5">
      <c r="I2628" s="49" t="s">
        <v>88</v>
      </c>
      <c r="J2628" s="50"/>
    </row>
    <row r="2629" spans="9:16">
      <c r="I2629" s="51" t="s">
        <v>89</v>
      </c>
    </row>
    <row r="2630" spans="9:16">
      <c r="I2630" s="51" t="s">
        <v>90</v>
      </c>
    </row>
    <row r="2631" spans="9:16">
      <c r="I2631" s="51" t="s">
        <v>91</v>
      </c>
    </row>
    <row r="2632" spans="9:16" ht="14.25" customHeight="1">
      <c r="I2632" s="50"/>
      <c r="J2632" s="50"/>
    </row>
    <row r="2633" spans="9:16" ht="15.75">
      <c r="I2633" s="260" t="s">
        <v>1087</v>
      </c>
      <c r="O2633" s="52"/>
    </row>
    <row r="2634" spans="9:16" ht="15.75">
      <c r="I2634" s="53" t="s">
        <v>535</v>
      </c>
      <c r="O2634" s="53"/>
    </row>
    <row r="2635" spans="9:16" ht="16.5">
      <c r="I2635" s="894" t="s">
        <v>1078</v>
      </c>
      <c r="J2635" s="894"/>
      <c r="K2635" s="894"/>
      <c r="L2635" s="894"/>
      <c r="M2635" s="894"/>
      <c r="N2635" s="894"/>
      <c r="O2635" s="894"/>
      <c r="P2635" s="894"/>
    </row>
    <row r="2636" spans="9:16" ht="15.75" thickBot="1"/>
    <row r="2637" spans="9:16">
      <c r="I2637" s="895" t="s">
        <v>94</v>
      </c>
      <c r="J2637" s="897" t="s">
        <v>95</v>
      </c>
      <c r="K2637" s="897" t="s">
        <v>96</v>
      </c>
      <c r="L2637" s="897" t="s">
        <v>3</v>
      </c>
      <c r="M2637" s="897" t="s">
        <v>97</v>
      </c>
      <c r="N2637" s="897" t="s">
        <v>98</v>
      </c>
      <c r="O2637" s="897" t="s">
        <v>99</v>
      </c>
      <c r="P2637" s="899"/>
    </row>
    <row r="2638" spans="9:16" ht="15.75" thickBot="1">
      <c r="I2638" s="896"/>
      <c r="J2638" s="898"/>
      <c r="K2638" s="898"/>
      <c r="L2638" s="898"/>
      <c r="M2638" s="898"/>
      <c r="N2638" s="898"/>
      <c r="O2638" s="240" t="s">
        <v>100</v>
      </c>
      <c r="P2638" s="182" t="s">
        <v>101</v>
      </c>
    </row>
    <row r="2639" spans="9:16" ht="15" customHeight="1">
      <c r="I2639" s="881">
        <v>282</v>
      </c>
      <c r="J2639" s="875">
        <v>42655</v>
      </c>
      <c r="K2639" s="877" t="s">
        <v>267</v>
      </c>
      <c r="L2639" s="879" t="s">
        <v>1129</v>
      </c>
      <c r="M2639" s="881" t="s">
        <v>148</v>
      </c>
      <c r="N2639" s="883">
        <v>26000</v>
      </c>
      <c r="O2639" s="55">
        <v>719</v>
      </c>
      <c r="P2639" s="78">
        <v>20000</v>
      </c>
    </row>
    <row r="2640" spans="9:16" ht="15.75" customHeight="1" thickBot="1">
      <c r="I2640" s="882"/>
      <c r="J2640" s="876"/>
      <c r="K2640" s="878"/>
      <c r="L2640" s="880"/>
      <c r="M2640" s="882"/>
      <c r="N2640" s="884"/>
      <c r="O2640" s="56">
        <v>721</v>
      </c>
      <c r="P2640" s="79">
        <f>+N2639-P2639</f>
        <v>6000</v>
      </c>
    </row>
    <row r="2641" spans="9:16" ht="15" customHeight="1">
      <c r="I2641" s="881">
        <v>283</v>
      </c>
      <c r="J2641" s="875">
        <v>42655</v>
      </c>
      <c r="K2641" s="877" t="s">
        <v>267</v>
      </c>
      <c r="L2641" s="879" t="s">
        <v>1130</v>
      </c>
      <c r="M2641" s="881" t="s">
        <v>148</v>
      </c>
      <c r="N2641" s="883">
        <v>130000</v>
      </c>
      <c r="O2641" s="55">
        <v>719</v>
      </c>
      <c r="P2641" s="78">
        <v>100000</v>
      </c>
    </row>
    <row r="2642" spans="9:16" ht="15.75" customHeight="1" thickBot="1">
      <c r="I2642" s="882"/>
      <c r="J2642" s="876"/>
      <c r="K2642" s="878"/>
      <c r="L2642" s="880"/>
      <c r="M2642" s="882"/>
      <c r="N2642" s="884"/>
      <c r="O2642" s="56">
        <v>721</v>
      </c>
      <c r="P2642" s="79">
        <f>+N2641-P2641</f>
        <v>30000</v>
      </c>
    </row>
    <row r="2643" spans="9:16" ht="15" customHeight="1">
      <c r="I2643" s="881">
        <v>284</v>
      </c>
      <c r="J2643" s="875">
        <v>42655</v>
      </c>
      <c r="K2643" s="877" t="s">
        <v>267</v>
      </c>
      <c r="L2643" s="879" t="s">
        <v>1131</v>
      </c>
      <c r="M2643" s="881" t="s">
        <v>148</v>
      </c>
      <c r="N2643" s="883">
        <v>130000</v>
      </c>
      <c r="O2643" s="55">
        <v>719</v>
      </c>
      <c r="P2643" s="78">
        <v>100000</v>
      </c>
    </row>
    <row r="2644" spans="9:16" ht="15.75" customHeight="1" thickBot="1">
      <c r="I2644" s="882"/>
      <c r="J2644" s="876"/>
      <c r="K2644" s="878"/>
      <c r="L2644" s="880"/>
      <c r="M2644" s="882"/>
      <c r="N2644" s="884"/>
      <c r="O2644" s="56">
        <v>721</v>
      </c>
      <c r="P2644" s="79">
        <f>+N2643-P2643</f>
        <v>30000</v>
      </c>
    </row>
    <row r="2645" spans="9:16" ht="15" customHeight="1">
      <c r="I2645" s="881">
        <v>285</v>
      </c>
      <c r="J2645" s="875">
        <v>42655</v>
      </c>
      <c r="K2645" s="877" t="s">
        <v>267</v>
      </c>
      <c r="L2645" s="879" t="s">
        <v>1132</v>
      </c>
      <c r="M2645" s="881" t="s">
        <v>148</v>
      </c>
      <c r="N2645" s="883">
        <v>30000</v>
      </c>
      <c r="O2645" s="55">
        <v>719</v>
      </c>
      <c r="P2645" s="78">
        <v>30000</v>
      </c>
    </row>
    <row r="2646" spans="9:16" ht="15.75" customHeight="1" thickBot="1">
      <c r="I2646" s="882"/>
      <c r="J2646" s="876"/>
      <c r="K2646" s="878"/>
      <c r="L2646" s="880"/>
      <c r="M2646" s="882"/>
      <c r="N2646" s="884"/>
      <c r="O2646" s="56">
        <v>721</v>
      </c>
      <c r="P2646" s="79">
        <f>+N2645-P2645</f>
        <v>0</v>
      </c>
    </row>
    <row r="2647" spans="9:16" ht="13.5" customHeight="1">
      <c r="I2647" s="881"/>
      <c r="J2647" s="875"/>
      <c r="K2647" s="877"/>
      <c r="L2647" s="879"/>
      <c r="M2647" s="881"/>
      <c r="N2647" s="883"/>
      <c r="O2647" s="55">
        <v>719</v>
      </c>
      <c r="P2647" s="78"/>
    </row>
    <row r="2648" spans="9:16" ht="13.5" customHeight="1" thickBot="1">
      <c r="I2648" s="882"/>
      <c r="J2648" s="876"/>
      <c r="K2648" s="878"/>
      <c r="L2648" s="880"/>
      <c r="M2648" s="882"/>
      <c r="N2648" s="884"/>
      <c r="O2648" s="56">
        <v>723</v>
      </c>
      <c r="P2648" s="79">
        <f>+N2647-P2647</f>
        <v>0</v>
      </c>
    </row>
    <row r="2649" spans="9:16" ht="16.5" thickBot="1">
      <c r="I2649" s="901" t="s">
        <v>102</v>
      </c>
      <c r="J2649" s="902"/>
      <c r="K2649" s="902"/>
      <c r="L2649" s="902"/>
      <c r="M2649" s="903"/>
      <c r="N2649" s="81">
        <f>SUM(N2639:N2648)</f>
        <v>316000</v>
      </c>
    </row>
    <row r="2650" spans="9:16" ht="16.5" thickBot="1">
      <c r="I2650" s="885" t="s">
        <v>103</v>
      </c>
      <c r="J2650" s="886"/>
      <c r="K2650" s="886"/>
      <c r="L2650" s="886"/>
      <c r="M2650" s="887"/>
      <c r="N2650" s="69">
        <f>+N2614</f>
        <v>510983640</v>
      </c>
      <c r="O2650" s="241" t="s">
        <v>561</v>
      </c>
      <c r="P2650" s="242"/>
    </row>
    <row r="2651" spans="9:16" ht="16.5" thickBot="1">
      <c r="I2651" s="888" t="s">
        <v>104</v>
      </c>
      <c r="J2651" s="889"/>
      <c r="K2651" s="889"/>
      <c r="L2651" s="889"/>
      <c r="M2651" s="890"/>
      <c r="N2651" s="183">
        <f>SUM(N2649:N2650)</f>
        <v>511299640</v>
      </c>
    </row>
    <row r="2652" spans="9:16">
      <c r="I2652" s="61"/>
      <c r="J2652" s="61"/>
      <c r="K2652" s="61"/>
      <c r="L2652" s="61"/>
      <c r="M2652" s="61"/>
    </row>
    <row r="2653" spans="9:16">
      <c r="I2653" s="51" t="s">
        <v>1159</v>
      </c>
    </row>
    <row r="2654" spans="9:16" ht="12.75" customHeight="1">
      <c r="N2654" s="139"/>
    </row>
    <row r="2655" spans="9:16">
      <c r="I2655" s="50" t="s">
        <v>105</v>
      </c>
      <c r="L2655" s="146"/>
      <c r="N2655" s="139"/>
    </row>
    <row r="2656" spans="9:16" ht="13.5" customHeight="1" thickBot="1"/>
    <row r="2657" spans="9:16" ht="15.75" thickBot="1">
      <c r="I2657" s="891" t="s">
        <v>106</v>
      </c>
      <c r="J2657" s="892"/>
      <c r="K2657" s="892"/>
      <c r="L2657" s="893"/>
      <c r="N2657" s="50" t="s">
        <v>288</v>
      </c>
    </row>
    <row r="2658" spans="9:16" ht="30.75" thickBot="1">
      <c r="I2658" s="57" t="s">
        <v>100</v>
      </c>
      <c r="J2658" s="58" t="s">
        <v>108</v>
      </c>
      <c r="K2658" s="287" t="s">
        <v>109</v>
      </c>
      <c r="L2658" s="60" t="s">
        <v>110</v>
      </c>
    </row>
    <row r="2659" spans="9:16">
      <c r="I2659" s="71">
        <v>719</v>
      </c>
      <c r="J2659" s="73">
        <f>+P2639+P2641+P2643+P2645</f>
        <v>250000</v>
      </c>
      <c r="K2659" s="74">
        <f>+L2622</f>
        <v>53800000</v>
      </c>
      <c r="L2659" s="195">
        <f>+J2659+K2659</f>
        <v>54050000</v>
      </c>
    </row>
    <row r="2660" spans="9:16">
      <c r="I2660" s="72">
        <v>721</v>
      </c>
      <c r="J2660" s="80">
        <f>+P2640+P2642+P2644+P2646+P2648</f>
        <v>66000</v>
      </c>
      <c r="K2660" s="74">
        <f>+L2623</f>
        <v>107881634</v>
      </c>
      <c r="L2660" s="195">
        <f>+J2660+K2660</f>
        <v>107947634</v>
      </c>
    </row>
    <row r="2661" spans="9:16">
      <c r="I2661" s="72">
        <v>722</v>
      </c>
      <c r="J2661" s="80"/>
      <c r="K2661" s="74">
        <f>+L2624</f>
        <v>58963334</v>
      </c>
      <c r="L2661" s="195">
        <f>+J2661+K2661</f>
        <v>58963334</v>
      </c>
    </row>
    <row r="2662" spans="9:16" ht="15.75">
      <c r="I2662" s="72">
        <v>723</v>
      </c>
      <c r="J2662" s="80"/>
      <c r="K2662" s="74">
        <f>+L2625</f>
        <v>289770052</v>
      </c>
      <c r="L2662" s="195">
        <f>+J2662+K2662</f>
        <v>289770052</v>
      </c>
      <c r="N2662" s="193" t="s">
        <v>289</v>
      </c>
      <c r="O2662" s="175"/>
    </row>
    <row r="2663" spans="9:16" ht="16.5" thickBot="1">
      <c r="I2663" s="164" t="s">
        <v>1077</v>
      </c>
      <c r="J2663" s="165"/>
      <c r="K2663" s="74">
        <f>+L2626</f>
        <v>498620</v>
      </c>
      <c r="L2663" s="196">
        <f>+J2663+K2663</f>
        <v>498620</v>
      </c>
      <c r="N2663" s="52"/>
    </row>
    <row r="2664" spans="9:16" ht="16.5" thickBot="1">
      <c r="I2664" s="169"/>
      <c r="J2664" s="197">
        <f>SUM(J2659:J2663)</f>
        <v>316000</v>
      </c>
      <c r="K2664" s="197">
        <f>SUM(K2659:K2663)</f>
        <v>510913640</v>
      </c>
      <c r="L2664" s="198">
        <f>SUM(L2659:L2663)</f>
        <v>511229640</v>
      </c>
    </row>
    <row r="2665" spans="9:16" ht="16.5">
      <c r="I2665" s="49" t="s">
        <v>88</v>
      </c>
      <c r="J2665" s="50"/>
    </row>
    <row r="2666" spans="9:16">
      <c r="I2666" s="51" t="s">
        <v>89</v>
      </c>
    </row>
    <row r="2667" spans="9:16">
      <c r="I2667" s="51" t="s">
        <v>90</v>
      </c>
    </row>
    <row r="2668" spans="9:16">
      <c r="I2668" s="51" t="s">
        <v>91</v>
      </c>
    </row>
    <row r="2669" spans="9:16" ht="10.5" customHeight="1">
      <c r="I2669" s="50"/>
      <c r="J2669" s="50"/>
    </row>
    <row r="2670" spans="9:16" ht="15.75">
      <c r="I2670" s="260" t="s">
        <v>1157</v>
      </c>
      <c r="O2670" s="52"/>
    </row>
    <row r="2671" spans="9:16" ht="15.75">
      <c r="I2671" s="53" t="s">
        <v>535</v>
      </c>
      <c r="O2671" s="53"/>
    </row>
    <row r="2672" spans="9:16" ht="16.5">
      <c r="I2672" s="894" t="s">
        <v>1078</v>
      </c>
      <c r="J2672" s="894"/>
      <c r="K2672" s="894"/>
      <c r="L2672" s="894"/>
      <c r="M2672" s="894"/>
      <c r="N2672" s="894"/>
      <c r="O2672" s="894"/>
      <c r="P2672" s="894"/>
    </row>
    <row r="2673" spans="9:16" ht="15.75" thickBot="1"/>
    <row r="2674" spans="9:16">
      <c r="I2674" s="895" t="s">
        <v>94</v>
      </c>
      <c r="J2674" s="897" t="s">
        <v>95</v>
      </c>
      <c r="K2674" s="897" t="s">
        <v>96</v>
      </c>
      <c r="L2674" s="897" t="s">
        <v>3</v>
      </c>
      <c r="M2674" s="897" t="s">
        <v>97</v>
      </c>
      <c r="N2674" s="897" t="s">
        <v>98</v>
      </c>
      <c r="O2674" s="897" t="s">
        <v>99</v>
      </c>
      <c r="P2674" s="899"/>
    </row>
    <row r="2675" spans="9:16" ht="15.75" thickBot="1">
      <c r="I2675" s="896"/>
      <c r="J2675" s="898"/>
      <c r="K2675" s="898"/>
      <c r="L2675" s="898"/>
      <c r="M2675" s="898"/>
      <c r="N2675" s="898"/>
      <c r="O2675" s="240" t="s">
        <v>100</v>
      </c>
      <c r="P2675" s="182" t="s">
        <v>101</v>
      </c>
    </row>
    <row r="2676" spans="9:16">
      <c r="I2676" s="881">
        <v>286</v>
      </c>
      <c r="J2676" s="875">
        <v>42655</v>
      </c>
      <c r="K2676" s="877" t="s">
        <v>472</v>
      </c>
      <c r="L2676" s="879" t="s">
        <v>1160</v>
      </c>
      <c r="M2676" s="881" t="s">
        <v>148</v>
      </c>
      <c r="N2676" s="883">
        <v>208000</v>
      </c>
      <c r="O2676" s="55">
        <v>719</v>
      </c>
      <c r="P2676" s="78">
        <v>160000</v>
      </c>
    </row>
    <row r="2677" spans="9:16" ht="15.75" thickBot="1">
      <c r="I2677" s="882"/>
      <c r="J2677" s="876"/>
      <c r="K2677" s="878"/>
      <c r="L2677" s="880"/>
      <c r="M2677" s="882"/>
      <c r="N2677" s="884"/>
      <c r="O2677" s="56">
        <v>721</v>
      </c>
      <c r="P2677" s="79">
        <f>+N2676-P2676</f>
        <v>48000</v>
      </c>
    </row>
    <row r="2678" spans="9:16">
      <c r="I2678" s="881">
        <v>287</v>
      </c>
      <c r="J2678" s="875">
        <v>42655</v>
      </c>
      <c r="K2678" s="877" t="s">
        <v>472</v>
      </c>
      <c r="L2678" s="879" t="s">
        <v>1133</v>
      </c>
      <c r="M2678" s="881" t="s">
        <v>148</v>
      </c>
      <c r="N2678" s="883">
        <v>390000</v>
      </c>
      <c r="O2678" s="55">
        <v>719</v>
      </c>
      <c r="P2678" s="78">
        <v>300000</v>
      </c>
    </row>
    <row r="2679" spans="9:16" ht="15.75" thickBot="1">
      <c r="I2679" s="882"/>
      <c r="J2679" s="876"/>
      <c r="K2679" s="878"/>
      <c r="L2679" s="880"/>
      <c r="M2679" s="882"/>
      <c r="N2679" s="884"/>
      <c r="O2679" s="56">
        <v>721</v>
      </c>
      <c r="P2679" s="79">
        <f>+N2678-P2678</f>
        <v>90000</v>
      </c>
    </row>
    <row r="2680" spans="9:16">
      <c r="I2680" s="881">
        <v>288</v>
      </c>
      <c r="J2680" s="875">
        <v>42655</v>
      </c>
      <c r="K2680" s="877" t="s">
        <v>472</v>
      </c>
      <c r="L2680" s="879" t="s">
        <v>1135</v>
      </c>
      <c r="M2680" s="881" t="s">
        <v>148</v>
      </c>
      <c r="N2680" s="883">
        <v>286000</v>
      </c>
      <c r="O2680" s="55">
        <v>719</v>
      </c>
      <c r="P2680" s="78">
        <v>220000</v>
      </c>
    </row>
    <row r="2681" spans="9:16" ht="15.75" thickBot="1">
      <c r="I2681" s="882"/>
      <c r="J2681" s="876"/>
      <c r="K2681" s="878"/>
      <c r="L2681" s="880"/>
      <c r="M2681" s="882"/>
      <c r="N2681" s="884"/>
      <c r="O2681" s="56">
        <v>721</v>
      </c>
      <c r="P2681" s="79">
        <f>+N2680-P2680</f>
        <v>66000</v>
      </c>
    </row>
    <row r="2682" spans="9:16">
      <c r="I2682" s="881">
        <v>289</v>
      </c>
      <c r="J2682" s="875">
        <v>42655</v>
      </c>
      <c r="K2682" s="877" t="s">
        <v>472</v>
      </c>
      <c r="L2682" s="879" t="s">
        <v>1128</v>
      </c>
      <c r="M2682" s="881" t="s">
        <v>148</v>
      </c>
      <c r="N2682" s="883">
        <v>100000</v>
      </c>
      <c r="O2682" s="55">
        <v>719</v>
      </c>
      <c r="P2682" s="78">
        <v>100000</v>
      </c>
    </row>
    <row r="2683" spans="9:16" ht="15.75" thickBot="1">
      <c r="I2683" s="882"/>
      <c r="J2683" s="876"/>
      <c r="K2683" s="878"/>
      <c r="L2683" s="880"/>
      <c r="M2683" s="882"/>
      <c r="N2683" s="884"/>
      <c r="O2683" s="56">
        <v>721</v>
      </c>
      <c r="P2683" s="79">
        <f>+N2682-P2682</f>
        <v>0</v>
      </c>
    </row>
    <row r="2684" spans="9:16">
      <c r="I2684" s="881"/>
      <c r="J2684" s="875"/>
      <c r="K2684" s="877"/>
      <c r="L2684" s="879"/>
      <c r="M2684" s="881"/>
      <c r="N2684" s="883"/>
      <c r="O2684" s="55">
        <v>719</v>
      </c>
      <c r="P2684" s="78"/>
    </row>
    <row r="2685" spans="9:16" ht="15.75" thickBot="1">
      <c r="I2685" s="882"/>
      <c r="J2685" s="876"/>
      <c r="K2685" s="878"/>
      <c r="L2685" s="880"/>
      <c r="M2685" s="882"/>
      <c r="N2685" s="884"/>
      <c r="O2685" s="56">
        <v>721</v>
      </c>
      <c r="P2685" s="79">
        <f>+N2684-P2684</f>
        <v>0</v>
      </c>
    </row>
    <row r="2686" spans="9:16" ht="16.5" thickBot="1">
      <c r="I2686" s="901" t="s">
        <v>102</v>
      </c>
      <c r="J2686" s="902"/>
      <c r="K2686" s="902"/>
      <c r="L2686" s="902"/>
      <c r="M2686" s="903"/>
      <c r="N2686" s="81">
        <f>SUM(N2676:N2685)</f>
        <v>984000</v>
      </c>
    </row>
    <row r="2687" spans="9:16" ht="16.5" thickBot="1">
      <c r="I2687" s="885" t="s">
        <v>103</v>
      </c>
      <c r="J2687" s="886"/>
      <c r="K2687" s="886"/>
      <c r="L2687" s="886"/>
      <c r="M2687" s="887"/>
      <c r="N2687" s="69">
        <f>+N2651</f>
        <v>511299640</v>
      </c>
      <c r="O2687" s="241" t="s">
        <v>561</v>
      </c>
      <c r="P2687" s="242">
        <f>183+395+650+498</f>
        <v>1726</v>
      </c>
    </row>
    <row r="2688" spans="9:16" ht="16.5" thickBot="1">
      <c r="I2688" s="888" t="s">
        <v>104</v>
      </c>
      <c r="J2688" s="889"/>
      <c r="K2688" s="889"/>
      <c r="L2688" s="889"/>
      <c r="M2688" s="890"/>
      <c r="N2688" s="183">
        <f>SUM(N2686:N2687)</f>
        <v>512283640</v>
      </c>
    </row>
    <row r="2689" spans="9:15">
      <c r="I2689" s="61"/>
      <c r="J2689" s="61"/>
      <c r="K2689" s="61"/>
      <c r="L2689" s="61"/>
      <c r="M2689" s="61"/>
    </row>
    <row r="2690" spans="9:15">
      <c r="I2690" s="51" t="s">
        <v>1161</v>
      </c>
    </row>
    <row r="2691" spans="9:15" ht="12.75" customHeight="1">
      <c r="N2691" s="139"/>
    </row>
    <row r="2692" spans="9:15">
      <c r="I2692" s="50" t="s">
        <v>105</v>
      </c>
      <c r="L2692" s="146"/>
      <c r="N2692" s="139"/>
    </row>
    <row r="2693" spans="9:15" ht="14.25" customHeight="1" thickBot="1"/>
    <row r="2694" spans="9:15" ht="15.75" thickBot="1">
      <c r="I2694" s="891" t="s">
        <v>106</v>
      </c>
      <c r="J2694" s="892"/>
      <c r="K2694" s="892"/>
      <c r="L2694" s="893"/>
      <c r="N2694" s="50" t="s">
        <v>288</v>
      </c>
    </row>
    <row r="2695" spans="9:15" ht="30.75" thickBot="1">
      <c r="I2695" s="57" t="s">
        <v>100</v>
      </c>
      <c r="J2695" s="58" t="s">
        <v>108</v>
      </c>
      <c r="K2695" s="287" t="s">
        <v>109</v>
      </c>
      <c r="L2695" s="60" t="s">
        <v>110</v>
      </c>
    </row>
    <row r="2696" spans="9:15">
      <c r="I2696" s="71">
        <v>719</v>
      </c>
      <c r="J2696" s="73">
        <f>+P2676+P2678+P2680+P2682</f>
        <v>780000</v>
      </c>
      <c r="K2696" s="74">
        <f>+L2659</f>
        <v>54050000</v>
      </c>
      <c r="L2696" s="195">
        <f>+J2696+K2696</f>
        <v>54830000</v>
      </c>
    </row>
    <row r="2697" spans="9:15">
      <c r="I2697" s="72">
        <v>721</v>
      </c>
      <c r="J2697" s="80">
        <f>+P2677+P2679+P2681+P2683+P2685</f>
        <v>204000</v>
      </c>
      <c r="K2697" s="74">
        <f>+L2660</f>
        <v>107947634</v>
      </c>
      <c r="L2697" s="195">
        <f>+J2697+K2697</f>
        <v>108151634</v>
      </c>
    </row>
    <row r="2698" spans="9:15">
      <c r="I2698" s="72">
        <v>722</v>
      </c>
      <c r="J2698" s="80"/>
      <c r="K2698" s="74">
        <f>+L2661</f>
        <v>58963334</v>
      </c>
      <c r="L2698" s="195">
        <f>+J2698+K2698</f>
        <v>58963334</v>
      </c>
    </row>
    <row r="2699" spans="9:15" ht="15.75">
      <c r="I2699" s="72">
        <v>723</v>
      </c>
      <c r="J2699" s="80"/>
      <c r="K2699" s="74">
        <f>+L2662</f>
        <v>289770052</v>
      </c>
      <c r="L2699" s="195">
        <f>+J2699+K2699</f>
        <v>289770052</v>
      </c>
      <c r="N2699" s="193" t="s">
        <v>289</v>
      </c>
      <c r="O2699" s="175"/>
    </row>
    <row r="2700" spans="9:15" ht="16.5" thickBot="1">
      <c r="I2700" s="164" t="s">
        <v>1077</v>
      </c>
      <c r="J2700" s="165"/>
      <c r="K2700" s="74">
        <f>+L2663</f>
        <v>498620</v>
      </c>
      <c r="L2700" s="196">
        <f>+J2700+K2700</f>
        <v>498620</v>
      </c>
      <c r="N2700" s="52"/>
    </row>
    <row r="2701" spans="9:15" ht="16.5" thickBot="1">
      <c r="I2701" s="169"/>
      <c r="J2701" s="197">
        <f>SUM(J2696:J2700)</f>
        <v>984000</v>
      </c>
      <c r="K2701" s="197">
        <f>SUM(K2696:K2700)</f>
        <v>511229640</v>
      </c>
      <c r="L2701" s="198">
        <f>SUM(L2696:L2700)</f>
        <v>512213640</v>
      </c>
    </row>
    <row r="2702" spans="9:15" ht="16.5">
      <c r="I2702" s="49" t="s">
        <v>88</v>
      </c>
      <c r="J2702" s="50"/>
    </row>
    <row r="2703" spans="9:15">
      <c r="I2703" s="51" t="s">
        <v>89</v>
      </c>
    </row>
    <row r="2704" spans="9:15">
      <c r="I2704" s="51" t="s">
        <v>90</v>
      </c>
    </row>
    <row r="2705" spans="9:16">
      <c r="I2705" s="51" t="s">
        <v>91</v>
      </c>
    </row>
    <row r="2706" spans="9:16" ht="11.25" customHeight="1">
      <c r="I2706" s="50"/>
      <c r="J2706" s="50"/>
    </row>
    <row r="2707" spans="9:16" ht="15.75">
      <c r="I2707" s="260" t="s">
        <v>1162</v>
      </c>
      <c r="O2707" s="52"/>
    </row>
    <row r="2708" spans="9:16" ht="15.75">
      <c r="I2708" s="53" t="s">
        <v>535</v>
      </c>
      <c r="O2708" s="53"/>
    </row>
    <row r="2709" spans="9:16" ht="16.5">
      <c r="I2709" s="894" t="s">
        <v>1078</v>
      </c>
      <c r="J2709" s="894"/>
      <c r="K2709" s="894"/>
      <c r="L2709" s="894"/>
      <c r="M2709" s="894"/>
      <c r="N2709" s="894"/>
      <c r="O2709" s="894"/>
      <c r="P2709" s="894"/>
    </row>
    <row r="2710" spans="9:16" ht="13.5" customHeight="1" thickBot="1"/>
    <row r="2711" spans="9:16">
      <c r="I2711" s="895" t="s">
        <v>94</v>
      </c>
      <c r="J2711" s="897" t="s">
        <v>95</v>
      </c>
      <c r="K2711" s="897" t="s">
        <v>96</v>
      </c>
      <c r="L2711" s="897" t="s">
        <v>3</v>
      </c>
      <c r="M2711" s="897" t="s">
        <v>97</v>
      </c>
      <c r="N2711" s="897" t="s">
        <v>98</v>
      </c>
      <c r="O2711" s="897" t="s">
        <v>99</v>
      </c>
      <c r="P2711" s="899"/>
    </row>
    <row r="2712" spans="9:16" ht="15.75" thickBot="1">
      <c r="I2712" s="896"/>
      <c r="J2712" s="898"/>
      <c r="K2712" s="898"/>
      <c r="L2712" s="898"/>
      <c r="M2712" s="898"/>
      <c r="N2712" s="898"/>
      <c r="O2712" s="240" t="s">
        <v>100</v>
      </c>
      <c r="P2712" s="182" t="s">
        <v>101</v>
      </c>
    </row>
    <row r="2713" spans="9:16">
      <c r="I2713" s="881">
        <v>290</v>
      </c>
      <c r="J2713" s="875">
        <v>42655</v>
      </c>
      <c r="K2713" s="877" t="s">
        <v>1139</v>
      </c>
      <c r="L2713" s="879" t="s">
        <v>1146</v>
      </c>
      <c r="M2713" s="881" t="s">
        <v>148</v>
      </c>
      <c r="N2713" s="883">
        <v>52000</v>
      </c>
      <c r="O2713" s="55">
        <v>719</v>
      </c>
      <c r="P2713" s="78">
        <v>40000</v>
      </c>
    </row>
    <row r="2714" spans="9:16" ht="13.5" customHeight="1" thickBot="1">
      <c r="I2714" s="882"/>
      <c r="J2714" s="876"/>
      <c r="K2714" s="878"/>
      <c r="L2714" s="880"/>
      <c r="M2714" s="882"/>
      <c r="N2714" s="884"/>
      <c r="O2714" s="56">
        <v>721</v>
      </c>
      <c r="P2714" s="79">
        <f>+N2713-P2713</f>
        <v>12000</v>
      </c>
    </row>
    <row r="2715" spans="9:16">
      <c r="I2715" s="881">
        <v>291</v>
      </c>
      <c r="J2715" s="875">
        <v>42655</v>
      </c>
      <c r="K2715" s="877" t="s">
        <v>1139</v>
      </c>
      <c r="L2715" s="879" t="s">
        <v>1150</v>
      </c>
      <c r="M2715" s="881" t="s">
        <v>148</v>
      </c>
      <c r="N2715" s="883">
        <v>78000</v>
      </c>
      <c r="O2715" s="55">
        <v>719</v>
      </c>
      <c r="P2715" s="78">
        <v>60000</v>
      </c>
    </row>
    <row r="2716" spans="9:16" ht="15.75" thickBot="1">
      <c r="I2716" s="882"/>
      <c r="J2716" s="876"/>
      <c r="K2716" s="878"/>
      <c r="L2716" s="880"/>
      <c r="M2716" s="882"/>
      <c r="N2716" s="884"/>
      <c r="O2716" s="56">
        <v>721</v>
      </c>
      <c r="P2716" s="79">
        <f>+N2715-P2715</f>
        <v>18000</v>
      </c>
    </row>
    <row r="2717" spans="9:16" ht="14.25" customHeight="1">
      <c r="I2717" s="881">
        <v>292</v>
      </c>
      <c r="J2717" s="875">
        <v>42655</v>
      </c>
      <c r="K2717" s="877" t="s">
        <v>1139</v>
      </c>
      <c r="L2717" s="879" t="s">
        <v>1141</v>
      </c>
      <c r="M2717" s="881" t="s">
        <v>148</v>
      </c>
      <c r="N2717" s="883">
        <v>46000</v>
      </c>
      <c r="O2717" s="55">
        <v>719</v>
      </c>
      <c r="P2717" s="78">
        <v>40000</v>
      </c>
    </row>
    <row r="2718" spans="9:16" ht="14.25" customHeight="1" thickBot="1">
      <c r="I2718" s="882"/>
      <c r="J2718" s="876"/>
      <c r="K2718" s="878"/>
      <c r="L2718" s="880"/>
      <c r="M2718" s="882"/>
      <c r="N2718" s="884"/>
      <c r="O2718" s="56">
        <v>721</v>
      </c>
      <c r="P2718" s="79">
        <f>+N2717-P2717</f>
        <v>6000</v>
      </c>
    </row>
    <row r="2719" spans="9:16">
      <c r="I2719" s="881">
        <v>293</v>
      </c>
      <c r="J2719" s="875">
        <v>42655</v>
      </c>
      <c r="K2719" s="877" t="s">
        <v>31</v>
      </c>
      <c r="L2719" s="879" t="s">
        <v>1155</v>
      </c>
      <c r="M2719" s="881" t="s">
        <v>148</v>
      </c>
      <c r="N2719" s="883">
        <v>1326000</v>
      </c>
      <c r="O2719" s="55">
        <v>719</v>
      </c>
      <c r="P2719" s="78">
        <v>1020000</v>
      </c>
    </row>
    <row r="2720" spans="9:16" ht="15.75" thickBot="1">
      <c r="I2720" s="882"/>
      <c r="J2720" s="876"/>
      <c r="K2720" s="878"/>
      <c r="L2720" s="880"/>
      <c r="M2720" s="882"/>
      <c r="N2720" s="884"/>
      <c r="O2720" s="56">
        <v>721</v>
      </c>
      <c r="P2720" s="79">
        <f>+N2719-P2719</f>
        <v>306000</v>
      </c>
    </row>
    <row r="2721" spans="9:16" ht="13.5" customHeight="1">
      <c r="I2721" s="881"/>
      <c r="J2721" s="875"/>
      <c r="K2721" s="877"/>
      <c r="L2721" s="879"/>
      <c r="M2721" s="881"/>
      <c r="N2721" s="883"/>
      <c r="O2721" s="55">
        <v>719</v>
      </c>
      <c r="P2721" s="78"/>
    </row>
    <row r="2722" spans="9:16" ht="13.5" customHeight="1" thickBot="1">
      <c r="I2722" s="882"/>
      <c r="J2722" s="876"/>
      <c r="K2722" s="878"/>
      <c r="L2722" s="880"/>
      <c r="M2722" s="882"/>
      <c r="N2722" s="884"/>
      <c r="O2722" s="56">
        <v>721</v>
      </c>
      <c r="P2722" s="79">
        <f>+N2721-P2721</f>
        <v>0</v>
      </c>
    </row>
    <row r="2723" spans="9:16" ht="16.5" thickBot="1">
      <c r="I2723" s="901" t="s">
        <v>102</v>
      </c>
      <c r="J2723" s="902"/>
      <c r="K2723" s="902"/>
      <c r="L2723" s="902"/>
      <c r="M2723" s="903"/>
      <c r="N2723" s="81">
        <f>SUM(N2713:N2722)</f>
        <v>1502000</v>
      </c>
    </row>
    <row r="2724" spans="9:16" ht="16.5" thickBot="1">
      <c r="I2724" s="885" t="s">
        <v>103</v>
      </c>
      <c r="J2724" s="886"/>
      <c r="K2724" s="886"/>
      <c r="L2724" s="886"/>
      <c r="M2724" s="887"/>
      <c r="N2724" s="69">
        <f>+N2688</f>
        <v>512283640</v>
      </c>
      <c r="O2724" s="241" t="s">
        <v>561</v>
      </c>
      <c r="P2724" s="242">
        <v>1556</v>
      </c>
    </row>
    <row r="2725" spans="9:16" ht="16.5" thickBot="1">
      <c r="I2725" s="888" t="s">
        <v>104</v>
      </c>
      <c r="J2725" s="889"/>
      <c r="K2725" s="889"/>
      <c r="L2725" s="889"/>
      <c r="M2725" s="890"/>
      <c r="N2725" s="183">
        <f>SUM(N2723:N2724)</f>
        <v>513785640</v>
      </c>
    </row>
    <row r="2726" spans="9:16" ht="12.75" customHeight="1">
      <c r="I2726" s="61"/>
      <c r="J2726" s="61"/>
      <c r="K2726" s="61"/>
      <c r="L2726" s="61"/>
      <c r="M2726" s="61"/>
    </row>
    <row r="2727" spans="9:16">
      <c r="I2727" s="51" t="s">
        <v>1163</v>
      </c>
    </row>
    <row r="2728" spans="9:16" ht="14.25" customHeight="1">
      <c r="N2728" s="139"/>
    </row>
    <row r="2729" spans="9:16">
      <c r="I2729" s="50" t="s">
        <v>105</v>
      </c>
      <c r="L2729" s="146"/>
      <c r="N2729" s="139"/>
    </row>
    <row r="2730" spans="9:16" ht="13.5" customHeight="1" thickBot="1"/>
    <row r="2731" spans="9:16" ht="15.75" thickBot="1">
      <c r="I2731" s="891" t="s">
        <v>106</v>
      </c>
      <c r="J2731" s="892"/>
      <c r="K2731" s="892"/>
      <c r="L2731" s="893"/>
      <c r="N2731" s="50" t="s">
        <v>288</v>
      </c>
    </row>
    <row r="2732" spans="9:16" ht="30.75" thickBot="1">
      <c r="I2732" s="57" t="s">
        <v>100</v>
      </c>
      <c r="J2732" s="58" t="s">
        <v>108</v>
      </c>
      <c r="K2732" s="287" t="s">
        <v>109</v>
      </c>
      <c r="L2732" s="60" t="s">
        <v>110</v>
      </c>
    </row>
    <row r="2733" spans="9:16">
      <c r="I2733" s="71">
        <v>719</v>
      </c>
      <c r="J2733" s="73">
        <f>+P2713+P2715+P2717+P2719</f>
        <v>1160000</v>
      </c>
      <c r="K2733" s="74">
        <f>+L2696</f>
        <v>54830000</v>
      </c>
      <c r="L2733" s="195">
        <f>+J2733+K2733</f>
        <v>55990000</v>
      </c>
    </row>
    <row r="2734" spans="9:16">
      <c r="I2734" s="72">
        <v>721</v>
      </c>
      <c r="J2734" s="80">
        <f>+P2714+P2716+P2718+P2720+P2722</f>
        <v>342000</v>
      </c>
      <c r="K2734" s="74">
        <f>+L2697</f>
        <v>108151634</v>
      </c>
      <c r="L2734" s="195">
        <f>+J2734+K2734</f>
        <v>108493634</v>
      </c>
    </row>
    <row r="2735" spans="9:16">
      <c r="I2735" s="72">
        <v>722</v>
      </c>
      <c r="J2735" s="80"/>
      <c r="K2735" s="74">
        <f>+L2698</f>
        <v>58963334</v>
      </c>
      <c r="L2735" s="195">
        <f>+J2735+K2735</f>
        <v>58963334</v>
      </c>
    </row>
    <row r="2736" spans="9:16" ht="15.75">
      <c r="I2736" s="72">
        <v>723</v>
      </c>
      <c r="J2736" s="80"/>
      <c r="K2736" s="74">
        <f>+L2699</f>
        <v>289770052</v>
      </c>
      <c r="L2736" s="195">
        <f>+J2736+K2736</f>
        <v>289770052</v>
      </c>
      <c r="N2736" s="193" t="s">
        <v>289</v>
      </c>
      <c r="O2736" s="175"/>
    </row>
    <row r="2737" spans="9:16" ht="16.5" thickBot="1">
      <c r="I2737" s="164" t="s">
        <v>1077</v>
      </c>
      <c r="J2737" s="165"/>
      <c r="K2737" s="74">
        <f>+L2700</f>
        <v>498620</v>
      </c>
      <c r="L2737" s="196">
        <f>+J2737+K2737</f>
        <v>498620</v>
      </c>
      <c r="N2737" s="52"/>
    </row>
    <row r="2738" spans="9:16" ht="16.5" thickBot="1">
      <c r="I2738" s="169"/>
      <c r="J2738" s="197">
        <f>SUM(J2733:J2737)</f>
        <v>1502000</v>
      </c>
      <c r="K2738" s="197">
        <f>SUM(K2733:K2737)</f>
        <v>512213640</v>
      </c>
      <c r="L2738" s="198">
        <f>SUM(L2733:L2737)</f>
        <v>513715640</v>
      </c>
    </row>
    <row r="2739" spans="9:16" ht="16.5">
      <c r="I2739" s="49" t="s">
        <v>88</v>
      </c>
      <c r="J2739" s="50"/>
    </row>
    <row r="2740" spans="9:16">
      <c r="I2740" s="51" t="s">
        <v>89</v>
      </c>
    </row>
    <row r="2741" spans="9:16">
      <c r="I2741" s="51" t="s">
        <v>90</v>
      </c>
    </row>
    <row r="2742" spans="9:16">
      <c r="I2742" s="51" t="s">
        <v>91</v>
      </c>
    </row>
    <row r="2743" spans="9:16" ht="11.25" customHeight="1">
      <c r="I2743" s="50"/>
      <c r="J2743" s="50"/>
    </row>
    <row r="2744" spans="9:16" ht="15.75">
      <c r="I2744" s="260" t="s">
        <v>1164</v>
      </c>
      <c r="O2744" s="52"/>
    </row>
    <row r="2745" spans="9:16" ht="15.75">
      <c r="I2745" s="53" t="s">
        <v>535</v>
      </c>
      <c r="O2745" s="53"/>
    </row>
    <row r="2746" spans="9:16" ht="16.5">
      <c r="I2746" s="894" t="s">
        <v>1078</v>
      </c>
      <c r="J2746" s="894"/>
      <c r="K2746" s="894"/>
      <c r="L2746" s="894"/>
      <c r="M2746" s="894"/>
      <c r="N2746" s="894"/>
      <c r="O2746" s="894"/>
      <c r="P2746" s="894"/>
    </row>
    <row r="2747" spans="9:16" ht="15.75" thickBot="1"/>
    <row r="2748" spans="9:16">
      <c r="I2748" s="895" t="s">
        <v>94</v>
      </c>
      <c r="J2748" s="897" t="s">
        <v>95</v>
      </c>
      <c r="K2748" s="897" t="s">
        <v>96</v>
      </c>
      <c r="L2748" s="897" t="s">
        <v>3</v>
      </c>
      <c r="M2748" s="897" t="s">
        <v>97</v>
      </c>
      <c r="N2748" s="897" t="s">
        <v>98</v>
      </c>
      <c r="O2748" s="897" t="s">
        <v>99</v>
      </c>
      <c r="P2748" s="899"/>
    </row>
    <row r="2749" spans="9:16" ht="15.75" thickBot="1">
      <c r="I2749" s="896"/>
      <c r="J2749" s="898"/>
      <c r="K2749" s="898"/>
      <c r="L2749" s="898"/>
      <c r="M2749" s="898"/>
      <c r="N2749" s="898"/>
      <c r="O2749" s="240" t="s">
        <v>100</v>
      </c>
      <c r="P2749" s="182" t="s">
        <v>101</v>
      </c>
    </row>
    <row r="2750" spans="9:16">
      <c r="I2750" s="881">
        <v>294</v>
      </c>
      <c r="J2750" s="875">
        <v>42657</v>
      </c>
      <c r="K2750" s="877" t="s">
        <v>1014</v>
      </c>
      <c r="L2750" s="879" t="s">
        <v>1167</v>
      </c>
      <c r="M2750" s="881" t="s">
        <v>115</v>
      </c>
      <c r="N2750" s="883">
        <v>110000</v>
      </c>
      <c r="O2750" s="55">
        <v>719</v>
      </c>
      <c r="P2750" s="78">
        <v>110000</v>
      </c>
    </row>
    <row r="2751" spans="9:16" ht="15.75" thickBot="1">
      <c r="I2751" s="882"/>
      <c r="J2751" s="876"/>
      <c r="K2751" s="878"/>
      <c r="L2751" s="880"/>
      <c r="M2751" s="882"/>
      <c r="N2751" s="884"/>
      <c r="O2751" s="56">
        <v>721</v>
      </c>
      <c r="P2751" s="79">
        <f>+N2750-P2750</f>
        <v>0</v>
      </c>
    </row>
    <row r="2752" spans="9:16" ht="15" customHeight="1">
      <c r="I2752" s="881">
        <v>295</v>
      </c>
      <c r="J2752" s="875">
        <v>42657</v>
      </c>
      <c r="K2752" s="877" t="s">
        <v>28</v>
      </c>
      <c r="L2752" s="879" t="s">
        <v>1166</v>
      </c>
      <c r="M2752" s="881" t="s">
        <v>115</v>
      </c>
      <c r="N2752" s="883">
        <v>70000</v>
      </c>
      <c r="O2752" s="55">
        <v>719</v>
      </c>
      <c r="P2752" s="78">
        <v>70000</v>
      </c>
    </row>
    <row r="2753" spans="9:16" ht="14.25" customHeight="1" thickBot="1">
      <c r="I2753" s="882"/>
      <c r="J2753" s="876"/>
      <c r="K2753" s="878"/>
      <c r="L2753" s="880"/>
      <c r="M2753" s="882"/>
      <c r="N2753" s="884"/>
      <c r="O2753" s="56">
        <v>721</v>
      </c>
      <c r="P2753" s="79">
        <f>+N2752-P2752</f>
        <v>0</v>
      </c>
    </row>
    <row r="2754" spans="9:16" ht="14.25" customHeight="1">
      <c r="I2754" s="881">
        <v>296</v>
      </c>
      <c r="J2754" s="875">
        <v>42657</v>
      </c>
      <c r="K2754" s="877" t="s">
        <v>120</v>
      </c>
      <c r="L2754" s="879" t="s">
        <v>1165</v>
      </c>
      <c r="M2754" s="881" t="s">
        <v>115</v>
      </c>
      <c r="N2754" s="883">
        <v>200000</v>
      </c>
      <c r="O2754" s="55">
        <v>719</v>
      </c>
      <c r="P2754" s="78">
        <v>200000</v>
      </c>
    </row>
    <row r="2755" spans="9:16" ht="15.75" customHeight="1" thickBot="1">
      <c r="I2755" s="882"/>
      <c r="J2755" s="876"/>
      <c r="K2755" s="878"/>
      <c r="L2755" s="880"/>
      <c r="M2755" s="882"/>
      <c r="N2755" s="884"/>
      <c r="O2755" s="56">
        <v>721</v>
      </c>
      <c r="P2755" s="79">
        <f>+N2754-P2754</f>
        <v>0</v>
      </c>
    </row>
    <row r="2756" spans="9:16">
      <c r="I2756" s="881"/>
      <c r="J2756" s="875"/>
      <c r="K2756" s="877"/>
      <c r="L2756" s="879"/>
      <c r="M2756" s="881"/>
      <c r="N2756" s="883"/>
      <c r="O2756" s="55">
        <v>719</v>
      </c>
      <c r="P2756" s="78">
        <v>0</v>
      </c>
    </row>
    <row r="2757" spans="9:16" ht="13.5" customHeight="1" thickBot="1">
      <c r="I2757" s="882"/>
      <c r="J2757" s="876"/>
      <c r="K2757" s="878"/>
      <c r="L2757" s="880"/>
      <c r="M2757" s="882"/>
      <c r="N2757" s="884"/>
      <c r="O2757" s="56">
        <v>721</v>
      </c>
      <c r="P2757" s="79">
        <f>+N2756-P2756</f>
        <v>0</v>
      </c>
    </row>
    <row r="2758" spans="9:16">
      <c r="I2758" s="881"/>
      <c r="J2758" s="875"/>
      <c r="K2758" s="877"/>
      <c r="L2758" s="879"/>
      <c r="M2758" s="881"/>
      <c r="N2758" s="883"/>
      <c r="O2758" s="55">
        <v>719</v>
      </c>
      <c r="P2758" s="78"/>
    </row>
    <row r="2759" spans="9:16" ht="14.25" customHeight="1" thickBot="1">
      <c r="I2759" s="882"/>
      <c r="J2759" s="876"/>
      <c r="K2759" s="878"/>
      <c r="L2759" s="880"/>
      <c r="M2759" s="882"/>
      <c r="N2759" s="884"/>
      <c r="O2759" s="56">
        <v>721</v>
      </c>
      <c r="P2759" s="79">
        <f>+N2758-P2758</f>
        <v>0</v>
      </c>
    </row>
    <row r="2760" spans="9:16" ht="16.5" thickBot="1">
      <c r="I2760" s="901" t="s">
        <v>102</v>
      </c>
      <c r="J2760" s="902"/>
      <c r="K2760" s="902"/>
      <c r="L2760" s="902"/>
      <c r="M2760" s="903"/>
      <c r="N2760" s="81">
        <f>SUM(N2750:N2759)</f>
        <v>380000</v>
      </c>
    </row>
    <row r="2761" spans="9:16" ht="16.5" thickBot="1">
      <c r="I2761" s="885" t="s">
        <v>103</v>
      </c>
      <c r="J2761" s="886"/>
      <c r="K2761" s="886"/>
      <c r="L2761" s="886"/>
      <c r="M2761" s="887"/>
      <c r="N2761" s="69">
        <f>+N2725</f>
        <v>513785640</v>
      </c>
      <c r="O2761" s="241" t="s">
        <v>561</v>
      </c>
      <c r="P2761" s="242">
        <f>328+189+267</f>
        <v>784</v>
      </c>
    </row>
    <row r="2762" spans="9:16" ht="16.5" thickBot="1">
      <c r="I2762" s="888" t="s">
        <v>104</v>
      </c>
      <c r="J2762" s="889"/>
      <c r="K2762" s="889"/>
      <c r="L2762" s="889"/>
      <c r="M2762" s="890"/>
      <c r="N2762" s="183">
        <f>SUM(N2760:N2761)</f>
        <v>514165640</v>
      </c>
    </row>
    <row r="2763" spans="9:16">
      <c r="I2763" s="61"/>
      <c r="J2763" s="61"/>
      <c r="K2763" s="61"/>
      <c r="L2763" s="61"/>
      <c r="M2763" s="61"/>
    </row>
    <row r="2764" spans="9:16">
      <c r="I2764" s="51" t="s">
        <v>1168</v>
      </c>
    </row>
    <row r="2765" spans="9:16" ht="12.75" customHeight="1">
      <c r="N2765" s="139"/>
    </row>
    <row r="2766" spans="9:16">
      <c r="I2766" s="50" t="s">
        <v>105</v>
      </c>
      <c r="L2766" s="146"/>
      <c r="N2766" s="139"/>
    </row>
    <row r="2767" spans="9:16" ht="13.5" customHeight="1" thickBot="1"/>
    <row r="2768" spans="9:16" ht="15.75" thickBot="1">
      <c r="I2768" s="891" t="s">
        <v>106</v>
      </c>
      <c r="J2768" s="892"/>
      <c r="K2768" s="892"/>
      <c r="L2768" s="893"/>
      <c r="N2768" s="50" t="s">
        <v>288</v>
      </c>
    </row>
    <row r="2769" spans="9:16" ht="30.75" thickBot="1">
      <c r="I2769" s="57" t="s">
        <v>100</v>
      </c>
      <c r="J2769" s="58" t="s">
        <v>108</v>
      </c>
      <c r="K2769" s="287" t="s">
        <v>109</v>
      </c>
      <c r="L2769" s="60" t="s">
        <v>110</v>
      </c>
    </row>
    <row r="2770" spans="9:16">
      <c r="I2770" s="71">
        <v>719</v>
      </c>
      <c r="J2770" s="73">
        <f>+P2750+P2752+P2754+P2756</f>
        <v>380000</v>
      </c>
      <c r="K2770" s="74">
        <f>+L2733</f>
        <v>55990000</v>
      </c>
      <c r="L2770" s="195">
        <f>+J2770+K2770</f>
        <v>56370000</v>
      </c>
    </row>
    <row r="2771" spans="9:16">
      <c r="I2771" s="72">
        <v>721</v>
      </c>
      <c r="J2771" s="80">
        <f>+P2751+P2753+P2755+P2757+P2759</f>
        <v>0</v>
      </c>
      <c r="K2771" s="74">
        <f>+L2734</f>
        <v>108493634</v>
      </c>
      <c r="L2771" s="195">
        <f>+J2771+K2771</f>
        <v>108493634</v>
      </c>
    </row>
    <row r="2772" spans="9:16">
      <c r="I2772" s="72">
        <v>722</v>
      </c>
      <c r="J2772" s="80"/>
      <c r="K2772" s="74">
        <f>+L2735</f>
        <v>58963334</v>
      </c>
      <c r="L2772" s="195">
        <f>+J2772+K2772</f>
        <v>58963334</v>
      </c>
    </row>
    <row r="2773" spans="9:16" ht="15.75">
      <c r="I2773" s="72">
        <v>723</v>
      </c>
      <c r="J2773" s="80"/>
      <c r="K2773" s="74">
        <f>+L2736</f>
        <v>289770052</v>
      </c>
      <c r="L2773" s="195">
        <f>+J2773+K2773</f>
        <v>289770052</v>
      </c>
      <c r="N2773" s="193" t="s">
        <v>289</v>
      </c>
      <c r="O2773" s="175"/>
    </row>
    <row r="2774" spans="9:16" ht="16.5" thickBot="1">
      <c r="I2774" s="164" t="s">
        <v>1077</v>
      </c>
      <c r="J2774" s="165"/>
      <c r="K2774" s="74">
        <f>+L2737</f>
        <v>498620</v>
      </c>
      <c r="L2774" s="196">
        <f>+J2774+K2774</f>
        <v>498620</v>
      </c>
      <c r="N2774" s="52"/>
    </row>
    <row r="2775" spans="9:16" ht="16.5" thickBot="1">
      <c r="I2775" s="169"/>
      <c r="J2775" s="197">
        <f>SUM(J2770:J2774)</f>
        <v>380000</v>
      </c>
      <c r="K2775" s="197">
        <f>SUM(K2770:K2774)</f>
        <v>513715640</v>
      </c>
      <c r="L2775" s="198">
        <f>SUM(L2770:L2774)</f>
        <v>514095640</v>
      </c>
    </row>
    <row r="2776" spans="9:16" ht="16.5">
      <c r="I2776" s="49" t="s">
        <v>88</v>
      </c>
      <c r="J2776" s="50"/>
    </row>
    <row r="2777" spans="9:16">
      <c r="I2777" s="51" t="s">
        <v>89</v>
      </c>
    </row>
    <row r="2778" spans="9:16">
      <c r="I2778" s="51" t="s">
        <v>90</v>
      </c>
    </row>
    <row r="2779" spans="9:16">
      <c r="I2779" s="51" t="s">
        <v>91</v>
      </c>
    </row>
    <row r="2780" spans="9:16" ht="10.5" customHeight="1">
      <c r="I2780" s="50"/>
      <c r="J2780" s="50"/>
    </row>
    <row r="2781" spans="9:16" ht="15.75">
      <c r="I2781" s="260" t="s">
        <v>1169</v>
      </c>
      <c r="O2781" s="52"/>
    </row>
    <row r="2782" spans="9:16" ht="15.75">
      <c r="I2782" s="53" t="s">
        <v>535</v>
      </c>
      <c r="O2782" s="53"/>
    </row>
    <row r="2783" spans="9:16" ht="16.5">
      <c r="I2783" s="894" t="s">
        <v>1205</v>
      </c>
      <c r="J2783" s="894"/>
      <c r="K2783" s="894"/>
      <c r="L2783" s="894"/>
      <c r="M2783" s="894"/>
      <c r="N2783" s="894"/>
      <c r="O2783" s="894"/>
      <c r="P2783" s="894"/>
    </row>
    <row r="2784" spans="9:16" ht="15.75" thickBot="1"/>
    <row r="2785" spans="9:16">
      <c r="I2785" s="895" t="s">
        <v>94</v>
      </c>
      <c r="J2785" s="897" t="s">
        <v>95</v>
      </c>
      <c r="K2785" s="897" t="s">
        <v>96</v>
      </c>
      <c r="L2785" s="897" t="s">
        <v>3</v>
      </c>
      <c r="M2785" s="897" t="s">
        <v>97</v>
      </c>
      <c r="N2785" s="897" t="s">
        <v>98</v>
      </c>
      <c r="O2785" s="897" t="s">
        <v>99</v>
      </c>
      <c r="P2785" s="899"/>
    </row>
    <row r="2786" spans="9:16" ht="15.75" thickBot="1">
      <c r="I2786" s="896"/>
      <c r="J2786" s="898"/>
      <c r="K2786" s="898"/>
      <c r="L2786" s="898"/>
      <c r="M2786" s="898"/>
      <c r="N2786" s="898"/>
      <c r="O2786" s="240" t="s">
        <v>100</v>
      </c>
      <c r="P2786" s="182" t="s">
        <v>101</v>
      </c>
    </row>
    <row r="2787" spans="9:16" ht="14.25" customHeight="1">
      <c r="I2787" s="881">
        <v>297</v>
      </c>
      <c r="J2787" s="875">
        <v>42660</v>
      </c>
      <c r="K2787" s="877" t="s">
        <v>350</v>
      </c>
      <c r="L2787" s="879" t="s">
        <v>921</v>
      </c>
      <c r="M2787" s="881" t="s">
        <v>148</v>
      </c>
      <c r="N2787" s="883">
        <v>260000</v>
      </c>
      <c r="O2787" s="55">
        <v>722</v>
      </c>
      <c r="P2787" s="78">
        <v>260000</v>
      </c>
    </row>
    <row r="2788" spans="9:16" ht="14.25" customHeight="1" thickBot="1">
      <c r="I2788" s="882"/>
      <c r="J2788" s="876"/>
      <c r="K2788" s="878"/>
      <c r="L2788" s="880"/>
      <c r="M2788" s="882"/>
      <c r="N2788" s="884"/>
      <c r="O2788" s="56">
        <v>721</v>
      </c>
      <c r="P2788" s="351">
        <f>+N2787-P2787</f>
        <v>0</v>
      </c>
    </row>
    <row r="2789" spans="9:16" ht="14.25" customHeight="1">
      <c r="I2789" s="881">
        <v>298</v>
      </c>
      <c r="J2789" s="875">
        <v>42660</v>
      </c>
      <c r="K2789" s="877" t="s">
        <v>1091</v>
      </c>
      <c r="L2789" s="879" t="s">
        <v>921</v>
      </c>
      <c r="M2789" s="881" t="s">
        <v>148</v>
      </c>
      <c r="N2789" s="883">
        <v>600000</v>
      </c>
      <c r="O2789" s="55">
        <v>722</v>
      </c>
      <c r="P2789" s="78">
        <v>600000</v>
      </c>
    </row>
    <row r="2790" spans="9:16" ht="13.5" customHeight="1" thickBot="1">
      <c r="I2790" s="882"/>
      <c r="J2790" s="876"/>
      <c r="K2790" s="878"/>
      <c r="L2790" s="880"/>
      <c r="M2790" s="882"/>
      <c r="N2790" s="884"/>
      <c r="O2790" s="56">
        <v>721</v>
      </c>
      <c r="P2790" s="352">
        <f>+N2789-P2789</f>
        <v>0</v>
      </c>
    </row>
    <row r="2791" spans="9:16" ht="15" customHeight="1">
      <c r="I2791" s="881">
        <v>299</v>
      </c>
      <c r="J2791" s="875">
        <v>42660</v>
      </c>
      <c r="K2791" s="877" t="s">
        <v>120</v>
      </c>
      <c r="L2791" s="879" t="s">
        <v>921</v>
      </c>
      <c r="M2791" s="881" t="s">
        <v>148</v>
      </c>
      <c r="N2791" s="883">
        <v>560000</v>
      </c>
      <c r="O2791" s="55">
        <v>722</v>
      </c>
      <c r="P2791" s="78">
        <v>560000</v>
      </c>
    </row>
    <row r="2792" spans="9:16" ht="13.5" customHeight="1" thickBot="1">
      <c r="I2792" s="882"/>
      <c r="J2792" s="876"/>
      <c r="K2792" s="878"/>
      <c r="L2792" s="880"/>
      <c r="M2792" s="882"/>
      <c r="N2792" s="884"/>
      <c r="O2792" s="56">
        <v>721</v>
      </c>
      <c r="P2792" s="352">
        <f>+N2791-P2791</f>
        <v>0</v>
      </c>
    </row>
    <row r="2793" spans="9:16" ht="15" customHeight="1">
      <c r="I2793" s="881">
        <v>300</v>
      </c>
      <c r="J2793" s="875">
        <v>42660</v>
      </c>
      <c r="K2793" s="877" t="s">
        <v>1171</v>
      </c>
      <c r="L2793" s="879" t="s">
        <v>921</v>
      </c>
      <c r="M2793" s="881" t="s">
        <v>148</v>
      </c>
      <c r="N2793" s="883">
        <v>1000000</v>
      </c>
      <c r="O2793" s="55">
        <v>722</v>
      </c>
      <c r="P2793" s="78">
        <v>1000000</v>
      </c>
    </row>
    <row r="2794" spans="9:16" ht="13.5" customHeight="1" thickBot="1">
      <c r="I2794" s="882"/>
      <c r="J2794" s="876"/>
      <c r="K2794" s="878"/>
      <c r="L2794" s="880"/>
      <c r="M2794" s="882"/>
      <c r="N2794" s="884"/>
      <c r="O2794" s="56">
        <v>721</v>
      </c>
      <c r="P2794" s="79">
        <f>+N2793-P2793</f>
        <v>0</v>
      </c>
    </row>
    <row r="2795" spans="9:16" ht="15" customHeight="1">
      <c r="I2795" s="881">
        <v>301</v>
      </c>
      <c r="J2795" s="875">
        <v>42660</v>
      </c>
      <c r="K2795" s="877" t="s">
        <v>40</v>
      </c>
      <c r="L2795" s="879" t="s">
        <v>921</v>
      </c>
      <c r="M2795" s="881" t="s">
        <v>148</v>
      </c>
      <c r="N2795" s="883">
        <v>200000</v>
      </c>
      <c r="O2795" s="55">
        <v>722</v>
      </c>
      <c r="P2795" s="78">
        <v>200000</v>
      </c>
    </row>
    <row r="2796" spans="9:16" ht="13.5" customHeight="1" thickBot="1">
      <c r="I2796" s="882"/>
      <c r="J2796" s="876"/>
      <c r="K2796" s="878"/>
      <c r="L2796" s="880"/>
      <c r="M2796" s="882"/>
      <c r="N2796" s="884"/>
      <c r="O2796" s="56">
        <v>721</v>
      </c>
      <c r="P2796" s="79">
        <f>+N2795-P2795</f>
        <v>0</v>
      </c>
    </row>
    <row r="2797" spans="9:16" ht="15" customHeight="1">
      <c r="I2797" s="881">
        <v>302</v>
      </c>
      <c r="J2797" s="875">
        <v>42660</v>
      </c>
      <c r="K2797" s="877" t="s">
        <v>1172</v>
      </c>
      <c r="L2797" s="879" t="s">
        <v>921</v>
      </c>
      <c r="M2797" s="881" t="s">
        <v>148</v>
      </c>
      <c r="N2797" s="883">
        <v>220000</v>
      </c>
      <c r="O2797" s="55">
        <v>722</v>
      </c>
      <c r="P2797" s="78">
        <v>220000</v>
      </c>
    </row>
    <row r="2798" spans="9:16" ht="13.5" customHeight="1" thickBot="1">
      <c r="I2798" s="882"/>
      <c r="J2798" s="876"/>
      <c r="K2798" s="878"/>
      <c r="L2798" s="880"/>
      <c r="M2798" s="882"/>
      <c r="N2798" s="884"/>
      <c r="O2798" s="56">
        <v>721</v>
      </c>
      <c r="P2798" s="79">
        <f>+N2797-P2797</f>
        <v>0</v>
      </c>
    </row>
    <row r="2799" spans="9:16" ht="15" customHeight="1" thickBot="1">
      <c r="I2799" s="901" t="s">
        <v>102</v>
      </c>
      <c r="J2799" s="902"/>
      <c r="K2799" s="902"/>
      <c r="L2799" s="902"/>
      <c r="M2799" s="903"/>
      <c r="N2799" s="81">
        <f>SUM(N2787:N2798)</f>
        <v>2840000</v>
      </c>
    </row>
    <row r="2800" spans="9:16" ht="16.5" thickBot="1">
      <c r="I2800" s="885" t="s">
        <v>103</v>
      </c>
      <c r="J2800" s="886"/>
      <c r="K2800" s="886"/>
      <c r="L2800" s="886"/>
      <c r="M2800" s="887"/>
      <c r="N2800" s="69">
        <f>+N2762</f>
        <v>514165640</v>
      </c>
      <c r="O2800" s="241" t="s">
        <v>561</v>
      </c>
      <c r="P2800" s="242"/>
    </row>
    <row r="2801" spans="9:15" ht="16.5" thickBot="1">
      <c r="I2801" s="888" t="s">
        <v>104</v>
      </c>
      <c r="J2801" s="889"/>
      <c r="K2801" s="889"/>
      <c r="L2801" s="889"/>
      <c r="M2801" s="890"/>
      <c r="N2801" s="183">
        <f>SUM(N2799:N2800)</f>
        <v>517005640</v>
      </c>
    </row>
    <row r="2802" spans="9:15" ht="12.75" customHeight="1">
      <c r="I2802" s="61"/>
      <c r="J2802" s="61"/>
      <c r="K2802" s="61"/>
      <c r="L2802" s="61"/>
      <c r="M2802" s="61"/>
    </row>
    <row r="2803" spans="9:15">
      <c r="I2803" s="51" t="s">
        <v>1173</v>
      </c>
    </row>
    <row r="2804" spans="9:15" ht="10.5" customHeight="1">
      <c r="N2804" s="139"/>
    </row>
    <row r="2805" spans="9:15">
      <c r="I2805" s="50" t="s">
        <v>105</v>
      </c>
      <c r="L2805" s="146"/>
      <c r="N2805" s="139"/>
    </row>
    <row r="2806" spans="9:15" ht="9" customHeight="1" thickBot="1"/>
    <row r="2807" spans="9:15" ht="15.75" thickBot="1">
      <c r="I2807" s="891" t="s">
        <v>106</v>
      </c>
      <c r="J2807" s="892"/>
      <c r="K2807" s="892"/>
      <c r="L2807" s="893"/>
      <c r="N2807" s="50" t="s">
        <v>288</v>
      </c>
    </row>
    <row r="2808" spans="9:15" ht="29.25" customHeight="1" thickBot="1">
      <c r="I2808" s="57" t="s">
        <v>100</v>
      </c>
      <c r="J2808" s="58" t="s">
        <v>108</v>
      </c>
      <c r="K2808" s="287" t="s">
        <v>109</v>
      </c>
      <c r="L2808" s="60" t="s">
        <v>110</v>
      </c>
    </row>
    <row r="2809" spans="9:15" ht="14.25" customHeight="1">
      <c r="I2809" s="71">
        <v>719</v>
      </c>
      <c r="J2809" s="73"/>
      <c r="K2809" s="74">
        <f>+L2770</f>
        <v>56370000</v>
      </c>
      <c r="L2809" s="195">
        <f>+J2809+K2809</f>
        <v>56370000</v>
      </c>
    </row>
    <row r="2810" spans="9:15">
      <c r="I2810" s="72">
        <v>721</v>
      </c>
      <c r="J2810" s="80">
        <f>+P2788+P2790+P2792+P2794+P2798+P2796</f>
        <v>0</v>
      </c>
      <c r="K2810" s="74">
        <f>+L2771</f>
        <v>108493634</v>
      </c>
      <c r="L2810" s="195">
        <f>+J2810+K2810</f>
        <v>108493634</v>
      </c>
    </row>
    <row r="2811" spans="9:15">
      <c r="I2811" s="72">
        <v>722</v>
      </c>
      <c r="J2811" s="80">
        <f>+P2787+P2789+P2791+P2793+P2795+P2797</f>
        <v>2840000</v>
      </c>
      <c r="K2811" s="74">
        <f>+L2772</f>
        <v>58963334</v>
      </c>
      <c r="L2811" s="195">
        <f>+J2811+K2811</f>
        <v>61803334</v>
      </c>
    </row>
    <row r="2812" spans="9:15" ht="15" customHeight="1">
      <c r="I2812" s="72">
        <v>723</v>
      </c>
      <c r="J2812" s="80"/>
      <c r="K2812" s="74">
        <f>+L2773</f>
        <v>289770052</v>
      </c>
      <c r="L2812" s="195">
        <f>+J2812+K2812</f>
        <v>289770052</v>
      </c>
      <c r="N2812" s="193" t="s">
        <v>289</v>
      </c>
      <c r="O2812" s="175"/>
    </row>
    <row r="2813" spans="9:15" ht="14.25" customHeight="1" thickBot="1">
      <c r="I2813" s="164" t="s">
        <v>1077</v>
      </c>
      <c r="J2813" s="165"/>
      <c r="K2813" s="74">
        <f>+L2774</f>
        <v>498620</v>
      </c>
      <c r="L2813" s="196">
        <f>+J2813+K2813</f>
        <v>498620</v>
      </c>
      <c r="N2813" s="52"/>
    </row>
    <row r="2814" spans="9:15" ht="16.5" thickBot="1">
      <c r="I2814" s="169"/>
      <c r="J2814" s="197">
        <f>SUM(J2809:J2813)</f>
        <v>2840000</v>
      </c>
      <c r="K2814" s="197">
        <f>SUM(K2809:K2813)</f>
        <v>514095640</v>
      </c>
      <c r="L2814" s="198">
        <f>SUM(L2809:L2813)</f>
        <v>516935640</v>
      </c>
    </row>
    <row r="2815" spans="9:15" ht="16.5">
      <c r="I2815" s="49" t="s">
        <v>88</v>
      </c>
      <c r="J2815" s="50"/>
    </row>
    <row r="2816" spans="9:15">
      <c r="I2816" s="51" t="s">
        <v>89</v>
      </c>
    </row>
    <row r="2817" spans="9:16">
      <c r="I2817" s="51" t="s">
        <v>90</v>
      </c>
    </row>
    <row r="2818" spans="9:16">
      <c r="I2818" s="51" t="s">
        <v>91</v>
      </c>
    </row>
    <row r="2819" spans="9:16" ht="10.5" customHeight="1">
      <c r="I2819" s="50"/>
      <c r="J2819" s="50"/>
    </row>
    <row r="2820" spans="9:16" ht="15.75">
      <c r="I2820" s="260" t="s">
        <v>1170</v>
      </c>
      <c r="O2820" s="52"/>
    </row>
    <row r="2821" spans="9:16" ht="15.75">
      <c r="I2821" s="53" t="s">
        <v>535</v>
      </c>
      <c r="O2821" s="53"/>
    </row>
    <row r="2822" spans="9:16" ht="16.5">
      <c r="I2822" s="894" t="s">
        <v>1205</v>
      </c>
      <c r="J2822" s="894"/>
      <c r="K2822" s="894"/>
      <c r="L2822" s="894"/>
      <c r="M2822" s="894"/>
      <c r="N2822" s="894"/>
      <c r="O2822" s="894"/>
      <c r="P2822" s="894"/>
    </row>
    <row r="2823" spans="9:16" ht="12.75" customHeight="1" thickBot="1"/>
    <row r="2824" spans="9:16">
      <c r="I2824" s="895" t="s">
        <v>94</v>
      </c>
      <c r="J2824" s="897" t="s">
        <v>95</v>
      </c>
      <c r="K2824" s="897" t="s">
        <v>96</v>
      </c>
      <c r="L2824" s="897" t="s">
        <v>3</v>
      </c>
      <c r="M2824" s="897" t="s">
        <v>97</v>
      </c>
      <c r="N2824" s="897" t="s">
        <v>98</v>
      </c>
      <c r="O2824" s="897" t="s">
        <v>99</v>
      </c>
      <c r="P2824" s="899"/>
    </row>
    <row r="2825" spans="9:16" ht="15.75" thickBot="1">
      <c r="I2825" s="896"/>
      <c r="J2825" s="898"/>
      <c r="K2825" s="898"/>
      <c r="L2825" s="898"/>
      <c r="M2825" s="898"/>
      <c r="N2825" s="898"/>
      <c r="O2825" s="240" t="s">
        <v>100</v>
      </c>
      <c r="P2825" s="182" t="s">
        <v>101</v>
      </c>
    </row>
    <row r="2826" spans="9:16" ht="14.25" customHeight="1">
      <c r="I2826" s="881">
        <v>303</v>
      </c>
      <c r="J2826" s="875">
        <v>42660</v>
      </c>
      <c r="K2826" s="877" t="s">
        <v>1174</v>
      </c>
      <c r="L2826" s="879" t="s">
        <v>921</v>
      </c>
      <c r="M2826" s="881" t="s">
        <v>148</v>
      </c>
      <c r="N2826" s="883">
        <v>180000</v>
      </c>
      <c r="O2826" s="55">
        <v>722</v>
      </c>
      <c r="P2826" s="78">
        <v>180000</v>
      </c>
    </row>
    <row r="2827" spans="9:16" ht="12.75" customHeight="1" thickBot="1">
      <c r="I2827" s="882"/>
      <c r="J2827" s="876"/>
      <c r="K2827" s="878"/>
      <c r="L2827" s="880"/>
      <c r="M2827" s="882"/>
      <c r="N2827" s="884"/>
      <c r="O2827" s="56">
        <v>721</v>
      </c>
      <c r="P2827" s="351">
        <f>+N2826-P2826</f>
        <v>0</v>
      </c>
    </row>
    <row r="2828" spans="9:16">
      <c r="I2828" s="881">
        <v>304</v>
      </c>
      <c r="J2828" s="875">
        <v>42660</v>
      </c>
      <c r="K2828" s="877" t="s">
        <v>1175</v>
      </c>
      <c r="L2828" s="879" t="s">
        <v>921</v>
      </c>
      <c r="M2828" s="881" t="s">
        <v>148</v>
      </c>
      <c r="N2828" s="883">
        <v>160000</v>
      </c>
      <c r="O2828" s="55">
        <v>722</v>
      </c>
      <c r="P2828" s="78">
        <v>160000</v>
      </c>
    </row>
    <row r="2829" spans="9:16" ht="13.5" customHeight="1" thickBot="1">
      <c r="I2829" s="882"/>
      <c r="J2829" s="876"/>
      <c r="K2829" s="878"/>
      <c r="L2829" s="880"/>
      <c r="M2829" s="882"/>
      <c r="N2829" s="884"/>
      <c r="O2829" s="56">
        <v>721</v>
      </c>
      <c r="P2829" s="352">
        <f>+N2828-P2828</f>
        <v>0</v>
      </c>
    </row>
    <row r="2830" spans="9:16" ht="13.5" customHeight="1">
      <c r="I2830" s="881">
        <v>305</v>
      </c>
      <c r="J2830" s="875">
        <v>42660</v>
      </c>
      <c r="K2830" s="877" t="s">
        <v>1177</v>
      </c>
      <c r="L2830" s="879" t="s">
        <v>921</v>
      </c>
      <c r="M2830" s="881" t="s">
        <v>148</v>
      </c>
      <c r="N2830" s="883">
        <v>220000</v>
      </c>
      <c r="O2830" s="55">
        <v>722</v>
      </c>
      <c r="P2830" s="78">
        <v>220000</v>
      </c>
    </row>
    <row r="2831" spans="9:16" ht="12.75" customHeight="1" thickBot="1">
      <c r="I2831" s="882"/>
      <c r="J2831" s="876"/>
      <c r="K2831" s="878"/>
      <c r="L2831" s="880"/>
      <c r="M2831" s="882"/>
      <c r="N2831" s="884"/>
      <c r="O2831" s="56">
        <v>721</v>
      </c>
      <c r="P2831" s="352">
        <f>+N2830-P2830</f>
        <v>0</v>
      </c>
    </row>
    <row r="2832" spans="9:16">
      <c r="I2832" s="881">
        <v>306</v>
      </c>
      <c r="J2832" s="875">
        <v>42660</v>
      </c>
      <c r="K2832" s="877" t="s">
        <v>1176</v>
      </c>
      <c r="L2832" s="879" t="s">
        <v>921</v>
      </c>
      <c r="M2832" s="881" t="s">
        <v>148</v>
      </c>
      <c r="N2832" s="883">
        <v>40000</v>
      </c>
      <c r="O2832" s="55">
        <v>722</v>
      </c>
      <c r="P2832" s="78">
        <v>40000</v>
      </c>
    </row>
    <row r="2833" spans="9:16" ht="12" customHeight="1" thickBot="1">
      <c r="I2833" s="882"/>
      <c r="J2833" s="876"/>
      <c r="K2833" s="878"/>
      <c r="L2833" s="880"/>
      <c r="M2833" s="882"/>
      <c r="N2833" s="884"/>
      <c r="O2833" s="56">
        <v>721</v>
      </c>
      <c r="P2833" s="79">
        <f>+N2832-P2832</f>
        <v>0</v>
      </c>
    </row>
    <row r="2834" spans="9:16">
      <c r="I2834" s="881">
        <v>307</v>
      </c>
      <c r="J2834" s="875">
        <v>42660</v>
      </c>
      <c r="K2834" s="877" t="s">
        <v>738</v>
      </c>
      <c r="L2834" s="879" t="s">
        <v>921</v>
      </c>
      <c r="M2834" s="881" t="s">
        <v>148</v>
      </c>
      <c r="N2834" s="883">
        <v>20000</v>
      </c>
      <c r="O2834" s="55">
        <v>722</v>
      </c>
      <c r="P2834" s="78">
        <v>20000</v>
      </c>
    </row>
    <row r="2835" spans="9:16" ht="14.25" customHeight="1" thickBot="1">
      <c r="I2835" s="882"/>
      <c r="J2835" s="876"/>
      <c r="K2835" s="878"/>
      <c r="L2835" s="880"/>
      <c r="M2835" s="882"/>
      <c r="N2835" s="884"/>
      <c r="O2835" s="56">
        <v>721</v>
      </c>
      <c r="P2835" s="79">
        <f>+N2834-P2834</f>
        <v>0</v>
      </c>
    </row>
    <row r="2836" spans="9:16" ht="14.25" customHeight="1">
      <c r="I2836" s="881">
        <v>308</v>
      </c>
      <c r="J2836" s="875">
        <v>42660</v>
      </c>
      <c r="K2836" s="877" t="s">
        <v>1178</v>
      </c>
      <c r="L2836" s="879" t="s">
        <v>921</v>
      </c>
      <c r="M2836" s="881" t="s">
        <v>148</v>
      </c>
      <c r="N2836" s="883">
        <v>120000</v>
      </c>
      <c r="O2836" s="55">
        <v>722</v>
      </c>
      <c r="P2836" s="78">
        <v>120000</v>
      </c>
    </row>
    <row r="2837" spans="9:16" ht="13.5" customHeight="1" thickBot="1">
      <c r="I2837" s="882"/>
      <c r="J2837" s="876"/>
      <c r="K2837" s="878"/>
      <c r="L2837" s="880"/>
      <c r="M2837" s="882"/>
      <c r="N2837" s="884"/>
      <c r="O2837" s="56">
        <v>721</v>
      </c>
      <c r="P2837" s="79">
        <f>+N2836-P2836</f>
        <v>0</v>
      </c>
    </row>
    <row r="2838" spans="9:16" ht="16.5" thickBot="1">
      <c r="I2838" s="901" t="s">
        <v>102</v>
      </c>
      <c r="J2838" s="902"/>
      <c r="K2838" s="902"/>
      <c r="L2838" s="902"/>
      <c r="M2838" s="903"/>
      <c r="N2838" s="81">
        <f>SUM(N2826:N2837)</f>
        <v>740000</v>
      </c>
    </row>
    <row r="2839" spans="9:16" ht="16.5" thickBot="1">
      <c r="I2839" s="885" t="s">
        <v>103</v>
      </c>
      <c r="J2839" s="886"/>
      <c r="K2839" s="886"/>
      <c r="L2839" s="886"/>
      <c r="M2839" s="887"/>
      <c r="N2839" s="69">
        <f>+N2801</f>
        <v>517005640</v>
      </c>
      <c r="O2839" s="241" t="s">
        <v>561</v>
      </c>
      <c r="P2839" s="242"/>
    </row>
    <row r="2840" spans="9:16" ht="14.25" customHeight="1" thickBot="1">
      <c r="I2840" s="888" t="s">
        <v>104</v>
      </c>
      <c r="J2840" s="889"/>
      <c r="K2840" s="889"/>
      <c r="L2840" s="889"/>
      <c r="M2840" s="890"/>
      <c r="N2840" s="183">
        <f>SUM(N2838:N2839)</f>
        <v>517745640</v>
      </c>
    </row>
    <row r="2841" spans="9:16" ht="12.75" customHeight="1">
      <c r="I2841" s="61"/>
      <c r="J2841" s="61"/>
      <c r="K2841" s="61"/>
      <c r="L2841" s="61"/>
      <c r="M2841" s="61"/>
    </row>
    <row r="2842" spans="9:16">
      <c r="I2842" s="51" t="s">
        <v>1179</v>
      </c>
    </row>
    <row r="2843" spans="9:16" ht="10.5" customHeight="1">
      <c r="N2843" s="139"/>
    </row>
    <row r="2844" spans="9:16">
      <c r="I2844" s="50" t="s">
        <v>105</v>
      </c>
      <c r="L2844" s="146"/>
      <c r="N2844" s="139"/>
    </row>
    <row r="2845" spans="9:16" ht="12" customHeight="1" thickBot="1"/>
    <row r="2846" spans="9:16" ht="15.75" thickBot="1">
      <c r="I2846" s="891" t="s">
        <v>106</v>
      </c>
      <c r="J2846" s="892"/>
      <c r="K2846" s="892"/>
      <c r="L2846" s="893"/>
      <c r="N2846" s="50" t="s">
        <v>288</v>
      </c>
    </row>
    <row r="2847" spans="9:16" ht="30.75" thickBot="1">
      <c r="I2847" s="57" t="s">
        <v>100</v>
      </c>
      <c r="J2847" s="58" t="s">
        <v>108</v>
      </c>
      <c r="K2847" s="287" t="s">
        <v>109</v>
      </c>
      <c r="L2847" s="60" t="s">
        <v>110</v>
      </c>
    </row>
    <row r="2848" spans="9:16">
      <c r="I2848" s="71">
        <v>719</v>
      </c>
      <c r="J2848" s="73"/>
      <c r="K2848" s="74">
        <f>+L2809</f>
        <v>56370000</v>
      </c>
      <c r="L2848" s="195">
        <f>+J2848+K2848</f>
        <v>56370000</v>
      </c>
    </row>
    <row r="2849" spans="9:16">
      <c r="I2849" s="72">
        <v>721</v>
      </c>
      <c r="J2849" s="80">
        <f>+P2827+P2829+P2831+P2833+P2837+P2835</f>
        <v>0</v>
      </c>
      <c r="K2849" s="74">
        <f>+L2810</f>
        <v>108493634</v>
      </c>
      <c r="L2849" s="195">
        <f>+J2849+K2849</f>
        <v>108493634</v>
      </c>
    </row>
    <row r="2850" spans="9:16">
      <c r="I2850" s="72">
        <v>722</v>
      </c>
      <c r="J2850" s="80">
        <f>+P2826+P2828+P2830+P2832+P2834+P2836</f>
        <v>740000</v>
      </c>
      <c r="K2850" s="74">
        <f>+L2811</f>
        <v>61803334</v>
      </c>
      <c r="L2850" s="195">
        <f>+J2850+K2850</f>
        <v>62543334</v>
      </c>
    </row>
    <row r="2851" spans="9:16" ht="15.75">
      <c r="I2851" s="72">
        <v>723</v>
      </c>
      <c r="J2851" s="80"/>
      <c r="K2851" s="74">
        <f>+L2812</f>
        <v>289770052</v>
      </c>
      <c r="L2851" s="195">
        <f>+J2851+K2851</f>
        <v>289770052</v>
      </c>
      <c r="N2851" s="193" t="s">
        <v>289</v>
      </c>
      <c r="O2851" s="175"/>
    </row>
    <row r="2852" spans="9:16" ht="16.5" thickBot="1">
      <c r="I2852" s="164" t="s">
        <v>1077</v>
      </c>
      <c r="J2852" s="165"/>
      <c r="K2852" s="74">
        <f>+L2813</f>
        <v>498620</v>
      </c>
      <c r="L2852" s="196">
        <f>+J2852+K2852</f>
        <v>498620</v>
      </c>
      <c r="N2852" s="52"/>
    </row>
    <row r="2853" spans="9:16" ht="16.5" thickBot="1">
      <c r="I2853" s="169"/>
      <c r="J2853" s="197">
        <f>SUM(J2848:J2852)</f>
        <v>740000</v>
      </c>
      <c r="K2853" s="197">
        <f>SUM(K2848:K2852)</f>
        <v>516935640</v>
      </c>
      <c r="L2853" s="198">
        <f>SUM(L2848:L2852)</f>
        <v>517675640</v>
      </c>
    </row>
    <row r="2854" spans="9:16" ht="16.5">
      <c r="I2854" s="49" t="s">
        <v>88</v>
      </c>
      <c r="J2854" s="50"/>
    </row>
    <row r="2855" spans="9:16">
      <c r="I2855" s="51" t="s">
        <v>89</v>
      </c>
    </row>
    <row r="2856" spans="9:16">
      <c r="I2856" s="51" t="s">
        <v>90</v>
      </c>
    </row>
    <row r="2857" spans="9:16">
      <c r="I2857" s="51" t="s">
        <v>91</v>
      </c>
    </row>
    <row r="2858" spans="9:16" ht="9.75" customHeight="1">
      <c r="I2858" s="50"/>
      <c r="J2858" s="50"/>
    </row>
    <row r="2859" spans="9:16" ht="15.75">
      <c r="I2859" s="260" t="s">
        <v>1186</v>
      </c>
      <c r="O2859" s="52"/>
    </row>
    <row r="2860" spans="9:16" ht="15.75">
      <c r="I2860" s="53" t="s">
        <v>535</v>
      </c>
      <c r="O2860" s="53"/>
    </row>
    <row r="2861" spans="9:16" ht="16.5">
      <c r="I2861" s="894" t="s">
        <v>1190</v>
      </c>
      <c r="J2861" s="894"/>
      <c r="K2861" s="894"/>
      <c r="L2861" s="894"/>
      <c r="M2861" s="894"/>
      <c r="N2861" s="894"/>
      <c r="O2861" s="894"/>
      <c r="P2861" s="894"/>
    </row>
    <row r="2862" spans="9:16" ht="15.75" thickBot="1"/>
    <row r="2863" spans="9:16">
      <c r="I2863" s="895" t="s">
        <v>94</v>
      </c>
      <c r="J2863" s="897" t="s">
        <v>95</v>
      </c>
      <c r="K2863" s="897" t="s">
        <v>96</v>
      </c>
      <c r="L2863" s="897" t="s">
        <v>3</v>
      </c>
      <c r="M2863" s="897" t="s">
        <v>97</v>
      </c>
      <c r="N2863" s="897" t="s">
        <v>98</v>
      </c>
      <c r="O2863" s="897" t="s">
        <v>99</v>
      </c>
      <c r="P2863" s="899"/>
    </row>
    <row r="2864" spans="9:16" ht="15.75" thickBot="1">
      <c r="I2864" s="896"/>
      <c r="J2864" s="898"/>
      <c r="K2864" s="898"/>
      <c r="L2864" s="898"/>
      <c r="M2864" s="898"/>
      <c r="N2864" s="898"/>
      <c r="O2864" s="240" t="s">
        <v>100</v>
      </c>
      <c r="P2864" s="182" t="s">
        <v>101</v>
      </c>
    </row>
    <row r="2865" spans="9:16">
      <c r="I2865" s="881">
        <v>309</v>
      </c>
      <c r="J2865" s="875">
        <v>42674</v>
      </c>
      <c r="K2865" s="877" t="s">
        <v>738</v>
      </c>
      <c r="L2865" s="879" t="s">
        <v>1184</v>
      </c>
      <c r="M2865" s="881" t="s">
        <v>148</v>
      </c>
      <c r="N2865" s="883">
        <v>2672700</v>
      </c>
      <c r="O2865" s="55">
        <v>722</v>
      </c>
      <c r="P2865" s="78">
        <v>0</v>
      </c>
    </row>
    <row r="2866" spans="9:16" ht="15.75" thickBot="1">
      <c r="I2866" s="882"/>
      <c r="J2866" s="876"/>
      <c r="K2866" s="878"/>
      <c r="L2866" s="880"/>
      <c r="M2866" s="882"/>
      <c r="N2866" s="884"/>
      <c r="O2866" s="56">
        <v>721</v>
      </c>
      <c r="P2866" s="351">
        <f>+N2865-P2865</f>
        <v>2672700</v>
      </c>
    </row>
    <row r="2867" spans="9:16" ht="15" customHeight="1">
      <c r="I2867" s="881">
        <v>310</v>
      </c>
      <c r="J2867" s="875">
        <v>42674</v>
      </c>
      <c r="K2867" s="877" t="s">
        <v>738</v>
      </c>
      <c r="L2867" s="879" t="s">
        <v>1185</v>
      </c>
      <c r="M2867" s="881" t="s">
        <v>148</v>
      </c>
      <c r="N2867" s="883">
        <v>28216212</v>
      </c>
      <c r="O2867" s="55">
        <v>722</v>
      </c>
      <c r="P2867" s="78"/>
    </row>
    <row r="2868" spans="9:16" ht="15.75" customHeight="1" thickBot="1">
      <c r="I2868" s="882"/>
      <c r="J2868" s="876"/>
      <c r="K2868" s="878"/>
      <c r="L2868" s="880"/>
      <c r="M2868" s="882"/>
      <c r="N2868" s="884"/>
      <c r="O2868" s="56">
        <v>721</v>
      </c>
      <c r="P2868" s="352">
        <f>+N2867-P2867</f>
        <v>28216212</v>
      </c>
    </row>
    <row r="2869" spans="9:16" ht="15" customHeight="1">
      <c r="I2869" s="881">
        <v>311</v>
      </c>
      <c r="J2869" s="875">
        <v>42674</v>
      </c>
      <c r="K2869" s="877" t="s">
        <v>738</v>
      </c>
      <c r="L2869" s="879" t="s">
        <v>1187</v>
      </c>
      <c r="M2869" s="881" t="s">
        <v>148</v>
      </c>
      <c r="N2869" s="883">
        <v>16677173</v>
      </c>
      <c r="O2869" s="55">
        <v>722</v>
      </c>
      <c r="P2869" s="78"/>
    </row>
    <row r="2870" spans="9:16" ht="15.75" customHeight="1" thickBot="1">
      <c r="I2870" s="882"/>
      <c r="J2870" s="876"/>
      <c r="K2870" s="878"/>
      <c r="L2870" s="880"/>
      <c r="M2870" s="882"/>
      <c r="N2870" s="884"/>
      <c r="O2870" s="56">
        <v>721</v>
      </c>
      <c r="P2870" s="352">
        <f>+N2869-P2869</f>
        <v>16677173</v>
      </c>
    </row>
    <row r="2871" spans="9:16" ht="15" customHeight="1">
      <c r="I2871" s="881">
        <v>312</v>
      </c>
      <c r="J2871" s="875">
        <v>42675</v>
      </c>
      <c r="K2871" s="877" t="s">
        <v>738</v>
      </c>
      <c r="L2871" s="879" t="s">
        <v>1188</v>
      </c>
      <c r="M2871" s="881" t="s">
        <v>148</v>
      </c>
      <c r="N2871" s="883">
        <v>24662327</v>
      </c>
      <c r="O2871" s="55">
        <v>722</v>
      </c>
      <c r="P2871" s="78"/>
    </row>
    <row r="2872" spans="9:16" ht="13.5" customHeight="1" thickBot="1">
      <c r="I2872" s="882"/>
      <c r="J2872" s="876"/>
      <c r="K2872" s="878"/>
      <c r="L2872" s="880"/>
      <c r="M2872" s="882"/>
      <c r="N2872" s="884"/>
      <c r="O2872" s="56">
        <v>721</v>
      </c>
      <c r="P2872" s="79">
        <f>+N2871-P2871</f>
        <v>24662327</v>
      </c>
    </row>
    <row r="2873" spans="9:16">
      <c r="I2873" s="881"/>
      <c r="J2873" s="875"/>
      <c r="K2873" s="877"/>
      <c r="L2873" s="879"/>
      <c r="M2873" s="881"/>
      <c r="N2873" s="883"/>
      <c r="O2873" s="55">
        <v>722</v>
      </c>
      <c r="P2873" s="78"/>
    </row>
    <row r="2874" spans="9:16" ht="13.5" customHeight="1" thickBot="1">
      <c r="I2874" s="882"/>
      <c r="J2874" s="876"/>
      <c r="K2874" s="878"/>
      <c r="L2874" s="880"/>
      <c r="M2874" s="882"/>
      <c r="N2874" s="884"/>
      <c r="O2874" s="56">
        <v>721</v>
      </c>
      <c r="P2874" s="79">
        <f>+N2873-P2873</f>
        <v>0</v>
      </c>
    </row>
    <row r="2875" spans="9:16" ht="16.5" thickBot="1">
      <c r="I2875" s="901" t="s">
        <v>102</v>
      </c>
      <c r="J2875" s="902"/>
      <c r="K2875" s="902"/>
      <c r="L2875" s="902"/>
      <c r="M2875" s="903"/>
      <c r="N2875" s="81">
        <f>SUM(N2865:N2874)</f>
        <v>72228412</v>
      </c>
    </row>
    <row r="2876" spans="9:16" ht="16.5" thickBot="1">
      <c r="I2876" s="885" t="s">
        <v>103</v>
      </c>
      <c r="J2876" s="886"/>
      <c r="K2876" s="886"/>
      <c r="L2876" s="886"/>
      <c r="M2876" s="887"/>
      <c r="N2876" s="69">
        <f>+N2840</f>
        <v>517745640</v>
      </c>
      <c r="O2876" s="241" t="s">
        <v>561</v>
      </c>
      <c r="P2876" s="242"/>
    </row>
    <row r="2877" spans="9:16" ht="16.5" thickBot="1">
      <c r="I2877" s="888" t="s">
        <v>104</v>
      </c>
      <c r="J2877" s="889"/>
      <c r="K2877" s="889"/>
      <c r="L2877" s="889"/>
      <c r="M2877" s="890"/>
      <c r="N2877" s="183">
        <f>SUM(N2875:N2876)</f>
        <v>589974052</v>
      </c>
    </row>
    <row r="2878" spans="9:16">
      <c r="I2878" s="61"/>
      <c r="J2878" s="61"/>
      <c r="K2878" s="61"/>
      <c r="L2878" s="61"/>
      <c r="M2878" s="61"/>
    </row>
    <row r="2879" spans="9:16">
      <c r="I2879" s="51" t="s">
        <v>1189</v>
      </c>
    </row>
    <row r="2880" spans="9:16">
      <c r="N2880" s="139"/>
    </row>
    <row r="2881" spans="9:15">
      <c r="I2881" s="50" t="s">
        <v>105</v>
      </c>
      <c r="L2881" s="146"/>
      <c r="N2881" s="139"/>
    </row>
    <row r="2882" spans="9:15" ht="13.5" customHeight="1" thickBot="1"/>
    <row r="2883" spans="9:15" ht="15.75" thickBot="1">
      <c r="I2883" s="891" t="s">
        <v>106</v>
      </c>
      <c r="J2883" s="892"/>
      <c r="K2883" s="892"/>
      <c r="L2883" s="893"/>
      <c r="N2883" s="50" t="s">
        <v>1126</v>
      </c>
    </row>
    <row r="2884" spans="9:15" ht="30.75" thickBot="1">
      <c r="I2884" s="57" t="s">
        <v>100</v>
      </c>
      <c r="J2884" s="58" t="s">
        <v>108</v>
      </c>
      <c r="K2884" s="287" t="s">
        <v>109</v>
      </c>
      <c r="L2884" s="60" t="s">
        <v>110</v>
      </c>
    </row>
    <row r="2885" spans="9:15">
      <c r="I2885" s="71">
        <v>719</v>
      </c>
      <c r="J2885" s="73"/>
      <c r="K2885" s="74">
        <f>+L2848</f>
        <v>56370000</v>
      </c>
      <c r="L2885" s="195">
        <f>+J2885+K2885</f>
        <v>56370000</v>
      </c>
    </row>
    <row r="2886" spans="9:15">
      <c r="I2886" s="72">
        <v>721</v>
      </c>
      <c r="J2886" s="80">
        <f>+P2866+P2868+P2870+P2872+P2874</f>
        <v>72228412</v>
      </c>
      <c r="K2886" s="74">
        <f>+L2849</f>
        <v>108493634</v>
      </c>
      <c r="L2886" s="195">
        <f>+J2886+K2886</f>
        <v>180722046</v>
      </c>
    </row>
    <row r="2887" spans="9:15">
      <c r="I2887" s="72">
        <v>722</v>
      </c>
      <c r="J2887" s="80">
        <f>+P2865+P2867+P2869+P2871+P2873</f>
        <v>0</v>
      </c>
      <c r="K2887" s="74">
        <f>+L2850</f>
        <v>62543334</v>
      </c>
      <c r="L2887" s="195">
        <f>+J2887+K2887</f>
        <v>62543334</v>
      </c>
    </row>
    <row r="2888" spans="9:15" ht="15.75">
      <c r="I2888" s="72">
        <v>723</v>
      </c>
      <c r="J2888" s="80"/>
      <c r="K2888" s="74">
        <f>+L2851</f>
        <v>289770052</v>
      </c>
      <c r="L2888" s="195">
        <f>+J2888+K2888</f>
        <v>289770052</v>
      </c>
      <c r="N2888" s="193" t="s">
        <v>1028</v>
      </c>
      <c r="O2888" s="175"/>
    </row>
    <row r="2889" spans="9:15" ht="16.5" thickBot="1">
      <c r="I2889" s="164" t="s">
        <v>1077</v>
      </c>
      <c r="J2889" s="165"/>
      <c r="K2889" s="74">
        <f>+L2852</f>
        <v>498620</v>
      </c>
      <c r="L2889" s="196">
        <f>+J2889+K2889</f>
        <v>498620</v>
      </c>
      <c r="N2889" s="52"/>
    </row>
    <row r="2890" spans="9:15" ht="16.5" thickBot="1">
      <c r="I2890" s="169"/>
      <c r="J2890" s="197">
        <f>SUM(J2885:J2889)</f>
        <v>72228412</v>
      </c>
      <c r="K2890" s="197">
        <f>SUM(K2885:K2889)</f>
        <v>517675640</v>
      </c>
      <c r="L2890" s="198">
        <f>SUM(L2885:L2889)</f>
        <v>589904052</v>
      </c>
    </row>
    <row r="2891" spans="9:15" ht="16.5">
      <c r="I2891" s="49" t="s">
        <v>88</v>
      </c>
      <c r="J2891" s="50"/>
    </row>
    <row r="2892" spans="9:15">
      <c r="I2892" s="51" t="s">
        <v>89</v>
      </c>
    </row>
    <row r="2893" spans="9:15">
      <c r="I2893" s="51" t="s">
        <v>90</v>
      </c>
    </row>
    <row r="2894" spans="9:15">
      <c r="I2894" s="51" t="s">
        <v>91</v>
      </c>
    </row>
    <row r="2895" spans="9:15" ht="10.5" customHeight="1">
      <c r="I2895" s="50"/>
      <c r="J2895" s="50"/>
    </row>
    <row r="2896" spans="9:15" ht="15.75">
      <c r="I2896" s="260" t="s">
        <v>1191</v>
      </c>
      <c r="O2896" s="52"/>
    </row>
    <row r="2897" spans="9:16" ht="15.75">
      <c r="I2897" s="53" t="s">
        <v>535</v>
      </c>
      <c r="O2897" s="53"/>
    </row>
    <row r="2898" spans="9:16" ht="16.5">
      <c r="I2898" s="894" t="s">
        <v>909</v>
      </c>
      <c r="J2898" s="894"/>
      <c r="K2898" s="894"/>
      <c r="L2898" s="894"/>
      <c r="M2898" s="894"/>
      <c r="N2898" s="894"/>
      <c r="O2898" s="894"/>
      <c r="P2898" s="894"/>
    </row>
    <row r="2899" spans="9:16" ht="15.75" thickBot="1"/>
    <row r="2900" spans="9:16">
      <c r="I2900" s="895" t="s">
        <v>94</v>
      </c>
      <c r="J2900" s="897" t="s">
        <v>95</v>
      </c>
      <c r="K2900" s="897" t="s">
        <v>96</v>
      </c>
      <c r="L2900" s="897" t="s">
        <v>3</v>
      </c>
      <c r="M2900" s="897" t="s">
        <v>97</v>
      </c>
      <c r="N2900" s="897" t="s">
        <v>98</v>
      </c>
      <c r="O2900" s="897" t="s">
        <v>99</v>
      </c>
      <c r="P2900" s="899"/>
    </row>
    <row r="2901" spans="9:16" ht="15.75" thickBot="1">
      <c r="I2901" s="896"/>
      <c r="J2901" s="898"/>
      <c r="K2901" s="898"/>
      <c r="L2901" s="898"/>
      <c r="M2901" s="898"/>
      <c r="N2901" s="898"/>
      <c r="O2901" s="240" t="s">
        <v>100</v>
      </c>
      <c r="P2901" s="182" t="s">
        <v>101</v>
      </c>
    </row>
    <row r="2902" spans="9:16">
      <c r="I2902" s="881">
        <v>313</v>
      </c>
      <c r="J2902" s="875">
        <v>42657</v>
      </c>
      <c r="K2902" s="877" t="s">
        <v>1014</v>
      </c>
      <c r="L2902" s="879" t="s">
        <v>1192</v>
      </c>
      <c r="M2902" s="881" t="s">
        <v>115</v>
      </c>
      <c r="N2902" s="883">
        <v>70000</v>
      </c>
      <c r="O2902" s="55">
        <v>719</v>
      </c>
      <c r="P2902" s="78">
        <v>70000</v>
      </c>
    </row>
    <row r="2903" spans="9:16" ht="15.75" thickBot="1">
      <c r="I2903" s="882"/>
      <c r="J2903" s="876"/>
      <c r="K2903" s="878"/>
      <c r="L2903" s="880"/>
      <c r="M2903" s="882"/>
      <c r="N2903" s="884"/>
      <c r="O2903" s="56">
        <v>721</v>
      </c>
      <c r="P2903" s="79">
        <f>+N2902-P2902</f>
        <v>0</v>
      </c>
    </row>
    <row r="2904" spans="9:16">
      <c r="I2904" s="881">
        <v>314</v>
      </c>
      <c r="J2904" s="875">
        <v>42657</v>
      </c>
      <c r="K2904" s="877" t="s">
        <v>28</v>
      </c>
      <c r="L2904" s="879" t="s">
        <v>1193</v>
      </c>
      <c r="M2904" s="881" t="s">
        <v>115</v>
      </c>
      <c r="N2904" s="883">
        <v>30000</v>
      </c>
      <c r="O2904" s="55">
        <v>719</v>
      </c>
      <c r="P2904" s="78">
        <v>30000</v>
      </c>
    </row>
    <row r="2905" spans="9:16" ht="15.75" thickBot="1">
      <c r="I2905" s="882"/>
      <c r="J2905" s="876"/>
      <c r="K2905" s="878"/>
      <c r="L2905" s="880"/>
      <c r="M2905" s="882"/>
      <c r="N2905" s="884"/>
      <c r="O2905" s="56">
        <v>721</v>
      </c>
      <c r="P2905" s="79">
        <f>+N2904-P2904</f>
        <v>0</v>
      </c>
    </row>
    <row r="2906" spans="9:16">
      <c r="I2906" s="881">
        <v>315</v>
      </c>
      <c r="J2906" s="875">
        <v>42657</v>
      </c>
      <c r="K2906" s="877" t="s">
        <v>120</v>
      </c>
      <c r="L2906" s="879" t="s">
        <v>1165</v>
      </c>
      <c r="M2906" s="881" t="s">
        <v>115</v>
      </c>
      <c r="N2906" s="883">
        <v>50000</v>
      </c>
      <c r="O2906" s="55">
        <v>719</v>
      </c>
      <c r="P2906" s="78">
        <v>50000</v>
      </c>
    </row>
    <row r="2907" spans="9:16" ht="15.75" thickBot="1">
      <c r="I2907" s="882"/>
      <c r="J2907" s="876"/>
      <c r="K2907" s="878"/>
      <c r="L2907" s="880"/>
      <c r="M2907" s="882"/>
      <c r="N2907" s="884"/>
      <c r="O2907" s="56">
        <v>721</v>
      </c>
      <c r="P2907" s="79">
        <f>+N2906-P2906</f>
        <v>0</v>
      </c>
    </row>
    <row r="2908" spans="9:16">
      <c r="I2908" s="881"/>
      <c r="J2908" s="875"/>
      <c r="K2908" s="877"/>
      <c r="L2908" s="879"/>
      <c r="M2908" s="881"/>
      <c r="N2908" s="883"/>
      <c r="O2908" s="55">
        <v>719</v>
      </c>
      <c r="P2908" s="78">
        <v>0</v>
      </c>
    </row>
    <row r="2909" spans="9:16" ht="14.25" customHeight="1" thickBot="1">
      <c r="I2909" s="882"/>
      <c r="J2909" s="876"/>
      <c r="K2909" s="878"/>
      <c r="L2909" s="880"/>
      <c r="M2909" s="882"/>
      <c r="N2909" s="884"/>
      <c r="O2909" s="56">
        <v>721</v>
      </c>
      <c r="P2909" s="79">
        <f>+N2908-P2908</f>
        <v>0</v>
      </c>
    </row>
    <row r="2910" spans="9:16" ht="13.5" customHeight="1">
      <c r="I2910" s="881"/>
      <c r="J2910" s="875"/>
      <c r="K2910" s="877"/>
      <c r="L2910" s="879"/>
      <c r="M2910" s="881"/>
      <c r="N2910" s="883"/>
      <c r="O2910" s="55">
        <v>719</v>
      </c>
      <c r="P2910" s="78"/>
    </row>
    <row r="2911" spans="9:16" ht="12.75" customHeight="1" thickBot="1">
      <c r="I2911" s="882"/>
      <c r="J2911" s="876"/>
      <c r="K2911" s="878"/>
      <c r="L2911" s="880"/>
      <c r="M2911" s="882"/>
      <c r="N2911" s="884"/>
      <c r="O2911" s="56">
        <v>721</v>
      </c>
      <c r="P2911" s="79">
        <f>+N2910-P2910</f>
        <v>0</v>
      </c>
    </row>
    <row r="2912" spans="9:16" ht="16.5" thickBot="1">
      <c r="I2912" s="901" t="s">
        <v>102</v>
      </c>
      <c r="J2912" s="902"/>
      <c r="K2912" s="902"/>
      <c r="L2912" s="902"/>
      <c r="M2912" s="903"/>
      <c r="N2912" s="81">
        <f>SUM(N2902:N2911)</f>
        <v>150000</v>
      </c>
    </row>
    <row r="2913" spans="9:16" ht="16.5" thickBot="1">
      <c r="I2913" s="885" t="s">
        <v>103</v>
      </c>
      <c r="J2913" s="886"/>
      <c r="K2913" s="886"/>
      <c r="L2913" s="886"/>
      <c r="M2913" s="887"/>
      <c r="N2913" s="69">
        <f>+N2877</f>
        <v>589974052</v>
      </c>
      <c r="O2913" s="241" t="s">
        <v>561</v>
      </c>
      <c r="P2913" s="242">
        <f>76+80+291</f>
        <v>447</v>
      </c>
    </row>
    <row r="2914" spans="9:16" ht="16.5" thickBot="1">
      <c r="I2914" s="888" t="s">
        <v>104</v>
      </c>
      <c r="J2914" s="889"/>
      <c r="K2914" s="889"/>
      <c r="L2914" s="889"/>
      <c r="M2914" s="890"/>
      <c r="N2914" s="183">
        <f>SUM(N2912:N2913)</f>
        <v>590124052</v>
      </c>
    </row>
    <row r="2915" spans="9:16">
      <c r="I2915" s="61"/>
      <c r="J2915" s="61"/>
      <c r="K2915" s="61"/>
      <c r="L2915" s="61"/>
      <c r="M2915" s="61"/>
    </row>
    <row r="2916" spans="9:16">
      <c r="I2916" s="51" t="s">
        <v>1194</v>
      </c>
    </row>
    <row r="2917" spans="9:16">
      <c r="N2917" s="139"/>
    </row>
    <row r="2918" spans="9:16">
      <c r="I2918" s="50" t="s">
        <v>105</v>
      </c>
      <c r="L2918" s="146"/>
      <c r="N2918" s="139"/>
    </row>
    <row r="2919" spans="9:16" ht="12.75" customHeight="1" thickBot="1"/>
    <row r="2920" spans="9:16" ht="15.75" thickBot="1">
      <c r="I2920" s="891" t="s">
        <v>106</v>
      </c>
      <c r="J2920" s="892"/>
      <c r="K2920" s="892"/>
      <c r="L2920" s="893"/>
      <c r="N2920" s="50" t="s">
        <v>1126</v>
      </c>
    </row>
    <row r="2921" spans="9:16" ht="30.75" thickBot="1">
      <c r="I2921" s="57" t="s">
        <v>100</v>
      </c>
      <c r="J2921" s="58" t="s">
        <v>108</v>
      </c>
      <c r="K2921" s="287" t="s">
        <v>109</v>
      </c>
      <c r="L2921" s="60" t="s">
        <v>110</v>
      </c>
    </row>
    <row r="2922" spans="9:16">
      <c r="I2922" s="71">
        <v>719</v>
      </c>
      <c r="J2922" s="73">
        <f>+P2902+P2904+P2906+P2908</f>
        <v>150000</v>
      </c>
      <c r="K2922" s="74">
        <f>+L2885</f>
        <v>56370000</v>
      </c>
      <c r="L2922" s="195">
        <f>+J2922+K2922</f>
        <v>56520000</v>
      </c>
    </row>
    <row r="2923" spans="9:16">
      <c r="I2923" s="72">
        <v>721</v>
      </c>
      <c r="J2923" s="80">
        <f>+P2903+P2905+P2907+P2909+P2911</f>
        <v>0</v>
      </c>
      <c r="K2923" s="74">
        <f>+L2886</f>
        <v>180722046</v>
      </c>
      <c r="L2923" s="195">
        <f>+J2923+K2923</f>
        <v>180722046</v>
      </c>
    </row>
    <row r="2924" spans="9:16">
      <c r="I2924" s="72">
        <v>722</v>
      </c>
      <c r="J2924" s="80"/>
      <c r="K2924" s="74">
        <f>+L2887</f>
        <v>62543334</v>
      </c>
      <c r="L2924" s="195">
        <f>+J2924+K2924</f>
        <v>62543334</v>
      </c>
    </row>
    <row r="2925" spans="9:16" ht="15.75">
      <c r="I2925" s="72">
        <v>723</v>
      </c>
      <c r="J2925" s="80"/>
      <c r="K2925" s="74">
        <f>+L2888</f>
        <v>289770052</v>
      </c>
      <c r="L2925" s="195">
        <f>+J2925+K2925</f>
        <v>289770052</v>
      </c>
      <c r="N2925" s="193" t="s">
        <v>1028</v>
      </c>
      <c r="O2925" s="175"/>
    </row>
    <row r="2926" spans="9:16" ht="16.5" thickBot="1">
      <c r="I2926" s="164" t="s">
        <v>1077</v>
      </c>
      <c r="J2926" s="165"/>
      <c r="K2926" s="74">
        <f>+L2889</f>
        <v>498620</v>
      </c>
      <c r="L2926" s="196">
        <f>+J2926+K2926</f>
        <v>498620</v>
      </c>
      <c r="N2926" s="52"/>
    </row>
    <row r="2927" spans="9:16" ht="16.5" thickBot="1">
      <c r="I2927" s="169"/>
      <c r="J2927" s="197">
        <f>SUM(J2922:J2926)</f>
        <v>150000</v>
      </c>
      <c r="K2927" s="197">
        <f>SUM(K2922:K2926)</f>
        <v>589904052</v>
      </c>
      <c r="L2927" s="198">
        <f>SUM(L2922:L2926)</f>
        <v>590054052</v>
      </c>
    </row>
    <row r="2928" spans="9:16" ht="16.5">
      <c r="I2928" s="49" t="s">
        <v>88</v>
      </c>
      <c r="J2928" s="50"/>
    </row>
    <row r="2929" spans="9:16">
      <c r="I2929" s="51" t="s">
        <v>89</v>
      </c>
    </row>
    <row r="2930" spans="9:16">
      <c r="I2930" s="51" t="s">
        <v>90</v>
      </c>
    </row>
    <row r="2931" spans="9:16">
      <c r="I2931" s="51" t="s">
        <v>91</v>
      </c>
    </row>
    <row r="2932" spans="9:16" ht="9.75" customHeight="1">
      <c r="I2932" s="50"/>
      <c r="J2932" s="50"/>
    </row>
    <row r="2933" spans="9:16" ht="15.75">
      <c r="I2933" s="260" t="s">
        <v>1197</v>
      </c>
      <c r="O2933" s="52"/>
    </row>
    <row r="2934" spans="9:16" ht="15.75">
      <c r="I2934" s="53" t="s">
        <v>535</v>
      </c>
      <c r="O2934" s="53"/>
    </row>
    <row r="2935" spans="9:16" ht="16.5">
      <c r="I2935" s="894" t="s">
        <v>909</v>
      </c>
      <c r="J2935" s="894"/>
      <c r="K2935" s="894"/>
      <c r="L2935" s="894"/>
      <c r="M2935" s="894"/>
      <c r="N2935" s="894"/>
      <c r="O2935" s="894"/>
      <c r="P2935" s="894"/>
    </row>
    <row r="2936" spans="9:16" ht="15.75" thickBot="1"/>
    <row r="2937" spans="9:16">
      <c r="I2937" s="895" t="s">
        <v>94</v>
      </c>
      <c r="J2937" s="897" t="s">
        <v>95</v>
      </c>
      <c r="K2937" s="897" t="s">
        <v>96</v>
      </c>
      <c r="L2937" s="897" t="s">
        <v>3</v>
      </c>
      <c r="M2937" s="897" t="s">
        <v>97</v>
      </c>
      <c r="N2937" s="897" t="s">
        <v>98</v>
      </c>
      <c r="O2937" s="897" t="s">
        <v>99</v>
      </c>
      <c r="P2937" s="899"/>
    </row>
    <row r="2938" spans="9:16" ht="15.75" thickBot="1">
      <c r="I2938" s="896"/>
      <c r="J2938" s="898"/>
      <c r="K2938" s="898"/>
      <c r="L2938" s="898"/>
      <c r="M2938" s="898"/>
      <c r="N2938" s="898"/>
      <c r="O2938" s="240" t="s">
        <v>100</v>
      </c>
      <c r="P2938" s="182" t="s">
        <v>101</v>
      </c>
    </row>
    <row r="2939" spans="9:16">
      <c r="I2939" s="881">
        <v>316</v>
      </c>
      <c r="J2939" s="875">
        <v>42684</v>
      </c>
      <c r="K2939" s="877" t="s">
        <v>267</v>
      </c>
      <c r="L2939" s="879" t="s">
        <v>1195</v>
      </c>
      <c r="M2939" s="881" t="s">
        <v>148</v>
      </c>
      <c r="N2939" s="883">
        <v>130000</v>
      </c>
      <c r="O2939" s="55">
        <v>719</v>
      </c>
      <c r="P2939" s="78">
        <v>100000</v>
      </c>
    </row>
    <row r="2940" spans="9:16" ht="15.75" thickBot="1">
      <c r="I2940" s="882"/>
      <c r="J2940" s="876"/>
      <c r="K2940" s="878"/>
      <c r="L2940" s="880"/>
      <c r="M2940" s="882"/>
      <c r="N2940" s="884"/>
      <c r="O2940" s="56">
        <v>721</v>
      </c>
      <c r="P2940" s="79">
        <f>+N2939-P2939</f>
        <v>30000</v>
      </c>
    </row>
    <row r="2941" spans="9:16" ht="15" customHeight="1">
      <c r="I2941" s="881">
        <v>317</v>
      </c>
      <c r="J2941" s="875">
        <v>42684</v>
      </c>
      <c r="K2941" s="877" t="s">
        <v>28</v>
      </c>
      <c r="L2941" s="879" t="s">
        <v>1196</v>
      </c>
      <c r="M2941" s="881" t="s">
        <v>148</v>
      </c>
      <c r="N2941" s="883">
        <v>559000</v>
      </c>
      <c r="O2941" s="55">
        <v>719</v>
      </c>
      <c r="P2941" s="78">
        <v>430000</v>
      </c>
    </row>
    <row r="2942" spans="9:16" ht="15.75" customHeight="1" thickBot="1">
      <c r="I2942" s="882"/>
      <c r="J2942" s="876"/>
      <c r="K2942" s="878"/>
      <c r="L2942" s="880"/>
      <c r="M2942" s="882"/>
      <c r="N2942" s="884"/>
      <c r="O2942" s="56">
        <v>721</v>
      </c>
      <c r="P2942" s="79">
        <f>+N2941-P2941</f>
        <v>129000</v>
      </c>
    </row>
    <row r="2943" spans="9:16" ht="15" customHeight="1">
      <c r="I2943" s="881">
        <v>318</v>
      </c>
      <c r="J2943" s="875">
        <v>42684</v>
      </c>
      <c r="K2943" s="877" t="s">
        <v>111</v>
      </c>
      <c r="L2943" s="879" t="s">
        <v>1198</v>
      </c>
      <c r="M2943" s="881" t="s">
        <v>148</v>
      </c>
      <c r="N2943" s="883">
        <v>104000</v>
      </c>
      <c r="O2943" s="55">
        <v>719</v>
      </c>
      <c r="P2943" s="78">
        <v>80000</v>
      </c>
    </row>
    <row r="2944" spans="9:16" ht="15.75" customHeight="1" thickBot="1">
      <c r="I2944" s="882"/>
      <c r="J2944" s="876"/>
      <c r="K2944" s="878"/>
      <c r="L2944" s="880"/>
      <c r="M2944" s="882"/>
      <c r="N2944" s="884"/>
      <c r="O2944" s="56">
        <v>721</v>
      </c>
      <c r="P2944" s="79">
        <f>+N2943-P2943</f>
        <v>24000</v>
      </c>
    </row>
    <row r="2945" spans="9:16" ht="15" customHeight="1">
      <c r="I2945" s="881">
        <v>319</v>
      </c>
      <c r="J2945" s="875">
        <v>42684</v>
      </c>
      <c r="K2945" s="877" t="s">
        <v>1014</v>
      </c>
      <c r="L2945" s="879" t="s">
        <v>1196</v>
      </c>
      <c r="M2945" s="881" t="s">
        <v>148</v>
      </c>
      <c r="N2945" s="883">
        <v>1105000</v>
      </c>
      <c r="O2945" s="55">
        <v>719</v>
      </c>
      <c r="P2945" s="78">
        <v>850000</v>
      </c>
    </row>
    <row r="2946" spans="9:16" ht="15.75" customHeight="1" thickBot="1">
      <c r="I2946" s="882"/>
      <c r="J2946" s="876"/>
      <c r="K2946" s="878"/>
      <c r="L2946" s="880"/>
      <c r="M2946" s="882"/>
      <c r="N2946" s="884"/>
      <c r="O2946" s="56">
        <v>721</v>
      </c>
      <c r="P2946" s="79">
        <f>+N2945-P2945</f>
        <v>255000</v>
      </c>
    </row>
    <row r="2947" spans="9:16">
      <c r="I2947" s="881"/>
      <c r="J2947" s="875"/>
      <c r="K2947" s="877"/>
      <c r="L2947" s="879"/>
      <c r="M2947" s="881"/>
      <c r="N2947" s="883"/>
      <c r="O2947" s="55">
        <v>719</v>
      </c>
      <c r="P2947" s="78"/>
    </row>
    <row r="2948" spans="9:16" ht="15.75" thickBot="1">
      <c r="I2948" s="882"/>
      <c r="J2948" s="876"/>
      <c r="K2948" s="878"/>
      <c r="L2948" s="880"/>
      <c r="M2948" s="882"/>
      <c r="N2948" s="884"/>
      <c r="O2948" s="56">
        <v>721</v>
      </c>
      <c r="P2948" s="79">
        <f>+N2947-P2947</f>
        <v>0</v>
      </c>
    </row>
    <row r="2949" spans="9:16" ht="16.5" thickBot="1">
      <c r="I2949" s="901" t="s">
        <v>102</v>
      </c>
      <c r="J2949" s="902"/>
      <c r="K2949" s="902"/>
      <c r="L2949" s="902"/>
      <c r="M2949" s="903"/>
      <c r="N2949" s="81">
        <f>SUM(N2939:N2948)</f>
        <v>1898000</v>
      </c>
    </row>
    <row r="2950" spans="9:16" ht="16.5" thickBot="1">
      <c r="I2950" s="885" t="s">
        <v>103</v>
      </c>
      <c r="J2950" s="886"/>
      <c r="K2950" s="886"/>
      <c r="L2950" s="886"/>
      <c r="M2950" s="887"/>
      <c r="N2950" s="69">
        <f>+N2914</f>
        <v>590124052</v>
      </c>
      <c r="O2950" s="241" t="s">
        <v>561</v>
      </c>
      <c r="P2950" s="242">
        <f>1061+35+841+56</f>
        <v>1993</v>
      </c>
    </row>
    <row r="2951" spans="9:16" ht="16.5" thickBot="1">
      <c r="I2951" s="888" t="s">
        <v>104</v>
      </c>
      <c r="J2951" s="889"/>
      <c r="K2951" s="889"/>
      <c r="L2951" s="889"/>
      <c r="M2951" s="890"/>
      <c r="N2951" s="183">
        <f>SUM(N2949:N2950)</f>
        <v>592022052</v>
      </c>
    </row>
    <row r="2952" spans="9:16">
      <c r="I2952" s="61"/>
      <c r="J2952" s="61"/>
      <c r="K2952" s="61"/>
      <c r="L2952" s="61"/>
      <c r="M2952" s="61"/>
    </row>
    <row r="2953" spans="9:16">
      <c r="I2953" s="51" t="s">
        <v>1199</v>
      </c>
    </row>
    <row r="2954" spans="9:16">
      <c r="N2954" s="139"/>
    </row>
    <row r="2955" spans="9:16">
      <c r="I2955" s="50" t="s">
        <v>105</v>
      </c>
      <c r="L2955" s="146"/>
      <c r="N2955" s="139"/>
    </row>
    <row r="2956" spans="9:16" ht="10.5" customHeight="1" thickBot="1"/>
    <row r="2957" spans="9:16" ht="15.75" thickBot="1">
      <c r="I2957" s="891" t="s">
        <v>106</v>
      </c>
      <c r="J2957" s="892"/>
      <c r="K2957" s="892"/>
      <c r="L2957" s="893"/>
      <c r="N2957" s="50" t="s">
        <v>1126</v>
      </c>
    </row>
    <row r="2958" spans="9:16" ht="30.75" thickBot="1">
      <c r="I2958" s="57" t="s">
        <v>100</v>
      </c>
      <c r="J2958" s="58" t="s">
        <v>108</v>
      </c>
      <c r="K2958" s="287" t="s">
        <v>109</v>
      </c>
      <c r="L2958" s="60" t="s">
        <v>110</v>
      </c>
    </row>
    <row r="2959" spans="9:16">
      <c r="I2959" s="71">
        <v>719</v>
      </c>
      <c r="J2959" s="73">
        <f>+P2939+P2941+P2943+P2945</f>
        <v>1460000</v>
      </c>
      <c r="K2959" s="74">
        <f>+L2922</f>
        <v>56520000</v>
      </c>
      <c r="L2959" s="195">
        <f>+J2959+K2959</f>
        <v>57980000</v>
      </c>
    </row>
    <row r="2960" spans="9:16">
      <c r="I2960" s="72">
        <v>721</v>
      </c>
      <c r="J2960" s="80">
        <f>+P2940+P2942+P2944+P2946+P2948</f>
        <v>438000</v>
      </c>
      <c r="K2960" s="74">
        <f>+L2923</f>
        <v>180722046</v>
      </c>
      <c r="L2960" s="195">
        <f>+J2960+K2960</f>
        <v>181160046</v>
      </c>
    </row>
    <row r="2961" spans="9:16">
      <c r="I2961" s="72">
        <v>722</v>
      </c>
      <c r="J2961" s="80"/>
      <c r="K2961" s="74">
        <f>+L2924</f>
        <v>62543334</v>
      </c>
      <c r="L2961" s="195">
        <f>+J2961+K2961</f>
        <v>62543334</v>
      </c>
    </row>
    <row r="2962" spans="9:16" ht="15.75">
      <c r="I2962" s="72">
        <v>723</v>
      </c>
      <c r="J2962" s="80"/>
      <c r="K2962" s="74">
        <f>+L2925</f>
        <v>289770052</v>
      </c>
      <c r="L2962" s="195">
        <f>+J2962+K2962</f>
        <v>289770052</v>
      </c>
      <c r="N2962" s="193" t="s">
        <v>1028</v>
      </c>
      <c r="O2962" s="175"/>
    </row>
    <row r="2963" spans="9:16" ht="16.5" thickBot="1">
      <c r="I2963" s="164" t="s">
        <v>1077</v>
      </c>
      <c r="J2963" s="165"/>
      <c r="K2963" s="74">
        <f>+L2926</f>
        <v>498620</v>
      </c>
      <c r="L2963" s="196">
        <f>+J2963+K2963</f>
        <v>498620</v>
      </c>
      <c r="N2963" s="52"/>
    </row>
    <row r="2964" spans="9:16" ht="16.5" thickBot="1">
      <c r="I2964" s="169"/>
      <c r="J2964" s="197">
        <f>SUM(J2959:J2963)</f>
        <v>1898000</v>
      </c>
      <c r="K2964" s="197">
        <f>SUM(K2959:K2963)</f>
        <v>590054052</v>
      </c>
      <c r="L2964" s="198">
        <f>SUM(L2959:L2963)</f>
        <v>591952052</v>
      </c>
    </row>
    <row r="2965" spans="9:16" ht="16.5">
      <c r="I2965" s="49" t="s">
        <v>88</v>
      </c>
      <c r="J2965" s="50"/>
    </row>
    <row r="2966" spans="9:16">
      <c r="I2966" s="51" t="s">
        <v>89</v>
      </c>
    </row>
    <row r="2967" spans="9:16">
      <c r="I2967" s="51" t="s">
        <v>90</v>
      </c>
    </row>
    <row r="2968" spans="9:16">
      <c r="I2968" s="51" t="s">
        <v>91</v>
      </c>
    </row>
    <row r="2969" spans="9:16" ht="12" customHeight="1">
      <c r="I2969" s="50"/>
      <c r="J2969" s="50"/>
    </row>
    <row r="2970" spans="9:16" ht="15.75">
      <c r="I2970" s="260" t="s">
        <v>1200</v>
      </c>
      <c r="O2970" s="52"/>
    </row>
    <row r="2971" spans="9:16" ht="15.75">
      <c r="I2971" s="53" t="s">
        <v>535</v>
      </c>
      <c r="O2971" s="53"/>
    </row>
    <row r="2972" spans="9:16" ht="16.5">
      <c r="I2972" s="894" t="s">
        <v>909</v>
      </c>
      <c r="J2972" s="894"/>
      <c r="K2972" s="894"/>
      <c r="L2972" s="894"/>
      <c r="M2972" s="894"/>
      <c r="N2972" s="894"/>
      <c r="O2972" s="894"/>
      <c r="P2972" s="894"/>
    </row>
    <row r="2973" spans="9:16" ht="15.75" thickBot="1"/>
    <row r="2974" spans="9:16">
      <c r="I2974" s="895" t="s">
        <v>94</v>
      </c>
      <c r="J2974" s="897" t="s">
        <v>95</v>
      </c>
      <c r="K2974" s="897" t="s">
        <v>96</v>
      </c>
      <c r="L2974" s="897" t="s">
        <v>3</v>
      </c>
      <c r="M2974" s="897" t="s">
        <v>97</v>
      </c>
      <c r="N2974" s="897" t="s">
        <v>98</v>
      </c>
      <c r="O2974" s="897" t="s">
        <v>99</v>
      </c>
      <c r="P2974" s="899"/>
    </row>
    <row r="2975" spans="9:16" ht="15.75" thickBot="1">
      <c r="I2975" s="896"/>
      <c r="J2975" s="898"/>
      <c r="K2975" s="898"/>
      <c r="L2975" s="898"/>
      <c r="M2975" s="898"/>
      <c r="N2975" s="898"/>
      <c r="O2975" s="240" t="s">
        <v>100</v>
      </c>
      <c r="P2975" s="182" t="s">
        <v>101</v>
      </c>
    </row>
    <row r="2976" spans="9:16">
      <c r="I2976" s="881">
        <v>320</v>
      </c>
      <c r="J2976" s="875">
        <v>42684</v>
      </c>
      <c r="K2976" s="877" t="s">
        <v>267</v>
      </c>
      <c r="L2976" s="879" t="s">
        <v>1201</v>
      </c>
      <c r="M2976" s="881" t="s">
        <v>148</v>
      </c>
      <c r="N2976" s="883">
        <v>52000</v>
      </c>
      <c r="O2976" s="55">
        <v>719</v>
      </c>
      <c r="P2976" s="78">
        <v>40000</v>
      </c>
    </row>
    <row r="2977" spans="9:16" ht="15.75" thickBot="1">
      <c r="I2977" s="882"/>
      <c r="J2977" s="876"/>
      <c r="K2977" s="878"/>
      <c r="L2977" s="880"/>
      <c r="M2977" s="882"/>
      <c r="N2977" s="884"/>
      <c r="O2977" s="56">
        <v>721</v>
      </c>
      <c r="P2977" s="79">
        <f>+N2976-P2976</f>
        <v>12000</v>
      </c>
    </row>
    <row r="2978" spans="9:16">
      <c r="I2978" s="881">
        <v>321</v>
      </c>
      <c r="J2978" s="875">
        <v>42684</v>
      </c>
      <c r="K2978" s="877" t="s">
        <v>28</v>
      </c>
      <c r="L2978" s="879" t="s">
        <v>1202</v>
      </c>
      <c r="M2978" s="881" t="s">
        <v>148</v>
      </c>
      <c r="N2978" s="883">
        <v>442000</v>
      </c>
      <c r="O2978" s="55">
        <v>719</v>
      </c>
      <c r="P2978" s="78">
        <v>340000</v>
      </c>
    </row>
    <row r="2979" spans="9:16" ht="15.75" thickBot="1">
      <c r="I2979" s="882"/>
      <c r="J2979" s="876"/>
      <c r="K2979" s="878"/>
      <c r="L2979" s="880"/>
      <c r="M2979" s="882"/>
      <c r="N2979" s="884"/>
      <c r="O2979" s="56">
        <v>721</v>
      </c>
      <c r="P2979" s="79">
        <f>+N2978-P2978</f>
        <v>102000</v>
      </c>
    </row>
    <row r="2980" spans="9:16">
      <c r="I2980" s="881">
        <v>322</v>
      </c>
      <c r="J2980" s="875">
        <v>42684</v>
      </c>
      <c r="K2980" s="877" t="s">
        <v>111</v>
      </c>
      <c r="L2980" s="879" t="s">
        <v>1203</v>
      </c>
      <c r="M2980" s="881" t="s">
        <v>148</v>
      </c>
      <c r="N2980" s="883">
        <v>104000</v>
      </c>
      <c r="O2980" s="55">
        <v>719</v>
      </c>
      <c r="P2980" s="78">
        <v>80000</v>
      </c>
    </row>
    <row r="2981" spans="9:16" ht="15.75" thickBot="1">
      <c r="I2981" s="882"/>
      <c r="J2981" s="876"/>
      <c r="K2981" s="878"/>
      <c r="L2981" s="880"/>
      <c r="M2981" s="882"/>
      <c r="N2981" s="884"/>
      <c r="O2981" s="56">
        <v>721</v>
      </c>
      <c r="P2981" s="79">
        <f>+N2980-P2980</f>
        <v>24000</v>
      </c>
    </row>
    <row r="2982" spans="9:16">
      <c r="I2982" s="881">
        <v>323</v>
      </c>
      <c r="J2982" s="875">
        <v>42684</v>
      </c>
      <c r="K2982" s="877" t="s">
        <v>1014</v>
      </c>
      <c r="L2982" s="879" t="s">
        <v>1202</v>
      </c>
      <c r="M2982" s="881" t="s">
        <v>148</v>
      </c>
      <c r="N2982" s="883">
        <v>1053000</v>
      </c>
      <c r="O2982" s="55">
        <v>719</v>
      </c>
      <c r="P2982" s="78">
        <v>810000</v>
      </c>
    </row>
    <row r="2983" spans="9:16" ht="15.75" thickBot="1">
      <c r="I2983" s="882"/>
      <c r="J2983" s="876"/>
      <c r="K2983" s="878"/>
      <c r="L2983" s="880"/>
      <c r="M2983" s="882"/>
      <c r="N2983" s="884"/>
      <c r="O2983" s="56">
        <v>721</v>
      </c>
      <c r="P2983" s="79">
        <f>+N2982-P2982</f>
        <v>243000</v>
      </c>
    </row>
    <row r="2984" spans="9:16">
      <c r="I2984" s="881"/>
      <c r="J2984" s="875"/>
      <c r="K2984" s="877"/>
      <c r="L2984" s="879"/>
      <c r="M2984" s="881"/>
      <c r="N2984" s="883"/>
      <c r="O2984" s="55">
        <v>719</v>
      </c>
      <c r="P2984" s="78"/>
    </row>
    <row r="2985" spans="9:16" ht="15.75" thickBot="1">
      <c r="I2985" s="882"/>
      <c r="J2985" s="876"/>
      <c r="K2985" s="878"/>
      <c r="L2985" s="880"/>
      <c r="M2985" s="882"/>
      <c r="N2985" s="884"/>
      <c r="O2985" s="56">
        <v>721</v>
      </c>
      <c r="P2985" s="79">
        <f>+N2984-P2984</f>
        <v>0</v>
      </c>
    </row>
    <row r="2986" spans="9:16" ht="16.5" thickBot="1">
      <c r="I2986" s="901" t="s">
        <v>102</v>
      </c>
      <c r="J2986" s="902"/>
      <c r="K2986" s="902"/>
      <c r="L2986" s="902"/>
      <c r="M2986" s="903"/>
      <c r="N2986" s="81">
        <f>SUM(N2976:N2985)</f>
        <v>1651000</v>
      </c>
    </row>
    <row r="2987" spans="9:16" ht="16.5" thickBot="1">
      <c r="I2987" s="885" t="s">
        <v>103</v>
      </c>
      <c r="J2987" s="886"/>
      <c r="K2987" s="886"/>
      <c r="L2987" s="886"/>
      <c r="M2987" s="887"/>
      <c r="N2987" s="69">
        <f>+N2951</f>
        <v>592022052</v>
      </c>
      <c r="O2987" s="241" t="s">
        <v>561</v>
      </c>
      <c r="P2987" s="242">
        <f>1174+29+720+29</f>
        <v>1952</v>
      </c>
    </row>
    <row r="2988" spans="9:16" ht="16.5" thickBot="1">
      <c r="I2988" s="888" t="s">
        <v>104</v>
      </c>
      <c r="J2988" s="889"/>
      <c r="K2988" s="889"/>
      <c r="L2988" s="889"/>
      <c r="M2988" s="890"/>
      <c r="N2988" s="183">
        <f>SUM(N2986:N2987)</f>
        <v>593673052</v>
      </c>
    </row>
    <row r="2989" spans="9:16" ht="11.25" customHeight="1">
      <c r="I2989" s="61"/>
      <c r="J2989" s="61"/>
      <c r="K2989" s="61"/>
      <c r="L2989" s="61"/>
      <c r="M2989" s="61"/>
    </row>
    <row r="2990" spans="9:16">
      <c r="I2990" s="51" t="s">
        <v>1204</v>
      </c>
    </row>
    <row r="2991" spans="9:16">
      <c r="N2991" s="139"/>
    </row>
    <row r="2992" spans="9:16">
      <c r="I2992" s="50" t="s">
        <v>105</v>
      </c>
      <c r="L2992" s="146"/>
      <c r="N2992" s="139"/>
    </row>
    <row r="2993" spans="9:15" ht="14.25" customHeight="1" thickBot="1"/>
    <row r="2994" spans="9:15" ht="15.75" thickBot="1">
      <c r="I2994" s="891" t="s">
        <v>106</v>
      </c>
      <c r="J2994" s="892"/>
      <c r="K2994" s="892"/>
      <c r="L2994" s="893"/>
      <c r="N2994" s="50" t="s">
        <v>1126</v>
      </c>
    </row>
    <row r="2995" spans="9:15" ht="30.75" thickBot="1">
      <c r="I2995" s="57" t="s">
        <v>100</v>
      </c>
      <c r="J2995" s="58" t="s">
        <v>108</v>
      </c>
      <c r="K2995" s="287" t="s">
        <v>109</v>
      </c>
      <c r="L2995" s="60" t="s">
        <v>110</v>
      </c>
    </row>
    <row r="2996" spans="9:15">
      <c r="I2996" s="71">
        <v>719</v>
      </c>
      <c r="J2996" s="73">
        <f>+P2976+P2978+P2980+P2982</f>
        <v>1270000</v>
      </c>
      <c r="K2996" s="74">
        <f>+L2959</f>
        <v>57980000</v>
      </c>
      <c r="L2996" s="195">
        <f>+J2996+K2996</f>
        <v>59250000</v>
      </c>
    </row>
    <row r="2997" spans="9:15">
      <c r="I2997" s="72">
        <v>721</v>
      </c>
      <c r="J2997" s="80">
        <f>+P2977+P2979+P2981+P2983+P2985</f>
        <v>381000</v>
      </c>
      <c r="K2997" s="74">
        <f>+L2960</f>
        <v>181160046</v>
      </c>
      <c r="L2997" s="195">
        <f>+J2997+K2997</f>
        <v>181541046</v>
      </c>
    </row>
    <row r="2998" spans="9:15">
      <c r="I2998" s="72">
        <v>722</v>
      </c>
      <c r="J2998" s="80"/>
      <c r="K2998" s="74">
        <f>+L2961</f>
        <v>62543334</v>
      </c>
      <c r="L2998" s="195">
        <f>+J2998+K2998</f>
        <v>62543334</v>
      </c>
    </row>
    <row r="2999" spans="9:15" ht="15.75">
      <c r="I2999" s="72">
        <v>723</v>
      </c>
      <c r="J2999" s="80"/>
      <c r="K2999" s="74">
        <f>+L2962</f>
        <v>289770052</v>
      </c>
      <c r="L2999" s="195">
        <f>+J2999+K2999</f>
        <v>289770052</v>
      </c>
      <c r="N2999" s="193" t="s">
        <v>1028</v>
      </c>
      <c r="O2999" s="175"/>
    </row>
    <row r="3000" spans="9:15" ht="16.5" thickBot="1">
      <c r="I3000" s="164" t="s">
        <v>1077</v>
      </c>
      <c r="J3000" s="165"/>
      <c r="K3000" s="74">
        <f>+L2963</f>
        <v>498620</v>
      </c>
      <c r="L3000" s="196">
        <f>+J3000+K3000</f>
        <v>498620</v>
      </c>
      <c r="N3000" s="52"/>
    </row>
    <row r="3001" spans="9:15" ht="16.5" thickBot="1">
      <c r="I3001" s="169"/>
      <c r="J3001" s="197">
        <f>SUM(J2996:J3000)</f>
        <v>1651000</v>
      </c>
      <c r="K3001" s="197">
        <f>SUM(K2996:K3000)</f>
        <v>591952052</v>
      </c>
      <c r="L3001" s="198">
        <f>SUM(L2996:L3000)</f>
        <v>593603052</v>
      </c>
    </row>
    <row r="3002" spans="9:15" ht="16.5">
      <c r="I3002" s="49" t="s">
        <v>88</v>
      </c>
      <c r="J3002" s="50"/>
    </row>
    <row r="3003" spans="9:15">
      <c r="I3003" s="51" t="s">
        <v>89</v>
      </c>
    </row>
    <row r="3004" spans="9:15">
      <c r="I3004" s="51" t="s">
        <v>90</v>
      </c>
    </row>
    <row r="3005" spans="9:15">
      <c r="I3005" s="51" t="s">
        <v>91</v>
      </c>
    </row>
    <row r="3006" spans="9:15" ht="12" customHeight="1">
      <c r="I3006" s="50"/>
      <c r="J3006" s="50"/>
    </row>
    <row r="3007" spans="9:15" ht="15.75">
      <c r="I3007" s="260" t="s">
        <v>1206</v>
      </c>
      <c r="O3007" s="52"/>
    </row>
    <row r="3008" spans="9:15" ht="15.75">
      <c r="I3008" s="53" t="s">
        <v>535</v>
      </c>
      <c r="O3008" s="53"/>
    </row>
    <row r="3009" spans="9:16" ht="16.5">
      <c r="I3009" s="894" t="s">
        <v>909</v>
      </c>
      <c r="J3009" s="894"/>
      <c r="K3009" s="894"/>
      <c r="L3009" s="894"/>
      <c r="M3009" s="894"/>
      <c r="N3009" s="894"/>
      <c r="O3009" s="894"/>
      <c r="P3009" s="894"/>
    </row>
    <row r="3010" spans="9:16" ht="15.75" thickBot="1"/>
    <row r="3011" spans="9:16">
      <c r="I3011" s="895" t="s">
        <v>94</v>
      </c>
      <c r="J3011" s="897" t="s">
        <v>95</v>
      </c>
      <c r="K3011" s="897" t="s">
        <v>96</v>
      </c>
      <c r="L3011" s="897" t="s">
        <v>3</v>
      </c>
      <c r="M3011" s="897" t="s">
        <v>97</v>
      </c>
      <c r="N3011" s="897" t="s">
        <v>98</v>
      </c>
      <c r="O3011" s="897" t="s">
        <v>99</v>
      </c>
      <c r="P3011" s="899"/>
    </row>
    <row r="3012" spans="9:16" ht="15.75" thickBot="1">
      <c r="I3012" s="896"/>
      <c r="J3012" s="898"/>
      <c r="K3012" s="898"/>
      <c r="L3012" s="898"/>
      <c r="M3012" s="898"/>
      <c r="N3012" s="898"/>
      <c r="O3012" s="240" t="s">
        <v>100</v>
      </c>
      <c r="P3012" s="182" t="s">
        <v>101</v>
      </c>
    </row>
    <row r="3013" spans="9:16">
      <c r="I3013" s="881">
        <v>324</v>
      </c>
      <c r="J3013" s="875">
        <v>42692</v>
      </c>
      <c r="K3013" s="877" t="s">
        <v>1014</v>
      </c>
      <c r="L3013" s="879" t="s">
        <v>1207</v>
      </c>
      <c r="M3013" s="881" t="s">
        <v>115</v>
      </c>
      <c r="N3013" s="883">
        <v>70000</v>
      </c>
      <c r="O3013" s="55">
        <v>719</v>
      </c>
      <c r="P3013" s="78">
        <v>70000</v>
      </c>
    </row>
    <row r="3014" spans="9:16" ht="15.75" thickBot="1">
      <c r="I3014" s="882"/>
      <c r="J3014" s="876"/>
      <c r="K3014" s="878"/>
      <c r="L3014" s="880"/>
      <c r="M3014" s="882"/>
      <c r="N3014" s="884"/>
      <c r="O3014" s="56">
        <v>721</v>
      </c>
      <c r="P3014" s="79">
        <f>+N3013-P3013</f>
        <v>0</v>
      </c>
    </row>
    <row r="3015" spans="9:16" ht="15" customHeight="1">
      <c r="I3015" s="881">
        <v>325</v>
      </c>
      <c r="J3015" s="875">
        <v>42692</v>
      </c>
      <c r="K3015" s="877" t="s">
        <v>28</v>
      </c>
      <c r="L3015" s="879" t="s">
        <v>1208</v>
      </c>
      <c r="M3015" s="881" t="s">
        <v>115</v>
      </c>
      <c r="N3015" s="883">
        <v>80000</v>
      </c>
      <c r="O3015" s="55">
        <v>719</v>
      </c>
      <c r="P3015" s="78">
        <v>80000</v>
      </c>
    </row>
    <row r="3016" spans="9:16" ht="15.75" customHeight="1" thickBot="1">
      <c r="I3016" s="882"/>
      <c r="J3016" s="876"/>
      <c r="K3016" s="878"/>
      <c r="L3016" s="880"/>
      <c r="M3016" s="882"/>
      <c r="N3016" s="884"/>
      <c r="O3016" s="56">
        <v>721</v>
      </c>
      <c r="P3016" s="79">
        <f>+N3015-P3015</f>
        <v>0</v>
      </c>
    </row>
    <row r="3017" spans="9:16" ht="15" customHeight="1">
      <c r="I3017" s="881">
        <v>326</v>
      </c>
      <c r="J3017" s="875">
        <v>42692</v>
      </c>
      <c r="K3017" s="877" t="s">
        <v>120</v>
      </c>
      <c r="L3017" s="879" t="s">
        <v>1209</v>
      </c>
      <c r="M3017" s="881" t="s">
        <v>115</v>
      </c>
      <c r="N3017" s="883">
        <v>110000</v>
      </c>
      <c r="O3017" s="55">
        <v>719</v>
      </c>
      <c r="P3017" s="78">
        <v>110000</v>
      </c>
    </row>
    <row r="3018" spans="9:16" ht="15.75" customHeight="1" thickBot="1">
      <c r="I3018" s="882"/>
      <c r="J3018" s="876"/>
      <c r="K3018" s="878"/>
      <c r="L3018" s="880"/>
      <c r="M3018" s="882"/>
      <c r="N3018" s="884"/>
      <c r="O3018" s="56">
        <v>721</v>
      </c>
      <c r="P3018" s="79">
        <f>+N3017-P3017</f>
        <v>0</v>
      </c>
    </row>
    <row r="3019" spans="9:16">
      <c r="I3019" s="881"/>
      <c r="J3019" s="875"/>
      <c r="K3019" s="877"/>
      <c r="L3019" s="879"/>
      <c r="M3019" s="881"/>
      <c r="N3019" s="883"/>
      <c r="O3019" s="55">
        <v>719</v>
      </c>
      <c r="P3019" s="78">
        <v>0</v>
      </c>
    </row>
    <row r="3020" spans="9:16" ht="15.75" thickBot="1">
      <c r="I3020" s="882"/>
      <c r="J3020" s="876"/>
      <c r="K3020" s="878"/>
      <c r="L3020" s="880"/>
      <c r="M3020" s="882"/>
      <c r="N3020" s="884"/>
      <c r="O3020" s="56">
        <v>721</v>
      </c>
      <c r="P3020" s="79">
        <f>+N3019-P3019</f>
        <v>0</v>
      </c>
    </row>
    <row r="3021" spans="9:16">
      <c r="I3021" s="881"/>
      <c r="J3021" s="875"/>
      <c r="K3021" s="877"/>
      <c r="L3021" s="879"/>
      <c r="M3021" s="881"/>
      <c r="N3021" s="883"/>
      <c r="O3021" s="55">
        <v>719</v>
      </c>
      <c r="P3021" s="78"/>
    </row>
    <row r="3022" spans="9:16" ht="15.75" thickBot="1">
      <c r="I3022" s="882"/>
      <c r="J3022" s="876"/>
      <c r="K3022" s="878"/>
      <c r="L3022" s="880"/>
      <c r="M3022" s="882"/>
      <c r="N3022" s="884"/>
      <c r="O3022" s="56">
        <v>721</v>
      </c>
      <c r="P3022" s="79">
        <f>+N3021-P3021</f>
        <v>0</v>
      </c>
    </row>
    <row r="3023" spans="9:16" ht="16.5" thickBot="1">
      <c r="I3023" s="901" t="s">
        <v>102</v>
      </c>
      <c r="J3023" s="902"/>
      <c r="K3023" s="902"/>
      <c r="L3023" s="902"/>
      <c r="M3023" s="903"/>
      <c r="N3023" s="81">
        <f>SUM(N3013:N3022)</f>
        <v>260000</v>
      </c>
    </row>
    <row r="3024" spans="9:16" ht="16.5" thickBot="1">
      <c r="I3024" s="885" t="s">
        <v>103</v>
      </c>
      <c r="J3024" s="886"/>
      <c r="K3024" s="886"/>
      <c r="L3024" s="886"/>
      <c r="M3024" s="887"/>
      <c r="N3024" s="69">
        <f>+N2988</f>
        <v>593673052</v>
      </c>
      <c r="O3024" s="241" t="s">
        <v>561</v>
      </c>
      <c r="P3024" s="242">
        <f>235+115+352</f>
        <v>702</v>
      </c>
    </row>
    <row r="3025" spans="9:15" ht="16.5" thickBot="1">
      <c r="I3025" s="888" t="s">
        <v>104</v>
      </c>
      <c r="J3025" s="889"/>
      <c r="K3025" s="889"/>
      <c r="L3025" s="889"/>
      <c r="M3025" s="890"/>
      <c r="N3025" s="183">
        <f>SUM(N3023:N3024)</f>
        <v>593933052</v>
      </c>
    </row>
    <row r="3026" spans="9:15">
      <c r="I3026" s="61"/>
      <c r="J3026" s="61"/>
      <c r="K3026" s="61"/>
      <c r="L3026" s="61"/>
      <c r="M3026" s="61"/>
    </row>
    <row r="3027" spans="9:15">
      <c r="I3027" s="51" t="s">
        <v>1210</v>
      </c>
    </row>
    <row r="3028" spans="9:15" ht="11.25" customHeight="1">
      <c r="N3028" s="139"/>
    </row>
    <row r="3029" spans="9:15">
      <c r="I3029" s="50" t="s">
        <v>105</v>
      </c>
      <c r="L3029" s="146"/>
      <c r="N3029" s="139"/>
    </row>
    <row r="3030" spans="9:15" ht="13.5" customHeight="1" thickBot="1"/>
    <row r="3031" spans="9:15" ht="15.75" thickBot="1">
      <c r="I3031" s="891" t="s">
        <v>106</v>
      </c>
      <c r="J3031" s="892"/>
      <c r="K3031" s="892"/>
      <c r="L3031" s="893"/>
      <c r="N3031" s="50" t="s">
        <v>1126</v>
      </c>
    </row>
    <row r="3032" spans="9:15" ht="30.75" thickBot="1">
      <c r="I3032" s="57" t="s">
        <v>100</v>
      </c>
      <c r="J3032" s="58" t="s">
        <v>108</v>
      </c>
      <c r="K3032" s="287" t="s">
        <v>109</v>
      </c>
      <c r="L3032" s="60" t="s">
        <v>110</v>
      </c>
    </row>
    <row r="3033" spans="9:15">
      <c r="I3033" s="71">
        <v>719</v>
      </c>
      <c r="J3033" s="73">
        <f>+P3013+P3015+P3017+P3019</f>
        <v>260000</v>
      </c>
      <c r="K3033" s="74">
        <f>+L2996</f>
        <v>59250000</v>
      </c>
      <c r="L3033" s="195">
        <f>+J3033+K3033</f>
        <v>59510000</v>
      </c>
    </row>
    <row r="3034" spans="9:15">
      <c r="I3034" s="72">
        <v>721</v>
      </c>
      <c r="J3034" s="80">
        <f>+P3014+P3016+P3018+P3020+P3022</f>
        <v>0</v>
      </c>
      <c r="K3034" s="74">
        <f>+L2997</f>
        <v>181541046</v>
      </c>
      <c r="L3034" s="195">
        <f>+J3034+K3034</f>
        <v>181541046</v>
      </c>
    </row>
    <row r="3035" spans="9:15">
      <c r="I3035" s="72">
        <v>722</v>
      </c>
      <c r="J3035" s="80"/>
      <c r="K3035" s="74">
        <f>+L2998</f>
        <v>62543334</v>
      </c>
      <c r="L3035" s="195">
        <f>+J3035+K3035</f>
        <v>62543334</v>
      </c>
    </row>
    <row r="3036" spans="9:15" ht="15.75">
      <c r="I3036" s="72">
        <v>723</v>
      </c>
      <c r="J3036" s="80"/>
      <c r="K3036" s="74">
        <f>+L2999</f>
        <v>289770052</v>
      </c>
      <c r="L3036" s="195">
        <f>+J3036+K3036</f>
        <v>289770052</v>
      </c>
      <c r="N3036" s="193" t="s">
        <v>1028</v>
      </c>
      <c r="O3036" s="175"/>
    </row>
    <row r="3037" spans="9:15" ht="16.5" thickBot="1">
      <c r="I3037" s="164" t="s">
        <v>1077</v>
      </c>
      <c r="J3037" s="165"/>
      <c r="K3037" s="74">
        <f>+L3000</f>
        <v>498620</v>
      </c>
      <c r="L3037" s="196">
        <f>+J3037+K3037</f>
        <v>498620</v>
      </c>
      <c r="N3037" s="52"/>
    </row>
    <row r="3038" spans="9:15" ht="16.5" thickBot="1">
      <c r="I3038" s="169"/>
      <c r="J3038" s="197">
        <f>SUM(J3033:J3037)</f>
        <v>260000</v>
      </c>
      <c r="K3038" s="197">
        <f>SUM(K3033:K3037)</f>
        <v>593603052</v>
      </c>
      <c r="L3038" s="198">
        <f>SUM(L3033:L3037)</f>
        <v>593863052</v>
      </c>
    </row>
    <row r="3039" spans="9:15" ht="16.5">
      <c r="I3039" s="49" t="s">
        <v>88</v>
      </c>
      <c r="J3039" s="50"/>
    </row>
    <row r="3040" spans="9:15">
      <c r="I3040" s="51" t="s">
        <v>89</v>
      </c>
    </row>
    <row r="3041" spans="9:16">
      <c r="I3041" s="51" t="s">
        <v>90</v>
      </c>
    </row>
    <row r="3042" spans="9:16">
      <c r="I3042" s="51" t="s">
        <v>91</v>
      </c>
    </row>
    <row r="3043" spans="9:16" ht="11.25" customHeight="1">
      <c r="I3043" s="50"/>
      <c r="J3043" s="50"/>
    </row>
    <row r="3044" spans="9:16" ht="15.75">
      <c r="I3044" s="260" t="s">
        <v>1217</v>
      </c>
      <c r="O3044" s="52"/>
    </row>
    <row r="3045" spans="9:16" ht="15.75">
      <c r="I3045" s="53" t="s">
        <v>535</v>
      </c>
      <c r="O3045" s="53"/>
    </row>
    <row r="3046" spans="9:16" ht="16.5">
      <c r="I3046" s="894" t="s">
        <v>909</v>
      </c>
      <c r="J3046" s="894"/>
      <c r="K3046" s="894"/>
      <c r="L3046" s="894"/>
      <c r="M3046" s="894"/>
      <c r="N3046" s="894"/>
      <c r="O3046" s="894"/>
      <c r="P3046" s="894"/>
    </row>
    <row r="3047" spans="9:16" ht="15.75" thickBot="1"/>
    <row r="3048" spans="9:16">
      <c r="I3048" s="895" t="s">
        <v>94</v>
      </c>
      <c r="J3048" s="897" t="s">
        <v>95</v>
      </c>
      <c r="K3048" s="897" t="s">
        <v>96</v>
      </c>
      <c r="L3048" s="897" t="s">
        <v>3</v>
      </c>
      <c r="M3048" s="897" t="s">
        <v>97</v>
      </c>
      <c r="N3048" s="897" t="s">
        <v>98</v>
      </c>
      <c r="O3048" s="897" t="s">
        <v>99</v>
      </c>
      <c r="P3048" s="899"/>
    </row>
    <row r="3049" spans="9:16" ht="15.75" thickBot="1">
      <c r="I3049" s="896"/>
      <c r="J3049" s="898"/>
      <c r="K3049" s="898"/>
      <c r="L3049" s="898"/>
      <c r="M3049" s="898"/>
      <c r="N3049" s="898"/>
      <c r="O3049" s="240" t="s">
        <v>100</v>
      </c>
      <c r="P3049" s="182" t="s">
        <v>101</v>
      </c>
    </row>
    <row r="3050" spans="9:16">
      <c r="I3050" s="881">
        <v>327</v>
      </c>
      <c r="J3050" s="875">
        <v>42703</v>
      </c>
      <c r="K3050" s="877" t="s">
        <v>1014</v>
      </c>
      <c r="L3050" s="879" t="s">
        <v>1218</v>
      </c>
      <c r="M3050" s="881" t="s">
        <v>115</v>
      </c>
      <c r="N3050" s="883">
        <v>50000</v>
      </c>
      <c r="O3050" s="55">
        <v>719</v>
      </c>
      <c r="P3050" s="78">
        <v>50000</v>
      </c>
    </row>
    <row r="3051" spans="9:16" ht="15.75" thickBot="1">
      <c r="I3051" s="882"/>
      <c r="J3051" s="876"/>
      <c r="K3051" s="878"/>
      <c r="L3051" s="880"/>
      <c r="M3051" s="882"/>
      <c r="N3051" s="884"/>
      <c r="O3051" s="56">
        <v>721</v>
      </c>
      <c r="P3051" s="79">
        <f>+N3050-P3050</f>
        <v>0</v>
      </c>
    </row>
    <row r="3052" spans="9:16" ht="15" customHeight="1">
      <c r="I3052" s="881">
        <v>328</v>
      </c>
      <c r="J3052" s="875">
        <v>42703</v>
      </c>
      <c r="K3052" s="877" t="s">
        <v>28</v>
      </c>
      <c r="L3052" s="879" t="s">
        <v>1218</v>
      </c>
      <c r="M3052" s="881" t="s">
        <v>115</v>
      </c>
      <c r="N3052" s="883">
        <v>50000</v>
      </c>
      <c r="O3052" s="55">
        <v>719</v>
      </c>
      <c r="P3052" s="78">
        <v>50000</v>
      </c>
    </row>
    <row r="3053" spans="9:16" ht="15.75" customHeight="1" thickBot="1">
      <c r="I3053" s="882"/>
      <c r="J3053" s="876"/>
      <c r="K3053" s="878"/>
      <c r="L3053" s="880"/>
      <c r="M3053" s="882"/>
      <c r="N3053" s="884"/>
      <c r="O3053" s="56">
        <v>721</v>
      </c>
      <c r="P3053" s="79">
        <f>+N3052-P3052</f>
        <v>0</v>
      </c>
    </row>
    <row r="3054" spans="9:16" ht="15" customHeight="1">
      <c r="I3054" s="881">
        <v>329</v>
      </c>
      <c r="J3054" s="875">
        <v>42703</v>
      </c>
      <c r="K3054" s="877" t="s">
        <v>120</v>
      </c>
      <c r="L3054" s="879" t="s">
        <v>1219</v>
      </c>
      <c r="M3054" s="881" t="s">
        <v>115</v>
      </c>
      <c r="N3054" s="883">
        <v>30000</v>
      </c>
      <c r="O3054" s="55">
        <v>719</v>
      </c>
      <c r="P3054" s="78">
        <v>30000</v>
      </c>
    </row>
    <row r="3055" spans="9:16" ht="15.75" customHeight="1" thickBot="1">
      <c r="I3055" s="882"/>
      <c r="J3055" s="876"/>
      <c r="K3055" s="878"/>
      <c r="L3055" s="880"/>
      <c r="M3055" s="882"/>
      <c r="N3055" s="884"/>
      <c r="O3055" s="56">
        <v>721</v>
      </c>
      <c r="P3055" s="79">
        <f>+N3054-P3054</f>
        <v>0</v>
      </c>
    </row>
    <row r="3056" spans="9:16">
      <c r="I3056" s="881">
        <v>330</v>
      </c>
      <c r="J3056" s="875">
        <v>42703</v>
      </c>
      <c r="K3056" s="877" t="s">
        <v>674</v>
      </c>
      <c r="L3056" s="879" t="s">
        <v>1221</v>
      </c>
      <c r="M3056" s="881" t="s">
        <v>148</v>
      </c>
      <c r="N3056" s="883">
        <v>1350000</v>
      </c>
      <c r="O3056" s="55">
        <v>719</v>
      </c>
      <c r="P3056" s="78">
        <v>0</v>
      </c>
    </row>
    <row r="3057" spans="9:16" ht="15.75" thickBot="1">
      <c r="I3057" s="882"/>
      <c r="J3057" s="876"/>
      <c r="K3057" s="878"/>
      <c r="L3057" s="880"/>
      <c r="M3057" s="882"/>
      <c r="N3057" s="884"/>
      <c r="O3057" s="56">
        <v>723</v>
      </c>
      <c r="P3057" s="79">
        <f>+N3056-P3056</f>
        <v>1350000</v>
      </c>
    </row>
    <row r="3058" spans="9:16">
      <c r="I3058" s="881"/>
      <c r="J3058" s="875"/>
      <c r="K3058" s="877"/>
      <c r="L3058" s="879"/>
      <c r="M3058" s="881"/>
      <c r="N3058" s="883"/>
      <c r="O3058" s="55">
        <v>719</v>
      </c>
      <c r="P3058" s="78"/>
    </row>
    <row r="3059" spans="9:16" ht="15.75" thickBot="1">
      <c r="I3059" s="882"/>
      <c r="J3059" s="876"/>
      <c r="K3059" s="878"/>
      <c r="L3059" s="880"/>
      <c r="M3059" s="882"/>
      <c r="N3059" s="884"/>
      <c r="O3059" s="56">
        <v>721</v>
      </c>
      <c r="P3059" s="79">
        <f>+N3058-P3058</f>
        <v>0</v>
      </c>
    </row>
    <row r="3060" spans="9:16" ht="16.5" thickBot="1">
      <c r="I3060" s="901" t="s">
        <v>102</v>
      </c>
      <c r="J3060" s="902"/>
      <c r="K3060" s="902"/>
      <c r="L3060" s="902"/>
      <c r="M3060" s="903"/>
      <c r="N3060" s="81">
        <f>SUM(N3050:N3059)</f>
        <v>1480000</v>
      </c>
    </row>
    <row r="3061" spans="9:16" ht="16.5" thickBot="1">
      <c r="I3061" s="885" t="s">
        <v>103</v>
      </c>
      <c r="J3061" s="886"/>
      <c r="K3061" s="886"/>
      <c r="L3061" s="886"/>
      <c r="M3061" s="887"/>
      <c r="N3061" s="69">
        <f>+N3025</f>
        <v>593933052</v>
      </c>
      <c r="O3061" s="241" t="s">
        <v>561</v>
      </c>
      <c r="P3061" s="242">
        <f>48+92+184</f>
        <v>324</v>
      </c>
    </row>
    <row r="3062" spans="9:16" ht="16.5" thickBot="1">
      <c r="I3062" s="888" t="s">
        <v>104</v>
      </c>
      <c r="J3062" s="889"/>
      <c r="K3062" s="889"/>
      <c r="L3062" s="889"/>
      <c r="M3062" s="890"/>
      <c r="N3062" s="183">
        <f>SUM(N3060:N3061)</f>
        <v>595413052</v>
      </c>
    </row>
    <row r="3063" spans="9:16" ht="12" customHeight="1">
      <c r="I3063" s="61"/>
      <c r="J3063" s="61"/>
      <c r="K3063" s="61"/>
      <c r="L3063" s="61"/>
      <c r="M3063" s="61"/>
    </row>
    <row r="3064" spans="9:16">
      <c r="I3064" s="51" t="s">
        <v>1220</v>
      </c>
    </row>
    <row r="3065" spans="9:16" ht="12" customHeight="1">
      <c r="N3065" s="139"/>
    </row>
    <row r="3066" spans="9:16">
      <c r="I3066" s="50" t="s">
        <v>105</v>
      </c>
      <c r="L3066" s="146"/>
      <c r="N3066" s="139"/>
    </row>
    <row r="3067" spans="9:16" ht="12.75" customHeight="1" thickBot="1"/>
    <row r="3068" spans="9:16" ht="15.75" thickBot="1">
      <c r="I3068" s="891" t="s">
        <v>106</v>
      </c>
      <c r="J3068" s="892"/>
      <c r="K3068" s="892"/>
      <c r="L3068" s="893"/>
      <c r="N3068" s="50" t="s">
        <v>288</v>
      </c>
    </row>
    <row r="3069" spans="9:16" ht="30.75" thickBot="1">
      <c r="I3069" s="57" t="s">
        <v>100</v>
      </c>
      <c r="J3069" s="58" t="s">
        <v>108</v>
      </c>
      <c r="K3069" s="287" t="s">
        <v>109</v>
      </c>
      <c r="L3069" s="60" t="s">
        <v>110</v>
      </c>
    </row>
    <row r="3070" spans="9:16">
      <c r="I3070" s="71">
        <v>719</v>
      </c>
      <c r="J3070" s="73">
        <f>+P3050+P3052+P3054+P3056</f>
        <v>130000</v>
      </c>
      <c r="K3070" s="74">
        <f>+L3033</f>
        <v>59510000</v>
      </c>
      <c r="L3070" s="195">
        <f>+J3070+K3070</f>
        <v>59640000</v>
      </c>
    </row>
    <row r="3071" spans="9:16">
      <c r="I3071" s="72">
        <v>721</v>
      </c>
      <c r="J3071" s="80"/>
      <c r="K3071" s="74">
        <f>+L3034</f>
        <v>181541046</v>
      </c>
      <c r="L3071" s="195">
        <f>+J3071+K3071</f>
        <v>181541046</v>
      </c>
    </row>
    <row r="3072" spans="9:16">
      <c r="I3072" s="72">
        <v>722</v>
      </c>
      <c r="J3072" s="80"/>
      <c r="K3072" s="74">
        <f>+L3035</f>
        <v>62543334</v>
      </c>
      <c r="L3072" s="195">
        <f>+J3072+K3072</f>
        <v>62543334</v>
      </c>
    </row>
    <row r="3073" spans="9:16" ht="15.75">
      <c r="I3073" s="72">
        <v>723</v>
      </c>
      <c r="J3073" s="80">
        <f>+P3057</f>
        <v>1350000</v>
      </c>
      <c r="K3073" s="74">
        <f>+L3036</f>
        <v>289770052</v>
      </c>
      <c r="L3073" s="195">
        <f>+J3073+K3073</f>
        <v>291120052</v>
      </c>
      <c r="N3073" s="193" t="s">
        <v>289</v>
      </c>
      <c r="O3073" s="175"/>
    </row>
    <row r="3074" spans="9:16" ht="16.5" thickBot="1">
      <c r="I3074" s="164" t="s">
        <v>1077</v>
      </c>
      <c r="J3074" s="165"/>
      <c r="K3074" s="74">
        <f>+L3037</f>
        <v>498620</v>
      </c>
      <c r="L3074" s="196">
        <f>+J3074+K3074</f>
        <v>498620</v>
      </c>
      <c r="N3074" s="52"/>
    </row>
    <row r="3075" spans="9:16" ht="16.5" thickBot="1">
      <c r="I3075" s="169"/>
      <c r="J3075" s="197">
        <f>SUM(J3070:J3074)</f>
        <v>1480000</v>
      </c>
      <c r="K3075" s="197">
        <f>SUM(K3070:K3074)</f>
        <v>593863052</v>
      </c>
      <c r="L3075" s="198">
        <f>SUM(L3070:L3074)</f>
        <v>595343052</v>
      </c>
    </row>
    <row r="3076" spans="9:16" ht="16.5">
      <c r="I3076" s="49" t="s">
        <v>88</v>
      </c>
      <c r="J3076" s="50"/>
    </row>
    <row r="3077" spans="9:16">
      <c r="I3077" s="51" t="s">
        <v>89</v>
      </c>
    </row>
    <row r="3078" spans="9:16">
      <c r="I3078" s="51" t="s">
        <v>90</v>
      </c>
    </row>
    <row r="3079" spans="9:16">
      <c r="I3079" s="51" t="s">
        <v>91</v>
      </c>
    </row>
    <row r="3080" spans="9:16" ht="12" customHeight="1">
      <c r="I3080" s="50"/>
      <c r="J3080" s="50"/>
    </row>
    <row r="3081" spans="9:16" ht="15.75">
      <c r="I3081" s="260" t="s">
        <v>1222</v>
      </c>
      <c r="O3081" s="52"/>
    </row>
    <row r="3082" spans="9:16" ht="15.75">
      <c r="I3082" s="53" t="s">
        <v>535</v>
      </c>
      <c r="O3082" s="53"/>
    </row>
    <row r="3083" spans="9:16" ht="16.5">
      <c r="I3083" s="894" t="s">
        <v>170</v>
      </c>
      <c r="J3083" s="894"/>
      <c r="K3083" s="894"/>
      <c r="L3083" s="894"/>
      <c r="M3083" s="894"/>
      <c r="N3083" s="894"/>
      <c r="O3083" s="894"/>
      <c r="P3083" s="894"/>
    </row>
    <row r="3084" spans="9:16" ht="15.75" thickBot="1"/>
    <row r="3085" spans="9:16">
      <c r="I3085" s="895" t="s">
        <v>94</v>
      </c>
      <c r="J3085" s="897" t="s">
        <v>95</v>
      </c>
      <c r="K3085" s="897" t="s">
        <v>96</v>
      </c>
      <c r="L3085" s="897" t="s">
        <v>3</v>
      </c>
      <c r="M3085" s="897" t="s">
        <v>97</v>
      </c>
      <c r="N3085" s="897" t="s">
        <v>98</v>
      </c>
      <c r="O3085" s="897" t="s">
        <v>99</v>
      </c>
      <c r="P3085" s="899"/>
    </row>
    <row r="3086" spans="9:16" ht="15.75" thickBot="1">
      <c r="I3086" s="896"/>
      <c r="J3086" s="898"/>
      <c r="K3086" s="898"/>
      <c r="L3086" s="898"/>
      <c r="M3086" s="898"/>
      <c r="N3086" s="898"/>
      <c r="O3086" s="240" t="s">
        <v>100</v>
      </c>
      <c r="P3086" s="182" t="s">
        <v>101</v>
      </c>
    </row>
    <row r="3087" spans="9:16">
      <c r="I3087" s="881">
        <v>331</v>
      </c>
      <c r="J3087" s="875">
        <v>42704</v>
      </c>
      <c r="K3087" s="877" t="s">
        <v>1014</v>
      </c>
      <c r="L3087" s="879" t="s">
        <v>1224</v>
      </c>
      <c r="M3087" s="881" t="s">
        <v>115</v>
      </c>
      <c r="N3087" s="883">
        <v>70000</v>
      </c>
      <c r="O3087" s="55">
        <v>719</v>
      </c>
      <c r="P3087" s="78">
        <v>70000</v>
      </c>
    </row>
    <row r="3088" spans="9:16" ht="15.75" thickBot="1">
      <c r="I3088" s="882"/>
      <c r="J3088" s="876"/>
      <c r="K3088" s="878"/>
      <c r="L3088" s="880"/>
      <c r="M3088" s="882"/>
      <c r="N3088" s="884"/>
      <c r="O3088" s="56">
        <v>721</v>
      </c>
      <c r="P3088" s="79">
        <f>+N3087-P3087</f>
        <v>0</v>
      </c>
    </row>
    <row r="3089" spans="9:16" ht="15" customHeight="1">
      <c r="I3089" s="881">
        <v>332</v>
      </c>
      <c r="J3089" s="875">
        <v>42704</v>
      </c>
      <c r="K3089" s="877" t="s">
        <v>28</v>
      </c>
      <c r="L3089" s="879" t="s">
        <v>1224</v>
      </c>
      <c r="M3089" s="881" t="s">
        <v>115</v>
      </c>
      <c r="N3089" s="883">
        <v>70000</v>
      </c>
      <c r="O3089" s="55">
        <v>719</v>
      </c>
      <c r="P3089" s="78">
        <v>70000</v>
      </c>
    </row>
    <row r="3090" spans="9:16" ht="15.75" customHeight="1" thickBot="1">
      <c r="I3090" s="882"/>
      <c r="J3090" s="876"/>
      <c r="K3090" s="878"/>
      <c r="L3090" s="880"/>
      <c r="M3090" s="882"/>
      <c r="N3090" s="884"/>
      <c r="O3090" s="56">
        <v>721</v>
      </c>
      <c r="P3090" s="79">
        <f>+N3089-P3089</f>
        <v>0</v>
      </c>
    </row>
    <row r="3091" spans="9:16" ht="15" customHeight="1">
      <c r="I3091" s="881">
        <v>333</v>
      </c>
      <c r="J3091" s="875">
        <v>42704</v>
      </c>
      <c r="K3091" s="877" t="s">
        <v>120</v>
      </c>
      <c r="L3091" s="879" t="s">
        <v>1224</v>
      </c>
      <c r="M3091" s="881" t="s">
        <v>115</v>
      </c>
      <c r="N3091" s="883">
        <v>110000</v>
      </c>
      <c r="O3091" s="55">
        <v>719</v>
      </c>
      <c r="P3091" s="78">
        <v>110000</v>
      </c>
    </row>
    <row r="3092" spans="9:16" ht="15.75" customHeight="1" thickBot="1">
      <c r="I3092" s="882"/>
      <c r="J3092" s="876"/>
      <c r="K3092" s="878"/>
      <c r="L3092" s="880"/>
      <c r="M3092" s="882"/>
      <c r="N3092" s="884"/>
      <c r="O3092" s="56">
        <v>721</v>
      </c>
      <c r="P3092" s="79">
        <f>+N3091-P3091</f>
        <v>0</v>
      </c>
    </row>
    <row r="3093" spans="9:16" ht="15" customHeight="1">
      <c r="I3093" s="881"/>
      <c r="J3093" s="875"/>
      <c r="K3093" s="877"/>
      <c r="L3093" s="879"/>
      <c r="M3093" s="881"/>
      <c r="N3093" s="883"/>
      <c r="O3093" s="55"/>
      <c r="P3093" s="78"/>
    </row>
    <row r="3094" spans="9:16" ht="15.75" customHeight="1" thickBot="1">
      <c r="I3094" s="882"/>
      <c r="J3094" s="876"/>
      <c r="K3094" s="878"/>
      <c r="L3094" s="880"/>
      <c r="M3094" s="882"/>
      <c r="N3094" s="884"/>
      <c r="O3094" s="56"/>
      <c r="P3094" s="79"/>
    </row>
    <row r="3095" spans="9:16" ht="14.25" customHeight="1">
      <c r="I3095" s="881"/>
      <c r="J3095" s="875"/>
      <c r="K3095" s="877"/>
      <c r="L3095" s="879"/>
      <c r="M3095" s="881"/>
      <c r="N3095" s="883"/>
      <c r="O3095" s="55">
        <v>719</v>
      </c>
      <c r="P3095" s="78"/>
    </row>
    <row r="3096" spans="9:16" ht="13.5" customHeight="1" thickBot="1">
      <c r="I3096" s="882"/>
      <c r="J3096" s="876"/>
      <c r="K3096" s="878"/>
      <c r="L3096" s="880"/>
      <c r="M3096" s="882"/>
      <c r="N3096" s="884"/>
      <c r="O3096" s="56">
        <v>721</v>
      </c>
      <c r="P3096" s="79">
        <f>+N3095-P3095</f>
        <v>0</v>
      </c>
    </row>
    <row r="3097" spans="9:16" ht="16.5" thickBot="1">
      <c r="I3097" s="901" t="s">
        <v>102</v>
      </c>
      <c r="J3097" s="902"/>
      <c r="K3097" s="902"/>
      <c r="L3097" s="902"/>
      <c r="M3097" s="903"/>
      <c r="N3097" s="81">
        <f>SUM(N3087:N3096)</f>
        <v>250000</v>
      </c>
    </row>
    <row r="3098" spans="9:16" ht="16.5" thickBot="1">
      <c r="I3098" s="885" t="s">
        <v>103</v>
      </c>
      <c r="J3098" s="886"/>
      <c r="K3098" s="886"/>
      <c r="L3098" s="886"/>
      <c r="M3098" s="887"/>
      <c r="N3098" s="69">
        <f>+N3062</f>
        <v>595413052</v>
      </c>
      <c r="O3098" s="241" t="s">
        <v>561</v>
      </c>
      <c r="P3098" s="242">
        <f>158+308+108</f>
        <v>574</v>
      </c>
    </row>
    <row r="3099" spans="9:16" ht="16.5" thickBot="1">
      <c r="I3099" s="888" t="s">
        <v>104</v>
      </c>
      <c r="J3099" s="889"/>
      <c r="K3099" s="889"/>
      <c r="L3099" s="889"/>
      <c r="M3099" s="890"/>
      <c r="N3099" s="183">
        <f>SUM(N3097:N3098)</f>
        <v>595663052</v>
      </c>
    </row>
    <row r="3100" spans="9:16">
      <c r="I3100" s="61"/>
      <c r="J3100" s="61"/>
      <c r="K3100" s="61"/>
      <c r="L3100" s="61"/>
      <c r="M3100" s="61"/>
    </row>
    <row r="3101" spans="9:16">
      <c r="I3101" s="51" t="s">
        <v>1228</v>
      </c>
    </row>
    <row r="3102" spans="9:16" ht="12.75" customHeight="1">
      <c r="N3102" s="139"/>
    </row>
    <row r="3103" spans="9:16">
      <c r="I3103" s="50" t="s">
        <v>105</v>
      </c>
      <c r="L3103" s="146"/>
      <c r="N3103" s="139"/>
    </row>
    <row r="3104" spans="9:16" ht="12.75" customHeight="1" thickBot="1"/>
    <row r="3105" spans="9:16" ht="15.75" thickBot="1">
      <c r="I3105" s="891" t="s">
        <v>106</v>
      </c>
      <c r="J3105" s="892"/>
      <c r="K3105" s="892"/>
      <c r="L3105" s="893"/>
      <c r="N3105" s="50" t="s">
        <v>288</v>
      </c>
    </row>
    <row r="3106" spans="9:16" ht="30.75" thickBot="1">
      <c r="I3106" s="57" t="s">
        <v>100</v>
      </c>
      <c r="J3106" s="58" t="s">
        <v>108</v>
      </c>
      <c r="K3106" s="287" t="s">
        <v>109</v>
      </c>
      <c r="L3106" s="60" t="s">
        <v>110</v>
      </c>
    </row>
    <row r="3107" spans="9:16">
      <c r="I3107" s="71">
        <v>719</v>
      </c>
      <c r="J3107" s="73">
        <f>+P3087+P3089+P3091+P3093</f>
        <v>250000</v>
      </c>
      <c r="K3107" s="74">
        <f>+L3070</f>
        <v>59640000</v>
      </c>
      <c r="L3107" s="195">
        <f>+J3107+K3107</f>
        <v>59890000</v>
      </c>
    </row>
    <row r="3108" spans="9:16">
      <c r="I3108" s="72">
        <v>721</v>
      </c>
      <c r="J3108" s="80"/>
      <c r="K3108" s="74">
        <f>+L3071</f>
        <v>181541046</v>
      </c>
      <c r="L3108" s="195">
        <f>+J3108+K3108</f>
        <v>181541046</v>
      </c>
    </row>
    <row r="3109" spans="9:16">
      <c r="I3109" s="72">
        <v>722</v>
      </c>
      <c r="J3109" s="80"/>
      <c r="K3109" s="74">
        <f>+L3072</f>
        <v>62543334</v>
      </c>
      <c r="L3109" s="195">
        <f>+J3109+K3109</f>
        <v>62543334</v>
      </c>
    </row>
    <row r="3110" spans="9:16" ht="15.75">
      <c r="I3110" s="72">
        <v>723</v>
      </c>
      <c r="J3110" s="80">
        <f>+P3094</f>
        <v>0</v>
      </c>
      <c r="K3110" s="74">
        <f>+L3073</f>
        <v>291120052</v>
      </c>
      <c r="L3110" s="195">
        <f>+J3110+K3110</f>
        <v>291120052</v>
      </c>
      <c r="N3110" s="193" t="s">
        <v>289</v>
      </c>
      <c r="O3110" s="175"/>
    </row>
    <row r="3111" spans="9:16" ht="16.5" thickBot="1">
      <c r="I3111" s="164" t="s">
        <v>1077</v>
      </c>
      <c r="J3111" s="165"/>
      <c r="K3111" s="74">
        <f>+L3074</f>
        <v>498620</v>
      </c>
      <c r="L3111" s="196">
        <f>+J3111+K3111</f>
        <v>498620</v>
      </c>
      <c r="N3111" s="52"/>
    </row>
    <row r="3112" spans="9:16" ht="16.5" thickBot="1">
      <c r="I3112" s="169"/>
      <c r="J3112" s="197">
        <f>SUM(J3107:J3111)</f>
        <v>250000</v>
      </c>
      <c r="K3112" s="197">
        <f>SUM(K3107:K3111)</f>
        <v>595343052</v>
      </c>
      <c r="L3112" s="198">
        <f>SUM(L3107:L3111)</f>
        <v>595593052</v>
      </c>
    </row>
    <row r="3113" spans="9:16" ht="16.5">
      <c r="I3113" s="49" t="s">
        <v>88</v>
      </c>
      <c r="J3113" s="50"/>
    </row>
    <row r="3114" spans="9:16">
      <c r="I3114" s="51" t="s">
        <v>89</v>
      </c>
    </row>
    <row r="3115" spans="9:16">
      <c r="I3115" s="51" t="s">
        <v>90</v>
      </c>
    </row>
    <row r="3116" spans="9:16">
      <c r="I3116" s="51" t="s">
        <v>91</v>
      </c>
    </row>
    <row r="3117" spans="9:16" ht="12" customHeight="1">
      <c r="I3117" s="50"/>
      <c r="J3117" s="50"/>
    </row>
    <row r="3118" spans="9:16" ht="15.75">
      <c r="I3118" s="260" t="s">
        <v>1227</v>
      </c>
      <c r="O3118" s="52"/>
    </row>
    <row r="3119" spans="9:16" ht="15.75">
      <c r="I3119" s="53" t="s">
        <v>535</v>
      </c>
      <c r="O3119" s="53"/>
    </row>
    <row r="3120" spans="9:16" ht="16.5">
      <c r="I3120" s="894" t="s">
        <v>1226</v>
      </c>
      <c r="J3120" s="894"/>
      <c r="K3120" s="894"/>
      <c r="L3120" s="894"/>
      <c r="M3120" s="894"/>
      <c r="N3120" s="894"/>
      <c r="O3120" s="894"/>
      <c r="P3120" s="894"/>
    </row>
    <row r="3121" spans="9:16" ht="15.75" thickBot="1"/>
    <row r="3122" spans="9:16">
      <c r="I3122" s="895" t="s">
        <v>94</v>
      </c>
      <c r="J3122" s="897" t="s">
        <v>95</v>
      </c>
      <c r="K3122" s="897" t="s">
        <v>96</v>
      </c>
      <c r="L3122" s="897" t="s">
        <v>3</v>
      </c>
      <c r="M3122" s="897" t="s">
        <v>97</v>
      </c>
      <c r="N3122" s="897" t="s">
        <v>98</v>
      </c>
      <c r="O3122" s="897" t="s">
        <v>99</v>
      </c>
      <c r="P3122" s="899"/>
    </row>
    <row r="3123" spans="9:16" ht="15.75" thickBot="1">
      <c r="I3123" s="896"/>
      <c r="J3123" s="898"/>
      <c r="K3123" s="898"/>
      <c r="L3123" s="898"/>
      <c r="M3123" s="898"/>
      <c r="N3123" s="898"/>
      <c r="O3123" s="240" t="s">
        <v>100</v>
      </c>
      <c r="P3123" s="182" t="s">
        <v>101</v>
      </c>
    </row>
    <row r="3124" spans="9:16">
      <c r="I3124" s="881">
        <v>334</v>
      </c>
      <c r="J3124" s="875">
        <v>42704</v>
      </c>
      <c r="K3124" s="877" t="s">
        <v>267</v>
      </c>
      <c r="L3124" s="879" t="s">
        <v>1233</v>
      </c>
      <c r="M3124" s="881" t="s">
        <v>148</v>
      </c>
      <c r="N3124" s="883">
        <v>65000</v>
      </c>
      <c r="O3124" s="55">
        <v>719</v>
      </c>
      <c r="P3124" s="78">
        <v>50000</v>
      </c>
    </row>
    <row r="3125" spans="9:16" ht="15.75" thickBot="1">
      <c r="I3125" s="882"/>
      <c r="J3125" s="876"/>
      <c r="K3125" s="878"/>
      <c r="L3125" s="880"/>
      <c r="M3125" s="882"/>
      <c r="N3125" s="884"/>
      <c r="O3125" s="56">
        <v>721</v>
      </c>
      <c r="P3125" s="79">
        <f>+N3124-P3124</f>
        <v>15000</v>
      </c>
    </row>
    <row r="3126" spans="9:16" ht="15" customHeight="1">
      <c r="I3126" s="881">
        <v>335</v>
      </c>
      <c r="J3126" s="875">
        <v>42704</v>
      </c>
      <c r="K3126" s="877" t="s">
        <v>28</v>
      </c>
      <c r="L3126" s="879" t="s">
        <v>1234</v>
      </c>
      <c r="M3126" s="881" t="s">
        <v>148</v>
      </c>
      <c r="N3126" s="883">
        <v>390000</v>
      </c>
      <c r="O3126" s="55">
        <v>719</v>
      </c>
      <c r="P3126" s="78">
        <v>300000</v>
      </c>
    </row>
    <row r="3127" spans="9:16" ht="15.75" customHeight="1" thickBot="1">
      <c r="I3127" s="882"/>
      <c r="J3127" s="876"/>
      <c r="K3127" s="878"/>
      <c r="L3127" s="880"/>
      <c r="M3127" s="882"/>
      <c r="N3127" s="884"/>
      <c r="O3127" s="56">
        <v>721</v>
      </c>
      <c r="P3127" s="79">
        <f>+N3126-P3126</f>
        <v>90000</v>
      </c>
    </row>
    <row r="3128" spans="9:16" ht="15" customHeight="1">
      <c r="I3128" s="881">
        <v>336</v>
      </c>
      <c r="J3128" s="875">
        <v>42704</v>
      </c>
      <c r="K3128" s="877" t="s">
        <v>111</v>
      </c>
      <c r="L3128" s="879" t="s">
        <v>1232</v>
      </c>
      <c r="M3128" s="881" t="s">
        <v>148</v>
      </c>
      <c r="N3128" s="883">
        <v>104000</v>
      </c>
      <c r="O3128" s="55">
        <v>719</v>
      </c>
      <c r="P3128" s="78">
        <v>80000</v>
      </c>
    </row>
    <row r="3129" spans="9:16" ht="15.75" customHeight="1" thickBot="1">
      <c r="I3129" s="882"/>
      <c r="J3129" s="876"/>
      <c r="K3129" s="878"/>
      <c r="L3129" s="880"/>
      <c r="M3129" s="882"/>
      <c r="N3129" s="884"/>
      <c r="O3129" s="56">
        <v>721</v>
      </c>
      <c r="P3129" s="79">
        <f>+N3128-P3128</f>
        <v>24000</v>
      </c>
    </row>
    <row r="3130" spans="9:16" ht="15" customHeight="1">
      <c r="I3130" s="881">
        <v>337</v>
      </c>
      <c r="J3130" s="875">
        <v>42704</v>
      </c>
      <c r="K3130" s="877" t="s">
        <v>1014</v>
      </c>
      <c r="L3130" s="879" t="s">
        <v>1231</v>
      </c>
      <c r="M3130" s="881" t="s">
        <v>148</v>
      </c>
      <c r="N3130" s="883">
        <v>676000</v>
      </c>
      <c r="O3130" s="55">
        <v>719</v>
      </c>
      <c r="P3130" s="78">
        <v>520000</v>
      </c>
    </row>
    <row r="3131" spans="9:16" ht="15.75" customHeight="1" thickBot="1">
      <c r="I3131" s="882"/>
      <c r="J3131" s="876"/>
      <c r="K3131" s="878"/>
      <c r="L3131" s="880"/>
      <c r="M3131" s="882"/>
      <c r="N3131" s="884"/>
      <c r="O3131" s="56">
        <v>721</v>
      </c>
      <c r="P3131" s="79">
        <f>+N3130-P3130</f>
        <v>156000</v>
      </c>
    </row>
    <row r="3132" spans="9:16" ht="15" customHeight="1">
      <c r="I3132" s="881">
        <v>338</v>
      </c>
      <c r="J3132" s="875">
        <v>42704</v>
      </c>
      <c r="K3132" s="877" t="s">
        <v>1223</v>
      </c>
      <c r="L3132" s="879" t="s">
        <v>1225</v>
      </c>
      <c r="M3132" s="881" t="s">
        <v>148</v>
      </c>
      <c r="N3132" s="883">
        <v>6240000</v>
      </c>
      <c r="O3132" s="55">
        <v>719</v>
      </c>
      <c r="P3132" s="78">
        <v>0</v>
      </c>
    </row>
    <row r="3133" spans="9:16" ht="15.75" customHeight="1" thickBot="1">
      <c r="I3133" s="882"/>
      <c r="J3133" s="876"/>
      <c r="K3133" s="878"/>
      <c r="L3133" s="880"/>
      <c r="M3133" s="882"/>
      <c r="N3133" s="884"/>
      <c r="O3133" s="56">
        <v>723</v>
      </c>
      <c r="P3133" s="79">
        <f>+N3132-P3132</f>
        <v>6240000</v>
      </c>
    </row>
    <row r="3134" spans="9:16" ht="16.5" thickBot="1">
      <c r="I3134" s="901" t="s">
        <v>102</v>
      </c>
      <c r="J3134" s="902"/>
      <c r="K3134" s="902"/>
      <c r="L3134" s="902"/>
      <c r="M3134" s="903"/>
      <c r="N3134" s="81">
        <f>SUM(N3124:N3133)</f>
        <v>7475000</v>
      </c>
    </row>
    <row r="3135" spans="9:16" ht="16.5" thickBot="1">
      <c r="I3135" s="885" t="s">
        <v>103</v>
      </c>
      <c r="J3135" s="886"/>
      <c r="K3135" s="886"/>
      <c r="L3135" s="886"/>
      <c r="M3135" s="887"/>
      <c r="N3135" s="69">
        <f>+N3099</f>
        <v>595663052</v>
      </c>
      <c r="O3135" s="241" t="s">
        <v>561</v>
      </c>
      <c r="P3135" s="242">
        <f>33+37+514+915</f>
        <v>1499</v>
      </c>
    </row>
    <row r="3136" spans="9:16" ht="16.5" thickBot="1">
      <c r="I3136" s="888" t="s">
        <v>104</v>
      </c>
      <c r="J3136" s="889"/>
      <c r="K3136" s="889"/>
      <c r="L3136" s="889"/>
      <c r="M3136" s="890"/>
      <c r="N3136" s="183">
        <f>SUM(N3134:N3135)</f>
        <v>603138052</v>
      </c>
    </row>
    <row r="3137" spans="9:15" ht="12.75" customHeight="1">
      <c r="I3137" s="61"/>
      <c r="J3137" s="61"/>
      <c r="K3137" s="61"/>
      <c r="L3137" s="61"/>
      <c r="M3137" s="61"/>
    </row>
    <row r="3138" spans="9:15">
      <c r="I3138" s="51" t="s">
        <v>1230</v>
      </c>
    </row>
    <row r="3139" spans="9:15" ht="13.5" customHeight="1">
      <c r="N3139" s="139"/>
    </row>
    <row r="3140" spans="9:15">
      <c r="I3140" s="50" t="s">
        <v>105</v>
      </c>
      <c r="L3140" s="146"/>
      <c r="N3140" s="139"/>
    </row>
    <row r="3141" spans="9:15" ht="13.5" customHeight="1" thickBot="1"/>
    <row r="3142" spans="9:15" ht="15.75" thickBot="1">
      <c r="I3142" s="891" t="s">
        <v>106</v>
      </c>
      <c r="J3142" s="892"/>
      <c r="K3142" s="892"/>
      <c r="L3142" s="893"/>
      <c r="N3142" s="50" t="s">
        <v>288</v>
      </c>
    </row>
    <row r="3143" spans="9:15" ht="30.75" thickBot="1">
      <c r="I3143" s="57" t="s">
        <v>100</v>
      </c>
      <c r="J3143" s="58" t="s">
        <v>108</v>
      </c>
      <c r="K3143" s="287" t="s">
        <v>109</v>
      </c>
      <c r="L3143" s="60" t="s">
        <v>110</v>
      </c>
    </row>
    <row r="3144" spans="9:15">
      <c r="I3144" s="71">
        <v>719</v>
      </c>
      <c r="J3144" s="73">
        <f>+P3124+P3126+P3128+P3130</f>
        <v>950000</v>
      </c>
      <c r="K3144" s="74">
        <f>+L3107</f>
        <v>59890000</v>
      </c>
      <c r="L3144" s="195">
        <f>+J3144+K3144</f>
        <v>60840000</v>
      </c>
    </row>
    <row r="3145" spans="9:15">
      <c r="I3145" s="72">
        <v>721</v>
      </c>
      <c r="J3145" s="80">
        <f>+P3131+P3129+P3127+P3125</f>
        <v>285000</v>
      </c>
      <c r="K3145" s="74">
        <f>+L3108</f>
        <v>181541046</v>
      </c>
      <c r="L3145" s="195">
        <f>+J3145+K3145</f>
        <v>181826046</v>
      </c>
    </row>
    <row r="3146" spans="9:15">
      <c r="I3146" s="72">
        <v>722</v>
      </c>
      <c r="J3146" s="80"/>
      <c r="K3146" s="74">
        <f>+L3109</f>
        <v>62543334</v>
      </c>
      <c r="L3146" s="195">
        <f>+J3146+K3146</f>
        <v>62543334</v>
      </c>
    </row>
    <row r="3147" spans="9:15" ht="15.75">
      <c r="I3147" s="72">
        <v>723</v>
      </c>
      <c r="J3147" s="80">
        <f>+P3133</f>
        <v>6240000</v>
      </c>
      <c r="K3147" s="74">
        <f>+L3110</f>
        <v>291120052</v>
      </c>
      <c r="L3147" s="195">
        <f>+J3147+K3147</f>
        <v>297360052</v>
      </c>
      <c r="N3147" s="193" t="s">
        <v>289</v>
      </c>
      <c r="O3147" s="175"/>
    </row>
    <row r="3148" spans="9:15" ht="16.5" thickBot="1">
      <c r="I3148" s="164" t="s">
        <v>1077</v>
      </c>
      <c r="J3148" s="165"/>
      <c r="K3148" s="74">
        <f>+L3111</f>
        <v>498620</v>
      </c>
      <c r="L3148" s="196">
        <f>+J3148+K3148</f>
        <v>498620</v>
      </c>
      <c r="N3148" s="52"/>
    </row>
    <row r="3149" spans="9:15" ht="16.5" thickBot="1">
      <c r="I3149" s="169"/>
      <c r="J3149" s="197">
        <f>SUM(J3144:J3148)</f>
        <v>7475000</v>
      </c>
      <c r="K3149" s="197">
        <f>SUM(K3144:K3148)</f>
        <v>595593052</v>
      </c>
      <c r="L3149" s="198">
        <f>SUM(L3144:L3148)</f>
        <v>603068052</v>
      </c>
    </row>
    <row r="3150" spans="9:15" ht="16.5">
      <c r="I3150" s="49" t="s">
        <v>88</v>
      </c>
      <c r="J3150" s="50"/>
    </row>
    <row r="3151" spans="9:15">
      <c r="I3151" s="51" t="s">
        <v>89</v>
      </c>
      <c r="L3151" s="139"/>
    </row>
    <row r="3152" spans="9:15">
      <c r="I3152" s="51" t="s">
        <v>90</v>
      </c>
    </row>
    <row r="3153" spans="9:16">
      <c r="I3153" s="51" t="s">
        <v>91</v>
      </c>
    </row>
    <row r="3154" spans="9:16" ht="9.75" customHeight="1">
      <c r="I3154" s="50"/>
      <c r="J3154" s="50"/>
    </row>
    <row r="3155" spans="9:16" ht="15.75">
      <c r="I3155" s="260" t="s">
        <v>1238</v>
      </c>
      <c r="O3155" s="52"/>
    </row>
    <row r="3156" spans="9:16" ht="15.75">
      <c r="I3156" s="53" t="s">
        <v>535</v>
      </c>
      <c r="O3156" s="53"/>
    </row>
    <row r="3157" spans="9:16" ht="16.5">
      <c r="I3157" s="894" t="s">
        <v>1243</v>
      </c>
      <c r="J3157" s="894"/>
      <c r="K3157" s="894"/>
      <c r="L3157" s="894"/>
      <c r="M3157" s="894"/>
      <c r="N3157" s="894"/>
      <c r="O3157" s="894"/>
      <c r="P3157" s="894"/>
    </row>
    <row r="3158" spans="9:16" ht="13.5" customHeight="1" thickBot="1"/>
    <row r="3159" spans="9:16">
      <c r="I3159" s="895" t="s">
        <v>94</v>
      </c>
      <c r="J3159" s="897" t="s">
        <v>95</v>
      </c>
      <c r="K3159" s="897" t="s">
        <v>96</v>
      </c>
      <c r="L3159" s="897" t="s">
        <v>3</v>
      </c>
      <c r="M3159" s="897" t="s">
        <v>97</v>
      </c>
      <c r="N3159" s="897" t="s">
        <v>98</v>
      </c>
      <c r="O3159" s="897" t="s">
        <v>99</v>
      </c>
      <c r="P3159" s="899"/>
    </row>
    <row r="3160" spans="9:16" ht="15.75" thickBot="1">
      <c r="I3160" s="896"/>
      <c r="J3160" s="898"/>
      <c r="K3160" s="898"/>
      <c r="L3160" s="898"/>
      <c r="M3160" s="898"/>
      <c r="N3160" s="898"/>
      <c r="O3160" s="240" t="s">
        <v>100</v>
      </c>
      <c r="P3160" s="182" t="s">
        <v>101</v>
      </c>
    </row>
    <row r="3161" spans="9:16" ht="13.5" customHeight="1">
      <c r="I3161" s="881">
        <v>339</v>
      </c>
      <c r="J3161" s="875">
        <v>42712</v>
      </c>
      <c r="K3161" s="877" t="s">
        <v>1014</v>
      </c>
      <c r="L3161" s="879" t="s">
        <v>1239</v>
      </c>
      <c r="M3161" s="881" t="s">
        <v>115</v>
      </c>
      <c r="N3161" s="883">
        <v>80000</v>
      </c>
      <c r="O3161" s="55">
        <v>719</v>
      </c>
      <c r="P3161" s="78">
        <v>80000</v>
      </c>
    </row>
    <row r="3162" spans="9:16" ht="13.5" customHeight="1" thickBot="1">
      <c r="I3162" s="882"/>
      <c r="J3162" s="876"/>
      <c r="K3162" s="878"/>
      <c r="L3162" s="880"/>
      <c r="M3162" s="882"/>
      <c r="N3162" s="884"/>
      <c r="O3162" s="56">
        <v>721</v>
      </c>
      <c r="P3162" s="79">
        <f>+N3161-P3161</f>
        <v>0</v>
      </c>
    </row>
    <row r="3163" spans="9:16" ht="14.25" customHeight="1">
      <c r="I3163" s="881">
        <v>340</v>
      </c>
      <c r="J3163" s="875">
        <v>42712</v>
      </c>
      <c r="K3163" s="877" t="s">
        <v>120</v>
      </c>
      <c r="L3163" s="879" t="s">
        <v>1239</v>
      </c>
      <c r="M3163" s="881" t="s">
        <v>115</v>
      </c>
      <c r="N3163" s="883">
        <v>140000</v>
      </c>
      <c r="O3163" s="55">
        <v>719</v>
      </c>
      <c r="P3163" s="78">
        <v>140000</v>
      </c>
    </row>
    <row r="3164" spans="9:16" ht="14.25" customHeight="1" thickBot="1">
      <c r="I3164" s="882"/>
      <c r="J3164" s="876"/>
      <c r="K3164" s="878"/>
      <c r="L3164" s="880"/>
      <c r="M3164" s="882"/>
      <c r="N3164" s="884"/>
      <c r="O3164" s="56">
        <v>721</v>
      </c>
      <c r="P3164" s="79">
        <f>+N3163-P3163</f>
        <v>0</v>
      </c>
    </row>
    <row r="3165" spans="9:16" ht="12.75" customHeight="1">
      <c r="I3165" s="881">
        <v>341</v>
      </c>
      <c r="J3165" s="875">
        <v>42712</v>
      </c>
      <c r="K3165" s="877" t="s">
        <v>28</v>
      </c>
      <c r="L3165" s="879" t="s">
        <v>1239</v>
      </c>
      <c r="M3165" s="881" t="s">
        <v>115</v>
      </c>
      <c r="N3165" s="883">
        <v>60000</v>
      </c>
      <c r="O3165" s="55">
        <v>719</v>
      </c>
      <c r="P3165" s="78">
        <v>60000</v>
      </c>
    </row>
    <row r="3166" spans="9:16" ht="13.5" customHeight="1" thickBot="1">
      <c r="I3166" s="882"/>
      <c r="J3166" s="876"/>
      <c r="K3166" s="878"/>
      <c r="L3166" s="880"/>
      <c r="M3166" s="882"/>
      <c r="N3166" s="884"/>
      <c r="O3166" s="56">
        <v>721</v>
      </c>
      <c r="P3166" s="79">
        <f>+N3165-P3165</f>
        <v>0</v>
      </c>
    </row>
    <row r="3167" spans="9:16" ht="13.5" customHeight="1">
      <c r="I3167" s="881">
        <v>342</v>
      </c>
      <c r="J3167" s="875">
        <v>42712</v>
      </c>
      <c r="K3167" s="877" t="s">
        <v>1174</v>
      </c>
      <c r="L3167" s="879" t="s">
        <v>1240</v>
      </c>
      <c r="M3167" s="881" t="s">
        <v>148</v>
      </c>
      <c r="N3167" s="883">
        <v>6287553</v>
      </c>
      <c r="O3167" s="55">
        <v>719</v>
      </c>
      <c r="P3167" s="78"/>
    </row>
    <row r="3168" spans="9:16" ht="15.75" customHeight="1" thickBot="1">
      <c r="I3168" s="882"/>
      <c r="J3168" s="876"/>
      <c r="K3168" s="878"/>
      <c r="L3168" s="880"/>
      <c r="M3168" s="882"/>
      <c r="N3168" s="884"/>
      <c r="O3168" s="56">
        <v>723</v>
      </c>
      <c r="P3168" s="79">
        <f>+N3167-P3167</f>
        <v>6287553</v>
      </c>
    </row>
    <row r="3169" spans="9:16" ht="14.25" customHeight="1">
      <c r="I3169" s="881">
        <v>343</v>
      </c>
      <c r="J3169" s="875">
        <v>42712</v>
      </c>
      <c r="K3169" s="877" t="s">
        <v>738</v>
      </c>
      <c r="L3169" s="879" t="s">
        <v>1244</v>
      </c>
      <c r="M3169" s="881" t="s">
        <v>148</v>
      </c>
      <c r="N3169" s="883">
        <v>5345430</v>
      </c>
      <c r="O3169" s="55">
        <v>719</v>
      </c>
      <c r="P3169" s="78">
        <v>0</v>
      </c>
    </row>
    <row r="3170" spans="9:16" ht="14.25" customHeight="1" thickBot="1">
      <c r="I3170" s="882"/>
      <c r="J3170" s="876"/>
      <c r="K3170" s="878"/>
      <c r="L3170" s="880"/>
      <c r="M3170" s="882"/>
      <c r="N3170" s="884"/>
      <c r="O3170" s="56">
        <v>721</v>
      </c>
      <c r="P3170" s="351">
        <f>+N3169-P3169</f>
        <v>5345430</v>
      </c>
    </row>
    <row r="3171" spans="9:16" ht="13.5" customHeight="1">
      <c r="I3171" s="881">
        <v>344</v>
      </c>
      <c r="J3171" s="875">
        <v>42712</v>
      </c>
      <c r="K3171" s="877" t="s">
        <v>738</v>
      </c>
      <c r="L3171" s="879" t="s">
        <v>1245</v>
      </c>
      <c r="M3171" s="881" t="s">
        <v>148</v>
      </c>
      <c r="N3171" s="883">
        <v>64517844</v>
      </c>
      <c r="O3171" s="55">
        <v>719</v>
      </c>
      <c r="P3171" s="78">
        <v>0</v>
      </c>
    </row>
    <row r="3172" spans="9:16" ht="13.5" customHeight="1" thickBot="1">
      <c r="I3172" s="882"/>
      <c r="J3172" s="876"/>
      <c r="K3172" s="878"/>
      <c r="L3172" s="880"/>
      <c r="M3172" s="882"/>
      <c r="N3172" s="884"/>
      <c r="O3172" s="56">
        <v>721</v>
      </c>
      <c r="P3172" s="351">
        <f>+N3171-P3171</f>
        <v>64517844</v>
      </c>
    </row>
    <row r="3173" spans="9:16" ht="16.5" thickBot="1">
      <c r="I3173" s="901" t="s">
        <v>102</v>
      </c>
      <c r="J3173" s="902"/>
      <c r="K3173" s="902"/>
      <c r="L3173" s="902"/>
      <c r="M3173" s="903"/>
      <c r="N3173" s="81">
        <f>SUM(N3161:N3172)</f>
        <v>76430827</v>
      </c>
    </row>
    <row r="3174" spans="9:16" ht="16.5" thickBot="1">
      <c r="I3174" s="885" t="s">
        <v>103</v>
      </c>
      <c r="J3174" s="886"/>
      <c r="K3174" s="886"/>
      <c r="L3174" s="886"/>
      <c r="M3174" s="887"/>
      <c r="N3174" s="69">
        <f>+N3136</f>
        <v>603138052</v>
      </c>
      <c r="O3174" s="241" t="s">
        <v>561</v>
      </c>
      <c r="P3174" s="242">
        <f>95+174+227</f>
        <v>496</v>
      </c>
    </row>
    <row r="3175" spans="9:16" ht="16.5" thickBot="1">
      <c r="I3175" s="888" t="s">
        <v>104</v>
      </c>
      <c r="J3175" s="889"/>
      <c r="K3175" s="889"/>
      <c r="L3175" s="889"/>
      <c r="M3175" s="890"/>
      <c r="N3175" s="183">
        <f>SUM(N3173:N3174)</f>
        <v>679568879</v>
      </c>
    </row>
    <row r="3176" spans="9:16" ht="13.5" customHeight="1">
      <c r="I3176" s="61"/>
      <c r="J3176" s="61"/>
      <c r="K3176" s="61"/>
      <c r="L3176" s="61"/>
      <c r="M3176" s="61"/>
    </row>
    <row r="3177" spans="9:16">
      <c r="I3177" s="51" t="s">
        <v>1246</v>
      </c>
    </row>
    <row r="3178" spans="9:16" ht="11.25" customHeight="1">
      <c r="N3178" s="139"/>
    </row>
    <row r="3179" spans="9:16">
      <c r="I3179" s="50" t="s">
        <v>105</v>
      </c>
      <c r="L3179" s="146"/>
      <c r="N3179" s="139"/>
    </row>
    <row r="3180" spans="9:16" ht="11.25" customHeight="1" thickBot="1"/>
    <row r="3181" spans="9:16" ht="15.75" thickBot="1">
      <c r="I3181" s="891" t="s">
        <v>106</v>
      </c>
      <c r="J3181" s="892"/>
      <c r="K3181" s="892"/>
      <c r="L3181" s="893"/>
      <c r="N3181" s="50" t="s">
        <v>1126</v>
      </c>
    </row>
    <row r="3182" spans="9:16" ht="30.75" thickBot="1">
      <c r="I3182" s="57" t="s">
        <v>100</v>
      </c>
      <c r="J3182" s="58" t="s">
        <v>108</v>
      </c>
      <c r="K3182" s="287" t="s">
        <v>109</v>
      </c>
      <c r="L3182" s="60" t="s">
        <v>110</v>
      </c>
    </row>
    <row r="3183" spans="9:16">
      <c r="I3183" s="71">
        <v>719</v>
      </c>
      <c r="J3183" s="73">
        <f>+P3161+P3165+P3167+P3163</f>
        <v>280000</v>
      </c>
      <c r="K3183" s="74">
        <f>+L3144</f>
        <v>60840000</v>
      </c>
      <c r="L3183" s="195">
        <f>+J3183+K3183</f>
        <v>61120000</v>
      </c>
    </row>
    <row r="3184" spans="9:16">
      <c r="I3184" s="72">
        <v>721</v>
      </c>
      <c r="J3184" s="80">
        <f>+P3172</f>
        <v>64517844</v>
      </c>
      <c r="K3184" s="74">
        <f>+L3145</f>
        <v>181826046</v>
      </c>
      <c r="L3184" s="195">
        <f>+J3184+K3184</f>
        <v>246343890</v>
      </c>
    </row>
    <row r="3185" spans="9:16" ht="13.5" customHeight="1">
      <c r="I3185" s="72">
        <v>722</v>
      </c>
      <c r="J3185" s="80"/>
      <c r="K3185" s="74">
        <f>+L3146</f>
        <v>62543334</v>
      </c>
      <c r="L3185" s="195">
        <f>+J3185+K3185</f>
        <v>62543334</v>
      </c>
    </row>
    <row r="3186" spans="9:16" ht="14.25" customHeight="1">
      <c r="I3186" s="72">
        <v>723</v>
      </c>
      <c r="J3186" s="80">
        <f>+P3168+P3170</f>
        <v>11632983</v>
      </c>
      <c r="K3186" s="74">
        <f>+L3147</f>
        <v>297360052</v>
      </c>
      <c r="L3186" s="195">
        <f>+J3186+K3186</f>
        <v>308993035</v>
      </c>
      <c r="M3186" s="139"/>
      <c r="N3186" s="193" t="s">
        <v>1125</v>
      </c>
      <c r="O3186" s="175"/>
    </row>
    <row r="3187" spans="9:16" ht="15" customHeight="1" thickBot="1">
      <c r="I3187" s="164" t="s">
        <v>1077</v>
      </c>
      <c r="J3187" s="165"/>
      <c r="K3187" s="74">
        <f>+L3148</f>
        <v>498620</v>
      </c>
      <c r="L3187" s="196">
        <f>+J3187+K3187</f>
        <v>498620</v>
      </c>
      <c r="N3187" s="52"/>
    </row>
    <row r="3188" spans="9:16" ht="16.5" thickBot="1">
      <c r="I3188" s="169"/>
      <c r="J3188" s="197">
        <f>SUM(J3183:J3187)</f>
        <v>76430827</v>
      </c>
      <c r="K3188" s="197">
        <f>SUM(K3183:K3187)</f>
        <v>603068052</v>
      </c>
      <c r="L3188" s="198">
        <f>SUM(L3183:L3187)</f>
        <v>679498879</v>
      </c>
    </row>
    <row r="3189" spans="9:16" ht="16.5">
      <c r="I3189" s="49" t="s">
        <v>88</v>
      </c>
      <c r="J3189" s="50"/>
    </row>
    <row r="3190" spans="9:16">
      <c r="I3190" s="51" t="s">
        <v>89</v>
      </c>
    </row>
    <row r="3191" spans="9:16">
      <c r="I3191" s="51" t="s">
        <v>90</v>
      </c>
    </row>
    <row r="3192" spans="9:16">
      <c r="I3192" s="51" t="s">
        <v>91</v>
      </c>
    </row>
    <row r="3193" spans="9:16" ht="17.25" customHeight="1">
      <c r="I3193" s="50"/>
      <c r="J3193" s="50"/>
    </row>
    <row r="3194" spans="9:16" ht="15.75">
      <c r="I3194" s="260" t="s">
        <v>1242</v>
      </c>
      <c r="O3194" s="52"/>
    </row>
    <row r="3195" spans="9:16" ht="18" customHeight="1">
      <c r="I3195" s="53" t="s">
        <v>535</v>
      </c>
      <c r="O3195" s="53"/>
    </row>
    <row r="3196" spans="9:16" ht="16.5">
      <c r="I3196" s="894" t="s">
        <v>1278</v>
      </c>
      <c r="J3196" s="894"/>
      <c r="K3196" s="894"/>
      <c r="L3196" s="894"/>
      <c r="M3196" s="894"/>
      <c r="N3196" s="894"/>
      <c r="O3196" s="894"/>
      <c r="P3196" s="894"/>
    </row>
    <row r="3197" spans="9:16" ht="15.75" thickBot="1"/>
    <row r="3198" spans="9:16">
      <c r="I3198" s="895" t="s">
        <v>94</v>
      </c>
      <c r="J3198" s="897" t="s">
        <v>95</v>
      </c>
      <c r="K3198" s="897" t="s">
        <v>96</v>
      </c>
      <c r="L3198" s="897" t="s">
        <v>3</v>
      </c>
      <c r="M3198" s="897" t="s">
        <v>97</v>
      </c>
      <c r="N3198" s="897" t="s">
        <v>98</v>
      </c>
      <c r="O3198" s="897" t="s">
        <v>99</v>
      </c>
      <c r="P3198" s="899"/>
    </row>
    <row r="3199" spans="9:16" ht="15.75" thickBot="1">
      <c r="I3199" s="896"/>
      <c r="J3199" s="898"/>
      <c r="K3199" s="898"/>
      <c r="L3199" s="898"/>
      <c r="M3199" s="898"/>
      <c r="N3199" s="898"/>
      <c r="O3199" s="240" t="s">
        <v>100</v>
      </c>
      <c r="P3199" s="182" t="s">
        <v>101</v>
      </c>
    </row>
    <row r="3200" spans="9:16">
      <c r="I3200" s="881">
        <v>345</v>
      </c>
      <c r="J3200" s="875">
        <v>42725</v>
      </c>
      <c r="K3200" s="877" t="s">
        <v>1014</v>
      </c>
      <c r="L3200" s="879" t="s">
        <v>1260</v>
      </c>
      <c r="M3200" s="881" t="s">
        <v>115</v>
      </c>
      <c r="N3200" s="883">
        <v>160000</v>
      </c>
      <c r="O3200" s="55">
        <v>719</v>
      </c>
      <c r="P3200" s="78">
        <v>160000</v>
      </c>
    </row>
    <row r="3201" spans="9:18" ht="15.75" thickBot="1">
      <c r="I3201" s="882"/>
      <c r="J3201" s="876"/>
      <c r="K3201" s="878"/>
      <c r="L3201" s="880"/>
      <c r="M3201" s="882"/>
      <c r="N3201" s="884"/>
      <c r="O3201" s="56">
        <v>721</v>
      </c>
      <c r="P3201" s="351">
        <f>+N3200-P3200</f>
        <v>0</v>
      </c>
    </row>
    <row r="3202" spans="9:18" ht="15" customHeight="1">
      <c r="I3202" s="881">
        <f>+I3200+1</f>
        <v>346</v>
      </c>
      <c r="J3202" s="875">
        <v>42725</v>
      </c>
      <c r="K3202" s="877" t="s">
        <v>28</v>
      </c>
      <c r="L3202" s="879" t="s">
        <v>1276</v>
      </c>
      <c r="M3202" s="881" t="s">
        <v>115</v>
      </c>
      <c r="N3202" s="883">
        <v>60000</v>
      </c>
      <c r="O3202" s="55">
        <v>722</v>
      </c>
      <c r="P3202" s="78">
        <v>60000</v>
      </c>
    </row>
    <row r="3203" spans="9:18" ht="15.75" customHeight="1" thickBot="1">
      <c r="I3203" s="882"/>
      <c r="J3203" s="876"/>
      <c r="K3203" s="878"/>
      <c r="L3203" s="880"/>
      <c r="M3203" s="882"/>
      <c r="N3203" s="884"/>
      <c r="O3203" s="56">
        <v>721</v>
      </c>
      <c r="P3203" s="352">
        <f>+N3202-P3202</f>
        <v>0</v>
      </c>
    </row>
    <row r="3204" spans="9:18" ht="15" customHeight="1">
      <c r="I3204" s="881">
        <f>+I3202+1</f>
        <v>347</v>
      </c>
      <c r="J3204" s="875">
        <v>42725</v>
      </c>
      <c r="K3204" s="877" t="s">
        <v>120</v>
      </c>
      <c r="L3204" s="879" t="s">
        <v>1276</v>
      </c>
      <c r="M3204" s="881" t="s">
        <v>115</v>
      </c>
      <c r="N3204" s="883">
        <v>140000</v>
      </c>
      <c r="O3204" s="55">
        <v>722</v>
      </c>
      <c r="P3204" s="78">
        <v>140000</v>
      </c>
      <c r="R3204" s="875"/>
    </row>
    <row r="3205" spans="9:18" ht="15.75" customHeight="1" thickBot="1">
      <c r="I3205" s="882"/>
      <c r="J3205" s="876"/>
      <c r="K3205" s="878"/>
      <c r="L3205" s="880"/>
      <c r="M3205" s="882"/>
      <c r="N3205" s="884"/>
      <c r="O3205" s="56">
        <v>721</v>
      </c>
      <c r="P3205" s="352">
        <f>+N3204-P3204</f>
        <v>0</v>
      </c>
      <c r="R3205" s="876"/>
    </row>
    <row r="3206" spans="9:18" ht="15" customHeight="1">
      <c r="I3206" s="881"/>
      <c r="J3206" s="875"/>
      <c r="K3206" s="877"/>
      <c r="L3206" s="879"/>
      <c r="M3206" s="881"/>
      <c r="N3206" s="883"/>
      <c r="O3206" s="55">
        <v>722</v>
      </c>
      <c r="P3206" s="78"/>
    </row>
    <row r="3207" spans="9:18" ht="15.75" customHeight="1" thickBot="1">
      <c r="I3207" s="882"/>
      <c r="J3207" s="876"/>
      <c r="K3207" s="878"/>
      <c r="L3207" s="880"/>
      <c r="M3207" s="882"/>
      <c r="N3207" s="884"/>
      <c r="O3207" s="56">
        <v>721</v>
      </c>
      <c r="P3207" s="79">
        <f>+N3206-P3206</f>
        <v>0</v>
      </c>
    </row>
    <row r="3208" spans="9:18" ht="16.5" thickBot="1">
      <c r="I3208" s="901" t="s">
        <v>102</v>
      </c>
      <c r="J3208" s="902"/>
      <c r="K3208" s="902"/>
      <c r="L3208" s="902"/>
      <c r="M3208" s="903"/>
      <c r="N3208" s="81">
        <f>SUM(N3200:N3207)</f>
        <v>360000</v>
      </c>
    </row>
    <row r="3209" spans="9:18" ht="16.5" thickBot="1">
      <c r="I3209" s="885" t="s">
        <v>103</v>
      </c>
      <c r="J3209" s="886"/>
      <c r="K3209" s="886"/>
      <c r="L3209" s="886"/>
      <c r="M3209" s="887"/>
      <c r="N3209" s="69">
        <f>+N3175</f>
        <v>679568879</v>
      </c>
      <c r="O3209" s="241" t="s">
        <v>561</v>
      </c>
      <c r="P3209" s="242">
        <f>108+107+310</f>
        <v>525</v>
      </c>
    </row>
    <row r="3210" spans="9:18" ht="16.5" thickBot="1">
      <c r="I3210" s="888" t="s">
        <v>104</v>
      </c>
      <c r="J3210" s="889"/>
      <c r="K3210" s="889"/>
      <c r="L3210" s="889"/>
      <c r="M3210" s="890"/>
      <c r="N3210" s="183">
        <f>SUM(N3208:N3209)</f>
        <v>679928879</v>
      </c>
    </row>
    <row r="3211" spans="9:18">
      <c r="I3211" s="61"/>
      <c r="J3211" s="61"/>
      <c r="K3211" s="61"/>
      <c r="L3211" s="61"/>
      <c r="M3211" s="61"/>
    </row>
    <row r="3212" spans="9:18">
      <c r="I3212" s="51" t="s">
        <v>1261</v>
      </c>
    </row>
    <row r="3213" spans="9:18" ht="19.5" customHeight="1">
      <c r="N3213" s="139"/>
    </row>
    <row r="3214" spans="9:18">
      <c r="I3214" s="50" t="s">
        <v>105</v>
      </c>
      <c r="L3214" s="146"/>
      <c r="N3214" s="139"/>
    </row>
    <row r="3215" spans="9:18" ht="15.75" thickBot="1"/>
    <row r="3216" spans="9:18" ht="15.75" thickBot="1">
      <c r="I3216" s="891" t="s">
        <v>106</v>
      </c>
      <c r="J3216" s="892"/>
      <c r="K3216" s="892"/>
      <c r="L3216" s="893"/>
      <c r="N3216" s="50" t="s">
        <v>288</v>
      </c>
    </row>
    <row r="3217" spans="9:16" ht="30.75" thickBot="1">
      <c r="I3217" s="57" t="s">
        <v>100</v>
      </c>
      <c r="J3217" s="58" t="s">
        <v>108</v>
      </c>
      <c r="K3217" s="287" t="s">
        <v>109</v>
      </c>
      <c r="L3217" s="60" t="s">
        <v>110</v>
      </c>
    </row>
    <row r="3218" spans="9:16">
      <c r="I3218" s="71">
        <v>719</v>
      </c>
      <c r="J3218" s="73">
        <f>+P3200+P3202+P3204+P3206</f>
        <v>360000</v>
      </c>
      <c r="K3218" s="74">
        <f>+L3183</f>
        <v>61120000</v>
      </c>
      <c r="L3218" s="195">
        <f>+J3218+K3218</f>
        <v>61480000</v>
      </c>
    </row>
    <row r="3219" spans="9:16">
      <c r="I3219" s="72">
        <v>721</v>
      </c>
      <c r="J3219" s="80"/>
      <c r="K3219" s="74">
        <f>+L3184</f>
        <v>246343890</v>
      </c>
      <c r="L3219" s="195">
        <f>+J3219+K3219</f>
        <v>246343890</v>
      </c>
    </row>
    <row r="3220" spans="9:16">
      <c r="I3220" s="72">
        <v>722</v>
      </c>
      <c r="J3220" s="80"/>
      <c r="K3220" s="74">
        <f>+L3185</f>
        <v>62543334</v>
      </c>
      <c r="L3220" s="195">
        <f>+J3220+K3220</f>
        <v>62543334</v>
      </c>
    </row>
    <row r="3221" spans="9:16" ht="15.75">
      <c r="I3221" s="72">
        <v>723</v>
      </c>
      <c r="J3221" s="80"/>
      <c r="K3221" s="74">
        <f>+L3186</f>
        <v>308993035</v>
      </c>
      <c r="L3221" s="195">
        <f>+J3221+K3221</f>
        <v>308993035</v>
      </c>
      <c r="N3221" s="193" t="s">
        <v>289</v>
      </c>
      <c r="O3221" s="175"/>
    </row>
    <row r="3222" spans="9:16" ht="16.5" thickBot="1">
      <c r="I3222" s="164" t="s">
        <v>1077</v>
      </c>
      <c r="J3222" s="165"/>
      <c r="K3222" s="74">
        <f>+L3187</f>
        <v>498620</v>
      </c>
      <c r="L3222" s="196">
        <f>+J3222+K3222</f>
        <v>498620</v>
      </c>
      <c r="N3222" s="52"/>
    </row>
    <row r="3223" spans="9:16" ht="16.5" thickBot="1">
      <c r="I3223" s="169"/>
      <c r="J3223" s="197">
        <f>SUM(J3218:J3222)</f>
        <v>360000</v>
      </c>
      <c r="K3223" s="197">
        <f>SUM(K3218:K3222)</f>
        <v>679498879</v>
      </c>
      <c r="L3223" s="198">
        <f>SUM(L3218:L3222)</f>
        <v>679858879</v>
      </c>
    </row>
    <row r="3224" spans="9:16" ht="16.5">
      <c r="I3224" s="49" t="s">
        <v>88</v>
      </c>
      <c r="J3224" s="50"/>
    </row>
    <row r="3225" spans="9:16">
      <c r="I3225" s="51" t="s">
        <v>89</v>
      </c>
    </row>
    <row r="3226" spans="9:16">
      <c r="I3226" s="51" t="s">
        <v>90</v>
      </c>
    </row>
    <row r="3227" spans="9:16">
      <c r="I3227" s="51" t="s">
        <v>91</v>
      </c>
    </row>
    <row r="3228" spans="9:16" ht="14.25" customHeight="1">
      <c r="I3228" s="50"/>
      <c r="J3228" s="50"/>
    </row>
    <row r="3229" spans="9:16" ht="15.75">
      <c r="I3229" s="260" t="s">
        <v>1264</v>
      </c>
      <c r="O3229" s="52"/>
    </row>
    <row r="3230" spans="9:16" ht="15.75">
      <c r="I3230" s="53" t="s">
        <v>535</v>
      </c>
      <c r="O3230" s="53"/>
    </row>
    <row r="3231" spans="9:16" ht="16.5">
      <c r="I3231" s="894" t="s">
        <v>1278</v>
      </c>
      <c r="J3231" s="894"/>
      <c r="K3231" s="894"/>
      <c r="L3231" s="894"/>
      <c r="M3231" s="894"/>
      <c r="N3231" s="894"/>
      <c r="O3231" s="894"/>
      <c r="P3231" s="894"/>
    </row>
    <row r="3232" spans="9:16" ht="15.75" thickBot="1"/>
    <row r="3233" spans="9:16">
      <c r="I3233" s="895" t="s">
        <v>94</v>
      </c>
      <c r="J3233" s="897" t="s">
        <v>95</v>
      </c>
      <c r="K3233" s="897" t="s">
        <v>96</v>
      </c>
      <c r="L3233" s="897" t="s">
        <v>3</v>
      </c>
      <c r="M3233" s="897" t="s">
        <v>97</v>
      </c>
      <c r="N3233" s="897" t="s">
        <v>98</v>
      </c>
      <c r="O3233" s="897" t="s">
        <v>99</v>
      </c>
      <c r="P3233" s="899"/>
    </row>
    <row r="3234" spans="9:16" ht="15.75" thickBot="1">
      <c r="I3234" s="896"/>
      <c r="J3234" s="898"/>
      <c r="K3234" s="898"/>
      <c r="L3234" s="898"/>
      <c r="M3234" s="898"/>
      <c r="N3234" s="898"/>
      <c r="O3234" s="240" t="s">
        <v>100</v>
      </c>
      <c r="P3234" s="182" t="s">
        <v>101</v>
      </c>
    </row>
    <row r="3235" spans="9:16">
      <c r="I3235" s="881">
        <v>348</v>
      </c>
      <c r="J3235" s="875">
        <v>42725</v>
      </c>
      <c r="K3235" s="877" t="s">
        <v>1014</v>
      </c>
      <c r="L3235" s="879" t="s">
        <v>1263</v>
      </c>
      <c r="M3235" s="881" t="s">
        <v>115</v>
      </c>
      <c r="N3235" s="883">
        <v>140000</v>
      </c>
      <c r="O3235" s="55">
        <v>719</v>
      </c>
      <c r="P3235" s="78">
        <v>140000</v>
      </c>
    </row>
    <row r="3236" spans="9:16" ht="15.75" thickBot="1">
      <c r="I3236" s="882"/>
      <c r="J3236" s="876"/>
      <c r="K3236" s="878"/>
      <c r="L3236" s="880"/>
      <c r="M3236" s="882"/>
      <c r="N3236" s="884"/>
      <c r="O3236" s="56">
        <v>721</v>
      </c>
      <c r="P3236" s="351">
        <f>+N3235-P3235</f>
        <v>0</v>
      </c>
    </row>
    <row r="3237" spans="9:16">
      <c r="I3237" s="881">
        <f>+I3235+1</f>
        <v>349</v>
      </c>
      <c r="J3237" s="875">
        <v>42725</v>
      </c>
      <c r="K3237" s="877" t="s">
        <v>28</v>
      </c>
      <c r="L3237" s="879" t="s">
        <v>1266</v>
      </c>
      <c r="M3237" s="881" t="s">
        <v>115</v>
      </c>
      <c r="N3237" s="883">
        <v>50000</v>
      </c>
      <c r="O3237" s="55">
        <v>722</v>
      </c>
      <c r="P3237" s="78">
        <v>50000</v>
      </c>
    </row>
    <row r="3238" spans="9:16" ht="15.75" thickBot="1">
      <c r="I3238" s="882"/>
      <c r="J3238" s="876"/>
      <c r="K3238" s="878"/>
      <c r="L3238" s="880"/>
      <c r="M3238" s="882"/>
      <c r="N3238" s="884"/>
      <c r="O3238" s="56">
        <v>721</v>
      </c>
      <c r="P3238" s="352"/>
    </row>
    <row r="3239" spans="9:16">
      <c r="I3239" s="881">
        <f>+I3237+1</f>
        <v>350</v>
      </c>
      <c r="J3239" s="875">
        <v>42725</v>
      </c>
      <c r="K3239" s="877" t="s">
        <v>120</v>
      </c>
      <c r="L3239" s="879" t="s">
        <v>1262</v>
      </c>
      <c r="M3239" s="881" t="s">
        <v>115</v>
      </c>
      <c r="N3239" s="883">
        <v>140000</v>
      </c>
      <c r="O3239" s="55">
        <v>722</v>
      </c>
      <c r="P3239" s="78">
        <v>140000</v>
      </c>
    </row>
    <row r="3240" spans="9:16" ht="15.75" thickBot="1">
      <c r="I3240" s="882"/>
      <c r="J3240" s="876"/>
      <c r="K3240" s="878"/>
      <c r="L3240" s="880"/>
      <c r="M3240" s="882"/>
      <c r="N3240" s="884"/>
      <c r="O3240" s="56">
        <v>721</v>
      </c>
      <c r="P3240" s="352">
        <f>+N3239-P3239</f>
        <v>0</v>
      </c>
    </row>
    <row r="3241" spans="9:16">
      <c r="I3241" s="881"/>
      <c r="J3241" s="875"/>
      <c r="K3241" s="877"/>
      <c r="L3241" s="879"/>
      <c r="M3241" s="881"/>
      <c r="N3241" s="883"/>
      <c r="O3241" s="55">
        <v>722</v>
      </c>
      <c r="P3241" s="78"/>
    </row>
    <row r="3242" spans="9:16" ht="15.75" thickBot="1">
      <c r="I3242" s="882"/>
      <c r="J3242" s="876"/>
      <c r="K3242" s="878"/>
      <c r="L3242" s="880"/>
      <c r="M3242" s="882"/>
      <c r="N3242" s="884"/>
      <c r="O3242" s="56">
        <v>721</v>
      </c>
      <c r="P3242" s="79">
        <f>+N3241-P3241</f>
        <v>0</v>
      </c>
    </row>
    <row r="3243" spans="9:16" ht="16.5" thickBot="1">
      <c r="I3243" s="901" t="s">
        <v>102</v>
      </c>
      <c r="J3243" s="902"/>
      <c r="K3243" s="902"/>
      <c r="L3243" s="902"/>
      <c r="M3243" s="903"/>
      <c r="N3243" s="81">
        <f>SUM(N3235:N3242)</f>
        <v>330000</v>
      </c>
    </row>
    <row r="3244" spans="9:16" ht="16.5" thickBot="1">
      <c r="I3244" s="885" t="s">
        <v>103</v>
      </c>
      <c r="J3244" s="886"/>
      <c r="K3244" s="886"/>
      <c r="L3244" s="886"/>
      <c r="M3244" s="887"/>
      <c r="N3244" s="69">
        <f>+N3210</f>
        <v>679928879</v>
      </c>
      <c r="O3244" s="241" t="s">
        <v>561</v>
      </c>
      <c r="P3244" s="242">
        <f>404+83+122</f>
        <v>609</v>
      </c>
    </row>
    <row r="3245" spans="9:16" ht="16.5" thickBot="1">
      <c r="I3245" s="888" t="s">
        <v>104</v>
      </c>
      <c r="J3245" s="889"/>
      <c r="K3245" s="889"/>
      <c r="L3245" s="889"/>
      <c r="M3245" s="890"/>
      <c r="N3245" s="183">
        <f>SUM(N3243:N3244)</f>
        <v>680258879</v>
      </c>
    </row>
    <row r="3246" spans="9:16">
      <c r="I3246" s="61"/>
      <c r="J3246" s="61"/>
      <c r="K3246" s="61"/>
      <c r="L3246" s="61"/>
      <c r="M3246" s="61"/>
    </row>
    <row r="3247" spans="9:16">
      <c r="I3247" s="51" t="s">
        <v>1265</v>
      </c>
    </row>
    <row r="3248" spans="9:16">
      <c r="N3248" s="139"/>
    </row>
    <row r="3249" spans="9:15">
      <c r="I3249" s="50" t="s">
        <v>105</v>
      </c>
      <c r="L3249" s="146"/>
      <c r="N3249" s="139"/>
    </row>
    <row r="3250" spans="9:15" ht="15.75" thickBot="1"/>
    <row r="3251" spans="9:15" ht="15.75" thickBot="1">
      <c r="I3251" s="891" t="s">
        <v>106</v>
      </c>
      <c r="J3251" s="892"/>
      <c r="K3251" s="892"/>
      <c r="L3251" s="893"/>
      <c r="N3251" s="50" t="s">
        <v>288</v>
      </c>
    </row>
    <row r="3252" spans="9:15" ht="30.75" thickBot="1">
      <c r="I3252" s="57" t="s">
        <v>100</v>
      </c>
      <c r="J3252" s="58" t="s">
        <v>108</v>
      </c>
      <c r="K3252" s="287" t="s">
        <v>109</v>
      </c>
      <c r="L3252" s="60" t="s">
        <v>110</v>
      </c>
    </row>
    <row r="3253" spans="9:15">
      <c r="I3253" s="71">
        <v>719</v>
      </c>
      <c r="J3253" s="73">
        <f>+P3235+P3237+P3239+P3241</f>
        <v>330000</v>
      </c>
      <c r="K3253" s="74">
        <f>+L3218</f>
        <v>61480000</v>
      </c>
      <c r="L3253" s="195">
        <f>+J3253+K3253</f>
        <v>61810000</v>
      </c>
    </row>
    <row r="3254" spans="9:15">
      <c r="I3254" s="72">
        <v>721</v>
      </c>
      <c r="J3254" s="80"/>
      <c r="K3254" s="74">
        <f>+L3219</f>
        <v>246343890</v>
      </c>
      <c r="L3254" s="195">
        <f>+J3254+K3254</f>
        <v>246343890</v>
      </c>
    </row>
    <row r="3255" spans="9:15">
      <c r="I3255" s="72">
        <v>722</v>
      </c>
      <c r="J3255" s="80"/>
      <c r="K3255" s="74">
        <f>+L3220</f>
        <v>62543334</v>
      </c>
      <c r="L3255" s="195">
        <f>+J3255+K3255</f>
        <v>62543334</v>
      </c>
    </row>
    <row r="3256" spans="9:15" ht="15.75">
      <c r="I3256" s="72">
        <v>723</v>
      </c>
      <c r="J3256" s="80"/>
      <c r="K3256" s="74">
        <f>+L3221</f>
        <v>308993035</v>
      </c>
      <c r="L3256" s="195">
        <f>+J3256+K3256</f>
        <v>308993035</v>
      </c>
      <c r="N3256" s="193" t="s">
        <v>289</v>
      </c>
      <c r="O3256" s="175"/>
    </row>
    <row r="3257" spans="9:15" ht="16.5" thickBot="1">
      <c r="I3257" s="164" t="s">
        <v>1077</v>
      </c>
      <c r="J3257" s="165"/>
      <c r="K3257" s="74">
        <f>+L3222</f>
        <v>498620</v>
      </c>
      <c r="L3257" s="196">
        <f>+J3257+K3257</f>
        <v>498620</v>
      </c>
      <c r="N3257" s="52"/>
    </row>
    <row r="3258" spans="9:15" ht="16.5" thickBot="1">
      <c r="I3258" s="169"/>
      <c r="J3258" s="197">
        <f>SUM(J3253:J3257)</f>
        <v>330000</v>
      </c>
      <c r="K3258" s="197">
        <f>SUM(K3253:K3257)</f>
        <v>679858879</v>
      </c>
      <c r="L3258" s="198">
        <f>SUM(L3253:L3257)</f>
        <v>680188879</v>
      </c>
    </row>
    <row r="3260" spans="9:15" ht="16.5">
      <c r="I3260" s="49" t="s">
        <v>88</v>
      </c>
      <c r="J3260" s="50"/>
    </row>
    <row r="3261" spans="9:15">
      <c r="I3261" s="51" t="s">
        <v>89</v>
      </c>
    </row>
    <row r="3262" spans="9:15">
      <c r="I3262" s="51" t="s">
        <v>90</v>
      </c>
    </row>
    <row r="3263" spans="9:15">
      <c r="I3263" s="51" t="s">
        <v>91</v>
      </c>
    </row>
    <row r="3264" spans="9:15">
      <c r="I3264" s="50"/>
      <c r="J3264" s="50"/>
    </row>
    <row r="3265" spans="9:16" ht="15.75">
      <c r="I3265" s="260" t="s">
        <v>1272</v>
      </c>
      <c r="O3265" s="52"/>
    </row>
    <row r="3266" spans="9:16" ht="15.75">
      <c r="I3266" s="53" t="s">
        <v>535</v>
      </c>
      <c r="O3266" s="53"/>
    </row>
    <row r="3267" spans="9:16" ht="16.5">
      <c r="I3267" s="894" t="s">
        <v>1277</v>
      </c>
      <c r="J3267" s="894"/>
      <c r="K3267" s="894"/>
      <c r="L3267" s="894"/>
      <c r="M3267" s="894"/>
      <c r="N3267" s="894"/>
      <c r="O3267" s="894"/>
      <c r="P3267" s="894"/>
    </row>
    <row r="3268" spans="9:16" ht="15.75" thickBot="1"/>
    <row r="3269" spans="9:16">
      <c r="I3269" s="895" t="s">
        <v>94</v>
      </c>
      <c r="J3269" s="897" t="s">
        <v>95</v>
      </c>
      <c r="K3269" s="897" t="s">
        <v>96</v>
      </c>
      <c r="L3269" s="897" t="s">
        <v>3</v>
      </c>
      <c r="M3269" s="897" t="s">
        <v>97</v>
      </c>
      <c r="N3269" s="897" t="s">
        <v>98</v>
      </c>
      <c r="O3269" s="897" t="s">
        <v>99</v>
      </c>
      <c r="P3269" s="899"/>
    </row>
    <row r="3270" spans="9:16" ht="15.75" thickBot="1">
      <c r="I3270" s="896"/>
      <c r="J3270" s="898"/>
      <c r="K3270" s="898"/>
      <c r="L3270" s="898"/>
      <c r="M3270" s="898"/>
      <c r="N3270" s="898"/>
      <c r="O3270" s="240" t="s">
        <v>100</v>
      </c>
      <c r="P3270" s="182" t="s">
        <v>101</v>
      </c>
    </row>
    <row r="3271" spans="9:16" ht="15" customHeight="1">
      <c r="I3271" s="881">
        <v>351</v>
      </c>
      <c r="J3271" s="875">
        <v>42732</v>
      </c>
      <c r="K3271" s="877" t="s">
        <v>1267</v>
      </c>
      <c r="L3271" s="879" t="s">
        <v>1270</v>
      </c>
      <c r="M3271" s="881" t="s">
        <v>115</v>
      </c>
      <c r="N3271" s="883">
        <v>14718204</v>
      </c>
      <c r="O3271" s="55">
        <v>719</v>
      </c>
      <c r="P3271" s="78">
        <v>0</v>
      </c>
    </row>
    <row r="3272" spans="9:16" ht="15.75" thickBot="1">
      <c r="I3272" s="882"/>
      <c r="J3272" s="876"/>
      <c r="K3272" s="900"/>
      <c r="L3272" s="880"/>
      <c r="M3272" s="882"/>
      <c r="N3272" s="884"/>
      <c r="O3272" s="56">
        <v>721</v>
      </c>
      <c r="P3272" s="351">
        <f>+N3271-P3271</f>
        <v>14718204</v>
      </c>
    </row>
    <row r="3273" spans="9:16" ht="15" customHeight="1">
      <c r="I3273" s="881">
        <f>+I3271+1</f>
        <v>352</v>
      </c>
      <c r="J3273" s="875">
        <v>42732</v>
      </c>
      <c r="K3273" s="900"/>
      <c r="L3273" s="879" t="s">
        <v>1271</v>
      </c>
      <c r="M3273" s="881" t="s">
        <v>115</v>
      </c>
      <c r="N3273" s="883">
        <v>3962065</v>
      </c>
      <c r="O3273" s="55">
        <v>722</v>
      </c>
      <c r="P3273" s="78">
        <v>0</v>
      </c>
    </row>
    <row r="3274" spans="9:16" ht="15.75" customHeight="1" thickBot="1">
      <c r="I3274" s="882"/>
      <c r="J3274" s="876"/>
      <c r="K3274" s="878"/>
      <c r="L3274" s="880"/>
      <c r="M3274" s="882"/>
      <c r="N3274" s="884"/>
      <c r="O3274" s="56">
        <v>721</v>
      </c>
      <c r="P3274" s="352">
        <f>+N3273-P3273</f>
        <v>3962065</v>
      </c>
    </row>
    <row r="3275" spans="9:16" ht="15" customHeight="1">
      <c r="I3275" s="881">
        <f>+I3273+1</f>
        <v>353</v>
      </c>
      <c r="J3275" s="875">
        <v>42732</v>
      </c>
      <c r="K3275" s="877" t="s">
        <v>1014</v>
      </c>
      <c r="L3275" s="879" t="s">
        <v>1273</v>
      </c>
      <c r="M3275" s="881" t="s">
        <v>115</v>
      </c>
      <c r="N3275" s="883">
        <v>90000</v>
      </c>
      <c r="O3275" s="55">
        <v>722</v>
      </c>
      <c r="P3275" s="78">
        <v>90000</v>
      </c>
    </row>
    <row r="3276" spans="9:16" ht="15.75" customHeight="1" thickBot="1">
      <c r="I3276" s="882"/>
      <c r="J3276" s="876"/>
      <c r="K3276" s="878"/>
      <c r="L3276" s="880"/>
      <c r="M3276" s="882"/>
      <c r="N3276" s="884"/>
      <c r="O3276" s="56">
        <v>721</v>
      </c>
      <c r="P3276" s="352">
        <f>+N3275-P3275</f>
        <v>0</v>
      </c>
    </row>
    <row r="3277" spans="9:16" ht="15" customHeight="1">
      <c r="I3277" s="881">
        <f>+I3275+1</f>
        <v>354</v>
      </c>
      <c r="J3277" s="875">
        <v>42732</v>
      </c>
      <c r="K3277" s="877" t="s">
        <v>120</v>
      </c>
      <c r="L3277" s="879" t="s">
        <v>1274</v>
      </c>
      <c r="M3277" s="881" t="s">
        <v>115</v>
      </c>
      <c r="N3277" s="883">
        <v>60000</v>
      </c>
      <c r="O3277" s="55">
        <v>722</v>
      </c>
      <c r="P3277" s="78">
        <v>60000</v>
      </c>
    </row>
    <row r="3278" spans="9:16" ht="15.75" customHeight="1" thickBot="1">
      <c r="I3278" s="882"/>
      <c r="J3278" s="876"/>
      <c r="K3278" s="878"/>
      <c r="L3278" s="880"/>
      <c r="M3278" s="882"/>
      <c r="N3278" s="884"/>
      <c r="O3278" s="56">
        <v>721</v>
      </c>
      <c r="P3278" s="79">
        <f>+N3277-P3277</f>
        <v>0</v>
      </c>
    </row>
    <row r="3279" spans="9:16" ht="16.5" thickBot="1">
      <c r="I3279" s="901" t="s">
        <v>102</v>
      </c>
      <c r="J3279" s="902"/>
      <c r="K3279" s="902"/>
      <c r="L3279" s="902"/>
      <c r="M3279" s="903"/>
      <c r="N3279" s="81">
        <f>SUM(N3271:N3278)</f>
        <v>18830269</v>
      </c>
    </row>
    <row r="3280" spans="9:16" ht="16.5" thickBot="1">
      <c r="I3280" s="885" t="s">
        <v>103</v>
      </c>
      <c r="J3280" s="886"/>
      <c r="K3280" s="886"/>
      <c r="L3280" s="886"/>
      <c r="M3280" s="887"/>
      <c r="N3280" s="69">
        <f>+N3245</f>
        <v>680258879</v>
      </c>
      <c r="O3280" s="241" t="s">
        <v>561</v>
      </c>
      <c r="P3280" s="242">
        <f>38+294</f>
        <v>332</v>
      </c>
    </row>
    <row r="3281" spans="9:15" ht="16.5" thickBot="1">
      <c r="I3281" s="888" t="s">
        <v>104</v>
      </c>
      <c r="J3281" s="889"/>
      <c r="K3281" s="889"/>
      <c r="L3281" s="889"/>
      <c r="M3281" s="890"/>
      <c r="N3281" s="183">
        <f>SUM(N3279:N3280)</f>
        <v>699089148</v>
      </c>
    </row>
    <row r="3282" spans="9:15">
      <c r="I3282" s="61"/>
      <c r="J3282" s="61"/>
      <c r="K3282" s="61"/>
      <c r="L3282" s="61"/>
      <c r="M3282" s="61"/>
    </row>
    <row r="3283" spans="9:15">
      <c r="I3283" s="51" t="s">
        <v>1275</v>
      </c>
    </row>
    <row r="3284" spans="9:15">
      <c r="N3284" s="139"/>
    </row>
    <row r="3285" spans="9:15">
      <c r="I3285" s="50" t="s">
        <v>105</v>
      </c>
      <c r="L3285" s="146"/>
      <c r="N3285" s="139"/>
    </row>
    <row r="3286" spans="9:15" ht="15.75" thickBot="1"/>
    <row r="3287" spans="9:15" ht="15.75" thickBot="1">
      <c r="I3287" s="891" t="s">
        <v>106</v>
      </c>
      <c r="J3287" s="892"/>
      <c r="K3287" s="892"/>
      <c r="L3287" s="893"/>
      <c r="N3287" s="50" t="s">
        <v>288</v>
      </c>
    </row>
    <row r="3288" spans="9:15" ht="30.75" thickBot="1">
      <c r="I3288" s="57" t="s">
        <v>100</v>
      </c>
      <c r="J3288" s="58" t="s">
        <v>108</v>
      </c>
      <c r="K3288" s="287" t="s">
        <v>109</v>
      </c>
      <c r="L3288" s="60" t="s">
        <v>110</v>
      </c>
    </row>
    <row r="3289" spans="9:15">
      <c r="I3289" s="71">
        <v>719</v>
      </c>
      <c r="J3289" s="73">
        <f>+P3271+P3273+P3275+P3277</f>
        <v>150000</v>
      </c>
      <c r="K3289" s="74">
        <f>+L3253</f>
        <v>61810000</v>
      </c>
      <c r="L3289" s="195">
        <f>+J3289+K3289</f>
        <v>61960000</v>
      </c>
    </row>
    <row r="3290" spans="9:15">
      <c r="I3290" s="72">
        <v>721</v>
      </c>
      <c r="J3290" s="80">
        <f>+P3272+P3274</f>
        <v>18680269</v>
      </c>
      <c r="K3290" s="74">
        <f>+L3254</f>
        <v>246343890</v>
      </c>
      <c r="L3290" s="195">
        <f>+J3290+K3290</f>
        <v>265024159</v>
      </c>
    </row>
    <row r="3291" spans="9:15">
      <c r="I3291" s="72">
        <v>722</v>
      </c>
      <c r="J3291" s="80"/>
      <c r="K3291" s="74">
        <f>+L3255</f>
        <v>62543334</v>
      </c>
      <c r="L3291" s="195">
        <f>+J3291+K3291</f>
        <v>62543334</v>
      </c>
    </row>
    <row r="3292" spans="9:15" ht="15.75">
      <c r="I3292" s="72">
        <v>723</v>
      </c>
      <c r="J3292" s="80"/>
      <c r="K3292" s="74">
        <f>+L3256</f>
        <v>308993035</v>
      </c>
      <c r="L3292" s="195">
        <f>+J3292+K3292</f>
        <v>308993035</v>
      </c>
      <c r="N3292" s="193" t="s">
        <v>289</v>
      </c>
      <c r="O3292" s="175"/>
    </row>
    <row r="3293" spans="9:15" ht="16.5" thickBot="1">
      <c r="I3293" s="164" t="s">
        <v>1077</v>
      </c>
      <c r="J3293" s="165"/>
      <c r="K3293" s="74">
        <f>+L3257</f>
        <v>498620</v>
      </c>
      <c r="L3293" s="196">
        <f>+J3293+K3293</f>
        <v>498620</v>
      </c>
      <c r="N3293" s="52"/>
    </row>
    <row r="3294" spans="9:15" ht="16.5" thickBot="1">
      <c r="I3294" s="169"/>
      <c r="J3294" s="197">
        <f>SUM(J3289:J3293)</f>
        <v>18830269</v>
      </c>
      <c r="K3294" s="197">
        <f>SUM(K3289:K3293)</f>
        <v>680188879</v>
      </c>
      <c r="L3294" s="198">
        <f>SUM(L3289:L3293)</f>
        <v>699019148</v>
      </c>
    </row>
    <row r="3295" spans="9:15" ht="16.5">
      <c r="I3295" s="49" t="s">
        <v>88</v>
      </c>
      <c r="J3295" s="50"/>
    </row>
    <row r="3296" spans="9:15">
      <c r="I3296" s="51" t="s">
        <v>89</v>
      </c>
    </row>
    <row r="3297" spans="9:16">
      <c r="I3297" s="51" t="s">
        <v>90</v>
      </c>
    </row>
    <row r="3298" spans="9:16">
      <c r="I3298" s="51" t="s">
        <v>91</v>
      </c>
    </row>
    <row r="3299" spans="9:16" ht="12" customHeight="1">
      <c r="I3299" s="50"/>
      <c r="J3299" s="50"/>
    </row>
    <row r="3300" spans="9:16" ht="15.75">
      <c r="I3300" s="260" t="s">
        <v>1279</v>
      </c>
      <c r="O3300" s="52"/>
    </row>
    <row r="3301" spans="9:16" ht="15.75">
      <c r="I3301" s="53" t="s">
        <v>535</v>
      </c>
      <c r="O3301" s="53"/>
    </row>
    <row r="3302" spans="9:16" ht="14.25" customHeight="1">
      <c r="I3302" s="894" t="s">
        <v>1288</v>
      </c>
      <c r="J3302" s="894"/>
      <c r="K3302" s="894"/>
      <c r="L3302" s="894"/>
      <c r="M3302" s="894"/>
      <c r="N3302" s="894"/>
      <c r="O3302" s="894"/>
      <c r="P3302" s="894"/>
    </row>
    <row r="3303" spans="9:16" ht="12.75" customHeight="1" thickBot="1"/>
    <row r="3304" spans="9:16">
      <c r="I3304" s="895" t="s">
        <v>94</v>
      </c>
      <c r="J3304" s="897" t="s">
        <v>95</v>
      </c>
      <c r="K3304" s="897" t="s">
        <v>96</v>
      </c>
      <c r="L3304" s="897" t="s">
        <v>3</v>
      </c>
      <c r="M3304" s="897" t="s">
        <v>97</v>
      </c>
      <c r="N3304" s="897" t="s">
        <v>98</v>
      </c>
      <c r="O3304" s="897" t="s">
        <v>99</v>
      </c>
      <c r="P3304" s="899"/>
    </row>
    <row r="3305" spans="9:16" ht="15.75" thickBot="1">
      <c r="I3305" s="896"/>
      <c r="J3305" s="898"/>
      <c r="K3305" s="898"/>
      <c r="L3305" s="898"/>
      <c r="M3305" s="898"/>
      <c r="N3305" s="898"/>
      <c r="O3305" s="240" t="s">
        <v>100</v>
      </c>
      <c r="P3305" s="182" t="s">
        <v>101</v>
      </c>
    </row>
    <row r="3306" spans="9:16" ht="12.75" customHeight="1">
      <c r="I3306" s="881">
        <v>355</v>
      </c>
      <c r="J3306" s="875">
        <v>42734</v>
      </c>
      <c r="K3306" s="877" t="s">
        <v>1280</v>
      </c>
      <c r="L3306" s="904">
        <v>42569</v>
      </c>
      <c r="M3306" s="881" t="s">
        <v>148</v>
      </c>
      <c r="N3306" s="883">
        <v>100000</v>
      </c>
      <c r="O3306" s="55">
        <v>719</v>
      </c>
      <c r="P3306" s="78">
        <v>0</v>
      </c>
    </row>
    <row r="3307" spans="9:16" ht="15.75" thickBot="1">
      <c r="I3307" s="882"/>
      <c r="J3307" s="876"/>
      <c r="K3307" s="878"/>
      <c r="L3307" s="880"/>
      <c r="M3307" s="882"/>
      <c r="N3307" s="884"/>
      <c r="O3307" s="56">
        <v>722</v>
      </c>
      <c r="P3307" s="351">
        <f>+N3306-P3306</f>
        <v>100000</v>
      </c>
    </row>
    <row r="3308" spans="9:16" ht="12" customHeight="1">
      <c r="I3308" s="881">
        <f>+I3306+1</f>
        <v>356</v>
      </c>
      <c r="J3308" s="875">
        <v>42734</v>
      </c>
      <c r="K3308" s="877" t="s">
        <v>1281</v>
      </c>
      <c r="L3308" s="904">
        <v>42569</v>
      </c>
      <c r="M3308" s="881" t="s">
        <v>148</v>
      </c>
      <c r="N3308" s="883">
        <v>100000</v>
      </c>
      <c r="O3308" s="55">
        <v>719</v>
      </c>
      <c r="P3308" s="78">
        <v>0</v>
      </c>
    </row>
    <row r="3309" spans="9:16" ht="15.75" customHeight="1" thickBot="1">
      <c r="I3309" s="882"/>
      <c r="J3309" s="876"/>
      <c r="K3309" s="878"/>
      <c r="L3309" s="880"/>
      <c r="M3309" s="882"/>
      <c r="N3309" s="884"/>
      <c r="O3309" s="56">
        <v>722</v>
      </c>
      <c r="P3309" s="352">
        <f>+N3308-P3308</f>
        <v>100000</v>
      </c>
    </row>
    <row r="3310" spans="9:16" ht="12.75" customHeight="1">
      <c r="I3310" s="881">
        <f>+I3308+1</f>
        <v>357</v>
      </c>
      <c r="J3310" s="875">
        <v>42734</v>
      </c>
      <c r="K3310" s="877" t="s">
        <v>1282</v>
      </c>
      <c r="L3310" s="904">
        <v>42569</v>
      </c>
      <c r="M3310" s="881" t="s">
        <v>148</v>
      </c>
      <c r="N3310" s="883">
        <v>100000</v>
      </c>
      <c r="O3310" s="55">
        <v>719</v>
      </c>
      <c r="P3310" s="78"/>
    </row>
    <row r="3311" spans="9:16" ht="15.75" customHeight="1" thickBot="1">
      <c r="I3311" s="882"/>
      <c r="J3311" s="876"/>
      <c r="K3311" s="878"/>
      <c r="L3311" s="880"/>
      <c r="M3311" s="882"/>
      <c r="N3311" s="884"/>
      <c r="O3311" s="56">
        <v>722</v>
      </c>
      <c r="P3311" s="352">
        <f>+N3310-P3310</f>
        <v>100000</v>
      </c>
    </row>
    <row r="3312" spans="9:16" ht="16.5" customHeight="1">
      <c r="I3312" s="881">
        <f>+I3310+1</f>
        <v>358</v>
      </c>
      <c r="J3312" s="875">
        <v>42734</v>
      </c>
      <c r="K3312" s="877" t="s">
        <v>1284</v>
      </c>
      <c r="L3312" s="904">
        <v>42569</v>
      </c>
      <c r="M3312" s="881" t="s">
        <v>148</v>
      </c>
      <c r="N3312" s="883">
        <v>100000</v>
      </c>
      <c r="O3312" s="55">
        <v>719</v>
      </c>
      <c r="P3312" s="78"/>
    </row>
    <row r="3313" spans="9:16" ht="15" customHeight="1" thickBot="1">
      <c r="I3313" s="882"/>
      <c r="J3313" s="876"/>
      <c r="K3313" s="878"/>
      <c r="L3313" s="907"/>
      <c r="M3313" s="882"/>
      <c r="N3313" s="884"/>
      <c r="O3313" s="56">
        <v>722</v>
      </c>
      <c r="P3313" s="352">
        <f>+N3312-P3312</f>
        <v>100000</v>
      </c>
    </row>
    <row r="3314" spans="9:16" ht="12.75" customHeight="1">
      <c r="I3314" s="881">
        <f>+I3312+1</f>
        <v>359</v>
      </c>
      <c r="J3314" s="875">
        <v>42734</v>
      </c>
      <c r="K3314" s="905" t="s">
        <v>1285</v>
      </c>
      <c r="L3314" s="904">
        <v>42570</v>
      </c>
      <c r="M3314" s="881" t="s">
        <v>148</v>
      </c>
      <c r="N3314" s="883">
        <v>100000</v>
      </c>
      <c r="O3314" s="55">
        <v>719</v>
      </c>
      <c r="P3314" s="78"/>
    </row>
    <row r="3315" spans="9:16" ht="14.25" customHeight="1" thickBot="1">
      <c r="I3315" s="882"/>
      <c r="J3315" s="876"/>
      <c r="K3315" s="906"/>
      <c r="L3315" s="907"/>
      <c r="M3315" s="882"/>
      <c r="N3315" s="884"/>
      <c r="O3315" s="56">
        <v>722</v>
      </c>
      <c r="P3315" s="352">
        <f>+N3314-P3314</f>
        <v>100000</v>
      </c>
    </row>
    <row r="3316" spans="9:16" ht="15" customHeight="1">
      <c r="I3316" s="881">
        <f>+I3314+1</f>
        <v>360</v>
      </c>
      <c r="J3316" s="875">
        <v>42734</v>
      </c>
      <c r="K3316" s="905" t="s">
        <v>1285</v>
      </c>
      <c r="L3316" s="904">
        <v>42570</v>
      </c>
      <c r="M3316" s="881" t="s">
        <v>148</v>
      </c>
      <c r="N3316" s="883">
        <v>100000</v>
      </c>
      <c r="O3316" s="55">
        <v>719</v>
      </c>
      <c r="P3316" s="78"/>
    </row>
    <row r="3317" spans="9:16" ht="15.75" customHeight="1" thickBot="1">
      <c r="I3317" s="882"/>
      <c r="J3317" s="876"/>
      <c r="K3317" s="906"/>
      <c r="L3317" s="907"/>
      <c r="M3317" s="882"/>
      <c r="N3317" s="884"/>
      <c r="O3317" s="56">
        <v>722</v>
      </c>
      <c r="P3317" s="79">
        <f>+N3316-P3316</f>
        <v>100000</v>
      </c>
    </row>
    <row r="3318" spans="9:16" ht="16.5" thickBot="1">
      <c r="I3318" s="901" t="s">
        <v>102</v>
      </c>
      <c r="J3318" s="902"/>
      <c r="K3318" s="902"/>
      <c r="L3318" s="902"/>
      <c r="M3318" s="903"/>
      <c r="N3318" s="81">
        <f>SUM(N3306:N3317)</f>
        <v>600000</v>
      </c>
    </row>
    <row r="3319" spans="9:16" ht="16.5" thickBot="1">
      <c r="I3319" s="885" t="s">
        <v>103</v>
      </c>
      <c r="J3319" s="886"/>
      <c r="K3319" s="886"/>
      <c r="L3319" s="886"/>
      <c r="M3319" s="887"/>
      <c r="N3319" s="69">
        <f>+N3281</f>
        <v>699089148</v>
      </c>
      <c r="O3319" s="241" t="s">
        <v>561</v>
      </c>
      <c r="P3319" s="242"/>
    </row>
    <row r="3320" spans="9:16" ht="16.5" thickBot="1">
      <c r="I3320" s="888" t="s">
        <v>104</v>
      </c>
      <c r="J3320" s="889"/>
      <c r="K3320" s="889"/>
      <c r="L3320" s="889"/>
      <c r="M3320" s="890"/>
      <c r="N3320" s="183">
        <f>SUM(N3318:N3319)</f>
        <v>699689148</v>
      </c>
    </row>
    <row r="3321" spans="9:16">
      <c r="I3321" s="61"/>
      <c r="J3321" s="61"/>
      <c r="K3321" s="61"/>
      <c r="L3321" s="61"/>
      <c r="M3321" s="61"/>
    </row>
    <row r="3322" spans="9:16">
      <c r="I3322" s="51" t="s">
        <v>1286</v>
      </c>
    </row>
    <row r="3323" spans="9:16" ht="11.25" customHeight="1">
      <c r="N3323" s="139"/>
    </row>
    <row r="3324" spans="9:16">
      <c r="I3324" s="50" t="s">
        <v>105</v>
      </c>
      <c r="L3324" s="146"/>
      <c r="N3324" s="139"/>
    </row>
    <row r="3325" spans="9:16" ht="13.5" customHeight="1" thickBot="1"/>
    <row r="3326" spans="9:16" ht="15.75" thickBot="1">
      <c r="I3326" s="891" t="s">
        <v>106</v>
      </c>
      <c r="J3326" s="892"/>
      <c r="K3326" s="892"/>
      <c r="L3326" s="893"/>
      <c r="N3326" s="50" t="s">
        <v>288</v>
      </c>
    </row>
    <row r="3327" spans="9:16" ht="30.75" thickBot="1">
      <c r="I3327" s="57" t="s">
        <v>100</v>
      </c>
      <c r="J3327" s="58" t="s">
        <v>108</v>
      </c>
      <c r="K3327" s="287" t="s">
        <v>109</v>
      </c>
      <c r="L3327" s="60" t="s">
        <v>110</v>
      </c>
    </row>
    <row r="3328" spans="9:16">
      <c r="I3328" s="71">
        <v>719</v>
      </c>
      <c r="J3328" s="73">
        <f>+P3306+P3308+P3314+P3316</f>
        <v>0</v>
      </c>
      <c r="K3328" s="74">
        <f>+L3289</f>
        <v>61960000</v>
      </c>
      <c r="L3328" s="195">
        <f>+J3328+K3328</f>
        <v>61960000</v>
      </c>
    </row>
    <row r="3329" spans="9:16">
      <c r="I3329" s="72">
        <v>721</v>
      </c>
      <c r="J3329" s="80"/>
      <c r="K3329" s="74">
        <f>+L3290</f>
        <v>265024159</v>
      </c>
      <c r="L3329" s="195">
        <f>+J3329+K3329</f>
        <v>265024159</v>
      </c>
    </row>
    <row r="3330" spans="9:16">
      <c r="I3330" s="72">
        <v>722</v>
      </c>
      <c r="J3330" s="80">
        <f>+P3317+P3315+P3311+P3309+P3307+P3313</f>
        <v>600000</v>
      </c>
      <c r="K3330" s="74">
        <f>+L3291</f>
        <v>62543334</v>
      </c>
      <c r="L3330" s="195">
        <f>+J3330+K3330</f>
        <v>63143334</v>
      </c>
    </row>
    <row r="3331" spans="9:16" ht="15.75">
      <c r="I3331" s="72">
        <v>723</v>
      </c>
      <c r="J3331" s="80"/>
      <c r="K3331" s="74">
        <f>+L3292</f>
        <v>308993035</v>
      </c>
      <c r="L3331" s="195">
        <f>+J3331+K3331</f>
        <v>308993035</v>
      </c>
      <c r="N3331" s="193" t="s">
        <v>289</v>
      </c>
      <c r="O3331" s="175"/>
    </row>
    <row r="3332" spans="9:16" ht="16.5" thickBot="1">
      <c r="I3332" s="164" t="s">
        <v>1077</v>
      </c>
      <c r="J3332" s="165"/>
      <c r="K3332" s="74">
        <f>+L3293</f>
        <v>498620</v>
      </c>
      <c r="L3332" s="196">
        <f>+J3332+K3332</f>
        <v>498620</v>
      </c>
      <c r="N3332" s="52"/>
    </row>
    <row r="3333" spans="9:16" ht="16.5" thickBot="1">
      <c r="I3333" s="169"/>
      <c r="J3333" s="197">
        <f>SUM(J3328:J3332)</f>
        <v>600000</v>
      </c>
      <c r="K3333" s="197">
        <f>SUM(K3328:K3332)</f>
        <v>699019148</v>
      </c>
      <c r="L3333" s="198">
        <f>SUM(L3328:L3332)</f>
        <v>699619148</v>
      </c>
    </row>
    <row r="3334" spans="9:16" ht="16.5">
      <c r="I3334" s="49" t="s">
        <v>88</v>
      </c>
      <c r="J3334" s="50"/>
    </row>
    <row r="3335" spans="9:16">
      <c r="I3335" s="51" t="s">
        <v>89</v>
      </c>
    </row>
    <row r="3336" spans="9:16">
      <c r="I3336" s="51" t="s">
        <v>90</v>
      </c>
    </row>
    <row r="3337" spans="9:16">
      <c r="I3337" s="51" t="s">
        <v>91</v>
      </c>
    </row>
    <row r="3338" spans="9:16">
      <c r="I3338" s="50"/>
      <c r="J3338" s="50"/>
    </row>
    <row r="3339" spans="9:16" ht="15.75">
      <c r="I3339" s="260" t="s">
        <v>1283</v>
      </c>
      <c r="O3339" s="52"/>
    </row>
    <row r="3340" spans="9:16" ht="15.75">
      <c r="I3340" s="53" t="s">
        <v>535</v>
      </c>
      <c r="O3340" s="53"/>
    </row>
    <row r="3341" spans="9:16" ht="16.5">
      <c r="I3341" s="894" t="s">
        <v>1288</v>
      </c>
      <c r="J3341" s="894"/>
      <c r="K3341" s="894"/>
      <c r="L3341" s="894"/>
      <c r="M3341" s="894"/>
      <c r="N3341" s="894"/>
      <c r="O3341" s="894"/>
      <c r="P3341" s="894"/>
    </row>
    <row r="3342" spans="9:16" ht="15.75" thickBot="1"/>
    <row r="3343" spans="9:16">
      <c r="I3343" s="895" t="s">
        <v>94</v>
      </c>
      <c r="J3343" s="897" t="s">
        <v>95</v>
      </c>
      <c r="K3343" s="897" t="s">
        <v>96</v>
      </c>
      <c r="L3343" s="897" t="s">
        <v>3</v>
      </c>
      <c r="M3343" s="897" t="s">
        <v>97</v>
      </c>
      <c r="N3343" s="897" t="s">
        <v>98</v>
      </c>
      <c r="O3343" s="897" t="s">
        <v>99</v>
      </c>
      <c r="P3343" s="899"/>
    </row>
    <row r="3344" spans="9:16" ht="15.75" thickBot="1">
      <c r="I3344" s="896"/>
      <c r="J3344" s="898"/>
      <c r="K3344" s="898"/>
      <c r="L3344" s="898"/>
      <c r="M3344" s="898"/>
      <c r="N3344" s="898"/>
      <c r="O3344" s="240" t="s">
        <v>100</v>
      </c>
      <c r="P3344" s="182" t="s">
        <v>101</v>
      </c>
    </row>
    <row r="3345" spans="9:16" ht="15" customHeight="1">
      <c r="I3345" s="873" t="s">
        <v>552</v>
      </c>
      <c r="J3345" s="875">
        <v>42735</v>
      </c>
      <c r="K3345" s="877" t="s">
        <v>790</v>
      </c>
      <c r="L3345" s="879" t="s">
        <v>1293</v>
      </c>
      <c r="M3345" s="881" t="s">
        <v>165</v>
      </c>
      <c r="N3345" s="883">
        <v>-401330</v>
      </c>
      <c r="O3345" s="55">
        <v>719</v>
      </c>
      <c r="P3345" s="78"/>
    </row>
    <row r="3346" spans="9:16" ht="15.75" thickBot="1">
      <c r="I3346" s="874"/>
      <c r="J3346" s="876"/>
      <c r="K3346" s="878"/>
      <c r="L3346" s="880"/>
      <c r="M3346" s="882"/>
      <c r="N3346" s="884"/>
      <c r="O3346" s="56">
        <v>723</v>
      </c>
      <c r="P3346" s="351">
        <f>+N3345-P3345</f>
        <v>-401330</v>
      </c>
    </row>
    <row r="3347" spans="9:16" ht="15" customHeight="1">
      <c r="I3347" s="873" t="s">
        <v>553</v>
      </c>
      <c r="J3347" s="875">
        <v>42735</v>
      </c>
      <c r="K3347" s="877" t="s">
        <v>791</v>
      </c>
      <c r="L3347" s="879" t="s">
        <v>1294</v>
      </c>
      <c r="M3347" s="881" t="s">
        <v>165</v>
      </c>
      <c r="N3347" s="883">
        <v>-164000</v>
      </c>
      <c r="O3347" s="55">
        <v>719</v>
      </c>
      <c r="P3347" s="78"/>
    </row>
    <row r="3348" spans="9:16" ht="15.75" customHeight="1" thickBot="1">
      <c r="I3348" s="874"/>
      <c r="J3348" s="876"/>
      <c r="K3348" s="878"/>
      <c r="L3348" s="880"/>
      <c r="M3348" s="882"/>
      <c r="N3348" s="884"/>
      <c r="O3348" s="56">
        <v>723</v>
      </c>
      <c r="P3348" s="352">
        <f>+N3347-P3347</f>
        <v>-164000</v>
      </c>
    </row>
    <row r="3349" spans="9:16" ht="15" customHeight="1">
      <c r="I3349" s="873"/>
      <c r="J3349" s="875"/>
      <c r="K3349" s="877"/>
      <c r="L3349" s="879"/>
      <c r="M3349" s="881"/>
      <c r="N3349" s="883"/>
      <c r="O3349" s="55">
        <v>719</v>
      </c>
      <c r="P3349" s="78"/>
    </row>
    <row r="3350" spans="9:16" ht="15.75" customHeight="1" thickBot="1">
      <c r="I3350" s="874"/>
      <c r="J3350" s="876"/>
      <c r="K3350" s="878"/>
      <c r="L3350" s="880"/>
      <c r="M3350" s="882"/>
      <c r="N3350" s="884"/>
      <c r="O3350" s="56">
        <v>722</v>
      </c>
      <c r="P3350" s="352"/>
    </row>
    <row r="3351" spans="9:16" ht="15" customHeight="1">
      <c r="I3351" s="873"/>
      <c r="J3351" s="875"/>
      <c r="K3351" s="877"/>
      <c r="L3351" s="879"/>
      <c r="M3351" s="881"/>
      <c r="N3351" s="883"/>
      <c r="O3351" s="55">
        <v>719</v>
      </c>
      <c r="P3351" s="78"/>
    </row>
    <row r="3352" spans="9:16" ht="15.75" customHeight="1" thickBot="1">
      <c r="I3352" s="874"/>
      <c r="J3352" s="876"/>
      <c r="K3352" s="878"/>
      <c r="L3352" s="880"/>
      <c r="M3352" s="882"/>
      <c r="N3352" s="884"/>
      <c r="O3352" s="56">
        <v>722</v>
      </c>
      <c r="P3352" s="79">
        <f>+N3351-P3351</f>
        <v>0</v>
      </c>
    </row>
    <row r="3353" spans="9:16" ht="16.5" thickBot="1">
      <c r="I3353" s="901" t="s">
        <v>102</v>
      </c>
      <c r="J3353" s="902"/>
      <c r="K3353" s="902"/>
      <c r="L3353" s="902"/>
      <c r="M3353" s="903"/>
      <c r="N3353" s="81">
        <f>SUM(N3345:N3352)</f>
        <v>-565330</v>
      </c>
    </row>
    <row r="3354" spans="9:16" ht="16.5" thickBot="1">
      <c r="I3354" s="885" t="s">
        <v>103</v>
      </c>
      <c r="J3354" s="886"/>
      <c r="K3354" s="886"/>
      <c r="L3354" s="886"/>
      <c r="M3354" s="887"/>
      <c r="N3354" s="69">
        <f>+N3320</f>
        <v>699689148</v>
      </c>
      <c r="O3354" s="241" t="s">
        <v>561</v>
      </c>
      <c r="P3354" s="242"/>
    </row>
    <row r="3355" spans="9:16" ht="16.5" thickBot="1">
      <c r="I3355" s="888" t="s">
        <v>104</v>
      </c>
      <c r="J3355" s="889"/>
      <c r="K3355" s="889"/>
      <c r="L3355" s="889"/>
      <c r="M3355" s="890"/>
      <c r="N3355" s="183">
        <f>SUM(N3353:N3354)</f>
        <v>699123818</v>
      </c>
    </row>
    <row r="3356" spans="9:16">
      <c r="I3356" s="61"/>
      <c r="J3356" s="61"/>
      <c r="K3356" s="61"/>
      <c r="L3356" s="61"/>
      <c r="M3356" s="61"/>
    </row>
    <row r="3357" spans="9:16">
      <c r="I3357" s="51" t="s">
        <v>1287</v>
      </c>
    </row>
    <row r="3358" spans="9:16">
      <c r="N3358" s="139"/>
    </row>
    <row r="3359" spans="9:16">
      <c r="I3359" s="50" t="s">
        <v>105</v>
      </c>
      <c r="L3359" s="146"/>
      <c r="N3359" s="139"/>
    </row>
    <row r="3360" spans="9:16" ht="15.75" thickBot="1"/>
    <row r="3361" spans="9:15" ht="15.75" thickBot="1">
      <c r="I3361" s="891" t="s">
        <v>106</v>
      </c>
      <c r="J3361" s="892"/>
      <c r="K3361" s="892"/>
      <c r="L3361" s="893"/>
      <c r="N3361" s="50" t="s">
        <v>288</v>
      </c>
    </row>
    <row r="3362" spans="9:15" ht="30.75" thickBot="1">
      <c r="I3362" s="57" t="s">
        <v>100</v>
      </c>
      <c r="J3362" s="58" t="s">
        <v>108</v>
      </c>
      <c r="K3362" s="287" t="s">
        <v>109</v>
      </c>
      <c r="L3362" s="60" t="s">
        <v>110</v>
      </c>
    </row>
    <row r="3363" spans="9:15">
      <c r="I3363" s="71">
        <v>719</v>
      </c>
      <c r="J3363" s="73">
        <f>+P3345+P3347+P3351</f>
        <v>0</v>
      </c>
      <c r="K3363" s="74">
        <f>+L3328</f>
        <v>61960000</v>
      </c>
      <c r="L3363" s="195">
        <f>+J3363+K3363</f>
        <v>61960000</v>
      </c>
    </row>
    <row r="3364" spans="9:15">
      <c r="I3364" s="72">
        <v>721</v>
      </c>
      <c r="J3364" s="80"/>
      <c r="K3364" s="74">
        <f>+L3329</f>
        <v>265024159</v>
      </c>
      <c r="L3364" s="195">
        <f>+J3364+K3364</f>
        <v>265024159</v>
      </c>
    </row>
    <row r="3365" spans="9:15">
      <c r="I3365" s="72">
        <v>722</v>
      </c>
      <c r="J3365" s="80"/>
      <c r="K3365" s="74">
        <f>+L3330</f>
        <v>63143334</v>
      </c>
      <c r="L3365" s="195">
        <f>+J3365+K3365</f>
        <v>63143334</v>
      </c>
    </row>
    <row r="3366" spans="9:15" ht="15.75">
      <c r="I3366" s="72">
        <v>723</v>
      </c>
      <c r="J3366" s="80">
        <f>+P3348+P3346</f>
        <v>-565330</v>
      </c>
      <c r="K3366" s="74">
        <f>+L3331</f>
        <v>308993035</v>
      </c>
      <c r="L3366" s="195">
        <f>+J3366+K3366</f>
        <v>308427705</v>
      </c>
      <c r="N3366" s="193" t="s">
        <v>289</v>
      </c>
      <c r="O3366" s="175"/>
    </row>
    <row r="3367" spans="9:15" ht="16.5" thickBot="1">
      <c r="I3367" s="164" t="s">
        <v>1077</v>
      </c>
      <c r="J3367" s="165"/>
      <c r="K3367" s="74">
        <f>+L3332</f>
        <v>498620</v>
      </c>
      <c r="L3367" s="196">
        <f>+J3367+K3367</f>
        <v>498620</v>
      </c>
      <c r="N3367" s="52"/>
    </row>
    <row r="3368" spans="9:15" ht="16.5" thickBot="1">
      <c r="I3368" s="169"/>
      <c r="J3368" s="197">
        <f>SUM(J3363:J3367)</f>
        <v>-565330</v>
      </c>
      <c r="K3368" s="197">
        <f>SUM(K3363:K3367)</f>
        <v>699619148</v>
      </c>
      <c r="L3368" s="198">
        <f>SUM(L3363:L3367)</f>
        <v>699053818</v>
      </c>
    </row>
    <row r="3369" spans="9:15" ht="15.75">
      <c r="I3369" s="397"/>
      <c r="J3369" s="398"/>
      <c r="K3369" s="398"/>
      <c r="L3369" s="399"/>
    </row>
    <row r="3370" spans="9:15" ht="16.5">
      <c r="I3370" s="49" t="s">
        <v>88</v>
      </c>
      <c r="J3370" s="50"/>
    </row>
    <row r="3371" spans="9:15">
      <c r="I3371" s="51" t="s">
        <v>89</v>
      </c>
    </row>
    <row r="3372" spans="9:15">
      <c r="I3372" s="51" t="s">
        <v>90</v>
      </c>
    </row>
    <row r="3373" spans="9:15">
      <c r="I3373" s="51" t="s">
        <v>91</v>
      </c>
    </row>
    <row r="3374" spans="9:15" ht="14.25" customHeight="1">
      <c r="I3374" s="50"/>
      <c r="J3374" s="50"/>
    </row>
    <row r="3375" spans="9:15" ht="15.75">
      <c r="I3375" s="260" t="s">
        <v>1289</v>
      </c>
      <c r="O3375" s="52"/>
    </row>
    <row r="3376" spans="9:15" ht="15.75">
      <c r="I3376" s="53" t="s">
        <v>535</v>
      </c>
      <c r="O3376" s="53"/>
    </row>
    <row r="3377" spans="9:16" ht="16.5">
      <c r="I3377" s="894" t="s">
        <v>1278</v>
      </c>
      <c r="J3377" s="894"/>
      <c r="K3377" s="894"/>
      <c r="L3377" s="894"/>
      <c r="M3377" s="894"/>
      <c r="N3377" s="894"/>
      <c r="O3377" s="894"/>
      <c r="P3377" s="894"/>
    </row>
    <row r="3378" spans="9:16" ht="15.75" thickBot="1"/>
    <row r="3379" spans="9:16">
      <c r="I3379" s="895" t="s">
        <v>94</v>
      </c>
      <c r="J3379" s="897" t="s">
        <v>95</v>
      </c>
      <c r="K3379" s="897" t="s">
        <v>96</v>
      </c>
      <c r="L3379" s="897" t="s">
        <v>3</v>
      </c>
      <c r="M3379" s="897" t="s">
        <v>97</v>
      </c>
      <c r="N3379" s="897" t="s">
        <v>98</v>
      </c>
      <c r="O3379" s="897" t="s">
        <v>99</v>
      </c>
      <c r="P3379" s="899"/>
    </row>
    <row r="3380" spans="9:16" ht="15.75" thickBot="1">
      <c r="I3380" s="896"/>
      <c r="J3380" s="898"/>
      <c r="K3380" s="898"/>
      <c r="L3380" s="898"/>
      <c r="M3380" s="898"/>
      <c r="N3380" s="898"/>
      <c r="O3380" s="240" t="s">
        <v>100</v>
      </c>
      <c r="P3380" s="182" t="s">
        <v>101</v>
      </c>
    </row>
    <row r="3381" spans="9:16" ht="15" customHeight="1">
      <c r="I3381" s="873" t="s">
        <v>1290</v>
      </c>
      <c r="J3381" s="875">
        <v>42734</v>
      </c>
      <c r="K3381" s="877" t="s">
        <v>1014</v>
      </c>
      <c r="L3381" s="879" t="s">
        <v>1293</v>
      </c>
      <c r="M3381" s="881" t="s">
        <v>115</v>
      </c>
      <c r="N3381" s="883">
        <v>50000</v>
      </c>
      <c r="O3381" s="55">
        <v>719</v>
      </c>
      <c r="P3381" s="78">
        <v>50000</v>
      </c>
    </row>
    <row r="3382" spans="9:16" ht="15.75" customHeight="1" thickBot="1">
      <c r="I3382" s="874"/>
      <c r="J3382" s="876"/>
      <c r="K3382" s="878"/>
      <c r="L3382" s="880"/>
      <c r="M3382" s="882"/>
      <c r="N3382" s="884"/>
      <c r="O3382" s="56">
        <v>723</v>
      </c>
      <c r="P3382" s="351">
        <f>+N3381-P3381</f>
        <v>0</v>
      </c>
    </row>
    <row r="3383" spans="9:16" ht="15" customHeight="1">
      <c r="I3383" s="873" t="s">
        <v>1291</v>
      </c>
      <c r="J3383" s="875">
        <v>42734</v>
      </c>
      <c r="K3383" s="877" t="s">
        <v>28</v>
      </c>
      <c r="L3383" s="879" t="s">
        <v>1294</v>
      </c>
      <c r="M3383" s="881" t="s">
        <v>115</v>
      </c>
      <c r="N3383" s="883">
        <v>50000</v>
      </c>
      <c r="O3383" s="55">
        <v>719</v>
      </c>
      <c r="P3383" s="78">
        <v>50000</v>
      </c>
    </row>
    <row r="3384" spans="9:16" ht="15.75" customHeight="1" thickBot="1">
      <c r="I3384" s="874"/>
      <c r="J3384" s="876"/>
      <c r="K3384" s="878"/>
      <c r="L3384" s="880"/>
      <c r="M3384" s="882"/>
      <c r="N3384" s="884"/>
      <c r="O3384" s="56">
        <v>723</v>
      </c>
      <c r="P3384" s="352">
        <f>+N3383-P3383</f>
        <v>0</v>
      </c>
    </row>
    <row r="3385" spans="9:16" ht="15" customHeight="1">
      <c r="I3385" s="873" t="s">
        <v>1292</v>
      </c>
      <c r="J3385" s="875">
        <v>42734</v>
      </c>
      <c r="K3385" s="877" t="s">
        <v>120</v>
      </c>
      <c r="L3385" s="879" t="s">
        <v>1294</v>
      </c>
      <c r="M3385" s="881" t="s">
        <v>115</v>
      </c>
      <c r="N3385" s="883">
        <v>140000</v>
      </c>
      <c r="O3385" s="55">
        <v>719</v>
      </c>
      <c r="P3385" s="78">
        <v>140000</v>
      </c>
    </row>
    <row r="3386" spans="9:16" ht="15.75" customHeight="1" thickBot="1">
      <c r="I3386" s="874"/>
      <c r="J3386" s="876"/>
      <c r="K3386" s="878"/>
      <c r="L3386" s="880"/>
      <c r="M3386" s="882"/>
      <c r="N3386" s="884"/>
      <c r="O3386" s="56">
        <v>722</v>
      </c>
      <c r="P3386" s="352">
        <f>+N3385-P3385</f>
        <v>0</v>
      </c>
    </row>
    <row r="3387" spans="9:16">
      <c r="I3387" s="881"/>
      <c r="J3387" s="875"/>
      <c r="K3387" s="877"/>
      <c r="L3387" s="904"/>
      <c r="M3387" s="881"/>
      <c r="N3387" s="883"/>
      <c r="O3387" s="55">
        <v>719</v>
      </c>
      <c r="P3387" s="78"/>
    </row>
    <row r="3388" spans="9:16" ht="15.75" thickBot="1">
      <c r="I3388" s="882"/>
      <c r="J3388" s="876"/>
      <c r="K3388" s="878"/>
      <c r="L3388" s="880"/>
      <c r="M3388" s="882"/>
      <c r="N3388" s="884"/>
      <c r="O3388" s="56">
        <v>722</v>
      </c>
      <c r="P3388" s="79">
        <f>+N3387-P3387</f>
        <v>0</v>
      </c>
    </row>
    <row r="3389" spans="9:16" ht="16.5" thickBot="1">
      <c r="I3389" s="901" t="s">
        <v>102</v>
      </c>
      <c r="J3389" s="902"/>
      <c r="K3389" s="902"/>
      <c r="L3389" s="902"/>
      <c r="M3389" s="903"/>
      <c r="N3389" s="81">
        <f>SUM(N3381:N3388)</f>
        <v>240000</v>
      </c>
    </row>
    <row r="3390" spans="9:16" ht="16.5" thickBot="1">
      <c r="I3390" s="885" t="s">
        <v>103</v>
      </c>
      <c r="J3390" s="886"/>
      <c r="K3390" s="886"/>
      <c r="L3390" s="886"/>
      <c r="M3390" s="887"/>
      <c r="N3390" s="69">
        <f>+N3355</f>
        <v>699123818</v>
      </c>
      <c r="O3390" s="241" t="s">
        <v>561</v>
      </c>
      <c r="P3390" s="242">
        <v>349</v>
      </c>
    </row>
    <row r="3391" spans="9:16" ht="16.5" thickBot="1">
      <c r="I3391" s="888" t="s">
        <v>104</v>
      </c>
      <c r="J3391" s="889"/>
      <c r="K3391" s="889"/>
      <c r="L3391" s="889"/>
      <c r="M3391" s="890"/>
      <c r="N3391" s="183">
        <f>SUM(N3389:N3390)</f>
        <v>699363818</v>
      </c>
    </row>
    <row r="3392" spans="9:16">
      <c r="I3392" s="61"/>
      <c r="J3392" s="61"/>
      <c r="K3392" s="61"/>
      <c r="L3392" s="61"/>
      <c r="M3392" s="61"/>
    </row>
    <row r="3393" spans="9:15">
      <c r="I3393" s="51" t="s">
        <v>1295</v>
      </c>
    </row>
    <row r="3394" spans="9:15">
      <c r="N3394" s="139"/>
    </row>
    <row r="3395" spans="9:15" ht="19.5" customHeight="1">
      <c r="I3395" s="50" t="s">
        <v>105</v>
      </c>
      <c r="L3395" s="146"/>
      <c r="N3395" s="139"/>
    </row>
    <row r="3396" spans="9:15" ht="18" customHeight="1" thickBot="1"/>
    <row r="3397" spans="9:15" ht="15.75" thickBot="1">
      <c r="I3397" s="891" t="s">
        <v>106</v>
      </c>
      <c r="J3397" s="892"/>
      <c r="K3397" s="892"/>
      <c r="L3397" s="893"/>
      <c r="N3397" s="50" t="s">
        <v>288</v>
      </c>
    </row>
    <row r="3398" spans="9:15" ht="30.75" thickBot="1">
      <c r="I3398" s="57" t="s">
        <v>100</v>
      </c>
      <c r="J3398" s="58" t="s">
        <v>108</v>
      </c>
      <c r="K3398" s="287" t="s">
        <v>109</v>
      </c>
      <c r="L3398" s="60" t="s">
        <v>110</v>
      </c>
    </row>
    <row r="3399" spans="9:15">
      <c r="I3399" s="71">
        <v>719</v>
      </c>
      <c r="J3399" s="73">
        <f>+P3381+P3383+P3387+P3385</f>
        <v>240000</v>
      </c>
      <c r="K3399" s="74">
        <f>+L3363</f>
        <v>61960000</v>
      </c>
      <c r="L3399" s="195">
        <f>+J3399+K3399</f>
        <v>62200000</v>
      </c>
    </row>
    <row r="3400" spans="9:15">
      <c r="I3400" s="72">
        <v>721</v>
      </c>
      <c r="J3400" s="80"/>
      <c r="K3400" s="74">
        <f>+L3364</f>
        <v>265024159</v>
      </c>
      <c r="L3400" s="195">
        <f>+J3400+K3400</f>
        <v>265024159</v>
      </c>
    </row>
    <row r="3401" spans="9:15">
      <c r="I3401" s="72">
        <v>722</v>
      </c>
      <c r="J3401" s="80"/>
      <c r="K3401" s="74">
        <f>+L3365</f>
        <v>63143334</v>
      </c>
      <c r="L3401" s="195">
        <f>+J3401+K3401</f>
        <v>63143334</v>
      </c>
    </row>
    <row r="3402" spans="9:15" ht="15.75">
      <c r="I3402" s="72">
        <v>723</v>
      </c>
      <c r="J3402" s="80">
        <f>+P3384+P3382</f>
        <v>0</v>
      </c>
      <c r="K3402" s="74">
        <f>+L3366</f>
        <v>308427705</v>
      </c>
      <c r="L3402" s="195">
        <f>+J3402+K3402</f>
        <v>308427705</v>
      </c>
      <c r="N3402" s="193" t="s">
        <v>289</v>
      </c>
      <c r="O3402" s="175"/>
    </row>
    <row r="3403" spans="9:15" ht="16.5" thickBot="1">
      <c r="I3403" s="164" t="s">
        <v>1077</v>
      </c>
      <c r="J3403" s="165"/>
      <c r="K3403" s="74">
        <f>+L3367</f>
        <v>498620</v>
      </c>
      <c r="L3403" s="196">
        <f>+J3403+K3403</f>
        <v>498620</v>
      </c>
      <c r="N3403" s="52"/>
    </row>
    <row r="3404" spans="9:15" ht="16.5" thickBot="1">
      <c r="I3404" s="169"/>
      <c r="J3404" s="197">
        <f>SUM(J3399:J3403)</f>
        <v>240000</v>
      </c>
      <c r="K3404" s="197">
        <f>SUM(K3399:K3403)</f>
        <v>699053818</v>
      </c>
      <c r="L3404" s="198">
        <f>SUM(L3399:L3403)</f>
        <v>699293818</v>
      </c>
    </row>
    <row r="3405" spans="9:15" ht="15.75">
      <c r="I3405" s="397"/>
      <c r="J3405" s="398"/>
      <c r="K3405" s="398"/>
      <c r="L3405" s="399"/>
    </row>
    <row r="3406" spans="9:15" ht="16.5">
      <c r="I3406" s="49" t="s">
        <v>88</v>
      </c>
      <c r="J3406" s="50"/>
    </row>
    <row r="3407" spans="9:15">
      <c r="I3407" s="50" t="s">
        <v>89</v>
      </c>
    </row>
    <row r="3408" spans="9:15">
      <c r="I3408" s="51" t="s">
        <v>90</v>
      </c>
    </row>
    <row r="3409" spans="9:16">
      <c r="I3409" s="51" t="s">
        <v>91</v>
      </c>
    </row>
    <row r="3410" spans="9:16" ht="9" customHeight="1">
      <c r="I3410" s="50"/>
      <c r="J3410" s="50"/>
    </row>
    <row r="3411" spans="9:16" ht="15.75">
      <c r="I3411" s="260" t="s">
        <v>1296</v>
      </c>
      <c r="O3411" s="52"/>
    </row>
    <row r="3412" spans="9:16" ht="15.75">
      <c r="I3412" s="53" t="s">
        <v>535</v>
      </c>
      <c r="O3412" s="53"/>
    </row>
    <row r="3413" spans="9:16" ht="15.75" customHeight="1">
      <c r="I3413" s="894" t="s">
        <v>1302</v>
      </c>
      <c r="J3413" s="894"/>
      <c r="K3413" s="894"/>
      <c r="L3413" s="894"/>
      <c r="M3413" s="894"/>
      <c r="N3413" s="894"/>
      <c r="O3413" s="894"/>
      <c r="P3413" s="894"/>
    </row>
    <row r="3414" spans="9:16" ht="12.75" customHeight="1" thickBot="1"/>
    <row r="3415" spans="9:16">
      <c r="I3415" s="895" t="s">
        <v>94</v>
      </c>
      <c r="J3415" s="897" t="s">
        <v>95</v>
      </c>
      <c r="K3415" s="897" t="s">
        <v>96</v>
      </c>
      <c r="L3415" s="897" t="s">
        <v>3</v>
      </c>
      <c r="M3415" s="897" t="s">
        <v>97</v>
      </c>
      <c r="N3415" s="897" t="s">
        <v>98</v>
      </c>
      <c r="O3415" s="897" t="s">
        <v>99</v>
      </c>
      <c r="P3415" s="899"/>
    </row>
    <row r="3416" spans="9:16" ht="15.75" thickBot="1">
      <c r="I3416" s="896"/>
      <c r="J3416" s="898"/>
      <c r="K3416" s="898"/>
      <c r="L3416" s="898"/>
      <c r="M3416" s="898"/>
      <c r="N3416" s="898"/>
      <c r="O3416" s="240" t="s">
        <v>100</v>
      </c>
      <c r="P3416" s="182" t="s">
        <v>101</v>
      </c>
    </row>
    <row r="3417" spans="9:16" ht="13.5" customHeight="1">
      <c r="I3417" s="873" t="s">
        <v>1297</v>
      </c>
      <c r="J3417" s="875">
        <v>42734</v>
      </c>
      <c r="K3417" s="400" t="s">
        <v>1267</v>
      </c>
      <c r="L3417" s="879" t="s">
        <v>1221</v>
      </c>
      <c r="M3417" s="881" t="s">
        <v>145</v>
      </c>
      <c r="N3417" s="883">
        <v>14718204</v>
      </c>
      <c r="O3417" s="55">
        <v>719</v>
      </c>
      <c r="P3417" s="78">
        <v>0</v>
      </c>
    </row>
    <row r="3418" spans="9:16" ht="14.25" customHeight="1" thickBot="1">
      <c r="I3418" s="874"/>
      <c r="J3418" s="876"/>
      <c r="K3418" s="402"/>
      <c r="L3418" s="880"/>
      <c r="M3418" s="882"/>
      <c r="N3418" s="884"/>
      <c r="O3418" s="56">
        <v>721</v>
      </c>
      <c r="P3418" s="351">
        <f>+N3417-P3417</f>
        <v>14718204</v>
      </c>
    </row>
    <row r="3419" spans="9:16" ht="13.5" customHeight="1">
      <c r="I3419" s="873" t="s">
        <v>1298</v>
      </c>
      <c r="J3419" s="875">
        <v>42734</v>
      </c>
      <c r="K3419" s="402"/>
      <c r="L3419" s="879" t="s">
        <v>1304</v>
      </c>
      <c r="M3419" s="881" t="s">
        <v>145</v>
      </c>
      <c r="N3419" s="883">
        <v>4941638</v>
      </c>
      <c r="O3419" s="55">
        <v>719</v>
      </c>
      <c r="P3419" s="78">
        <v>0</v>
      </c>
    </row>
    <row r="3420" spans="9:16" ht="15" customHeight="1" thickBot="1">
      <c r="I3420" s="874"/>
      <c r="J3420" s="876"/>
      <c r="K3420" s="402"/>
      <c r="L3420" s="880"/>
      <c r="M3420" s="882"/>
      <c r="N3420" s="884"/>
      <c r="O3420" s="56">
        <v>721</v>
      </c>
      <c r="P3420" s="352">
        <f>+N3419-P3419</f>
        <v>4941638</v>
      </c>
    </row>
    <row r="3421" spans="9:16" ht="15" customHeight="1">
      <c r="I3421" s="873" t="s">
        <v>1299</v>
      </c>
      <c r="J3421" s="875">
        <v>42734</v>
      </c>
      <c r="K3421" s="402"/>
      <c r="L3421" s="879" t="s">
        <v>1305</v>
      </c>
      <c r="M3421" s="881" t="s">
        <v>145</v>
      </c>
      <c r="N3421" s="883">
        <v>3962065</v>
      </c>
      <c r="O3421" s="55">
        <v>719</v>
      </c>
      <c r="P3421" s="78">
        <v>0</v>
      </c>
    </row>
    <row r="3422" spans="9:16" ht="15.75" customHeight="1" thickBot="1">
      <c r="I3422" s="874"/>
      <c r="J3422" s="876"/>
      <c r="K3422" s="402"/>
      <c r="L3422" s="880"/>
      <c r="M3422" s="882"/>
      <c r="N3422" s="884"/>
      <c r="O3422" s="56">
        <v>721</v>
      </c>
      <c r="P3422" s="352">
        <f>+N3421-P3421</f>
        <v>3962065</v>
      </c>
    </row>
    <row r="3423" spans="9:16" ht="14.25" customHeight="1">
      <c r="I3423" s="873" t="s">
        <v>1300</v>
      </c>
      <c r="J3423" s="875">
        <v>42734</v>
      </c>
      <c r="K3423" s="402"/>
      <c r="L3423" s="879" t="s">
        <v>1303</v>
      </c>
      <c r="M3423" s="881" t="s">
        <v>145</v>
      </c>
      <c r="N3423" s="883">
        <v>2449488</v>
      </c>
      <c r="O3423" s="55">
        <v>719</v>
      </c>
      <c r="P3423" s="78">
        <v>0</v>
      </c>
    </row>
    <row r="3424" spans="9:16" ht="14.25" customHeight="1" thickBot="1">
      <c r="I3424" s="874"/>
      <c r="J3424" s="876"/>
      <c r="K3424" s="402"/>
      <c r="L3424" s="880"/>
      <c r="M3424" s="882"/>
      <c r="N3424" s="884"/>
      <c r="O3424" s="56">
        <v>721</v>
      </c>
      <c r="P3424" s="352">
        <f>+N3423-P3423</f>
        <v>2449488</v>
      </c>
    </row>
    <row r="3425" spans="9:16" ht="13.5" customHeight="1">
      <c r="I3425" s="873" t="s">
        <v>1308</v>
      </c>
      <c r="J3425" s="875">
        <v>42734</v>
      </c>
      <c r="K3425" s="402"/>
      <c r="L3425" s="879" t="s">
        <v>1306</v>
      </c>
      <c r="M3425" s="881" t="s">
        <v>145</v>
      </c>
      <c r="N3425" s="883">
        <v>4151192</v>
      </c>
      <c r="O3425" s="55">
        <v>719</v>
      </c>
      <c r="P3425" s="78">
        <v>0</v>
      </c>
    </row>
    <row r="3426" spans="9:16" ht="15.75" customHeight="1" thickBot="1">
      <c r="I3426" s="874"/>
      <c r="J3426" s="876"/>
      <c r="K3426" s="402"/>
      <c r="L3426" s="880"/>
      <c r="M3426" s="882"/>
      <c r="N3426" s="884"/>
      <c r="O3426" s="56">
        <v>721</v>
      </c>
      <c r="P3426" s="352">
        <f>+N3425-P3425</f>
        <v>4151192</v>
      </c>
    </row>
    <row r="3427" spans="9:16" ht="12.75" customHeight="1">
      <c r="I3427" s="873" t="s">
        <v>1309</v>
      </c>
      <c r="J3427" s="875">
        <v>42734</v>
      </c>
      <c r="K3427" s="402"/>
      <c r="L3427" s="879" t="s">
        <v>1307</v>
      </c>
      <c r="M3427" s="881" t="s">
        <v>145</v>
      </c>
      <c r="N3427" s="883">
        <v>1734563</v>
      </c>
      <c r="O3427" s="55">
        <v>719</v>
      </c>
      <c r="P3427" s="78"/>
    </row>
    <row r="3428" spans="9:16" ht="12.75" customHeight="1" thickBot="1">
      <c r="I3428" s="874"/>
      <c r="J3428" s="876"/>
      <c r="K3428" s="401"/>
      <c r="L3428" s="880"/>
      <c r="M3428" s="882"/>
      <c r="N3428" s="884"/>
      <c r="O3428" s="56">
        <v>721</v>
      </c>
      <c r="P3428" s="79">
        <f>+N3427-P3427</f>
        <v>1734563</v>
      </c>
    </row>
    <row r="3429" spans="9:16" ht="16.5" thickBot="1">
      <c r="I3429" s="901" t="s">
        <v>102</v>
      </c>
      <c r="J3429" s="902"/>
      <c r="K3429" s="902"/>
      <c r="L3429" s="902"/>
      <c r="M3429" s="903"/>
      <c r="N3429" s="81">
        <f>SUM(N3417:N3428)</f>
        <v>31957150</v>
      </c>
    </row>
    <row r="3430" spans="9:16" ht="16.5" thickBot="1">
      <c r="I3430" s="885" t="s">
        <v>103</v>
      </c>
      <c r="J3430" s="886"/>
      <c r="K3430" s="886"/>
      <c r="L3430" s="886"/>
      <c r="M3430" s="887"/>
      <c r="N3430" s="69">
        <f>+N3391</f>
        <v>699363818</v>
      </c>
      <c r="O3430" s="241" t="s">
        <v>561</v>
      </c>
      <c r="P3430" s="242"/>
    </row>
    <row r="3431" spans="9:16" ht="16.5" thickBot="1">
      <c r="I3431" s="888" t="s">
        <v>104</v>
      </c>
      <c r="J3431" s="889"/>
      <c r="K3431" s="889"/>
      <c r="L3431" s="889"/>
      <c r="M3431" s="890"/>
      <c r="N3431" s="183">
        <f>SUM(N3429:N3430)</f>
        <v>731320968</v>
      </c>
    </row>
    <row r="3432" spans="9:16" ht="12.75" customHeight="1">
      <c r="I3432" s="61"/>
      <c r="J3432" s="61"/>
      <c r="K3432" s="61"/>
      <c r="L3432" s="61"/>
      <c r="M3432" s="61"/>
    </row>
    <row r="3433" spans="9:16">
      <c r="I3433" s="51" t="s">
        <v>1310</v>
      </c>
    </row>
    <row r="3434" spans="9:16" ht="8.25" customHeight="1">
      <c r="N3434" s="139"/>
    </row>
    <row r="3435" spans="9:16">
      <c r="I3435" s="50" t="s">
        <v>105</v>
      </c>
      <c r="L3435" s="146"/>
      <c r="N3435" s="139"/>
    </row>
    <row r="3436" spans="9:16" ht="9" customHeight="1" thickBot="1"/>
    <row r="3437" spans="9:16" ht="15.75" thickBot="1">
      <c r="I3437" s="891" t="s">
        <v>106</v>
      </c>
      <c r="J3437" s="892"/>
      <c r="K3437" s="892"/>
      <c r="L3437" s="893"/>
      <c r="N3437" s="50" t="s">
        <v>1126</v>
      </c>
    </row>
    <row r="3438" spans="9:16" ht="30.75" thickBot="1">
      <c r="I3438" s="57" t="s">
        <v>100</v>
      </c>
      <c r="J3438" s="58" t="s">
        <v>108</v>
      </c>
      <c r="K3438" s="287" t="s">
        <v>109</v>
      </c>
      <c r="L3438" s="60" t="s">
        <v>110</v>
      </c>
    </row>
    <row r="3439" spans="9:16">
      <c r="I3439" s="71">
        <v>719</v>
      </c>
      <c r="J3439" s="73">
        <f>+P3421+P3423+P3427+P3425</f>
        <v>0</v>
      </c>
      <c r="K3439" s="74">
        <f>+L3399</f>
        <v>62200000</v>
      </c>
      <c r="L3439" s="195">
        <f>+J3439+K3439</f>
        <v>62200000</v>
      </c>
    </row>
    <row r="3440" spans="9:16">
      <c r="I3440" s="72">
        <v>721</v>
      </c>
      <c r="J3440" s="80">
        <f>+P3428+P3426+P3424+P3422+P3420+P3418</f>
        <v>31957150</v>
      </c>
      <c r="K3440" s="74">
        <f>+L3400</f>
        <v>265024159</v>
      </c>
      <c r="L3440" s="195">
        <f>+J3440+K3440</f>
        <v>296981309</v>
      </c>
    </row>
    <row r="3441" spans="9:16">
      <c r="I3441" s="72">
        <v>722</v>
      </c>
      <c r="J3441" s="80"/>
      <c r="K3441" s="74">
        <f>+L3401</f>
        <v>63143334</v>
      </c>
      <c r="L3441" s="195">
        <f>+J3441+K3441</f>
        <v>63143334</v>
      </c>
    </row>
    <row r="3442" spans="9:16" ht="15.75">
      <c r="I3442" s="72">
        <v>723</v>
      </c>
      <c r="J3442" s="80"/>
      <c r="K3442" s="74">
        <f>+L3402</f>
        <v>308427705</v>
      </c>
      <c r="L3442" s="195">
        <f>+J3442+K3442</f>
        <v>308427705</v>
      </c>
      <c r="N3442" s="193" t="s">
        <v>1125</v>
      </c>
      <c r="O3442" s="175"/>
    </row>
    <row r="3443" spans="9:16" ht="16.5" thickBot="1">
      <c r="I3443" s="164" t="s">
        <v>1077</v>
      </c>
      <c r="J3443" s="165"/>
      <c r="K3443" s="74">
        <f>+L3403</f>
        <v>498620</v>
      </c>
      <c r="L3443" s="196">
        <f>+J3443+K3443</f>
        <v>498620</v>
      </c>
      <c r="N3443" s="52"/>
    </row>
    <row r="3444" spans="9:16" ht="16.5" thickBot="1">
      <c r="I3444" s="169"/>
      <c r="J3444" s="197">
        <f>SUM(J3439:J3443)</f>
        <v>31957150</v>
      </c>
      <c r="K3444" s="197">
        <f>SUM(K3439:K3443)</f>
        <v>699293818</v>
      </c>
      <c r="L3444" s="198">
        <f>SUM(L3439:L3443)</f>
        <v>731250968</v>
      </c>
    </row>
    <row r="3445" spans="9:16" ht="16.5">
      <c r="I3445" s="49" t="s">
        <v>88</v>
      </c>
      <c r="J3445" s="50"/>
    </row>
    <row r="3446" spans="9:16">
      <c r="I3446" s="51" t="s">
        <v>89</v>
      </c>
    </row>
    <row r="3447" spans="9:16">
      <c r="I3447" s="51" t="s">
        <v>90</v>
      </c>
    </row>
    <row r="3448" spans="9:16">
      <c r="I3448" s="51" t="s">
        <v>91</v>
      </c>
    </row>
    <row r="3449" spans="9:16">
      <c r="I3449" s="50"/>
      <c r="J3449" s="50"/>
    </row>
    <row r="3450" spans="9:16" ht="15.75">
      <c r="I3450" s="260" t="s">
        <v>1312</v>
      </c>
      <c r="O3450" s="52"/>
    </row>
    <row r="3451" spans="9:16" ht="15.75">
      <c r="I3451" s="53" t="s">
        <v>535</v>
      </c>
      <c r="O3451" s="53"/>
    </row>
    <row r="3452" spans="9:16" ht="16.5">
      <c r="I3452" s="894" t="s">
        <v>1316</v>
      </c>
      <c r="J3452" s="894"/>
      <c r="K3452" s="894"/>
      <c r="L3452" s="894"/>
      <c r="M3452" s="894"/>
      <c r="N3452" s="894"/>
      <c r="O3452" s="894"/>
      <c r="P3452" s="894"/>
    </row>
    <row r="3453" spans="9:16" ht="15.75" thickBot="1"/>
    <row r="3454" spans="9:16">
      <c r="I3454" s="895" t="s">
        <v>94</v>
      </c>
      <c r="J3454" s="897" t="s">
        <v>95</v>
      </c>
      <c r="K3454" s="897" t="s">
        <v>96</v>
      </c>
      <c r="L3454" s="897" t="s">
        <v>3</v>
      </c>
      <c r="M3454" s="897" t="s">
        <v>97</v>
      </c>
      <c r="N3454" s="897" t="s">
        <v>98</v>
      </c>
      <c r="O3454" s="897" t="s">
        <v>99</v>
      </c>
      <c r="P3454" s="899"/>
    </row>
    <row r="3455" spans="9:16" ht="15.75" thickBot="1">
      <c r="I3455" s="896"/>
      <c r="J3455" s="898"/>
      <c r="K3455" s="898"/>
      <c r="L3455" s="898"/>
      <c r="M3455" s="898"/>
      <c r="N3455" s="898"/>
      <c r="O3455" s="240" t="s">
        <v>100</v>
      </c>
      <c r="P3455" s="182" t="s">
        <v>101</v>
      </c>
    </row>
    <row r="3456" spans="9:16">
      <c r="I3456" s="873" t="s">
        <v>1311</v>
      </c>
      <c r="J3456" s="875">
        <v>42734</v>
      </c>
      <c r="K3456" s="877" t="s">
        <v>1315</v>
      </c>
      <c r="L3456" s="879" t="s">
        <v>1301</v>
      </c>
      <c r="M3456" s="881" t="s">
        <v>148</v>
      </c>
      <c r="N3456" s="883">
        <v>1817700</v>
      </c>
      <c r="O3456" s="55">
        <v>719</v>
      </c>
      <c r="P3456" s="78"/>
    </row>
    <row r="3457" spans="9:16" ht="15.75" thickBot="1">
      <c r="I3457" s="874"/>
      <c r="J3457" s="876"/>
      <c r="K3457" s="878"/>
      <c r="L3457" s="880"/>
      <c r="M3457" s="882"/>
      <c r="N3457" s="884"/>
      <c r="O3457" s="56">
        <v>723</v>
      </c>
      <c r="P3457" s="351">
        <f>+N3456-P3456</f>
        <v>1817700</v>
      </c>
    </row>
    <row r="3458" spans="9:16">
      <c r="I3458" s="873"/>
      <c r="J3458" s="875"/>
      <c r="K3458" s="877"/>
      <c r="L3458" s="879"/>
      <c r="M3458" s="881"/>
      <c r="N3458" s="883"/>
      <c r="O3458" s="55">
        <v>719</v>
      </c>
      <c r="P3458" s="78"/>
    </row>
    <row r="3459" spans="9:16" ht="15.75" thickBot="1">
      <c r="I3459" s="874"/>
      <c r="J3459" s="876"/>
      <c r="K3459" s="878"/>
      <c r="L3459" s="880"/>
      <c r="M3459" s="882"/>
      <c r="N3459" s="884"/>
      <c r="O3459" s="56">
        <v>723</v>
      </c>
      <c r="P3459" s="352">
        <f>+N3458-P3458</f>
        <v>0</v>
      </c>
    </row>
    <row r="3460" spans="9:16">
      <c r="I3460" s="873"/>
      <c r="J3460" s="875"/>
      <c r="K3460" s="877"/>
      <c r="L3460" s="879"/>
      <c r="M3460" s="881"/>
      <c r="N3460" s="883"/>
      <c r="O3460" s="55">
        <v>719</v>
      </c>
      <c r="P3460" s="78"/>
    </row>
    <row r="3461" spans="9:16" ht="15.75" thickBot="1">
      <c r="I3461" s="874"/>
      <c r="J3461" s="876"/>
      <c r="K3461" s="878"/>
      <c r="L3461" s="880"/>
      <c r="M3461" s="882"/>
      <c r="N3461" s="884"/>
      <c r="O3461" s="56">
        <v>722</v>
      </c>
      <c r="P3461" s="352">
        <f>+N3460-P3460</f>
        <v>0</v>
      </c>
    </row>
    <row r="3462" spans="9:16">
      <c r="I3462" s="881"/>
      <c r="J3462" s="875"/>
      <c r="K3462" s="877"/>
      <c r="L3462" s="904"/>
      <c r="M3462" s="881"/>
      <c r="N3462" s="883"/>
      <c r="O3462" s="55">
        <v>719</v>
      </c>
      <c r="P3462" s="78"/>
    </row>
    <row r="3463" spans="9:16" ht="15.75" thickBot="1">
      <c r="I3463" s="882"/>
      <c r="J3463" s="876"/>
      <c r="K3463" s="878"/>
      <c r="L3463" s="880"/>
      <c r="M3463" s="882"/>
      <c r="N3463" s="884"/>
      <c r="O3463" s="56">
        <v>722</v>
      </c>
      <c r="P3463" s="79">
        <f>+N3462-P3462</f>
        <v>0</v>
      </c>
    </row>
    <row r="3464" spans="9:16" ht="16.5" thickBot="1">
      <c r="I3464" s="901" t="s">
        <v>102</v>
      </c>
      <c r="J3464" s="902"/>
      <c r="K3464" s="902"/>
      <c r="L3464" s="902"/>
      <c r="M3464" s="903"/>
      <c r="N3464" s="81">
        <f>SUM(N3456:N3463)</f>
        <v>1817700</v>
      </c>
    </row>
    <row r="3465" spans="9:16" ht="16.5" thickBot="1">
      <c r="I3465" s="885" t="s">
        <v>103</v>
      </c>
      <c r="J3465" s="886"/>
      <c r="K3465" s="886"/>
      <c r="L3465" s="886"/>
      <c r="M3465" s="887"/>
      <c r="N3465" s="69">
        <f>+N3431</f>
        <v>731320968</v>
      </c>
      <c r="O3465" s="241" t="s">
        <v>561</v>
      </c>
      <c r="P3465" s="242"/>
    </row>
    <row r="3466" spans="9:16" ht="16.5" thickBot="1">
      <c r="I3466" s="888" t="s">
        <v>104</v>
      </c>
      <c r="J3466" s="889"/>
      <c r="K3466" s="889"/>
      <c r="L3466" s="889"/>
      <c r="M3466" s="890"/>
      <c r="N3466" s="183">
        <f>SUM(N3464:N3465)</f>
        <v>733138668</v>
      </c>
    </row>
    <row r="3467" spans="9:16">
      <c r="I3467" s="61"/>
      <c r="J3467" s="61"/>
      <c r="K3467" s="61"/>
      <c r="L3467" s="61"/>
      <c r="M3467" s="61"/>
    </row>
    <row r="3468" spans="9:16">
      <c r="I3468" s="51" t="s">
        <v>1314</v>
      </c>
    </row>
    <row r="3469" spans="9:16">
      <c r="N3469" s="139"/>
    </row>
    <row r="3470" spans="9:16">
      <c r="I3470" s="50" t="s">
        <v>105</v>
      </c>
      <c r="L3470" s="146"/>
      <c r="N3470" s="139"/>
    </row>
    <row r="3471" spans="9:16" ht="15.75" thickBot="1"/>
    <row r="3472" spans="9:16" ht="15.75" thickBot="1">
      <c r="I3472" s="891" t="s">
        <v>106</v>
      </c>
      <c r="J3472" s="892"/>
      <c r="K3472" s="892"/>
      <c r="L3472" s="893"/>
      <c r="N3472" s="50" t="s">
        <v>1313</v>
      </c>
    </row>
    <row r="3473" spans="9:16" ht="30.75" thickBot="1">
      <c r="I3473" s="57" t="s">
        <v>100</v>
      </c>
      <c r="J3473" s="58" t="s">
        <v>108</v>
      </c>
      <c r="K3473" s="287" t="s">
        <v>109</v>
      </c>
      <c r="L3473" s="60" t="s">
        <v>110</v>
      </c>
    </row>
    <row r="3474" spans="9:16">
      <c r="I3474" s="71">
        <v>719</v>
      </c>
      <c r="J3474" s="73"/>
      <c r="K3474" s="74">
        <f>+L3439</f>
        <v>62200000</v>
      </c>
      <c r="L3474" s="195">
        <f>+J3474+K3474</f>
        <v>62200000</v>
      </c>
    </row>
    <row r="3475" spans="9:16">
      <c r="I3475" s="72">
        <v>721</v>
      </c>
      <c r="J3475" s="80"/>
      <c r="K3475" s="74">
        <f>+L3440</f>
        <v>296981309</v>
      </c>
      <c r="L3475" s="195">
        <f>+J3475+K3475</f>
        <v>296981309</v>
      </c>
    </row>
    <row r="3476" spans="9:16">
      <c r="I3476" s="72">
        <v>722</v>
      </c>
      <c r="J3476" s="80"/>
      <c r="K3476" s="74">
        <f>+L3441</f>
        <v>63143334</v>
      </c>
      <c r="L3476" s="195">
        <f>+J3476+K3476</f>
        <v>63143334</v>
      </c>
    </row>
    <row r="3477" spans="9:16" ht="15.75">
      <c r="I3477" s="72">
        <v>723</v>
      </c>
      <c r="J3477" s="80">
        <f>+P3457</f>
        <v>1817700</v>
      </c>
      <c r="K3477" s="74">
        <f>+L3442</f>
        <v>308427705</v>
      </c>
      <c r="L3477" s="195">
        <f>+J3477+K3477</f>
        <v>310245405</v>
      </c>
      <c r="N3477" s="193" t="s">
        <v>1125</v>
      </c>
      <c r="O3477" s="175"/>
    </row>
    <row r="3478" spans="9:16" ht="16.5" thickBot="1">
      <c r="I3478" s="164" t="s">
        <v>1077</v>
      </c>
      <c r="J3478" s="165"/>
      <c r="K3478" s="74">
        <f>+L3443</f>
        <v>498620</v>
      </c>
      <c r="L3478" s="196">
        <f>+J3478+K3478</f>
        <v>498620</v>
      </c>
      <c r="N3478" s="52"/>
    </row>
    <row r="3479" spans="9:16" ht="16.5" thickBot="1">
      <c r="I3479" s="169"/>
      <c r="J3479" s="197">
        <f>SUM(J3474:J3478)</f>
        <v>1817700</v>
      </c>
      <c r="K3479" s="197">
        <f>SUM(K3474:K3478)</f>
        <v>731250968</v>
      </c>
      <c r="L3479" s="198">
        <f>SUM(L3474:L3478)</f>
        <v>733068668</v>
      </c>
    </row>
    <row r="3480" spans="9:16" ht="15.75">
      <c r="I3480" s="397"/>
      <c r="J3480" s="398"/>
      <c r="K3480" s="398"/>
      <c r="L3480" s="399"/>
    </row>
    <row r="3481" spans="9:16" ht="16.5">
      <c r="I3481" s="49" t="s">
        <v>88</v>
      </c>
      <c r="J3481" s="50"/>
    </row>
    <row r="3482" spans="9:16">
      <c r="I3482" s="51" t="s">
        <v>89</v>
      </c>
    </row>
    <row r="3483" spans="9:16">
      <c r="I3483" s="51" t="s">
        <v>90</v>
      </c>
    </row>
    <row r="3484" spans="9:16">
      <c r="I3484" s="51" t="s">
        <v>91</v>
      </c>
    </row>
    <row r="3485" spans="9:16">
      <c r="I3485" s="50"/>
      <c r="J3485" s="50"/>
    </row>
    <row r="3486" spans="9:16" ht="15.75">
      <c r="I3486" s="260" t="s">
        <v>1320</v>
      </c>
      <c r="O3486" s="52"/>
    </row>
    <row r="3487" spans="9:16" ht="15.75">
      <c r="I3487" s="53" t="s">
        <v>535</v>
      </c>
      <c r="O3487" s="53"/>
    </row>
    <row r="3488" spans="9:16" ht="16.5">
      <c r="I3488" s="894" t="s">
        <v>1317</v>
      </c>
      <c r="J3488" s="894"/>
      <c r="K3488" s="894"/>
      <c r="L3488" s="894"/>
      <c r="M3488" s="894"/>
      <c r="N3488" s="894"/>
      <c r="O3488" s="894"/>
      <c r="P3488" s="894"/>
    </row>
    <row r="3489" spans="9:16" ht="15.75" thickBot="1"/>
    <row r="3490" spans="9:16">
      <c r="I3490" s="895" t="s">
        <v>94</v>
      </c>
      <c r="J3490" s="897" t="s">
        <v>95</v>
      </c>
      <c r="K3490" s="897" t="s">
        <v>96</v>
      </c>
      <c r="L3490" s="897" t="s">
        <v>3</v>
      </c>
      <c r="M3490" s="897" t="s">
        <v>97</v>
      </c>
      <c r="N3490" s="897" t="s">
        <v>98</v>
      </c>
      <c r="O3490" s="897" t="s">
        <v>99</v>
      </c>
      <c r="P3490" s="899"/>
    </row>
    <row r="3491" spans="9:16" ht="15.75" thickBot="1">
      <c r="I3491" s="896"/>
      <c r="J3491" s="898"/>
      <c r="K3491" s="898"/>
      <c r="L3491" s="898"/>
      <c r="M3491" s="898"/>
      <c r="N3491" s="898"/>
      <c r="O3491" s="240" t="s">
        <v>100</v>
      </c>
      <c r="P3491" s="182" t="s">
        <v>101</v>
      </c>
    </row>
    <row r="3492" spans="9:16" ht="15" customHeight="1">
      <c r="I3492" s="873" t="s">
        <v>554</v>
      </c>
      <c r="J3492" s="875">
        <v>42735</v>
      </c>
      <c r="K3492" s="877" t="s">
        <v>1267</v>
      </c>
      <c r="L3492" s="879" t="s">
        <v>1221</v>
      </c>
      <c r="M3492" s="881" t="s">
        <v>145</v>
      </c>
      <c r="N3492" s="883">
        <v>-14718204</v>
      </c>
      <c r="O3492" s="55">
        <v>719</v>
      </c>
      <c r="P3492" s="78"/>
    </row>
    <row r="3493" spans="9:16" ht="15.75" customHeight="1" thickBot="1">
      <c r="I3493" s="874"/>
      <c r="J3493" s="876"/>
      <c r="K3493" s="900"/>
      <c r="L3493" s="880"/>
      <c r="M3493" s="882"/>
      <c r="N3493" s="884"/>
      <c r="O3493" s="56">
        <v>721</v>
      </c>
      <c r="P3493" s="351">
        <f>+N3492-P3492</f>
        <v>-14718204</v>
      </c>
    </row>
    <row r="3494" spans="9:16" ht="15" customHeight="1">
      <c r="I3494" s="873" t="s">
        <v>1318</v>
      </c>
      <c r="J3494" s="875">
        <v>42735</v>
      </c>
      <c r="K3494" s="900"/>
      <c r="L3494" s="879" t="s">
        <v>1305</v>
      </c>
      <c r="M3494" s="881" t="s">
        <v>145</v>
      </c>
      <c r="N3494" s="883">
        <v>-3962065</v>
      </c>
      <c r="O3494" s="55">
        <v>719</v>
      </c>
      <c r="P3494" s="78"/>
    </row>
    <row r="3495" spans="9:16" ht="15.75" customHeight="1" thickBot="1">
      <c r="I3495" s="874"/>
      <c r="J3495" s="876"/>
      <c r="K3495" s="878"/>
      <c r="L3495" s="880"/>
      <c r="M3495" s="882"/>
      <c r="N3495" s="884"/>
      <c r="O3495" s="56">
        <v>721</v>
      </c>
      <c r="P3495" s="352">
        <f>+N3494-P3494</f>
        <v>-3962065</v>
      </c>
    </row>
    <row r="3496" spans="9:16" ht="15.75" customHeight="1">
      <c r="I3496" s="462"/>
      <c r="J3496" s="252"/>
      <c r="K3496" s="253"/>
      <c r="L3496" s="463"/>
      <c r="M3496" s="251"/>
      <c r="N3496" s="254"/>
      <c r="O3496" s="255"/>
      <c r="P3496" s="464"/>
    </row>
    <row r="3497" spans="9:16" ht="15.75" customHeight="1">
      <c r="I3497" s="462"/>
      <c r="J3497" s="252"/>
      <c r="K3497" s="253"/>
      <c r="L3497" s="463"/>
      <c r="M3497" s="251"/>
      <c r="N3497" s="254"/>
      <c r="O3497" s="255"/>
      <c r="P3497" s="464"/>
    </row>
    <row r="3498" spans="9:16" ht="15.75" customHeight="1">
      <c r="I3498" s="462"/>
      <c r="J3498" s="252"/>
      <c r="K3498" s="253"/>
      <c r="L3498" s="463"/>
      <c r="M3498" s="251"/>
      <c r="N3498" s="254"/>
      <c r="O3498" s="255"/>
      <c r="P3498" s="464"/>
    </row>
    <row r="3499" spans="9:16" ht="15.75" customHeight="1" thickBot="1">
      <c r="I3499" s="462"/>
      <c r="J3499" s="252"/>
      <c r="K3499" s="253"/>
      <c r="L3499" s="463"/>
      <c r="M3499" s="251"/>
      <c r="N3499" s="254"/>
      <c r="O3499" s="255"/>
      <c r="P3499" s="464"/>
    </row>
    <row r="3500" spans="9:16" ht="15" customHeight="1">
      <c r="I3500" s="873"/>
      <c r="J3500" s="875"/>
      <c r="K3500" s="877"/>
      <c r="L3500" s="879"/>
      <c r="M3500" s="881"/>
      <c r="N3500" s="883"/>
      <c r="O3500" s="55">
        <v>719</v>
      </c>
      <c r="P3500" s="78"/>
    </row>
    <row r="3501" spans="9:16" ht="15.75" customHeight="1" thickBot="1">
      <c r="I3501" s="874"/>
      <c r="J3501" s="876"/>
      <c r="K3501" s="878"/>
      <c r="L3501" s="880"/>
      <c r="M3501" s="882"/>
      <c r="N3501" s="884"/>
      <c r="O3501" s="56">
        <v>722</v>
      </c>
      <c r="P3501" s="352"/>
    </row>
    <row r="3502" spans="9:16" ht="15" customHeight="1">
      <c r="I3502" s="873"/>
      <c r="J3502" s="875"/>
      <c r="K3502" s="877"/>
      <c r="L3502" s="879"/>
      <c r="M3502" s="881"/>
      <c r="N3502" s="883"/>
      <c r="O3502" s="55">
        <v>719</v>
      </c>
      <c r="P3502" s="78"/>
    </row>
    <row r="3503" spans="9:16" ht="15.75" customHeight="1" thickBot="1">
      <c r="I3503" s="874"/>
      <c r="J3503" s="876"/>
      <c r="K3503" s="878"/>
      <c r="L3503" s="880"/>
      <c r="M3503" s="882"/>
      <c r="N3503" s="884"/>
      <c r="O3503" s="56">
        <v>722</v>
      </c>
      <c r="P3503" s="79">
        <f>+N3502-P3502</f>
        <v>0</v>
      </c>
    </row>
    <row r="3504" spans="9:16" ht="16.5" thickBot="1">
      <c r="I3504" s="901" t="s">
        <v>102</v>
      </c>
      <c r="J3504" s="902"/>
      <c r="K3504" s="902"/>
      <c r="L3504" s="902"/>
      <c r="M3504" s="903"/>
      <c r="N3504" s="81">
        <f>SUM(N3492:N3503)</f>
        <v>-18680269</v>
      </c>
    </row>
    <row r="3505" spans="9:16" ht="16.5" thickBot="1">
      <c r="I3505" s="885" t="s">
        <v>103</v>
      </c>
      <c r="J3505" s="886"/>
      <c r="K3505" s="886"/>
      <c r="L3505" s="886"/>
      <c r="M3505" s="887"/>
      <c r="N3505" s="69">
        <f>+N3466</f>
        <v>733138668</v>
      </c>
      <c r="O3505" s="241" t="s">
        <v>561</v>
      </c>
      <c r="P3505" s="242"/>
    </row>
    <row r="3506" spans="9:16" ht="16.5" thickBot="1">
      <c r="I3506" s="888" t="s">
        <v>104</v>
      </c>
      <c r="J3506" s="889"/>
      <c r="K3506" s="889"/>
      <c r="L3506" s="889"/>
      <c r="M3506" s="890"/>
      <c r="N3506" s="183">
        <f>SUM(N3504:N3505)</f>
        <v>714458399</v>
      </c>
    </row>
    <row r="3507" spans="9:16">
      <c r="I3507" s="61"/>
      <c r="J3507" s="61"/>
      <c r="K3507" s="61"/>
      <c r="L3507" s="61"/>
      <c r="M3507" s="61"/>
    </row>
    <row r="3508" spans="9:16">
      <c r="I3508" s="51" t="s">
        <v>1319</v>
      </c>
    </row>
    <row r="3509" spans="9:16">
      <c r="N3509" s="139"/>
    </row>
    <row r="3510" spans="9:16">
      <c r="I3510" s="50" t="s">
        <v>105</v>
      </c>
      <c r="L3510" s="146"/>
      <c r="N3510" s="139"/>
    </row>
    <row r="3511" spans="9:16" ht="15.75" thickBot="1"/>
    <row r="3512" spans="9:16" ht="15.75" thickBot="1">
      <c r="I3512" s="891" t="s">
        <v>106</v>
      </c>
      <c r="J3512" s="892"/>
      <c r="K3512" s="892"/>
      <c r="L3512" s="893"/>
      <c r="N3512" s="50" t="s">
        <v>288</v>
      </c>
    </row>
    <row r="3513" spans="9:16" ht="30.75" thickBot="1">
      <c r="I3513" s="57" t="s">
        <v>100</v>
      </c>
      <c r="J3513" s="58" t="s">
        <v>108</v>
      </c>
      <c r="K3513" s="287" t="s">
        <v>109</v>
      </c>
      <c r="L3513" s="60" t="s">
        <v>110</v>
      </c>
    </row>
    <row r="3514" spans="9:16">
      <c r="I3514" s="71">
        <v>719</v>
      </c>
      <c r="J3514" s="73">
        <f>+P3492+P3494+P3502</f>
        <v>0</v>
      </c>
      <c r="K3514" s="74">
        <f>+L3474</f>
        <v>62200000</v>
      </c>
      <c r="L3514" s="195">
        <f>+J3514+K3514</f>
        <v>62200000</v>
      </c>
    </row>
    <row r="3515" spans="9:16">
      <c r="I3515" s="72">
        <v>721</v>
      </c>
      <c r="J3515" s="80">
        <f>+P3493+P3495</f>
        <v>-18680269</v>
      </c>
      <c r="K3515" s="74">
        <f>+L3475</f>
        <v>296981309</v>
      </c>
      <c r="L3515" s="195">
        <f>+J3515+K3515</f>
        <v>278301040</v>
      </c>
    </row>
    <row r="3516" spans="9:16" ht="15.75">
      <c r="I3516" s="72">
        <v>722</v>
      </c>
      <c r="J3516" s="80"/>
      <c r="K3516" s="74">
        <f>+L3476</f>
        <v>63143334</v>
      </c>
      <c r="L3516" s="195">
        <f>+J3516+K3516</f>
        <v>63143334</v>
      </c>
      <c r="N3516" s="193" t="s">
        <v>1125</v>
      </c>
    </row>
    <row r="3517" spans="9:16" ht="15.75">
      <c r="I3517" s="72">
        <v>723</v>
      </c>
      <c r="J3517" s="80"/>
      <c r="K3517" s="74">
        <f>+L3477</f>
        <v>310245405</v>
      </c>
      <c r="L3517" s="195">
        <f>+J3517+K3517</f>
        <v>310245405</v>
      </c>
      <c r="N3517" s="193"/>
      <c r="O3517" s="175"/>
    </row>
    <row r="3518" spans="9:16" ht="16.5" thickBot="1">
      <c r="I3518" s="164" t="s">
        <v>1077</v>
      </c>
      <c r="J3518" s="165"/>
      <c r="K3518" s="74">
        <f>+L3478</f>
        <v>498620</v>
      </c>
      <c r="L3518" s="196">
        <f>+J3518+K3518</f>
        <v>498620</v>
      </c>
      <c r="N3518" s="52"/>
    </row>
    <row r="3519" spans="9:16" ht="16.5" thickBot="1">
      <c r="I3519" s="169"/>
      <c r="J3519" s="197">
        <f>SUM(J3514:J3518)</f>
        <v>-18680269</v>
      </c>
      <c r="K3519" s="197">
        <f>SUM(K3514:K3518)</f>
        <v>733068668</v>
      </c>
      <c r="L3519" s="198">
        <f>SUM(L3514:L3518)</f>
        <v>714388399</v>
      </c>
    </row>
    <row r="3520" spans="9:16" ht="15.75">
      <c r="I3520" s="397"/>
      <c r="J3520" s="398"/>
      <c r="K3520" s="398"/>
      <c r="L3520" s="399"/>
    </row>
    <row r="3521" spans="9:16" ht="16.5">
      <c r="I3521" s="49" t="s">
        <v>88</v>
      </c>
      <c r="J3521" s="50"/>
    </row>
    <row r="3522" spans="9:16">
      <c r="I3522" s="51" t="s">
        <v>89</v>
      </c>
    </row>
    <row r="3523" spans="9:16">
      <c r="I3523" s="51" t="s">
        <v>90</v>
      </c>
    </row>
    <row r="3524" spans="9:16">
      <c r="I3524" s="51" t="s">
        <v>91</v>
      </c>
    </row>
    <row r="3525" spans="9:16">
      <c r="I3525" s="50"/>
      <c r="J3525" s="50"/>
    </row>
    <row r="3526" spans="9:16" ht="15.75">
      <c r="I3526" s="260" t="s">
        <v>1322</v>
      </c>
      <c r="O3526" s="52"/>
    </row>
    <row r="3527" spans="9:16" ht="15.75">
      <c r="I3527" s="53" t="s">
        <v>535</v>
      </c>
      <c r="O3527" s="53"/>
    </row>
    <row r="3528" spans="9:16" ht="16.5">
      <c r="I3528" s="894" t="s">
        <v>1328</v>
      </c>
      <c r="J3528" s="894"/>
      <c r="K3528" s="894"/>
      <c r="L3528" s="894"/>
      <c r="M3528" s="894"/>
      <c r="N3528" s="894"/>
      <c r="O3528" s="894"/>
      <c r="P3528" s="894"/>
    </row>
    <row r="3529" spans="9:16" ht="15.75" thickBot="1"/>
    <row r="3530" spans="9:16">
      <c r="I3530" s="895" t="s">
        <v>94</v>
      </c>
      <c r="J3530" s="897" t="s">
        <v>95</v>
      </c>
      <c r="K3530" s="897" t="s">
        <v>96</v>
      </c>
      <c r="L3530" s="897" t="s">
        <v>3</v>
      </c>
      <c r="M3530" s="897" t="s">
        <v>97</v>
      </c>
      <c r="N3530" s="897" t="s">
        <v>98</v>
      </c>
      <c r="O3530" s="897" t="s">
        <v>99</v>
      </c>
      <c r="P3530" s="899"/>
    </row>
    <row r="3531" spans="9:16" ht="15.75" thickBot="1">
      <c r="I3531" s="896"/>
      <c r="J3531" s="898"/>
      <c r="K3531" s="898"/>
      <c r="L3531" s="898"/>
      <c r="M3531" s="898"/>
      <c r="N3531" s="898"/>
      <c r="O3531" s="240" t="s">
        <v>100</v>
      </c>
      <c r="P3531" s="182" t="s">
        <v>101</v>
      </c>
    </row>
    <row r="3532" spans="9:16">
      <c r="I3532" s="873" t="s">
        <v>1323</v>
      </c>
      <c r="J3532" s="875">
        <v>42735</v>
      </c>
      <c r="K3532" s="877" t="s">
        <v>1267</v>
      </c>
      <c r="L3532" s="879" t="s">
        <v>1325</v>
      </c>
      <c r="M3532" s="881" t="s">
        <v>145</v>
      </c>
      <c r="N3532" s="883">
        <v>3379917</v>
      </c>
      <c r="O3532" s="55">
        <v>719</v>
      </c>
      <c r="P3532" s="78"/>
    </row>
    <row r="3533" spans="9:16" ht="15.75" thickBot="1">
      <c r="I3533" s="874"/>
      <c r="J3533" s="876"/>
      <c r="K3533" s="900"/>
      <c r="L3533" s="880"/>
      <c r="M3533" s="882"/>
      <c r="N3533" s="884"/>
      <c r="O3533" s="56">
        <v>721</v>
      </c>
      <c r="P3533" s="351">
        <f>+N3532-P3532</f>
        <v>3379917</v>
      </c>
    </row>
    <row r="3534" spans="9:16">
      <c r="I3534" s="873" t="s">
        <v>1324</v>
      </c>
      <c r="J3534" s="875">
        <v>42735</v>
      </c>
      <c r="K3534" s="900"/>
      <c r="L3534" s="879" t="s">
        <v>1326</v>
      </c>
      <c r="M3534" s="881" t="s">
        <v>145</v>
      </c>
      <c r="N3534" s="883">
        <v>1673382</v>
      </c>
      <c r="O3534" s="55">
        <v>719</v>
      </c>
      <c r="P3534" s="78"/>
    </row>
    <row r="3535" spans="9:16" ht="15.75" thickBot="1">
      <c r="I3535" s="874"/>
      <c r="J3535" s="876"/>
      <c r="K3535" s="878"/>
      <c r="L3535" s="880"/>
      <c r="M3535" s="882"/>
      <c r="N3535" s="884"/>
      <c r="O3535" s="56">
        <v>721</v>
      </c>
      <c r="P3535" s="352">
        <f>+N3534-P3534</f>
        <v>1673382</v>
      </c>
    </row>
    <row r="3536" spans="9:16" ht="16.5">
      <c r="I3536" s="462"/>
      <c r="J3536" s="252"/>
      <c r="K3536" s="253"/>
      <c r="L3536" s="463"/>
      <c r="M3536" s="251"/>
      <c r="N3536" s="254"/>
      <c r="O3536" s="255"/>
      <c r="P3536" s="464"/>
    </row>
    <row r="3537" spans="9:16" ht="16.5">
      <c r="I3537" s="462"/>
      <c r="J3537" s="252"/>
      <c r="K3537" s="253"/>
      <c r="L3537" s="463"/>
      <c r="M3537" s="251"/>
      <c r="N3537" s="254"/>
      <c r="O3537" s="255"/>
      <c r="P3537" s="464"/>
    </row>
    <row r="3538" spans="9:16" ht="16.5">
      <c r="I3538" s="462"/>
      <c r="J3538" s="252"/>
      <c r="K3538" s="253"/>
      <c r="L3538" s="463"/>
      <c r="M3538" s="251"/>
      <c r="N3538" s="254"/>
      <c r="O3538" s="255"/>
      <c r="P3538" s="464"/>
    </row>
    <row r="3539" spans="9:16" ht="16.5">
      <c r="I3539" s="462"/>
      <c r="J3539" s="252"/>
      <c r="K3539" s="253"/>
      <c r="L3539" s="463"/>
      <c r="M3539" s="251"/>
      <c r="N3539" s="254"/>
      <c r="O3539" s="255"/>
      <c r="P3539" s="464"/>
    </row>
    <row r="3540" spans="9:16" ht="16.5">
      <c r="I3540" s="462"/>
      <c r="J3540" s="252"/>
      <c r="K3540" s="253"/>
      <c r="L3540" s="463"/>
      <c r="M3540" s="251"/>
      <c r="N3540" s="254"/>
      <c r="O3540" s="255"/>
      <c r="P3540" s="464"/>
    </row>
    <row r="3541" spans="9:16" ht="16.5">
      <c r="I3541" s="462"/>
      <c r="J3541" s="252"/>
      <c r="K3541" s="253"/>
      <c r="L3541" s="463"/>
      <c r="M3541" s="251"/>
      <c r="N3541" s="254"/>
      <c r="O3541" s="255"/>
      <c r="P3541" s="464"/>
    </row>
    <row r="3542" spans="9:16" ht="16.5">
      <c r="I3542" s="462"/>
      <c r="J3542" s="252"/>
      <c r="K3542" s="253"/>
      <c r="L3542" s="463"/>
      <c r="M3542" s="251"/>
      <c r="N3542" s="254"/>
      <c r="O3542" s="255"/>
      <c r="P3542" s="464"/>
    </row>
    <row r="3543" spans="9:16" ht="16.5">
      <c r="I3543" s="462"/>
      <c r="J3543" s="252"/>
      <c r="K3543" s="253"/>
      <c r="L3543" s="463"/>
      <c r="M3543" s="251"/>
      <c r="N3543" s="254"/>
      <c r="O3543" s="255"/>
      <c r="P3543" s="464"/>
    </row>
    <row r="3544" spans="9:16" ht="16.5">
      <c r="I3544" s="462"/>
      <c r="J3544" s="252"/>
      <c r="K3544" s="253"/>
      <c r="L3544" s="463"/>
      <c r="M3544" s="251"/>
      <c r="N3544" s="254"/>
      <c r="O3544" s="255"/>
      <c r="P3544" s="464"/>
    </row>
    <row r="3545" spans="9:16" ht="16.5">
      <c r="I3545" s="462"/>
      <c r="J3545" s="252"/>
      <c r="K3545" s="253"/>
      <c r="L3545" s="463"/>
      <c r="M3545" s="251"/>
      <c r="N3545" s="254"/>
      <c r="O3545" s="255"/>
      <c r="P3545" s="464"/>
    </row>
    <row r="3546" spans="9:16" ht="16.5">
      <c r="I3546" s="462"/>
      <c r="J3546" s="252"/>
      <c r="K3546" s="253"/>
      <c r="L3546" s="463"/>
      <c r="M3546" s="251"/>
      <c r="N3546" s="254"/>
      <c r="O3546" s="255"/>
      <c r="P3546" s="464"/>
    </row>
    <row r="3547" spans="9:16" ht="17.25" thickBot="1">
      <c r="I3547" s="462"/>
      <c r="J3547" s="252"/>
      <c r="K3547" s="253"/>
      <c r="L3547" s="463"/>
      <c r="M3547" s="251"/>
      <c r="N3547" s="254"/>
      <c r="O3547" s="255"/>
      <c r="P3547" s="464"/>
    </row>
    <row r="3548" spans="9:16" ht="15" customHeight="1">
      <c r="I3548" s="873"/>
      <c r="J3548" s="875"/>
      <c r="K3548" s="877"/>
      <c r="L3548" s="879"/>
      <c r="M3548" s="881"/>
      <c r="N3548" s="883"/>
      <c r="O3548" s="55">
        <v>719</v>
      </c>
      <c r="P3548" s="78"/>
    </row>
    <row r="3549" spans="9:16" ht="15.75" customHeight="1" thickBot="1">
      <c r="I3549" s="874"/>
      <c r="J3549" s="876"/>
      <c r="K3549" s="878"/>
      <c r="L3549" s="880"/>
      <c r="M3549" s="882"/>
      <c r="N3549" s="884"/>
      <c r="O3549" s="56">
        <v>722</v>
      </c>
      <c r="P3549" s="352"/>
    </row>
    <row r="3550" spans="9:16" ht="15" customHeight="1">
      <c r="I3550" s="873"/>
      <c r="J3550" s="875"/>
      <c r="K3550" s="877"/>
      <c r="L3550" s="879"/>
      <c r="M3550" s="881"/>
      <c r="N3550" s="883"/>
      <c r="O3550" s="55">
        <v>719</v>
      </c>
      <c r="P3550" s="78"/>
    </row>
    <row r="3551" spans="9:16" ht="15.75" customHeight="1" thickBot="1">
      <c r="I3551" s="874"/>
      <c r="J3551" s="876"/>
      <c r="K3551" s="878"/>
      <c r="L3551" s="880"/>
      <c r="M3551" s="882"/>
      <c r="N3551" s="884"/>
      <c r="O3551" s="56">
        <v>722</v>
      </c>
      <c r="P3551" s="79">
        <f>+N3550-P3550</f>
        <v>0</v>
      </c>
    </row>
    <row r="3552" spans="9:16" ht="16.5" thickBot="1">
      <c r="I3552" s="901" t="s">
        <v>102</v>
      </c>
      <c r="J3552" s="902"/>
      <c r="K3552" s="902"/>
      <c r="L3552" s="902"/>
      <c r="M3552" s="903"/>
      <c r="N3552" s="81">
        <f>SUM(N3532:N3551)</f>
        <v>5053299</v>
      </c>
    </row>
    <row r="3553" spans="9:16" ht="16.5" thickBot="1">
      <c r="I3553" s="885" t="s">
        <v>103</v>
      </c>
      <c r="J3553" s="886"/>
      <c r="K3553" s="886"/>
      <c r="L3553" s="886"/>
      <c r="M3553" s="887"/>
      <c r="N3553" s="69">
        <f>+N3506</f>
        <v>714458399</v>
      </c>
      <c r="O3553" s="241" t="s">
        <v>561</v>
      </c>
      <c r="P3553" s="242"/>
    </row>
    <row r="3554" spans="9:16" ht="16.5" thickBot="1">
      <c r="I3554" s="888" t="s">
        <v>104</v>
      </c>
      <c r="J3554" s="889"/>
      <c r="K3554" s="889"/>
      <c r="L3554" s="889"/>
      <c r="M3554" s="890"/>
      <c r="N3554" s="183">
        <f>SUM(N3552:N3553)</f>
        <v>719511698</v>
      </c>
    </row>
    <row r="3555" spans="9:16">
      <c r="I3555" s="61"/>
      <c r="J3555" s="61"/>
      <c r="K3555" s="61"/>
      <c r="L3555" s="61"/>
      <c r="M3555" s="61"/>
    </row>
    <row r="3556" spans="9:16">
      <c r="I3556" s="51" t="s">
        <v>1327</v>
      </c>
    </row>
    <row r="3557" spans="9:16">
      <c r="N3557" s="139"/>
    </row>
    <row r="3558" spans="9:16">
      <c r="I3558" s="50" t="s">
        <v>105</v>
      </c>
      <c r="L3558" s="146"/>
      <c r="N3558" s="139"/>
    </row>
    <row r="3559" spans="9:16" ht="15.75" thickBot="1"/>
    <row r="3560" spans="9:16" ht="15.75" thickBot="1">
      <c r="I3560" s="891" t="s">
        <v>106</v>
      </c>
      <c r="J3560" s="892"/>
      <c r="K3560" s="892"/>
      <c r="L3560" s="893"/>
      <c r="N3560" s="50" t="s">
        <v>288</v>
      </c>
    </row>
    <row r="3561" spans="9:16" ht="30.75" thickBot="1">
      <c r="I3561" s="57" t="s">
        <v>100</v>
      </c>
      <c r="J3561" s="58" t="s">
        <v>108</v>
      </c>
      <c r="K3561" s="287" t="s">
        <v>109</v>
      </c>
      <c r="L3561" s="60" t="s">
        <v>110</v>
      </c>
    </row>
    <row r="3562" spans="9:16">
      <c r="I3562" s="71">
        <v>719</v>
      </c>
      <c r="J3562" s="73">
        <f>+P3532+P3534+P3550</f>
        <v>0</v>
      </c>
      <c r="K3562" s="74">
        <f>+L3514</f>
        <v>62200000</v>
      </c>
      <c r="L3562" s="195">
        <f>+J3562+K3562</f>
        <v>62200000</v>
      </c>
    </row>
    <row r="3563" spans="9:16">
      <c r="I3563" s="72">
        <v>721</v>
      </c>
      <c r="J3563" s="80">
        <f>+P3533+P3535</f>
        <v>5053299</v>
      </c>
      <c r="K3563" s="74">
        <f>+L3515</f>
        <v>278301040</v>
      </c>
      <c r="L3563" s="195">
        <f>+J3563+K3563</f>
        <v>283354339</v>
      </c>
    </row>
    <row r="3564" spans="9:16" ht="15.75">
      <c r="I3564" s="72">
        <v>722</v>
      </c>
      <c r="J3564" s="80"/>
      <c r="K3564" s="74">
        <f>+L3516</f>
        <v>63143334</v>
      </c>
      <c r="L3564" s="195">
        <f>+J3564+K3564</f>
        <v>63143334</v>
      </c>
      <c r="N3564" s="193" t="s">
        <v>23</v>
      </c>
    </row>
    <row r="3565" spans="9:16" ht="15.75">
      <c r="I3565" s="72">
        <v>723</v>
      </c>
      <c r="J3565" s="80"/>
      <c r="K3565" s="74">
        <f>+L3517</f>
        <v>310245405</v>
      </c>
      <c r="L3565" s="195">
        <f>+J3565+K3565</f>
        <v>310245405</v>
      </c>
      <c r="N3565" s="193"/>
      <c r="O3565" s="175"/>
    </row>
    <row r="3566" spans="9:16" ht="16.5" thickBot="1">
      <c r="I3566" s="164" t="s">
        <v>1077</v>
      </c>
      <c r="J3566" s="165"/>
      <c r="K3566" s="74">
        <f>+L3518</f>
        <v>498620</v>
      </c>
      <c r="L3566" s="196">
        <f>+J3566+K3566</f>
        <v>498620</v>
      </c>
      <c r="N3566" s="52"/>
    </row>
    <row r="3567" spans="9:16" ht="16.5" thickBot="1">
      <c r="I3567" s="169"/>
      <c r="J3567" s="197">
        <f>SUM(J3562:J3566)</f>
        <v>5053299</v>
      </c>
      <c r="K3567" s="197">
        <f>SUM(K3562:K3566)</f>
        <v>714388399</v>
      </c>
      <c r="L3567" s="198">
        <f>SUM(L3562:L3566)</f>
        <v>719441698</v>
      </c>
    </row>
    <row r="3568" spans="9:16" ht="16.5">
      <c r="I3568" s="49" t="s">
        <v>88</v>
      </c>
      <c r="J3568" s="50"/>
    </row>
    <row r="3569" spans="9:16">
      <c r="I3569" s="51" t="s">
        <v>89</v>
      </c>
    </row>
    <row r="3570" spans="9:16">
      <c r="I3570" s="51" t="s">
        <v>90</v>
      </c>
    </row>
    <row r="3571" spans="9:16">
      <c r="I3571" s="51" t="s">
        <v>91</v>
      </c>
    </row>
    <row r="3572" spans="9:16" ht="10.5" customHeight="1">
      <c r="I3572" s="50"/>
      <c r="J3572" s="50"/>
    </row>
    <row r="3573" spans="9:16" ht="15.75">
      <c r="I3573" s="260" t="s">
        <v>1699</v>
      </c>
      <c r="O3573" s="52"/>
    </row>
    <row r="3574" spans="9:16" ht="15.75">
      <c r="I3574" s="53" t="s">
        <v>1623</v>
      </c>
      <c r="O3574" s="53"/>
    </row>
    <row r="3575" spans="9:16" ht="16.5">
      <c r="I3575" s="894" t="s">
        <v>1700</v>
      </c>
      <c r="J3575" s="894"/>
      <c r="K3575" s="894"/>
      <c r="L3575" s="894"/>
      <c r="M3575" s="894"/>
      <c r="N3575" s="894"/>
      <c r="O3575" s="894"/>
      <c r="P3575" s="894"/>
    </row>
    <row r="3576" spans="9:16" ht="15.75" thickBot="1"/>
    <row r="3577" spans="9:16">
      <c r="I3577" s="895" t="s">
        <v>94</v>
      </c>
      <c r="J3577" s="897" t="s">
        <v>95</v>
      </c>
      <c r="K3577" s="897" t="s">
        <v>96</v>
      </c>
      <c r="L3577" s="897" t="s">
        <v>3</v>
      </c>
      <c r="M3577" s="897" t="s">
        <v>97</v>
      </c>
      <c r="N3577" s="897" t="s">
        <v>98</v>
      </c>
      <c r="O3577" s="897" t="s">
        <v>99</v>
      </c>
      <c r="P3577" s="899"/>
    </row>
    <row r="3578" spans="9:16" ht="15.75" thickBot="1">
      <c r="I3578" s="896"/>
      <c r="J3578" s="898"/>
      <c r="K3578" s="898"/>
      <c r="L3578" s="898"/>
      <c r="M3578" s="898"/>
      <c r="N3578" s="898"/>
      <c r="O3578" s="240" t="s">
        <v>100</v>
      </c>
      <c r="P3578" s="182" t="s">
        <v>101</v>
      </c>
    </row>
    <row r="3579" spans="9:16">
      <c r="I3579" s="873" t="s">
        <v>1698</v>
      </c>
      <c r="J3579" s="875">
        <v>43464</v>
      </c>
      <c r="K3579" s="877" t="s">
        <v>815</v>
      </c>
      <c r="L3579" s="879" t="s">
        <v>1697</v>
      </c>
      <c r="M3579" s="881" t="s">
        <v>115</v>
      </c>
      <c r="N3579" s="883">
        <v>681500</v>
      </c>
      <c r="O3579" s="55">
        <v>719</v>
      </c>
      <c r="P3579" s="78">
        <v>517000</v>
      </c>
    </row>
    <row r="3580" spans="9:16" ht="15.75" thickBot="1">
      <c r="I3580" s="874"/>
      <c r="J3580" s="876"/>
      <c r="K3580" s="900"/>
      <c r="L3580" s="880"/>
      <c r="M3580" s="882"/>
      <c r="N3580" s="884"/>
      <c r="O3580" s="56">
        <v>721</v>
      </c>
      <c r="P3580" s="351">
        <f>+N3579-P3579</f>
        <v>164500</v>
      </c>
    </row>
    <row r="3581" spans="9:16" ht="15" customHeight="1">
      <c r="I3581" s="873"/>
      <c r="J3581" s="875"/>
      <c r="K3581" s="877"/>
      <c r="L3581" s="879"/>
      <c r="M3581" s="881"/>
      <c r="N3581" s="883"/>
      <c r="O3581" s="55">
        <v>719</v>
      </c>
      <c r="P3581" s="78"/>
    </row>
    <row r="3582" spans="9:16" ht="15.75" customHeight="1" thickBot="1">
      <c r="I3582" s="874"/>
      <c r="J3582" s="876"/>
      <c r="K3582" s="878"/>
      <c r="L3582" s="880"/>
      <c r="M3582" s="882"/>
      <c r="N3582" s="884"/>
      <c r="O3582" s="56">
        <v>722</v>
      </c>
      <c r="P3582" s="352">
        <f>+N3581-P3581</f>
        <v>0</v>
      </c>
    </row>
    <row r="3583" spans="9:16">
      <c r="I3583" s="873"/>
      <c r="J3583" s="875"/>
      <c r="K3583" s="877"/>
      <c r="L3583" s="879"/>
      <c r="M3583" s="881"/>
      <c r="N3583" s="883"/>
      <c r="O3583" s="55">
        <v>719</v>
      </c>
      <c r="P3583" s="78"/>
    </row>
    <row r="3584" spans="9:16" ht="15.75" thickBot="1">
      <c r="I3584" s="874"/>
      <c r="J3584" s="876"/>
      <c r="K3584" s="878"/>
      <c r="L3584" s="880"/>
      <c r="M3584" s="882"/>
      <c r="N3584" s="884"/>
      <c r="O3584" s="56">
        <v>722</v>
      </c>
      <c r="P3584" s="79">
        <f>+N3583-P3583</f>
        <v>0</v>
      </c>
    </row>
    <row r="3585" spans="9:16" ht="16.5" thickBot="1">
      <c r="I3585" s="901" t="s">
        <v>102</v>
      </c>
      <c r="J3585" s="902"/>
      <c r="K3585" s="902"/>
      <c r="L3585" s="902"/>
      <c r="M3585" s="903"/>
      <c r="N3585" s="81">
        <f>SUM(N3579:N3584)</f>
        <v>681500</v>
      </c>
    </row>
    <row r="3586" spans="9:16" ht="16.5" thickBot="1">
      <c r="I3586" s="885" t="s">
        <v>103</v>
      </c>
      <c r="J3586" s="886"/>
      <c r="K3586" s="886"/>
      <c r="L3586" s="886"/>
      <c r="M3586" s="887"/>
      <c r="N3586" s="69">
        <v>514609750</v>
      </c>
      <c r="O3586" s="241" t="s">
        <v>561</v>
      </c>
      <c r="P3586" s="242">
        <v>904</v>
      </c>
    </row>
    <row r="3587" spans="9:16" ht="16.5" thickBot="1">
      <c r="I3587" s="888" t="s">
        <v>104</v>
      </c>
      <c r="J3587" s="889"/>
      <c r="K3587" s="889"/>
      <c r="L3587" s="889"/>
      <c r="M3587" s="890"/>
      <c r="N3587" s="183">
        <f>SUM(N3585:N3586)</f>
        <v>515291250</v>
      </c>
    </row>
    <row r="3588" spans="9:16">
      <c r="I3588" s="61"/>
      <c r="J3588" s="61"/>
      <c r="K3588" s="61"/>
      <c r="L3588" s="61"/>
      <c r="M3588" s="61"/>
    </row>
    <row r="3589" spans="9:16">
      <c r="I3589" s="51" t="s">
        <v>1701</v>
      </c>
    </row>
    <row r="3590" spans="9:16" ht="9.75" customHeight="1">
      <c r="N3590" s="139"/>
    </row>
    <row r="3591" spans="9:16">
      <c r="I3591" s="50" t="s">
        <v>105</v>
      </c>
      <c r="L3591" s="146"/>
      <c r="N3591" s="139"/>
    </row>
    <row r="3592" spans="9:16" ht="11.25" customHeight="1" thickBot="1"/>
    <row r="3593" spans="9:16" ht="15.75" thickBot="1">
      <c r="I3593" s="891" t="s">
        <v>106</v>
      </c>
      <c r="J3593" s="892"/>
      <c r="K3593" s="892"/>
      <c r="L3593" s="893"/>
      <c r="N3593" s="50" t="s">
        <v>288</v>
      </c>
    </row>
    <row r="3594" spans="9:16" ht="30.75" thickBot="1">
      <c r="I3594" s="57" t="s">
        <v>100</v>
      </c>
      <c r="J3594" s="58" t="s">
        <v>108</v>
      </c>
      <c r="K3594" s="287" t="s">
        <v>109</v>
      </c>
      <c r="L3594" s="60" t="s">
        <v>110</v>
      </c>
    </row>
    <row r="3595" spans="9:16">
      <c r="I3595" s="71">
        <v>719</v>
      </c>
      <c r="J3595" s="73">
        <f>+P3579+P3581+P3583</f>
        <v>517000</v>
      </c>
      <c r="K3595" s="74">
        <v>27970000</v>
      </c>
      <c r="L3595" s="195">
        <f>+J3595+K3595</f>
        <v>28487000</v>
      </c>
    </row>
    <row r="3596" spans="9:16">
      <c r="I3596" s="72">
        <v>721</v>
      </c>
      <c r="J3596" s="80">
        <f>+P3580</f>
        <v>164500</v>
      </c>
      <c r="K3596" s="74">
        <v>90116743</v>
      </c>
      <c r="L3596" s="195">
        <f>+J3596+K3596</f>
        <v>90281243</v>
      </c>
    </row>
    <row r="3597" spans="9:16" ht="15.75">
      <c r="I3597" s="72">
        <v>722</v>
      </c>
      <c r="J3597" s="80">
        <f>+P3582</f>
        <v>0</v>
      </c>
      <c r="K3597" s="74">
        <v>30732180</v>
      </c>
      <c r="L3597" s="195">
        <f>+J3597+K3597</f>
        <v>30732180</v>
      </c>
      <c r="N3597" s="872" t="s">
        <v>1696</v>
      </c>
      <c r="O3597" s="872"/>
    </row>
    <row r="3598" spans="9:16" ht="16.5" thickBot="1">
      <c r="I3598" s="72">
        <v>723</v>
      </c>
      <c r="J3598" s="80"/>
      <c r="K3598" s="74">
        <v>365790827</v>
      </c>
      <c r="L3598" s="195">
        <f>+J3598+K3598</f>
        <v>365790827</v>
      </c>
      <c r="N3598" s="193"/>
      <c r="O3598" s="175"/>
    </row>
    <row r="3599" spans="9:16" ht="16.5" hidden="1" thickBot="1">
      <c r="I3599" s="164" t="s">
        <v>1077</v>
      </c>
      <c r="J3599" s="165"/>
      <c r="K3599" s="74"/>
      <c r="L3599" s="196">
        <f>+J3599+K3599</f>
        <v>0</v>
      </c>
      <c r="N3599" s="52"/>
    </row>
    <row r="3600" spans="9:16" ht="16.5" thickBot="1">
      <c r="I3600" s="169"/>
      <c r="J3600" s="197">
        <f>SUM(J3595:J3599)</f>
        <v>681500</v>
      </c>
      <c r="K3600" s="197">
        <f>SUM(K3595:K3599)</f>
        <v>514609750</v>
      </c>
      <c r="L3600" s="198">
        <f>SUM(L3595:L3599)</f>
        <v>515291250</v>
      </c>
    </row>
    <row r="3601" spans="18:18">
      <c r="R3601" s="139">
        <f>+K3595+K3596+K3597+K3598</f>
        <v>514609750</v>
      </c>
    </row>
  </sheetData>
  <mergeCells count="5625">
    <mergeCell ref="I598:I599"/>
    <mergeCell ref="J598:J599"/>
    <mergeCell ref="K598:K599"/>
    <mergeCell ref="L598:L599"/>
    <mergeCell ref="M598:M599"/>
    <mergeCell ref="N598:N599"/>
    <mergeCell ref="J10:J11"/>
    <mergeCell ref="K10:K11"/>
    <mergeCell ref="L10:L11"/>
    <mergeCell ref="M10:M11"/>
    <mergeCell ref="N10:N11"/>
    <mergeCell ref="O10:P10"/>
    <mergeCell ref="A8:H8"/>
    <mergeCell ref="I8:P8"/>
    <mergeCell ref="A10:A11"/>
    <mergeCell ref="B10:B11"/>
    <mergeCell ref="C10:C11"/>
    <mergeCell ref="D10:D11"/>
    <mergeCell ref="E10:E11"/>
    <mergeCell ref="F10:F11"/>
    <mergeCell ref="G10:H10"/>
    <mergeCell ref="I10:I11"/>
    <mergeCell ref="I14:I15"/>
    <mergeCell ref="J14:J15"/>
    <mergeCell ref="K14:K15"/>
    <mergeCell ref="L14:L15"/>
    <mergeCell ref="M14:M15"/>
    <mergeCell ref="N14:N15"/>
    <mergeCell ref="A14:A15"/>
    <mergeCell ref="B14:B15"/>
    <mergeCell ref="C14:C15"/>
    <mergeCell ref="D14:D15"/>
    <mergeCell ref="E14:E15"/>
    <mergeCell ref="F14:F15"/>
    <mergeCell ref="I12:I13"/>
    <mergeCell ref="J12:J13"/>
    <mergeCell ref="K12:K13"/>
    <mergeCell ref="L12:L13"/>
    <mergeCell ref="M12:M13"/>
    <mergeCell ref="N12:N13"/>
    <mergeCell ref="A12:A13"/>
    <mergeCell ref="B12:B13"/>
    <mergeCell ref="C12:C13"/>
    <mergeCell ref="D12:D13"/>
    <mergeCell ref="E12:E13"/>
    <mergeCell ref="F12:F13"/>
    <mergeCell ref="I18:I19"/>
    <mergeCell ref="J18:J19"/>
    <mergeCell ref="K18:K19"/>
    <mergeCell ref="L18:L19"/>
    <mergeCell ref="M18:M19"/>
    <mergeCell ref="N18:N19"/>
    <mergeCell ref="A18:A19"/>
    <mergeCell ref="B18:B19"/>
    <mergeCell ref="C18:C19"/>
    <mergeCell ref="D18:D19"/>
    <mergeCell ref="E18:E19"/>
    <mergeCell ref="F18:F19"/>
    <mergeCell ref="I16:I17"/>
    <mergeCell ref="J16:J17"/>
    <mergeCell ref="K16:K17"/>
    <mergeCell ref="L16:L17"/>
    <mergeCell ref="M16:M17"/>
    <mergeCell ref="N16:N17"/>
    <mergeCell ref="A30:D30"/>
    <mergeCell ref="I30:L30"/>
    <mergeCell ref="N35:P35"/>
    <mergeCell ref="A45:H45"/>
    <mergeCell ref="I45:P45"/>
    <mergeCell ref="A47:A48"/>
    <mergeCell ref="B47:B48"/>
    <mergeCell ref="C47:C48"/>
    <mergeCell ref="D47:D48"/>
    <mergeCell ref="E47:E48"/>
    <mergeCell ref="A22:E22"/>
    <mergeCell ref="I22:M22"/>
    <mergeCell ref="A23:E23"/>
    <mergeCell ref="I23:M23"/>
    <mergeCell ref="A24:E24"/>
    <mergeCell ref="I24:M24"/>
    <mergeCell ref="I20:I21"/>
    <mergeCell ref="J20:J21"/>
    <mergeCell ref="K20:K21"/>
    <mergeCell ref="L20:L21"/>
    <mergeCell ref="M20:M21"/>
    <mergeCell ref="N20:N21"/>
    <mergeCell ref="A20:A21"/>
    <mergeCell ref="B20:B21"/>
    <mergeCell ref="C20:C21"/>
    <mergeCell ref="D20:D21"/>
    <mergeCell ref="E20:E21"/>
    <mergeCell ref="F20:F21"/>
    <mergeCell ref="J49:J50"/>
    <mergeCell ref="K49:K50"/>
    <mergeCell ref="L49:L50"/>
    <mergeCell ref="M49:M50"/>
    <mergeCell ref="N49:N50"/>
    <mergeCell ref="A51:A52"/>
    <mergeCell ref="B51:B52"/>
    <mergeCell ref="C51:C52"/>
    <mergeCell ref="D51:D52"/>
    <mergeCell ref="E51:E52"/>
    <mergeCell ref="M47:M48"/>
    <mergeCell ref="N47:N48"/>
    <mergeCell ref="O47:P47"/>
    <mergeCell ref="A49:A50"/>
    <mergeCell ref="B49:B50"/>
    <mergeCell ref="C49:C50"/>
    <mergeCell ref="D49:D50"/>
    <mergeCell ref="E49:E50"/>
    <mergeCell ref="F49:F50"/>
    <mergeCell ref="I49:I50"/>
    <mergeCell ref="F47:F48"/>
    <mergeCell ref="G47:H47"/>
    <mergeCell ref="I47:I48"/>
    <mergeCell ref="J47:J48"/>
    <mergeCell ref="K47:K48"/>
    <mergeCell ref="L47:L48"/>
    <mergeCell ref="I55:I56"/>
    <mergeCell ref="J55:J56"/>
    <mergeCell ref="K55:K56"/>
    <mergeCell ref="L55:L56"/>
    <mergeCell ref="M55:M56"/>
    <mergeCell ref="N55:N56"/>
    <mergeCell ref="A55:A56"/>
    <mergeCell ref="B55:B56"/>
    <mergeCell ref="C55:C56"/>
    <mergeCell ref="D55:D56"/>
    <mergeCell ref="E55:E56"/>
    <mergeCell ref="F55:F56"/>
    <mergeCell ref="N51:N52"/>
    <mergeCell ref="I53:I54"/>
    <mergeCell ref="J53:J54"/>
    <mergeCell ref="K53:K54"/>
    <mergeCell ref="L53:L54"/>
    <mergeCell ref="M53:M54"/>
    <mergeCell ref="N53:N54"/>
    <mergeCell ref="F51:F52"/>
    <mergeCell ref="I51:I52"/>
    <mergeCell ref="J51:J52"/>
    <mergeCell ref="K51:K52"/>
    <mergeCell ref="L51:L52"/>
    <mergeCell ref="M51:M52"/>
    <mergeCell ref="A67:D67"/>
    <mergeCell ref="I67:L67"/>
    <mergeCell ref="N72:P72"/>
    <mergeCell ref="A82:H82"/>
    <mergeCell ref="I82:P82"/>
    <mergeCell ref="A84:A85"/>
    <mergeCell ref="B84:B85"/>
    <mergeCell ref="C84:C85"/>
    <mergeCell ref="D84:D85"/>
    <mergeCell ref="E84:E85"/>
    <mergeCell ref="A59:E59"/>
    <mergeCell ref="I59:M59"/>
    <mergeCell ref="A60:E60"/>
    <mergeCell ref="I60:M60"/>
    <mergeCell ref="A61:E61"/>
    <mergeCell ref="I61:M61"/>
    <mergeCell ref="I57:I58"/>
    <mergeCell ref="J57:J58"/>
    <mergeCell ref="K57:K58"/>
    <mergeCell ref="L57:L58"/>
    <mergeCell ref="M57:M58"/>
    <mergeCell ref="N57:N58"/>
    <mergeCell ref="A57:A58"/>
    <mergeCell ref="B57:B58"/>
    <mergeCell ref="C57:C58"/>
    <mergeCell ref="D57:D58"/>
    <mergeCell ref="E57:E58"/>
    <mergeCell ref="F57:F58"/>
    <mergeCell ref="J86:J87"/>
    <mergeCell ref="K86:K87"/>
    <mergeCell ref="L86:L87"/>
    <mergeCell ref="M86:M87"/>
    <mergeCell ref="N86:N87"/>
    <mergeCell ref="A88:A89"/>
    <mergeCell ref="B88:B89"/>
    <mergeCell ref="C88:C89"/>
    <mergeCell ref="D88:D89"/>
    <mergeCell ref="E88:E89"/>
    <mergeCell ref="M84:M85"/>
    <mergeCell ref="N84:N85"/>
    <mergeCell ref="O84:P84"/>
    <mergeCell ref="A86:A87"/>
    <mergeCell ref="B86:B87"/>
    <mergeCell ref="C86:C87"/>
    <mergeCell ref="D86:D87"/>
    <mergeCell ref="E86:E87"/>
    <mergeCell ref="F86:F87"/>
    <mergeCell ref="I86:I87"/>
    <mergeCell ref="F84:F85"/>
    <mergeCell ref="G84:H84"/>
    <mergeCell ref="I84:I85"/>
    <mergeCell ref="J84:J85"/>
    <mergeCell ref="K84:K85"/>
    <mergeCell ref="L84:L85"/>
    <mergeCell ref="L90:L91"/>
    <mergeCell ref="M90:M91"/>
    <mergeCell ref="N90:N91"/>
    <mergeCell ref="I92:I93"/>
    <mergeCell ref="J92:J93"/>
    <mergeCell ref="K92:K93"/>
    <mergeCell ref="L92:L93"/>
    <mergeCell ref="M92:M93"/>
    <mergeCell ref="N92:N93"/>
    <mergeCell ref="N88:N89"/>
    <mergeCell ref="A90:A91"/>
    <mergeCell ref="B90:B91"/>
    <mergeCell ref="C90:C91"/>
    <mergeCell ref="D90:D91"/>
    <mergeCell ref="E90:E91"/>
    <mergeCell ref="F90:F91"/>
    <mergeCell ref="I90:I91"/>
    <mergeCell ref="J90:J91"/>
    <mergeCell ref="K90:K91"/>
    <mergeCell ref="F88:F89"/>
    <mergeCell ref="I88:I89"/>
    <mergeCell ref="J88:J89"/>
    <mergeCell ref="K88:K89"/>
    <mergeCell ref="L88:L89"/>
    <mergeCell ref="M88:M89"/>
    <mergeCell ref="A104:D104"/>
    <mergeCell ref="I104:L104"/>
    <mergeCell ref="N104:P104"/>
    <mergeCell ref="N109:P109"/>
    <mergeCell ref="A119:H119"/>
    <mergeCell ref="I119:P119"/>
    <mergeCell ref="A96:E96"/>
    <mergeCell ref="I96:M96"/>
    <mergeCell ref="A97:E97"/>
    <mergeCell ref="I97:M97"/>
    <mergeCell ref="A98:E98"/>
    <mergeCell ref="I98:M98"/>
    <mergeCell ref="I94:I95"/>
    <mergeCell ref="J94:J95"/>
    <mergeCell ref="K94:K95"/>
    <mergeCell ref="L94:L95"/>
    <mergeCell ref="M94:M95"/>
    <mergeCell ref="N94:N95"/>
    <mergeCell ref="A94:A95"/>
    <mergeCell ref="B94:B95"/>
    <mergeCell ref="C94:C95"/>
    <mergeCell ref="D94:D95"/>
    <mergeCell ref="E94:E95"/>
    <mergeCell ref="F94:F95"/>
    <mergeCell ref="O121:P121"/>
    <mergeCell ref="A123:A124"/>
    <mergeCell ref="B123:B124"/>
    <mergeCell ref="C123:C124"/>
    <mergeCell ref="D123:D124"/>
    <mergeCell ref="E123:E124"/>
    <mergeCell ref="F123:F124"/>
    <mergeCell ref="I123:I124"/>
    <mergeCell ref="J123:J124"/>
    <mergeCell ref="G121:H121"/>
    <mergeCell ref="I121:I122"/>
    <mergeCell ref="J121:J122"/>
    <mergeCell ref="K121:K122"/>
    <mergeCell ref="L121:L122"/>
    <mergeCell ref="M121:M122"/>
    <mergeCell ref="A121:A122"/>
    <mergeCell ref="B121:B122"/>
    <mergeCell ref="C121:C122"/>
    <mergeCell ref="D121:D122"/>
    <mergeCell ref="E121:E122"/>
    <mergeCell ref="F121:F122"/>
    <mergeCell ref="I125:I126"/>
    <mergeCell ref="J125:J126"/>
    <mergeCell ref="K125:K126"/>
    <mergeCell ref="L125:L126"/>
    <mergeCell ref="M125:M126"/>
    <mergeCell ref="N125:N126"/>
    <mergeCell ref="K123:K124"/>
    <mergeCell ref="L123:L124"/>
    <mergeCell ref="M123:M124"/>
    <mergeCell ref="N123:N124"/>
    <mergeCell ref="A125:A126"/>
    <mergeCell ref="B125:B126"/>
    <mergeCell ref="C125:C126"/>
    <mergeCell ref="D125:D126"/>
    <mergeCell ref="E125:E126"/>
    <mergeCell ref="F125:F126"/>
    <mergeCell ref="N121:N122"/>
    <mergeCell ref="I129:I130"/>
    <mergeCell ref="J129:J130"/>
    <mergeCell ref="K129:K130"/>
    <mergeCell ref="L129:L130"/>
    <mergeCell ref="M129:M130"/>
    <mergeCell ref="N129:N130"/>
    <mergeCell ref="I127:I128"/>
    <mergeCell ref="J127:J128"/>
    <mergeCell ref="K127:K128"/>
    <mergeCell ref="L127:L128"/>
    <mergeCell ref="M127:M128"/>
    <mergeCell ref="N127:N128"/>
    <mergeCell ref="A127:A128"/>
    <mergeCell ref="B127:B128"/>
    <mergeCell ref="C127:C128"/>
    <mergeCell ref="D127:D128"/>
    <mergeCell ref="E127:E128"/>
    <mergeCell ref="F127:F128"/>
    <mergeCell ref="A141:D141"/>
    <mergeCell ref="I141:L141"/>
    <mergeCell ref="N141:P141"/>
    <mergeCell ref="N146:P146"/>
    <mergeCell ref="A156:H156"/>
    <mergeCell ref="I156:P156"/>
    <mergeCell ref="A133:E133"/>
    <mergeCell ref="I133:M133"/>
    <mergeCell ref="A134:E134"/>
    <mergeCell ref="I134:M134"/>
    <mergeCell ref="A135:E135"/>
    <mergeCell ref="I135:M135"/>
    <mergeCell ref="I131:I132"/>
    <mergeCell ref="J131:J132"/>
    <mergeCell ref="K131:K132"/>
    <mergeCell ref="L131:L132"/>
    <mergeCell ref="M131:M132"/>
    <mergeCell ref="N131:N132"/>
    <mergeCell ref="A131:A132"/>
    <mergeCell ref="B131:B132"/>
    <mergeCell ref="C131:C132"/>
    <mergeCell ref="D131:D132"/>
    <mergeCell ref="E131:E132"/>
    <mergeCell ref="F131:F132"/>
    <mergeCell ref="K160:K161"/>
    <mergeCell ref="L160:L161"/>
    <mergeCell ref="M160:M161"/>
    <mergeCell ref="N160:N161"/>
    <mergeCell ref="I162:I163"/>
    <mergeCell ref="J162:J163"/>
    <mergeCell ref="K162:K163"/>
    <mergeCell ref="L162:L163"/>
    <mergeCell ref="M162:M163"/>
    <mergeCell ref="N162:N163"/>
    <mergeCell ref="N158:N159"/>
    <mergeCell ref="O158:P158"/>
    <mergeCell ref="A160:A161"/>
    <mergeCell ref="B160:B161"/>
    <mergeCell ref="C160:C161"/>
    <mergeCell ref="D160:D161"/>
    <mergeCell ref="E160:E161"/>
    <mergeCell ref="F160:F161"/>
    <mergeCell ref="I160:I161"/>
    <mergeCell ref="J160:J161"/>
    <mergeCell ref="G158:H158"/>
    <mergeCell ref="I158:I159"/>
    <mergeCell ref="J158:J159"/>
    <mergeCell ref="K158:K159"/>
    <mergeCell ref="L158:L159"/>
    <mergeCell ref="M158:M159"/>
    <mergeCell ref="A158:A159"/>
    <mergeCell ref="B158:B159"/>
    <mergeCell ref="C158:C159"/>
    <mergeCell ref="D158:D159"/>
    <mergeCell ref="E158:E159"/>
    <mergeCell ref="F158:F159"/>
    <mergeCell ref="I166:I167"/>
    <mergeCell ref="J166:J167"/>
    <mergeCell ref="K166:K167"/>
    <mergeCell ref="L166:L167"/>
    <mergeCell ref="M166:M167"/>
    <mergeCell ref="N166:N167"/>
    <mergeCell ref="I164:I165"/>
    <mergeCell ref="J164:J165"/>
    <mergeCell ref="K164:K165"/>
    <mergeCell ref="L164:L165"/>
    <mergeCell ref="M164:M165"/>
    <mergeCell ref="N164:N165"/>
    <mergeCell ref="A164:A165"/>
    <mergeCell ref="B164:B165"/>
    <mergeCell ref="C164:C165"/>
    <mergeCell ref="D164:D165"/>
    <mergeCell ref="E164:E165"/>
    <mergeCell ref="F164:F165"/>
    <mergeCell ref="A178:D178"/>
    <mergeCell ref="I178:L178"/>
    <mergeCell ref="N178:P178"/>
    <mergeCell ref="N182:P182"/>
    <mergeCell ref="A193:H193"/>
    <mergeCell ref="I193:P193"/>
    <mergeCell ref="A170:E170"/>
    <mergeCell ref="I170:M170"/>
    <mergeCell ref="A171:E171"/>
    <mergeCell ref="I171:M171"/>
    <mergeCell ref="A172:E172"/>
    <mergeCell ref="I172:M172"/>
    <mergeCell ref="I168:I169"/>
    <mergeCell ref="J168:J169"/>
    <mergeCell ref="K168:K169"/>
    <mergeCell ref="L168:L169"/>
    <mergeCell ref="M168:M169"/>
    <mergeCell ref="N168:N169"/>
    <mergeCell ref="A168:A169"/>
    <mergeCell ref="B168:B169"/>
    <mergeCell ref="C168:C169"/>
    <mergeCell ref="D168:D169"/>
    <mergeCell ref="E168:E169"/>
    <mergeCell ref="F168:F169"/>
    <mergeCell ref="O195:P195"/>
    <mergeCell ref="A197:A198"/>
    <mergeCell ref="B197:B198"/>
    <mergeCell ref="C197:C198"/>
    <mergeCell ref="D197:D198"/>
    <mergeCell ref="E197:E198"/>
    <mergeCell ref="F197:F198"/>
    <mergeCell ref="I197:I198"/>
    <mergeCell ref="J197:J198"/>
    <mergeCell ref="G195:H195"/>
    <mergeCell ref="I195:I196"/>
    <mergeCell ref="J195:J196"/>
    <mergeCell ref="K195:K196"/>
    <mergeCell ref="L195:L196"/>
    <mergeCell ref="M195:M196"/>
    <mergeCell ref="A195:A196"/>
    <mergeCell ref="B195:B196"/>
    <mergeCell ref="C195:C196"/>
    <mergeCell ref="D195:D196"/>
    <mergeCell ref="E195:E196"/>
    <mergeCell ref="F195:F196"/>
    <mergeCell ref="I199:I200"/>
    <mergeCell ref="J199:J200"/>
    <mergeCell ref="K199:K200"/>
    <mergeCell ref="L199:L200"/>
    <mergeCell ref="M199:M200"/>
    <mergeCell ref="N199:N200"/>
    <mergeCell ref="K197:K198"/>
    <mergeCell ref="L197:L198"/>
    <mergeCell ref="M197:M198"/>
    <mergeCell ref="N197:N198"/>
    <mergeCell ref="A199:A200"/>
    <mergeCell ref="B199:B200"/>
    <mergeCell ref="C199:C200"/>
    <mergeCell ref="D199:D200"/>
    <mergeCell ref="E199:E200"/>
    <mergeCell ref="F199:F200"/>
    <mergeCell ref="N195:N196"/>
    <mergeCell ref="I203:I204"/>
    <mergeCell ref="J203:J204"/>
    <mergeCell ref="K203:K204"/>
    <mergeCell ref="L203:L204"/>
    <mergeCell ref="M203:M204"/>
    <mergeCell ref="N203:N204"/>
    <mergeCell ref="A203:A204"/>
    <mergeCell ref="B203:B204"/>
    <mergeCell ref="C203:C204"/>
    <mergeCell ref="D203:D204"/>
    <mergeCell ref="E203:E204"/>
    <mergeCell ref="F203:F204"/>
    <mergeCell ref="I201:I202"/>
    <mergeCell ref="J201:J202"/>
    <mergeCell ref="K201:K202"/>
    <mergeCell ref="L201:L202"/>
    <mergeCell ref="M201:M202"/>
    <mergeCell ref="N201:N202"/>
    <mergeCell ref="A201:A202"/>
    <mergeCell ref="B201:B202"/>
    <mergeCell ref="C201:C202"/>
    <mergeCell ref="D201:D202"/>
    <mergeCell ref="E201:E202"/>
    <mergeCell ref="F201:F202"/>
    <mergeCell ref="A215:D215"/>
    <mergeCell ref="I215:L215"/>
    <mergeCell ref="N215:P215"/>
    <mergeCell ref="N220:P220"/>
    <mergeCell ref="A230:H230"/>
    <mergeCell ref="I230:P230"/>
    <mergeCell ref="A207:E207"/>
    <mergeCell ref="I207:M207"/>
    <mergeCell ref="A208:E208"/>
    <mergeCell ref="I208:M208"/>
    <mergeCell ref="A209:E209"/>
    <mergeCell ref="I209:M209"/>
    <mergeCell ref="I205:I206"/>
    <mergeCell ref="J205:J206"/>
    <mergeCell ref="K205:K206"/>
    <mergeCell ref="L205:L206"/>
    <mergeCell ref="M205:M206"/>
    <mergeCell ref="N205:N206"/>
    <mergeCell ref="A205:A206"/>
    <mergeCell ref="B205:B206"/>
    <mergeCell ref="C205:C206"/>
    <mergeCell ref="D205:D206"/>
    <mergeCell ref="E205:E206"/>
    <mergeCell ref="F205:F206"/>
    <mergeCell ref="K234:K235"/>
    <mergeCell ref="L234:L235"/>
    <mergeCell ref="M234:M235"/>
    <mergeCell ref="N234:N235"/>
    <mergeCell ref="A236:A237"/>
    <mergeCell ref="B236:B237"/>
    <mergeCell ref="C236:C237"/>
    <mergeCell ref="D236:D237"/>
    <mergeCell ref="E236:E237"/>
    <mergeCell ref="F236:F237"/>
    <mergeCell ref="N232:N233"/>
    <mergeCell ref="O232:P232"/>
    <mergeCell ref="A234:A235"/>
    <mergeCell ref="B234:B235"/>
    <mergeCell ref="C234:C235"/>
    <mergeCell ref="D234:D235"/>
    <mergeCell ref="E234:E235"/>
    <mergeCell ref="F234:F235"/>
    <mergeCell ref="I234:I235"/>
    <mergeCell ref="J234:J235"/>
    <mergeCell ref="G232:H232"/>
    <mergeCell ref="I232:I233"/>
    <mergeCell ref="J232:J233"/>
    <mergeCell ref="K232:K233"/>
    <mergeCell ref="L232:L233"/>
    <mergeCell ref="M232:M233"/>
    <mergeCell ref="A232:A233"/>
    <mergeCell ref="B232:B233"/>
    <mergeCell ref="C232:C233"/>
    <mergeCell ref="D232:D233"/>
    <mergeCell ref="E232:E233"/>
    <mergeCell ref="F232:F233"/>
    <mergeCell ref="I238:I239"/>
    <mergeCell ref="J238:J239"/>
    <mergeCell ref="K238:K239"/>
    <mergeCell ref="L238:L239"/>
    <mergeCell ref="M238:M239"/>
    <mergeCell ref="N238:N239"/>
    <mergeCell ref="A238:A239"/>
    <mergeCell ref="B238:B239"/>
    <mergeCell ref="C238:C239"/>
    <mergeCell ref="D238:D239"/>
    <mergeCell ref="E238:E239"/>
    <mergeCell ref="F238:F239"/>
    <mergeCell ref="I236:I237"/>
    <mergeCell ref="J236:J237"/>
    <mergeCell ref="K236:K237"/>
    <mergeCell ref="L236:L237"/>
    <mergeCell ref="M236:M237"/>
    <mergeCell ref="N236:N237"/>
    <mergeCell ref="I242:I243"/>
    <mergeCell ref="J242:J243"/>
    <mergeCell ref="K242:K243"/>
    <mergeCell ref="L242:L243"/>
    <mergeCell ref="M242:M243"/>
    <mergeCell ref="N242:N243"/>
    <mergeCell ref="A242:A243"/>
    <mergeCell ref="B242:B243"/>
    <mergeCell ref="C242:C243"/>
    <mergeCell ref="D242:D243"/>
    <mergeCell ref="E242:E243"/>
    <mergeCell ref="F242:F243"/>
    <mergeCell ref="I240:I241"/>
    <mergeCell ref="J240:J241"/>
    <mergeCell ref="K240:K241"/>
    <mergeCell ref="L240:L241"/>
    <mergeCell ref="M240:M241"/>
    <mergeCell ref="N240:N241"/>
    <mergeCell ref="A254:D254"/>
    <mergeCell ref="I254:L254"/>
    <mergeCell ref="N254:P254"/>
    <mergeCell ref="N259:P259"/>
    <mergeCell ref="A269:H269"/>
    <mergeCell ref="I269:P269"/>
    <mergeCell ref="A246:E246"/>
    <mergeCell ref="I246:M246"/>
    <mergeCell ref="A247:E247"/>
    <mergeCell ref="I247:M247"/>
    <mergeCell ref="A248:E248"/>
    <mergeCell ref="I248:M248"/>
    <mergeCell ref="I244:I245"/>
    <mergeCell ref="J244:J245"/>
    <mergeCell ref="K244:K245"/>
    <mergeCell ref="L244:L245"/>
    <mergeCell ref="M244:M245"/>
    <mergeCell ref="N244:N245"/>
    <mergeCell ref="A244:A245"/>
    <mergeCell ref="B244:B245"/>
    <mergeCell ref="C244:C245"/>
    <mergeCell ref="D244:D245"/>
    <mergeCell ref="E244:E245"/>
    <mergeCell ref="F244:F245"/>
    <mergeCell ref="O271:P271"/>
    <mergeCell ref="A273:A274"/>
    <mergeCell ref="B273:B274"/>
    <mergeCell ref="C273:C274"/>
    <mergeCell ref="D273:D274"/>
    <mergeCell ref="E273:E274"/>
    <mergeCell ref="F273:F274"/>
    <mergeCell ref="I273:I274"/>
    <mergeCell ref="J273:J274"/>
    <mergeCell ref="G271:H271"/>
    <mergeCell ref="I271:I272"/>
    <mergeCell ref="J271:J272"/>
    <mergeCell ref="K271:K272"/>
    <mergeCell ref="L271:L272"/>
    <mergeCell ref="M271:M272"/>
    <mergeCell ref="A271:A272"/>
    <mergeCell ref="B271:B272"/>
    <mergeCell ref="C271:C272"/>
    <mergeCell ref="D271:D272"/>
    <mergeCell ref="E271:E272"/>
    <mergeCell ref="F271:F272"/>
    <mergeCell ref="I275:I276"/>
    <mergeCell ref="J275:J276"/>
    <mergeCell ref="K275:K276"/>
    <mergeCell ref="L275:L276"/>
    <mergeCell ref="M275:M276"/>
    <mergeCell ref="N275:N276"/>
    <mergeCell ref="K273:K274"/>
    <mergeCell ref="L273:L274"/>
    <mergeCell ref="M273:M274"/>
    <mergeCell ref="N273:N274"/>
    <mergeCell ref="A275:A276"/>
    <mergeCell ref="B275:B276"/>
    <mergeCell ref="C275:C276"/>
    <mergeCell ref="D275:D276"/>
    <mergeCell ref="E275:E276"/>
    <mergeCell ref="F275:F276"/>
    <mergeCell ref="N271:N272"/>
    <mergeCell ref="I279:I280"/>
    <mergeCell ref="J279:J280"/>
    <mergeCell ref="K279:K280"/>
    <mergeCell ref="L279:L280"/>
    <mergeCell ref="M279:M280"/>
    <mergeCell ref="N279:N280"/>
    <mergeCell ref="A279:A280"/>
    <mergeCell ref="B279:B280"/>
    <mergeCell ref="C279:C280"/>
    <mergeCell ref="D279:D280"/>
    <mergeCell ref="E279:E280"/>
    <mergeCell ref="F279:F280"/>
    <mergeCell ref="I277:I278"/>
    <mergeCell ref="J277:J278"/>
    <mergeCell ref="K277:K278"/>
    <mergeCell ref="L277:L278"/>
    <mergeCell ref="M277:M278"/>
    <mergeCell ref="N277:N278"/>
    <mergeCell ref="A277:A278"/>
    <mergeCell ref="B277:B278"/>
    <mergeCell ref="C277:C278"/>
    <mergeCell ref="D277:D278"/>
    <mergeCell ref="E277:E278"/>
    <mergeCell ref="F277:F278"/>
    <mergeCell ref="A291:D291"/>
    <mergeCell ref="I291:L291"/>
    <mergeCell ref="N291:P291"/>
    <mergeCell ref="N296:P296"/>
    <mergeCell ref="A306:H306"/>
    <mergeCell ref="I306:P306"/>
    <mergeCell ref="A283:E283"/>
    <mergeCell ref="I283:M283"/>
    <mergeCell ref="A284:E284"/>
    <mergeCell ref="I284:M284"/>
    <mergeCell ref="A285:E285"/>
    <mergeCell ref="I285:M285"/>
    <mergeCell ref="I281:I282"/>
    <mergeCell ref="J281:J282"/>
    <mergeCell ref="K281:K282"/>
    <mergeCell ref="L281:L282"/>
    <mergeCell ref="M281:M282"/>
    <mergeCell ref="N281:N282"/>
    <mergeCell ref="A281:A282"/>
    <mergeCell ref="B281:B282"/>
    <mergeCell ref="C281:C282"/>
    <mergeCell ref="D281:D282"/>
    <mergeCell ref="E281:E282"/>
    <mergeCell ref="F281:F282"/>
    <mergeCell ref="K310:K311"/>
    <mergeCell ref="L310:L311"/>
    <mergeCell ref="M310:M311"/>
    <mergeCell ref="N310:N311"/>
    <mergeCell ref="A312:A313"/>
    <mergeCell ref="B312:B313"/>
    <mergeCell ref="C312:C313"/>
    <mergeCell ref="D312:D313"/>
    <mergeCell ref="E312:E313"/>
    <mergeCell ref="F312:F313"/>
    <mergeCell ref="N308:N309"/>
    <mergeCell ref="O308:P308"/>
    <mergeCell ref="A310:A311"/>
    <mergeCell ref="B310:B311"/>
    <mergeCell ref="C310:C311"/>
    <mergeCell ref="D310:D311"/>
    <mergeCell ref="E310:E311"/>
    <mergeCell ref="F310:F311"/>
    <mergeCell ref="I310:I311"/>
    <mergeCell ref="J310:J311"/>
    <mergeCell ref="G308:H308"/>
    <mergeCell ref="I308:I309"/>
    <mergeCell ref="J308:J309"/>
    <mergeCell ref="K308:K309"/>
    <mergeCell ref="L308:L309"/>
    <mergeCell ref="M308:M309"/>
    <mergeCell ref="A308:A309"/>
    <mergeCell ref="B308:B309"/>
    <mergeCell ref="C308:C309"/>
    <mergeCell ref="D308:D309"/>
    <mergeCell ref="E308:E309"/>
    <mergeCell ref="F308:F309"/>
    <mergeCell ref="I314:I315"/>
    <mergeCell ref="J314:J315"/>
    <mergeCell ref="K314:K315"/>
    <mergeCell ref="L314:L315"/>
    <mergeCell ref="M314:M315"/>
    <mergeCell ref="N314:N315"/>
    <mergeCell ref="A314:A315"/>
    <mergeCell ref="B314:B315"/>
    <mergeCell ref="C314:C315"/>
    <mergeCell ref="D314:D315"/>
    <mergeCell ref="E314:E315"/>
    <mergeCell ref="F314:F315"/>
    <mergeCell ref="I312:I313"/>
    <mergeCell ref="J312:J313"/>
    <mergeCell ref="K312:K313"/>
    <mergeCell ref="L312:L313"/>
    <mergeCell ref="M312:M313"/>
    <mergeCell ref="N312:N313"/>
    <mergeCell ref="I318:I319"/>
    <mergeCell ref="J318:J319"/>
    <mergeCell ref="K318:K319"/>
    <mergeCell ref="L318:L319"/>
    <mergeCell ref="M318:M319"/>
    <mergeCell ref="N318:N319"/>
    <mergeCell ref="I316:I317"/>
    <mergeCell ref="J316:J317"/>
    <mergeCell ref="K316:K317"/>
    <mergeCell ref="L316:L317"/>
    <mergeCell ref="M316:M317"/>
    <mergeCell ref="N316:N317"/>
    <mergeCell ref="A316:A317"/>
    <mergeCell ref="B316:B317"/>
    <mergeCell ref="C316:C317"/>
    <mergeCell ref="D316:D317"/>
    <mergeCell ref="E316:E317"/>
    <mergeCell ref="F316:F317"/>
    <mergeCell ref="A330:D330"/>
    <mergeCell ref="I330:L330"/>
    <mergeCell ref="N330:P330"/>
    <mergeCell ref="N335:P335"/>
    <mergeCell ref="A345:H345"/>
    <mergeCell ref="I345:P345"/>
    <mergeCell ref="A322:E322"/>
    <mergeCell ref="I322:M322"/>
    <mergeCell ref="A323:E323"/>
    <mergeCell ref="I323:M323"/>
    <mergeCell ref="A324:E324"/>
    <mergeCell ref="I324:M324"/>
    <mergeCell ref="I320:I321"/>
    <mergeCell ref="J320:J321"/>
    <mergeCell ref="K320:K321"/>
    <mergeCell ref="L320:L321"/>
    <mergeCell ref="M320:M321"/>
    <mergeCell ref="N320:N321"/>
    <mergeCell ref="A320:A321"/>
    <mergeCell ref="B320:B321"/>
    <mergeCell ref="C320:C321"/>
    <mergeCell ref="D320:D321"/>
    <mergeCell ref="E320:E321"/>
    <mergeCell ref="F320:F321"/>
    <mergeCell ref="N334:P334"/>
    <mergeCell ref="K349:K350"/>
    <mergeCell ref="L349:L350"/>
    <mergeCell ref="M349:M350"/>
    <mergeCell ref="N349:N350"/>
    <mergeCell ref="A353:A354"/>
    <mergeCell ref="B353:B354"/>
    <mergeCell ref="C353:C354"/>
    <mergeCell ref="D353:D354"/>
    <mergeCell ref="E353:E354"/>
    <mergeCell ref="F353:F354"/>
    <mergeCell ref="N347:N348"/>
    <mergeCell ref="O347:P347"/>
    <mergeCell ref="A349:A350"/>
    <mergeCell ref="B349:B350"/>
    <mergeCell ref="C349:C350"/>
    <mergeCell ref="D349:D350"/>
    <mergeCell ref="E349:E350"/>
    <mergeCell ref="F349:F350"/>
    <mergeCell ref="I349:I350"/>
    <mergeCell ref="J349:J350"/>
    <mergeCell ref="G347:H347"/>
    <mergeCell ref="I347:I348"/>
    <mergeCell ref="J347:J348"/>
    <mergeCell ref="K347:K348"/>
    <mergeCell ref="L347:L348"/>
    <mergeCell ref="M347:M348"/>
    <mergeCell ref="A347:A348"/>
    <mergeCell ref="B347:B348"/>
    <mergeCell ref="C347:C348"/>
    <mergeCell ref="D347:D348"/>
    <mergeCell ref="E347:E348"/>
    <mergeCell ref="F347:F348"/>
    <mergeCell ref="A365:D365"/>
    <mergeCell ref="I365:L365"/>
    <mergeCell ref="N365:P365"/>
    <mergeCell ref="N370:P370"/>
    <mergeCell ref="A380:H380"/>
    <mergeCell ref="I380:P380"/>
    <mergeCell ref="A357:E357"/>
    <mergeCell ref="I357:M357"/>
    <mergeCell ref="A358:E358"/>
    <mergeCell ref="I358:M358"/>
    <mergeCell ref="A359:E359"/>
    <mergeCell ref="I359:M359"/>
    <mergeCell ref="I353:I354"/>
    <mergeCell ref="J353:J354"/>
    <mergeCell ref="K353:K354"/>
    <mergeCell ref="L353:L354"/>
    <mergeCell ref="M353:M354"/>
    <mergeCell ref="N353:N354"/>
    <mergeCell ref="N355:N356"/>
    <mergeCell ref="M355:M356"/>
    <mergeCell ref="L355:L356"/>
    <mergeCell ref="K355:K356"/>
    <mergeCell ref="J355:J356"/>
    <mergeCell ref="I355:I356"/>
    <mergeCell ref="F355:F356"/>
    <mergeCell ref="E355:E356"/>
    <mergeCell ref="D355:D356"/>
    <mergeCell ref="C355:C356"/>
    <mergeCell ref="B355:B356"/>
    <mergeCell ref="A355:A356"/>
    <mergeCell ref="O382:P382"/>
    <mergeCell ref="A384:A385"/>
    <mergeCell ref="B384:B385"/>
    <mergeCell ref="C384:C385"/>
    <mergeCell ref="D384:D385"/>
    <mergeCell ref="E384:E385"/>
    <mergeCell ref="F384:F385"/>
    <mergeCell ref="I384:I385"/>
    <mergeCell ref="J384:J385"/>
    <mergeCell ref="G382:H382"/>
    <mergeCell ref="I382:I383"/>
    <mergeCell ref="J382:J383"/>
    <mergeCell ref="K382:K383"/>
    <mergeCell ref="L382:L383"/>
    <mergeCell ref="M382:M383"/>
    <mergeCell ref="A382:A383"/>
    <mergeCell ref="B382:B383"/>
    <mergeCell ref="C382:C383"/>
    <mergeCell ref="D382:D383"/>
    <mergeCell ref="E382:E383"/>
    <mergeCell ref="F382:F383"/>
    <mergeCell ref="I386:I387"/>
    <mergeCell ref="J386:J387"/>
    <mergeCell ref="K386:K387"/>
    <mergeCell ref="L386:L387"/>
    <mergeCell ref="M386:M387"/>
    <mergeCell ref="N386:N387"/>
    <mergeCell ref="K384:K385"/>
    <mergeCell ref="L384:L385"/>
    <mergeCell ref="M384:M385"/>
    <mergeCell ref="N384:N385"/>
    <mergeCell ref="A386:A387"/>
    <mergeCell ref="B386:B387"/>
    <mergeCell ref="C386:C387"/>
    <mergeCell ref="D386:D387"/>
    <mergeCell ref="E386:E387"/>
    <mergeCell ref="F386:F387"/>
    <mergeCell ref="N382:N383"/>
    <mergeCell ref="I390:I391"/>
    <mergeCell ref="J390:J391"/>
    <mergeCell ref="K390:K391"/>
    <mergeCell ref="L390:L391"/>
    <mergeCell ref="M390:M391"/>
    <mergeCell ref="N390:N391"/>
    <mergeCell ref="A390:A391"/>
    <mergeCell ref="B390:B391"/>
    <mergeCell ref="C390:C391"/>
    <mergeCell ref="D390:D391"/>
    <mergeCell ref="E390:E391"/>
    <mergeCell ref="F390:F391"/>
    <mergeCell ref="I388:I389"/>
    <mergeCell ref="J388:J389"/>
    <mergeCell ref="K388:K389"/>
    <mergeCell ref="L388:L389"/>
    <mergeCell ref="M388:M389"/>
    <mergeCell ref="N388:N389"/>
    <mergeCell ref="A388:A389"/>
    <mergeCell ref="B388:B389"/>
    <mergeCell ref="C388:C389"/>
    <mergeCell ref="D388:D389"/>
    <mergeCell ref="E388:E389"/>
    <mergeCell ref="F388:F389"/>
    <mergeCell ref="A402:D402"/>
    <mergeCell ref="I402:L402"/>
    <mergeCell ref="N402:P402"/>
    <mergeCell ref="N407:P407"/>
    <mergeCell ref="A417:H417"/>
    <mergeCell ref="I417:P417"/>
    <mergeCell ref="A394:E394"/>
    <mergeCell ref="I394:M394"/>
    <mergeCell ref="A395:E395"/>
    <mergeCell ref="I395:M395"/>
    <mergeCell ref="A396:E396"/>
    <mergeCell ref="I396:M396"/>
    <mergeCell ref="I392:I393"/>
    <mergeCell ref="J392:J393"/>
    <mergeCell ref="K392:K393"/>
    <mergeCell ref="L392:L393"/>
    <mergeCell ref="M392:M393"/>
    <mergeCell ref="N392:N393"/>
    <mergeCell ref="A392:A393"/>
    <mergeCell ref="B392:B393"/>
    <mergeCell ref="C392:C393"/>
    <mergeCell ref="D392:D393"/>
    <mergeCell ref="E392:E393"/>
    <mergeCell ref="F392:F393"/>
    <mergeCell ref="O419:P419"/>
    <mergeCell ref="A421:A422"/>
    <mergeCell ref="B421:B422"/>
    <mergeCell ref="C421:C422"/>
    <mergeCell ref="D421:D422"/>
    <mergeCell ref="E421:E422"/>
    <mergeCell ref="F421:F422"/>
    <mergeCell ref="I421:I422"/>
    <mergeCell ref="J421:J422"/>
    <mergeCell ref="G419:H419"/>
    <mergeCell ref="I419:I420"/>
    <mergeCell ref="J419:J420"/>
    <mergeCell ref="K419:K420"/>
    <mergeCell ref="L419:L420"/>
    <mergeCell ref="M419:M420"/>
    <mergeCell ref="A419:A420"/>
    <mergeCell ref="B419:B420"/>
    <mergeCell ref="C419:C420"/>
    <mergeCell ref="D419:D420"/>
    <mergeCell ref="E419:E420"/>
    <mergeCell ref="F419:F420"/>
    <mergeCell ref="I423:I424"/>
    <mergeCell ref="J423:J424"/>
    <mergeCell ref="K423:K424"/>
    <mergeCell ref="L423:L424"/>
    <mergeCell ref="M423:M424"/>
    <mergeCell ref="N423:N424"/>
    <mergeCell ref="K421:K422"/>
    <mergeCell ref="L421:L422"/>
    <mergeCell ref="M421:M422"/>
    <mergeCell ref="N421:N422"/>
    <mergeCell ref="A423:A424"/>
    <mergeCell ref="B423:B424"/>
    <mergeCell ref="C423:C424"/>
    <mergeCell ref="D423:D424"/>
    <mergeCell ref="E423:E424"/>
    <mergeCell ref="F423:F424"/>
    <mergeCell ref="N419:N420"/>
    <mergeCell ref="I425:I426"/>
    <mergeCell ref="J425:J426"/>
    <mergeCell ref="K425:K426"/>
    <mergeCell ref="L425:L426"/>
    <mergeCell ref="M425:M426"/>
    <mergeCell ref="N425:N426"/>
    <mergeCell ref="A425:A426"/>
    <mergeCell ref="B425:B426"/>
    <mergeCell ref="C425:C426"/>
    <mergeCell ref="D425:D426"/>
    <mergeCell ref="E425:E426"/>
    <mergeCell ref="F425:F426"/>
    <mergeCell ref="A437:D437"/>
    <mergeCell ref="I437:L437"/>
    <mergeCell ref="N437:P437"/>
    <mergeCell ref="N442:P442"/>
    <mergeCell ref="A452:H452"/>
    <mergeCell ref="I452:P452"/>
    <mergeCell ref="A429:E429"/>
    <mergeCell ref="I429:M429"/>
    <mergeCell ref="A430:E430"/>
    <mergeCell ref="I430:M430"/>
    <mergeCell ref="A431:E431"/>
    <mergeCell ref="I431:M431"/>
    <mergeCell ref="I427:I428"/>
    <mergeCell ref="J427:J428"/>
    <mergeCell ref="K427:K428"/>
    <mergeCell ref="L427:L428"/>
    <mergeCell ref="M427:M428"/>
    <mergeCell ref="N427:N428"/>
    <mergeCell ref="A427:A428"/>
    <mergeCell ref="B427:B428"/>
    <mergeCell ref="C427:C428"/>
    <mergeCell ref="D427:D428"/>
    <mergeCell ref="E427:E428"/>
    <mergeCell ref="F427:F428"/>
    <mergeCell ref="K456:K457"/>
    <mergeCell ref="L456:L457"/>
    <mergeCell ref="M456:M457"/>
    <mergeCell ref="N456:N457"/>
    <mergeCell ref="A458:A459"/>
    <mergeCell ref="B458:B459"/>
    <mergeCell ref="C458:C459"/>
    <mergeCell ref="D458:D459"/>
    <mergeCell ref="E458:E459"/>
    <mergeCell ref="F458:F459"/>
    <mergeCell ref="N454:N455"/>
    <mergeCell ref="O454:P454"/>
    <mergeCell ref="A456:A457"/>
    <mergeCell ref="B456:B457"/>
    <mergeCell ref="C456:C457"/>
    <mergeCell ref="D456:D457"/>
    <mergeCell ref="E456:E457"/>
    <mergeCell ref="F456:F457"/>
    <mergeCell ref="I456:I457"/>
    <mergeCell ref="J456:J457"/>
    <mergeCell ref="G454:H454"/>
    <mergeCell ref="I454:I455"/>
    <mergeCell ref="J454:J455"/>
    <mergeCell ref="K454:K455"/>
    <mergeCell ref="L454:L455"/>
    <mergeCell ref="M454:M455"/>
    <mergeCell ref="A454:A455"/>
    <mergeCell ref="B454:B455"/>
    <mergeCell ref="C454:C455"/>
    <mergeCell ref="D454:D455"/>
    <mergeCell ref="E454:E455"/>
    <mergeCell ref="F454:F455"/>
    <mergeCell ref="I460:I461"/>
    <mergeCell ref="J460:J461"/>
    <mergeCell ref="K460:K461"/>
    <mergeCell ref="L460:L461"/>
    <mergeCell ref="M460:M461"/>
    <mergeCell ref="N460:N461"/>
    <mergeCell ref="A460:A461"/>
    <mergeCell ref="B460:B461"/>
    <mergeCell ref="C460:C461"/>
    <mergeCell ref="D460:D461"/>
    <mergeCell ref="E460:E461"/>
    <mergeCell ref="F460:F461"/>
    <mergeCell ref="I458:I459"/>
    <mergeCell ref="J458:J459"/>
    <mergeCell ref="K458:K459"/>
    <mergeCell ref="L458:L459"/>
    <mergeCell ref="M458:M459"/>
    <mergeCell ref="N458:N459"/>
    <mergeCell ref="A472:D472"/>
    <mergeCell ref="I472:L472"/>
    <mergeCell ref="N472:P472"/>
    <mergeCell ref="N477:P477"/>
    <mergeCell ref="A487:H487"/>
    <mergeCell ref="I487:P487"/>
    <mergeCell ref="A464:E464"/>
    <mergeCell ref="I464:M464"/>
    <mergeCell ref="A465:E465"/>
    <mergeCell ref="I465:M465"/>
    <mergeCell ref="A466:E466"/>
    <mergeCell ref="I466:M466"/>
    <mergeCell ref="I462:I463"/>
    <mergeCell ref="J462:J463"/>
    <mergeCell ref="K462:K463"/>
    <mergeCell ref="L462:L463"/>
    <mergeCell ref="M462:M463"/>
    <mergeCell ref="N462:N463"/>
    <mergeCell ref="A462:A463"/>
    <mergeCell ref="B462:B463"/>
    <mergeCell ref="C462:C463"/>
    <mergeCell ref="D462:D463"/>
    <mergeCell ref="E462:E463"/>
    <mergeCell ref="F462:F463"/>
    <mergeCell ref="O489:P489"/>
    <mergeCell ref="A491:A492"/>
    <mergeCell ref="B491:B492"/>
    <mergeCell ref="C491:C492"/>
    <mergeCell ref="D491:D492"/>
    <mergeCell ref="E491:E492"/>
    <mergeCell ref="F491:F492"/>
    <mergeCell ref="I491:I492"/>
    <mergeCell ref="J491:J492"/>
    <mergeCell ref="G489:H489"/>
    <mergeCell ref="I489:I490"/>
    <mergeCell ref="J489:J490"/>
    <mergeCell ref="K489:K490"/>
    <mergeCell ref="L489:L490"/>
    <mergeCell ref="M489:M490"/>
    <mergeCell ref="A489:A490"/>
    <mergeCell ref="B489:B490"/>
    <mergeCell ref="C489:C490"/>
    <mergeCell ref="D489:D490"/>
    <mergeCell ref="E489:E490"/>
    <mergeCell ref="F489:F490"/>
    <mergeCell ref="I495:I496"/>
    <mergeCell ref="J495:J496"/>
    <mergeCell ref="K495:K496"/>
    <mergeCell ref="L495:L496"/>
    <mergeCell ref="M495:M496"/>
    <mergeCell ref="N495:N496"/>
    <mergeCell ref="K491:K492"/>
    <mergeCell ref="L491:L492"/>
    <mergeCell ref="M491:M492"/>
    <mergeCell ref="N491:N492"/>
    <mergeCell ref="A495:A496"/>
    <mergeCell ref="B495:B496"/>
    <mergeCell ref="C495:C496"/>
    <mergeCell ref="D495:D496"/>
    <mergeCell ref="E495:E496"/>
    <mergeCell ref="F495:F496"/>
    <mergeCell ref="N489:N490"/>
    <mergeCell ref="I493:I494"/>
    <mergeCell ref="J493:J494"/>
    <mergeCell ref="K493:K494"/>
    <mergeCell ref="L493:L494"/>
    <mergeCell ref="M493:M494"/>
    <mergeCell ref="N493:N494"/>
    <mergeCell ref="A507:D507"/>
    <mergeCell ref="I507:L507"/>
    <mergeCell ref="N507:P507"/>
    <mergeCell ref="N512:P512"/>
    <mergeCell ref="A522:H522"/>
    <mergeCell ref="I522:P522"/>
    <mergeCell ref="A499:E499"/>
    <mergeCell ref="I499:M499"/>
    <mergeCell ref="A500:E500"/>
    <mergeCell ref="I500:M500"/>
    <mergeCell ref="A501:E501"/>
    <mergeCell ref="I501:M501"/>
    <mergeCell ref="I497:I498"/>
    <mergeCell ref="J497:J498"/>
    <mergeCell ref="K497:K498"/>
    <mergeCell ref="L497:L498"/>
    <mergeCell ref="M497:M498"/>
    <mergeCell ref="N497:N498"/>
    <mergeCell ref="A497:A498"/>
    <mergeCell ref="B497:B498"/>
    <mergeCell ref="C497:C498"/>
    <mergeCell ref="D497:D498"/>
    <mergeCell ref="E497:E498"/>
    <mergeCell ref="F497:F498"/>
    <mergeCell ref="O524:P524"/>
    <mergeCell ref="A526:A527"/>
    <mergeCell ref="B526:B527"/>
    <mergeCell ref="C526:C527"/>
    <mergeCell ref="D526:D527"/>
    <mergeCell ref="E526:E527"/>
    <mergeCell ref="F526:F527"/>
    <mergeCell ref="I526:I527"/>
    <mergeCell ref="J526:J527"/>
    <mergeCell ref="G524:H524"/>
    <mergeCell ref="I524:I525"/>
    <mergeCell ref="J524:J525"/>
    <mergeCell ref="K524:K525"/>
    <mergeCell ref="L524:L525"/>
    <mergeCell ref="M524:M525"/>
    <mergeCell ref="A524:A525"/>
    <mergeCell ref="B524:B525"/>
    <mergeCell ref="C524:C525"/>
    <mergeCell ref="D524:D525"/>
    <mergeCell ref="E524:E525"/>
    <mergeCell ref="F524:F525"/>
    <mergeCell ref="I528:I529"/>
    <mergeCell ref="J528:J529"/>
    <mergeCell ref="K528:K529"/>
    <mergeCell ref="L528:L529"/>
    <mergeCell ref="M528:M529"/>
    <mergeCell ref="N528:N529"/>
    <mergeCell ref="K526:K527"/>
    <mergeCell ref="L526:L527"/>
    <mergeCell ref="M526:M527"/>
    <mergeCell ref="N526:N527"/>
    <mergeCell ref="A528:A529"/>
    <mergeCell ref="B528:B529"/>
    <mergeCell ref="C528:C529"/>
    <mergeCell ref="D528:D529"/>
    <mergeCell ref="E528:E529"/>
    <mergeCell ref="F528:F529"/>
    <mergeCell ref="N524:N525"/>
    <mergeCell ref="C557:C558"/>
    <mergeCell ref="D557:D558"/>
    <mergeCell ref="E557:E558"/>
    <mergeCell ref="F557:F558"/>
    <mergeCell ref="A540:D540"/>
    <mergeCell ref="I540:L540"/>
    <mergeCell ref="N540:P540"/>
    <mergeCell ref="N545:P545"/>
    <mergeCell ref="A555:H555"/>
    <mergeCell ref="I555:P555"/>
    <mergeCell ref="A532:E532"/>
    <mergeCell ref="I532:M532"/>
    <mergeCell ref="A533:E533"/>
    <mergeCell ref="I533:M533"/>
    <mergeCell ref="A534:E534"/>
    <mergeCell ref="I534:M534"/>
    <mergeCell ref="I530:I531"/>
    <mergeCell ref="J530:J531"/>
    <mergeCell ref="K530:K531"/>
    <mergeCell ref="L530:L531"/>
    <mergeCell ref="M530:M531"/>
    <mergeCell ref="N530:N531"/>
    <mergeCell ref="A530:A531"/>
    <mergeCell ref="B530:B531"/>
    <mergeCell ref="C530:C531"/>
    <mergeCell ref="D530:D531"/>
    <mergeCell ref="E530:E531"/>
    <mergeCell ref="F530:F531"/>
    <mergeCell ref="K561:K562"/>
    <mergeCell ref="L561:L562"/>
    <mergeCell ref="M561:M562"/>
    <mergeCell ref="N561:N562"/>
    <mergeCell ref="K559:K560"/>
    <mergeCell ref="L559:L560"/>
    <mergeCell ref="M559:M560"/>
    <mergeCell ref="N559:N560"/>
    <mergeCell ref="A561:A562"/>
    <mergeCell ref="B561:B562"/>
    <mergeCell ref="C561:C562"/>
    <mergeCell ref="D561:D562"/>
    <mergeCell ref="E561:E562"/>
    <mergeCell ref="F561:F562"/>
    <mergeCell ref="N557:N558"/>
    <mergeCell ref="O557:P557"/>
    <mergeCell ref="A559:A560"/>
    <mergeCell ref="B559:B560"/>
    <mergeCell ref="C559:C560"/>
    <mergeCell ref="D559:D560"/>
    <mergeCell ref="E559:E560"/>
    <mergeCell ref="F559:F560"/>
    <mergeCell ref="I559:I560"/>
    <mergeCell ref="J559:J560"/>
    <mergeCell ref="G557:H557"/>
    <mergeCell ref="I557:I558"/>
    <mergeCell ref="J557:J558"/>
    <mergeCell ref="K557:K558"/>
    <mergeCell ref="L557:L558"/>
    <mergeCell ref="M557:M558"/>
    <mergeCell ref="A557:A558"/>
    <mergeCell ref="B557:B558"/>
    <mergeCell ref="E590:E591"/>
    <mergeCell ref="F590:F591"/>
    <mergeCell ref="A573:D573"/>
    <mergeCell ref="I573:L573"/>
    <mergeCell ref="N573:P573"/>
    <mergeCell ref="N578:P578"/>
    <mergeCell ref="A588:H588"/>
    <mergeCell ref="I588:P588"/>
    <mergeCell ref="A565:E565"/>
    <mergeCell ref="I565:M565"/>
    <mergeCell ref="A566:E566"/>
    <mergeCell ref="I566:M566"/>
    <mergeCell ref="A567:E567"/>
    <mergeCell ref="I567:M567"/>
    <mergeCell ref="I563:I564"/>
    <mergeCell ref="J563:J564"/>
    <mergeCell ref="K563:K564"/>
    <mergeCell ref="L563:L564"/>
    <mergeCell ref="M563:M564"/>
    <mergeCell ref="N563:N564"/>
    <mergeCell ref="A563:A564"/>
    <mergeCell ref="B563:B564"/>
    <mergeCell ref="C563:C564"/>
    <mergeCell ref="D563:D564"/>
    <mergeCell ref="E563:E564"/>
    <mergeCell ref="F563:F564"/>
    <mergeCell ref="A596:A597"/>
    <mergeCell ref="B596:B597"/>
    <mergeCell ref="C596:C597"/>
    <mergeCell ref="D596:D597"/>
    <mergeCell ref="E596:E597"/>
    <mergeCell ref="F596:F597"/>
    <mergeCell ref="N590:N591"/>
    <mergeCell ref="I594:I595"/>
    <mergeCell ref="J594:J595"/>
    <mergeCell ref="K594:K595"/>
    <mergeCell ref="L594:L595"/>
    <mergeCell ref="M594:M595"/>
    <mergeCell ref="N594:N595"/>
    <mergeCell ref="O590:P590"/>
    <mergeCell ref="A592:A593"/>
    <mergeCell ref="B592:B593"/>
    <mergeCell ref="C592:C593"/>
    <mergeCell ref="D592:D593"/>
    <mergeCell ref="E592:E593"/>
    <mergeCell ref="F592:F593"/>
    <mergeCell ref="I592:I593"/>
    <mergeCell ref="J592:J593"/>
    <mergeCell ref="G590:H590"/>
    <mergeCell ref="I590:I591"/>
    <mergeCell ref="J590:J591"/>
    <mergeCell ref="K590:K591"/>
    <mergeCell ref="L590:L591"/>
    <mergeCell ref="M590:M591"/>
    <mergeCell ref="A590:A591"/>
    <mergeCell ref="B590:B591"/>
    <mergeCell ref="C590:C591"/>
    <mergeCell ref="D590:D591"/>
    <mergeCell ref="A610:D610"/>
    <mergeCell ref="I610:L610"/>
    <mergeCell ref="N610:P610"/>
    <mergeCell ref="N615:P615"/>
    <mergeCell ref="A625:H625"/>
    <mergeCell ref="I625:P625"/>
    <mergeCell ref="A602:E602"/>
    <mergeCell ref="I602:M602"/>
    <mergeCell ref="A603:E603"/>
    <mergeCell ref="I603:M603"/>
    <mergeCell ref="A604:E604"/>
    <mergeCell ref="I604:M604"/>
    <mergeCell ref="I600:I601"/>
    <mergeCell ref="J600:J601"/>
    <mergeCell ref="K600:K601"/>
    <mergeCell ref="L600:L601"/>
    <mergeCell ref="M600:M601"/>
    <mergeCell ref="N600:N601"/>
    <mergeCell ref="A600:A601"/>
    <mergeCell ref="B600:B601"/>
    <mergeCell ref="C600:C601"/>
    <mergeCell ref="D600:D601"/>
    <mergeCell ref="E600:E601"/>
    <mergeCell ref="F600:F601"/>
    <mergeCell ref="A631:A632"/>
    <mergeCell ref="B631:B632"/>
    <mergeCell ref="C631:C632"/>
    <mergeCell ref="D631:D632"/>
    <mergeCell ref="E631:E632"/>
    <mergeCell ref="F631:F632"/>
    <mergeCell ref="N627:N628"/>
    <mergeCell ref="O627:P627"/>
    <mergeCell ref="A629:A630"/>
    <mergeCell ref="B629:B630"/>
    <mergeCell ref="C629:C630"/>
    <mergeCell ref="D629:D630"/>
    <mergeCell ref="E629:E630"/>
    <mergeCell ref="F629:F630"/>
    <mergeCell ref="I629:I630"/>
    <mergeCell ref="J629:J630"/>
    <mergeCell ref="G627:H627"/>
    <mergeCell ref="I627:I628"/>
    <mergeCell ref="J627:J628"/>
    <mergeCell ref="K627:K628"/>
    <mergeCell ref="L627:L628"/>
    <mergeCell ref="M627:M628"/>
    <mergeCell ref="A627:A628"/>
    <mergeCell ref="B627:B628"/>
    <mergeCell ref="C627:C628"/>
    <mergeCell ref="D627:D628"/>
    <mergeCell ref="E627:E628"/>
    <mergeCell ref="F627:F628"/>
    <mergeCell ref="A647:D647"/>
    <mergeCell ref="I647:L647"/>
    <mergeCell ref="N648:P648"/>
    <mergeCell ref="N653:P653"/>
    <mergeCell ref="A662:H662"/>
    <mergeCell ref="I662:P662"/>
    <mergeCell ref="A639:E639"/>
    <mergeCell ref="I639:M639"/>
    <mergeCell ref="A640:E640"/>
    <mergeCell ref="I640:M640"/>
    <mergeCell ref="A641:E641"/>
    <mergeCell ref="I641:M641"/>
    <mergeCell ref="I633:I634"/>
    <mergeCell ref="J633:J634"/>
    <mergeCell ref="K633:K634"/>
    <mergeCell ref="L633:L634"/>
    <mergeCell ref="M633:M634"/>
    <mergeCell ref="N633:N634"/>
    <mergeCell ref="A633:A634"/>
    <mergeCell ref="B633:B634"/>
    <mergeCell ref="C633:C634"/>
    <mergeCell ref="D633:D634"/>
    <mergeCell ref="E633:E634"/>
    <mergeCell ref="F633:F634"/>
    <mergeCell ref="I635:I636"/>
    <mergeCell ref="J635:J636"/>
    <mergeCell ref="K635:K636"/>
    <mergeCell ref="L635:L636"/>
    <mergeCell ref="M635:M636"/>
    <mergeCell ref="N635:N636"/>
    <mergeCell ref="I637:I638"/>
    <mergeCell ref="J637:J638"/>
    <mergeCell ref="K666:K667"/>
    <mergeCell ref="L666:L667"/>
    <mergeCell ref="M666:M667"/>
    <mergeCell ref="N666:N667"/>
    <mergeCell ref="A668:A669"/>
    <mergeCell ref="B668:B669"/>
    <mergeCell ref="C668:C669"/>
    <mergeCell ref="D668:D669"/>
    <mergeCell ref="E668:E669"/>
    <mergeCell ref="F668:F669"/>
    <mergeCell ref="N664:N665"/>
    <mergeCell ref="O664:P664"/>
    <mergeCell ref="A666:A667"/>
    <mergeCell ref="B666:B667"/>
    <mergeCell ref="C666:C667"/>
    <mergeCell ref="D666:D667"/>
    <mergeCell ref="E666:E667"/>
    <mergeCell ref="F666:F667"/>
    <mergeCell ref="I666:I667"/>
    <mergeCell ref="J666:J667"/>
    <mergeCell ref="G664:H664"/>
    <mergeCell ref="I664:I665"/>
    <mergeCell ref="J664:J665"/>
    <mergeCell ref="K664:K665"/>
    <mergeCell ref="L664:L665"/>
    <mergeCell ref="M664:M665"/>
    <mergeCell ref="A664:A665"/>
    <mergeCell ref="B664:B665"/>
    <mergeCell ref="C664:C665"/>
    <mergeCell ref="D664:D665"/>
    <mergeCell ref="E664:E665"/>
    <mergeCell ref="F664:F665"/>
    <mergeCell ref="I670:I671"/>
    <mergeCell ref="J670:J671"/>
    <mergeCell ref="K670:K671"/>
    <mergeCell ref="L670:L671"/>
    <mergeCell ref="M670:M671"/>
    <mergeCell ref="N670:N671"/>
    <mergeCell ref="A670:A671"/>
    <mergeCell ref="B670:B671"/>
    <mergeCell ref="C670:C671"/>
    <mergeCell ref="D670:D671"/>
    <mergeCell ref="E670:E671"/>
    <mergeCell ref="F670:F671"/>
    <mergeCell ref="I668:I669"/>
    <mergeCell ref="J668:J669"/>
    <mergeCell ref="K668:K669"/>
    <mergeCell ref="L668:L669"/>
    <mergeCell ref="M668:M669"/>
    <mergeCell ref="N668:N669"/>
    <mergeCell ref="A682:D682"/>
    <mergeCell ref="I682:L682"/>
    <mergeCell ref="N682:P682"/>
    <mergeCell ref="N687:P687"/>
    <mergeCell ref="A697:H697"/>
    <mergeCell ref="I697:P697"/>
    <mergeCell ref="A674:E674"/>
    <mergeCell ref="I674:M674"/>
    <mergeCell ref="A675:E675"/>
    <mergeCell ref="I675:M675"/>
    <mergeCell ref="A676:E676"/>
    <mergeCell ref="I676:M676"/>
    <mergeCell ref="I672:I673"/>
    <mergeCell ref="J672:J673"/>
    <mergeCell ref="K672:K673"/>
    <mergeCell ref="L672:L673"/>
    <mergeCell ref="M672:M673"/>
    <mergeCell ref="N672:N673"/>
    <mergeCell ref="A672:A673"/>
    <mergeCell ref="B672:B673"/>
    <mergeCell ref="C672:C673"/>
    <mergeCell ref="D672:D673"/>
    <mergeCell ref="E672:E673"/>
    <mergeCell ref="F672:F673"/>
    <mergeCell ref="K701:K702"/>
    <mergeCell ref="L701:L702"/>
    <mergeCell ref="M701:M702"/>
    <mergeCell ref="N701:N702"/>
    <mergeCell ref="A703:A704"/>
    <mergeCell ref="B703:B704"/>
    <mergeCell ref="C703:C704"/>
    <mergeCell ref="D703:D704"/>
    <mergeCell ref="E703:E704"/>
    <mergeCell ref="F703:F704"/>
    <mergeCell ref="N699:N700"/>
    <mergeCell ref="O699:P699"/>
    <mergeCell ref="A701:A702"/>
    <mergeCell ref="B701:B702"/>
    <mergeCell ref="C701:C702"/>
    <mergeCell ref="D701:D702"/>
    <mergeCell ref="E701:E702"/>
    <mergeCell ref="F701:F702"/>
    <mergeCell ref="I701:I702"/>
    <mergeCell ref="J701:J702"/>
    <mergeCell ref="G699:H699"/>
    <mergeCell ref="I699:I700"/>
    <mergeCell ref="J699:J700"/>
    <mergeCell ref="K699:K700"/>
    <mergeCell ref="L699:L700"/>
    <mergeCell ref="M699:M700"/>
    <mergeCell ref="A699:A700"/>
    <mergeCell ref="B699:B700"/>
    <mergeCell ref="C699:C700"/>
    <mergeCell ref="D699:D700"/>
    <mergeCell ref="E699:E700"/>
    <mergeCell ref="F699:F700"/>
    <mergeCell ref="N707:N708"/>
    <mergeCell ref="A707:A708"/>
    <mergeCell ref="B707:B708"/>
    <mergeCell ref="C707:C708"/>
    <mergeCell ref="D707:D708"/>
    <mergeCell ref="E707:E708"/>
    <mergeCell ref="F707:F708"/>
    <mergeCell ref="I705:I706"/>
    <mergeCell ref="J705:J706"/>
    <mergeCell ref="K705:K706"/>
    <mergeCell ref="L705:L706"/>
    <mergeCell ref="M705:M706"/>
    <mergeCell ref="N705:N706"/>
    <mergeCell ref="I703:I704"/>
    <mergeCell ref="J703:J704"/>
    <mergeCell ref="K703:K704"/>
    <mergeCell ref="L703:L704"/>
    <mergeCell ref="M703:M704"/>
    <mergeCell ref="N703:N704"/>
    <mergeCell ref="I709:M709"/>
    <mergeCell ref="I710:M710"/>
    <mergeCell ref="A711:E711"/>
    <mergeCell ref="I711:M711"/>
    <mergeCell ref="A712:E712"/>
    <mergeCell ref="A713:E713"/>
    <mergeCell ref="A709:A710"/>
    <mergeCell ref="B709:B710"/>
    <mergeCell ref="C709:C710"/>
    <mergeCell ref="D709:D710"/>
    <mergeCell ref="E709:E710"/>
    <mergeCell ref="F709:F710"/>
    <mergeCell ref="I707:I708"/>
    <mergeCell ref="J707:J708"/>
    <mergeCell ref="K707:K708"/>
    <mergeCell ref="L707:L708"/>
    <mergeCell ref="M707:M708"/>
    <mergeCell ref="I736:I737"/>
    <mergeCell ref="J736:J737"/>
    <mergeCell ref="K736:K737"/>
    <mergeCell ref="L736:L737"/>
    <mergeCell ref="M736:M737"/>
    <mergeCell ref="N736:N737"/>
    <mergeCell ref="M734:M735"/>
    <mergeCell ref="N734:N735"/>
    <mergeCell ref="O734:P734"/>
    <mergeCell ref="A736:A737"/>
    <mergeCell ref="B736:B737"/>
    <mergeCell ref="C736:C737"/>
    <mergeCell ref="D736:D737"/>
    <mergeCell ref="E736:E737"/>
    <mergeCell ref="F736:F737"/>
    <mergeCell ref="G736:H736"/>
    <mergeCell ref="I717:L717"/>
    <mergeCell ref="N717:P717"/>
    <mergeCell ref="A719:D719"/>
    <mergeCell ref="N722:P722"/>
    <mergeCell ref="I732:P732"/>
    <mergeCell ref="A734:H734"/>
    <mergeCell ref="I734:I735"/>
    <mergeCell ref="J734:J735"/>
    <mergeCell ref="K734:K735"/>
    <mergeCell ref="L734:L735"/>
    <mergeCell ref="I740:I741"/>
    <mergeCell ref="J740:J741"/>
    <mergeCell ref="K740:K741"/>
    <mergeCell ref="L740:L741"/>
    <mergeCell ref="M740:M741"/>
    <mergeCell ref="N740:N741"/>
    <mergeCell ref="A740:A741"/>
    <mergeCell ref="B740:B741"/>
    <mergeCell ref="C740:C741"/>
    <mergeCell ref="D740:D741"/>
    <mergeCell ref="E740:E741"/>
    <mergeCell ref="F740:F741"/>
    <mergeCell ref="I738:I739"/>
    <mergeCell ref="J738:J739"/>
    <mergeCell ref="K738:K739"/>
    <mergeCell ref="L738:L739"/>
    <mergeCell ref="M738:M739"/>
    <mergeCell ref="N738:N739"/>
    <mergeCell ref="N744:N745"/>
    <mergeCell ref="A744:A745"/>
    <mergeCell ref="B744:B745"/>
    <mergeCell ref="C744:C745"/>
    <mergeCell ref="D744:D745"/>
    <mergeCell ref="E744:E745"/>
    <mergeCell ref="F744:F745"/>
    <mergeCell ref="I742:I743"/>
    <mergeCell ref="J742:J743"/>
    <mergeCell ref="K742:K743"/>
    <mergeCell ref="L742:L743"/>
    <mergeCell ref="M742:M743"/>
    <mergeCell ref="N742:N743"/>
    <mergeCell ref="A742:A743"/>
    <mergeCell ref="B742:B743"/>
    <mergeCell ref="C742:C743"/>
    <mergeCell ref="D742:D743"/>
    <mergeCell ref="E742:E743"/>
    <mergeCell ref="F742:F743"/>
    <mergeCell ref="I746:M746"/>
    <mergeCell ref="I747:M747"/>
    <mergeCell ref="A748:E748"/>
    <mergeCell ref="I748:M748"/>
    <mergeCell ref="A749:E749"/>
    <mergeCell ref="A750:E750"/>
    <mergeCell ref="A746:A747"/>
    <mergeCell ref="B746:B747"/>
    <mergeCell ref="C746:C747"/>
    <mergeCell ref="D746:D747"/>
    <mergeCell ref="E746:E747"/>
    <mergeCell ref="F746:F747"/>
    <mergeCell ref="I744:I745"/>
    <mergeCell ref="J744:J745"/>
    <mergeCell ref="K744:K745"/>
    <mergeCell ref="L744:L745"/>
    <mergeCell ref="M744:M745"/>
    <mergeCell ref="M771:M772"/>
    <mergeCell ref="N771:N772"/>
    <mergeCell ref="O771:P771"/>
    <mergeCell ref="A773:A774"/>
    <mergeCell ref="B773:B774"/>
    <mergeCell ref="C773:C774"/>
    <mergeCell ref="D773:D774"/>
    <mergeCell ref="E773:E774"/>
    <mergeCell ref="F773:F774"/>
    <mergeCell ref="G773:H773"/>
    <mergeCell ref="I754:L754"/>
    <mergeCell ref="N754:P754"/>
    <mergeCell ref="A756:D756"/>
    <mergeCell ref="N759:P759"/>
    <mergeCell ref="I769:P769"/>
    <mergeCell ref="A771:H771"/>
    <mergeCell ref="I771:I772"/>
    <mergeCell ref="J771:J772"/>
    <mergeCell ref="K771:K772"/>
    <mergeCell ref="L771:L772"/>
    <mergeCell ref="I775:I776"/>
    <mergeCell ref="J775:J776"/>
    <mergeCell ref="K775:K776"/>
    <mergeCell ref="L775:L776"/>
    <mergeCell ref="M775:M776"/>
    <mergeCell ref="N775:N776"/>
    <mergeCell ref="A775:A776"/>
    <mergeCell ref="B775:B776"/>
    <mergeCell ref="C775:C776"/>
    <mergeCell ref="D775:D776"/>
    <mergeCell ref="E775:E776"/>
    <mergeCell ref="F775:F776"/>
    <mergeCell ref="I773:I774"/>
    <mergeCell ref="J773:J774"/>
    <mergeCell ref="K773:K774"/>
    <mergeCell ref="L773:L774"/>
    <mergeCell ref="M773:M774"/>
    <mergeCell ref="N773:N774"/>
    <mergeCell ref="I779:I780"/>
    <mergeCell ref="J779:J780"/>
    <mergeCell ref="K779:K780"/>
    <mergeCell ref="L779:L780"/>
    <mergeCell ref="M779:M780"/>
    <mergeCell ref="N779:N780"/>
    <mergeCell ref="A779:A780"/>
    <mergeCell ref="B779:B780"/>
    <mergeCell ref="C779:C780"/>
    <mergeCell ref="D779:D780"/>
    <mergeCell ref="E779:E780"/>
    <mergeCell ref="F779:F780"/>
    <mergeCell ref="I777:I778"/>
    <mergeCell ref="J777:J778"/>
    <mergeCell ref="K777:K778"/>
    <mergeCell ref="L777:L778"/>
    <mergeCell ref="M777:M778"/>
    <mergeCell ref="N777:N778"/>
    <mergeCell ref="I789:L789"/>
    <mergeCell ref="N789:P789"/>
    <mergeCell ref="A791:D791"/>
    <mergeCell ref="N794:P794"/>
    <mergeCell ref="I804:P804"/>
    <mergeCell ref="A806:H806"/>
    <mergeCell ref="I806:I807"/>
    <mergeCell ref="J806:J807"/>
    <mergeCell ref="K806:K807"/>
    <mergeCell ref="L806:L807"/>
    <mergeCell ref="I781:M781"/>
    <mergeCell ref="I782:M782"/>
    <mergeCell ref="A783:E783"/>
    <mergeCell ref="I783:M783"/>
    <mergeCell ref="A784:E784"/>
    <mergeCell ref="A785:E785"/>
    <mergeCell ref="A781:A782"/>
    <mergeCell ref="B781:B782"/>
    <mergeCell ref="C781:C782"/>
    <mergeCell ref="D781:D782"/>
    <mergeCell ref="E781:E782"/>
    <mergeCell ref="F781:F782"/>
    <mergeCell ref="J808:J809"/>
    <mergeCell ref="K808:K809"/>
    <mergeCell ref="L808:L809"/>
    <mergeCell ref="M808:M809"/>
    <mergeCell ref="N808:N809"/>
    <mergeCell ref="A810:A811"/>
    <mergeCell ref="B810:B811"/>
    <mergeCell ref="C810:C811"/>
    <mergeCell ref="D810:D811"/>
    <mergeCell ref="E810:E811"/>
    <mergeCell ref="M806:M807"/>
    <mergeCell ref="N806:N807"/>
    <mergeCell ref="O806:P806"/>
    <mergeCell ref="A808:A809"/>
    <mergeCell ref="B808:B809"/>
    <mergeCell ref="C808:C809"/>
    <mergeCell ref="D808:D809"/>
    <mergeCell ref="E808:E809"/>
    <mergeCell ref="F808:F809"/>
    <mergeCell ref="I808:I809"/>
    <mergeCell ref="N814:N815"/>
    <mergeCell ref="A814:A815"/>
    <mergeCell ref="B814:B815"/>
    <mergeCell ref="C814:C815"/>
    <mergeCell ref="D814:D815"/>
    <mergeCell ref="E814:E815"/>
    <mergeCell ref="F814:F815"/>
    <mergeCell ref="L812:L813"/>
    <mergeCell ref="M812:M813"/>
    <mergeCell ref="N812:N813"/>
    <mergeCell ref="N810:N811"/>
    <mergeCell ref="A812:A813"/>
    <mergeCell ref="B812:B813"/>
    <mergeCell ref="C812:C813"/>
    <mergeCell ref="D812:D813"/>
    <mergeCell ref="E812:E813"/>
    <mergeCell ref="F812:F813"/>
    <mergeCell ref="I812:I813"/>
    <mergeCell ref="J812:J813"/>
    <mergeCell ref="K812:K813"/>
    <mergeCell ref="F810:F811"/>
    <mergeCell ref="I810:I811"/>
    <mergeCell ref="J810:J811"/>
    <mergeCell ref="K810:K811"/>
    <mergeCell ref="L810:L811"/>
    <mergeCell ref="M810:M811"/>
    <mergeCell ref="I816:M816"/>
    <mergeCell ref="I817:M817"/>
    <mergeCell ref="A818:E818"/>
    <mergeCell ref="I818:M818"/>
    <mergeCell ref="A819:E819"/>
    <mergeCell ref="A820:E820"/>
    <mergeCell ref="A816:A817"/>
    <mergeCell ref="B816:B817"/>
    <mergeCell ref="C816:C817"/>
    <mergeCell ref="D816:D817"/>
    <mergeCell ref="E816:E817"/>
    <mergeCell ref="F816:F817"/>
    <mergeCell ref="I814:I815"/>
    <mergeCell ref="J814:J815"/>
    <mergeCell ref="K814:K815"/>
    <mergeCell ref="L814:L815"/>
    <mergeCell ref="M814:M815"/>
    <mergeCell ref="N841:N842"/>
    <mergeCell ref="O841:P841"/>
    <mergeCell ref="A843:A844"/>
    <mergeCell ref="B843:B844"/>
    <mergeCell ref="C843:C844"/>
    <mergeCell ref="D843:D844"/>
    <mergeCell ref="E843:E844"/>
    <mergeCell ref="F843:F844"/>
    <mergeCell ref="G843:H843"/>
    <mergeCell ref="I843:I844"/>
    <mergeCell ref="A841:H841"/>
    <mergeCell ref="I841:I842"/>
    <mergeCell ref="J841:J842"/>
    <mergeCell ref="K841:K842"/>
    <mergeCell ref="L841:L842"/>
    <mergeCell ref="M841:M842"/>
    <mergeCell ref="I824:L824"/>
    <mergeCell ref="A826:D826"/>
    <mergeCell ref="N826:P826"/>
    <mergeCell ref="N830:P830"/>
    <mergeCell ref="N831:P831"/>
    <mergeCell ref="I839:P839"/>
    <mergeCell ref="N845:N846"/>
    <mergeCell ref="A847:A848"/>
    <mergeCell ref="B847:B848"/>
    <mergeCell ref="C847:C848"/>
    <mergeCell ref="D847:D848"/>
    <mergeCell ref="E847:E848"/>
    <mergeCell ref="F847:F848"/>
    <mergeCell ref="I847:I848"/>
    <mergeCell ref="J847:J848"/>
    <mergeCell ref="K847:K848"/>
    <mergeCell ref="F845:F846"/>
    <mergeCell ref="I845:I846"/>
    <mergeCell ref="J845:J846"/>
    <mergeCell ref="K845:K846"/>
    <mergeCell ref="L845:L846"/>
    <mergeCell ref="M845:M846"/>
    <mergeCell ref="J843:J844"/>
    <mergeCell ref="K843:K844"/>
    <mergeCell ref="L843:L844"/>
    <mergeCell ref="M843:M844"/>
    <mergeCell ref="N843:N844"/>
    <mergeCell ref="A845:A846"/>
    <mergeCell ref="B845:B846"/>
    <mergeCell ref="C845:C846"/>
    <mergeCell ref="D845:D846"/>
    <mergeCell ref="E845:E846"/>
    <mergeCell ref="J849:J850"/>
    <mergeCell ref="K849:K850"/>
    <mergeCell ref="L849:L850"/>
    <mergeCell ref="M849:M850"/>
    <mergeCell ref="N849:N850"/>
    <mergeCell ref="I851:I852"/>
    <mergeCell ref="J851:J852"/>
    <mergeCell ref="K851:K852"/>
    <mergeCell ref="L851:L852"/>
    <mergeCell ref="M851:M852"/>
    <mergeCell ref="L847:L848"/>
    <mergeCell ref="M847:M848"/>
    <mergeCell ref="N847:N848"/>
    <mergeCell ref="A849:A850"/>
    <mergeCell ref="B849:B850"/>
    <mergeCell ref="C849:C850"/>
    <mergeCell ref="D849:D850"/>
    <mergeCell ref="E849:E850"/>
    <mergeCell ref="F849:F850"/>
    <mergeCell ref="I849:I850"/>
    <mergeCell ref="L853:L854"/>
    <mergeCell ref="M853:M854"/>
    <mergeCell ref="N853:N854"/>
    <mergeCell ref="A855:A856"/>
    <mergeCell ref="B855:B856"/>
    <mergeCell ref="C855:C856"/>
    <mergeCell ref="D855:D856"/>
    <mergeCell ref="E855:E856"/>
    <mergeCell ref="F855:F856"/>
    <mergeCell ref="I855:M855"/>
    <mergeCell ref="N851:N852"/>
    <mergeCell ref="A853:A854"/>
    <mergeCell ref="B853:B854"/>
    <mergeCell ref="C853:C854"/>
    <mergeCell ref="D853:D854"/>
    <mergeCell ref="E853:E854"/>
    <mergeCell ref="F853:F854"/>
    <mergeCell ref="I853:I854"/>
    <mergeCell ref="J853:J854"/>
    <mergeCell ref="K853:K854"/>
    <mergeCell ref="I878:P878"/>
    <mergeCell ref="A880:H880"/>
    <mergeCell ref="I880:I881"/>
    <mergeCell ref="J880:J881"/>
    <mergeCell ref="K880:K881"/>
    <mergeCell ref="L880:L881"/>
    <mergeCell ref="M880:M881"/>
    <mergeCell ref="N880:N881"/>
    <mergeCell ref="O880:P880"/>
    <mergeCell ref="N863:P863"/>
    <mergeCell ref="A865:D865"/>
    <mergeCell ref="N865:P865"/>
    <mergeCell ref="N866:P866"/>
    <mergeCell ref="N867:P867"/>
    <mergeCell ref="N868:P868"/>
    <mergeCell ref="I856:M856"/>
    <mergeCell ref="A857:E857"/>
    <mergeCell ref="I857:M857"/>
    <mergeCell ref="A858:E858"/>
    <mergeCell ref="A859:E859"/>
    <mergeCell ref="I863:L863"/>
    <mergeCell ref="L884:L885"/>
    <mergeCell ref="M884:M885"/>
    <mergeCell ref="N884:N885"/>
    <mergeCell ref="A886:A887"/>
    <mergeCell ref="B886:B887"/>
    <mergeCell ref="C886:C887"/>
    <mergeCell ref="D886:D887"/>
    <mergeCell ref="E886:E887"/>
    <mergeCell ref="F886:F887"/>
    <mergeCell ref="I886:I887"/>
    <mergeCell ref="N882:N883"/>
    <mergeCell ref="A884:A885"/>
    <mergeCell ref="B884:B885"/>
    <mergeCell ref="C884:C885"/>
    <mergeCell ref="D884:D885"/>
    <mergeCell ref="E884:E885"/>
    <mergeCell ref="F884:F885"/>
    <mergeCell ref="I884:I885"/>
    <mergeCell ref="J884:J885"/>
    <mergeCell ref="K884:K885"/>
    <mergeCell ref="G882:H882"/>
    <mergeCell ref="I882:I883"/>
    <mergeCell ref="J882:J883"/>
    <mergeCell ref="K882:K883"/>
    <mergeCell ref="L882:L883"/>
    <mergeCell ref="M882:M883"/>
    <mergeCell ref="A882:A883"/>
    <mergeCell ref="B882:B883"/>
    <mergeCell ref="C882:C883"/>
    <mergeCell ref="D882:D883"/>
    <mergeCell ref="E882:E883"/>
    <mergeCell ref="F882:F883"/>
    <mergeCell ref="N888:N889"/>
    <mergeCell ref="A890:A891"/>
    <mergeCell ref="B890:B891"/>
    <mergeCell ref="C890:C891"/>
    <mergeCell ref="D890:D891"/>
    <mergeCell ref="E890:E891"/>
    <mergeCell ref="F890:F891"/>
    <mergeCell ref="I890:I891"/>
    <mergeCell ref="J890:J891"/>
    <mergeCell ref="K890:K891"/>
    <mergeCell ref="F888:F889"/>
    <mergeCell ref="I888:I889"/>
    <mergeCell ref="J888:J889"/>
    <mergeCell ref="K888:K889"/>
    <mergeCell ref="L888:L889"/>
    <mergeCell ref="M888:M889"/>
    <mergeCell ref="J886:J887"/>
    <mergeCell ref="K886:K887"/>
    <mergeCell ref="L886:L887"/>
    <mergeCell ref="M886:M887"/>
    <mergeCell ref="N886:N887"/>
    <mergeCell ref="A888:A889"/>
    <mergeCell ref="B888:B889"/>
    <mergeCell ref="C888:C889"/>
    <mergeCell ref="D888:D889"/>
    <mergeCell ref="E888:E889"/>
    <mergeCell ref="N900:P900"/>
    <mergeCell ref="A902:D902"/>
    <mergeCell ref="N905:P905"/>
    <mergeCell ref="I915:P915"/>
    <mergeCell ref="A917:H917"/>
    <mergeCell ref="I917:I918"/>
    <mergeCell ref="J917:J918"/>
    <mergeCell ref="K917:K918"/>
    <mergeCell ref="L917:L918"/>
    <mergeCell ref="M917:M918"/>
    <mergeCell ref="I893:M893"/>
    <mergeCell ref="A894:E894"/>
    <mergeCell ref="I894:M894"/>
    <mergeCell ref="A895:E895"/>
    <mergeCell ref="A896:E896"/>
    <mergeCell ref="I900:L900"/>
    <mergeCell ref="L890:L891"/>
    <mergeCell ref="M890:M891"/>
    <mergeCell ref="N890:N891"/>
    <mergeCell ref="A892:A893"/>
    <mergeCell ref="B892:B893"/>
    <mergeCell ref="C892:C893"/>
    <mergeCell ref="D892:D893"/>
    <mergeCell ref="E892:E893"/>
    <mergeCell ref="F892:F893"/>
    <mergeCell ref="I892:M892"/>
    <mergeCell ref="J919:J920"/>
    <mergeCell ref="K919:K920"/>
    <mergeCell ref="L919:L920"/>
    <mergeCell ref="M919:M920"/>
    <mergeCell ref="N919:N920"/>
    <mergeCell ref="A921:A922"/>
    <mergeCell ref="B921:B922"/>
    <mergeCell ref="C921:C922"/>
    <mergeCell ref="D921:D922"/>
    <mergeCell ref="E921:E922"/>
    <mergeCell ref="N917:N918"/>
    <mergeCell ref="O917:P917"/>
    <mergeCell ref="A919:A920"/>
    <mergeCell ref="B919:B920"/>
    <mergeCell ref="C919:C920"/>
    <mergeCell ref="D919:D920"/>
    <mergeCell ref="E919:E920"/>
    <mergeCell ref="F919:F920"/>
    <mergeCell ref="G919:H919"/>
    <mergeCell ref="I919:I920"/>
    <mergeCell ref="L923:L924"/>
    <mergeCell ref="M923:M924"/>
    <mergeCell ref="N923:N924"/>
    <mergeCell ref="I925:I926"/>
    <mergeCell ref="J925:J926"/>
    <mergeCell ref="K925:K926"/>
    <mergeCell ref="L925:L926"/>
    <mergeCell ref="M925:M926"/>
    <mergeCell ref="N925:N926"/>
    <mergeCell ref="N921:N922"/>
    <mergeCell ref="A923:A924"/>
    <mergeCell ref="B923:B924"/>
    <mergeCell ref="C923:C924"/>
    <mergeCell ref="D923:D924"/>
    <mergeCell ref="E923:E924"/>
    <mergeCell ref="F923:F924"/>
    <mergeCell ref="I923:I924"/>
    <mergeCell ref="J923:J924"/>
    <mergeCell ref="K923:K924"/>
    <mergeCell ref="F921:F922"/>
    <mergeCell ref="I921:I922"/>
    <mergeCell ref="J921:J922"/>
    <mergeCell ref="K921:K922"/>
    <mergeCell ref="L921:L922"/>
    <mergeCell ref="M921:M922"/>
    <mergeCell ref="I929:I930"/>
    <mergeCell ref="J929:J930"/>
    <mergeCell ref="K929:K930"/>
    <mergeCell ref="L929:L930"/>
    <mergeCell ref="M929:M930"/>
    <mergeCell ref="N929:N930"/>
    <mergeCell ref="A929:A930"/>
    <mergeCell ref="B929:B930"/>
    <mergeCell ref="C929:C930"/>
    <mergeCell ref="D929:D930"/>
    <mergeCell ref="E929:E930"/>
    <mergeCell ref="F929:F930"/>
    <mergeCell ref="I927:I928"/>
    <mergeCell ref="J927:J928"/>
    <mergeCell ref="K927:K928"/>
    <mergeCell ref="L927:L928"/>
    <mergeCell ref="M927:M928"/>
    <mergeCell ref="N927:N928"/>
    <mergeCell ref="A927:A928"/>
    <mergeCell ref="B927:B928"/>
    <mergeCell ref="C927:C928"/>
    <mergeCell ref="D927:D928"/>
    <mergeCell ref="E927:E928"/>
    <mergeCell ref="F927:F928"/>
    <mergeCell ref="I939:L939"/>
    <mergeCell ref="A941:D941"/>
    <mergeCell ref="N944:P944"/>
    <mergeCell ref="I954:P954"/>
    <mergeCell ref="A956:H956"/>
    <mergeCell ref="I956:I957"/>
    <mergeCell ref="J956:J957"/>
    <mergeCell ref="K956:K957"/>
    <mergeCell ref="L956:L957"/>
    <mergeCell ref="M956:M957"/>
    <mergeCell ref="I931:M931"/>
    <mergeCell ref="I932:M932"/>
    <mergeCell ref="A933:E933"/>
    <mergeCell ref="I933:M933"/>
    <mergeCell ref="A934:E934"/>
    <mergeCell ref="A935:E935"/>
    <mergeCell ref="A931:A932"/>
    <mergeCell ref="B931:B932"/>
    <mergeCell ref="C931:C932"/>
    <mergeCell ref="D931:D932"/>
    <mergeCell ref="E931:E932"/>
    <mergeCell ref="F931:F932"/>
    <mergeCell ref="J958:J959"/>
    <mergeCell ref="K958:K959"/>
    <mergeCell ref="L958:L959"/>
    <mergeCell ref="M958:M959"/>
    <mergeCell ref="N958:N959"/>
    <mergeCell ref="A960:A961"/>
    <mergeCell ref="B960:B961"/>
    <mergeCell ref="C960:C961"/>
    <mergeCell ref="D960:D961"/>
    <mergeCell ref="E960:E961"/>
    <mergeCell ref="N956:N957"/>
    <mergeCell ref="O956:P956"/>
    <mergeCell ref="A958:A959"/>
    <mergeCell ref="B958:B959"/>
    <mergeCell ref="C958:C959"/>
    <mergeCell ref="D958:D959"/>
    <mergeCell ref="E958:E959"/>
    <mergeCell ref="F958:F959"/>
    <mergeCell ref="G958:H958"/>
    <mergeCell ref="I958:I959"/>
    <mergeCell ref="L962:L963"/>
    <mergeCell ref="M962:M963"/>
    <mergeCell ref="N962:N963"/>
    <mergeCell ref="I964:I965"/>
    <mergeCell ref="J964:J965"/>
    <mergeCell ref="K964:K965"/>
    <mergeCell ref="L964:L965"/>
    <mergeCell ref="M964:M965"/>
    <mergeCell ref="N964:N965"/>
    <mergeCell ref="N960:N961"/>
    <mergeCell ref="A962:A963"/>
    <mergeCell ref="B962:B963"/>
    <mergeCell ref="C962:C963"/>
    <mergeCell ref="D962:D963"/>
    <mergeCell ref="E962:E963"/>
    <mergeCell ref="F962:F963"/>
    <mergeCell ref="I962:I963"/>
    <mergeCell ref="J962:J963"/>
    <mergeCell ref="K962:K963"/>
    <mergeCell ref="F960:F961"/>
    <mergeCell ref="I960:I961"/>
    <mergeCell ref="J960:J961"/>
    <mergeCell ref="K960:K961"/>
    <mergeCell ref="L960:L961"/>
    <mergeCell ref="M960:M961"/>
    <mergeCell ref="N968:N969"/>
    <mergeCell ref="A968:A969"/>
    <mergeCell ref="B968:B969"/>
    <mergeCell ref="C968:C969"/>
    <mergeCell ref="D968:D969"/>
    <mergeCell ref="E968:E969"/>
    <mergeCell ref="F968:F969"/>
    <mergeCell ref="I966:I967"/>
    <mergeCell ref="J966:J967"/>
    <mergeCell ref="K966:K967"/>
    <mergeCell ref="L966:L967"/>
    <mergeCell ref="M966:M967"/>
    <mergeCell ref="N966:N967"/>
    <mergeCell ref="A966:A967"/>
    <mergeCell ref="B966:B967"/>
    <mergeCell ref="C966:C967"/>
    <mergeCell ref="D966:D967"/>
    <mergeCell ref="E966:E967"/>
    <mergeCell ref="F966:F967"/>
    <mergeCell ref="I970:M970"/>
    <mergeCell ref="I971:M971"/>
    <mergeCell ref="A972:E972"/>
    <mergeCell ref="I972:M972"/>
    <mergeCell ref="A973:E973"/>
    <mergeCell ref="A974:E974"/>
    <mergeCell ref="A970:A971"/>
    <mergeCell ref="B970:B971"/>
    <mergeCell ref="C970:C971"/>
    <mergeCell ref="D970:D971"/>
    <mergeCell ref="E970:E971"/>
    <mergeCell ref="F970:F971"/>
    <mergeCell ref="I968:I969"/>
    <mergeCell ref="J968:J969"/>
    <mergeCell ref="K968:K969"/>
    <mergeCell ref="L968:L969"/>
    <mergeCell ref="M968:M969"/>
    <mergeCell ref="N995:N996"/>
    <mergeCell ref="O995:P995"/>
    <mergeCell ref="A997:A998"/>
    <mergeCell ref="B997:B998"/>
    <mergeCell ref="C997:C998"/>
    <mergeCell ref="D997:D998"/>
    <mergeCell ref="E997:E998"/>
    <mergeCell ref="F997:F998"/>
    <mergeCell ref="G997:H997"/>
    <mergeCell ref="I997:I998"/>
    <mergeCell ref="I978:L978"/>
    <mergeCell ref="A980:D980"/>
    <mergeCell ref="N983:P983"/>
    <mergeCell ref="I993:P993"/>
    <mergeCell ref="A995:H995"/>
    <mergeCell ref="I995:I996"/>
    <mergeCell ref="J995:J996"/>
    <mergeCell ref="K995:K996"/>
    <mergeCell ref="L995:L996"/>
    <mergeCell ref="M995:M996"/>
    <mergeCell ref="N999:N1000"/>
    <mergeCell ref="A1001:A1002"/>
    <mergeCell ref="B1001:B1002"/>
    <mergeCell ref="C1001:C1002"/>
    <mergeCell ref="D1001:D1002"/>
    <mergeCell ref="E1001:E1002"/>
    <mergeCell ref="F1001:F1002"/>
    <mergeCell ref="I1001:I1002"/>
    <mergeCell ref="J1001:J1002"/>
    <mergeCell ref="K1001:K1002"/>
    <mergeCell ref="F999:F1000"/>
    <mergeCell ref="I999:I1000"/>
    <mergeCell ref="J999:J1000"/>
    <mergeCell ref="K999:K1000"/>
    <mergeCell ref="L999:L1000"/>
    <mergeCell ref="M999:M1000"/>
    <mergeCell ref="J997:J998"/>
    <mergeCell ref="K997:K998"/>
    <mergeCell ref="L997:L998"/>
    <mergeCell ref="M997:M998"/>
    <mergeCell ref="N997:N998"/>
    <mergeCell ref="A999:A1000"/>
    <mergeCell ref="B999:B1000"/>
    <mergeCell ref="C999:C1000"/>
    <mergeCell ref="D999:D1000"/>
    <mergeCell ref="E999:E1000"/>
    <mergeCell ref="J1003:J1004"/>
    <mergeCell ref="K1003:K1004"/>
    <mergeCell ref="L1003:L1004"/>
    <mergeCell ref="M1003:M1004"/>
    <mergeCell ref="N1003:N1004"/>
    <mergeCell ref="A1005:A1006"/>
    <mergeCell ref="B1005:B1006"/>
    <mergeCell ref="C1005:C1006"/>
    <mergeCell ref="D1005:D1006"/>
    <mergeCell ref="E1005:E1006"/>
    <mergeCell ref="L1001:L1002"/>
    <mergeCell ref="M1001:M1002"/>
    <mergeCell ref="N1001:N1002"/>
    <mergeCell ref="A1003:A1004"/>
    <mergeCell ref="B1003:B1004"/>
    <mergeCell ref="C1003:C1004"/>
    <mergeCell ref="D1003:D1004"/>
    <mergeCell ref="E1003:E1004"/>
    <mergeCell ref="F1003:F1004"/>
    <mergeCell ref="I1003:I1004"/>
    <mergeCell ref="A1009:E1009"/>
    <mergeCell ref="I1009:M1009"/>
    <mergeCell ref="A1010:E1010"/>
    <mergeCell ref="A1011:E1011"/>
    <mergeCell ref="I1015:L1015"/>
    <mergeCell ref="A1017:D1017"/>
    <mergeCell ref="N1005:N1006"/>
    <mergeCell ref="A1007:A1008"/>
    <mergeCell ref="B1007:B1008"/>
    <mergeCell ref="C1007:C1008"/>
    <mergeCell ref="D1007:D1008"/>
    <mergeCell ref="E1007:E1008"/>
    <mergeCell ref="F1007:F1008"/>
    <mergeCell ref="I1007:M1007"/>
    <mergeCell ref="I1008:M1008"/>
    <mergeCell ref="F1005:F1006"/>
    <mergeCell ref="I1005:I1006"/>
    <mergeCell ref="J1005:J1006"/>
    <mergeCell ref="K1005:K1006"/>
    <mergeCell ref="L1005:L1006"/>
    <mergeCell ref="M1005:M1006"/>
    <mergeCell ref="O1032:P1032"/>
    <mergeCell ref="A1034:A1035"/>
    <mergeCell ref="B1034:B1035"/>
    <mergeCell ref="C1034:C1035"/>
    <mergeCell ref="D1034:D1035"/>
    <mergeCell ref="E1034:E1035"/>
    <mergeCell ref="F1034:F1035"/>
    <mergeCell ref="I1034:I1035"/>
    <mergeCell ref="J1034:J1035"/>
    <mergeCell ref="K1034:K1035"/>
    <mergeCell ref="I1032:I1033"/>
    <mergeCell ref="J1032:J1033"/>
    <mergeCell ref="K1032:K1033"/>
    <mergeCell ref="L1032:L1033"/>
    <mergeCell ref="M1032:M1033"/>
    <mergeCell ref="N1032:N1033"/>
    <mergeCell ref="N1020:P1020"/>
    <mergeCell ref="A1030:H1030"/>
    <mergeCell ref="I1030:P1030"/>
    <mergeCell ref="A1032:A1033"/>
    <mergeCell ref="B1032:B1033"/>
    <mergeCell ref="C1032:C1033"/>
    <mergeCell ref="D1032:D1033"/>
    <mergeCell ref="E1032:E1033"/>
    <mergeCell ref="F1032:F1033"/>
    <mergeCell ref="G1032:H1032"/>
    <mergeCell ref="J1036:J1037"/>
    <mergeCell ref="K1036:K1037"/>
    <mergeCell ref="L1036:L1037"/>
    <mergeCell ref="M1036:M1037"/>
    <mergeCell ref="N1036:N1037"/>
    <mergeCell ref="A1038:A1039"/>
    <mergeCell ref="B1038:B1039"/>
    <mergeCell ref="C1038:C1039"/>
    <mergeCell ref="D1038:D1039"/>
    <mergeCell ref="E1038:E1039"/>
    <mergeCell ref="L1034:L1035"/>
    <mergeCell ref="M1034:M1035"/>
    <mergeCell ref="N1034:N1035"/>
    <mergeCell ref="A1036:A1037"/>
    <mergeCell ref="B1036:B1037"/>
    <mergeCell ref="C1036:C1037"/>
    <mergeCell ref="D1036:D1037"/>
    <mergeCell ref="E1036:E1037"/>
    <mergeCell ref="F1036:F1037"/>
    <mergeCell ref="I1036:I1037"/>
    <mergeCell ref="A1044:E1044"/>
    <mergeCell ref="I1044:M1044"/>
    <mergeCell ref="A1050:D1050"/>
    <mergeCell ref="I1050:L1050"/>
    <mergeCell ref="N1055:P1055"/>
    <mergeCell ref="A1065:H1065"/>
    <mergeCell ref="I1065:P1065"/>
    <mergeCell ref="L1040:L1041"/>
    <mergeCell ref="M1040:M1041"/>
    <mergeCell ref="N1040:N1041"/>
    <mergeCell ref="A1042:E1042"/>
    <mergeCell ref="I1042:M1042"/>
    <mergeCell ref="A1043:E1043"/>
    <mergeCell ref="I1043:M1043"/>
    <mergeCell ref="N1038:N1039"/>
    <mergeCell ref="A1040:A1041"/>
    <mergeCell ref="B1040:B1041"/>
    <mergeCell ref="C1040:C1041"/>
    <mergeCell ref="D1040:D1041"/>
    <mergeCell ref="E1040:E1041"/>
    <mergeCell ref="F1040:F1041"/>
    <mergeCell ref="I1040:I1041"/>
    <mergeCell ref="J1040:J1041"/>
    <mergeCell ref="K1040:K1041"/>
    <mergeCell ref="F1038:F1039"/>
    <mergeCell ref="I1038:I1039"/>
    <mergeCell ref="J1038:J1039"/>
    <mergeCell ref="K1038:K1039"/>
    <mergeCell ref="L1038:L1039"/>
    <mergeCell ref="M1038:M1039"/>
    <mergeCell ref="N1067:N1068"/>
    <mergeCell ref="O1067:P1067"/>
    <mergeCell ref="A1069:A1070"/>
    <mergeCell ref="B1069:B1070"/>
    <mergeCell ref="C1069:C1070"/>
    <mergeCell ref="D1069:D1070"/>
    <mergeCell ref="E1069:E1070"/>
    <mergeCell ref="F1069:F1070"/>
    <mergeCell ref="I1069:I1070"/>
    <mergeCell ref="J1069:J1070"/>
    <mergeCell ref="G1067:H1067"/>
    <mergeCell ref="I1067:I1068"/>
    <mergeCell ref="J1067:J1068"/>
    <mergeCell ref="K1067:K1068"/>
    <mergeCell ref="L1067:L1068"/>
    <mergeCell ref="M1067:M1068"/>
    <mergeCell ref="A1067:A1068"/>
    <mergeCell ref="B1067:B1068"/>
    <mergeCell ref="C1067:C1068"/>
    <mergeCell ref="D1067:D1068"/>
    <mergeCell ref="E1067:E1068"/>
    <mergeCell ref="F1067:F1068"/>
    <mergeCell ref="A1073:A1074"/>
    <mergeCell ref="B1073:B1074"/>
    <mergeCell ref="C1073:C1074"/>
    <mergeCell ref="D1073:D1074"/>
    <mergeCell ref="E1073:E1074"/>
    <mergeCell ref="F1073:F1074"/>
    <mergeCell ref="I1071:I1072"/>
    <mergeCell ref="J1071:J1072"/>
    <mergeCell ref="K1071:K1072"/>
    <mergeCell ref="L1071:L1072"/>
    <mergeCell ref="M1071:M1072"/>
    <mergeCell ref="N1071:N1072"/>
    <mergeCell ref="K1069:K1070"/>
    <mergeCell ref="L1069:L1070"/>
    <mergeCell ref="M1069:M1070"/>
    <mergeCell ref="N1069:N1070"/>
    <mergeCell ref="A1071:A1072"/>
    <mergeCell ref="B1071:B1072"/>
    <mergeCell ref="C1071:C1072"/>
    <mergeCell ref="D1071:D1072"/>
    <mergeCell ref="E1071:E1072"/>
    <mergeCell ref="F1071:F1072"/>
    <mergeCell ref="I1077:I1078"/>
    <mergeCell ref="J1077:J1078"/>
    <mergeCell ref="K1077:K1078"/>
    <mergeCell ref="L1077:L1078"/>
    <mergeCell ref="M1077:M1078"/>
    <mergeCell ref="N1077:N1078"/>
    <mergeCell ref="I1075:I1076"/>
    <mergeCell ref="J1075:J1076"/>
    <mergeCell ref="K1075:K1076"/>
    <mergeCell ref="L1075:L1076"/>
    <mergeCell ref="M1075:M1076"/>
    <mergeCell ref="N1075:N1076"/>
    <mergeCell ref="I1073:I1074"/>
    <mergeCell ref="J1073:J1074"/>
    <mergeCell ref="K1073:K1074"/>
    <mergeCell ref="L1073:L1074"/>
    <mergeCell ref="M1073:M1074"/>
    <mergeCell ref="N1073:N1074"/>
    <mergeCell ref="A1089:D1089"/>
    <mergeCell ref="I1089:L1089"/>
    <mergeCell ref="N1089:P1089"/>
    <mergeCell ref="N1094:P1094"/>
    <mergeCell ref="A1104:H1104"/>
    <mergeCell ref="I1104:P1104"/>
    <mergeCell ref="A1081:E1081"/>
    <mergeCell ref="I1081:M1081"/>
    <mergeCell ref="A1082:E1082"/>
    <mergeCell ref="I1082:M1082"/>
    <mergeCell ref="A1083:E1083"/>
    <mergeCell ref="I1083:M1083"/>
    <mergeCell ref="I1079:I1080"/>
    <mergeCell ref="J1079:J1080"/>
    <mergeCell ref="K1079:K1080"/>
    <mergeCell ref="L1079:L1080"/>
    <mergeCell ref="M1079:M1080"/>
    <mergeCell ref="N1079:N1080"/>
    <mergeCell ref="O1106:P1106"/>
    <mergeCell ref="A1108:A1109"/>
    <mergeCell ref="B1108:B1109"/>
    <mergeCell ref="C1108:C1109"/>
    <mergeCell ref="D1108:D1109"/>
    <mergeCell ref="E1108:E1109"/>
    <mergeCell ref="F1108:F1109"/>
    <mergeCell ref="I1108:I1109"/>
    <mergeCell ref="J1108:J1109"/>
    <mergeCell ref="G1106:H1106"/>
    <mergeCell ref="I1106:I1107"/>
    <mergeCell ref="J1106:J1107"/>
    <mergeCell ref="K1106:K1107"/>
    <mergeCell ref="L1106:L1107"/>
    <mergeCell ref="M1106:M1107"/>
    <mergeCell ref="A1106:A1107"/>
    <mergeCell ref="B1106:B1107"/>
    <mergeCell ref="C1106:C1107"/>
    <mergeCell ref="D1106:D1107"/>
    <mergeCell ref="E1106:E1107"/>
    <mergeCell ref="F1106:F1107"/>
    <mergeCell ref="I1110:I1111"/>
    <mergeCell ref="J1110:J1111"/>
    <mergeCell ref="K1110:K1111"/>
    <mergeCell ref="L1110:L1111"/>
    <mergeCell ref="M1110:M1111"/>
    <mergeCell ref="N1110:N1111"/>
    <mergeCell ref="K1108:K1109"/>
    <mergeCell ref="L1108:L1109"/>
    <mergeCell ref="M1108:M1109"/>
    <mergeCell ref="N1108:N1109"/>
    <mergeCell ref="A1110:A1111"/>
    <mergeCell ref="B1110:B1111"/>
    <mergeCell ref="C1110:C1111"/>
    <mergeCell ref="D1110:D1111"/>
    <mergeCell ref="E1110:E1111"/>
    <mergeCell ref="F1110:F1111"/>
    <mergeCell ref="N1106:N1107"/>
    <mergeCell ref="I1114:I1115"/>
    <mergeCell ref="J1114:J1115"/>
    <mergeCell ref="K1114:K1115"/>
    <mergeCell ref="L1114:L1115"/>
    <mergeCell ref="M1114:M1115"/>
    <mergeCell ref="N1114:N1115"/>
    <mergeCell ref="A1114:A1115"/>
    <mergeCell ref="B1114:B1115"/>
    <mergeCell ref="C1114:C1115"/>
    <mergeCell ref="D1114:D1115"/>
    <mergeCell ref="E1114:E1115"/>
    <mergeCell ref="F1114:F1115"/>
    <mergeCell ref="I1112:I1113"/>
    <mergeCell ref="J1112:J1113"/>
    <mergeCell ref="K1112:K1113"/>
    <mergeCell ref="L1112:L1113"/>
    <mergeCell ref="M1112:M1113"/>
    <mergeCell ref="N1112:N1113"/>
    <mergeCell ref="A1112:A1113"/>
    <mergeCell ref="B1112:B1113"/>
    <mergeCell ref="C1112:C1113"/>
    <mergeCell ref="D1112:D1113"/>
    <mergeCell ref="E1112:E1113"/>
    <mergeCell ref="F1112:F1113"/>
    <mergeCell ref="A1126:D1126"/>
    <mergeCell ref="I1126:L1126"/>
    <mergeCell ref="N1126:P1126"/>
    <mergeCell ref="N1130:P1130"/>
    <mergeCell ref="A1141:H1141"/>
    <mergeCell ref="I1141:P1141"/>
    <mergeCell ref="A1118:E1118"/>
    <mergeCell ref="I1118:M1118"/>
    <mergeCell ref="A1119:E1119"/>
    <mergeCell ref="I1119:M1119"/>
    <mergeCell ref="A1120:E1120"/>
    <mergeCell ref="I1120:M1120"/>
    <mergeCell ref="I1116:I1117"/>
    <mergeCell ref="J1116:J1117"/>
    <mergeCell ref="K1116:K1117"/>
    <mergeCell ref="L1116:L1117"/>
    <mergeCell ref="M1116:M1117"/>
    <mergeCell ref="N1116:N1117"/>
    <mergeCell ref="A1116:A1117"/>
    <mergeCell ref="B1116:B1117"/>
    <mergeCell ref="C1116:C1117"/>
    <mergeCell ref="D1116:D1117"/>
    <mergeCell ref="E1116:E1117"/>
    <mergeCell ref="F1116:F1117"/>
    <mergeCell ref="O1143:P1143"/>
    <mergeCell ref="A1145:A1146"/>
    <mergeCell ref="B1145:B1146"/>
    <mergeCell ref="C1145:C1146"/>
    <mergeCell ref="D1145:D1146"/>
    <mergeCell ref="E1145:E1146"/>
    <mergeCell ref="F1145:F1146"/>
    <mergeCell ref="I1145:I1146"/>
    <mergeCell ref="J1145:J1146"/>
    <mergeCell ref="G1143:H1143"/>
    <mergeCell ref="I1143:I1144"/>
    <mergeCell ref="J1143:J1144"/>
    <mergeCell ref="K1143:K1144"/>
    <mergeCell ref="L1143:L1144"/>
    <mergeCell ref="M1143:M1144"/>
    <mergeCell ref="A1143:A1144"/>
    <mergeCell ref="B1143:B1144"/>
    <mergeCell ref="C1143:C1144"/>
    <mergeCell ref="D1143:D1144"/>
    <mergeCell ref="E1143:E1144"/>
    <mergeCell ref="F1143:F1144"/>
    <mergeCell ref="I1147:I1148"/>
    <mergeCell ref="J1147:J1148"/>
    <mergeCell ref="K1147:K1148"/>
    <mergeCell ref="L1147:L1148"/>
    <mergeCell ref="M1147:M1148"/>
    <mergeCell ref="N1147:N1148"/>
    <mergeCell ref="K1145:K1146"/>
    <mergeCell ref="L1145:L1146"/>
    <mergeCell ref="M1145:M1146"/>
    <mergeCell ref="N1145:N1146"/>
    <mergeCell ref="A1147:A1148"/>
    <mergeCell ref="B1147:B1148"/>
    <mergeCell ref="C1147:C1148"/>
    <mergeCell ref="D1147:D1148"/>
    <mergeCell ref="E1147:E1148"/>
    <mergeCell ref="F1147:F1148"/>
    <mergeCell ref="N1143:N1144"/>
    <mergeCell ref="I1151:I1152"/>
    <mergeCell ref="J1151:J1152"/>
    <mergeCell ref="K1151:K1152"/>
    <mergeCell ref="L1151:L1152"/>
    <mergeCell ref="M1151:M1152"/>
    <mergeCell ref="N1151:N1152"/>
    <mergeCell ref="A1151:A1152"/>
    <mergeCell ref="B1151:B1152"/>
    <mergeCell ref="C1151:C1152"/>
    <mergeCell ref="D1151:D1152"/>
    <mergeCell ref="E1151:E1152"/>
    <mergeCell ref="F1151:F1152"/>
    <mergeCell ref="I1149:I1150"/>
    <mergeCell ref="J1149:J1150"/>
    <mergeCell ref="K1149:K1150"/>
    <mergeCell ref="L1149:L1150"/>
    <mergeCell ref="M1149:M1150"/>
    <mergeCell ref="N1149:N1150"/>
    <mergeCell ref="A1149:A1150"/>
    <mergeCell ref="B1149:B1150"/>
    <mergeCell ref="C1149:C1150"/>
    <mergeCell ref="D1149:D1150"/>
    <mergeCell ref="E1149:E1150"/>
    <mergeCell ref="F1149:F1150"/>
    <mergeCell ref="A1163:D1163"/>
    <mergeCell ref="I1163:L1163"/>
    <mergeCell ref="N1163:P1163"/>
    <mergeCell ref="N1167:P1167"/>
    <mergeCell ref="A1178:H1178"/>
    <mergeCell ref="I1178:P1178"/>
    <mergeCell ref="A1155:E1155"/>
    <mergeCell ref="I1155:M1155"/>
    <mergeCell ref="A1156:E1156"/>
    <mergeCell ref="I1156:M1156"/>
    <mergeCell ref="A1157:E1157"/>
    <mergeCell ref="I1157:M1157"/>
    <mergeCell ref="I1153:I1154"/>
    <mergeCell ref="J1153:J1154"/>
    <mergeCell ref="K1153:K1154"/>
    <mergeCell ref="L1153:L1154"/>
    <mergeCell ref="M1153:M1154"/>
    <mergeCell ref="N1153:N1154"/>
    <mergeCell ref="A1153:A1154"/>
    <mergeCell ref="B1153:B1154"/>
    <mergeCell ref="C1153:C1154"/>
    <mergeCell ref="D1153:D1154"/>
    <mergeCell ref="E1153:E1154"/>
    <mergeCell ref="F1153:F1154"/>
    <mergeCell ref="K1182:K1183"/>
    <mergeCell ref="L1182:L1183"/>
    <mergeCell ref="M1182:M1183"/>
    <mergeCell ref="N1182:N1183"/>
    <mergeCell ref="A1184:A1185"/>
    <mergeCell ref="B1184:B1185"/>
    <mergeCell ref="C1184:C1185"/>
    <mergeCell ref="D1184:D1185"/>
    <mergeCell ref="E1184:E1185"/>
    <mergeCell ref="F1184:F1185"/>
    <mergeCell ref="N1180:N1181"/>
    <mergeCell ref="O1180:P1180"/>
    <mergeCell ref="A1182:A1183"/>
    <mergeCell ref="B1182:B1183"/>
    <mergeCell ref="C1182:C1183"/>
    <mergeCell ref="D1182:D1183"/>
    <mergeCell ref="E1182:E1183"/>
    <mergeCell ref="F1182:F1183"/>
    <mergeCell ref="I1182:I1183"/>
    <mergeCell ref="J1182:J1183"/>
    <mergeCell ref="G1180:H1180"/>
    <mergeCell ref="I1180:I1181"/>
    <mergeCell ref="J1180:J1181"/>
    <mergeCell ref="K1180:K1181"/>
    <mergeCell ref="L1180:L1181"/>
    <mergeCell ref="M1180:M1181"/>
    <mergeCell ref="A1180:A1181"/>
    <mergeCell ref="B1180:B1181"/>
    <mergeCell ref="C1180:C1181"/>
    <mergeCell ref="D1180:D1181"/>
    <mergeCell ref="E1180:E1181"/>
    <mergeCell ref="F1180:F1181"/>
    <mergeCell ref="I1186:I1187"/>
    <mergeCell ref="J1186:J1187"/>
    <mergeCell ref="K1186:K1187"/>
    <mergeCell ref="L1186:L1187"/>
    <mergeCell ref="M1186:M1187"/>
    <mergeCell ref="N1186:N1187"/>
    <mergeCell ref="A1186:A1187"/>
    <mergeCell ref="B1186:B1187"/>
    <mergeCell ref="C1186:C1187"/>
    <mergeCell ref="D1186:D1187"/>
    <mergeCell ref="E1186:E1187"/>
    <mergeCell ref="F1186:F1187"/>
    <mergeCell ref="I1184:I1185"/>
    <mergeCell ref="J1184:J1185"/>
    <mergeCell ref="K1184:K1185"/>
    <mergeCell ref="L1184:L1185"/>
    <mergeCell ref="M1184:M1185"/>
    <mergeCell ref="N1184:N1185"/>
    <mergeCell ref="I1190:I1191"/>
    <mergeCell ref="J1190:J1191"/>
    <mergeCell ref="K1190:K1191"/>
    <mergeCell ref="L1190:L1191"/>
    <mergeCell ref="M1190:M1191"/>
    <mergeCell ref="N1190:N1191"/>
    <mergeCell ref="I1188:I1189"/>
    <mergeCell ref="J1188:J1189"/>
    <mergeCell ref="K1188:K1189"/>
    <mergeCell ref="L1188:L1189"/>
    <mergeCell ref="M1188:M1189"/>
    <mergeCell ref="N1188:N1189"/>
    <mergeCell ref="A1188:A1189"/>
    <mergeCell ref="B1188:B1189"/>
    <mergeCell ref="C1188:C1189"/>
    <mergeCell ref="D1188:D1189"/>
    <mergeCell ref="E1188:E1189"/>
    <mergeCell ref="F1188:F1189"/>
    <mergeCell ref="A1202:D1202"/>
    <mergeCell ref="I1202:L1202"/>
    <mergeCell ref="N1202:P1202"/>
    <mergeCell ref="N1207:P1207"/>
    <mergeCell ref="A1217:H1217"/>
    <mergeCell ref="I1217:P1217"/>
    <mergeCell ref="A1194:E1194"/>
    <mergeCell ref="I1194:M1194"/>
    <mergeCell ref="A1195:E1195"/>
    <mergeCell ref="I1195:M1195"/>
    <mergeCell ref="A1196:E1196"/>
    <mergeCell ref="I1196:M1196"/>
    <mergeCell ref="I1192:I1193"/>
    <mergeCell ref="J1192:J1193"/>
    <mergeCell ref="K1192:K1193"/>
    <mergeCell ref="L1192:L1193"/>
    <mergeCell ref="M1192:M1193"/>
    <mergeCell ref="N1192:N1193"/>
    <mergeCell ref="A1192:A1193"/>
    <mergeCell ref="B1192:B1193"/>
    <mergeCell ref="C1192:C1193"/>
    <mergeCell ref="D1192:D1193"/>
    <mergeCell ref="E1192:E1193"/>
    <mergeCell ref="F1192:F1193"/>
    <mergeCell ref="O1219:P1219"/>
    <mergeCell ref="A1221:A1222"/>
    <mergeCell ref="B1221:B1222"/>
    <mergeCell ref="C1221:C1222"/>
    <mergeCell ref="D1221:D1222"/>
    <mergeCell ref="E1221:E1222"/>
    <mergeCell ref="F1221:F1222"/>
    <mergeCell ref="I1221:I1222"/>
    <mergeCell ref="J1221:J1222"/>
    <mergeCell ref="G1219:H1219"/>
    <mergeCell ref="I1219:I1220"/>
    <mergeCell ref="J1219:J1220"/>
    <mergeCell ref="K1219:K1220"/>
    <mergeCell ref="L1219:L1220"/>
    <mergeCell ref="M1219:M1220"/>
    <mergeCell ref="A1219:A1220"/>
    <mergeCell ref="B1219:B1220"/>
    <mergeCell ref="C1219:C1220"/>
    <mergeCell ref="D1219:D1220"/>
    <mergeCell ref="E1219:E1220"/>
    <mergeCell ref="F1219:F1220"/>
    <mergeCell ref="I1223:I1224"/>
    <mergeCell ref="J1223:J1224"/>
    <mergeCell ref="K1223:K1224"/>
    <mergeCell ref="L1223:L1224"/>
    <mergeCell ref="M1223:M1224"/>
    <mergeCell ref="N1223:N1224"/>
    <mergeCell ref="K1221:K1222"/>
    <mergeCell ref="L1221:L1222"/>
    <mergeCell ref="M1221:M1222"/>
    <mergeCell ref="N1221:N1222"/>
    <mergeCell ref="A1223:A1224"/>
    <mergeCell ref="B1223:B1224"/>
    <mergeCell ref="C1223:C1224"/>
    <mergeCell ref="D1223:D1224"/>
    <mergeCell ref="E1223:E1224"/>
    <mergeCell ref="F1223:F1224"/>
    <mergeCell ref="N1219:N1220"/>
    <mergeCell ref="I1227:I1228"/>
    <mergeCell ref="J1227:J1228"/>
    <mergeCell ref="K1227:K1228"/>
    <mergeCell ref="L1227:L1228"/>
    <mergeCell ref="M1227:M1228"/>
    <mergeCell ref="N1227:N1228"/>
    <mergeCell ref="A1227:A1228"/>
    <mergeCell ref="B1227:B1228"/>
    <mergeCell ref="C1227:C1228"/>
    <mergeCell ref="D1227:D1228"/>
    <mergeCell ref="E1227:E1228"/>
    <mergeCell ref="F1227:F1228"/>
    <mergeCell ref="I1225:I1226"/>
    <mergeCell ref="J1225:J1226"/>
    <mergeCell ref="K1225:K1226"/>
    <mergeCell ref="L1225:L1226"/>
    <mergeCell ref="M1225:M1226"/>
    <mergeCell ref="N1225:N1226"/>
    <mergeCell ref="A1225:A1226"/>
    <mergeCell ref="B1225:B1226"/>
    <mergeCell ref="C1225:C1226"/>
    <mergeCell ref="D1225:D1226"/>
    <mergeCell ref="E1225:E1226"/>
    <mergeCell ref="F1225:F1226"/>
    <mergeCell ref="A1239:D1239"/>
    <mergeCell ref="I1239:L1239"/>
    <mergeCell ref="N1239:P1239"/>
    <mergeCell ref="N1243:P1243"/>
    <mergeCell ref="N1244:P1244"/>
    <mergeCell ref="A1254:H1254"/>
    <mergeCell ref="I1254:P1254"/>
    <mergeCell ref="A1231:E1231"/>
    <mergeCell ref="I1231:M1231"/>
    <mergeCell ref="A1232:E1232"/>
    <mergeCell ref="I1232:M1232"/>
    <mergeCell ref="A1233:E1233"/>
    <mergeCell ref="I1233:M1233"/>
    <mergeCell ref="I1229:I1230"/>
    <mergeCell ref="J1229:J1230"/>
    <mergeCell ref="K1229:K1230"/>
    <mergeCell ref="L1229:L1230"/>
    <mergeCell ref="M1229:M1230"/>
    <mergeCell ref="N1229:N1230"/>
    <mergeCell ref="A1229:A1230"/>
    <mergeCell ref="B1229:B1230"/>
    <mergeCell ref="C1229:C1230"/>
    <mergeCell ref="D1229:D1230"/>
    <mergeCell ref="E1229:E1230"/>
    <mergeCell ref="F1229:F1230"/>
    <mergeCell ref="O1256:P1256"/>
    <mergeCell ref="A1258:A1259"/>
    <mergeCell ref="B1258:B1259"/>
    <mergeCell ref="C1258:C1259"/>
    <mergeCell ref="D1258:D1259"/>
    <mergeCell ref="E1258:E1259"/>
    <mergeCell ref="F1258:F1259"/>
    <mergeCell ref="I1258:I1259"/>
    <mergeCell ref="J1258:J1259"/>
    <mergeCell ref="G1256:H1256"/>
    <mergeCell ref="I1256:I1257"/>
    <mergeCell ref="J1256:J1257"/>
    <mergeCell ref="K1256:K1257"/>
    <mergeCell ref="L1256:L1257"/>
    <mergeCell ref="M1256:M1257"/>
    <mergeCell ref="A1256:A1257"/>
    <mergeCell ref="B1256:B1257"/>
    <mergeCell ref="C1256:C1257"/>
    <mergeCell ref="D1256:D1257"/>
    <mergeCell ref="E1256:E1257"/>
    <mergeCell ref="F1256:F1257"/>
    <mergeCell ref="I1260:I1261"/>
    <mergeCell ref="J1260:J1261"/>
    <mergeCell ref="K1260:K1261"/>
    <mergeCell ref="L1260:L1261"/>
    <mergeCell ref="M1260:M1261"/>
    <mergeCell ref="N1260:N1261"/>
    <mergeCell ref="K1258:K1259"/>
    <mergeCell ref="L1258:L1259"/>
    <mergeCell ref="M1258:M1259"/>
    <mergeCell ref="N1258:N1259"/>
    <mergeCell ref="A1260:A1261"/>
    <mergeCell ref="B1260:B1261"/>
    <mergeCell ref="C1260:C1261"/>
    <mergeCell ref="D1260:D1261"/>
    <mergeCell ref="E1260:E1261"/>
    <mergeCell ref="F1260:F1261"/>
    <mergeCell ref="N1256:N1257"/>
    <mergeCell ref="I1264:I1265"/>
    <mergeCell ref="J1264:J1265"/>
    <mergeCell ref="K1264:K1265"/>
    <mergeCell ref="L1264:L1265"/>
    <mergeCell ref="M1264:M1265"/>
    <mergeCell ref="N1264:N1265"/>
    <mergeCell ref="A1264:A1265"/>
    <mergeCell ref="B1264:B1265"/>
    <mergeCell ref="C1264:C1265"/>
    <mergeCell ref="D1264:D1265"/>
    <mergeCell ref="E1264:E1265"/>
    <mergeCell ref="F1264:F1265"/>
    <mergeCell ref="I1262:I1263"/>
    <mergeCell ref="J1262:J1263"/>
    <mergeCell ref="K1262:K1263"/>
    <mergeCell ref="L1262:L1263"/>
    <mergeCell ref="M1262:M1263"/>
    <mergeCell ref="N1262:N1263"/>
    <mergeCell ref="A1262:A1263"/>
    <mergeCell ref="B1262:B1263"/>
    <mergeCell ref="C1262:C1263"/>
    <mergeCell ref="D1262:D1263"/>
    <mergeCell ref="E1262:E1263"/>
    <mergeCell ref="F1262:F1263"/>
    <mergeCell ref="A1276:D1276"/>
    <mergeCell ref="I1276:L1276"/>
    <mergeCell ref="N1281:P1281"/>
    <mergeCell ref="A1291:H1291"/>
    <mergeCell ref="I1291:P1291"/>
    <mergeCell ref="A1293:A1294"/>
    <mergeCell ref="B1293:B1294"/>
    <mergeCell ref="C1293:C1294"/>
    <mergeCell ref="D1293:D1294"/>
    <mergeCell ref="E1293:E1294"/>
    <mergeCell ref="A1268:E1268"/>
    <mergeCell ref="I1268:M1268"/>
    <mergeCell ref="A1269:E1269"/>
    <mergeCell ref="I1269:M1269"/>
    <mergeCell ref="A1270:E1270"/>
    <mergeCell ref="I1270:M1270"/>
    <mergeCell ref="I1266:I1267"/>
    <mergeCell ref="J1266:J1267"/>
    <mergeCell ref="K1266:K1267"/>
    <mergeCell ref="L1266:L1267"/>
    <mergeCell ref="M1266:M1267"/>
    <mergeCell ref="N1266:N1267"/>
    <mergeCell ref="A1266:A1267"/>
    <mergeCell ref="B1266:B1267"/>
    <mergeCell ref="C1266:C1267"/>
    <mergeCell ref="D1266:D1267"/>
    <mergeCell ref="E1266:E1267"/>
    <mergeCell ref="F1266:F1267"/>
    <mergeCell ref="J1295:J1296"/>
    <mergeCell ref="K1295:K1296"/>
    <mergeCell ref="L1295:L1296"/>
    <mergeCell ref="M1295:M1296"/>
    <mergeCell ref="N1295:N1296"/>
    <mergeCell ref="A1297:A1298"/>
    <mergeCell ref="B1297:B1298"/>
    <mergeCell ref="C1297:C1298"/>
    <mergeCell ref="D1297:D1298"/>
    <mergeCell ref="E1297:E1298"/>
    <mergeCell ref="M1293:M1294"/>
    <mergeCell ref="N1293:N1294"/>
    <mergeCell ref="O1293:P1293"/>
    <mergeCell ref="A1295:A1296"/>
    <mergeCell ref="B1295:B1296"/>
    <mergeCell ref="C1295:C1296"/>
    <mergeCell ref="D1295:D1296"/>
    <mergeCell ref="E1295:E1296"/>
    <mergeCell ref="F1295:F1296"/>
    <mergeCell ref="I1295:I1296"/>
    <mergeCell ref="F1293:F1294"/>
    <mergeCell ref="G1293:H1293"/>
    <mergeCell ref="I1293:I1294"/>
    <mergeCell ref="J1293:J1294"/>
    <mergeCell ref="K1293:K1294"/>
    <mergeCell ref="L1293:L1294"/>
    <mergeCell ref="L1299:L1300"/>
    <mergeCell ref="M1299:M1300"/>
    <mergeCell ref="N1299:N1300"/>
    <mergeCell ref="A1301:A1302"/>
    <mergeCell ref="B1301:B1302"/>
    <mergeCell ref="C1301:C1302"/>
    <mergeCell ref="D1301:D1302"/>
    <mergeCell ref="E1301:E1302"/>
    <mergeCell ref="F1301:F1302"/>
    <mergeCell ref="I1301:I1302"/>
    <mergeCell ref="N1297:N1298"/>
    <mergeCell ref="A1299:A1300"/>
    <mergeCell ref="B1299:B1300"/>
    <mergeCell ref="C1299:C1300"/>
    <mergeCell ref="D1299:D1300"/>
    <mergeCell ref="E1299:E1300"/>
    <mergeCell ref="F1299:F1300"/>
    <mergeCell ref="I1299:I1300"/>
    <mergeCell ref="J1299:J1300"/>
    <mergeCell ref="K1299:K1300"/>
    <mergeCell ref="F1297:F1298"/>
    <mergeCell ref="I1297:I1298"/>
    <mergeCell ref="J1297:J1298"/>
    <mergeCell ref="K1297:K1298"/>
    <mergeCell ref="L1297:L1298"/>
    <mergeCell ref="M1297:M1298"/>
    <mergeCell ref="N1303:N1304"/>
    <mergeCell ref="A1305:E1305"/>
    <mergeCell ref="I1305:M1305"/>
    <mergeCell ref="A1306:E1306"/>
    <mergeCell ref="I1306:M1306"/>
    <mergeCell ref="A1307:E1307"/>
    <mergeCell ref="I1307:M1307"/>
    <mergeCell ref="F1303:F1304"/>
    <mergeCell ref="I1303:I1304"/>
    <mergeCell ref="J1303:J1304"/>
    <mergeCell ref="K1303:K1304"/>
    <mergeCell ref="L1303:L1304"/>
    <mergeCell ref="M1303:M1304"/>
    <mergeCell ref="J1301:J1302"/>
    <mergeCell ref="K1301:K1302"/>
    <mergeCell ref="L1301:L1302"/>
    <mergeCell ref="M1301:M1302"/>
    <mergeCell ref="N1301:N1302"/>
    <mergeCell ref="A1303:A1304"/>
    <mergeCell ref="B1303:B1304"/>
    <mergeCell ref="C1303:C1304"/>
    <mergeCell ref="D1303:D1304"/>
    <mergeCell ref="E1303:E1304"/>
    <mergeCell ref="M1330:M1331"/>
    <mergeCell ref="N1330:N1331"/>
    <mergeCell ref="O1330:P1330"/>
    <mergeCell ref="A1332:A1333"/>
    <mergeCell ref="B1332:B1333"/>
    <mergeCell ref="C1332:C1333"/>
    <mergeCell ref="D1332:D1333"/>
    <mergeCell ref="E1332:E1333"/>
    <mergeCell ref="F1332:F1333"/>
    <mergeCell ref="I1332:I1333"/>
    <mergeCell ref="F1330:F1331"/>
    <mergeCell ref="G1330:H1330"/>
    <mergeCell ref="I1330:I1331"/>
    <mergeCell ref="J1330:J1331"/>
    <mergeCell ref="K1330:K1331"/>
    <mergeCell ref="L1330:L1331"/>
    <mergeCell ref="A1313:D1313"/>
    <mergeCell ref="I1313:L1313"/>
    <mergeCell ref="N1318:P1318"/>
    <mergeCell ref="A1328:H1328"/>
    <mergeCell ref="I1328:P1328"/>
    <mergeCell ref="A1330:A1331"/>
    <mergeCell ref="B1330:B1331"/>
    <mergeCell ref="C1330:C1331"/>
    <mergeCell ref="D1330:D1331"/>
    <mergeCell ref="E1330:E1331"/>
    <mergeCell ref="N1334:N1335"/>
    <mergeCell ref="A1336:A1337"/>
    <mergeCell ref="B1336:B1337"/>
    <mergeCell ref="C1336:C1337"/>
    <mergeCell ref="D1336:D1337"/>
    <mergeCell ref="E1336:E1337"/>
    <mergeCell ref="F1336:F1337"/>
    <mergeCell ref="I1336:I1337"/>
    <mergeCell ref="J1336:J1337"/>
    <mergeCell ref="K1336:K1337"/>
    <mergeCell ref="F1334:F1335"/>
    <mergeCell ref="I1334:I1335"/>
    <mergeCell ref="J1334:J1335"/>
    <mergeCell ref="K1334:K1335"/>
    <mergeCell ref="L1334:L1335"/>
    <mergeCell ref="M1334:M1335"/>
    <mergeCell ref="J1332:J1333"/>
    <mergeCell ref="K1332:K1333"/>
    <mergeCell ref="L1332:L1333"/>
    <mergeCell ref="M1332:M1333"/>
    <mergeCell ref="N1332:N1333"/>
    <mergeCell ref="A1334:A1335"/>
    <mergeCell ref="B1334:B1335"/>
    <mergeCell ref="C1334:C1335"/>
    <mergeCell ref="D1334:D1335"/>
    <mergeCell ref="E1334:E1335"/>
    <mergeCell ref="J1338:J1339"/>
    <mergeCell ref="K1338:K1339"/>
    <mergeCell ref="L1338:L1339"/>
    <mergeCell ref="M1338:M1339"/>
    <mergeCell ref="N1338:N1339"/>
    <mergeCell ref="A1340:A1341"/>
    <mergeCell ref="B1340:B1341"/>
    <mergeCell ref="C1340:C1341"/>
    <mergeCell ref="D1340:D1341"/>
    <mergeCell ref="E1340:E1341"/>
    <mergeCell ref="L1336:L1337"/>
    <mergeCell ref="M1336:M1337"/>
    <mergeCell ref="N1336:N1337"/>
    <mergeCell ref="A1338:A1339"/>
    <mergeCell ref="B1338:B1339"/>
    <mergeCell ref="C1338:C1339"/>
    <mergeCell ref="D1338:D1339"/>
    <mergeCell ref="E1338:E1339"/>
    <mergeCell ref="F1338:F1339"/>
    <mergeCell ref="I1338:I1339"/>
    <mergeCell ref="N1355:P1355"/>
    <mergeCell ref="I1365:P1365"/>
    <mergeCell ref="A1367:H1367"/>
    <mergeCell ref="I1367:I1368"/>
    <mergeCell ref="J1367:J1368"/>
    <mergeCell ref="K1367:K1368"/>
    <mergeCell ref="L1367:L1368"/>
    <mergeCell ref="M1367:M1368"/>
    <mergeCell ref="N1367:N1368"/>
    <mergeCell ref="O1367:P1367"/>
    <mergeCell ref="A1344:E1344"/>
    <mergeCell ref="I1344:M1344"/>
    <mergeCell ref="A1345:E1345"/>
    <mergeCell ref="A1346:E1346"/>
    <mergeCell ref="I1350:L1350"/>
    <mergeCell ref="A1352:D1352"/>
    <mergeCell ref="N1340:N1341"/>
    <mergeCell ref="A1342:A1343"/>
    <mergeCell ref="B1342:B1343"/>
    <mergeCell ref="C1342:C1343"/>
    <mergeCell ref="D1342:D1343"/>
    <mergeCell ref="E1342:E1343"/>
    <mergeCell ref="F1342:F1343"/>
    <mergeCell ref="I1342:M1342"/>
    <mergeCell ref="I1343:M1343"/>
    <mergeCell ref="F1340:F1341"/>
    <mergeCell ref="I1340:I1341"/>
    <mergeCell ref="J1340:J1341"/>
    <mergeCell ref="K1340:K1341"/>
    <mergeCell ref="L1340:L1341"/>
    <mergeCell ref="M1340:M1341"/>
    <mergeCell ref="L1371:L1372"/>
    <mergeCell ref="M1371:M1372"/>
    <mergeCell ref="N1371:N1372"/>
    <mergeCell ref="A1373:A1374"/>
    <mergeCell ref="B1373:B1374"/>
    <mergeCell ref="C1373:C1374"/>
    <mergeCell ref="D1373:D1374"/>
    <mergeCell ref="E1373:E1374"/>
    <mergeCell ref="F1373:F1374"/>
    <mergeCell ref="I1373:I1374"/>
    <mergeCell ref="N1369:N1370"/>
    <mergeCell ref="A1371:A1372"/>
    <mergeCell ref="B1371:B1372"/>
    <mergeCell ref="C1371:C1372"/>
    <mergeCell ref="D1371:D1372"/>
    <mergeCell ref="E1371:E1372"/>
    <mergeCell ref="F1371:F1372"/>
    <mergeCell ref="I1371:I1372"/>
    <mergeCell ref="J1371:J1372"/>
    <mergeCell ref="K1371:K1372"/>
    <mergeCell ref="G1369:H1369"/>
    <mergeCell ref="I1369:I1370"/>
    <mergeCell ref="J1369:J1370"/>
    <mergeCell ref="K1369:K1370"/>
    <mergeCell ref="L1369:L1370"/>
    <mergeCell ref="M1369:M1370"/>
    <mergeCell ref="A1369:A1370"/>
    <mergeCell ref="B1369:B1370"/>
    <mergeCell ref="C1369:C1370"/>
    <mergeCell ref="D1369:D1370"/>
    <mergeCell ref="E1369:E1370"/>
    <mergeCell ref="F1369:F1370"/>
    <mergeCell ref="N1375:N1376"/>
    <mergeCell ref="A1377:A1378"/>
    <mergeCell ref="B1377:B1378"/>
    <mergeCell ref="C1377:C1378"/>
    <mergeCell ref="D1377:D1378"/>
    <mergeCell ref="E1377:E1378"/>
    <mergeCell ref="F1377:F1378"/>
    <mergeCell ref="I1377:I1378"/>
    <mergeCell ref="J1377:J1378"/>
    <mergeCell ref="K1377:K1378"/>
    <mergeCell ref="F1375:F1376"/>
    <mergeCell ref="I1375:I1376"/>
    <mergeCell ref="J1375:J1376"/>
    <mergeCell ref="K1375:K1376"/>
    <mergeCell ref="L1375:L1376"/>
    <mergeCell ref="M1375:M1376"/>
    <mergeCell ref="J1373:J1374"/>
    <mergeCell ref="K1373:K1374"/>
    <mergeCell ref="L1373:L1374"/>
    <mergeCell ref="M1373:M1374"/>
    <mergeCell ref="N1373:N1374"/>
    <mergeCell ref="A1375:A1376"/>
    <mergeCell ref="B1375:B1376"/>
    <mergeCell ref="C1375:C1376"/>
    <mergeCell ref="D1375:D1376"/>
    <mergeCell ref="E1375:E1376"/>
    <mergeCell ref="A1389:D1389"/>
    <mergeCell ref="N1392:P1392"/>
    <mergeCell ref="I1402:P1402"/>
    <mergeCell ref="A1404:H1404"/>
    <mergeCell ref="I1404:I1405"/>
    <mergeCell ref="J1404:J1405"/>
    <mergeCell ref="K1404:K1405"/>
    <mergeCell ref="L1404:L1405"/>
    <mergeCell ref="M1404:M1405"/>
    <mergeCell ref="N1404:N1405"/>
    <mergeCell ref="I1380:M1380"/>
    <mergeCell ref="A1381:E1381"/>
    <mergeCell ref="I1381:M1381"/>
    <mergeCell ref="A1382:E1382"/>
    <mergeCell ref="A1383:E1383"/>
    <mergeCell ref="I1387:L1387"/>
    <mergeCell ref="L1377:L1378"/>
    <mergeCell ref="M1377:M1378"/>
    <mergeCell ref="N1377:N1378"/>
    <mergeCell ref="A1379:A1380"/>
    <mergeCell ref="B1379:B1380"/>
    <mergeCell ref="C1379:C1380"/>
    <mergeCell ref="D1379:D1380"/>
    <mergeCell ref="E1379:E1380"/>
    <mergeCell ref="F1379:F1380"/>
    <mergeCell ref="I1379:M1379"/>
    <mergeCell ref="K1406:K1407"/>
    <mergeCell ref="L1406:L1407"/>
    <mergeCell ref="M1406:M1407"/>
    <mergeCell ref="N1406:N1407"/>
    <mergeCell ref="A1408:A1409"/>
    <mergeCell ref="B1408:B1409"/>
    <mergeCell ref="C1408:C1409"/>
    <mergeCell ref="D1408:D1409"/>
    <mergeCell ref="E1408:E1409"/>
    <mergeCell ref="F1408:F1409"/>
    <mergeCell ref="O1404:P1404"/>
    <mergeCell ref="A1406:A1407"/>
    <mergeCell ref="B1406:B1407"/>
    <mergeCell ref="C1406:C1407"/>
    <mergeCell ref="D1406:D1407"/>
    <mergeCell ref="E1406:E1407"/>
    <mergeCell ref="F1406:F1407"/>
    <mergeCell ref="G1406:H1406"/>
    <mergeCell ref="I1406:I1407"/>
    <mergeCell ref="J1406:J1407"/>
    <mergeCell ref="I1410:I1411"/>
    <mergeCell ref="J1410:J1411"/>
    <mergeCell ref="K1410:K1411"/>
    <mergeCell ref="L1410:L1411"/>
    <mergeCell ref="M1410:M1411"/>
    <mergeCell ref="N1410:N1411"/>
    <mergeCell ref="A1410:A1411"/>
    <mergeCell ref="B1410:B1411"/>
    <mergeCell ref="C1410:C1411"/>
    <mergeCell ref="D1410:D1411"/>
    <mergeCell ref="E1410:E1411"/>
    <mergeCell ref="F1410:F1411"/>
    <mergeCell ref="I1408:I1409"/>
    <mergeCell ref="J1408:J1409"/>
    <mergeCell ref="K1408:K1409"/>
    <mergeCell ref="L1408:L1409"/>
    <mergeCell ref="M1408:M1409"/>
    <mergeCell ref="N1408:N1409"/>
    <mergeCell ref="N1414:N1415"/>
    <mergeCell ref="A1414:A1415"/>
    <mergeCell ref="B1414:B1415"/>
    <mergeCell ref="C1414:C1415"/>
    <mergeCell ref="D1414:D1415"/>
    <mergeCell ref="E1414:E1415"/>
    <mergeCell ref="F1414:F1415"/>
    <mergeCell ref="I1412:I1413"/>
    <mergeCell ref="J1412:J1413"/>
    <mergeCell ref="K1412:K1413"/>
    <mergeCell ref="L1412:L1413"/>
    <mergeCell ref="M1412:M1413"/>
    <mergeCell ref="N1412:N1413"/>
    <mergeCell ref="A1412:A1413"/>
    <mergeCell ref="B1412:B1413"/>
    <mergeCell ref="C1412:C1413"/>
    <mergeCell ref="D1412:D1413"/>
    <mergeCell ref="E1412:E1413"/>
    <mergeCell ref="F1412:F1413"/>
    <mergeCell ref="I1416:M1416"/>
    <mergeCell ref="I1417:M1417"/>
    <mergeCell ref="A1418:E1418"/>
    <mergeCell ref="I1418:M1418"/>
    <mergeCell ref="A1419:E1419"/>
    <mergeCell ref="A1420:E1420"/>
    <mergeCell ref="A1416:A1417"/>
    <mergeCell ref="B1416:B1417"/>
    <mergeCell ref="C1416:C1417"/>
    <mergeCell ref="D1416:D1417"/>
    <mergeCell ref="E1416:E1417"/>
    <mergeCell ref="F1416:F1417"/>
    <mergeCell ref="I1414:I1415"/>
    <mergeCell ref="J1414:J1415"/>
    <mergeCell ref="K1414:K1415"/>
    <mergeCell ref="L1414:L1415"/>
    <mergeCell ref="M1414:M1415"/>
    <mergeCell ref="N1441:N1442"/>
    <mergeCell ref="O1441:P1441"/>
    <mergeCell ref="A1442:A1443"/>
    <mergeCell ref="B1442:B1443"/>
    <mergeCell ref="C1442:C1443"/>
    <mergeCell ref="D1442:D1443"/>
    <mergeCell ref="E1442:E1443"/>
    <mergeCell ref="F1442:F1443"/>
    <mergeCell ref="G1442:H1442"/>
    <mergeCell ref="I1443:I1444"/>
    <mergeCell ref="I1424:L1424"/>
    <mergeCell ref="A1426:D1426"/>
    <mergeCell ref="N1429:P1429"/>
    <mergeCell ref="I1439:P1439"/>
    <mergeCell ref="A1440:H1440"/>
    <mergeCell ref="I1441:I1442"/>
    <mergeCell ref="J1441:J1442"/>
    <mergeCell ref="K1441:K1442"/>
    <mergeCell ref="L1441:L1442"/>
    <mergeCell ref="M1441:M1442"/>
    <mergeCell ref="N1445:N1446"/>
    <mergeCell ref="A1446:A1447"/>
    <mergeCell ref="B1446:B1447"/>
    <mergeCell ref="C1446:C1447"/>
    <mergeCell ref="D1446:D1447"/>
    <mergeCell ref="E1446:E1447"/>
    <mergeCell ref="F1446:F1447"/>
    <mergeCell ref="I1447:I1448"/>
    <mergeCell ref="J1447:J1448"/>
    <mergeCell ref="K1447:K1448"/>
    <mergeCell ref="F1444:F1445"/>
    <mergeCell ref="I1445:I1446"/>
    <mergeCell ref="J1445:J1446"/>
    <mergeCell ref="K1445:K1446"/>
    <mergeCell ref="L1445:L1446"/>
    <mergeCell ref="M1445:M1446"/>
    <mergeCell ref="J1443:J1444"/>
    <mergeCell ref="K1443:K1444"/>
    <mergeCell ref="L1443:L1444"/>
    <mergeCell ref="M1443:M1444"/>
    <mergeCell ref="N1443:N1444"/>
    <mergeCell ref="A1444:A1445"/>
    <mergeCell ref="B1444:B1445"/>
    <mergeCell ref="C1444:C1445"/>
    <mergeCell ref="D1444:D1445"/>
    <mergeCell ref="E1444:E1445"/>
    <mergeCell ref="J1449:J1450"/>
    <mergeCell ref="K1449:K1450"/>
    <mergeCell ref="L1449:L1450"/>
    <mergeCell ref="M1449:M1450"/>
    <mergeCell ref="N1449:N1450"/>
    <mergeCell ref="I1451:I1452"/>
    <mergeCell ref="J1451:J1452"/>
    <mergeCell ref="K1451:K1452"/>
    <mergeCell ref="L1451:L1452"/>
    <mergeCell ref="M1451:M1452"/>
    <mergeCell ref="L1447:L1448"/>
    <mergeCell ref="M1447:M1448"/>
    <mergeCell ref="N1447:N1448"/>
    <mergeCell ref="A1448:A1451"/>
    <mergeCell ref="B1448:B1451"/>
    <mergeCell ref="C1448:C1451"/>
    <mergeCell ref="D1448:D1451"/>
    <mergeCell ref="E1448:E1451"/>
    <mergeCell ref="F1448:F1451"/>
    <mergeCell ref="I1449:I1450"/>
    <mergeCell ref="L1453:L1454"/>
    <mergeCell ref="M1453:M1454"/>
    <mergeCell ref="N1453:N1454"/>
    <mergeCell ref="A1454:A1455"/>
    <mergeCell ref="B1454:B1455"/>
    <mergeCell ref="C1454:C1455"/>
    <mergeCell ref="D1454:D1455"/>
    <mergeCell ref="E1454:E1455"/>
    <mergeCell ref="F1454:F1455"/>
    <mergeCell ref="I1455:M1455"/>
    <mergeCell ref="N1451:N1452"/>
    <mergeCell ref="A1452:A1453"/>
    <mergeCell ref="B1452:B1453"/>
    <mergeCell ref="C1452:C1453"/>
    <mergeCell ref="D1452:D1453"/>
    <mergeCell ref="E1452:E1453"/>
    <mergeCell ref="F1452:F1453"/>
    <mergeCell ref="I1453:I1454"/>
    <mergeCell ref="J1453:J1454"/>
    <mergeCell ref="K1453:K1454"/>
    <mergeCell ref="I1482:I1483"/>
    <mergeCell ref="J1482:J1483"/>
    <mergeCell ref="K1482:K1483"/>
    <mergeCell ref="L1482:L1483"/>
    <mergeCell ref="M1482:M1483"/>
    <mergeCell ref="N1482:N1483"/>
    <mergeCell ref="A1464:D1464"/>
    <mergeCell ref="N1468:P1468"/>
    <mergeCell ref="I1478:P1478"/>
    <mergeCell ref="I1480:I1481"/>
    <mergeCell ref="J1480:J1481"/>
    <mergeCell ref="K1480:K1481"/>
    <mergeCell ref="L1480:L1481"/>
    <mergeCell ref="M1480:M1481"/>
    <mergeCell ref="N1480:N1481"/>
    <mergeCell ref="O1480:P1480"/>
    <mergeCell ref="A1456:E1456"/>
    <mergeCell ref="I1456:M1456"/>
    <mergeCell ref="A1457:E1457"/>
    <mergeCell ref="I1457:M1457"/>
    <mergeCell ref="A1458:E1458"/>
    <mergeCell ref="I1463:L1463"/>
    <mergeCell ref="I1488:I1489"/>
    <mergeCell ref="J1488:J1489"/>
    <mergeCell ref="K1488:K1489"/>
    <mergeCell ref="L1488:L1489"/>
    <mergeCell ref="M1488:M1489"/>
    <mergeCell ref="N1488:N1489"/>
    <mergeCell ref="I1486:I1487"/>
    <mergeCell ref="J1486:J1487"/>
    <mergeCell ref="K1486:K1487"/>
    <mergeCell ref="L1486:L1487"/>
    <mergeCell ref="M1486:M1487"/>
    <mergeCell ref="N1486:N1487"/>
    <mergeCell ref="I1484:I1485"/>
    <mergeCell ref="J1484:J1485"/>
    <mergeCell ref="K1484:K1485"/>
    <mergeCell ref="L1484:L1485"/>
    <mergeCell ref="M1484:M1485"/>
    <mergeCell ref="N1484:N1485"/>
    <mergeCell ref="I1494:M1494"/>
    <mergeCell ref="I1495:M1495"/>
    <mergeCell ref="I1496:M1496"/>
    <mergeCell ref="I1502:L1502"/>
    <mergeCell ref="N1507:P1507"/>
    <mergeCell ref="I1517:P1517"/>
    <mergeCell ref="I1492:I1493"/>
    <mergeCell ref="J1492:J1493"/>
    <mergeCell ref="K1492:K1493"/>
    <mergeCell ref="L1492:L1493"/>
    <mergeCell ref="M1492:M1493"/>
    <mergeCell ref="N1492:N1493"/>
    <mergeCell ref="I1490:I1491"/>
    <mergeCell ref="J1490:J1491"/>
    <mergeCell ref="K1490:K1491"/>
    <mergeCell ref="L1490:L1491"/>
    <mergeCell ref="M1490:M1491"/>
    <mergeCell ref="N1490:N1491"/>
    <mergeCell ref="I1525:I1526"/>
    <mergeCell ref="J1525:J1526"/>
    <mergeCell ref="K1525:K1526"/>
    <mergeCell ref="L1525:L1526"/>
    <mergeCell ref="M1525:M1526"/>
    <mergeCell ref="N1525:N1526"/>
    <mergeCell ref="I1523:I1524"/>
    <mergeCell ref="J1523:J1524"/>
    <mergeCell ref="K1523:K1524"/>
    <mergeCell ref="L1523:L1524"/>
    <mergeCell ref="M1523:M1524"/>
    <mergeCell ref="N1523:N1524"/>
    <mergeCell ref="O1519:P1519"/>
    <mergeCell ref="I1521:I1522"/>
    <mergeCell ref="J1521:J1522"/>
    <mergeCell ref="K1521:K1522"/>
    <mergeCell ref="L1521:L1522"/>
    <mergeCell ref="M1521:M1522"/>
    <mergeCell ref="N1521:N1522"/>
    <mergeCell ref="I1519:I1520"/>
    <mergeCell ref="J1519:J1520"/>
    <mergeCell ref="K1519:K1520"/>
    <mergeCell ref="L1519:L1520"/>
    <mergeCell ref="M1519:M1520"/>
    <mergeCell ref="N1519:N1520"/>
    <mergeCell ref="I1531:M1531"/>
    <mergeCell ref="I1532:M1532"/>
    <mergeCell ref="I1533:M1533"/>
    <mergeCell ref="I1539:L1539"/>
    <mergeCell ref="I1554:P1554"/>
    <mergeCell ref="I1556:I1557"/>
    <mergeCell ref="J1556:J1557"/>
    <mergeCell ref="K1556:K1557"/>
    <mergeCell ref="L1556:L1557"/>
    <mergeCell ref="M1556:M1557"/>
    <mergeCell ref="I1529:I1530"/>
    <mergeCell ref="J1529:J1530"/>
    <mergeCell ref="K1529:K1530"/>
    <mergeCell ref="L1529:L1530"/>
    <mergeCell ref="M1529:M1530"/>
    <mergeCell ref="N1529:N1530"/>
    <mergeCell ref="I1527:I1528"/>
    <mergeCell ref="J1527:J1528"/>
    <mergeCell ref="K1527:K1528"/>
    <mergeCell ref="L1527:L1528"/>
    <mergeCell ref="M1527:M1528"/>
    <mergeCell ref="N1527:N1528"/>
    <mergeCell ref="I1562:I1563"/>
    <mergeCell ref="J1562:J1563"/>
    <mergeCell ref="K1562:K1563"/>
    <mergeCell ref="L1562:L1563"/>
    <mergeCell ref="M1562:M1563"/>
    <mergeCell ref="N1562:N1563"/>
    <mergeCell ref="I1560:I1561"/>
    <mergeCell ref="J1560:J1561"/>
    <mergeCell ref="K1560:K1561"/>
    <mergeCell ref="L1560:L1561"/>
    <mergeCell ref="M1560:M1561"/>
    <mergeCell ref="N1560:N1561"/>
    <mergeCell ref="N1556:N1557"/>
    <mergeCell ref="O1556:P1556"/>
    <mergeCell ref="I1558:I1559"/>
    <mergeCell ref="J1558:J1559"/>
    <mergeCell ref="K1558:K1559"/>
    <mergeCell ref="L1558:L1559"/>
    <mergeCell ref="M1558:M1559"/>
    <mergeCell ref="N1558:N1559"/>
    <mergeCell ref="I1568:M1568"/>
    <mergeCell ref="I1569:M1569"/>
    <mergeCell ref="I1570:M1570"/>
    <mergeCell ref="I1576:L1576"/>
    <mergeCell ref="I1591:P1591"/>
    <mergeCell ref="I1593:I1594"/>
    <mergeCell ref="J1593:J1594"/>
    <mergeCell ref="K1593:K1594"/>
    <mergeCell ref="L1593:L1594"/>
    <mergeCell ref="M1593:M1594"/>
    <mergeCell ref="I1566:I1567"/>
    <mergeCell ref="J1566:J1567"/>
    <mergeCell ref="K1566:K1567"/>
    <mergeCell ref="L1566:L1567"/>
    <mergeCell ref="M1566:M1567"/>
    <mergeCell ref="N1566:N1567"/>
    <mergeCell ref="I1564:I1565"/>
    <mergeCell ref="J1564:J1565"/>
    <mergeCell ref="K1564:K1565"/>
    <mergeCell ref="L1564:L1565"/>
    <mergeCell ref="M1564:M1565"/>
    <mergeCell ref="N1564:N1565"/>
    <mergeCell ref="I1599:I1600"/>
    <mergeCell ref="J1599:J1600"/>
    <mergeCell ref="K1599:K1600"/>
    <mergeCell ref="L1599:L1600"/>
    <mergeCell ref="M1599:M1600"/>
    <mergeCell ref="N1599:N1600"/>
    <mergeCell ref="I1597:I1598"/>
    <mergeCell ref="J1597:J1598"/>
    <mergeCell ref="K1597:K1598"/>
    <mergeCell ref="L1597:L1598"/>
    <mergeCell ref="M1597:M1598"/>
    <mergeCell ref="N1597:N1598"/>
    <mergeCell ref="N1593:N1594"/>
    <mergeCell ref="O1593:P1593"/>
    <mergeCell ref="I1595:I1596"/>
    <mergeCell ref="J1595:J1596"/>
    <mergeCell ref="K1595:K1596"/>
    <mergeCell ref="L1595:L1596"/>
    <mergeCell ref="M1595:M1596"/>
    <mergeCell ref="N1595:N1596"/>
    <mergeCell ref="I1605:M1605"/>
    <mergeCell ref="I1606:M1606"/>
    <mergeCell ref="I1607:M1607"/>
    <mergeCell ref="I1613:L1613"/>
    <mergeCell ref="I1628:P1628"/>
    <mergeCell ref="I1630:I1631"/>
    <mergeCell ref="J1630:J1631"/>
    <mergeCell ref="K1630:K1631"/>
    <mergeCell ref="L1630:L1631"/>
    <mergeCell ref="M1630:M1631"/>
    <mergeCell ref="I1603:I1604"/>
    <mergeCell ref="J1603:J1604"/>
    <mergeCell ref="K1603:K1604"/>
    <mergeCell ref="L1603:L1604"/>
    <mergeCell ref="M1603:M1604"/>
    <mergeCell ref="N1603:N1604"/>
    <mergeCell ref="I1601:I1602"/>
    <mergeCell ref="J1601:J1602"/>
    <mergeCell ref="K1601:K1602"/>
    <mergeCell ref="L1601:L1602"/>
    <mergeCell ref="M1601:M1602"/>
    <mergeCell ref="N1601:N1602"/>
    <mergeCell ref="I1636:I1637"/>
    <mergeCell ref="J1636:J1637"/>
    <mergeCell ref="K1636:K1637"/>
    <mergeCell ref="L1636:L1637"/>
    <mergeCell ref="M1636:M1637"/>
    <mergeCell ref="N1636:N1637"/>
    <mergeCell ref="I1634:I1635"/>
    <mergeCell ref="J1634:J1635"/>
    <mergeCell ref="K1634:K1635"/>
    <mergeCell ref="L1634:L1635"/>
    <mergeCell ref="M1634:M1635"/>
    <mergeCell ref="N1634:N1635"/>
    <mergeCell ref="N1630:N1631"/>
    <mergeCell ref="O1630:P1630"/>
    <mergeCell ref="I1632:I1633"/>
    <mergeCell ref="J1632:J1633"/>
    <mergeCell ref="K1632:K1633"/>
    <mergeCell ref="L1632:L1633"/>
    <mergeCell ref="M1632:M1633"/>
    <mergeCell ref="N1632:N1633"/>
    <mergeCell ref="I1642:M1642"/>
    <mergeCell ref="I1643:M1643"/>
    <mergeCell ref="I1644:M1644"/>
    <mergeCell ref="I1650:L1650"/>
    <mergeCell ref="I1665:P1665"/>
    <mergeCell ref="I1667:I1668"/>
    <mergeCell ref="J1667:J1668"/>
    <mergeCell ref="K1667:K1668"/>
    <mergeCell ref="L1667:L1668"/>
    <mergeCell ref="M1667:M1668"/>
    <mergeCell ref="I1640:I1641"/>
    <mergeCell ref="J1640:J1641"/>
    <mergeCell ref="K1640:K1641"/>
    <mergeCell ref="L1640:L1641"/>
    <mergeCell ref="M1640:M1641"/>
    <mergeCell ref="N1640:N1641"/>
    <mergeCell ref="I1638:I1639"/>
    <mergeCell ref="J1638:J1639"/>
    <mergeCell ref="K1638:K1639"/>
    <mergeCell ref="L1638:L1639"/>
    <mergeCell ref="M1638:M1639"/>
    <mergeCell ref="N1638:N1639"/>
    <mergeCell ref="I1673:I1674"/>
    <mergeCell ref="J1673:J1674"/>
    <mergeCell ref="K1673:K1674"/>
    <mergeCell ref="L1673:L1674"/>
    <mergeCell ref="M1673:M1674"/>
    <mergeCell ref="N1673:N1674"/>
    <mergeCell ref="I1671:I1672"/>
    <mergeCell ref="J1671:J1672"/>
    <mergeCell ref="K1671:K1672"/>
    <mergeCell ref="L1671:L1672"/>
    <mergeCell ref="M1671:M1672"/>
    <mergeCell ref="N1671:N1672"/>
    <mergeCell ref="N1667:N1668"/>
    <mergeCell ref="O1667:P1667"/>
    <mergeCell ref="I1669:I1670"/>
    <mergeCell ref="J1669:J1670"/>
    <mergeCell ref="K1669:K1670"/>
    <mergeCell ref="L1669:L1670"/>
    <mergeCell ref="M1669:M1670"/>
    <mergeCell ref="N1669:N1670"/>
    <mergeCell ref="I1679:M1679"/>
    <mergeCell ref="I1680:M1680"/>
    <mergeCell ref="I1681:M1681"/>
    <mergeCell ref="I1687:L1687"/>
    <mergeCell ref="I1702:P1702"/>
    <mergeCell ref="I1704:I1705"/>
    <mergeCell ref="J1704:J1705"/>
    <mergeCell ref="K1704:K1705"/>
    <mergeCell ref="L1704:L1705"/>
    <mergeCell ref="M1704:M1705"/>
    <mergeCell ref="I1677:I1678"/>
    <mergeCell ref="J1677:J1678"/>
    <mergeCell ref="K1677:K1678"/>
    <mergeCell ref="L1677:L1678"/>
    <mergeCell ref="M1677:M1678"/>
    <mergeCell ref="N1677:N1678"/>
    <mergeCell ref="I1675:I1676"/>
    <mergeCell ref="J1675:J1676"/>
    <mergeCell ref="K1675:K1676"/>
    <mergeCell ref="L1675:L1676"/>
    <mergeCell ref="M1675:M1676"/>
    <mergeCell ref="N1675:N1676"/>
    <mergeCell ref="I1710:I1711"/>
    <mergeCell ref="J1710:J1711"/>
    <mergeCell ref="K1710:K1711"/>
    <mergeCell ref="L1710:L1711"/>
    <mergeCell ref="M1710:M1711"/>
    <mergeCell ref="N1710:N1711"/>
    <mergeCell ref="I1708:I1709"/>
    <mergeCell ref="J1708:J1709"/>
    <mergeCell ref="K1708:K1709"/>
    <mergeCell ref="L1708:L1709"/>
    <mergeCell ref="M1708:M1709"/>
    <mergeCell ref="N1708:N1709"/>
    <mergeCell ref="N1704:N1705"/>
    <mergeCell ref="O1704:P1704"/>
    <mergeCell ref="I1706:I1707"/>
    <mergeCell ref="J1706:J1707"/>
    <mergeCell ref="K1706:K1707"/>
    <mergeCell ref="L1706:L1707"/>
    <mergeCell ref="M1706:M1707"/>
    <mergeCell ref="N1706:N1707"/>
    <mergeCell ref="I1716:I1717"/>
    <mergeCell ref="J1716:J1717"/>
    <mergeCell ref="K1716:K1717"/>
    <mergeCell ref="L1716:L1717"/>
    <mergeCell ref="M1716:M1717"/>
    <mergeCell ref="N1716:N1717"/>
    <mergeCell ref="I1714:I1715"/>
    <mergeCell ref="J1714:J1715"/>
    <mergeCell ref="K1714:K1715"/>
    <mergeCell ref="L1714:L1715"/>
    <mergeCell ref="M1714:M1715"/>
    <mergeCell ref="N1714:N1715"/>
    <mergeCell ref="I1712:I1713"/>
    <mergeCell ref="J1712:J1713"/>
    <mergeCell ref="K1712:K1713"/>
    <mergeCell ref="L1712:L1713"/>
    <mergeCell ref="M1712:M1713"/>
    <mergeCell ref="N1712:N1713"/>
    <mergeCell ref="I1747:I1748"/>
    <mergeCell ref="J1747:J1748"/>
    <mergeCell ref="K1747:K1748"/>
    <mergeCell ref="L1747:L1748"/>
    <mergeCell ref="M1747:M1748"/>
    <mergeCell ref="N1747:N1748"/>
    <mergeCell ref="N1743:N1744"/>
    <mergeCell ref="O1743:P1743"/>
    <mergeCell ref="I1745:I1746"/>
    <mergeCell ref="J1745:J1746"/>
    <mergeCell ref="K1745:K1746"/>
    <mergeCell ref="L1745:L1746"/>
    <mergeCell ref="M1745:M1746"/>
    <mergeCell ref="N1745:N1746"/>
    <mergeCell ref="I1718:M1718"/>
    <mergeCell ref="I1719:M1719"/>
    <mergeCell ref="I1720:M1720"/>
    <mergeCell ref="I1726:L1726"/>
    <mergeCell ref="I1741:P1741"/>
    <mergeCell ref="I1743:I1744"/>
    <mergeCell ref="J1743:J1744"/>
    <mergeCell ref="K1743:K1744"/>
    <mergeCell ref="L1743:L1744"/>
    <mergeCell ref="M1743:M1744"/>
    <mergeCell ref="I1753:I1754"/>
    <mergeCell ref="J1753:J1754"/>
    <mergeCell ref="K1753:K1754"/>
    <mergeCell ref="L1753:L1754"/>
    <mergeCell ref="M1753:M1754"/>
    <mergeCell ref="N1753:N1754"/>
    <mergeCell ref="I1751:I1752"/>
    <mergeCell ref="J1751:J1752"/>
    <mergeCell ref="K1751:K1752"/>
    <mergeCell ref="L1751:L1752"/>
    <mergeCell ref="M1751:M1752"/>
    <mergeCell ref="N1751:N1752"/>
    <mergeCell ref="I1749:I1750"/>
    <mergeCell ref="J1749:J1750"/>
    <mergeCell ref="K1749:K1750"/>
    <mergeCell ref="L1749:L1750"/>
    <mergeCell ref="M1749:M1750"/>
    <mergeCell ref="N1749:N1750"/>
    <mergeCell ref="I1784:I1785"/>
    <mergeCell ref="J1784:J1785"/>
    <mergeCell ref="K1784:K1785"/>
    <mergeCell ref="L1784:L1785"/>
    <mergeCell ref="M1784:M1785"/>
    <mergeCell ref="N1784:N1785"/>
    <mergeCell ref="N1780:N1781"/>
    <mergeCell ref="O1780:P1780"/>
    <mergeCell ref="I1782:I1783"/>
    <mergeCell ref="J1782:J1783"/>
    <mergeCell ref="K1782:K1783"/>
    <mergeCell ref="L1782:L1783"/>
    <mergeCell ref="M1782:M1783"/>
    <mergeCell ref="N1782:N1783"/>
    <mergeCell ref="I1755:M1755"/>
    <mergeCell ref="I1756:M1756"/>
    <mergeCell ref="I1757:M1757"/>
    <mergeCell ref="I1763:L1763"/>
    <mergeCell ref="I1778:P1778"/>
    <mergeCell ref="I1780:I1781"/>
    <mergeCell ref="J1780:J1781"/>
    <mergeCell ref="K1780:K1781"/>
    <mergeCell ref="L1780:L1781"/>
    <mergeCell ref="M1780:M1781"/>
    <mergeCell ref="I1790:I1791"/>
    <mergeCell ref="J1790:J1791"/>
    <mergeCell ref="K1790:K1791"/>
    <mergeCell ref="L1790:L1791"/>
    <mergeCell ref="M1790:M1791"/>
    <mergeCell ref="N1790:N1791"/>
    <mergeCell ref="I1788:I1789"/>
    <mergeCell ref="J1788:J1789"/>
    <mergeCell ref="K1788:K1789"/>
    <mergeCell ref="L1788:L1789"/>
    <mergeCell ref="M1788:M1789"/>
    <mergeCell ref="N1788:N1789"/>
    <mergeCell ref="I1786:I1787"/>
    <mergeCell ref="J1786:J1787"/>
    <mergeCell ref="K1786:K1787"/>
    <mergeCell ref="L1786:L1787"/>
    <mergeCell ref="M1786:M1787"/>
    <mergeCell ref="N1786:N1787"/>
    <mergeCell ref="I1821:I1822"/>
    <mergeCell ref="J1821:J1822"/>
    <mergeCell ref="K1821:K1822"/>
    <mergeCell ref="L1821:L1822"/>
    <mergeCell ref="M1821:M1822"/>
    <mergeCell ref="N1821:N1822"/>
    <mergeCell ref="N1817:N1818"/>
    <mergeCell ref="O1817:P1817"/>
    <mergeCell ref="I1819:I1820"/>
    <mergeCell ref="J1819:J1820"/>
    <mergeCell ref="K1819:K1820"/>
    <mergeCell ref="L1819:L1820"/>
    <mergeCell ref="M1819:M1820"/>
    <mergeCell ref="N1819:N1820"/>
    <mergeCell ref="I1792:M1792"/>
    <mergeCell ref="I1793:M1793"/>
    <mergeCell ref="I1794:M1794"/>
    <mergeCell ref="I1800:L1800"/>
    <mergeCell ref="I1815:P1815"/>
    <mergeCell ref="I1817:I1818"/>
    <mergeCell ref="J1817:J1818"/>
    <mergeCell ref="K1817:K1818"/>
    <mergeCell ref="L1817:L1818"/>
    <mergeCell ref="M1817:M1818"/>
    <mergeCell ref="I1827:I1828"/>
    <mergeCell ref="J1827:J1828"/>
    <mergeCell ref="K1827:K1828"/>
    <mergeCell ref="L1827:L1828"/>
    <mergeCell ref="M1827:M1828"/>
    <mergeCell ref="N1827:N1828"/>
    <mergeCell ref="I1825:I1826"/>
    <mergeCell ref="J1825:J1826"/>
    <mergeCell ref="K1825:K1826"/>
    <mergeCell ref="L1825:L1826"/>
    <mergeCell ref="M1825:M1826"/>
    <mergeCell ref="N1825:N1826"/>
    <mergeCell ref="I1823:I1824"/>
    <mergeCell ref="J1823:J1824"/>
    <mergeCell ref="K1823:K1824"/>
    <mergeCell ref="L1823:L1824"/>
    <mergeCell ref="M1823:M1824"/>
    <mergeCell ref="N1823:N1824"/>
    <mergeCell ref="I1858:I1859"/>
    <mergeCell ref="J1858:J1859"/>
    <mergeCell ref="K1858:K1859"/>
    <mergeCell ref="L1858:L1859"/>
    <mergeCell ref="M1858:M1859"/>
    <mergeCell ref="N1858:N1859"/>
    <mergeCell ref="N1854:N1855"/>
    <mergeCell ref="O1854:P1854"/>
    <mergeCell ref="I1856:I1857"/>
    <mergeCell ref="J1856:J1857"/>
    <mergeCell ref="K1856:K1857"/>
    <mergeCell ref="L1856:L1857"/>
    <mergeCell ref="M1856:M1857"/>
    <mergeCell ref="N1856:N1857"/>
    <mergeCell ref="I1829:M1829"/>
    <mergeCell ref="I1830:M1830"/>
    <mergeCell ref="I1831:M1831"/>
    <mergeCell ref="I1837:L1837"/>
    <mergeCell ref="I1852:P1852"/>
    <mergeCell ref="I1854:I1855"/>
    <mergeCell ref="J1854:J1855"/>
    <mergeCell ref="K1854:K1855"/>
    <mergeCell ref="L1854:L1855"/>
    <mergeCell ref="M1854:M1855"/>
    <mergeCell ref="I1864:I1865"/>
    <mergeCell ref="J1864:J1865"/>
    <mergeCell ref="K1864:K1865"/>
    <mergeCell ref="L1864:L1865"/>
    <mergeCell ref="M1864:M1865"/>
    <mergeCell ref="N1864:N1865"/>
    <mergeCell ref="I1862:I1863"/>
    <mergeCell ref="J1862:J1863"/>
    <mergeCell ref="K1862:K1863"/>
    <mergeCell ref="L1862:L1863"/>
    <mergeCell ref="M1862:M1863"/>
    <mergeCell ref="N1862:N1863"/>
    <mergeCell ref="I1860:I1861"/>
    <mergeCell ref="J1860:J1861"/>
    <mergeCell ref="K1860:K1861"/>
    <mergeCell ref="L1860:L1861"/>
    <mergeCell ref="M1860:M1861"/>
    <mergeCell ref="N1860:N1861"/>
    <mergeCell ref="I1895:I1896"/>
    <mergeCell ref="J1895:J1896"/>
    <mergeCell ref="K1895:K1896"/>
    <mergeCell ref="L1895:L1896"/>
    <mergeCell ref="M1895:M1896"/>
    <mergeCell ref="N1895:N1896"/>
    <mergeCell ref="N1891:N1892"/>
    <mergeCell ref="O1891:P1891"/>
    <mergeCell ref="I1893:I1894"/>
    <mergeCell ref="J1893:J1894"/>
    <mergeCell ref="K1893:K1894"/>
    <mergeCell ref="L1893:L1894"/>
    <mergeCell ref="M1893:M1894"/>
    <mergeCell ref="N1893:N1894"/>
    <mergeCell ref="I1866:M1866"/>
    <mergeCell ref="I1867:M1867"/>
    <mergeCell ref="I1868:M1868"/>
    <mergeCell ref="I1874:L1874"/>
    <mergeCell ref="I1889:P1889"/>
    <mergeCell ref="I1891:I1892"/>
    <mergeCell ref="J1891:J1892"/>
    <mergeCell ref="K1891:K1892"/>
    <mergeCell ref="L1891:L1892"/>
    <mergeCell ref="M1891:M1892"/>
    <mergeCell ref="I1901:I1902"/>
    <mergeCell ref="J1901:J1902"/>
    <mergeCell ref="K1901:K1902"/>
    <mergeCell ref="L1901:L1902"/>
    <mergeCell ref="M1901:M1902"/>
    <mergeCell ref="N1901:N1902"/>
    <mergeCell ref="I1899:I1900"/>
    <mergeCell ref="J1899:J1900"/>
    <mergeCell ref="K1899:K1900"/>
    <mergeCell ref="L1899:L1900"/>
    <mergeCell ref="M1899:M1900"/>
    <mergeCell ref="N1899:N1900"/>
    <mergeCell ref="I1897:I1898"/>
    <mergeCell ref="J1897:J1898"/>
    <mergeCell ref="K1897:K1898"/>
    <mergeCell ref="L1897:L1898"/>
    <mergeCell ref="M1897:M1898"/>
    <mergeCell ref="N1897:N1898"/>
    <mergeCell ref="I1932:I1933"/>
    <mergeCell ref="J1932:J1933"/>
    <mergeCell ref="K1932:K1933"/>
    <mergeCell ref="L1932:L1933"/>
    <mergeCell ref="M1932:M1933"/>
    <mergeCell ref="N1932:N1933"/>
    <mergeCell ref="N1928:N1929"/>
    <mergeCell ref="O1928:P1928"/>
    <mergeCell ref="I1930:I1931"/>
    <mergeCell ref="J1930:J1931"/>
    <mergeCell ref="K1930:K1931"/>
    <mergeCell ref="L1930:L1931"/>
    <mergeCell ref="M1930:M1931"/>
    <mergeCell ref="N1930:N1931"/>
    <mergeCell ref="I1903:M1903"/>
    <mergeCell ref="I1904:M1904"/>
    <mergeCell ref="I1905:M1905"/>
    <mergeCell ref="I1911:L1911"/>
    <mergeCell ref="I1926:P1926"/>
    <mergeCell ref="I1928:I1929"/>
    <mergeCell ref="J1928:J1929"/>
    <mergeCell ref="K1928:K1929"/>
    <mergeCell ref="L1928:L1929"/>
    <mergeCell ref="M1928:M1929"/>
    <mergeCell ref="I1938:I1939"/>
    <mergeCell ref="J1938:J1939"/>
    <mergeCell ref="K1938:K1939"/>
    <mergeCell ref="L1938:L1939"/>
    <mergeCell ref="M1938:M1939"/>
    <mergeCell ref="N1938:N1939"/>
    <mergeCell ref="I1936:I1937"/>
    <mergeCell ref="J1936:J1937"/>
    <mergeCell ref="K1936:K1937"/>
    <mergeCell ref="L1936:L1937"/>
    <mergeCell ref="M1936:M1937"/>
    <mergeCell ref="N1936:N1937"/>
    <mergeCell ref="I1934:I1935"/>
    <mergeCell ref="J1934:J1935"/>
    <mergeCell ref="K1934:K1935"/>
    <mergeCell ref="L1934:L1935"/>
    <mergeCell ref="M1934:M1935"/>
    <mergeCell ref="N1934:N1935"/>
    <mergeCell ref="I1969:I1970"/>
    <mergeCell ref="J1969:J1970"/>
    <mergeCell ref="K1969:K1970"/>
    <mergeCell ref="L1969:L1970"/>
    <mergeCell ref="M1969:M1970"/>
    <mergeCell ref="N1969:N1970"/>
    <mergeCell ref="N1965:N1966"/>
    <mergeCell ref="O1965:P1965"/>
    <mergeCell ref="I1967:I1968"/>
    <mergeCell ref="J1967:J1968"/>
    <mergeCell ref="K1967:K1968"/>
    <mergeCell ref="L1967:L1968"/>
    <mergeCell ref="M1967:M1968"/>
    <mergeCell ref="N1967:N1968"/>
    <mergeCell ref="I1940:M1940"/>
    <mergeCell ref="I1941:M1941"/>
    <mergeCell ref="I1942:M1942"/>
    <mergeCell ref="I1948:L1948"/>
    <mergeCell ref="I1963:P1963"/>
    <mergeCell ref="I1965:I1966"/>
    <mergeCell ref="J1965:J1966"/>
    <mergeCell ref="K1965:K1966"/>
    <mergeCell ref="L1965:L1966"/>
    <mergeCell ref="M1965:M1966"/>
    <mergeCell ref="I1975:I1976"/>
    <mergeCell ref="J1975:J1976"/>
    <mergeCell ref="K1975:K1976"/>
    <mergeCell ref="L1975:L1976"/>
    <mergeCell ref="M1975:M1976"/>
    <mergeCell ref="N1975:N1976"/>
    <mergeCell ref="I1973:I1974"/>
    <mergeCell ref="J1973:J1974"/>
    <mergeCell ref="K1973:K1974"/>
    <mergeCell ref="L1973:L1974"/>
    <mergeCell ref="M1973:M1974"/>
    <mergeCell ref="N1973:N1974"/>
    <mergeCell ref="I1971:I1972"/>
    <mergeCell ref="J1971:J1972"/>
    <mergeCell ref="K1971:K1972"/>
    <mergeCell ref="L1971:L1972"/>
    <mergeCell ref="M1971:M1972"/>
    <mergeCell ref="N1971:N1972"/>
    <mergeCell ref="I2006:I2007"/>
    <mergeCell ref="J2006:J2007"/>
    <mergeCell ref="K2006:K2007"/>
    <mergeCell ref="L2006:L2007"/>
    <mergeCell ref="M2006:M2007"/>
    <mergeCell ref="N2006:N2007"/>
    <mergeCell ref="N2002:N2003"/>
    <mergeCell ref="O2002:P2002"/>
    <mergeCell ref="I2004:I2005"/>
    <mergeCell ref="J2004:J2005"/>
    <mergeCell ref="K2004:K2005"/>
    <mergeCell ref="L2004:L2005"/>
    <mergeCell ref="M2004:M2005"/>
    <mergeCell ref="N2004:N2005"/>
    <mergeCell ref="I1977:M1977"/>
    <mergeCell ref="I1978:M1978"/>
    <mergeCell ref="I1979:M1979"/>
    <mergeCell ref="I1985:L1985"/>
    <mergeCell ref="I2000:P2000"/>
    <mergeCell ref="I2002:I2003"/>
    <mergeCell ref="J2002:J2003"/>
    <mergeCell ref="K2002:K2003"/>
    <mergeCell ref="L2002:L2003"/>
    <mergeCell ref="M2002:M2003"/>
    <mergeCell ref="I2012:I2013"/>
    <mergeCell ref="J2012:J2013"/>
    <mergeCell ref="K2012:K2013"/>
    <mergeCell ref="L2012:L2013"/>
    <mergeCell ref="M2012:M2013"/>
    <mergeCell ref="N2012:N2013"/>
    <mergeCell ref="I2010:I2011"/>
    <mergeCell ref="J2010:J2011"/>
    <mergeCell ref="K2010:K2011"/>
    <mergeCell ref="L2010:L2011"/>
    <mergeCell ref="M2010:M2011"/>
    <mergeCell ref="N2010:N2011"/>
    <mergeCell ref="I2008:I2009"/>
    <mergeCell ref="J2008:J2009"/>
    <mergeCell ref="K2008:K2009"/>
    <mergeCell ref="L2008:L2009"/>
    <mergeCell ref="M2008:M2009"/>
    <mergeCell ref="N2008:N2009"/>
    <mergeCell ref="I2043:I2044"/>
    <mergeCell ref="J2043:J2044"/>
    <mergeCell ref="K2043:K2044"/>
    <mergeCell ref="L2043:L2044"/>
    <mergeCell ref="M2043:M2044"/>
    <mergeCell ref="N2043:N2044"/>
    <mergeCell ref="N2039:N2040"/>
    <mergeCell ref="O2039:P2039"/>
    <mergeCell ref="I2041:I2042"/>
    <mergeCell ref="J2041:J2042"/>
    <mergeCell ref="K2041:K2042"/>
    <mergeCell ref="L2041:L2042"/>
    <mergeCell ref="M2041:M2042"/>
    <mergeCell ref="N2041:N2042"/>
    <mergeCell ref="I2014:M2014"/>
    <mergeCell ref="I2015:M2015"/>
    <mergeCell ref="I2016:M2016"/>
    <mergeCell ref="I2022:L2022"/>
    <mergeCell ref="I2037:P2037"/>
    <mergeCell ref="I2039:I2040"/>
    <mergeCell ref="J2039:J2040"/>
    <mergeCell ref="K2039:K2040"/>
    <mergeCell ref="L2039:L2040"/>
    <mergeCell ref="M2039:M2040"/>
    <mergeCell ref="I2049:I2050"/>
    <mergeCell ref="J2049:J2050"/>
    <mergeCell ref="K2049:K2050"/>
    <mergeCell ref="L2049:L2050"/>
    <mergeCell ref="M2049:M2050"/>
    <mergeCell ref="N2049:N2050"/>
    <mergeCell ref="I2047:I2048"/>
    <mergeCell ref="J2047:J2048"/>
    <mergeCell ref="K2047:K2048"/>
    <mergeCell ref="L2047:L2048"/>
    <mergeCell ref="M2047:M2048"/>
    <mergeCell ref="N2047:N2048"/>
    <mergeCell ref="I2045:I2046"/>
    <mergeCell ref="J2045:J2046"/>
    <mergeCell ref="K2045:K2046"/>
    <mergeCell ref="L2045:L2046"/>
    <mergeCell ref="M2045:M2046"/>
    <mergeCell ref="N2045:N2046"/>
    <mergeCell ref="I2080:I2081"/>
    <mergeCell ref="J2080:J2081"/>
    <mergeCell ref="K2080:K2081"/>
    <mergeCell ref="L2080:L2081"/>
    <mergeCell ref="M2080:M2081"/>
    <mergeCell ref="N2080:N2081"/>
    <mergeCell ref="N2076:N2077"/>
    <mergeCell ref="O2076:P2076"/>
    <mergeCell ref="I2078:I2079"/>
    <mergeCell ref="J2078:J2079"/>
    <mergeCell ref="K2078:K2079"/>
    <mergeCell ref="L2078:L2079"/>
    <mergeCell ref="M2078:M2079"/>
    <mergeCell ref="N2078:N2079"/>
    <mergeCell ref="I2051:M2051"/>
    <mergeCell ref="I2052:M2052"/>
    <mergeCell ref="I2053:M2053"/>
    <mergeCell ref="I2059:L2059"/>
    <mergeCell ref="I2074:P2074"/>
    <mergeCell ref="I2076:I2077"/>
    <mergeCell ref="J2076:J2077"/>
    <mergeCell ref="K2076:K2077"/>
    <mergeCell ref="L2076:L2077"/>
    <mergeCell ref="M2076:M2077"/>
    <mergeCell ref="I2086:I2087"/>
    <mergeCell ref="J2086:J2087"/>
    <mergeCell ref="K2086:K2087"/>
    <mergeCell ref="L2086:L2087"/>
    <mergeCell ref="M2086:M2087"/>
    <mergeCell ref="N2086:N2087"/>
    <mergeCell ref="I2084:I2085"/>
    <mergeCell ref="J2084:J2085"/>
    <mergeCell ref="K2084:K2085"/>
    <mergeCell ref="L2084:L2085"/>
    <mergeCell ref="M2084:M2085"/>
    <mergeCell ref="N2084:N2085"/>
    <mergeCell ref="I2082:I2083"/>
    <mergeCell ref="J2082:J2083"/>
    <mergeCell ref="K2082:K2083"/>
    <mergeCell ref="L2082:L2083"/>
    <mergeCell ref="M2082:M2083"/>
    <mergeCell ref="N2082:N2083"/>
    <mergeCell ref="I2117:I2118"/>
    <mergeCell ref="J2117:J2118"/>
    <mergeCell ref="K2117:K2118"/>
    <mergeCell ref="L2117:L2118"/>
    <mergeCell ref="M2117:M2118"/>
    <mergeCell ref="N2117:N2118"/>
    <mergeCell ref="N2113:N2114"/>
    <mergeCell ref="O2113:P2113"/>
    <mergeCell ref="I2115:I2116"/>
    <mergeCell ref="J2115:J2116"/>
    <mergeCell ref="K2115:K2116"/>
    <mergeCell ref="L2115:L2116"/>
    <mergeCell ref="M2115:M2116"/>
    <mergeCell ref="N2115:N2116"/>
    <mergeCell ref="I2088:M2088"/>
    <mergeCell ref="I2089:M2089"/>
    <mergeCell ref="I2090:M2090"/>
    <mergeCell ref="I2096:L2096"/>
    <mergeCell ref="I2111:P2111"/>
    <mergeCell ref="I2113:I2114"/>
    <mergeCell ref="J2113:J2114"/>
    <mergeCell ref="K2113:K2114"/>
    <mergeCell ref="L2113:L2114"/>
    <mergeCell ref="M2113:M2114"/>
    <mergeCell ref="I2123:I2124"/>
    <mergeCell ref="J2123:J2124"/>
    <mergeCell ref="K2123:K2124"/>
    <mergeCell ref="L2123:L2124"/>
    <mergeCell ref="M2123:M2124"/>
    <mergeCell ref="N2123:N2124"/>
    <mergeCell ref="I2121:I2122"/>
    <mergeCell ref="J2121:J2122"/>
    <mergeCell ref="K2121:K2122"/>
    <mergeCell ref="L2121:L2122"/>
    <mergeCell ref="M2121:M2122"/>
    <mergeCell ref="N2121:N2122"/>
    <mergeCell ref="I2119:I2120"/>
    <mergeCell ref="J2119:J2120"/>
    <mergeCell ref="K2119:K2120"/>
    <mergeCell ref="L2119:L2120"/>
    <mergeCell ref="M2119:M2120"/>
    <mergeCell ref="N2119:N2120"/>
    <mergeCell ref="N2150:N2151"/>
    <mergeCell ref="O2150:P2150"/>
    <mergeCell ref="I2152:I2153"/>
    <mergeCell ref="J2152:J2153"/>
    <mergeCell ref="K2152:K2153"/>
    <mergeCell ref="L2152:L2153"/>
    <mergeCell ref="M2152:M2153"/>
    <mergeCell ref="N2152:N2153"/>
    <mergeCell ref="I2125:M2125"/>
    <mergeCell ref="I2126:M2126"/>
    <mergeCell ref="I2127:M2127"/>
    <mergeCell ref="I2133:L2133"/>
    <mergeCell ref="I2148:P2148"/>
    <mergeCell ref="I2150:I2151"/>
    <mergeCell ref="J2150:J2151"/>
    <mergeCell ref="K2150:K2151"/>
    <mergeCell ref="L2150:L2151"/>
    <mergeCell ref="M2150:M2151"/>
    <mergeCell ref="I2158:I2159"/>
    <mergeCell ref="J2158:J2159"/>
    <mergeCell ref="K2158:K2159"/>
    <mergeCell ref="L2158:L2159"/>
    <mergeCell ref="M2158:M2159"/>
    <mergeCell ref="N2158:N2159"/>
    <mergeCell ref="I2156:I2157"/>
    <mergeCell ref="J2156:J2157"/>
    <mergeCell ref="K2156:K2157"/>
    <mergeCell ref="L2156:L2157"/>
    <mergeCell ref="M2156:M2157"/>
    <mergeCell ref="N2156:N2157"/>
    <mergeCell ref="I2154:I2155"/>
    <mergeCell ref="J2154:J2155"/>
    <mergeCell ref="K2154:K2155"/>
    <mergeCell ref="L2154:L2155"/>
    <mergeCell ref="M2154:M2155"/>
    <mergeCell ref="N2154:N2155"/>
    <mergeCell ref="I2164:M2164"/>
    <mergeCell ref="I2165:M2165"/>
    <mergeCell ref="I2166:M2166"/>
    <mergeCell ref="I2172:L2172"/>
    <mergeCell ref="I2187:P2187"/>
    <mergeCell ref="I2189:I2190"/>
    <mergeCell ref="J2189:J2190"/>
    <mergeCell ref="K2189:K2190"/>
    <mergeCell ref="L2189:L2190"/>
    <mergeCell ref="M2189:M2190"/>
    <mergeCell ref="I2162:I2163"/>
    <mergeCell ref="J2162:J2163"/>
    <mergeCell ref="K2162:K2163"/>
    <mergeCell ref="L2162:L2163"/>
    <mergeCell ref="M2162:M2163"/>
    <mergeCell ref="N2162:N2163"/>
    <mergeCell ref="I2160:I2161"/>
    <mergeCell ref="J2160:J2161"/>
    <mergeCell ref="K2160:K2161"/>
    <mergeCell ref="L2160:L2161"/>
    <mergeCell ref="M2160:M2161"/>
    <mergeCell ref="N2160:N2161"/>
    <mergeCell ref="I2195:I2196"/>
    <mergeCell ref="J2195:J2196"/>
    <mergeCell ref="K2195:K2196"/>
    <mergeCell ref="L2195:L2196"/>
    <mergeCell ref="M2195:M2196"/>
    <mergeCell ref="N2195:N2196"/>
    <mergeCell ref="I2193:I2194"/>
    <mergeCell ref="J2193:J2194"/>
    <mergeCell ref="K2193:K2194"/>
    <mergeCell ref="L2193:L2194"/>
    <mergeCell ref="M2193:M2194"/>
    <mergeCell ref="N2193:N2194"/>
    <mergeCell ref="N2189:N2190"/>
    <mergeCell ref="O2189:P2189"/>
    <mergeCell ref="I2191:I2192"/>
    <mergeCell ref="J2191:J2192"/>
    <mergeCell ref="K2191:K2192"/>
    <mergeCell ref="L2191:L2192"/>
    <mergeCell ref="M2191:M2192"/>
    <mergeCell ref="N2191:N2192"/>
    <mergeCell ref="I2201:M2201"/>
    <mergeCell ref="I2202:M2202"/>
    <mergeCell ref="I2203:M2203"/>
    <mergeCell ref="I2209:L2209"/>
    <mergeCell ref="I2224:P2224"/>
    <mergeCell ref="I2226:I2227"/>
    <mergeCell ref="J2226:J2227"/>
    <mergeCell ref="K2226:K2227"/>
    <mergeCell ref="L2226:L2227"/>
    <mergeCell ref="M2226:M2227"/>
    <mergeCell ref="I2199:I2200"/>
    <mergeCell ref="J2199:J2200"/>
    <mergeCell ref="K2199:K2200"/>
    <mergeCell ref="L2199:L2200"/>
    <mergeCell ref="M2199:M2200"/>
    <mergeCell ref="N2199:N2200"/>
    <mergeCell ref="I2197:I2198"/>
    <mergeCell ref="J2197:J2198"/>
    <mergeCell ref="K2197:K2198"/>
    <mergeCell ref="L2197:L2198"/>
    <mergeCell ref="M2197:M2198"/>
    <mergeCell ref="N2197:N2198"/>
    <mergeCell ref="I2232:I2233"/>
    <mergeCell ref="J2232:J2233"/>
    <mergeCell ref="K2232:K2233"/>
    <mergeCell ref="L2232:L2233"/>
    <mergeCell ref="M2232:M2233"/>
    <mergeCell ref="N2232:N2233"/>
    <mergeCell ref="I2230:I2231"/>
    <mergeCell ref="J2230:J2231"/>
    <mergeCell ref="K2230:K2231"/>
    <mergeCell ref="L2230:L2231"/>
    <mergeCell ref="M2230:M2231"/>
    <mergeCell ref="N2230:N2231"/>
    <mergeCell ref="N2226:N2227"/>
    <mergeCell ref="O2226:P2226"/>
    <mergeCell ref="I2228:I2229"/>
    <mergeCell ref="J2228:J2229"/>
    <mergeCell ref="K2228:K2229"/>
    <mergeCell ref="L2228:L2229"/>
    <mergeCell ref="M2228:M2229"/>
    <mergeCell ref="N2228:N2229"/>
    <mergeCell ref="I2238:M2238"/>
    <mergeCell ref="I2239:M2239"/>
    <mergeCell ref="I2240:M2240"/>
    <mergeCell ref="I2246:L2246"/>
    <mergeCell ref="I2261:P2261"/>
    <mergeCell ref="I2263:I2264"/>
    <mergeCell ref="J2263:J2264"/>
    <mergeCell ref="K2263:K2264"/>
    <mergeCell ref="L2263:L2264"/>
    <mergeCell ref="M2263:M2264"/>
    <mergeCell ref="I2236:I2237"/>
    <mergeCell ref="J2236:J2237"/>
    <mergeCell ref="K2236:K2237"/>
    <mergeCell ref="L2236:L2237"/>
    <mergeCell ref="M2236:M2237"/>
    <mergeCell ref="N2236:N2237"/>
    <mergeCell ref="I2234:I2235"/>
    <mergeCell ref="J2234:J2235"/>
    <mergeCell ref="K2234:K2235"/>
    <mergeCell ref="L2234:L2235"/>
    <mergeCell ref="M2234:M2235"/>
    <mergeCell ref="N2234:N2235"/>
    <mergeCell ref="I2269:I2270"/>
    <mergeCell ref="J2269:J2270"/>
    <mergeCell ref="K2269:K2270"/>
    <mergeCell ref="L2269:L2270"/>
    <mergeCell ref="M2269:M2270"/>
    <mergeCell ref="N2269:N2270"/>
    <mergeCell ref="I2267:I2268"/>
    <mergeCell ref="J2267:J2268"/>
    <mergeCell ref="K2267:K2268"/>
    <mergeCell ref="L2267:L2268"/>
    <mergeCell ref="M2267:M2268"/>
    <mergeCell ref="N2267:N2268"/>
    <mergeCell ref="N2263:N2264"/>
    <mergeCell ref="O2263:P2263"/>
    <mergeCell ref="I2265:I2266"/>
    <mergeCell ref="J2265:J2266"/>
    <mergeCell ref="K2265:K2266"/>
    <mergeCell ref="L2265:L2266"/>
    <mergeCell ref="M2265:M2266"/>
    <mergeCell ref="N2265:N2266"/>
    <mergeCell ref="I2275:M2275"/>
    <mergeCell ref="I2276:M2276"/>
    <mergeCell ref="I2277:M2277"/>
    <mergeCell ref="I2283:L2283"/>
    <mergeCell ref="I2298:P2298"/>
    <mergeCell ref="I2300:I2301"/>
    <mergeCell ref="J2300:J2301"/>
    <mergeCell ref="K2300:K2301"/>
    <mergeCell ref="L2300:L2301"/>
    <mergeCell ref="M2300:M2301"/>
    <mergeCell ref="I2273:I2274"/>
    <mergeCell ref="J2273:J2274"/>
    <mergeCell ref="K2273:K2274"/>
    <mergeCell ref="L2273:L2274"/>
    <mergeCell ref="M2273:M2274"/>
    <mergeCell ref="N2273:N2274"/>
    <mergeCell ref="I2271:I2272"/>
    <mergeCell ref="J2271:J2272"/>
    <mergeCell ref="K2271:K2272"/>
    <mergeCell ref="L2271:L2272"/>
    <mergeCell ref="M2271:M2272"/>
    <mergeCell ref="N2271:N2272"/>
    <mergeCell ref="I2306:I2307"/>
    <mergeCell ref="J2306:J2307"/>
    <mergeCell ref="K2306:K2307"/>
    <mergeCell ref="L2306:L2307"/>
    <mergeCell ref="M2306:M2307"/>
    <mergeCell ref="N2306:N2307"/>
    <mergeCell ref="I2304:I2305"/>
    <mergeCell ref="J2304:J2305"/>
    <mergeCell ref="K2304:K2305"/>
    <mergeCell ref="L2304:L2305"/>
    <mergeCell ref="M2304:M2305"/>
    <mergeCell ref="N2304:N2305"/>
    <mergeCell ref="N2300:N2301"/>
    <mergeCell ref="O2300:P2300"/>
    <mergeCell ref="I2302:I2303"/>
    <mergeCell ref="J2302:J2303"/>
    <mergeCell ref="K2302:K2303"/>
    <mergeCell ref="L2302:L2303"/>
    <mergeCell ref="M2302:M2303"/>
    <mergeCell ref="N2302:N2303"/>
    <mergeCell ref="I2312:M2312"/>
    <mergeCell ref="I2313:M2313"/>
    <mergeCell ref="I2314:M2314"/>
    <mergeCell ref="I2320:L2320"/>
    <mergeCell ref="I2335:P2335"/>
    <mergeCell ref="I2337:I2338"/>
    <mergeCell ref="J2337:J2338"/>
    <mergeCell ref="K2337:K2338"/>
    <mergeCell ref="L2337:L2338"/>
    <mergeCell ref="M2337:M2338"/>
    <mergeCell ref="I2310:I2311"/>
    <mergeCell ref="J2310:J2311"/>
    <mergeCell ref="K2310:K2311"/>
    <mergeCell ref="L2310:L2311"/>
    <mergeCell ref="M2310:M2311"/>
    <mergeCell ref="N2310:N2311"/>
    <mergeCell ref="I2308:I2309"/>
    <mergeCell ref="J2308:J2309"/>
    <mergeCell ref="K2308:K2309"/>
    <mergeCell ref="L2308:L2309"/>
    <mergeCell ref="M2308:M2309"/>
    <mergeCell ref="N2308:N2309"/>
    <mergeCell ref="I2343:I2344"/>
    <mergeCell ref="J2343:J2344"/>
    <mergeCell ref="K2343:K2344"/>
    <mergeCell ref="L2343:L2344"/>
    <mergeCell ref="M2343:M2344"/>
    <mergeCell ref="N2343:N2344"/>
    <mergeCell ref="I2341:I2342"/>
    <mergeCell ref="J2341:J2342"/>
    <mergeCell ref="K2341:K2342"/>
    <mergeCell ref="L2341:L2342"/>
    <mergeCell ref="M2341:M2342"/>
    <mergeCell ref="N2341:N2342"/>
    <mergeCell ref="N2337:N2338"/>
    <mergeCell ref="O2337:P2337"/>
    <mergeCell ref="I2339:I2340"/>
    <mergeCell ref="J2339:J2340"/>
    <mergeCell ref="K2339:K2340"/>
    <mergeCell ref="L2339:L2340"/>
    <mergeCell ref="M2339:M2340"/>
    <mergeCell ref="N2339:N2340"/>
    <mergeCell ref="I2349:M2349"/>
    <mergeCell ref="I2350:M2350"/>
    <mergeCell ref="I2351:M2351"/>
    <mergeCell ref="I2357:L2357"/>
    <mergeCell ref="I2372:P2372"/>
    <mergeCell ref="I2374:I2375"/>
    <mergeCell ref="J2374:J2375"/>
    <mergeCell ref="K2374:K2375"/>
    <mergeCell ref="L2374:L2375"/>
    <mergeCell ref="M2374:M2375"/>
    <mergeCell ref="I2347:I2348"/>
    <mergeCell ref="J2347:J2348"/>
    <mergeCell ref="K2347:K2348"/>
    <mergeCell ref="L2347:L2348"/>
    <mergeCell ref="M2347:M2348"/>
    <mergeCell ref="N2347:N2348"/>
    <mergeCell ref="I2345:I2346"/>
    <mergeCell ref="J2345:J2346"/>
    <mergeCell ref="K2345:K2346"/>
    <mergeCell ref="L2345:L2346"/>
    <mergeCell ref="M2345:M2346"/>
    <mergeCell ref="N2345:N2346"/>
    <mergeCell ref="I2380:I2381"/>
    <mergeCell ref="J2380:J2381"/>
    <mergeCell ref="K2380:K2381"/>
    <mergeCell ref="L2380:L2381"/>
    <mergeCell ref="M2380:M2381"/>
    <mergeCell ref="N2380:N2381"/>
    <mergeCell ref="I2378:I2379"/>
    <mergeCell ref="J2378:J2379"/>
    <mergeCell ref="K2378:K2379"/>
    <mergeCell ref="L2378:L2379"/>
    <mergeCell ref="M2378:M2379"/>
    <mergeCell ref="N2378:N2379"/>
    <mergeCell ref="N2374:N2375"/>
    <mergeCell ref="O2374:P2374"/>
    <mergeCell ref="I2376:I2377"/>
    <mergeCell ref="J2376:J2377"/>
    <mergeCell ref="K2376:K2377"/>
    <mergeCell ref="L2376:L2377"/>
    <mergeCell ref="M2376:M2377"/>
    <mergeCell ref="N2376:N2377"/>
    <mergeCell ref="I2386:M2386"/>
    <mergeCell ref="I2387:M2387"/>
    <mergeCell ref="I2388:M2388"/>
    <mergeCell ref="I2394:L2394"/>
    <mergeCell ref="I2409:P2409"/>
    <mergeCell ref="I2411:I2412"/>
    <mergeCell ref="J2411:J2412"/>
    <mergeCell ref="K2411:K2412"/>
    <mergeCell ref="L2411:L2412"/>
    <mergeCell ref="M2411:M2412"/>
    <mergeCell ref="I2384:I2385"/>
    <mergeCell ref="J2384:J2385"/>
    <mergeCell ref="K2384:K2385"/>
    <mergeCell ref="L2384:L2385"/>
    <mergeCell ref="M2384:M2385"/>
    <mergeCell ref="N2384:N2385"/>
    <mergeCell ref="I2382:I2383"/>
    <mergeCell ref="J2382:J2383"/>
    <mergeCell ref="K2382:K2383"/>
    <mergeCell ref="L2382:L2383"/>
    <mergeCell ref="M2382:M2383"/>
    <mergeCell ref="N2382:N2383"/>
    <mergeCell ref="I2417:I2418"/>
    <mergeCell ref="J2417:J2418"/>
    <mergeCell ref="K2417:K2418"/>
    <mergeCell ref="L2417:L2418"/>
    <mergeCell ref="M2417:M2418"/>
    <mergeCell ref="N2417:N2418"/>
    <mergeCell ref="I2415:I2416"/>
    <mergeCell ref="J2415:J2416"/>
    <mergeCell ref="K2415:K2416"/>
    <mergeCell ref="L2415:L2416"/>
    <mergeCell ref="M2415:M2416"/>
    <mergeCell ref="N2415:N2416"/>
    <mergeCell ref="N2411:N2412"/>
    <mergeCell ref="O2411:P2411"/>
    <mergeCell ref="I2413:I2414"/>
    <mergeCell ref="J2413:J2414"/>
    <mergeCell ref="K2413:K2414"/>
    <mergeCell ref="L2413:L2414"/>
    <mergeCell ref="M2413:M2414"/>
    <mergeCell ref="N2413:N2414"/>
    <mergeCell ref="I2423:M2423"/>
    <mergeCell ref="I2424:M2424"/>
    <mergeCell ref="I2425:M2425"/>
    <mergeCell ref="I2431:L2431"/>
    <mergeCell ref="I2446:P2446"/>
    <mergeCell ref="I2448:I2449"/>
    <mergeCell ref="J2448:J2449"/>
    <mergeCell ref="K2448:K2449"/>
    <mergeCell ref="L2448:L2449"/>
    <mergeCell ref="M2448:M2449"/>
    <mergeCell ref="I2421:I2422"/>
    <mergeCell ref="J2421:J2422"/>
    <mergeCell ref="K2421:K2422"/>
    <mergeCell ref="L2421:L2422"/>
    <mergeCell ref="M2421:M2422"/>
    <mergeCell ref="N2421:N2422"/>
    <mergeCell ref="I2419:I2420"/>
    <mergeCell ref="J2419:J2420"/>
    <mergeCell ref="K2419:K2420"/>
    <mergeCell ref="L2419:L2420"/>
    <mergeCell ref="M2419:M2420"/>
    <mergeCell ref="N2419:N2420"/>
    <mergeCell ref="I2454:I2455"/>
    <mergeCell ref="J2454:J2455"/>
    <mergeCell ref="K2454:K2455"/>
    <mergeCell ref="L2454:L2455"/>
    <mergeCell ref="M2454:M2455"/>
    <mergeCell ref="N2454:N2455"/>
    <mergeCell ref="I2452:I2453"/>
    <mergeCell ref="J2452:J2453"/>
    <mergeCell ref="K2452:K2453"/>
    <mergeCell ref="L2452:L2453"/>
    <mergeCell ref="M2452:M2453"/>
    <mergeCell ref="N2452:N2453"/>
    <mergeCell ref="N2448:N2449"/>
    <mergeCell ref="O2448:P2448"/>
    <mergeCell ref="I2450:I2451"/>
    <mergeCell ref="J2450:J2451"/>
    <mergeCell ref="K2450:K2451"/>
    <mergeCell ref="L2450:L2451"/>
    <mergeCell ref="M2450:M2451"/>
    <mergeCell ref="N2450:N2451"/>
    <mergeCell ref="I2460:I2461"/>
    <mergeCell ref="J2460:J2461"/>
    <mergeCell ref="K2460:K2461"/>
    <mergeCell ref="L2460:L2461"/>
    <mergeCell ref="M2460:M2461"/>
    <mergeCell ref="N2460:N2461"/>
    <mergeCell ref="I2458:I2459"/>
    <mergeCell ref="J2458:J2459"/>
    <mergeCell ref="K2458:K2459"/>
    <mergeCell ref="L2458:L2459"/>
    <mergeCell ref="M2458:M2459"/>
    <mergeCell ref="N2458:N2459"/>
    <mergeCell ref="I2456:I2457"/>
    <mergeCell ref="J2456:J2457"/>
    <mergeCell ref="K2456:K2457"/>
    <mergeCell ref="L2456:L2457"/>
    <mergeCell ref="M2456:M2457"/>
    <mergeCell ref="N2456:N2457"/>
    <mergeCell ref="I2491:I2492"/>
    <mergeCell ref="J2491:J2492"/>
    <mergeCell ref="K2491:K2492"/>
    <mergeCell ref="L2491:L2492"/>
    <mergeCell ref="M2491:M2492"/>
    <mergeCell ref="N2491:N2492"/>
    <mergeCell ref="N2487:N2488"/>
    <mergeCell ref="O2487:P2487"/>
    <mergeCell ref="I2489:I2490"/>
    <mergeCell ref="J2489:J2490"/>
    <mergeCell ref="K2489:K2490"/>
    <mergeCell ref="L2489:L2490"/>
    <mergeCell ref="M2489:M2490"/>
    <mergeCell ref="N2489:N2490"/>
    <mergeCell ref="I2462:M2462"/>
    <mergeCell ref="I2463:M2463"/>
    <mergeCell ref="I2464:M2464"/>
    <mergeCell ref="I2470:L2470"/>
    <mergeCell ref="I2485:P2485"/>
    <mergeCell ref="I2487:I2488"/>
    <mergeCell ref="J2487:J2488"/>
    <mergeCell ref="K2487:K2488"/>
    <mergeCell ref="L2487:L2488"/>
    <mergeCell ref="M2487:M2488"/>
    <mergeCell ref="I2497:I2498"/>
    <mergeCell ref="J2497:J2498"/>
    <mergeCell ref="K2497:K2498"/>
    <mergeCell ref="L2497:L2498"/>
    <mergeCell ref="M2497:M2498"/>
    <mergeCell ref="N2497:N2498"/>
    <mergeCell ref="I2495:I2496"/>
    <mergeCell ref="J2495:J2496"/>
    <mergeCell ref="K2495:K2496"/>
    <mergeCell ref="L2495:L2496"/>
    <mergeCell ref="M2495:M2496"/>
    <mergeCell ref="N2495:N2496"/>
    <mergeCell ref="I2493:I2494"/>
    <mergeCell ref="J2493:J2494"/>
    <mergeCell ref="K2493:K2494"/>
    <mergeCell ref="L2493:L2494"/>
    <mergeCell ref="M2493:M2494"/>
    <mergeCell ref="N2493:N2494"/>
    <mergeCell ref="I2528:I2529"/>
    <mergeCell ref="J2528:J2529"/>
    <mergeCell ref="K2528:K2529"/>
    <mergeCell ref="L2528:L2529"/>
    <mergeCell ref="M2528:M2529"/>
    <mergeCell ref="N2528:N2529"/>
    <mergeCell ref="N2524:N2525"/>
    <mergeCell ref="O2524:P2524"/>
    <mergeCell ref="I2526:I2527"/>
    <mergeCell ref="J2526:J2527"/>
    <mergeCell ref="K2526:K2527"/>
    <mergeCell ref="L2526:L2527"/>
    <mergeCell ref="M2526:M2527"/>
    <mergeCell ref="N2526:N2527"/>
    <mergeCell ref="I2499:M2499"/>
    <mergeCell ref="I2500:M2500"/>
    <mergeCell ref="I2501:M2501"/>
    <mergeCell ref="I2507:L2507"/>
    <mergeCell ref="I2522:P2522"/>
    <mergeCell ref="I2524:I2525"/>
    <mergeCell ref="J2524:J2525"/>
    <mergeCell ref="K2524:K2525"/>
    <mergeCell ref="L2524:L2525"/>
    <mergeCell ref="M2524:M2525"/>
    <mergeCell ref="I2534:I2535"/>
    <mergeCell ref="J2534:J2535"/>
    <mergeCell ref="K2534:K2535"/>
    <mergeCell ref="L2534:L2535"/>
    <mergeCell ref="M2534:M2535"/>
    <mergeCell ref="N2534:N2535"/>
    <mergeCell ref="I2532:I2533"/>
    <mergeCell ref="J2532:J2533"/>
    <mergeCell ref="K2532:K2533"/>
    <mergeCell ref="L2532:L2533"/>
    <mergeCell ref="M2532:M2533"/>
    <mergeCell ref="N2532:N2533"/>
    <mergeCell ref="I2530:I2531"/>
    <mergeCell ref="J2530:J2531"/>
    <mergeCell ref="K2530:K2531"/>
    <mergeCell ref="L2530:L2531"/>
    <mergeCell ref="M2530:M2531"/>
    <mergeCell ref="N2530:N2531"/>
    <mergeCell ref="I2565:I2566"/>
    <mergeCell ref="J2565:J2566"/>
    <mergeCell ref="K2565:K2566"/>
    <mergeCell ref="L2565:L2566"/>
    <mergeCell ref="M2565:M2566"/>
    <mergeCell ref="N2565:N2566"/>
    <mergeCell ref="N2561:N2562"/>
    <mergeCell ref="O2561:P2561"/>
    <mergeCell ref="I2563:I2564"/>
    <mergeCell ref="J2563:J2564"/>
    <mergeCell ref="K2563:K2564"/>
    <mergeCell ref="L2563:L2564"/>
    <mergeCell ref="M2563:M2564"/>
    <mergeCell ref="N2563:N2564"/>
    <mergeCell ref="I2536:M2536"/>
    <mergeCell ref="I2537:M2537"/>
    <mergeCell ref="I2538:M2538"/>
    <mergeCell ref="I2544:L2544"/>
    <mergeCell ref="I2559:P2559"/>
    <mergeCell ref="I2561:I2562"/>
    <mergeCell ref="J2561:J2562"/>
    <mergeCell ref="K2561:K2562"/>
    <mergeCell ref="L2561:L2562"/>
    <mergeCell ref="M2561:M2562"/>
    <mergeCell ref="I2571:I2572"/>
    <mergeCell ref="J2571:J2572"/>
    <mergeCell ref="K2571:K2572"/>
    <mergeCell ref="L2571:L2572"/>
    <mergeCell ref="M2571:M2572"/>
    <mergeCell ref="N2571:N2572"/>
    <mergeCell ref="I2569:I2570"/>
    <mergeCell ref="J2569:J2570"/>
    <mergeCell ref="K2569:K2570"/>
    <mergeCell ref="L2569:L2570"/>
    <mergeCell ref="M2569:M2570"/>
    <mergeCell ref="N2569:N2570"/>
    <mergeCell ref="I2567:I2568"/>
    <mergeCell ref="J2567:J2568"/>
    <mergeCell ref="K2567:K2568"/>
    <mergeCell ref="L2567:L2568"/>
    <mergeCell ref="M2567:M2568"/>
    <mergeCell ref="N2567:N2568"/>
    <mergeCell ref="I2600:I2601"/>
    <mergeCell ref="J2600:J2601"/>
    <mergeCell ref="K2600:K2601"/>
    <mergeCell ref="L2600:L2601"/>
    <mergeCell ref="M2600:M2601"/>
    <mergeCell ref="N2600:N2601"/>
    <mergeCell ref="I2596:P2596"/>
    <mergeCell ref="I2598:I2599"/>
    <mergeCell ref="J2598:J2599"/>
    <mergeCell ref="K2598:K2599"/>
    <mergeCell ref="L2598:L2599"/>
    <mergeCell ref="M2598:M2599"/>
    <mergeCell ref="N2598:N2599"/>
    <mergeCell ref="O2598:P2598"/>
    <mergeCell ref="I2573:M2573"/>
    <mergeCell ref="I2574:M2574"/>
    <mergeCell ref="I2575:M2575"/>
    <mergeCell ref="I2581:L2581"/>
    <mergeCell ref="N2581:P2581"/>
    <mergeCell ref="N2586:P2586"/>
    <mergeCell ref="I2606:I2607"/>
    <mergeCell ref="J2606:J2607"/>
    <mergeCell ref="K2606:K2607"/>
    <mergeCell ref="L2606:L2607"/>
    <mergeCell ref="M2606:M2607"/>
    <mergeCell ref="N2606:N2607"/>
    <mergeCell ref="I2604:I2605"/>
    <mergeCell ref="J2604:J2605"/>
    <mergeCell ref="K2604:K2605"/>
    <mergeCell ref="L2604:L2605"/>
    <mergeCell ref="M2604:M2605"/>
    <mergeCell ref="N2604:N2605"/>
    <mergeCell ref="I2602:I2603"/>
    <mergeCell ref="J2602:J2603"/>
    <mergeCell ref="K2602:K2603"/>
    <mergeCell ref="L2602:L2603"/>
    <mergeCell ref="M2602:M2603"/>
    <mergeCell ref="N2602:N2603"/>
    <mergeCell ref="I2612:M2612"/>
    <mergeCell ref="I2613:M2613"/>
    <mergeCell ref="I2614:M2614"/>
    <mergeCell ref="I2620:L2620"/>
    <mergeCell ref="I2635:P2635"/>
    <mergeCell ref="I2637:I2638"/>
    <mergeCell ref="J2637:J2638"/>
    <mergeCell ref="K2637:K2638"/>
    <mergeCell ref="L2637:L2638"/>
    <mergeCell ref="M2637:M2638"/>
    <mergeCell ref="I2610:I2611"/>
    <mergeCell ref="J2610:J2611"/>
    <mergeCell ref="K2610:K2611"/>
    <mergeCell ref="L2610:L2611"/>
    <mergeCell ref="M2610:M2611"/>
    <mergeCell ref="N2610:N2611"/>
    <mergeCell ref="I2608:I2609"/>
    <mergeCell ref="J2608:J2609"/>
    <mergeCell ref="K2608:K2609"/>
    <mergeCell ref="L2608:L2609"/>
    <mergeCell ref="M2608:M2609"/>
    <mergeCell ref="N2608:N2609"/>
    <mergeCell ref="I2643:I2644"/>
    <mergeCell ref="J2643:J2644"/>
    <mergeCell ref="K2643:K2644"/>
    <mergeCell ref="L2643:L2644"/>
    <mergeCell ref="M2643:M2644"/>
    <mergeCell ref="N2643:N2644"/>
    <mergeCell ref="I2641:I2642"/>
    <mergeCell ref="J2641:J2642"/>
    <mergeCell ref="K2641:K2642"/>
    <mergeCell ref="L2641:L2642"/>
    <mergeCell ref="M2641:M2642"/>
    <mergeCell ref="N2641:N2642"/>
    <mergeCell ref="N2637:N2638"/>
    <mergeCell ref="O2637:P2637"/>
    <mergeCell ref="I2639:I2640"/>
    <mergeCell ref="J2639:J2640"/>
    <mergeCell ref="K2639:K2640"/>
    <mergeCell ref="L2639:L2640"/>
    <mergeCell ref="M2639:M2640"/>
    <mergeCell ref="N2639:N2640"/>
    <mergeCell ref="I2649:M2649"/>
    <mergeCell ref="I2650:M2650"/>
    <mergeCell ref="I2651:M2651"/>
    <mergeCell ref="I2657:L2657"/>
    <mergeCell ref="I2672:P2672"/>
    <mergeCell ref="I2674:I2675"/>
    <mergeCell ref="J2674:J2675"/>
    <mergeCell ref="K2674:K2675"/>
    <mergeCell ref="L2674:L2675"/>
    <mergeCell ref="M2674:M2675"/>
    <mergeCell ref="I2647:I2648"/>
    <mergeCell ref="J2647:J2648"/>
    <mergeCell ref="K2647:K2648"/>
    <mergeCell ref="L2647:L2648"/>
    <mergeCell ref="M2647:M2648"/>
    <mergeCell ref="N2647:N2648"/>
    <mergeCell ref="I2645:I2646"/>
    <mergeCell ref="J2645:J2646"/>
    <mergeCell ref="K2645:K2646"/>
    <mergeCell ref="L2645:L2646"/>
    <mergeCell ref="M2645:M2646"/>
    <mergeCell ref="N2645:N2646"/>
    <mergeCell ref="I2680:I2681"/>
    <mergeCell ref="J2680:J2681"/>
    <mergeCell ref="K2680:K2681"/>
    <mergeCell ref="L2680:L2681"/>
    <mergeCell ref="M2680:M2681"/>
    <mergeCell ref="N2680:N2681"/>
    <mergeCell ref="I2678:I2679"/>
    <mergeCell ref="J2678:J2679"/>
    <mergeCell ref="K2678:K2679"/>
    <mergeCell ref="L2678:L2679"/>
    <mergeCell ref="M2678:M2679"/>
    <mergeCell ref="N2678:N2679"/>
    <mergeCell ref="N2674:N2675"/>
    <mergeCell ref="O2674:P2674"/>
    <mergeCell ref="I2676:I2677"/>
    <mergeCell ref="J2676:J2677"/>
    <mergeCell ref="K2676:K2677"/>
    <mergeCell ref="L2676:L2677"/>
    <mergeCell ref="M2676:M2677"/>
    <mergeCell ref="N2676:N2677"/>
    <mergeCell ref="I2686:M2686"/>
    <mergeCell ref="I2687:M2687"/>
    <mergeCell ref="I2688:M2688"/>
    <mergeCell ref="I2694:L2694"/>
    <mergeCell ref="I2709:P2709"/>
    <mergeCell ref="I2711:I2712"/>
    <mergeCell ref="J2711:J2712"/>
    <mergeCell ref="K2711:K2712"/>
    <mergeCell ref="L2711:L2712"/>
    <mergeCell ref="M2711:M2712"/>
    <mergeCell ref="I2684:I2685"/>
    <mergeCell ref="J2684:J2685"/>
    <mergeCell ref="K2684:K2685"/>
    <mergeCell ref="L2684:L2685"/>
    <mergeCell ref="M2684:M2685"/>
    <mergeCell ref="N2684:N2685"/>
    <mergeCell ref="I2682:I2683"/>
    <mergeCell ref="J2682:J2683"/>
    <mergeCell ref="K2682:K2683"/>
    <mergeCell ref="L2682:L2683"/>
    <mergeCell ref="M2682:M2683"/>
    <mergeCell ref="N2682:N2683"/>
    <mergeCell ref="I2717:I2718"/>
    <mergeCell ref="J2717:J2718"/>
    <mergeCell ref="K2717:K2718"/>
    <mergeCell ref="L2717:L2718"/>
    <mergeCell ref="M2717:M2718"/>
    <mergeCell ref="N2717:N2718"/>
    <mergeCell ref="I2715:I2716"/>
    <mergeCell ref="J2715:J2716"/>
    <mergeCell ref="K2715:K2716"/>
    <mergeCell ref="L2715:L2716"/>
    <mergeCell ref="M2715:M2716"/>
    <mergeCell ref="N2715:N2716"/>
    <mergeCell ref="N2711:N2712"/>
    <mergeCell ref="O2711:P2711"/>
    <mergeCell ref="I2713:I2714"/>
    <mergeCell ref="J2713:J2714"/>
    <mergeCell ref="K2713:K2714"/>
    <mergeCell ref="L2713:L2714"/>
    <mergeCell ref="M2713:M2714"/>
    <mergeCell ref="N2713:N2714"/>
    <mergeCell ref="I2723:M2723"/>
    <mergeCell ref="I2724:M2724"/>
    <mergeCell ref="I2725:M2725"/>
    <mergeCell ref="I2731:L2731"/>
    <mergeCell ref="I2746:P2746"/>
    <mergeCell ref="I2748:I2749"/>
    <mergeCell ref="J2748:J2749"/>
    <mergeCell ref="K2748:K2749"/>
    <mergeCell ref="L2748:L2749"/>
    <mergeCell ref="M2748:M2749"/>
    <mergeCell ref="I2721:I2722"/>
    <mergeCell ref="J2721:J2722"/>
    <mergeCell ref="K2721:K2722"/>
    <mergeCell ref="L2721:L2722"/>
    <mergeCell ref="M2721:M2722"/>
    <mergeCell ref="N2721:N2722"/>
    <mergeCell ref="I2719:I2720"/>
    <mergeCell ref="J2719:J2720"/>
    <mergeCell ref="K2719:K2720"/>
    <mergeCell ref="L2719:L2720"/>
    <mergeCell ref="M2719:M2720"/>
    <mergeCell ref="N2719:N2720"/>
    <mergeCell ref="I2754:I2755"/>
    <mergeCell ref="J2754:J2755"/>
    <mergeCell ref="K2754:K2755"/>
    <mergeCell ref="L2754:L2755"/>
    <mergeCell ref="M2754:M2755"/>
    <mergeCell ref="N2754:N2755"/>
    <mergeCell ref="I2752:I2753"/>
    <mergeCell ref="J2752:J2753"/>
    <mergeCell ref="K2752:K2753"/>
    <mergeCell ref="L2752:L2753"/>
    <mergeCell ref="M2752:M2753"/>
    <mergeCell ref="N2752:N2753"/>
    <mergeCell ref="N2748:N2749"/>
    <mergeCell ref="O2748:P2748"/>
    <mergeCell ref="I2750:I2751"/>
    <mergeCell ref="J2750:J2751"/>
    <mergeCell ref="K2750:K2751"/>
    <mergeCell ref="L2750:L2751"/>
    <mergeCell ref="M2750:M2751"/>
    <mergeCell ref="N2750:N2751"/>
    <mergeCell ref="I2760:M2760"/>
    <mergeCell ref="I2761:M2761"/>
    <mergeCell ref="I2762:M2762"/>
    <mergeCell ref="I2768:L2768"/>
    <mergeCell ref="I2783:P2783"/>
    <mergeCell ref="I2785:I2786"/>
    <mergeCell ref="J2785:J2786"/>
    <mergeCell ref="K2785:K2786"/>
    <mergeCell ref="L2785:L2786"/>
    <mergeCell ref="M2785:M2786"/>
    <mergeCell ref="I2758:I2759"/>
    <mergeCell ref="J2758:J2759"/>
    <mergeCell ref="K2758:K2759"/>
    <mergeCell ref="L2758:L2759"/>
    <mergeCell ref="M2758:M2759"/>
    <mergeCell ref="N2758:N2759"/>
    <mergeCell ref="I2756:I2757"/>
    <mergeCell ref="J2756:J2757"/>
    <mergeCell ref="K2756:K2757"/>
    <mergeCell ref="L2756:L2757"/>
    <mergeCell ref="M2756:M2757"/>
    <mergeCell ref="N2756:N2757"/>
    <mergeCell ref="I2791:I2792"/>
    <mergeCell ref="J2791:J2792"/>
    <mergeCell ref="K2791:K2792"/>
    <mergeCell ref="L2791:L2792"/>
    <mergeCell ref="M2791:M2792"/>
    <mergeCell ref="N2791:N2792"/>
    <mergeCell ref="I2789:I2790"/>
    <mergeCell ref="J2789:J2790"/>
    <mergeCell ref="K2789:K2790"/>
    <mergeCell ref="L2789:L2790"/>
    <mergeCell ref="M2789:M2790"/>
    <mergeCell ref="N2789:N2790"/>
    <mergeCell ref="N2785:N2786"/>
    <mergeCell ref="O2785:P2785"/>
    <mergeCell ref="I2787:I2788"/>
    <mergeCell ref="J2787:J2788"/>
    <mergeCell ref="K2787:K2788"/>
    <mergeCell ref="L2787:L2788"/>
    <mergeCell ref="M2787:M2788"/>
    <mergeCell ref="N2787:N2788"/>
    <mergeCell ref="I2797:I2798"/>
    <mergeCell ref="J2797:J2798"/>
    <mergeCell ref="K2797:K2798"/>
    <mergeCell ref="L2797:L2798"/>
    <mergeCell ref="M2797:M2798"/>
    <mergeCell ref="N2797:N2798"/>
    <mergeCell ref="I2795:I2796"/>
    <mergeCell ref="J2795:J2796"/>
    <mergeCell ref="K2795:K2796"/>
    <mergeCell ref="L2795:L2796"/>
    <mergeCell ref="M2795:M2796"/>
    <mergeCell ref="N2795:N2796"/>
    <mergeCell ref="I2793:I2794"/>
    <mergeCell ref="J2793:J2794"/>
    <mergeCell ref="K2793:K2794"/>
    <mergeCell ref="L2793:L2794"/>
    <mergeCell ref="M2793:M2794"/>
    <mergeCell ref="N2793:N2794"/>
    <mergeCell ref="N2824:N2825"/>
    <mergeCell ref="O2824:P2824"/>
    <mergeCell ref="I2826:I2827"/>
    <mergeCell ref="J2826:J2827"/>
    <mergeCell ref="K2826:K2827"/>
    <mergeCell ref="L2826:L2827"/>
    <mergeCell ref="M2826:M2827"/>
    <mergeCell ref="N2826:N2827"/>
    <mergeCell ref="I2799:M2799"/>
    <mergeCell ref="I2800:M2800"/>
    <mergeCell ref="I2801:M2801"/>
    <mergeCell ref="I2807:L2807"/>
    <mergeCell ref="I2822:P2822"/>
    <mergeCell ref="I2824:I2825"/>
    <mergeCell ref="J2824:J2825"/>
    <mergeCell ref="K2824:K2825"/>
    <mergeCell ref="L2824:L2825"/>
    <mergeCell ref="M2824:M2825"/>
    <mergeCell ref="I2832:I2833"/>
    <mergeCell ref="J2832:J2833"/>
    <mergeCell ref="K2832:K2833"/>
    <mergeCell ref="L2832:L2833"/>
    <mergeCell ref="M2832:M2833"/>
    <mergeCell ref="N2832:N2833"/>
    <mergeCell ref="I2830:I2831"/>
    <mergeCell ref="J2830:J2831"/>
    <mergeCell ref="K2830:K2831"/>
    <mergeCell ref="L2830:L2831"/>
    <mergeCell ref="M2830:M2831"/>
    <mergeCell ref="N2830:N2831"/>
    <mergeCell ref="I2828:I2829"/>
    <mergeCell ref="J2828:J2829"/>
    <mergeCell ref="K2828:K2829"/>
    <mergeCell ref="L2828:L2829"/>
    <mergeCell ref="M2828:M2829"/>
    <mergeCell ref="N2828:N2829"/>
    <mergeCell ref="I2838:M2838"/>
    <mergeCell ref="I2839:M2839"/>
    <mergeCell ref="I2840:M2840"/>
    <mergeCell ref="I2846:L2846"/>
    <mergeCell ref="I2861:P2861"/>
    <mergeCell ref="I2863:I2864"/>
    <mergeCell ref="J2863:J2864"/>
    <mergeCell ref="K2863:K2864"/>
    <mergeCell ref="L2863:L2864"/>
    <mergeCell ref="M2863:M2864"/>
    <mergeCell ref="I2836:I2837"/>
    <mergeCell ref="J2836:J2837"/>
    <mergeCell ref="K2836:K2837"/>
    <mergeCell ref="L2836:L2837"/>
    <mergeCell ref="M2836:M2837"/>
    <mergeCell ref="N2836:N2837"/>
    <mergeCell ref="I2834:I2835"/>
    <mergeCell ref="J2834:J2835"/>
    <mergeCell ref="K2834:K2835"/>
    <mergeCell ref="L2834:L2835"/>
    <mergeCell ref="M2834:M2835"/>
    <mergeCell ref="N2834:N2835"/>
    <mergeCell ref="I2869:I2870"/>
    <mergeCell ref="J2869:J2870"/>
    <mergeCell ref="K2869:K2870"/>
    <mergeCell ref="L2869:L2870"/>
    <mergeCell ref="M2869:M2870"/>
    <mergeCell ref="N2869:N2870"/>
    <mergeCell ref="I2867:I2868"/>
    <mergeCell ref="J2867:J2868"/>
    <mergeCell ref="K2867:K2868"/>
    <mergeCell ref="L2867:L2868"/>
    <mergeCell ref="M2867:M2868"/>
    <mergeCell ref="N2867:N2868"/>
    <mergeCell ref="N2863:N2864"/>
    <mergeCell ref="O2863:P2863"/>
    <mergeCell ref="I2865:I2866"/>
    <mergeCell ref="J2865:J2866"/>
    <mergeCell ref="K2865:K2866"/>
    <mergeCell ref="L2865:L2866"/>
    <mergeCell ref="M2865:M2866"/>
    <mergeCell ref="N2865:N2866"/>
    <mergeCell ref="I2875:M2875"/>
    <mergeCell ref="I2876:M2876"/>
    <mergeCell ref="I2877:M2877"/>
    <mergeCell ref="I2883:L2883"/>
    <mergeCell ref="I2898:P2898"/>
    <mergeCell ref="I2900:I2901"/>
    <mergeCell ref="J2900:J2901"/>
    <mergeCell ref="K2900:K2901"/>
    <mergeCell ref="L2900:L2901"/>
    <mergeCell ref="M2900:M2901"/>
    <mergeCell ref="I2873:I2874"/>
    <mergeCell ref="J2873:J2874"/>
    <mergeCell ref="K2873:K2874"/>
    <mergeCell ref="L2873:L2874"/>
    <mergeCell ref="M2873:M2874"/>
    <mergeCell ref="N2873:N2874"/>
    <mergeCell ref="I2871:I2872"/>
    <mergeCell ref="J2871:J2872"/>
    <mergeCell ref="K2871:K2872"/>
    <mergeCell ref="L2871:L2872"/>
    <mergeCell ref="M2871:M2872"/>
    <mergeCell ref="N2871:N2872"/>
    <mergeCell ref="I2906:I2907"/>
    <mergeCell ref="J2906:J2907"/>
    <mergeCell ref="K2906:K2907"/>
    <mergeCell ref="L2906:L2907"/>
    <mergeCell ref="M2906:M2907"/>
    <mergeCell ref="N2906:N2907"/>
    <mergeCell ref="I2904:I2905"/>
    <mergeCell ref="J2904:J2905"/>
    <mergeCell ref="K2904:K2905"/>
    <mergeCell ref="L2904:L2905"/>
    <mergeCell ref="M2904:M2905"/>
    <mergeCell ref="N2904:N2905"/>
    <mergeCell ref="N2900:N2901"/>
    <mergeCell ref="O2900:P2900"/>
    <mergeCell ref="I2902:I2903"/>
    <mergeCell ref="J2902:J2903"/>
    <mergeCell ref="K2902:K2903"/>
    <mergeCell ref="L2902:L2903"/>
    <mergeCell ref="M2902:M2903"/>
    <mergeCell ref="N2902:N2903"/>
    <mergeCell ref="I2912:M2912"/>
    <mergeCell ref="I2913:M2913"/>
    <mergeCell ref="I2914:M2914"/>
    <mergeCell ref="I2920:L2920"/>
    <mergeCell ref="I2935:P2935"/>
    <mergeCell ref="I2937:I2938"/>
    <mergeCell ref="J2937:J2938"/>
    <mergeCell ref="K2937:K2938"/>
    <mergeCell ref="L2937:L2938"/>
    <mergeCell ref="M2937:M2938"/>
    <mergeCell ref="I2910:I2911"/>
    <mergeCell ref="J2910:J2911"/>
    <mergeCell ref="K2910:K2911"/>
    <mergeCell ref="L2910:L2911"/>
    <mergeCell ref="M2910:M2911"/>
    <mergeCell ref="N2910:N2911"/>
    <mergeCell ref="I2908:I2909"/>
    <mergeCell ref="J2908:J2909"/>
    <mergeCell ref="K2908:K2909"/>
    <mergeCell ref="L2908:L2909"/>
    <mergeCell ref="M2908:M2909"/>
    <mergeCell ref="N2908:N2909"/>
    <mergeCell ref="I2943:I2944"/>
    <mergeCell ref="J2943:J2944"/>
    <mergeCell ref="K2943:K2944"/>
    <mergeCell ref="L2943:L2944"/>
    <mergeCell ref="M2943:M2944"/>
    <mergeCell ref="N2943:N2944"/>
    <mergeCell ref="I2941:I2942"/>
    <mergeCell ref="J2941:J2942"/>
    <mergeCell ref="K2941:K2942"/>
    <mergeCell ref="L2941:L2942"/>
    <mergeCell ref="M2941:M2942"/>
    <mergeCell ref="N2941:N2942"/>
    <mergeCell ref="N2937:N2938"/>
    <mergeCell ref="O2937:P2937"/>
    <mergeCell ref="I2939:I2940"/>
    <mergeCell ref="J2939:J2940"/>
    <mergeCell ref="K2939:K2940"/>
    <mergeCell ref="L2939:L2940"/>
    <mergeCell ref="M2939:M2940"/>
    <mergeCell ref="N2939:N2940"/>
    <mergeCell ref="I2949:M2949"/>
    <mergeCell ref="I2950:M2950"/>
    <mergeCell ref="I2951:M2951"/>
    <mergeCell ref="I2957:L2957"/>
    <mergeCell ref="I2972:P2972"/>
    <mergeCell ref="I2974:I2975"/>
    <mergeCell ref="J2974:J2975"/>
    <mergeCell ref="K2974:K2975"/>
    <mergeCell ref="L2974:L2975"/>
    <mergeCell ref="M2974:M2975"/>
    <mergeCell ref="I2947:I2948"/>
    <mergeCell ref="J2947:J2948"/>
    <mergeCell ref="K2947:K2948"/>
    <mergeCell ref="L2947:L2948"/>
    <mergeCell ref="M2947:M2948"/>
    <mergeCell ref="N2947:N2948"/>
    <mergeCell ref="I2945:I2946"/>
    <mergeCell ref="J2945:J2946"/>
    <mergeCell ref="K2945:K2946"/>
    <mergeCell ref="L2945:L2946"/>
    <mergeCell ref="M2945:M2946"/>
    <mergeCell ref="N2945:N2946"/>
    <mergeCell ref="I2980:I2981"/>
    <mergeCell ref="J2980:J2981"/>
    <mergeCell ref="K2980:K2981"/>
    <mergeCell ref="L2980:L2981"/>
    <mergeCell ref="M2980:M2981"/>
    <mergeCell ref="N2980:N2981"/>
    <mergeCell ref="I2978:I2979"/>
    <mergeCell ref="J2978:J2979"/>
    <mergeCell ref="K2978:K2979"/>
    <mergeCell ref="L2978:L2979"/>
    <mergeCell ref="M2978:M2979"/>
    <mergeCell ref="N2978:N2979"/>
    <mergeCell ref="N2974:N2975"/>
    <mergeCell ref="O2974:P2974"/>
    <mergeCell ref="I2976:I2977"/>
    <mergeCell ref="J2976:J2977"/>
    <mergeCell ref="K2976:K2977"/>
    <mergeCell ref="L2976:L2977"/>
    <mergeCell ref="M2976:M2977"/>
    <mergeCell ref="N2976:N2977"/>
    <mergeCell ref="I2986:M2986"/>
    <mergeCell ref="I2987:M2987"/>
    <mergeCell ref="I2988:M2988"/>
    <mergeCell ref="I2994:L2994"/>
    <mergeCell ref="I3009:P3009"/>
    <mergeCell ref="I3011:I3012"/>
    <mergeCell ref="J3011:J3012"/>
    <mergeCell ref="K3011:K3012"/>
    <mergeCell ref="L3011:L3012"/>
    <mergeCell ref="M3011:M3012"/>
    <mergeCell ref="I2984:I2985"/>
    <mergeCell ref="J2984:J2985"/>
    <mergeCell ref="K2984:K2985"/>
    <mergeCell ref="L2984:L2985"/>
    <mergeCell ref="M2984:M2985"/>
    <mergeCell ref="N2984:N2985"/>
    <mergeCell ref="I2982:I2983"/>
    <mergeCell ref="J2982:J2983"/>
    <mergeCell ref="K2982:K2983"/>
    <mergeCell ref="L2982:L2983"/>
    <mergeCell ref="M2982:M2983"/>
    <mergeCell ref="N2982:N2983"/>
    <mergeCell ref="I3017:I3018"/>
    <mergeCell ref="J3017:J3018"/>
    <mergeCell ref="K3017:K3018"/>
    <mergeCell ref="L3017:L3018"/>
    <mergeCell ref="M3017:M3018"/>
    <mergeCell ref="N3017:N3018"/>
    <mergeCell ref="I3015:I3016"/>
    <mergeCell ref="J3015:J3016"/>
    <mergeCell ref="K3015:K3016"/>
    <mergeCell ref="L3015:L3016"/>
    <mergeCell ref="M3015:M3016"/>
    <mergeCell ref="N3015:N3016"/>
    <mergeCell ref="N3011:N3012"/>
    <mergeCell ref="O3011:P3011"/>
    <mergeCell ref="I3013:I3014"/>
    <mergeCell ref="J3013:J3014"/>
    <mergeCell ref="K3013:K3014"/>
    <mergeCell ref="L3013:L3014"/>
    <mergeCell ref="M3013:M3014"/>
    <mergeCell ref="N3013:N3014"/>
    <mergeCell ref="I3023:M3023"/>
    <mergeCell ref="I3024:M3024"/>
    <mergeCell ref="I3025:M3025"/>
    <mergeCell ref="I3031:L3031"/>
    <mergeCell ref="I3046:P3046"/>
    <mergeCell ref="I3048:I3049"/>
    <mergeCell ref="J3048:J3049"/>
    <mergeCell ref="K3048:K3049"/>
    <mergeCell ref="L3048:L3049"/>
    <mergeCell ref="M3048:M3049"/>
    <mergeCell ref="I3021:I3022"/>
    <mergeCell ref="J3021:J3022"/>
    <mergeCell ref="K3021:K3022"/>
    <mergeCell ref="L3021:L3022"/>
    <mergeCell ref="M3021:M3022"/>
    <mergeCell ref="N3021:N3022"/>
    <mergeCell ref="I3019:I3020"/>
    <mergeCell ref="J3019:J3020"/>
    <mergeCell ref="K3019:K3020"/>
    <mergeCell ref="L3019:L3020"/>
    <mergeCell ref="M3019:M3020"/>
    <mergeCell ref="N3019:N3020"/>
    <mergeCell ref="I3054:I3055"/>
    <mergeCell ref="J3054:J3055"/>
    <mergeCell ref="K3054:K3055"/>
    <mergeCell ref="L3054:L3055"/>
    <mergeCell ref="M3054:M3055"/>
    <mergeCell ref="N3054:N3055"/>
    <mergeCell ref="I3052:I3053"/>
    <mergeCell ref="J3052:J3053"/>
    <mergeCell ref="K3052:K3053"/>
    <mergeCell ref="L3052:L3053"/>
    <mergeCell ref="M3052:M3053"/>
    <mergeCell ref="N3052:N3053"/>
    <mergeCell ref="N3048:N3049"/>
    <mergeCell ref="O3048:P3048"/>
    <mergeCell ref="I3050:I3051"/>
    <mergeCell ref="J3050:J3051"/>
    <mergeCell ref="K3050:K3051"/>
    <mergeCell ref="L3050:L3051"/>
    <mergeCell ref="M3050:M3051"/>
    <mergeCell ref="N3050:N3051"/>
    <mergeCell ref="I3060:M3060"/>
    <mergeCell ref="I3061:M3061"/>
    <mergeCell ref="I3062:M3062"/>
    <mergeCell ref="I3068:L3068"/>
    <mergeCell ref="I3083:P3083"/>
    <mergeCell ref="I3085:I3086"/>
    <mergeCell ref="J3085:J3086"/>
    <mergeCell ref="K3085:K3086"/>
    <mergeCell ref="L3085:L3086"/>
    <mergeCell ref="M3085:M3086"/>
    <mergeCell ref="I3058:I3059"/>
    <mergeCell ref="J3058:J3059"/>
    <mergeCell ref="K3058:K3059"/>
    <mergeCell ref="L3058:L3059"/>
    <mergeCell ref="M3058:M3059"/>
    <mergeCell ref="N3058:N3059"/>
    <mergeCell ref="I3056:I3057"/>
    <mergeCell ref="J3056:J3057"/>
    <mergeCell ref="K3056:K3057"/>
    <mergeCell ref="L3056:L3057"/>
    <mergeCell ref="M3056:M3057"/>
    <mergeCell ref="N3056:N3057"/>
    <mergeCell ref="I3091:I3092"/>
    <mergeCell ref="J3091:J3092"/>
    <mergeCell ref="K3091:K3092"/>
    <mergeCell ref="L3091:L3092"/>
    <mergeCell ref="M3091:M3092"/>
    <mergeCell ref="N3091:N3092"/>
    <mergeCell ref="I3089:I3090"/>
    <mergeCell ref="J3089:J3090"/>
    <mergeCell ref="K3089:K3090"/>
    <mergeCell ref="L3089:L3090"/>
    <mergeCell ref="M3089:M3090"/>
    <mergeCell ref="N3089:N3090"/>
    <mergeCell ref="N3085:N3086"/>
    <mergeCell ref="O3085:P3085"/>
    <mergeCell ref="I3087:I3088"/>
    <mergeCell ref="J3087:J3088"/>
    <mergeCell ref="K3087:K3088"/>
    <mergeCell ref="L3087:L3088"/>
    <mergeCell ref="M3087:M3088"/>
    <mergeCell ref="N3087:N3088"/>
    <mergeCell ref="I3097:M3097"/>
    <mergeCell ref="I3098:M3098"/>
    <mergeCell ref="I3099:M3099"/>
    <mergeCell ref="I3105:L3105"/>
    <mergeCell ref="I3120:P3120"/>
    <mergeCell ref="I3122:I3123"/>
    <mergeCell ref="J3122:J3123"/>
    <mergeCell ref="K3122:K3123"/>
    <mergeCell ref="L3122:L3123"/>
    <mergeCell ref="M3122:M3123"/>
    <mergeCell ref="I3095:I3096"/>
    <mergeCell ref="J3095:J3096"/>
    <mergeCell ref="K3095:K3096"/>
    <mergeCell ref="L3095:L3096"/>
    <mergeCell ref="M3095:M3096"/>
    <mergeCell ref="N3095:N3096"/>
    <mergeCell ref="I3093:I3094"/>
    <mergeCell ref="J3093:J3094"/>
    <mergeCell ref="K3093:K3094"/>
    <mergeCell ref="L3093:L3094"/>
    <mergeCell ref="M3093:M3094"/>
    <mergeCell ref="N3093:N3094"/>
    <mergeCell ref="I3128:I3129"/>
    <mergeCell ref="J3128:J3129"/>
    <mergeCell ref="K3128:K3129"/>
    <mergeCell ref="L3128:L3129"/>
    <mergeCell ref="M3128:M3129"/>
    <mergeCell ref="N3128:N3129"/>
    <mergeCell ref="I3126:I3127"/>
    <mergeCell ref="J3126:J3127"/>
    <mergeCell ref="K3126:K3127"/>
    <mergeCell ref="L3126:L3127"/>
    <mergeCell ref="M3126:M3127"/>
    <mergeCell ref="N3126:N3127"/>
    <mergeCell ref="N3122:N3123"/>
    <mergeCell ref="O3122:P3122"/>
    <mergeCell ref="I3124:I3125"/>
    <mergeCell ref="J3124:J3125"/>
    <mergeCell ref="K3124:K3125"/>
    <mergeCell ref="L3124:L3125"/>
    <mergeCell ref="M3124:M3125"/>
    <mergeCell ref="N3124:N3125"/>
    <mergeCell ref="I3134:M3134"/>
    <mergeCell ref="I3135:M3135"/>
    <mergeCell ref="I3136:M3136"/>
    <mergeCell ref="I3142:L3142"/>
    <mergeCell ref="I3157:P3157"/>
    <mergeCell ref="I3159:I3160"/>
    <mergeCell ref="J3159:J3160"/>
    <mergeCell ref="K3159:K3160"/>
    <mergeCell ref="L3159:L3160"/>
    <mergeCell ref="M3159:M3160"/>
    <mergeCell ref="I3132:I3133"/>
    <mergeCell ref="J3132:J3133"/>
    <mergeCell ref="K3132:K3133"/>
    <mergeCell ref="L3132:L3133"/>
    <mergeCell ref="M3132:M3133"/>
    <mergeCell ref="N3132:N3133"/>
    <mergeCell ref="I3130:I3131"/>
    <mergeCell ref="J3130:J3131"/>
    <mergeCell ref="K3130:K3131"/>
    <mergeCell ref="L3130:L3131"/>
    <mergeCell ref="M3130:M3131"/>
    <mergeCell ref="N3130:N3131"/>
    <mergeCell ref="I3165:I3166"/>
    <mergeCell ref="J3165:J3166"/>
    <mergeCell ref="K3165:K3166"/>
    <mergeCell ref="L3165:L3166"/>
    <mergeCell ref="M3165:M3166"/>
    <mergeCell ref="N3165:N3166"/>
    <mergeCell ref="I3163:I3164"/>
    <mergeCell ref="J3163:J3164"/>
    <mergeCell ref="K3163:K3164"/>
    <mergeCell ref="L3163:L3164"/>
    <mergeCell ref="M3163:M3164"/>
    <mergeCell ref="N3163:N3164"/>
    <mergeCell ref="N3159:N3160"/>
    <mergeCell ref="O3159:P3159"/>
    <mergeCell ref="I3161:I3162"/>
    <mergeCell ref="J3161:J3162"/>
    <mergeCell ref="K3161:K3162"/>
    <mergeCell ref="L3161:L3162"/>
    <mergeCell ref="M3161:M3162"/>
    <mergeCell ref="N3161:N3162"/>
    <mergeCell ref="I3171:I3172"/>
    <mergeCell ref="J3171:J3172"/>
    <mergeCell ref="K3171:K3172"/>
    <mergeCell ref="L3171:L3172"/>
    <mergeCell ref="M3171:M3172"/>
    <mergeCell ref="N3171:N3172"/>
    <mergeCell ref="I3169:I3170"/>
    <mergeCell ref="J3169:J3170"/>
    <mergeCell ref="K3169:K3170"/>
    <mergeCell ref="L3169:L3170"/>
    <mergeCell ref="M3169:M3170"/>
    <mergeCell ref="N3169:N3170"/>
    <mergeCell ref="I3167:I3168"/>
    <mergeCell ref="J3167:J3168"/>
    <mergeCell ref="K3167:K3168"/>
    <mergeCell ref="L3167:L3168"/>
    <mergeCell ref="M3167:M3168"/>
    <mergeCell ref="N3167:N3168"/>
    <mergeCell ref="N3198:N3199"/>
    <mergeCell ref="O3198:P3198"/>
    <mergeCell ref="I3200:I3201"/>
    <mergeCell ref="J3200:J3201"/>
    <mergeCell ref="K3200:K3201"/>
    <mergeCell ref="L3200:L3201"/>
    <mergeCell ref="M3200:M3201"/>
    <mergeCell ref="N3200:N3201"/>
    <mergeCell ref="I3173:M3173"/>
    <mergeCell ref="I3174:M3174"/>
    <mergeCell ref="I3175:M3175"/>
    <mergeCell ref="I3181:L3181"/>
    <mergeCell ref="I3196:P3196"/>
    <mergeCell ref="I3198:I3199"/>
    <mergeCell ref="J3198:J3199"/>
    <mergeCell ref="K3198:K3199"/>
    <mergeCell ref="L3198:L3199"/>
    <mergeCell ref="M3198:M3199"/>
    <mergeCell ref="R3204:R3205"/>
    <mergeCell ref="I3206:I3207"/>
    <mergeCell ref="J3206:J3207"/>
    <mergeCell ref="K3206:K3207"/>
    <mergeCell ref="L3206:L3207"/>
    <mergeCell ref="M3206:M3207"/>
    <mergeCell ref="N3206:N3207"/>
    <mergeCell ref="I3204:I3205"/>
    <mergeCell ref="J3204:J3205"/>
    <mergeCell ref="K3204:K3205"/>
    <mergeCell ref="L3204:L3205"/>
    <mergeCell ref="M3204:M3205"/>
    <mergeCell ref="N3204:N3205"/>
    <mergeCell ref="I3202:I3203"/>
    <mergeCell ref="J3202:J3203"/>
    <mergeCell ref="K3202:K3203"/>
    <mergeCell ref="L3202:L3203"/>
    <mergeCell ref="M3202:M3203"/>
    <mergeCell ref="N3202:N3203"/>
    <mergeCell ref="N3233:N3234"/>
    <mergeCell ref="O3233:P3233"/>
    <mergeCell ref="I3235:I3236"/>
    <mergeCell ref="J3235:J3236"/>
    <mergeCell ref="K3235:K3236"/>
    <mergeCell ref="L3235:L3236"/>
    <mergeCell ref="M3235:M3236"/>
    <mergeCell ref="N3235:N3236"/>
    <mergeCell ref="I3208:M3208"/>
    <mergeCell ref="I3209:M3209"/>
    <mergeCell ref="I3210:M3210"/>
    <mergeCell ref="I3216:L3216"/>
    <mergeCell ref="I3231:P3231"/>
    <mergeCell ref="I3233:I3234"/>
    <mergeCell ref="J3233:J3234"/>
    <mergeCell ref="K3233:K3234"/>
    <mergeCell ref="L3233:L3234"/>
    <mergeCell ref="M3233:M3234"/>
    <mergeCell ref="I3241:I3242"/>
    <mergeCell ref="J3241:J3242"/>
    <mergeCell ref="K3241:K3242"/>
    <mergeCell ref="L3241:L3242"/>
    <mergeCell ref="M3241:M3242"/>
    <mergeCell ref="N3241:N3242"/>
    <mergeCell ref="I3239:I3240"/>
    <mergeCell ref="J3239:J3240"/>
    <mergeCell ref="K3239:K3240"/>
    <mergeCell ref="L3239:L3240"/>
    <mergeCell ref="M3239:M3240"/>
    <mergeCell ref="N3239:N3240"/>
    <mergeCell ref="I3237:I3238"/>
    <mergeCell ref="J3237:J3238"/>
    <mergeCell ref="K3237:K3238"/>
    <mergeCell ref="L3237:L3238"/>
    <mergeCell ref="M3237:M3238"/>
    <mergeCell ref="N3237:N3238"/>
    <mergeCell ref="N3269:N3270"/>
    <mergeCell ref="O3269:P3269"/>
    <mergeCell ref="I3271:I3272"/>
    <mergeCell ref="J3271:J3272"/>
    <mergeCell ref="K3271:K3274"/>
    <mergeCell ref="L3271:L3272"/>
    <mergeCell ref="M3271:M3272"/>
    <mergeCell ref="N3271:N3272"/>
    <mergeCell ref="I3273:I3274"/>
    <mergeCell ref="J3273:J3274"/>
    <mergeCell ref="I3243:M3243"/>
    <mergeCell ref="I3244:M3244"/>
    <mergeCell ref="I3245:M3245"/>
    <mergeCell ref="I3251:L3251"/>
    <mergeCell ref="I3267:P3267"/>
    <mergeCell ref="I3269:I3270"/>
    <mergeCell ref="J3269:J3270"/>
    <mergeCell ref="K3269:K3270"/>
    <mergeCell ref="L3269:L3270"/>
    <mergeCell ref="M3269:M3270"/>
    <mergeCell ref="I3279:M3279"/>
    <mergeCell ref="I3280:M3280"/>
    <mergeCell ref="I3281:M3281"/>
    <mergeCell ref="I3287:L3287"/>
    <mergeCell ref="I3302:P3302"/>
    <mergeCell ref="I3304:I3305"/>
    <mergeCell ref="J3304:J3305"/>
    <mergeCell ref="K3304:K3305"/>
    <mergeCell ref="L3304:L3305"/>
    <mergeCell ref="M3304:M3305"/>
    <mergeCell ref="I3277:I3278"/>
    <mergeCell ref="J3277:J3278"/>
    <mergeCell ref="K3277:K3278"/>
    <mergeCell ref="L3277:L3278"/>
    <mergeCell ref="M3277:M3278"/>
    <mergeCell ref="N3277:N3278"/>
    <mergeCell ref="L3273:L3274"/>
    <mergeCell ref="M3273:M3274"/>
    <mergeCell ref="N3273:N3274"/>
    <mergeCell ref="I3275:I3276"/>
    <mergeCell ref="J3275:J3276"/>
    <mergeCell ref="K3275:K3276"/>
    <mergeCell ref="L3275:L3276"/>
    <mergeCell ref="M3275:M3276"/>
    <mergeCell ref="N3275:N3276"/>
    <mergeCell ref="I3310:I3311"/>
    <mergeCell ref="J3310:J3311"/>
    <mergeCell ref="K3310:K3311"/>
    <mergeCell ref="L3310:L3311"/>
    <mergeCell ref="M3310:M3311"/>
    <mergeCell ref="N3310:N3311"/>
    <mergeCell ref="I3308:I3309"/>
    <mergeCell ref="J3308:J3309"/>
    <mergeCell ref="K3308:K3309"/>
    <mergeCell ref="L3308:L3309"/>
    <mergeCell ref="M3308:M3309"/>
    <mergeCell ref="N3308:N3309"/>
    <mergeCell ref="N3304:N3305"/>
    <mergeCell ref="O3304:P3304"/>
    <mergeCell ref="I3306:I3307"/>
    <mergeCell ref="J3306:J3307"/>
    <mergeCell ref="K3306:K3307"/>
    <mergeCell ref="L3306:L3307"/>
    <mergeCell ref="M3306:M3307"/>
    <mergeCell ref="N3306:N3307"/>
    <mergeCell ref="I3316:I3317"/>
    <mergeCell ref="J3316:J3317"/>
    <mergeCell ref="K3316:K3317"/>
    <mergeCell ref="L3316:L3317"/>
    <mergeCell ref="M3316:M3317"/>
    <mergeCell ref="N3316:N3317"/>
    <mergeCell ref="I3314:I3315"/>
    <mergeCell ref="J3314:J3315"/>
    <mergeCell ref="K3314:K3315"/>
    <mergeCell ref="L3314:L3315"/>
    <mergeCell ref="M3314:M3315"/>
    <mergeCell ref="N3314:N3315"/>
    <mergeCell ref="I3312:I3313"/>
    <mergeCell ref="J3312:J3313"/>
    <mergeCell ref="K3312:K3313"/>
    <mergeCell ref="L3312:L3313"/>
    <mergeCell ref="M3312:M3313"/>
    <mergeCell ref="N3312:N3313"/>
    <mergeCell ref="N3343:N3344"/>
    <mergeCell ref="O3343:P3343"/>
    <mergeCell ref="I3345:I3346"/>
    <mergeCell ref="J3345:J3346"/>
    <mergeCell ref="K3345:K3346"/>
    <mergeCell ref="L3345:L3346"/>
    <mergeCell ref="M3345:M3346"/>
    <mergeCell ref="N3345:N3346"/>
    <mergeCell ref="I3318:M3318"/>
    <mergeCell ref="I3319:M3319"/>
    <mergeCell ref="I3320:M3320"/>
    <mergeCell ref="I3326:L3326"/>
    <mergeCell ref="I3341:P3341"/>
    <mergeCell ref="I3343:I3344"/>
    <mergeCell ref="J3343:J3344"/>
    <mergeCell ref="K3343:K3344"/>
    <mergeCell ref="L3343:L3344"/>
    <mergeCell ref="M3343:M3344"/>
    <mergeCell ref="I3351:I3352"/>
    <mergeCell ref="J3351:J3352"/>
    <mergeCell ref="K3351:K3352"/>
    <mergeCell ref="L3351:L3352"/>
    <mergeCell ref="M3351:M3352"/>
    <mergeCell ref="N3351:N3352"/>
    <mergeCell ref="I3349:I3350"/>
    <mergeCell ref="J3349:J3350"/>
    <mergeCell ref="K3349:K3350"/>
    <mergeCell ref="L3349:L3350"/>
    <mergeCell ref="M3349:M3350"/>
    <mergeCell ref="N3349:N3350"/>
    <mergeCell ref="I3347:I3348"/>
    <mergeCell ref="J3347:J3348"/>
    <mergeCell ref="K3347:K3348"/>
    <mergeCell ref="L3347:L3348"/>
    <mergeCell ref="M3347:M3348"/>
    <mergeCell ref="N3347:N3348"/>
    <mergeCell ref="N3379:N3380"/>
    <mergeCell ref="O3379:P3379"/>
    <mergeCell ref="I3381:I3382"/>
    <mergeCell ref="J3381:J3382"/>
    <mergeCell ref="K3381:K3382"/>
    <mergeCell ref="L3381:L3382"/>
    <mergeCell ref="M3381:M3382"/>
    <mergeCell ref="N3381:N3382"/>
    <mergeCell ref="I3353:M3353"/>
    <mergeCell ref="I3354:M3354"/>
    <mergeCell ref="I3355:M3355"/>
    <mergeCell ref="I3361:L3361"/>
    <mergeCell ref="I3377:P3377"/>
    <mergeCell ref="I3379:I3380"/>
    <mergeCell ref="J3379:J3380"/>
    <mergeCell ref="K3379:K3380"/>
    <mergeCell ref="L3379:L3380"/>
    <mergeCell ref="M3379:M3380"/>
    <mergeCell ref="I3387:I3388"/>
    <mergeCell ref="J3387:J3388"/>
    <mergeCell ref="K3387:K3388"/>
    <mergeCell ref="L3387:L3388"/>
    <mergeCell ref="M3387:M3388"/>
    <mergeCell ref="N3387:N3388"/>
    <mergeCell ref="I3385:I3386"/>
    <mergeCell ref="J3385:J3386"/>
    <mergeCell ref="K3385:K3386"/>
    <mergeCell ref="L3385:L3386"/>
    <mergeCell ref="M3385:M3386"/>
    <mergeCell ref="N3385:N3386"/>
    <mergeCell ref="I3383:I3384"/>
    <mergeCell ref="J3383:J3384"/>
    <mergeCell ref="K3383:K3384"/>
    <mergeCell ref="L3383:L3384"/>
    <mergeCell ref="M3383:M3384"/>
    <mergeCell ref="N3383:N3384"/>
    <mergeCell ref="N3415:N3416"/>
    <mergeCell ref="O3415:P3415"/>
    <mergeCell ref="I3417:I3418"/>
    <mergeCell ref="J3417:J3418"/>
    <mergeCell ref="L3417:L3418"/>
    <mergeCell ref="M3417:M3418"/>
    <mergeCell ref="N3417:N3418"/>
    <mergeCell ref="I3389:M3389"/>
    <mergeCell ref="I3390:M3390"/>
    <mergeCell ref="I3391:M3391"/>
    <mergeCell ref="I3397:L3397"/>
    <mergeCell ref="I3413:P3413"/>
    <mergeCell ref="I3415:I3416"/>
    <mergeCell ref="J3415:J3416"/>
    <mergeCell ref="K3415:K3416"/>
    <mergeCell ref="L3415:L3416"/>
    <mergeCell ref="M3415:M3416"/>
    <mergeCell ref="I3427:I3428"/>
    <mergeCell ref="J3427:J3428"/>
    <mergeCell ref="L3427:L3428"/>
    <mergeCell ref="M3427:M3428"/>
    <mergeCell ref="N3427:N3428"/>
    <mergeCell ref="I3429:M3429"/>
    <mergeCell ref="I3423:I3424"/>
    <mergeCell ref="J3423:J3424"/>
    <mergeCell ref="L3423:L3424"/>
    <mergeCell ref="M3423:M3424"/>
    <mergeCell ref="N3423:N3424"/>
    <mergeCell ref="I3425:I3426"/>
    <mergeCell ref="J3425:J3426"/>
    <mergeCell ref="L3425:L3426"/>
    <mergeCell ref="M3425:M3426"/>
    <mergeCell ref="N3425:N3426"/>
    <mergeCell ref="I3419:I3420"/>
    <mergeCell ref="J3419:J3420"/>
    <mergeCell ref="L3419:L3420"/>
    <mergeCell ref="M3419:M3420"/>
    <mergeCell ref="N3419:N3420"/>
    <mergeCell ref="I3421:I3422"/>
    <mergeCell ref="J3421:J3422"/>
    <mergeCell ref="L3421:L3422"/>
    <mergeCell ref="M3421:M3422"/>
    <mergeCell ref="N3421:N3422"/>
    <mergeCell ref="O3454:P3454"/>
    <mergeCell ref="I3456:I3457"/>
    <mergeCell ref="J3456:J3457"/>
    <mergeCell ref="K3456:K3457"/>
    <mergeCell ref="L3456:L3457"/>
    <mergeCell ref="M3456:M3457"/>
    <mergeCell ref="N3456:N3457"/>
    <mergeCell ref="I3430:M3430"/>
    <mergeCell ref="I3431:M3431"/>
    <mergeCell ref="I3437:L3437"/>
    <mergeCell ref="I3452:P3452"/>
    <mergeCell ref="I3454:I3455"/>
    <mergeCell ref="J3454:J3455"/>
    <mergeCell ref="K3454:K3455"/>
    <mergeCell ref="L3454:L3455"/>
    <mergeCell ref="M3454:M3455"/>
    <mergeCell ref="N3454:N3455"/>
    <mergeCell ref="I3462:I3463"/>
    <mergeCell ref="J3462:J3463"/>
    <mergeCell ref="K3462:K3463"/>
    <mergeCell ref="L3462:L3463"/>
    <mergeCell ref="M3462:M3463"/>
    <mergeCell ref="N3462:N3463"/>
    <mergeCell ref="I3460:I3461"/>
    <mergeCell ref="J3460:J3461"/>
    <mergeCell ref="K3460:K3461"/>
    <mergeCell ref="L3460:L3461"/>
    <mergeCell ref="M3460:M3461"/>
    <mergeCell ref="N3460:N3461"/>
    <mergeCell ref="I3458:I3459"/>
    <mergeCell ref="J3458:J3459"/>
    <mergeCell ref="K3458:K3459"/>
    <mergeCell ref="L3458:L3459"/>
    <mergeCell ref="M3458:M3459"/>
    <mergeCell ref="N3458:N3459"/>
    <mergeCell ref="N3490:N3491"/>
    <mergeCell ref="O3490:P3490"/>
    <mergeCell ref="I3492:I3493"/>
    <mergeCell ref="J3492:J3493"/>
    <mergeCell ref="K3492:K3495"/>
    <mergeCell ref="L3492:L3493"/>
    <mergeCell ref="M3492:M3493"/>
    <mergeCell ref="N3492:N3493"/>
    <mergeCell ref="I3494:I3495"/>
    <mergeCell ref="J3494:J3495"/>
    <mergeCell ref="I3464:M3464"/>
    <mergeCell ref="I3465:M3465"/>
    <mergeCell ref="I3466:M3466"/>
    <mergeCell ref="I3472:L3472"/>
    <mergeCell ref="I3488:P3488"/>
    <mergeCell ref="I3490:I3491"/>
    <mergeCell ref="J3490:J3491"/>
    <mergeCell ref="K3490:K3491"/>
    <mergeCell ref="L3490:L3491"/>
    <mergeCell ref="M3490:M3491"/>
    <mergeCell ref="I3504:M3504"/>
    <mergeCell ref="I3505:M3505"/>
    <mergeCell ref="I3506:M3506"/>
    <mergeCell ref="I3512:L3512"/>
    <mergeCell ref="I3528:P3528"/>
    <mergeCell ref="I3530:I3531"/>
    <mergeCell ref="J3530:J3531"/>
    <mergeCell ref="K3530:K3531"/>
    <mergeCell ref="L3530:L3531"/>
    <mergeCell ref="M3530:M3531"/>
    <mergeCell ref="I3502:I3503"/>
    <mergeCell ref="J3502:J3503"/>
    <mergeCell ref="K3502:K3503"/>
    <mergeCell ref="L3502:L3503"/>
    <mergeCell ref="M3502:M3503"/>
    <mergeCell ref="N3502:N3503"/>
    <mergeCell ref="L3494:L3495"/>
    <mergeCell ref="M3494:M3495"/>
    <mergeCell ref="N3494:N3495"/>
    <mergeCell ref="I3500:I3501"/>
    <mergeCell ref="J3500:J3501"/>
    <mergeCell ref="K3500:K3501"/>
    <mergeCell ref="L3500:L3501"/>
    <mergeCell ref="M3500:M3501"/>
    <mergeCell ref="N3500:N3501"/>
    <mergeCell ref="L3534:L3535"/>
    <mergeCell ref="M3534:M3535"/>
    <mergeCell ref="N3534:N3535"/>
    <mergeCell ref="I3548:I3549"/>
    <mergeCell ref="J3548:J3549"/>
    <mergeCell ref="K3548:K3549"/>
    <mergeCell ref="L3548:L3549"/>
    <mergeCell ref="M3548:M3549"/>
    <mergeCell ref="N3548:N3549"/>
    <mergeCell ref="N3530:N3531"/>
    <mergeCell ref="O3530:P3530"/>
    <mergeCell ref="I3532:I3533"/>
    <mergeCell ref="J3532:J3533"/>
    <mergeCell ref="K3532:K3535"/>
    <mergeCell ref="L3532:L3533"/>
    <mergeCell ref="M3532:M3533"/>
    <mergeCell ref="N3532:N3533"/>
    <mergeCell ref="I3534:I3535"/>
    <mergeCell ref="J3534:J3535"/>
    <mergeCell ref="J3579:J3580"/>
    <mergeCell ref="K3579:K3580"/>
    <mergeCell ref="L3579:L3580"/>
    <mergeCell ref="M3579:M3580"/>
    <mergeCell ref="N3579:N3580"/>
    <mergeCell ref="I3552:M3552"/>
    <mergeCell ref="I3553:M3553"/>
    <mergeCell ref="I3554:M3554"/>
    <mergeCell ref="I3560:L3560"/>
    <mergeCell ref="I3575:P3575"/>
    <mergeCell ref="I3577:I3578"/>
    <mergeCell ref="J3577:J3578"/>
    <mergeCell ref="K3577:K3578"/>
    <mergeCell ref="L3577:L3578"/>
    <mergeCell ref="M3577:M3578"/>
    <mergeCell ref="I3550:I3551"/>
    <mergeCell ref="J3550:J3551"/>
    <mergeCell ref="K3550:K3551"/>
    <mergeCell ref="L3550:L3551"/>
    <mergeCell ref="M3550:M3551"/>
    <mergeCell ref="N3550:N3551"/>
    <mergeCell ref="N3577:N3578"/>
    <mergeCell ref="O3577:P3577"/>
    <mergeCell ref="I3579:I3580"/>
    <mergeCell ref="I3585:M3585"/>
    <mergeCell ref="I3586:M3586"/>
    <mergeCell ref="I3587:M3587"/>
    <mergeCell ref="I3593:L3593"/>
    <mergeCell ref="N3597:O3597"/>
    <mergeCell ref="I3583:I3584"/>
    <mergeCell ref="J3583:J3584"/>
    <mergeCell ref="K3583:K3584"/>
    <mergeCell ref="L3583:L3584"/>
    <mergeCell ref="M3583:M3584"/>
    <mergeCell ref="N3583:N3584"/>
    <mergeCell ref="I3581:I3582"/>
    <mergeCell ref="J3581:J3582"/>
    <mergeCell ref="K3581:K3582"/>
    <mergeCell ref="L3581:L3582"/>
    <mergeCell ref="M3581:M3582"/>
    <mergeCell ref="N3581:N3582"/>
    <mergeCell ref="K637:K638"/>
    <mergeCell ref="L637:L638"/>
    <mergeCell ref="M637:M638"/>
    <mergeCell ref="N637:N638"/>
    <mergeCell ref="I351:I352"/>
    <mergeCell ref="J351:J352"/>
    <mergeCell ref="K351:K352"/>
    <mergeCell ref="L351:L352"/>
    <mergeCell ref="M351:M352"/>
    <mergeCell ref="N351:N352"/>
    <mergeCell ref="I631:I632"/>
    <mergeCell ref="J631:J632"/>
    <mergeCell ref="K631:K632"/>
    <mergeCell ref="L631:L632"/>
    <mergeCell ref="M631:M632"/>
    <mergeCell ref="N631:N632"/>
    <mergeCell ref="K629:K630"/>
    <mergeCell ref="L629:L630"/>
    <mergeCell ref="M629:M630"/>
    <mergeCell ref="N629:N630"/>
    <mergeCell ref="I596:I597"/>
    <mergeCell ref="J596:J597"/>
    <mergeCell ref="K596:K597"/>
    <mergeCell ref="L596:L597"/>
    <mergeCell ref="M596:M597"/>
    <mergeCell ref="N596:N597"/>
    <mergeCell ref="K592:K593"/>
    <mergeCell ref="L592:L593"/>
    <mergeCell ref="M592:M593"/>
    <mergeCell ref="N592:N593"/>
    <mergeCell ref="I561:I562"/>
    <mergeCell ref="J561:J562"/>
  </mergeCells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08"/>
  <sheetViews>
    <sheetView topLeftCell="I670" workbookViewId="0">
      <selection activeCell="N819" sqref="N819:N820"/>
    </sheetView>
  </sheetViews>
  <sheetFormatPr baseColWidth="10" defaultRowHeight="15"/>
  <cols>
    <col min="1" max="1" width="13.28515625" style="51" hidden="1" customWidth="1"/>
    <col min="2" max="2" width="21.140625" style="51" hidden="1" customWidth="1"/>
    <col min="3" max="3" width="19.7109375" style="51" hidden="1" customWidth="1"/>
    <col min="4" max="4" width="19.140625" style="51" hidden="1" customWidth="1"/>
    <col min="5" max="5" width="18.28515625" style="51" hidden="1" customWidth="1"/>
    <col min="6" max="6" width="22.140625" style="51" hidden="1" customWidth="1"/>
    <col min="7" max="7" width="7.140625" style="51" hidden="1" customWidth="1"/>
    <col min="8" max="8" width="14.42578125" style="51" hidden="1" customWidth="1"/>
    <col min="9" max="9" width="13.28515625" style="51" customWidth="1"/>
    <col min="10" max="10" width="20.5703125" style="51" customWidth="1"/>
    <col min="11" max="11" width="18.42578125" style="51" customWidth="1"/>
    <col min="12" max="12" width="21.42578125" style="51" customWidth="1"/>
    <col min="13" max="13" width="14.28515625" style="51" customWidth="1"/>
    <col min="14" max="14" width="21.7109375" style="51" customWidth="1"/>
    <col min="15" max="15" width="8" style="51" customWidth="1"/>
    <col min="16" max="16" width="13" style="51" customWidth="1"/>
    <col min="17" max="17" width="11.42578125" style="51"/>
    <col min="18" max="18" width="14.140625" style="51" bestFit="1" customWidth="1"/>
    <col min="19" max="16384" width="11.42578125" style="51"/>
  </cols>
  <sheetData>
    <row r="1" spans="1:16" ht="14.25" customHeight="1">
      <c r="A1" s="49" t="s">
        <v>88</v>
      </c>
      <c r="B1" s="50"/>
      <c r="I1" s="49" t="s">
        <v>88</v>
      </c>
      <c r="J1" s="50"/>
    </row>
    <row r="2" spans="1:16">
      <c r="A2" s="51" t="s">
        <v>89</v>
      </c>
      <c r="I2" s="51" t="s">
        <v>89</v>
      </c>
    </row>
    <row r="3" spans="1:16">
      <c r="A3" s="51" t="s">
        <v>90</v>
      </c>
      <c r="I3" s="51" t="s">
        <v>90</v>
      </c>
    </row>
    <row r="4" spans="1:16">
      <c r="A4" s="51" t="s">
        <v>91</v>
      </c>
      <c r="I4" s="51" t="s">
        <v>91</v>
      </c>
    </row>
    <row r="5" spans="1:16" ht="5.25" customHeight="1">
      <c r="A5" s="50"/>
      <c r="B5" s="50"/>
      <c r="I5" s="50"/>
      <c r="J5" s="50"/>
    </row>
    <row r="6" spans="1:16" ht="16.5">
      <c r="A6" s="52" t="s">
        <v>172</v>
      </c>
      <c r="G6" s="52"/>
      <c r="I6" s="52" t="s">
        <v>534</v>
      </c>
      <c r="O6" s="52"/>
    </row>
    <row r="7" spans="1:16" ht="15.75">
      <c r="A7" s="53" t="s">
        <v>92</v>
      </c>
      <c r="G7" s="53"/>
      <c r="I7" s="53" t="s">
        <v>2012</v>
      </c>
      <c r="O7" s="53"/>
    </row>
    <row r="8" spans="1:16" ht="13.5" customHeight="1">
      <c r="A8" s="894" t="s">
        <v>93</v>
      </c>
      <c r="B8" s="894"/>
      <c r="C8" s="894"/>
      <c r="D8" s="894"/>
      <c r="E8" s="894"/>
      <c r="F8" s="894"/>
      <c r="G8" s="894"/>
      <c r="H8" s="894"/>
      <c r="I8" s="894" t="s">
        <v>903</v>
      </c>
      <c r="J8" s="894"/>
      <c r="K8" s="894"/>
      <c r="L8" s="894"/>
      <c r="M8" s="894"/>
      <c r="N8" s="894"/>
      <c r="O8" s="894"/>
      <c r="P8" s="894"/>
    </row>
    <row r="9" spans="1:16" ht="7.5" customHeight="1" thickBot="1"/>
    <row r="10" spans="1:16">
      <c r="A10" s="895" t="s">
        <v>94</v>
      </c>
      <c r="B10" s="897" t="s">
        <v>95</v>
      </c>
      <c r="C10" s="897" t="s">
        <v>96</v>
      </c>
      <c r="D10" s="897" t="s">
        <v>3</v>
      </c>
      <c r="E10" s="897" t="s">
        <v>97</v>
      </c>
      <c r="F10" s="897" t="s">
        <v>98</v>
      </c>
      <c r="G10" s="897" t="s">
        <v>99</v>
      </c>
      <c r="H10" s="899"/>
      <c r="I10" s="895" t="s">
        <v>94</v>
      </c>
      <c r="J10" s="897" t="s">
        <v>95</v>
      </c>
      <c r="K10" s="897" t="s">
        <v>96</v>
      </c>
      <c r="L10" s="897" t="s">
        <v>3</v>
      </c>
      <c r="M10" s="897" t="s">
        <v>97</v>
      </c>
      <c r="N10" s="897" t="s">
        <v>98</v>
      </c>
      <c r="O10" s="897" t="s">
        <v>99</v>
      </c>
      <c r="P10" s="899"/>
    </row>
    <row r="11" spans="1:16" ht="15.75" thickBot="1">
      <c r="A11" s="896"/>
      <c r="B11" s="898"/>
      <c r="C11" s="898"/>
      <c r="D11" s="898"/>
      <c r="E11" s="898"/>
      <c r="F11" s="898"/>
      <c r="G11" s="240" t="s">
        <v>100</v>
      </c>
      <c r="H11" s="182" t="s">
        <v>101</v>
      </c>
      <c r="I11" s="896"/>
      <c r="J11" s="898"/>
      <c r="K11" s="898"/>
      <c r="L11" s="898"/>
      <c r="M11" s="898"/>
      <c r="N11" s="898"/>
      <c r="O11" s="240" t="s">
        <v>100</v>
      </c>
      <c r="P11" s="182" t="s">
        <v>101</v>
      </c>
    </row>
    <row r="12" spans="1:16" ht="12" customHeight="1">
      <c r="A12" s="881">
        <v>237</v>
      </c>
      <c r="B12" s="875">
        <v>42228</v>
      </c>
      <c r="C12" s="942" t="s">
        <v>31</v>
      </c>
      <c r="D12" s="881" t="s">
        <v>174</v>
      </c>
      <c r="E12" s="881" t="s">
        <v>115</v>
      </c>
      <c r="F12" s="883">
        <v>120000</v>
      </c>
      <c r="G12" s="55">
        <v>719</v>
      </c>
      <c r="H12" s="78">
        <v>120000</v>
      </c>
      <c r="I12" s="873" t="s">
        <v>545</v>
      </c>
      <c r="J12" s="875">
        <v>43835</v>
      </c>
      <c r="K12" s="877" t="s">
        <v>1079</v>
      </c>
      <c r="L12" s="881" t="s">
        <v>1867</v>
      </c>
      <c r="M12" s="881" t="s">
        <v>148</v>
      </c>
      <c r="N12" s="883">
        <v>46252500</v>
      </c>
      <c r="O12" s="55">
        <v>719</v>
      </c>
      <c r="P12" s="78"/>
    </row>
    <row r="13" spans="1:16" ht="14.25" customHeight="1" thickBot="1">
      <c r="A13" s="882"/>
      <c r="B13" s="934"/>
      <c r="C13" s="943"/>
      <c r="D13" s="882"/>
      <c r="E13" s="882"/>
      <c r="F13" s="884"/>
      <c r="G13" s="56">
        <v>721</v>
      </c>
      <c r="H13" s="79">
        <f>+F12-H12</f>
        <v>0</v>
      </c>
      <c r="I13" s="874"/>
      <c r="J13" s="876"/>
      <c r="K13" s="878"/>
      <c r="L13" s="882"/>
      <c r="M13" s="882"/>
      <c r="N13" s="884"/>
      <c r="O13" s="56">
        <v>723</v>
      </c>
      <c r="P13" s="79">
        <f>+N12-P12</f>
        <v>46252500</v>
      </c>
    </row>
    <row r="14" spans="1:16" ht="12.75" customHeight="1">
      <c r="A14" s="881">
        <f>+A12+1</f>
        <v>238</v>
      </c>
      <c r="B14" s="875">
        <v>42228</v>
      </c>
      <c r="C14" s="935" t="s">
        <v>28</v>
      </c>
      <c r="D14" s="881" t="s">
        <v>175</v>
      </c>
      <c r="E14" s="881" t="s">
        <v>115</v>
      </c>
      <c r="F14" s="883">
        <v>90000</v>
      </c>
      <c r="G14" s="55">
        <v>719</v>
      </c>
      <c r="H14" s="78">
        <v>90000</v>
      </c>
      <c r="I14" s="873" t="s">
        <v>547</v>
      </c>
      <c r="J14" s="875">
        <v>43835</v>
      </c>
      <c r="K14" s="877" t="s">
        <v>40</v>
      </c>
      <c r="L14" s="881" t="s">
        <v>1867</v>
      </c>
      <c r="M14" s="881" t="s">
        <v>148</v>
      </c>
      <c r="N14" s="883">
        <v>33195000</v>
      </c>
      <c r="O14" s="55">
        <v>719</v>
      </c>
      <c r="P14" s="78"/>
    </row>
    <row r="15" spans="1:16" ht="14.25" customHeight="1" thickBot="1">
      <c r="A15" s="882"/>
      <c r="B15" s="876"/>
      <c r="C15" s="936"/>
      <c r="D15" s="882"/>
      <c r="E15" s="882"/>
      <c r="F15" s="884"/>
      <c r="G15" s="56">
        <v>721</v>
      </c>
      <c r="H15" s="79"/>
      <c r="I15" s="874"/>
      <c r="J15" s="876"/>
      <c r="K15" s="878"/>
      <c r="L15" s="882"/>
      <c r="M15" s="882"/>
      <c r="N15" s="884"/>
      <c r="O15" s="56">
        <v>723</v>
      </c>
      <c r="P15" s="79">
        <f>+N14-P14</f>
        <v>33195000</v>
      </c>
    </row>
    <row r="16" spans="1:16" ht="14.25" customHeight="1">
      <c r="A16" s="251"/>
      <c r="B16" s="252"/>
      <c r="C16" s="472"/>
      <c r="D16" s="251"/>
      <c r="E16" s="251"/>
      <c r="F16" s="254"/>
      <c r="G16" s="255"/>
      <c r="H16" s="256"/>
      <c r="I16" s="873" t="s">
        <v>548</v>
      </c>
      <c r="J16" s="875">
        <v>43835</v>
      </c>
      <c r="K16" s="877" t="s">
        <v>1868</v>
      </c>
      <c r="L16" s="881" t="s">
        <v>1867</v>
      </c>
      <c r="M16" s="881" t="s">
        <v>148</v>
      </c>
      <c r="N16" s="883">
        <v>27916900</v>
      </c>
      <c r="O16" s="55">
        <v>719</v>
      </c>
      <c r="P16" s="78"/>
    </row>
    <row r="17" spans="1:16" ht="14.25" customHeight="1" thickBot="1">
      <c r="A17" s="251"/>
      <c r="B17" s="252"/>
      <c r="C17" s="472"/>
      <c r="D17" s="251"/>
      <c r="E17" s="251"/>
      <c r="F17" s="254"/>
      <c r="G17" s="255"/>
      <c r="H17" s="256"/>
      <c r="I17" s="874"/>
      <c r="J17" s="876"/>
      <c r="K17" s="878"/>
      <c r="L17" s="882"/>
      <c r="M17" s="882"/>
      <c r="N17" s="884"/>
      <c r="O17" s="56">
        <v>723</v>
      </c>
      <c r="P17" s="79">
        <f>+N16-P16</f>
        <v>27916900</v>
      </c>
    </row>
    <row r="18" spans="1:16" ht="12.75" customHeight="1">
      <c r="A18" s="881"/>
      <c r="B18" s="875"/>
      <c r="C18" s="935"/>
      <c r="D18" s="881"/>
      <c r="E18" s="881"/>
      <c r="F18" s="883"/>
      <c r="G18" s="55">
        <v>719</v>
      </c>
      <c r="H18" s="78"/>
      <c r="I18" s="873" t="s">
        <v>549</v>
      </c>
      <c r="J18" s="875">
        <v>43835</v>
      </c>
      <c r="K18" s="877" t="s">
        <v>694</v>
      </c>
      <c r="L18" s="881" t="s">
        <v>1867</v>
      </c>
      <c r="M18" s="881" t="s">
        <v>148</v>
      </c>
      <c r="N18" s="883">
        <v>25661698</v>
      </c>
      <c r="O18" s="55">
        <v>719</v>
      </c>
      <c r="P18" s="78"/>
    </row>
    <row r="19" spans="1:16" ht="12.75" customHeight="1" thickBot="1">
      <c r="A19" s="882"/>
      <c r="B19" s="934"/>
      <c r="C19" s="936"/>
      <c r="D19" s="882"/>
      <c r="E19" s="882"/>
      <c r="F19" s="884"/>
      <c r="G19" s="56">
        <v>721</v>
      </c>
      <c r="H19" s="79">
        <f>+F18-H18</f>
        <v>0</v>
      </c>
      <c r="I19" s="874"/>
      <c r="J19" s="876"/>
      <c r="K19" s="878"/>
      <c r="L19" s="882"/>
      <c r="M19" s="882"/>
      <c r="N19" s="884"/>
      <c r="O19" s="56">
        <v>723</v>
      </c>
      <c r="P19" s="79">
        <f>+N18-P18</f>
        <v>25661698</v>
      </c>
    </row>
    <row r="20" spans="1:16" ht="11.25" customHeight="1">
      <c r="A20" s="881"/>
      <c r="B20" s="875"/>
      <c r="C20" s="935"/>
      <c r="D20" s="877"/>
      <c r="E20" s="881"/>
      <c r="F20" s="883"/>
      <c r="G20" s="55">
        <v>719</v>
      </c>
      <c r="H20" s="78"/>
      <c r="I20" s="873" t="s">
        <v>550</v>
      </c>
      <c r="J20" s="875">
        <v>43835</v>
      </c>
      <c r="K20" s="877" t="s">
        <v>672</v>
      </c>
      <c r="L20" s="881" t="s">
        <v>1867</v>
      </c>
      <c r="M20" s="881" t="s">
        <v>148</v>
      </c>
      <c r="N20" s="883">
        <v>21521960</v>
      </c>
      <c r="O20" s="55">
        <v>719</v>
      </c>
      <c r="P20" s="78"/>
    </row>
    <row r="21" spans="1:16" ht="12.75" customHeight="1" thickBot="1">
      <c r="A21" s="882"/>
      <c r="B21" s="934"/>
      <c r="C21" s="936"/>
      <c r="D21" s="878"/>
      <c r="E21" s="882"/>
      <c r="F21" s="884"/>
      <c r="G21" s="56">
        <v>721</v>
      </c>
      <c r="H21" s="79">
        <f>+F20-H20</f>
        <v>0</v>
      </c>
      <c r="I21" s="874"/>
      <c r="J21" s="876"/>
      <c r="K21" s="878"/>
      <c r="L21" s="882"/>
      <c r="M21" s="882"/>
      <c r="N21" s="884"/>
      <c r="O21" s="56">
        <v>723</v>
      </c>
      <c r="P21" s="79">
        <f>+N20-P20</f>
        <v>21521960</v>
      </c>
    </row>
    <row r="22" spans="1:16" ht="15" customHeight="1" thickBot="1">
      <c r="A22" s="901" t="s">
        <v>102</v>
      </c>
      <c r="B22" s="902"/>
      <c r="C22" s="902"/>
      <c r="D22" s="902"/>
      <c r="E22" s="903"/>
      <c r="F22" s="81">
        <f>SUM(F12:F21)</f>
        <v>210000</v>
      </c>
      <c r="I22" s="901" t="s">
        <v>102</v>
      </c>
      <c r="J22" s="902"/>
      <c r="K22" s="902"/>
      <c r="L22" s="902"/>
      <c r="M22" s="903"/>
      <c r="N22" s="81">
        <f>SUM(N12:N21)</f>
        <v>154548058</v>
      </c>
    </row>
    <row r="23" spans="1:16" ht="15.75" customHeight="1" thickBot="1">
      <c r="A23" s="885" t="s">
        <v>103</v>
      </c>
      <c r="B23" s="886"/>
      <c r="C23" s="886"/>
      <c r="D23" s="886"/>
      <c r="E23" s="887"/>
      <c r="F23" s="69">
        <f>+C37</f>
        <v>610857841</v>
      </c>
      <c r="I23" s="885" t="s">
        <v>103</v>
      </c>
      <c r="J23" s="886"/>
      <c r="K23" s="886"/>
      <c r="L23" s="886"/>
      <c r="M23" s="887"/>
      <c r="N23" s="69">
        <v>0</v>
      </c>
      <c r="O23" s="241" t="s">
        <v>561</v>
      </c>
      <c r="P23" s="242"/>
    </row>
    <row r="24" spans="1:16" ht="16.5" thickBot="1">
      <c r="A24" s="888" t="s">
        <v>104</v>
      </c>
      <c r="B24" s="889"/>
      <c r="C24" s="889"/>
      <c r="D24" s="889"/>
      <c r="E24" s="890"/>
      <c r="F24" s="183">
        <f>SUM(F22:F23)</f>
        <v>611067841</v>
      </c>
      <c r="I24" s="888" t="s">
        <v>104</v>
      </c>
      <c r="J24" s="889"/>
      <c r="K24" s="889"/>
      <c r="L24" s="889"/>
      <c r="M24" s="890"/>
      <c r="N24" s="183">
        <f>SUM(N22:N23)</f>
        <v>154548058</v>
      </c>
    </row>
    <row r="25" spans="1:16" ht="8.25" customHeight="1">
      <c r="A25" s="61"/>
      <c r="B25" s="61"/>
      <c r="C25" s="61"/>
      <c r="D25" s="61"/>
      <c r="E25" s="61"/>
      <c r="I25" s="61"/>
      <c r="J25" s="61"/>
      <c r="K25" s="61"/>
      <c r="L25" s="61"/>
      <c r="M25" s="61"/>
    </row>
    <row r="26" spans="1:16" ht="16.5" customHeight="1">
      <c r="A26" s="51" t="s">
        <v>176</v>
      </c>
      <c r="I26" s="51" t="s">
        <v>1869</v>
      </c>
    </row>
    <row r="27" spans="1:16" ht="5.25" customHeight="1">
      <c r="F27" s="139"/>
      <c r="N27" s="139"/>
    </row>
    <row r="28" spans="1:16" ht="15" customHeight="1">
      <c r="A28" s="50" t="s">
        <v>105</v>
      </c>
      <c r="D28" s="146"/>
      <c r="F28" s="139"/>
      <c r="I28" s="50" t="s">
        <v>105</v>
      </c>
      <c r="L28" s="146"/>
      <c r="N28" s="139"/>
    </row>
    <row r="29" spans="1:16" ht="9.75" customHeight="1" thickBot="1"/>
    <row r="30" spans="1:16" ht="15.75" thickBot="1">
      <c r="A30" s="891" t="s">
        <v>106</v>
      </c>
      <c r="B30" s="892"/>
      <c r="C30" s="892"/>
      <c r="D30" s="893"/>
      <c r="F30" s="50" t="s">
        <v>107</v>
      </c>
      <c r="I30" s="891" t="s">
        <v>106</v>
      </c>
      <c r="J30" s="892"/>
      <c r="K30" s="892"/>
      <c r="L30" s="893"/>
      <c r="N30" s="50" t="s">
        <v>1126</v>
      </c>
    </row>
    <row r="31" spans="1:16" ht="34.5" customHeight="1" thickBot="1">
      <c r="A31" s="57" t="s">
        <v>100</v>
      </c>
      <c r="B31" s="58" t="s">
        <v>108</v>
      </c>
      <c r="C31" s="59" t="s">
        <v>109</v>
      </c>
      <c r="D31" s="60" t="s">
        <v>110</v>
      </c>
      <c r="I31" s="57" t="s">
        <v>100</v>
      </c>
      <c r="J31" s="58" t="s">
        <v>108</v>
      </c>
      <c r="K31" s="264" t="s">
        <v>109</v>
      </c>
      <c r="L31" s="60" t="s">
        <v>110</v>
      </c>
    </row>
    <row r="32" spans="1:16" ht="13.5" customHeight="1">
      <c r="A32" s="71">
        <v>719</v>
      </c>
      <c r="B32" s="73">
        <v>210000</v>
      </c>
      <c r="C32" s="74">
        <v>28120000</v>
      </c>
      <c r="D32" s="76">
        <f>+B32+C32</f>
        <v>28330000</v>
      </c>
      <c r="I32" s="71">
        <v>719</v>
      </c>
      <c r="J32" s="73">
        <f>+P12+P14+P18+P20</f>
        <v>0</v>
      </c>
      <c r="K32" s="74">
        <f>+N23</f>
        <v>0</v>
      </c>
      <c r="L32" s="195">
        <f>+J32+K32</f>
        <v>0</v>
      </c>
    </row>
    <row r="33" spans="1:22" ht="13.5" customHeight="1">
      <c r="A33" s="72">
        <v>721</v>
      </c>
      <c r="B33" s="80"/>
      <c r="C33" s="75">
        <v>36156092</v>
      </c>
      <c r="D33" s="76">
        <f>+B33+C33</f>
        <v>36156092</v>
      </c>
      <c r="I33" s="72">
        <v>721</v>
      </c>
      <c r="J33" s="80"/>
      <c r="K33" s="74">
        <v>0</v>
      </c>
      <c r="L33" s="195">
        <f>+J33+K33</f>
        <v>0</v>
      </c>
    </row>
    <row r="34" spans="1:22" ht="12.75" customHeight="1">
      <c r="A34" s="72">
        <v>722</v>
      </c>
      <c r="B34" s="80"/>
      <c r="C34" s="75">
        <v>224787287</v>
      </c>
      <c r="D34" s="76">
        <f>+B34+C34</f>
        <v>224787287</v>
      </c>
      <c r="I34" s="72">
        <v>722</v>
      </c>
      <c r="J34" s="80"/>
      <c r="K34" s="74">
        <v>0</v>
      </c>
      <c r="L34" s="195">
        <f>+J34+K34</f>
        <v>0</v>
      </c>
    </row>
    <row r="35" spans="1:22" ht="13.5" customHeight="1" thickBot="1">
      <c r="A35" s="72">
        <v>723</v>
      </c>
      <c r="B35" s="80"/>
      <c r="C35" s="75">
        <v>319828837</v>
      </c>
      <c r="D35" s="76">
        <f>+B35+C35</f>
        <v>319828837</v>
      </c>
      <c r="F35" s="174" t="s">
        <v>23</v>
      </c>
      <c r="G35" s="175"/>
      <c r="I35" s="72">
        <v>723</v>
      </c>
      <c r="J35" s="80">
        <f>+P13+P15+P19+P21+P17</f>
        <v>154548058</v>
      </c>
      <c r="K35" s="74">
        <v>0</v>
      </c>
      <c r="L35" s="195">
        <f>+J35+K35</f>
        <v>154548058</v>
      </c>
      <c r="N35" s="909" t="s">
        <v>1847</v>
      </c>
      <c r="O35" s="909"/>
      <c r="P35" s="909"/>
    </row>
    <row r="36" spans="1:22" ht="14.25" hidden="1" customHeight="1" thickBot="1">
      <c r="A36" s="164" t="s">
        <v>181</v>
      </c>
      <c r="B36" s="165"/>
      <c r="C36" s="166">
        <v>1965625</v>
      </c>
      <c r="D36" s="168">
        <f>+B36+C36</f>
        <v>1965625</v>
      </c>
      <c r="F36" s="52"/>
      <c r="I36" s="164" t="s">
        <v>181</v>
      </c>
      <c r="J36" s="165"/>
      <c r="K36" s="74">
        <v>0</v>
      </c>
      <c r="L36" s="196">
        <f>+J36+K36</f>
        <v>0</v>
      </c>
      <c r="N36" s="52"/>
    </row>
    <row r="37" spans="1:22" ht="16.5" thickBot="1">
      <c r="A37" s="169"/>
      <c r="B37" s="170">
        <f>SUM(B32:B36)</f>
        <v>210000</v>
      </c>
      <c r="C37" s="171">
        <f>SUM(C32:C36)</f>
        <v>610857841</v>
      </c>
      <c r="D37" s="172">
        <f>SUM(D32:D36)</f>
        <v>611067841</v>
      </c>
      <c r="I37" s="169"/>
      <c r="J37" s="197">
        <f>SUM(J32:J36)</f>
        <v>154548058</v>
      </c>
      <c r="K37" s="197">
        <f>SUM(K32:K36)</f>
        <v>0</v>
      </c>
      <c r="L37" s="198">
        <f>SUM(L32:L36)</f>
        <v>154548058</v>
      </c>
    </row>
    <row r="38" spans="1:22" ht="16.5">
      <c r="A38" s="49" t="s">
        <v>88</v>
      </c>
      <c r="B38" s="50"/>
      <c r="I38" s="49" t="s">
        <v>88</v>
      </c>
      <c r="J38" s="50"/>
    </row>
    <row r="39" spans="1:22" ht="13.5" customHeight="1">
      <c r="A39" s="51" t="s">
        <v>89</v>
      </c>
      <c r="I39" s="51" t="s">
        <v>89</v>
      </c>
    </row>
    <row r="40" spans="1:22" ht="14.25" customHeight="1">
      <c r="A40" s="51" t="s">
        <v>90</v>
      </c>
      <c r="I40" s="51" t="s">
        <v>90</v>
      </c>
    </row>
    <row r="41" spans="1:22" ht="14.25" customHeight="1">
      <c r="A41" s="51" t="s">
        <v>91</v>
      </c>
      <c r="I41" s="51" t="s">
        <v>91</v>
      </c>
    </row>
    <row r="42" spans="1:22" ht="6" customHeight="1">
      <c r="A42" s="50"/>
      <c r="B42" s="50"/>
      <c r="I42" s="50"/>
      <c r="J42" s="50"/>
    </row>
    <row r="43" spans="1:22" ht="16.5" customHeight="1">
      <c r="A43" s="52" t="s">
        <v>222</v>
      </c>
      <c r="G43" s="52"/>
      <c r="I43" s="52" t="s">
        <v>536</v>
      </c>
      <c r="O43" s="52"/>
    </row>
    <row r="44" spans="1:22" ht="15.75" customHeight="1">
      <c r="A44" s="53" t="s">
        <v>92</v>
      </c>
      <c r="G44" s="53"/>
      <c r="I44" s="53" t="s">
        <v>2012</v>
      </c>
      <c r="O44" s="53"/>
    </row>
    <row r="45" spans="1:22" ht="15.75" customHeight="1">
      <c r="A45" s="894" t="s">
        <v>93</v>
      </c>
      <c r="B45" s="894"/>
      <c r="C45" s="894"/>
      <c r="D45" s="894"/>
      <c r="E45" s="894"/>
      <c r="F45" s="894"/>
      <c r="G45" s="894"/>
      <c r="H45" s="894"/>
      <c r="I45" s="894" t="s">
        <v>903</v>
      </c>
      <c r="J45" s="894"/>
      <c r="K45" s="894"/>
      <c r="L45" s="894"/>
      <c r="M45" s="894"/>
      <c r="N45" s="894"/>
      <c r="O45" s="894"/>
      <c r="P45" s="894"/>
      <c r="V45" s="51">
        <v>189000000</v>
      </c>
    </row>
    <row r="46" spans="1:22" ht="12" customHeight="1" thickBot="1"/>
    <row r="47" spans="1:22">
      <c r="A47" s="895" t="s">
        <v>94</v>
      </c>
      <c r="B47" s="897" t="s">
        <v>95</v>
      </c>
      <c r="C47" s="897" t="s">
        <v>96</v>
      </c>
      <c r="D47" s="897" t="s">
        <v>3</v>
      </c>
      <c r="E47" s="897" t="s">
        <v>97</v>
      </c>
      <c r="F47" s="897" t="s">
        <v>98</v>
      </c>
      <c r="G47" s="897" t="s">
        <v>99</v>
      </c>
      <c r="H47" s="899"/>
      <c r="I47" s="895" t="s">
        <v>94</v>
      </c>
      <c r="J47" s="897" t="s">
        <v>95</v>
      </c>
      <c r="K47" s="897" t="s">
        <v>96</v>
      </c>
      <c r="L47" s="897" t="s">
        <v>3</v>
      </c>
      <c r="M47" s="897" t="s">
        <v>97</v>
      </c>
      <c r="N47" s="897" t="s">
        <v>98</v>
      </c>
      <c r="O47" s="897" t="s">
        <v>99</v>
      </c>
      <c r="P47" s="899"/>
    </row>
    <row r="48" spans="1:22" ht="15.75" thickBot="1">
      <c r="A48" s="896"/>
      <c r="B48" s="898"/>
      <c r="C48" s="898"/>
      <c r="D48" s="898"/>
      <c r="E48" s="898"/>
      <c r="F48" s="898"/>
      <c r="G48" s="240" t="s">
        <v>100</v>
      </c>
      <c r="H48" s="182" t="s">
        <v>101</v>
      </c>
      <c r="I48" s="896"/>
      <c r="J48" s="898"/>
      <c r="K48" s="898"/>
      <c r="L48" s="898"/>
      <c r="M48" s="898"/>
      <c r="N48" s="898"/>
      <c r="O48" s="240" t="s">
        <v>100</v>
      </c>
      <c r="P48" s="182" t="s">
        <v>101</v>
      </c>
    </row>
    <row r="49" spans="1:16" ht="13.5" customHeight="1">
      <c r="A49" s="881">
        <f>+A14+1</f>
        <v>239</v>
      </c>
      <c r="B49" s="875">
        <v>42240</v>
      </c>
      <c r="C49" s="935" t="s">
        <v>28</v>
      </c>
      <c r="D49" s="881" t="s">
        <v>223</v>
      </c>
      <c r="E49" s="881" t="s">
        <v>115</v>
      </c>
      <c r="F49" s="883">
        <v>60000</v>
      </c>
      <c r="G49" s="55">
        <v>719</v>
      </c>
      <c r="H49" s="78">
        <v>60000</v>
      </c>
      <c r="I49" s="873" t="s">
        <v>551</v>
      </c>
      <c r="J49" s="875">
        <v>43858</v>
      </c>
      <c r="K49" s="877" t="s">
        <v>1079</v>
      </c>
      <c r="L49" s="881" t="s">
        <v>1867</v>
      </c>
      <c r="M49" s="881" t="s">
        <v>148</v>
      </c>
      <c r="N49" s="883">
        <v>6662400</v>
      </c>
      <c r="O49" s="55">
        <v>719</v>
      </c>
      <c r="P49" s="78"/>
    </row>
    <row r="50" spans="1:16" ht="12.75" customHeight="1" thickBot="1">
      <c r="A50" s="882"/>
      <c r="B50" s="934"/>
      <c r="C50" s="936"/>
      <c r="D50" s="882"/>
      <c r="E50" s="882"/>
      <c r="F50" s="884"/>
      <c r="G50" s="56">
        <v>721</v>
      </c>
      <c r="H50" s="79">
        <f>+F49-H49</f>
        <v>0</v>
      </c>
      <c r="I50" s="874"/>
      <c r="J50" s="876"/>
      <c r="K50" s="878"/>
      <c r="L50" s="882"/>
      <c r="M50" s="882"/>
      <c r="N50" s="884"/>
      <c r="O50" s="56">
        <v>723</v>
      </c>
      <c r="P50" s="79">
        <f>+N49-P49</f>
        <v>6662400</v>
      </c>
    </row>
    <row r="51" spans="1:16" ht="12" customHeight="1">
      <c r="A51" s="881">
        <f>+A49+1</f>
        <v>240</v>
      </c>
      <c r="B51" s="875">
        <v>42240</v>
      </c>
      <c r="C51" s="942" t="s">
        <v>31</v>
      </c>
      <c r="D51" s="881" t="s">
        <v>224</v>
      </c>
      <c r="E51" s="881" t="s">
        <v>115</v>
      </c>
      <c r="F51" s="883">
        <v>140000</v>
      </c>
      <c r="G51" s="55">
        <v>719</v>
      </c>
      <c r="H51" s="78">
        <v>140000</v>
      </c>
      <c r="I51" s="873" t="s">
        <v>552</v>
      </c>
      <c r="J51" s="875">
        <v>43858</v>
      </c>
      <c r="K51" s="877" t="s">
        <v>40</v>
      </c>
      <c r="L51" s="881" t="s">
        <v>1867</v>
      </c>
      <c r="M51" s="881" t="s">
        <v>148</v>
      </c>
      <c r="N51" s="883">
        <v>7821240</v>
      </c>
      <c r="O51" s="55">
        <v>719</v>
      </c>
      <c r="P51" s="78"/>
    </row>
    <row r="52" spans="1:16" ht="15" customHeight="1" thickBot="1">
      <c r="A52" s="882"/>
      <c r="B52" s="934"/>
      <c r="C52" s="943"/>
      <c r="D52" s="882"/>
      <c r="E52" s="882"/>
      <c r="F52" s="884"/>
      <c r="G52" s="56">
        <v>721</v>
      </c>
      <c r="H52" s="79"/>
      <c r="I52" s="874"/>
      <c r="J52" s="876"/>
      <c r="K52" s="878"/>
      <c r="L52" s="882"/>
      <c r="M52" s="882"/>
      <c r="N52" s="884"/>
      <c r="O52" s="56">
        <v>723</v>
      </c>
      <c r="P52" s="79">
        <f>+N51-P51</f>
        <v>7821240</v>
      </c>
    </row>
    <row r="53" spans="1:16" ht="13.5" customHeight="1">
      <c r="A53" s="251"/>
      <c r="B53" s="452"/>
      <c r="C53" s="465"/>
      <c r="D53" s="251"/>
      <c r="E53" s="251"/>
      <c r="F53" s="254"/>
      <c r="G53" s="255"/>
      <c r="H53" s="256"/>
      <c r="I53" s="873" t="s">
        <v>553</v>
      </c>
      <c r="J53" s="875">
        <v>43858</v>
      </c>
      <c r="K53" s="877" t="s">
        <v>40</v>
      </c>
      <c r="L53" s="881" t="s">
        <v>1867</v>
      </c>
      <c r="M53" s="881" t="s">
        <v>148</v>
      </c>
      <c r="N53" s="883">
        <v>4830000</v>
      </c>
      <c r="O53" s="55">
        <v>719</v>
      </c>
      <c r="P53" s="78"/>
    </row>
    <row r="54" spans="1:16" ht="12.75" customHeight="1" thickBot="1">
      <c r="A54" s="251"/>
      <c r="B54" s="452"/>
      <c r="C54" s="465"/>
      <c r="D54" s="251"/>
      <c r="E54" s="251"/>
      <c r="F54" s="254"/>
      <c r="G54" s="255"/>
      <c r="H54" s="256"/>
      <c r="I54" s="874"/>
      <c r="J54" s="876"/>
      <c r="K54" s="878"/>
      <c r="L54" s="882"/>
      <c r="M54" s="882"/>
      <c r="N54" s="884"/>
      <c r="O54" s="56">
        <v>723</v>
      </c>
      <c r="P54" s="79">
        <f>+N53-P53</f>
        <v>4830000</v>
      </c>
    </row>
    <row r="55" spans="1:16" ht="12" customHeight="1">
      <c r="A55" s="881">
        <f>+A51+1</f>
        <v>241</v>
      </c>
      <c r="B55" s="875">
        <v>42240</v>
      </c>
      <c r="C55" s="942" t="s">
        <v>32</v>
      </c>
      <c r="D55" s="881" t="s">
        <v>225</v>
      </c>
      <c r="E55" s="881" t="s">
        <v>115</v>
      </c>
      <c r="F55" s="883">
        <v>50000</v>
      </c>
      <c r="G55" s="55">
        <v>719</v>
      </c>
      <c r="H55" s="78">
        <v>50000</v>
      </c>
      <c r="I55" s="873" t="s">
        <v>554</v>
      </c>
      <c r="J55" s="875">
        <v>43858</v>
      </c>
      <c r="K55" s="959" t="s">
        <v>1735</v>
      </c>
      <c r="L55" s="881" t="s">
        <v>1867</v>
      </c>
      <c r="M55" s="881" t="s">
        <v>148</v>
      </c>
      <c r="N55" s="883">
        <v>2683166</v>
      </c>
      <c r="O55" s="55">
        <v>719</v>
      </c>
      <c r="P55" s="78"/>
    </row>
    <row r="56" spans="1:16" ht="15" customHeight="1" thickBot="1">
      <c r="A56" s="882"/>
      <c r="B56" s="934"/>
      <c r="C56" s="943"/>
      <c r="D56" s="882"/>
      <c r="E56" s="882"/>
      <c r="F56" s="884"/>
      <c r="G56" s="56">
        <v>721</v>
      </c>
      <c r="H56" s="79">
        <f>+F55-H55</f>
        <v>0</v>
      </c>
      <c r="I56" s="874"/>
      <c r="J56" s="876"/>
      <c r="K56" s="960"/>
      <c r="L56" s="882"/>
      <c r="M56" s="882"/>
      <c r="N56" s="884"/>
      <c r="O56" s="56">
        <v>723</v>
      </c>
      <c r="P56" s="79">
        <f>+N55-P55</f>
        <v>2683166</v>
      </c>
    </row>
    <row r="57" spans="1:16" ht="12" customHeight="1">
      <c r="A57" s="881"/>
      <c r="B57" s="875"/>
      <c r="C57" s="935"/>
      <c r="D57" s="877"/>
      <c r="E57" s="881"/>
      <c r="F57" s="883"/>
      <c r="G57" s="55">
        <v>719</v>
      </c>
      <c r="H57" s="78"/>
      <c r="I57" s="873" t="s">
        <v>1318</v>
      </c>
      <c r="J57" s="875">
        <v>43858</v>
      </c>
      <c r="K57" s="910" t="s">
        <v>555</v>
      </c>
      <c r="L57" s="881" t="s">
        <v>1867</v>
      </c>
      <c r="M57" s="881" t="s">
        <v>148</v>
      </c>
      <c r="N57" s="883">
        <v>8509200</v>
      </c>
      <c r="O57" s="55">
        <v>719</v>
      </c>
      <c r="P57" s="78"/>
    </row>
    <row r="58" spans="1:16" ht="13.5" customHeight="1" thickBot="1">
      <c r="A58" s="882"/>
      <c r="B58" s="934"/>
      <c r="C58" s="936"/>
      <c r="D58" s="878"/>
      <c r="E58" s="882"/>
      <c r="F58" s="884"/>
      <c r="G58" s="56">
        <v>721</v>
      </c>
      <c r="H58" s="79">
        <f>+F57-H57</f>
        <v>0</v>
      </c>
      <c r="I58" s="874"/>
      <c r="J58" s="876"/>
      <c r="K58" s="911"/>
      <c r="L58" s="882"/>
      <c r="M58" s="882"/>
      <c r="N58" s="884"/>
      <c r="O58" s="56">
        <v>723</v>
      </c>
      <c r="P58" s="79">
        <f>+N57</f>
        <v>8509200</v>
      </c>
    </row>
    <row r="59" spans="1:16" ht="15.75" customHeight="1" thickBot="1">
      <c r="A59" s="901" t="s">
        <v>102</v>
      </c>
      <c r="B59" s="902"/>
      <c r="C59" s="902"/>
      <c r="D59" s="902"/>
      <c r="E59" s="903"/>
      <c r="F59" s="81">
        <f>SUM(F49:F58)</f>
        <v>250000</v>
      </c>
      <c r="I59" s="901" t="s">
        <v>102</v>
      </c>
      <c r="J59" s="902"/>
      <c r="K59" s="902"/>
      <c r="L59" s="902"/>
      <c r="M59" s="903"/>
      <c r="N59" s="81">
        <f>SUM(N49:N58)</f>
        <v>30506006</v>
      </c>
    </row>
    <row r="60" spans="1:16" ht="16.5" thickBot="1">
      <c r="A60" s="885" t="s">
        <v>103</v>
      </c>
      <c r="B60" s="886"/>
      <c r="C60" s="886"/>
      <c r="D60" s="886"/>
      <c r="E60" s="887"/>
      <c r="F60" s="69">
        <f>+C74</f>
        <v>611067841</v>
      </c>
      <c r="I60" s="885" t="s">
        <v>103</v>
      </c>
      <c r="J60" s="886"/>
      <c r="K60" s="886"/>
      <c r="L60" s="886"/>
      <c r="M60" s="887"/>
      <c r="N60" s="69">
        <f>+N24</f>
        <v>154548058</v>
      </c>
      <c r="O60" s="241" t="s">
        <v>561</v>
      </c>
      <c r="P60" s="242"/>
    </row>
    <row r="61" spans="1:16" ht="15" customHeight="1" thickBot="1">
      <c r="A61" s="888" t="s">
        <v>104</v>
      </c>
      <c r="B61" s="889"/>
      <c r="C61" s="889"/>
      <c r="D61" s="889"/>
      <c r="E61" s="890"/>
      <c r="F61" s="183">
        <f>SUM(F59:F60)</f>
        <v>611317841</v>
      </c>
      <c r="I61" s="888" t="s">
        <v>104</v>
      </c>
      <c r="J61" s="889"/>
      <c r="K61" s="889"/>
      <c r="L61" s="889"/>
      <c r="M61" s="890"/>
      <c r="N61" s="183">
        <f>SUM(N59:N60)</f>
        <v>185054064</v>
      </c>
    </row>
    <row r="62" spans="1:16" ht="8.25" customHeight="1">
      <c r="A62" s="61"/>
      <c r="B62" s="61"/>
      <c r="C62" s="61"/>
      <c r="D62" s="61"/>
      <c r="E62" s="61"/>
      <c r="I62" s="61"/>
      <c r="J62" s="61"/>
      <c r="K62" s="61"/>
      <c r="L62" s="61"/>
      <c r="M62" s="61"/>
    </row>
    <row r="63" spans="1:16">
      <c r="A63" s="51" t="s">
        <v>226</v>
      </c>
      <c r="I63" s="51" t="s">
        <v>1884</v>
      </c>
    </row>
    <row r="64" spans="1:16" ht="7.5" customHeight="1">
      <c r="F64" s="139"/>
      <c r="N64" s="139"/>
    </row>
    <row r="65" spans="1:16">
      <c r="A65" s="50" t="s">
        <v>105</v>
      </c>
      <c r="D65" s="146"/>
      <c r="F65" s="139"/>
      <c r="I65" s="50" t="s">
        <v>105</v>
      </c>
      <c r="L65" s="146"/>
      <c r="N65" s="139"/>
    </row>
    <row r="66" spans="1:16" ht="7.5" customHeight="1" thickBot="1"/>
    <row r="67" spans="1:16" ht="15.75" thickBot="1">
      <c r="A67" s="891" t="s">
        <v>106</v>
      </c>
      <c r="B67" s="892"/>
      <c r="C67" s="892"/>
      <c r="D67" s="893"/>
      <c r="F67" s="50" t="s">
        <v>107</v>
      </c>
      <c r="I67" s="891" t="s">
        <v>106</v>
      </c>
      <c r="J67" s="892"/>
      <c r="K67" s="892"/>
      <c r="L67" s="893"/>
      <c r="N67" s="50" t="s">
        <v>288</v>
      </c>
    </row>
    <row r="68" spans="1:16" ht="28.5" customHeight="1" thickBot="1">
      <c r="A68" s="57" t="s">
        <v>100</v>
      </c>
      <c r="B68" s="58" t="s">
        <v>108</v>
      </c>
      <c r="C68" s="59" t="s">
        <v>109</v>
      </c>
      <c r="D68" s="60" t="s">
        <v>110</v>
      </c>
      <c r="I68" s="57" t="s">
        <v>100</v>
      </c>
      <c r="J68" s="58" t="s">
        <v>108</v>
      </c>
      <c r="K68" s="473" t="s">
        <v>109</v>
      </c>
      <c r="L68" s="60" t="s">
        <v>110</v>
      </c>
    </row>
    <row r="69" spans="1:16" ht="14.25" customHeight="1">
      <c r="A69" s="71">
        <v>719</v>
      </c>
      <c r="B69" s="73">
        <f>+H49+H51+H55</f>
        <v>250000</v>
      </c>
      <c r="C69" s="74">
        <f>+D32</f>
        <v>28330000</v>
      </c>
      <c r="D69" s="76">
        <f>+B69+C69</f>
        <v>28580000</v>
      </c>
      <c r="I69" s="71">
        <v>719</v>
      </c>
      <c r="J69" s="73">
        <f>+P49+P51+P55</f>
        <v>0</v>
      </c>
      <c r="K69" s="74">
        <f>+L32</f>
        <v>0</v>
      </c>
      <c r="L69" s="195">
        <f>+J69+K69</f>
        <v>0</v>
      </c>
    </row>
    <row r="70" spans="1:16" ht="13.5" customHeight="1">
      <c r="A70" s="72">
        <v>721</v>
      </c>
      <c r="B70" s="80"/>
      <c r="C70" s="74">
        <f>+D33</f>
        <v>36156092</v>
      </c>
      <c r="D70" s="76">
        <f>+B70+C70</f>
        <v>36156092</v>
      </c>
      <c r="I70" s="72">
        <v>721</v>
      </c>
      <c r="J70" s="80"/>
      <c r="K70" s="74">
        <f>+L33</f>
        <v>0</v>
      </c>
      <c r="L70" s="195">
        <f>+J70+K70</f>
        <v>0</v>
      </c>
    </row>
    <row r="71" spans="1:16" ht="12.75" customHeight="1">
      <c r="A71" s="72">
        <v>722</v>
      </c>
      <c r="B71" s="80"/>
      <c r="C71" s="74">
        <f>+D34</f>
        <v>224787287</v>
      </c>
      <c r="D71" s="76">
        <f>+B71+C71</f>
        <v>224787287</v>
      </c>
      <c r="I71" s="72">
        <v>722</v>
      </c>
      <c r="J71" s="80"/>
      <c r="K71" s="74">
        <f>+L34</f>
        <v>0</v>
      </c>
      <c r="L71" s="195">
        <f>+J71+K71</f>
        <v>0</v>
      </c>
    </row>
    <row r="72" spans="1:16" ht="14.25" customHeight="1" thickBot="1">
      <c r="A72" s="72">
        <v>723</v>
      </c>
      <c r="B72" s="80"/>
      <c r="C72" s="74">
        <f>+D35</f>
        <v>319828837</v>
      </c>
      <c r="D72" s="76">
        <f>+B72+C72</f>
        <v>319828837</v>
      </c>
      <c r="F72" s="174" t="s">
        <v>23</v>
      </c>
      <c r="G72" s="175"/>
      <c r="I72" s="72">
        <v>723</v>
      </c>
      <c r="J72" s="80">
        <f>+N59</f>
        <v>30506006</v>
      </c>
      <c r="K72" s="74">
        <f>+L35</f>
        <v>154548058</v>
      </c>
      <c r="L72" s="195">
        <f>+J72+K72</f>
        <v>185054064</v>
      </c>
      <c r="N72" s="909" t="s">
        <v>1696</v>
      </c>
      <c r="O72" s="909"/>
      <c r="P72" s="909"/>
    </row>
    <row r="73" spans="1:16" ht="14.25" hidden="1" customHeight="1" thickBot="1">
      <c r="A73" s="164" t="s">
        <v>181</v>
      </c>
      <c r="B73" s="165"/>
      <c r="C73" s="74">
        <f>+D36</f>
        <v>1965625</v>
      </c>
      <c r="D73" s="168">
        <f>+B73+C73</f>
        <v>1965625</v>
      </c>
      <c r="F73" s="52"/>
      <c r="I73" s="164" t="s">
        <v>181</v>
      </c>
      <c r="J73" s="165"/>
      <c r="K73" s="74">
        <f>+L36</f>
        <v>0</v>
      </c>
      <c r="L73" s="196">
        <f>+J73+K73</f>
        <v>0</v>
      </c>
      <c r="N73" s="52"/>
    </row>
    <row r="74" spans="1:16" ht="16.5" thickBot="1">
      <c r="A74" s="169"/>
      <c r="B74" s="170">
        <f>SUM(B69:B73)</f>
        <v>250000</v>
      </c>
      <c r="C74" s="171">
        <f>SUM(C69:C73)</f>
        <v>611067841</v>
      </c>
      <c r="D74" s="172">
        <f>SUM(D69:D73)</f>
        <v>611317841</v>
      </c>
      <c r="I74" s="169"/>
      <c r="J74" s="197">
        <f>SUM(J69:J73)</f>
        <v>30506006</v>
      </c>
      <c r="K74" s="197">
        <f>SUM(K69:K73)</f>
        <v>154548058</v>
      </c>
      <c r="L74" s="198">
        <f>SUM(L69:L73)</f>
        <v>185054064</v>
      </c>
    </row>
    <row r="75" spans="1:16" ht="16.5">
      <c r="A75" s="49" t="s">
        <v>88</v>
      </c>
      <c r="B75" s="50"/>
      <c r="I75" s="49" t="s">
        <v>88</v>
      </c>
      <c r="J75" s="50"/>
    </row>
    <row r="76" spans="1:16" ht="14.25" customHeight="1">
      <c r="A76" s="51" t="s">
        <v>89</v>
      </c>
      <c r="I76" s="51" t="s">
        <v>89</v>
      </c>
    </row>
    <row r="77" spans="1:16" ht="12.75" customHeight="1">
      <c r="A77" s="51" t="s">
        <v>90</v>
      </c>
      <c r="I77" s="51" t="s">
        <v>90</v>
      </c>
    </row>
    <row r="78" spans="1:16" ht="15" customHeight="1">
      <c r="A78" s="51" t="s">
        <v>91</v>
      </c>
      <c r="I78" s="51" t="s">
        <v>91</v>
      </c>
    </row>
    <row r="79" spans="1:16" ht="6.75" customHeight="1">
      <c r="A79" s="50"/>
      <c r="B79" s="50"/>
      <c r="I79" s="50"/>
      <c r="J79" s="50"/>
    </row>
    <row r="80" spans="1:16" ht="13.5" customHeight="1">
      <c r="A80" s="52" t="s">
        <v>227</v>
      </c>
      <c r="B80" s="50"/>
      <c r="G80" s="52"/>
      <c r="I80" s="52" t="s">
        <v>539</v>
      </c>
      <c r="O80" s="52"/>
    </row>
    <row r="81" spans="1:16" ht="15.75" customHeight="1">
      <c r="A81" s="53" t="s">
        <v>92</v>
      </c>
      <c r="G81" s="53"/>
      <c r="I81" s="53" t="s">
        <v>2012</v>
      </c>
      <c r="O81" s="53"/>
    </row>
    <row r="82" spans="1:16" ht="15" customHeight="1">
      <c r="A82" s="894" t="s">
        <v>228</v>
      </c>
      <c r="B82" s="894"/>
      <c r="C82" s="894"/>
      <c r="D82" s="894"/>
      <c r="E82" s="894"/>
      <c r="F82" s="894"/>
      <c r="G82" s="894"/>
      <c r="H82" s="894"/>
      <c r="I82" s="894" t="s">
        <v>903</v>
      </c>
      <c r="J82" s="894"/>
      <c r="K82" s="894"/>
      <c r="L82" s="894"/>
      <c r="M82" s="894"/>
      <c r="N82" s="894"/>
      <c r="O82" s="894"/>
      <c r="P82" s="894"/>
    </row>
    <row r="83" spans="1:16" ht="8.25" customHeight="1" thickBot="1"/>
    <row r="84" spans="1:16" ht="15" customHeight="1">
      <c r="A84" s="895" t="s">
        <v>94</v>
      </c>
      <c r="B84" s="897" t="s">
        <v>95</v>
      </c>
      <c r="C84" s="897" t="s">
        <v>96</v>
      </c>
      <c r="D84" s="897" t="s">
        <v>3</v>
      </c>
      <c r="E84" s="897" t="s">
        <v>97</v>
      </c>
      <c r="F84" s="897" t="s">
        <v>98</v>
      </c>
      <c r="G84" s="897" t="s">
        <v>99</v>
      </c>
      <c r="H84" s="899"/>
      <c r="I84" s="895" t="s">
        <v>94</v>
      </c>
      <c r="J84" s="897" t="s">
        <v>95</v>
      </c>
      <c r="K84" s="897" t="s">
        <v>96</v>
      </c>
      <c r="L84" s="897" t="s">
        <v>3</v>
      </c>
      <c r="M84" s="897" t="s">
        <v>97</v>
      </c>
      <c r="N84" s="897" t="s">
        <v>98</v>
      </c>
      <c r="O84" s="897" t="s">
        <v>99</v>
      </c>
      <c r="P84" s="899"/>
    </row>
    <row r="85" spans="1:16" ht="15.75" customHeight="1" thickBot="1">
      <c r="A85" s="896"/>
      <c r="B85" s="898"/>
      <c r="C85" s="898"/>
      <c r="D85" s="898"/>
      <c r="E85" s="898"/>
      <c r="F85" s="898"/>
      <c r="G85" s="240" t="s">
        <v>100</v>
      </c>
      <c r="H85" s="182" t="s">
        <v>101</v>
      </c>
      <c r="I85" s="896"/>
      <c r="J85" s="898"/>
      <c r="K85" s="898"/>
      <c r="L85" s="898"/>
      <c r="M85" s="898"/>
      <c r="N85" s="898"/>
      <c r="O85" s="240" t="s">
        <v>100</v>
      </c>
      <c r="P85" s="182" t="s">
        <v>101</v>
      </c>
    </row>
    <row r="86" spans="1:16" ht="13.5" customHeight="1">
      <c r="A86" s="881">
        <f>+A55+1</f>
        <v>242</v>
      </c>
      <c r="B86" s="875">
        <v>42242</v>
      </c>
      <c r="C86" s="877" t="s">
        <v>230</v>
      </c>
      <c r="D86" s="881" t="s">
        <v>244</v>
      </c>
      <c r="E86" s="881" t="s">
        <v>148</v>
      </c>
      <c r="F86" s="883">
        <v>182000</v>
      </c>
      <c r="G86" s="55">
        <v>719</v>
      </c>
      <c r="H86" s="78">
        <v>130000</v>
      </c>
      <c r="I86" s="873" t="s">
        <v>1875</v>
      </c>
      <c r="J86" s="875">
        <v>43858</v>
      </c>
      <c r="K86" s="910" t="s">
        <v>1427</v>
      </c>
      <c r="L86" s="881" t="s">
        <v>1867</v>
      </c>
      <c r="M86" s="881" t="s">
        <v>148</v>
      </c>
      <c r="N86" s="883">
        <v>7875000</v>
      </c>
      <c r="O86" s="55">
        <v>719</v>
      </c>
      <c r="P86" s="78"/>
    </row>
    <row r="87" spans="1:16" ht="12.75" customHeight="1" thickBot="1">
      <c r="A87" s="882"/>
      <c r="B87" s="934"/>
      <c r="C87" s="878"/>
      <c r="D87" s="882"/>
      <c r="E87" s="882"/>
      <c r="F87" s="884"/>
      <c r="G87" s="56">
        <v>721</v>
      </c>
      <c r="H87" s="79">
        <f>+F86-H86</f>
        <v>52000</v>
      </c>
      <c r="I87" s="882"/>
      <c r="J87" s="876"/>
      <c r="K87" s="911"/>
      <c r="L87" s="882"/>
      <c r="M87" s="882"/>
      <c r="N87" s="884"/>
      <c r="O87" s="56">
        <v>723</v>
      </c>
      <c r="P87" s="79">
        <f>+N86-P86</f>
        <v>7875000</v>
      </c>
    </row>
    <row r="88" spans="1:16" ht="12" customHeight="1">
      <c r="A88" s="881">
        <f>+A86+1</f>
        <v>243</v>
      </c>
      <c r="B88" s="875">
        <v>42242</v>
      </c>
      <c r="C88" s="881" t="s">
        <v>28</v>
      </c>
      <c r="D88" s="881" t="s">
        <v>229</v>
      </c>
      <c r="E88" s="881" t="s">
        <v>148</v>
      </c>
      <c r="F88" s="883">
        <v>336000</v>
      </c>
      <c r="G88" s="55">
        <v>719</v>
      </c>
      <c r="H88" s="78">
        <v>240000</v>
      </c>
      <c r="I88" s="873" t="s">
        <v>1703</v>
      </c>
      <c r="J88" s="875">
        <v>43858</v>
      </c>
      <c r="K88" s="910" t="s">
        <v>555</v>
      </c>
      <c r="L88" s="881" t="s">
        <v>1867</v>
      </c>
      <c r="M88" s="881" t="s">
        <v>148</v>
      </c>
      <c r="N88" s="883">
        <v>4800000</v>
      </c>
      <c r="O88" s="55">
        <v>719</v>
      </c>
      <c r="P88" s="78"/>
    </row>
    <row r="89" spans="1:16" ht="14.25" customHeight="1" thickBot="1">
      <c r="A89" s="882"/>
      <c r="B89" s="934"/>
      <c r="C89" s="882"/>
      <c r="D89" s="882"/>
      <c r="E89" s="882"/>
      <c r="F89" s="884"/>
      <c r="G89" s="56">
        <v>721</v>
      </c>
      <c r="H89" s="79">
        <f>+F88-H88</f>
        <v>96000</v>
      </c>
      <c r="I89" s="882"/>
      <c r="J89" s="876"/>
      <c r="K89" s="911"/>
      <c r="L89" s="882"/>
      <c r="M89" s="882"/>
      <c r="N89" s="884"/>
      <c r="O89" s="56">
        <v>723</v>
      </c>
      <c r="P89" s="79">
        <f>+N88-P88</f>
        <v>4800000</v>
      </c>
    </row>
    <row r="90" spans="1:16" ht="11.25" customHeight="1">
      <c r="A90" s="881">
        <f>+A88+1</f>
        <v>244</v>
      </c>
      <c r="B90" s="875">
        <v>42242</v>
      </c>
      <c r="C90" s="877" t="s">
        <v>32</v>
      </c>
      <c r="D90" s="881" t="s">
        <v>229</v>
      </c>
      <c r="E90" s="881" t="s">
        <v>148</v>
      </c>
      <c r="F90" s="883">
        <v>56000</v>
      </c>
      <c r="G90" s="55">
        <v>719</v>
      </c>
      <c r="H90" s="78">
        <v>40000</v>
      </c>
      <c r="I90" s="873" t="s">
        <v>1704</v>
      </c>
      <c r="J90" s="875">
        <v>43858</v>
      </c>
      <c r="K90" s="910" t="s">
        <v>555</v>
      </c>
      <c r="L90" s="881" t="s">
        <v>1867</v>
      </c>
      <c r="M90" s="881" t="s">
        <v>148</v>
      </c>
      <c r="N90" s="883">
        <v>7623000</v>
      </c>
      <c r="O90" s="55">
        <v>719</v>
      </c>
      <c r="P90" s="78"/>
    </row>
    <row r="91" spans="1:16" ht="14.25" customHeight="1" thickBot="1">
      <c r="A91" s="882"/>
      <c r="B91" s="934"/>
      <c r="C91" s="878"/>
      <c r="D91" s="882"/>
      <c r="E91" s="882"/>
      <c r="F91" s="884"/>
      <c r="G91" s="56">
        <v>721</v>
      </c>
      <c r="H91" s="79">
        <f>+F90-H90</f>
        <v>16000</v>
      </c>
      <c r="I91" s="882"/>
      <c r="J91" s="876"/>
      <c r="K91" s="911"/>
      <c r="L91" s="882"/>
      <c r="M91" s="882"/>
      <c r="N91" s="884"/>
      <c r="O91" s="56">
        <v>723</v>
      </c>
      <c r="P91" s="79">
        <f>+N90-P90</f>
        <v>7623000</v>
      </c>
    </row>
    <row r="92" spans="1:16" ht="12" customHeight="1">
      <c r="A92" s="251"/>
      <c r="B92" s="452"/>
      <c r="C92" s="253"/>
      <c r="D92" s="251"/>
      <c r="E92" s="251"/>
      <c r="F92" s="254"/>
      <c r="G92" s="255"/>
      <c r="H92" s="256"/>
      <c r="I92" s="873" t="s">
        <v>1705</v>
      </c>
      <c r="J92" s="875">
        <v>43858</v>
      </c>
      <c r="K92" s="877" t="s">
        <v>1877</v>
      </c>
      <c r="L92" s="881" t="s">
        <v>1867</v>
      </c>
      <c r="M92" s="881" t="s">
        <v>148</v>
      </c>
      <c r="N92" s="883">
        <v>7337400</v>
      </c>
      <c r="O92" s="55">
        <v>719</v>
      </c>
      <c r="P92" s="78"/>
    </row>
    <row r="93" spans="1:16" ht="14.25" customHeight="1" thickBot="1">
      <c r="A93" s="251"/>
      <c r="B93" s="452"/>
      <c r="C93" s="253"/>
      <c r="D93" s="251"/>
      <c r="E93" s="251"/>
      <c r="F93" s="254"/>
      <c r="G93" s="255"/>
      <c r="H93" s="256"/>
      <c r="I93" s="882"/>
      <c r="J93" s="876"/>
      <c r="K93" s="878"/>
      <c r="L93" s="882"/>
      <c r="M93" s="882"/>
      <c r="N93" s="884"/>
      <c r="O93" s="56">
        <v>723</v>
      </c>
      <c r="P93" s="79">
        <f>+N92-P92</f>
        <v>7337400</v>
      </c>
    </row>
    <row r="94" spans="1:16" ht="11.25" customHeight="1">
      <c r="A94" s="881" t="e">
        <f>+#REF!+1</f>
        <v>#REF!</v>
      </c>
      <c r="B94" s="875">
        <v>42242</v>
      </c>
      <c r="C94" s="881" t="s">
        <v>31</v>
      </c>
      <c r="D94" s="881" t="s">
        <v>229</v>
      </c>
      <c r="E94" s="881" t="s">
        <v>148</v>
      </c>
      <c r="F94" s="883">
        <v>588000</v>
      </c>
      <c r="G94" s="55">
        <v>719</v>
      </c>
      <c r="H94" s="78">
        <v>420000</v>
      </c>
      <c r="I94" s="873" t="s">
        <v>1876</v>
      </c>
      <c r="J94" s="875">
        <v>43858</v>
      </c>
      <c r="K94" s="879" t="s">
        <v>695</v>
      </c>
      <c r="L94" s="881" t="s">
        <v>1867</v>
      </c>
      <c r="M94" s="881" t="s">
        <v>148</v>
      </c>
      <c r="N94" s="883">
        <v>7139940</v>
      </c>
      <c r="O94" s="55">
        <v>719</v>
      </c>
      <c r="P94" s="78"/>
    </row>
    <row r="95" spans="1:16" ht="14.25" customHeight="1" thickBot="1">
      <c r="A95" s="882"/>
      <c r="B95" s="934"/>
      <c r="C95" s="882"/>
      <c r="D95" s="882"/>
      <c r="E95" s="882"/>
      <c r="F95" s="884"/>
      <c r="G95" s="56">
        <v>721</v>
      </c>
      <c r="H95" s="79">
        <f>+F94-H94</f>
        <v>168000</v>
      </c>
      <c r="I95" s="882"/>
      <c r="J95" s="876"/>
      <c r="K95" s="880"/>
      <c r="L95" s="882"/>
      <c r="M95" s="882"/>
      <c r="N95" s="884"/>
      <c r="O95" s="56">
        <v>723</v>
      </c>
      <c r="P95" s="79">
        <f>+N94-P94</f>
        <v>7139940</v>
      </c>
    </row>
    <row r="96" spans="1:16" ht="16.5" thickBot="1">
      <c r="A96" s="901" t="s">
        <v>102</v>
      </c>
      <c r="B96" s="902"/>
      <c r="C96" s="902"/>
      <c r="D96" s="902"/>
      <c r="E96" s="903"/>
      <c r="F96" s="81">
        <f>SUM(F86:F95)</f>
        <v>1162000</v>
      </c>
      <c r="I96" s="901" t="s">
        <v>102</v>
      </c>
      <c r="J96" s="902"/>
      <c r="K96" s="902"/>
      <c r="L96" s="902"/>
      <c r="M96" s="903"/>
      <c r="N96" s="81">
        <f>+N86+N88+N90+N92+N94</f>
        <v>34775340</v>
      </c>
    </row>
    <row r="97" spans="1:16" ht="16.5" thickBot="1">
      <c r="A97" s="885" t="s">
        <v>103</v>
      </c>
      <c r="B97" s="886"/>
      <c r="C97" s="886"/>
      <c r="D97" s="886"/>
      <c r="E97" s="887"/>
      <c r="F97" s="184">
        <f>+C111</f>
        <v>611317841</v>
      </c>
      <c r="I97" s="885" t="s">
        <v>103</v>
      </c>
      <c r="J97" s="886"/>
      <c r="K97" s="886"/>
      <c r="L97" s="886"/>
      <c r="M97" s="887"/>
      <c r="N97" s="69">
        <f>+N61</f>
        <v>185054064</v>
      </c>
      <c r="O97" s="241" t="s">
        <v>561</v>
      </c>
      <c r="P97" s="242"/>
    </row>
    <row r="98" spans="1:16" ht="16.5" thickBot="1">
      <c r="A98" s="888" t="s">
        <v>104</v>
      </c>
      <c r="B98" s="889"/>
      <c r="C98" s="889"/>
      <c r="D98" s="889"/>
      <c r="E98" s="890"/>
      <c r="F98" s="183">
        <f>SUM(F96:F97)</f>
        <v>612479841</v>
      </c>
      <c r="I98" s="888" t="s">
        <v>104</v>
      </c>
      <c r="J98" s="889"/>
      <c r="K98" s="889"/>
      <c r="L98" s="889"/>
      <c r="M98" s="890"/>
      <c r="N98" s="183">
        <f>SUM(N96:N97)</f>
        <v>219829404</v>
      </c>
    </row>
    <row r="99" spans="1:16" ht="14.25" customHeight="1">
      <c r="A99" s="61"/>
      <c r="B99" s="61"/>
      <c r="C99" s="61"/>
      <c r="D99" s="61"/>
      <c r="E99" s="61"/>
      <c r="I99" s="61"/>
      <c r="J99" s="61"/>
      <c r="K99" s="61"/>
      <c r="L99" s="61"/>
      <c r="M99" s="61"/>
    </row>
    <row r="100" spans="1:16">
      <c r="A100" s="51" t="s">
        <v>232</v>
      </c>
      <c r="I100" s="51" t="s">
        <v>1878</v>
      </c>
    </row>
    <row r="101" spans="1:16" ht="4.5" customHeight="1">
      <c r="F101" s="139"/>
      <c r="N101" s="139"/>
    </row>
    <row r="102" spans="1:16" ht="12" customHeight="1">
      <c r="A102" s="50" t="s">
        <v>105</v>
      </c>
      <c r="D102" s="146"/>
      <c r="I102" s="50" t="s">
        <v>105</v>
      </c>
      <c r="L102" s="146"/>
      <c r="N102" s="139"/>
    </row>
    <row r="103" spans="1:16" ht="6" customHeight="1" thickBot="1"/>
    <row r="104" spans="1:16" ht="17.25" thickBot="1">
      <c r="A104" s="891" t="s">
        <v>106</v>
      </c>
      <c r="B104" s="892"/>
      <c r="C104" s="892"/>
      <c r="D104" s="893"/>
      <c r="F104" s="50" t="s">
        <v>107</v>
      </c>
      <c r="I104" s="891" t="s">
        <v>106</v>
      </c>
      <c r="J104" s="892"/>
      <c r="K104" s="892"/>
      <c r="L104" s="893"/>
      <c r="N104" s="604" t="s">
        <v>288</v>
      </c>
      <c r="O104" s="604"/>
      <c r="P104" s="604"/>
    </row>
    <row r="105" spans="1:16" ht="28.5" customHeight="1" thickBot="1">
      <c r="A105" s="57" t="s">
        <v>100</v>
      </c>
      <c r="B105" s="58" t="s">
        <v>108</v>
      </c>
      <c r="C105" s="59" t="s">
        <v>109</v>
      </c>
      <c r="D105" s="60" t="s">
        <v>110</v>
      </c>
      <c r="I105" s="57" t="s">
        <v>100</v>
      </c>
      <c r="J105" s="58" t="s">
        <v>108</v>
      </c>
      <c r="K105" s="59" t="s">
        <v>109</v>
      </c>
      <c r="L105" s="60" t="s">
        <v>110</v>
      </c>
      <c r="N105" s="12"/>
      <c r="O105" s="12"/>
      <c r="P105" s="12"/>
    </row>
    <row r="106" spans="1:16" ht="12.75" customHeight="1">
      <c r="A106" s="71">
        <v>719</v>
      </c>
      <c r="B106" s="73" t="e">
        <f>+H86+H88+H90+#REF!+H94</f>
        <v>#REF!</v>
      </c>
      <c r="C106" s="74">
        <f>+D69</f>
        <v>28580000</v>
      </c>
      <c r="D106" s="76" t="e">
        <f>+B106+C106</f>
        <v>#REF!</v>
      </c>
      <c r="I106" s="71">
        <v>719</v>
      </c>
      <c r="J106" s="73"/>
      <c r="K106" s="74"/>
      <c r="L106" s="195">
        <f>+J106+K106</f>
        <v>0</v>
      </c>
      <c r="N106" s="12"/>
      <c r="O106" s="12"/>
      <c r="P106" s="12"/>
    </row>
    <row r="107" spans="1:16" ht="13.5" customHeight="1">
      <c r="A107" s="72">
        <v>721</v>
      </c>
      <c r="B107" s="80" t="e">
        <f>+H95+#REF!+H91+H89+H87</f>
        <v>#REF!</v>
      </c>
      <c r="C107" s="74">
        <f>+D70</f>
        <v>36156092</v>
      </c>
      <c r="D107" s="76" t="e">
        <f>+B107+C107</f>
        <v>#REF!</v>
      </c>
      <c r="I107" s="72">
        <v>721</v>
      </c>
      <c r="J107" s="80"/>
      <c r="K107" s="74"/>
      <c r="L107" s="195">
        <f>+J107+K107</f>
        <v>0</v>
      </c>
      <c r="N107" s="12"/>
      <c r="O107" s="12"/>
      <c r="P107" s="12"/>
    </row>
    <row r="108" spans="1:16" ht="12.75" customHeight="1">
      <c r="A108" s="72">
        <v>722</v>
      </c>
      <c r="B108" s="80"/>
      <c r="C108" s="74">
        <f>+D71</f>
        <v>224787287</v>
      </c>
      <c r="D108" s="76">
        <f>+B108+C108</f>
        <v>224787287</v>
      </c>
      <c r="I108" s="72">
        <v>722</v>
      </c>
      <c r="J108" s="80">
        <v>0</v>
      </c>
      <c r="K108" s="74">
        <f>+L71</f>
        <v>0</v>
      </c>
      <c r="L108" s="195">
        <f>+J108+K108</f>
        <v>0</v>
      </c>
      <c r="N108" s="12"/>
      <c r="O108" s="12"/>
      <c r="P108" s="12"/>
    </row>
    <row r="109" spans="1:16" ht="17.25" customHeight="1" thickBot="1">
      <c r="A109" s="72">
        <v>723</v>
      </c>
      <c r="B109" s="80"/>
      <c r="C109" s="74">
        <f>+D72</f>
        <v>319828837</v>
      </c>
      <c r="D109" s="76">
        <f>+B109+C109</f>
        <v>319828837</v>
      </c>
      <c r="F109" s="174" t="s">
        <v>23</v>
      </c>
      <c r="I109" s="72">
        <v>723</v>
      </c>
      <c r="J109" s="80">
        <f>+N96</f>
        <v>34775340</v>
      </c>
      <c r="K109" s="74">
        <f>+L72</f>
        <v>185054064</v>
      </c>
      <c r="L109" s="195">
        <f>+J109+K109</f>
        <v>219829404</v>
      </c>
      <c r="N109" s="956" t="s">
        <v>1696</v>
      </c>
      <c r="O109" s="956"/>
      <c r="P109" s="956"/>
    </row>
    <row r="110" spans="1:16" ht="13.5" hidden="1" customHeight="1" thickBot="1">
      <c r="A110" s="164" t="s">
        <v>181</v>
      </c>
      <c r="B110" s="165"/>
      <c r="C110" s="74">
        <f>+D73</f>
        <v>1965625</v>
      </c>
      <c r="D110" s="168">
        <f>+B110+C110</f>
        <v>1965625</v>
      </c>
      <c r="F110" s="52"/>
      <c r="I110" s="164" t="s">
        <v>181</v>
      </c>
      <c r="J110" s="165"/>
      <c r="K110" s="74">
        <f>+L73</f>
        <v>0</v>
      </c>
      <c r="L110" s="196">
        <f>+J110+K110</f>
        <v>0</v>
      </c>
      <c r="N110" s="191"/>
      <c r="O110" s="12"/>
      <c r="P110" s="12"/>
    </row>
    <row r="111" spans="1:16" ht="15" customHeight="1" thickBot="1">
      <c r="A111" s="169"/>
      <c r="B111" s="170" t="e">
        <f>SUM(B106:B110)</f>
        <v>#REF!</v>
      </c>
      <c r="C111" s="171">
        <f>SUM(C106:C110)</f>
        <v>611317841</v>
      </c>
      <c r="D111" s="172" t="e">
        <f>SUM(D106:D110)</f>
        <v>#REF!</v>
      </c>
      <c r="I111" s="169"/>
      <c r="J111" s="197">
        <f>SUM(J106:J110)</f>
        <v>34775340</v>
      </c>
      <c r="K111" s="197">
        <f>SUM(K106:K110)</f>
        <v>185054064</v>
      </c>
      <c r="L111" s="198">
        <f>SUM(L106:L110)</f>
        <v>219829404</v>
      </c>
    </row>
    <row r="112" spans="1:16" ht="16.5">
      <c r="A112" s="49" t="s">
        <v>88</v>
      </c>
      <c r="B112" s="50"/>
      <c r="I112" s="49" t="s">
        <v>88</v>
      </c>
      <c r="J112" s="50"/>
    </row>
    <row r="113" spans="1:16" ht="11.25" customHeight="1">
      <c r="A113" s="51" t="s">
        <v>89</v>
      </c>
      <c r="I113" s="51" t="s">
        <v>89</v>
      </c>
    </row>
    <row r="114" spans="1:16" ht="11.25" customHeight="1">
      <c r="A114" s="51" t="s">
        <v>90</v>
      </c>
      <c r="I114" s="51" t="s">
        <v>90</v>
      </c>
    </row>
    <row r="115" spans="1:16" ht="12.75" customHeight="1">
      <c r="A115" s="51" t="s">
        <v>91</v>
      </c>
      <c r="I115" s="51" t="s">
        <v>91</v>
      </c>
    </row>
    <row r="116" spans="1:16" ht="5.25" customHeight="1">
      <c r="A116" s="50"/>
      <c r="B116" s="50"/>
      <c r="I116" s="50"/>
      <c r="J116" s="50"/>
    </row>
    <row r="117" spans="1:16" ht="15.75" customHeight="1">
      <c r="A117" s="52" t="s">
        <v>233</v>
      </c>
      <c r="B117" s="50"/>
      <c r="G117" s="52"/>
      <c r="I117" s="52" t="s">
        <v>540</v>
      </c>
      <c r="O117" s="52"/>
    </row>
    <row r="118" spans="1:16" ht="15.75">
      <c r="A118" s="53" t="s">
        <v>92</v>
      </c>
      <c r="G118" s="53"/>
      <c r="I118" s="53" t="s">
        <v>2012</v>
      </c>
      <c r="O118" s="53"/>
    </row>
    <row r="119" spans="1:16" ht="15.75" customHeight="1">
      <c r="A119" s="894" t="s">
        <v>228</v>
      </c>
      <c r="B119" s="894"/>
      <c r="C119" s="894"/>
      <c r="D119" s="894"/>
      <c r="E119" s="894"/>
      <c r="F119" s="894"/>
      <c r="G119" s="894"/>
      <c r="H119" s="894"/>
      <c r="I119" s="894" t="s">
        <v>903</v>
      </c>
      <c r="J119" s="894"/>
      <c r="K119" s="894"/>
      <c r="L119" s="894"/>
      <c r="M119" s="894"/>
      <c r="N119" s="894"/>
      <c r="O119" s="894"/>
      <c r="P119" s="894"/>
    </row>
    <row r="120" spans="1:16" ht="12.75" customHeight="1" thickBot="1"/>
    <row r="121" spans="1:16" ht="15.75" customHeight="1">
      <c r="A121" s="895" t="s">
        <v>94</v>
      </c>
      <c r="B121" s="897" t="s">
        <v>95</v>
      </c>
      <c r="C121" s="897" t="s">
        <v>96</v>
      </c>
      <c r="D121" s="897" t="s">
        <v>3</v>
      </c>
      <c r="E121" s="897" t="s">
        <v>97</v>
      </c>
      <c r="F121" s="897" t="s">
        <v>98</v>
      </c>
      <c r="G121" s="897" t="s">
        <v>99</v>
      </c>
      <c r="H121" s="899"/>
      <c r="I121" s="895" t="s">
        <v>94</v>
      </c>
      <c r="J121" s="897" t="s">
        <v>95</v>
      </c>
      <c r="K121" s="897" t="s">
        <v>96</v>
      </c>
      <c r="L121" s="897" t="s">
        <v>3</v>
      </c>
      <c r="M121" s="897" t="s">
        <v>97</v>
      </c>
      <c r="N121" s="897" t="s">
        <v>98</v>
      </c>
      <c r="O121" s="897" t="s">
        <v>99</v>
      </c>
      <c r="P121" s="899"/>
    </row>
    <row r="122" spans="1:16" ht="15" customHeight="1" thickBot="1">
      <c r="A122" s="896"/>
      <c r="B122" s="898"/>
      <c r="C122" s="898"/>
      <c r="D122" s="898"/>
      <c r="E122" s="898"/>
      <c r="F122" s="898"/>
      <c r="G122" s="240" t="s">
        <v>100</v>
      </c>
      <c r="H122" s="182" t="s">
        <v>101</v>
      </c>
      <c r="I122" s="896"/>
      <c r="J122" s="898"/>
      <c r="K122" s="898"/>
      <c r="L122" s="898"/>
      <c r="M122" s="898"/>
      <c r="N122" s="898"/>
      <c r="O122" s="240" t="s">
        <v>100</v>
      </c>
      <c r="P122" s="182" t="s">
        <v>101</v>
      </c>
    </row>
    <row r="123" spans="1:16" ht="14.25" customHeight="1">
      <c r="A123" s="881" t="e">
        <f>+A94+1</f>
        <v>#REF!</v>
      </c>
      <c r="B123" s="875">
        <v>42242</v>
      </c>
      <c r="C123" s="942" t="s">
        <v>230</v>
      </c>
      <c r="D123" s="881" t="s">
        <v>234</v>
      </c>
      <c r="E123" s="881" t="s">
        <v>148</v>
      </c>
      <c r="F123" s="883">
        <v>196000</v>
      </c>
      <c r="G123" s="55">
        <v>719</v>
      </c>
      <c r="H123" s="78">
        <v>140000</v>
      </c>
      <c r="I123" s="873" t="s">
        <v>1346</v>
      </c>
      <c r="J123" s="875">
        <v>43864</v>
      </c>
      <c r="K123" s="910" t="s">
        <v>1677</v>
      </c>
      <c r="L123" s="881" t="s">
        <v>1867</v>
      </c>
      <c r="M123" s="881" t="s">
        <v>148</v>
      </c>
      <c r="N123" s="883">
        <v>6000000</v>
      </c>
      <c r="O123" s="55">
        <v>719</v>
      </c>
      <c r="P123" s="78"/>
    </row>
    <row r="124" spans="1:16" ht="13.5" customHeight="1" thickBot="1">
      <c r="A124" s="882"/>
      <c r="B124" s="934"/>
      <c r="C124" s="943"/>
      <c r="D124" s="882"/>
      <c r="E124" s="882"/>
      <c r="F124" s="884"/>
      <c r="G124" s="56">
        <v>721</v>
      </c>
      <c r="H124" s="79">
        <f>+F123-H123</f>
        <v>56000</v>
      </c>
      <c r="I124" s="882"/>
      <c r="J124" s="876"/>
      <c r="K124" s="911"/>
      <c r="L124" s="882"/>
      <c r="M124" s="882"/>
      <c r="N124" s="884"/>
      <c r="O124" s="56">
        <v>723</v>
      </c>
      <c r="P124" s="79">
        <f>+N123-P123</f>
        <v>6000000</v>
      </c>
    </row>
    <row r="125" spans="1:16" ht="11.25" customHeight="1">
      <c r="A125" s="881" t="e">
        <f>+A123+1</f>
        <v>#REF!</v>
      </c>
      <c r="B125" s="875">
        <v>42242</v>
      </c>
      <c r="C125" s="935" t="s">
        <v>28</v>
      </c>
      <c r="D125" s="881" t="s">
        <v>234</v>
      </c>
      <c r="E125" s="881" t="s">
        <v>148</v>
      </c>
      <c r="F125" s="883">
        <v>364000</v>
      </c>
      <c r="G125" s="55">
        <v>719</v>
      </c>
      <c r="H125" s="78">
        <v>260000</v>
      </c>
      <c r="I125" s="873" t="s">
        <v>1347</v>
      </c>
      <c r="J125" s="875">
        <v>43864</v>
      </c>
      <c r="K125" s="881" t="s">
        <v>1753</v>
      </c>
      <c r="L125" s="881" t="s">
        <v>1867</v>
      </c>
      <c r="M125" s="881" t="s">
        <v>148</v>
      </c>
      <c r="N125" s="883">
        <v>6600000</v>
      </c>
      <c r="O125" s="55">
        <v>719</v>
      </c>
      <c r="P125" s="78"/>
    </row>
    <row r="126" spans="1:16" ht="13.5" customHeight="1" thickBot="1">
      <c r="A126" s="882"/>
      <c r="B126" s="934"/>
      <c r="C126" s="936"/>
      <c r="D126" s="882"/>
      <c r="E126" s="882"/>
      <c r="F126" s="884"/>
      <c r="G126" s="56">
        <v>721</v>
      </c>
      <c r="H126" s="79">
        <f>+F125-H125</f>
        <v>104000</v>
      </c>
      <c r="I126" s="882"/>
      <c r="J126" s="876"/>
      <c r="K126" s="882"/>
      <c r="L126" s="882"/>
      <c r="M126" s="882"/>
      <c r="N126" s="884"/>
      <c r="O126" s="56">
        <v>723</v>
      </c>
      <c r="P126" s="79">
        <f>+N125-P125</f>
        <v>6600000</v>
      </c>
    </row>
    <row r="127" spans="1:16" ht="13.5" customHeight="1">
      <c r="A127" s="881" t="e">
        <f>+A125+1</f>
        <v>#REF!</v>
      </c>
      <c r="B127" s="875">
        <v>42242</v>
      </c>
      <c r="C127" s="942" t="s">
        <v>32</v>
      </c>
      <c r="D127" s="881" t="s">
        <v>235</v>
      </c>
      <c r="E127" s="881" t="s">
        <v>148</v>
      </c>
      <c r="F127" s="883">
        <v>70000</v>
      </c>
      <c r="G127" s="55">
        <v>719</v>
      </c>
      <c r="H127" s="78">
        <v>50000</v>
      </c>
      <c r="I127" s="873" t="s">
        <v>1348</v>
      </c>
      <c r="J127" s="875">
        <v>43864</v>
      </c>
      <c r="K127" s="877" t="s">
        <v>1885</v>
      </c>
      <c r="L127" s="881" t="s">
        <v>1867</v>
      </c>
      <c r="M127" s="881" t="s">
        <v>148</v>
      </c>
      <c r="N127" s="883">
        <v>5000000</v>
      </c>
      <c r="O127" s="55">
        <v>719</v>
      </c>
      <c r="P127" s="78"/>
    </row>
    <row r="128" spans="1:16" ht="12.75" customHeight="1" thickBot="1">
      <c r="A128" s="882"/>
      <c r="B128" s="934"/>
      <c r="C128" s="943"/>
      <c r="D128" s="882"/>
      <c r="E128" s="882"/>
      <c r="F128" s="884"/>
      <c r="G128" s="56">
        <v>721</v>
      </c>
      <c r="H128" s="79">
        <f>+F127-H127</f>
        <v>20000</v>
      </c>
      <c r="I128" s="882"/>
      <c r="J128" s="876"/>
      <c r="K128" s="878"/>
      <c r="L128" s="882"/>
      <c r="M128" s="882"/>
      <c r="N128" s="884"/>
      <c r="O128" s="56">
        <v>723</v>
      </c>
      <c r="P128" s="79">
        <f>+N127-P127</f>
        <v>5000000</v>
      </c>
    </row>
    <row r="129" spans="1:16" ht="12.75" customHeight="1">
      <c r="A129" s="251"/>
      <c r="B129" s="452"/>
      <c r="C129" s="465"/>
      <c r="D129" s="251"/>
      <c r="E129" s="251"/>
      <c r="F129" s="254"/>
      <c r="G129" s="255"/>
      <c r="H129" s="256"/>
      <c r="I129" s="873" t="s">
        <v>1725</v>
      </c>
      <c r="J129" s="875">
        <v>43864</v>
      </c>
      <c r="K129" s="877" t="s">
        <v>684</v>
      </c>
      <c r="L129" s="881" t="s">
        <v>1867</v>
      </c>
      <c r="M129" s="881" t="s">
        <v>148</v>
      </c>
      <c r="N129" s="883">
        <v>4410000</v>
      </c>
      <c r="O129" s="55">
        <v>719</v>
      </c>
      <c r="P129" s="78"/>
    </row>
    <row r="130" spans="1:16" ht="12.75" customHeight="1" thickBot="1">
      <c r="A130" s="251"/>
      <c r="B130" s="452"/>
      <c r="C130" s="465"/>
      <c r="D130" s="251"/>
      <c r="E130" s="251"/>
      <c r="F130" s="254"/>
      <c r="G130" s="255"/>
      <c r="H130" s="256"/>
      <c r="I130" s="882"/>
      <c r="J130" s="876"/>
      <c r="K130" s="878"/>
      <c r="L130" s="882"/>
      <c r="M130" s="882"/>
      <c r="N130" s="884"/>
      <c r="O130" s="56">
        <v>723</v>
      </c>
      <c r="P130" s="79">
        <f>+N129-P129</f>
        <v>4410000</v>
      </c>
    </row>
    <row r="131" spans="1:16" ht="11.25" customHeight="1">
      <c r="A131" s="881" t="e">
        <f>+A127+1</f>
        <v>#REF!</v>
      </c>
      <c r="B131" s="875">
        <v>42242</v>
      </c>
      <c r="C131" s="935" t="s">
        <v>169</v>
      </c>
      <c r="D131" s="881" t="s">
        <v>236</v>
      </c>
      <c r="E131" s="881" t="s">
        <v>148</v>
      </c>
      <c r="F131" s="883">
        <v>56000</v>
      </c>
      <c r="G131" s="55">
        <v>719</v>
      </c>
      <c r="H131" s="78">
        <v>40000</v>
      </c>
      <c r="I131" s="873" t="s">
        <v>574</v>
      </c>
      <c r="J131" s="875">
        <v>43864</v>
      </c>
      <c r="K131" s="961" t="s">
        <v>738</v>
      </c>
      <c r="L131" s="963" t="s">
        <v>1887</v>
      </c>
      <c r="M131" s="963" t="s">
        <v>148</v>
      </c>
      <c r="N131" s="965">
        <v>3937500</v>
      </c>
      <c r="O131" s="55">
        <v>719</v>
      </c>
      <c r="P131" s="78"/>
    </row>
    <row r="132" spans="1:16" ht="14.25" customHeight="1" thickBot="1">
      <c r="A132" s="882"/>
      <c r="B132" s="934"/>
      <c r="C132" s="936"/>
      <c r="D132" s="882"/>
      <c r="E132" s="882"/>
      <c r="F132" s="884"/>
      <c r="G132" s="56">
        <v>721</v>
      </c>
      <c r="H132" s="79">
        <f>+F131-H131</f>
        <v>16000</v>
      </c>
      <c r="I132" s="882"/>
      <c r="J132" s="876"/>
      <c r="K132" s="962"/>
      <c r="L132" s="964"/>
      <c r="M132" s="964"/>
      <c r="N132" s="966"/>
      <c r="O132" s="56">
        <v>723</v>
      </c>
      <c r="P132" s="79">
        <f>+N131</f>
        <v>3937500</v>
      </c>
    </row>
    <row r="133" spans="1:16" ht="16.5" thickBot="1">
      <c r="A133" s="901" t="s">
        <v>102</v>
      </c>
      <c r="B133" s="902"/>
      <c r="C133" s="902"/>
      <c r="D133" s="902"/>
      <c r="E133" s="903"/>
      <c r="F133" s="81">
        <f>SUM(F123:F132)</f>
        <v>686000</v>
      </c>
      <c r="I133" s="901" t="s">
        <v>102</v>
      </c>
      <c r="J133" s="902"/>
      <c r="K133" s="902"/>
      <c r="L133" s="902"/>
      <c r="M133" s="903"/>
      <c r="N133" s="81">
        <f>SUM(N123:N132)</f>
        <v>25947500</v>
      </c>
    </row>
    <row r="134" spans="1:16" ht="16.5" thickBot="1">
      <c r="A134" s="885" t="s">
        <v>103</v>
      </c>
      <c r="B134" s="886"/>
      <c r="C134" s="886"/>
      <c r="D134" s="886"/>
      <c r="E134" s="887"/>
      <c r="F134" s="184">
        <f>+F98</f>
        <v>612479841</v>
      </c>
      <c r="I134" s="885" t="s">
        <v>103</v>
      </c>
      <c r="J134" s="886"/>
      <c r="K134" s="886"/>
      <c r="L134" s="886"/>
      <c r="M134" s="887"/>
      <c r="N134" s="239">
        <f>+N98</f>
        <v>219829404</v>
      </c>
      <c r="O134" s="241" t="s">
        <v>561</v>
      </c>
      <c r="P134" s="242"/>
    </row>
    <row r="135" spans="1:16" ht="15" customHeight="1" thickBot="1">
      <c r="A135" s="888" t="s">
        <v>104</v>
      </c>
      <c r="B135" s="889"/>
      <c r="C135" s="889"/>
      <c r="D135" s="889"/>
      <c r="E135" s="890"/>
      <c r="F135" s="183">
        <f>SUM(F133:F134)</f>
        <v>613165841</v>
      </c>
      <c r="I135" s="888" t="s">
        <v>104</v>
      </c>
      <c r="J135" s="889"/>
      <c r="K135" s="889"/>
      <c r="L135" s="889"/>
      <c r="M135" s="890"/>
      <c r="N135" s="183">
        <f>SUM(N133:N134)</f>
        <v>245776904</v>
      </c>
    </row>
    <row r="136" spans="1:16" ht="9" customHeight="1">
      <c r="A136" s="61"/>
      <c r="B136" s="61"/>
      <c r="C136" s="61"/>
      <c r="D136" s="61"/>
      <c r="E136" s="61"/>
      <c r="I136" s="61"/>
      <c r="J136" s="61"/>
      <c r="K136" s="61"/>
      <c r="L136" s="61"/>
      <c r="M136" s="61"/>
    </row>
    <row r="137" spans="1:16" ht="15" customHeight="1">
      <c r="A137" s="51" t="s">
        <v>238</v>
      </c>
      <c r="I137" s="51" t="s">
        <v>2013</v>
      </c>
    </row>
    <row r="138" spans="1:16" ht="9.75" customHeight="1">
      <c r="F138" s="139"/>
      <c r="N138" s="139"/>
    </row>
    <row r="139" spans="1:16">
      <c r="A139" s="50" t="s">
        <v>105</v>
      </c>
      <c r="D139" s="146"/>
      <c r="I139" s="50" t="s">
        <v>105</v>
      </c>
      <c r="L139" s="146"/>
      <c r="N139" s="139"/>
    </row>
    <row r="140" spans="1:16" ht="8.25" customHeight="1" thickBot="1"/>
    <row r="141" spans="1:16" ht="17.25" thickBot="1">
      <c r="A141" s="891" t="s">
        <v>106</v>
      </c>
      <c r="B141" s="892"/>
      <c r="C141" s="892"/>
      <c r="D141" s="893"/>
      <c r="F141" s="50" t="s">
        <v>107</v>
      </c>
      <c r="I141" s="891" t="s">
        <v>106</v>
      </c>
      <c r="J141" s="892"/>
      <c r="K141" s="892"/>
      <c r="L141" s="893"/>
      <c r="N141" s="604" t="s">
        <v>288</v>
      </c>
      <c r="O141" s="604"/>
      <c r="P141" s="604"/>
    </row>
    <row r="142" spans="1:16" ht="31.5" thickBot="1">
      <c r="A142" s="57" t="s">
        <v>100</v>
      </c>
      <c r="B142" s="58" t="s">
        <v>108</v>
      </c>
      <c r="C142" s="59" t="s">
        <v>109</v>
      </c>
      <c r="D142" s="60" t="s">
        <v>110</v>
      </c>
      <c r="I142" s="57" t="s">
        <v>100</v>
      </c>
      <c r="J142" s="58" t="s">
        <v>108</v>
      </c>
      <c r="K142" s="59" t="s">
        <v>109</v>
      </c>
      <c r="L142" s="60" t="s">
        <v>110</v>
      </c>
      <c r="N142" s="12"/>
      <c r="O142" s="12"/>
      <c r="P142" s="12"/>
    </row>
    <row r="143" spans="1:16" ht="15" customHeight="1">
      <c r="A143" s="71">
        <v>719</v>
      </c>
      <c r="B143" s="73" t="e">
        <f>+H123+H125+H127+H131+#REF!</f>
        <v>#REF!</v>
      </c>
      <c r="C143" s="74" t="e">
        <f>+D106</f>
        <v>#REF!</v>
      </c>
      <c r="D143" s="76" t="e">
        <f>+B143+C143</f>
        <v>#REF!</v>
      </c>
      <c r="I143" s="71">
        <v>719</v>
      </c>
      <c r="J143" s="73"/>
      <c r="K143" s="74">
        <f>+L106</f>
        <v>0</v>
      </c>
      <c r="L143" s="195">
        <f>+J143+K143</f>
        <v>0</v>
      </c>
      <c r="N143" s="12"/>
      <c r="O143" s="12"/>
      <c r="P143" s="12"/>
    </row>
    <row r="144" spans="1:16" ht="12.75" customHeight="1">
      <c r="A144" s="72">
        <v>721</v>
      </c>
      <c r="B144" s="80" t="e">
        <f>+#REF!+H132+H128+H126+H124</f>
        <v>#REF!</v>
      </c>
      <c r="C144" s="74" t="e">
        <f>+D107</f>
        <v>#REF!</v>
      </c>
      <c r="D144" s="76" t="e">
        <f>+B144+C144</f>
        <v>#REF!</v>
      </c>
      <c r="I144" s="72">
        <v>721</v>
      </c>
      <c r="J144" s="80"/>
      <c r="K144" s="74">
        <f>+L107</f>
        <v>0</v>
      </c>
      <c r="L144" s="195">
        <f>+J144+K144</f>
        <v>0</v>
      </c>
      <c r="N144" s="12"/>
      <c r="O144" s="12"/>
      <c r="P144" s="12"/>
    </row>
    <row r="145" spans="1:16" ht="13.5" customHeight="1">
      <c r="A145" s="72">
        <v>722</v>
      </c>
      <c r="B145" s="80"/>
      <c r="C145" s="74">
        <f>+D108</f>
        <v>224787287</v>
      </c>
      <c r="D145" s="76">
        <f>+B145+C145</f>
        <v>224787287</v>
      </c>
      <c r="I145" s="72">
        <v>722</v>
      </c>
      <c r="J145" s="80"/>
      <c r="K145" s="74">
        <f>+L108</f>
        <v>0</v>
      </c>
      <c r="L145" s="195">
        <f>+J145+K145</f>
        <v>0</v>
      </c>
      <c r="N145" s="12"/>
      <c r="O145" s="12"/>
      <c r="P145" s="12"/>
    </row>
    <row r="146" spans="1:16" ht="13.5" customHeight="1" thickBot="1">
      <c r="A146" s="72">
        <v>723</v>
      </c>
      <c r="B146" s="80"/>
      <c r="C146" s="74">
        <f>+D109</f>
        <v>319828837</v>
      </c>
      <c r="D146" s="76">
        <f>+B146+C146</f>
        <v>319828837</v>
      </c>
      <c r="F146" s="174" t="s">
        <v>23</v>
      </c>
      <c r="I146" s="72">
        <v>723</v>
      </c>
      <c r="J146" s="80">
        <f>+P124+P126+P128+P132+P130</f>
        <v>25947500</v>
      </c>
      <c r="K146" s="74">
        <f>+L109</f>
        <v>219829404</v>
      </c>
      <c r="L146" s="195">
        <f>+J146+K146</f>
        <v>245776904</v>
      </c>
      <c r="N146" s="609" t="s">
        <v>1696</v>
      </c>
      <c r="O146" s="609"/>
      <c r="P146" s="609"/>
    </row>
    <row r="147" spans="1:16" ht="13.5" hidden="1" customHeight="1" thickBot="1">
      <c r="A147" s="164" t="s">
        <v>181</v>
      </c>
      <c r="B147" s="165"/>
      <c r="C147" s="74">
        <f>+D110</f>
        <v>1965625</v>
      </c>
      <c r="D147" s="168">
        <f>+B147+C147</f>
        <v>1965625</v>
      </c>
      <c r="F147" s="52"/>
      <c r="I147" s="164" t="s">
        <v>181</v>
      </c>
      <c r="J147" s="165"/>
      <c r="K147" s="74">
        <f>+L110</f>
        <v>0</v>
      </c>
      <c r="L147" s="196">
        <f>+J147+K147</f>
        <v>0</v>
      </c>
      <c r="N147" s="52"/>
    </row>
    <row r="148" spans="1:16" ht="15.75" customHeight="1" thickBot="1">
      <c r="A148" s="169"/>
      <c r="B148" s="170" t="e">
        <f>SUM(B143:B147)</f>
        <v>#REF!</v>
      </c>
      <c r="C148" s="171" t="e">
        <f>SUM(C143:C147)</f>
        <v>#REF!</v>
      </c>
      <c r="D148" s="172" t="e">
        <f>SUM(D143:D147)</f>
        <v>#REF!</v>
      </c>
      <c r="I148" s="169"/>
      <c r="J148" s="197">
        <f>SUM(J143:J147)</f>
        <v>25947500</v>
      </c>
      <c r="K148" s="197">
        <f>SUM(K143:K147)</f>
        <v>219829404</v>
      </c>
      <c r="L148" s="198">
        <f>SUM(L143:L147)</f>
        <v>245776904</v>
      </c>
    </row>
    <row r="149" spans="1:16" ht="16.5">
      <c r="A149" s="49" t="s">
        <v>88</v>
      </c>
      <c r="B149" s="50"/>
      <c r="I149" s="49" t="s">
        <v>88</v>
      </c>
      <c r="J149" s="50"/>
    </row>
    <row r="150" spans="1:16" ht="13.5" customHeight="1">
      <c r="A150" s="51" t="s">
        <v>89</v>
      </c>
      <c r="I150" s="51" t="s">
        <v>89</v>
      </c>
    </row>
    <row r="151" spans="1:16" ht="14.25" customHeight="1">
      <c r="A151" s="51" t="s">
        <v>90</v>
      </c>
      <c r="I151" s="51" t="s">
        <v>90</v>
      </c>
    </row>
    <row r="152" spans="1:16">
      <c r="A152" s="51" t="s">
        <v>91</v>
      </c>
      <c r="I152" s="51" t="s">
        <v>91</v>
      </c>
    </row>
    <row r="153" spans="1:16" ht="4.5" customHeight="1">
      <c r="A153" s="50"/>
      <c r="B153" s="50"/>
      <c r="I153" s="50"/>
      <c r="J153" s="50"/>
    </row>
    <row r="154" spans="1:16" ht="15.75" customHeight="1">
      <c r="A154" s="52" t="s">
        <v>237</v>
      </c>
      <c r="B154" s="50"/>
      <c r="G154" s="52"/>
      <c r="I154" s="52" t="s">
        <v>564</v>
      </c>
      <c r="O154" s="52"/>
    </row>
    <row r="155" spans="1:16" ht="15" customHeight="1">
      <c r="A155" s="53" t="s">
        <v>92</v>
      </c>
      <c r="G155" s="53"/>
      <c r="I155" s="53" t="s">
        <v>1866</v>
      </c>
      <c r="O155" s="53"/>
    </row>
    <row r="156" spans="1:16" ht="14.25" customHeight="1">
      <c r="A156" s="894" t="s">
        <v>228</v>
      </c>
      <c r="B156" s="894"/>
      <c r="C156" s="894"/>
      <c r="D156" s="894"/>
      <c r="E156" s="894"/>
      <c r="F156" s="894"/>
      <c r="G156" s="894"/>
      <c r="H156" s="894"/>
      <c r="I156" s="894" t="s">
        <v>212</v>
      </c>
      <c r="J156" s="894"/>
      <c r="K156" s="894"/>
      <c r="L156" s="894"/>
      <c r="M156" s="894"/>
      <c r="N156" s="894"/>
      <c r="O156" s="894"/>
      <c r="P156" s="894"/>
    </row>
    <row r="157" spans="1:16" ht="9" customHeight="1" thickBot="1"/>
    <row r="158" spans="1:16" ht="15.75" customHeight="1">
      <c r="A158" s="895" t="s">
        <v>94</v>
      </c>
      <c r="B158" s="897" t="s">
        <v>95</v>
      </c>
      <c r="C158" s="897" t="s">
        <v>96</v>
      </c>
      <c r="D158" s="897" t="s">
        <v>3</v>
      </c>
      <c r="E158" s="897" t="s">
        <v>97</v>
      </c>
      <c r="F158" s="897" t="s">
        <v>98</v>
      </c>
      <c r="G158" s="897" t="s">
        <v>99</v>
      </c>
      <c r="H158" s="899"/>
      <c r="I158" s="895" t="s">
        <v>94</v>
      </c>
      <c r="J158" s="897" t="s">
        <v>95</v>
      </c>
      <c r="K158" s="897" t="s">
        <v>96</v>
      </c>
      <c r="L158" s="897" t="s">
        <v>3</v>
      </c>
      <c r="M158" s="897" t="s">
        <v>97</v>
      </c>
      <c r="N158" s="897" t="s">
        <v>98</v>
      </c>
      <c r="O158" s="897" t="s">
        <v>99</v>
      </c>
      <c r="P158" s="899"/>
    </row>
    <row r="159" spans="1:16" ht="15" customHeight="1" thickBot="1">
      <c r="A159" s="896"/>
      <c r="B159" s="898"/>
      <c r="C159" s="898"/>
      <c r="D159" s="898"/>
      <c r="E159" s="898"/>
      <c r="F159" s="898"/>
      <c r="G159" s="240" t="s">
        <v>100</v>
      </c>
      <c r="H159" s="182" t="s">
        <v>101</v>
      </c>
      <c r="I159" s="896"/>
      <c r="J159" s="898"/>
      <c r="K159" s="898"/>
      <c r="L159" s="898"/>
      <c r="M159" s="898"/>
      <c r="N159" s="898"/>
      <c r="O159" s="240" t="s">
        <v>100</v>
      </c>
      <c r="P159" s="182" t="s">
        <v>101</v>
      </c>
    </row>
    <row r="160" spans="1:16" ht="12" customHeight="1">
      <c r="A160" s="881" t="e">
        <f>+#REF!+1</f>
        <v>#REF!</v>
      </c>
      <c r="B160" s="875">
        <v>42242</v>
      </c>
      <c r="C160" s="942" t="s">
        <v>230</v>
      </c>
      <c r="D160" s="881" t="s">
        <v>242</v>
      </c>
      <c r="E160" s="881" t="s">
        <v>148</v>
      </c>
      <c r="F160" s="883">
        <v>182000</v>
      </c>
      <c r="G160" s="55">
        <v>719</v>
      </c>
      <c r="H160" s="78">
        <v>130000</v>
      </c>
      <c r="I160" s="873" t="s">
        <v>575</v>
      </c>
      <c r="J160" s="875">
        <v>43867</v>
      </c>
      <c r="K160" s="877" t="s">
        <v>806</v>
      </c>
      <c r="L160" s="881" t="s">
        <v>1887</v>
      </c>
      <c r="M160" s="881" t="s">
        <v>165</v>
      </c>
      <c r="N160" s="883">
        <v>1600000</v>
      </c>
      <c r="O160" s="55">
        <v>719</v>
      </c>
      <c r="P160" s="78"/>
    </row>
    <row r="161" spans="1:16" ht="15" customHeight="1" thickBot="1">
      <c r="A161" s="882"/>
      <c r="B161" s="934"/>
      <c r="C161" s="943"/>
      <c r="D161" s="882"/>
      <c r="E161" s="882"/>
      <c r="F161" s="884"/>
      <c r="G161" s="56">
        <v>721</v>
      </c>
      <c r="H161" s="79">
        <f>+F160-H160</f>
        <v>52000</v>
      </c>
      <c r="I161" s="882"/>
      <c r="J161" s="876"/>
      <c r="K161" s="878"/>
      <c r="L161" s="882"/>
      <c r="M161" s="882"/>
      <c r="N161" s="884"/>
      <c r="O161" s="56">
        <v>723</v>
      </c>
      <c r="P161" s="79">
        <f>+N160</f>
        <v>1600000</v>
      </c>
    </row>
    <row r="162" spans="1:16" ht="13.5" customHeight="1">
      <c r="A162" s="251"/>
      <c r="B162" s="452"/>
      <c r="C162" s="465"/>
      <c r="D162" s="251"/>
      <c r="E162" s="251"/>
      <c r="F162" s="254"/>
      <c r="G162" s="255"/>
      <c r="H162" s="256"/>
      <c r="I162" s="873" t="s">
        <v>576</v>
      </c>
      <c r="J162" s="875">
        <v>43867</v>
      </c>
      <c r="K162" s="877" t="s">
        <v>799</v>
      </c>
      <c r="L162" s="881" t="s">
        <v>1887</v>
      </c>
      <c r="M162" s="881" t="s">
        <v>165</v>
      </c>
      <c r="N162" s="883">
        <v>975000</v>
      </c>
      <c r="O162" s="55">
        <v>719</v>
      </c>
      <c r="P162" s="78"/>
    </row>
    <row r="163" spans="1:16" ht="15" customHeight="1" thickBot="1">
      <c r="A163" s="251"/>
      <c r="B163" s="452"/>
      <c r="C163" s="465"/>
      <c r="D163" s="251"/>
      <c r="E163" s="251"/>
      <c r="F163" s="254"/>
      <c r="G163" s="255"/>
      <c r="H163" s="256"/>
      <c r="I163" s="882"/>
      <c r="J163" s="876"/>
      <c r="K163" s="878"/>
      <c r="L163" s="882"/>
      <c r="M163" s="882"/>
      <c r="N163" s="884"/>
      <c r="O163" s="56">
        <v>723</v>
      </c>
      <c r="P163" s="79">
        <f>+N162</f>
        <v>975000</v>
      </c>
    </row>
    <row r="164" spans="1:16" ht="14.25" customHeight="1">
      <c r="A164" s="881" t="e">
        <f>+A160+1</f>
        <v>#REF!</v>
      </c>
      <c r="B164" s="875">
        <v>42242</v>
      </c>
      <c r="C164" s="935" t="s">
        <v>28</v>
      </c>
      <c r="D164" s="881" t="s">
        <v>240</v>
      </c>
      <c r="E164" s="881" t="s">
        <v>148</v>
      </c>
      <c r="F164" s="883">
        <v>364000</v>
      </c>
      <c r="G164" s="55">
        <v>719</v>
      </c>
      <c r="H164" s="78">
        <v>260000</v>
      </c>
      <c r="I164" s="873" t="s">
        <v>577</v>
      </c>
      <c r="J164" s="875">
        <v>43867</v>
      </c>
      <c r="K164" s="877" t="s">
        <v>1633</v>
      </c>
      <c r="L164" s="881" t="s">
        <v>1887</v>
      </c>
      <c r="M164" s="881" t="s">
        <v>165</v>
      </c>
      <c r="N164" s="883">
        <v>1500000</v>
      </c>
      <c r="O164" s="55">
        <v>719</v>
      </c>
      <c r="P164" s="78"/>
    </row>
    <row r="165" spans="1:16" ht="13.5" customHeight="1" thickBot="1">
      <c r="A165" s="882"/>
      <c r="B165" s="934"/>
      <c r="C165" s="936"/>
      <c r="D165" s="882"/>
      <c r="E165" s="882"/>
      <c r="F165" s="884"/>
      <c r="G165" s="56">
        <v>721</v>
      </c>
      <c r="H165" s="79">
        <f>+F164-H164</f>
        <v>104000</v>
      </c>
      <c r="I165" s="882"/>
      <c r="J165" s="876"/>
      <c r="K165" s="878"/>
      <c r="L165" s="882"/>
      <c r="M165" s="882"/>
      <c r="N165" s="884"/>
      <c r="O165" s="56">
        <v>723</v>
      </c>
      <c r="P165" s="79">
        <f>+N164</f>
        <v>1500000</v>
      </c>
    </row>
    <row r="166" spans="1:16" ht="13.5" customHeight="1">
      <c r="A166" s="251"/>
      <c r="B166" s="452"/>
      <c r="C166" s="472"/>
      <c r="D166" s="251"/>
      <c r="E166" s="251"/>
      <c r="F166" s="254"/>
      <c r="G166" s="255"/>
      <c r="H166" s="256"/>
      <c r="I166" s="873" t="s">
        <v>578</v>
      </c>
      <c r="J166" s="875">
        <v>43867</v>
      </c>
      <c r="K166" s="881" t="s">
        <v>796</v>
      </c>
      <c r="L166" s="881" t="s">
        <v>1887</v>
      </c>
      <c r="M166" s="881" t="s">
        <v>214</v>
      </c>
      <c r="N166" s="883">
        <v>490000</v>
      </c>
      <c r="O166" s="55">
        <v>719</v>
      </c>
      <c r="P166" s="78"/>
    </row>
    <row r="167" spans="1:16" ht="13.5" customHeight="1" thickBot="1">
      <c r="A167" s="251"/>
      <c r="B167" s="452"/>
      <c r="C167" s="472"/>
      <c r="D167" s="251"/>
      <c r="E167" s="251"/>
      <c r="F167" s="254"/>
      <c r="G167" s="255"/>
      <c r="H167" s="256"/>
      <c r="I167" s="882"/>
      <c r="J167" s="876"/>
      <c r="K167" s="882"/>
      <c r="L167" s="882"/>
      <c r="M167" s="882"/>
      <c r="N167" s="884"/>
      <c r="O167" s="56">
        <v>723</v>
      </c>
      <c r="P167" s="79">
        <f>+N166</f>
        <v>490000</v>
      </c>
    </row>
    <row r="168" spans="1:16" ht="12" customHeight="1">
      <c r="A168" s="881" t="e">
        <f>+A164+1</f>
        <v>#REF!</v>
      </c>
      <c r="B168" s="875">
        <v>42242</v>
      </c>
      <c r="C168" s="942" t="s">
        <v>32</v>
      </c>
      <c r="D168" s="881" t="s">
        <v>241</v>
      </c>
      <c r="E168" s="881" t="s">
        <v>148</v>
      </c>
      <c r="F168" s="883">
        <v>84000</v>
      </c>
      <c r="G168" s="55">
        <v>719</v>
      </c>
      <c r="H168" s="78">
        <v>60000</v>
      </c>
      <c r="I168" s="873" t="s">
        <v>579</v>
      </c>
      <c r="J168" s="875">
        <v>43867</v>
      </c>
      <c r="K168" s="905" t="s">
        <v>1727</v>
      </c>
      <c r="L168" s="881" t="s">
        <v>1887</v>
      </c>
      <c r="M168" s="881" t="s">
        <v>214</v>
      </c>
      <c r="N168" s="883">
        <v>900000</v>
      </c>
      <c r="O168" s="55">
        <v>719</v>
      </c>
      <c r="P168" s="78"/>
    </row>
    <row r="169" spans="1:16" ht="12.75" customHeight="1" thickBot="1">
      <c r="A169" s="882"/>
      <c r="B169" s="934"/>
      <c r="C169" s="943"/>
      <c r="D169" s="882"/>
      <c r="E169" s="882"/>
      <c r="F169" s="884"/>
      <c r="G169" s="56">
        <v>721</v>
      </c>
      <c r="H169" s="79">
        <f>+F168-H168</f>
        <v>24000</v>
      </c>
      <c r="I169" s="882"/>
      <c r="J169" s="876"/>
      <c r="K169" s="906"/>
      <c r="L169" s="882"/>
      <c r="M169" s="882"/>
      <c r="N169" s="884"/>
      <c r="O169" s="56">
        <v>723</v>
      </c>
      <c r="P169" s="79">
        <f>+N168</f>
        <v>900000</v>
      </c>
    </row>
    <row r="170" spans="1:16" ht="17.25" customHeight="1" thickBot="1">
      <c r="A170" s="901" t="s">
        <v>102</v>
      </c>
      <c r="B170" s="902"/>
      <c r="C170" s="902"/>
      <c r="D170" s="902"/>
      <c r="E170" s="903"/>
      <c r="F170" s="81">
        <f>SUM(F160:F169)</f>
        <v>630000</v>
      </c>
      <c r="I170" s="901" t="s">
        <v>102</v>
      </c>
      <c r="J170" s="902"/>
      <c r="K170" s="902"/>
      <c r="L170" s="902"/>
      <c r="M170" s="903"/>
      <c r="N170" s="81">
        <f>SUM(N160:N169)</f>
        <v>5465000</v>
      </c>
    </row>
    <row r="171" spans="1:16" ht="16.5" thickBot="1">
      <c r="A171" s="885" t="s">
        <v>103</v>
      </c>
      <c r="B171" s="886"/>
      <c r="C171" s="886"/>
      <c r="D171" s="886"/>
      <c r="E171" s="887"/>
      <c r="F171" s="69">
        <f>+F135</f>
        <v>613165841</v>
      </c>
      <c r="I171" s="885" t="s">
        <v>103</v>
      </c>
      <c r="J171" s="886"/>
      <c r="K171" s="886"/>
      <c r="L171" s="886"/>
      <c r="M171" s="887"/>
      <c r="N171" s="239">
        <f>+N135</f>
        <v>245776904</v>
      </c>
      <c r="O171" s="241" t="s">
        <v>561</v>
      </c>
      <c r="P171" s="242"/>
    </row>
    <row r="172" spans="1:16" ht="15.75" customHeight="1" thickBot="1">
      <c r="A172" s="888" t="s">
        <v>104</v>
      </c>
      <c r="B172" s="889"/>
      <c r="C172" s="889"/>
      <c r="D172" s="889"/>
      <c r="E172" s="890"/>
      <c r="F172" s="70">
        <f>SUM(F170:F171)</f>
        <v>613795841</v>
      </c>
      <c r="I172" s="888" t="s">
        <v>104</v>
      </c>
      <c r="J172" s="889"/>
      <c r="K172" s="889"/>
      <c r="L172" s="889"/>
      <c r="M172" s="890"/>
      <c r="N172" s="183">
        <f>SUM(N170:N171)</f>
        <v>251241904</v>
      </c>
    </row>
    <row r="173" spans="1:16" ht="6.75" customHeight="1">
      <c r="A173" s="61"/>
      <c r="B173" s="61"/>
      <c r="C173" s="61"/>
      <c r="D173" s="61"/>
      <c r="E173" s="61"/>
      <c r="I173" s="61"/>
      <c r="J173" s="61"/>
      <c r="K173" s="61"/>
      <c r="L173" s="61"/>
      <c r="M173" s="61"/>
    </row>
    <row r="174" spans="1:16" ht="13.5" customHeight="1">
      <c r="A174" s="51" t="s">
        <v>243</v>
      </c>
      <c r="I174" s="51" t="s">
        <v>1888</v>
      </c>
    </row>
    <row r="175" spans="1:16" ht="6" customHeight="1">
      <c r="F175" s="139"/>
      <c r="N175" s="139"/>
    </row>
    <row r="176" spans="1:16" ht="18" customHeight="1">
      <c r="A176" s="50" t="s">
        <v>105</v>
      </c>
      <c r="D176" s="146"/>
      <c r="I176" s="453" t="s">
        <v>105</v>
      </c>
      <c r="L176" s="146"/>
      <c r="N176" s="139"/>
    </row>
    <row r="177" spans="1:16" ht="6" customHeight="1" thickBot="1"/>
    <row r="178" spans="1:16" ht="17.25" thickBot="1">
      <c r="A178" s="891" t="s">
        <v>106</v>
      </c>
      <c r="B178" s="892"/>
      <c r="C178" s="892"/>
      <c r="D178" s="893"/>
      <c r="F178" s="50" t="s">
        <v>107</v>
      </c>
      <c r="I178" s="891" t="s">
        <v>106</v>
      </c>
      <c r="J178" s="892"/>
      <c r="K178" s="892"/>
      <c r="L178" s="893"/>
      <c r="N178" s="604" t="s">
        <v>288</v>
      </c>
      <c r="O178" s="604"/>
      <c r="P178" s="604"/>
    </row>
    <row r="179" spans="1:16" ht="31.5" thickBot="1">
      <c r="A179" s="57" t="s">
        <v>100</v>
      </c>
      <c r="B179" s="58" t="s">
        <v>108</v>
      </c>
      <c r="C179" s="59" t="s">
        <v>109</v>
      </c>
      <c r="D179" s="60" t="s">
        <v>110</v>
      </c>
      <c r="I179" s="57" t="s">
        <v>100</v>
      </c>
      <c r="J179" s="58" t="s">
        <v>108</v>
      </c>
      <c r="K179" s="59" t="s">
        <v>109</v>
      </c>
      <c r="L179" s="60" t="s">
        <v>110</v>
      </c>
      <c r="N179" s="12"/>
      <c r="O179" s="12"/>
      <c r="P179" s="12"/>
    </row>
    <row r="180" spans="1:16" ht="12.75" customHeight="1">
      <c r="A180" s="71">
        <v>719</v>
      </c>
      <c r="B180" s="73" t="e">
        <f>+H160+H164+H168+#REF!+#REF!</f>
        <v>#REF!</v>
      </c>
      <c r="C180" s="74" t="e">
        <f>+D143</f>
        <v>#REF!</v>
      </c>
      <c r="D180" s="76" t="e">
        <f>+B180+C180</f>
        <v>#REF!</v>
      </c>
      <c r="I180" s="71">
        <v>719</v>
      </c>
      <c r="J180" s="73"/>
      <c r="K180" s="74">
        <f>+L143</f>
        <v>0</v>
      </c>
      <c r="L180" s="195">
        <f>+J180+K180</f>
        <v>0</v>
      </c>
      <c r="N180" s="12"/>
      <c r="O180" s="12"/>
      <c r="P180" s="12"/>
    </row>
    <row r="181" spans="1:16" ht="12" customHeight="1">
      <c r="A181" s="72">
        <v>721</v>
      </c>
      <c r="B181" s="80" t="e">
        <f>+#REF!+#REF!+H169+H165+H161</f>
        <v>#REF!</v>
      </c>
      <c r="C181" s="74" t="e">
        <f>+D144</f>
        <v>#REF!</v>
      </c>
      <c r="D181" s="76" t="e">
        <f>+B181+C181</f>
        <v>#REF!</v>
      </c>
      <c r="I181" s="72">
        <v>721</v>
      </c>
      <c r="J181" s="80">
        <v>0</v>
      </c>
      <c r="K181" s="74">
        <f>+L144</f>
        <v>0</v>
      </c>
      <c r="L181" s="195">
        <f>+J181+K181</f>
        <v>0</v>
      </c>
      <c r="N181" s="12"/>
      <c r="O181" s="12"/>
      <c r="P181" s="12"/>
    </row>
    <row r="182" spans="1:16" ht="14.25" customHeight="1">
      <c r="A182" s="72">
        <v>722</v>
      </c>
      <c r="B182" s="80"/>
      <c r="C182" s="74">
        <f>+D145</f>
        <v>224787287</v>
      </c>
      <c r="D182" s="76">
        <f>+B182+C182</f>
        <v>224787287</v>
      </c>
      <c r="I182" s="72">
        <v>722</v>
      </c>
      <c r="J182" s="80"/>
      <c r="K182" s="74">
        <f>+L145</f>
        <v>0</v>
      </c>
      <c r="L182" s="195">
        <f>+J182+K182</f>
        <v>0</v>
      </c>
      <c r="N182" s="609" t="s">
        <v>1696</v>
      </c>
      <c r="O182" s="609"/>
      <c r="P182" s="609"/>
    </row>
    <row r="183" spans="1:16" ht="14.25" customHeight="1" thickBot="1">
      <c r="A183" s="72">
        <v>723</v>
      </c>
      <c r="B183" s="80"/>
      <c r="C183" s="74">
        <f>+D146</f>
        <v>319828837</v>
      </c>
      <c r="D183" s="76">
        <f>+B183+C183</f>
        <v>319828837</v>
      </c>
      <c r="F183" s="174" t="s">
        <v>23</v>
      </c>
      <c r="I183" s="72">
        <v>723</v>
      </c>
      <c r="J183" s="80">
        <f>+P161+P165+P169+P163+P167</f>
        <v>5465000</v>
      </c>
      <c r="K183" s="74">
        <f>+L146</f>
        <v>245776904</v>
      </c>
      <c r="L183" s="195">
        <f>+J183+K183</f>
        <v>251241904</v>
      </c>
      <c r="N183" s="193"/>
      <c r="O183" s="175"/>
    </row>
    <row r="184" spans="1:16" ht="12.75" hidden="1" customHeight="1" thickBot="1">
      <c r="A184" s="164" t="s">
        <v>181</v>
      </c>
      <c r="B184" s="165"/>
      <c r="C184" s="74">
        <f>+D147</f>
        <v>1965625</v>
      </c>
      <c r="D184" s="168">
        <f>+B184+C184</f>
        <v>1965625</v>
      </c>
      <c r="F184" s="52"/>
      <c r="I184" s="164" t="s">
        <v>181</v>
      </c>
      <c r="J184" s="165"/>
      <c r="K184" s="74">
        <f>+L147</f>
        <v>0</v>
      </c>
      <c r="L184" s="196">
        <f>+J184+K184</f>
        <v>0</v>
      </c>
      <c r="N184" s="52"/>
    </row>
    <row r="185" spans="1:16" ht="16.5" thickBot="1">
      <c r="A185" s="169"/>
      <c r="B185" s="170" t="e">
        <f>SUM(B180:B184)</f>
        <v>#REF!</v>
      </c>
      <c r="C185" s="171" t="e">
        <f>SUM(C180:C184)</f>
        <v>#REF!</v>
      </c>
      <c r="D185" s="172" t="e">
        <f>SUM(D180:D184)</f>
        <v>#REF!</v>
      </c>
      <c r="I185" s="169"/>
      <c r="J185" s="197">
        <f>SUM(J180:J184)</f>
        <v>5465000</v>
      </c>
      <c r="K185" s="197">
        <f>SUM(K180:K184)</f>
        <v>245776904</v>
      </c>
      <c r="L185" s="198">
        <f>SUM(L180:L184)</f>
        <v>251241904</v>
      </c>
    </row>
    <row r="186" spans="1:16" ht="16.5">
      <c r="A186" s="49" t="s">
        <v>88</v>
      </c>
      <c r="B186" s="50"/>
      <c r="I186" s="49" t="s">
        <v>88</v>
      </c>
      <c r="J186" s="50"/>
    </row>
    <row r="187" spans="1:16" ht="11.25" customHeight="1">
      <c r="A187" s="51" t="s">
        <v>89</v>
      </c>
      <c r="I187" s="51" t="s">
        <v>89</v>
      </c>
    </row>
    <row r="188" spans="1:16" ht="12.75" customHeight="1">
      <c r="A188" s="51" t="s">
        <v>90</v>
      </c>
      <c r="I188" s="51" t="s">
        <v>90</v>
      </c>
    </row>
    <row r="189" spans="1:16" ht="12.75" customHeight="1">
      <c r="A189" s="51" t="s">
        <v>91</v>
      </c>
      <c r="I189" s="51" t="s">
        <v>91</v>
      </c>
    </row>
    <row r="190" spans="1:16" ht="3.75" customHeight="1">
      <c r="A190" s="50"/>
      <c r="B190" s="50"/>
      <c r="I190" s="50"/>
      <c r="J190" s="50"/>
    </row>
    <row r="191" spans="1:16" ht="16.5">
      <c r="A191" s="52" t="s">
        <v>245</v>
      </c>
      <c r="G191" s="52"/>
      <c r="I191" s="52" t="s">
        <v>571</v>
      </c>
      <c r="O191" s="52"/>
    </row>
    <row r="192" spans="1:16" ht="15.75">
      <c r="A192" s="53" t="s">
        <v>92</v>
      </c>
      <c r="G192" s="53"/>
      <c r="I192" s="53" t="s">
        <v>1866</v>
      </c>
      <c r="O192" s="53"/>
    </row>
    <row r="193" spans="1:16" ht="14.25" customHeight="1">
      <c r="A193" s="894" t="s">
        <v>255</v>
      </c>
      <c r="B193" s="894"/>
      <c r="C193" s="894"/>
      <c r="D193" s="894"/>
      <c r="E193" s="894"/>
      <c r="F193" s="894"/>
      <c r="G193" s="894"/>
      <c r="H193" s="894"/>
      <c r="I193" s="894" t="s">
        <v>212</v>
      </c>
      <c r="J193" s="894"/>
      <c r="K193" s="894"/>
      <c r="L193" s="894"/>
      <c r="M193" s="894"/>
      <c r="N193" s="894"/>
      <c r="O193" s="894"/>
      <c r="P193" s="894"/>
    </row>
    <row r="194" spans="1:16" ht="12" customHeight="1" thickBot="1"/>
    <row r="195" spans="1:16">
      <c r="A195" s="895" t="s">
        <v>94</v>
      </c>
      <c r="B195" s="897" t="s">
        <v>95</v>
      </c>
      <c r="C195" s="897" t="s">
        <v>96</v>
      </c>
      <c r="D195" s="897" t="s">
        <v>3</v>
      </c>
      <c r="E195" s="897" t="s">
        <v>97</v>
      </c>
      <c r="F195" s="897" t="s">
        <v>98</v>
      </c>
      <c r="G195" s="897" t="s">
        <v>99</v>
      </c>
      <c r="H195" s="899"/>
      <c r="I195" s="895" t="s">
        <v>94</v>
      </c>
      <c r="J195" s="897" t="s">
        <v>95</v>
      </c>
      <c r="K195" s="897" t="s">
        <v>96</v>
      </c>
      <c r="L195" s="897" t="s">
        <v>3</v>
      </c>
      <c r="M195" s="897" t="s">
        <v>97</v>
      </c>
      <c r="N195" s="897" t="s">
        <v>98</v>
      </c>
      <c r="O195" s="897" t="s">
        <v>99</v>
      </c>
      <c r="P195" s="899"/>
    </row>
    <row r="196" spans="1:16" ht="15.75" thickBot="1">
      <c r="A196" s="896"/>
      <c r="B196" s="898"/>
      <c r="C196" s="898"/>
      <c r="D196" s="898"/>
      <c r="E196" s="898"/>
      <c r="F196" s="898"/>
      <c r="G196" s="240" t="s">
        <v>100</v>
      </c>
      <c r="H196" s="182" t="s">
        <v>101</v>
      </c>
      <c r="I196" s="896"/>
      <c r="J196" s="898"/>
      <c r="K196" s="898"/>
      <c r="L196" s="898"/>
      <c r="M196" s="898"/>
      <c r="N196" s="898"/>
      <c r="O196" s="240" t="s">
        <v>100</v>
      </c>
      <c r="P196" s="182" t="s">
        <v>101</v>
      </c>
    </row>
    <row r="197" spans="1:16" ht="12.75" customHeight="1">
      <c r="A197" s="881" t="e">
        <f>+#REF!+1</f>
        <v>#REF!</v>
      </c>
      <c r="B197" s="875">
        <v>42243</v>
      </c>
      <c r="C197" s="942" t="s">
        <v>31</v>
      </c>
      <c r="D197" s="881" t="s">
        <v>246</v>
      </c>
      <c r="E197" s="881" t="s">
        <v>115</v>
      </c>
      <c r="F197" s="883">
        <v>120000</v>
      </c>
      <c r="G197" s="55">
        <v>719</v>
      </c>
      <c r="H197" s="78">
        <v>120000</v>
      </c>
      <c r="I197" s="873" t="s">
        <v>580</v>
      </c>
      <c r="J197" s="875">
        <v>43867</v>
      </c>
      <c r="K197" s="877" t="s">
        <v>738</v>
      </c>
      <c r="L197" s="881" t="s">
        <v>1887</v>
      </c>
      <c r="M197" s="881" t="s">
        <v>148</v>
      </c>
      <c r="N197" s="883">
        <v>3937500</v>
      </c>
      <c r="O197" s="55">
        <v>719</v>
      </c>
      <c r="P197" s="78"/>
    </row>
    <row r="198" spans="1:16" ht="12.75" customHeight="1" thickBot="1">
      <c r="A198" s="882"/>
      <c r="B198" s="934"/>
      <c r="C198" s="943"/>
      <c r="D198" s="882"/>
      <c r="E198" s="882"/>
      <c r="F198" s="884"/>
      <c r="G198" s="56">
        <v>721</v>
      </c>
      <c r="H198" s="79">
        <f>+F197-H197</f>
        <v>0</v>
      </c>
      <c r="I198" s="874"/>
      <c r="J198" s="876"/>
      <c r="K198" s="878"/>
      <c r="L198" s="882"/>
      <c r="M198" s="882"/>
      <c r="N198" s="884"/>
      <c r="O198" s="56">
        <v>723</v>
      </c>
      <c r="P198" s="79">
        <f>+N197</f>
        <v>3937500</v>
      </c>
    </row>
    <row r="199" spans="1:16" ht="12.75" customHeight="1">
      <c r="A199" s="881" t="e">
        <f>+A197+1</f>
        <v>#REF!</v>
      </c>
      <c r="B199" s="875">
        <v>42243</v>
      </c>
      <c r="C199" s="935" t="s">
        <v>28</v>
      </c>
      <c r="D199" s="881" t="s">
        <v>247</v>
      </c>
      <c r="E199" s="881" t="s">
        <v>115</v>
      </c>
      <c r="F199" s="883">
        <v>50000</v>
      </c>
      <c r="G199" s="55">
        <v>719</v>
      </c>
      <c r="H199" s="78">
        <v>50000</v>
      </c>
      <c r="I199" s="873" t="s">
        <v>581</v>
      </c>
      <c r="J199" s="875">
        <v>43867</v>
      </c>
      <c r="K199" s="877" t="s">
        <v>685</v>
      </c>
      <c r="L199" s="881" t="s">
        <v>1887</v>
      </c>
      <c r="M199" s="881" t="s">
        <v>148</v>
      </c>
      <c r="N199" s="883">
        <v>3150000</v>
      </c>
      <c r="O199" s="55">
        <v>719</v>
      </c>
      <c r="P199" s="78"/>
    </row>
    <row r="200" spans="1:16" ht="12.75" customHeight="1" thickBot="1">
      <c r="A200" s="882"/>
      <c r="B200" s="934"/>
      <c r="C200" s="936"/>
      <c r="D200" s="882"/>
      <c r="E200" s="882"/>
      <c r="F200" s="884"/>
      <c r="G200" s="56">
        <v>721</v>
      </c>
      <c r="H200" s="79"/>
      <c r="I200" s="874"/>
      <c r="J200" s="876"/>
      <c r="K200" s="878"/>
      <c r="L200" s="882"/>
      <c r="M200" s="882"/>
      <c r="N200" s="884"/>
      <c r="O200" s="56">
        <v>723</v>
      </c>
      <c r="P200" s="79">
        <f>+N199</f>
        <v>3150000</v>
      </c>
    </row>
    <row r="201" spans="1:16" ht="12" customHeight="1">
      <c r="A201" s="881" t="e">
        <f>+A199+1</f>
        <v>#REF!</v>
      </c>
      <c r="B201" s="875">
        <v>42243</v>
      </c>
      <c r="C201" s="877" t="s">
        <v>250</v>
      </c>
      <c r="D201" s="877" t="s">
        <v>248</v>
      </c>
      <c r="E201" s="881" t="s">
        <v>145</v>
      </c>
      <c r="F201" s="883">
        <v>4280256</v>
      </c>
      <c r="G201" s="55">
        <v>719</v>
      </c>
      <c r="H201" s="78"/>
      <c r="I201" s="873" t="s">
        <v>582</v>
      </c>
      <c r="J201" s="875">
        <v>43867</v>
      </c>
      <c r="K201" s="877" t="s">
        <v>682</v>
      </c>
      <c r="L201" s="881" t="s">
        <v>1887</v>
      </c>
      <c r="M201" s="881" t="s">
        <v>148</v>
      </c>
      <c r="N201" s="883">
        <v>2142000</v>
      </c>
      <c r="O201" s="55">
        <v>719</v>
      </c>
      <c r="P201" s="78"/>
    </row>
    <row r="202" spans="1:16" ht="15" customHeight="1" thickBot="1">
      <c r="A202" s="882"/>
      <c r="B202" s="934"/>
      <c r="C202" s="878"/>
      <c r="D202" s="878"/>
      <c r="E202" s="882"/>
      <c r="F202" s="884"/>
      <c r="G202" s="56">
        <v>722</v>
      </c>
      <c r="H202" s="79">
        <f>+F201-H201</f>
        <v>4280256</v>
      </c>
      <c r="I202" s="874"/>
      <c r="J202" s="876"/>
      <c r="K202" s="878"/>
      <c r="L202" s="882"/>
      <c r="M202" s="882"/>
      <c r="N202" s="884"/>
      <c r="O202" s="56">
        <v>723</v>
      </c>
      <c r="P202" s="79">
        <f>+N201</f>
        <v>2142000</v>
      </c>
    </row>
    <row r="203" spans="1:16" ht="12" customHeight="1">
      <c r="A203" s="881" t="e">
        <f>+A201+1</f>
        <v>#REF!</v>
      </c>
      <c r="B203" s="875">
        <v>42243</v>
      </c>
      <c r="C203" s="877" t="s">
        <v>249</v>
      </c>
      <c r="D203" s="877" t="s">
        <v>248</v>
      </c>
      <c r="E203" s="881" t="s">
        <v>145</v>
      </c>
      <c r="F203" s="883">
        <v>2140128</v>
      </c>
      <c r="G203" s="55">
        <v>719</v>
      </c>
      <c r="H203" s="78"/>
      <c r="I203" s="873" t="s">
        <v>583</v>
      </c>
      <c r="J203" s="875">
        <v>43867</v>
      </c>
      <c r="K203" s="877"/>
      <c r="L203" s="881" t="s">
        <v>1887</v>
      </c>
      <c r="M203" s="881" t="s">
        <v>148</v>
      </c>
      <c r="N203" s="883"/>
      <c r="O203" s="55">
        <v>719</v>
      </c>
      <c r="P203" s="78"/>
    </row>
    <row r="204" spans="1:16" ht="15" customHeight="1" thickBot="1">
      <c r="A204" s="882"/>
      <c r="B204" s="934"/>
      <c r="C204" s="878"/>
      <c r="D204" s="878"/>
      <c r="E204" s="882"/>
      <c r="F204" s="884"/>
      <c r="G204" s="56">
        <v>722</v>
      </c>
      <c r="H204" s="79">
        <f>+F203-H203</f>
        <v>2140128</v>
      </c>
      <c r="I204" s="874"/>
      <c r="J204" s="876"/>
      <c r="K204" s="878"/>
      <c r="L204" s="882"/>
      <c r="M204" s="882"/>
      <c r="N204" s="884"/>
      <c r="O204" s="56">
        <v>723</v>
      </c>
      <c r="P204" s="79">
        <f>+N203</f>
        <v>0</v>
      </c>
    </row>
    <row r="205" spans="1:16" ht="13.5" customHeight="1">
      <c r="A205" s="881"/>
      <c r="B205" s="875"/>
      <c r="C205" s="935"/>
      <c r="D205" s="877"/>
      <c r="E205" s="881"/>
      <c r="F205" s="883"/>
      <c r="G205" s="55">
        <v>719</v>
      </c>
      <c r="H205" s="78"/>
      <c r="I205" s="873" t="s">
        <v>591</v>
      </c>
      <c r="J205" s="875">
        <v>43867</v>
      </c>
      <c r="K205" s="877"/>
      <c r="L205" s="881" t="s">
        <v>1887</v>
      </c>
      <c r="M205" s="881" t="s">
        <v>148</v>
      </c>
      <c r="N205" s="883"/>
      <c r="O205" s="55">
        <v>719</v>
      </c>
      <c r="P205" s="78"/>
    </row>
    <row r="206" spans="1:16" ht="12.75" customHeight="1" thickBot="1">
      <c r="A206" s="882"/>
      <c r="B206" s="934"/>
      <c r="C206" s="936"/>
      <c r="D206" s="878"/>
      <c r="E206" s="882"/>
      <c r="F206" s="884"/>
      <c r="G206" s="56">
        <v>721</v>
      </c>
      <c r="H206" s="79">
        <f>+F205-H205</f>
        <v>0</v>
      </c>
      <c r="I206" s="874"/>
      <c r="J206" s="876"/>
      <c r="K206" s="878"/>
      <c r="L206" s="882"/>
      <c r="M206" s="882"/>
      <c r="N206" s="884"/>
      <c r="O206" s="56">
        <v>723</v>
      </c>
      <c r="P206" s="79">
        <f>+N205</f>
        <v>0</v>
      </c>
    </row>
    <row r="207" spans="1:16" ht="15" customHeight="1" thickBot="1">
      <c r="A207" s="901" t="s">
        <v>102</v>
      </c>
      <c r="B207" s="902"/>
      <c r="C207" s="902"/>
      <c r="D207" s="902"/>
      <c r="E207" s="903"/>
      <c r="F207" s="81">
        <f>SUM(F197:F206)</f>
        <v>6590384</v>
      </c>
      <c r="I207" s="901" t="s">
        <v>102</v>
      </c>
      <c r="J207" s="902"/>
      <c r="K207" s="902"/>
      <c r="L207" s="902"/>
      <c r="M207" s="903"/>
      <c r="N207" s="81">
        <f>SUM(N197:N206)</f>
        <v>9229500</v>
      </c>
    </row>
    <row r="208" spans="1:16" ht="15.75" customHeight="1" thickBot="1">
      <c r="A208" s="885" t="s">
        <v>103</v>
      </c>
      <c r="B208" s="886"/>
      <c r="C208" s="886"/>
      <c r="D208" s="886"/>
      <c r="E208" s="887"/>
      <c r="F208" s="69">
        <f>+F172</f>
        <v>613795841</v>
      </c>
      <c r="I208" s="885" t="s">
        <v>103</v>
      </c>
      <c r="J208" s="886"/>
      <c r="K208" s="886"/>
      <c r="L208" s="886"/>
      <c r="M208" s="887"/>
      <c r="N208" s="239">
        <f>+N172</f>
        <v>251241904</v>
      </c>
      <c r="O208" s="241" t="s">
        <v>561</v>
      </c>
      <c r="P208" s="242"/>
    </row>
    <row r="209" spans="1:16" ht="14.25" customHeight="1" thickBot="1">
      <c r="A209" s="888" t="s">
        <v>104</v>
      </c>
      <c r="B209" s="889"/>
      <c r="C209" s="889"/>
      <c r="D209" s="889"/>
      <c r="E209" s="890"/>
      <c r="F209" s="183">
        <f>SUM(F207:F208)</f>
        <v>620386225</v>
      </c>
      <c r="I209" s="888" t="s">
        <v>104</v>
      </c>
      <c r="J209" s="889"/>
      <c r="K209" s="889"/>
      <c r="L209" s="889"/>
      <c r="M209" s="890"/>
      <c r="N209" s="183">
        <f>SUM(N207:N208)</f>
        <v>260471404</v>
      </c>
    </row>
    <row r="210" spans="1:16" ht="7.5" customHeight="1">
      <c r="A210" s="61"/>
      <c r="B210" s="61"/>
      <c r="C210" s="61"/>
      <c r="D210" s="61"/>
      <c r="E210" s="61"/>
      <c r="I210" s="61"/>
      <c r="J210" s="61"/>
      <c r="K210" s="61"/>
      <c r="L210" s="61"/>
      <c r="M210" s="61"/>
    </row>
    <row r="211" spans="1:16">
      <c r="A211" s="51" t="s">
        <v>254</v>
      </c>
      <c r="I211" s="51" t="s">
        <v>1890</v>
      </c>
    </row>
    <row r="212" spans="1:16" ht="4.5" customHeight="1">
      <c r="F212" s="139"/>
      <c r="N212" s="139"/>
    </row>
    <row r="213" spans="1:16" ht="12.75" customHeight="1">
      <c r="A213" s="50" t="s">
        <v>105</v>
      </c>
      <c r="D213" s="146"/>
      <c r="F213" s="139"/>
      <c r="I213" s="50" t="s">
        <v>105</v>
      </c>
      <c r="L213" s="146"/>
      <c r="N213" s="139"/>
    </row>
    <row r="214" spans="1:16" ht="11.25" customHeight="1" thickBot="1"/>
    <row r="215" spans="1:16" ht="17.25" thickBot="1">
      <c r="A215" s="891" t="s">
        <v>106</v>
      </c>
      <c r="B215" s="892"/>
      <c r="C215" s="892"/>
      <c r="D215" s="893"/>
      <c r="F215" s="50" t="s">
        <v>107</v>
      </c>
      <c r="I215" s="891" t="s">
        <v>106</v>
      </c>
      <c r="J215" s="892"/>
      <c r="K215" s="892"/>
      <c r="L215" s="893"/>
      <c r="N215" s="604" t="s">
        <v>288</v>
      </c>
      <c r="O215" s="604"/>
      <c r="P215" s="604"/>
    </row>
    <row r="216" spans="1:16" ht="30" customHeight="1" thickBot="1">
      <c r="A216" s="57" t="s">
        <v>100</v>
      </c>
      <c r="B216" s="58" t="s">
        <v>108</v>
      </c>
      <c r="C216" s="59" t="s">
        <v>109</v>
      </c>
      <c r="D216" s="60" t="s">
        <v>110</v>
      </c>
      <c r="I216" s="57" t="s">
        <v>100</v>
      </c>
      <c r="J216" s="58" t="s">
        <v>108</v>
      </c>
      <c r="K216" s="473" t="s">
        <v>109</v>
      </c>
      <c r="L216" s="60" t="s">
        <v>110</v>
      </c>
      <c r="N216" s="12"/>
      <c r="O216" s="12"/>
      <c r="P216" s="12"/>
    </row>
    <row r="217" spans="1:16" ht="14.25" customHeight="1">
      <c r="A217" s="71">
        <v>719</v>
      </c>
      <c r="B217" s="73">
        <f>+H197+H199</f>
        <v>170000</v>
      </c>
      <c r="C217" s="74" t="e">
        <f>+D180</f>
        <v>#REF!</v>
      </c>
      <c r="D217" s="76" t="e">
        <f>+B217+C217</f>
        <v>#REF!</v>
      </c>
      <c r="I217" s="71">
        <v>719</v>
      </c>
      <c r="J217" s="73"/>
      <c r="K217" s="74">
        <f>+L180</f>
        <v>0</v>
      </c>
      <c r="L217" s="195">
        <f>+J217+K217</f>
        <v>0</v>
      </c>
      <c r="N217" s="12"/>
      <c r="O217" s="12"/>
      <c r="P217" s="12"/>
    </row>
    <row r="218" spans="1:16" ht="12.75" customHeight="1">
      <c r="A218" s="72">
        <v>721</v>
      </c>
      <c r="B218" s="80"/>
      <c r="C218" s="74" t="e">
        <f>+D181</f>
        <v>#REF!</v>
      </c>
      <c r="D218" s="76" t="e">
        <f>+B218+C218</f>
        <v>#REF!</v>
      </c>
      <c r="I218" s="72">
        <v>721</v>
      </c>
      <c r="J218" s="80"/>
      <c r="K218" s="74">
        <f>+L181</f>
        <v>0</v>
      </c>
      <c r="L218" s="195">
        <f>+J218+K218</f>
        <v>0</v>
      </c>
      <c r="N218" s="12"/>
      <c r="O218" s="12"/>
      <c r="P218" s="12"/>
    </row>
    <row r="219" spans="1:16" ht="12.75" customHeight="1">
      <c r="A219" s="72">
        <v>722</v>
      </c>
      <c r="B219" s="80">
        <f>+H202+H204</f>
        <v>6420384</v>
      </c>
      <c r="C219" s="74">
        <f>+D182</f>
        <v>224787287</v>
      </c>
      <c r="D219" s="76">
        <f>+B219+C219</f>
        <v>231207671</v>
      </c>
      <c r="I219" s="72">
        <v>722</v>
      </c>
      <c r="J219" s="80"/>
      <c r="K219" s="74">
        <f>+L182</f>
        <v>0</v>
      </c>
      <c r="L219" s="195">
        <f>+J219+K219</f>
        <v>0</v>
      </c>
      <c r="N219" s="12"/>
      <c r="O219" s="12"/>
      <c r="P219" s="12"/>
    </row>
    <row r="220" spans="1:16" ht="13.5" customHeight="1" thickBot="1">
      <c r="A220" s="72">
        <v>723</v>
      </c>
      <c r="B220" s="80"/>
      <c r="C220" s="74">
        <f>+D183</f>
        <v>319828837</v>
      </c>
      <c r="D220" s="76">
        <f>+B220+C220</f>
        <v>319828837</v>
      </c>
      <c r="F220" s="174" t="s">
        <v>23</v>
      </c>
      <c r="G220" s="175"/>
      <c r="I220" s="72">
        <v>723</v>
      </c>
      <c r="J220" s="80">
        <f>+P198+P200+P202+P204+P206</f>
        <v>9229500</v>
      </c>
      <c r="K220" s="74">
        <f>+L183</f>
        <v>251241904</v>
      </c>
      <c r="L220" s="195">
        <f>+J220+K220</f>
        <v>260471404</v>
      </c>
      <c r="N220" s="609" t="s">
        <v>1696</v>
      </c>
      <c r="O220" s="609"/>
      <c r="P220" s="609"/>
    </row>
    <row r="221" spans="1:16" ht="13.5" hidden="1" customHeight="1" thickBot="1">
      <c r="A221" s="164" t="s">
        <v>181</v>
      </c>
      <c r="B221" s="165"/>
      <c r="C221" s="74">
        <f>+D184</f>
        <v>1965625</v>
      </c>
      <c r="D221" s="168">
        <f>+B221+C221</f>
        <v>1965625</v>
      </c>
      <c r="F221" s="52"/>
      <c r="I221" s="164" t="s">
        <v>181</v>
      </c>
      <c r="J221" s="165"/>
      <c r="K221" s="74">
        <f>+L184</f>
        <v>0</v>
      </c>
      <c r="L221" s="196">
        <f>+J221+K221</f>
        <v>0</v>
      </c>
      <c r="N221" s="52"/>
    </row>
    <row r="222" spans="1:16" ht="15" customHeight="1" thickBot="1">
      <c r="A222" s="169"/>
      <c r="B222" s="170">
        <f>SUM(B217:B221)</f>
        <v>6590384</v>
      </c>
      <c r="C222" s="171" t="e">
        <f>SUM(C217:C221)</f>
        <v>#REF!</v>
      </c>
      <c r="D222" s="172" t="e">
        <f>SUM(D217:D221)</f>
        <v>#REF!</v>
      </c>
      <c r="I222" s="169"/>
      <c r="J222" s="197">
        <f>SUM(J217:J221)</f>
        <v>9229500</v>
      </c>
      <c r="K222" s="197">
        <f>SUM(K217:K221)</f>
        <v>251241904</v>
      </c>
      <c r="L222" s="198">
        <f>SUM(L217:L221)</f>
        <v>260471404</v>
      </c>
    </row>
    <row r="223" spans="1:16" ht="15.75" customHeight="1">
      <c r="A223" s="49" t="s">
        <v>88</v>
      </c>
      <c r="B223" s="50"/>
      <c r="I223" s="49" t="s">
        <v>88</v>
      </c>
      <c r="J223" s="50"/>
    </row>
    <row r="224" spans="1:16" ht="12" customHeight="1">
      <c r="A224" s="51" t="s">
        <v>89</v>
      </c>
      <c r="I224" s="51" t="s">
        <v>89</v>
      </c>
    </row>
    <row r="225" spans="1:16" ht="12" customHeight="1">
      <c r="A225" s="51" t="s">
        <v>90</v>
      </c>
      <c r="I225" s="51" t="s">
        <v>90</v>
      </c>
    </row>
    <row r="226" spans="1:16" ht="11.25" customHeight="1">
      <c r="A226" s="51" t="s">
        <v>91</v>
      </c>
      <c r="I226" s="51" t="s">
        <v>91</v>
      </c>
    </row>
    <row r="227" spans="1:16" ht="4.5" customHeight="1">
      <c r="A227" s="50"/>
      <c r="B227" s="50"/>
      <c r="I227" s="50"/>
      <c r="J227" s="50"/>
    </row>
    <row r="228" spans="1:16" ht="12.75" customHeight="1">
      <c r="A228" s="52" t="s">
        <v>256</v>
      </c>
      <c r="G228" s="52"/>
      <c r="I228" s="52" t="s">
        <v>1641</v>
      </c>
      <c r="J228" s="243"/>
      <c r="O228" s="52"/>
    </row>
    <row r="229" spans="1:16" ht="15.75">
      <c r="A229" s="53" t="s">
        <v>92</v>
      </c>
      <c r="G229" s="53"/>
      <c r="I229" s="53" t="s">
        <v>1866</v>
      </c>
      <c r="O229" s="53"/>
    </row>
    <row r="230" spans="1:16" ht="13.5" customHeight="1">
      <c r="A230" s="894" t="s">
        <v>261</v>
      </c>
      <c r="B230" s="894"/>
      <c r="C230" s="894"/>
      <c r="D230" s="894"/>
      <c r="E230" s="894"/>
      <c r="F230" s="894"/>
      <c r="G230" s="894"/>
      <c r="H230" s="894"/>
      <c r="I230" s="894" t="s">
        <v>212</v>
      </c>
      <c r="J230" s="894"/>
      <c r="K230" s="894"/>
      <c r="L230" s="894"/>
      <c r="M230" s="894"/>
      <c r="N230" s="894"/>
      <c r="O230" s="894"/>
      <c r="P230" s="894"/>
    </row>
    <row r="231" spans="1:16" ht="8.25" customHeight="1" thickBot="1"/>
    <row r="232" spans="1:16">
      <c r="A232" s="895" t="s">
        <v>94</v>
      </c>
      <c r="B232" s="897" t="s">
        <v>95</v>
      </c>
      <c r="C232" s="897" t="s">
        <v>96</v>
      </c>
      <c r="D232" s="897" t="s">
        <v>3</v>
      </c>
      <c r="E232" s="897" t="s">
        <v>97</v>
      </c>
      <c r="F232" s="897" t="s">
        <v>98</v>
      </c>
      <c r="G232" s="897" t="s">
        <v>99</v>
      </c>
      <c r="H232" s="899"/>
      <c r="I232" s="895" t="s">
        <v>94</v>
      </c>
      <c r="J232" s="897" t="s">
        <v>95</v>
      </c>
      <c r="K232" s="897" t="s">
        <v>96</v>
      </c>
      <c r="L232" s="897" t="s">
        <v>3</v>
      </c>
      <c r="M232" s="897" t="s">
        <v>97</v>
      </c>
      <c r="N232" s="897" t="s">
        <v>98</v>
      </c>
      <c r="O232" s="897" t="s">
        <v>99</v>
      </c>
      <c r="P232" s="899"/>
    </row>
    <row r="233" spans="1:16" ht="15.75" thickBot="1">
      <c r="A233" s="896"/>
      <c r="B233" s="898"/>
      <c r="C233" s="898"/>
      <c r="D233" s="898"/>
      <c r="E233" s="898"/>
      <c r="F233" s="898"/>
      <c r="G233" s="240" t="s">
        <v>100</v>
      </c>
      <c r="H233" s="182" t="s">
        <v>101</v>
      </c>
      <c r="I233" s="896"/>
      <c r="J233" s="898"/>
      <c r="K233" s="898"/>
      <c r="L233" s="898"/>
      <c r="M233" s="898"/>
      <c r="N233" s="898"/>
      <c r="O233" s="240" t="s">
        <v>100</v>
      </c>
      <c r="P233" s="182" t="s">
        <v>101</v>
      </c>
    </row>
    <row r="234" spans="1:16" ht="13.5" customHeight="1">
      <c r="A234" s="881" t="e">
        <f>+A203+1</f>
        <v>#REF!</v>
      </c>
      <c r="B234" s="875">
        <v>42252</v>
      </c>
      <c r="C234" s="942" t="s">
        <v>31</v>
      </c>
      <c r="D234" s="881" t="s">
        <v>257</v>
      </c>
      <c r="E234" s="881" t="s">
        <v>115</v>
      </c>
      <c r="F234" s="883">
        <v>90000</v>
      </c>
      <c r="G234" s="55">
        <v>719</v>
      </c>
      <c r="H234" s="78">
        <v>90000</v>
      </c>
      <c r="I234" s="873" t="s">
        <v>592</v>
      </c>
      <c r="J234" s="875">
        <v>43871</v>
      </c>
      <c r="K234" s="877" t="s">
        <v>678</v>
      </c>
      <c r="L234" s="881" t="s">
        <v>1887</v>
      </c>
      <c r="M234" s="881" t="s">
        <v>148</v>
      </c>
      <c r="N234" s="883">
        <v>1260000</v>
      </c>
      <c r="O234" s="55">
        <v>719</v>
      </c>
      <c r="P234" s="78"/>
    </row>
    <row r="235" spans="1:16" ht="14.25" customHeight="1" thickBot="1">
      <c r="A235" s="882"/>
      <c r="B235" s="934"/>
      <c r="C235" s="943"/>
      <c r="D235" s="882"/>
      <c r="E235" s="882"/>
      <c r="F235" s="884"/>
      <c r="G235" s="56">
        <v>721</v>
      </c>
      <c r="H235" s="79">
        <f>+F234-H234</f>
        <v>0</v>
      </c>
      <c r="I235" s="882"/>
      <c r="J235" s="876"/>
      <c r="K235" s="878"/>
      <c r="L235" s="882"/>
      <c r="M235" s="882"/>
      <c r="N235" s="884"/>
      <c r="O235" s="56">
        <v>723</v>
      </c>
      <c r="P235" s="79">
        <f>+N234</f>
        <v>1260000</v>
      </c>
    </row>
    <row r="236" spans="1:16" ht="12.75" customHeight="1">
      <c r="A236" s="881" t="e">
        <f>+A234+1</f>
        <v>#REF!</v>
      </c>
      <c r="B236" s="875">
        <v>42252</v>
      </c>
      <c r="C236" s="935" t="s">
        <v>28</v>
      </c>
      <c r="D236" s="881" t="s">
        <v>258</v>
      </c>
      <c r="E236" s="881" t="s">
        <v>115</v>
      </c>
      <c r="F236" s="883">
        <v>40000</v>
      </c>
      <c r="G236" s="55">
        <v>719</v>
      </c>
      <c r="H236" s="78">
        <f>+F236</f>
        <v>40000</v>
      </c>
      <c r="I236" s="873" t="s">
        <v>593</v>
      </c>
      <c r="J236" s="875">
        <v>43871</v>
      </c>
      <c r="K236" s="877" t="s">
        <v>1896</v>
      </c>
      <c r="L236" s="881" t="s">
        <v>1887</v>
      </c>
      <c r="M236" s="881" t="s">
        <v>148</v>
      </c>
      <c r="N236" s="883">
        <v>600000</v>
      </c>
      <c r="O236" s="55">
        <v>719</v>
      </c>
      <c r="P236" s="78"/>
    </row>
    <row r="237" spans="1:16" ht="13.5" customHeight="1" thickBot="1">
      <c r="A237" s="882"/>
      <c r="B237" s="934"/>
      <c r="C237" s="936"/>
      <c r="D237" s="882"/>
      <c r="E237" s="882"/>
      <c r="F237" s="884"/>
      <c r="G237" s="56">
        <v>721</v>
      </c>
      <c r="H237" s="79"/>
      <c r="I237" s="882"/>
      <c r="J237" s="876"/>
      <c r="K237" s="878"/>
      <c r="L237" s="882"/>
      <c r="M237" s="882"/>
      <c r="N237" s="884"/>
      <c r="O237" s="56">
        <v>723</v>
      </c>
      <c r="P237" s="79">
        <f>+N236</f>
        <v>600000</v>
      </c>
    </row>
    <row r="238" spans="1:16" ht="12.75" customHeight="1">
      <c r="A238" s="881" t="e">
        <f>+A236+1</f>
        <v>#REF!</v>
      </c>
      <c r="B238" s="875">
        <v>42252</v>
      </c>
      <c r="C238" s="877" t="s">
        <v>32</v>
      </c>
      <c r="D238" s="881" t="s">
        <v>259</v>
      </c>
      <c r="E238" s="881" t="s">
        <v>115</v>
      </c>
      <c r="F238" s="883">
        <v>80000</v>
      </c>
      <c r="G238" s="55">
        <v>719</v>
      </c>
      <c r="H238" s="78">
        <v>80000</v>
      </c>
      <c r="I238" s="873" t="s">
        <v>594</v>
      </c>
      <c r="J238" s="875">
        <v>43871</v>
      </c>
      <c r="K238" s="881" t="s">
        <v>1809</v>
      </c>
      <c r="L238" s="881" t="s">
        <v>1887</v>
      </c>
      <c r="M238" s="881" t="s">
        <v>148</v>
      </c>
      <c r="N238" s="883">
        <v>6177780</v>
      </c>
      <c r="O238" s="55">
        <v>719</v>
      </c>
      <c r="P238" s="78"/>
    </row>
    <row r="239" spans="1:16" ht="13.5" customHeight="1" thickBot="1">
      <c r="A239" s="882"/>
      <c r="B239" s="934"/>
      <c r="C239" s="878"/>
      <c r="D239" s="882"/>
      <c r="E239" s="882"/>
      <c r="F239" s="884"/>
      <c r="G239" s="56">
        <v>721</v>
      </c>
      <c r="H239" s="79">
        <f>+F238-H238</f>
        <v>0</v>
      </c>
      <c r="I239" s="882"/>
      <c r="J239" s="876"/>
      <c r="K239" s="882"/>
      <c r="L239" s="882"/>
      <c r="M239" s="882"/>
      <c r="N239" s="884"/>
      <c r="O239" s="56">
        <v>723</v>
      </c>
      <c r="P239" s="79">
        <f>+N238-P238</f>
        <v>6177780</v>
      </c>
    </row>
    <row r="240" spans="1:16" ht="13.5" customHeight="1">
      <c r="A240" s="251"/>
      <c r="B240" s="452"/>
      <c r="C240" s="253"/>
      <c r="D240" s="251"/>
      <c r="E240" s="251"/>
      <c r="F240" s="254"/>
      <c r="G240" s="255"/>
      <c r="H240" s="256"/>
      <c r="I240" s="873" t="s">
        <v>599</v>
      </c>
      <c r="J240" s="875">
        <v>43871</v>
      </c>
      <c r="K240" s="881" t="s">
        <v>1893</v>
      </c>
      <c r="L240" s="881" t="s">
        <v>1887</v>
      </c>
      <c r="M240" s="881" t="s">
        <v>148</v>
      </c>
      <c r="N240" s="883">
        <v>8000000</v>
      </c>
      <c r="O240" s="55">
        <v>719</v>
      </c>
      <c r="P240" s="78"/>
    </row>
    <row r="241" spans="1:16" ht="13.5" customHeight="1" thickBot="1">
      <c r="A241" s="251"/>
      <c r="B241" s="452"/>
      <c r="C241" s="253"/>
      <c r="D241" s="251"/>
      <c r="E241" s="251"/>
      <c r="F241" s="254"/>
      <c r="G241" s="255"/>
      <c r="H241" s="256"/>
      <c r="I241" s="882"/>
      <c r="J241" s="876"/>
      <c r="K241" s="882"/>
      <c r="L241" s="882"/>
      <c r="M241" s="882"/>
      <c r="N241" s="884"/>
      <c r="O241" s="56">
        <v>723</v>
      </c>
      <c r="P241" s="79">
        <f>+N240-P240</f>
        <v>8000000</v>
      </c>
    </row>
    <row r="242" spans="1:16" ht="13.5" customHeight="1">
      <c r="A242" s="881"/>
      <c r="B242" s="875"/>
      <c r="C242" s="877"/>
      <c r="D242" s="877"/>
      <c r="E242" s="881"/>
      <c r="F242" s="883"/>
      <c r="G242" s="55">
        <v>719</v>
      </c>
      <c r="H242" s="78"/>
      <c r="I242" s="873" t="s">
        <v>600</v>
      </c>
      <c r="J242" s="875">
        <v>43871</v>
      </c>
      <c r="K242" s="877" t="s">
        <v>679</v>
      </c>
      <c r="L242" s="881" t="s">
        <v>1887</v>
      </c>
      <c r="M242" s="881" t="s">
        <v>148</v>
      </c>
      <c r="N242" s="883">
        <v>945000</v>
      </c>
      <c r="O242" s="55">
        <v>719</v>
      </c>
      <c r="P242" s="78"/>
    </row>
    <row r="243" spans="1:16" ht="12.75" customHeight="1" thickBot="1">
      <c r="A243" s="882"/>
      <c r="B243" s="934"/>
      <c r="C243" s="878"/>
      <c r="D243" s="878"/>
      <c r="E243" s="882"/>
      <c r="F243" s="884"/>
      <c r="G243" s="56">
        <v>721</v>
      </c>
      <c r="H243" s="79">
        <f>+F242-H242</f>
        <v>0</v>
      </c>
      <c r="I243" s="882"/>
      <c r="J243" s="876"/>
      <c r="K243" s="878"/>
      <c r="L243" s="882"/>
      <c r="M243" s="882"/>
      <c r="N243" s="884"/>
      <c r="O243" s="56">
        <v>723</v>
      </c>
      <c r="P243" s="79">
        <f>+N242-P242</f>
        <v>945000</v>
      </c>
    </row>
    <row r="244" spans="1:16" ht="12.75" customHeight="1">
      <c r="A244" s="881"/>
      <c r="B244" s="875"/>
      <c r="C244" s="935"/>
      <c r="D244" s="877"/>
      <c r="E244" s="881"/>
      <c r="F244" s="883"/>
      <c r="G244" s="55">
        <v>719</v>
      </c>
      <c r="H244" s="78"/>
      <c r="I244" s="873" t="s">
        <v>601</v>
      </c>
      <c r="J244" s="875">
        <v>43871</v>
      </c>
      <c r="K244" s="877" t="s">
        <v>723</v>
      </c>
      <c r="L244" s="881" t="s">
        <v>1887</v>
      </c>
      <c r="M244" s="881" t="s">
        <v>148</v>
      </c>
      <c r="N244" s="883">
        <v>630000</v>
      </c>
      <c r="O244" s="55">
        <v>719</v>
      </c>
      <c r="P244" s="78"/>
    </row>
    <row r="245" spans="1:16" ht="13.5" customHeight="1" thickBot="1">
      <c r="A245" s="882"/>
      <c r="B245" s="934"/>
      <c r="C245" s="936"/>
      <c r="D245" s="878"/>
      <c r="E245" s="882"/>
      <c r="F245" s="884"/>
      <c r="G245" s="56">
        <v>721</v>
      </c>
      <c r="H245" s="79">
        <f>+F244-H244</f>
        <v>0</v>
      </c>
      <c r="I245" s="882"/>
      <c r="J245" s="876"/>
      <c r="K245" s="878"/>
      <c r="L245" s="882"/>
      <c r="M245" s="882"/>
      <c r="N245" s="884"/>
      <c r="O245" s="56">
        <v>723</v>
      </c>
      <c r="P245" s="79">
        <f>+N244-P244</f>
        <v>630000</v>
      </c>
    </row>
    <row r="246" spans="1:16" ht="16.5" thickBot="1">
      <c r="A246" s="901" t="s">
        <v>102</v>
      </c>
      <c r="B246" s="902"/>
      <c r="C246" s="902"/>
      <c r="D246" s="902"/>
      <c r="E246" s="903"/>
      <c r="F246" s="81">
        <f>SUM(F234:F245)</f>
        <v>210000</v>
      </c>
      <c r="I246" s="901" t="s">
        <v>102</v>
      </c>
      <c r="J246" s="902"/>
      <c r="K246" s="902"/>
      <c r="L246" s="902"/>
      <c r="M246" s="903"/>
      <c r="N246" s="81">
        <f>SUM(N234:N245)</f>
        <v>17612780</v>
      </c>
    </row>
    <row r="247" spans="1:16" ht="14.25" customHeight="1" thickBot="1">
      <c r="A247" s="885" t="s">
        <v>103</v>
      </c>
      <c r="B247" s="886"/>
      <c r="C247" s="886"/>
      <c r="D247" s="886"/>
      <c r="E247" s="887"/>
      <c r="F247" s="69">
        <f>+F209</f>
        <v>620386225</v>
      </c>
      <c r="I247" s="885" t="s">
        <v>103</v>
      </c>
      <c r="J247" s="886"/>
      <c r="K247" s="886"/>
      <c r="L247" s="886"/>
      <c r="M247" s="887"/>
      <c r="N247" s="239">
        <f>+N209</f>
        <v>260471404</v>
      </c>
      <c r="O247" s="241" t="s">
        <v>561</v>
      </c>
      <c r="P247" s="242"/>
    </row>
    <row r="248" spans="1:16" ht="15" customHeight="1" thickBot="1">
      <c r="A248" s="888" t="s">
        <v>104</v>
      </c>
      <c r="B248" s="889"/>
      <c r="C248" s="889"/>
      <c r="D248" s="889"/>
      <c r="E248" s="890"/>
      <c r="F248" s="183">
        <f>SUM(F246:F247)</f>
        <v>620596225</v>
      </c>
      <c r="I248" s="888" t="s">
        <v>104</v>
      </c>
      <c r="J248" s="889"/>
      <c r="K248" s="889"/>
      <c r="L248" s="889"/>
      <c r="M248" s="890"/>
      <c r="N248" s="183">
        <f>SUM(N246:N247)</f>
        <v>278084184</v>
      </c>
    </row>
    <row r="249" spans="1:16" ht="7.5" customHeight="1">
      <c r="A249" s="61"/>
      <c r="B249" s="61"/>
      <c r="C249" s="61"/>
      <c r="D249" s="61"/>
      <c r="E249" s="61"/>
      <c r="I249" s="61"/>
      <c r="J249" s="61"/>
      <c r="K249" s="61"/>
      <c r="L249" s="61"/>
      <c r="M249" s="61"/>
    </row>
    <row r="250" spans="1:16">
      <c r="A250" s="51" t="s">
        <v>260</v>
      </c>
      <c r="I250" s="51" t="s">
        <v>1894</v>
      </c>
    </row>
    <row r="251" spans="1:16" ht="3.75" customHeight="1">
      <c r="F251" s="139"/>
      <c r="N251" s="139"/>
    </row>
    <row r="252" spans="1:16" ht="13.5" customHeight="1">
      <c r="A252" s="50" t="s">
        <v>105</v>
      </c>
      <c r="D252" s="146"/>
      <c r="F252" s="139"/>
      <c r="I252" s="50" t="s">
        <v>105</v>
      </c>
      <c r="L252" s="146"/>
      <c r="N252" s="139"/>
    </row>
    <row r="253" spans="1:16" ht="6.75" customHeight="1" thickBot="1"/>
    <row r="254" spans="1:16" ht="17.25" thickBot="1">
      <c r="A254" s="891" t="s">
        <v>106</v>
      </c>
      <c r="B254" s="892"/>
      <c r="C254" s="892"/>
      <c r="D254" s="893"/>
      <c r="F254" s="50" t="s">
        <v>263</v>
      </c>
      <c r="I254" s="891" t="s">
        <v>106</v>
      </c>
      <c r="J254" s="892"/>
      <c r="K254" s="892"/>
      <c r="L254" s="893"/>
      <c r="N254" s="604" t="s">
        <v>288</v>
      </c>
      <c r="O254" s="604"/>
      <c r="P254" s="604"/>
    </row>
    <row r="255" spans="1:16" ht="28.5" customHeight="1" thickBot="1">
      <c r="A255" s="57" t="s">
        <v>100</v>
      </c>
      <c r="B255" s="58" t="s">
        <v>108</v>
      </c>
      <c r="C255" s="59" t="s">
        <v>109</v>
      </c>
      <c r="D255" s="60" t="s">
        <v>110</v>
      </c>
      <c r="I255" s="57" t="s">
        <v>100</v>
      </c>
      <c r="J255" s="58" t="s">
        <v>108</v>
      </c>
      <c r="K255" s="263" t="s">
        <v>109</v>
      </c>
      <c r="L255" s="60" t="s">
        <v>110</v>
      </c>
      <c r="N255" s="12"/>
      <c r="O255" s="12"/>
      <c r="P255" s="12"/>
    </row>
    <row r="256" spans="1:16" ht="13.5" customHeight="1">
      <c r="A256" s="71">
        <v>719</v>
      </c>
      <c r="B256" s="73">
        <f>+H234+H236+H238</f>
        <v>210000</v>
      </c>
      <c r="C256" s="74" t="e">
        <f>+D217</f>
        <v>#REF!</v>
      </c>
      <c r="D256" s="76" t="e">
        <f>+B256+C256</f>
        <v>#REF!</v>
      </c>
      <c r="I256" s="71">
        <v>719</v>
      </c>
      <c r="J256" s="73">
        <f>+P234+P236+P238+P242+P244</f>
        <v>0</v>
      </c>
      <c r="K256" s="74">
        <f>+L217</f>
        <v>0</v>
      </c>
      <c r="L256" s="195">
        <f>+J256+K256</f>
        <v>0</v>
      </c>
      <c r="N256" s="12"/>
      <c r="O256" s="12"/>
      <c r="P256" s="12"/>
    </row>
    <row r="257" spans="1:16" ht="14.25" customHeight="1">
      <c r="A257" s="72">
        <v>721</v>
      </c>
      <c r="B257" s="80"/>
      <c r="C257" s="74" t="e">
        <f>+D218</f>
        <v>#REF!</v>
      </c>
      <c r="D257" s="76" t="e">
        <f>+B257+C257</f>
        <v>#REF!</v>
      </c>
      <c r="I257" s="72">
        <v>721</v>
      </c>
      <c r="J257" s="80">
        <v>0</v>
      </c>
      <c r="K257" s="74">
        <f>+L218</f>
        <v>0</v>
      </c>
      <c r="L257" s="195">
        <f>+J257+K257</f>
        <v>0</v>
      </c>
      <c r="N257" s="12"/>
      <c r="O257" s="12"/>
      <c r="P257" s="12"/>
    </row>
    <row r="258" spans="1:16" ht="12.75" customHeight="1">
      <c r="A258" s="72">
        <v>722</v>
      </c>
      <c r="B258" s="80"/>
      <c r="C258" s="74">
        <f>+D219</f>
        <v>231207671</v>
      </c>
      <c r="D258" s="76">
        <f>+B258+C258</f>
        <v>231207671</v>
      </c>
      <c r="I258" s="72">
        <v>722</v>
      </c>
      <c r="J258" s="80"/>
      <c r="K258" s="74">
        <f>+L219</f>
        <v>0</v>
      </c>
      <c r="L258" s="195">
        <f>+J258+K258</f>
        <v>0</v>
      </c>
      <c r="N258" s="12"/>
      <c r="O258" s="12"/>
      <c r="P258" s="12"/>
    </row>
    <row r="259" spans="1:16" ht="12.75" customHeight="1" thickBot="1">
      <c r="A259" s="72">
        <v>723</v>
      </c>
      <c r="B259" s="80"/>
      <c r="C259" s="74">
        <f>+D220</f>
        <v>319828837</v>
      </c>
      <c r="D259" s="76">
        <f>+B259+C259</f>
        <v>319828837</v>
      </c>
      <c r="F259" s="174" t="s">
        <v>262</v>
      </c>
      <c r="G259" s="175"/>
      <c r="I259" s="72">
        <v>723</v>
      </c>
      <c r="J259" s="80">
        <f>+P235+P237+P239+P243+P245+P241</f>
        <v>17612780</v>
      </c>
      <c r="K259" s="74">
        <f>+L220</f>
        <v>260471404</v>
      </c>
      <c r="L259" s="195">
        <f>+J259+K259</f>
        <v>278084184</v>
      </c>
      <c r="N259" s="609" t="s">
        <v>1696</v>
      </c>
      <c r="O259" s="609"/>
      <c r="P259" s="609"/>
    </row>
    <row r="260" spans="1:16" ht="13.5" hidden="1" customHeight="1" thickBot="1">
      <c r="A260" s="164" t="s">
        <v>181</v>
      </c>
      <c r="B260" s="165"/>
      <c r="C260" s="74">
        <f>+D221</f>
        <v>1965625</v>
      </c>
      <c r="D260" s="168">
        <f>+B260+C260</f>
        <v>1965625</v>
      </c>
      <c r="F260" s="52"/>
      <c r="I260" s="164" t="s">
        <v>181</v>
      </c>
      <c r="J260" s="165"/>
      <c r="K260" s="74">
        <f>+L221</f>
        <v>0</v>
      </c>
      <c r="L260" s="196">
        <f>+J260+K260</f>
        <v>0</v>
      </c>
      <c r="N260" s="52"/>
    </row>
    <row r="261" spans="1:16" ht="15" customHeight="1" thickBot="1">
      <c r="A261" s="169"/>
      <c r="B261" s="170">
        <f>SUM(B256:B260)</f>
        <v>210000</v>
      </c>
      <c r="C261" s="171" t="e">
        <f>SUM(C256:C260)</f>
        <v>#REF!</v>
      </c>
      <c r="D261" s="172" t="e">
        <f>SUM(D256:D260)</f>
        <v>#REF!</v>
      </c>
      <c r="I261" s="169"/>
      <c r="J261" s="197">
        <f>SUM(J256:J260)</f>
        <v>17612780</v>
      </c>
      <c r="K261" s="197">
        <f>SUM(K256:K260)</f>
        <v>260471404</v>
      </c>
      <c r="L261" s="198">
        <f>SUM(L256:L260)</f>
        <v>278084184</v>
      </c>
    </row>
    <row r="262" spans="1:16" ht="15" customHeight="1">
      <c r="A262" s="49" t="s">
        <v>88</v>
      </c>
      <c r="B262" s="50"/>
      <c r="I262" s="49" t="s">
        <v>88</v>
      </c>
      <c r="J262" s="50"/>
    </row>
    <row r="263" spans="1:16" ht="12.75" customHeight="1">
      <c r="A263" s="51" t="s">
        <v>89</v>
      </c>
      <c r="I263" s="51" t="s">
        <v>89</v>
      </c>
    </row>
    <row r="264" spans="1:16" ht="13.5" customHeight="1">
      <c r="A264" s="51" t="s">
        <v>90</v>
      </c>
      <c r="I264" s="51" t="s">
        <v>90</v>
      </c>
    </row>
    <row r="265" spans="1:16" ht="13.5" customHeight="1">
      <c r="A265" s="51" t="s">
        <v>91</v>
      </c>
      <c r="I265" s="51" t="s">
        <v>91</v>
      </c>
    </row>
    <row r="266" spans="1:16" ht="4.5" customHeight="1">
      <c r="A266" s="50"/>
      <c r="B266" s="50"/>
      <c r="I266" s="50"/>
      <c r="J266" s="50"/>
    </row>
    <row r="267" spans="1:16" ht="14.25" customHeight="1">
      <c r="A267" s="52" t="s">
        <v>264</v>
      </c>
      <c r="G267" s="52"/>
      <c r="I267" s="52" t="s">
        <v>1731</v>
      </c>
      <c r="J267" s="244"/>
      <c r="O267" s="52"/>
    </row>
    <row r="268" spans="1:16" ht="15.75">
      <c r="A268" s="53" t="s">
        <v>92</v>
      </c>
      <c r="G268" s="53"/>
      <c r="I268" s="53" t="s">
        <v>1866</v>
      </c>
      <c r="O268" s="53"/>
    </row>
    <row r="269" spans="1:16" ht="14.25" customHeight="1">
      <c r="A269" s="894" t="s">
        <v>261</v>
      </c>
      <c r="B269" s="894"/>
      <c r="C269" s="894"/>
      <c r="D269" s="894"/>
      <c r="E269" s="894"/>
      <c r="F269" s="894"/>
      <c r="G269" s="894"/>
      <c r="H269" s="894"/>
      <c r="I269" s="894" t="s">
        <v>212</v>
      </c>
      <c r="J269" s="894"/>
      <c r="K269" s="894"/>
      <c r="L269" s="894"/>
      <c r="M269" s="894"/>
      <c r="N269" s="894"/>
      <c r="O269" s="894"/>
      <c r="P269" s="894"/>
    </row>
    <row r="270" spans="1:16" ht="11.25" customHeight="1" thickBot="1"/>
    <row r="271" spans="1:16">
      <c r="A271" s="895" t="s">
        <v>94</v>
      </c>
      <c r="B271" s="897" t="s">
        <v>95</v>
      </c>
      <c r="C271" s="897" t="s">
        <v>96</v>
      </c>
      <c r="D271" s="897" t="s">
        <v>3</v>
      </c>
      <c r="E271" s="897" t="s">
        <v>97</v>
      </c>
      <c r="F271" s="897" t="s">
        <v>98</v>
      </c>
      <c r="G271" s="897" t="s">
        <v>99</v>
      </c>
      <c r="H271" s="899"/>
      <c r="I271" s="895" t="s">
        <v>94</v>
      </c>
      <c r="J271" s="897" t="s">
        <v>95</v>
      </c>
      <c r="K271" s="897" t="s">
        <v>96</v>
      </c>
      <c r="L271" s="897" t="s">
        <v>3</v>
      </c>
      <c r="M271" s="897" t="s">
        <v>97</v>
      </c>
      <c r="N271" s="897" t="s">
        <v>98</v>
      </c>
      <c r="O271" s="897" t="s">
        <v>99</v>
      </c>
      <c r="P271" s="899"/>
    </row>
    <row r="272" spans="1:16" ht="15.75" thickBot="1">
      <c r="A272" s="896"/>
      <c r="B272" s="898"/>
      <c r="C272" s="898"/>
      <c r="D272" s="898"/>
      <c r="E272" s="898"/>
      <c r="F272" s="898"/>
      <c r="G272" s="240" t="s">
        <v>100</v>
      </c>
      <c r="H272" s="182" t="s">
        <v>101</v>
      </c>
      <c r="I272" s="896"/>
      <c r="J272" s="898"/>
      <c r="K272" s="898"/>
      <c r="L272" s="898"/>
      <c r="M272" s="898"/>
      <c r="N272" s="898"/>
      <c r="O272" s="240" t="s">
        <v>100</v>
      </c>
      <c r="P272" s="182" t="s">
        <v>101</v>
      </c>
    </row>
    <row r="273" spans="1:16" ht="13.5" customHeight="1">
      <c r="A273" s="881" t="e">
        <f>+A238+1</f>
        <v>#REF!</v>
      </c>
      <c r="B273" s="875">
        <v>42254</v>
      </c>
      <c r="C273" s="877" t="s">
        <v>267</v>
      </c>
      <c r="D273" s="881" t="s">
        <v>266</v>
      </c>
      <c r="E273" s="881" t="s">
        <v>148</v>
      </c>
      <c r="F273" s="883">
        <v>252000</v>
      </c>
      <c r="G273" s="55">
        <v>719</v>
      </c>
      <c r="H273" s="78">
        <v>180000</v>
      </c>
      <c r="I273" s="873" t="s">
        <v>602</v>
      </c>
      <c r="J273" s="875">
        <v>43871</v>
      </c>
      <c r="K273" s="877" t="s">
        <v>1897</v>
      </c>
      <c r="L273" s="881" t="s">
        <v>1887</v>
      </c>
      <c r="M273" s="881" t="s">
        <v>115</v>
      </c>
      <c r="N273" s="883">
        <v>7519800</v>
      </c>
      <c r="O273" s="55">
        <v>719</v>
      </c>
      <c r="P273" s="78"/>
    </row>
    <row r="274" spans="1:16" ht="14.25" customHeight="1" thickBot="1">
      <c r="A274" s="882"/>
      <c r="B274" s="934"/>
      <c r="C274" s="878"/>
      <c r="D274" s="882"/>
      <c r="E274" s="882"/>
      <c r="F274" s="884"/>
      <c r="G274" s="56">
        <v>721</v>
      </c>
      <c r="H274" s="79">
        <f>+F273-H273</f>
        <v>72000</v>
      </c>
      <c r="I274" s="882"/>
      <c r="J274" s="876"/>
      <c r="K274" s="878"/>
      <c r="L274" s="882"/>
      <c r="M274" s="882"/>
      <c r="N274" s="884"/>
      <c r="O274" s="56">
        <v>723</v>
      </c>
      <c r="P274" s="79">
        <f>+N273</f>
        <v>7519800</v>
      </c>
    </row>
    <row r="275" spans="1:16" ht="12" customHeight="1">
      <c r="A275" s="881" t="e">
        <f>+A273+1</f>
        <v>#REF!</v>
      </c>
      <c r="B275" s="875">
        <v>42254</v>
      </c>
      <c r="C275" s="881" t="s">
        <v>28</v>
      </c>
      <c r="D275" s="881" t="s">
        <v>258</v>
      </c>
      <c r="E275" s="881" t="s">
        <v>148</v>
      </c>
      <c r="F275" s="883">
        <v>560000</v>
      </c>
      <c r="G275" s="55">
        <v>719</v>
      </c>
      <c r="H275" s="78">
        <v>400000</v>
      </c>
      <c r="I275" s="873" t="s">
        <v>607</v>
      </c>
      <c r="J275" s="875">
        <v>43871</v>
      </c>
      <c r="K275" s="881" t="s">
        <v>894</v>
      </c>
      <c r="L275" s="881" t="s">
        <v>1887</v>
      </c>
      <c r="M275" s="881" t="s">
        <v>115</v>
      </c>
      <c r="N275" s="883">
        <v>6764500</v>
      </c>
      <c r="O275" s="55">
        <v>719</v>
      </c>
      <c r="P275" s="78"/>
    </row>
    <row r="276" spans="1:16" ht="13.5" customHeight="1" thickBot="1">
      <c r="A276" s="882"/>
      <c r="B276" s="934"/>
      <c r="C276" s="882"/>
      <c r="D276" s="882"/>
      <c r="E276" s="882"/>
      <c r="F276" s="884"/>
      <c r="G276" s="56">
        <v>721</v>
      </c>
      <c r="H276" s="79">
        <f>+F275-H275</f>
        <v>160000</v>
      </c>
      <c r="I276" s="882"/>
      <c r="J276" s="876"/>
      <c r="K276" s="882"/>
      <c r="L276" s="882"/>
      <c r="M276" s="882"/>
      <c r="N276" s="884"/>
      <c r="O276" s="56">
        <v>723</v>
      </c>
      <c r="P276" s="79">
        <f>+N275</f>
        <v>6764500</v>
      </c>
    </row>
    <row r="277" spans="1:16" ht="13.5" customHeight="1">
      <c r="A277" s="881" t="e">
        <f>+A275+1</f>
        <v>#REF!</v>
      </c>
      <c r="B277" s="875">
        <v>42254</v>
      </c>
      <c r="C277" s="877" t="s">
        <v>32</v>
      </c>
      <c r="D277" s="881" t="s">
        <v>265</v>
      </c>
      <c r="E277" s="881" t="s">
        <v>148</v>
      </c>
      <c r="F277" s="883">
        <v>154000</v>
      </c>
      <c r="G277" s="55">
        <v>719</v>
      </c>
      <c r="H277" s="78">
        <v>110000</v>
      </c>
      <c r="I277" s="873" t="s">
        <v>608</v>
      </c>
      <c r="J277" s="875">
        <v>43871</v>
      </c>
      <c r="K277" s="910" t="s">
        <v>1899</v>
      </c>
      <c r="L277" s="881" t="s">
        <v>1887</v>
      </c>
      <c r="M277" s="881" t="s">
        <v>115</v>
      </c>
      <c r="N277" s="883">
        <v>4500000</v>
      </c>
      <c r="O277" s="55">
        <v>719</v>
      </c>
      <c r="P277" s="78"/>
    </row>
    <row r="278" spans="1:16" ht="15.75" customHeight="1" thickBot="1">
      <c r="A278" s="882"/>
      <c r="B278" s="934"/>
      <c r="C278" s="878"/>
      <c r="D278" s="882"/>
      <c r="E278" s="882"/>
      <c r="F278" s="884"/>
      <c r="G278" s="56">
        <v>721</v>
      </c>
      <c r="H278" s="79">
        <f>+F277-H277</f>
        <v>44000</v>
      </c>
      <c r="I278" s="882"/>
      <c r="J278" s="876"/>
      <c r="K278" s="911"/>
      <c r="L278" s="882"/>
      <c r="M278" s="882"/>
      <c r="N278" s="884"/>
      <c r="O278" s="56">
        <v>723</v>
      </c>
      <c r="P278" s="79">
        <f>+N277</f>
        <v>4500000</v>
      </c>
    </row>
    <row r="279" spans="1:16" ht="12" customHeight="1">
      <c r="A279" s="881" t="e">
        <f>+A277+1</f>
        <v>#REF!</v>
      </c>
      <c r="B279" s="875">
        <v>42254</v>
      </c>
      <c r="C279" s="877" t="s">
        <v>31</v>
      </c>
      <c r="D279" s="881" t="s">
        <v>265</v>
      </c>
      <c r="E279" s="881" t="s">
        <v>148</v>
      </c>
      <c r="F279" s="883">
        <v>1078000</v>
      </c>
      <c r="G279" s="55">
        <v>719</v>
      </c>
      <c r="H279" s="78">
        <v>770000</v>
      </c>
      <c r="I279" s="873" t="s">
        <v>609</v>
      </c>
      <c r="J279" s="875">
        <v>43871</v>
      </c>
      <c r="K279" s="910" t="s">
        <v>1900</v>
      </c>
      <c r="L279" s="881" t="s">
        <v>1887</v>
      </c>
      <c r="M279" s="881" t="s">
        <v>115</v>
      </c>
      <c r="N279" s="883">
        <v>1221875</v>
      </c>
      <c r="O279" s="55">
        <v>719</v>
      </c>
      <c r="P279" s="78"/>
    </row>
    <row r="280" spans="1:16" ht="14.25" customHeight="1" thickBot="1">
      <c r="A280" s="882"/>
      <c r="B280" s="934"/>
      <c r="C280" s="878"/>
      <c r="D280" s="882"/>
      <c r="E280" s="882"/>
      <c r="F280" s="884"/>
      <c r="G280" s="56">
        <v>721</v>
      </c>
      <c r="H280" s="79">
        <f>+F279-H279</f>
        <v>308000</v>
      </c>
      <c r="I280" s="882"/>
      <c r="J280" s="876"/>
      <c r="K280" s="911"/>
      <c r="L280" s="882"/>
      <c r="M280" s="882"/>
      <c r="N280" s="884"/>
      <c r="O280" s="56">
        <v>723</v>
      </c>
      <c r="P280" s="79">
        <f>+N279</f>
        <v>1221875</v>
      </c>
    </row>
    <row r="281" spans="1:16" ht="11.25" customHeight="1">
      <c r="A281" s="881" t="e">
        <f>+A279+1</f>
        <v>#REF!</v>
      </c>
      <c r="B281" s="875">
        <v>42254</v>
      </c>
      <c r="C281" s="877" t="s">
        <v>111</v>
      </c>
      <c r="D281" s="881" t="s">
        <v>268</v>
      </c>
      <c r="E281" s="881" t="s">
        <v>148</v>
      </c>
      <c r="F281" s="883">
        <v>112000</v>
      </c>
      <c r="G281" s="55">
        <v>719</v>
      </c>
      <c r="H281" s="78">
        <v>80000</v>
      </c>
      <c r="I281" s="873" t="s">
        <v>610</v>
      </c>
      <c r="J281" s="875">
        <v>43871</v>
      </c>
      <c r="K281" s="877" t="s">
        <v>1901</v>
      </c>
      <c r="L281" s="881" t="s">
        <v>1887</v>
      </c>
      <c r="M281" s="881" t="s">
        <v>115</v>
      </c>
      <c r="N281" s="883">
        <v>1008000</v>
      </c>
      <c r="O281" s="55">
        <v>719</v>
      </c>
      <c r="P281" s="78"/>
    </row>
    <row r="282" spans="1:16" ht="14.25" customHeight="1" thickBot="1">
      <c r="A282" s="882"/>
      <c r="B282" s="934"/>
      <c r="C282" s="878"/>
      <c r="D282" s="882"/>
      <c r="E282" s="882"/>
      <c r="F282" s="884"/>
      <c r="G282" s="56">
        <v>721</v>
      </c>
      <c r="H282" s="79">
        <f>+F281-H281</f>
        <v>32000</v>
      </c>
      <c r="I282" s="882"/>
      <c r="J282" s="876"/>
      <c r="K282" s="878"/>
      <c r="L282" s="882"/>
      <c r="M282" s="882"/>
      <c r="N282" s="884"/>
      <c r="O282" s="56">
        <v>723</v>
      </c>
      <c r="P282" s="79">
        <f>+N281-P281</f>
        <v>1008000</v>
      </c>
    </row>
    <row r="283" spans="1:16" ht="13.5" customHeight="1" thickBot="1">
      <c r="A283" s="901" t="s">
        <v>102</v>
      </c>
      <c r="B283" s="902"/>
      <c r="C283" s="902"/>
      <c r="D283" s="902"/>
      <c r="E283" s="903"/>
      <c r="F283" s="81">
        <f>SUM(F273:F282)</f>
        <v>2156000</v>
      </c>
      <c r="I283" s="901" t="s">
        <v>102</v>
      </c>
      <c r="J283" s="902"/>
      <c r="K283" s="902"/>
      <c r="L283" s="902"/>
      <c r="M283" s="903"/>
      <c r="N283" s="81">
        <f>SUM(N273:N282)</f>
        <v>21014175</v>
      </c>
    </row>
    <row r="284" spans="1:16" ht="14.25" customHeight="1" thickBot="1">
      <c r="A284" s="885" t="s">
        <v>103</v>
      </c>
      <c r="B284" s="886"/>
      <c r="C284" s="886"/>
      <c r="D284" s="886"/>
      <c r="E284" s="887"/>
      <c r="F284" s="69">
        <f>+F248</f>
        <v>620596225</v>
      </c>
      <c r="I284" s="885" t="s">
        <v>103</v>
      </c>
      <c r="J284" s="886"/>
      <c r="K284" s="886"/>
      <c r="L284" s="886"/>
      <c r="M284" s="887"/>
      <c r="N284" s="239">
        <f>+N248</f>
        <v>278084184</v>
      </c>
      <c r="O284" s="241" t="s">
        <v>561</v>
      </c>
      <c r="P284" s="242"/>
    </row>
    <row r="285" spans="1:16" ht="15.75" customHeight="1" thickBot="1">
      <c r="A285" s="888" t="s">
        <v>104</v>
      </c>
      <c r="B285" s="889"/>
      <c r="C285" s="889"/>
      <c r="D285" s="889"/>
      <c r="E285" s="890"/>
      <c r="F285" s="183">
        <f>SUM(F283:F284)</f>
        <v>622752225</v>
      </c>
      <c r="I285" s="888" t="s">
        <v>104</v>
      </c>
      <c r="J285" s="889"/>
      <c r="K285" s="889"/>
      <c r="L285" s="889"/>
      <c r="M285" s="890"/>
      <c r="N285" s="183">
        <f>SUM(N283:N284)</f>
        <v>299098359</v>
      </c>
    </row>
    <row r="286" spans="1:16" ht="9" customHeight="1">
      <c r="A286" s="61"/>
      <c r="B286" s="61"/>
      <c r="C286" s="61"/>
      <c r="D286" s="61"/>
      <c r="E286" s="61"/>
      <c r="I286" s="61"/>
      <c r="J286" s="61"/>
      <c r="K286" s="61"/>
      <c r="L286" s="61"/>
      <c r="M286" s="61"/>
    </row>
    <row r="287" spans="1:16">
      <c r="A287" s="51" t="s">
        <v>269</v>
      </c>
      <c r="I287" s="51" t="s">
        <v>1898</v>
      </c>
    </row>
    <row r="288" spans="1:16" ht="4.5" customHeight="1">
      <c r="F288" s="139"/>
      <c r="N288" s="139"/>
    </row>
    <row r="289" spans="1:16" ht="12.75" customHeight="1">
      <c r="A289" s="50" t="s">
        <v>105</v>
      </c>
      <c r="D289" s="146"/>
      <c r="F289" s="139"/>
      <c r="I289" s="50" t="s">
        <v>105</v>
      </c>
      <c r="L289" s="146"/>
      <c r="N289" s="139"/>
    </row>
    <row r="290" spans="1:16" ht="6" customHeight="1" thickBot="1"/>
    <row r="291" spans="1:16" ht="17.25" thickBot="1">
      <c r="A291" s="891" t="s">
        <v>106</v>
      </c>
      <c r="B291" s="892"/>
      <c r="C291" s="892"/>
      <c r="D291" s="893"/>
      <c r="F291" s="50" t="s">
        <v>270</v>
      </c>
      <c r="I291" s="891" t="s">
        <v>106</v>
      </c>
      <c r="J291" s="892"/>
      <c r="K291" s="892"/>
      <c r="L291" s="893"/>
      <c r="N291" s="604" t="s">
        <v>288</v>
      </c>
      <c r="O291" s="604"/>
      <c r="P291" s="604"/>
    </row>
    <row r="292" spans="1:16" ht="31.5" thickBot="1">
      <c r="A292" s="57" t="s">
        <v>100</v>
      </c>
      <c r="B292" s="58" t="s">
        <v>108</v>
      </c>
      <c r="C292" s="59" t="s">
        <v>109</v>
      </c>
      <c r="D292" s="60" t="s">
        <v>110</v>
      </c>
      <c r="I292" s="57" t="s">
        <v>100</v>
      </c>
      <c r="J292" s="58" t="s">
        <v>108</v>
      </c>
      <c r="K292" s="59" t="s">
        <v>109</v>
      </c>
      <c r="L292" s="60" t="s">
        <v>110</v>
      </c>
      <c r="N292" s="12"/>
    </row>
    <row r="293" spans="1:16" ht="12.75" customHeight="1">
      <c r="A293" s="71">
        <v>719</v>
      </c>
      <c r="B293" s="73">
        <f>+H273+H275+H277+H279+H281</f>
        <v>1540000</v>
      </c>
      <c r="C293" s="74" t="e">
        <f>+D256</f>
        <v>#REF!</v>
      </c>
      <c r="D293" s="76" t="e">
        <f>+B293+C293</f>
        <v>#REF!</v>
      </c>
      <c r="I293" s="71">
        <v>719</v>
      </c>
      <c r="J293" s="73">
        <f>+P273+P275+P277+P279+P281</f>
        <v>0</v>
      </c>
      <c r="K293" s="74">
        <f>+L256</f>
        <v>0</v>
      </c>
      <c r="L293" s="195">
        <f>+J293+K293</f>
        <v>0</v>
      </c>
      <c r="N293" s="12"/>
    </row>
    <row r="294" spans="1:16" ht="13.5" customHeight="1">
      <c r="A294" s="72">
        <v>721</v>
      </c>
      <c r="B294" s="80">
        <f>+H280+H278+H276+H274+H282</f>
        <v>616000</v>
      </c>
      <c r="C294" s="74" t="e">
        <f>+D257</f>
        <v>#REF!</v>
      </c>
      <c r="D294" s="76" t="e">
        <f>+B294+C294</f>
        <v>#REF!</v>
      </c>
      <c r="I294" s="72">
        <v>721</v>
      </c>
      <c r="J294" s="80"/>
      <c r="K294" s="74">
        <f>+L257</f>
        <v>0</v>
      </c>
      <c r="L294" s="195">
        <f>+J294+K294</f>
        <v>0</v>
      </c>
      <c r="N294" s="12"/>
    </row>
    <row r="295" spans="1:16" ht="14.25" customHeight="1">
      <c r="A295" s="72">
        <v>722</v>
      </c>
      <c r="B295" s="80"/>
      <c r="C295" s="74">
        <f>+D258</f>
        <v>231207671</v>
      </c>
      <c r="D295" s="76">
        <f>+B295+C295</f>
        <v>231207671</v>
      </c>
      <c r="I295" s="72">
        <v>722</v>
      </c>
      <c r="J295" s="80"/>
      <c r="K295" s="74">
        <f>+L258</f>
        <v>0</v>
      </c>
      <c r="L295" s="195">
        <f>+J295+K295</f>
        <v>0</v>
      </c>
      <c r="N295" s="12"/>
    </row>
    <row r="296" spans="1:16" ht="12" customHeight="1">
      <c r="A296" s="72">
        <v>723</v>
      </c>
      <c r="B296" s="80"/>
      <c r="C296" s="74">
        <f>+D259</f>
        <v>319828837</v>
      </c>
      <c r="D296" s="76">
        <f>+B296+C296</f>
        <v>319828837</v>
      </c>
      <c r="F296" s="174" t="s">
        <v>262</v>
      </c>
      <c r="G296" s="175"/>
      <c r="I296" s="72">
        <v>723</v>
      </c>
      <c r="J296" s="80">
        <f>+P282+P280+P278+P276+P274</f>
        <v>21014175</v>
      </c>
      <c r="K296" s="74">
        <f>+L259</f>
        <v>278084184</v>
      </c>
      <c r="L296" s="195">
        <f>+J296+K296</f>
        <v>299098359</v>
      </c>
      <c r="N296" s="609" t="s">
        <v>1696</v>
      </c>
      <c r="O296" s="609"/>
      <c r="P296" s="609"/>
    </row>
    <row r="297" spans="1:16" ht="14.25" customHeight="1" thickBot="1">
      <c r="A297" s="164" t="s">
        <v>181</v>
      </c>
      <c r="B297" s="165"/>
      <c r="C297" s="74">
        <f>+D260</f>
        <v>1965625</v>
      </c>
      <c r="D297" s="168">
        <f>+B297+C297</f>
        <v>1965625</v>
      </c>
      <c r="F297" s="52"/>
      <c r="I297" s="164" t="s">
        <v>181</v>
      </c>
      <c r="J297" s="165"/>
      <c r="K297" s="74">
        <f>+L260</f>
        <v>0</v>
      </c>
      <c r="L297" s="196">
        <f>+J297+K297</f>
        <v>0</v>
      </c>
      <c r="N297" s="52"/>
    </row>
    <row r="298" spans="1:16" ht="16.5" thickBot="1">
      <c r="A298" s="169"/>
      <c r="B298" s="170">
        <f>SUM(B293:B297)</f>
        <v>2156000</v>
      </c>
      <c r="C298" s="171" t="e">
        <f>SUM(C293:C297)</f>
        <v>#REF!</v>
      </c>
      <c r="D298" s="172" t="e">
        <f>SUM(D293:D297)</f>
        <v>#REF!</v>
      </c>
      <c r="I298" s="169"/>
      <c r="J298" s="197">
        <f>SUM(J293:J297)</f>
        <v>21014175</v>
      </c>
      <c r="K298" s="197">
        <f>SUM(K293:K297)</f>
        <v>278084184</v>
      </c>
      <c r="L298" s="198">
        <f>SUM(L293:L297)</f>
        <v>299098359</v>
      </c>
    </row>
    <row r="299" spans="1:16" ht="14.25" customHeight="1">
      <c r="A299" s="49" t="s">
        <v>88</v>
      </c>
      <c r="B299" s="50"/>
      <c r="I299" s="49" t="s">
        <v>88</v>
      </c>
      <c r="J299" s="50"/>
    </row>
    <row r="300" spans="1:16" ht="12.75" customHeight="1">
      <c r="A300" s="51" t="s">
        <v>89</v>
      </c>
      <c r="I300" s="51" t="s">
        <v>89</v>
      </c>
    </row>
    <row r="301" spans="1:16" ht="12.75" customHeight="1">
      <c r="A301" s="51" t="s">
        <v>90</v>
      </c>
      <c r="I301" s="51" t="s">
        <v>90</v>
      </c>
    </row>
    <row r="302" spans="1:16">
      <c r="A302" s="51" t="s">
        <v>91</v>
      </c>
      <c r="I302" s="51" t="s">
        <v>91</v>
      </c>
    </row>
    <row r="303" spans="1:16" ht="5.25" customHeight="1">
      <c r="A303" s="50"/>
      <c r="B303" s="50"/>
      <c r="I303" s="50"/>
      <c r="J303" s="50"/>
    </row>
    <row r="304" spans="1:16" ht="13.5" customHeight="1">
      <c r="A304" s="52" t="s">
        <v>271</v>
      </c>
      <c r="G304" s="52"/>
      <c r="I304" s="52" t="s">
        <v>573</v>
      </c>
      <c r="O304" s="52"/>
    </row>
    <row r="305" spans="1:16" ht="14.25" customHeight="1">
      <c r="A305" s="53" t="s">
        <v>92</v>
      </c>
      <c r="G305" s="53"/>
      <c r="I305" s="53" t="s">
        <v>1866</v>
      </c>
      <c r="O305" s="53"/>
    </row>
    <row r="306" spans="1:16" ht="15" customHeight="1">
      <c r="A306" s="894" t="s">
        <v>261</v>
      </c>
      <c r="B306" s="894"/>
      <c r="C306" s="894"/>
      <c r="D306" s="894"/>
      <c r="E306" s="894"/>
      <c r="F306" s="894"/>
      <c r="G306" s="894"/>
      <c r="H306" s="894"/>
      <c r="I306" s="894" t="s">
        <v>212</v>
      </c>
      <c r="J306" s="894"/>
      <c r="K306" s="894"/>
      <c r="L306" s="894"/>
      <c r="M306" s="894"/>
      <c r="N306" s="894"/>
      <c r="O306" s="894"/>
      <c r="P306" s="894"/>
    </row>
    <row r="307" spans="1:16" ht="13.5" customHeight="1" thickBot="1"/>
    <row r="308" spans="1:16">
      <c r="A308" s="895" t="s">
        <v>94</v>
      </c>
      <c r="B308" s="897" t="s">
        <v>95</v>
      </c>
      <c r="C308" s="897" t="s">
        <v>96</v>
      </c>
      <c r="D308" s="897" t="s">
        <v>3</v>
      </c>
      <c r="E308" s="897" t="s">
        <v>97</v>
      </c>
      <c r="F308" s="897" t="s">
        <v>98</v>
      </c>
      <c r="G308" s="897" t="s">
        <v>99</v>
      </c>
      <c r="H308" s="899"/>
      <c r="I308" s="895" t="s">
        <v>94</v>
      </c>
      <c r="J308" s="897" t="s">
        <v>95</v>
      </c>
      <c r="K308" s="897" t="s">
        <v>96</v>
      </c>
      <c r="L308" s="897" t="s">
        <v>3</v>
      </c>
      <c r="M308" s="897" t="s">
        <v>97</v>
      </c>
      <c r="N308" s="897" t="s">
        <v>98</v>
      </c>
      <c r="O308" s="897" t="s">
        <v>99</v>
      </c>
      <c r="P308" s="899"/>
    </row>
    <row r="309" spans="1:16" ht="15.75" thickBot="1">
      <c r="A309" s="896"/>
      <c r="B309" s="898"/>
      <c r="C309" s="898"/>
      <c r="D309" s="898"/>
      <c r="E309" s="898"/>
      <c r="F309" s="898"/>
      <c r="G309" s="240" t="s">
        <v>100</v>
      </c>
      <c r="H309" s="182" t="s">
        <v>101</v>
      </c>
      <c r="I309" s="896"/>
      <c r="J309" s="898"/>
      <c r="K309" s="898"/>
      <c r="L309" s="898"/>
      <c r="M309" s="898"/>
      <c r="N309" s="898"/>
      <c r="O309" s="240" t="s">
        <v>100</v>
      </c>
      <c r="P309" s="182" t="s">
        <v>101</v>
      </c>
    </row>
    <row r="310" spans="1:16" ht="12.75" customHeight="1">
      <c r="A310" s="881" t="e">
        <f>+A281+1</f>
        <v>#REF!</v>
      </c>
      <c r="B310" s="875">
        <v>42261</v>
      </c>
      <c r="C310" s="877" t="s">
        <v>267</v>
      </c>
      <c r="D310" s="881" t="s">
        <v>273</v>
      </c>
      <c r="E310" s="881" t="s">
        <v>148</v>
      </c>
      <c r="F310" s="883">
        <v>154000</v>
      </c>
      <c r="G310" s="55">
        <v>719</v>
      </c>
      <c r="H310" s="78">
        <v>110000</v>
      </c>
      <c r="I310" s="873" t="s">
        <v>611</v>
      </c>
      <c r="J310" s="875">
        <v>43872</v>
      </c>
      <c r="K310" s="877" t="s">
        <v>117</v>
      </c>
      <c r="L310" s="881" t="s">
        <v>1887</v>
      </c>
      <c r="M310" s="881" t="s">
        <v>115</v>
      </c>
      <c r="N310" s="883">
        <v>870000</v>
      </c>
      <c r="O310" s="55">
        <v>719</v>
      </c>
      <c r="P310" s="78">
        <v>0</v>
      </c>
    </row>
    <row r="311" spans="1:16" ht="13.5" customHeight="1" thickBot="1">
      <c r="A311" s="882"/>
      <c r="B311" s="934"/>
      <c r="C311" s="878"/>
      <c r="D311" s="882"/>
      <c r="E311" s="882"/>
      <c r="F311" s="884"/>
      <c r="G311" s="56">
        <v>721</v>
      </c>
      <c r="H311" s="79">
        <f>+F310-H310</f>
        <v>44000</v>
      </c>
      <c r="I311" s="882"/>
      <c r="J311" s="876"/>
      <c r="K311" s="878"/>
      <c r="L311" s="882"/>
      <c r="M311" s="882"/>
      <c r="N311" s="884"/>
      <c r="O311" s="56">
        <v>723</v>
      </c>
      <c r="P311" s="79">
        <f>+N310-P310</f>
        <v>870000</v>
      </c>
    </row>
    <row r="312" spans="1:16" ht="12.75" customHeight="1">
      <c r="A312" s="881" t="e">
        <f>+A310+1</f>
        <v>#REF!</v>
      </c>
      <c r="B312" s="875">
        <v>42261</v>
      </c>
      <c r="C312" s="881" t="s">
        <v>28</v>
      </c>
      <c r="D312" s="881" t="s">
        <v>274</v>
      </c>
      <c r="E312" s="881" t="s">
        <v>148</v>
      </c>
      <c r="F312" s="883">
        <v>238000</v>
      </c>
      <c r="G312" s="55">
        <v>719</v>
      </c>
      <c r="H312" s="78">
        <v>170000</v>
      </c>
      <c r="I312" s="873" t="s">
        <v>617</v>
      </c>
      <c r="J312" s="875">
        <v>43872</v>
      </c>
      <c r="K312" s="877" t="s">
        <v>779</v>
      </c>
      <c r="L312" s="881" t="s">
        <v>1887</v>
      </c>
      <c r="M312" s="881" t="s">
        <v>115</v>
      </c>
      <c r="N312" s="883">
        <v>702500</v>
      </c>
      <c r="O312" s="55">
        <v>719</v>
      </c>
      <c r="P312" s="78"/>
    </row>
    <row r="313" spans="1:16" ht="14.25" customHeight="1" thickBot="1">
      <c r="A313" s="882"/>
      <c r="B313" s="934"/>
      <c r="C313" s="882"/>
      <c r="D313" s="882"/>
      <c r="E313" s="882"/>
      <c r="F313" s="884"/>
      <c r="G313" s="56">
        <v>721</v>
      </c>
      <c r="H313" s="79">
        <f>+F312-H312</f>
        <v>68000</v>
      </c>
      <c r="I313" s="882"/>
      <c r="J313" s="876"/>
      <c r="K313" s="878"/>
      <c r="L313" s="882"/>
      <c r="M313" s="882"/>
      <c r="N313" s="884"/>
      <c r="O313" s="56">
        <v>723</v>
      </c>
      <c r="P313" s="79">
        <f>+N312-P312</f>
        <v>702500</v>
      </c>
    </row>
    <row r="314" spans="1:16" ht="12" customHeight="1">
      <c r="A314" s="881" t="e">
        <f>+A312+1</f>
        <v>#REF!</v>
      </c>
      <c r="B314" s="875">
        <v>42261</v>
      </c>
      <c r="C314" s="877" t="s">
        <v>32</v>
      </c>
      <c r="D314" s="881" t="s">
        <v>275</v>
      </c>
      <c r="E314" s="881" t="s">
        <v>148</v>
      </c>
      <c r="F314" s="883">
        <v>98000</v>
      </c>
      <c r="G314" s="55">
        <v>719</v>
      </c>
      <c r="H314" s="78">
        <v>70000</v>
      </c>
      <c r="I314" s="873" t="s">
        <v>618</v>
      </c>
      <c r="J314" s="875">
        <v>43872</v>
      </c>
      <c r="K314" s="877" t="s">
        <v>1907</v>
      </c>
      <c r="L314" s="881" t="s">
        <v>1887</v>
      </c>
      <c r="M314" s="881" t="s">
        <v>115</v>
      </c>
      <c r="N314" s="883">
        <v>441000</v>
      </c>
      <c r="O314" s="55">
        <v>719</v>
      </c>
      <c r="P314" s="78"/>
    </row>
    <row r="315" spans="1:16" ht="15.75" customHeight="1" thickBot="1">
      <c r="A315" s="882"/>
      <c r="B315" s="934"/>
      <c r="C315" s="878"/>
      <c r="D315" s="882"/>
      <c r="E315" s="882"/>
      <c r="F315" s="884"/>
      <c r="G315" s="56">
        <v>721</v>
      </c>
      <c r="H315" s="79">
        <f>+F314-H314</f>
        <v>28000</v>
      </c>
      <c r="I315" s="882"/>
      <c r="J315" s="876"/>
      <c r="K315" s="878"/>
      <c r="L315" s="882"/>
      <c r="M315" s="882"/>
      <c r="N315" s="884"/>
      <c r="O315" s="56">
        <v>723</v>
      </c>
      <c r="P315" s="79">
        <f>+N314-P314</f>
        <v>441000</v>
      </c>
    </row>
    <row r="316" spans="1:16" ht="12.75" customHeight="1">
      <c r="A316" s="881" t="e">
        <f>+A314+1</f>
        <v>#REF!</v>
      </c>
      <c r="B316" s="875">
        <v>42261</v>
      </c>
      <c r="C316" s="877" t="s">
        <v>111</v>
      </c>
      <c r="D316" s="881" t="s">
        <v>273</v>
      </c>
      <c r="E316" s="881" t="s">
        <v>148</v>
      </c>
      <c r="F316" s="883">
        <v>42000</v>
      </c>
      <c r="G316" s="55">
        <v>719</v>
      </c>
      <c r="H316" s="78">
        <v>30000</v>
      </c>
      <c r="I316" s="873" t="s">
        <v>619</v>
      </c>
      <c r="J316" s="875">
        <v>43872</v>
      </c>
      <c r="K316" s="877" t="s">
        <v>889</v>
      </c>
      <c r="L316" s="881" t="s">
        <v>1887</v>
      </c>
      <c r="M316" s="881" t="s">
        <v>145</v>
      </c>
      <c r="N316" s="883">
        <v>1950000</v>
      </c>
      <c r="O316" s="55">
        <v>719</v>
      </c>
      <c r="P316" s="78"/>
    </row>
    <row r="317" spans="1:16" ht="13.5" customHeight="1" thickBot="1">
      <c r="A317" s="882"/>
      <c r="B317" s="934"/>
      <c r="C317" s="878"/>
      <c r="D317" s="882"/>
      <c r="E317" s="882"/>
      <c r="F317" s="884"/>
      <c r="G317" s="56">
        <v>721</v>
      </c>
      <c r="H317" s="79">
        <f>+F316-H316</f>
        <v>12000</v>
      </c>
      <c r="I317" s="882"/>
      <c r="J317" s="876"/>
      <c r="K317" s="878"/>
      <c r="L317" s="882"/>
      <c r="M317" s="882"/>
      <c r="N317" s="884"/>
      <c r="O317" s="56">
        <v>723</v>
      </c>
      <c r="P317" s="79">
        <f>+N316-P316</f>
        <v>1950000</v>
      </c>
    </row>
    <row r="318" spans="1:16" ht="13.5" customHeight="1">
      <c r="A318" s="251"/>
      <c r="B318" s="452"/>
      <c r="C318" s="253"/>
      <c r="D318" s="251"/>
      <c r="E318" s="251"/>
      <c r="F318" s="254"/>
      <c r="G318" s="255"/>
      <c r="H318" s="256"/>
      <c r="I318" s="873" t="s">
        <v>620</v>
      </c>
      <c r="J318" s="875">
        <v>43872</v>
      </c>
      <c r="K318" s="877" t="s">
        <v>1909</v>
      </c>
      <c r="L318" s="881" t="s">
        <v>1887</v>
      </c>
      <c r="M318" s="881" t="s">
        <v>1908</v>
      </c>
      <c r="N318" s="883">
        <v>360000</v>
      </c>
      <c r="O318" s="55">
        <v>719</v>
      </c>
      <c r="P318" s="78"/>
    </row>
    <row r="319" spans="1:16" ht="13.5" customHeight="1" thickBot="1">
      <c r="A319" s="251"/>
      <c r="B319" s="452"/>
      <c r="C319" s="253"/>
      <c r="D319" s="251"/>
      <c r="E319" s="251"/>
      <c r="F319" s="254"/>
      <c r="G319" s="255"/>
      <c r="H319" s="256"/>
      <c r="I319" s="882"/>
      <c r="J319" s="876"/>
      <c r="K319" s="878"/>
      <c r="L319" s="882"/>
      <c r="M319" s="882"/>
      <c r="N319" s="884"/>
      <c r="O319" s="56">
        <v>723</v>
      </c>
      <c r="P319" s="79">
        <f>+N318-P318</f>
        <v>360000</v>
      </c>
    </row>
    <row r="320" spans="1:16" ht="13.5" customHeight="1">
      <c r="A320" s="881" t="e">
        <f>+A316+1</f>
        <v>#REF!</v>
      </c>
      <c r="B320" s="875">
        <v>42261</v>
      </c>
      <c r="C320" s="877" t="s">
        <v>272</v>
      </c>
      <c r="D320" s="881" t="s">
        <v>274</v>
      </c>
      <c r="E320" s="881" t="s">
        <v>148</v>
      </c>
      <c r="F320" s="883">
        <v>378000</v>
      </c>
      <c r="G320" s="55">
        <v>719</v>
      </c>
      <c r="H320" s="78">
        <v>270000</v>
      </c>
      <c r="I320" s="873" t="s">
        <v>632</v>
      </c>
      <c r="J320" s="875">
        <v>43872</v>
      </c>
      <c r="K320" s="877" t="s">
        <v>1910</v>
      </c>
      <c r="L320" s="881" t="s">
        <v>1887</v>
      </c>
      <c r="M320" s="881" t="s">
        <v>115</v>
      </c>
      <c r="N320" s="883">
        <v>990000</v>
      </c>
      <c r="O320" s="55">
        <v>719</v>
      </c>
      <c r="P320" s="78"/>
    </row>
    <row r="321" spans="1:17" ht="13.5" customHeight="1" thickBot="1">
      <c r="A321" s="882"/>
      <c r="B321" s="934"/>
      <c r="C321" s="878"/>
      <c r="D321" s="882"/>
      <c r="E321" s="882"/>
      <c r="F321" s="884"/>
      <c r="G321" s="56">
        <v>721</v>
      </c>
      <c r="H321" s="79">
        <f>+F320-H320</f>
        <v>108000</v>
      </c>
      <c r="I321" s="882"/>
      <c r="J321" s="876"/>
      <c r="K321" s="878"/>
      <c r="L321" s="882"/>
      <c r="M321" s="882"/>
      <c r="N321" s="884"/>
      <c r="O321" s="56">
        <v>723</v>
      </c>
      <c r="P321" s="79">
        <f>+N320-P320</f>
        <v>990000</v>
      </c>
    </row>
    <row r="322" spans="1:17" ht="14.25" customHeight="1" thickBot="1">
      <c r="A322" s="901" t="s">
        <v>102</v>
      </c>
      <c r="B322" s="902"/>
      <c r="C322" s="902"/>
      <c r="D322" s="902"/>
      <c r="E322" s="903"/>
      <c r="F322" s="81">
        <f>SUM(F310:F321)</f>
        <v>910000</v>
      </c>
      <c r="I322" s="901" t="s">
        <v>102</v>
      </c>
      <c r="J322" s="902"/>
      <c r="K322" s="902"/>
      <c r="L322" s="902"/>
      <c r="M322" s="903"/>
      <c r="N322" s="81">
        <f>SUM(N310:N321)</f>
        <v>5313500</v>
      </c>
    </row>
    <row r="323" spans="1:17" ht="14.25" customHeight="1" thickBot="1">
      <c r="A323" s="885" t="s">
        <v>103</v>
      </c>
      <c r="B323" s="886"/>
      <c r="C323" s="886"/>
      <c r="D323" s="886"/>
      <c r="E323" s="887"/>
      <c r="F323" s="69">
        <f>+F285</f>
        <v>622752225</v>
      </c>
      <c r="I323" s="885" t="s">
        <v>103</v>
      </c>
      <c r="J323" s="886"/>
      <c r="K323" s="886"/>
      <c r="L323" s="886"/>
      <c r="M323" s="887"/>
      <c r="N323" s="239">
        <f>+N285</f>
        <v>299098359</v>
      </c>
      <c r="O323" s="241" t="s">
        <v>561</v>
      </c>
      <c r="P323" s="242"/>
    </row>
    <row r="324" spans="1:17" ht="13.5" customHeight="1" thickBot="1">
      <c r="A324" s="888" t="s">
        <v>104</v>
      </c>
      <c r="B324" s="889"/>
      <c r="C324" s="889"/>
      <c r="D324" s="889"/>
      <c r="E324" s="890"/>
      <c r="F324" s="183">
        <f>SUM(F322:F323)</f>
        <v>623662225</v>
      </c>
      <c r="I324" s="888" t="s">
        <v>104</v>
      </c>
      <c r="J324" s="889"/>
      <c r="K324" s="889"/>
      <c r="L324" s="889"/>
      <c r="M324" s="890"/>
      <c r="N324" s="183">
        <f>SUM(N322:N323)</f>
        <v>304411859</v>
      </c>
    </row>
    <row r="325" spans="1:17" ht="13.5" customHeight="1">
      <c r="A325" s="61"/>
      <c r="B325" s="61"/>
      <c r="C325" s="61"/>
      <c r="D325" s="61"/>
      <c r="E325" s="61"/>
      <c r="I325" s="61"/>
      <c r="J325" s="61"/>
      <c r="K325" s="61"/>
      <c r="L325" s="61"/>
      <c r="M325" s="61"/>
    </row>
    <row r="326" spans="1:17">
      <c r="A326" s="51" t="s">
        <v>276</v>
      </c>
      <c r="I326" s="51" t="s">
        <v>1911</v>
      </c>
    </row>
    <row r="327" spans="1:17" ht="14.25" customHeight="1">
      <c r="F327" s="139"/>
      <c r="N327" s="139"/>
    </row>
    <row r="328" spans="1:17" ht="12.75" customHeight="1">
      <c r="A328" s="50" t="s">
        <v>105</v>
      </c>
      <c r="D328" s="146"/>
      <c r="F328" s="139"/>
      <c r="I328" s="50" t="s">
        <v>105</v>
      </c>
      <c r="L328" s="146"/>
      <c r="N328" s="139"/>
    </row>
    <row r="329" spans="1:17" ht="8.25" customHeight="1" thickBot="1"/>
    <row r="330" spans="1:17" ht="17.25" thickBot="1">
      <c r="A330" s="891" t="s">
        <v>106</v>
      </c>
      <c r="B330" s="892"/>
      <c r="C330" s="892"/>
      <c r="D330" s="893"/>
      <c r="F330" s="50" t="s">
        <v>270</v>
      </c>
      <c r="I330" s="891" t="s">
        <v>106</v>
      </c>
      <c r="J330" s="892"/>
      <c r="K330" s="892"/>
      <c r="L330" s="893"/>
      <c r="N330" s="604" t="s">
        <v>288</v>
      </c>
      <c r="O330" s="604"/>
      <c r="P330" s="604"/>
    </row>
    <row r="331" spans="1:17" ht="30.75" thickBot="1">
      <c r="A331" s="57" t="s">
        <v>100</v>
      </c>
      <c r="B331" s="58" t="s">
        <v>108</v>
      </c>
      <c r="C331" s="59" t="s">
        <v>109</v>
      </c>
      <c r="D331" s="60" t="s">
        <v>110</v>
      </c>
      <c r="I331" s="57" t="s">
        <v>100</v>
      </c>
      <c r="J331" s="58" t="s">
        <v>108</v>
      </c>
      <c r="K331" s="59" t="s">
        <v>109</v>
      </c>
      <c r="L331" s="60" t="s">
        <v>110</v>
      </c>
    </row>
    <row r="332" spans="1:17" ht="12" customHeight="1">
      <c r="A332" s="71">
        <v>719</v>
      </c>
      <c r="B332" s="73">
        <f>+H310+H312+H314+H316+H320</f>
        <v>650000</v>
      </c>
      <c r="C332" s="74" t="e">
        <f>+D293</f>
        <v>#REF!</v>
      </c>
      <c r="D332" s="76" t="e">
        <f>+B332+C332</f>
        <v>#REF!</v>
      </c>
      <c r="I332" s="71">
        <v>719</v>
      </c>
      <c r="J332" s="73">
        <f>+P310+P312+P314+P316+P320</f>
        <v>0</v>
      </c>
      <c r="K332" s="74">
        <f>+L293</f>
        <v>0</v>
      </c>
      <c r="L332" s="195">
        <f>+J332+K332</f>
        <v>0</v>
      </c>
    </row>
    <row r="333" spans="1:17" ht="13.5" customHeight="1">
      <c r="A333" s="72">
        <v>721</v>
      </c>
      <c r="B333" s="80">
        <f>+H317+H315+H313+H311+H321</f>
        <v>260000</v>
      </c>
      <c r="C333" s="74" t="e">
        <f>+D294</f>
        <v>#REF!</v>
      </c>
      <c r="D333" s="76" t="e">
        <f>+B333+C333</f>
        <v>#REF!</v>
      </c>
      <c r="I333" s="72">
        <v>721</v>
      </c>
      <c r="J333" s="80"/>
      <c r="K333" s="74">
        <f>+L294</f>
        <v>0</v>
      </c>
      <c r="L333" s="195">
        <f>+J333+K333</f>
        <v>0</v>
      </c>
    </row>
    <row r="334" spans="1:17" ht="12.75" customHeight="1">
      <c r="A334" s="72">
        <v>722</v>
      </c>
      <c r="B334" s="80"/>
      <c r="C334" s="74">
        <f>+D295</f>
        <v>231207671</v>
      </c>
      <c r="D334" s="76">
        <f>+B334+C334</f>
        <v>231207671</v>
      </c>
      <c r="I334" s="72">
        <v>722</v>
      </c>
      <c r="J334" s="80"/>
      <c r="K334" s="74">
        <f>+L295</f>
        <v>0</v>
      </c>
      <c r="L334" s="195">
        <f>+J334+K334</f>
        <v>0</v>
      </c>
    </row>
    <row r="335" spans="1:17" ht="12" customHeight="1">
      <c r="A335" s="72">
        <v>723</v>
      </c>
      <c r="B335" s="80"/>
      <c r="C335" s="74">
        <f>+D296</f>
        <v>319828837</v>
      </c>
      <c r="D335" s="76">
        <f>+B335+C335</f>
        <v>319828837</v>
      </c>
      <c r="F335" s="174" t="s">
        <v>262</v>
      </c>
      <c r="G335" s="175"/>
      <c r="I335" s="72">
        <v>723</v>
      </c>
      <c r="J335" s="80">
        <f>+P321+P317+P315+P313+P311+P319</f>
        <v>5313500</v>
      </c>
      <c r="K335" s="74">
        <f>+L296</f>
        <v>299098359</v>
      </c>
      <c r="L335" s="475">
        <f>+J335+K335</f>
        <v>304411859</v>
      </c>
      <c r="N335" s="609" t="s">
        <v>1696</v>
      </c>
      <c r="O335" s="609"/>
      <c r="P335" s="609"/>
      <c r="Q335" s="259"/>
    </row>
    <row r="336" spans="1:17" ht="13.5" customHeight="1" thickBot="1">
      <c r="A336" s="164" t="s">
        <v>181</v>
      </c>
      <c r="B336" s="165"/>
      <c r="C336" s="74">
        <f>+D297</f>
        <v>1965625</v>
      </c>
      <c r="D336" s="168">
        <f>+B336+C336</f>
        <v>1965625</v>
      </c>
      <c r="F336" s="52"/>
      <c r="I336" s="164" t="s">
        <v>181</v>
      </c>
      <c r="J336" s="165"/>
      <c r="K336" s="74">
        <f>+L297</f>
        <v>0</v>
      </c>
      <c r="L336" s="196">
        <f>+J336+K336</f>
        <v>0</v>
      </c>
      <c r="N336" s="52"/>
    </row>
    <row r="337" spans="1:16" ht="16.5" thickBot="1">
      <c r="A337" s="169"/>
      <c r="B337" s="170">
        <f>SUM(B332:B336)</f>
        <v>910000</v>
      </c>
      <c r="C337" s="171" t="e">
        <f>SUM(C332:C336)</f>
        <v>#REF!</v>
      </c>
      <c r="D337" s="172" t="e">
        <f>SUM(D332:D336)</f>
        <v>#REF!</v>
      </c>
      <c r="I337" s="169"/>
      <c r="J337" s="197">
        <f>SUM(J332:J336)</f>
        <v>5313500</v>
      </c>
      <c r="K337" s="197">
        <f>SUM(K332:K336)</f>
        <v>299098359</v>
      </c>
      <c r="L337" s="198">
        <f>SUM(L332:L336)</f>
        <v>304411859</v>
      </c>
    </row>
    <row r="338" spans="1:16" ht="15" customHeight="1">
      <c r="A338" s="49" t="s">
        <v>88</v>
      </c>
      <c r="B338" s="50"/>
      <c r="I338" s="49" t="s">
        <v>88</v>
      </c>
      <c r="J338" s="50"/>
    </row>
    <row r="339" spans="1:16" ht="13.5" customHeight="1">
      <c r="A339" s="51" t="s">
        <v>89</v>
      </c>
      <c r="I339" s="51" t="s">
        <v>89</v>
      </c>
    </row>
    <row r="340" spans="1:16" ht="13.5" customHeight="1">
      <c r="A340" s="51" t="s">
        <v>90</v>
      </c>
      <c r="I340" s="51" t="s">
        <v>90</v>
      </c>
    </row>
    <row r="341" spans="1:16">
      <c r="A341" s="51" t="s">
        <v>91</v>
      </c>
      <c r="I341" s="51" t="s">
        <v>91</v>
      </c>
    </row>
    <row r="342" spans="1:16" ht="2.25" customHeight="1">
      <c r="A342" s="50"/>
      <c r="B342" s="50"/>
      <c r="I342" s="50"/>
      <c r="J342" s="50"/>
    </row>
    <row r="343" spans="1:16" ht="14.25" customHeight="1">
      <c r="A343" s="52" t="s">
        <v>277</v>
      </c>
      <c r="G343" s="52"/>
      <c r="I343" s="52" t="s">
        <v>590</v>
      </c>
      <c r="O343" s="52"/>
    </row>
    <row r="344" spans="1:16" ht="14.25" customHeight="1">
      <c r="A344" s="53" t="s">
        <v>92</v>
      </c>
      <c r="G344" s="53"/>
      <c r="I344" s="53" t="s">
        <v>1866</v>
      </c>
      <c r="O344" s="53"/>
    </row>
    <row r="345" spans="1:16" ht="15" customHeight="1">
      <c r="A345" s="894" t="s">
        <v>278</v>
      </c>
      <c r="B345" s="894"/>
      <c r="C345" s="894"/>
      <c r="D345" s="894"/>
      <c r="E345" s="894"/>
      <c r="F345" s="894"/>
      <c r="G345" s="894"/>
      <c r="H345" s="894"/>
      <c r="I345" s="894" t="s">
        <v>1460</v>
      </c>
      <c r="J345" s="894"/>
      <c r="K345" s="894"/>
      <c r="L345" s="894"/>
      <c r="M345" s="894"/>
      <c r="N345" s="894"/>
      <c r="O345" s="894"/>
      <c r="P345" s="894"/>
    </row>
    <row r="346" spans="1:16" ht="9.75" customHeight="1" thickBot="1"/>
    <row r="347" spans="1:16">
      <c r="A347" s="895" t="s">
        <v>94</v>
      </c>
      <c r="B347" s="897" t="s">
        <v>95</v>
      </c>
      <c r="C347" s="897" t="s">
        <v>96</v>
      </c>
      <c r="D347" s="897" t="s">
        <v>3</v>
      </c>
      <c r="E347" s="897" t="s">
        <v>97</v>
      </c>
      <c r="F347" s="897" t="s">
        <v>98</v>
      </c>
      <c r="G347" s="897" t="s">
        <v>99</v>
      </c>
      <c r="H347" s="899"/>
      <c r="I347" s="895" t="s">
        <v>94</v>
      </c>
      <c r="J347" s="897" t="s">
        <v>95</v>
      </c>
      <c r="K347" s="897" t="s">
        <v>96</v>
      </c>
      <c r="L347" s="897" t="s">
        <v>3</v>
      </c>
      <c r="M347" s="897" t="s">
        <v>97</v>
      </c>
      <c r="N347" s="897" t="s">
        <v>98</v>
      </c>
      <c r="O347" s="897" t="s">
        <v>99</v>
      </c>
      <c r="P347" s="899"/>
    </row>
    <row r="348" spans="1:16" ht="15.75" thickBot="1">
      <c r="A348" s="896"/>
      <c r="B348" s="898"/>
      <c r="C348" s="898"/>
      <c r="D348" s="898"/>
      <c r="E348" s="898"/>
      <c r="F348" s="898"/>
      <c r="G348" s="240" t="s">
        <v>100</v>
      </c>
      <c r="H348" s="182" t="s">
        <v>101</v>
      </c>
      <c r="I348" s="896"/>
      <c r="J348" s="898"/>
      <c r="K348" s="898"/>
      <c r="L348" s="898"/>
      <c r="M348" s="898"/>
      <c r="N348" s="898"/>
      <c r="O348" s="240" t="s">
        <v>100</v>
      </c>
      <c r="P348" s="182" t="s">
        <v>101</v>
      </c>
    </row>
    <row r="349" spans="1:16" ht="12.75" customHeight="1">
      <c r="A349" s="881" t="e">
        <f>+A320+1</f>
        <v>#REF!</v>
      </c>
      <c r="B349" s="875">
        <v>42261</v>
      </c>
      <c r="C349" s="877" t="s">
        <v>267</v>
      </c>
      <c r="D349" s="881" t="s">
        <v>284</v>
      </c>
      <c r="E349" s="881" t="s">
        <v>115</v>
      </c>
      <c r="F349" s="883">
        <v>130000</v>
      </c>
      <c r="G349" s="55">
        <v>719</v>
      </c>
      <c r="H349" s="78">
        <v>130000</v>
      </c>
      <c r="I349" s="873" t="s">
        <v>641</v>
      </c>
      <c r="J349" s="875">
        <v>43886</v>
      </c>
      <c r="K349" s="877" t="s">
        <v>1916</v>
      </c>
      <c r="L349" s="881" t="s">
        <v>1923</v>
      </c>
      <c r="M349" s="881" t="s">
        <v>148</v>
      </c>
      <c r="N349" s="883">
        <v>12395833</v>
      </c>
      <c r="O349" s="55">
        <v>719</v>
      </c>
      <c r="P349" s="78"/>
    </row>
    <row r="350" spans="1:16" ht="12.75" customHeight="1" thickBot="1">
      <c r="A350" s="882"/>
      <c r="B350" s="934"/>
      <c r="C350" s="878"/>
      <c r="D350" s="882"/>
      <c r="E350" s="882"/>
      <c r="F350" s="884"/>
      <c r="G350" s="56">
        <v>721</v>
      </c>
      <c r="H350" s="79">
        <f>+F349-H349</f>
        <v>0</v>
      </c>
      <c r="I350" s="882"/>
      <c r="J350" s="876"/>
      <c r="K350" s="878"/>
      <c r="L350" s="882"/>
      <c r="M350" s="882"/>
      <c r="N350" s="884"/>
      <c r="O350" s="56">
        <v>723</v>
      </c>
      <c r="P350" s="79">
        <f>+N349-P349</f>
        <v>12395833</v>
      </c>
    </row>
    <row r="351" spans="1:16" ht="13.5" customHeight="1">
      <c r="A351" s="881" t="e">
        <f>+A349+1</f>
        <v>#REF!</v>
      </c>
      <c r="B351" s="875">
        <v>42261</v>
      </c>
      <c r="C351" s="881" t="s">
        <v>28</v>
      </c>
      <c r="D351" s="881" t="s">
        <v>283</v>
      </c>
      <c r="E351" s="881" t="s">
        <v>115</v>
      </c>
      <c r="F351" s="883">
        <v>70000</v>
      </c>
      <c r="G351" s="55">
        <v>719</v>
      </c>
      <c r="H351" s="78">
        <v>70000</v>
      </c>
      <c r="I351" s="873" t="s">
        <v>642</v>
      </c>
      <c r="J351" s="875">
        <v>43886</v>
      </c>
      <c r="K351" s="877" t="s">
        <v>1820</v>
      </c>
      <c r="L351" s="881" t="s">
        <v>1920</v>
      </c>
      <c r="M351" s="881" t="s">
        <v>148</v>
      </c>
      <c r="N351" s="883">
        <v>2200000</v>
      </c>
      <c r="O351" s="55">
        <v>719</v>
      </c>
      <c r="P351" s="78"/>
    </row>
    <row r="352" spans="1:16" ht="12.75" customHeight="1" thickBot="1">
      <c r="A352" s="882"/>
      <c r="B352" s="934"/>
      <c r="C352" s="882"/>
      <c r="D352" s="882"/>
      <c r="E352" s="882"/>
      <c r="F352" s="884"/>
      <c r="G352" s="56">
        <v>721</v>
      </c>
      <c r="H352" s="79">
        <f>+F351-H351</f>
        <v>0</v>
      </c>
      <c r="I352" s="882"/>
      <c r="J352" s="876"/>
      <c r="K352" s="878"/>
      <c r="L352" s="882"/>
      <c r="M352" s="882"/>
      <c r="N352" s="884"/>
      <c r="O352" s="56">
        <v>723</v>
      </c>
      <c r="P352" s="79">
        <f>+N351-P351</f>
        <v>2200000</v>
      </c>
    </row>
    <row r="353" spans="1:16" ht="13.5" customHeight="1">
      <c r="A353" s="881" t="e">
        <f>+A351+1</f>
        <v>#REF!</v>
      </c>
      <c r="B353" s="875">
        <v>42261</v>
      </c>
      <c r="C353" s="877" t="s">
        <v>32</v>
      </c>
      <c r="D353" s="881" t="s">
        <v>283</v>
      </c>
      <c r="E353" s="881" t="s">
        <v>115</v>
      </c>
      <c r="F353" s="883">
        <v>50000</v>
      </c>
      <c r="G353" s="55">
        <v>719</v>
      </c>
      <c r="H353" s="78">
        <v>50000</v>
      </c>
      <c r="I353" s="873" t="s">
        <v>643</v>
      </c>
      <c r="J353" s="875">
        <v>43886</v>
      </c>
      <c r="K353" s="877" t="s">
        <v>815</v>
      </c>
      <c r="L353" s="881" t="s">
        <v>1917</v>
      </c>
      <c r="M353" s="881" t="s">
        <v>115</v>
      </c>
      <c r="N353" s="883">
        <v>904500</v>
      </c>
      <c r="O353" s="55">
        <v>719</v>
      </c>
      <c r="P353" s="78">
        <v>670000</v>
      </c>
    </row>
    <row r="354" spans="1:16" ht="13.5" customHeight="1" thickBot="1">
      <c r="A354" s="882"/>
      <c r="B354" s="934"/>
      <c r="C354" s="878"/>
      <c r="D354" s="882"/>
      <c r="E354" s="882"/>
      <c r="F354" s="884"/>
      <c r="G354" s="56">
        <v>721</v>
      </c>
      <c r="H354" s="79">
        <f>+F353-H353</f>
        <v>0</v>
      </c>
      <c r="I354" s="882"/>
      <c r="J354" s="876"/>
      <c r="K354" s="878"/>
      <c r="L354" s="882"/>
      <c r="M354" s="882"/>
      <c r="N354" s="884"/>
      <c r="O354" s="56">
        <v>721</v>
      </c>
      <c r="P354" s="79">
        <f>+N353-P353</f>
        <v>234500</v>
      </c>
    </row>
    <row r="355" spans="1:16" ht="13.5" customHeight="1">
      <c r="A355" s="881" t="e">
        <f>+A353+1</f>
        <v>#REF!</v>
      </c>
      <c r="B355" s="875">
        <v>42261</v>
      </c>
      <c r="C355" s="910" t="s">
        <v>281</v>
      </c>
      <c r="D355" s="881" t="s">
        <v>280</v>
      </c>
      <c r="E355" s="881" t="s">
        <v>148</v>
      </c>
      <c r="F355" s="883">
        <v>1100000</v>
      </c>
      <c r="G355" s="55">
        <v>719</v>
      </c>
      <c r="H355" s="78"/>
      <c r="I355" s="873" t="s">
        <v>644</v>
      </c>
      <c r="J355" s="875">
        <v>43886</v>
      </c>
      <c r="K355" s="877" t="s">
        <v>815</v>
      </c>
      <c r="L355" s="881" t="s">
        <v>1918</v>
      </c>
      <c r="M355" s="881" t="s">
        <v>115</v>
      </c>
      <c r="N355" s="883">
        <v>1026000</v>
      </c>
      <c r="O355" s="55">
        <v>719</v>
      </c>
      <c r="P355" s="78">
        <v>760000</v>
      </c>
    </row>
    <row r="356" spans="1:16" ht="12.75" customHeight="1" thickBot="1">
      <c r="A356" s="882"/>
      <c r="B356" s="934"/>
      <c r="C356" s="911"/>
      <c r="D356" s="882"/>
      <c r="E356" s="882"/>
      <c r="F356" s="884"/>
      <c r="G356" s="56">
        <v>723</v>
      </c>
      <c r="H356" s="79">
        <f>+F355-H355</f>
        <v>1100000</v>
      </c>
      <c r="I356" s="882"/>
      <c r="J356" s="876"/>
      <c r="K356" s="878"/>
      <c r="L356" s="882"/>
      <c r="M356" s="882"/>
      <c r="N356" s="884"/>
      <c r="O356" s="56">
        <v>721</v>
      </c>
      <c r="P356" s="79">
        <f>+N355-P355</f>
        <v>266000</v>
      </c>
    </row>
    <row r="357" spans="1:16" ht="12.75" customHeight="1">
      <c r="A357" s="881" t="e">
        <f>+A355+1</f>
        <v>#REF!</v>
      </c>
      <c r="B357" s="875">
        <v>42261</v>
      </c>
      <c r="C357" s="910" t="s">
        <v>282</v>
      </c>
      <c r="D357" s="881" t="s">
        <v>279</v>
      </c>
      <c r="E357" s="881" t="s">
        <v>165</v>
      </c>
      <c r="F357" s="883">
        <v>300000</v>
      </c>
      <c r="G357" s="55">
        <v>719</v>
      </c>
      <c r="H357" s="78"/>
      <c r="I357" s="873" t="s">
        <v>645</v>
      </c>
      <c r="J357" s="875">
        <v>43886</v>
      </c>
      <c r="K357" s="877" t="s">
        <v>1079</v>
      </c>
      <c r="L357" s="881" t="s">
        <v>1926</v>
      </c>
      <c r="M357" s="881" t="s">
        <v>148</v>
      </c>
      <c r="N357" s="883">
        <v>2290000</v>
      </c>
      <c r="O357" s="55">
        <v>719</v>
      </c>
      <c r="P357" s="78">
        <v>2290000</v>
      </c>
    </row>
    <row r="358" spans="1:16" ht="13.5" customHeight="1" thickBot="1">
      <c r="A358" s="882"/>
      <c r="B358" s="934"/>
      <c r="C358" s="911"/>
      <c r="D358" s="882"/>
      <c r="E358" s="882"/>
      <c r="F358" s="884"/>
      <c r="G358" s="56">
        <v>723</v>
      </c>
      <c r="H358" s="79">
        <f>+F357-H357</f>
        <v>300000</v>
      </c>
      <c r="I358" s="882"/>
      <c r="J358" s="876"/>
      <c r="K358" s="878"/>
      <c r="L358" s="882"/>
      <c r="M358" s="882"/>
      <c r="N358" s="884"/>
      <c r="O358" s="56">
        <v>721</v>
      </c>
      <c r="P358" s="79">
        <f>+N357-P357</f>
        <v>0</v>
      </c>
    </row>
    <row r="359" spans="1:16" ht="14.25" customHeight="1" thickBot="1">
      <c r="A359" s="901" t="s">
        <v>102</v>
      </c>
      <c r="B359" s="902"/>
      <c r="C359" s="902"/>
      <c r="D359" s="902"/>
      <c r="E359" s="903"/>
      <c r="F359" s="81">
        <f>SUM(F349:F358)</f>
        <v>1650000</v>
      </c>
      <c r="I359" s="901" t="s">
        <v>102</v>
      </c>
      <c r="J359" s="902"/>
      <c r="K359" s="902"/>
      <c r="L359" s="902"/>
      <c r="M359" s="903"/>
      <c r="N359" s="81">
        <f>SUM(N349:N358)</f>
        <v>18816333</v>
      </c>
    </row>
    <row r="360" spans="1:16" ht="15" customHeight="1" thickBot="1">
      <c r="A360" s="885" t="s">
        <v>103</v>
      </c>
      <c r="B360" s="886"/>
      <c r="C360" s="886"/>
      <c r="D360" s="886"/>
      <c r="E360" s="887"/>
      <c r="F360" s="69">
        <f>+F324</f>
        <v>623662225</v>
      </c>
      <c r="I360" s="885" t="s">
        <v>103</v>
      </c>
      <c r="J360" s="886"/>
      <c r="K360" s="886"/>
      <c r="L360" s="886"/>
      <c r="M360" s="887"/>
      <c r="N360" s="239">
        <f>+N324</f>
        <v>304411859</v>
      </c>
      <c r="O360" s="241" t="s">
        <v>561</v>
      </c>
      <c r="P360" s="242">
        <f>384+331+334+316+1710+765+689</f>
        <v>4529</v>
      </c>
    </row>
    <row r="361" spans="1:16" ht="13.5" customHeight="1" thickBot="1">
      <c r="A361" s="888" t="s">
        <v>104</v>
      </c>
      <c r="B361" s="889"/>
      <c r="C361" s="889"/>
      <c r="D361" s="889"/>
      <c r="E361" s="890"/>
      <c r="F361" s="183">
        <f>SUM(F359:F360)</f>
        <v>625312225</v>
      </c>
      <c r="I361" s="888" t="s">
        <v>104</v>
      </c>
      <c r="J361" s="889"/>
      <c r="K361" s="889"/>
      <c r="L361" s="889"/>
      <c r="M361" s="890"/>
      <c r="N361" s="183">
        <f>SUM(N359:N360)</f>
        <v>323228192</v>
      </c>
    </row>
    <row r="362" spans="1:16" ht="12.75" customHeight="1">
      <c r="A362" s="61"/>
      <c r="B362" s="61"/>
      <c r="C362" s="61"/>
      <c r="D362" s="61"/>
      <c r="E362" s="61"/>
      <c r="I362" s="61"/>
      <c r="J362" s="61"/>
      <c r="K362" s="61"/>
      <c r="L362" s="61"/>
      <c r="M362" s="61"/>
    </row>
    <row r="363" spans="1:16">
      <c r="A363" s="51" t="s">
        <v>285</v>
      </c>
      <c r="I363" s="51" t="s">
        <v>1919</v>
      </c>
    </row>
    <row r="364" spans="1:16" ht="3.75" customHeight="1">
      <c r="F364" s="139"/>
      <c r="N364" s="139"/>
    </row>
    <row r="365" spans="1:16" ht="12.75" customHeight="1">
      <c r="A365" s="50" t="s">
        <v>105</v>
      </c>
      <c r="D365" s="146"/>
      <c r="F365" s="139"/>
      <c r="I365" s="50" t="s">
        <v>105</v>
      </c>
      <c r="L365" s="146"/>
      <c r="N365" s="139" t="s">
        <v>631</v>
      </c>
    </row>
    <row r="366" spans="1:16" ht="9" customHeight="1" thickBot="1"/>
    <row r="367" spans="1:16" ht="17.25" thickBot="1">
      <c r="A367" s="891" t="s">
        <v>106</v>
      </c>
      <c r="B367" s="892"/>
      <c r="C367" s="892"/>
      <c r="D367" s="893"/>
      <c r="F367" s="50" t="s">
        <v>270</v>
      </c>
      <c r="I367" s="891" t="s">
        <v>106</v>
      </c>
      <c r="J367" s="892"/>
      <c r="K367" s="892"/>
      <c r="L367" s="893"/>
      <c r="N367" s="604" t="s">
        <v>288</v>
      </c>
      <c r="O367" s="604"/>
      <c r="P367" s="604"/>
    </row>
    <row r="368" spans="1:16" ht="30.75" thickBot="1">
      <c r="A368" s="57" t="s">
        <v>100</v>
      </c>
      <c r="B368" s="58" t="s">
        <v>108</v>
      </c>
      <c r="C368" s="59" t="s">
        <v>109</v>
      </c>
      <c r="D368" s="60" t="s">
        <v>110</v>
      </c>
      <c r="I368" s="57" t="s">
        <v>100</v>
      </c>
      <c r="J368" s="58" t="s">
        <v>108</v>
      </c>
      <c r="K368" s="59" t="s">
        <v>109</v>
      </c>
      <c r="L368" s="60" t="s">
        <v>110</v>
      </c>
    </row>
    <row r="369" spans="1:16" ht="13.5" customHeight="1">
      <c r="A369" s="71">
        <v>719</v>
      </c>
      <c r="B369" s="73">
        <f>+H349+H351+H353+H355+H357</f>
        <v>250000</v>
      </c>
      <c r="C369" s="74" t="e">
        <f>+D332</f>
        <v>#REF!</v>
      </c>
      <c r="D369" s="76" t="e">
        <f>+B369+C369</f>
        <v>#REF!</v>
      </c>
      <c r="I369" s="71">
        <v>719</v>
      </c>
      <c r="J369" s="73">
        <f>+P349+P351+P353+P355+P357</f>
        <v>3720000</v>
      </c>
      <c r="K369" s="74">
        <f>+L332</f>
        <v>0</v>
      </c>
      <c r="L369" s="195">
        <f>+J369+K369</f>
        <v>3720000</v>
      </c>
    </row>
    <row r="370" spans="1:16" ht="13.5" customHeight="1">
      <c r="A370" s="72">
        <v>721</v>
      </c>
      <c r="B370" s="80"/>
      <c r="C370" s="74" t="e">
        <f>+D333</f>
        <v>#REF!</v>
      </c>
      <c r="D370" s="76" t="e">
        <f>+B370+C370</f>
        <v>#REF!</v>
      </c>
      <c r="I370" s="72">
        <v>721</v>
      </c>
      <c r="J370" s="80">
        <f>+P354+P356</f>
        <v>500500</v>
      </c>
      <c r="K370" s="74">
        <f>+L333</f>
        <v>0</v>
      </c>
      <c r="L370" s="195">
        <f>+J370+K370</f>
        <v>500500</v>
      </c>
    </row>
    <row r="371" spans="1:16" ht="13.5" customHeight="1">
      <c r="A371" s="72">
        <v>722</v>
      </c>
      <c r="B371" s="80"/>
      <c r="C371" s="74">
        <f>+D334</f>
        <v>231207671</v>
      </c>
      <c r="D371" s="76">
        <f>+B371+C371</f>
        <v>231207671</v>
      </c>
      <c r="I371" s="72">
        <v>722</v>
      </c>
      <c r="J371" s="80"/>
      <c r="K371" s="74">
        <f>+L334</f>
        <v>0</v>
      </c>
      <c r="L371" s="195">
        <f>+J371+K371</f>
        <v>0</v>
      </c>
    </row>
    <row r="372" spans="1:16" ht="13.5" customHeight="1">
      <c r="A372" s="72">
        <v>723</v>
      </c>
      <c r="B372" s="80">
        <f>+H356+H358</f>
        <v>1400000</v>
      </c>
      <c r="C372" s="74">
        <f>+D335</f>
        <v>319828837</v>
      </c>
      <c r="D372" s="76">
        <f>+B372+C372</f>
        <v>321228837</v>
      </c>
      <c r="F372" s="174" t="s">
        <v>262</v>
      </c>
      <c r="G372" s="175"/>
      <c r="I372" s="72">
        <v>723</v>
      </c>
      <c r="J372" s="80">
        <f>+P350+P352</f>
        <v>14595833</v>
      </c>
      <c r="K372" s="74">
        <f>+L335</f>
        <v>304411859</v>
      </c>
      <c r="L372" s="195">
        <f>+J372+K372</f>
        <v>319007692</v>
      </c>
      <c r="N372" s="918" t="s">
        <v>1696</v>
      </c>
      <c r="O372" s="608"/>
      <c r="P372" s="608"/>
    </row>
    <row r="373" spans="1:16" ht="13.5" customHeight="1" thickBot="1">
      <c r="A373" s="164" t="s">
        <v>181</v>
      </c>
      <c r="B373" s="165"/>
      <c r="C373" s="74">
        <f>+D336</f>
        <v>1965625</v>
      </c>
      <c r="D373" s="168">
        <f>+B373+C373</f>
        <v>1965625</v>
      </c>
      <c r="F373" s="52"/>
      <c r="I373" s="164" t="s">
        <v>181</v>
      </c>
      <c r="J373" s="165"/>
      <c r="K373" s="74">
        <f>+L336</f>
        <v>0</v>
      </c>
      <c r="L373" s="196">
        <f>+J373+K373</f>
        <v>0</v>
      </c>
      <c r="N373" s="52"/>
    </row>
    <row r="374" spans="1:16" ht="16.5" thickBot="1">
      <c r="A374" s="169"/>
      <c r="B374" s="170">
        <f>SUM(B369:B373)</f>
        <v>1650000</v>
      </c>
      <c r="C374" s="171" t="e">
        <f>SUM(C369:C373)</f>
        <v>#REF!</v>
      </c>
      <c r="D374" s="172" t="e">
        <f>SUM(D369:D373)</f>
        <v>#REF!</v>
      </c>
      <c r="I374" s="169"/>
      <c r="J374" s="197">
        <f>SUM(J369:J373)</f>
        <v>18816333</v>
      </c>
      <c r="K374" s="197">
        <f>SUM(K369:K373)</f>
        <v>304411859</v>
      </c>
      <c r="L374" s="198">
        <f>SUM(L369:L373)</f>
        <v>323228192</v>
      </c>
    </row>
    <row r="375" spans="1:16" ht="12.75" customHeight="1">
      <c r="A375" s="49" t="s">
        <v>88</v>
      </c>
      <c r="B375" s="50"/>
      <c r="I375" s="49" t="s">
        <v>88</v>
      </c>
      <c r="J375" s="50"/>
    </row>
    <row r="376" spans="1:16" ht="13.5" customHeight="1">
      <c r="A376" s="51" t="s">
        <v>89</v>
      </c>
      <c r="I376" s="51" t="s">
        <v>89</v>
      </c>
    </row>
    <row r="377" spans="1:16" ht="13.5" customHeight="1">
      <c r="A377" s="51" t="s">
        <v>90</v>
      </c>
      <c r="I377" s="51" t="s">
        <v>90</v>
      </c>
    </row>
    <row r="378" spans="1:16">
      <c r="A378" s="51" t="s">
        <v>91</v>
      </c>
      <c r="I378" s="51" t="s">
        <v>91</v>
      </c>
    </row>
    <row r="379" spans="1:16" ht="3" customHeight="1">
      <c r="A379" s="50"/>
      <c r="B379" s="50"/>
      <c r="I379" s="50"/>
      <c r="J379" s="50"/>
    </row>
    <row r="380" spans="1:16" ht="14.25" customHeight="1">
      <c r="A380" s="52" t="s">
        <v>287</v>
      </c>
      <c r="G380" s="52"/>
      <c r="I380" s="52" t="s">
        <v>606</v>
      </c>
      <c r="O380" s="52"/>
    </row>
    <row r="381" spans="1:16" ht="15.75">
      <c r="A381" s="53" t="s">
        <v>92</v>
      </c>
      <c r="G381" s="53"/>
      <c r="I381" s="53" t="s">
        <v>1866</v>
      </c>
      <c r="O381" s="53"/>
    </row>
    <row r="382" spans="1:16" ht="14.25" customHeight="1">
      <c r="A382" s="894" t="s">
        <v>261</v>
      </c>
      <c r="B382" s="894"/>
      <c r="C382" s="894"/>
      <c r="D382" s="894"/>
      <c r="E382" s="894"/>
      <c r="F382" s="894"/>
      <c r="G382" s="894"/>
      <c r="H382" s="894"/>
      <c r="I382" s="894" t="s">
        <v>1927</v>
      </c>
      <c r="J382" s="894"/>
      <c r="K382" s="894"/>
      <c r="L382" s="894"/>
      <c r="M382" s="894"/>
      <c r="N382" s="894"/>
      <c r="O382" s="894"/>
      <c r="P382" s="894"/>
    </row>
    <row r="383" spans="1:16" ht="10.5" customHeight="1" thickBot="1"/>
    <row r="384" spans="1:16">
      <c r="A384" s="895" t="s">
        <v>94</v>
      </c>
      <c r="B384" s="897" t="s">
        <v>95</v>
      </c>
      <c r="C384" s="897" t="s">
        <v>96</v>
      </c>
      <c r="D384" s="897" t="s">
        <v>3</v>
      </c>
      <c r="E384" s="897" t="s">
        <v>97</v>
      </c>
      <c r="F384" s="897" t="s">
        <v>98</v>
      </c>
      <c r="G384" s="897" t="s">
        <v>99</v>
      </c>
      <c r="H384" s="899"/>
      <c r="I384" s="895" t="s">
        <v>94</v>
      </c>
      <c r="J384" s="897" t="s">
        <v>95</v>
      </c>
      <c r="K384" s="897" t="s">
        <v>96</v>
      </c>
      <c r="L384" s="897" t="s">
        <v>3</v>
      </c>
      <c r="M384" s="897" t="s">
        <v>97</v>
      </c>
      <c r="N384" s="897" t="s">
        <v>98</v>
      </c>
      <c r="O384" s="897" t="s">
        <v>99</v>
      </c>
      <c r="P384" s="899"/>
    </row>
    <row r="385" spans="1:16" ht="15.75" thickBot="1">
      <c r="A385" s="896"/>
      <c r="B385" s="898"/>
      <c r="C385" s="898"/>
      <c r="D385" s="898"/>
      <c r="E385" s="898"/>
      <c r="F385" s="898"/>
      <c r="G385" s="240" t="s">
        <v>100</v>
      </c>
      <c r="H385" s="182" t="s">
        <v>101</v>
      </c>
      <c r="I385" s="896"/>
      <c r="J385" s="898"/>
      <c r="K385" s="898"/>
      <c r="L385" s="898"/>
      <c r="M385" s="898"/>
      <c r="N385" s="898"/>
      <c r="O385" s="240" t="s">
        <v>100</v>
      </c>
      <c r="P385" s="182" t="s">
        <v>101</v>
      </c>
    </row>
    <row r="386" spans="1:16" ht="13.5" customHeight="1">
      <c r="A386" s="881" t="e">
        <f>+A357+1</f>
        <v>#REF!</v>
      </c>
      <c r="B386" s="875">
        <v>42264</v>
      </c>
      <c r="C386" s="877" t="s">
        <v>267</v>
      </c>
      <c r="D386" s="881" t="s">
        <v>290</v>
      </c>
      <c r="E386" s="881" t="s">
        <v>148</v>
      </c>
      <c r="F386" s="883">
        <v>168000</v>
      </c>
      <c r="G386" s="55">
        <v>719</v>
      </c>
      <c r="H386" s="78">
        <v>120000</v>
      </c>
      <c r="I386" s="873" t="s">
        <v>1424</v>
      </c>
      <c r="J386" s="875">
        <v>43935</v>
      </c>
      <c r="K386" s="877" t="s">
        <v>815</v>
      </c>
      <c r="L386" s="881" t="s">
        <v>1928</v>
      </c>
      <c r="M386" s="881" t="s">
        <v>115</v>
      </c>
      <c r="N386" s="883">
        <v>904500</v>
      </c>
      <c r="O386" s="55">
        <v>719</v>
      </c>
      <c r="P386" s="78">
        <v>670000</v>
      </c>
    </row>
    <row r="387" spans="1:16" ht="12.75" customHeight="1" thickBot="1">
      <c r="A387" s="882"/>
      <c r="B387" s="934"/>
      <c r="C387" s="878"/>
      <c r="D387" s="882"/>
      <c r="E387" s="882"/>
      <c r="F387" s="884"/>
      <c r="G387" s="56">
        <v>721</v>
      </c>
      <c r="H387" s="79">
        <f>+F386-H386</f>
        <v>48000</v>
      </c>
      <c r="I387" s="882"/>
      <c r="J387" s="876"/>
      <c r="K387" s="878"/>
      <c r="L387" s="882"/>
      <c r="M387" s="882"/>
      <c r="N387" s="884"/>
      <c r="O387" s="56">
        <v>721</v>
      </c>
      <c r="P387" s="79">
        <f>+N386-P386</f>
        <v>234500</v>
      </c>
    </row>
    <row r="388" spans="1:16" ht="14.25" customHeight="1">
      <c r="A388" s="881" t="e">
        <f>+A386+1</f>
        <v>#REF!</v>
      </c>
      <c r="B388" s="875">
        <v>42264</v>
      </c>
      <c r="C388" s="881" t="s">
        <v>28</v>
      </c>
      <c r="D388" s="881" t="s">
        <v>292</v>
      </c>
      <c r="E388" s="881" t="s">
        <v>148</v>
      </c>
      <c r="F388" s="883">
        <v>238000</v>
      </c>
      <c r="G388" s="55">
        <v>719</v>
      </c>
      <c r="H388" s="78">
        <v>170000</v>
      </c>
      <c r="I388" s="873" t="s">
        <v>1431</v>
      </c>
      <c r="J388" s="875">
        <v>43935</v>
      </c>
      <c r="K388" s="905" t="s">
        <v>1929</v>
      </c>
      <c r="L388" s="881" t="s">
        <v>1887</v>
      </c>
      <c r="M388" s="881" t="s">
        <v>148</v>
      </c>
      <c r="N388" s="883">
        <v>1463000</v>
      </c>
      <c r="O388" s="55">
        <v>719</v>
      </c>
      <c r="P388" s="78"/>
    </row>
    <row r="389" spans="1:16" ht="14.25" customHeight="1" thickBot="1">
      <c r="A389" s="882"/>
      <c r="B389" s="934"/>
      <c r="C389" s="882"/>
      <c r="D389" s="882"/>
      <c r="E389" s="882"/>
      <c r="F389" s="884"/>
      <c r="G389" s="56">
        <v>721</v>
      </c>
      <c r="H389" s="79">
        <f>+F388-H388</f>
        <v>68000</v>
      </c>
      <c r="I389" s="882"/>
      <c r="J389" s="876"/>
      <c r="K389" s="906"/>
      <c r="L389" s="882"/>
      <c r="M389" s="882"/>
      <c r="N389" s="884"/>
      <c r="O389" s="56">
        <v>723</v>
      </c>
      <c r="P389" s="79">
        <f>+N388-P388</f>
        <v>1463000</v>
      </c>
    </row>
    <row r="390" spans="1:16" ht="12.75" customHeight="1">
      <c r="A390" s="881" t="e">
        <f>+A388+1</f>
        <v>#REF!</v>
      </c>
      <c r="B390" s="875">
        <v>42264</v>
      </c>
      <c r="C390" s="877" t="s">
        <v>32</v>
      </c>
      <c r="D390" s="881" t="s">
        <v>292</v>
      </c>
      <c r="E390" s="881" t="s">
        <v>148</v>
      </c>
      <c r="F390" s="883">
        <v>126000</v>
      </c>
      <c r="G390" s="55">
        <v>719</v>
      </c>
      <c r="H390" s="78">
        <v>90000</v>
      </c>
      <c r="I390" s="873" t="s">
        <v>1432</v>
      </c>
      <c r="J390" s="875">
        <v>43935</v>
      </c>
      <c r="K390" s="877" t="s">
        <v>1091</v>
      </c>
      <c r="L390" s="881" t="s">
        <v>1930</v>
      </c>
      <c r="M390" s="881" t="s">
        <v>148</v>
      </c>
      <c r="N390" s="883">
        <v>1280000</v>
      </c>
      <c r="O390" s="55">
        <v>719</v>
      </c>
      <c r="P390" s="78">
        <v>1280000</v>
      </c>
    </row>
    <row r="391" spans="1:16" ht="12.75" customHeight="1" thickBot="1">
      <c r="A391" s="882"/>
      <c r="B391" s="934"/>
      <c r="C391" s="878"/>
      <c r="D391" s="882"/>
      <c r="E391" s="882"/>
      <c r="F391" s="884"/>
      <c r="G391" s="56">
        <v>721</v>
      </c>
      <c r="H391" s="79">
        <f>+F390-H390</f>
        <v>36000</v>
      </c>
      <c r="I391" s="882"/>
      <c r="J391" s="876"/>
      <c r="K391" s="878"/>
      <c r="L391" s="882"/>
      <c r="M391" s="882"/>
      <c r="N391" s="884"/>
      <c r="O391" s="56">
        <v>723</v>
      </c>
      <c r="P391" s="79">
        <f>+N390-P390</f>
        <v>0</v>
      </c>
    </row>
    <row r="392" spans="1:16" ht="13.5" hidden="1" customHeight="1">
      <c r="A392" s="881" t="e">
        <f>+A390+1</f>
        <v>#REF!</v>
      </c>
      <c r="B392" s="875">
        <v>42264</v>
      </c>
      <c r="C392" s="877" t="s">
        <v>111</v>
      </c>
      <c r="D392" s="881" t="s">
        <v>291</v>
      </c>
      <c r="E392" s="881" t="s">
        <v>148</v>
      </c>
      <c r="F392" s="883">
        <v>84000</v>
      </c>
      <c r="G392" s="55">
        <v>719</v>
      </c>
      <c r="H392" s="78">
        <v>60000</v>
      </c>
      <c r="I392" s="873" t="s">
        <v>1433</v>
      </c>
      <c r="J392" s="875">
        <v>43935</v>
      </c>
      <c r="K392" s="877" t="s">
        <v>1091</v>
      </c>
      <c r="L392" s="881" t="s">
        <v>1918</v>
      </c>
      <c r="M392" s="881" t="s">
        <v>148</v>
      </c>
      <c r="N392" s="883">
        <v>870000</v>
      </c>
      <c r="O392" s="55">
        <v>719</v>
      </c>
      <c r="P392" s="78">
        <v>870000</v>
      </c>
    </row>
    <row r="393" spans="1:16" ht="13.5" hidden="1" customHeight="1" thickBot="1">
      <c r="A393" s="882"/>
      <c r="B393" s="934"/>
      <c r="C393" s="878"/>
      <c r="D393" s="882"/>
      <c r="E393" s="882"/>
      <c r="F393" s="884"/>
      <c r="G393" s="56">
        <v>721</v>
      </c>
      <c r="H393" s="79">
        <f>+F392-H392</f>
        <v>24000</v>
      </c>
      <c r="I393" s="882"/>
      <c r="J393" s="876"/>
      <c r="K393" s="878"/>
      <c r="L393" s="882"/>
      <c r="M393" s="882"/>
      <c r="N393" s="884"/>
      <c r="O393" s="56">
        <v>723</v>
      </c>
      <c r="P393" s="79">
        <f>+N392-P392</f>
        <v>0</v>
      </c>
    </row>
    <row r="394" spans="1:16" ht="13.5" hidden="1" customHeight="1">
      <c r="A394" s="881" t="e">
        <f>+A392+1</f>
        <v>#REF!</v>
      </c>
      <c r="B394" s="875">
        <v>42264</v>
      </c>
      <c r="C394" s="877" t="s">
        <v>272</v>
      </c>
      <c r="D394" s="881" t="s">
        <v>290</v>
      </c>
      <c r="E394" s="881" t="s">
        <v>148</v>
      </c>
      <c r="F394" s="883">
        <v>532000</v>
      </c>
      <c r="G394" s="55">
        <v>719</v>
      </c>
      <c r="H394" s="78">
        <v>380000</v>
      </c>
      <c r="I394" s="873" t="s">
        <v>1458</v>
      </c>
      <c r="J394" s="875">
        <v>43935</v>
      </c>
      <c r="K394" s="877" t="s">
        <v>1931</v>
      </c>
      <c r="L394" s="881" t="s">
        <v>1887</v>
      </c>
      <c r="M394" s="881" t="s">
        <v>148</v>
      </c>
      <c r="N394" s="883">
        <v>-1800000</v>
      </c>
      <c r="O394" s="55">
        <v>719</v>
      </c>
      <c r="P394" s="78"/>
    </row>
    <row r="395" spans="1:16" ht="14.25" hidden="1" customHeight="1" thickBot="1">
      <c r="A395" s="882"/>
      <c r="B395" s="934"/>
      <c r="C395" s="878"/>
      <c r="D395" s="882"/>
      <c r="E395" s="882"/>
      <c r="F395" s="884"/>
      <c r="G395" s="56">
        <v>721</v>
      </c>
      <c r="H395" s="79">
        <f>+F394-H394</f>
        <v>152000</v>
      </c>
      <c r="I395" s="882"/>
      <c r="J395" s="876"/>
      <c r="K395" s="878"/>
      <c r="L395" s="882"/>
      <c r="M395" s="882"/>
      <c r="N395" s="884"/>
      <c r="O395" s="56">
        <v>723</v>
      </c>
      <c r="P395" s="79">
        <f>+N394-P394</f>
        <v>-1800000</v>
      </c>
    </row>
    <row r="396" spans="1:16" ht="14.25" customHeight="1" thickBot="1">
      <c r="A396" s="901" t="s">
        <v>102</v>
      </c>
      <c r="B396" s="902"/>
      <c r="C396" s="902"/>
      <c r="D396" s="902"/>
      <c r="E396" s="903"/>
      <c r="F396" s="81">
        <f>SUM(F386:F395)</f>
        <v>1148000</v>
      </c>
      <c r="I396" s="901" t="s">
        <v>102</v>
      </c>
      <c r="J396" s="902"/>
      <c r="K396" s="902"/>
      <c r="L396" s="902"/>
      <c r="M396" s="903"/>
      <c r="N396" s="81">
        <f>SUM(N386:N395)</f>
        <v>2717500</v>
      </c>
    </row>
    <row r="397" spans="1:16" ht="13.5" customHeight="1" thickBot="1">
      <c r="A397" s="885" t="s">
        <v>103</v>
      </c>
      <c r="B397" s="886"/>
      <c r="C397" s="886"/>
      <c r="D397" s="886"/>
      <c r="E397" s="887"/>
      <c r="F397" s="69">
        <f>+F361</f>
        <v>625312225</v>
      </c>
      <c r="I397" s="885" t="s">
        <v>103</v>
      </c>
      <c r="J397" s="886"/>
      <c r="K397" s="886"/>
      <c r="L397" s="886"/>
      <c r="M397" s="887"/>
      <c r="N397" s="239">
        <f>+N361</f>
        <v>323228192</v>
      </c>
      <c r="O397" s="241" t="s">
        <v>561</v>
      </c>
      <c r="P397" s="242"/>
    </row>
    <row r="398" spans="1:16" ht="14.25" customHeight="1" thickBot="1">
      <c r="A398" s="888" t="s">
        <v>104</v>
      </c>
      <c r="B398" s="889"/>
      <c r="C398" s="889"/>
      <c r="D398" s="889"/>
      <c r="E398" s="890"/>
      <c r="F398" s="183">
        <f>SUM(F396:F397)</f>
        <v>626460225</v>
      </c>
      <c r="I398" s="888" t="s">
        <v>104</v>
      </c>
      <c r="J398" s="889"/>
      <c r="K398" s="889"/>
      <c r="L398" s="889"/>
      <c r="M398" s="890"/>
      <c r="N398" s="183">
        <f>SUM(N396:N397)</f>
        <v>325945692</v>
      </c>
    </row>
    <row r="399" spans="1:16" ht="25.5" customHeight="1">
      <c r="A399" s="61"/>
      <c r="B399" s="61"/>
      <c r="C399" s="61"/>
      <c r="D399" s="61"/>
      <c r="E399" s="61"/>
      <c r="I399" s="61"/>
      <c r="J399" s="61"/>
      <c r="K399" s="61"/>
      <c r="L399" s="61"/>
      <c r="M399" s="61"/>
    </row>
    <row r="400" spans="1:16">
      <c r="A400" s="51" t="s">
        <v>294</v>
      </c>
      <c r="I400" s="51" t="s">
        <v>1932</v>
      </c>
    </row>
    <row r="401" spans="1:16" ht="19.5" customHeight="1">
      <c r="F401" s="139"/>
      <c r="N401" s="139"/>
    </row>
    <row r="402" spans="1:16">
      <c r="A402" s="50" t="s">
        <v>105</v>
      </c>
      <c r="D402" s="146"/>
      <c r="F402" s="139"/>
      <c r="I402" s="50" t="s">
        <v>105</v>
      </c>
      <c r="L402" s="146"/>
      <c r="N402" s="139"/>
    </row>
    <row r="403" spans="1:16" ht="21" customHeight="1" thickBot="1"/>
    <row r="404" spans="1:16" ht="17.25" thickBot="1">
      <c r="A404" s="891" t="s">
        <v>106</v>
      </c>
      <c r="B404" s="892"/>
      <c r="C404" s="892"/>
      <c r="D404" s="893"/>
      <c r="F404" s="50" t="s">
        <v>288</v>
      </c>
      <c r="I404" s="891" t="s">
        <v>106</v>
      </c>
      <c r="J404" s="892"/>
      <c r="K404" s="892"/>
      <c r="L404" s="893"/>
      <c r="N404" s="604" t="s">
        <v>288</v>
      </c>
      <c r="O404" s="604"/>
      <c r="P404" s="604"/>
    </row>
    <row r="405" spans="1:16" ht="30.75" thickBot="1">
      <c r="A405" s="57" t="s">
        <v>100</v>
      </c>
      <c r="B405" s="58" t="s">
        <v>108</v>
      </c>
      <c r="C405" s="59" t="s">
        <v>109</v>
      </c>
      <c r="D405" s="60" t="s">
        <v>110</v>
      </c>
      <c r="I405" s="57" t="s">
        <v>100</v>
      </c>
      <c r="J405" s="58" t="s">
        <v>108</v>
      </c>
      <c r="K405" s="59" t="s">
        <v>109</v>
      </c>
      <c r="L405" s="60" t="s">
        <v>110</v>
      </c>
    </row>
    <row r="406" spans="1:16" ht="12.75" customHeight="1">
      <c r="A406" s="71">
        <v>719</v>
      </c>
      <c r="B406" s="73">
        <f>+H386+H388+H390+H392+H394</f>
        <v>820000</v>
      </c>
      <c r="C406" s="74" t="e">
        <f>+D369</f>
        <v>#REF!</v>
      </c>
      <c r="D406" s="76" t="e">
        <f>+B406+C406</f>
        <v>#REF!</v>
      </c>
      <c r="I406" s="71">
        <v>719</v>
      </c>
      <c r="J406" s="73">
        <f>+P386+P392+P390</f>
        <v>2820000</v>
      </c>
      <c r="K406" s="74">
        <f>+L369</f>
        <v>3720000</v>
      </c>
      <c r="L406" s="195">
        <f>+J406+K406</f>
        <v>6540000</v>
      </c>
    </row>
    <row r="407" spans="1:16" ht="13.5" customHeight="1">
      <c r="A407" s="72">
        <v>721</v>
      </c>
      <c r="B407" s="80">
        <f>+H387+H389+H391+H393+H395</f>
        <v>328000</v>
      </c>
      <c r="C407" s="74" t="e">
        <f>+D370</f>
        <v>#REF!</v>
      </c>
      <c r="D407" s="76" t="e">
        <f>+B407+C407</f>
        <v>#REF!</v>
      </c>
      <c r="I407" s="72">
        <v>721</v>
      </c>
      <c r="J407" s="80">
        <f>+P387</f>
        <v>234500</v>
      </c>
      <c r="K407" s="74">
        <f>+L370</f>
        <v>500500</v>
      </c>
      <c r="L407" s="195">
        <f>+J407+K407</f>
        <v>735000</v>
      </c>
    </row>
    <row r="408" spans="1:16" ht="13.5" customHeight="1">
      <c r="A408" s="72">
        <v>722</v>
      </c>
      <c r="B408" s="80"/>
      <c r="C408" s="74">
        <f>+D371</f>
        <v>231207671</v>
      </c>
      <c r="D408" s="76">
        <f>+B408+C408</f>
        <v>231207671</v>
      </c>
      <c r="I408" s="72">
        <v>722</v>
      </c>
      <c r="J408" s="80"/>
      <c r="K408" s="74">
        <f>+L371</f>
        <v>0</v>
      </c>
      <c r="L408" s="195">
        <f>+J408+K408</f>
        <v>0</v>
      </c>
    </row>
    <row r="409" spans="1:16" ht="13.5" customHeight="1">
      <c r="A409" s="72">
        <v>723</v>
      </c>
      <c r="B409" s="80"/>
      <c r="C409" s="74">
        <f>+D372</f>
        <v>321228837</v>
      </c>
      <c r="D409" s="76">
        <f>+B409+C409</f>
        <v>321228837</v>
      </c>
      <c r="F409" s="193" t="s">
        <v>289</v>
      </c>
      <c r="G409" s="175"/>
      <c r="I409" s="72">
        <v>723</v>
      </c>
      <c r="J409" s="80">
        <f>+P389+P395</f>
        <v>-337000</v>
      </c>
      <c r="K409" s="74">
        <f>+L372</f>
        <v>319007692</v>
      </c>
      <c r="L409" s="195">
        <f>+J409+K409</f>
        <v>318670692</v>
      </c>
      <c r="N409" s="918" t="s">
        <v>1744</v>
      </c>
      <c r="O409" s="608"/>
      <c r="P409" s="608"/>
    </row>
    <row r="410" spans="1:16" ht="13.5" customHeight="1" thickBot="1">
      <c r="A410" s="164" t="s">
        <v>181</v>
      </c>
      <c r="B410" s="165"/>
      <c r="C410" s="74">
        <f>+D373</f>
        <v>1965625</v>
      </c>
      <c r="D410" s="168">
        <f>+B410+C410</f>
        <v>1965625</v>
      </c>
      <c r="F410" s="52"/>
      <c r="I410" s="164" t="s">
        <v>181</v>
      </c>
      <c r="J410" s="165"/>
      <c r="K410" s="74">
        <f>+L373</f>
        <v>0</v>
      </c>
      <c r="L410" s="196">
        <f>+J410+K410</f>
        <v>0</v>
      </c>
      <c r="N410" s="52"/>
    </row>
    <row r="411" spans="1:16" ht="16.5" thickBot="1">
      <c r="A411" s="169"/>
      <c r="B411" s="170">
        <f>SUM(B406:B410)</f>
        <v>1148000</v>
      </c>
      <c r="C411" s="171" t="e">
        <f>SUM(C406:C410)</f>
        <v>#REF!</v>
      </c>
      <c r="D411" s="172" t="e">
        <f>SUM(D406:D410)</f>
        <v>#REF!</v>
      </c>
      <c r="I411" s="169"/>
      <c r="J411" s="197">
        <f>SUM(J406:J410)</f>
        <v>2717500</v>
      </c>
      <c r="K411" s="197">
        <f>SUM(K406:K410)</f>
        <v>323228192</v>
      </c>
      <c r="L411" s="198">
        <f>SUM(L406:L410)</f>
        <v>325945692</v>
      </c>
    </row>
    <row r="412" spans="1:16" ht="14.25" customHeight="1">
      <c r="A412" s="49" t="s">
        <v>88</v>
      </c>
      <c r="B412" s="50"/>
      <c r="I412" s="49" t="s">
        <v>88</v>
      </c>
      <c r="J412" s="50"/>
    </row>
    <row r="413" spans="1:16" ht="12.75" customHeight="1">
      <c r="A413" s="51" t="s">
        <v>89</v>
      </c>
      <c r="I413" s="51" t="s">
        <v>89</v>
      </c>
    </row>
    <row r="414" spans="1:16" ht="13.5" customHeight="1">
      <c r="A414" s="51" t="s">
        <v>90</v>
      </c>
      <c r="I414" s="51" t="s">
        <v>90</v>
      </c>
    </row>
    <row r="415" spans="1:16" ht="12.75" customHeight="1">
      <c r="A415" s="51" t="s">
        <v>91</v>
      </c>
      <c r="I415" s="51" t="s">
        <v>91</v>
      </c>
    </row>
    <row r="416" spans="1:16" ht="3" customHeight="1">
      <c r="A416" s="50"/>
      <c r="B416" s="50"/>
      <c r="I416" s="50"/>
      <c r="J416" s="50"/>
    </row>
    <row r="417" spans="1:16" ht="13.5" customHeight="1">
      <c r="A417" s="52" t="s">
        <v>295</v>
      </c>
      <c r="G417" s="52"/>
      <c r="I417" s="52" t="s">
        <v>635</v>
      </c>
      <c r="O417" s="52"/>
    </row>
    <row r="418" spans="1:16" ht="14.25" customHeight="1">
      <c r="A418" s="53" t="s">
        <v>92</v>
      </c>
      <c r="G418" s="53"/>
      <c r="I418" s="53" t="s">
        <v>1866</v>
      </c>
      <c r="O418" s="53"/>
    </row>
    <row r="419" spans="1:16" ht="14.25" customHeight="1">
      <c r="A419" s="894" t="s">
        <v>261</v>
      </c>
      <c r="B419" s="894"/>
      <c r="C419" s="894"/>
      <c r="D419" s="894"/>
      <c r="E419" s="894"/>
      <c r="F419" s="894"/>
      <c r="G419" s="894"/>
      <c r="H419" s="894"/>
      <c r="I419" s="894" t="s">
        <v>212</v>
      </c>
      <c r="J419" s="894"/>
      <c r="K419" s="894"/>
      <c r="L419" s="894"/>
      <c r="M419" s="894"/>
      <c r="N419" s="894"/>
      <c r="O419" s="894"/>
      <c r="P419" s="894"/>
    </row>
    <row r="420" spans="1:16" ht="13.5" customHeight="1" thickBot="1"/>
    <row r="421" spans="1:16">
      <c r="A421" s="895" t="s">
        <v>94</v>
      </c>
      <c r="B421" s="897" t="s">
        <v>95</v>
      </c>
      <c r="C421" s="897" t="s">
        <v>96</v>
      </c>
      <c r="D421" s="897" t="s">
        <v>3</v>
      </c>
      <c r="E421" s="897" t="s">
        <v>97</v>
      </c>
      <c r="F421" s="897" t="s">
        <v>98</v>
      </c>
      <c r="G421" s="897" t="s">
        <v>99</v>
      </c>
      <c r="H421" s="899"/>
      <c r="I421" s="895" t="s">
        <v>94</v>
      </c>
      <c r="J421" s="897" t="s">
        <v>95</v>
      </c>
      <c r="K421" s="897" t="s">
        <v>96</v>
      </c>
      <c r="L421" s="897" t="s">
        <v>3</v>
      </c>
      <c r="M421" s="897" t="s">
        <v>97</v>
      </c>
      <c r="N421" s="897" t="s">
        <v>98</v>
      </c>
      <c r="O421" s="897" t="s">
        <v>99</v>
      </c>
      <c r="P421" s="899"/>
    </row>
    <row r="422" spans="1:16" ht="15.75" thickBot="1">
      <c r="A422" s="896"/>
      <c r="B422" s="898"/>
      <c r="C422" s="898"/>
      <c r="D422" s="898"/>
      <c r="E422" s="898"/>
      <c r="F422" s="898"/>
      <c r="G422" s="240" t="s">
        <v>100</v>
      </c>
      <c r="H422" s="182" t="s">
        <v>101</v>
      </c>
      <c r="I422" s="896"/>
      <c r="J422" s="898"/>
      <c r="K422" s="898"/>
      <c r="L422" s="898"/>
      <c r="M422" s="898"/>
      <c r="N422" s="898"/>
      <c r="O422" s="240" t="s">
        <v>100</v>
      </c>
      <c r="P422" s="182" t="s">
        <v>101</v>
      </c>
    </row>
    <row r="423" spans="1:16" ht="12.75" customHeight="1">
      <c r="A423" s="881" t="e">
        <f>+A394+1</f>
        <v>#REF!</v>
      </c>
      <c r="B423" s="875">
        <v>42275</v>
      </c>
      <c r="C423" s="877" t="s">
        <v>267</v>
      </c>
      <c r="D423" s="881" t="s">
        <v>296</v>
      </c>
      <c r="E423" s="935" t="s">
        <v>31</v>
      </c>
      <c r="F423" s="883">
        <v>100000</v>
      </c>
      <c r="G423" s="55">
        <v>719</v>
      </c>
      <c r="H423" s="78">
        <v>100000</v>
      </c>
      <c r="I423" s="873" t="s">
        <v>650</v>
      </c>
      <c r="J423" s="875">
        <v>43990</v>
      </c>
      <c r="K423" s="910" t="s">
        <v>1937</v>
      </c>
      <c r="L423" s="881" t="s">
        <v>1938</v>
      </c>
      <c r="M423" s="877" t="s">
        <v>1908</v>
      </c>
      <c r="N423" s="883">
        <v>510000</v>
      </c>
      <c r="O423" s="55">
        <v>723</v>
      </c>
      <c r="P423" s="78">
        <f>+N423</f>
        <v>510000</v>
      </c>
    </row>
    <row r="424" spans="1:16" ht="14.25" customHeight="1" thickBot="1">
      <c r="A424" s="882"/>
      <c r="B424" s="934"/>
      <c r="C424" s="878"/>
      <c r="D424" s="882"/>
      <c r="E424" s="936"/>
      <c r="F424" s="884"/>
      <c r="G424" s="56">
        <v>721</v>
      </c>
      <c r="H424" s="79"/>
      <c r="I424" s="882"/>
      <c r="J424" s="876"/>
      <c r="K424" s="911"/>
      <c r="L424" s="882"/>
      <c r="M424" s="878"/>
      <c r="N424" s="884"/>
      <c r="O424" s="56">
        <v>721</v>
      </c>
      <c r="P424" s="79">
        <f>+N423-P423</f>
        <v>0</v>
      </c>
    </row>
    <row r="425" spans="1:16" ht="13.5" customHeight="1">
      <c r="A425" s="881" t="e">
        <f>+A423+1</f>
        <v>#REF!</v>
      </c>
      <c r="B425" s="875">
        <v>42275</v>
      </c>
      <c r="C425" s="881" t="s">
        <v>28</v>
      </c>
      <c r="D425" s="881" t="s">
        <v>297</v>
      </c>
      <c r="E425" s="935" t="s">
        <v>28</v>
      </c>
      <c r="F425" s="883">
        <v>50000</v>
      </c>
      <c r="G425" s="55">
        <v>719</v>
      </c>
      <c r="H425" s="78">
        <v>50000</v>
      </c>
      <c r="I425" s="873" t="s">
        <v>1934</v>
      </c>
      <c r="J425" s="875">
        <v>43990</v>
      </c>
      <c r="K425" s="910" t="s">
        <v>723</v>
      </c>
      <c r="L425" s="881" t="s">
        <v>1867</v>
      </c>
      <c r="M425" s="881" t="s">
        <v>148</v>
      </c>
      <c r="N425" s="883">
        <v>-630000</v>
      </c>
      <c r="O425" s="55">
        <v>723</v>
      </c>
      <c r="P425" s="78">
        <f>+N425</f>
        <v>-630000</v>
      </c>
    </row>
    <row r="426" spans="1:16" ht="14.25" customHeight="1" thickBot="1">
      <c r="A426" s="882"/>
      <c r="B426" s="934"/>
      <c r="C426" s="882"/>
      <c r="D426" s="882"/>
      <c r="E426" s="936"/>
      <c r="F426" s="884"/>
      <c r="G426" s="56">
        <v>721</v>
      </c>
      <c r="H426" s="79">
        <f>+F425-H425</f>
        <v>0</v>
      </c>
      <c r="I426" s="882"/>
      <c r="J426" s="876"/>
      <c r="K426" s="911"/>
      <c r="L426" s="882"/>
      <c r="M426" s="882"/>
      <c r="N426" s="884"/>
      <c r="O426" s="56">
        <v>721</v>
      </c>
      <c r="P426" s="79">
        <f>+N425-P425</f>
        <v>0</v>
      </c>
    </row>
    <row r="427" spans="1:16" ht="14.25" customHeight="1">
      <c r="A427" s="881" t="e">
        <f>+A425+1</f>
        <v>#REF!</v>
      </c>
      <c r="B427" s="875">
        <v>42275</v>
      </c>
      <c r="C427" s="877" t="s">
        <v>32</v>
      </c>
      <c r="D427" s="881" t="s">
        <v>297</v>
      </c>
      <c r="E427" s="877" t="s">
        <v>32</v>
      </c>
      <c r="F427" s="883">
        <v>30000</v>
      </c>
      <c r="G427" s="55">
        <v>719</v>
      </c>
      <c r="H427" s="78">
        <v>30000</v>
      </c>
      <c r="I427" s="873" t="s">
        <v>1935</v>
      </c>
      <c r="J427" s="875">
        <v>43990</v>
      </c>
      <c r="K427" s="877" t="s">
        <v>685</v>
      </c>
      <c r="L427" s="881" t="s">
        <v>1867</v>
      </c>
      <c r="M427" s="881" t="s">
        <v>148</v>
      </c>
      <c r="N427" s="883">
        <v>-3150000</v>
      </c>
      <c r="O427" s="55">
        <v>723</v>
      </c>
      <c r="P427" s="78">
        <f>+N427</f>
        <v>-3150000</v>
      </c>
    </row>
    <row r="428" spans="1:16" ht="12.75" customHeight="1" thickBot="1">
      <c r="A428" s="882"/>
      <c r="B428" s="934"/>
      <c r="C428" s="878"/>
      <c r="D428" s="882"/>
      <c r="E428" s="878"/>
      <c r="F428" s="884"/>
      <c r="G428" s="56">
        <v>721</v>
      </c>
      <c r="H428" s="79">
        <f>+F427-H427</f>
        <v>0</v>
      </c>
      <c r="I428" s="882"/>
      <c r="J428" s="876"/>
      <c r="K428" s="878"/>
      <c r="L428" s="882"/>
      <c r="M428" s="882"/>
      <c r="N428" s="884"/>
      <c r="O428" s="56">
        <v>721</v>
      </c>
      <c r="P428" s="79">
        <f>+N427-P427</f>
        <v>0</v>
      </c>
    </row>
    <row r="429" spans="1:16" ht="12.75" customHeight="1">
      <c r="A429" s="881"/>
      <c r="B429" s="875"/>
      <c r="C429" s="877"/>
      <c r="D429" s="881"/>
      <c r="E429" s="881"/>
      <c r="F429" s="883"/>
      <c r="G429" s="55">
        <v>719</v>
      </c>
      <c r="H429" s="78"/>
      <c r="I429" s="873" t="s">
        <v>1936</v>
      </c>
      <c r="J429" s="875">
        <v>43990</v>
      </c>
      <c r="K429" s="877" t="s">
        <v>1753</v>
      </c>
      <c r="L429" s="881" t="s">
        <v>1867</v>
      </c>
      <c r="M429" s="881" t="s">
        <v>148</v>
      </c>
      <c r="N429" s="883">
        <v>-6600000</v>
      </c>
      <c r="O429" s="55">
        <v>723</v>
      </c>
      <c r="P429" s="78">
        <f>+N429</f>
        <v>-6600000</v>
      </c>
    </row>
    <row r="430" spans="1:16" ht="13.5" customHeight="1" thickBot="1">
      <c r="A430" s="882"/>
      <c r="B430" s="934"/>
      <c r="C430" s="878"/>
      <c r="D430" s="882"/>
      <c r="E430" s="882"/>
      <c r="F430" s="884"/>
      <c r="G430" s="56">
        <v>721</v>
      </c>
      <c r="H430" s="79">
        <f>+F429-H429</f>
        <v>0</v>
      </c>
      <c r="I430" s="882"/>
      <c r="J430" s="876"/>
      <c r="K430" s="878"/>
      <c r="L430" s="882"/>
      <c r="M430" s="882"/>
      <c r="N430" s="884"/>
      <c r="O430" s="56">
        <v>721</v>
      </c>
      <c r="P430" s="79">
        <f>+N429-P429</f>
        <v>0</v>
      </c>
    </row>
    <row r="431" spans="1:16" ht="13.5" customHeight="1">
      <c r="A431" s="881"/>
      <c r="B431" s="875"/>
      <c r="C431" s="877"/>
      <c r="D431" s="881"/>
      <c r="E431" s="881"/>
      <c r="F431" s="883"/>
      <c r="G431" s="55">
        <v>719</v>
      </c>
      <c r="H431" s="78"/>
      <c r="I431" s="873"/>
      <c r="J431" s="875"/>
      <c r="K431" s="877"/>
      <c r="L431" s="881"/>
      <c r="M431" s="881"/>
      <c r="N431" s="883"/>
      <c r="O431" s="55">
        <v>723</v>
      </c>
      <c r="P431" s="78">
        <f>+N431</f>
        <v>0</v>
      </c>
    </row>
    <row r="432" spans="1:16" ht="12" customHeight="1" thickBot="1">
      <c r="A432" s="882"/>
      <c r="B432" s="934"/>
      <c r="C432" s="878"/>
      <c r="D432" s="882"/>
      <c r="E432" s="882"/>
      <c r="F432" s="884"/>
      <c r="G432" s="56">
        <v>721</v>
      </c>
      <c r="H432" s="79">
        <f>+F431-H431</f>
        <v>0</v>
      </c>
      <c r="I432" s="882"/>
      <c r="J432" s="876"/>
      <c r="K432" s="878"/>
      <c r="L432" s="882"/>
      <c r="M432" s="882"/>
      <c r="N432" s="884"/>
      <c r="O432" s="56">
        <v>721</v>
      </c>
      <c r="P432" s="79">
        <f>+N431-P431</f>
        <v>0</v>
      </c>
    </row>
    <row r="433" spans="1:16" ht="13.5" customHeight="1" thickBot="1">
      <c r="A433" s="901" t="s">
        <v>102</v>
      </c>
      <c r="B433" s="902"/>
      <c r="C433" s="902"/>
      <c r="D433" s="902"/>
      <c r="E433" s="903"/>
      <c r="F433" s="81">
        <f>SUM(F423:F432)</f>
        <v>180000</v>
      </c>
      <c r="I433" s="901" t="s">
        <v>102</v>
      </c>
      <c r="J433" s="902"/>
      <c r="K433" s="902"/>
      <c r="L433" s="902"/>
      <c r="M433" s="903"/>
      <c r="N433" s="81">
        <f>SUM(N423:N432)</f>
        <v>-9870000</v>
      </c>
    </row>
    <row r="434" spans="1:16" ht="13.5" customHeight="1" thickBot="1">
      <c r="A434" s="885" t="s">
        <v>103</v>
      </c>
      <c r="B434" s="886"/>
      <c r="C434" s="886"/>
      <c r="D434" s="886"/>
      <c r="E434" s="887"/>
      <c r="F434" s="69">
        <f>+F398</f>
        <v>626460225</v>
      </c>
      <c r="I434" s="885" t="s">
        <v>103</v>
      </c>
      <c r="J434" s="886"/>
      <c r="K434" s="886"/>
      <c r="L434" s="886"/>
      <c r="M434" s="887"/>
      <c r="N434" s="239">
        <f>+N398</f>
        <v>325945692</v>
      </c>
      <c r="O434" s="241" t="s">
        <v>561</v>
      </c>
      <c r="P434" s="242"/>
    </row>
    <row r="435" spans="1:16" ht="14.25" customHeight="1" thickBot="1">
      <c r="A435" s="888" t="s">
        <v>104</v>
      </c>
      <c r="B435" s="889"/>
      <c r="C435" s="889"/>
      <c r="D435" s="889"/>
      <c r="E435" s="890"/>
      <c r="F435" s="183">
        <f>SUM(F433:F434)</f>
        <v>626640225</v>
      </c>
      <c r="I435" s="888" t="s">
        <v>104</v>
      </c>
      <c r="J435" s="889"/>
      <c r="K435" s="889"/>
      <c r="L435" s="889"/>
      <c r="M435" s="890"/>
      <c r="N435" s="183">
        <f>SUM(N433:N434)</f>
        <v>316075692</v>
      </c>
    </row>
    <row r="436" spans="1:16" ht="12" customHeight="1">
      <c r="A436" s="61"/>
      <c r="B436" s="61"/>
      <c r="C436" s="61"/>
      <c r="D436" s="61"/>
      <c r="E436" s="61"/>
      <c r="I436" s="61"/>
      <c r="J436" s="61"/>
      <c r="K436" s="61"/>
      <c r="L436" s="61"/>
      <c r="M436" s="61"/>
    </row>
    <row r="437" spans="1:16">
      <c r="A437" s="51" t="s">
        <v>298</v>
      </c>
      <c r="I437" s="51" t="s">
        <v>1939</v>
      </c>
    </row>
    <row r="438" spans="1:16" ht="3" customHeight="1">
      <c r="F438" s="139"/>
      <c r="N438" s="139"/>
    </row>
    <row r="439" spans="1:16">
      <c r="A439" s="50" t="s">
        <v>105</v>
      </c>
      <c r="D439" s="146"/>
      <c r="F439" s="139"/>
      <c r="I439" s="50" t="s">
        <v>105</v>
      </c>
      <c r="L439" s="146"/>
      <c r="N439" s="139"/>
    </row>
    <row r="440" spans="1:16" ht="6" customHeight="1" thickBot="1"/>
    <row r="441" spans="1:16" ht="17.25" thickBot="1">
      <c r="A441" s="891" t="s">
        <v>106</v>
      </c>
      <c r="B441" s="892"/>
      <c r="C441" s="892"/>
      <c r="D441" s="893"/>
      <c r="F441" s="50" t="s">
        <v>288</v>
      </c>
      <c r="I441" s="891" t="s">
        <v>106</v>
      </c>
      <c r="J441" s="892"/>
      <c r="K441" s="892"/>
      <c r="L441" s="893"/>
      <c r="N441" s="605" t="s">
        <v>288</v>
      </c>
      <c r="O441" s="605"/>
      <c r="P441" s="605"/>
    </row>
    <row r="442" spans="1:16" ht="30.75" thickBot="1">
      <c r="A442" s="57" t="s">
        <v>100</v>
      </c>
      <c r="B442" s="58" t="s">
        <v>108</v>
      </c>
      <c r="C442" s="59" t="s">
        <v>109</v>
      </c>
      <c r="D442" s="60" t="s">
        <v>110</v>
      </c>
      <c r="I442" s="57" t="s">
        <v>100</v>
      </c>
      <c r="J442" s="58" t="s">
        <v>108</v>
      </c>
      <c r="K442" s="59" t="s">
        <v>109</v>
      </c>
      <c r="L442" s="60" t="s">
        <v>110</v>
      </c>
      <c r="N442" s="202"/>
      <c r="O442" s="202"/>
      <c r="P442" s="202"/>
    </row>
    <row r="443" spans="1:16" ht="12.75" customHeight="1">
      <c r="A443" s="71">
        <v>719</v>
      </c>
      <c r="B443" s="73">
        <f>+H423+H425+H427+H429+H431</f>
        <v>180000</v>
      </c>
      <c r="C443" s="74" t="e">
        <f>+D406</f>
        <v>#REF!</v>
      </c>
      <c r="D443" s="76" t="e">
        <f>+B443+C443</f>
        <v>#REF!</v>
      </c>
      <c r="I443" s="71">
        <v>719</v>
      </c>
      <c r="J443" s="73">
        <v>0</v>
      </c>
      <c r="K443" s="74">
        <f>+L406</f>
        <v>6540000</v>
      </c>
      <c r="L443" s="195">
        <f>+J443+K443</f>
        <v>6540000</v>
      </c>
      <c r="N443" s="202"/>
      <c r="O443" s="202"/>
      <c r="P443" s="202"/>
    </row>
    <row r="444" spans="1:16" ht="13.5" customHeight="1">
      <c r="A444" s="72">
        <v>721</v>
      </c>
      <c r="B444" s="80">
        <f>+H424+H426+H428+H430+H432</f>
        <v>0</v>
      </c>
      <c r="C444" s="74" t="e">
        <f>+D407</f>
        <v>#REF!</v>
      </c>
      <c r="D444" s="76" t="e">
        <f>+B444+C444</f>
        <v>#REF!</v>
      </c>
      <c r="I444" s="72">
        <v>721</v>
      </c>
      <c r="J444" s="80">
        <f>+P424+P426+P428+P430+P432</f>
        <v>0</v>
      </c>
      <c r="K444" s="74">
        <f>+L407</f>
        <v>735000</v>
      </c>
      <c r="L444" s="195">
        <f>+J444+K444</f>
        <v>735000</v>
      </c>
      <c r="N444" s="202"/>
      <c r="O444" s="202"/>
      <c r="P444" s="202"/>
    </row>
    <row r="445" spans="1:16" ht="12.75" customHeight="1">
      <c r="A445" s="72">
        <v>722</v>
      </c>
      <c r="B445" s="80"/>
      <c r="C445" s="74">
        <f>+D408</f>
        <v>231207671</v>
      </c>
      <c r="D445" s="76">
        <f>+B445+C445</f>
        <v>231207671</v>
      </c>
      <c r="I445" s="72">
        <v>722</v>
      </c>
      <c r="J445" s="80"/>
      <c r="K445" s="74">
        <f>+L408</f>
        <v>0</v>
      </c>
      <c r="L445" s="195">
        <f>+J445+K445</f>
        <v>0</v>
      </c>
      <c r="N445" s="202"/>
      <c r="O445" s="202"/>
      <c r="P445" s="202"/>
    </row>
    <row r="446" spans="1:16" ht="14.25" customHeight="1">
      <c r="A446" s="72">
        <v>723</v>
      </c>
      <c r="B446" s="80"/>
      <c r="C446" s="74">
        <f>+D409</f>
        <v>321228837</v>
      </c>
      <c r="D446" s="76">
        <f>+B446+C446</f>
        <v>321228837</v>
      </c>
      <c r="F446" s="193" t="s">
        <v>289</v>
      </c>
      <c r="G446" s="175"/>
      <c r="I446" s="72">
        <v>723</v>
      </c>
      <c r="J446" s="80">
        <f>+P423+P425+P427+P429+P431</f>
        <v>-9870000</v>
      </c>
      <c r="K446" s="74">
        <f>+L409</f>
        <v>318670692</v>
      </c>
      <c r="L446" s="195">
        <f>+J446+K446</f>
        <v>308800692</v>
      </c>
      <c r="N446" s="918" t="s">
        <v>1696</v>
      </c>
      <c r="O446" s="608"/>
      <c r="P446" s="608"/>
    </row>
    <row r="447" spans="1:16" ht="13.5" customHeight="1" thickBot="1">
      <c r="A447" s="164" t="s">
        <v>181</v>
      </c>
      <c r="B447" s="165"/>
      <c r="C447" s="74">
        <f>+D410</f>
        <v>1965625</v>
      </c>
      <c r="D447" s="168">
        <f>+B447+C447</f>
        <v>1965625</v>
      </c>
      <c r="F447" s="52"/>
      <c r="I447" s="164" t="s">
        <v>181</v>
      </c>
      <c r="J447" s="165"/>
      <c r="K447" s="74">
        <f>+L410</f>
        <v>0</v>
      </c>
      <c r="L447" s="196">
        <f>+J447+K447</f>
        <v>0</v>
      </c>
      <c r="N447" s="52"/>
    </row>
    <row r="448" spans="1:16" ht="16.5" customHeight="1" thickBot="1">
      <c r="A448" s="169"/>
      <c r="B448" s="170">
        <f>SUM(B443:B447)</f>
        <v>180000</v>
      </c>
      <c r="C448" s="171" t="e">
        <f>SUM(C443:C447)</f>
        <v>#REF!</v>
      </c>
      <c r="D448" s="172" t="e">
        <f>SUM(D443:D447)</f>
        <v>#REF!</v>
      </c>
      <c r="I448" s="169"/>
      <c r="J448" s="197">
        <f>SUM(J443:J447)</f>
        <v>-9870000</v>
      </c>
      <c r="K448" s="197">
        <f>SUM(K443:K447)</f>
        <v>325945692</v>
      </c>
      <c r="L448" s="198">
        <f>SUM(L443:L447)</f>
        <v>316075692</v>
      </c>
    </row>
    <row r="449" spans="1:16" ht="13.5" customHeight="1">
      <c r="A449" s="49" t="s">
        <v>88</v>
      </c>
      <c r="B449" s="50"/>
      <c r="I449" s="49" t="s">
        <v>88</v>
      </c>
      <c r="J449" s="50"/>
    </row>
    <row r="450" spans="1:16" ht="12.75" customHeight="1">
      <c r="A450" s="51" t="s">
        <v>89</v>
      </c>
      <c r="I450" s="51" t="s">
        <v>89</v>
      </c>
    </row>
    <row r="451" spans="1:16" ht="13.5" customHeight="1">
      <c r="A451" s="51" t="s">
        <v>90</v>
      </c>
      <c r="I451" s="51" t="s">
        <v>90</v>
      </c>
    </row>
    <row r="452" spans="1:16" ht="12.75" customHeight="1">
      <c r="A452" s="51" t="s">
        <v>91</v>
      </c>
      <c r="I452" s="51" t="s">
        <v>91</v>
      </c>
    </row>
    <row r="453" spans="1:16" ht="3.75" customHeight="1">
      <c r="A453" s="50"/>
      <c r="B453" s="50"/>
      <c r="I453" s="50"/>
      <c r="J453" s="50"/>
    </row>
    <row r="454" spans="1:16" ht="12.75" customHeight="1">
      <c r="A454" s="52" t="s">
        <v>299</v>
      </c>
      <c r="G454" s="52"/>
      <c r="I454" s="52" t="s">
        <v>636</v>
      </c>
      <c r="O454" s="52"/>
    </row>
    <row r="455" spans="1:16" ht="15.75">
      <c r="A455" s="53" t="s">
        <v>92</v>
      </c>
      <c r="G455" s="53"/>
      <c r="I455" s="53" t="s">
        <v>1866</v>
      </c>
      <c r="O455" s="53"/>
    </row>
    <row r="456" spans="1:16" ht="13.5" customHeight="1">
      <c r="A456" s="894" t="s">
        <v>261</v>
      </c>
      <c r="B456" s="894"/>
      <c r="C456" s="894"/>
      <c r="D456" s="894"/>
      <c r="E456" s="894"/>
      <c r="F456" s="894"/>
      <c r="G456" s="894"/>
      <c r="H456" s="894"/>
      <c r="I456" s="894" t="s">
        <v>212</v>
      </c>
      <c r="J456" s="894"/>
      <c r="K456" s="894"/>
      <c r="L456" s="894"/>
      <c r="M456" s="894"/>
      <c r="N456" s="894"/>
      <c r="O456" s="894"/>
      <c r="P456" s="894"/>
    </row>
    <row r="457" spans="1:16" ht="9" customHeight="1" thickBot="1"/>
    <row r="458" spans="1:16">
      <c r="A458" s="895" t="s">
        <v>94</v>
      </c>
      <c r="B458" s="897" t="s">
        <v>95</v>
      </c>
      <c r="C458" s="897" t="s">
        <v>96</v>
      </c>
      <c r="D458" s="897" t="s">
        <v>3</v>
      </c>
      <c r="E458" s="897" t="s">
        <v>97</v>
      </c>
      <c r="F458" s="897" t="s">
        <v>98</v>
      </c>
      <c r="G458" s="897" t="s">
        <v>99</v>
      </c>
      <c r="H458" s="899"/>
      <c r="I458" s="895" t="s">
        <v>94</v>
      </c>
      <c r="J458" s="897" t="s">
        <v>95</v>
      </c>
      <c r="K458" s="897" t="s">
        <v>96</v>
      </c>
      <c r="L458" s="897" t="s">
        <v>3</v>
      </c>
      <c r="M458" s="897" t="s">
        <v>97</v>
      </c>
      <c r="N458" s="897" t="s">
        <v>98</v>
      </c>
      <c r="O458" s="897" t="s">
        <v>99</v>
      </c>
      <c r="P458" s="899"/>
    </row>
    <row r="459" spans="1:16" ht="15.75" thickBot="1">
      <c r="A459" s="896"/>
      <c r="B459" s="898"/>
      <c r="C459" s="898"/>
      <c r="D459" s="898"/>
      <c r="E459" s="898"/>
      <c r="F459" s="898"/>
      <c r="G459" s="240" t="s">
        <v>100</v>
      </c>
      <c r="H459" s="182" t="s">
        <v>101</v>
      </c>
      <c r="I459" s="896"/>
      <c r="J459" s="898"/>
      <c r="K459" s="898"/>
      <c r="L459" s="898"/>
      <c r="M459" s="898"/>
      <c r="N459" s="898"/>
      <c r="O459" s="240" t="s">
        <v>100</v>
      </c>
      <c r="P459" s="182" t="s">
        <v>101</v>
      </c>
    </row>
    <row r="460" spans="1:16" ht="14.25" customHeight="1">
      <c r="A460" s="881" t="e">
        <f>+A427+1</f>
        <v>#REF!</v>
      </c>
      <c r="B460" s="875">
        <v>42278</v>
      </c>
      <c r="C460" s="877" t="s">
        <v>267</v>
      </c>
      <c r="D460" s="881" t="s">
        <v>300</v>
      </c>
      <c r="E460" s="881" t="s">
        <v>148</v>
      </c>
      <c r="F460" s="883">
        <v>196000</v>
      </c>
      <c r="G460" s="55">
        <v>719</v>
      </c>
      <c r="H460" s="78">
        <v>160000</v>
      </c>
      <c r="I460" s="873" t="s">
        <v>1435</v>
      </c>
      <c r="J460" s="875">
        <v>43997</v>
      </c>
      <c r="K460" s="877" t="s">
        <v>1893</v>
      </c>
      <c r="L460" s="881" t="s">
        <v>1943</v>
      </c>
      <c r="M460" s="881" t="s">
        <v>148</v>
      </c>
      <c r="N460" s="883">
        <v>1000000</v>
      </c>
      <c r="O460" s="55">
        <v>719</v>
      </c>
      <c r="P460" s="78"/>
    </row>
    <row r="461" spans="1:16" ht="13.5" customHeight="1" thickBot="1">
      <c r="A461" s="882"/>
      <c r="B461" s="934"/>
      <c r="C461" s="878"/>
      <c r="D461" s="882"/>
      <c r="E461" s="882"/>
      <c r="F461" s="884"/>
      <c r="G461" s="56">
        <v>721</v>
      </c>
      <c r="H461" s="79">
        <f>+F460-H460</f>
        <v>36000</v>
      </c>
      <c r="I461" s="882"/>
      <c r="J461" s="876"/>
      <c r="K461" s="878"/>
      <c r="L461" s="882"/>
      <c r="M461" s="882"/>
      <c r="N461" s="884"/>
      <c r="O461" s="56">
        <v>723</v>
      </c>
      <c r="P461" s="79">
        <f>+N460-P460</f>
        <v>1000000</v>
      </c>
    </row>
    <row r="462" spans="1:16" ht="12.75" customHeight="1">
      <c r="A462" s="881" t="e">
        <f>+A460+1</f>
        <v>#REF!</v>
      </c>
      <c r="B462" s="875">
        <v>42278</v>
      </c>
      <c r="C462" s="881" t="s">
        <v>28</v>
      </c>
      <c r="D462" s="881" t="s">
        <v>301</v>
      </c>
      <c r="E462" s="881" t="s">
        <v>148</v>
      </c>
      <c r="F462" s="883">
        <v>224000</v>
      </c>
      <c r="G462" s="55">
        <v>719</v>
      </c>
      <c r="H462" s="78">
        <v>160000</v>
      </c>
      <c r="I462" s="873"/>
      <c r="J462" s="875"/>
      <c r="K462" s="877"/>
      <c r="L462" s="881"/>
      <c r="M462" s="881"/>
      <c r="N462" s="883"/>
      <c r="O462" s="55">
        <v>719</v>
      </c>
      <c r="P462" s="78"/>
    </row>
    <row r="463" spans="1:16" ht="13.5" customHeight="1" thickBot="1">
      <c r="A463" s="882"/>
      <c r="B463" s="934"/>
      <c r="C463" s="882"/>
      <c r="D463" s="882"/>
      <c r="E463" s="882"/>
      <c r="F463" s="884"/>
      <c r="G463" s="56">
        <v>721</v>
      </c>
      <c r="H463" s="79">
        <f>+F462-H462</f>
        <v>64000</v>
      </c>
      <c r="I463" s="882"/>
      <c r="J463" s="876"/>
      <c r="K463" s="878"/>
      <c r="L463" s="882"/>
      <c r="M463" s="882"/>
      <c r="N463" s="884"/>
      <c r="O463" s="56">
        <v>723</v>
      </c>
      <c r="P463" s="79">
        <f>+N462-P462</f>
        <v>0</v>
      </c>
    </row>
    <row r="464" spans="1:16" ht="13.5" customHeight="1">
      <c r="A464" s="881" t="e">
        <f>+A462+1</f>
        <v>#REF!</v>
      </c>
      <c r="B464" s="875">
        <v>42278</v>
      </c>
      <c r="C464" s="877" t="s">
        <v>32</v>
      </c>
      <c r="D464" s="881" t="s">
        <v>301</v>
      </c>
      <c r="E464" s="881" t="s">
        <v>148</v>
      </c>
      <c r="F464" s="883">
        <v>112000</v>
      </c>
      <c r="G464" s="55">
        <v>719</v>
      </c>
      <c r="H464" s="78">
        <v>80000</v>
      </c>
      <c r="I464" s="873"/>
      <c r="J464" s="875"/>
      <c r="K464" s="877"/>
      <c r="L464" s="881"/>
      <c r="M464" s="881"/>
      <c r="N464" s="883"/>
      <c r="O464" s="55">
        <v>719</v>
      </c>
      <c r="P464" s="78"/>
    </row>
    <row r="465" spans="1:16" ht="13.5" customHeight="1" thickBot="1">
      <c r="A465" s="882"/>
      <c r="B465" s="934"/>
      <c r="C465" s="878"/>
      <c r="D465" s="882"/>
      <c r="E465" s="882"/>
      <c r="F465" s="884"/>
      <c r="G465" s="56">
        <v>721</v>
      </c>
      <c r="H465" s="79">
        <f>+F464-H464</f>
        <v>32000</v>
      </c>
      <c r="I465" s="882"/>
      <c r="J465" s="876"/>
      <c r="K465" s="878"/>
      <c r="L465" s="882"/>
      <c r="M465" s="882"/>
      <c r="N465" s="884"/>
      <c r="O465" s="56">
        <v>723</v>
      </c>
      <c r="P465" s="79">
        <f>+N464-P464</f>
        <v>0</v>
      </c>
    </row>
    <row r="466" spans="1:16" ht="12.75" customHeight="1">
      <c r="A466" s="881" t="e">
        <f>+A464+1</f>
        <v>#REF!</v>
      </c>
      <c r="B466" s="875">
        <v>42278</v>
      </c>
      <c r="C466" s="877" t="s">
        <v>111</v>
      </c>
      <c r="D466" s="881" t="s">
        <v>302</v>
      </c>
      <c r="E466" s="881" t="s">
        <v>148</v>
      </c>
      <c r="F466" s="883">
        <v>84000</v>
      </c>
      <c r="G466" s="55">
        <v>719</v>
      </c>
      <c r="H466" s="78">
        <v>60000</v>
      </c>
      <c r="I466" s="873"/>
      <c r="J466" s="875"/>
      <c r="K466" s="905"/>
      <c r="L466" s="881"/>
      <c r="M466" s="881"/>
      <c r="N466" s="883"/>
      <c r="O466" s="55">
        <v>719</v>
      </c>
      <c r="P466" s="78"/>
    </row>
    <row r="467" spans="1:16" ht="14.25" customHeight="1" thickBot="1">
      <c r="A467" s="882"/>
      <c r="B467" s="934"/>
      <c r="C467" s="878"/>
      <c r="D467" s="882"/>
      <c r="E467" s="882"/>
      <c r="F467" s="884"/>
      <c r="G467" s="56">
        <v>721</v>
      </c>
      <c r="H467" s="79">
        <f>+F466-H466</f>
        <v>24000</v>
      </c>
      <c r="I467" s="882"/>
      <c r="J467" s="876"/>
      <c r="K467" s="906"/>
      <c r="L467" s="882"/>
      <c r="M467" s="882"/>
      <c r="N467" s="884"/>
      <c r="O467" s="56">
        <v>723</v>
      </c>
      <c r="P467" s="79">
        <f>+N466-P466</f>
        <v>0</v>
      </c>
    </row>
    <row r="468" spans="1:16" ht="16.5" thickBot="1">
      <c r="A468" s="901" t="s">
        <v>102</v>
      </c>
      <c r="B468" s="902"/>
      <c r="C468" s="902"/>
      <c r="D468" s="902"/>
      <c r="E468" s="903"/>
      <c r="F468" s="81">
        <f>SUM(F460:F467)</f>
        <v>616000</v>
      </c>
      <c r="I468" s="901" t="s">
        <v>102</v>
      </c>
      <c r="J468" s="902"/>
      <c r="K468" s="902"/>
      <c r="L468" s="902"/>
      <c r="M468" s="903"/>
      <c r="N468" s="81">
        <f>SUM(N460:N467)</f>
        <v>1000000</v>
      </c>
    </row>
    <row r="469" spans="1:16" ht="16.5" thickBot="1">
      <c r="A469" s="885" t="s">
        <v>103</v>
      </c>
      <c r="B469" s="886"/>
      <c r="C469" s="886"/>
      <c r="D469" s="886"/>
      <c r="E469" s="887"/>
      <c r="F469" s="69">
        <f>+F435</f>
        <v>626640225</v>
      </c>
      <c r="I469" s="885" t="s">
        <v>103</v>
      </c>
      <c r="J469" s="886"/>
      <c r="K469" s="886"/>
      <c r="L469" s="886"/>
      <c r="M469" s="887"/>
      <c r="N469" s="239">
        <f>+N435</f>
        <v>316075692</v>
      </c>
      <c r="O469" s="241" t="s">
        <v>561</v>
      </c>
      <c r="P469" s="242"/>
    </row>
    <row r="470" spans="1:16" ht="16.5" thickBot="1">
      <c r="A470" s="888" t="s">
        <v>104</v>
      </c>
      <c r="B470" s="889"/>
      <c r="C470" s="889"/>
      <c r="D470" s="889"/>
      <c r="E470" s="890"/>
      <c r="F470" s="183">
        <f>SUM(F468:F469)</f>
        <v>627256225</v>
      </c>
      <c r="I470" s="888" t="s">
        <v>104</v>
      </c>
      <c r="J470" s="889"/>
      <c r="K470" s="889"/>
      <c r="L470" s="889"/>
      <c r="M470" s="890"/>
      <c r="N470" s="183">
        <f>SUM(N468:N469)</f>
        <v>317075692</v>
      </c>
    </row>
    <row r="471" spans="1:16" ht="13.5" customHeight="1">
      <c r="A471" s="61"/>
      <c r="B471" s="61"/>
      <c r="C471" s="61"/>
      <c r="D471" s="61"/>
      <c r="E471" s="61"/>
      <c r="I471" s="61"/>
      <c r="J471" s="61"/>
      <c r="K471" s="61"/>
      <c r="L471" s="61"/>
      <c r="M471" s="61"/>
    </row>
    <row r="472" spans="1:16">
      <c r="A472" s="51" t="s">
        <v>303</v>
      </c>
      <c r="I472" s="51" t="s">
        <v>1944</v>
      </c>
    </row>
    <row r="473" spans="1:16" ht="11.25" customHeight="1">
      <c r="F473" s="139"/>
      <c r="N473" s="139"/>
    </row>
    <row r="474" spans="1:16">
      <c r="A474" s="50" t="s">
        <v>105</v>
      </c>
      <c r="D474" s="146"/>
      <c r="F474" s="139"/>
      <c r="I474" s="50" t="s">
        <v>105</v>
      </c>
      <c r="L474" s="146"/>
      <c r="N474" s="139"/>
    </row>
    <row r="475" spans="1:16" ht="13.5" customHeight="1" thickBot="1"/>
    <row r="476" spans="1:16" ht="17.25" thickBot="1">
      <c r="A476" s="891" t="s">
        <v>106</v>
      </c>
      <c r="B476" s="892"/>
      <c r="C476" s="892"/>
      <c r="D476" s="893"/>
      <c r="F476" s="50" t="s">
        <v>288</v>
      </c>
      <c r="I476" s="891" t="s">
        <v>106</v>
      </c>
      <c r="J476" s="892"/>
      <c r="K476" s="892"/>
      <c r="L476" s="893"/>
      <c r="N476" s="605" t="s">
        <v>288</v>
      </c>
      <c r="O476" s="605"/>
      <c r="P476" s="605"/>
    </row>
    <row r="477" spans="1:16" ht="28.5" customHeight="1" thickBot="1">
      <c r="A477" s="57" t="s">
        <v>100</v>
      </c>
      <c r="B477" s="58" t="s">
        <v>108</v>
      </c>
      <c r="C477" s="59" t="s">
        <v>109</v>
      </c>
      <c r="D477" s="60" t="s">
        <v>110</v>
      </c>
      <c r="I477" s="57" t="s">
        <v>100</v>
      </c>
      <c r="J477" s="58" t="s">
        <v>108</v>
      </c>
      <c r="K477" s="59" t="s">
        <v>109</v>
      </c>
      <c r="L477" s="60" t="s">
        <v>110</v>
      </c>
      <c r="N477" s="202"/>
      <c r="O477" s="202"/>
      <c r="P477" s="202"/>
    </row>
    <row r="478" spans="1:16" ht="15" customHeight="1">
      <c r="A478" s="71">
        <v>719</v>
      </c>
      <c r="B478" s="73" t="e">
        <f>+H460+H462+H464+H466+#REF!</f>
        <v>#REF!</v>
      </c>
      <c r="C478" s="74" t="e">
        <f>+D443</f>
        <v>#REF!</v>
      </c>
      <c r="D478" s="195" t="e">
        <f>+B478+C478</f>
        <v>#REF!</v>
      </c>
      <c r="I478" s="71">
        <v>719</v>
      </c>
      <c r="J478" s="73">
        <v>0</v>
      </c>
      <c r="K478" s="74">
        <f>+L443</f>
        <v>6540000</v>
      </c>
      <c r="L478" s="195">
        <f>+J478+K478</f>
        <v>6540000</v>
      </c>
      <c r="N478" s="202"/>
      <c r="O478" s="202"/>
      <c r="P478" s="202"/>
    </row>
    <row r="479" spans="1:16" ht="13.5" customHeight="1">
      <c r="A479" s="72">
        <v>721</v>
      </c>
      <c r="B479" s="80" t="e">
        <f>+H461+H463+H465+H467+#REF!</f>
        <v>#REF!</v>
      </c>
      <c r="C479" s="74" t="e">
        <f>+D444</f>
        <v>#REF!</v>
      </c>
      <c r="D479" s="195" t="e">
        <f>+B479+C479</f>
        <v>#REF!</v>
      </c>
      <c r="I479" s="72">
        <v>721</v>
      </c>
      <c r="J479" s="80"/>
      <c r="K479" s="74">
        <f>+L444</f>
        <v>735000</v>
      </c>
      <c r="L479" s="195">
        <f>+J479+K479</f>
        <v>735000</v>
      </c>
      <c r="N479" s="202"/>
      <c r="O479" s="202"/>
      <c r="P479" s="202"/>
    </row>
    <row r="480" spans="1:16" ht="15" customHeight="1">
      <c r="A480" s="72">
        <v>722</v>
      </c>
      <c r="B480" s="80"/>
      <c r="C480" s="74">
        <f>+D445</f>
        <v>231207671</v>
      </c>
      <c r="D480" s="195">
        <f>+B480+C480</f>
        <v>231207671</v>
      </c>
      <c r="I480" s="72">
        <v>722</v>
      </c>
      <c r="J480" s="80"/>
      <c r="K480" s="74">
        <f>+L445</f>
        <v>0</v>
      </c>
      <c r="L480" s="195">
        <f>+J480+K480</f>
        <v>0</v>
      </c>
      <c r="N480" s="202"/>
      <c r="O480" s="202"/>
      <c r="P480" s="202"/>
    </row>
    <row r="481" spans="1:16" ht="14.25" customHeight="1">
      <c r="A481" s="72">
        <v>723</v>
      </c>
      <c r="B481" s="80"/>
      <c r="C481" s="74">
        <f>+D446</f>
        <v>321228837</v>
      </c>
      <c r="D481" s="195">
        <f>+B481+C481</f>
        <v>321228837</v>
      </c>
      <c r="F481" s="193" t="s">
        <v>289</v>
      </c>
      <c r="G481" s="175"/>
      <c r="I481" s="72">
        <v>723</v>
      </c>
      <c r="J481" s="80">
        <f>+P467+P465+P463+P461</f>
        <v>1000000</v>
      </c>
      <c r="K481" s="74">
        <f>+L446</f>
        <v>308800692</v>
      </c>
      <c r="L481" s="195">
        <f>+J481+K481</f>
        <v>309800692</v>
      </c>
      <c r="N481" s="918" t="s">
        <v>1696</v>
      </c>
      <c r="O481" s="608"/>
      <c r="P481" s="608"/>
    </row>
    <row r="482" spans="1:16" ht="15" customHeight="1" thickBot="1">
      <c r="A482" s="164" t="s">
        <v>181</v>
      </c>
      <c r="B482" s="165"/>
      <c r="C482" s="74">
        <f>+D447</f>
        <v>1965625</v>
      </c>
      <c r="D482" s="196">
        <f>+B482+C482</f>
        <v>1965625</v>
      </c>
      <c r="F482" s="52"/>
      <c r="I482" s="164" t="s">
        <v>181</v>
      </c>
      <c r="J482" s="165"/>
      <c r="K482" s="74">
        <f>+L447</f>
        <v>0</v>
      </c>
      <c r="L482" s="196">
        <f>+J482+K482</f>
        <v>0</v>
      </c>
      <c r="N482" s="52"/>
    </row>
    <row r="483" spans="1:16" ht="15" customHeight="1" thickBot="1">
      <c r="A483" s="169"/>
      <c r="B483" s="170" t="e">
        <f>SUM(B478:B482)</f>
        <v>#REF!</v>
      </c>
      <c r="C483" s="171" t="e">
        <f>SUM(C478:C482)</f>
        <v>#REF!</v>
      </c>
      <c r="D483" s="172" t="e">
        <f>SUM(D478:D482)</f>
        <v>#REF!</v>
      </c>
      <c r="I483" s="169"/>
      <c r="J483" s="197">
        <f>SUM(J478:J482)</f>
        <v>1000000</v>
      </c>
      <c r="K483" s="197">
        <f>SUM(K478:K482)</f>
        <v>316075692</v>
      </c>
      <c r="L483" s="198">
        <f>SUM(L478:L482)</f>
        <v>317075692</v>
      </c>
    </row>
    <row r="484" spans="1:16" ht="16.5">
      <c r="A484" s="49" t="s">
        <v>88</v>
      </c>
      <c r="B484" s="50"/>
      <c r="I484" s="49" t="s">
        <v>88</v>
      </c>
      <c r="J484" s="50"/>
    </row>
    <row r="485" spans="1:16" ht="13.5" customHeight="1">
      <c r="A485" s="51" t="s">
        <v>89</v>
      </c>
      <c r="I485" s="51" t="s">
        <v>89</v>
      </c>
    </row>
    <row r="486" spans="1:16">
      <c r="A486" s="51" t="s">
        <v>90</v>
      </c>
      <c r="I486" s="51" t="s">
        <v>90</v>
      </c>
    </row>
    <row r="487" spans="1:16">
      <c r="A487" s="51" t="s">
        <v>91</v>
      </c>
      <c r="I487" s="51" t="s">
        <v>91</v>
      </c>
    </row>
    <row r="488" spans="1:16" ht="5.25" customHeight="1">
      <c r="A488" s="50"/>
      <c r="B488" s="50"/>
      <c r="I488" s="50"/>
      <c r="J488" s="50"/>
    </row>
    <row r="489" spans="1:16" ht="16.5">
      <c r="A489" s="52" t="s">
        <v>307</v>
      </c>
      <c r="G489" s="52"/>
      <c r="I489" s="52" t="s">
        <v>637</v>
      </c>
      <c r="O489" s="52"/>
    </row>
    <row r="490" spans="1:16" ht="15.75">
      <c r="A490" s="53" t="s">
        <v>92</v>
      </c>
      <c r="G490" s="53"/>
      <c r="I490" s="53" t="s">
        <v>1866</v>
      </c>
      <c r="O490" s="53"/>
    </row>
    <row r="491" spans="1:16" ht="16.5">
      <c r="A491" s="894" t="s">
        <v>261</v>
      </c>
      <c r="B491" s="894"/>
      <c r="C491" s="894"/>
      <c r="D491" s="894"/>
      <c r="E491" s="894"/>
      <c r="F491" s="894"/>
      <c r="G491" s="894"/>
      <c r="H491" s="894"/>
      <c r="I491" s="894" t="s">
        <v>212</v>
      </c>
      <c r="J491" s="894"/>
      <c r="K491" s="894"/>
      <c r="L491" s="894"/>
      <c r="M491" s="894"/>
      <c r="N491" s="894"/>
      <c r="O491" s="894"/>
      <c r="P491" s="894"/>
    </row>
    <row r="492" spans="1:16" ht="12.75" customHeight="1" thickBot="1"/>
    <row r="493" spans="1:16">
      <c r="A493" s="895" t="s">
        <v>94</v>
      </c>
      <c r="B493" s="897" t="s">
        <v>95</v>
      </c>
      <c r="C493" s="897" t="s">
        <v>96</v>
      </c>
      <c r="D493" s="897" t="s">
        <v>3</v>
      </c>
      <c r="E493" s="897" t="s">
        <v>97</v>
      </c>
      <c r="F493" s="897" t="s">
        <v>98</v>
      </c>
      <c r="G493" s="897" t="s">
        <v>99</v>
      </c>
      <c r="H493" s="899"/>
      <c r="I493" s="895" t="s">
        <v>94</v>
      </c>
      <c r="J493" s="897" t="s">
        <v>95</v>
      </c>
      <c r="K493" s="897" t="s">
        <v>96</v>
      </c>
      <c r="L493" s="897" t="s">
        <v>3</v>
      </c>
      <c r="M493" s="897" t="s">
        <v>97</v>
      </c>
      <c r="N493" s="897" t="s">
        <v>98</v>
      </c>
      <c r="O493" s="897" t="s">
        <v>99</v>
      </c>
      <c r="P493" s="899"/>
    </row>
    <row r="494" spans="1:16" ht="15.75" thickBot="1">
      <c r="A494" s="896"/>
      <c r="B494" s="898"/>
      <c r="C494" s="898"/>
      <c r="D494" s="898"/>
      <c r="E494" s="898"/>
      <c r="F494" s="898"/>
      <c r="G494" s="240" t="s">
        <v>100</v>
      </c>
      <c r="H494" s="182" t="s">
        <v>101</v>
      </c>
      <c r="I494" s="896"/>
      <c r="J494" s="898"/>
      <c r="K494" s="898"/>
      <c r="L494" s="898"/>
      <c r="M494" s="898"/>
      <c r="N494" s="898"/>
      <c r="O494" s="240" t="s">
        <v>100</v>
      </c>
      <c r="P494" s="182" t="s">
        <v>101</v>
      </c>
    </row>
    <row r="495" spans="1:16" ht="13.5" customHeight="1">
      <c r="A495" s="881" t="e">
        <f>+#REF!+1</f>
        <v>#REF!</v>
      </c>
      <c r="B495" s="875">
        <v>42278</v>
      </c>
      <c r="C495" s="877" t="s">
        <v>272</v>
      </c>
      <c r="D495" s="881" t="s">
        <v>305</v>
      </c>
      <c r="E495" s="881" t="s">
        <v>148</v>
      </c>
      <c r="F495" s="883">
        <v>100000</v>
      </c>
      <c r="G495" s="55">
        <v>719</v>
      </c>
      <c r="H495" s="78">
        <v>100000</v>
      </c>
      <c r="I495" s="873" t="s">
        <v>1443</v>
      </c>
      <c r="J495" s="875">
        <v>44000</v>
      </c>
      <c r="K495" s="877" t="s">
        <v>1945</v>
      </c>
      <c r="L495" s="881" t="s">
        <v>1765</v>
      </c>
      <c r="M495" s="881" t="s">
        <v>1946</v>
      </c>
      <c r="N495" s="883">
        <v>600000</v>
      </c>
      <c r="O495" s="55">
        <v>719</v>
      </c>
      <c r="P495" s="78"/>
    </row>
    <row r="496" spans="1:16" ht="12.75" customHeight="1" thickBot="1">
      <c r="A496" s="882"/>
      <c r="B496" s="934"/>
      <c r="C496" s="878"/>
      <c r="D496" s="882"/>
      <c r="E496" s="882"/>
      <c r="F496" s="884"/>
      <c r="G496" s="56">
        <v>721</v>
      </c>
      <c r="H496" s="79">
        <f>+F495-H495</f>
        <v>0</v>
      </c>
      <c r="I496" s="882"/>
      <c r="J496" s="876"/>
      <c r="K496" s="878"/>
      <c r="L496" s="882"/>
      <c r="M496" s="882"/>
      <c r="N496" s="884"/>
      <c r="O496" s="461">
        <v>723</v>
      </c>
      <c r="P496" s="79">
        <f>+N495-P495</f>
        <v>600000</v>
      </c>
    </row>
    <row r="497" spans="1:16" ht="12.75" customHeight="1">
      <c r="A497" s="251"/>
      <c r="B497" s="452"/>
      <c r="C497" s="253"/>
      <c r="D497" s="251"/>
      <c r="E497" s="251"/>
      <c r="F497" s="254"/>
      <c r="G497" s="255"/>
      <c r="H497" s="256"/>
      <c r="I497" s="251"/>
      <c r="J497" s="252"/>
      <c r="K497" s="253"/>
      <c r="L497" s="251"/>
      <c r="M497" s="251"/>
      <c r="N497" s="254"/>
      <c r="O497" s="481"/>
      <c r="P497" s="256"/>
    </row>
    <row r="498" spans="1:16" ht="12.75" customHeight="1" thickBot="1">
      <c r="A498" s="251"/>
      <c r="B498" s="452"/>
      <c r="C498" s="253"/>
      <c r="D498" s="251"/>
      <c r="E498" s="251"/>
      <c r="F498" s="254"/>
      <c r="G498" s="255"/>
      <c r="H498" s="256"/>
      <c r="I498" s="251"/>
      <c r="J498" s="252"/>
      <c r="K498" s="253"/>
      <c r="L498" s="251"/>
      <c r="M498" s="251"/>
      <c r="N498" s="254"/>
      <c r="O498" s="481"/>
      <c r="P498" s="256"/>
    </row>
    <row r="499" spans="1:16" ht="12" customHeight="1">
      <c r="A499" s="881" t="e">
        <f>+A495+1</f>
        <v>#REF!</v>
      </c>
      <c r="B499" s="875">
        <v>42278</v>
      </c>
      <c r="C499" s="881" t="s">
        <v>28</v>
      </c>
      <c r="D499" s="881" t="s">
        <v>304</v>
      </c>
      <c r="E499" s="881" t="s">
        <v>115</v>
      </c>
      <c r="F499" s="883">
        <v>80000</v>
      </c>
      <c r="G499" s="55">
        <v>719</v>
      </c>
      <c r="H499" s="78">
        <v>80000</v>
      </c>
      <c r="I499" s="873"/>
      <c r="J499" s="875"/>
      <c r="K499" s="877"/>
      <c r="L499" s="881"/>
      <c r="M499" s="881"/>
      <c r="N499" s="883"/>
      <c r="O499" s="55">
        <v>719</v>
      </c>
      <c r="P499" s="78"/>
    </row>
    <row r="500" spans="1:16" ht="14.25" customHeight="1" thickBot="1">
      <c r="A500" s="882"/>
      <c r="B500" s="934"/>
      <c r="C500" s="882"/>
      <c r="D500" s="882"/>
      <c r="E500" s="882"/>
      <c r="F500" s="884"/>
      <c r="G500" s="56">
        <v>721</v>
      </c>
      <c r="H500" s="79">
        <f>+F499-H499</f>
        <v>0</v>
      </c>
      <c r="I500" s="882"/>
      <c r="J500" s="876"/>
      <c r="K500" s="878"/>
      <c r="L500" s="882"/>
      <c r="M500" s="882"/>
      <c r="N500" s="884"/>
      <c r="O500" s="461">
        <v>723</v>
      </c>
      <c r="P500" s="79">
        <f>+N499-P499</f>
        <v>0</v>
      </c>
    </row>
    <row r="501" spans="1:16" ht="12.75" customHeight="1">
      <c r="A501" s="881"/>
      <c r="B501" s="875"/>
      <c r="C501" s="877"/>
      <c r="D501" s="881"/>
      <c r="E501" s="881"/>
      <c r="F501" s="883"/>
      <c r="G501" s="55">
        <v>719</v>
      </c>
      <c r="H501" s="78"/>
      <c r="I501" s="873"/>
      <c r="J501" s="875"/>
      <c r="K501" s="877"/>
      <c r="L501" s="881"/>
      <c r="M501" s="881"/>
      <c r="N501" s="883"/>
      <c r="O501" s="55">
        <v>719</v>
      </c>
      <c r="P501" s="78"/>
    </row>
    <row r="502" spans="1:16" ht="14.25" customHeight="1" thickBot="1">
      <c r="A502" s="882"/>
      <c r="B502" s="934"/>
      <c r="C502" s="878"/>
      <c r="D502" s="882"/>
      <c r="E502" s="882"/>
      <c r="F502" s="884"/>
      <c r="G502" s="56">
        <v>721</v>
      </c>
      <c r="H502" s="79">
        <f>+F501-H501</f>
        <v>0</v>
      </c>
      <c r="I502" s="882"/>
      <c r="J502" s="876"/>
      <c r="K502" s="878"/>
      <c r="L502" s="882"/>
      <c r="M502" s="882"/>
      <c r="N502" s="884"/>
      <c r="O502" s="461">
        <v>723</v>
      </c>
      <c r="P502" s="79">
        <f>+N501</f>
        <v>0</v>
      </c>
    </row>
    <row r="503" spans="1:16" ht="16.5" thickBot="1">
      <c r="A503" s="901" t="s">
        <v>102</v>
      </c>
      <c r="B503" s="902"/>
      <c r="C503" s="902"/>
      <c r="D503" s="902"/>
      <c r="E503" s="903"/>
      <c r="F503" s="81">
        <f>SUM(F495:F502)</f>
        <v>180000</v>
      </c>
      <c r="I503" s="901" t="s">
        <v>102</v>
      </c>
      <c r="J503" s="902"/>
      <c r="K503" s="902"/>
      <c r="L503" s="902"/>
      <c r="M503" s="903"/>
      <c r="N503" s="81">
        <f>SUM(N495:N502)</f>
        <v>600000</v>
      </c>
    </row>
    <row r="504" spans="1:16" ht="16.5" thickBot="1">
      <c r="A504" s="885" t="s">
        <v>103</v>
      </c>
      <c r="B504" s="886"/>
      <c r="C504" s="886"/>
      <c r="D504" s="886"/>
      <c r="E504" s="887"/>
      <c r="F504" s="69">
        <f>+F470</f>
        <v>627256225</v>
      </c>
      <c r="I504" s="885" t="s">
        <v>103</v>
      </c>
      <c r="J504" s="886"/>
      <c r="K504" s="886"/>
      <c r="L504" s="886"/>
      <c r="M504" s="887"/>
      <c r="N504" s="239">
        <f>+N470</f>
        <v>317075692</v>
      </c>
      <c r="O504" s="241" t="s">
        <v>561</v>
      </c>
      <c r="P504" s="242"/>
    </row>
    <row r="505" spans="1:16" ht="16.5" thickBot="1">
      <c r="A505" s="888" t="s">
        <v>104</v>
      </c>
      <c r="B505" s="889"/>
      <c r="C505" s="889"/>
      <c r="D505" s="889"/>
      <c r="E505" s="890"/>
      <c r="F505" s="183">
        <f>SUM(F503:F504)</f>
        <v>627436225</v>
      </c>
      <c r="I505" s="888" t="s">
        <v>104</v>
      </c>
      <c r="J505" s="889"/>
      <c r="K505" s="889"/>
      <c r="L505" s="889"/>
      <c r="M505" s="890"/>
      <c r="N505" s="183">
        <f>SUM(N503:N504)</f>
        <v>317675692</v>
      </c>
    </row>
    <row r="506" spans="1:16" ht="9.75" customHeight="1">
      <c r="A506" s="61"/>
      <c r="B506" s="61"/>
      <c r="C506" s="61"/>
      <c r="D506" s="61"/>
      <c r="E506" s="61"/>
      <c r="I506" s="61"/>
      <c r="J506" s="61"/>
      <c r="K506" s="61"/>
      <c r="L506" s="61"/>
      <c r="M506" s="61"/>
    </row>
    <row r="507" spans="1:16">
      <c r="A507" s="51" t="s">
        <v>306</v>
      </c>
      <c r="I507" s="51" t="s">
        <v>1947</v>
      </c>
    </row>
    <row r="508" spans="1:16" ht="9.75" customHeight="1">
      <c r="F508" s="139"/>
      <c r="N508" s="139"/>
    </row>
    <row r="509" spans="1:16">
      <c r="A509" s="50" t="s">
        <v>105</v>
      </c>
      <c r="D509" s="146"/>
      <c r="F509" s="139"/>
      <c r="I509" s="50" t="s">
        <v>105</v>
      </c>
      <c r="L509" s="146"/>
      <c r="N509" s="139"/>
    </row>
    <row r="510" spans="1:16" ht="23.25" customHeight="1" thickBot="1"/>
    <row r="511" spans="1:16" ht="16.5" customHeight="1" thickBot="1">
      <c r="A511" s="891" t="s">
        <v>106</v>
      </c>
      <c r="B511" s="892"/>
      <c r="C511" s="892"/>
      <c r="D511" s="893"/>
      <c r="F511" s="50" t="s">
        <v>288</v>
      </c>
      <c r="I511" s="891" t="s">
        <v>106</v>
      </c>
      <c r="J511" s="892"/>
      <c r="K511" s="892"/>
      <c r="L511" s="893"/>
      <c r="N511" s="605" t="s">
        <v>288</v>
      </c>
      <c r="O511" s="605"/>
      <c r="P511" s="605"/>
    </row>
    <row r="512" spans="1:16" ht="27" customHeight="1" thickBot="1">
      <c r="A512" s="57" t="s">
        <v>100</v>
      </c>
      <c r="B512" s="58" t="s">
        <v>108</v>
      </c>
      <c r="C512" s="59" t="s">
        <v>109</v>
      </c>
      <c r="D512" s="60" t="s">
        <v>110</v>
      </c>
      <c r="I512" s="57" t="s">
        <v>100</v>
      </c>
      <c r="J512" s="58" t="s">
        <v>108</v>
      </c>
      <c r="K512" s="59" t="s">
        <v>109</v>
      </c>
      <c r="L512" s="60" t="s">
        <v>110</v>
      </c>
      <c r="N512" s="202"/>
      <c r="O512" s="202"/>
      <c r="P512" s="202"/>
    </row>
    <row r="513" spans="1:16" ht="12" customHeight="1">
      <c r="A513" s="71">
        <v>719</v>
      </c>
      <c r="B513" s="73" t="e">
        <f>+H495+H499+#REF!+#REF!+H501</f>
        <v>#REF!</v>
      </c>
      <c r="C513" s="74" t="e">
        <f>+D478</f>
        <v>#REF!</v>
      </c>
      <c r="D513" s="195" t="e">
        <f>+B513+C513</f>
        <v>#REF!</v>
      </c>
      <c r="I513" s="71">
        <v>719</v>
      </c>
      <c r="J513" s="73"/>
      <c r="K513" s="74">
        <f>+L478</f>
        <v>6540000</v>
      </c>
      <c r="L513" s="195">
        <f>+J513+K513</f>
        <v>6540000</v>
      </c>
      <c r="N513" s="202"/>
      <c r="O513" s="202"/>
      <c r="P513" s="202"/>
    </row>
    <row r="514" spans="1:16" ht="12" customHeight="1">
      <c r="A514" s="72">
        <v>721</v>
      </c>
      <c r="B514" s="80" t="e">
        <f>+H496+H500+#REF!+#REF!+H502</f>
        <v>#REF!</v>
      </c>
      <c r="C514" s="74" t="e">
        <f>+D479</f>
        <v>#REF!</v>
      </c>
      <c r="D514" s="195" t="e">
        <f>+B514+C514</f>
        <v>#REF!</v>
      </c>
      <c r="I514" s="72">
        <v>721</v>
      </c>
      <c r="J514" s="80"/>
      <c r="K514" s="74">
        <f>+L479</f>
        <v>735000</v>
      </c>
      <c r="L514" s="195">
        <f>+J514+K514</f>
        <v>735000</v>
      </c>
      <c r="N514" s="202"/>
      <c r="O514" s="202"/>
      <c r="P514" s="202"/>
    </row>
    <row r="515" spans="1:16" ht="14.25" customHeight="1">
      <c r="A515" s="72">
        <v>722</v>
      </c>
      <c r="B515" s="80"/>
      <c r="C515" s="74">
        <f>+D480</f>
        <v>231207671</v>
      </c>
      <c r="D515" s="195">
        <f>+B515+C515</f>
        <v>231207671</v>
      </c>
      <c r="I515" s="72">
        <v>722</v>
      </c>
      <c r="J515" s="80"/>
      <c r="K515" s="74">
        <f>+L480</f>
        <v>0</v>
      </c>
      <c r="L515" s="195">
        <f>+J515+K515</f>
        <v>0</v>
      </c>
      <c r="N515" s="202"/>
      <c r="O515" s="202"/>
      <c r="P515" s="202"/>
    </row>
    <row r="516" spans="1:16" ht="13.5" customHeight="1" thickBot="1">
      <c r="A516" s="72">
        <v>723</v>
      </c>
      <c r="B516" s="80"/>
      <c r="C516" s="74">
        <f>+D481</f>
        <v>321228837</v>
      </c>
      <c r="D516" s="195">
        <f>+B516+C516</f>
        <v>321228837</v>
      </c>
      <c r="F516" s="193" t="s">
        <v>289</v>
      </c>
      <c r="G516" s="175"/>
      <c r="I516" s="72">
        <v>723</v>
      </c>
      <c r="J516" s="80">
        <f>+P496+P500+P502</f>
        <v>600000</v>
      </c>
      <c r="K516" s="74">
        <f>+L481</f>
        <v>309800692</v>
      </c>
      <c r="L516" s="195">
        <f>+J516+K516</f>
        <v>310400692</v>
      </c>
      <c r="N516" s="918" t="s">
        <v>1696</v>
      </c>
      <c r="O516" s="608"/>
      <c r="P516" s="608"/>
    </row>
    <row r="517" spans="1:16" ht="13.5" hidden="1" customHeight="1">
      <c r="A517" s="164" t="s">
        <v>181</v>
      </c>
      <c r="B517" s="165"/>
      <c r="C517" s="74">
        <f>+D482</f>
        <v>1965625</v>
      </c>
      <c r="D517" s="196">
        <f>+B517+C517</f>
        <v>1965625</v>
      </c>
      <c r="F517" s="52"/>
      <c r="I517" s="164" t="s">
        <v>181</v>
      </c>
      <c r="J517" s="165"/>
      <c r="K517" s="74">
        <f>+L482</f>
        <v>0</v>
      </c>
      <c r="L517" s="196">
        <f>+J517+K517</f>
        <v>0</v>
      </c>
      <c r="N517" s="52"/>
    </row>
    <row r="518" spans="1:16" ht="15.75" customHeight="1" thickBot="1">
      <c r="A518" s="169"/>
      <c r="B518" s="170" t="e">
        <f>SUM(B513:B517)</f>
        <v>#REF!</v>
      </c>
      <c r="C518" s="171" t="e">
        <f>SUM(C513:C517)</f>
        <v>#REF!</v>
      </c>
      <c r="D518" s="172" t="e">
        <f>SUM(D513:D517)</f>
        <v>#REF!</v>
      </c>
      <c r="I518" s="169"/>
      <c r="J518" s="197">
        <f>SUM(J513:J517)</f>
        <v>600000</v>
      </c>
      <c r="K518" s="197">
        <f>SUM(K513:K517)</f>
        <v>317075692</v>
      </c>
      <c r="L518" s="198">
        <f>SUM(L513:L517)</f>
        <v>317675692</v>
      </c>
    </row>
    <row r="519" spans="1:16" ht="16.5">
      <c r="A519" s="49" t="s">
        <v>88</v>
      </c>
      <c r="B519" s="50"/>
      <c r="I519" s="49" t="s">
        <v>88</v>
      </c>
      <c r="J519" s="50"/>
    </row>
    <row r="520" spans="1:16">
      <c r="A520" s="51" t="s">
        <v>89</v>
      </c>
      <c r="I520" s="51" t="s">
        <v>89</v>
      </c>
    </row>
    <row r="521" spans="1:16">
      <c r="A521" s="51" t="s">
        <v>90</v>
      </c>
      <c r="I521" s="51" t="s">
        <v>90</v>
      </c>
    </row>
    <row r="522" spans="1:16">
      <c r="A522" s="51" t="s">
        <v>91</v>
      </c>
      <c r="I522" s="51" t="s">
        <v>91</v>
      </c>
    </row>
    <row r="523" spans="1:16" ht="11.25" customHeight="1">
      <c r="A523" s="50"/>
      <c r="B523" s="50"/>
      <c r="I523" s="50"/>
      <c r="J523" s="50"/>
    </row>
    <row r="524" spans="1:16" ht="16.5">
      <c r="A524" s="52" t="s">
        <v>308</v>
      </c>
      <c r="G524" s="52"/>
      <c r="I524" s="52" t="s">
        <v>638</v>
      </c>
      <c r="O524" s="52"/>
    </row>
    <row r="525" spans="1:16" ht="15.75">
      <c r="A525" s="53" t="s">
        <v>92</v>
      </c>
      <c r="G525" s="53"/>
      <c r="I525" s="53" t="s">
        <v>1866</v>
      </c>
      <c r="O525" s="53"/>
    </row>
    <row r="526" spans="1:16" ht="16.5">
      <c r="A526" s="894" t="s">
        <v>261</v>
      </c>
      <c r="B526" s="894"/>
      <c r="C526" s="894"/>
      <c r="D526" s="894"/>
      <c r="E526" s="894"/>
      <c r="F526" s="894"/>
      <c r="G526" s="894"/>
      <c r="H526" s="894"/>
      <c r="I526" s="894" t="s">
        <v>1795</v>
      </c>
      <c r="J526" s="894"/>
      <c r="K526" s="894"/>
      <c r="L526" s="894"/>
      <c r="M526" s="894"/>
      <c r="N526" s="894"/>
      <c r="O526" s="894"/>
      <c r="P526" s="894"/>
    </row>
    <row r="527" spans="1:16" ht="15.75" thickBot="1"/>
    <row r="528" spans="1:16">
      <c r="A528" s="895" t="s">
        <v>94</v>
      </c>
      <c r="B528" s="897" t="s">
        <v>95</v>
      </c>
      <c r="C528" s="897" t="s">
        <v>96</v>
      </c>
      <c r="D528" s="897" t="s">
        <v>3</v>
      </c>
      <c r="E528" s="897" t="s">
        <v>97</v>
      </c>
      <c r="F528" s="897" t="s">
        <v>98</v>
      </c>
      <c r="G528" s="897" t="s">
        <v>99</v>
      </c>
      <c r="H528" s="899"/>
      <c r="I528" s="895" t="s">
        <v>94</v>
      </c>
      <c r="J528" s="897" t="s">
        <v>95</v>
      </c>
      <c r="K528" s="897" t="s">
        <v>96</v>
      </c>
      <c r="L528" s="897" t="s">
        <v>3</v>
      </c>
      <c r="M528" s="897" t="s">
        <v>97</v>
      </c>
      <c r="N528" s="897" t="s">
        <v>98</v>
      </c>
      <c r="O528" s="897" t="s">
        <v>99</v>
      </c>
      <c r="P528" s="899"/>
    </row>
    <row r="529" spans="1:16" ht="15.75" thickBot="1">
      <c r="A529" s="896"/>
      <c r="B529" s="898"/>
      <c r="C529" s="898"/>
      <c r="D529" s="898"/>
      <c r="E529" s="898"/>
      <c r="F529" s="898"/>
      <c r="G529" s="240" t="s">
        <v>100</v>
      </c>
      <c r="H529" s="182" t="s">
        <v>101</v>
      </c>
      <c r="I529" s="896"/>
      <c r="J529" s="898"/>
      <c r="K529" s="898"/>
      <c r="L529" s="898"/>
      <c r="M529" s="898"/>
      <c r="N529" s="898"/>
      <c r="O529" s="240" t="s">
        <v>100</v>
      </c>
      <c r="P529" s="182" t="s">
        <v>101</v>
      </c>
    </row>
    <row r="530" spans="1:16" ht="12" customHeight="1">
      <c r="A530" s="881" t="e">
        <f>+#REF!+1</f>
        <v>#REF!</v>
      </c>
      <c r="B530" s="875">
        <v>42286</v>
      </c>
      <c r="C530" s="877" t="s">
        <v>267</v>
      </c>
      <c r="D530" s="881" t="s">
        <v>310</v>
      </c>
      <c r="E530" s="881" t="s">
        <v>148</v>
      </c>
      <c r="F530" s="883">
        <v>224000</v>
      </c>
      <c r="G530" s="55">
        <v>719</v>
      </c>
      <c r="H530" s="78">
        <v>160000</v>
      </c>
      <c r="I530" s="873" t="s">
        <v>653</v>
      </c>
      <c r="J530" s="875">
        <v>44039</v>
      </c>
      <c r="K530" s="877" t="s">
        <v>1948</v>
      </c>
      <c r="L530" s="881" t="s">
        <v>1949</v>
      </c>
      <c r="M530" s="881" t="s">
        <v>148</v>
      </c>
      <c r="N530" s="883">
        <v>2750000</v>
      </c>
      <c r="O530" s="55">
        <v>719</v>
      </c>
      <c r="P530" s="78">
        <v>0</v>
      </c>
    </row>
    <row r="531" spans="1:16" ht="13.5" customHeight="1" thickBot="1">
      <c r="A531" s="882"/>
      <c r="B531" s="934"/>
      <c r="C531" s="878"/>
      <c r="D531" s="882"/>
      <c r="E531" s="882"/>
      <c r="F531" s="884"/>
      <c r="G531" s="56">
        <v>721</v>
      </c>
      <c r="H531" s="79">
        <f>+F530-H530</f>
        <v>64000</v>
      </c>
      <c r="I531" s="882"/>
      <c r="J531" s="876"/>
      <c r="K531" s="878"/>
      <c r="L531" s="882"/>
      <c r="M531" s="882"/>
      <c r="N531" s="884"/>
      <c r="O531" s="56">
        <v>723</v>
      </c>
      <c r="P531" s="79">
        <f>+N530-P530</f>
        <v>2750000</v>
      </c>
    </row>
    <row r="532" spans="1:16" ht="13.5" customHeight="1">
      <c r="A532" s="881" t="e">
        <f>+A530+1</f>
        <v>#REF!</v>
      </c>
      <c r="B532" s="875">
        <v>42286</v>
      </c>
      <c r="C532" s="881" t="s">
        <v>28</v>
      </c>
      <c r="D532" s="881" t="s">
        <v>310</v>
      </c>
      <c r="E532" s="881" t="s">
        <v>148</v>
      </c>
      <c r="F532" s="883">
        <v>392000</v>
      </c>
      <c r="G532" s="55">
        <v>719</v>
      </c>
      <c r="H532" s="78">
        <v>280000</v>
      </c>
      <c r="I532" s="873"/>
      <c r="J532" s="875"/>
      <c r="K532" s="881"/>
      <c r="L532" s="881"/>
      <c r="M532" s="881"/>
      <c r="N532" s="883"/>
      <c r="O532" s="55">
        <v>719</v>
      </c>
      <c r="P532" s="78">
        <v>0</v>
      </c>
    </row>
    <row r="533" spans="1:16" ht="13.5" customHeight="1" thickBot="1">
      <c r="A533" s="882"/>
      <c r="B533" s="934"/>
      <c r="C533" s="882"/>
      <c r="D533" s="882"/>
      <c r="E533" s="882"/>
      <c r="F533" s="884"/>
      <c r="G533" s="56">
        <v>721</v>
      </c>
      <c r="H533" s="79">
        <f>+F532-H532</f>
        <v>112000</v>
      </c>
      <c r="I533" s="882"/>
      <c r="J533" s="876"/>
      <c r="K533" s="882"/>
      <c r="L533" s="882"/>
      <c r="M533" s="882"/>
      <c r="N533" s="884"/>
      <c r="O533" s="56">
        <v>721</v>
      </c>
      <c r="P533" s="79">
        <f>+N532-P532</f>
        <v>0</v>
      </c>
    </row>
    <row r="534" spans="1:16" ht="11.25" customHeight="1">
      <c r="A534" s="881" t="e">
        <f>+#REF!+1</f>
        <v>#REF!</v>
      </c>
      <c r="B534" s="875">
        <v>42286</v>
      </c>
      <c r="C534" s="877" t="s">
        <v>111</v>
      </c>
      <c r="D534" s="881" t="s">
        <v>311</v>
      </c>
      <c r="E534" s="881" t="s">
        <v>148</v>
      </c>
      <c r="F534" s="883">
        <v>84000</v>
      </c>
      <c r="G534" s="55">
        <v>719</v>
      </c>
      <c r="H534" s="78">
        <v>60000</v>
      </c>
      <c r="I534" s="873"/>
      <c r="J534" s="875"/>
      <c r="K534" s="881"/>
      <c r="L534" s="881"/>
      <c r="M534" s="881"/>
      <c r="N534" s="883"/>
      <c r="O534" s="55">
        <v>723</v>
      </c>
      <c r="P534" s="78"/>
    </row>
    <row r="535" spans="1:16" ht="14.25" customHeight="1" thickBot="1">
      <c r="A535" s="882"/>
      <c r="B535" s="934"/>
      <c r="C535" s="878"/>
      <c r="D535" s="882"/>
      <c r="E535" s="882"/>
      <c r="F535" s="884"/>
      <c r="G535" s="56">
        <v>721</v>
      </c>
      <c r="H535" s="79">
        <f>+F534-H534</f>
        <v>24000</v>
      </c>
      <c r="I535" s="882"/>
      <c r="J535" s="876"/>
      <c r="K535" s="882"/>
      <c r="L535" s="882"/>
      <c r="M535" s="882"/>
      <c r="N535" s="884"/>
      <c r="O535" s="56">
        <v>721</v>
      </c>
      <c r="P535" s="79">
        <f>+N534-P534</f>
        <v>0</v>
      </c>
    </row>
    <row r="536" spans="1:16" ht="11.25" customHeight="1">
      <c r="A536" s="881" t="e">
        <f>+A534+1</f>
        <v>#REF!</v>
      </c>
      <c r="B536" s="875">
        <v>42286</v>
      </c>
      <c r="C536" s="877" t="s">
        <v>272</v>
      </c>
      <c r="D536" s="881" t="s">
        <v>310</v>
      </c>
      <c r="E536" s="881" t="s">
        <v>148</v>
      </c>
      <c r="F536" s="883">
        <v>868000</v>
      </c>
      <c r="G536" s="55">
        <v>719</v>
      </c>
      <c r="H536" s="78">
        <v>620000</v>
      </c>
      <c r="I536" s="873"/>
      <c r="J536" s="875"/>
      <c r="K536" s="877"/>
      <c r="L536" s="881"/>
      <c r="M536" s="881"/>
      <c r="N536" s="883"/>
      <c r="O536" s="55">
        <v>723</v>
      </c>
      <c r="P536" s="78"/>
    </row>
    <row r="537" spans="1:16" ht="12.75" customHeight="1" thickBot="1">
      <c r="A537" s="882"/>
      <c r="B537" s="934"/>
      <c r="C537" s="878"/>
      <c r="D537" s="882"/>
      <c r="E537" s="882"/>
      <c r="F537" s="884"/>
      <c r="G537" s="56">
        <v>721</v>
      </c>
      <c r="H537" s="79">
        <f>+F536-H536</f>
        <v>248000</v>
      </c>
      <c r="I537" s="882"/>
      <c r="J537" s="876"/>
      <c r="K537" s="878"/>
      <c r="L537" s="882"/>
      <c r="M537" s="882"/>
      <c r="N537" s="884"/>
      <c r="O537" s="56">
        <v>721</v>
      </c>
      <c r="P537" s="79">
        <f>+N536-P536</f>
        <v>0</v>
      </c>
    </row>
    <row r="538" spans="1:16" ht="16.5" thickBot="1">
      <c r="A538" s="901" t="s">
        <v>102</v>
      </c>
      <c r="B538" s="902"/>
      <c r="C538" s="902"/>
      <c r="D538" s="902"/>
      <c r="E538" s="903"/>
      <c r="F538" s="81">
        <f>SUM(F530:F537)</f>
        <v>1568000</v>
      </c>
      <c r="I538" s="901" t="s">
        <v>102</v>
      </c>
      <c r="J538" s="902"/>
      <c r="K538" s="902"/>
      <c r="L538" s="902"/>
      <c r="M538" s="903"/>
      <c r="N538" s="81">
        <f>SUM(N530:N537)</f>
        <v>2750000</v>
      </c>
    </row>
    <row r="539" spans="1:16" ht="16.5" thickBot="1">
      <c r="A539" s="885" t="s">
        <v>103</v>
      </c>
      <c r="B539" s="886"/>
      <c r="C539" s="886"/>
      <c r="D539" s="886"/>
      <c r="E539" s="887"/>
      <c r="F539" s="69">
        <f>+F505</f>
        <v>627436225</v>
      </c>
      <c r="I539" s="885" t="s">
        <v>103</v>
      </c>
      <c r="J539" s="886"/>
      <c r="K539" s="886"/>
      <c r="L539" s="886"/>
      <c r="M539" s="887"/>
      <c r="N539" s="239">
        <f>+N505</f>
        <v>317675692</v>
      </c>
      <c r="O539" s="241" t="s">
        <v>561</v>
      </c>
      <c r="P539" s="242">
        <f>542+280</f>
        <v>822</v>
      </c>
    </row>
    <row r="540" spans="1:16" ht="16.5" thickBot="1">
      <c r="A540" s="888" t="s">
        <v>104</v>
      </c>
      <c r="B540" s="889"/>
      <c r="C540" s="889"/>
      <c r="D540" s="889"/>
      <c r="E540" s="890"/>
      <c r="F540" s="183">
        <f>SUM(F538:F539)</f>
        <v>629004225</v>
      </c>
      <c r="I540" s="888" t="s">
        <v>104</v>
      </c>
      <c r="J540" s="889"/>
      <c r="K540" s="889"/>
      <c r="L540" s="889"/>
      <c r="M540" s="890"/>
      <c r="N540" s="183">
        <f>SUM(N538:N539)</f>
        <v>320425692</v>
      </c>
    </row>
    <row r="541" spans="1:16" ht="6.75" customHeight="1">
      <c r="A541" s="61"/>
      <c r="B541" s="61"/>
      <c r="C541" s="61"/>
      <c r="D541" s="61"/>
      <c r="E541" s="61"/>
      <c r="I541" s="61"/>
      <c r="J541" s="61"/>
      <c r="K541" s="61"/>
      <c r="L541" s="61"/>
      <c r="M541" s="61"/>
    </row>
    <row r="542" spans="1:16">
      <c r="A542" s="51" t="s">
        <v>312</v>
      </c>
      <c r="I542" s="51" t="s">
        <v>1950</v>
      </c>
    </row>
    <row r="543" spans="1:16" ht="5.25" customHeight="1">
      <c r="F543" s="139"/>
      <c r="N543" s="139"/>
    </row>
    <row r="544" spans="1:16">
      <c r="A544" s="50" t="s">
        <v>105</v>
      </c>
      <c r="D544" s="146"/>
      <c r="F544" s="139"/>
      <c r="I544" s="50" t="s">
        <v>105</v>
      </c>
      <c r="L544" s="146"/>
      <c r="N544" s="139"/>
    </row>
    <row r="545" spans="1:16" ht="12.75" customHeight="1" thickBot="1"/>
    <row r="546" spans="1:16" ht="17.25" thickBot="1">
      <c r="A546" s="891" t="s">
        <v>106</v>
      </c>
      <c r="B546" s="892"/>
      <c r="C546" s="892"/>
      <c r="D546" s="893"/>
      <c r="F546" s="50" t="s">
        <v>288</v>
      </c>
      <c r="I546" s="891" t="s">
        <v>106</v>
      </c>
      <c r="J546" s="892"/>
      <c r="K546" s="892"/>
      <c r="L546" s="893"/>
      <c r="N546" s="605" t="s">
        <v>288</v>
      </c>
      <c r="O546" s="605"/>
      <c r="P546" s="605"/>
    </row>
    <row r="547" spans="1:16" ht="30.75" thickBot="1">
      <c r="A547" s="57" t="s">
        <v>100</v>
      </c>
      <c r="B547" s="58" t="s">
        <v>108</v>
      </c>
      <c r="C547" s="59" t="s">
        <v>109</v>
      </c>
      <c r="D547" s="60" t="s">
        <v>110</v>
      </c>
      <c r="I547" s="57" t="s">
        <v>100</v>
      </c>
      <c r="J547" s="58" t="s">
        <v>108</v>
      </c>
      <c r="K547" s="59" t="s">
        <v>109</v>
      </c>
      <c r="L547" s="60" t="s">
        <v>110</v>
      </c>
      <c r="N547" s="202"/>
      <c r="O547" s="202"/>
      <c r="P547" s="202"/>
    </row>
    <row r="548" spans="1:16" ht="14.25" customHeight="1">
      <c r="A548" s="71">
        <v>719</v>
      </c>
      <c r="B548" s="73" t="e">
        <f>+H530+H532+#REF!+H534+H536</f>
        <v>#REF!</v>
      </c>
      <c r="C548" s="74" t="e">
        <f>+D513</f>
        <v>#REF!</v>
      </c>
      <c r="D548" s="195" t="e">
        <f>+B548+C548</f>
        <v>#REF!</v>
      </c>
      <c r="I548" s="71">
        <v>719</v>
      </c>
      <c r="J548" s="73">
        <f>+P530+P532</f>
        <v>0</v>
      </c>
      <c r="K548" s="74">
        <f>+L513</f>
        <v>6540000</v>
      </c>
      <c r="L548" s="195">
        <f>+J548+K548</f>
        <v>6540000</v>
      </c>
      <c r="N548" s="202"/>
      <c r="O548" s="202"/>
      <c r="P548" s="202"/>
    </row>
    <row r="549" spans="1:16" ht="16.5">
      <c r="A549" s="72">
        <v>721</v>
      </c>
      <c r="B549" s="80" t="e">
        <f>+H531+H533+#REF!+H535+H537</f>
        <v>#REF!</v>
      </c>
      <c r="C549" s="74" t="e">
        <f>+D514</f>
        <v>#REF!</v>
      </c>
      <c r="D549" s="195" t="e">
        <f>+B549+C549</f>
        <v>#REF!</v>
      </c>
      <c r="I549" s="72">
        <v>721</v>
      </c>
      <c r="J549" s="80"/>
      <c r="K549" s="74">
        <f>+L514</f>
        <v>735000</v>
      </c>
      <c r="L549" s="195">
        <f>+J549+K549</f>
        <v>735000</v>
      </c>
      <c r="N549" s="202"/>
      <c r="O549" s="202"/>
      <c r="P549" s="202"/>
    </row>
    <row r="550" spans="1:16" ht="12" customHeight="1">
      <c r="A550" s="72">
        <v>722</v>
      </c>
      <c r="B550" s="80"/>
      <c r="C550" s="74">
        <f>+D515</f>
        <v>231207671</v>
      </c>
      <c r="D550" s="195">
        <f>+B550+C550</f>
        <v>231207671</v>
      </c>
      <c r="I550" s="72">
        <v>722</v>
      </c>
      <c r="J550" s="80"/>
      <c r="K550" s="74">
        <f>+L515</f>
        <v>0</v>
      </c>
      <c r="L550" s="195">
        <f>+J550+K550</f>
        <v>0</v>
      </c>
      <c r="N550" s="202"/>
      <c r="O550" s="202"/>
      <c r="P550" s="202"/>
    </row>
    <row r="551" spans="1:16" ht="16.5" thickBot="1">
      <c r="A551" s="72">
        <v>723</v>
      </c>
      <c r="B551" s="80"/>
      <c r="C551" s="74">
        <f>+D516</f>
        <v>321228837</v>
      </c>
      <c r="D551" s="195">
        <f>+B551+C551</f>
        <v>321228837</v>
      </c>
      <c r="F551" s="193" t="s">
        <v>289</v>
      </c>
      <c r="G551" s="175"/>
      <c r="I551" s="72">
        <v>723</v>
      </c>
      <c r="J551" s="80">
        <f>+P531</f>
        <v>2750000</v>
      </c>
      <c r="K551" s="74">
        <f>+L516</f>
        <v>310400692</v>
      </c>
      <c r="L551" s="195">
        <f>+J551+K551</f>
        <v>313150692</v>
      </c>
      <c r="N551" s="918" t="s">
        <v>1696</v>
      </c>
      <c r="O551" s="608"/>
      <c r="P551" s="608"/>
    </row>
    <row r="552" spans="1:16" ht="18" customHeight="1" thickBot="1">
      <c r="A552" s="169"/>
      <c r="B552" s="170" t="e">
        <f>SUM(B548:B551)</f>
        <v>#REF!</v>
      </c>
      <c r="C552" s="171" t="e">
        <f>SUM(C548:C551)</f>
        <v>#REF!</v>
      </c>
      <c r="D552" s="172" t="e">
        <f>SUM(D548:D551)</f>
        <v>#REF!</v>
      </c>
      <c r="I552" s="169"/>
      <c r="J552" s="470">
        <f>SUM(J548:J551)</f>
        <v>2750000</v>
      </c>
      <c r="K552" s="470">
        <f>SUM(K548:K551)</f>
        <v>317675692</v>
      </c>
      <c r="L552" s="198">
        <f>SUM(L548:L551)</f>
        <v>320425692</v>
      </c>
    </row>
    <row r="553" spans="1:16" ht="16.5">
      <c r="A553" s="49" t="s">
        <v>88</v>
      </c>
      <c r="B553" s="50"/>
      <c r="I553" s="49" t="s">
        <v>88</v>
      </c>
      <c r="J553" s="50"/>
    </row>
    <row r="554" spans="1:16">
      <c r="A554" s="51" t="s">
        <v>89</v>
      </c>
      <c r="I554" s="51" t="s">
        <v>89</v>
      </c>
    </row>
    <row r="555" spans="1:16">
      <c r="A555" s="51" t="s">
        <v>90</v>
      </c>
      <c r="I555" s="51" t="s">
        <v>90</v>
      </c>
    </row>
    <row r="556" spans="1:16">
      <c r="A556" s="51" t="s">
        <v>91</v>
      </c>
      <c r="I556" s="51" t="s">
        <v>91</v>
      </c>
    </row>
    <row r="557" spans="1:16" ht="4.5" customHeight="1">
      <c r="A557" s="50"/>
      <c r="B557" s="50"/>
      <c r="I557" s="50"/>
      <c r="J557" s="50"/>
    </row>
    <row r="558" spans="1:16" ht="16.5">
      <c r="A558" s="52" t="s">
        <v>309</v>
      </c>
      <c r="G558" s="52"/>
      <c r="I558" s="52" t="s">
        <v>639</v>
      </c>
      <c r="O558" s="52"/>
    </row>
    <row r="559" spans="1:16" ht="15.75">
      <c r="A559" s="53" t="s">
        <v>92</v>
      </c>
      <c r="G559" s="53"/>
      <c r="I559" s="53" t="s">
        <v>1866</v>
      </c>
      <c r="O559" s="53"/>
    </row>
    <row r="560" spans="1:16" ht="15" customHeight="1">
      <c r="A560" s="894" t="s">
        <v>261</v>
      </c>
      <c r="B560" s="894"/>
      <c r="C560" s="894"/>
      <c r="D560" s="894"/>
      <c r="E560" s="894"/>
      <c r="F560" s="894"/>
      <c r="G560" s="894"/>
      <c r="H560" s="894"/>
      <c r="I560" s="894" t="s">
        <v>228</v>
      </c>
      <c r="J560" s="894"/>
      <c r="K560" s="894"/>
      <c r="L560" s="894"/>
      <c r="M560" s="894"/>
      <c r="N560" s="894"/>
      <c r="O560" s="894"/>
      <c r="P560" s="894"/>
    </row>
    <row r="561" spans="1:16" ht="9.75" customHeight="1" thickBot="1"/>
    <row r="562" spans="1:16">
      <c r="A562" s="895" t="s">
        <v>94</v>
      </c>
      <c r="B562" s="897" t="s">
        <v>95</v>
      </c>
      <c r="C562" s="897" t="s">
        <v>96</v>
      </c>
      <c r="D562" s="897" t="s">
        <v>3</v>
      </c>
      <c r="E562" s="897" t="s">
        <v>97</v>
      </c>
      <c r="F562" s="897" t="s">
        <v>98</v>
      </c>
      <c r="G562" s="897" t="s">
        <v>99</v>
      </c>
      <c r="H562" s="899"/>
      <c r="I562" s="895" t="s">
        <v>94</v>
      </c>
      <c r="J562" s="897" t="s">
        <v>95</v>
      </c>
      <c r="K562" s="897" t="s">
        <v>96</v>
      </c>
      <c r="L562" s="897" t="s">
        <v>3</v>
      </c>
      <c r="M562" s="897" t="s">
        <v>97</v>
      </c>
      <c r="N562" s="897" t="s">
        <v>98</v>
      </c>
      <c r="O562" s="897" t="s">
        <v>99</v>
      </c>
      <c r="P562" s="899"/>
    </row>
    <row r="563" spans="1:16" ht="15.75" thickBot="1">
      <c r="A563" s="896"/>
      <c r="B563" s="898"/>
      <c r="C563" s="898"/>
      <c r="D563" s="898"/>
      <c r="E563" s="898"/>
      <c r="F563" s="898"/>
      <c r="G563" s="240" t="s">
        <v>100</v>
      </c>
      <c r="H563" s="182" t="s">
        <v>101</v>
      </c>
      <c r="I563" s="896"/>
      <c r="J563" s="898"/>
      <c r="K563" s="898"/>
      <c r="L563" s="898"/>
      <c r="M563" s="898"/>
      <c r="N563" s="898"/>
      <c r="O563" s="240" t="s">
        <v>100</v>
      </c>
      <c r="P563" s="182" t="s">
        <v>101</v>
      </c>
    </row>
    <row r="564" spans="1:16" ht="13.5" customHeight="1">
      <c r="A564" s="881" t="e">
        <f>+A536+1</f>
        <v>#REF!</v>
      </c>
      <c r="B564" s="875">
        <v>42286</v>
      </c>
      <c r="C564" s="877" t="s">
        <v>272</v>
      </c>
      <c r="D564" s="881" t="s">
        <v>313</v>
      </c>
      <c r="E564" s="881" t="s">
        <v>115</v>
      </c>
      <c r="F564" s="883">
        <v>50000</v>
      </c>
      <c r="G564" s="55">
        <v>719</v>
      </c>
      <c r="H564" s="78">
        <v>50000</v>
      </c>
      <c r="I564" s="873" t="s">
        <v>654</v>
      </c>
      <c r="J564" s="875">
        <v>44042</v>
      </c>
      <c r="K564" s="877" t="s">
        <v>1956</v>
      </c>
      <c r="L564" s="881" t="s">
        <v>1953</v>
      </c>
      <c r="M564" s="881" t="s">
        <v>148</v>
      </c>
      <c r="N564" s="883">
        <v>2700000</v>
      </c>
      <c r="O564" s="55">
        <v>723</v>
      </c>
      <c r="P564" s="78">
        <f>+N564</f>
        <v>2700000</v>
      </c>
    </row>
    <row r="565" spans="1:16" ht="12.75" customHeight="1" thickBot="1">
      <c r="A565" s="882"/>
      <c r="B565" s="876"/>
      <c r="C565" s="878"/>
      <c r="D565" s="882"/>
      <c r="E565" s="882"/>
      <c r="F565" s="884"/>
      <c r="G565" s="56">
        <v>721</v>
      </c>
      <c r="H565" s="79">
        <f>+F564-H564</f>
        <v>0</v>
      </c>
      <c r="I565" s="882"/>
      <c r="J565" s="876"/>
      <c r="K565" s="878"/>
      <c r="L565" s="882"/>
      <c r="M565" s="882"/>
      <c r="N565" s="884"/>
      <c r="O565" s="56">
        <v>721</v>
      </c>
      <c r="P565" s="79">
        <f>+N564-P564</f>
        <v>0</v>
      </c>
    </row>
    <row r="566" spans="1:16" ht="12.75" customHeight="1">
      <c r="A566" s="881" t="e">
        <f>+A564+1</f>
        <v>#REF!</v>
      </c>
      <c r="B566" s="875">
        <v>42286</v>
      </c>
      <c r="C566" s="881" t="s">
        <v>28</v>
      </c>
      <c r="D566" s="881" t="s">
        <v>314</v>
      </c>
      <c r="E566" s="881" t="s">
        <v>115</v>
      </c>
      <c r="F566" s="883">
        <v>20000</v>
      </c>
      <c r="G566" s="55">
        <v>719</v>
      </c>
      <c r="H566" s="78">
        <v>20000</v>
      </c>
      <c r="I566" s="873"/>
      <c r="J566" s="875"/>
      <c r="K566" s="881"/>
      <c r="L566" s="881"/>
      <c r="M566" s="881"/>
      <c r="N566" s="883"/>
      <c r="O566" s="55">
        <v>719</v>
      </c>
      <c r="P566" s="78">
        <f>+N566</f>
        <v>0</v>
      </c>
    </row>
    <row r="567" spans="1:16" ht="12.75" customHeight="1" thickBot="1">
      <c r="A567" s="882"/>
      <c r="B567" s="876"/>
      <c r="C567" s="882"/>
      <c r="D567" s="882"/>
      <c r="E567" s="882"/>
      <c r="F567" s="884"/>
      <c r="G567" s="56">
        <v>721</v>
      </c>
      <c r="H567" s="79">
        <f>+F566-H566</f>
        <v>0</v>
      </c>
      <c r="I567" s="882"/>
      <c r="J567" s="876"/>
      <c r="K567" s="882"/>
      <c r="L567" s="882"/>
      <c r="M567" s="882"/>
      <c r="N567" s="884"/>
      <c r="O567" s="56">
        <v>721</v>
      </c>
      <c r="P567" s="79"/>
    </row>
    <row r="568" spans="1:16" ht="15" customHeight="1" thickBot="1">
      <c r="A568" s="881" t="e">
        <f>+A566+1</f>
        <v>#REF!</v>
      </c>
      <c r="B568" s="875">
        <v>42286</v>
      </c>
      <c r="C568" s="877" t="s">
        <v>32</v>
      </c>
      <c r="D568" s="881" t="s">
        <v>315</v>
      </c>
      <c r="E568" s="881" t="s">
        <v>115</v>
      </c>
      <c r="F568" s="883">
        <v>60000</v>
      </c>
      <c r="G568" s="55">
        <v>719</v>
      </c>
      <c r="H568" s="78">
        <v>60000</v>
      </c>
      <c r="I568" s="873"/>
      <c r="J568" s="875"/>
      <c r="K568" s="877"/>
      <c r="L568" s="881"/>
      <c r="M568" s="881"/>
      <c r="N568" s="883"/>
      <c r="O568" s="55">
        <v>719</v>
      </c>
      <c r="P568" s="78">
        <f>+N568</f>
        <v>0</v>
      </c>
    </row>
    <row r="569" spans="1:16" ht="15.75" hidden="1" customHeight="1" thickBot="1">
      <c r="A569" s="882"/>
      <c r="B569" s="876"/>
      <c r="C569" s="878"/>
      <c r="D569" s="882"/>
      <c r="E569" s="882"/>
      <c r="F569" s="884"/>
      <c r="G569" s="56">
        <v>721</v>
      </c>
      <c r="H569" s="79">
        <f>+F568-H568</f>
        <v>0</v>
      </c>
      <c r="I569" s="882"/>
      <c r="J569" s="876"/>
      <c r="K569" s="878"/>
      <c r="L569" s="882"/>
      <c r="M569" s="882"/>
      <c r="N569" s="884"/>
      <c r="O569" s="56">
        <v>721</v>
      </c>
      <c r="P569" s="79">
        <f>+N568-P568</f>
        <v>0</v>
      </c>
    </row>
    <row r="570" spans="1:16" ht="15" customHeight="1">
      <c r="A570" s="881" t="e">
        <f>+A568+1</f>
        <v>#REF!</v>
      </c>
      <c r="B570" s="875">
        <v>42286</v>
      </c>
      <c r="C570" s="877" t="s">
        <v>120</v>
      </c>
      <c r="D570" s="881" t="s">
        <v>316</v>
      </c>
      <c r="E570" s="881" t="s">
        <v>115</v>
      </c>
      <c r="F570" s="883">
        <v>10000</v>
      </c>
      <c r="G570" s="55">
        <v>719</v>
      </c>
      <c r="H570" s="78">
        <v>10000</v>
      </c>
      <c r="I570" s="873"/>
      <c r="J570" s="875"/>
      <c r="K570" s="877"/>
      <c r="L570" s="881"/>
      <c r="M570" s="881"/>
      <c r="N570" s="883"/>
      <c r="O570" s="55">
        <v>723</v>
      </c>
      <c r="P570" s="78">
        <f>+N570</f>
        <v>0</v>
      </c>
    </row>
    <row r="571" spans="1:16" ht="12.75" customHeight="1" thickBot="1">
      <c r="A571" s="882"/>
      <c r="B571" s="876"/>
      <c r="C571" s="878"/>
      <c r="D571" s="882"/>
      <c r="E571" s="882"/>
      <c r="F571" s="884"/>
      <c r="G571" s="56">
        <v>721</v>
      </c>
      <c r="H571" s="79">
        <f>+F570-H570</f>
        <v>0</v>
      </c>
      <c r="I571" s="882"/>
      <c r="J571" s="876"/>
      <c r="K571" s="878"/>
      <c r="L571" s="882"/>
      <c r="M571" s="882"/>
      <c r="N571" s="884"/>
      <c r="O571" s="56">
        <v>721</v>
      </c>
      <c r="P571" s="79">
        <f>+N570-P570</f>
        <v>0</v>
      </c>
    </row>
    <row r="572" spans="1:16" ht="16.5" thickBot="1">
      <c r="A572" s="901" t="s">
        <v>102</v>
      </c>
      <c r="B572" s="902"/>
      <c r="C572" s="902"/>
      <c r="D572" s="902"/>
      <c r="E572" s="903"/>
      <c r="F572" s="81">
        <f>SUM(F564:F571)</f>
        <v>140000</v>
      </c>
      <c r="I572" s="901" t="s">
        <v>102</v>
      </c>
      <c r="J572" s="902"/>
      <c r="K572" s="902"/>
      <c r="L572" s="902"/>
      <c r="M572" s="903"/>
      <c r="N572" s="81">
        <f>SUM(N564:N571)</f>
        <v>2700000</v>
      </c>
    </row>
    <row r="573" spans="1:16" ht="16.5" thickBot="1">
      <c r="A573" s="885" t="s">
        <v>103</v>
      </c>
      <c r="B573" s="886"/>
      <c r="C573" s="886"/>
      <c r="D573" s="886"/>
      <c r="E573" s="887"/>
      <c r="F573" s="69">
        <f>+F540</f>
        <v>629004225</v>
      </c>
      <c r="I573" s="885" t="s">
        <v>103</v>
      </c>
      <c r="J573" s="886"/>
      <c r="K573" s="886"/>
      <c r="L573" s="886"/>
      <c r="M573" s="887"/>
      <c r="N573" s="239">
        <f>+N540</f>
        <v>320425692</v>
      </c>
      <c r="O573" s="241" t="s">
        <v>561</v>
      </c>
      <c r="P573" s="242">
        <f>1904+267</f>
        <v>2171</v>
      </c>
    </row>
    <row r="574" spans="1:16" ht="14.25" customHeight="1" thickBot="1">
      <c r="A574" s="888" t="s">
        <v>104</v>
      </c>
      <c r="B574" s="889"/>
      <c r="C574" s="889"/>
      <c r="D574" s="889"/>
      <c r="E574" s="890"/>
      <c r="F574" s="183">
        <f>SUM(F572:F573)</f>
        <v>629144225</v>
      </c>
      <c r="I574" s="888" t="s">
        <v>104</v>
      </c>
      <c r="J574" s="889"/>
      <c r="K574" s="889"/>
      <c r="L574" s="889"/>
      <c r="M574" s="890"/>
      <c r="N574" s="183">
        <f>SUM(N572:N573)</f>
        <v>323125692</v>
      </c>
    </row>
    <row r="575" spans="1:16" ht="9.75" customHeight="1">
      <c r="A575" s="61"/>
      <c r="B575" s="61"/>
      <c r="C575" s="61"/>
      <c r="D575" s="61"/>
      <c r="E575" s="61"/>
      <c r="I575" s="61"/>
      <c r="J575" s="61"/>
      <c r="K575" s="61"/>
      <c r="L575" s="61"/>
      <c r="M575" s="61"/>
    </row>
    <row r="576" spans="1:16">
      <c r="A576" s="51" t="s">
        <v>317</v>
      </c>
      <c r="I576" s="51" t="s">
        <v>1957</v>
      </c>
    </row>
    <row r="577" spans="1:16" ht="8.25" customHeight="1">
      <c r="F577" s="139"/>
      <c r="N577" s="139"/>
    </row>
    <row r="578" spans="1:16">
      <c r="A578" s="50" t="s">
        <v>105</v>
      </c>
      <c r="D578" s="146"/>
      <c r="F578" s="139"/>
      <c r="I578" s="50" t="s">
        <v>105</v>
      </c>
      <c r="L578" s="146"/>
      <c r="N578" s="139"/>
    </row>
    <row r="579" spans="1:16" ht="8.25" customHeight="1" thickBot="1"/>
    <row r="580" spans="1:16" ht="17.25" thickBot="1">
      <c r="A580" s="891" t="s">
        <v>106</v>
      </c>
      <c r="B580" s="892"/>
      <c r="C580" s="892"/>
      <c r="D580" s="893"/>
      <c r="F580" s="50" t="s">
        <v>288</v>
      </c>
      <c r="I580" s="891" t="s">
        <v>106</v>
      </c>
      <c r="J580" s="892"/>
      <c r="K580" s="892"/>
      <c r="L580" s="893"/>
      <c r="N580" s="605" t="s">
        <v>288</v>
      </c>
      <c r="O580" s="605"/>
      <c r="P580" s="605"/>
    </row>
    <row r="581" spans="1:16" ht="29.25" customHeight="1" thickBot="1">
      <c r="A581" s="57" t="s">
        <v>100</v>
      </c>
      <c r="B581" s="58" t="s">
        <v>108</v>
      </c>
      <c r="C581" s="59" t="s">
        <v>109</v>
      </c>
      <c r="D581" s="60" t="s">
        <v>110</v>
      </c>
      <c r="I581" s="57" t="s">
        <v>100</v>
      </c>
      <c r="J581" s="58" t="s">
        <v>108</v>
      </c>
      <c r="K581" s="59" t="s">
        <v>109</v>
      </c>
      <c r="L581" s="60" t="s">
        <v>110</v>
      </c>
      <c r="N581" s="202"/>
      <c r="O581" s="202"/>
      <c r="P581" s="202"/>
    </row>
    <row r="582" spans="1:16" ht="16.5">
      <c r="A582" s="71">
        <v>719</v>
      </c>
      <c r="B582" s="73" t="e">
        <f>+H564+H566+H568+H570+#REF!</f>
        <v>#REF!</v>
      </c>
      <c r="C582" s="74" t="e">
        <f>+D548</f>
        <v>#REF!</v>
      </c>
      <c r="D582" s="195" t="e">
        <f>+B582+C582</f>
        <v>#REF!</v>
      </c>
      <c r="I582" s="71">
        <v>719</v>
      </c>
      <c r="J582" s="73"/>
      <c r="K582" s="74">
        <f>+L548</f>
        <v>6540000</v>
      </c>
      <c r="L582" s="195">
        <f>+J582+K582</f>
        <v>6540000</v>
      </c>
      <c r="N582" s="202"/>
      <c r="O582" s="202"/>
      <c r="P582" s="202"/>
    </row>
    <row r="583" spans="1:16" ht="12.75" customHeight="1">
      <c r="A583" s="72">
        <v>721</v>
      </c>
      <c r="B583" s="80" t="e">
        <f>+H565+H567+H569+H571+#REF!</f>
        <v>#REF!</v>
      </c>
      <c r="C583" s="74" t="e">
        <f>+D549</f>
        <v>#REF!</v>
      </c>
      <c r="D583" s="195" t="e">
        <f>+B583+C583</f>
        <v>#REF!</v>
      </c>
      <c r="I583" s="72">
        <v>721</v>
      </c>
      <c r="J583" s="80"/>
      <c r="K583" s="74">
        <f>+L549</f>
        <v>735000</v>
      </c>
      <c r="L583" s="195">
        <f>+J583+K583</f>
        <v>735000</v>
      </c>
      <c r="N583" s="202"/>
      <c r="O583" s="202"/>
      <c r="P583" s="202"/>
    </row>
    <row r="584" spans="1:16" ht="12.75" customHeight="1">
      <c r="A584" s="72">
        <v>722</v>
      </c>
      <c r="B584" s="80"/>
      <c r="C584" s="74">
        <f>+D550</f>
        <v>231207671</v>
      </c>
      <c r="D584" s="195">
        <f>+B584+C584</f>
        <v>231207671</v>
      </c>
      <c r="I584" s="72">
        <v>722</v>
      </c>
      <c r="J584" s="80"/>
      <c r="K584" s="74">
        <f>+L550</f>
        <v>0</v>
      </c>
      <c r="L584" s="195">
        <f>+J584+K584</f>
        <v>0</v>
      </c>
      <c r="N584" s="202"/>
      <c r="O584" s="202"/>
      <c r="P584" s="202"/>
    </row>
    <row r="585" spans="1:16" ht="14.25" customHeight="1" thickBot="1">
      <c r="A585" s="72">
        <v>723</v>
      </c>
      <c r="B585" s="80"/>
      <c r="C585" s="74">
        <f>+D551</f>
        <v>321228837</v>
      </c>
      <c r="D585" s="195">
        <f>+B585+C585</f>
        <v>321228837</v>
      </c>
      <c r="F585" s="193" t="s">
        <v>289</v>
      </c>
      <c r="G585" s="175"/>
      <c r="I585" s="72">
        <v>723</v>
      </c>
      <c r="J585" s="80">
        <f>+P564</f>
        <v>2700000</v>
      </c>
      <c r="K585" s="74">
        <f>+L551</f>
        <v>313150692</v>
      </c>
      <c r="L585" s="195">
        <f>+J585+K585</f>
        <v>315850692</v>
      </c>
      <c r="N585" s="918" t="s">
        <v>1696</v>
      </c>
      <c r="O585" s="608"/>
      <c r="P585" s="608"/>
    </row>
    <row r="586" spans="1:16" ht="18" customHeight="1" thickBot="1">
      <c r="A586" s="169"/>
      <c r="B586" s="197" t="e">
        <f>SUM(B582:B585)</f>
        <v>#REF!</v>
      </c>
      <c r="C586" s="200" t="e">
        <f>+D552</f>
        <v>#REF!</v>
      </c>
      <c r="D586" s="198" t="e">
        <f>SUM(D582:D585)</f>
        <v>#REF!</v>
      </c>
      <c r="I586" s="169"/>
      <c r="J586" s="470">
        <f>SUM(J582:J585)</f>
        <v>2700000</v>
      </c>
      <c r="K586" s="470">
        <f>SUM(K582:K585)</f>
        <v>320425692</v>
      </c>
      <c r="L586" s="198">
        <f>SUM(L582:L585)</f>
        <v>323125692</v>
      </c>
    </row>
    <row r="587" spans="1:16" ht="16.5">
      <c r="A587" s="49" t="s">
        <v>88</v>
      </c>
      <c r="B587" s="50"/>
      <c r="I587" s="49" t="s">
        <v>88</v>
      </c>
      <c r="J587" s="50"/>
    </row>
    <row r="588" spans="1:16">
      <c r="A588" s="51" t="s">
        <v>89</v>
      </c>
      <c r="I588" s="51" t="s">
        <v>89</v>
      </c>
    </row>
    <row r="589" spans="1:16">
      <c r="A589" s="51" t="s">
        <v>90</v>
      </c>
      <c r="I589" s="51" t="s">
        <v>90</v>
      </c>
    </row>
    <row r="590" spans="1:16">
      <c r="A590" s="51" t="s">
        <v>91</v>
      </c>
      <c r="I590" s="51" t="s">
        <v>91</v>
      </c>
    </row>
    <row r="591" spans="1:16" ht="6.75" customHeight="1">
      <c r="A591" s="50"/>
      <c r="B591" s="50"/>
      <c r="I591" s="50"/>
      <c r="J591" s="50"/>
    </row>
    <row r="592" spans="1:16" ht="14.25" customHeight="1">
      <c r="A592" s="52" t="s">
        <v>318</v>
      </c>
      <c r="G592" s="52"/>
      <c r="I592" s="52" t="s">
        <v>640</v>
      </c>
      <c r="O592" s="52"/>
    </row>
    <row r="593" spans="1:16" ht="16.5" thickBot="1">
      <c r="A593" s="53" t="s">
        <v>92</v>
      </c>
      <c r="G593" s="53"/>
      <c r="I593" s="53" t="s">
        <v>1866</v>
      </c>
      <c r="O593" s="53"/>
    </row>
    <row r="594" spans="1:16" ht="16.5">
      <c r="A594" s="894" t="s">
        <v>261</v>
      </c>
      <c r="B594" s="894"/>
      <c r="C594" s="894"/>
      <c r="D594" s="894"/>
      <c r="E594" s="894"/>
      <c r="F594" s="894"/>
      <c r="G594" s="894"/>
      <c r="H594" s="894"/>
      <c r="I594" s="894" t="s">
        <v>228</v>
      </c>
      <c r="J594" s="894"/>
      <c r="K594" s="894"/>
      <c r="L594" s="894"/>
      <c r="M594" s="894"/>
      <c r="N594" s="894"/>
      <c r="O594" s="894"/>
      <c r="P594" s="894"/>
    </row>
    <row r="595" spans="1:16" ht="9.75" customHeight="1" thickBot="1"/>
    <row r="596" spans="1:16">
      <c r="A596" s="895" t="s">
        <v>94</v>
      </c>
      <c r="B596" s="897" t="s">
        <v>95</v>
      </c>
      <c r="C596" s="897" t="s">
        <v>96</v>
      </c>
      <c r="D596" s="897" t="s">
        <v>3</v>
      </c>
      <c r="E596" s="897" t="s">
        <v>97</v>
      </c>
      <c r="F596" s="897" t="s">
        <v>98</v>
      </c>
      <c r="G596" s="897" t="s">
        <v>99</v>
      </c>
      <c r="H596" s="899"/>
      <c r="I596" s="895" t="s">
        <v>94</v>
      </c>
      <c r="J596" s="897" t="s">
        <v>95</v>
      </c>
      <c r="K596" s="897" t="s">
        <v>96</v>
      </c>
      <c r="L596" s="897" t="s">
        <v>3</v>
      </c>
      <c r="M596" s="897" t="s">
        <v>97</v>
      </c>
      <c r="N596" s="897" t="s">
        <v>98</v>
      </c>
      <c r="O596" s="897" t="s">
        <v>99</v>
      </c>
      <c r="P596" s="899"/>
    </row>
    <row r="597" spans="1:16" ht="15.75" thickBot="1">
      <c r="A597" s="896"/>
      <c r="B597" s="898"/>
      <c r="C597" s="898"/>
      <c r="D597" s="898"/>
      <c r="E597" s="898"/>
      <c r="F597" s="898"/>
      <c r="G597" s="240" t="s">
        <v>100</v>
      </c>
      <c r="H597" s="182" t="s">
        <v>101</v>
      </c>
      <c r="I597" s="896"/>
      <c r="J597" s="898"/>
      <c r="K597" s="898"/>
      <c r="L597" s="898"/>
      <c r="M597" s="898"/>
      <c r="N597" s="898"/>
      <c r="O597" s="240" t="s">
        <v>100</v>
      </c>
      <c r="P597" s="182" t="s">
        <v>101</v>
      </c>
    </row>
    <row r="598" spans="1:16" ht="14.25" customHeight="1">
      <c r="A598" s="881" t="e">
        <f>+A570+1</f>
        <v>#REF!</v>
      </c>
      <c r="B598" s="875">
        <v>42286</v>
      </c>
      <c r="C598" s="877" t="s">
        <v>267</v>
      </c>
      <c r="D598" s="881" t="s">
        <v>320</v>
      </c>
      <c r="E598" s="881" t="s">
        <v>148</v>
      </c>
      <c r="F598" s="883">
        <v>70000</v>
      </c>
      <c r="G598" s="55">
        <v>719</v>
      </c>
      <c r="H598" s="78">
        <v>50000</v>
      </c>
      <c r="I598" s="873" t="s">
        <v>655</v>
      </c>
      <c r="J598" s="875">
        <v>44049</v>
      </c>
      <c r="K598" s="877" t="s">
        <v>1958</v>
      </c>
      <c r="L598" s="881" t="s">
        <v>1867</v>
      </c>
      <c r="M598" s="881" t="s">
        <v>148</v>
      </c>
      <c r="N598" s="883">
        <v>2520000</v>
      </c>
      <c r="O598" s="55">
        <v>719</v>
      </c>
      <c r="P598" s="78"/>
    </row>
    <row r="599" spans="1:16" ht="13.5" customHeight="1" thickBot="1">
      <c r="A599" s="882"/>
      <c r="B599" s="934"/>
      <c r="C599" s="878"/>
      <c r="D599" s="882"/>
      <c r="E599" s="882"/>
      <c r="F599" s="884"/>
      <c r="G599" s="56">
        <v>721</v>
      </c>
      <c r="H599" s="79">
        <f>+F598-H598</f>
        <v>20000</v>
      </c>
      <c r="I599" s="882"/>
      <c r="J599" s="876"/>
      <c r="K599" s="878"/>
      <c r="L599" s="882"/>
      <c r="M599" s="882"/>
      <c r="N599" s="884"/>
      <c r="O599" s="56">
        <v>723</v>
      </c>
      <c r="P599" s="79">
        <f>+N598-P598</f>
        <v>2520000</v>
      </c>
    </row>
    <row r="600" spans="1:16" ht="13.5" customHeight="1">
      <c r="A600" s="251"/>
      <c r="B600" s="452"/>
      <c r="C600" s="253"/>
      <c r="D600" s="251"/>
      <c r="E600" s="251"/>
      <c r="F600" s="254"/>
      <c r="G600" s="255"/>
      <c r="H600" s="256"/>
      <c r="I600" s="251"/>
      <c r="J600" s="252"/>
      <c r="K600" s="253"/>
      <c r="L600" s="251"/>
      <c r="M600" s="251"/>
      <c r="N600" s="254"/>
      <c r="O600" s="255"/>
      <c r="P600" s="256"/>
    </row>
    <row r="601" spans="1:16" ht="13.5" customHeight="1" thickBot="1">
      <c r="A601" s="251"/>
      <c r="B601" s="452"/>
      <c r="C601" s="253"/>
      <c r="D601" s="251"/>
      <c r="E601" s="251"/>
      <c r="F601" s="254"/>
      <c r="G601" s="255"/>
      <c r="H601" s="256"/>
      <c r="I601" s="251"/>
      <c r="J601" s="252"/>
      <c r="K601" s="253"/>
      <c r="L601" s="251"/>
      <c r="M601" s="251"/>
      <c r="N601" s="254"/>
      <c r="O601" s="255"/>
      <c r="P601" s="256"/>
    </row>
    <row r="602" spans="1:16" ht="13.5" customHeight="1">
      <c r="A602" s="881" t="e">
        <f>+A598+1</f>
        <v>#REF!</v>
      </c>
      <c r="B602" s="875">
        <v>42286</v>
      </c>
      <c r="C602" s="881" t="s">
        <v>28</v>
      </c>
      <c r="D602" s="881" t="s">
        <v>321</v>
      </c>
      <c r="E602" s="881" t="s">
        <v>148</v>
      </c>
      <c r="F602" s="883">
        <v>182000</v>
      </c>
      <c r="G602" s="55">
        <v>719</v>
      </c>
      <c r="H602" s="78">
        <v>130000</v>
      </c>
      <c r="I602" s="873"/>
      <c r="J602" s="875"/>
      <c r="K602" s="881"/>
      <c r="L602" s="881"/>
      <c r="M602" s="881"/>
      <c r="N602" s="883"/>
      <c r="O602" s="55"/>
      <c r="P602" s="78"/>
    </row>
    <row r="603" spans="1:16" ht="12" customHeight="1" thickBot="1">
      <c r="A603" s="882"/>
      <c r="B603" s="934"/>
      <c r="C603" s="882"/>
      <c r="D603" s="882"/>
      <c r="E603" s="882"/>
      <c r="F603" s="884"/>
      <c r="G603" s="56">
        <v>721</v>
      </c>
      <c r="H603" s="79">
        <f>+F602-H602</f>
        <v>52000</v>
      </c>
      <c r="I603" s="882"/>
      <c r="J603" s="876"/>
      <c r="K603" s="882"/>
      <c r="L603" s="882"/>
      <c r="M603" s="882"/>
      <c r="N603" s="884"/>
      <c r="O603" s="56"/>
      <c r="P603" s="79"/>
    </row>
    <row r="604" spans="1:16" ht="12" customHeight="1">
      <c r="A604" s="881" t="e">
        <f>+#REF!+1</f>
        <v>#REF!</v>
      </c>
      <c r="B604" s="875">
        <v>42286</v>
      </c>
      <c r="C604" s="877" t="s">
        <v>111</v>
      </c>
      <c r="D604" s="881" t="s">
        <v>319</v>
      </c>
      <c r="E604" s="881" t="s">
        <v>148</v>
      </c>
      <c r="F604" s="883">
        <v>28000</v>
      </c>
      <c r="G604" s="55">
        <v>719</v>
      </c>
      <c r="H604" s="78">
        <v>20000</v>
      </c>
      <c r="I604" s="873"/>
      <c r="J604" s="875"/>
      <c r="K604" s="877"/>
      <c r="L604" s="881"/>
      <c r="M604" s="881"/>
      <c r="N604" s="883"/>
      <c r="O604" s="55"/>
      <c r="P604" s="78"/>
    </row>
    <row r="605" spans="1:16" ht="6.75" customHeight="1" thickBot="1">
      <c r="A605" s="882"/>
      <c r="B605" s="934"/>
      <c r="C605" s="878"/>
      <c r="D605" s="882"/>
      <c r="E605" s="882"/>
      <c r="F605" s="884"/>
      <c r="G605" s="56">
        <v>721</v>
      </c>
      <c r="H605" s="79">
        <f>+F604-H604</f>
        <v>8000</v>
      </c>
      <c r="I605" s="882"/>
      <c r="J605" s="876"/>
      <c r="K605" s="878"/>
      <c r="L605" s="882"/>
      <c r="M605" s="882"/>
      <c r="N605" s="884"/>
      <c r="O605" s="56"/>
      <c r="P605" s="79"/>
    </row>
    <row r="606" spans="1:16" ht="16.5" thickBot="1">
      <c r="A606" s="901" t="s">
        <v>102</v>
      </c>
      <c r="B606" s="902"/>
      <c r="C606" s="902"/>
      <c r="D606" s="902"/>
      <c r="E606" s="903"/>
      <c r="F606" s="81">
        <f>SUM(F598:F605)</f>
        <v>280000</v>
      </c>
      <c r="I606" s="901" t="s">
        <v>102</v>
      </c>
      <c r="J606" s="902"/>
      <c r="K606" s="902"/>
      <c r="L606" s="902"/>
      <c r="M606" s="903"/>
      <c r="N606" s="81">
        <f>SUM(N598:N605)</f>
        <v>2520000</v>
      </c>
    </row>
    <row r="607" spans="1:16" ht="16.5" thickBot="1">
      <c r="A607" s="885" t="s">
        <v>103</v>
      </c>
      <c r="B607" s="886"/>
      <c r="C607" s="886"/>
      <c r="D607" s="886"/>
      <c r="E607" s="887"/>
      <c r="F607" s="69">
        <f>+F574</f>
        <v>629144225</v>
      </c>
      <c r="I607" s="885" t="s">
        <v>103</v>
      </c>
      <c r="J607" s="886"/>
      <c r="K607" s="886"/>
      <c r="L607" s="886"/>
      <c r="M607" s="887"/>
      <c r="N607" s="239">
        <f>+N574</f>
        <v>323125692</v>
      </c>
      <c r="O607" s="241" t="s">
        <v>561</v>
      </c>
      <c r="P607" s="242"/>
    </row>
    <row r="608" spans="1:16" ht="16.5" thickBot="1">
      <c r="A608" s="888" t="s">
        <v>104</v>
      </c>
      <c r="B608" s="889"/>
      <c r="C608" s="889"/>
      <c r="D608" s="889"/>
      <c r="E608" s="890"/>
      <c r="F608" s="183">
        <f>SUM(F606:F607)</f>
        <v>629424225</v>
      </c>
      <c r="I608" s="888" t="s">
        <v>104</v>
      </c>
      <c r="J608" s="889"/>
      <c r="K608" s="889"/>
      <c r="L608" s="889"/>
      <c r="M608" s="890"/>
      <c r="N608" s="183">
        <f>SUM(N606:N607)</f>
        <v>325645692</v>
      </c>
    </row>
    <row r="609" spans="1:16" ht="11.25" customHeight="1">
      <c r="A609" s="61"/>
      <c r="B609" s="61"/>
      <c r="C609" s="61"/>
      <c r="D609" s="61"/>
      <c r="E609" s="61"/>
      <c r="I609" s="61"/>
      <c r="J609" s="61"/>
      <c r="K609" s="61"/>
      <c r="L609" s="61"/>
      <c r="M609" s="61"/>
    </row>
    <row r="610" spans="1:16">
      <c r="A610" s="51" t="s">
        <v>323</v>
      </c>
      <c r="I610" s="51" t="s">
        <v>702</v>
      </c>
    </row>
    <row r="611" spans="1:16" ht="13.5" customHeight="1">
      <c r="F611" s="139"/>
      <c r="N611" s="139"/>
    </row>
    <row r="612" spans="1:16">
      <c r="A612" s="50" t="s">
        <v>105</v>
      </c>
      <c r="D612" s="146"/>
      <c r="F612" s="139"/>
      <c r="I612" s="50" t="s">
        <v>105</v>
      </c>
      <c r="L612" s="146"/>
      <c r="N612" s="139"/>
    </row>
    <row r="613" spans="1:16" ht="6" customHeight="1" thickBot="1"/>
    <row r="614" spans="1:16" ht="17.25" thickBot="1">
      <c r="A614" s="891" t="s">
        <v>106</v>
      </c>
      <c r="B614" s="892"/>
      <c r="C614" s="892"/>
      <c r="D614" s="893"/>
      <c r="F614" s="50" t="s">
        <v>288</v>
      </c>
      <c r="I614" s="891" t="s">
        <v>106</v>
      </c>
      <c r="J614" s="892"/>
      <c r="K614" s="892"/>
      <c r="L614" s="893"/>
      <c r="N614" s="605" t="s">
        <v>288</v>
      </c>
      <c r="O614" s="605"/>
      <c r="P614" s="605"/>
    </row>
    <row r="615" spans="1:16" ht="28.5" customHeight="1" thickBot="1">
      <c r="A615" s="57" t="s">
        <v>100</v>
      </c>
      <c r="B615" s="58" t="s">
        <v>108</v>
      </c>
      <c r="C615" s="59" t="s">
        <v>109</v>
      </c>
      <c r="D615" s="60" t="s">
        <v>110</v>
      </c>
      <c r="I615" s="57" t="s">
        <v>100</v>
      </c>
      <c r="J615" s="58" t="s">
        <v>108</v>
      </c>
      <c r="K615" s="59" t="s">
        <v>109</v>
      </c>
      <c r="L615" s="60" t="s">
        <v>110</v>
      </c>
      <c r="N615" s="202"/>
      <c r="O615" s="202"/>
      <c r="P615" s="202"/>
    </row>
    <row r="616" spans="1:16" ht="12.75" customHeight="1">
      <c r="A616" s="71">
        <v>719</v>
      </c>
      <c r="B616" s="73" t="e">
        <f>+H598+H602+#REF!+H604+#REF!</f>
        <v>#REF!</v>
      </c>
      <c r="C616" s="74" t="e">
        <f>+D582</f>
        <v>#REF!</v>
      </c>
      <c r="D616" s="195" t="e">
        <f>+B616+C616</f>
        <v>#REF!</v>
      </c>
      <c r="I616" s="71">
        <v>719</v>
      </c>
      <c r="J616" s="73">
        <f>+P598+P602+P604</f>
        <v>0</v>
      </c>
      <c r="K616" s="74">
        <f>+L582</f>
        <v>6540000</v>
      </c>
      <c r="L616" s="195">
        <f>+J616+K616</f>
        <v>6540000</v>
      </c>
      <c r="N616" s="202"/>
      <c r="O616" s="202"/>
      <c r="P616" s="202"/>
    </row>
    <row r="617" spans="1:16" ht="12.75" customHeight="1">
      <c r="A617" s="72">
        <v>721</v>
      </c>
      <c r="B617" s="80" t="e">
        <f>+H599+H603+#REF!+H605+#REF!</f>
        <v>#REF!</v>
      </c>
      <c r="C617" s="74" t="e">
        <f>+D583</f>
        <v>#REF!</v>
      </c>
      <c r="D617" s="195" t="e">
        <f>+B617+C617</f>
        <v>#REF!</v>
      </c>
      <c r="I617" s="72">
        <v>721</v>
      </c>
      <c r="J617" s="80">
        <f>+P605</f>
        <v>0</v>
      </c>
      <c r="K617" s="74">
        <f>+L583</f>
        <v>735000</v>
      </c>
      <c r="L617" s="195">
        <f>+J617+K617</f>
        <v>735000</v>
      </c>
      <c r="N617" s="202"/>
      <c r="O617" s="202"/>
      <c r="P617" s="202"/>
    </row>
    <row r="618" spans="1:16" ht="12.75" customHeight="1">
      <c r="A618" s="72">
        <v>722</v>
      </c>
      <c r="B618" s="80"/>
      <c r="C618" s="74">
        <f>+D584</f>
        <v>231207671</v>
      </c>
      <c r="D618" s="195">
        <f>+B618+C618</f>
        <v>231207671</v>
      </c>
      <c r="I618" s="72">
        <v>722</v>
      </c>
      <c r="J618" s="80"/>
      <c r="K618" s="74">
        <f>+L584</f>
        <v>0</v>
      </c>
      <c r="L618" s="195">
        <f>+J618+K618</f>
        <v>0</v>
      </c>
      <c r="N618" s="202"/>
      <c r="O618" s="202"/>
      <c r="P618" s="202"/>
    </row>
    <row r="619" spans="1:16" ht="14.25" customHeight="1" thickBot="1">
      <c r="A619" s="72">
        <v>723</v>
      </c>
      <c r="B619" s="80"/>
      <c r="C619" s="74">
        <f>+D585</f>
        <v>321228837</v>
      </c>
      <c r="D619" s="195">
        <f>+B619+C619</f>
        <v>321228837</v>
      </c>
      <c r="F619" s="193" t="s">
        <v>289</v>
      </c>
      <c r="G619" s="175"/>
      <c r="I619" s="72">
        <v>723</v>
      </c>
      <c r="J619" s="80">
        <f>+P599</f>
        <v>2520000</v>
      </c>
      <c r="K619" s="74">
        <f>+L585</f>
        <v>315850692</v>
      </c>
      <c r="L619" s="195">
        <f>+J619+K619</f>
        <v>318370692</v>
      </c>
      <c r="N619" s="918" t="s">
        <v>1696</v>
      </c>
      <c r="O619" s="608"/>
      <c r="P619" s="608"/>
    </row>
    <row r="620" spans="1:16" ht="16.5" thickBot="1">
      <c r="A620" s="169"/>
      <c r="B620" s="170" t="e">
        <f>SUM(B616:B619)</f>
        <v>#REF!</v>
      </c>
      <c r="C620" s="171" t="e">
        <f>SUM(C616:C619)</f>
        <v>#REF!</v>
      </c>
      <c r="D620" s="172" t="e">
        <f>SUM(D616:D619)</f>
        <v>#REF!</v>
      </c>
      <c r="I620" s="169"/>
      <c r="J620" s="197">
        <f>SUM(J616:J619)</f>
        <v>2520000</v>
      </c>
      <c r="K620" s="197">
        <f>SUM(K616:K619)</f>
        <v>323125692</v>
      </c>
      <c r="L620" s="198">
        <f>SUM(L616:L619)</f>
        <v>325645692</v>
      </c>
    </row>
    <row r="621" spans="1:16" ht="16.5">
      <c r="A621" s="49" t="s">
        <v>88</v>
      </c>
      <c r="B621" s="50"/>
      <c r="I621" s="49" t="s">
        <v>88</v>
      </c>
      <c r="J621" s="50"/>
    </row>
    <row r="622" spans="1:16">
      <c r="A622" s="51" t="s">
        <v>89</v>
      </c>
      <c r="I622" s="51" t="s">
        <v>89</v>
      </c>
    </row>
    <row r="623" spans="1:16">
      <c r="A623" s="51" t="s">
        <v>90</v>
      </c>
      <c r="I623" s="51" t="s">
        <v>90</v>
      </c>
    </row>
    <row r="624" spans="1:16">
      <c r="A624" s="51" t="s">
        <v>91</v>
      </c>
      <c r="I624" s="51" t="s">
        <v>91</v>
      </c>
    </row>
    <row r="625" spans="1:16" ht="13.5" customHeight="1">
      <c r="A625" s="50"/>
      <c r="B625" s="50"/>
      <c r="I625" s="50"/>
      <c r="J625" s="50"/>
    </row>
    <row r="626" spans="1:16" ht="16.5">
      <c r="A626" s="52" t="s">
        <v>344</v>
      </c>
      <c r="G626" s="52"/>
      <c r="I626" s="52" t="s">
        <v>725</v>
      </c>
      <c r="O626" s="52"/>
    </row>
    <row r="627" spans="1:16" ht="15.75">
      <c r="A627" s="53" t="s">
        <v>92</v>
      </c>
      <c r="G627" s="53"/>
      <c r="I627" s="53" t="s">
        <v>1866</v>
      </c>
      <c r="O627" s="53"/>
    </row>
    <row r="628" spans="1:16" ht="16.5">
      <c r="A628" s="894" t="s">
        <v>347</v>
      </c>
      <c r="B628" s="894"/>
      <c r="C628" s="894"/>
      <c r="D628" s="894"/>
      <c r="E628" s="894"/>
      <c r="F628" s="894"/>
      <c r="G628" s="894"/>
      <c r="H628" s="894"/>
      <c r="I628" s="894" t="s">
        <v>1967</v>
      </c>
      <c r="J628" s="894"/>
      <c r="K628" s="894"/>
      <c r="L628" s="894"/>
      <c r="M628" s="894"/>
      <c r="N628" s="894"/>
      <c r="O628" s="894"/>
      <c r="P628" s="894"/>
    </row>
    <row r="629" spans="1:16" ht="13.5" customHeight="1" thickBot="1"/>
    <row r="630" spans="1:16">
      <c r="A630" s="895" t="s">
        <v>94</v>
      </c>
      <c r="B630" s="897" t="s">
        <v>95</v>
      </c>
      <c r="C630" s="897" t="s">
        <v>96</v>
      </c>
      <c r="D630" s="897" t="s">
        <v>3</v>
      </c>
      <c r="E630" s="897" t="s">
        <v>97</v>
      </c>
      <c r="F630" s="897" t="s">
        <v>98</v>
      </c>
      <c r="G630" s="897" t="s">
        <v>99</v>
      </c>
      <c r="H630" s="899"/>
      <c r="I630" s="895" t="s">
        <v>94</v>
      </c>
      <c r="J630" s="897" t="s">
        <v>95</v>
      </c>
      <c r="K630" s="897" t="s">
        <v>96</v>
      </c>
      <c r="L630" s="897" t="s">
        <v>3</v>
      </c>
      <c r="M630" s="897" t="s">
        <v>97</v>
      </c>
      <c r="N630" s="897" t="s">
        <v>98</v>
      </c>
      <c r="O630" s="897" t="s">
        <v>99</v>
      </c>
      <c r="P630" s="899"/>
    </row>
    <row r="631" spans="1:16" ht="15.75" thickBot="1">
      <c r="A631" s="896"/>
      <c r="B631" s="898"/>
      <c r="C631" s="898"/>
      <c r="D631" s="898"/>
      <c r="E631" s="898"/>
      <c r="F631" s="898"/>
      <c r="G631" s="240" t="s">
        <v>100</v>
      </c>
      <c r="H631" s="182" t="s">
        <v>101</v>
      </c>
      <c r="I631" s="896"/>
      <c r="J631" s="898"/>
      <c r="K631" s="898"/>
      <c r="L631" s="898"/>
      <c r="M631" s="898"/>
      <c r="N631" s="898"/>
      <c r="O631" s="240" t="s">
        <v>100</v>
      </c>
      <c r="P631" s="182" t="s">
        <v>101</v>
      </c>
    </row>
    <row r="632" spans="1:16" ht="12.75" customHeight="1">
      <c r="A632" s="881" t="e">
        <f>+#REF!+1</f>
        <v>#REF!</v>
      </c>
      <c r="B632" s="875">
        <v>42293</v>
      </c>
      <c r="C632" s="877" t="s">
        <v>325</v>
      </c>
      <c r="D632" s="877" t="s">
        <v>324</v>
      </c>
      <c r="E632" s="881" t="s">
        <v>145</v>
      </c>
      <c r="F632" s="883">
        <v>20276705</v>
      </c>
      <c r="G632" s="55">
        <v>719</v>
      </c>
      <c r="H632" s="78"/>
      <c r="I632" s="873" t="s">
        <v>656</v>
      </c>
      <c r="J632" s="875">
        <v>44098</v>
      </c>
      <c r="K632" s="877" t="s">
        <v>815</v>
      </c>
      <c r="L632" s="881" t="s">
        <v>1962</v>
      </c>
      <c r="M632" s="881" t="s">
        <v>115</v>
      </c>
      <c r="N632" s="883">
        <v>648000</v>
      </c>
      <c r="O632" s="55">
        <v>719</v>
      </c>
      <c r="P632" s="258">
        <v>480000</v>
      </c>
    </row>
    <row r="633" spans="1:16" ht="14.25" customHeight="1" thickBot="1">
      <c r="A633" s="882"/>
      <c r="B633" s="876"/>
      <c r="C633" s="878"/>
      <c r="D633" s="878"/>
      <c r="E633" s="882"/>
      <c r="F633" s="884"/>
      <c r="G633" s="56">
        <v>721</v>
      </c>
      <c r="H633" s="79">
        <f>+F632-H632</f>
        <v>20276705</v>
      </c>
      <c r="I633" s="882"/>
      <c r="J633" s="876"/>
      <c r="K633" s="878"/>
      <c r="L633" s="882"/>
      <c r="M633" s="882"/>
      <c r="N633" s="884"/>
      <c r="O633" s="56">
        <v>721</v>
      </c>
      <c r="P633" s="79">
        <f>+N632-P632</f>
        <v>168000</v>
      </c>
    </row>
    <row r="634" spans="1:16" ht="12.75" customHeight="1">
      <c r="A634" s="881" t="e">
        <f>+A632+1</f>
        <v>#REF!</v>
      </c>
      <c r="B634" s="875">
        <v>42293</v>
      </c>
      <c r="C634" s="877" t="s">
        <v>345</v>
      </c>
      <c r="D634" s="877" t="s">
        <v>346</v>
      </c>
      <c r="E634" s="881" t="s">
        <v>165</v>
      </c>
      <c r="F634" s="883">
        <v>200000</v>
      </c>
      <c r="G634" s="55">
        <v>719</v>
      </c>
      <c r="H634" s="78"/>
      <c r="I634" s="873" t="s">
        <v>657</v>
      </c>
      <c r="J634" s="875">
        <v>44098</v>
      </c>
      <c r="K634" s="877" t="s">
        <v>815</v>
      </c>
      <c r="L634" s="881" t="s">
        <v>1963</v>
      </c>
      <c r="M634" s="881" t="s">
        <v>115</v>
      </c>
      <c r="N634" s="883">
        <v>162000</v>
      </c>
      <c r="O634" s="55">
        <v>719</v>
      </c>
      <c r="P634" s="78">
        <v>120000</v>
      </c>
    </row>
    <row r="635" spans="1:16" ht="13.5" customHeight="1" thickBot="1">
      <c r="A635" s="882"/>
      <c r="B635" s="876"/>
      <c r="C635" s="878"/>
      <c r="D635" s="878"/>
      <c r="E635" s="882"/>
      <c r="F635" s="884"/>
      <c r="G635" s="56">
        <v>723</v>
      </c>
      <c r="H635" s="79">
        <f>+F634-H634</f>
        <v>200000</v>
      </c>
      <c r="I635" s="882"/>
      <c r="J635" s="876"/>
      <c r="K635" s="878"/>
      <c r="L635" s="882"/>
      <c r="M635" s="882"/>
      <c r="N635" s="884"/>
      <c r="O635" s="56">
        <v>721</v>
      </c>
      <c r="P635" s="79">
        <f>+N634-P634</f>
        <v>42000</v>
      </c>
    </row>
    <row r="636" spans="1:16" ht="12.75" customHeight="1">
      <c r="A636" s="881"/>
      <c r="B636" s="875"/>
      <c r="C636" s="877"/>
      <c r="D636" s="881"/>
      <c r="E636" s="881"/>
      <c r="F636" s="883"/>
      <c r="G636" s="55">
        <v>719</v>
      </c>
      <c r="H636" s="78"/>
      <c r="I636" s="873" t="s">
        <v>658</v>
      </c>
      <c r="J636" s="875">
        <v>44098</v>
      </c>
      <c r="K636" s="905" t="s">
        <v>1964</v>
      </c>
      <c r="L636" s="881" t="s">
        <v>1966</v>
      </c>
      <c r="M636" s="881" t="s">
        <v>1965</v>
      </c>
      <c r="N636" s="883">
        <v>900000</v>
      </c>
      <c r="O636" s="55">
        <v>723</v>
      </c>
      <c r="P636" s="258">
        <f>+N636</f>
        <v>900000</v>
      </c>
    </row>
    <row r="637" spans="1:16" ht="12.75" customHeight="1" thickBot="1">
      <c r="A637" s="882"/>
      <c r="B637" s="876"/>
      <c r="C637" s="878"/>
      <c r="D637" s="882"/>
      <c r="E637" s="882"/>
      <c r="F637" s="884"/>
      <c r="G637" s="56">
        <v>721</v>
      </c>
      <c r="H637" s="79">
        <f>+F636-H636</f>
        <v>0</v>
      </c>
      <c r="I637" s="882"/>
      <c r="J637" s="876"/>
      <c r="K637" s="906"/>
      <c r="L637" s="882"/>
      <c r="M637" s="882"/>
      <c r="N637" s="884"/>
      <c r="O637" s="56"/>
      <c r="P637" s="79">
        <f>+N636-P636</f>
        <v>0</v>
      </c>
    </row>
    <row r="638" spans="1:16" ht="12.75" customHeight="1">
      <c r="A638" s="881"/>
      <c r="B638" s="875"/>
      <c r="C638" s="877"/>
      <c r="D638" s="881"/>
      <c r="E638" s="881"/>
      <c r="F638" s="883"/>
      <c r="G638" s="55">
        <v>719</v>
      </c>
      <c r="H638" s="78"/>
      <c r="I638" s="873"/>
      <c r="J638" s="875"/>
      <c r="K638" s="877"/>
      <c r="L638" s="881"/>
      <c r="M638" s="881"/>
      <c r="N638" s="883"/>
      <c r="O638" s="55"/>
      <c r="P638" s="78"/>
    </row>
    <row r="639" spans="1:16" ht="12.75" customHeight="1" thickBot="1">
      <c r="A639" s="882"/>
      <c r="B639" s="876"/>
      <c r="C639" s="878"/>
      <c r="D639" s="882"/>
      <c r="E639" s="882"/>
      <c r="F639" s="884"/>
      <c r="G639" s="56">
        <v>721</v>
      </c>
      <c r="H639" s="79">
        <f>+F638-H638</f>
        <v>0</v>
      </c>
      <c r="I639" s="882"/>
      <c r="J639" s="876"/>
      <c r="K639" s="878"/>
      <c r="L639" s="882"/>
      <c r="M639" s="882"/>
      <c r="N639" s="884"/>
      <c r="O639" s="56"/>
      <c r="P639" s="79"/>
    </row>
    <row r="640" spans="1:16" ht="16.5" thickBot="1">
      <c r="A640" s="901" t="s">
        <v>102</v>
      </c>
      <c r="B640" s="902"/>
      <c r="C640" s="902"/>
      <c r="D640" s="902"/>
      <c r="E640" s="903"/>
      <c r="F640" s="81">
        <f>SUM(F632:F639)</f>
        <v>20476705</v>
      </c>
      <c r="I640" s="901" t="s">
        <v>102</v>
      </c>
      <c r="J640" s="902"/>
      <c r="K640" s="902"/>
      <c r="L640" s="902"/>
      <c r="M640" s="903"/>
      <c r="N640" s="81">
        <f>SUM(N632:N639)</f>
        <v>1710000</v>
      </c>
    </row>
    <row r="641" spans="1:16" ht="16.5" thickBot="1">
      <c r="A641" s="885" t="s">
        <v>103</v>
      </c>
      <c r="B641" s="886"/>
      <c r="C641" s="886"/>
      <c r="D641" s="886"/>
      <c r="E641" s="887"/>
      <c r="F641" s="69">
        <f>+F608</f>
        <v>629424225</v>
      </c>
      <c r="I641" s="885" t="s">
        <v>103</v>
      </c>
      <c r="J641" s="886"/>
      <c r="K641" s="886"/>
      <c r="L641" s="886"/>
      <c r="M641" s="887"/>
      <c r="N641" s="239">
        <f>+N608</f>
        <v>325645692</v>
      </c>
      <c r="O641" s="241" t="s">
        <v>561</v>
      </c>
      <c r="P641" s="242"/>
    </row>
    <row r="642" spans="1:16" ht="16.5" thickBot="1">
      <c r="A642" s="888" t="s">
        <v>104</v>
      </c>
      <c r="B642" s="889"/>
      <c r="C642" s="889"/>
      <c r="D642" s="889"/>
      <c r="E642" s="890"/>
      <c r="F642" s="183">
        <f>SUM(F640:F641)</f>
        <v>649900930</v>
      </c>
      <c r="I642" s="888" t="s">
        <v>104</v>
      </c>
      <c r="J642" s="889"/>
      <c r="K642" s="889"/>
      <c r="L642" s="889"/>
      <c r="M642" s="890"/>
      <c r="N642" s="183">
        <f>SUM(N640:N641)</f>
        <v>327355692</v>
      </c>
    </row>
    <row r="643" spans="1:16" ht="10.5" customHeight="1">
      <c r="A643" s="61"/>
      <c r="B643" s="61"/>
      <c r="C643" s="61"/>
      <c r="D643" s="61"/>
      <c r="E643" s="61"/>
      <c r="I643" s="61"/>
      <c r="J643" s="61"/>
      <c r="K643" s="61"/>
      <c r="L643" s="61"/>
      <c r="M643" s="61"/>
    </row>
    <row r="644" spans="1:16">
      <c r="A644" s="51" t="s">
        <v>349</v>
      </c>
      <c r="I644" s="51" t="s">
        <v>1968</v>
      </c>
    </row>
    <row r="645" spans="1:16" ht="5.25" customHeight="1">
      <c r="F645" s="139"/>
      <c r="N645" s="139"/>
    </row>
    <row r="646" spans="1:16">
      <c r="A646" s="50" t="s">
        <v>105</v>
      </c>
      <c r="D646" s="146"/>
      <c r="F646" s="139"/>
      <c r="I646" s="50" t="s">
        <v>105</v>
      </c>
      <c r="L646" s="146"/>
      <c r="N646" s="139"/>
    </row>
    <row r="647" spans="1:16" ht="10.5" customHeight="1" thickBot="1"/>
    <row r="648" spans="1:16" ht="15.75" thickBot="1">
      <c r="A648" s="891" t="s">
        <v>106</v>
      </c>
      <c r="B648" s="892"/>
      <c r="C648" s="892"/>
      <c r="D648" s="893"/>
      <c r="F648" s="50" t="s">
        <v>270</v>
      </c>
      <c r="I648" s="891" t="s">
        <v>106</v>
      </c>
      <c r="J648" s="892"/>
      <c r="K648" s="892"/>
      <c r="L648" s="893"/>
    </row>
    <row r="649" spans="1:16" ht="30.75" thickBot="1">
      <c r="A649" s="57" t="s">
        <v>100</v>
      </c>
      <c r="B649" s="58" t="s">
        <v>108</v>
      </c>
      <c r="C649" s="59" t="s">
        <v>109</v>
      </c>
      <c r="D649" s="60" t="s">
        <v>110</v>
      </c>
      <c r="I649" s="57" t="s">
        <v>100</v>
      </c>
      <c r="J649" s="58" t="s">
        <v>108</v>
      </c>
      <c r="K649" s="59" t="s">
        <v>109</v>
      </c>
      <c r="L649" s="60" t="s">
        <v>110</v>
      </c>
      <c r="N649" s="605" t="s">
        <v>288</v>
      </c>
      <c r="O649" s="605"/>
      <c r="P649" s="605"/>
    </row>
    <row r="650" spans="1:16" ht="13.5" customHeight="1">
      <c r="A650" s="71">
        <v>719</v>
      </c>
      <c r="B650" s="73" t="e">
        <f>+H632+H634+H636+#REF!+H638</f>
        <v>#REF!</v>
      </c>
      <c r="C650" s="74" t="e">
        <f>+D616</f>
        <v>#REF!</v>
      </c>
      <c r="D650" s="195" t="e">
        <f>+B650+C650</f>
        <v>#REF!</v>
      </c>
      <c r="I650" s="71">
        <v>719</v>
      </c>
      <c r="J650" s="73">
        <f>+P632+P634</f>
        <v>600000</v>
      </c>
      <c r="K650" s="74">
        <f>+L616</f>
        <v>6540000</v>
      </c>
      <c r="L650" s="195">
        <f>+J650+K650</f>
        <v>7140000</v>
      </c>
      <c r="N650" s="202"/>
      <c r="O650" s="202"/>
      <c r="P650" s="202"/>
    </row>
    <row r="651" spans="1:16" ht="12.75" customHeight="1">
      <c r="A651" s="72">
        <v>721</v>
      </c>
      <c r="B651" s="80">
        <f>+H633</f>
        <v>20276705</v>
      </c>
      <c r="C651" s="74" t="e">
        <f>+D617</f>
        <v>#REF!</v>
      </c>
      <c r="D651" s="195" t="e">
        <f>+B651+C651</f>
        <v>#REF!</v>
      </c>
      <c r="I651" s="72">
        <v>721</v>
      </c>
      <c r="J651" s="80">
        <f>+P633+P635</f>
        <v>210000</v>
      </c>
      <c r="K651" s="74">
        <f>+L617</f>
        <v>735000</v>
      </c>
      <c r="L651" s="195">
        <f>+J651+K651</f>
        <v>945000</v>
      </c>
      <c r="N651" s="202"/>
      <c r="O651" s="202"/>
      <c r="P651" s="202"/>
    </row>
    <row r="652" spans="1:16" ht="14.25" customHeight="1">
      <c r="A652" s="72">
        <v>722</v>
      </c>
      <c r="B652" s="80"/>
      <c r="C652" s="74">
        <f>+D618</f>
        <v>231207671</v>
      </c>
      <c r="D652" s="195">
        <f>+B652+C652</f>
        <v>231207671</v>
      </c>
      <c r="I652" s="72">
        <v>722</v>
      </c>
      <c r="J652" s="80"/>
      <c r="K652" s="74">
        <f>+L618</f>
        <v>0</v>
      </c>
      <c r="L652" s="195">
        <f>+J652+K652</f>
        <v>0</v>
      </c>
      <c r="N652" s="202"/>
      <c r="O652" s="202"/>
      <c r="P652" s="202"/>
    </row>
    <row r="653" spans="1:16" ht="17.25" thickBot="1">
      <c r="A653" s="72">
        <v>723</v>
      </c>
      <c r="B653" s="80">
        <f>+H635</f>
        <v>200000</v>
      </c>
      <c r="C653" s="74">
        <f>+D619</f>
        <v>321228837</v>
      </c>
      <c r="D653" s="195">
        <f>+B653+C653</f>
        <v>321428837</v>
      </c>
      <c r="F653" s="193" t="s">
        <v>348</v>
      </c>
      <c r="G653" s="175"/>
      <c r="I653" s="72">
        <v>723</v>
      </c>
      <c r="J653" s="80">
        <f>+P636</f>
        <v>900000</v>
      </c>
      <c r="K653" s="74">
        <f>+L619</f>
        <v>318370692</v>
      </c>
      <c r="L653" s="195">
        <f>+J653+K653</f>
        <v>319270692</v>
      </c>
      <c r="N653" s="202"/>
      <c r="O653" s="202"/>
      <c r="P653" s="202"/>
    </row>
    <row r="654" spans="1:16" ht="16.5" hidden="1" thickBot="1">
      <c r="A654" s="164" t="s">
        <v>181</v>
      </c>
      <c r="B654" s="165"/>
      <c r="C654" s="74" t="e">
        <f>+#REF!</f>
        <v>#REF!</v>
      </c>
      <c r="D654" s="196" t="e">
        <f>+B654+C654</f>
        <v>#REF!</v>
      </c>
      <c r="F654" s="52"/>
      <c r="I654" s="164" t="s">
        <v>181</v>
      </c>
      <c r="J654" s="165"/>
      <c r="K654" s="74"/>
      <c r="L654" s="196"/>
      <c r="N654" s="918" t="s">
        <v>1696</v>
      </c>
      <c r="O654" s="608"/>
      <c r="P654" s="608"/>
    </row>
    <row r="655" spans="1:16" ht="16.5" thickBot="1">
      <c r="A655" s="169"/>
      <c r="B655" s="170" t="e">
        <f>SUM(B650:B654)</f>
        <v>#REF!</v>
      </c>
      <c r="C655" s="171" t="e">
        <f>SUM(C650:C654)</f>
        <v>#REF!</v>
      </c>
      <c r="D655" s="172" t="e">
        <f>SUM(D650:D654)</f>
        <v>#REF!</v>
      </c>
      <c r="I655" s="169"/>
      <c r="J655" s="197">
        <f>SUM(J650:J654)</f>
        <v>1710000</v>
      </c>
      <c r="K655" s="197">
        <f>SUM(K650:K654)</f>
        <v>325645692</v>
      </c>
      <c r="L655" s="198">
        <f>SUM(L650:L654)</f>
        <v>327355692</v>
      </c>
    </row>
    <row r="656" spans="1:16" ht="16.5">
      <c r="A656" s="49" t="s">
        <v>88</v>
      </c>
      <c r="B656" s="50"/>
      <c r="I656" s="49" t="s">
        <v>88</v>
      </c>
      <c r="J656" s="50"/>
    </row>
    <row r="657" spans="1:16" ht="13.5" customHeight="1">
      <c r="A657" s="51" t="s">
        <v>89</v>
      </c>
      <c r="I657" s="51" t="s">
        <v>89</v>
      </c>
    </row>
    <row r="658" spans="1:16" ht="13.5" customHeight="1">
      <c r="A658" s="51" t="s">
        <v>90</v>
      </c>
      <c r="I658" s="51" t="s">
        <v>90</v>
      </c>
    </row>
    <row r="659" spans="1:16" ht="14.25" customHeight="1">
      <c r="A659" s="51" t="s">
        <v>91</v>
      </c>
      <c r="I659" s="51" t="s">
        <v>91</v>
      </c>
    </row>
    <row r="660" spans="1:16" ht="11.25" customHeight="1">
      <c r="A660" s="50"/>
      <c r="B660" s="50"/>
      <c r="I660" s="50"/>
      <c r="J660" s="50"/>
    </row>
    <row r="661" spans="1:16" ht="16.5">
      <c r="A661" s="52" t="s">
        <v>351</v>
      </c>
      <c r="G661" s="52"/>
      <c r="I661" s="52" t="s">
        <v>731</v>
      </c>
      <c r="O661" s="52"/>
    </row>
    <row r="662" spans="1:16" ht="15.75">
      <c r="A662" s="53" t="s">
        <v>92</v>
      </c>
      <c r="G662" s="53"/>
      <c r="I662" s="53" t="s">
        <v>1866</v>
      </c>
      <c r="O662" s="53"/>
    </row>
    <row r="663" spans="1:16" ht="15" customHeight="1">
      <c r="A663" s="894" t="s">
        <v>93</v>
      </c>
      <c r="B663" s="894"/>
      <c r="C663" s="894"/>
      <c r="D663" s="894"/>
      <c r="E663" s="894"/>
      <c r="F663" s="894"/>
      <c r="G663" s="894"/>
      <c r="H663" s="894"/>
      <c r="I663" s="894" t="s">
        <v>903</v>
      </c>
      <c r="J663" s="894"/>
      <c r="K663" s="894"/>
      <c r="L663" s="894"/>
      <c r="M663" s="894"/>
      <c r="N663" s="894"/>
      <c r="O663" s="894"/>
      <c r="P663" s="894"/>
    </row>
    <row r="664" spans="1:16" ht="11.25" customHeight="1" thickBot="1"/>
    <row r="665" spans="1:16">
      <c r="A665" s="895" t="s">
        <v>94</v>
      </c>
      <c r="B665" s="897" t="s">
        <v>95</v>
      </c>
      <c r="C665" s="897" t="s">
        <v>96</v>
      </c>
      <c r="D665" s="897" t="s">
        <v>3</v>
      </c>
      <c r="E665" s="897" t="s">
        <v>97</v>
      </c>
      <c r="F665" s="897" t="s">
        <v>98</v>
      </c>
      <c r="G665" s="897" t="s">
        <v>99</v>
      </c>
      <c r="H665" s="899"/>
      <c r="I665" s="895" t="s">
        <v>94</v>
      </c>
      <c r="J665" s="897" t="s">
        <v>95</v>
      </c>
      <c r="K665" s="897" t="s">
        <v>96</v>
      </c>
      <c r="L665" s="897" t="s">
        <v>3</v>
      </c>
      <c r="M665" s="897" t="s">
        <v>97</v>
      </c>
      <c r="N665" s="897" t="s">
        <v>98</v>
      </c>
      <c r="O665" s="897" t="s">
        <v>99</v>
      </c>
      <c r="P665" s="899"/>
    </row>
    <row r="666" spans="1:16" ht="15.75" thickBot="1">
      <c r="A666" s="896"/>
      <c r="B666" s="898"/>
      <c r="C666" s="898"/>
      <c r="D666" s="898"/>
      <c r="E666" s="898"/>
      <c r="F666" s="898"/>
      <c r="G666" s="240" t="s">
        <v>100</v>
      </c>
      <c r="H666" s="182" t="s">
        <v>101</v>
      </c>
      <c r="I666" s="896"/>
      <c r="J666" s="898"/>
      <c r="K666" s="898"/>
      <c r="L666" s="898"/>
      <c r="M666" s="898"/>
      <c r="N666" s="898"/>
      <c r="O666" s="240" t="s">
        <v>100</v>
      </c>
      <c r="P666" s="182" t="s">
        <v>101</v>
      </c>
    </row>
    <row r="667" spans="1:16" ht="14.25" customHeight="1">
      <c r="A667" s="881" t="e">
        <f>+A634+1</f>
        <v>#REF!</v>
      </c>
      <c r="B667" s="875">
        <v>42296</v>
      </c>
      <c r="C667" s="877" t="s">
        <v>267</v>
      </c>
      <c r="D667" s="881" t="s">
        <v>359</v>
      </c>
      <c r="E667" s="881" t="s">
        <v>148</v>
      </c>
      <c r="F667" s="883">
        <v>154000</v>
      </c>
      <c r="G667" s="55">
        <v>719</v>
      </c>
      <c r="H667" s="78">
        <v>110000</v>
      </c>
      <c r="I667" s="873" t="s">
        <v>659</v>
      </c>
      <c r="J667" s="875">
        <v>43606</v>
      </c>
      <c r="K667" s="877" t="s">
        <v>1973</v>
      </c>
      <c r="L667" s="881" t="s">
        <v>1974</v>
      </c>
      <c r="M667" s="881" t="s">
        <v>1908</v>
      </c>
      <c r="N667" s="883">
        <v>90000</v>
      </c>
      <c r="O667" s="55">
        <v>723</v>
      </c>
      <c r="P667" s="78">
        <f>+N667</f>
        <v>90000</v>
      </c>
    </row>
    <row r="668" spans="1:16" ht="13.5" customHeight="1" thickBot="1">
      <c r="A668" s="882"/>
      <c r="B668" s="876"/>
      <c r="C668" s="878"/>
      <c r="D668" s="882"/>
      <c r="E668" s="882"/>
      <c r="F668" s="884"/>
      <c r="G668" s="56">
        <v>721</v>
      </c>
      <c r="H668" s="79">
        <f>+F667-H667</f>
        <v>44000</v>
      </c>
      <c r="I668" s="882"/>
      <c r="J668" s="876"/>
      <c r="K668" s="878"/>
      <c r="L668" s="882"/>
      <c r="M668" s="882"/>
      <c r="N668" s="884"/>
      <c r="O668" s="56">
        <v>723</v>
      </c>
      <c r="P668" s="79">
        <f>+N667-P667</f>
        <v>0</v>
      </c>
    </row>
    <row r="669" spans="1:16" ht="12.75" customHeight="1">
      <c r="A669" s="881" t="e">
        <f>+A667+1</f>
        <v>#REF!</v>
      </c>
      <c r="B669" s="875">
        <v>42296</v>
      </c>
      <c r="C669" s="881" t="s">
        <v>28</v>
      </c>
      <c r="D669" s="881" t="s">
        <v>357</v>
      </c>
      <c r="E669" s="881" t="s">
        <v>148</v>
      </c>
      <c r="F669" s="883">
        <v>280000</v>
      </c>
      <c r="G669" s="55">
        <v>719</v>
      </c>
      <c r="H669" s="78">
        <v>200000</v>
      </c>
      <c r="I669" s="873" t="s">
        <v>660</v>
      </c>
      <c r="J669" s="875">
        <v>43606</v>
      </c>
      <c r="K669" s="877" t="s">
        <v>1975</v>
      </c>
      <c r="L669" s="881" t="s">
        <v>1974</v>
      </c>
      <c r="M669" s="881" t="s">
        <v>148</v>
      </c>
      <c r="N669" s="883">
        <v>645780</v>
      </c>
      <c r="O669" s="55">
        <v>723</v>
      </c>
      <c r="P669" s="78">
        <f>+N669</f>
        <v>645780</v>
      </c>
    </row>
    <row r="670" spans="1:16" ht="12.75" customHeight="1" thickBot="1">
      <c r="A670" s="882"/>
      <c r="B670" s="876"/>
      <c r="C670" s="882"/>
      <c r="D670" s="882"/>
      <c r="E670" s="882"/>
      <c r="F670" s="884"/>
      <c r="G670" s="56">
        <v>721</v>
      </c>
      <c r="H670" s="79">
        <f>+F669-H669</f>
        <v>80000</v>
      </c>
      <c r="I670" s="882"/>
      <c r="J670" s="876"/>
      <c r="K670" s="878"/>
      <c r="L670" s="882"/>
      <c r="M670" s="882"/>
      <c r="N670" s="884"/>
      <c r="O670" s="56">
        <v>723</v>
      </c>
      <c r="P670" s="79">
        <f>+N669-P669</f>
        <v>0</v>
      </c>
    </row>
    <row r="671" spans="1:16" ht="12" customHeight="1">
      <c r="A671" s="881" t="e">
        <f>+A669+1</f>
        <v>#REF!</v>
      </c>
      <c r="B671" s="875">
        <v>42296</v>
      </c>
      <c r="C671" s="877" t="s">
        <v>32</v>
      </c>
      <c r="D671" s="881" t="s">
        <v>357</v>
      </c>
      <c r="E671" s="881" t="s">
        <v>148</v>
      </c>
      <c r="F671" s="883">
        <v>98000</v>
      </c>
      <c r="G671" s="55">
        <v>719</v>
      </c>
      <c r="H671" s="78">
        <v>70000</v>
      </c>
      <c r="I671" s="873"/>
      <c r="J671" s="875"/>
      <c r="K671" s="881"/>
      <c r="L671" s="881"/>
      <c r="M671" s="881"/>
      <c r="N671" s="883"/>
      <c r="O671" s="55">
        <v>719</v>
      </c>
      <c r="P671" s="78"/>
    </row>
    <row r="672" spans="1:16" ht="14.25" customHeight="1" thickBot="1">
      <c r="A672" s="882"/>
      <c r="B672" s="876"/>
      <c r="C672" s="878"/>
      <c r="D672" s="882"/>
      <c r="E672" s="882"/>
      <c r="F672" s="884"/>
      <c r="G672" s="56">
        <v>721</v>
      </c>
      <c r="H672" s="79">
        <f>+F671-H671</f>
        <v>28000</v>
      </c>
      <c r="I672" s="882"/>
      <c r="J672" s="876"/>
      <c r="K672" s="882"/>
      <c r="L672" s="882"/>
      <c r="M672" s="882"/>
      <c r="N672" s="884"/>
      <c r="O672" s="56">
        <v>723</v>
      </c>
      <c r="P672" s="79">
        <f>+N671-P671</f>
        <v>0</v>
      </c>
    </row>
    <row r="673" spans="1:16" ht="12.75" customHeight="1">
      <c r="A673" s="881" t="e">
        <f>+#REF!+1</f>
        <v>#REF!</v>
      </c>
      <c r="B673" s="875">
        <v>42296</v>
      </c>
      <c r="C673" s="877" t="s">
        <v>272</v>
      </c>
      <c r="D673" s="881" t="s">
        <v>357</v>
      </c>
      <c r="E673" s="881" t="s">
        <v>148</v>
      </c>
      <c r="F673" s="883">
        <v>616000</v>
      </c>
      <c r="G673" s="55">
        <v>719</v>
      </c>
      <c r="H673" s="78">
        <v>440000</v>
      </c>
      <c r="I673" s="873"/>
      <c r="J673" s="875"/>
      <c r="K673" s="877"/>
      <c r="L673" s="881"/>
      <c r="M673" s="881"/>
      <c r="N673" s="883"/>
      <c r="O673" s="55">
        <v>719</v>
      </c>
      <c r="P673" s="78">
        <v>0</v>
      </c>
    </row>
    <row r="674" spans="1:16" ht="12.75" customHeight="1" thickBot="1">
      <c r="A674" s="882"/>
      <c r="B674" s="876"/>
      <c r="C674" s="878"/>
      <c r="D674" s="882"/>
      <c r="E674" s="882"/>
      <c r="F674" s="884"/>
      <c r="G674" s="56">
        <v>721</v>
      </c>
      <c r="H674" s="79">
        <f>+F673-H673</f>
        <v>176000</v>
      </c>
      <c r="I674" s="882"/>
      <c r="J674" s="876"/>
      <c r="K674" s="878"/>
      <c r="L674" s="882"/>
      <c r="M674" s="882"/>
      <c r="N674" s="884"/>
      <c r="O674" s="56">
        <v>723</v>
      </c>
      <c r="P674" s="79">
        <f>+N673-P673</f>
        <v>0</v>
      </c>
    </row>
    <row r="675" spans="1:16" ht="16.5" thickBot="1">
      <c r="A675" s="901" t="s">
        <v>102</v>
      </c>
      <c r="B675" s="902"/>
      <c r="C675" s="902"/>
      <c r="D675" s="902"/>
      <c r="E675" s="903"/>
      <c r="F675" s="81">
        <f>SUM(F667:F674)</f>
        <v>1148000</v>
      </c>
      <c r="I675" s="901" t="s">
        <v>102</v>
      </c>
      <c r="J675" s="902"/>
      <c r="K675" s="902"/>
      <c r="L675" s="902"/>
      <c r="M675" s="903"/>
      <c r="N675" s="81">
        <f>SUM(N667:N674)</f>
        <v>735780</v>
      </c>
    </row>
    <row r="676" spans="1:16" ht="16.5" thickBot="1">
      <c r="A676" s="885" t="s">
        <v>103</v>
      </c>
      <c r="B676" s="886"/>
      <c r="C676" s="886"/>
      <c r="D676" s="886"/>
      <c r="E676" s="887"/>
      <c r="F676" s="69">
        <f>+F642</f>
        <v>649900930</v>
      </c>
      <c r="I676" s="885" t="s">
        <v>103</v>
      </c>
      <c r="J676" s="886"/>
      <c r="K676" s="886"/>
      <c r="L676" s="886"/>
      <c r="M676" s="887"/>
      <c r="N676" s="239">
        <f>+N642</f>
        <v>327355692</v>
      </c>
      <c r="O676" s="241" t="s">
        <v>561</v>
      </c>
      <c r="P676" s="242"/>
    </row>
    <row r="677" spans="1:16" ht="16.5" thickBot="1">
      <c r="A677" s="888" t="s">
        <v>104</v>
      </c>
      <c r="B677" s="889"/>
      <c r="C677" s="889"/>
      <c r="D677" s="889"/>
      <c r="E677" s="890"/>
      <c r="F677" s="183">
        <f>SUM(F675:F676)</f>
        <v>651048930</v>
      </c>
      <c r="I677" s="888" t="s">
        <v>104</v>
      </c>
      <c r="J677" s="889"/>
      <c r="K677" s="889"/>
      <c r="L677" s="889"/>
      <c r="M677" s="890"/>
      <c r="N677" s="183">
        <f>SUM(N675:N676)</f>
        <v>328091472</v>
      </c>
    </row>
    <row r="678" spans="1:16" ht="15.75" customHeight="1">
      <c r="A678" s="61"/>
      <c r="B678" s="61"/>
      <c r="C678" s="61"/>
      <c r="D678" s="61"/>
      <c r="E678" s="61"/>
      <c r="I678" s="61"/>
      <c r="J678" s="61"/>
      <c r="K678" s="61"/>
      <c r="L678" s="61"/>
      <c r="M678" s="61"/>
    </row>
    <row r="679" spans="1:16">
      <c r="A679" s="51" t="s">
        <v>353</v>
      </c>
      <c r="I679" s="51" t="s">
        <v>1977</v>
      </c>
    </row>
    <row r="680" spans="1:16" ht="12" customHeight="1">
      <c r="F680" s="139"/>
      <c r="N680" s="139"/>
    </row>
    <row r="681" spans="1:16">
      <c r="A681" s="50" t="s">
        <v>105</v>
      </c>
      <c r="D681" s="146"/>
      <c r="F681" s="139"/>
      <c r="I681" s="50" t="s">
        <v>105</v>
      </c>
      <c r="L681" s="146"/>
      <c r="N681" s="139"/>
    </row>
    <row r="682" spans="1:16" ht="9" customHeight="1" thickBot="1"/>
    <row r="683" spans="1:16" ht="15.75" customHeight="1" thickBot="1">
      <c r="A683" s="891" t="s">
        <v>106</v>
      </c>
      <c r="B683" s="892"/>
      <c r="C683" s="892"/>
      <c r="D683" s="893"/>
      <c r="F683" s="50" t="s">
        <v>270</v>
      </c>
      <c r="I683" s="891" t="s">
        <v>106</v>
      </c>
      <c r="J683" s="892"/>
      <c r="K683" s="892"/>
      <c r="L683" s="893"/>
      <c r="N683" s="605" t="s">
        <v>288</v>
      </c>
      <c r="O683" s="605"/>
      <c r="P683" s="605"/>
    </row>
    <row r="684" spans="1:16" ht="28.5" customHeight="1" thickBot="1">
      <c r="A684" s="57" t="s">
        <v>100</v>
      </c>
      <c r="B684" s="58" t="s">
        <v>108</v>
      </c>
      <c r="C684" s="59" t="s">
        <v>109</v>
      </c>
      <c r="D684" s="60" t="s">
        <v>110</v>
      </c>
      <c r="I684" s="57" t="s">
        <v>100</v>
      </c>
      <c r="J684" s="58" t="s">
        <v>108</v>
      </c>
      <c r="K684" s="59" t="s">
        <v>109</v>
      </c>
      <c r="L684" s="60" t="s">
        <v>110</v>
      </c>
      <c r="N684" s="202"/>
      <c r="O684" s="202"/>
      <c r="P684" s="202"/>
    </row>
    <row r="685" spans="1:16" ht="14.25" customHeight="1">
      <c r="A685" s="71">
        <v>719</v>
      </c>
      <c r="B685" s="73" t="e">
        <f>+H667+H669+H671+#REF!+H673</f>
        <v>#REF!</v>
      </c>
      <c r="C685" s="74" t="e">
        <f>+D650</f>
        <v>#REF!</v>
      </c>
      <c r="D685" s="195" t="e">
        <f>+B685+C685</f>
        <v>#REF!</v>
      </c>
      <c r="I685" s="71">
        <v>719</v>
      </c>
      <c r="J685" s="73"/>
      <c r="K685" s="74">
        <f>+L650</f>
        <v>7140000</v>
      </c>
      <c r="L685" s="195">
        <f>+J685+K685</f>
        <v>7140000</v>
      </c>
      <c r="N685" s="202"/>
      <c r="O685" s="202"/>
      <c r="P685" s="202"/>
    </row>
    <row r="686" spans="1:16" ht="12.75" customHeight="1">
      <c r="A686" s="72">
        <v>721</v>
      </c>
      <c r="B686" s="80" t="e">
        <f>+H668+H670+H672+#REF!+H674</f>
        <v>#REF!</v>
      </c>
      <c r="C686" s="74" t="e">
        <f>+D651</f>
        <v>#REF!</v>
      </c>
      <c r="D686" s="195" t="e">
        <f>+B686+C686</f>
        <v>#REF!</v>
      </c>
      <c r="I686" s="72">
        <v>721</v>
      </c>
      <c r="J686" s="80">
        <f>+P668</f>
        <v>0</v>
      </c>
      <c r="K686" s="74">
        <f>+L651</f>
        <v>945000</v>
      </c>
      <c r="L686" s="195">
        <f>+J686+K686</f>
        <v>945000</v>
      </c>
      <c r="N686" s="202"/>
      <c r="O686" s="202"/>
      <c r="P686" s="202"/>
    </row>
    <row r="687" spans="1:16" ht="12.75" customHeight="1">
      <c r="A687" s="72">
        <v>722</v>
      </c>
      <c r="B687" s="80"/>
      <c r="C687" s="74">
        <f>+D652</f>
        <v>231207671</v>
      </c>
      <c r="D687" s="195">
        <f>+B687+C687</f>
        <v>231207671</v>
      </c>
      <c r="I687" s="72">
        <v>722</v>
      </c>
      <c r="J687" s="80"/>
      <c r="K687" s="74">
        <f>+L652</f>
        <v>0</v>
      </c>
      <c r="L687" s="195">
        <f>+J687+K687</f>
        <v>0</v>
      </c>
      <c r="N687" s="202"/>
      <c r="O687" s="202"/>
      <c r="P687" s="202"/>
    </row>
    <row r="688" spans="1:16" ht="13.5" customHeight="1" thickBot="1">
      <c r="A688" s="72">
        <v>723</v>
      </c>
      <c r="B688" s="80"/>
      <c r="C688" s="74">
        <f>+D653</f>
        <v>321428837</v>
      </c>
      <c r="D688" s="195">
        <f>+B688+C688</f>
        <v>321428837</v>
      </c>
      <c r="F688" s="193" t="s">
        <v>348</v>
      </c>
      <c r="G688" s="175"/>
      <c r="I688" s="72">
        <v>723</v>
      </c>
      <c r="J688" s="80">
        <f>+N667+N669</f>
        <v>735780</v>
      </c>
      <c r="K688" s="74">
        <f>+L653</f>
        <v>319270692</v>
      </c>
      <c r="L688" s="195">
        <f>+J688+K688</f>
        <v>320006472</v>
      </c>
      <c r="N688" s="918" t="s">
        <v>1696</v>
      </c>
      <c r="O688" s="608"/>
      <c r="P688" s="608"/>
    </row>
    <row r="689" spans="1:16" ht="12.75" hidden="1" customHeight="1">
      <c r="A689" s="164" t="s">
        <v>181</v>
      </c>
      <c r="B689" s="165"/>
      <c r="C689" s="74" t="e">
        <f>+D654</f>
        <v>#REF!</v>
      </c>
      <c r="D689" s="196" t="e">
        <f>+B689+C689</f>
        <v>#REF!</v>
      </c>
      <c r="F689" s="52"/>
      <c r="I689" s="164" t="s">
        <v>181</v>
      </c>
      <c r="J689" s="165"/>
      <c r="K689" s="74">
        <f>+L654</f>
        <v>0</v>
      </c>
      <c r="L689" s="196">
        <f>+J689+K689</f>
        <v>0</v>
      </c>
      <c r="N689" s="52"/>
    </row>
    <row r="690" spans="1:16" ht="16.5" thickBot="1">
      <c r="A690" s="169"/>
      <c r="B690" s="170" t="e">
        <f>SUM(B685:B689)</f>
        <v>#REF!</v>
      </c>
      <c r="C690" s="171" t="e">
        <f>SUM(C685:C689)</f>
        <v>#REF!</v>
      </c>
      <c r="D690" s="172" t="e">
        <f>SUM(D685:D689)</f>
        <v>#REF!</v>
      </c>
      <c r="I690" s="169"/>
      <c r="J690" s="197">
        <f>SUM(J685:J689)</f>
        <v>735780</v>
      </c>
      <c r="K690" s="197">
        <f>SUM(K685:K689)</f>
        <v>327355692</v>
      </c>
      <c r="L690" s="198">
        <f>SUM(L685:L689)</f>
        <v>328091472</v>
      </c>
    </row>
    <row r="691" spans="1:16" ht="16.5">
      <c r="A691" s="49" t="s">
        <v>88</v>
      </c>
      <c r="B691" s="50"/>
      <c r="I691" s="49" t="s">
        <v>88</v>
      </c>
      <c r="J691" s="50"/>
    </row>
    <row r="692" spans="1:16">
      <c r="A692" s="51" t="s">
        <v>89</v>
      </c>
      <c r="I692" s="51" t="s">
        <v>89</v>
      </c>
    </row>
    <row r="693" spans="1:16">
      <c r="A693" s="51" t="s">
        <v>90</v>
      </c>
      <c r="I693" s="51" t="s">
        <v>90</v>
      </c>
    </row>
    <row r="694" spans="1:16">
      <c r="A694" s="51" t="s">
        <v>91</v>
      </c>
      <c r="I694" s="51" t="s">
        <v>91</v>
      </c>
    </row>
    <row r="695" spans="1:16" ht="8.25" customHeight="1">
      <c r="A695" s="50"/>
      <c r="B695" s="50"/>
      <c r="I695" s="50"/>
      <c r="J695" s="50"/>
    </row>
    <row r="696" spans="1:16" ht="16.5">
      <c r="A696" s="52" t="s">
        <v>352</v>
      </c>
      <c r="G696" s="52"/>
      <c r="I696" s="260" t="s">
        <v>743</v>
      </c>
      <c r="J696" s="262"/>
      <c r="O696" s="52"/>
    </row>
    <row r="697" spans="1:16" ht="15.75">
      <c r="A697" s="53" t="s">
        <v>92</v>
      </c>
      <c r="G697" s="53"/>
      <c r="I697" s="261" t="s">
        <v>1866</v>
      </c>
      <c r="J697" s="262"/>
      <c r="O697" s="53"/>
    </row>
    <row r="698" spans="1:16" ht="17.25" customHeight="1">
      <c r="A698" s="894" t="s">
        <v>93</v>
      </c>
      <c r="B698" s="894"/>
      <c r="C698" s="894"/>
      <c r="D698" s="894"/>
      <c r="E698" s="894"/>
      <c r="F698" s="894"/>
      <c r="G698" s="894"/>
      <c r="H698" s="894"/>
      <c r="I698" s="894" t="s">
        <v>170</v>
      </c>
      <c r="J698" s="894"/>
      <c r="K698" s="894"/>
      <c r="L698" s="894"/>
      <c r="M698" s="894"/>
      <c r="N698" s="894"/>
      <c r="O698" s="894"/>
      <c r="P698" s="894"/>
    </row>
    <row r="699" spans="1:16" ht="6" customHeight="1" thickBot="1"/>
    <row r="700" spans="1:16">
      <c r="A700" s="895" t="s">
        <v>94</v>
      </c>
      <c r="B700" s="897" t="s">
        <v>95</v>
      </c>
      <c r="C700" s="897" t="s">
        <v>96</v>
      </c>
      <c r="D700" s="897" t="s">
        <v>3</v>
      </c>
      <c r="E700" s="897" t="s">
        <v>97</v>
      </c>
      <c r="F700" s="897" t="s">
        <v>98</v>
      </c>
      <c r="G700" s="897" t="s">
        <v>99</v>
      </c>
      <c r="H700" s="899"/>
      <c r="I700" s="895" t="s">
        <v>94</v>
      </c>
      <c r="J700" s="897" t="s">
        <v>95</v>
      </c>
      <c r="K700" s="897" t="s">
        <v>96</v>
      </c>
      <c r="L700" s="897" t="s">
        <v>3</v>
      </c>
      <c r="M700" s="897" t="s">
        <v>97</v>
      </c>
      <c r="N700" s="897" t="s">
        <v>98</v>
      </c>
      <c r="O700" s="897" t="s">
        <v>99</v>
      </c>
      <c r="P700" s="899"/>
    </row>
    <row r="701" spans="1:16" ht="15.75" thickBot="1">
      <c r="A701" s="896"/>
      <c r="B701" s="898"/>
      <c r="C701" s="898"/>
      <c r="D701" s="898"/>
      <c r="E701" s="898"/>
      <c r="F701" s="898"/>
      <c r="G701" s="240" t="s">
        <v>100</v>
      </c>
      <c r="H701" s="182" t="s">
        <v>101</v>
      </c>
      <c r="I701" s="896"/>
      <c r="J701" s="898"/>
      <c r="K701" s="898"/>
      <c r="L701" s="898"/>
      <c r="M701" s="898"/>
      <c r="N701" s="898"/>
      <c r="O701" s="240" t="s">
        <v>100</v>
      </c>
      <c r="P701" s="182" t="s">
        <v>101</v>
      </c>
    </row>
    <row r="702" spans="1:16" ht="15" customHeight="1">
      <c r="A702" s="881" t="e">
        <f>+A673+1</f>
        <v>#REF!</v>
      </c>
      <c r="B702" s="875">
        <v>42296</v>
      </c>
      <c r="C702" s="877" t="s">
        <v>272</v>
      </c>
      <c r="D702" s="881" t="s">
        <v>356</v>
      </c>
      <c r="E702" s="881" t="s">
        <v>115</v>
      </c>
      <c r="F702" s="883">
        <v>100000</v>
      </c>
      <c r="G702" s="55">
        <v>719</v>
      </c>
      <c r="H702" s="78">
        <v>100000</v>
      </c>
      <c r="I702" s="873" t="s">
        <v>661</v>
      </c>
      <c r="J702" s="875">
        <v>44161</v>
      </c>
      <c r="K702" s="877" t="s">
        <v>1079</v>
      </c>
      <c r="L702" s="881" t="s">
        <v>1978</v>
      </c>
      <c r="M702" s="881" t="s">
        <v>148</v>
      </c>
      <c r="N702" s="883">
        <v>729000</v>
      </c>
      <c r="O702" s="55">
        <v>723</v>
      </c>
      <c r="P702" s="78">
        <v>540000</v>
      </c>
    </row>
    <row r="703" spans="1:16" ht="13.5" customHeight="1" thickBot="1">
      <c r="A703" s="882"/>
      <c r="B703" s="876"/>
      <c r="C703" s="878"/>
      <c r="D703" s="882"/>
      <c r="E703" s="882"/>
      <c r="F703" s="884"/>
      <c r="G703" s="56">
        <v>721</v>
      </c>
      <c r="H703" s="79">
        <f>+F702-H702</f>
        <v>0</v>
      </c>
      <c r="I703" s="882"/>
      <c r="J703" s="876"/>
      <c r="K703" s="878"/>
      <c r="L703" s="882"/>
      <c r="M703" s="882"/>
      <c r="N703" s="884"/>
      <c r="O703" s="56">
        <v>721</v>
      </c>
      <c r="P703" s="79">
        <f>+N702-P702</f>
        <v>189000</v>
      </c>
    </row>
    <row r="704" spans="1:16" ht="13.5" customHeight="1">
      <c r="A704" s="881" t="e">
        <f>+A702+1</f>
        <v>#REF!</v>
      </c>
      <c r="B704" s="875">
        <v>42296</v>
      </c>
      <c r="C704" s="881" t="s">
        <v>28</v>
      </c>
      <c r="D704" s="881" t="s">
        <v>355</v>
      </c>
      <c r="E704" s="881" t="s">
        <v>115</v>
      </c>
      <c r="F704" s="883">
        <v>50000</v>
      </c>
      <c r="G704" s="55">
        <v>719</v>
      </c>
      <c r="H704" s="78">
        <v>50000</v>
      </c>
      <c r="I704" s="873" t="s">
        <v>662</v>
      </c>
      <c r="J704" s="875">
        <v>44161</v>
      </c>
      <c r="K704" s="877" t="s">
        <v>1079</v>
      </c>
      <c r="L704" s="881" t="s">
        <v>1979</v>
      </c>
      <c r="M704" s="881" t="s">
        <v>148</v>
      </c>
      <c r="N704" s="883">
        <v>715500</v>
      </c>
      <c r="O704" s="55">
        <v>723</v>
      </c>
      <c r="P704" s="78">
        <v>530000</v>
      </c>
    </row>
    <row r="705" spans="1:16" ht="12.75" customHeight="1" thickBot="1">
      <c r="A705" s="882"/>
      <c r="B705" s="876"/>
      <c r="C705" s="882"/>
      <c r="D705" s="882"/>
      <c r="E705" s="882"/>
      <c r="F705" s="884"/>
      <c r="G705" s="56">
        <v>721</v>
      </c>
      <c r="H705" s="79">
        <f>+F704-H704</f>
        <v>0</v>
      </c>
      <c r="I705" s="882"/>
      <c r="J705" s="876"/>
      <c r="K705" s="878"/>
      <c r="L705" s="882"/>
      <c r="M705" s="882"/>
      <c r="N705" s="884"/>
      <c r="O705" s="56">
        <v>721</v>
      </c>
      <c r="P705" s="79">
        <f>+N704-P704</f>
        <v>185500</v>
      </c>
    </row>
    <row r="706" spans="1:16" ht="12.75" customHeight="1">
      <c r="A706" s="251"/>
      <c r="B706" s="252"/>
      <c r="C706" s="251"/>
      <c r="D706" s="251"/>
      <c r="E706" s="251"/>
      <c r="F706" s="254"/>
      <c r="G706" s="255"/>
      <c r="H706" s="256"/>
      <c r="I706" s="873" t="s">
        <v>663</v>
      </c>
      <c r="J706" s="875">
        <v>44161</v>
      </c>
      <c r="K706" s="877" t="s">
        <v>1079</v>
      </c>
      <c r="L706" s="881" t="s">
        <v>1980</v>
      </c>
      <c r="M706" s="881" t="s">
        <v>148</v>
      </c>
      <c r="N706" s="883">
        <v>648000</v>
      </c>
      <c r="O706" s="55">
        <v>723</v>
      </c>
      <c r="P706" s="78">
        <v>480000</v>
      </c>
    </row>
    <row r="707" spans="1:16" ht="12.75" customHeight="1" thickBot="1">
      <c r="A707" s="251"/>
      <c r="B707" s="252"/>
      <c r="C707" s="251"/>
      <c r="D707" s="251"/>
      <c r="E707" s="251"/>
      <c r="F707" s="254"/>
      <c r="G707" s="255"/>
      <c r="H707" s="256"/>
      <c r="I707" s="882"/>
      <c r="J707" s="876"/>
      <c r="K707" s="878"/>
      <c r="L707" s="882"/>
      <c r="M707" s="882"/>
      <c r="N707" s="884"/>
      <c r="O707" s="56">
        <v>721</v>
      </c>
      <c r="P707" s="79">
        <f>+N706-P706</f>
        <v>168000</v>
      </c>
    </row>
    <row r="708" spans="1:16" ht="13.5" customHeight="1">
      <c r="A708" s="881" t="e">
        <f>+#REF!+1</f>
        <v>#REF!</v>
      </c>
      <c r="B708" s="875">
        <v>42296</v>
      </c>
      <c r="C708" s="877" t="s">
        <v>120</v>
      </c>
      <c r="D708" s="881" t="s">
        <v>354</v>
      </c>
      <c r="E708" s="881" t="s">
        <v>115</v>
      </c>
      <c r="F708" s="883">
        <v>20000</v>
      </c>
      <c r="G708" s="55">
        <v>719</v>
      </c>
      <c r="H708" s="78">
        <v>20000</v>
      </c>
      <c r="I708" s="873" t="s">
        <v>664</v>
      </c>
      <c r="J708" s="875">
        <v>44161</v>
      </c>
      <c r="K708" s="877" t="s">
        <v>1079</v>
      </c>
      <c r="L708" s="881" t="s">
        <v>1981</v>
      </c>
      <c r="M708" s="881" t="s">
        <v>148</v>
      </c>
      <c r="N708" s="883">
        <v>904500</v>
      </c>
      <c r="O708" s="55">
        <v>719</v>
      </c>
      <c r="P708" s="78">
        <v>670000</v>
      </c>
    </row>
    <row r="709" spans="1:16" ht="12.75" customHeight="1" thickBot="1">
      <c r="A709" s="882"/>
      <c r="B709" s="876"/>
      <c r="C709" s="878"/>
      <c r="D709" s="882"/>
      <c r="E709" s="882"/>
      <c r="F709" s="884"/>
      <c r="G709" s="56">
        <v>721</v>
      </c>
      <c r="H709" s="79">
        <f>+F708-H708</f>
        <v>0</v>
      </c>
      <c r="I709" s="882"/>
      <c r="J709" s="876"/>
      <c r="K709" s="878"/>
      <c r="L709" s="882"/>
      <c r="M709" s="882"/>
      <c r="N709" s="884"/>
      <c r="O709" s="56">
        <v>721</v>
      </c>
      <c r="P709" s="79">
        <f>+N708-P708</f>
        <v>234500</v>
      </c>
    </row>
    <row r="710" spans="1:16" ht="15" customHeight="1">
      <c r="A710" s="881" t="e">
        <f>+A708+1</f>
        <v>#REF!</v>
      </c>
      <c r="B710" s="875">
        <v>42296</v>
      </c>
      <c r="C710" s="877" t="s">
        <v>272</v>
      </c>
      <c r="D710" s="881" t="s">
        <v>427</v>
      </c>
      <c r="E710" s="881" t="s">
        <v>115</v>
      </c>
      <c r="F710" s="883">
        <v>90000</v>
      </c>
      <c r="G710" s="55">
        <v>719</v>
      </c>
      <c r="H710" s="78">
        <f>+F710</f>
        <v>90000</v>
      </c>
      <c r="I710" s="873" t="s">
        <v>665</v>
      </c>
      <c r="J710" s="875">
        <v>44161</v>
      </c>
      <c r="K710" s="877" t="s">
        <v>1079</v>
      </c>
      <c r="L710" s="881" t="s">
        <v>1982</v>
      </c>
      <c r="M710" s="881" t="s">
        <v>148</v>
      </c>
      <c r="N710" s="883">
        <v>810000</v>
      </c>
      <c r="O710" s="55">
        <v>719</v>
      </c>
      <c r="P710" s="78">
        <v>600000</v>
      </c>
    </row>
    <row r="711" spans="1:16" ht="12.75" customHeight="1" thickBot="1">
      <c r="A711" s="882"/>
      <c r="B711" s="876"/>
      <c r="C711" s="878"/>
      <c r="D711" s="882"/>
      <c r="E711" s="882"/>
      <c r="F711" s="884"/>
      <c r="G711" s="56">
        <v>721</v>
      </c>
      <c r="H711" s="79"/>
      <c r="I711" s="882"/>
      <c r="J711" s="876"/>
      <c r="K711" s="878"/>
      <c r="L711" s="882"/>
      <c r="M711" s="882"/>
      <c r="N711" s="884"/>
      <c r="O711" s="56">
        <v>721</v>
      </c>
      <c r="P711" s="79">
        <f>+N710-P710</f>
        <v>210000</v>
      </c>
    </row>
    <row r="712" spans="1:16" ht="15" customHeight="1" thickBot="1">
      <c r="A712" s="881" t="e">
        <f>+A710+1</f>
        <v>#REF!</v>
      </c>
      <c r="B712" s="875">
        <v>42296</v>
      </c>
      <c r="C712" s="881" t="s">
        <v>28</v>
      </c>
      <c r="D712" s="881" t="s">
        <v>355</v>
      </c>
      <c r="E712" s="881" t="s">
        <v>115</v>
      </c>
      <c r="F712" s="883">
        <v>50000</v>
      </c>
      <c r="G712" s="55">
        <v>719</v>
      </c>
      <c r="H712" s="78">
        <v>50000</v>
      </c>
      <c r="I712" s="901" t="s">
        <v>102</v>
      </c>
      <c r="J712" s="902"/>
      <c r="K712" s="902"/>
      <c r="L712" s="902"/>
      <c r="M712" s="903"/>
      <c r="N712" s="81">
        <f>SUM(N702:N711)</f>
        <v>3807000</v>
      </c>
    </row>
    <row r="713" spans="1:16" ht="12.75" customHeight="1" thickBot="1">
      <c r="A713" s="882"/>
      <c r="B713" s="876"/>
      <c r="C713" s="882"/>
      <c r="D713" s="882"/>
      <c r="E713" s="882"/>
      <c r="F713" s="884"/>
      <c r="G713" s="56">
        <v>721</v>
      </c>
      <c r="H713" s="79">
        <f>+F712-H712</f>
        <v>0</v>
      </c>
      <c r="I713" s="885" t="s">
        <v>103</v>
      </c>
      <c r="J713" s="886"/>
      <c r="K713" s="886"/>
      <c r="L713" s="886"/>
      <c r="M713" s="887"/>
      <c r="N713" s="239">
        <f>+N677</f>
        <v>328091472</v>
      </c>
      <c r="O713" s="241" t="s">
        <v>561</v>
      </c>
      <c r="P713" s="242"/>
    </row>
    <row r="714" spans="1:16" ht="16.5" thickBot="1">
      <c r="A714" s="901" t="s">
        <v>102</v>
      </c>
      <c r="B714" s="902"/>
      <c r="C714" s="902"/>
      <c r="D714" s="902"/>
      <c r="E714" s="903"/>
      <c r="F714" s="81">
        <f>SUM(F702:F713)</f>
        <v>310000</v>
      </c>
      <c r="I714" s="888" t="s">
        <v>104</v>
      </c>
      <c r="J714" s="889"/>
      <c r="K714" s="889"/>
      <c r="L714" s="889"/>
      <c r="M714" s="890"/>
      <c r="N714" s="183">
        <f>SUM(N712:N713)</f>
        <v>331898472</v>
      </c>
    </row>
    <row r="715" spans="1:16" ht="7.5" customHeight="1" thickBot="1">
      <c r="A715" s="885" t="s">
        <v>103</v>
      </c>
      <c r="B715" s="886"/>
      <c r="C715" s="886"/>
      <c r="D715" s="886"/>
      <c r="E715" s="887"/>
      <c r="F715" s="69">
        <f>+F677</f>
        <v>651048930</v>
      </c>
      <c r="I715" s="61"/>
      <c r="J715" s="61"/>
      <c r="K715" s="61"/>
      <c r="L715" s="61"/>
      <c r="M715" s="61"/>
    </row>
    <row r="716" spans="1:16" ht="18" customHeight="1" thickBot="1">
      <c r="A716" s="888" t="s">
        <v>104</v>
      </c>
      <c r="B716" s="889"/>
      <c r="C716" s="889"/>
      <c r="D716" s="889"/>
      <c r="E716" s="890"/>
      <c r="F716" s="183">
        <f>SUM(F714:F715)</f>
        <v>651358930</v>
      </c>
      <c r="I716" s="51" t="s">
        <v>1997</v>
      </c>
    </row>
    <row r="717" spans="1:16" ht="5.25" customHeight="1">
      <c r="A717" s="61"/>
      <c r="B717" s="61"/>
      <c r="C717" s="61"/>
      <c r="D717" s="61"/>
      <c r="E717" s="61"/>
      <c r="N717" s="139"/>
    </row>
    <row r="718" spans="1:16">
      <c r="A718" s="51" t="s">
        <v>428</v>
      </c>
      <c r="I718" s="50" t="s">
        <v>105</v>
      </c>
      <c r="L718" s="146"/>
      <c r="N718" s="139"/>
    </row>
    <row r="719" spans="1:16" ht="5.25" customHeight="1" thickBot="1">
      <c r="F719" s="139"/>
    </row>
    <row r="720" spans="1:16" ht="17.25" thickBot="1">
      <c r="A720" s="50" t="s">
        <v>105</v>
      </c>
      <c r="D720" s="146"/>
      <c r="F720" s="139"/>
      <c r="I720" s="891" t="s">
        <v>106</v>
      </c>
      <c r="J720" s="892"/>
      <c r="K720" s="892"/>
      <c r="L720" s="893"/>
      <c r="N720" s="605" t="s">
        <v>288</v>
      </c>
      <c r="O720" s="605"/>
      <c r="P720" s="605"/>
    </row>
    <row r="721" spans="1:16" ht="26.25" customHeight="1" thickBot="1">
      <c r="I721" s="57" t="s">
        <v>100</v>
      </c>
      <c r="J721" s="58" t="s">
        <v>108</v>
      </c>
      <c r="K721" s="59" t="s">
        <v>109</v>
      </c>
      <c r="L721" s="60" t="s">
        <v>110</v>
      </c>
      <c r="N721" s="202"/>
      <c r="O721" s="202"/>
      <c r="P721" s="202"/>
    </row>
    <row r="722" spans="1:16" ht="15" customHeight="1" thickBot="1">
      <c r="A722" s="891" t="s">
        <v>106</v>
      </c>
      <c r="B722" s="892"/>
      <c r="C722" s="892"/>
      <c r="D722" s="893"/>
      <c r="F722" s="50" t="s">
        <v>288</v>
      </c>
      <c r="I722" s="71">
        <v>719</v>
      </c>
      <c r="J722" s="73">
        <f>+P702+P704+P706+P708+P710</f>
        <v>2820000</v>
      </c>
      <c r="K722" s="74">
        <f>+L685</f>
        <v>7140000</v>
      </c>
      <c r="L722" s="195">
        <f>+J722+K722</f>
        <v>9960000</v>
      </c>
      <c r="N722" s="202"/>
      <c r="O722" s="202"/>
      <c r="P722" s="202"/>
    </row>
    <row r="723" spans="1:16" ht="14.25" customHeight="1" thickBot="1">
      <c r="A723" s="57" t="s">
        <v>100</v>
      </c>
      <c r="B723" s="58" t="s">
        <v>108</v>
      </c>
      <c r="C723" s="59" t="s">
        <v>109</v>
      </c>
      <c r="D723" s="60" t="s">
        <v>110</v>
      </c>
      <c r="I723" s="72">
        <v>721</v>
      </c>
      <c r="J723" s="257">
        <f>+P703+P705+P707+P709+P711</f>
        <v>987000</v>
      </c>
      <c r="K723" s="74">
        <f>+L686</f>
        <v>945000</v>
      </c>
      <c r="L723" s="195">
        <f>+J723+K723</f>
        <v>1932000</v>
      </c>
      <c r="N723" s="202"/>
      <c r="O723" s="202"/>
      <c r="P723" s="202"/>
    </row>
    <row r="724" spans="1:16" ht="13.5" customHeight="1">
      <c r="A724" s="71">
        <v>719</v>
      </c>
      <c r="B724" s="73" t="e">
        <f>+H702+H704+#REF!+H708+H712+H710</f>
        <v>#REF!</v>
      </c>
      <c r="C724" s="74" t="e">
        <f>+D685</f>
        <v>#REF!</v>
      </c>
      <c r="D724" s="195" t="e">
        <f>+B724+C724</f>
        <v>#REF!</v>
      </c>
      <c r="I724" s="72">
        <v>722</v>
      </c>
      <c r="J724" s="257"/>
      <c r="K724" s="74">
        <f>+L687</f>
        <v>0</v>
      </c>
      <c r="L724" s="195">
        <f>+J724+K724</f>
        <v>0</v>
      </c>
      <c r="N724" s="202"/>
      <c r="O724" s="202"/>
      <c r="P724" s="202"/>
    </row>
    <row r="725" spans="1:16" ht="14.25" customHeight="1" thickBot="1">
      <c r="A725" s="72">
        <v>721</v>
      </c>
      <c r="B725" s="80">
        <f>+H703</f>
        <v>0</v>
      </c>
      <c r="C725" s="74" t="e">
        <f>+D686</f>
        <v>#REF!</v>
      </c>
      <c r="D725" s="195" t="e">
        <f>+B725+C725</f>
        <v>#REF!</v>
      </c>
      <c r="I725" s="72">
        <v>723</v>
      </c>
      <c r="J725" s="257"/>
      <c r="K725" s="74">
        <f>+L688</f>
        <v>320006472</v>
      </c>
      <c r="L725" s="195">
        <f>+J725+K725</f>
        <v>320006472</v>
      </c>
      <c r="N725" s="918" t="s">
        <v>1696</v>
      </c>
      <c r="O725" s="608"/>
      <c r="P725" s="608"/>
    </row>
    <row r="726" spans="1:16" ht="15" hidden="1" customHeight="1">
      <c r="A726" s="72">
        <v>722</v>
      </c>
      <c r="B726" s="80"/>
      <c r="C726" s="74">
        <f>+D687</f>
        <v>231207671</v>
      </c>
      <c r="D726" s="195">
        <f>+B726+C726</f>
        <v>231207671</v>
      </c>
      <c r="I726" s="164" t="s">
        <v>181</v>
      </c>
      <c r="J726" s="165"/>
      <c r="K726" s="74">
        <f>+L689</f>
        <v>0</v>
      </c>
      <c r="L726" s="196">
        <f>+J726+K726</f>
        <v>0</v>
      </c>
      <c r="N726" s="52"/>
    </row>
    <row r="727" spans="1:16" ht="16.5" thickBot="1">
      <c r="A727" s="72">
        <v>723</v>
      </c>
      <c r="B727" s="80">
        <f>+H705</f>
        <v>0</v>
      </c>
      <c r="C727" s="74">
        <f>+D688</f>
        <v>321428837</v>
      </c>
      <c r="D727" s="195">
        <f>+B727+C727</f>
        <v>321428837</v>
      </c>
      <c r="F727" s="193" t="s">
        <v>23</v>
      </c>
      <c r="G727" s="175"/>
      <c r="I727" s="169"/>
      <c r="J727" s="197">
        <f>SUM(J722:J726)</f>
        <v>3807000</v>
      </c>
      <c r="K727" s="197">
        <f>SUM(K722:K726)</f>
        <v>328091472</v>
      </c>
      <c r="L727" s="198">
        <f>SUM(L722:L726)</f>
        <v>331898472</v>
      </c>
    </row>
    <row r="728" spans="1:16" ht="17.25" thickBot="1">
      <c r="A728" s="164" t="s">
        <v>181</v>
      </c>
      <c r="B728" s="165"/>
      <c r="C728" s="74" t="e">
        <f>+D689</f>
        <v>#REF!</v>
      </c>
      <c r="D728" s="196" t="e">
        <f>+B728+C728</f>
        <v>#REF!</v>
      </c>
      <c r="F728" s="52"/>
      <c r="I728" s="49" t="s">
        <v>88</v>
      </c>
      <c r="J728" s="50"/>
    </row>
    <row r="729" spans="1:16" ht="15" customHeight="1" thickBot="1">
      <c r="A729" s="169"/>
      <c r="B729" s="170" t="e">
        <f>SUM(B724:B728)</f>
        <v>#REF!</v>
      </c>
      <c r="C729" s="171" t="e">
        <f>SUM(C724:C728)</f>
        <v>#REF!</v>
      </c>
      <c r="D729" s="172" t="e">
        <f>SUM(D724:D728)</f>
        <v>#REF!</v>
      </c>
      <c r="I729" s="51" t="s">
        <v>89</v>
      </c>
    </row>
    <row r="730" spans="1:16" ht="13.5" customHeight="1">
      <c r="A730" s="49" t="s">
        <v>88</v>
      </c>
      <c r="B730" s="50"/>
      <c r="I730" s="51" t="s">
        <v>90</v>
      </c>
    </row>
    <row r="731" spans="1:16" ht="13.5" customHeight="1">
      <c r="A731" s="51" t="s">
        <v>89</v>
      </c>
      <c r="I731" s="51" t="s">
        <v>91</v>
      </c>
    </row>
    <row r="732" spans="1:16" ht="3" customHeight="1">
      <c r="A732" s="51" t="s">
        <v>90</v>
      </c>
      <c r="I732" s="50"/>
      <c r="J732" s="50"/>
    </row>
    <row r="733" spans="1:16" ht="16.5">
      <c r="A733" s="51" t="s">
        <v>91</v>
      </c>
      <c r="I733" s="260" t="s">
        <v>761</v>
      </c>
      <c r="J733" s="262"/>
      <c r="O733" s="52"/>
    </row>
    <row r="734" spans="1:16" ht="15.75" customHeight="1">
      <c r="A734" s="50"/>
      <c r="B734" s="50"/>
      <c r="I734" s="261" t="s">
        <v>1866</v>
      </c>
      <c r="J734" s="262"/>
      <c r="O734" s="53"/>
    </row>
    <row r="735" spans="1:16" ht="14.25" customHeight="1">
      <c r="A735" s="52" t="s">
        <v>431</v>
      </c>
      <c r="G735" s="52"/>
      <c r="I735" s="894" t="s">
        <v>170</v>
      </c>
      <c r="J735" s="894"/>
      <c r="K735" s="894"/>
      <c r="L735" s="894"/>
      <c r="M735" s="894"/>
      <c r="N735" s="894"/>
      <c r="O735" s="894"/>
      <c r="P735" s="894"/>
    </row>
    <row r="736" spans="1:16" ht="9.75" customHeight="1" thickBot="1">
      <c r="A736" s="53" t="s">
        <v>92</v>
      </c>
      <c r="G736" s="53"/>
    </row>
    <row r="737" spans="1:16" ht="16.5">
      <c r="A737" s="894" t="s">
        <v>93</v>
      </c>
      <c r="B737" s="894"/>
      <c r="C737" s="894"/>
      <c r="D737" s="894"/>
      <c r="E737" s="894"/>
      <c r="F737" s="894"/>
      <c r="G737" s="894"/>
      <c r="H737" s="894"/>
      <c r="I737" s="895" t="s">
        <v>94</v>
      </c>
      <c r="J737" s="897" t="s">
        <v>95</v>
      </c>
      <c r="K737" s="897" t="s">
        <v>96</v>
      </c>
      <c r="L737" s="897" t="s">
        <v>3</v>
      </c>
      <c r="M737" s="897" t="s">
        <v>97</v>
      </c>
      <c r="N737" s="897" t="s">
        <v>98</v>
      </c>
      <c r="O737" s="897" t="s">
        <v>99</v>
      </c>
      <c r="P737" s="899"/>
    </row>
    <row r="738" spans="1:16" ht="13.5" customHeight="1" thickBot="1">
      <c r="I738" s="896"/>
      <c r="J738" s="898"/>
      <c r="K738" s="898"/>
      <c r="L738" s="898"/>
      <c r="M738" s="898"/>
      <c r="N738" s="898"/>
      <c r="O738" s="240" t="s">
        <v>100</v>
      </c>
      <c r="P738" s="182" t="s">
        <v>101</v>
      </c>
    </row>
    <row r="739" spans="1:16" ht="13.5" customHeight="1">
      <c r="A739" s="895" t="s">
        <v>94</v>
      </c>
      <c r="B739" s="897" t="s">
        <v>95</v>
      </c>
      <c r="C739" s="897" t="s">
        <v>96</v>
      </c>
      <c r="D739" s="897" t="s">
        <v>3</v>
      </c>
      <c r="E739" s="897" t="s">
        <v>97</v>
      </c>
      <c r="F739" s="897" t="s">
        <v>98</v>
      </c>
      <c r="G739" s="897" t="s">
        <v>99</v>
      </c>
      <c r="H739" s="899"/>
      <c r="I739" s="873" t="s">
        <v>666</v>
      </c>
      <c r="J739" s="875">
        <v>44161</v>
      </c>
      <c r="K739" s="877" t="s">
        <v>815</v>
      </c>
      <c r="L739" s="881" t="s">
        <v>1985</v>
      </c>
      <c r="M739" s="881" t="s">
        <v>148</v>
      </c>
      <c r="N739" s="883">
        <v>459000</v>
      </c>
      <c r="O739" s="55">
        <v>719</v>
      </c>
      <c r="P739" s="78">
        <v>340000</v>
      </c>
    </row>
    <row r="740" spans="1:16" ht="13.5" customHeight="1" thickBot="1">
      <c r="A740" s="896"/>
      <c r="B740" s="898"/>
      <c r="C740" s="898"/>
      <c r="D740" s="898"/>
      <c r="E740" s="898"/>
      <c r="F740" s="898"/>
      <c r="G740" s="240" t="s">
        <v>100</v>
      </c>
      <c r="H740" s="182" t="s">
        <v>101</v>
      </c>
      <c r="I740" s="882"/>
      <c r="J740" s="876"/>
      <c r="K740" s="878"/>
      <c r="L740" s="882"/>
      <c r="M740" s="882"/>
      <c r="N740" s="884"/>
      <c r="O740" s="56">
        <v>721</v>
      </c>
      <c r="P740" s="79">
        <f>+N739-P739</f>
        <v>119000</v>
      </c>
    </row>
    <row r="741" spans="1:16" ht="13.5" customHeight="1">
      <c r="A741" s="478"/>
      <c r="B741" s="479"/>
      <c r="C741" s="479"/>
      <c r="D741" s="479"/>
      <c r="E741" s="479"/>
      <c r="F741" s="479"/>
      <c r="G741" s="479"/>
      <c r="H741" s="480"/>
      <c r="I741" s="873" t="s">
        <v>667</v>
      </c>
      <c r="J741" s="875">
        <v>44161</v>
      </c>
      <c r="K741" s="877" t="s">
        <v>1984</v>
      </c>
      <c r="L741" s="881" t="s">
        <v>1986</v>
      </c>
      <c r="M741" s="881" t="s">
        <v>148</v>
      </c>
      <c r="N741" s="883">
        <v>1093500</v>
      </c>
      <c r="O741" s="55">
        <v>719</v>
      </c>
      <c r="P741" s="78">
        <v>810000</v>
      </c>
    </row>
    <row r="742" spans="1:16" ht="13.5" customHeight="1" thickBot="1">
      <c r="A742" s="478"/>
      <c r="B742" s="479"/>
      <c r="C742" s="479"/>
      <c r="D742" s="479"/>
      <c r="E742" s="479"/>
      <c r="F742" s="479"/>
      <c r="G742" s="479"/>
      <c r="H742" s="480"/>
      <c r="I742" s="882"/>
      <c r="J742" s="876"/>
      <c r="K742" s="878"/>
      <c r="L742" s="882"/>
      <c r="M742" s="882"/>
      <c r="N742" s="884"/>
      <c r="O742" s="56">
        <v>723</v>
      </c>
      <c r="P742" s="79">
        <f>+N741-P741</f>
        <v>283500</v>
      </c>
    </row>
    <row r="743" spans="1:16" ht="12.75" customHeight="1">
      <c r="A743" s="881" t="e">
        <f>+A712+1</f>
        <v>#REF!</v>
      </c>
      <c r="B743" s="875">
        <v>42306</v>
      </c>
      <c r="C743" s="877" t="s">
        <v>267</v>
      </c>
      <c r="D743" s="881" t="s">
        <v>436</v>
      </c>
      <c r="E743" s="881" t="s">
        <v>148</v>
      </c>
      <c r="F743" s="883">
        <v>112000</v>
      </c>
      <c r="G743" s="55">
        <v>719</v>
      </c>
      <c r="H743" s="78">
        <v>80000</v>
      </c>
      <c r="I743" s="873" t="s">
        <v>668</v>
      </c>
      <c r="J743" s="875">
        <v>44161</v>
      </c>
      <c r="K743" s="877" t="s">
        <v>1984</v>
      </c>
      <c r="L743" s="881" t="s">
        <v>1987</v>
      </c>
      <c r="M743" s="881" t="s">
        <v>148</v>
      </c>
      <c r="N743" s="883">
        <v>850500</v>
      </c>
      <c r="O743" s="55">
        <v>719</v>
      </c>
      <c r="P743" s="78">
        <v>630000</v>
      </c>
    </row>
    <row r="744" spans="1:16" ht="13.5" customHeight="1" thickBot="1">
      <c r="A744" s="882"/>
      <c r="B744" s="876"/>
      <c r="C744" s="878"/>
      <c r="D744" s="882"/>
      <c r="E744" s="882"/>
      <c r="F744" s="884"/>
      <c r="G744" s="56">
        <v>721</v>
      </c>
      <c r="H744" s="79">
        <f>+F743-H743</f>
        <v>32000</v>
      </c>
      <c r="I744" s="882"/>
      <c r="J744" s="876"/>
      <c r="K744" s="878"/>
      <c r="L744" s="882"/>
      <c r="M744" s="882"/>
      <c r="N744" s="884"/>
      <c r="O744" s="56">
        <v>721</v>
      </c>
      <c r="P744" s="79">
        <f>+N743-P743</f>
        <v>220500</v>
      </c>
    </row>
    <row r="745" spans="1:16" ht="13.5" customHeight="1">
      <c r="A745" s="881" t="e">
        <f>+A743+1</f>
        <v>#REF!</v>
      </c>
      <c r="B745" s="875">
        <v>42306</v>
      </c>
      <c r="C745" s="881" t="s">
        <v>28</v>
      </c>
      <c r="D745" s="881" t="s">
        <v>437</v>
      </c>
      <c r="E745" s="881" t="s">
        <v>148</v>
      </c>
      <c r="F745" s="883">
        <v>210000</v>
      </c>
      <c r="G745" s="55">
        <v>719</v>
      </c>
      <c r="H745" s="78">
        <v>150000</v>
      </c>
      <c r="I745" s="873" t="s">
        <v>669</v>
      </c>
      <c r="J745" s="875">
        <v>44161</v>
      </c>
      <c r="K745" s="877" t="s">
        <v>1984</v>
      </c>
      <c r="L745" s="881" t="s">
        <v>1989</v>
      </c>
      <c r="M745" s="881" t="s">
        <v>148</v>
      </c>
      <c r="N745" s="883">
        <v>715000</v>
      </c>
      <c r="O745" s="55">
        <v>719</v>
      </c>
      <c r="P745" s="78">
        <v>550000</v>
      </c>
    </row>
    <row r="746" spans="1:16" ht="13.5" customHeight="1" thickBot="1">
      <c r="A746" s="882"/>
      <c r="B746" s="876"/>
      <c r="C746" s="882"/>
      <c r="D746" s="882"/>
      <c r="E746" s="882"/>
      <c r="F746" s="884"/>
      <c r="G746" s="56">
        <v>721</v>
      </c>
      <c r="H746" s="79">
        <f>+F745-H745</f>
        <v>60000</v>
      </c>
      <c r="I746" s="882"/>
      <c r="J746" s="876"/>
      <c r="K746" s="878"/>
      <c r="L746" s="882"/>
      <c r="M746" s="882"/>
      <c r="N746" s="884"/>
      <c r="O746" s="56">
        <v>721</v>
      </c>
      <c r="P746" s="79">
        <f>+N745-P745</f>
        <v>165000</v>
      </c>
    </row>
    <row r="747" spans="1:16" ht="15" customHeight="1">
      <c r="A747" s="881" t="e">
        <f>+#REF!+1</f>
        <v>#REF!</v>
      </c>
      <c r="B747" s="875">
        <v>42306</v>
      </c>
      <c r="C747" s="877" t="s">
        <v>111</v>
      </c>
      <c r="D747" s="881" t="s">
        <v>439</v>
      </c>
      <c r="E747" s="881" t="s">
        <v>148</v>
      </c>
      <c r="F747" s="883">
        <v>56000</v>
      </c>
      <c r="G747" s="55">
        <v>719</v>
      </c>
      <c r="H747" s="78">
        <v>40000</v>
      </c>
      <c r="I747" s="873" t="s">
        <v>670</v>
      </c>
      <c r="J747" s="875">
        <v>44161</v>
      </c>
      <c r="K747" s="877" t="s">
        <v>1984</v>
      </c>
      <c r="L747" s="881" t="s">
        <v>1990</v>
      </c>
      <c r="M747" s="881" t="s">
        <v>148</v>
      </c>
      <c r="N747" s="883">
        <v>688500</v>
      </c>
      <c r="O747" s="55">
        <v>719</v>
      </c>
      <c r="P747" s="78">
        <v>510000</v>
      </c>
    </row>
    <row r="748" spans="1:16" ht="12.75" customHeight="1" thickBot="1">
      <c r="A748" s="882"/>
      <c r="B748" s="876"/>
      <c r="C748" s="878"/>
      <c r="D748" s="882"/>
      <c r="E748" s="882"/>
      <c r="F748" s="884"/>
      <c r="G748" s="56">
        <v>721</v>
      </c>
      <c r="H748" s="79">
        <f>+F747-H747</f>
        <v>16000</v>
      </c>
      <c r="I748" s="882"/>
      <c r="J748" s="876"/>
      <c r="K748" s="878"/>
      <c r="L748" s="882"/>
      <c r="M748" s="882"/>
      <c r="N748" s="884"/>
      <c r="O748" s="56">
        <v>721</v>
      </c>
      <c r="P748" s="79">
        <f>+N747-P747</f>
        <v>178500</v>
      </c>
    </row>
    <row r="749" spans="1:16" ht="15" customHeight="1" thickBot="1">
      <c r="A749" s="881" t="e">
        <f>+A747+1</f>
        <v>#REF!</v>
      </c>
      <c r="B749" s="875">
        <v>42306</v>
      </c>
      <c r="C749" s="877" t="s">
        <v>272</v>
      </c>
      <c r="D749" s="881" t="s">
        <v>437</v>
      </c>
      <c r="E749" s="881" t="s">
        <v>115</v>
      </c>
      <c r="F749" s="931">
        <v>714000</v>
      </c>
      <c r="G749" s="55">
        <v>719</v>
      </c>
      <c r="H749" s="78">
        <v>510000</v>
      </c>
      <c r="I749" s="901" t="s">
        <v>102</v>
      </c>
      <c r="J749" s="902"/>
      <c r="K749" s="902"/>
      <c r="L749" s="902"/>
      <c r="M749" s="903"/>
      <c r="N749" s="81">
        <f>SUM(N739:N748)</f>
        <v>3806500</v>
      </c>
    </row>
    <row r="750" spans="1:16" ht="15.75" customHeight="1" thickBot="1">
      <c r="A750" s="882"/>
      <c r="B750" s="876"/>
      <c r="C750" s="878"/>
      <c r="D750" s="882"/>
      <c r="E750" s="882"/>
      <c r="F750" s="932"/>
      <c r="G750" s="56">
        <v>721</v>
      </c>
      <c r="H750" s="79">
        <f>+F749-H749</f>
        <v>204000</v>
      </c>
      <c r="I750" s="885" t="s">
        <v>103</v>
      </c>
      <c r="J750" s="886"/>
      <c r="K750" s="886"/>
      <c r="L750" s="886"/>
      <c r="M750" s="887"/>
      <c r="N750" s="239">
        <f>+N714</f>
        <v>331898472</v>
      </c>
      <c r="O750" s="241" t="s">
        <v>561</v>
      </c>
      <c r="P750" s="242">
        <f>195+274+546</f>
        <v>1015</v>
      </c>
    </row>
    <row r="751" spans="1:16" ht="16.5" thickBot="1">
      <c r="A751" s="901" t="s">
        <v>102</v>
      </c>
      <c r="B751" s="902"/>
      <c r="C751" s="902"/>
      <c r="D751" s="902"/>
      <c r="E751" s="903"/>
      <c r="F751" s="81">
        <f>SUM(F743:F750)</f>
        <v>1092000</v>
      </c>
      <c r="I751" s="888" t="s">
        <v>104</v>
      </c>
      <c r="J751" s="889"/>
      <c r="K751" s="889"/>
      <c r="L751" s="889"/>
      <c r="M751" s="890"/>
      <c r="N751" s="183">
        <f>SUM(N749:N750)</f>
        <v>335704972</v>
      </c>
    </row>
    <row r="752" spans="1:16" ht="8.25" customHeight="1" thickBot="1">
      <c r="A752" s="885" t="s">
        <v>103</v>
      </c>
      <c r="B752" s="886"/>
      <c r="C752" s="886"/>
      <c r="D752" s="886"/>
      <c r="E752" s="887"/>
      <c r="F752" s="69">
        <f>+F716</f>
        <v>651358930</v>
      </c>
      <c r="I752" s="61"/>
      <c r="J752" s="61"/>
      <c r="K752" s="61"/>
      <c r="L752" s="61"/>
      <c r="M752" s="61"/>
    </row>
    <row r="753" spans="1:16" ht="16.5" thickBot="1">
      <c r="A753" s="888" t="s">
        <v>104</v>
      </c>
      <c r="B753" s="889"/>
      <c r="C753" s="889"/>
      <c r="D753" s="889"/>
      <c r="E753" s="890"/>
      <c r="F753" s="183">
        <f>SUM(F751:F752)</f>
        <v>652450930</v>
      </c>
      <c r="I753" s="51" t="s">
        <v>1996</v>
      </c>
    </row>
    <row r="754" spans="1:16" ht="6.75" customHeight="1">
      <c r="A754" s="61"/>
      <c r="B754" s="61"/>
      <c r="C754" s="61"/>
      <c r="D754" s="61"/>
      <c r="E754" s="61"/>
      <c r="N754" s="139"/>
    </row>
    <row r="755" spans="1:16">
      <c r="A755" s="51" t="s">
        <v>440</v>
      </c>
      <c r="I755" s="50" t="s">
        <v>105</v>
      </c>
      <c r="L755" s="146"/>
      <c r="N755" s="139"/>
    </row>
    <row r="756" spans="1:16" ht="6.75" customHeight="1" thickBot="1">
      <c r="F756" s="139"/>
    </row>
    <row r="757" spans="1:16" ht="17.25" thickBot="1">
      <c r="A757" s="50" t="s">
        <v>105</v>
      </c>
      <c r="D757" s="146"/>
      <c r="F757" s="139"/>
      <c r="I757" s="891" t="s">
        <v>106</v>
      </c>
      <c r="J757" s="892"/>
      <c r="K757" s="892"/>
      <c r="L757" s="893"/>
      <c r="N757" s="605" t="s">
        <v>288</v>
      </c>
      <c r="O757" s="605"/>
      <c r="P757" s="605"/>
    </row>
    <row r="758" spans="1:16" ht="29.25" customHeight="1" thickBot="1">
      <c r="I758" s="57" t="s">
        <v>100</v>
      </c>
      <c r="J758" s="58" t="s">
        <v>108</v>
      </c>
      <c r="K758" s="263" t="s">
        <v>109</v>
      </c>
      <c r="L758" s="60" t="s">
        <v>110</v>
      </c>
      <c r="N758" s="202"/>
      <c r="O758" s="202"/>
      <c r="P758" s="202"/>
    </row>
    <row r="759" spans="1:16" ht="13.5" customHeight="1" thickBot="1">
      <c r="A759" s="891" t="s">
        <v>106</v>
      </c>
      <c r="B759" s="892"/>
      <c r="C759" s="892"/>
      <c r="D759" s="893"/>
      <c r="F759" s="50" t="s">
        <v>288</v>
      </c>
      <c r="I759" s="71">
        <v>719</v>
      </c>
      <c r="J759" s="73">
        <f>+P739+P741+P743+P745+P747</f>
        <v>2840000</v>
      </c>
      <c r="K759" s="74">
        <f>+L722</f>
        <v>9960000</v>
      </c>
      <c r="L759" s="195">
        <f>+J759+K759</f>
        <v>12800000</v>
      </c>
      <c r="N759" s="202"/>
      <c r="O759" s="202"/>
      <c r="P759" s="202"/>
    </row>
    <row r="760" spans="1:16" ht="13.5" customHeight="1" thickBot="1">
      <c r="A760" s="57" t="s">
        <v>100</v>
      </c>
      <c r="B760" s="58" t="s">
        <v>108</v>
      </c>
      <c r="C760" s="59" t="s">
        <v>109</v>
      </c>
      <c r="D760" s="60" t="s">
        <v>110</v>
      </c>
      <c r="I760" s="72">
        <v>721</v>
      </c>
      <c r="J760" s="257">
        <f>+P740+P742+P744+P746+P748</f>
        <v>966500</v>
      </c>
      <c r="K760" s="74">
        <f>+L723</f>
        <v>1932000</v>
      </c>
      <c r="L760" s="195">
        <f>+J760+K760</f>
        <v>2898500</v>
      </c>
      <c r="N760" s="202"/>
      <c r="O760" s="202"/>
      <c r="P760" s="202"/>
    </row>
    <row r="761" spans="1:16" ht="12" customHeight="1">
      <c r="A761" s="71">
        <v>719</v>
      </c>
      <c r="B761" s="73" t="e">
        <f>+H743+H745+#REF!+H747+H749</f>
        <v>#REF!</v>
      </c>
      <c r="C761" s="74" t="e">
        <f>+D724</f>
        <v>#REF!</v>
      </c>
      <c r="D761" s="195" t="e">
        <f>+B761+C761</f>
        <v>#REF!</v>
      </c>
      <c r="I761" s="72">
        <v>722</v>
      </c>
      <c r="J761" s="257"/>
      <c r="K761" s="74">
        <f>+L724</f>
        <v>0</v>
      </c>
      <c r="L761" s="195">
        <f>+J761+K761</f>
        <v>0</v>
      </c>
      <c r="N761" s="202"/>
      <c r="O761" s="202"/>
      <c r="P761" s="202"/>
    </row>
    <row r="762" spans="1:16" ht="12.75" customHeight="1" thickBot="1">
      <c r="A762" s="72">
        <v>721</v>
      </c>
      <c r="B762" s="80" t="e">
        <f>+H744+H746+#REF!+H748+H750</f>
        <v>#REF!</v>
      </c>
      <c r="C762" s="74" t="e">
        <f>+D725</f>
        <v>#REF!</v>
      </c>
      <c r="D762" s="195" t="e">
        <f>+B762+C762</f>
        <v>#REF!</v>
      </c>
      <c r="I762" s="72">
        <v>723</v>
      </c>
      <c r="J762" s="257"/>
      <c r="K762" s="74">
        <f>+L725</f>
        <v>320006472</v>
      </c>
      <c r="L762" s="195">
        <f>+J762+K762</f>
        <v>320006472</v>
      </c>
      <c r="N762" s="918" t="s">
        <v>1696</v>
      </c>
      <c r="O762" s="608"/>
      <c r="P762" s="608"/>
    </row>
    <row r="763" spans="1:16" ht="12.75" hidden="1" customHeight="1">
      <c r="A763" s="72">
        <v>722</v>
      </c>
      <c r="B763" s="80"/>
      <c r="C763" s="74">
        <f>+D726</f>
        <v>231207671</v>
      </c>
      <c r="D763" s="195">
        <f>+B763+C763</f>
        <v>231207671</v>
      </c>
      <c r="I763" s="164" t="s">
        <v>181</v>
      </c>
      <c r="J763" s="165"/>
      <c r="K763" s="74">
        <f>+L726</f>
        <v>0</v>
      </c>
      <c r="L763" s="196">
        <f>+J763+K763</f>
        <v>0</v>
      </c>
      <c r="N763" s="52"/>
    </row>
    <row r="764" spans="1:16" ht="16.5" thickBot="1">
      <c r="A764" s="72">
        <v>723</v>
      </c>
      <c r="B764" s="80"/>
      <c r="C764" s="74">
        <f>+D727</f>
        <v>321428837</v>
      </c>
      <c r="D764" s="195">
        <f>+B764+C764</f>
        <v>321428837</v>
      </c>
      <c r="F764" s="174" t="s">
        <v>23</v>
      </c>
      <c r="G764" s="175"/>
      <c r="I764" s="169"/>
      <c r="J764" s="197">
        <f>SUM(J759:J763)</f>
        <v>3806500</v>
      </c>
      <c r="K764" s="197">
        <f>SUM(K759:K763)</f>
        <v>331898472</v>
      </c>
      <c r="L764" s="198">
        <f>SUM(L759:L763)</f>
        <v>335704972</v>
      </c>
    </row>
    <row r="765" spans="1:16" ht="17.25" thickBot="1">
      <c r="A765" s="164" t="s">
        <v>181</v>
      </c>
      <c r="B765" s="165"/>
      <c r="C765" s="74" t="e">
        <f>+D728</f>
        <v>#REF!</v>
      </c>
      <c r="D765" s="196" t="e">
        <f>+B765+C765</f>
        <v>#REF!</v>
      </c>
      <c r="F765" s="52"/>
      <c r="I765" s="49" t="s">
        <v>88</v>
      </c>
      <c r="J765" s="50"/>
    </row>
    <row r="766" spans="1:16" ht="16.5" thickBot="1">
      <c r="A766" s="169"/>
      <c r="B766" s="170" t="e">
        <f>SUM(B761:B765)</f>
        <v>#REF!</v>
      </c>
      <c r="C766" s="171" t="e">
        <f>SUM(C761:C765)</f>
        <v>#REF!</v>
      </c>
      <c r="D766" s="172" t="e">
        <f>SUM(D761:D765)</f>
        <v>#REF!</v>
      </c>
      <c r="I766" s="51" t="s">
        <v>89</v>
      </c>
    </row>
    <row r="767" spans="1:16" ht="16.5">
      <c r="A767" s="49" t="s">
        <v>88</v>
      </c>
      <c r="B767" s="50"/>
      <c r="I767" s="51" t="s">
        <v>90</v>
      </c>
    </row>
    <row r="768" spans="1:16">
      <c r="A768" s="51" t="s">
        <v>89</v>
      </c>
      <c r="I768" s="51" t="s">
        <v>91</v>
      </c>
    </row>
    <row r="769" spans="1:16" ht="3" customHeight="1">
      <c r="A769" s="51" t="s">
        <v>90</v>
      </c>
      <c r="I769" s="50"/>
      <c r="J769" s="50"/>
    </row>
    <row r="770" spans="1:16" ht="16.5">
      <c r="A770" s="51" t="s">
        <v>91</v>
      </c>
      <c r="I770" s="260" t="s">
        <v>762</v>
      </c>
      <c r="J770" s="262"/>
      <c r="O770" s="52"/>
    </row>
    <row r="771" spans="1:16" ht="15" customHeight="1">
      <c r="A771" s="50"/>
      <c r="B771" s="50"/>
      <c r="I771" s="261" t="s">
        <v>1866</v>
      </c>
      <c r="J771" s="262"/>
      <c r="O771" s="53"/>
    </row>
    <row r="772" spans="1:16" ht="16.5">
      <c r="A772" s="52" t="s">
        <v>432</v>
      </c>
      <c r="G772" s="52"/>
      <c r="I772" s="894" t="s">
        <v>170</v>
      </c>
      <c r="J772" s="894"/>
      <c r="K772" s="894"/>
      <c r="L772" s="894"/>
      <c r="M772" s="894"/>
      <c r="N772" s="894"/>
      <c r="O772" s="894"/>
      <c r="P772" s="894"/>
    </row>
    <row r="773" spans="1:16" ht="10.5" customHeight="1" thickBot="1">
      <c r="A773" s="53" t="s">
        <v>92</v>
      </c>
      <c r="G773" s="53"/>
    </row>
    <row r="774" spans="1:16" ht="16.5">
      <c r="A774" s="894" t="s">
        <v>93</v>
      </c>
      <c r="B774" s="894"/>
      <c r="C774" s="894"/>
      <c r="D774" s="894"/>
      <c r="E774" s="894"/>
      <c r="F774" s="894"/>
      <c r="G774" s="894"/>
      <c r="H774" s="894"/>
      <c r="I774" s="895" t="s">
        <v>94</v>
      </c>
      <c r="J774" s="897" t="s">
        <v>95</v>
      </c>
      <c r="K774" s="897" t="s">
        <v>96</v>
      </c>
      <c r="L774" s="897" t="s">
        <v>3</v>
      </c>
      <c r="M774" s="897" t="s">
        <v>97</v>
      </c>
      <c r="N774" s="897" t="s">
        <v>98</v>
      </c>
      <c r="O774" s="897" t="s">
        <v>99</v>
      </c>
      <c r="P774" s="899"/>
    </row>
    <row r="775" spans="1:16" ht="13.5" customHeight="1" thickBot="1">
      <c r="I775" s="896"/>
      <c r="J775" s="898"/>
      <c r="K775" s="898"/>
      <c r="L775" s="898"/>
      <c r="M775" s="898"/>
      <c r="N775" s="898"/>
      <c r="O775" s="240" t="s">
        <v>100</v>
      </c>
      <c r="P775" s="182" t="s">
        <v>101</v>
      </c>
    </row>
    <row r="776" spans="1:16" ht="13.5" customHeight="1">
      <c r="A776" s="895" t="s">
        <v>94</v>
      </c>
      <c r="B776" s="897" t="s">
        <v>95</v>
      </c>
      <c r="C776" s="897" t="s">
        <v>96</v>
      </c>
      <c r="D776" s="897" t="s">
        <v>3</v>
      </c>
      <c r="E776" s="897" t="s">
        <v>97</v>
      </c>
      <c r="F776" s="897" t="s">
        <v>98</v>
      </c>
      <c r="G776" s="897" t="s">
        <v>99</v>
      </c>
      <c r="H776" s="899"/>
      <c r="I776" s="873" t="s">
        <v>717</v>
      </c>
      <c r="J776" s="875">
        <v>44161</v>
      </c>
      <c r="K776" s="877" t="s">
        <v>1984</v>
      </c>
      <c r="L776" s="881" t="s">
        <v>1993</v>
      </c>
      <c r="M776" s="881" t="s">
        <v>148</v>
      </c>
      <c r="N776" s="883">
        <v>864000</v>
      </c>
      <c r="O776" s="55">
        <v>719</v>
      </c>
      <c r="P776" s="78">
        <v>640000</v>
      </c>
    </row>
    <row r="777" spans="1:16" ht="14.25" customHeight="1" thickBot="1">
      <c r="A777" s="896"/>
      <c r="B777" s="898"/>
      <c r="C777" s="898"/>
      <c r="D777" s="898"/>
      <c r="E777" s="898"/>
      <c r="F777" s="898"/>
      <c r="G777" s="240" t="s">
        <v>100</v>
      </c>
      <c r="H777" s="182" t="s">
        <v>101</v>
      </c>
      <c r="I777" s="882"/>
      <c r="J777" s="876"/>
      <c r="K777" s="878"/>
      <c r="L777" s="882"/>
      <c r="M777" s="882"/>
      <c r="N777" s="884"/>
      <c r="O777" s="56">
        <v>721</v>
      </c>
      <c r="P777" s="79">
        <f>+N776-P776</f>
        <v>224000</v>
      </c>
    </row>
    <row r="778" spans="1:16" ht="12.75" customHeight="1">
      <c r="A778" s="881" t="e">
        <f>+A749+1</f>
        <v>#REF!</v>
      </c>
      <c r="B778" s="875">
        <v>42306</v>
      </c>
      <c r="C778" s="877" t="s">
        <v>272</v>
      </c>
      <c r="D778" s="881" t="s">
        <v>433</v>
      </c>
      <c r="E778" s="881" t="s">
        <v>115</v>
      </c>
      <c r="F778" s="883">
        <v>40000</v>
      </c>
      <c r="G778" s="55">
        <v>719</v>
      </c>
      <c r="H778" s="78">
        <v>40000</v>
      </c>
      <c r="I778" s="873" t="s">
        <v>718</v>
      </c>
      <c r="J778" s="875">
        <v>44161</v>
      </c>
      <c r="K778" s="877" t="s">
        <v>1984</v>
      </c>
      <c r="L778" s="881" t="s">
        <v>1994</v>
      </c>
      <c r="M778" s="881" t="s">
        <v>148</v>
      </c>
      <c r="N778" s="883">
        <v>864000</v>
      </c>
      <c r="O778" s="55">
        <v>723</v>
      </c>
      <c r="P778" s="78">
        <v>640000</v>
      </c>
    </row>
    <row r="779" spans="1:16" ht="14.25" customHeight="1" thickBot="1">
      <c r="A779" s="882"/>
      <c r="B779" s="876"/>
      <c r="C779" s="878"/>
      <c r="D779" s="882"/>
      <c r="E779" s="882"/>
      <c r="F779" s="884"/>
      <c r="G779" s="56">
        <v>721</v>
      </c>
      <c r="H779" s="79">
        <f>+F778-H778</f>
        <v>0</v>
      </c>
      <c r="I779" s="882"/>
      <c r="J779" s="876"/>
      <c r="K779" s="878"/>
      <c r="L779" s="882"/>
      <c r="M779" s="882"/>
      <c r="N779" s="884"/>
      <c r="O779" s="56">
        <v>721</v>
      </c>
      <c r="P779" s="79">
        <f>+N778-P778</f>
        <v>224000</v>
      </c>
    </row>
    <row r="780" spans="1:16" ht="12.75" customHeight="1">
      <c r="A780" s="881" t="e">
        <f>+A778+1</f>
        <v>#REF!</v>
      </c>
      <c r="B780" s="875">
        <v>42306</v>
      </c>
      <c r="C780" s="881" t="s">
        <v>28</v>
      </c>
      <c r="D780" s="881" t="s">
        <v>434</v>
      </c>
      <c r="E780" s="881" t="s">
        <v>115</v>
      </c>
      <c r="F780" s="883">
        <v>80000</v>
      </c>
      <c r="G780" s="55">
        <v>719</v>
      </c>
      <c r="H780" s="78">
        <v>80000</v>
      </c>
      <c r="I780" s="873" t="s">
        <v>719</v>
      </c>
      <c r="J780" s="875">
        <v>44161</v>
      </c>
      <c r="K780" s="877" t="s">
        <v>1984</v>
      </c>
      <c r="L780" s="881" t="s">
        <v>1995</v>
      </c>
      <c r="M780" s="881" t="s">
        <v>148</v>
      </c>
      <c r="N780" s="883">
        <v>1539000</v>
      </c>
      <c r="O780" s="55">
        <v>723</v>
      </c>
      <c r="P780" s="78">
        <v>1140000</v>
      </c>
    </row>
    <row r="781" spans="1:16" ht="14.25" customHeight="1" thickBot="1">
      <c r="A781" s="882"/>
      <c r="B781" s="876"/>
      <c r="C781" s="882"/>
      <c r="D781" s="882"/>
      <c r="E781" s="882"/>
      <c r="F781" s="884"/>
      <c r="G781" s="56">
        <v>721</v>
      </c>
      <c r="H781" s="79">
        <f>+F780-H780</f>
        <v>0</v>
      </c>
      <c r="I781" s="882"/>
      <c r="J781" s="876"/>
      <c r="K781" s="878"/>
      <c r="L781" s="882"/>
      <c r="M781" s="882"/>
      <c r="N781" s="884"/>
      <c r="O781" s="56">
        <v>721</v>
      </c>
      <c r="P781" s="79">
        <f>+N780-P780</f>
        <v>399000</v>
      </c>
    </row>
    <row r="782" spans="1:16" ht="14.25" customHeight="1">
      <c r="A782" s="251"/>
      <c r="B782" s="252"/>
      <c r="C782" s="251"/>
      <c r="D782" s="251"/>
      <c r="E782" s="251"/>
      <c r="F782" s="254"/>
      <c r="G782" s="255"/>
      <c r="H782" s="256"/>
      <c r="I782" s="873" t="s">
        <v>720</v>
      </c>
      <c r="J782" s="875">
        <v>44161</v>
      </c>
      <c r="K782" s="877" t="s">
        <v>815</v>
      </c>
      <c r="L782" s="881" t="s">
        <v>1816</v>
      </c>
      <c r="M782" s="881" t="s">
        <v>115</v>
      </c>
      <c r="N782" s="883">
        <v>594000</v>
      </c>
      <c r="O782" s="471">
        <v>719</v>
      </c>
      <c r="P782" s="78">
        <v>440000</v>
      </c>
    </row>
    <row r="783" spans="1:16" ht="14.25" customHeight="1" thickBot="1">
      <c r="A783" s="251"/>
      <c r="B783" s="252"/>
      <c r="C783" s="251"/>
      <c r="D783" s="251"/>
      <c r="E783" s="251"/>
      <c r="F783" s="254"/>
      <c r="G783" s="255"/>
      <c r="H783" s="256"/>
      <c r="I783" s="882"/>
      <c r="J783" s="876"/>
      <c r="K783" s="878"/>
      <c r="L783" s="882"/>
      <c r="M783" s="882"/>
      <c r="N783" s="884"/>
      <c r="O783" s="461">
        <v>721</v>
      </c>
      <c r="P783" s="79">
        <f>+N782-P782</f>
        <v>154000</v>
      </c>
    </row>
    <row r="784" spans="1:16" ht="12" customHeight="1">
      <c r="A784" s="881"/>
      <c r="B784" s="875"/>
      <c r="C784" s="877"/>
      <c r="D784" s="881"/>
      <c r="E784" s="881"/>
      <c r="F784" s="883"/>
      <c r="G784" s="55">
        <v>719</v>
      </c>
      <c r="H784" s="78"/>
      <c r="I784" s="873" t="s">
        <v>721</v>
      </c>
      <c r="J784" s="875">
        <v>44161</v>
      </c>
      <c r="K784" s="877" t="s">
        <v>1315</v>
      </c>
      <c r="L784" s="881" t="s">
        <v>1998</v>
      </c>
      <c r="M784" s="881" t="s">
        <v>148</v>
      </c>
      <c r="N784" s="883">
        <v>3376500</v>
      </c>
      <c r="O784" s="471">
        <v>719</v>
      </c>
      <c r="P784" s="78">
        <v>0</v>
      </c>
    </row>
    <row r="785" spans="1:16" ht="12.75" customHeight="1" thickBot="1">
      <c r="A785" s="882"/>
      <c r="B785" s="876"/>
      <c r="C785" s="878"/>
      <c r="D785" s="882"/>
      <c r="E785" s="882"/>
      <c r="F785" s="884"/>
      <c r="G785" s="56">
        <v>721</v>
      </c>
      <c r="H785" s="79">
        <f>+F784-H784</f>
        <v>0</v>
      </c>
      <c r="I785" s="882"/>
      <c r="J785" s="876"/>
      <c r="K785" s="878"/>
      <c r="L785" s="882"/>
      <c r="M785" s="882"/>
      <c r="N785" s="884"/>
      <c r="O785" s="461">
        <v>723</v>
      </c>
      <c r="P785" s="79">
        <f>+N784-P784</f>
        <v>3376500</v>
      </c>
    </row>
    <row r="786" spans="1:16" ht="15" customHeight="1" thickBot="1">
      <c r="A786" s="881"/>
      <c r="B786" s="875"/>
      <c r="C786" s="881"/>
      <c r="D786" s="881"/>
      <c r="E786" s="881"/>
      <c r="F786" s="883"/>
      <c r="G786" s="55">
        <v>719</v>
      </c>
      <c r="H786" s="78"/>
      <c r="I786" s="901" t="s">
        <v>102</v>
      </c>
      <c r="J786" s="902"/>
      <c r="K786" s="902"/>
      <c r="L786" s="902"/>
      <c r="M786" s="903"/>
      <c r="N786" s="81">
        <f>SUM(N776:N785)</f>
        <v>7237500</v>
      </c>
    </row>
    <row r="787" spans="1:16" ht="15.75" customHeight="1" thickBot="1">
      <c r="A787" s="882"/>
      <c r="B787" s="876"/>
      <c r="C787" s="882"/>
      <c r="D787" s="882"/>
      <c r="E787" s="882"/>
      <c r="F787" s="884"/>
      <c r="G787" s="56">
        <v>721</v>
      </c>
      <c r="H787" s="79">
        <f>+F786-H786</f>
        <v>0</v>
      </c>
      <c r="I787" s="885" t="s">
        <v>103</v>
      </c>
      <c r="J787" s="886"/>
      <c r="K787" s="886"/>
      <c r="L787" s="886"/>
      <c r="M787" s="887"/>
      <c r="N787" s="239">
        <f>+N751</f>
        <v>335704972</v>
      </c>
      <c r="O787" s="241" t="s">
        <v>561</v>
      </c>
      <c r="P787" s="242"/>
    </row>
    <row r="788" spans="1:16" ht="16.5" thickBot="1">
      <c r="A788" s="901" t="s">
        <v>102</v>
      </c>
      <c r="B788" s="902"/>
      <c r="C788" s="902"/>
      <c r="D788" s="902"/>
      <c r="E788" s="903"/>
      <c r="F788" s="81">
        <f>SUM(F778:F787)</f>
        <v>120000</v>
      </c>
      <c r="I788" s="888" t="s">
        <v>104</v>
      </c>
      <c r="J788" s="889"/>
      <c r="K788" s="889"/>
      <c r="L788" s="889"/>
      <c r="M788" s="890"/>
      <c r="N788" s="183">
        <f>SUM(N786:N787)</f>
        <v>342942472</v>
      </c>
    </row>
    <row r="789" spans="1:16" ht="8.25" customHeight="1" thickBot="1">
      <c r="A789" s="885" t="s">
        <v>103</v>
      </c>
      <c r="B789" s="886"/>
      <c r="C789" s="886"/>
      <c r="D789" s="886"/>
      <c r="E789" s="887"/>
      <c r="F789" s="69">
        <f>+F753</f>
        <v>652450930</v>
      </c>
      <c r="I789" s="61"/>
      <c r="J789" s="61"/>
      <c r="K789" s="61"/>
      <c r="L789" s="61"/>
      <c r="M789" s="61"/>
    </row>
    <row r="790" spans="1:16" ht="16.5" thickBot="1">
      <c r="A790" s="888" t="s">
        <v>104</v>
      </c>
      <c r="B790" s="889"/>
      <c r="C790" s="889"/>
      <c r="D790" s="889"/>
      <c r="E790" s="890"/>
      <c r="F790" s="183">
        <f>SUM(F788:F789)</f>
        <v>652570930</v>
      </c>
      <c r="I790" s="51" t="s">
        <v>1999</v>
      </c>
    </row>
    <row r="791" spans="1:16" ht="2.25" customHeight="1">
      <c r="A791" s="61"/>
      <c r="B791" s="61"/>
      <c r="C791" s="61"/>
      <c r="D791" s="61"/>
      <c r="E791" s="61"/>
      <c r="N791" s="139"/>
    </row>
    <row r="792" spans="1:16">
      <c r="A792" s="51" t="s">
        <v>441</v>
      </c>
      <c r="I792" s="50" t="s">
        <v>105</v>
      </c>
      <c r="L792" s="146"/>
      <c r="N792" s="139"/>
    </row>
    <row r="793" spans="1:16" ht="7.5" customHeight="1" thickBot="1">
      <c r="F793" s="139"/>
    </row>
    <row r="794" spans="1:16" ht="17.25" thickBot="1">
      <c r="A794" s="50" t="s">
        <v>105</v>
      </c>
      <c r="D794" s="146"/>
      <c r="F794" s="139"/>
      <c r="I794" s="891" t="s">
        <v>106</v>
      </c>
      <c r="J794" s="892"/>
      <c r="K794" s="892"/>
      <c r="L794" s="893"/>
      <c r="N794" s="605" t="s">
        <v>288</v>
      </c>
      <c r="O794" s="605"/>
      <c r="P794" s="605"/>
    </row>
    <row r="795" spans="1:16" ht="27" customHeight="1" thickBot="1">
      <c r="I795" s="57" t="s">
        <v>100</v>
      </c>
      <c r="J795" s="58" t="s">
        <v>108</v>
      </c>
      <c r="K795" s="264" t="s">
        <v>109</v>
      </c>
      <c r="L795" s="60" t="s">
        <v>110</v>
      </c>
      <c r="N795" s="202"/>
      <c r="O795" s="202"/>
      <c r="P795" s="202"/>
    </row>
    <row r="796" spans="1:16" ht="13.5" customHeight="1" thickBot="1">
      <c r="A796" s="891" t="s">
        <v>106</v>
      </c>
      <c r="B796" s="892"/>
      <c r="C796" s="892"/>
      <c r="D796" s="893"/>
      <c r="F796" s="50" t="s">
        <v>288</v>
      </c>
      <c r="I796" s="71">
        <v>719</v>
      </c>
      <c r="J796" s="73">
        <f>+P776+P778+P780+P784+P782</f>
        <v>2860000</v>
      </c>
      <c r="K796" s="74">
        <f>+L759</f>
        <v>12800000</v>
      </c>
      <c r="L796" s="195">
        <f>+J796+K796</f>
        <v>15660000</v>
      </c>
      <c r="N796" s="202"/>
      <c r="O796" s="202"/>
      <c r="P796" s="202"/>
    </row>
    <row r="797" spans="1:16" ht="15" customHeight="1" thickBot="1">
      <c r="A797" s="57" t="s">
        <v>100</v>
      </c>
      <c r="B797" s="58" t="s">
        <v>108</v>
      </c>
      <c r="C797" s="59" t="s">
        <v>109</v>
      </c>
      <c r="D797" s="60" t="s">
        <v>110</v>
      </c>
      <c r="I797" s="72">
        <v>721</v>
      </c>
      <c r="J797" s="257">
        <f>+P777+P779+P781+P783</f>
        <v>1001000</v>
      </c>
      <c r="K797" s="74">
        <f>+L760</f>
        <v>2898500</v>
      </c>
      <c r="L797" s="195">
        <f>+J797+K797</f>
        <v>3899500</v>
      </c>
      <c r="N797" s="202"/>
      <c r="O797" s="202"/>
      <c r="P797" s="202"/>
    </row>
    <row r="798" spans="1:16" ht="12" customHeight="1">
      <c r="A798" s="71">
        <v>719</v>
      </c>
      <c r="B798" s="73" t="e">
        <f>+H778+H780+#REF!+H784+H786</f>
        <v>#REF!</v>
      </c>
      <c r="C798" s="74" t="e">
        <f>+D761</f>
        <v>#REF!</v>
      </c>
      <c r="D798" s="195" t="e">
        <f>+B798+C798</f>
        <v>#REF!</v>
      </c>
      <c r="I798" s="72">
        <v>722</v>
      </c>
      <c r="J798" s="257"/>
      <c r="K798" s="74">
        <f>+L761</f>
        <v>0</v>
      </c>
      <c r="L798" s="195">
        <f>+J798+K798</f>
        <v>0</v>
      </c>
      <c r="N798" s="202"/>
      <c r="O798" s="202"/>
      <c r="P798" s="202"/>
    </row>
    <row r="799" spans="1:16" ht="13.5" customHeight="1" thickBot="1">
      <c r="A799" s="72">
        <v>721</v>
      </c>
      <c r="B799" s="80">
        <f>+H779</f>
        <v>0</v>
      </c>
      <c r="C799" s="74" t="e">
        <f>+D762</f>
        <v>#REF!</v>
      </c>
      <c r="D799" s="195" t="e">
        <f>+B799+C799</f>
        <v>#REF!</v>
      </c>
      <c r="I799" s="72">
        <v>723</v>
      </c>
      <c r="J799" s="257">
        <f>+P785</f>
        <v>3376500</v>
      </c>
      <c r="K799" s="74">
        <f>+L762</f>
        <v>320006472</v>
      </c>
      <c r="L799" s="195">
        <f>+J799+K799</f>
        <v>323382972</v>
      </c>
      <c r="N799" s="918" t="s">
        <v>1696</v>
      </c>
      <c r="O799" s="608"/>
      <c r="P799" s="608"/>
    </row>
    <row r="800" spans="1:16" ht="13.5" hidden="1" customHeight="1">
      <c r="A800" s="72">
        <v>722</v>
      </c>
      <c r="B800" s="80"/>
      <c r="C800" s="74">
        <f>+D763</f>
        <v>231207671</v>
      </c>
      <c r="D800" s="195">
        <f>+B800+C800</f>
        <v>231207671</v>
      </c>
      <c r="I800" s="164" t="s">
        <v>181</v>
      </c>
      <c r="J800" s="165"/>
      <c r="K800" s="74">
        <f>+L763</f>
        <v>0</v>
      </c>
      <c r="L800" s="196">
        <f>+J800+K800</f>
        <v>0</v>
      </c>
      <c r="N800" s="52"/>
    </row>
    <row r="801" spans="1:16" ht="16.5" thickBot="1">
      <c r="A801" s="72">
        <v>723</v>
      </c>
      <c r="B801" s="80">
        <f>+H781</f>
        <v>0</v>
      </c>
      <c r="C801" s="74">
        <f>+D764</f>
        <v>321428837</v>
      </c>
      <c r="D801" s="195">
        <f>+B801+C801</f>
        <v>321428837</v>
      </c>
      <c r="F801" s="174" t="s">
        <v>23</v>
      </c>
      <c r="G801" s="175"/>
      <c r="I801" s="169"/>
      <c r="J801" s="197">
        <f>SUM(J796:J800)</f>
        <v>7237500</v>
      </c>
      <c r="K801" s="197">
        <f>SUM(K796:K800)</f>
        <v>335704972</v>
      </c>
      <c r="L801" s="198">
        <f>SUM(L796:L800)</f>
        <v>342942472</v>
      </c>
    </row>
    <row r="802" spans="1:16" ht="17.25" thickBot="1">
      <c r="A802" s="164" t="s">
        <v>181</v>
      </c>
      <c r="B802" s="165"/>
      <c r="C802" s="74" t="e">
        <f>+D765</f>
        <v>#REF!</v>
      </c>
      <c r="D802" s="196" t="e">
        <f>+B802+C802</f>
        <v>#REF!</v>
      </c>
      <c r="F802" s="52"/>
      <c r="I802" s="49" t="s">
        <v>88</v>
      </c>
      <c r="J802" s="50"/>
    </row>
    <row r="803" spans="1:16" ht="15" customHeight="1" thickBot="1">
      <c r="A803" s="169"/>
      <c r="B803" s="170" t="e">
        <f>SUM(B798:B802)</f>
        <v>#REF!</v>
      </c>
      <c r="C803" s="171" t="e">
        <f>SUM(C798:C802)</f>
        <v>#REF!</v>
      </c>
      <c r="D803" s="172" t="e">
        <f>SUM(D798:D802)</f>
        <v>#REF!</v>
      </c>
      <c r="I803" s="51" t="s">
        <v>89</v>
      </c>
    </row>
    <row r="804" spans="1:16" ht="15" customHeight="1">
      <c r="A804" s="49" t="s">
        <v>88</v>
      </c>
      <c r="B804" s="50"/>
      <c r="I804" s="51" t="s">
        <v>90</v>
      </c>
    </row>
    <row r="805" spans="1:16">
      <c r="A805" s="51" t="s">
        <v>89</v>
      </c>
      <c r="I805" s="51" t="s">
        <v>91</v>
      </c>
    </row>
    <row r="806" spans="1:16" ht="4.5" customHeight="1">
      <c r="A806" s="51" t="s">
        <v>90</v>
      </c>
      <c r="I806" s="50"/>
      <c r="J806" s="50"/>
    </row>
    <row r="807" spans="1:16" ht="16.5">
      <c r="A807" s="51" t="s">
        <v>91</v>
      </c>
      <c r="I807" s="260" t="s">
        <v>763</v>
      </c>
      <c r="J807" s="262"/>
      <c r="O807" s="52"/>
    </row>
    <row r="808" spans="1:16" ht="14.25" customHeight="1">
      <c r="A808" s="50"/>
      <c r="B808" s="50"/>
      <c r="I808" s="261" t="s">
        <v>1866</v>
      </c>
      <c r="J808" s="262"/>
      <c r="O808" s="53"/>
    </row>
    <row r="809" spans="1:16" ht="16.5">
      <c r="A809" s="52" t="s">
        <v>442</v>
      </c>
      <c r="G809" s="52"/>
      <c r="I809" s="894" t="s">
        <v>2000</v>
      </c>
      <c r="J809" s="894"/>
      <c r="K809" s="894"/>
      <c r="L809" s="894"/>
      <c r="M809" s="894"/>
      <c r="N809" s="894"/>
      <c r="O809" s="894"/>
      <c r="P809" s="894"/>
    </row>
    <row r="810" spans="1:16" ht="9" customHeight="1" thickBot="1">
      <c r="A810" s="53" t="s">
        <v>92</v>
      </c>
      <c r="G810" s="53"/>
    </row>
    <row r="811" spans="1:16" ht="16.5">
      <c r="A811" s="894" t="s">
        <v>93</v>
      </c>
      <c r="B811" s="894"/>
      <c r="C811" s="894"/>
      <c r="D811" s="894"/>
      <c r="E811" s="894"/>
      <c r="F811" s="894"/>
      <c r="G811" s="894"/>
      <c r="H811" s="894"/>
      <c r="I811" s="895" t="s">
        <v>94</v>
      </c>
      <c r="J811" s="897" t="s">
        <v>95</v>
      </c>
      <c r="K811" s="897" t="s">
        <v>96</v>
      </c>
      <c r="L811" s="897" t="s">
        <v>3</v>
      </c>
      <c r="M811" s="897" t="s">
        <v>97</v>
      </c>
      <c r="N811" s="897" t="s">
        <v>98</v>
      </c>
      <c r="O811" s="897" t="s">
        <v>99</v>
      </c>
      <c r="P811" s="899"/>
    </row>
    <row r="812" spans="1:16" ht="15.75" thickBot="1">
      <c r="I812" s="896"/>
      <c r="J812" s="898"/>
      <c r="K812" s="898"/>
      <c r="L812" s="898"/>
      <c r="M812" s="898"/>
      <c r="N812" s="898"/>
      <c r="O812" s="240" t="s">
        <v>100</v>
      </c>
      <c r="P812" s="182" t="s">
        <v>101</v>
      </c>
    </row>
    <row r="813" spans="1:16" ht="14.25" customHeight="1">
      <c r="A813" s="881" t="e">
        <f>+#REF!+1</f>
        <v>#REF!</v>
      </c>
      <c r="B813" s="875">
        <v>42317</v>
      </c>
      <c r="C813" s="877" t="s">
        <v>267</v>
      </c>
      <c r="D813" s="881" t="s">
        <v>444</v>
      </c>
      <c r="E813" s="881" t="s">
        <v>148</v>
      </c>
      <c r="F813" s="883">
        <v>252000</v>
      </c>
      <c r="G813" s="55">
        <v>719</v>
      </c>
      <c r="H813" s="78">
        <v>180000</v>
      </c>
      <c r="I813" s="873" t="s">
        <v>2001</v>
      </c>
      <c r="J813" s="875">
        <v>44195</v>
      </c>
      <c r="K813" s="877" t="s">
        <v>1571</v>
      </c>
      <c r="L813" s="879" t="s">
        <v>1225</v>
      </c>
      <c r="M813" s="881" t="s">
        <v>148</v>
      </c>
      <c r="N813" s="883">
        <v>-3980000</v>
      </c>
      <c r="O813" s="55">
        <v>719</v>
      </c>
      <c r="P813" s="78"/>
    </row>
    <row r="814" spans="1:16" ht="12.75" customHeight="1" thickBot="1">
      <c r="A814" s="882"/>
      <c r="B814" s="876"/>
      <c r="C814" s="878"/>
      <c r="D814" s="882"/>
      <c r="E814" s="882"/>
      <c r="F814" s="884"/>
      <c r="G814" s="56">
        <v>721</v>
      </c>
      <c r="H814" s="79">
        <f>+F813-H813</f>
        <v>72000</v>
      </c>
      <c r="I814" s="874"/>
      <c r="J814" s="876"/>
      <c r="K814" s="878"/>
      <c r="L814" s="880"/>
      <c r="M814" s="882"/>
      <c r="N814" s="884"/>
      <c r="O814" s="56">
        <v>723</v>
      </c>
      <c r="P814" s="79">
        <f>+N813</f>
        <v>-3980000</v>
      </c>
    </row>
    <row r="815" spans="1:16" ht="12.75" customHeight="1">
      <c r="A815" s="881" t="e">
        <f>+A813+1</f>
        <v>#REF!</v>
      </c>
      <c r="B815" s="875">
        <v>42317</v>
      </c>
      <c r="C815" s="881" t="s">
        <v>28</v>
      </c>
      <c r="D815" s="881" t="s">
        <v>445</v>
      </c>
      <c r="E815" s="881" t="s">
        <v>148</v>
      </c>
      <c r="F815" s="883">
        <v>574000</v>
      </c>
      <c r="G815" s="55">
        <v>719</v>
      </c>
      <c r="H815" s="78">
        <v>410000</v>
      </c>
      <c r="I815" s="873" t="s">
        <v>2002</v>
      </c>
      <c r="J815" s="875">
        <v>44195</v>
      </c>
      <c r="K815" s="877" t="s">
        <v>117</v>
      </c>
      <c r="L815" s="881" t="s">
        <v>1887</v>
      </c>
      <c r="M815" s="881" t="s">
        <v>148</v>
      </c>
      <c r="N815" s="883">
        <v>-1512000</v>
      </c>
      <c r="O815" s="55">
        <v>719</v>
      </c>
      <c r="P815" s="78"/>
    </row>
    <row r="816" spans="1:16" ht="12.75" customHeight="1" thickBot="1">
      <c r="A816" s="882"/>
      <c r="B816" s="876"/>
      <c r="C816" s="882"/>
      <c r="D816" s="882"/>
      <c r="E816" s="882"/>
      <c r="F816" s="884"/>
      <c r="G816" s="56">
        <v>721</v>
      </c>
      <c r="H816" s="79">
        <f>+F815-H815</f>
        <v>164000</v>
      </c>
      <c r="I816" s="874"/>
      <c r="J816" s="876"/>
      <c r="K816" s="878"/>
      <c r="L816" s="882"/>
      <c r="M816" s="882"/>
      <c r="N816" s="884"/>
      <c r="O816" s="56">
        <v>723</v>
      </c>
      <c r="P816" s="79">
        <f>+N815</f>
        <v>-1512000</v>
      </c>
    </row>
    <row r="817" spans="1:16" ht="12.75" customHeight="1">
      <c r="A817" s="881" t="e">
        <f>+A815+1</f>
        <v>#REF!</v>
      </c>
      <c r="B817" s="875">
        <v>42317</v>
      </c>
      <c r="C817" s="877" t="s">
        <v>32</v>
      </c>
      <c r="D817" s="881" t="s">
        <v>446</v>
      </c>
      <c r="E817" s="881" t="s">
        <v>148</v>
      </c>
      <c r="F817" s="883">
        <v>28000</v>
      </c>
      <c r="G817" s="55">
        <v>719</v>
      </c>
      <c r="H817" s="78">
        <v>20000</v>
      </c>
      <c r="I817" s="873" t="s">
        <v>2003</v>
      </c>
      <c r="J817" s="875">
        <v>44195</v>
      </c>
      <c r="K817" s="877" t="s">
        <v>1889</v>
      </c>
      <c r="L817" s="881" t="s">
        <v>1887</v>
      </c>
      <c r="M817" s="881" t="s">
        <v>148</v>
      </c>
      <c r="N817" s="883">
        <v>-2400000</v>
      </c>
      <c r="O817" s="55">
        <v>719</v>
      </c>
      <c r="P817" s="78"/>
    </row>
    <row r="818" spans="1:16" ht="13.5" customHeight="1" thickBot="1">
      <c r="A818" s="882"/>
      <c r="B818" s="876"/>
      <c r="C818" s="878"/>
      <c r="D818" s="882"/>
      <c r="E818" s="882"/>
      <c r="F818" s="884"/>
      <c r="G818" s="56">
        <v>721</v>
      </c>
      <c r="H818" s="79">
        <f>+F817-H817</f>
        <v>8000</v>
      </c>
      <c r="I818" s="874"/>
      <c r="J818" s="876"/>
      <c r="K818" s="878"/>
      <c r="L818" s="882"/>
      <c r="M818" s="882"/>
      <c r="N818" s="884"/>
      <c r="O818" s="56">
        <v>723</v>
      </c>
      <c r="P818" s="79">
        <f>+N817</f>
        <v>-2400000</v>
      </c>
    </row>
    <row r="819" spans="1:16" ht="13.5" customHeight="1">
      <c r="A819" s="251"/>
      <c r="B819" s="252"/>
      <c r="C819" s="253"/>
      <c r="D819" s="251"/>
      <c r="E819" s="251"/>
      <c r="F819" s="254"/>
      <c r="G819" s="255"/>
      <c r="H819" s="256"/>
      <c r="I819" s="873" t="s">
        <v>2004</v>
      </c>
      <c r="J819" s="875">
        <v>44195</v>
      </c>
      <c r="K819" s="877" t="s">
        <v>117</v>
      </c>
      <c r="L819" s="881" t="s">
        <v>1887</v>
      </c>
      <c r="M819" s="881" t="s">
        <v>115</v>
      </c>
      <c r="N819" s="883">
        <v>-870000</v>
      </c>
      <c r="O819" s="55">
        <v>719</v>
      </c>
      <c r="P819" s="78"/>
    </row>
    <row r="820" spans="1:16" ht="13.5" customHeight="1" thickBot="1">
      <c r="A820" s="251"/>
      <c r="B820" s="252"/>
      <c r="C820" s="253"/>
      <c r="D820" s="251"/>
      <c r="E820" s="251"/>
      <c r="F820" s="254"/>
      <c r="G820" s="255"/>
      <c r="H820" s="256"/>
      <c r="I820" s="874"/>
      <c r="J820" s="876"/>
      <c r="K820" s="878"/>
      <c r="L820" s="882"/>
      <c r="M820" s="882"/>
      <c r="N820" s="884"/>
      <c r="O820" s="56">
        <v>723</v>
      </c>
      <c r="P820" s="79">
        <f>+N819</f>
        <v>-870000</v>
      </c>
    </row>
    <row r="821" spans="1:16" ht="12" customHeight="1">
      <c r="A821" s="881" t="e">
        <f>+A817+1</f>
        <v>#REF!</v>
      </c>
      <c r="B821" s="875">
        <v>42317</v>
      </c>
      <c r="C821" s="877" t="s">
        <v>111</v>
      </c>
      <c r="D821" s="881" t="s">
        <v>447</v>
      </c>
      <c r="E821" s="881" t="s">
        <v>148</v>
      </c>
      <c r="F821" s="883">
        <v>140000</v>
      </c>
      <c r="G821" s="55">
        <v>719</v>
      </c>
      <c r="H821" s="78">
        <v>100000</v>
      </c>
      <c r="I821" s="873" t="s">
        <v>2007</v>
      </c>
      <c r="J821" s="875">
        <v>44195</v>
      </c>
      <c r="K821" s="877" t="s">
        <v>2008</v>
      </c>
      <c r="L821" s="881" t="s">
        <v>1887</v>
      </c>
      <c r="M821" s="881" t="s">
        <v>1908</v>
      </c>
      <c r="N821" s="883">
        <v>-90000</v>
      </c>
      <c r="O821" s="55">
        <v>719</v>
      </c>
      <c r="P821" s="78"/>
    </row>
    <row r="822" spans="1:16" ht="12.75" customHeight="1" thickBot="1">
      <c r="A822" s="882"/>
      <c r="B822" s="876"/>
      <c r="C822" s="878"/>
      <c r="D822" s="882"/>
      <c r="E822" s="882"/>
      <c r="F822" s="884"/>
      <c r="G822" s="56">
        <v>721</v>
      </c>
      <c r="H822" s="79">
        <f>+F821-H821</f>
        <v>40000</v>
      </c>
      <c r="I822" s="874"/>
      <c r="J822" s="876"/>
      <c r="K822" s="878"/>
      <c r="L822" s="882"/>
      <c r="M822" s="882"/>
      <c r="N822" s="884"/>
      <c r="O822" s="56">
        <v>723</v>
      </c>
      <c r="P822" s="79">
        <f>+N821</f>
        <v>-90000</v>
      </c>
    </row>
    <row r="823" spans="1:16" ht="15" customHeight="1" thickBot="1">
      <c r="A823" s="881" t="e">
        <f>+A821+1</f>
        <v>#REF!</v>
      </c>
      <c r="B823" s="875">
        <v>42317</v>
      </c>
      <c r="C823" s="877" t="s">
        <v>272</v>
      </c>
      <c r="D823" s="881" t="s">
        <v>444</v>
      </c>
      <c r="E823" s="881" t="s">
        <v>148</v>
      </c>
      <c r="F823" s="883">
        <v>756000</v>
      </c>
      <c r="G823" s="55">
        <v>719</v>
      </c>
      <c r="H823" s="78">
        <v>540000</v>
      </c>
      <c r="I823" s="901" t="s">
        <v>102</v>
      </c>
      <c r="J823" s="902"/>
      <c r="K823" s="902"/>
      <c r="L823" s="902"/>
      <c r="M823" s="903"/>
      <c r="N823" s="81">
        <f>SUM(N813:N822)</f>
        <v>-8852000</v>
      </c>
    </row>
    <row r="824" spans="1:16" ht="15.75" customHeight="1" thickBot="1">
      <c r="A824" s="882"/>
      <c r="B824" s="876"/>
      <c r="C824" s="878"/>
      <c r="D824" s="882"/>
      <c r="E824" s="882"/>
      <c r="F824" s="884"/>
      <c r="G824" s="56">
        <v>721</v>
      </c>
      <c r="H824" s="79">
        <f>+F823-H823</f>
        <v>216000</v>
      </c>
      <c r="I824" s="885" t="s">
        <v>103</v>
      </c>
      <c r="J824" s="886"/>
      <c r="K824" s="886"/>
      <c r="L824" s="886"/>
      <c r="M824" s="887"/>
      <c r="N824" s="239">
        <f>+N788</f>
        <v>342942472</v>
      </c>
      <c r="O824" s="241" t="s">
        <v>561</v>
      </c>
      <c r="P824" s="242"/>
    </row>
    <row r="825" spans="1:16" ht="16.5" thickBot="1">
      <c r="A825" s="901" t="s">
        <v>102</v>
      </c>
      <c r="B825" s="902"/>
      <c r="C825" s="902"/>
      <c r="D825" s="902"/>
      <c r="E825" s="903"/>
      <c r="F825" s="81">
        <f>SUM(F813:F824)</f>
        <v>1750000</v>
      </c>
      <c r="I825" s="888" t="s">
        <v>104</v>
      </c>
      <c r="J825" s="889"/>
      <c r="K825" s="889"/>
      <c r="L825" s="889"/>
      <c r="M825" s="890"/>
      <c r="N825" s="183">
        <f>SUM(N823:N824)</f>
        <v>334090472</v>
      </c>
    </row>
    <row r="826" spans="1:16" ht="6.75" customHeight="1" thickBot="1">
      <c r="A826" s="885" t="s">
        <v>103</v>
      </c>
      <c r="B826" s="886"/>
      <c r="C826" s="886"/>
      <c r="D826" s="886"/>
      <c r="E826" s="887"/>
      <c r="F826" s="69">
        <f>+F790</f>
        <v>652570930</v>
      </c>
      <c r="I826" s="61"/>
      <c r="J826" s="61"/>
      <c r="K826" s="61"/>
      <c r="L826" s="61"/>
      <c r="M826" s="61"/>
    </row>
    <row r="827" spans="1:16" ht="16.5" thickBot="1">
      <c r="A827" s="888" t="s">
        <v>104</v>
      </c>
      <c r="B827" s="889"/>
      <c r="C827" s="889"/>
      <c r="D827" s="889"/>
      <c r="E827" s="890"/>
      <c r="F827" s="183">
        <f>SUM(F825:F826)</f>
        <v>654320930</v>
      </c>
      <c r="I827" s="51" t="s">
        <v>2009</v>
      </c>
    </row>
    <row r="828" spans="1:16" ht="6" customHeight="1">
      <c r="A828" s="61"/>
      <c r="B828" s="61"/>
      <c r="C828" s="61"/>
      <c r="D828" s="61"/>
      <c r="E828" s="61"/>
      <c r="N828" s="139"/>
    </row>
    <row r="829" spans="1:16">
      <c r="A829" s="51" t="s">
        <v>448</v>
      </c>
      <c r="I829" s="50" t="s">
        <v>105</v>
      </c>
      <c r="L829" s="146"/>
      <c r="N829" s="139"/>
    </row>
    <row r="830" spans="1:16" ht="7.5" customHeight="1" thickBot="1">
      <c r="F830" s="139"/>
    </row>
    <row r="831" spans="1:16" ht="15.75" thickBot="1">
      <c r="A831" s="50" t="s">
        <v>105</v>
      </c>
      <c r="D831" s="146"/>
      <c r="F831" s="139"/>
      <c r="I831" s="891" t="s">
        <v>106</v>
      </c>
      <c r="J831" s="892"/>
      <c r="K831" s="892"/>
      <c r="L831" s="893"/>
    </row>
    <row r="832" spans="1:16" ht="28.5" customHeight="1" thickBot="1">
      <c r="I832" s="57" t="s">
        <v>100</v>
      </c>
      <c r="J832" s="58" t="s">
        <v>108</v>
      </c>
      <c r="K832" s="263" t="s">
        <v>109</v>
      </c>
      <c r="L832" s="60" t="s">
        <v>110</v>
      </c>
      <c r="N832" s="202"/>
      <c r="O832" s="202"/>
      <c r="P832" s="202"/>
    </row>
    <row r="833" spans="1:16" ht="15" customHeight="1" thickBot="1">
      <c r="A833" s="891" t="s">
        <v>106</v>
      </c>
      <c r="B833" s="892"/>
      <c r="C833" s="892"/>
      <c r="D833" s="893"/>
      <c r="F833" s="50" t="s">
        <v>288</v>
      </c>
      <c r="I833" s="71">
        <v>719</v>
      </c>
      <c r="J833" s="73"/>
      <c r="K833" s="74">
        <f>+L796</f>
        <v>15660000</v>
      </c>
      <c r="L833" s="195">
        <f>+J833+K833</f>
        <v>15660000</v>
      </c>
      <c r="N833" s="605" t="s">
        <v>288</v>
      </c>
      <c r="O833" s="605"/>
      <c r="P833" s="605"/>
    </row>
    <row r="834" spans="1:16" ht="14.25" customHeight="1" thickBot="1">
      <c r="A834" s="57" t="s">
        <v>100</v>
      </c>
      <c r="B834" s="58" t="s">
        <v>108</v>
      </c>
      <c r="C834" s="59" t="s">
        <v>109</v>
      </c>
      <c r="D834" s="60" t="s">
        <v>110</v>
      </c>
      <c r="I834" s="72">
        <v>721</v>
      </c>
      <c r="J834" s="257"/>
      <c r="K834" s="74">
        <f>+L797</f>
        <v>3899500</v>
      </c>
      <c r="L834" s="195">
        <f>+J834+K834</f>
        <v>3899500</v>
      </c>
      <c r="N834" s="202"/>
      <c r="O834" s="202"/>
      <c r="P834" s="202"/>
    </row>
    <row r="835" spans="1:16" ht="14.25" customHeight="1">
      <c r="A835" s="71">
        <v>719</v>
      </c>
      <c r="B835" s="73">
        <f>+H813+H815+H817+H821+H823</f>
        <v>1250000</v>
      </c>
      <c r="C835" s="74" t="e">
        <f>+D798</f>
        <v>#REF!</v>
      </c>
      <c r="D835" s="195" t="e">
        <f>+B835+C835</f>
        <v>#REF!</v>
      </c>
      <c r="I835" s="72">
        <v>722</v>
      </c>
      <c r="J835" s="257"/>
      <c r="K835" s="74">
        <f>+L798</f>
        <v>0</v>
      </c>
      <c r="L835" s="195">
        <f>+J835+K835</f>
        <v>0</v>
      </c>
      <c r="N835" s="288"/>
      <c r="O835" s="288"/>
      <c r="P835" s="288"/>
    </row>
    <row r="836" spans="1:16" ht="14.25" customHeight="1" thickBot="1">
      <c r="A836" s="72">
        <v>721</v>
      </c>
      <c r="B836" s="80">
        <f>+H814+H816+H818+H822+H824</f>
        <v>500000</v>
      </c>
      <c r="C836" s="74" t="e">
        <f>+D799</f>
        <v>#REF!</v>
      </c>
      <c r="D836" s="195" t="e">
        <f>+B836+C836</f>
        <v>#REF!</v>
      </c>
      <c r="I836" s="72">
        <v>723</v>
      </c>
      <c r="J836" s="257">
        <f>+P814+P816+P818+P822+P820</f>
        <v>-8852000</v>
      </c>
      <c r="K836" s="74">
        <f>+L799</f>
        <v>323382972</v>
      </c>
      <c r="L836" s="195">
        <f>+J836+K836</f>
        <v>314530972</v>
      </c>
      <c r="N836" s="288"/>
      <c r="O836" s="288"/>
      <c r="P836" s="288"/>
    </row>
    <row r="837" spans="1:16" ht="15" hidden="1" customHeight="1">
      <c r="A837" s="72">
        <v>722</v>
      </c>
      <c r="B837" s="80"/>
      <c r="C837" s="74">
        <f>+D800</f>
        <v>231207671</v>
      </c>
      <c r="D837" s="195">
        <f>+B837+C837</f>
        <v>231207671</v>
      </c>
      <c r="I837" s="164" t="s">
        <v>181</v>
      </c>
      <c r="J837" s="165"/>
      <c r="K837" s="74">
        <f>+L800</f>
        <v>0</v>
      </c>
      <c r="L837" s="196">
        <f>+J837+K837</f>
        <v>0</v>
      </c>
      <c r="N837" s="918"/>
      <c r="O837" s="918"/>
      <c r="P837" s="918"/>
    </row>
    <row r="838" spans="1:16" ht="16.5" thickBot="1">
      <c r="A838" s="72">
        <v>723</v>
      </c>
      <c r="B838" s="80"/>
      <c r="C838" s="74">
        <f>+D801</f>
        <v>321428837</v>
      </c>
      <c r="D838" s="195">
        <f>+B838+C838</f>
        <v>321428837</v>
      </c>
      <c r="F838" s="174" t="s">
        <v>23</v>
      </c>
      <c r="G838" s="175"/>
      <c r="I838" s="169"/>
      <c r="J838" s="197">
        <f>SUM(J833:J837)</f>
        <v>-8852000</v>
      </c>
      <c r="K838" s="197">
        <f>SUM(K833:K837)</f>
        <v>342942472</v>
      </c>
      <c r="L838" s="198">
        <f>SUM(L833:L837)</f>
        <v>334090472</v>
      </c>
      <c r="N838" s="918" t="s">
        <v>1696</v>
      </c>
      <c r="O838" s="918"/>
      <c r="P838" s="918"/>
    </row>
    <row r="839" spans="1:16" ht="17.25" thickBot="1">
      <c r="A839" s="164" t="s">
        <v>181</v>
      </c>
      <c r="B839" s="165"/>
      <c r="C839" s="74" t="e">
        <f>+D802</f>
        <v>#REF!</v>
      </c>
      <c r="D839" s="196" t="e">
        <f>+B839+C839</f>
        <v>#REF!</v>
      </c>
      <c r="F839" s="52"/>
      <c r="I839" s="49" t="s">
        <v>88</v>
      </c>
      <c r="J839" s="50"/>
    </row>
    <row r="840" spans="1:16" ht="16.5" thickBot="1">
      <c r="A840" s="169"/>
      <c r="B840" s="170">
        <f>SUM(B835:B839)</f>
        <v>1750000</v>
      </c>
      <c r="C840" s="171" t="e">
        <f>SUM(C835:C839)</f>
        <v>#REF!</v>
      </c>
      <c r="D840" s="172" t="e">
        <f>SUM(D835:D839)</f>
        <v>#REF!</v>
      </c>
      <c r="I840" s="51" t="s">
        <v>89</v>
      </c>
    </row>
    <row r="841" spans="1:16" ht="16.5">
      <c r="A841" s="49" t="s">
        <v>88</v>
      </c>
      <c r="B841" s="50"/>
      <c r="I841" s="51" t="s">
        <v>90</v>
      </c>
    </row>
    <row r="842" spans="1:16">
      <c r="A842" s="51" t="s">
        <v>89</v>
      </c>
      <c r="I842" s="51" t="s">
        <v>91</v>
      </c>
    </row>
    <row r="843" spans="1:16" ht="8.25" customHeight="1">
      <c r="A843" s="51" t="s">
        <v>90</v>
      </c>
      <c r="I843" s="50"/>
      <c r="J843" s="50"/>
    </row>
    <row r="844" spans="1:16" ht="16.5">
      <c r="A844" s="51" t="s">
        <v>91</v>
      </c>
      <c r="I844" s="260" t="s">
        <v>789</v>
      </c>
      <c r="J844" s="262"/>
      <c r="O844" s="52"/>
    </row>
    <row r="845" spans="1:16" ht="14.25" customHeight="1">
      <c r="A845" s="50"/>
      <c r="B845" s="50"/>
      <c r="I845" s="261" t="s">
        <v>1702</v>
      </c>
      <c r="J845" s="262"/>
      <c r="O845" s="53"/>
    </row>
    <row r="846" spans="1:16" ht="16.5">
      <c r="A846" s="52" t="s">
        <v>443</v>
      </c>
      <c r="G846" s="52"/>
      <c r="I846" s="894" t="s">
        <v>1823</v>
      </c>
      <c r="J846" s="894"/>
      <c r="K846" s="894"/>
      <c r="L846" s="894"/>
      <c r="M846" s="894"/>
      <c r="N846" s="894"/>
      <c r="O846" s="894"/>
      <c r="P846" s="894"/>
    </row>
    <row r="847" spans="1:16" ht="9.75" customHeight="1" thickBot="1">
      <c r="A847" s="53" t="s">
        <v>92</v>
      </c>
      <c r="G847" s="53"/>
    </row>
    <row r="848" spans="1:16" ht="16.5">
      <c r="A848" s="894" t="s">
        <v>93</v>
      </c>
      <c r="B848" s="894"/>
      <c r="C848" s="894"/>
      <c r="D848" s="894"/>
      <c r="E848" s="894"/>
      <c r="F848" s="894"/>
      <c r="G848" s="894"/>
      <c r="H848" s="894"/>
      <c r="I848" s="895" t="s">
        <v>94</v>
      </c>
      <c r="J848" s="897" t="s">
        <v>95</v>
      </c>
      <c r="K848" s="897" t="s">
        <v>96</v>
      </c>
      <c r="L848" s="897" t="s">
        <v>3</v>
      </c>
      <c r="M848" s="897" t="s">
        <v>97</v>
      </c>
      <c r="N848" s="897" t="s">
        <v>98</v>
      </c>
      <c r="O848" s="897" t="s">
        <v>99</v>
      </c>
      <c r="P848" s="899"/>
    </row>
    <row r="849" spans="1:16" ht="12.75" customHeight="1" thickBot="1">
      <c r="I849" s="896"/>
      <c r="J849" s="898"/>
      <c r="K849" s="898"/>
      <c r="L849" s="898"/>
      <c r="M849" s="898"/>
      <c r="N849" s="898"/>
      <c r="O849" s="240" t="s">
        <v>100</v>
      </c>
      <c r="P849" s="182" t="s">
        <v>101</v>
      </c>
    </row>
    <row r="850" spans="1:16" ht="14.25" customHeight="1">
      <c r="A850" s="895" t="s">
        <v>94</v>
      </c>
      <c r="B850" s="897" t="s">
        <v>95</v>
      </c>
      <c r="C850" s="897" t="s">
        <v>96</v>
      </c>
      <c r="D850" s="897" t="s">
        <v>3</v>
      </c>
      <c r="E850" s="897" t="s">
        <v>97</v>
      </c>
      <c r="F850" s="897" t="s">
        <v>98</v>
      </c>
      <c r="G850" s="897" t="s">
        <v>99</v>
      </c>
      <c r="H850" s="899"/>
      <c r="I850" s="928">
        <f>+I821+1</f>
        <v>10</v>
      </c>
      <c r="J850" s="875">
        <v>43669</v>
      </c>
      <c r="K850" s="877" t="s">
        <v>1079</v>
      </c>
      <c r="L850" s="881" t="s">
        <v>1825</v>
      </c>
      <c r="M850" s="881" t="s">
        <v>148</v>
      </c>
      <c r="N850" s="883">
        <v>860000</v>
      </c>
      <c r="O850" s="55">
        <v>719</v>
      </c>
      <c r="P850" s="78">
        <v>860000</v>
      </c>
    </row>
    <row r="851" spans="1:16" ht="13.5" customHeight="1" thickBot="1">
      <c r="A851" s="896"/>
      <c r="B851" s="898"/>
      <c r="C851" s="898"/>
      <c r="D851" s="898"/>
      <c r="E851" s="898"/>
      <c r="F851" s="898"/>
      <c r="G851" s="240" t="s">
        <v>100</v>
      </c>
      <c r="H851" s="182" t="s">
        <v>101</v>
      </c>
      <c r="I851" s="929"/>
      <c r="J851" s="876"/>
      <c r="K851" s="878"/>
      <c r="L851" s="882"/>
      <c r="M851" s="882"/>
      <c r="N851" s="884"/>
      <c r="O851" s="56">
        <v>721</v>
      </c>
      <c r="P851" s="79">
        <f>+N850-P850</f>
        <v>0</v>
      </c>
    </row>
    <row r="852" spans="1:16" ht="13.5" customHeight="1">
      <c r="A852" s="881" t="e">
        <f>+A823+1</f>
        <v>#REF!</v>
      </c>
      <c r="B852" s="875">
        <v>42317</v>
      </c>
      <c r="C852" s="877" t="s">
        <v>272</v>
      </c>
      <c r="D852" s="881" t="s">
        <v>449</v>
      </c>
      <c r="E852" s="881" t="s">
        <v>115</v>
      </c>
      <c r="F852" s="883">
        <v>210000</v>
      </c>
      <c r="G852" s="55">
        <v>719</v>
      </c>
      <c r="H852" s="78">
        <v>210000</v>
      </c>
      <c r="I852" s="928">
        <f>+I850+1</f>
        <v>11</v>
      </c>
      <c r="J852" s="875">
        <v>43669</v>
      </c>
      <c r="K852" s="877" t="s">
        <v>111</v>
      </c>
      <c r="L852" s="881" t="s">
        <v>1827</v>
      </c>
      <c r="M852" s="881" t="s">
        <v>148</v>
      </c>
      <c r="N852" s="883">
        <v>240000</v>
      </c>
      <c r="O852" s="55">
        <v>719</v>
      </c>
      <c r="P852" s="78">
        <v>240000</v>
      </c>
    </row>
    <row r="853" spans="1:16" ht="13.5" customHeight="1" thickBot="1">
      <c r="A853" s="882"/>
      <c r="B853" s="876"/>
      <c r="C853" s="878"/>
      <c r="D853" s="882"/>
      <c r="E853" s="882"/>
      <c r="F853" s="884"/>
      <c r="G853" s="56">
        <v>721</v>
      </c>
      <c r="H853" s="79">
        <f>+F852-H852</f>
        <v>0</v>
      </c>
      <c r="I853" s="929"/>
      <c r="J853" s="876"/>
      <c r="K853" s="878"/>
      <c r="L853" s="882"/>
      <c r="M853" s="882"/>
      <c r="N853" s="884"/>
      <c r="O853" s="56">
        <v>721</v>
      </c>
      <c r="P853" s="79">
        <f>+N852-P852</f>
        <v>0</v>
      </c>
    </row>
    <row r="854" spans="1:16" ht="13.5" customHeight="1">
      <c r="A854" s="881" t="e">
        <f>+A852+1</f>
        <v>#REF!</v>
      </c>
      <c r="B854" s="875">
        <v>42317</v>
      </c>
      <c r="C854" s="881" t="s">
        <v>28</v>
      </c>
      <c r="D854" s="881" t="s">
        <v>450</v>
      </c>
      <c r="E854" s="881" t="s">
        <v>115</v>
      </c>
      <c r="F854" s="883">
        <v>20000</v>
      </c>
      <c r="G854" s="55">
        <v>719</v>
      </c>
      <c r="H854" s="78">
        <v>20000</v>
      </c>
      <c r="I854" s="928">
        <f>+I852+1</f>
        <v>12</v>
      </c>
      <c r="J854" s="875">
        <v>43669</v>
      </c>
      <c r="K854" s="877" t="s">
        <v>267</v>
      </c>
      <c r="L854" s="881" t="s">
        <v>1826</v>
      </c>
      <c r="M854" s="881" t="s">
        <v>148</v>
      </c>
      <c r="N854" s="883">
        <v>340000</v>
      </c>
      <c r="O854" s="55">
        <v>719</v>
      </c>
      <c r="P854" s="78">
        <v>340000</v>
      </c>
    </row>
    <row r="855" spans="1:16" ht="12.75" customHeight="1" thickBot="1">
      <c r="A855" s="882"/>
      <c r="B855" s="876"/>
      <c r="C855" s="882"/>
      <c r="D855" s="882"/>
      <c r="E855" s="882"/>
      <c r="F855" s="884"/>
      <c r="G855" s="56">
        <v>721</v>
      </c>
      <c r="H855" s="79">
        <f>+F854-H854</f>
        <v>0</v>
      </c>
      <c r="I855" s="929"/>
      <c r="J855" s="876"/>
      <c r="K855" s="878"/>
      <c r="L855" s="882"/>
      <c r="M855" s="882"/>
      <c r="N855" s="884"/>
      <c r="O855" s="56">
        <v>721</v>
      </c>
      <c r="P855" s="79">
        <f>+N854-P854</f>
        <v>0</v>
      </c>
    </row>
    <row r="856" spans="1:16" ht="13.5" customHeight="1">
      <c r="A856" s="881" t="e">
        <f>+A854+1</f>
        <v>#REF!</v>
      </c>
      <c r="B856" s="875">
        <v>42317</v>
      </c>
      <c r="C856" s="877" t="s">
        <v>32</v>
      </c>
      <c r="D856" s="881" t="s">
        <v>451</v>
      </c>
      <c r="E856" s="881" t="s">
        <v>115</v>
      </c>
      <c r="F856" s="883">
        <v>30000</v>
      </c>
      <c r="G856" s="55">
        <v>719</v>
      </c>
      <c r="H856" s="78">
        <v>30000</v>
      </c>
      <c r="I856" s="928">
        <f>+I854+1</f>
        <v>13</v>
      </c>
      <c r="J856" s="875">
        <v>43669</v>
      </c>
      <c r="K856" s="877" t="s">
        <v>267</v>
      </c>
      <c r="L856" s="881" t="s">
        <v>1824</v>
      </c>
      <c r="M856" s="881" t="s">
        <v>115</v>
      </c>
      <c r="N856" s="883">
        <v>108000</v>
      </c>
      <c r="O856" s="55">
        <v>719</v>
      </c>
      <c r="P856" s="78">
        <v>80000</v>
      </c>
    </row>
    <row r="857" spans="1:16" ht="13.5" customHeight="1" thickBot="1">
      <c r="A857" s="882"/>
      <c r="B857" s="876"/>
      <c r="C857" s="878"/>
      <c r="D857" s="882"/>
      <c r="E857" s="882"/>
      <c r="F857" s="884"/>
      <c r="G857" s="56">
        <v>721</v>
      </c>
      <c r="H857" s="79">
        <f>+F856-H856</f>
        <v>0</v>
      </c>
      <c r="I857" s="929"/>
      <c r="J857" s="876"/>
      <c r="K857" s="878"/>
      <c r="L857" s="882"/>
      <c r="M857" s="882"/>
      <c r="N857" s="884"/>
      <c r="O857" s="56">
        <v>721</v>
      </c>
      <c r="P857" s="79">
        <f>+N856-P856</f>
        <v>28000</v>
      </c>
    </row>
    <row r="858" spans="1:16" ht="13.5" customHeight="1">
      <c r="A858" s="251"/>
      <c r="B858" s="252"/>
      <c r="C858" s="253"/>
      <c r="D858" s="251"/>
      <c r="E858" s="251"/>
      <c r="F858" s="254"/>
      <c r="G858" s="255"/>
      <c r="H858" s="256"/>
      <c r="I858" s="928">
        <f>+I856+1</f>
        <v>14</v>
      </c>
      <c r="J858" s="875">
        <v>43669</v>
      </c>
      <c r="K858" s="877" t="s">
        <v>815</v>
      </c>
      <c r="L858" s="881" t="s">
        <v>1828</v>
      </c>
      <c r="M858" s="881" t="s">
        <v>148</v>
      </c>
      <c r="N858" s="883">
        <v>459000</v>
      </c>
      <c r="O858" s="55">
        <v>719</v>
      </c>
      <c r="P858" s="78">
        <f>+N858-P859</f>
        <v>340000</v>
      </c>
    </row>
    <row r="859" spans="1:16" ht="13.5" customHeight="1" thickBot="1">
      <c r="A859" s="251"/>
      <c r="B859" s="252"/>
      <c r="C859" s="253"/>
      <c r="D859" s="251"/>
      <c r="E859" s="251"/>
      <c r="F859" s="254"/>
      <c r="G859" s="255"/>
      <c r="H859" s="256"/>
      <c r="I859" s="929"/>
      <c r="J859" s="876"/>
      <c r="K859" s="878"/>
      <c r="L859" s="882"/>
      <c r="M859" s="882"/>
      <c r="N859" s="884"/>
      <c r="O859" s="56">
        <v>721</v>
      </c>
      <c r="P859" s="79">
        <v>119000</v>
      </c>
    </row>
    <row r="860" spans="1:16" ht="13.5" customHeight="1">
      <c r="A860" s="881" t="e">
        <f>+A856+1</f>
        <v>#REF!</v>
      </c>
      <c r="B860" s="875">
        <v>42317</v>
      </c>
      <c r="C860" s="881" t="s">
        <v>28</v>
      </c>
      <c r="D860" s="881" t="s">
        <v>452</v>
      </c>
      <c r="E860" s="881" t="s">
        <v>115</v>
      </c>
      <c r="F860" s="883">
        <v>30000</v>
      </c>
      <c r="G860" s="55">
        <v>719</v>
      </c>
      <c r="H860" s="78">
        <v>30000</v>
      </c>
      <c r="I860" s="928">
        <f>+I858+1</f>
        <v>15</v>
      </c>
      <c r="J860" s="875">
        <v>43669</v>
      </c>
      <c r="K860" s="877" t="s">
        <v>1315</v>
      </c>
      <c r="L860" s="881" t="s">
        <v>1829</v>
      </c>
      <c r="M860" s="881" t="s">
        <v>148</v>
      </c>
      <c r="N860" s="883">
        <v>1787750</v>
      </c>
      <c r="O860" s="55">
        <v>723</v>
      </c>
      <c r="P860" s="78">
        <v>1787750</v>
      </c>
    </row>
    <row r="861" spans="1:16" ht="14.25" customHeight="1" thickBot="1">
      <c r="A861" s="882"/>
      <c r="B861" s="876"/>
      <c r="C861" s="882"/>
      <c r="D861" s="882"/>
      <c r="E861" s="882"/>
      <c r="F861" s="884"/>
      <c r="G861" s="56">
        <v>721</v>
      </c>
      <c r="H861" s="79">
        <f>+F860-H860</f>
        <v>0</v>
      </c>
      <c r="I861" s="929"/>
      <c r="J861" s="876"/>
      <c r="K861" s="878"/>
      <c r="L861" s="882"/>
      <c r="M861" s="882"/>
      <c r="N861" s="884"/>
      <c r="O861" s="56">
        <v>721</v>
      </c>
      <c r="P861" s="79">
        <f>+N860-P860</f>
        <v>0</v>
      </c>
    </row>
    <row r="862" spans="1:16" ht="15" customHeight="1" thickBot="1">
      <c r="A862" s="881" t="e">
        <f>+A860+1</f>
        <v>#REF!</v>
      </c>
      <c r="B862" s="875">
        <v>42317</v>
      </c>
      <c r="C862" s="877" t="s">
        <v>272</v>
      </c>
      <c r="D862" s="881" t="s">
        <v>453</v>
      </c>
      <c r="E862" s="881" t="s">
        <v>115</v>
      </c>
      <c r="F862" s="883">
        <v>50000</v>
      </c>
      <c r="G862" s="55">
        <v>719</v>
      </c>
      <c r="H862" s="78">
        <v>50000</v>
      </c>
      <c r="I862" s="901" t="s">
        <v>102</v>
      </c>
      <c r="J862" s="902"/>
      <c r="K862" s="902"/>
      <c r="L862" s="902"/>
      <c r="M862" s="903"/>
      <c r="N862" s="81">
        <f>SUM(N850:N861)</f>
        <v>3794750</v>
      </c>
    </row>
    <row r="863" spans="1:16" ht="15.75" customHeight="1" thickBot="1">
      <c r="A863" s="882"/>
      <c r="B863" s="876"/>
      <c r="C863" s="878"/>
      <c r="D863" s="882"/>
      <c r="E863" s="882"/>
      <c r="F863" s="884"/>
      <c r="G863" s="56">
        <v>721</v>
      </c>
      <c r="H863" s="79">
        <f>+F862-H862</f>
        <v>0</v>
      </c>
      <c r="I863" s="885" t="s">
        <v>103</v>
      </c>
      <c r="J863" s="886"/>
      <c r="K863" s="886"/>
      <c r="L863" s="886"/>
      <c r="M863" s="887"/>
      <c r="N863" s="239">
        <f>+N825</f>
        <v>334090472</v>
      </c>
      <c r="O863" s="241" t="s">
        <v>561</v>
      </c>
      <c r="P863" s="242">
        <f>99+240+722+586+170</f>
        <v>1817</v>
      </c>
    </row>
    <row r="864" spans="1:16" ht="16.5" thickBot="1">
      <c r="A864" s="901" t="s">
        <v>102</v>
      </c>
      <c r="B864" s="902"/>
      <c r="C864" s="902"/>
      <c r="D864" s="902"/>
      <c r="E864" s="903"/>
      <c r="F864" s="81">
        <f>SUM(F852:F863)</f>
        <v>340000</v>
      </c>
      <c r="I864" s="888" t="s">
        <v>104</v>
      </c>
      <c r="J864" s="889"/>
      <c r="K864" s="889"/>
      <c r="L864" s="889"/>
      <c r="M864" s="890"/>
      <c r="N864" s="183">
        <f>SUM(N862:N863)</f>
        <v>337885222</v>
      </c>
    </row>
    <row r="865" spans="1:16" ht="9.75" customHeight="1" thickBot="1">
      <c r="A865" s="885" t="s">
        <v>103</v>
      </c>
      <c r="B865" s="886"/>
      <c r="C865" s="886"/>
      <c r="D865" s="886"/>
      <c r="E865" s="887"/>
      <c r="F865" s="69">
        <f>+F827</f>
        <v>654320930</v>
      </c>
      <c r="I865" s="61"/>
      <c r="J865" s="61"/>
      <c r="K865" s="61"/>
      <c r="L865" s="61"/>
      <c r="M865" s="61"/>
    </row>
    <row r="866" spans="1:16" ht="16.5" thickBot="1">
      <c r="A866" s="888" t="s">
        <v>104</v>
      </c>
      <c r="B866" s="889"/>
      <c r="C866" s="889"/>
      <c r="D866" s="889"/>
      <c r="E866" s="890"/>
      <c r="F866" s="183">
        <f>SUM(F864:F865)</f>
        <v>654660930</v>
      </c>
      <c r="I866" s="51" t="s">
        <v>1502</v>
      </c>
    </row>
    <row r="867" spans="1:16" ht="8.25" customHeight="1">
      <c r="A867" s="61"/>
      <c r="B867" s="61"/>
      <c r="C867" s="61"/>
      <c r="D867" s="61"/>
      <c r="E867" s="61"/>
      <c r="N867" s="139"/>
    </row>
    <row r="868" spans="1:16">
      <c r="A868" s="51" t="s">
        <v>454</v>
      </c>
      <c r="I868" s="50" t="s">
        <v>105</v>
      </c>
      <c r="L868" s="146"/>
      <c r="N868" s="139"/>
    </row>
    <row r="869" spans="1:16" ht="11.25" customHeight="1" thickBot="1">
      <c r="F869" s="139"/>
    </row>
    <row r="870" spans="1:16" ht="17.25" thickBot="1">
      <c r="A870" s="50" t="s">
        <v>105</v>
      </c>
      <c r="D870" s="146"/>
      <c r="F870" s="139"/>
      <c r="I870" s="891" t="s">
        <v>106</v>
      </c>
      <c r="J870" s="892"/>
      <c r="K870" s="892"/>
      <c r="L870" s="893"/>
      <c r="N870" s="605" t="s">
        <v>288</v>
      </c>
      <c r="O870" s="605"/>
      <c r="P870" s="605"/>
    </row>
    <row r="871" spans="1:16" ht="30.75" thickBot="1">
      <c r="I871" s="57" t="s">
        <v>100</v>
      </c>
      <c r="J871" s="58" t="s">
        <v>108</v>
      </c>
      <c r="K871" s="59" t="s">
        <v>109</v>
      </c>
      <c r="L871" s="60" t="s">
        <v>110</v>
      </c>
      <c r="N871" s="202"/>
      <c r="O871" s="202"/>
      <c r="P871" s="202"/>
    </row>
    <row r="872" spans="1:16" ht="15.75" customHeight="1" thickBot="1">
      <c r="A872" s="891" t="s">
        <v>106</v>
      </c>
      <c r="B872" s="892"/>
      <c r="C872" s="892"/>
      <c r="D872" s="893"/>
      <c r="F872" s="50" t="s">
        <v>288</v>
      </c>
      <c r="I872" s="71">
        <v>719</v>
      </c>
      <c r="J872" s="73">
        <f>+P850+P852+P854+P856+P858</f>
        <v>1860000</v>
      </c>
      <c r="K872" s="74">
        <f>+L833</f>
        <v>15660000</v>
      </c>
      <c r="L872" s="195">
        <f>+J872+K872</f>
        <v>17520000</v>
      </c>
      <c r="N872" s="918"/>
      <c r="O872" s="918"/>
      <c r="P872" s="918"/>
    </row>
    <row r="873" spans="1:16" ht="12.75" customHeight="1" thickBot="1">
      <c r="A873" s="57" t="s">
        <v>100</v>
      </c>
      <c r="B873" s="58" t="s">
        <v>108</v>
      </c>
      <c r="C873" s="59" t="s">
        <v>109</v>
      </c>
      <c r="D873" s="60" t="s">
        <v>110</v>
      </c>
      <c r="I873" s="72">
        <v>721</v>
      </c>
      <c r="J873" s="257">
        <f>+P857+P859</f>
        <v>147000</v>
      </c>
      <c r="K873" s="74">
        <f>+L834</f>
        <v>3899500</v>
      </c>
      <c r="L873" s="195">
        <f>+J873+K873</f>
        <v>4046500</v>
      </c>
      <c r="N873" s="918"/>
      <c r="O873" s="918"/>
      <c r="P873" s="918"/>
    </row>
    <row r="874" spans="1:16" ht="14.25" customHeight="1">
      <c r="A874" s="71">
        <v>719</v>
      </c>
      <c r="B874" s="73">
        <f>+H852+H854+H856+H860+H862</f>
        <v>340000</v>
      </c>
      <c r="C874" s="74" t="e">
        <f>+D835</f>
        <v>#REF!</v>
      </c>
      <c r="D874" s="195" t="e">
        <f>+B874+C874</f>
        <v>#REF!</v>
      </c>
      <c r="I874" s="72">
        <v>722</v>
      </c>
      <c r="J874" s="257"/>
      <c r="K874" s="74">
        <f>+L835</f>
        <v>0</v>
      </c>
      <c r="L874" s="195">
        <f>+J874+K874</f>
        <v>0</v>
      </c>
      <c r="N874" s="918" t="s">
        <v>1696</v>
      </c>
      <c r="O874" s="918"/>
      <c r="P874" s="918"/>
    </row>
    <row r="875" spans="1:16" ht="13.5" customHeight="1" thickBot="1">
      <c r="A875" s="72">
        <v>721</v>
      </c>
      <c r="B875" s="80">
        <f>+H853</f>
        <v>0</v>
      </c>
      <c r="C875" s="74" t="e">
        <f>+D836</f>
        <v>#REF!</v>
      </c>
      <c r="D875" s="195" t="e">
        <f>+B875+C875</f>
        <v>#REF!</v>
      </c>
      <c r="I875" s="72">
        <v>723</v>
      </c>
      <c r="J875" s="257">
        <f>+P860</f>
        <v>1787750</v>
      </c>
      <c r="K875" s="74">
        <f>+L836</f>
        <v>314530972</v>
      </c>
      <c r="L875" s="195">
        <f>+J875+K875</f>
        <v>316318722</v>
      </c>
      <c r="N875" s="930"/>
      <c r="O875" s="930"/>
      <c r="P875" s="930"/>
    </row>
    <row r="876" spans="1:16" ht="15" hidden="1" customHeight="1">
      <c r="A876" s="72">
        <v>722</v>
      </c>
      <c r="B876" s="80"/>
      <c r="C876" s="74">
        <f>+D837</f>
        <v>231207671</v>
      </c>
      <c r="D876" s="195">
        <f>+B876+C876</f>
        <v>231207671</v>
      </c>
      <c r="I876" s="164" t="s">
        <v>181</v>
      </c>
      <c r="J876" s="165"/>
      <c r="K876" s="74">
        <f>+L837</f>
        <v>0</v>
      </c>
      <c r="L876" s="196">
        <f>+J876+K876</f>
        <v>0</v>
      </c>
      <c r="N876" s="52"/>
    </row>
    <row r="877" spans="1:16" ht="16.5" thickBot="1">
      <c r="A877" s="72">
        <v>723</v>
      </c>
      <c r="B877" s="80">
        <f>+H855</f>
        <v>0</v>
      </c>
      <c r="C877" s="74">
        <f>+D838</f>
        <v>321428837</v>
      </c>
      <c r="D877" s="195">
        <f>+B877+C877</f>
        <v>321428837</v>
      </c>
      <c r="F877" s="174" t="s">
        <v>23</v>
      </c>
      <c r="G877" s="175"/>
      <c r="I877" s="169"/>
      <c r="J877" s="197">
        <f>SUM(J872:J876)</f>
        <v>3794750</v>
      </c>
      <c r="K877" s="197">
        <f>SUM(K872:K876)</f>
        <v>334090472</v>
      </c>
      <c r="L877" s="198">
        <f>SUM(L872:L876)</f>
        <v>337885222</v>
      </c>
    </row>
    <row r="878" spans="1:16" ht="17.25" thickBot="1">
      <c r="A878" s="164" t="s">
        <v>181</v>
      </c>
      <c r="B878" s="165"/>
      <c r="C878" s="74" t="e">
        <f>+D839</f>
        <v>#REF!</v>
      </c>
      <c r="D878" s="196" t="e">
        <f>+B878+C878</f>
        <v>#REF!</v>
      </c>
      <c r="F878" s="52"/>
      <c r="I878" s="49" t="s">
        <v>88</v>
      </c>
      <c r="J878" s="50"/>
    </row>
    <row r="879" spans="1:16" ht="14.25" customHeight="1" thickBot="1">
      <c r="A879" s="169"/>
      <c r="B879" s="170">
        <f>SUM(B874:B878)</f>
        <v>340000</v>
      </c>
      <c r="C879" s="171" t="e">
        <f>SUM(C874:C878)</f>
        <v>#REF!</v>
      </c>
      <c r="D879" s="172" t="e">
        <f>SUM(D874:D878)</f>
        <v>#REF!</v>
      </c>
      <c r="I879" s="51" t="s">
        <v>89</v>
      </c>
    </row>
    <row r="880" spans="1:16" ht="14.25" customHeight="1">
      <c r="A880" s="49" t="s">
        <v>88</v>
      </c>
      <c r="B880" s="50"/>
      <c r="I880" s="51" t="s">
        <v>90</v>
      </c>
    </row>
    <row r="881" spans="1:16">
      <c r="A881" s="51" t="s">
        <v>89</v>
      </c>
      <c r="I881" s="51" t="s">
        <v>91</v>
      </c>
    </row>
    <row r="882" spans="1:16" ht="6" customHeight="1">
      <c r="A882" s="51" t="s">
        <v>90</v>
      </c>
      <c r="I882" s="50"/>
      <c r="J882" s="50"/>
    </row>
    <row r="883" spans="1:16" ht="16.5">
      <c r="A883" s="51" t="s">
        <v>91</v>
      </c>
      <c r="I883" s="260" t="s">
        <v>795</v>
      </c>
      <c r="O883" s="52"/>
    </row>
    <row r="884" spans="1:16" ht="15" customHeight="1">
      <c r="A884" s="50"/>
      <c r="B884" s="50"/>
      <c r="I884" s="261" t="s">
        <v>1702</v>
      </c>
      <c r="O884" s="53"/>
    </row>
    <row r="885" spans="1:16" ht="15" customHeight="1">
      <c r="A885" s="52" t="s">
        <v>455</v>
      </c>
      <c r="G885" s="52"/>
      <c r="I885" s="894" t="s">
        <v>1278</v>
      </c>
      <c r="J885" s="894"/>
      <c r="K885" s="894"/>
      <c r="L885" s="894"/>
      <c r="M885" s="894"/>
      <c r="N885" s="894"/>
      <c r="O885" s="894"/>
      <c r="P885" s="894"/>
    </row>
    <row r="886" spans="1:16" ht="14.25" customHeight="1" thickBot="1">
      <c r="A886" s="53" t="s">
        <v>92</v>
      </c>
      <c r="G886" s="53"/>
    </row>
    <row r="887" spans="1:16" ht="16.5">
      <c r="A887" s="894" t="s">
        <v>93</v>
      </c>
      <c r="B887" s="894"/>
      <c r="C887" s="894"/>
      <c r="D887" s="894"/>
      <c r="E887" s="894"/>
      <c r="F887" s="894"/>
      <c r="G887" s="894"/>
      <c r="H887" s="894"/>
      <c r="I887" s="895" t="s">
        <v>94</v>
      </c>
      <c r="J887" s="897" t="s">
        <v>95</v>
      </c>
      <c r="K887" s="897" t="s">
        <v>96</v>
      </c>
      <c r="L887" s="897" t="s">
        <v>3</v>
      </c>
      <c r="M887" s="897" t="s">
        <v>97</v>
      </c>
      <c r="N887" s="897" t="s">
        <v>98</v>
      </c>
      <c r="O887" s="897" t="s">
        <v>99</v>
      </c>
      <c r="P887" s="899"/>
    </row>
    <row r="888" spans="1:16" ht="15.75" thickBot="1">
      <c r="I888" s="896"/>
      <c r="J888" s="898"/>
      <c r="K888" s="898"/>
      <c r="L888" s="898"/>
      <c r="M888" s="898"/>
      <c r="N888" s="898"/>
      <c r="O888" s="240" t="s">
        <v>100</v>
      </c>
      <c r="P888" s="182" t="s">
        <v>101</v>
      </c>
    </row>
    <row r="889" spans="1:16" ht="15" customHeight="1">
      <c r="A889" s="895" t="s">
        <v>94</v>
      </c>
      <c r="B889" s="897" t="s">
        <v>95</v>
      </c>
      <c r="C889" s="897" t="s">
        <v>96</v>
      </c>
      <c r="D889" s="897" t="s">
        <v>3</v>
      </c>
      <c r="E889" s="897" t="s">
        <v>97</v>
      </c>
      <c r="F889" s="897" t="s">
        <v>98</v>
      </c>
      <c r="G889" s="897" t="s">
        <v>99</v>
      </c>
      <c r="H889" s="899"/>
      <c r="I889" s="928">
        <f>+I860+1</f>
        <v>16</v>
      </c>
      <c r="J889" s="875">
        <v>43711</v>
      </c>
      <c r="K889" s="877" t="s">
        <v>1315</v>
      </c>
      <c r="L889" s="881" t="s">
        <v>1830</v>
      </c>
      <c r="M889" s="881" t="s">
        <v>148</v>
      </c>
      <c r="N889" s="883">
        <v>1884800</v>
      </c>
      <c r="O889" s="55">
        <v>719</v>
      </c>
      <c r="P889" s="78"/>
    </row>
    <row r="890" spans="1:16" ht="15.75" customHeight="1" thickBot="1">
      <c r="A890" s="896"/>
      <c r="B890" s="898"/>
      <c r="C890" s="898"/>
      <c r="D890" s="898"/>
      <c r="E890" s="898"/>
      <c r="F890" s="898"/>
      <c r="G890" s="240" t="s">
        <v>100</v>
      </c>
      <c r="H890" s="182" t="s">
        <v>101</v>
      </c>
      <c r="I890" s="929"/>
      <c r="J890" s="876"/>
      <c r="K890" s="878"/>
      <c r="L890" s="882"/>
      <c r="M890" s="882"/>
      <c r="N890" s="884"/>
      <c r="O890" s="56">
        <v>723</v>
      </c>
      <c r="P890" s="79">
        <f>+N889-P889</f>
        <v>1884800</v>
      </c>
    </row>
    <row r="891" spans="1:16" ht="15" customHeight="1">
      <c r="A891" s="881" t="e">
        <f>+A862+1</f>
        <v>#REF!</v>
      </c>
      <c r="B891" s="875">
        <v>42320</v>
      </c>
      <c r="C891" s="877" t="s">
        <v>272</v>
      </c>
      <c r="D891" s="881" t="s">
        <v>456</v>
      </c>
      <c r="E891" s="881" t="s">
        <v>115</v>
      </c>
      <c r="F891" s="883">
        <v>60000</v>
      </c>
      <c r="G891" s="55">
        <v>719</v>
      </c>
      <c r="H891" s="78">
        <v>60000</v>
      </c>
      <c r="I891" s="928">
        <f>+I889+1</f>
        <v>17</v>
      </c>
      <c r="J891" s="875">
        <v>43005</v>
      </c>
      <c r="K891" s="877" t="s">
        <v>350</v>
      </c>
      <c r="L891" s="881" t="s">
        <v>1832</v>
      </c>
      <c r="M891" s="881" t="s">
        <v>115</v>
      </c>
      <c r="N891" s="883">
        <v>783000</v>
      </c>
      <c r="O891" s="55">
        <v>719</v>
      </c>
      <c r="P891" s="78">
        <v>580000</v>
      </c>
    </row>
    <row r="892" spans="1:16" ht="15.75" customHeight="1" thickBot="1">
      <c r="A892" s="882"/>
      <c r="B892" s="876"/>
      <c r="C892" s="878"/>
      <c r="D892" s="882"/>
      <c r="E892" s="882"/>
      <c r="F892" s="884"/>
      <c r="G892" s="56">
        <v>721</v>
      </c>
      <c r="H892" s="79">
        <f>+F891-H891</f>
        <v>0</v>
      </c>
      <c r="I892" s="929"/>
      <c r="J892" s="876"/>
      <c r="K892" s="878"/>
      <c r="L892" s="882"/>
      <c r="M892" s="882"/>
      <c r="N892" s="884"/>
      <c r="O892" s="56">
        <v>721</v>
      </c>
      <c r="P892" s="79">
        <f>+N891-P891</f>
        <v>203000</v>
      </c>
    </row>
    <row r="893" spans="1:16" ht="15" customHeight="1">
      <c r="A893" s="881" t="e">
        <f>+A891+1</f>
        <v>#REF!</v>
      </c>
      <c r="B893" s="875">
        <v>42320</v>
      </c>
      <c r="C893" s="881" t="s">
        <v>28</v>
      </c>
      <c r="D893" s="881" t="s">
        <v>456</v>
      </c>
      <c r="E893" s="881" t="s">
        <v>115</v>
      </c>
      <c r="F893" s="883">
        <v>30000</v>
      </c>
      <c r="G893" s="55">
        <v>719</v>
      </c>
      <c r="H893" s="78">
        <v>30000</v>
      </c>
      <c r="I893" s="928">
        <f>+I891+1</f>
        <v>18</v>
      </c>
      <c r="J893" s="875">
        <v>43005</v>
      </c>
      <c r="K893" s="877" t="s">
        <v>267</v>
      </c>
      <c r="L893" s="881" t="s">
        <v>1831</v>
      </c>
      <c r="M893" s="881" t="s">
        <v>115</v>
      </c>
      <c r="N893" s="883">
        <v>54000</v>
      </c>
      <c r="O893" s="55">
        <v>719</v>
      </c>
      <c r="P893" s="78">
        <v>40000</v>
      </c>
    </row>
    <row r="894" spans="1:16" ht="15.75" customHeight="1" thickBot="1">
      <c r="A894" s="882"/>
      <c r="B894" s="876"/>
      <c r="C894" s="882"/>
      <c r="D894" s="882"/>
      <c r="E894" s="882"/>
      <c r="F894" s="884"/>
      <c r="G894" s="56">
        <v>721</v>
      </c>
      <c r="H894" s="79">
        <f>+F893-H893</f>
        <v>0</v>
      </c>
      <c r="I894" s="929"/>
      <c r="J894" s="876"/>
      <c r="K894" s="878"/>
      <c r="L894" s="882"/>
      <c r="M894" s="882"/>
      <c r="N894" s="884"/>
      <c r="O894" s="56">
        <v>721</v>
      </c>
      <c r="P894" s="79">
        <f>+N893-P893</f>
        <v>14000</v>
      </c>
    </row>
    <row r="895" spans="1:16" ht="15" customHeight="1">
      <c r="A895" s="881" t="e">
        <f>+A893+1</f>
        <v>#REF!</v>
      </c>
      <c r="B895" s="875">
        <v>42320</v>
      </c>
      <c r="C895" s="877" t="s">
        <v>32</v>
      </c>
      <c r="D895" s="881" t="s">
        <v>457</v>
      </c>
      <c r="E895" s="881" t="s">
        <v>115</v>
      </c>
      <c r="F895" s="883">
        <v>20000</v>
      </c>
      <c r="G895" s="55">
        <v>719</v>
      </c>
      <c r="H895" s="78">
        <v>20000</v>
      </c>
      <c r="I895" s="928"/>
      <c r="J895" s="875"/>
      <c r="K895" s="877"/>
      <c r="L895" s="881"/>
      <c r="M895" s="881"/>
      <c r="N895" s="883"/>
      <c r="O895" s="55">
        <v>719</v>
      </c>
      <c r="P895" s="78"/>
    </row>
    <row r="896" spans="1:16" ht="13.5" customHeight="1" thickBot="1">
      <c r="A896" s="882"/>
      <c r="B896" s="876"/>
      <c r="C896" s="878"/>
      <c r="D896" s="882"/>
      <c r="E896" s="882"/>
      <c r="F896" s="884"/>
      <c r="G896" s="56">
        <v>721</v>
      </c>
      <c r="H896" s="79">
        <f>+F895-H895</f>
        <v>0</v>
      </c>
      <c r="I896" s="929"/>
      <c r="J896" s="876"/>
      <c r="K896" s="878"/>
      <c r="L896" s="882"/>
      <c r="M896" s="882"/>
      <c r="N896" s="884"/>
      <c r="O896" s="56">
        <v>721</v>
      </c>
      <c r="P896" s="79">
        <f>+N895-P895</f>
        <v>0</v>
      </c>
    </row>
    <row r="897" spans="1:16" ht="12" customHeight="1">
      <c r="A897" s="881"/>
      <c r="B897" s="875"/>
      <c r="C897" s="881"/>
      <c r="D897" s="881"/>
      <c r="E897" s="881"/>
      <c r="F897" s="883"/>
      <c r="G897" s="55">
        <v>719</v>
      </c>
      <c r="H897" s="78"/>
      <c r="I897" s="928"/>
      <c r="J897" s="875"/>
      <c r="K897" s="877"/>
      <c r="L897" s="881"/>
      <c r="M897" s="881"/>
      <c r="N897" s="883"/>
      <c r="O897" s="55">
        <v>719</v>
      </c>
      <c r="P897" s="78"/>
    </row>
    <row r="898" spans="1:16" ht="12" customHeight="1" thickBot="1">
      <c r="A898" s="882"/>
      <c r="B898" s="876"/>
      <c r="C898" s="882"/>
      <c r="D898" s="882"/>
      <c r="E898" s="882"/>
      <c r="F898" s="884"/>
      <c r="G898" s="56">
        <v>721</v>
      </c>
      <c r="H898" s="79">
        <f>+F897-H897</f>
        <v>0</v>
      </c>
      <c r="I898" s="929"/>
      <c r="J898" s="876"/>
      <c r="K898" s="878"/>
      <c r="L898" s="882"/>
      <c r="M898" s="882"/>
      <c r="N898" s="884"/>
      <c r="O898" s="56">
        <v>721</v>
      </c>
      <c r="P898" s="79">
        <f>+N897-P897</f>
        <v>0</v>
      </c>
    </row>
    <row r="899" spans="1:16" ht="16.5" thickBot="1">
      <c r="A899" s="881"/>
      <c r="B899" s="875"/>
      <c r="C899" s="877"/>
      <c r="D899" s="881"/>
      <c r="E899" s="881"/>
      <c r="F899" s="883"/>
      <c r="G899" s="55">
        <v>719</v>
      </c>
      <c r="H899" s="78"/>
      <c r="I899" s="901" t="s">
        <v>102</v>
      </c>
      <c r="J899" s="902"/>
      <c r="K899" s="902"/>
      <c r="L899" s="902"/>
      <c r="M899" s="903"/>
      <c r="N899" s="81">
        <f>SUM(N889:N898)</f>
        <v>2721800</v>
      </c>
    </row>
    <row r="900" spans="1:16" ht="16.5" thickBot="1">
      <c r="A900" s="882"/>
      <c r="B900" s="876"/>
      <c r="C900" s="878"/>
      <c r="D900" s="882"/>
      <c r="E900" s="882"/>
      <c r="F900" s="884"/>
      <c r="G900" s="56">
        <v>721</v>
      </c>
      <c r="H900" s="79">
        <f>+F899-H899</f>
        <v>0</v>
      </c>
      <c r="I900" s="885" t="s">
        <v>103</v>
      </c>
      <c r="J900" s="886"/>
      <c r="K900" s="886"/>
      <c r="L900" s="886"/>
      <c r="M900" s="887"/>
      <c r="N900" s="239">
        <f>+N864</f>
        <v>337885222</v>
      </c>
      <c r="O900" s="241" t="s">
        <v>561</v>
      </c>
      <c r="P900" s="242">
        <f>1327+136</f>
        <v>1463</v>
      </c>
    </row>
    <row r="901" spans="1:16" ht="15" customHeight="1" thickBot="1">
      <c r="A901" s="901" t="s">
        <v>102</v>
      </c>
      <c r="B901" s="902"/>
      <c r="C901" s="902"/>
      <c r="D901" s="902"/>
      <c r="E901" s="903"/>
      <c r="F901" s="81">
        <f>SUM(F891:F900)</f>
        <v>110000</v>
      </c>
      <c r="I901" s="888" t="s">
        <v>104</v>
      </c>
      <c r="J901" s="889"/>
      <c r="K901" s="889"/>
      <c r="L901" s="889"/>
      <c r="M901" s="890"/>
      <c r="N901" s="183">
        <f>SUM(N899:N900)</f>
        <v>340607022</v>
      </c>
    </row>
    <row r="902" spans="1:16" ht="13.5" customHeight="1" thickBot="1">
      <c r="A902" s="885" t="s">
        <v>103</v>
      </c>
      <c r="B902" s="886"/>
      <c r="C902" s="886"/>
      <c r="D902" s="886"/>
      <c r="E902" s="887"/>
      <c r="F902" s="69">
        <f>+F866</f>
        <v>654660930</v>
      </c>
      <c r="I902" s="61"/>
      <c r="J902" s="61"/>
      <c r="K902" s="61"/>
      <c r="L902" s="61"/>
      <c r="M902" s="61"/>
    </row>
    <row r="903" spans="1:16" ht="16.5" thickBot="1">
      <c r="A903" s="888" t="s">
        <v>104</v>
      </c>
      <c r="B903" s="889"/>
      <c r="C903" s="889"/>
      <c r="D903" s="889"/>
      <c r="E903" s="890"/>
      <c r="F903" s="183">
        <f>SUM(F901:F902)</f>
        <v>654770930</v>
      </c>
      <c r="I903" s="51" t="s">
        <v>1833</v>
      </c>
    </row>
    <row r="904" spans="1:16" ht="6.75" customHeight="1">
      <c r="A904" s="61"/>
      <c r="B904" s="61"/>
      <c r="C904" s="61"/>
      <c r="D904" s="61"/>
      <c r="E904" s="61"/>
      <c r="N904" s="139"/>
    </row>
    <row r="905" spans="1:16">
      <c r="A905" s="51" t="s">
        <v>458</v>
      </c>
      <c r="I905" s="50" t="s">
        <v>105</v>
      </c>
      <c r="L905" s="146"/>
      <c r="N905" s="139"/>
    </row>
    <row r="906" spans="1:16" ht="8.25" customHeight="1" thickBot="1">
      <c r="F906" s="139"/>
    </row>
    <row r="907" spans="1:16" ht="15.75" thickBot="1">
      <c r="A907" s="50" t="s">
        <v>105</v>
      </c>
      <c r="D907" s="146"/>
      <c r="F907" s="139"/>
      <c r="I907" s="891" t="s">
        <v>106</v>
      </c>
      <c r="J907" s="892"/>
      <c r="K907" s="892"/>
      <c r="L907" s="893"/>
      <c r="N907" s="925" t="s">
        <v>288</v>
      </c>
      <c r="O907" s="925"/>
      <c r="P907" s="925"/>
    </row>
    <row r="908" spans="1:16" ht="28.5" customHeight="1" thickBot="1">
      <c r="I908" s="57" t="s">
        <v>100</v>
      </c>
      <c r="J908" s="58" t="s">
        <v>108</v>
      </c>
      <c r="K908" s="59" t="s">
        <v>109</v>
      </c>
      <c r="L908" s="60" t="s">
        <v>110</v>
      </c>
    </row>
    <row r="909" spans="1:16" ht="14.25" customHeight="1" thickBot="1">
      <c r="A909" s="891" t="s">
        <v>106</v>
      </c>
      <c r="B909" s="892"/>
      <c r="C909" s="892"/>
      <c r="D909" s="893"/>
      <c r="F909" s="50" t="s">
        <v>288</v>
      </c>
      <c r="I909" s="71">
        <v>719</v>
      </c>
      <c r="J909" s="73">
        <f>+P889+P891+P893+P895+P897</f>
        <v>620000</v>
      </c>
      <c r="K909" s="74">
        <f>+L872</f>
        <v>17520000</v>
      </c>
      <c r="L909" s="195">
        <f>+J909+K909</f>
        <v>18140000</v>
      </c>
    </row>
    <row r="910" spans="1:16" ht="16.5" customHeight="1" thickBot="1">
      <c r="A910" s="57" t="s">
        <v>100</v>
      </c>
      <c r="B910" s="58" t="s">
        <v>108</v>
      </c>
      <c r="C910" s="59" t="s">
        <v>109</v>
      </c>
      <c r="D910" s="60" t="s">
        <v>110</v>
      </c>
      <c r="I910" s="72">
        <v>721</v>
      </c>
      <c r="J910" s="257">
        <f>+P892+P894</f>
        <v>217000</v>
      </c>
      <c r="K910" s="74">
        <f>+L873</f>
        <v>4046500</v>
      </c>
      <c r="L910" s="195">
        <f>+J910+K910</f>
        <v>4263500</v>
      </c>
    </row>
    <row r="911" spans="1:16" ht="13.5" customHeight="1">
      <c r="A911" s="71">
        <v>719</v>
      </c>
      <c r="B911" s="73">
        <f>+H891+H893+H895+H897+H899</f>
        <v>110000</v>
      </c>
      <c r="C911" s="74" t="e">
        <f>+D874</f>
        <v>#REF!</v>
      </c>
      <c r="D911" s="195" t="e">
        <f>+B911+C911</f>
        <v>#REF!</v>
      </c>
      <c r="I911" s="72">
        <v>722</v>
      </c>
      <c r="J911" s="257"/>
      <c r="K911" s="74">
        <f>+L874</f>
        <v>0</v>
      </c>
      <c r="L911" s="195">
        <f>+J911+K911</f>
        <v>0</v>
      </c>
    </row>
    <row r="912" spans="1:16" ht="15.75">
      <c r="A912" s="72">
        <v>721</v>
      </c>
      <c r="B912" s="80">
        <f>+H892</f>
        <v>0</v>
      </c>
      <c r="C912" s="74" t="e">
        <f>+D875</f>
        <v>#REF!</v>
      </c>
      <c r="D912" s="195" t="e">
        <f>+B912+C912</f>
        <v>#REF!</v>
      </c>
      <c r="I912" s="72">
        <v>723</v>
      </c>
      <c r="J912" s="257">
        <f>+P890</f>
        <v>1884800</v>
      </c>
      <c r="K912" s="74">
        <f>+L875</f>
        <v>316318722</v>
      </c>
      <c r="L912" s="195">
        <f>+J912+K912</f>
        <v>318203522</v>
      </c>
      <c r="N912" s="918" t="s">
        <v>1696</v>
      </c>
      <c r="O912" s="918"/>
      <c r="P912" s="918"/>
    </row>
    <row r="913" spans="1:16" ht="14.25" customHeight="1" thickBot="1">
      <c r="A913" s="72">
        <v>722</v>
      </c>
      <c r="B913" s="80"/>
      <c r="C913" s="74">
        <f>+D876</f>
        <v>231207671</v>
      </c>
      <c r="D913" s="195">
        <f>+B913+C913</f>
        <v>231207671</v>
      </c>
      <c r="I913" s="164" t="s">
        <v>181</v>
      </c>
      <c r="J913" s="165"/>
      <c r="K913" s="74">
        <f>+L876</f>
        <v>0</v>
      </c>
      <c r="L913" s="196">
        <f>+J913+K913</f>
        <v>0</v>
      </c>
      <c r="N913" s="52"/>
    </row>
    <row r="914" spans="1:16" ht="16.5" thickBot="1">
      <c r="A914" s="72">
        <v>723</v>
      </c>
      <c r="B914" s="80">
        <f>+H894</f>
        <v>0</v>
      </c>
      <c r="C914" s="74">
        <f>+D877</f>
        <v>321428837</v>
      </c>
      <c r="D914" s="195">
        <f>+B914+C914</f>
        <v>321428837</v>
      </c>
      <c r="F914" s="174" t="s">
        <v>23</v>
      </c>
      <c r="G914" s="175"/>
      <c r="I914" s="169"/>
      <c r="J914" s="197">
        <f>SUM(J909:J913)</f>
        <v>2721800</v>
      </c>
      <c r="K914" s="197">
        <f>SUM(K909:K913)</f>
        <v>337885222</v>
      </c>
      <c r="L914" s="198">
        <f>SUM(L909:L913)</f>
        <v>340607022</v>
      </c>
    </row>
    <row r="915" spans="1:16" ht="17.25" thickBot="1">
      <c r="A915" s="164" t="s">
        <v>181</v>
      </c>
      <c r="B915" s="165"/>
      <c r="C915" s="74" t="e">
        <f>+D878</f>
        <v>#REF!</v>
      </c>
      <c r="D915" s="196" t="e">
        <f>+B915+C915</f>
        <v>#REF!</v>
      </c>
      <c r="F915" s="52"/>
      <c r="I915" s="49" t="s">
        <v>88</v>
      </c>
      <c r="J915" s="50"/>
    </row>
    <row r="916" spans="1:16" ht="15" customHeight="1" thickBot="1">
      <c r="A916" s="169"/>
      <c r="B916" s="170">
        <f>SUM(B911:B915)</f>
        <v>110000</v>
      </c>
      <c r="C916" s="171" t="e">
        <f>SUM(C911:C915)</f>
        <v>#REF!</v>
      </c>
      <c r="D916" s="172" t="e">
        <f>SUM(D911:D915)</f>
        <v>#REF!</v>
      </c>
      <c r="I916" s="51" t="s">
        <v>89</v>
      </c>
    </row>
    <row r="917" spans="1:16" ht="15" customHeight="1">
      <c r="A917" s="49" t="s">
        <v>88</v>
      </c>
      <c r="B917" s="50"/>
      <c r="I917" s="51" t="s">
        <v>90</v>
      </c>
    </row>
    <row r="918" spans="1:16" ht="12.75" customHeight="1">
      <c r="A918" s="51" t="s">
        <v>89</v>
      </c>
      <c r="I918" s="51" t="s">
        <v>91</v>
      </c>
    </row>
    <row r="919" spans="1:16" ht="12.75" customHeight="1">
      <c r="A919" s="51" t="s">
        <v>90</v>
      </c>
      <c r="I919" s="50"/>
      <c r="J919" s="50"/>
    </row>
    <row r="920" spans="1:16" ht="16.5">
      <c r="A920" s="51" t="s">
        <v>91</v>
      </c>
      <c r="I920" s="52" t="s">
        <v>813</v>
      </c>
      <c r="O920" s="52"/>
    </row>
    <row r="921" spans="1:16" ht="13.5" customHeight="1">
      <c r="A921" s="50"/>
      <c r="B921" s="50"/>
      <c r="I921" s="53" t="s">
        <v>1702</v>
      </c>
      <c r="O921" s="53"/>
    </row>
    <row r="922" spans="1:16" ht="16.5">
      <c r="A922" s="52" t="s">
        <v>460</v>
      </c>
      <c r="G922" s="52"/>
      <c r="I922" s="894" t="s">
        <v>261</v>
      </c>
      <c r="J922" s="894"/>
      <c r="K922" s="894"/>
      <c r="L922" s="894"/>
      <c r="M922" s="894"/>
      <c r="N922" s="894"/>
      <c r="O922" s="894"/>
      <c r="P922" s="894"/>
    </row>
    <row r="923" spans="1:16" ht="13.5" customHeight="1" thickBot="1">
      <c r="A923" s="53" t="s">
        <v>92</v>
      </c>
      <c r="G923" s="53"/>
    </row>
    <row r="924" spans="1:16" ht="16.5">
      <c r="A924" s="894" t="s">
        <v>462</v>
      </c>
      <c r="B924" s="894"/>
      <c r="C924" s="894"/>
      <c r="D924" s="894"/>
      <c r="E924" s="894"/>
      <c r="F924" s="894"/>
      <c r="G924" s="894"/>
      <c r="H924" s="894"/>
      <c r="I924" s="895" t="s">
        <v>94</v>
      </c>
      <c r="J924" s="897" t="s">
        <v>95</v>
      </c>
      <c r="K924" s="897" t="s">
        <v>96</v>
      </c>
      <c r="L924" s="897" t="s">
        <v>3</v>
      </c>
      <c r="M924" s="897" t="s">
        <v>97</v>
      </c>
      <c r="N924" s="897" t="s">
        <v>98</v>
      </c>
      <c r="O924" s="897" t="s">
        <v>99</v>
      </c>
      <c r="P924" s="899"/>
    </row>
    <row r="925" spans="1:16" ht="15.75" thickBot="1">
      <c r="I925" s="896"/>
      <c r="J925" s="898"/>
      <c r="K925" s="898"/>
      <c r="L925" s="898"/>
      <c r="M925" s="898"/>
      <c r="N925" s="898"/>
      <c r="O925" s="240" t="s">
        <v>100</v>
      </c>
      <c r="P925" s="182" t="s">
        <v>101</v>
      </c>
    </row>
    <row r="926" spans="1:16" ht="12.75" customHeight="1">
      <c r="A926" s="895" t="s">
        <v>94</v>
      </c>
      <c r="B926" s="897" t="s">
        <v>95</v>
      </c>
      <c r="C926" s="897" t="s">
        <v>96</v>
      </c>
      <c r="D926" s="897" t="s">
        <v>3</v>
      </c>
      <c r="E926" s="897" t="s">
        <v>97</v>
      </c>
      <c r="F926" s="897" t="s">
        <v>98</v>
      </c>
      <c r="G926" s="897" t="s">
        <v>99</v>
      </c>
      <c r="H926" s="899"/>
      <c r="I926" s="873" t="s">
        <v>770</v>
      </c>
      <c r="J926" s="875">
        <v>43713</v>
      </c>
      <c r="K926" s="877" t="s">
        <v>120</v>
      </c>
      <c r="L926" s="881" t="s">
        <v>1834</v>
      </c>
      <c r="M926" s="881" t="s">
        <v>115</v>
      </c>
      <c r="N926" s="883">
        <v>1215000</v>
      </c>
      <c r="O926" s="55">
        <v>719</v>
      </c>
      <c r="P926" s="78">
        <v>900000</v>
      </c>
    </row>
    <row r="927" spans="1:16" ht="13.5" customHeight="1" thickBot="1">
      <c r="A927" s="896"/>
      <c r="B927" s="898"/>
      <c r="C927" s="898"/>
      <c r="D927" s="898"/>
      <c r="E927" s="898"/>
      <c r="F927" s="898"/>
      <c r="G927" s="240" t="s">
        <v>100</v>
      </c>
      <c r="H927" s="182" t="s">
        <v>101</v>
      </c>
      <c r="I927" s="882"/>
      <c r="J927" s="876"/>
      <c r="K927" s="878"/>
      <c r="L927" s="882"/>
      <c r="M927" s="882"/>
      <c r="N927" s="884"/>
      <c r="O927" s="56">
        <v>721</v>
      </c>
      <c r="P927" s="79">
        <f>+N926-P926</f>
        <v>315000</v>
      </c>
    </row>
    <row r="928" spans="1:16" ht="12" customHeight="1">
      <c r="A928" s="881" t="e">
        <f>+A895+1</f>
        <v>#REF!</v>
      </c>
      <c r="B928" s="875">
        <v>42328</v>
      </c>
      <c r="C928" s="877" t="s">
        <v>469</v>
      </c>
      <c r="D928" s="881" t="s">
        <v>459</v>
      </c>
      <c r="E928" s="881" t="s">
        <v>148</v>
      </c>
      <c r="F928" s="883">
        <v>1764708</v>
      </c>
      <c r="G928" s="55">
        <v>723</v>
      </c>
      <c r="H928" s="78">
        <f>+F928</f>
        <v>1764708</v>
      </c>
      <c r="I928" s="881">
        <f>+I926+1</f>
        <v>101</v>
      </c>
      <c r="J928" s="875">
        <v>43713</v>
      </c>
      <c r="K928" s="881" t="s">
        <v>1315</v>
      </c>
      <c r="L928" s="881" t="s">
        <v>1835</v>
      </c>
      <c r="M928" s="881" t="s">
        <v>148</v>
      </c>
      <c r="N928" s="883">
        <v>1180850</v>
      </c>
      <c r="O928" s="55">
        <v>723</v>
      </c>
      <c r="P928" s="78">
        <v>1180850</v>
      </c>
    </row>
    <row r="929" spans="1:16" ht="13.5" customHeight="1" thickBot="1">
      <c r="A929" s="882"/>
      <c r="B929" s="876"/>
      <c r="C929" s="878"/>
      <c r="D929" s="882"/>
      <c r="E929" s="882"/>
      <c r="F929" s="884"/>
      <c r="G929" s="56">
        <v>721</v>
      </c>
      <c r="H929" s="79">
        <f>+F928-H928</f>
        <v>0</v>
      </c>
      <c r="I929" s="882"/>
      <c r="J929" s="876"/>
      <c r="K929" s="882"/>
      <c r="L929" s="882"/>
      <c r="M929" s="882"/>
      <c r="N929" s="884"/>
      <c r="O929" s="56">
        <v>721</v>
      </c>
      <c r="P929" s="79">
        <f>+N928-P928</f>
        <v>0</v>
      </c>
    </row>
    <row r="930" spans="1:16" ht="15" customHeight="1">
      <c r="A930" s="881"/>
      <c r="B930" s="875"/>
      <c r="C930" s="881"/>
      <c r="D930" s="881"/>
      <c r="E930" s="881"/>
      <c r="F930" s="883"/>
      <c r="G930" s="55">
        <v>719</v>
      </c>
      <c r="H930" s="78"/>
      <c r="I930" s="881"/>
      <c r="J930" s="875"/>
      <c r="K930" s="881"/>
      <c r="L930" s="881"/>
      <c r="M930" s="881"/>
      <c r="N930" s="883"/>
      <c r="O930" s="55"/>
      <c r="P930" s="78"/>
    </row>
    <row r="931" spans="1:16" ht="13.5" customHeight="1" thickBot="1">
      <c r="A931" s="882"/>
      <c r="B931" s="876"/>
      <c r="C931" s="882"/>
      <c r="D931" s="882"/>
      <c r="E931" s="882"/>
      <c r="F931" s="884"/>
      <c r="G931" s="56">
        <v>721</v>
      </c>
      <c r="H931" s="79">
        <f>+F930-H930</f>
        <v>0</v>
      </c>
      <c r="I931" s="882"/>
      <c r="J931" s="876"/>
      <c r="K931" s="882"/>
      <c r="L931" s="882"/>
      <c r="M931" s="882"/>
      <c r="N931" s="884"/>
      <c r="O931" s="56"/>
      <c r="P931" s="79"/>
    </row>
    <row r="932" spans="1:16" ht="14.25" customHeight="1">
      <c r="A932" s="251"/>
      <c r="B932" s="252"/>
      <c r="C932" s="251"/>
      <c r="D932" s="251"/>
      <c r="E932" s="251"/>
      <c r="F932" s="254"/>
      <c r="G932" s="255"/>
      <c r="H932" s="256"/>
      <c r="I932" s="881"/>
      <c r="J932" s="875"/>
      <c r="K932" s="881"/>
      <c r="L932" s="881"/>
      <c r="M932" s="881"/>
      <c r="N932" s="883"/>
      <c r="O932" s="55"/>
      <c r="P932" s="78"/>
    </row>
    <row r="933" spans="1:16" ht="14.25" customHeight="1" thickBot="1">
      <c r="A933" s="251"/>
      <c r="B933" s="252"/>
      <c r="C933" s="251"/>
      <c r="D933" s="251"/>
      <c r="E933" s="251"/>
      <c r="F933" s="254"/>
      <c r="G933" s="255"/>
      <c r="H933" s="256"/>
      <c r="I933" s="882"/>
      <c r="J933" s="876"/>
      <c r="K933" s="882"/>
      <c r="L933" s="882"/>
      <c r="M933" s="882"/>
      <c r="N933" s="884"/>
      <c r="O933" s="56"/>
      <c r="P933" s="79"/>
    </row>
    <row r="934" spans="1:16" ht="15" customHeight="1">
      <c r="A934" s="881"/>
      <c r="B934" s="875"/>
      <c r="C934" s="877"/>
      <c r="D934" s="881"/>
      <c r="E934" s="881"/>
      <c r="F934" s="883"/>
      <c r="G934" s="55">
        <v>719</v>
      </c>
      <c r="H934" s="78"/>
      <c r="I934" s="881"/>
      <c r="J934" s="875"/>
      <c r="K934" s="881"/>
      <c r="L934" s="881"/>
      <c r="M934" s="881"/>
      <c r="N934" s="883"/>
      <c r="O934" s="55"/>
      <c r="P934" s="78"/>
    </row>
    <row r="935" spans="1:16" ht="12" customHeight="1" thickBot="1">
      <c r="A935" s="882"/>
      <c r="B935" s="876"/>
      <c r="C935" s="878"/>
      <c r="D935" s="882"/>
      <c r="E935" s="882"/>
      <c r="F935" s="884"/>
      <c r="G935" s="56">
        <v>721</v>
      </c>
      <c r="H935" s="79">
        <f>+F934-H934</f>
        <v>0</v>
      </c>
      <c r="I935" s="882"/>
      <c r="J935" s="876"/>
      <c r="K935" s="882"/>
      <c r="L935" s="882"/>
      <c r="M935" s="882"/>
      <c r="N935" s="884"/>
      <c r="O935" s="56"/>
      <c r="P935" s="79"/>
    </row>
    <row r="936" spans="1:16" ht="12" customHeight="1">
      <c r="A936" s="881"/>
      <c r="B936" s="875"/>
      <c r="C936" s="881"/>
      <c r="D936" s="881"/>
      <c r="E936" s="881"/>
      <c r="F936" s="883"/>
      <c r="G936" s="55">
        <v>719</v>
      </c>
      <c r="H936" s="78"/>
      <c r="I936" s="881"/>
      <c r="J936" s="875"/>
      <c r="K936" s="881"/>
      <c r="L936" s="881"/>
      <c r="M936" s="881"/>
      <c r="N936" s="883"/>
      <c r="O936" s="55"/>
      <c r="P936" s="78"/>
    </row>
    <row r="937" spans="1:16" ht="13.5" customHeight="1" thickBot="1">
      <c r="A937" s="882"/>
      <c r="B937" s="876"/>
      <c r="C937" s="882"/>
      <c r="D937" s="882"/>
      <c r="E937" s="882"/>
      <c r="F937" s="884"/>
      <c r="G937" s="56">
        <v>721</v>
      </c>
      <c r="H937" s="79">
        <f>+F936-H936</f>
        <v>0</v>
      </c>
      <c r="I937" s="882"/>
      <c r="J937" s="876"/>
      <c r="K937" s="882"/>
      <c r="L937" s="882"/>
      <c r="M937" s="882"/>
      <c r="N937" s="884"/>
      <c r="O937" s="56"/>
      <c r="P937" s="79"/>
    </row>
    <row r="938" spans="1:16" ht="16.5" thickBot="1">
      <c r="A938" s="881"/>
      <c r="B938" s="875"/>
      <c r="C938" s="877"/>
      <c r="D938" s="881"/>
      <c r="E938" s="881"/>
      <c r="F938" s="883"/>
      <c r="G938" s="55">
        <v>719</v>
      </c>
      <c r="H938" s="78"/>
      <c r="I938" s="901" t="s">
        <v>102</v>
      </c>
      <c r="J938" s="902"/>
      <c r="K938" s="902"/>
      <c r="L938" s="902"/>
      <c r="M938" s="903"/>
      <c r="N938" s="81">
        <f>SUM(N926:N937)</f>
        <v>2395850</v>
      </c>
    </row>
    <row r="939" spans="1:16" ht="16.5" thickBot="1">
      <c r="A939" s="882"/>
      <c r="B939" s="876"/>
      <c r="C939" s="878"/>
      <c r="D939" s="882"/>
      <c r="E939" s="882"/>
      <c r="F939" s="884"/>
      <c r="G939" s="56">
        <v>721</v>
      </c>
      <c r="H939" s="79">
        <f>+F938-H938</f>
        <v>0</v>
      </c>
      <c r="I939" s="885" t="s">
        <v>103</v>
      </c>
      <c r="J939" s="886"/>
      <c r="K939" s="886"/>
      <c r="L939" s="886"/>
      <c r="M939" s="887"/>
      <c r="N939" s="239">
        <f>+N901</f>
        <v>340607022</v>
      </c>
      <c r="O939" s="241" t="s">
        <v>561</v>
      </c>
      <c r="P939" s="242">
        <f>426+85+72+16+624</f>
        <v>1223</v>
      </c>
    </row>
    <row r="940" spans="1:16" ht="16.5" thickBot="1">
      <c r="A940" s="901" t="s">
        <v>102</v>
      </c>
      <c r="B940" s="902"/>
      <c r="C940" s="902"/>
      <c r="D940" s="902"/>
      <c r="E940" s="903"/>
      <c r="F940" s="81">
        <f>SUM(F928:F939)</f>
        <v>1764708</v>
      </c>
      <c r="I940" s="888" t="s">
        <v>104</v>
      </c>
      <c r="J940" s="889"/>
      <c r="K940" s="889"/>
      <c r="L940" s="889"/>
      <c r="M940" s="890"/>
      <c r="N940" s="183">
        <f>SUM(N938:N939)</f>
        <v>343002872</v>
      </c>
    </row>
    <row r="941" spans="1:16" ht="12" customHeight="1" thickBot="1">
      <c r="A941" s="885" t="s">
        <v>103</v>
      </c>
      <c r="B941" s="886"/>
      <c r="C941" s="886"/>
      <c r="D941" s="886"/>
      <c r="E941" s="887"/>
      <c r="F941" s="69">
        <f>+F903</f>
        <v>654770930</v>
      </c>
      <c r="I941" s="61"/>
      <c r="J941" s="61"/>
      <c r="K941" s="61"/>
      <c r="L941" s="61"/>
      <c r="M941" s="61"/>
    </row>
    <row r="942" spans="1:16" ht="16.5" thickBot="1">
      <c r="A942" s="888" t="s">
        <v>104</v>
      </c>
      <c r="B942" s="889"/>
      <c r="C942" s="889"/>
      <c r="D942" s="889"/>
      <c r="E942" s="890"/>
      <c r="F942" s="183">
        <f>SUM(F940:F941)</f>
        <v>656535638</v>
      </c>
      <c r="I942" s="51" t="s">
        <v>1518</v>
      </c>
    </row>
    <row r="943" spans="1:16" ht="9" customHeight="1">
      <c r="A943" s="61"/>
      <c r="B943" s="61"/>
      <c r="C943" s="61"/>
      <c r="D943" s="61"/>
      <c r="E943" s="61"/>
      <c r="N943" s="139"/>
    </row>
    <row r="944" spans="1:16">
      <c r="A944" s="51" t="s">
        <v>461</v>
      </c>
      <c r="I944" s="50" t="s">
        <v>105</v>
      </c>
      <c r="L944" s="146"/>
      <c r="N944" s="139"/>
    </row>
    <row r="945" spans="1:16" ht="12.75" customHeight="1" thickBot="1">
      <c r="F945" s="139"/>
    </row>
    <row r="946" spans="1:16" ht="15.75" thickBot="1">
      <c r="A946" s="50" t="s">
        <v>105</v>
      </c>
      <c r="D946" s="146"/>
      <c r="F946" s="139"/>
      <c r="I946" s="891" t="s">
        <v>106</v>
      </c>
      <c r="J946" s="892"/>
      <c r="K946" s="892"/>
      <c r="L946" s="893"/>
      <c r="N946" s="50" t="s">
        <v>288</v>
      </c>
    </row>
    <row r="947" spans="1:16" ht="12.75" customHeight="1" thickBot="1">
      <c r="I947" s="57" t="s">
        <v>100</v>
      </c>
      <c r="J947" s="58" t="s">
        <v>108</v>
      </c>
      <c r="K947" s="59" t="s">
        <v>109</v>
      </c>
      <c r="L947" s="60" t="s">
        <v>110</v>
      </c>
    </row>
    <row r="948" spans="1:16" ht="13.5" customHeight="1" thickBot="1">
      <c r="A948" s="891" t="s">
        <v>106</v>
      </c>
      <c r="B948" s="892"/>
      <c r="C948" s="892"/>
      <c r="D948" s="893"/>
      <c r="F948" s="50" t="s">
        <v>288</v>
      </c>
      <c r="I948" s="71">
        <v>719</v>
      </c>
      <c r="J948" s="73">
        <f>+P926+P930+P934+P936+P932</f>
        <v>900000</v>
      </c>
      <c r="K948" s="74">
        <f>+L909</f>
        <v>18140000</v>
      </c>
      <c r="L948" s="195">
        <f>+J948+K948</f>
        <v>19040000</v>
      </c>
    </row>
    <row r="949" spans="1:16" ht="13.5" customHeight="1" thickBot="1">
      <c r="A949" s="57" t="s">
        <v>100</v>
      </c>
      <c r="B949" s="58" t="s">
        <v>108</v>
      </c>
      <c r="C949" s="59" t="s">
        <v>109</v>
      </c>
      <c r="D949" s="60" t="s">
        <v>110</v>
      </c>
      <c r="I949" s="72">
        <v>721</v>
      </c>
      <c r="J949" s="80">
        <f>+P927+P929+P931+P935+P937+P933</f>
        <v>315000</v>
      </c>
      <c r="K949" s="74">
        <f>+L910</f>
        <v>4263500</v>
      </c>
      <c r="L949" s="195">
        <f>+J949+K949</f>
        <v>4578500</v>
      </c>
    </row>
    <row r="950" spans="1:16" ht="12.75" customHeight="1">
      <c r="A950" s="71">
        <v>719</v>
      </c>
      <c r="B950" s="73">
        <f>0</f>
        <v>0</v>
      </c>
      <c r="C950" s="74" t="e">
        <f>+D911</f>
        <v>#REF!</v>
      </c>
      <c r="D950" s="195" t="e">
        <f>+B950+C950</f>
        <v>#REF!</v>
      </c>
      <c r="I950" s="72">
        <v>722</v>
      </c>
      <c r="J950" s="80"/>
      <c r="K950" s="74">
        <f>+L911</f>
        <v>0</v>
      </c>
      <c r="L950" s="195">
        <f>+J950+K950</f>
        <v>0</v>
      </c>
    </row>
    <row r="951" spans="1:16" ht="14.25" customHeight="1">
      <c r="A951" s="72">
        <v>721</v>
      </c>
      <c r="B951" s="80">
        <f>+H929</f>
        <v>0</v>
      </c>
      <c r="C951" s="74" t="e">
        <f>+D912</f>
        <v>#REF!</v>
      </c>
      <c r="D951" s="195" t="e">
        <f>+B951+C951</f>
        <v>#REF!</v>
      </c>
      <c r="I951" s="72">
        <v>723</v>
      </c>
      <c r="J951" s="80">
        <f>+P928</f>
        <v>1180850</v>
      </c>
      <c r="K951" s="74">
        <f>+L912</f>
        <v>318203522</v>
      </c>
      <c r="L951" s="195">
        <f>+J951+K951</f>
        <v>319384372</v>
      </c>
      <c r="N951" s="918" t="s">
        <v>1481</v>
      </c>
      <c r="O951" s="918"/>
      <c r="P951" s="918"/>
    </row>
    <row r="952" spans="1:16" ht="13.5" customHeight="1" thickBot="1">
      <c r="A952" s="72">
        <v>722</v>
      </c>
      <c r="B952" s="80"/>
      <c r="C952" s="74">
        <f>+D913</f>
        <v>231207671</v>
      </c>
      <c r="D952" s="195">
        <f>+B952+C952</f>
        <v>231207671</v>
      </c>
      <c r="I952" s="164" t="s">
        <v>181</v>
      </c>
      <c r="J952" s="165"/>
      <c r="K952" s="74">
        <f>+L913</f>
        <v>0</v>
      </c>
      <c r="L952" s="196">
        <f>+J952+K952</f>
        <v>0</v>
      </c>
      <c r="N952" s="52"/>
    </row>
    <row r="953" spans="1:16" ht="16.5" thickBot="1">
      <c r="A953" s="72">
        <v>723</v>
      </c>
      <c r="B953" s="80">
        <f>+H928</f>
        <v>1764708</v>
      </c>
      <c r="C953" s="74">
        <f>+D914</f>
        <v>321428837</v>
      </c>
      <c r="D953" s="195">
        <f>+B953+C953</f>
        <v>323193545</v>
      </c>
      <c r="F953" s="174" t="s">
        <v>23</v>
      </c>
      <c r="G953" s="175"/>
      <c r="I953" s="169"/>
      <c r="J953" s="197">
        <f>SUM(J948:J952)</f>
        <v>2395850</v>
      </c>
      <c r="K953" s="197">
        <f>SUM(K948:K952)</f>
        <v>340607022</v>
      </c>
      <c r="L953" s="198">
        <f>SUM(L948:L952)</f>
        <v>343002872</v>
      </c>
    </row>
    <row r="954" spans="1:16" ht="17.25" thickBot="1">
      <c r="A954" s="164" t="s">
        <v>181</v>
      </c>
      <c r="B954" s="165"/>
      <c r="C954" s="74" t="e">
        <f>+D915</f>
        <v>#REF!</v>
      </c>
      <c r="D954" s="196" t="e">
        <f>+B954+C954</f>
        <v>#REF!</v>
      </c>
      <c r="F954" s="52"/>
      <c r="I954" s="49" t="s">
        <v>88</v>
      </c>
      <c r="J954" s="50"/>
    </row>
    <row r="955" spans="1:16" ht="16.5" thickBot="1">
      <c r="A955" s="169"/>
      <c r="B955" s="170">
        <f>SUM(B950:B954)</f>
        <v>1764708</v>
      </c>
      <c r="C955" s="171" t="e">
        <f>SUM(C950:C954)</f>
        <v>#REF!</v>
      </c>
      <c r="D955" s="172" t="e">
        <f>SUM(D950:D954)</f>
        <v>#REF!</v>
      </c>
      <c r="I955" s="51" t="s">
        <v>89</v>
      </c>
    </row>
    <row r="956" spans="1:16" ht="16.5">
      <c r="A956" s="49" t="s">
        <v>88</v>
      </c>
      <c r="B956" s="50"/>
      <c r="I956" s="51" t="s">
        <v>90</v>
      </c>
    </row>
    <row r="957" spans="1:16">
      <c r="A957" s="51" t="s">
        <v>89</v>
      </c>
      <c r="I957" s="51" t="s">
        <v>91</v>
      </c>
    </row>
    <row r="958" spans="1:16" ht="13.5" customHeight="1">
      <c r="A958" s="51" t="s">
        <v>90</v>
      </c>
      <c r="I958" s="50"/>
      <c r="J958" s="50"/>
    </row>
    <row r="959" spans="1:16" ht="16.5">
      <c r="A959" s="51" t="s">
        <v>91</v>
      </c>
      <c r="I959" s="52" t="s">
        <v>814</v>
      </c>
      <c r="O959" s="52"/>
    </row>
    <row r="960" spans="1:16" ht="13.5" customHeight="1">
      <c r="A960" s="50"/>
      <c r="B960" s="50"/>
      <c r="I960" s="53" t="s">
        <v>1702</v>
      </c>
      <c r="O960" s="53"/>
    </row>
    <row r="961" spans="1:16" ht="16.5">
      <c r="A961" s="52" t="s">
        <v>463</v>
      </c>
      <c r="G961" s="52"/>
      <c r="I961" s="894" t="s">
        <v>903</v>
      </c>
      <c r="J961" s="894"/>
      <c r="K961" s="894"/>
      <c r="L961" s="894"/>
      <c r="M961" s="894"/>
      <c r="N961" s="894"/>
      <c r="O961" s="894"/>
      <c r="P961" s="894"/>
    </row>
    <row r="962" spans="1:16" ht="13.5" customHeight="1" thickBot="1">
      <c r="A962" s="53" t="s">
        <v>92</v>
      </c>
      <c r="G962" s="53"/>
    </row>
    <row r="963" spans="1:16" ht="16.5">
      <c r="A963" s="894" t="s">
        <v>462</v>
      </c>
      <c r="B963" s="894"/>
      <c r="C963" s="894"/>
      <c r="D963" s="894"/>
      <c r="E963" s="894"/>
      <c r="F963" s="894"/>
      <c r="G963" s="894"/>
      <c r="H963" s="894"/>
      <c r="I963" s="895" t="s">
        <v>94</v>
      </c>
      <c r="J963" s="897" t="s">
        <v>95</v>
      </c>
      <c r="K963" s="897" t="s">
        <v>96</v>
      </c>
      <c r="L963" s="897" t="s">
        <v>3</v>
      </c>
      <c r="M963" s="897" t="s">
        <v>97</v>
      </c>
      <c r="N963" s="897" t="s">
        <v>98</v>
      </c>
      <c r="O963" s="897" t="s">
        <v>99</v>
      </c>
      <c r="P963" s="899"/>
    </row>
    <row r="964" spans="1:16" ht="15.75" thickBot="1">
      <c r="I964" s="896"/>
      <c r="J964" s="898"/>
      <c r="K964" s="898"/>
      <c r="L964" s="898"/>
      <c r="M964" s="898"/>
      <c r="N964" s="898"/>
      <c r="O964" s="240" t="s">
        <v>100</v>
      </c>
      <c r="P964" s="182" t="s">
        <v>101</v>
      </c>
    </row>
    <row r="965" spans="1:16" ht="12.75" customHeight="1">
      <c r="A965" s="895" t="s">
        <v>94</v>
      </c>
      <c r="B965" s="897" t="s">
        <v>95</v>
      </c>
      <c r="C965" s="897" t="s">
        <v>96</v>
      </c>
      <c r="D965" s="897" t="s">
        <v>3</v>
      </c>
      <c r="E965" s="897" t="s">
        <v>97</v>
      </c>
      <c r="F965" s="897" t="s">
        <v>98</v>
      </c>
      <c r="G965" s="897" t="s">
        <v>99</v>
      </c>
      <c r="H965" s="899"/>
      <c r="I965" s="873" t="s">
        <v>772</v>
      </c>
      <c r="J965" s="875">
        <v>43742</v>
      </c>
      <c r="K965" s="881" t="s">
        <v>1836</v>
      </c>
      <c r="L965" s="881" t="s">
        <v>1837</v>
      </c>
      <c r="M965" s="881" t="s">
        <v>148</v>
      </c>
      <c r="N965" s="883">
        <v>800000</v>
      </c>
      <c r="O965" s="55">
        <v>723</v>
      </c>
      <c r="P965" s="78">
        <v>800000</v>
      </c>
    </row>
    <row r="966" spans="1:16" ht="12.75" customHeight="1" thickBot="1">
      <c r="A966" s="896"/>
      <c r="B966" s="898"/>
      <c r="C966" s="898"/>
      <c r="D966" s="898"/>
      <c r="E966" s="898"/>
      <c r="F966" s="898"/>
      <c r="G966" s="240" t="s">
        <v>100</v>
      </c>
      <c r="H966" s="182" t="s">
        <v>101</v>
      </c>
      <c r="I966" s="874"/>
      <c r="J966" s="876"/>
      <c r="K966" s="882"/>
      <c r="L966" s="882"/>
      <c r="M966" s="882"/>
      <c r="N966" s="884"/>
      <c r="O966" s="56">
        <v>721</v>
      </c>
      <c r="P966" s="79">
        <f>+N965-P965</f>
        <v>0</v>
      </c>
    </row>
    <row r="967" spans="1:16" ht="13.5" customHeight="1">
      <c r="A967" s="881" t="e">
        <f>+A928+1</f>
        <v>#REF!</v>
      </c>
      <c r="B967" s="875">
        <v>42332</v>
      </c>
      <c r="C967" s="877" t="s">
        <v>272</v>
      </c>
      <c r="D967" s="881" t="s">
        <v>467</v>
      </c>
      <c r="E967" s="881" t="s">
        <v>115</v>
      </c>
      <c r="F967" s="883">
        <v>120000</v>
      </c>
      <c r="G967" s="55">
        <v>719</v>
      </c>
      <c r="H967" s="78">
        <f>+F967</f>
        <v>120000</v>
      </c>
      <c r="I967" s="881">
        <f>+I965+1</f>
        <v>103</v>
      </c>
      <c r="J967" s="875">
        <v>43742</v>
      </c>
      <c r="K967" s="910" t="s">
        <v>555</v>
      </c>
      <c r="L967" s="881" t="s">
        <v>1819</v>
      </c>
      <c r="M967" s="881" t="s">
        <v>148</v>
      </c>
      <c r="N967" s="883">
        <v>1750000</v>
      </c>
      <c r="O967" s="55">
        <v>723</v>
      </c>
      <c r="P967" s="78">
        <v>1750000</v>
      </c>
    </row>
    <row r="968" spans="1:16" ht="13.5" customHeight="1" thickBot="1">
      <c r="A968" s="882"/>
      <c r="B968" s="876"/>
      <c r="C968" s="878"/>
      <c r="D968" s="882"/>
      <c r="E968" s="882"/>
      <c r="F968" s="884"/>
      <c r="G968" s="56">
        <v>721</v>
      </c>
      <c r="H968" s="79">
        <f>+F967-H967</f>
        <v>0</v>
      </c>
      <c r="I968" s="882"/>
      <c r="J968" s="876"/>
      <c r="K968" s="911"/>
      <c r="L968" s="882"/>
      <c r="M968" s="882"/>
      <c r="N968" s="884"/>
      <c r="O968" s="56">
        <v>721</v>
      </c>
      <c r="P968" s="79">
        <f>+N967-P967</f>
        <v>0</v>
      </c>
    </row>
    <row r="969" spans="1:16" ht="12.75" customHeight="1">
      <c r="A969" s="881" t="e">
        <f>+A967+1</f>
        <v>#REF!</v>
      </c>
      <c r="B969" s="875">
        <v>42332</v>
      </c>
      <c r="C969" s="881" t="s">
        <v>28</v>
      </c>
      <c r="D969" s="881" t="s">
        <v>466</v>
      </c>
      <c r="E969" s="881" t="s">
        <v>115</v>
      </c>
      <c r="F969" s="883">
        <v>50000</v>
      </c>
      <c r="G969" s="55">
        <v>719</v>
      </c>
      <c r="H969" s="78">
        <v>50000</v>
      </c>
      <c r="I969" s="881">
        <f>+I967+1</f>
        <v>104</v>
      </c>
      <c r="J969" s="875">
        <v>43742</v>
      </c>
      <c r="K969" s="910" t="s">
        <v>1838</v>
      </c>
      <c r="L969" s="881" t="s">
        <v>1716</v>
      </c>
      <c r="M969" s="881" t="s">
        <v>148</v>
      </c>
      <c r="N969" s="883">
        <v>552000</v>
      </c>
      <c r="O969" s="55">
        <v>723</v>
      </c>
      <c r="P969" s="78">
        <v>552000</v>
      </c>
    </row>
    <row r="970" spans="1:16" ht="10.5" customHeight="1" thickBot="1">
      <c r="A970" s="882"/>
      <c r="B970" s="876"/>
      <c r="C970" s="882"/>
      <c r="D970" s="882"/>
      <c r="E970" s="882"/>
      <c r="F970" s="884"/>
      <c r="G970" s="56">
        <v>721</v>
      </c>
      <c r="H970" s="79">
        <f>+F969-H969</f>
        <v>0</v>
      </c>
      <c r="I970" s="882"/>
      <c r="J970" s="876"/>
      <c r="K970" s="911"/>
      <c r="L970" s="882"/>
      <c r="M970" s="882"/>
      <c r="N970" s="884"/>
      <c r="O970" s="56">
        <v>721</v>
      </c>
      <c r="P970" s="79">
        <f>+N969-P969</f>
        <v>0</v>
      </c>
    </row>
    <row r="971" spans="1:16" ht="11.25" customHeight="1">
      <c r="A971" s="251"/>
      <c r="B971" s="252"/>
      <c r="C971" s="251"/>
      <c r="D971" s="251"/>
      <c r="E971" s="251"/>
      <c r="F971" s="254"/>
      <c r="G971" s="255"/>
      <c r="H971" s="256"/>
      <c r="I971" s="881">
        <f>+I969+1</f>
        <v>105</v>
      </c>
      <c r="J971" s="875">
        <v>43742</v>
      </c>
      <c r="K971" s="910" t="s">
        <v>677</v>
      </c>
      <c r="L971" s="881" t="s">
        <v>1716</v>
      </c>
      <c r="M971" s="881" t="s">
        <v>148</v>
      </c>
      <c r="N971" s="883">
        <v>369410</v>
      </c>
      <c r="O971" s="55">
        <v>723</v>
      </c>
      <c r="P971" s="78">
        <v>369410</v>
      </c>
    </row>
    <row r="972" spans="1:16" ht="12" customHeight="1" thickBot="1">
      <c r="A972" s="251"/>
      <c r="B972" s="252"/>
      <c r="C972" s="251"/>
      <c r="D972" s="251"/>
      <c r="E972" s="251"/>
      <c r="F972" s="254"/>
      <c r="G972" s="255"/>
      <c r="H972" s="256"/>
      <c r="I972" s="882"/>
      <c r="J972" s="876"/>
      <c r="K972" s="911"/>
      <c r="L972" s="882"/>
      <c r="M972" s="882"/>
      <c r="N972" s="884"/>
      <c r="O972" s="56">
        <v>721</v>
      </c>
      <c r="P972" s="79">
        <f>+N971-P971</f>
        <v>0</v>
      </c>
    </row>
    <row r="973" spans="1:16" ht="11.25" customHeight="1">
      <c r="A973" s="881" t="e">
        <f>+A969+1</f>
        <v>#REF!</v>
      </c>
      <c r="B973" s="875">
        <v>42332</v>
      </c>
      <c r="C973" s="877" t="s">
        <v>32</v>
      </c>
      <c r="D973" s="881" t="s">
        <v>465</v>
      </c>
      <c r="E973" s="881" t="s">
        <v>115</v>
      </c>
      <c r="F973" s="883">
        <v>20000</v>
      </c>
      <c r="G973" s="55">
        <v>719</v>
      </c>
      <c r="H973" s="78">
        <v>20000</v>
      </c>
      <c r="I973" s="881"/>
      <c r="J973" s="875"/>
      <c r="K973" s="881"/>
      <c r="L973" s="881"/>
      <c r="M973" s="881"/>
      <c r="N973" s="883"/>
      <c r="O973" s="55">
        <v>719</v>
      </c>
      <c r="P973" s="78"/>
    </row>
    <row r="974" spans="1:16" ht="12.75" customHeight="1" thickBot="1">
      <c r="A974" s="882"/>
      <c r="B974" s="876"/>
      <c r="C974" s="878"/>
      <c r="D974" s="882"/>
      <c r="E974" s="882"/>
      <c r="F974" s="884"/>
      <c r="G974" s="56">
        <v>721</v>
      </c>
      <c r="H974" s="79">
        <f>+F973-H973</f>
        <v>0</v>
      </c>
      <c r="I974" s="882"/>
      <c r="J974" s="876"/>
      <c r="K974" s="882"/>
      <c r="L974" s="882"/>
      <c r="M974" s="882"/>
      <c r="N974" s="884"/>
      <c r="O974" s="56">
        <v>721</v>
      </c>
      <c r="P974" s="79"/>
    </row>
    <row r="975" spans="1:16" ht="13.5" customHeight="1">
      <c r="A975" s="881" t="e">
        <f>+A973+1</f>
        <v>#REF!</v>
      </c>
      <c r="B975" s="875">
        <v>42332</v>
      </c>
      <c r="C975" s="877" t="s">
        <v>120</v>
      </c>
      <c r="D975" s="881" t="s">
        <v>464</v>
      </c>
      <c r="E975" s="881" t="s">
        <v>115</v>
      </c>
      <c r="F975" s="883">
        <v>120000</v>
      </c>
      <c r="G975" s="55">
        <v>719</v>
      </c>
      <c r="H975" s="78">
        <v>120000</v>
      </c>
      <c r="I975" s="881"/>
      <c r="J975" s="875"/>
      <c r="K975" s="881"/>
      <c r="L975" s="881"/>
      <c r="M975" s="881"/>
      <c r="N975" s="883"/>
      <c r="O975" s="55">
        <v>719</v>
      </c>
      <c r="P975" s="78">
        <v>0</v>
      </c>
    </row>
    <row r="976" spans="1:16" ht="13.5" customHeight="1" thickBot="1">
      <c r="A976" s="882"/>
      <c r="B976" s="876"/>
      <c r="C976" s="878"/>
      <c r="D976" s="882"/>
      <c r="E976" s="882"/>
      <c r="F976" s="884"/>
      <c r="G976" s="56">
        <v>721</v>
      </c>
      <c r="H976" s="79">
        <f>+F975-H975</f>
        <v>0</v>
      </c>
      <c r="I976" s="882"/>
      <c r="J976" s="876"/>
      <c r="K976" s="882"/>
      <c r="L976" s="882"/>
      <c r="M976" s="882"/>
      <c r="N976" s="884"/>
      <c r="O976" s="56">
        <v>721</v>
      </c>
      <c r="P976" s="79">
        <f>+N975-P975</f>
        <v>0</v>
      </c>
    </row>
    <row r="977" spans="1:16" ht="16.5" thickBot="1">
      <c r="A977" s="881"/>
      <c r="B977" s="875"/>
      <c r="C977" s="877"/>
      <c r="D977" s="881"/>
      <c r="E977" s="881"/>
      <c r="F977" s="883"/>
      <c r="G977" s="55">
        <v>719</v>
      </c>
      <c r="H977" s="78"/>
      <c r="I977" s="901" t="s">
        <v>102</v>
      </c>
      <c r="J977" s="902"/>
      <c r="K977" s="902"/>
      <c r="L977" s="902"/>
      <c r="M977" s="903"/>
      <c r="N977" s="81">
        <f>SUM(N965:N976)</f>
        <v>3471410</v>
      </c>
    </row>
    <row r="978" spans="1:16" ht="16.5" thickBot="1">
      <c r="A978" s="882"/>
      <c r="B978" s="876"/>
      <c r="C978" s="878"/>
      <c r="D978" s="882"/>
      <c r="E978" s="882"/>
      <c r="F978" s="884"/>
      <c r="G978" s="56">
        <v>721</v>
      </c>
      <c r="H978" s="79">
        <f>+F977-H977</f>
        <v>0</v>
      </c>
      <c r="I978" s="885" t="s">
        <v>103</v>
      </c>
      <c r="J978" s="886"/>
      <c r="K978" s="886"/>
      <c r="L978" s="886"/>
      <c r="M978" s="887"/>
      <c r="N978" s="239">
        <f>+N940</f>
        <v>343002872</v>
      </c>
      <c r="O978" s="241" t="s">
        <v>561</v>
      </c>
      <c r="P978" s="242">
        <f>701+647+663+279+406+423</f>
        <v>3119</v>
      </c>
    </row>
    <row r="979" spans="1:16" ht="16.5" thickBot="1">
      <c r="A979" s="901" t="s">
        <v>102</v>
      </c>
      <c r="B979" s="902"/>
      <c r="C979" s="902"/>
      <c r="D979" s="902"/>
      <c r="E979" s="903"/>
      <c r="F979" s="81">
        <f>SUM(F967:F978)</f>
        <v>310000</v>
      </c>
      <c r="I979" s="888" t="s">
        <v>104</v>
      </c>
      <c r="J979" s="889"/>
      <c r="K979" s="889"/>
      <c r="L979" s="889"/>
      <c r="M979" s="890"/>
      <c r="N979" s="183">
        <f>SUM(N977:N978)</f>
        <v>346474282</v>
      </c>
    </row>
    <row r="980" spans="1:16" ht="12.75" customHeight="1" thickBot="1">
      <c r="A980" s="885" t="s">
        <v>103</v>
      </c>
      <c r="B980" s="886"/>
      <c r="C980" s="886"/>
      <c r="D980" s="886"/>
      <c r="E980" s="887"/>
      <c r="F980" s="69">
        <f>+F942</f>
        <v>656535638</v>
      </c>
      <c r="I980" s="61"/>
      <c r="J980" s="61"/>
      <c r="K980" s="61"/>
      <c r="L980" s="61"/>
      <c r="M980" s="61"/>
    </row>
    <row r="981" spans="1:16" ht="16.5" thickBot="1">
      <c r="A981" s="888" t="s">
        <v>104</v>
      </c>
      <c r="B981" s="889"/>
      <c r="C981" s="889"/>
      <c r="D981" s="889"/>
      <c r="E981" s="890"/>
      <c r="F981" s="183">
        <f>SUM(F979:F980)</f>
        <v>656845638</v>
      </c>
      <c r="I981" s="51" t="s">
        <v>1525</v>
      </c>
    </row>
    <row r="982" spans="1:16" ht="7.5" customHeight="1">
      <c r="A982" s="61"/>
      <c r="B982" s="61"/>
      <c r="C982" s="61"/>
      <c r="D982" s="61"/>
      <c r="E982" s="61"/>
      <c r="N982" s="139"/>
    </row>
    <row r="983" spans="1:16">
      <c r="A983" s="51" t="s">
        <v>468</v>
      </c>
      <c r="I983" s="50" t="s">
        <v>105</v>
      </c>
      <c r="L983" s="146"/>
      <c r="N983" s="139"/>
    </row>
    <row r="984" spans="1:16" ht="12" customHeight="1" thickBot="1">
      <c r="F984" s="139"/>
    </row>
    <row r="985" spans="1:16" ht="15.75" customHeight="1" thickBot="1">
      <c r="A985" s="50" t="s">
        <v>105</v>
      </c>
      <c r="D985" s="146"/>
      <c r="F985" s="139"/>
      <c r="I985" s="891" t="s">
        <v>106</v>
      </c>
      <c r="J985" s="892"/>
      <c r="K985" s="892"/>
      <c r="L985" s="893"/>
      <c r="N985" s="50" t="s">
        <v>288</v>
      </c>
    </row>
    <row r="986" spans="1:16" ht="12" customHeight="1" thickBot="1">
      <c r="I986" s="57" t="s">
        <v>100</v>
      </c>
      <c r="J986" s="58" t="s">
        <v>108</v>
      </c>
      <c r="K986" s="59" t="s">
        <v>109</v>
      </c>
      <c r="L986" s="60" t="s">
        <v>110</v>
      </c>
    </row>
    <row r="987" spans="1:16" ht="14.25" customHeight="1" thickBot="1">
      <c r="A987" s="891" t="s">
        <v>106</v>
      </c>
      <c r="B987" s="892"/>
      <c r="C987" s="892"/>
      <c r="D987" s="893"/>
      <c r="F987" s="50" t="s">
        <v>288</v>
      </c>
      <c r="I987" s="71">
        <v>719</v>
      </c>
      <c r="J987" s="73"/>
      <c r="K987" s="74">
        <f>+L948</f>
        <v>19040000</v>
      </c>
      <c r="L987" s="195">
        <f>+J987+K987</f>
        <v>19040000</v>
      </c>
    </row>
    <row r="988" spans="1:16" ht="14.25" customHeight="1" thickBot="1">
      <c r="A988" s="57" t="s">
        <v>100</v>
      </c>
      <c r="B988" s="58" t="s">
        <v>108</v>
      </c>
      <c r="C988" s="59" t="s">
        <v>109</v>
      </c>
      <c r="D988" s="60" t="s">
        <v>110</v>
      </c>
      <c r="I988" s="72">
        <v>721</v>
      </c>
      <c r="J988" s="80">
        <f>+P966+P968+P970+P974+P976</f>
        <v>0</v>
      </c>
      <c r="K988" s="74">
        <f>+L949</f>
        <v>4578500</v>
      </c>
      <c r="L988" s="195">
        <f>+J988+K988</f>
        <v>4578500</v>
      </c>
    </row>
    <row r="989" spans="1:16" ht="15.75" customHeight="1">
      <c r="A989" s="71">
        <v>719</v>
      </c>
      <c r="B989" s="73">
        <f>+H967+H969+H973+H975</f>
        <v>310000</v>
      </c>
      <c r="C989" s="74" t="e">
        <f>+D950</f>
        <v>#REF!</v>
      </c>
      <c r="D989" s="195" t="e">
        <f>+B989+C989</f>
        <v>#REF!</v>
      </c>
      <c r="I989" s="72">
        <v>722</v>
      </c>
      <c r="J989" s="80"/>
      <c r="K989" s="74">
        <f>+L950</f>
        <v>0</v>
      </c>
      <c r="L989" s="195">
        <f>+J989+K989</f>
        <v>0</v>
      </c>
    </row>
    <row r="990" spans="1:16" ht="15.75" customHeight="1" thickBot="1">
      <c r="A990" s="72">
        <v>721</v>
      </c>
      <c r="B990" s="80">
        <f>+H968</f>
        <v>0</v>
      </c>
      <c r="C990" s="74" t="e">
        <f>+D951</f>
        <v>#REF!</v>
      </c>
      <c r="D990" s="195" t="e">
        <f>+B990+C990</f>
        <v>#REF!</v>
      </c>
      <c r="I990" s="72">
        <v>723</v>
      </c>
      <c r="J990" s="80">
        <f>+P965+P967+P969+P971</f>
        <v>3471410</v>
      </c>
      <c r="K990" s="74">
        <f>+L951</f>
        <v>319384372</v>
      </c>
      <c r="L990" s="195">
        <f>+J990+K990</f>
        <v>322855782</v>
      </c>
      <c r="N990" s="918" t="s">
        <v>1696</v>
      </c>
      <c r="O990" s="918"/>
      <c r="P990" s="918"/>
    </row>
    <row r="991" spans="1:16" ht="14.25" hidden="1" customHeight="1">
      <c r="A991" s="72">
        <v>722</v>
      </c>
      <c r="B991" s="80"/>
      <c r="C991" s="74">
        <f>+D952</f>
        <v>231207671</v>
      </c>
      <c r="D991" s="195">
        <f>+B991+C991</f>
        <v>231207671</v>
      </c>
      <c r="I991" s="164" t="s">
        <v>181</v>
      </c>
      <c r="J991" s="165"/>
      <c r="K991" s="74">
        <f>+L952</f>
        <v>0</v>
      </c>
      <c r="L991" s="196">
        <f>+J991+K991</f>
        <v>0</v>
      </c>
      <c r="N991" s="52"/>
    </row>
    <row r="992" spans="1:16" ht="16.5" customHeight="1" thickBot="1">
      <c r="A992" s="72">
        <v>723</v>
      </c>
      <c r="B992" s="80"/>
      <c r="C992" s="74">
        <f>+D953</f>
        <v>323193545</v>
      </c>
      <c r="D992" s="195">
        <f>+B992+C992</f>
        <v>323193545</v>
      </c>
      <c r="F992" s="174" t="s">
        <v>23</v>
      </c>
      <c r="G992" s="175"/>
      <c r="I992" s="169"/>
      <c r="J992" s="197">
        <f>SUM(J987:J991)</f>
        <v>3471410</v>
      </c>
      <c r="K992" s="197">
        <f>SUM(K987:K991)</f>
        <v>343002872</v>
      </c>
      <c r="L992" s="198">
        <f>SUM(L987:L991)</f>
        <v>346474282</v>
      </c>
    </row>
    <row r="993" spans="1:16" ht="16.5" customHeight="1" thickBot="1">
      <c r="A993" s="164" t="s">
        <v>181</v>
      </c>
      <c r="B993" s="165"/>
      <c r="C993" s="74" t="e">
        <f>+D954</f>
        <v>#REF!</v>
      </c>
      <c r="D993" s="196" t="e">
        <f>+B993+C993</f>
        <v>#REF!</v>
      </c>
      <c r="F993" s="52"/>
      <c r="I993" s="49" t="s">
        <v>88</v>
      </c>
      <c r="J993" s="50"/>
    </row>
    <row r="994" spans="1:16" ht="16.5" thickBot="1">
      <c r="A994" s="169"/>
      <c r="B994" s="170">
        <f>SUM(B989:B993)</f>
        <v>310000</v>
      </c>
      <c r="C994" s="171" t="e">
        <f>SUM(C989:C993)</f>
        <v>#REF!</v>
      </c>
      <c r="D994" s="172" t="e">
        <f>SUM(D989:D993)</f>
        <v>#REF!</v>
      </c>
      <c r="I994" s="51" t="s">
        <v>89</v>
      </c>
    </row>
    <row r="995" spans="1:16" ht="16.5">
      <c r="A995" s="49" t="s">
        <v>88</v>
      </c>
      <c r="B995" s="50"/>
      <c r="I995" s="51" t="s">
        <v>90</v>
      </c>
    </row>
    <row r="996" spans="1:16">
      <c r="A996" s="51" t="s">
        <v>89</v>
      </c>
      <c r="I996" s="51" t="s">
        <v>91</v>
      </c>
    </row>
    <row r="997" spans="1:16" ht="6" customHeight="1">
      <c r="A997" s="51" t="s">
        <v>90</v>
      </c>
      <c r="I997" s="50"/>
      <c r="J997" s="50"/>
    </row>
    <row r="998" spans="1:16" ht="16.5">
      <c r="A998" s="51" t="s">
        <v>91</v>
      </c>
      <c r="I998" s="52" t="s">
        <v>836</v>
      </c>
      <c r="O998" s="52"/>
    </row>
    <row r="999" spans="1:16" ht="14.25" customHeight="1">
      <c r="A999" s="50"/>
      <c r="B999" s="50"/>
      <c r="I999" s="53" t="s">
        <v>1702</v>
      </c>
      <c r="O999" s="53"/>
    </row>
    <row r="1000" spans="1:16" ht="16.5">
      <c r="A1000" s="52" t="s">
        <v>470</v>
      </c>
      <c r="G1000" s="52"/>
      <c r="I1000" s="894" t="s">
        <v>1842</v>
      </c>
      <c r="J1000" s="894"/>
      <c r="K1000" s="894"/>
      <c r="L1000" s="894"/>
      <c r="M1000" s="894"/>
      <c r="N1000" s="894"/>
      <c r="O1000" s="894"/>
      <c r="P1000" s="894"/>
    </row>
    <row r="1001" spans="1:16" ht="17.25" customHeight="1" thickBot="1">
      <c r="A1001" s="53" t="s">
        <v>92</v>
      </c>
      <c r="G1001" s="53"/>
    </row>
    <row r="1002" spans="1:16" ht="16.5">
      <c r="A1002" s="894" t="s">
        <v>462</v>
      </c>
      <c r="B1002" s="894"/>
      <c r="C1002" s="894"/>
      <c r="D1002" s="894"/>
      <c r="E1002" s="894"/>
      <c r="F1002" s="894"/>
      <c r="G1002" s="894"/>
      <c r="H1002" s="894"/>
      <c r="I1002" s="895" t="s">
        <v>94</v>
      </c>
      <c r="J1002" s="897" t="s">
        <v>95</v>
      </c>
      <c r="K1002" s="897" t="s">
        <v>96</v>
      </c>
      <c r="L1002" s="897" t="s">
        <v>3</v>
      </c>
      <c r="M1002" s="897" t="s">
        <v>97</v>
      </c>
      <c r="N1002" s="897" t="s">
        <v>98</v>
      </c>
      <c r="O1002" s="897" t="s">
        <v>99</v>
      </c>
      <c r="P1002" s="899"/>
    </row>
    <row r="1003" spans="1:16" ht="15.75" thickBot="1">
      <c r="I1003" s="896"/>
      <c r="J1003" s="898"/>
      <c r="K1003" s="898"/>
      <c r="L1003" s="898"/>
      <c r="M1003" s="898"/>
      <c r="N1003" s="898"/>
      <c r="O1003" s="240" t="s">
        <v>100</v>
      </c>
      <c r="P1003" s="182" t="s">
        <v>101</v>
      </c>
    </row>
    <row r="1004" spans="1:16" ht="14.25" customHeight="1">
      <c r="A1004" s="895" t="s">
        <v>94</v>
      </c>
      <c r="B1004" s="897" t="s">
        <v>95</v>
      </c>
      <c r="C1004" s="897" t="s">
        <v>96</v>
      </c>
      <c r="D1004" s="897" t="s">
        <v>3</v>
      </c>
      <c r="E1004" s="897" t="s">
        <v>97</v>
      </c>
      <c r="F1004" s="897" t="s">
        <v>98</v>
      </c>
      <c r="G1004" s="897" t="s">
        <v>99</v>
      </c>
      <c r="H1004" s="899"/>
      <c r="I1004" s="873" t="s">
        <v>545</v>
      </c>
      <c r="J1004" s="875">
        <v>43749</v>
      </c>
      <c r="K1004" s="910" t="s">
        <v>555</v>
      </c>
      <c r="L1004" s="881" t="s">
        <v>1819</v>
      </c>
      <c r="M1004" s="881" t="s">
        <v>148</v>
      </c>
      <c r="N1004" s="883">
        <v>-1750000</v>
      </c>
      <c r="O1004" s="55">
        <v>723</v>
      </c>
      <c r="P1004" s="78">
        <f>N1004</f>
        <v>-1750000</v>
      </c>
    </row>
    <row r="1005" spans="1:16" ht="12" customHeight="1" thickBot="1">
      <c r="A1005" s="896"/>
      <c r="B1005" s="898"/>
      <c r="C1005" s="898"/>
      <c r="D1005" s="898"/>
      <c r="E1005" s="898"/>
      <c r="F1005" s="898"/>
      <c r="G1005" s="240" t="s">
        <v>100</v>
      </c>
      <c r="H1005" s="182" t="s">
        <v>101</v>
      </c>
      <c r="I1005" s="874"/>
      <c r="J1005" s="876"/>
      <c r="K1005" s="911"/>
      <c r="L1005" s="882"/>
      <c r="M1005" s="882"/>
      <c r="N1005" s="884"/>
      <c r="O1005" s="56">
        <v>721</v>
      </c>
      <c r="P1005" s="79">
        <v>0</v>
      </c>
    </row>
    <row r="1006" spans="1:16" ht="12.75" customHeight="1">
      <c r="A1006" s="881" t="e">
        <f>+A967+1</f>
        <v>#REF!</v>
      </c>
      <c r="B1006" s="875">
        <v>42345</v>
      </c>
      <c r="C1006" s="877" t="s">
        <v>267</v>
      </c>
      <c r="D1006" s="881" t="s">
        <v>475</v>
      </c>
      <c r="E1006" s="881" t="s">
        <v>148</v>
      </c>
      <c r="F1006" s="883">
        <v>420000</v>
      </c>
      <c r="G1006" s="55">
        <v>719</v>
      </c>
      <c r="H1006" s="78">
        <f>+F1006-H1007</f>
        <v>300000</v>
      </c>
      <c r="I1006" s="873" t="s">
        <v>1843</v>
      </c>
      <c r="J1006" s="875">
        <v>43749</v>
      </c>
      <c r="K1006" s="881" t="s">
        <v>1091</v>
      </c>
      <c r="L1006" s="881" t="s">
        <v>1844</v>
      </c>
      <c r="M1006" s="881" t="s">
        <v>148</v>
      </c>
      <c r="N1006" s="883">
        <v>1020000</v>
      </c>
      <c r="O1006" s="55">
        <v>719</v>
      </c>
      <c r="P1006" s="78">
        <v>1020000</v>
      </c>
    </row>
    <row r="1007" spans="1:16" ht="13.5" customHeight="1" thickBot="1">
      <c r="A1007" s="882"/>
      <c r="B1007" s="876"/>
      <c r="C1007" s="878"/>
      <c r="D1007" s="882"/>
      <c r="E1007" s="882"/>
      <c r="F1007" s="884"/>
      <c r="G1007" s="56">
        <v>721</v>
      </c>
      <c r="H1007" s="79">
        <v>120000</v>
      </c>
      <c r="I1007" s="874"/>
      <c r="J1007" s="876"/>
      <c r="K1007" s="882"/>
      <c r="L1007" s="882"/>
      <c r="M1007" s="882"/>
      <c r="N1007" s="884"/>
      <c r="O1007" s="56">
        <v>721</v>
      </c>
      <c r="P1007" s="79">
        <f>+N1006-P1006</f>
        <v>0</v>
      </c>
    </row>
    <row r="1008" spans="1:16" ht="13.5" customHeight="1">
      <c r="A1008" s="881" t="e">
        <f>+A1006+1</f>
        <v>#REF!</v>
      </c>
      <c r="B1008" s="875">
        <v>42345</v>
      </c>
      <c r="C1008" s="881" t="s">
        <v>28</v>
      </c>
      <c r="D1008" s="881" t="s">
        <v>476</v>
      </c>
      <c r="E1008" s="881" t="s">
        <v>148</v>
      </c>
      <c r="F1008" s="883">
        <v>714000</v>
      </c>
      <c r="G1008" s="55">
        <v>719</v>
      </c>
      <c r="H1008" s="78">
        <v>510000</v>
      </c>
      <c r="I1008" s="881">
        <f>+I1006+1</f>
        <v>107</v>
      </c>
      <c r="J1008" s="875">
        <v>43749</v>
      </c>
      <c r="K1008" s="881" t="s">
        <v>1091</v>
      </c>
      <c r="L1008" s="881" t="s">
        <v>1845</v>
      </c>
      <c r="M1008" s="881" t="s">
        <v>148</v>
      </c>
      <c r="N1008" s="883">
        <v>2430000</v>
      </c>
      <c r="O1008" s="55">
        <v>719</v>
      </c>
      <c r="P1008" s="78">
        <v>2430000</v>
      </c>
    </row>
    <row r="1009" spans="1:16" ht="13.5" customHeight="1" thickBot="1">
      <c r="A1009" s="882"/>
      <c r="B1009" s="876"/>
      <c r="C1009" s="882"/>
      <c r="D1009" s="882"/>
      <c r="E1009" s="882"/>
      <c r="F1009" s="884"/>
      <c r="G1009" s="56">
        <v>721</v>
      </c>
      <c r="H1009" s="79">
        <f>+F1008-H1008</f>
        <v>204000</v>
      </c>
      <c r="I1009" s="882"/>
      <c r="J1009" s="876"/>
      <c r="K1009" s="882"/>
      <c r="L1009" s="882"/>
      <c r="M1009" s="882"/>
      <c r="N1009" s="884"/>
      <c r="O1009" s="56">
        <v>721</v>
      </c>
      <c r="P1009" s="79">
        <f>+N1008-P1008</f>
        <v>0</v>
      </c>
    </row>
    <row r="1010" spans="1:16" ht="13.5" customHeight="1">
      <c r="A1010" s="881" t="e">
        <f>+A1008+1</f>
        <v>#REF!</v>
      </c>
      <c r="B1010" s="875">
        <v>42345</v>
      </c>
      <c r="C1010" s="877" t="s">
        <v>32</v>
      </c>
      <c r="D1010" s="881" t="s">
        <v>476</v>
      </c>
      <c r="E1010" s="881" t="s">
        <v>148</v>
      </c>
      <c r="F1010" s="883">
        <v>140000</v>
      </c>
      <c r="G1010" s="55">
        <v>719</v>
      </c>
      <c r="H1010" s="78">
        <v>100000</v>
      </c>
      <c r="I1010" s="881">
        <f>+I1008+1</f>
        <v>108</v>
      </c>
      <c r="J1010" s="875">
        <v>43749</v>
      </c>
      <c r="K1010" s="881" t="s">
        <v>1091</v>
      </c>
      <c r="L1010" s="881" t="s">
        <v>1846</v>
      </c>
      <c r="M1010" s="881" t="s">
        <v>148</v>
      </c>
      <c r="N1010" s="883">
        <v>370000</v>
      </c>
      <c r="O1010" s="55">
        <v>719</v>
      </c>
      <c r="P1010" s="78">
        <v>370000</v>
      </c>
    </row>
    <row r="1011" spans="1:16" ht="12.75" customHeight="1" thickBot="1">
      <c r="A1011" s="882"/>
      <c r="B1011" s="876"/>
      <c r="C1011" s="878"/>
      <c r="D1011" s="882"/>
      <c r="E1011" s="882"/>
      <c r="F1011" s="884"/>
      <c r="G1011" s="56">
        <v>721</v>
      </c>
      <c r="H1011" s="79">
        <f>+F1010-H1010</f>
        <v>40000</v>
      </c>
      <c r="I1011" s="882"/>
      <c r="J1011" s="876"/>
      <c r="K1011" s="882"/>
      <c r="L1011" s="882"/>
      <c r="M1011" s="882"/>
      <c r="N1011" s="884"/>
      <c r="O1011" s="56">
        <v>721</v>
      </c>
      <c r="P1011" s="79">
        <f>+N1010-P1010</f>
        <v>0</v>
      </c>
    </row>
    <row r="1012" spans="1:16" ht="13.5" customHeight="1">
      <c r="A1012" s="881" t="e">
        <f>+A1010+1</f>
        <v>#REF!</v>
      </c>
      <c r="B1012" s="875">
        <v>42345</v>
      </c>
      <c r="C1012" s="877" t="s">
        <v>111</v>
      </c>
      <c r="D1012" s="881" t="s">
        <v>474</v>
      </c>
      <c r="E1012" s="881" t="s">
        <v>148</v>
      </c>
      <c r="F1012" s="883">
        <v>336000</v>
      </c>
      <c r="G1012" s="55">
        <v>719</v>
      </c>
      <c r="H1012" s="78">
        <v>240000</v>
      </c>
      <c r="I1012" s="881">
        <f>+I1010+1</f>
        <v>109</v>
      </c>
      <c r="J1012" s="875">
        <v>43749</v>
      </c>
      <c r="K1012" s="881" t="s">
        <v>815</v>
      </c>
      <c r="L1012" s="881" t="s">
        <v>1851</v>
      </c>
      <c r="M1012" s="881" t="s">
        <v>148</v>
      </c>
      <c r="N1012" s="883">
        <v>1039500</v>
      </c>
      <c r="O1012" s="55">
        <v>719</v>
      </c>
      <c r="P1012" s="78">
        <v>770000</v>
      </c>
    </row>
    <row r="1013" spans="1:16" ht="14.25" customHeight="1" thickBot="1">
      <c r="A1013" s="882"/>
      <c r="B1013" s="876"/>
      <c r="C1013" s="878"/>
      <c r="D1013" s="882"/>
      <c r="E1013" s="882"/>
      <c r="F1013" s="884"/>
      <c r="G1013" s="56">
        <v>721</v>
      </c>
      <c r="H1013" s="79">
        <f>+F1012-H1012</f>
        <v>96000</v>
      </c>
      <c r="I1013" s="882"/>
      <c r="J1013" s="876"/>
      <c r="K1013" s="882"/>
      <c r="L1013" s="882"/>
      <c r="M1013" s="882"/>
      <c r="N1013" s="884"/>
      <c r="O1013" s="56">
        <v>721</v>
      </c>
      <c r="P1013" s="79">
        <f>+N1012-P1012</f>
        <v>269500</v>
      </c>
    </row>
    <row r="1014" spans="1:16" ht="16.5" customHeight="1" thickBot="1">
      <c r="A1014" s="881" t="e">
        <f>+A1012+1</f>
        <v>#REF!</v>
      </c>
      <c r="B1014" s="875">
        <v>42345</v>
      </c>
      <c r="C1014" s="877" t="s">
        <v>272</v>
      </c>
      <c r="D1014" s="881" t="s">
        <v>474</v>
      </c>
      <c r="E1014" s="881" t="s">
        <v>148</v>
      </c>
      <c r="F1014" s="883">
        <v>2058000</v>
      </c>
      <c r="G1014" s="55">
        <v>719</v>
      </c>
      <c r="H1014" s="78">
        <v>1470000</v>
      </c>
      <c r="I1014" s="901" t="s">
        <v>102</v>
      </c>
      <c r="J1014" s="902"/>
      <c r="K1014" s="902"/>
      <c r="L1014" s="902"/>
      <c r="M1014" s="903"/>
      <c r="N1014" s="81">
        <f>SUM(N1004:N1013)</f>
        <v>3109500</v>
      </c>
    </row>
    <row r="1015" spans="1:16" ht="16.5" customHeight="1" thickBot="1">
      <c r="A1015" s="882"/>
      <c r="B1015" s="876"/>
      <c r="C1015" s="878"/>
      <c r="D1015" s="882"/>
      <c r="E1015" s="882"/>
      <c r="F1015" s="884"/>
      <c r="G1015" s="56">
        <v>721</v>
      </c>
      <c r="H1015" s="79">
        <f>+F1014-H1014</f>
        <v>588000</v>
      </c>
      <c r="I1015" s="885" t="s">
        <v>103</v>
      </c>
      <c r="J1015" s="886"/>
      <c r="K1015" s="886"/>
      <c r="L1015" s="886"/>
      <c r="M1015" s="887"/>
      <c r="N1015" s="69">
        <f>+N979</f>
        <v>346474282</v>
      </c>
      <c r="O1015" s="241" t="s">
        <v>561</v>
      </c>
      <c r="P1015" s="242">
        <f>211+326+266+410+2+7+113</f>
        <v>1335</v>
      </c>
    </row>
    <row r="1016" spans="1:16" ht="16.5" thickBot="1">
      <c r="A1016" s="901" t="s">
        <v>102</v>
      </c>
      <c r="B1016" s="902"/>
      <c r="C1016" s="902"/>
      <c r="D1016" s="902"/>
      <c r="E1016" s="903"/>
      <c r="F1016" s="81">
        <f>SUM(F1006:F1015)</f>
        <v>3668000</v>
      </c>
      <c r="I1016" s="888" t="s">
        <v>104</v>
      </c>
      <c r="J1016" s="889"/>
      <c r="K1016" s="889"/>
      <c r="L1016" s="889"/>
      <c r="M1016" s="890"/>
      <c r="N1016" s="183">
        <f>SUM(N1014:N1015)</f>
        <v>349583782</v>
      </c>
    </row>
    <row r="1017" spans="1:16" ht="16.5" thickBot="1">
      <c r="A1017" s="885" t="s">
        <v>103</v>
      </c>
      <c r="B1017" s="886"/>
      <c r="C1017" s="886"/>
      <c r="D1017" s="886"/>
      <c r="E1017" s="887"/>
      <c r="F1017" s="69">
        <f>+F981</f>
        <v>656845638</v>
      </c>
      <c r="I1017" s="61"/>
      <c r="J1017" s="61"/>
      <c r="K1017" s="61"/>
      <c r="L1017" s="61"/>
      <c r="M1017" s="61"/>
    </row>
    <row r="1018" spans="1:16" ht="16.5" thickBot="1">
      <c r="A1018" s="888" t="s">
        <v>104</v>
      </c>
      <c r="B1018" s="889"/>
      <c r="C1018" s="889"/>
      <c r="D1018" s="889"/>
      <c r="E1018" s="890"/>
      <c r="F1018" s="183">
        <f>SUM(F1016:F1017)</f>
        <v>660513638</v>
      </c>
      <c r="I1018" s="51" t="s">
        <v>1849</v>
      </c>
    </row>
    <row r="1019" spans="1:16" ht="8.25" customHeight="1">
      <c r="A1019" s="61"/>
      <c r="B1019" s="61"/>
      <c r="C1019" s="61"/>
      <c r="D1019" s="61"/>
      <c r="E1019" s="61"/>
      <c r="N1019" s="139"/>
    </row>
    <row r="1020" spans="1:16" ht="18" customHeight="1">
      <c r="A1020" s="51" t="s">
        <v>477</v>
      </c>
      <c r="I1020" s="50" t="s">
        <v>105</v>
      </c>
      <c r="L1020" s="146"/>
      <c r="N1020" s="139"/>
    </row>
    <row r="1021" spans="1:16" ht="9.75" customHeight="1" thickBot="1">
      <c r="F1021" s="139"/>
    </row>
    <row r="1022" spans="1:16" ht="16.5" customHeight="1" thickBot="1">
      <c r="A1022" s="50" t="s">
        <v>105</v>
      </c>
      <c r="D1022" s="146"/>
      <c r="F1022" s="139"/>
      <c r="I1022" s="891" t="s">
        <v>106</v>
      </c>
      <c r="J1022" s="892"/>
      <c r="K1022" s="892"/>
      <c r="L1022" s="893"/>
      <c r="N1022" s="30" t="s">
        <v>1126</v>
      </c>
    </row>
    <row r="1023" spans="1:16" ht="11.25" customHeight="1" thickBot="1">
      <c r="I1023" s="57" t="s">
        <v>100</v>
      </c>
      <c r="J1023" s="58" t="s">
        <v>108</v>
      </c>
      <c r="K1023" s="59" t="s">
        <v>109</v>
      </c>
      <c r="L1023" s="60" t="s">
        <v>110</v>
      </c>
    </row>
    <row r="1024" spans="1:16" ht="15.75" thickBot="1">
      <c r="A1024" s="891" t="s">
        <v>106</v>
      </c>
      <c r="B1024" s="892"/>
      <c r="C1024" s="892"/>
      <c r="D1024" s="893"/>
      <c r="F1024" s="50" t="s">
        <v>288</v>
      </c>
      <c r="I1024" s="71">
        <v>719</v>
      </c>
      <c r="J1024" s="73">
        <f>+P1006+P1008+P1010+P1012</f>
        <v>4590000</v>
      </c>
      <c r="K1024" s="74">
        <f>+L987</f>
        <v>19040000</v>
      </c>
      <c r="L1024" s="195">
        <f>+J1024+K1024</f>
        <v>23630000</v>
      </c>
    </row>
    <row r="1025" spans="1:16" ht="15.75" customHeight="1" thickBot="1">
      <c r="A1025" s="57" t="s">
        <v>100</v>
      </c>
      <c r="B1025" s="58" t="s">
        <v>108</v>
      </c>
      <c r="C1025" s="59" t="s">
        <v>109</v>
      </c>
      <c r="D1025" s="60" t="s">
        <v>110</v>
      </c>
      <c r="I1025" s="72">
        <v>721</v>
      </c>
      <c r="J1025" s="80">
        <f>+P1005+P1007+P1009+P1011+P1013</f>
        <v>269500</v>
      </c>
      <c r="K1025" s="74">
        <f>+L988</f>
        <v>4578500</v>
      </c>
      <c r="L1025" s="195">
        <f>+J1025+K1025</f>
        <v>4848000</v>
      </c>
    </row>
    <row r="1026" spans="1:16">
      <c r="A1026" s="71">
        <v>719</v>
      </c>
      <c r="B1026" s="73">
        <f>+H1006+H1008+H1010+H1012+H1014</f>
        <v>2620000</v>
      </c>
      <c r="C1026" s="74" t="e">
        <f>+D989</f>
        <v>#REF!</v>
      </c>
      <c r="D1026" s="195" t="e">
        <f>+B1026+C1026</f>
        <v>#REF!</v>
      </c>
      <c r="I1026" s="72">
        <v>722</v>
      </c>
      <c r="J1026" s="80"/>
      <c r="K1026" s="74">
        <f>+L989</f>
        <v>0</v>
      </c>
      <c r="L1026" s="195">
        <f>+J1026+K1026</f>
        <v>0</v>
      </c>
    </row>
    <row r="1027" spans="1:16" ht="15.75">
      <c r="A1027" s="72">
        <v>721</v>
      </c>
      <c r="B1027" s="80">
        <f>+H1015+H1013+H1011+H1009+H1007</f>
        <v>1048000</v>
      </c>
      <c r="C1027" s="74" t="e">
        <f>+D990</f>
        <v>#REF!</v>
      </c>
      <c r="D1027" s="195" t="e">
        <f>+B1027+C1027</f>
        <v>#REF!</v>
      </c>
      <c r="I1027" s="72">
        <v>723</v>
      </c>
      <c r="J1027" s="80">
        <f>+P1004</f>
        <v>-1750000</v>
      </c>
      <c r="K1027" s="74">
        <f>+L990</f>
        <v>322855782</v>
      </c>
      <c r="L1027" s="195">
        <f>+J1027+K1027</f>
        <v>321105782</v>
      </c>
      <c r="N1027" s="918" t="s">
        <v>1850</v>
      </c>
      <c r="O1027" s="918"/>
      <c r="P1027" s="918"/>
    </row>
    <row r="1028" spans="1:16" ht="16.5" thickBot="1">
      <c r="A1028" s="72">
        <v>722</v>
      </c>
      <c r="B1028" s="80"/>
      <c r="C1028" s="74">
        <f>+D991</f>
        <v>231207671</v>
      </c>
      <c r="D1028" s="195">
        <f>+B1028+C1028</f>
        <v>231207671</v>
      </c>
      <c r="I1028" s="164" t="s">
        <v>181</v>
      </c>
      <c r="J1028" s="165"/>
      <c r="K1028" s="74">
        <f>+L991</f>
        <v>0</v>
      </c>
      <c r="L1028" s="196">
        <f>+J1028+K1028</f>
        <v>0</v>
      </c>
      <c r="N1028" s="52"/>
    </row>
    <row r="1029" spans="1:16" ht="16.5" thickBot="1">
      <c r="A1029" s="72">
        <v>723</v>
      </c>
      <c r="B1029" s="80"/>
      <c r="C1029" s="74">
        <f>+D992</f>
        <v>323193545</v>
      </c>
      <c r="D1029" s="195">
        <f>+B1029+C1029</f>
        <v>323193545</v>
      </c>
      <c r="F1029" s="174" t="s">
        <v>23</v>
      </c>
      <c r="G1029" s="175"/>
      <c r="I1029" s="169"/>
      <c r="J1029" s="197">
        <f>SUM(J1024:J1028)</f>
        <v>3109500</v>
      </c>
      <c r="K1029" s="197">
        <f>SUM(K1024:K1028)</f>
        <v>346474282</v>
      </c>
      <c r="L1029" s="198">
        <f>SUM(L1024:L1028)</f>
        <v>349583782</v>
      </c>
    </row>
    <row r="1030" spans="1:16" ht="16.5">
      <c r="A1030" s="49" t="s">
        <v>88</v>
      </c>
      <c r="B1030" s="50"/>
      <c r="I1030" s="49" t="s">
        <v>88</v>
      </c>
      <c r="J1030" s="50"/>
    </row>
    <row r="1031" spans="1:16">
      <c r="A1031" s="51" t="s">
        <v>89</v>
      </c>
      <c r="I1031" s="51" t="s">
        <v>89</v>
      </c>
    </row>
    <row r="1032" spans="1:16">
      <c r="A1032" s="51" t="s">
        <v>90</v>
      </c>
      <c r="I1032" s="51" t="s">
        <v>90</v>
      </c>
    </row>
    <row r="1033" spans="1:16">
      <c r="A1033" s="51" t="s">
        <v>91</v>
      </c>
      <c r="I1033" s="51" t="s">
        <v>91</v>
      </c>
    </row>
    <row r="1034" spans="1:16" ht="12" customHeight="1">
      <c r="A1034" s="50"/>
      <c r="B1034" s="50"/>
      <c r="I1034" s="50"/>
      <c r="J1034" s="50"/>
    </row>
    <row r="1035" spans="1:16" ht="16.5">
      <c r="A1035" s="52" t="s">
        <v>471</v>
      </c>
      <c r="G1035" s="52"/>
      <c r="I1035" s="260" t="s">
        <v>840</v>
      </c>
      <c r="O1035" s="52"/>
    </row>
    <row r="1036" spans="1:16" ht="15.75">
      <c r="A1036" s="53" t="s">
        <v>92</v>
      </c>
      <c r="G1036" s="53"/>
      <c r="I1036" s="53" t="s">
        <v>1702</v>
      </c>
      <c r="O1036" s="53"/>
    </row>
    <row r="1037" spans="1:16" ht="16.5">
      <c r="A1037" s="894" t="s">
        <v>462</v>
      </c>
      <c r="B1037" s="894"/>
      <c r="C1037" s="894"/>
      <c r="D1037" s="894"/>
      <c r="E1037" s="894"/>
      <c r="F1037" s="894"/>
      <c r="G1037" s="894"/>
      <c r="H1037" s="894"/>
      <c r="I1037" s="894" t="s">
        <v>1852</v>
      </c>
      <c r="J1037" s="894"/>
      <c r="K1037" s="894"/>
      <c r="L1037" s="894"/>
      <c r="M1037" s="894"/>
      <c r="N1037" s="894"/>
      <c r="O1037" s="894"/>
      <c r="P1037" s="894"/>
    </row>
    <row r="1038" spans="1:16" ht="11.25" customHeight="1" thickBot="1"/>
    <row r="1039" spans="1:16">
      <c r="A1039" s="895" t="s">
        <v>94</v>
      </c>
      <c r="B1039" s="897" t="s">
        <v>95</v>
      </c>
      <c r="C1039" s="897" t="s">
        <v>96</v>
      </c>
      <c r="D1039" s="897" t="s">
        <v>3</v>
      </c>
      <c r="E1039" s="897" t="s">
        <v>97</v>
      </c>
      <c r="F1039" s="897" t="s">
        <v>98</v>
      </c>
      <c r="G1039" s="897" t="s">
        <v>99</v>
      </c>
      <c r="H1039" s="899"/>
      <c r="I1039" s="895" t="s">
        <v>94</v>
      </c>
      <c r="J1039" s="897" t="s">
        <v>95</v>
      </c>
      <c r="K1039" s="897" t="s">
        <v>96</v>
      </c>
      <c r="L1039" s="897" t="s">
        <v>3</v>
      </c>
      <c r="M1039" s="897" t="s">
        <v>97</v>
      </c>
      <c r="N1039" s="897" t="s">
        <v>98</v>
      </c>
      <c r="O1039" s="897" t="s">
        <v>99</v>
      </c>
      <c r="P1039" s="899"/>
    </row>
    <row r="1040" spans="1:16" ht="15.75" thickBot="1">
      <c r="A1040" s="896"/>
      <c r="B1040" s="898"/>
      <c r="C1040" s="898"/>
      <c r="D1040" s="898"/>
      <c r="E1040" s="898"/>
      <c r="F1040" s="898"/>
      <c r="G1040" s="240" t="s">
        <v>100</v>
      </c>
      <c r="H1040" s="182" t="s">
        <v>101</v>
      </c>
      <c r="I1040" s="896"/>
      <c r="J1040" s="898"/>
      <c r="K1040" s="898"/>
      <c r="L1040" s="898"/>
      <c r="M1040" s="898"/>
      <c r="N1040" s="898"/>
      <c r="O1040" s="240" t="s">
        <v>100</v>
      </c>
      <c r="P1040" s="182" t="s">
        <v>101</v>
      </c>
    </row>
    <row r="1041" spans="1:16" ht="15" customHeight="1">
      <c r="A1041" s="881" t="e">
        <f>+A1014+1</f>
        <v>#REF!</v>
      </c>
      <c r="B1041" s="875">
        <v>42345</v>
      </c>
      <c r="C1041" s="877" t="s">
        <v>31</v>
      </c>
      <c r="D1041" s="881" t="s">
        <v>478</v>
      </c>
      <c r="E1041" s="881" t="s">
        <v>115</v>
      </c>
      <c r="F1041" s="883">
        <v>110000</v>
      </c>
      <c r="G1041" s="55">
        <v>719</v>
      </c>
      <c r="H1041" s="78">
        <f>+F1041</f>
        <v>110000</v>
      </c>
      <c r="I1041" s="873" t="s">
        <v>1856</v>
      </c>
      <c r="J1041" s="875">
        <v>43007</v>
      </c>
      <c r="K1041" s="877" t="s">
        <v>1315</v>
      </c>
      <c r="L1041" s="881" t="s">
        <v>1854</v>
      </c>
      <c r="M1041" s="881" t="s">
        <v>148</v>
      </c>
      <c r="N1041" s="883">
        <v>4005550</v>
      </c>
      <c r="O1041" s="55">
        <v>723</v>
      </c>
      <c r="P1041" s="78">
        <v>4005550</v>
      </c>
    </row>
    <row r="1042" spans="1:16" ht="15.75" customHeight="1" thickBot="1">
      <c r="A1042" s="882"/>
      <c r="B1042" s="876"/>
      <c r="C1042" s="878"/>
      <c r="D1042" s="882"/>
      <c r="E1042" s="882"/>
      <c r="F1042" s="884"/>
      <c r="G1042" s="56">
        <v>721</v>
      </c>
      <c r="H1042" s="79">
        <f>+F1041-H1041</f>
        <v>0</v>
      </c>
      <c r="I1042" s="874"/>
      <c r="J1042" s="876"/>
      <c r="K1042" s="878"/>
      <c r="L1042" s="882"/>
      <c r="M1042" s="882"/>
      <c r="N1042" s="884"/>
      <c r="O1042" s="56">
        <v>721</v>
      </c>
      <c r="P1042" s="79">
        <f>+N1041-P1041</f>
        <v>0</v>
      </c>
    </row>
    <row r="1043" spans="1:16" ht="12.75" customHeight="1">
      <c r="A1043" s="881" t="e">
        <f>+A1041+1</f>
        <v>#REF!</v>
      </c>
      <c r="B1043" s="875">
        <v>42345</v>
      </c>
      <c r="C1043" s="881" t="s">
        <v>472</v>
      </c>
      <c r="D1043" s="881" t="s">
        <v>479</v>
      </c>
      <c r="E1043" s="881" t="s">
        <v>115</v>
      </c>
      <c r="F1043" s="883">
        <v>60000</v>
      </c>
      <c r="G1043" s="55">
        <v>719</v>
      </c>
      <c r="H1043" s="78">
        <v>60000</v>
      </c>
      <c r="I1043" s="881">
        <f>+I1041+1</f>
        <v>111</v>
      </c>
      <c r="J1043" s="875">
        <v>43007</v>
      </c>
      <c r="K1043" s="877" t="s">
        <v>1853</v>
      </c>
      <c r="L1043" s="881" t="s">
        <v>1660</v>
      </c>
      <c r="M1043" s="881" t="s">
        <v>145</v>
      </c>
      <c r="N1043" s="883">
        <v>42881706</v>
      </c>
      <c r="O1043" s="55">
        <v>722</v>
      </c>
      <c r="P1043" s="78">
        <v>42881706</v>
      </c>
    </row>
    <row r="1044" spans="1:16" ht="15.75" customHeight="1" thickBot="1">
      <c r="A1044" s="882"/>
      <c r="B1044" s="876"/>
      <c r="C1044" s="882"/>
      <c r="D1044" s="882"/>
      <c r="E1044" s="882"/>
      <c r="F1044" s="884"/>
      <c r="G1044" s="56">
        <v>721</v>
      </c>
      <c r="H1044" s="79">
        <f>+F1043-H1043</f>
        <v>0</v>
      </c>
      <c r="I1044" s="882"/>
      <c r="J1044" s="876"/>
      <c r="K1044" s="878"/>
      <c r="L1044" s="882"/>
      <c r="M1044" s="882"/>
      <c r="N1044" s="884"/>
      <c r="O1044" s="56">
        <v>721</v>
      </c>
      <c r="P1044" s="79">
        <f>+N1043-P1043</f>
        <v>0</v>
      </c>
    </row>
    <row r="1045" spans="1:16" ht="15" customHeight="1">
      <c r="A1045" s="881"/>
      <c r="B1045" s="875"/>
      <c r="C1045" s="877"/>
      <c r="D1045" s="881"/>
      <c r="E1045" s="881"/>
      <c r="F1045" s="883"/>
      <c r="G1045" s="55">
        <v>719</v>
      </c>
      <c r="H1045" s="78"/>
      <c r="I1045" s="881">
        <f>+I1043+1</f>
        <v>112</v>
      </c>
      <c r="J1045" s="875">
        <v>43007</v>
      </c>
      <c r="K1045" s="877" t="s">
        <v>815</v>
      </c>
      <c r="L1045" s="881" t="s">
        <v>1855</v>
      </c>
      <c r="M1045" s="881" t="s">
        <v>775</v>
      </c>
      <c r="N1045" s="883">
        <v>1012500</v>
      </c>
      <c r="O1045" s="55">
        <v>719</v>
      </c>
      <c r="P1045" s="78">
        <v>750000</v>
      </c>
    </row>
    <row r="1046" spans="1:16" ht="15" customHeight="1" thickBot="1">
      <c r="A1046" s="882"/>
      <c r="B1046" s="876"/>
      <c r="C1046" s="878"/>
      <c r="D1046" s="882"/>
      <c r="E1046" s="882"/>
      <c r="F1046" s="884"/>
      <c r="G1046" s="56">
        <v>721</v>
      </c>
      <c r="H1046" s="79">
        <f>+F1045-H1045</f>
        <v>0</v>
      </c>
      <c r="I1046" s="882"/>
      <c r="J1046" s="876"/>
      <c r="K1046" s="878"/>
      <c r="L1046" s="882"/>
      <c r="M1046" s="882"/>
      <c r="N1046" s="884"/>
      <c r="O1046" s="56">
        <v>721</v>
      </c>
      <c r="P1046" s="79">
        <f>+N1045-P1045</f>
        <v>262500</v>
      </c>
    </row>
    <row r="1047" spans="1:16" ht="13.5" customHeight="1">
      <c r="A1047" s="881"/>
      <c r="B1047" s="875"/>
      <c r="C1047" s="877"/>
      <c r="D1047" s="881"/>
      <c r="E1047" s="881"/>
      <c r="F1047" s="883"/>
      <c r="G1047" s="55">
        <v>719</v>
      </c>
      <c r="H1047" s="78"/>
      <c r="I1047" s="881">
        <f>+I1045+1</f>
        <v>113</v>
      </c>
      <c r="J1047" s="875">
        <v>43007</v>
      </c>
      <c r="K1047" s="877" t="s">
        <v>899</v>
      </c>
      <c r="L1047" s="881" t="s">
        <v>1495</v>
      </c>
      <c r="M1047" s="881" t="s">
        <v>165</v>
      </c>
      <c r="N1047" s="883"/>
      <c r="O1047" s="55">
        <v>723</v>
      </c>
      <c r="P1047" s="78"/>
    </row>
    <row r="1048" spans="1:16" ht="14.25" customHeight="1" thickBot="1">
      <c r="A1048" s="882"/>
      <c r="B1048" s="876"/>
      <c r="C1048" s="878"/>
      <c r="D1048" s="882"/>
      <c r="E1048" s="882"/>
      <c r="F1048" s="884"/>
      <c r="G1048" s="56">
        <v>721</v>
      </c>
      <c r="H1048" s="79">
        <f>+F1047-H1047</f>
        <v>0</v>
      </c>
      <c r="I1048" s="882"/>
      <c r="J1048" s="876"/>
      <c r="K1048" s="878"/>
      <c r="L1048" s="882"/>
      <c r="M1048" s="882"/>
      <c r="N1048" s="884"/>
      <c r="O1048" s="56">
        <v>721</v>
      </c>
      <c r="P1048" s="79">
        <f>+N1047-P1047</f>
        <v>0</v>
      </c>
    </row>
    <row r="1049" spans="1:16" ht="16.5" thickBot="1">
      <c r="A1049" s="901" t="s">
        <v>102</v>
      </c>
      <c r="B1049" s="902"/>
      <c r="C1049" s="902"/>
      <c r="D1049" s="902"/>
      <c r="E1049" s="903"/>
      <c r="F1049" s="81">
        <f>SUM(F1041:F1048)</f>
        <v>170000</v>
      </c>
      <c r="I1049" s="901" t="s">
        <v>102</v>
      </c>
      <c r="J1049" s="902"/>
      <c r="K1049" s="902"/>
      <c r="L1049" s="902"/>
      <c r="M1049" s="903"/>
      <c r="N1049" s="81">
        <f>SUM(N1041:N1048)</f>
        <v>47899756</v>
      </c>
    </row>
    <row r="1050" spans="1:16" ht="16.5" thickBot="1">
      <c r="A1050" s="885" t="s">
        <v>103</v>
      </c>
      <c r="B1050" s="886"/>
      <c r="C1050" s="886"/>
      <c r="D1050" s="886"/>
      <c r="E1050" s="887"/>
      <c r="F1050" s="69">
        <f>+F1018</f>
        <v>660513638</v>
      </c>
      <c r="I1050" s="885" t="s">
        <v>103</v>
      </c>
      <c r="J1050" s="886"/>
      <c r="K1050" s="886"/>
      <c r="L1050" s="886"/>
      <c r="M1050" s="887"/>
      <c r="N1050" s="69">
        <f>+N1016</f>
        <v>349583782</v>
      </c>
      <c r="O1050" s="241" t="s">
        <v>561</v>
      </c>
      <c r="P1050" s="242"/>
    </row>
    <row r="1051" spans="1:16" ht="16.5" thickBot="1">
      <c r="A1051" s="888" t="s">
        <v>104</v>
      </c>
      <c r="B1051" s="889"/>
      <c r="C1051" s="889"/>
      <c r="D1051" s="889"/>
      <c r="E1051" s="890"/>
      <c r="F1051" s="183">
        <f>SUM(F1049:F1050)</f>
        <v>660683638</v>
      </c>
      <c r="I1051" s="888" t="s">
        <v>104</v>
      </c>
      <c r="J1051" s="889"/>
      <c r="K1051" s="889"/>
      <c r="L1051" s="889"/>
      <c r="M1051" s="890"/>
      <c r="N1051" s="183">
        <f>SUM(N1049:N1050)</f>
        <v>397483538</v>
      </c>
    </row>
    <row r="1052" spans="1:16" ht="11.25" customHeight="1">
      <c r="A1052" s="61"/>
      <c r="B1052" s="61"/>
      <c r="C1052" s="61"/>
      <c r="D1052" s="61"/>
      <c r="E1052" s="61"/>
      <c r="I1052" s="61"/>
      <c r="J1052" s="61"/>
      <c r="K1052" s="61"/>
      <c r="L1052" s="61"/>
      <c r="M1052" s="61"/>
    </row>
    <row r="1053" spans="1:16">
      <c r="A1053" s="51" t="s">
        <v>480</v>
      </c>
      <c r="I1053" s="51" t="s">
        <v>849</v>
      </c>
    </row>
    <row r="1054" spans="1:16" ht="9.75" customHeight="1">
      <c r="F1054" s="139"/>
      <c r="N1054" s="139"/>
    </row>
    <row r="1055" spans="1:16">
      <c r="A1055" s="50" t="s">
        <v>105</v>
      </c>
      <c r="D1055" s="146"/>
      <c r="F1055" s="139"/>
      <c r="I1055" s="50" t="s">
        <v>105</v>
      </c>
      <c r="L1055" s="146"/>
      <c r="N1055" s="139"/>
    </row>
    <row r="1056" spans="1:16" ht="12" customHeight="1" thickBot="1"/>
    <row r="1057" spans="1:16" ht="15.75" thickBot="1">
      <c r="A1057" s="891" t="s">
        <v>106</v>
      </c>
      <c r="B1057" s="892"/>
      <c r="C1057" s="892"/>
      <c r="D1057" s="893"/>
      <c r="F1057" s="50" t="s">
        <v>288</v>
      </c>
      <c r="I1057" s="891" t="s">
        <v>106</v>
      </c>
      <c r="J1057" s="892"/>
      <c r="K1057" s="892"/>
      <c r="L1057" s="893"/>
      <c r="N1057" s="50" t="s">
        <v>1126</v>
      </c>
    </row>
    <row r="1058" spans="1:16" ht="30.75" thickBot="1">
      <c r="A1058" s="57" t="s">
        <v>100</v>
      </c>
      <c r="B1058" s="58" t="s">
        <v>108</v>
      </c>
      <c r="C1058" s="59" t="s">
        <v>109</v>
      </c>
      <c r="D1058" s="60" t="s">
        <v>110</v>
      </c>
      <c r="I1058" s="57" t="s">
        <v>100</v>
      </c>
      <c r="J1058" s="58" t="s">
        <v>108</v>
      </c>
      <c r="K1058" s="59" t="s">
        <v>109</v>
      </c>
      <c r="L1058" s="60" t="s">
        <v>110</v>
      </c>
    </row>
    <row r="1059" spans="1:16" ht="13.5" customHeight="1">
      <c r="A1059" s="71">
        <v>719</v>
      </c>
      <c r="B1059" s="73" t="e">
        <f>+H1041+H1043+H1045+#REF!</f>
        <v>#REF!</v>
      </c>
      <c r="C1059" s="74" t="e">
        <f>+D1026</f>
        <v>#REF!</v>
      </c>
      <c r="D1059" s="195" t="e">
        <f>+B1059+C1059</f>
        <v>#REF!</v>
      </c>
      <c r="I1059" s="71">
        <v>719</v>
      </c>
      <c r="J1059" s="73">
        <f>+P1045</f>
        <v>750000</v>
      </c>
      <c r="K1059" s="74">
        <f>+L1024</f>
        <v>23630000</v>
      </c>
      <c r="L1059" s="195">
        <f>+J1059+K1059</f>
        <v>24380000</v>
      </c>
    </row>
    <row r="1060" spans="1:16" ht="13.5" customHeight="1">
      <c r="A1060" s="72">
        <v>721</v>
      </c>
      <c r="B1060" s="80">
        <f>+H1042</f>
        <v>0</v>
      </c>
      <c r="C1060" s="74" t="e">
        <f>+D1027</f>
        <v>#REF!</v>
      </c>
      <c r="D1060" s="195" t="e">
        <f>+B1060+C1060</f>
        <v>#REF!</v>
      </c>
      <c r="I1060" s="72">
        <v>721</v>
      </c>
      <c r="J1060" s="80">
        <f>+P1046</f>
        <v>262500</v>
      </c>
      <c r="K1060" s="74">
        <f>+L1025</f>
        <v>4848000</v>
      </c>
      <c r="L1060" s="195">
        <f>+J1060+K1060</f>
        <v>5110500</v>
      </c>
    </row>
    <row r="1061" spans="1:16">
      <c r="A1061" s="72">
        <v>722</v>
      </c>
      <c r="B1061" s="80"/>
      <c r="C1061" s="74">
        <f>+D1028</f>
        <v>231207671</v>
      </c>
      <c r="D1061" s="195">
        <f>+B1061+C1061</f>
        <v>231207671</v>
      </c>
      <c r="I1061" s="72">
        <v>722</v>
      </c>
      <c r="J1061" s="80">
        <f>+P1043</f>
        <v>42881706</v>
      </c>
      <c r="K1061" s="74">
        <f>+L1026</f>
        <v>0</v>
      </c>
      <c r="L1061" s="195">
        <f>+J1061+K1061</f>
        <v>42881706</v>
      </c>
    </row>
    <row r="1062" spans="1:16" ht="14.25" customHeight="1">
      <c r="A1062" s="72">
        <v>723</v>
      </c>
      <c r="B1062" s="80"/>
      <c r="C1062" s="74">
        <f>+D1029</f>
        <v>323193545</v>
      </c>
      <c r="D1062" s="195">
        <f>+B1062+C1062</f>
        <v>323193545</v>
      </c>
      <c r="F1062" s="174" t="s">
        <v>23</v>
      </c>
      <c r="G1062" s="175"/>
      <c r="I1062" s="72">
        <v>723</v>
      </c>
      <c r="J1062" s="80">
        <f>+P1041</f>
        <v>4005550</v>
      </c>
      <c r="K1062" s="74">
        <f>+L1027</f>
        <v>321105782</v>
      </c>
      <c r="L1062" s="195">
        <f>+J1062+K1062</f>
        <v>325111332</v>
      </c>
      <c r="N1062" s="918" t="s">
        <v>1857</v>
      </c>
      <c r="O1062" s="918"/>
      <c r="P1062" s="918"/>
    </row>
    <row r="1063" spans="1:16" ht="13.5" customHeight="1" thickBot="1">
      <c r="A1063" s="164" t="s">
        <v>181</v>
      </c>
      <c r="B1063" s="165"/>
      <c r="C1063" s="74" t="e">
        <f>+#REF!</f>
        <v>#REF!</v>
      </c>
      <c r="D1063" s="196" t="e">
        <f>+B1063+C1063</f>
        <v>#REF!</v>
      </c>
      <c r="F1063" s="52"/>
      <c r="I1063" s="164" t="s">
        <v>181</v>
      </c>
      <c r="J1063" s="165"/>
      <c r="K1063" s="74">
        <f>+L1028</f>
        <v>0</v>
      </c>
      <c r="L1063" s="196">
        <f>+J1063+K1063</f>
        <v>0</v>
      </c>
      <c r="N1063" s="52"/>
    </row>
    <row r="1064" spans="1:16" ht="16.5" thickBot="1">
      <c r="A1064" s="169"/>
      <c r="B1064" s="170" t="e">
        <f>SUM(B1059:B1063)</f>
        <v>#REF!</v>
      </c>
      <c r="C1064" s="171" t="e">
        <f>SUM(C1059:C1063)</f>
        <v>#REF!</v>
      </c>
      <c r="D1064" s="172" t="e">
        <f>SUM(D1059:D1063)</f>
        <v>#REF!</v>
      </c>
      <c r="I1064" s="169"/>
      <c r="J1064" s="197">
        <f>SUM(J1059:J1063)</f>
        <v>47899756</v>
      </c>
      <c r="K1064" s="197">
        <f>SUM(K1059:K1063)</f>
        <v>349583782</v>
      </c>
      <c r="L1064" s="198">
        <f>SUM(L1059:L1063)</f>
        <v>397483538</v>
      </c>
    </row>
    <row r="1065" spans="1:16" ht="16.5">
      <c r="A1065" s="49" t="s">
        <v>88</v>
      </c>
      <c r="B1065" s="50"/>
      <c r="I1065" s="49" t="s">
        <v>88</v>
      </c>
      <c r="J1065" s="50"/>
    </row>
    <row r="1066" spans="1:16">
      <c r="A1066" s="51" t="s">
        <v>89</v>
      </c>
      <c r="I1066" s="51" t="s">
        <v>89</v>
      </c>
    </row>
    <row r="1067" spans="1:16">
      <c r="A1067" s="51" t="s">
        <v>90</v>
      </c>
      <c r="I1067" s="51" t="s">
        <v>90</v>
      </c>
    </row>
    <row r="1068" spans="1:16">
      <c r="A1068" s="51" t="s">
        <v>91</v>
      </c>
      <c r="I1068" s="51" t="s">
        <v>91</v>
      </c>
    </row>
    <row r="1069" spans="1:16" ht="12.75" customHeight="1">
      <c r="A1069" s="50"/>
      <c r="B1069" s="50"/>
      <c r="I1069" s="50"/>
      <c r="J1069" s="50"/>
    </row>
    <row r="1070" spans="1:16" ht="16.5">
      <c r="A1070" s="52" t="s">
        <v>473</v>
      </c>
      <c r="G1070" s="52"/>
      <c r="I1070" s="260" t="s">
        <v>841</v>
      </c>
      <c r="O1070" s="52"/>
    </row>
    <row r="1071" spans="1:16" ht="15.75">
      <c r="A1071" s="53" t="s">
        <v>92</v>
      </c>
      <c r="G1071" s="53"/>
      <c r="I1071" s="53" t="s">
        <v>1702</v>
      </c>
      <c r="O1071" s="53"/>
    </row>
    <row r="1072" spans="1:16" ht="16.5">
      <c r="A1072" s="894" t="s">
        <v>462</v>
      </c>
      <c r="B1072" s="894"/>
      <c r="C1072" s="894"/>
      <c r="D1072" s="894"/>
      <c r="E1072" s="894"/>
      <c r="F1072" s="894"/>
      <c r="G1072" s="894"/>
      <c r="H1072" s="894"/>
      <c r="I1072" s="894" t="s">
        <v>261</v>
      </c>
      <c r="J1072" s="894"/>
      <c r="K1072" s="894"/>
      <c r="L1072" s="894"/>
      <c r="M1072" s="894"/>
      <c r="N1072" s="894"/>
      <c r="O1072" s="894"/>
      <c r="P1072" s="894"/>
    </row>
    <row r="1073" spans="1:16" ht="15.75" thickBot="1"/>
    <row r="1074" spans="1:16">
      <c r="A1074" s="895" t="s">
        <v>94</v>
      </c>
      <c r="B1074" s="897" t="s">
        <v>95</v>
      </c>
      <c r="C1074" s="897" t="s">
        <v>96</v>
      </c>
      <c r="D1074" s="897" t="s">
        <v>3</v>
      </c>
      <c r="E1074" s="897" t="s">
        <v>97</v>
      </c>
      <c r="F1074" s="897" t="s">
        <v>98</v>
      </c>
      <c r="G1074" s="897" t="s">
        <v>99</v>
      </c>
      <c r="H1074" s="899"/>
      <c r="I1074" s="895" t="s">
        <v>94</v>
      </c>
      <c r="J1074" s="897" t="s">
        <v>95</v>
      </c>
      <c r="K1074" s="897" t="s">
        <v>96</v>
      </c>
      <c r="L1074" s="897" t="s">
        <v>3</v>
      </c>
      <c r="M1074" s="897" t="s">
        <v>97</v>
      </c>
      <c r="N1074" s="897" t="s">
        <v>98</v>
      </c>
      <c r="O1074" s="897" t="s">
        <v>99</v>
      </c>
      <c r="P1074" s="899"/>
    </row>
    <row r="1075" spans="1:16" ht="15.75" thickBot="1">
      <c r="A1075" s="896"/>
      <c r="B1075" s="898"/>
      <c r="C1075" s="898"/>
      <c r="D1075" s="898"/>
      <c r="E1075" s="898"/>
      <c r="F1075" s="898"/>
      <c r="G1075" s="240" t="s">
        <v>100</v>
      </c>
      <c r="H1075" s="182" t="s">
        <v>101</v>
      </c>
      <c r="I1075" s="896"/>
      <c r="J1075" s="898"/>
      <c r="K1075" s="898"/>
      <c r="L1075" s="898"/>
      <c r="M1075" s="898"/>
      <c r="N1075" s="898"/>
      <c r="O1075" s="240" t="s">
        <v>100</v>
      </c>
      <c r="P1075" s="182" t="s">
        <v>101</v>
      </c>
    </row>
    <row r="1076" spans="1:16" ht="15" customHeight="1">
      <c r="A1076" s="881" t="e">
        <f>+A1043+1</f>
        <v>#REF!</v>
      </c>
      <c r="B1076" s="875">
        <v>42345</v>
      </c>
      <c r="C1076" s="877" t="s">
        <v>267</v>
      </c>
      <c r="D1076" s="881" t="s">
        <v>481</v>
      </c>
      <c r="E1076" s="881" t="s">
        <v>148</v>
      </c>
      <c r="F1076" s="883">
        <v>182000</v>
      </c>
      <c r="G1076" s="55">
        <v>719</v>
      </c>
      <c r="H1076" s="78">
        <v>130000</v>
      </c>
      <c r="I1076" s="873" t="s">
        <v>1604</v>
      </c>
      <c r="J1076" s="875">
        <v>43817</v>
      </c>
      <c r="K1076" s="881" t="s">
        <v>815</v>
      </c>
      <c r="L1076" s="881" t="s">
        <v>1858</v>
      </c>
      <c r="M1076" s="881" t="s">
        <v>115</v>
      </c>
      <c r="N1076" s="883">
        <v>945000</v>
      </c>
      <c r="O1076" s="55">
        <v>719</v>
      </c>
      <c r="P1076" s="78">
        <v>700000</v>
      </c>
    </row>
    <row r="1077" spans="1:16" ht="13.5" customHeight="1" thickBot="1">
      <c r="A1077" s="882"/>
      <c r="B1077" s="876"/>
      <c r="C1077" s="878"/>
      <c r="D1077" s="882"/>
      <c r="E1077" s="882"/>
      <c r="F1077" s="884"/>
      <c r="G1077" s="56">
        <v>721</v>
      </c>
      <c r="H1077" s="79">
        <f>+F1076-H1076</f>
        <v>52000</v>
      </c>
      <c r="I1077" s="874"/>
      <c r="J1077" s="876"/>
      <c r="K1077" s="882"/>
      <c r="L1077" s="882"/>
      <c r="M1077" s="882"/>
      <c r="N1077" s="884"/>
      <c r="O1077" s="56">
        <v>721</v>
      </c>
      <c r="P1077" s="79">
        <f>+N1076-P1076</f>
        <v>245000</v>
      </c>
    </row>
    <row r="1078" spans="1:16" ht="12.75" customHeight="1">
      <c r="A1078" s="881" t="e">
        <f>+A1076+1</f>
        <v>#REF!</v>
      </c>
      <c r="B1078" s="875">
        <v>42345</v>
      </c>
      <c r="C1078" s="881" t="s">
        <v>28</v>
      </c>
      <c r="D1078" s="881" t="s">
        <v>482</v>
      </c>
      <c r="E1078" s="881" t="s">
        <v>148</v>
      </c>
      <c r="F1078" s="883">
        <v>266000</v>
      </c>
      <c r="G1078" s="55">
        <v>719</v>
      </c>
      <c r="H1078" s="78">
        <v>190000</v>
      </c>
      <c r="I1078" s="881">
        <f>+I1076+1</f>
        <v>115</v>
      </c>
      <c r="J1078" s="875">
        <v>43817</v>
      </c>
      <c r="K1078" s="910" t="s">
        <v>1864</v>
      </c>
      <c r="L1078" s="881" t="s">
        <v>1859</v>
      </c>
      <c r="M1078" s="881" t="s">
        <v>148</v>
      </c>
      <c r="N1078" s="883">
        <v>500000</v>
      </c>
      <c r="O1078" s="55">
        <v>719</v>
      </c>
      <c r="P1078" s="78">
        <v>500000</v>
      </c>
    </row>
    <row r="1079" spans="1:16" ht="13.5" customHeight="1" thickBot="1">
      <c r="A1079" s="882"/>
      <c r="B1079" s="876"/>
      <c r="C1079" s="882"/>
      <c r="D1079" s="882"/>
      <c r="E1079" s="882"/>
      <c r="F1079" s="884"/>
      <c r="G1079" s="56">
        <v>721</v>
      </c>
      <c r="H1079" s="79">
        <f>+F1078-H1078</f>
        <v>76000</v>
      </c>
      <c r="I1079" s="882"/>
      <c r="J1079" s="876"/>
      <c r="K1079" s="911"/>
      <c r="L1079" s="882"/>
      <c r="M1079" s="882"/>
      <c r="N1079" s="884"/>
      <c r="O1079" s="56">
        <v>721</v>
      </c>
      <c r="P1079" s="79">
        <f>+N1078-P1078</f>
        <v>0</v>
      </c>
    </row>
    <row r="1080" spans="1:16" ht="13.5" customHeight="1">
      <c r="A1080" s="881" t="e">
        <f>+A1078+1</f>
        <v>#REF!</v>
      </c>
      <c r="B1080" s="875">
        <v>42345</v>
      </c>
      <c r="C1080" s="877" t="s">
        <v>32</v>
      </c>
      <c r="D1080" s="881" t="s">
        <v>481</v>
      </c>
      <c r="E1080" s="881" t="s">
        <v>148</v>
      </c>
      <c r="F1080" s="883">
        <v>70000</v>
      </c>
      <c r="G1080" s="55">
        <v>719</v>
      </c>
      <c r="H1080" s="78">
        <v>50000</v>
      </c>
      <c r="I1080" s="881">
        <f>+I1078+1</f>
        <v>116</v>
      </c>
      <c r="J1080" s="875">
        <v>43817</v>
      </c>
      <c r="K1080" s="877" t="s">
        <v>111</v>
      </c>
      <c r="L1080" s="881" t="s">
        <v>1860</v>
      </c>
      <c r="M1080" s="881" t="s">
        <v>148</v>
      </c>
      <c r="N1080" s="883">
        <v>580000</v>
      </c>
      <c r="O1080" s="55">
        <v>719</v>
      </c>
      <c r="P1080" s="78">
        <v>580000</v>
      </c>
    </row>
    <row r="1081" spans="1:16" ht="12.75" customHeight="1" thickBot="1">
      <c r="A1081" s="882"/>
      <c r="B1081" s="876"/>
      <c r="C1081" s="878"/>
      <c r="D1081" s="882"/>
      <c r="E1081" s="882"/>
      <c r="F1081" s="884"/>
      <c r="G1081" s="56">
        <v>721</v>
      </c>
      <c r="H1081" s="79">
        <f>+F1080-H1080</f>
        <v>20000</v>
      </c>
      <c r="I1081" s="882"/>
      <c r="J1081" s="876"/>
      <c r="K1081" s="878"/>
      <c r="L1081" s="882"/>
      <c r="M1081" s="882"/>
      <c r="N1081" s="884"/>
      <c r="O1081" s="56">
        <v>721</v>
      </c>
      <c r="P1081" s="79">
        <f>+N1080-P1080</f>
        <v>0</v>
      </c>
    </row>
    <row r="1082" spans="1:16" ht="12.75" customHeight="1">
      <c r="A1082" s="251"/>
      <c r="B1082" s="252"/>
      <c r="C1082" s="253"/>
      <c r="D1082" s="251"/>
      <c r="E1082" s="251"/>
      <c r="F1082" s="254"/>
      <c r="G1082" s="255"/>
      <c r="H1082" s="256"/>
      <c r="I1082" s="881">
        <f>+I1080+1</f>
        <v>117</v>
      </c>
      <c r="J1082" s="875">
        <v>43817</v>
      </c>
      <c r="K1082" s="877" t="s">
        <v>267</v>
      </c>
      <c r="L1082" s="881" t="s">
        <v>1861</v>
      </c>
      <c r="M1082" s="881" t="s">
        <v>148</v>
      </c>
      <c r="N1082" s="883">
        <v>440000</v>
      </c>
      <c r="O1082" s="55">
        <v>719</v>
      </c>
      <c r="P1082" s="78">
        <v>440000</v>
      </c>
    </row>
    <row r="1083" spans="1:16" ht="12.75" customHeight="1" thickBot="1">
      <c r="A1083" s="251"/>
      <c r="B1083" s="252"/>
      <c r="C1083" s="253"/>
      <c r="D1083" s="251"/>
      <c r="E1083" s="251"/>
      <c r="F1083" s="254"/>
      <c r="G1083" s="255"/>
      <c r="H1083" s="256"/>
      <c r="I1083" s="882"/>
      <c r="J1083" s="876"/>
      <c r="K1083" s="878"/>
      <c r="L1083" s="882"/>
      <c r="M1083" s="882"/>
      <c r="N1083" s="884"/>
      <c r="O1083" s="56">
        <v>721</v>
      </c>
      <c r="P1083" s="79">
        <f>+N1082-P1082</f>
        <v>0</v>
      </c>
    </row>
    <row r="1084" spans="1:16" ht="12.75" customHeight="1">
      <c r="A1084" s="251"/>
      <c r="B1084" s="252"/>
      <c r="C1084" s="253"/>
      <c r="D1084" s="251"/>
      <c r="E1084" s="251"/>
      <c r="F1084" s="254"/>
      <c r="G1084" s="255"/>
      <c r="H1084" s="256"/>
      <c r="I1084" s="881">
        <f>+I1082+1</f>
        <v>118</v>
      </c>
      <c r="J1084" s="875">
        <v>43817</v>
      </c>
      <c r="K1084" s="877" t="s">
        <v>1079</v>
      </c>
      <c r="L1084" s="881" t="s">
        <v>1863</v>
      </c>
      <c r="M1084" s="881" t="s">
        <v>148</v>
      </c>
      <c r="N1084" s="883">
        <v>3280000</v>
      </c>
      <c r="O1084" s="55">
        <v>719</v>
      </c>
      <c r="P1084" s="78">
        <v>3280000</v>
      </c>
    </row>
    <row r="1085" spans="1:16" ht="12.75" customHeight="1" thickBot="1">
      <c r="A1085" s="251"/>
      <c r="B1085" s="252"/>
      <c r="C1085" s="253"/>
      <c r="D1085" s="251"/>
      <c r="E1085" s="251"/>
      <c r="F1085" s="254"/>
      <c r="G1085" s="255"/>
      <c r="H1085" s="256"/>
      <c r="I1085" s="882"/>
      <c r="J1085" s="876"/>
      <c r="K1085" s="878"/>
      <c r="L1085" s="882"/>
      <c r="M1085" s="882"/>
      <c r="N1085" s="884"/>
      <c r="O1085" s="56">
        <v>721</v>
      </c>
      <c r="P1085" s="79">
        <f>+N1084-P1084</f>
        <v>0</v>
      </c>
    </row>
    <row r="1086" spans="1:16" ht="12.75" customHeight="1">
      <c r="A1086" s="251"/>
      <c r="B1086" s="252"/>
      <c r="C1086" s="253"/>
      <c r="D1086" s="251"/>
      <c r="E1086" s="251"/>
      <c r="F1086" s="254"/>
      <c r="G1086" s="255"/>
      <c r="H1086" s="256"/>
      <c r="I1086" s="881">
        <f>+I1084+1</f>
        <v>119</v>
      </c>
      <c r="J1086" s="875">
        <v>43817</v>
      </c>
      <c r="K1086" s="877" t="s">
        <v>1315</v>
      </c>
      <c r="L1086" s="881" t="s">
        <v>1858</v>
      </c>
      <c r="M1086" s="881" t="s">
        <v>148</v>
      </c>
      <c r="N1086" s="883">
        <v>1803150</v>
      </c>
      <c r="O1086" s="55">
        <v>723</v>
      </c>
      <c r="P1086" s="78">
        <v>1803150</v>
      </c>
    </row>
    <row r="1087" spans="1:16" ht="12.75" customHeight="1" thickBot="1">
      <c r="A1087" s="251"/>
      <c r="B1087" s="252"/>
      <c r="C1087" s="253"/>
      <c r="D1087" s="251"/>
      <c r="E1087" s="251"/>
      <c r="F1087" s="254"/>
      <c r="G1087" s="255"/>
      <c r="H1087" s="256"/>
      <c r="I1087" s="882"/>
      <c r="J1087" s="876"/>
      <c r="K1087" s="878"/>
      <c r="L1087" s="882"/>
      <c r="M1087" s="882"/>
      <c r="N1087" s="884"/>
      <c r="O1087" s="56">
        <v>721</v>
      </c>
      <c r="P1087" s="79">
        <f>+N1086-P1086</f>
        <v>0</v>
      </c>
    </row>
    <row r="1088" spans="1:16" ht="16.5" thickBot="1">
      <c r="A1088" s="901" t="s">
        <v>102</v>
      </c>
      <c r="B1088" s="902"/>
      <c r="C1088" s="902"/>
      <c r="D1088" s="902"/>
      <c r="E1088" s="903"/>
      <c r="F1088" s="81">
        <f>SUM(F1076:F1087)</f>
        <v>518000</v>
      </c>
      <c r="I1088" s="901" t="s">
        <v>102</v>
      </c>
      <c r="J1088" s="902"/>
      <c r="K1088" s="902"/>
      <c r="L1088" s="902"/>
      <c r="M1088" s="903"/>
      <c r="N1088" s="81">
        <f>SUM(N1076:N1087)</f>
        <v>7548150</v>
      </c>
    </row>
    <row r="1089" spans="1:16" ht="16.5" thickBot="1">
      <c r="A1089" s="885" t="s">
        <v>103</v>
      </c>
      <c r="B1089" s="886"/>
      <c r="C1089" s="886"/>
      <c r="D1089" s="886"/>
      <c r="E1089" s="887"/>
      <c r="F1089" s="69">
        <f>+F1051</f>
        <v>660683638</v>
      </c>
      <c r="I1089" s="885" t="s">
        <v>103</v>
      </c>
      <c r="J1089" s="886"/>
      <c r="K1089" s="886"/>
      <c r="L1089" s="886"/>
      <c r="M1089" s="887"/>
      <c r="N1089" s="69">
        <f>+N1051</f>
        <v>397483538</v>
      </c>
      <c r="O1089" s="241" t="s">
        <v>561</v>
      </c>
      <c r="P1089" s="242"/>
    </row>
    <row r="1090" spans="1:16" ht="16.5" thickBot="1">
      <c r="A1090" s="888" t="s">
        <v>104</v>
      </c>
      <c r="B1090" s="889"/>
      <c r="C1090" s="889"/>
      <c r="D1090" s="889"/>
      <c r="E1090" s="890"/>
      <c r="F1090" s="183">
        <f>SUM(F1088:F1089)</f>
        <v>661201638</v>
      </c>
      <c r="I1090" s="888" t="s">
        <v>104</v>
      </c>
      <c r="J1090" s="889"/>
      <c r="K1090" s="889"/>
      <c r="L1090" s="889"/>
      <c r="M1090" s="890"/>
      <c r="N1090" s="183">
        <f>SUM(N1088:N1089)</f>
        <v>405031688</v>
      </c>
    </row>
    <row r="1091" spans="1:16" ht="12.75" customHeight="1">
      <c r="A1091" s="61"/>
      <c r="B1091" s="61"/>
      <c r="C1091" s="61"/>
      <c r="D1091" s="61"/>
      <c r="E1091" s="61"/>
      <c r="I1091" s="61"/>
      <c r="J1091" s="61"/>
      <c r="K1091" s="61"/>
      <c r="L1091" s="61"/>
      <c r="M1091" s="61"/>
    </row>
    <row r="1092" spans="1:16">
      <c r="A1092" s="51" t="s">
        <v>484</v>
      </c>
      <c r="I1092" s="51" t="s">
        <v>1865</v>
      </c>
    </row>
    <row r="1093" spans="1:16" ht="7.5" customHeight="1">
      <c r="F1093" s="139"/>
      <c r="N1093" s="139"/>
    </row>
    <row r="1094" spans="1:16">
      <c r="A1094" s="50" t="s">
        <v>105</v>
      </c>
      <c r="D1094" s="146"/>
      <c r="F1094" s="139"/>
      <c r="I1094" s="50" t="s">
        <v>105</v>
      </c>
      <c r="L1094" s="146"/>
      <c r="N1094" s="139"/>
    </row>
    <row r="1095" spans="1:16" ht="13.5" customHeight="1" thickBot="1"/>
    <row r="1096" spans="1:16" ht="15.75" thickBot="1">
      <c r="A1096" s="891" t="s">
        <v>106</v>
      </c>
      <c r="B1096" s="892"/>
      <c r="C1096" s="892"/>
      <c r="D1096" s="893"/>
      <c r="F1096" s="50" t="s">
        <v>288</v>
      </c>
      <c r="I1096" s="891" t="s">
        <v>106</v>
      </c>
      <c r="J1096" s="892"/>
      <c r="K1096" s="892"/>
      <c r="L1096" s="893"/>
      <c r="N1096" s="925" t="s">
        <v>288</v>
      </c>
      <c r="O1096" s="925"/>
      <c r="P1096" s="925"/>
    </row>
    <row r="1097" spans="1:16" ht="30.75" thickBot="1">
      <c r="A1097" s="57" t="s">
        <v>100</v>
      </c>
      <c r="B1097" s="58" t="s">
        <v>108</v>
      </c>
      <c r="C1097" s="59" t="s">
        <v>109</v>
      </c>
      <c r="D1097" s="60" t="s">
        <v>110</v>
      </c>
      <c r="I1097" s="57" t="s">
        <v>100</v>
      </c>
      <c r="J1097" s="58" t="s">
        <v>108</v>
      </c>
      <c r="K1097" s="59" t="s">
        <v>109</v>
      </c>
      <c r="L1097" s="60" t="s">
        <v>110</v>
      </c>
    </row>
    <row r="1098" spans="1:16">
      <c r="A1098" s="71">
        <v>719</v>
      </c>
      <c r="B1098" s="73" t="e">
        <f>+H1076+H1078+H1080+#REF!+#REF!</f>
        <v>#REF!</v>
      </c>
      <c r="C1098" s="74" t="e">
        <f>+D1059</f>
        <v>#REF!</v>
      </c>
      <c r="D1098" s="195" t="e">
        <f>+B1098+C1098</f>
        <v>#REF!</v>
      </c>
      <c r="I1098" s="71">
        <v>719</v>
      </c>
      <c r="J1098" s="73">
        <f>+P1076+P1080+P1082+P1078+P1084</f>
        <v>5500000</v>
      </c>
      <c r="K1098" s="74">
        <f>+L1059</f>
        <v>24380000</v>
      </c>
      <c r="L1098" s="195">
        <f>+J1098+K1098</f>
        <v>29880000</v>
      </c>
    </row>
    <row r="1099" spans="1:16" ht="12.75" customHeight="1">
      <c r="A1099" s="72">
        <v>721</v>
      </c>
      <c r="B1099" s="80" t="e">
        <f>+#REF!+#REF!+H1081+H1079+H1077</f>
        <v>#REF!</v>
      </c>
      <c r="C1099" s="74" t="e">
        <f>+D1060</f>
        <v>#REF!</v>
      </c>
      <c r="D1099" s="195" t="e">
        <f>+B1099+C1099</f>
        <v>#REF!</v>
      </c>
      <c r="I1099" s="72">
        <v>721</v>
      </c>
      <c r="J1099" s="80">
        <f>+P1077+P1079+P1081</f>
        <v>245000</v>
      </c>
      <c r="K1099" s="74">
        <f>+L1060</f>
        <v>5110500</v>
      </c>
      <c r="L1099" s="195">
        <f>+J1099+K1099</f>
        <v>5355500</v>
      </c>
    </row>
    <row r="1100" spans="1:16" ht="13.5" customHeight="1">
      <c r="A1100" s="72">
        <v>722</v>
      </c>
      <c r="B1100" s="80"/>
      <c r="C1100" s="74">
        <f>+D1061</f>
        <v>231207671</v>
      </c>
      <c r="D1100" s="195">
        <f>+B1100+C1100</f>
        <v>231207671</v>
      </c>
      <c r="I1100" s="72">
        <v>722</v>
      </c>
      <c r="J1100" s="80"/>
      <c r="K1100" s="74">
        <f>+L1061</f>
        <v>42881706</v>
      </c>
      <c r="L1100" s="195">
        <f>+J1100+K1100</f>
        <v>42881706</v>
      </c>
    </row>
    <row r="1101" spans="1:16" ht="13.5" customHeight="1">
      <c r="A1101" s="72">
        <v>723</v>
      </c>
      <c r="B1101" s="80"/>
      <c r="C1101" s="74">
        <f>+D1062</f>
        <v>323193545</v>
      </c>
      <c r="D1101" s="195">
        <f>+B1101+C1101</f>
        <v>323193545</v>
      </c>
      <c r="F1101" s="174" t="s">
        <v>23</v>
      </c>
      <c r="G1101" s="175"/>
      <c r="I1101" s="72">
        <v>723</v>
      </c>
      <c r="J1101" s="80">
        <f>+P1086</f>
        <v>1803150</v>
      </c>
      <c r="K1101" s="74">
        <f>+L1062</f>
        <v>325111332</v>
      </c>
      <c r="L1101" s="195">
        <f>+J1101+K1101</f>
        <v>326914482</v>
      </c>
      <c r="N1101" s="918" t="s">
        <v>1862</v>
      </c>
      <c r="O1101" s="918"/>
      <c r="P1101" s="918"/>
    </row>
    <row r="1102" spans="1:16" ht="14.25" customHeight="1" thickBot="1">
      <c r="A1102" s="164" t="s">
        <v>181</v>
      </c>
      <c r="B1102" s="165"/>
      <c r="C1102" s="74" t="e">
        <f>+D1063</f>
        <v>#REF!</v>
      </c>
      <c r="D1102" s="196" t="e">
        <f>+B1102+C1102</f>
        <v>#REF!</v>
      </c>
      <c r="F1102" s="52"/>
      <c r="I1102" s="164" t="s">
        <v>181</v>
      </c>
      <c r="J1102" s="165"/>
      <c r="K1102" s="74">
        <f>+L1063</f>
        <v>0</v>
      </c>
      <c r="L1102" s="196">
        <f>+J1102+K1102</f>
        <v>0</v>
      </c>
      <c r="N1102" s="52"/>
    </row>
    <row r="1103" spans="1:16" ht="16.5" thickBot="1">
      <c r="A1103" s="169"/>
      <c r="B1103" s="170" t="e">
        <f>SUM(B1098:B1102)</f>
        <v>#REF!</v>
      </c>
      <c r="C1103" s="171" t="e">
        <f>SUM(C1098:C1102)</f>
        <v>#REF!</v>
      </c>
      <c r="D1103" s="172" t="e">
        <f>SUM(D1098:D1102)</f>
        <v>#REF!</v>
      </c>
      <c r="I1103" s="169"/>
      <c r="J1103" s="197">
        <f>SUM(J1098:J1102)</f>
        <v>7548150</v>
      </c>
      <c r="K1103" s="197">
        <f>SUM(K1098:K1102)</f>
        <v>397483538</v>
      </c>
      <c r="L1103" s="198">
        <f>SUM(L1098:L1102)</f>
        <v>405031688</v>
      </c>
    </row>
    <row r="1104" spans="1:16" ht="16.5">
      <c r="A1104" s="49" t="s">
        <v>88</v>
      </c>
      <c r="B1104" s="50"/>
      <c r="I1104" s="49" t="s">
        <v>88</v>
      </c>
      <c r="J1104" s="50"/>
    </row>
    <row r="1105" spans="1:16">
      <c r="A1105" s="51" t="s">
        <v>89</v>
      </c>
      <c r="I1105" s="51" t="s">
        <v>89</v>
      </c>
    </row>
    <row r="1106" spans="1:16">
      <c r="A1106" s="51" t="s">
        <v>90</v>
      </c>
      <c r="I1106" s="51" t="s">
        <v>90</v>
      </c>
    </row>
    <row r="1107" spans="1:16">
      <c r="A1107" s="51" t="s">
        <v>91</v>
      </c>
      <c r="I1107" s="51" t="s">
        <v>91</v>
      </c>
    </row>
    <row r="1108" spans="1:16" ht="10.5" customHeight="1">
      <c r="A1108" s="50"/>
      <c r="B1108" s="50"/>
      <c r="I1108" s="50"/>
      <c r="J1108" s="50"/>
    </row>
    <row r="1109" spans="1:16" ht="16.5">
      <c r="A1109" s="52" t="s">
        <v>486</v>
      </c>
      <c r="G1109" s="52"/>
      <c r="I1109" s="260" t="s">
        <v>855</v>
      </c>
      <c r="O1109" s="52"/>
    </row>
    <row r="1110" spans="1:16" ht="15.75">
      <c r="A1110" s="53" t="s">
        <v>92</v>
      </c>
      <c r="G1110" s="53"/>
      <c r="I1110" s="53" t="s">
        <v>1333</v>
      </c>
      <c r="O1110" s="53"/>
    </row>
    <row r="1111" spans="1:16" ht="16.5">
      <c r="A1111" s="894" t="s">
        <v>485</v>
      </c>
      <c r="B1111" s="894"/>
      <c r="C1111" s="894"/>
      <c r="D1111" s="894"/>
      <c r="E1111" s="894"/>
      <c r="F1111" s="894"/>
      <c r="G1111" s="894"/>
      <c r="H1111" s="894"/>
      <c r="I1111" s="894" t="s">
        <v>1546</v>
      </c>
      <c r="J1111" s="894"/>
      <c r="K1111" s="894"/>
      <c r="L1111" s="894"/>
      <c r="M1111" s="894"/>
      <c r="N1111" s="894"/>
      <c r="O1111" s="894"/>
      <c r="P1111" s="894"/>
    </row>
    <row r="1112" spans="1:16" ht="15.75" thickBot="1"/>
    <row r="1113" spans="1:16">
      <c r="A1113" s="895" t="s">
        <v>94</v>
      </c>
      <c r="B1113" s="897" t="s">
        <v>95</v>
      </c>
      <c r="C1113" s="897" t="s">
        <v>96</v>
      </c>
      <c r="D1113" s="897" t="s">
        <v>3</v>
      </c>
      <c r="E1113" s="897" t="s">
        <v>97</v>
      </c>
      <c r="F1113" s="897" t="s">
        <v>98</v>
      </c>
      <c r="G1113" s="897" t="s">
        <v>99</v>
      </c>
      <c r="H1113" s="899"/>
      <c r="I1113" s="895" t="s">
        <v>94</v>
      </c>
      <c r="J1113" s="897" t="s">
        <v>95</v>
      </c>
      <c r="K1113" s="897" t="s">
        <v>96</v>
      </c>
      <c r="L1113" s="897" t="s">
        <v>3</v>
      </c>
      <c r="M1113" s="897" t="s">
        <v>97</v>
      </c>
      <c r="N1113" s="897" t="s">
        <v>98</v>
      </c>
      <c r="O1113" s="897" t="s">
        <v>99</v>
      </c>
      <c r="P1113" s="899"/>
    </row>
    <row r="1114" spans="1:16" ht="15.75" thickBot="1">
      <c r="A1114" s="896"/>
      <c r="B1114" s="898"/>
      <c r="C1114" s="898"/>
      <c r="D1114" s="898"/>
      <c r="E1114" s="898"/>
      <c r="F1114" s="898"/>
      <c r="G1114" s="240" t="s">
        <v>100</v>
      </c>
      <c r="H1114" s="182" t="s">
        <v>101</v>
      </c>
      <c r="I1114" s="896"/>
      <c r="J1114" s="898"/>
      <c r="K1114" s="898"/>
      <c r="L1114" s="898"/>
      <c r="M1114" s="898"/>
      <c r="N1114" s="898"/>
      <c r="O1114" s="240" t="s">
        <v>100</v>
      </c>
      <c r="P1114" s="182" t="s">
        <v>101</v>
      </c>
    </row>
    <row r="1115" spans="1:16" ht="13.5" customHeight="1">
      <c r="A1115" s="919">
        <v>1</v>
      </c>
      <c r="B1115" s="875">
        <v>42345</v>
      </c>
      <c r="C1115" s="877" t="s">
        <v>487</v>
      </c>
      <c r="D1115" s="877" t="s">
        <v>251</v>
      </c>
      <c r="E1115" s="881" t="s">
        <v>145</v>
      </c>
      <c r="F1115" s="883">
        <v>-4280256</v>
      </c>
      <c r="G1115" s="55">
        <v>719</v>
      </c>
      <c r="H1115" s="78"/>
      <c r="I1115" s="873" t="s">
        <v>1542</v>
      </c>
      <c r="J1115" s="875">
        <v>43062</v>
      </c>
      <c r="K1115" s="881" t="s">
        <v>1544</v>
      </c>
      <c r="L1115" s="881" t="s">
        <v>1548</v>
      </c>
      <c r="M1115" s="881" t="s">
        <v>115</v>
      </c>
      <c r="N1115" s="883">
        <v>250000</v>
      </c>
      <c r="O1115" s="55">
        <v>719</v>
      </c>
      <c r="P1115" s="78">
        <f>+N1115</f>
        <v>250000</v>
      </c>
    </row>
    <row r="1116" spans="1:16" ht="12.75" customHeight="1" thickBot="1">
      <c r="A1116" s="920"/>
      <c r="B1116" s="876"/>
      <c r="C1116" s="878"/>
      <c r="D1116" s="878"/>
      <c r="E1116" s="882"/>
      <c r="F1116" s="884"/>
      <c r="G1116" s="56">
        <v>721</v>
      </c>
      <c r="H1116" s="79">
        <f>+F1115-H1115</f>
        <v>-4280256</v>
      </c>
      <c r="I1116" s="874"/>
      <c r="J1116" s="876"/>
      <c r="K1116" s="882"/>
      <c r="L1116" s="882"/>
      <c r="M1116" s="882"/>
      <c r="N1116" s="884"/>
      <c r="O1116" s="56">
        <v>721</v>
      </c>
      <c r="P1116" s="79">
        <f>+N1115-P1115</f>
        <v>0</v>
      </c>
    </row>
    <row r="1117" spans="1:16" ht="13.5" customHeight="1">
      <c r="A1117" s="919">
        <v>2</v>
      </c>
      <c r="B1117" s="875">
        <v>42345</v>
      </c>
      <c r="C1117" s="877" t="s">
        <v>249</v>
      </c>
      <c r="D1117" s="877" t="s">
        <v>251</v>
      </c>
      <c r="E1117" s="881" t="s">
        <v>145</v>
      </c>
      <c r="F1117" s="883">
        <v>-2140128</v>
      </c>
      <c r="G1117" s="55">
        <v>719</v>
      </c>
      <c r="H1117" s="78"/>
      <c r="I1117" s="881">
        <f>+I1115+1</f>
        <v>141</v>
      </c>
      <c r="J1117" s="875">
        <v>43062</v>
      </c>
      <c r="K1117" s="881" t="s">
        <v>1544</v>
      </c>
      <c r="L1117" s="879" t="s">
        <v>1549</v>
      </c>
      <c r="M1117" s="881" t="s">
        <v>115</v>
      </c>
      <c r="N1117" s="883">
        <v>100000</v>
      </c>
      <c r="O1117" s="55">
        <v>719</v>
      </c>
      <c r="P1117" s="78">
        <v>100000</v>
      </c>
    </row>
    <row r="1118" spans="1:16" ht="12.75" customHeight="1" thickBot="1">
      <c r="A1118" s="920"/>
      <c r="B1118" s="876"/>
      <c r="C1118" s="878"/>
      <c r="D1118" s="878"/>
      <c r="E1118" s="882"/>
      <c r="F1118" s="884"/>
      <c r="G1118" s="56">
        <v>721</v>
      </c>
      <c r="H1118" s="79">
        <f>+F1117-H1117</f>
        <v>-2140128</v>
      </c>
      <c r="I1118" s="882"/>
      <c r="J1118" s="876"/>
      <c r="K1118" s="882"/>
      <c r="L1118" s="880"/>
      <c r="M1118" s="882"/>
      <c r="N1118" s="884"/>
      <c r="O1118" s="56">
        <v>721</v>
      </c>
      <c r="P1118" s="79">
        <v>0</v>
      </c>
    </row>
    <row r="1119" spans="1:16" ht="13.5" customHeight="1">
      <c r="A1119" s="881"/>
      <c r="B1119" s="875"/>
      <c r="C1119" s="877"/>
      <c r="D1119" s="881"/>
      <c r="E1119" s="881"/>
      <c r="F1119" s="883"/>
      <c r="G1119" s="55">
        <v>719</v>
      </c>
      <c r="H1119" s="78"/>
      <c r="I1119" s="881">
        <f>+I1117+1</f>
        <v>142</v>
      </c>
      <c r="J1119" s="875">
        <v>43062</v>
      </c>
      <c r="K1119" s="877" t="s">
        <v>28</v>
      </c>
      <c r="L1119" s="879" t="s">
        <v>1543</v>
      </c>
      <c r="M1119" s="881" t="s">
        <v>115</v>
      </c>
      <c r="N1119" s="883">
        <v>80000</v>
      </c>
      <c r="O1119" s="55">
        <v>719</v>
      </c>
      <c r="P1119" s="78">
        <v>80000</v>
      </c>
    </row>
    <row r="1120" spans="1:16" ht="13.5" customHeight="1" thickBot="1">
      <c r="A1120" s="882"/>
      <c r="B1120" s="876"/>
      <c r="C1120" s="878"/>
      <c r="D1120" s="882"/>
      <c r="E1120" s="882"/>
      <c r="F1120" s="884"/>
      <c r="G1120" s="56">
        <v>721</v>
      </c>
      <c r="H1120" s="79"/>
      <c r="I1120" s="882"/>
      <c r="J1120" s="876"/>
      <c r="K1120" s="878"/>
      <c r="L1120" s="880"/>
      <c r="M1120" s="882"/>
      <c r="N1120" s="884"/>
      <c r="O1120" s="56">
        <v>721</v>
      </c>
      <c r="P1120" s="79">
        <f>+N1119-P1119</f>
        <v>0</v>
      </c>
    </row>
    <row r="1121" spans="1:16" ht="12.75" customHeight="1">
      <c r="A1121" s="881"/>
      <c r="B1121" s="875"/>
      <c r="C1121" s="877"/>
      <c r="D1121" s="881"/>
      <c r="E1121" s="881"/>
      <c r="F1121" s="883"/>
      <c r="G1121" s="55">
        <v>719</v>
      </c>
      <c r="H1121" s="78"/>
      <c r="I1121" s="881">
        <f>+I1119+1</f>
        <v>143</v>
      </c>
      <c r="J1121" s="875">
        <v>43062</v>
      </c>
      <c r="K1121" s="877" t="s">
        <v>28</v>
      </c>
      <c r="L1121" s="879" t="s">
        <v>1550</v>
      </c>
      <c r="M1121" s="881" t="s">
        <v>115</v>
      </c>
      <c r="N1121" s="883">
        <v>200000</v>
      </c>
      <c r="O1121" s="55">
        <v>719</v>
      </c>
      <c r="P1121" s="78">
        <v>200000</v>
      </c>
    </row>
    <row r="1122" spans="1:16" ht="12.75" customHeight="1" thickBot="1">
      <c r="A1122" s="882"/>
      <c r="B1122" s="876"/>
      <c r="C1122" s="878"/>
      <c r="D1122" s="882"/>
      <c r="E1122" s="882"/>
      <c r="F1122" s="884"/>
      <c r="G1122" s="56">
        <v>721</v>
      </c>
      <c r="H1122" s="79">
        <f>+F1121-H1121</f>
        <v>0</v>
      </c>
      <c r="I1122" s="882"/>
      <c r="J1122" s="876"/>
      <c r="K1122" s="878"/>
      <c r="L1122" s="880"/>
      <c r="M1122" s="882"/>
      <c r="N1122" s="884"/>
      <c r="O1122" s="56">
        <v>721</v>
      </c>
      <c r="P1122" s="79">
        <f>+N1121-P1121</f>
        <v>0</v>
      </c>
    </row>
    <row r="1123" spans="1:16" ht="14.25" customHeight="1">
      <c r="A1123" s="881"/>
      <c r="B1123" s="875"/>
      <c r="C1123" s="877"/>
      <c r="D1123" s="881"/>
      <c r="E1123" s="881"/>
      <c r="F1123" s="883"/>
      <c r="G1123" s="55">
        <v>719</v>
      </c>
      <c r="H1123" s="78"/>
      <c r="I1123" s="881">
        <f>+I1121+1</f>
        <v>144</v>
      </c>
      <c r="J1123" s="875">
        <v>43062</v>
      </c>
      <c r="K1123" s="877" t="s">
        <v>28</v>
      </c>
      <c r="L1123" s="879" t="s">
        <v>1552</v>
      </c>
      <c r="M1123" s="881" t="s">
        <v>115</v>
      </c>
      <c r="N1123" s="883">
        <v>290000</v>
      </c>
      <c r="O1123" s="55">
        <v>719</v>
      </c>
      <c r="P1123" s="78">
        <v>290000</v>
      </c>
    </row>
    <row r="1124" spans="1:16" ht="13.5" customHeight="1" thickBot="1">
      <c r="A1124" s="882"/>
      <c r="B1124" s="876"/>
      <c r="C1124" s="878"/>
      <c r="D1124" s="882"/>
      <c r="E1124" s="882"/>
      <c r="F1124" s="884"/>
      <c r="G1124" s="56">
        <v>721</v>
      </c>
      <c r="H1124" s="79">
        <f>+F1123-H1123</f>
        <v>0</v>
      </c>
      <c r="I1124" s="882"/>
      <c r="J1124" s="876"/>
      <c r="K1124" s="878"/>
      <c r="L1124" s="880"/>
      <c r="M1124" s="882"/>
      <c r="N1124" s="884"/>
      <c r="O1124" s="56">
        <v>721</v>
      </c>
      <c r="P1124" s="79">
        <f>+N1123-P1123</f>
        <v>0</v>
      </c>
    </row>
    <row r="1125" spans="1:16" ht="16.5" thickBot="1">
      <c r="A1125" s="901" t="s">
        <v>102</v>
      </c>
      <c r="B1125" s="902"/>
      <c r="C1125" s="902"/>
      <c r="D1125" s="902"/>
      <c r="E1125" s="903"/>
      <c r="F1125" s="81">
        <f>SUM(F1115:F1124)</f>
        <v>-6420384</v>
      </c>
      <c r="I1125" s="901" t="s">
        <v>102</v>
      </c>
      <c r="J1125" s="902"/>
      <c r="K1125" s="902"/>
      <c r="L1125" s="902"/>
      <c r="M1125" s="903"/>
      <c r="N1125" s="81">
        <f>SUM(N1115:N1124)</f>
        <v>920000</v>
      </c>
    </row>
    <row r="1126" spans="1:16" ht="16.5" thickBot="1">
      <c r="A1126" s="885" t="s">
        <v>103</v>
      </c>
      <c r="B1126" s="886"/>
      <c r="C1126" s="886"/>
      <c r="D1126" s="886"/>
      <c r="E1126" s="887"/>
      <c r="F1126" s="69">
        <f>+F1090</f>
        <v>661201638</v>
      </c>
      <c r="I1126" s="885" t="s">
        <v>103</v>
      </c>
      <c r="J1126" s="886"/>
      <c r="K1126" s="886"/>
      <c r="L1126" s="886"/>
      <c r="M1126" s="887"/>
      <c r="N1126" s="69">
        <f>+N1090</f>
        <v>405031688</v>
      </c>
      <c r="O1126" s="241" t="s">
        <v>561</v>
      </c>
      <c r="P1126" s="242"/>
    </row>
    <row r="1127" spans="1:16" ht="16.5" thickBot="1">
      <c r="A1127" s="888" t="s">
        <v>104</v>
      </c>
      <c r="B1127" s="889"/>
      <c r="C1127" s="889"/>
      <c r="D1127" s="889"/>
      <c r="E1127" s="890"/>
      <c r="F1127" s="183">
        <f>SUM(F1125:F1126)</f>
        <v>654781254</v>
      </c>
      <c r="I1127" s="888" t="s">
        <v>104</v>
      </c>
      <c r="J1127" s="889"/>
      <c r="K1127" s="889"/>
      <c r="L1127" s="889"/>
      <c r="M1127" s="890"/>
      <c r="N1127" s="183">
        <f>SUM(N1125:N1126)</f>
        <v>405951688</v>
      </c>
    </row>
    <row r="1128" spans="1:16" ht="12.75" customHeight="1">
      <c r="A1128" s="61"/>
      <c r="B1128" s="61"/>
      <c r="C1128" s="61"/>
      <c r="D1128" s="61"/>
      <c r="E1128" s="61"/>
      <c r="I1128" s="61"/>
      <c r="J1128" s="61"/>
      <c r="K1128" s="61"/>
      <c r="L1128" s="61"/>
      <c r="M1128" s="61"/>
    </row>
    <row r="1129" spans="1:16">
      <c r="A1129" s="51" t="s">
        <v>488</v>
      </c>
      <c r="I1129" s="51" t="s">
        <v>1551</v>
      </c>
    </row>
    <row r="1130" spans="1:16" ht="12" customHeight="1">
      <c r="F1130" s="139"/>
      <c r="N1130" s="139"/>
    </row>
    <row r="1131" spans="1:16">
      <c r="A1131" s="50" t="s">
        <v>105</v>
      </c>
      <c r="D1131" s="146"/>
      <c r="F1131" s="139"/>
      <c r="I1131" s="50" t="s">
        <v>105</v>
      </c>
      <c r="L1131" s="146"/>
      <c r="N1131" s="139"/>
    </row>
    <row r="1132" spans="1:16" ht="12.75" customHeight="1" thickBot="1"/>
    <row r="1133" spans="1:16" ht="15.75" thickBot="1">
      <c r="A1133" s="891" t="s">
        <v>106</v>
      </c>
      <c r="B1133" s="892"/>
      <c r="C1133" s="892"/>
      <c r="D1133" s="893"/>
      <c r="F1133" s="50" t="s">
        <v>288</v>
      </c>
      <c r="I1133" s="891" t="s">
        <v>106</v>
      </c>
      <c r="J1133" s="892"/>
      <c r="K1133" s="892"/>
      <c r="L1133" s="893"/>
      <c r="N1133" s="925" t="s">
        <v>288</v>
      </c>
      <c r="O1133" s="925"/>
      <c r="P1133" s="925"/>
    </row>
    <row r="1134" spans="1:16" ht="30.75" thickBot="1">
      <c r="A1134" s="57" t="s">
        <v>100</v>
      </c>
      <c r="B1134" s="58" t="s">
        <v>108</v>
      </c>
      <c r="C1134" s="59" t="s">
        <v>109</v>
      </c>
      <c r="D1134" s="60" t="s">
        <v>110</v>
      </c>
      <c r="I1134" s="57" t="s">
        <v>100</v>
      </c>
      <c r="J1134" s="58" t="s">
        <v>108</v>
      </c>
      <c r="K1134" s="59" t="s">
        <v>109</v>
      </c>
      <c r="L1134" s="60" t="s">
        <v>110</v>
      </c>
    </row>
    <row r="1135" spans="1:16">
      <c r="A1135" s="71">
        <v>719</v>
      </c>
      <c r="B1135" s="73">
        <f>+H1115+H1117+H1119+H1121+H1123</f>
        <v>0</v>
      </c>
      <c r="C1135" s="74" t="e">
        <f>+D1098</f>
        <v>#REF!</v>
      </c>
      <c r="D1135" s="195" t="e">
        <f>+B1135+C1135</f>
        <v>#REF!</v>
      </c>
      <c r="I1135" s="71">
        <v>719</v>
      </c>
      <c r="J1135" s="73">
        <f>+P1115+P1117+P1119+P1123+P1121</f>
        <v>920000</v>
      </c>
      <c r="K1135" s="74">
        <f>+L1098</f>
        <v>29880000</v>
      </c>
      <c r="L1135" s="195">
        <f>+J1135+K1135</f>
        <v>30800000</v>
      </c>
    </row>
    <row r="1136" spans="1:16">
      <c r="A1136" s="72">
        <v>721</v>
      </c>
      <c r="B1136" s="80">
        <f>(+H1124+H1122+H1120+H1118+H1116)</f>
        <v>-6420384</v>
      </c>
      <c r="C1136" s="74" t="e">
        <f>+D1099</f>
        <v>#REF!</v>
      </c>
      <c r="D1136" s="195" t="e">
        <f>+B1136+C1136</f>
        <v>#REF!</v>
      </c>
      <c r="I1136" s="72">
        <v>721</v>
      </c>
      <c r="J1136" s="80">
        <f>+P1116+P1118+P1120+P1122+P1124</f>
        <v>0</v>
      </c>
      <c r="K1136" s="74">
        <f>+L1099</f>
        <v>5355500</v>
      </c>
      <c r="L1136" s="195">
        <f>+J1136+K1136</f>
        <v>5355500</v>
      </c>
    </row>
    <row r="1137" spans="1:16" ht="15.75">
      <c r="A1137" s="72">
        <v>722</v>
      </c>
      <c r="B1137" s="80"/>
      <c r="C1137" s="74">
        <f>+D1100</f>
        <v>231207671</v>
      </c>
      <c r="D1137" s="195">
        <f>+B1137+C1137</f>
        <v>231207671</v>
      </c>
      <c r="I1137" s="72">
        <v>722</v>
      </c>
      <c r="J1137" s="80"/>
      <c r="K1137" s="74">
        <f>+L1100</f>
        <v>42881706</v>
      </c>
      <c r="L1137" s="195">
        <f>+J1137+K1137</f>
        <v>42881706</v>
      </c>
      <c r="N1137" s="918" t="s">
        <v>1481</v>
      </c>
      <c r="O1137" s="918"/>
      <c r="P1137" s="918"/>
    </row>
    <row r="1138" spans="1:16" ht="14.25" customHeight="1">
      <c r="A1138" s="72">
        <v>723</v>
      </c>
      <c r="B1138" s="80"/>
      <c r="C1138" s="74">
        <f>+D1101</f>
        <v>323193545</v>
      </c>
      <c r="D1138" s="195">
        <f>+B1138+C1138</f>
        <v>323193545</v>
      </c>
      <c r="F1138" s="174" t="s">
        <v>23</v>
      </c>
      <c r="G1138" s="175"/>
      <c r="I1138" s="72">
        <v>723</v>
      </c>
      <c r="J1138" s="80"/>
      <c r="K1138" s="74">
        <f>+L1101</f>
        <v>326914482</v>
      </c>
      <c r="L1138" s="195">
        <f>+J1138+K1138</f>
        <v>326914482</v>
      </c>
      <c r="N1138" s="193"/>
      <c r="O1138" s="175"/>
    </row>
    <row r="1139" spans="1:16" ht="13.5" customHeight="1" thickBot="1">
      <c r="A1139" s="164" t="s">
        <v>181</v>
      </c>
      <c r="B1139" s="165"/>
      <c r="C1139" s="74" t="e">
        <f>+D1102</f>
        <v>#REF!</v>
      </c>
      <c r="D1139" s="196" t="e">
        <f>+B1139+C1139</f>
        <v>#REF!</v>
      </c>
      <c r="F1139" s="52"/>
      <c r="I1139" s="164" t="s">
        <v>181</v>
      </c>
      <c r="J1139" s="165"/>
      <c r="K1139" s="74">
        <f>+L1102</f>
        <v>0</v>
      </c>
      <c r="L1139" s="196">
        <f>+J1139+K1139</f>
        <v>0</v>
      </c>
      <c r="N1139" s="52"/>
    </row>
    <row r="1140" spans="1:16" ht="16.5" thickBot="1">
      <c r="A1140" s="169"/>
      <c r="B1140" s="170">
        <f>SUM(B1135:B1139)</f>
        <v>-6420384</v>
      </c>
      <c r="C1140" s="171" t="e">
        <f>SUM(C1135:C1139)</f>
        <v>#REF!</v>
      </c>
      <c r="D1140" s="172" t="e">
        <f>SUM(D1135:D1139)</f>
        <v>#REF!</v>
      </c>
      <c r="I1140" s="169"/>
      <c r="J1140" s="197">
        <f>SUM(J1135:J1139)</f>
        <v>920000</v>
      </c>
      <c r="K1140" s="197">
        <f>SUM(K1135:K1139)</f>
        <v>405031688</v>
      </c>
      <c r="L1140" s="198">
        <f>SUM(L1135:L1139)</f>
        <v>405951688</v>
      </c>
    </row>
    <row r="1141" spans="1:16" ht="16.5">
      <c r="A1141" s="49" t="s">
        <v>88</v>
      </c>
      <c r="B1141" s="50"/>
      <c r="I1141" s="49" t="s">
        <v>88</v>
      </c>
      <c r="J1141" s="50"/>
    </row>
    <row r="1142" spans="1:16" ht="14.25" customHeight="1">
      <c r="A1142" s="51" t="s">
        <v>89</v>
      </c>
      <c r="I1142" s="51" t="s">
        <v>89</v>
      </c>
    </row>
    <row r="1143" spans="1:16" ht="12.75" customHeight="1">
      <c r="A1143" s="51" t="s">
        <v>90</v>
      </c>
      <c r="I1143" s="51" t="s">
        <v>90</v>
      </c>
    </row>
    <row r="1144" spans="1:16">
      <c r="A1144" s="51" t="s">
        <v>91</v>
      </c>
      <c r="I1144" s="51" t="s">
        <v>91</v>
      </c>
    </row>
    <row r="1145" spans="1:16" ht="11.25" customHeight="1">
      <c r="A1145" s="50"/>
      <c r="B1145" s="50"/>
      <c r="I1145" s="50"/>
      <c r="J1145" s="50"/>
    </row>
    <row r="1146" spans="1:16" ht="16.5">
      <c r="A1146" s="52" t="s">
        <v>489</v>
      </c>
      <c r="G1146" s="52"/>
      <c r="I1146" s="260" t="s">
        <v>185</v>
      </c>
      <c r="O1146" s="52"/>
    </row>
    <row r="1147" spans="1:16" ht="15.75">
      <c r="A1147" s="53" t="s">
        <v>92</v>
      </c>
      <c r="G1147" s="53"/>
      <c r="I1147" s="53" t="s">
        <v>1333</v>
      </c>
      <c r="O1147" s="53"/>
    </row>
    <row r="1148" spans="1:16" ht="16.5">
      <c r="A1148" s="894" t="s">
        <v>462</v>
      </c>
      <c r="B1148" s="894"/>
      <c r="C1148" s="894"/>
      <c r="D1148" s="894"/>
      <c r="E1148" s="894"/>
      <c r="F1148" s="894"/>
      <c r="G1148" s="894"/>
      <c r="H1148" s="894"/>
      <c r="I1148" s="894" t="s">
        <v>1547</v>
      </c>
      <c r="J1148" s="894"/>
      <c r="K1148" s="894"/>
      <c r="L1148" s="894"/>
      <c r="M1148" s="894"/>
      <c r="N1148" s="894"/>
      <c r="O1148" s="894"/>
      <c r="P1148" s="894"/>
    </row>
    <row r="1149" spans="1:16" ht="15.75" thickBot="1"/>
    <row r="1150" spans="1:16">
      <c r="A1150" s="895" t="s">
        <v>94</v>
      </c>
      <c r="B1150" s="897" t="s">
        <v>95</v>
      </c>
      <c r="C1150" s="897" t="s">
        <v>96</v>
      </c>
      <c r="D1150" s="897" t="s">
        <v>3</v>
      </c>
      <c r="E1150" s="897" t="s">
        <v>97</v>
      </c>
      <c r="F1150" s="897" t="s">
        <v>98</v>
      </c>
      <c r="G1150" s="897" t="s">
        <v>99</v>
      </c>
      <c r="H1150" s="899"/>
      <c r="I1150" s="895" t="s">
        <v>94</v>
      </c>
      <c r="J1150" s="897" t="s">
        <v>95</v>
      </c>
      <c r="K1150" s="897" t="s">
        <v>96</v>
      </c>
      <c r="L1150" s="897" t="s">
        <v>3</v>
      </c>
      <c r="M1150" s="897" t="s">
        <v>97</v>
      </c>
      <c r="N1150" s="897" t="s">
        <v>98</v>
      </c>
      <c r="O1150" s="897" t="s">
        <v>99</v>
      </c>
      <c r="P1150" s="899"/>
    </row>
    <row r="1151" spans="1:16" ht="15.75" thickBot="1">
      <c r="A1151" s="896"/>
      <c r="B1151" s="898"/>
      <c r="C1151" s="898"/>
      <c r="D1151" s="898"/>
      <c r="E1151" s="898"/>
      <c r="F1151" s="898"/>
      <c r="G1151" s="240" t="s">
        <v>100</v>
      </c>
      <c r="H1151" s="182" t="s">
        <v>101</v>
      </c>
      <c r="I1151" s="896"/>
      <c r="J1151" s="898"/>
      <c r="K1151" s="898"/>
      <c r="L1151" s="898"/>
      <c r="M1151" s="898"/>
      <c r="N1151" s="898"/>
      <c r="O1151" s="240" t="s">
        <v>100</v>
      </c>
      <c r="P1151" s="182" t="s">
        <v>101</v>
      </c>
    </row>
    <row r="1152" spans="1:16" ht="12" customHeight="1">
      <c r="A1152" s="919" t="e">
        <f>+#REF!+1</f>
        <v>#REF!</v>
      </c>
      <c r="B1152" s="875">
        <v>42355</v>
      </c>
      <c r="C1152" s="877" t="s">
        <v>31</v>
      </c>
      <c r="D1152" s="877" t="s">
        <v>490</v>
      </c>
      <c r="E1152" s="881" t="s">
        <v>115</v>
      </c>
      <c r="F1152" s="883">
        <v>50000</v>
      </c>
      <c r="G1152" s="55">
        <v>719</v>
      </c>
      <c r="H1152" s="78">
        <v>50000</v>
      </c>
      <c r="I1152" s="873" t="s">
        <v>856</v>
      </c>
      <c r="J1152" s="875">
        <v>43062</v>
      </c>
      <c r="K1152" s="881" t="s">
        <v>472</v>
      </c>
      <c r="L1152" s="879" t="s">
        <v>1553</v>
      </c>
      <c r="M1152" s="881" t="s">
        <v>148</v>
      </c>
      <c r="N1152" s="883">
        <v>364000</v>
      </c>
      <c r="O1152" s="55">
        <v>719</v>
      </c>
      <c r="P1152" s="78">
        <f>+N1152-P1153</f>
        <v>280000</v>
      </c>
    </row>
    <row r="1153" spans="1:16" ht="14.25" customHeight="1" thickBot="1">
      <c r="A1153" s="920"/>
      <c r="B1153" s="876"/>
      <c r="C1153" s="878"/>
      <c r="D1153" s="878"/>
      <c r="E1153" s="882"/>
      <c r="F1153" s="884"/>
      <c r="G1153" s="56">
        <v>721</v>
      </c>
      <c r="H1153" s="79">
        <f>+F1152-H1152</f>
        <v>0</v>
      </c>
      <c r="I1153" s="874"/>
      <c r="J1153" s="876"/>
      <c r="K1153" s="882"/>
      <c r="L1153" s="880"/>
      <c r="M1153" s="882"/>
      <c r="N1153" s="884"/>
      <c r="O1153" s="56">
        <v>721</v>
      </c>
      <c r="P1153" s="79">
        <v>84000</v>
      </c>
    </row>
    <row r="1154" spans="1:16" ht="11.25" customHeight="1">
      <c r="A1154" s="919" t="e">
        <f>+A1152+1</f>
        <v>#REF!</v>
      </c>
      <c r="B1154" s="875">
        <v>42355</v>
      </c>
      <c r="C1154" s="877" t="s">
        <v>32</v>
      </c>
      <c r="D1154" s="877" t="s">
        <v>491</v>
      </c>
      <c r="E1154" s="881" t="s">
        <v>115</v>
      </c>
      <c r="F1154" s="883">
        <v>20000</v>
      </c>
      <c r="G1154" s="55">
        <v>719</v>
      </c>
      <c r="H1154" s="78">
        <v>20000</v>
      </c>
      <c r="I1154" s="881">
        <f>+I1152+1</f>
        <v>146</v>
      </c>
      <c r="J1154" s="875">
        <v>43062</v>
      </c>
      <c r="K1154" s="877" t="s">
        <v>40</v>
      </c>
      <c r="L1154" s="881" t="s">
        <v>1439</v>
      </c>
      <c r="M1154" s="881" t="s">
        <v>148</v>
      </c>
      <c r="N1154" s="883">
        <v>-7821240</v>
      </c>
      <c r="O1154" s="55">
        <v>719</v>
      </c>
      <c r="P1154" s="78"/>
    </row>
    <row r="1155" spans="1:16" ht="15.75" customHeight="1" thickBot="1">
      <c r="A1155" s="920"/>
      <c r="B1155" s="876"/>
      <c r="C1155" s="878"/>
      <c r="D1155" s="878"/>
      <c r="E1155" s="882"/>
      <c r="F1155" s="884"/>
      <c r="G1155" s="56">
        <v>721</v>
      </c>
      <c r="H1155" s="79">
        <f>+F1154-H1154</f>
        <v>0</v>
      </c>
      <c r="I1155" s="882"/>
      <c r="J1155" s="876"/>
      <c r="K1155" s="878"/>
      <c r="L1155" s="882"/>
      <c r="M1155" s="882"/>
      <c r="N1155" s="884"/>
      <c r="O1155" s="56">
        <v>723</v>
      </c>
      <c r="P1155" s="79">
        <f>+N1154-P1154</f>
        <v>-7821240</v>
      </c>
    </row>
    <row r="1156" spans="1:16" ht="12.75" customHeight="1">
      <c r="A1156" s="919"/>
      <c r="B1156" s="875"/>
      <c r="C1156" s="877"/>
      <c r="D1156" s="881"/>
      <c r="E1156" s="881"/>
      <c r="F1156" s="883"/>
      <c r="G1156" s="55">
        <v>719</v>
      </c>
      <c r="H1156" s="78"/>
      <c r="I1156" s="881">
        <f>+I1154+1</f>
        <v>147</v>
      </c>
      <c r="J1156" s="875">
        <v>43062</v>
      </c>
      <c r="K1156" s="881" t="s">
        <v>472</v>
      </c>
      <c r="L1156" s="879" t="s">
        <v>1554</v>
      </c>
      <c r="M1156" s="881" t="s">
        <v>148</v>
      </c>
      <c r="N1156" s="883">
        <v>299000</v>
      </c>
      <c r="O1156" s="55">
        <v>719</v>
      </c>
      <c r="P1156" s="78">
        <f>+N1156-P1157</f>
        <v>230000</v>
      </c>
    </row>
    <row r="1157" spans="1:16" ht="13.5" customHeight="1" thickBot="1">
      <c r="A1157" s="920"/>
      <c r="B1157" s="876"/>
      <c r="C1157" s="878"/>
      <c r="D1157" s="882"/>
      <c r="E1157" s="882"/>
      <c r="F1157" s="884"/>
      <c r="G1157" s="56">
        <v>721</v>
      </c>
      <c r="H1157" s="79"/>
      <c r="I1157" s="882"/>
      <c r="J1157" s="876"/>
      <c r="K1157" s="882"/>
      <c r="L1157" s="880"/>
      <c r="M1157" s="882"/>
      <c r="N1157" s="884"/>
      <c r="O1157" s="56">
        <v>721</v>
      </c>
      <c r="P1157" s="79">
        <v>69000</v>
      </c>
    </row>
    <row r="1158" spans="1:16" ht="12" customHeight="1">
      <c r="A1158" s="881"/>
      <c r="B1158" s="875"/>
      <c r="C1158" s="877"/>
      <c r="D1158" s="881"/>
      <c r="E1158" s="881"/>
      <c r="F1158" s="883"/>
      <c r="G1158" s="55">
        <v>719</v>
      </c>
      <c r="H1158" s="78"/>
      <c r="I1158" s="881">
        <f>+I1156+1</f>
        <v>148</v>
      </c>
      <c r="J1158" s="875">
        <v>43062</v>
      </c>
      <c r="K1158" s="881" t="s">
        <v>472</v>
      </c>
      <c r="L1158" s="879" t="s">
        <v>1555</v>
      </c>
      <c r="M1158" s="881" t="s">
        <v>148</v>
      </c>
      <c r="N1158" s="883">
        <v>559000</v>
      </c>
      <c r="O1158" s="55">
        <v>719</v>
      </c>
      <c r="P1158" s="78">
        <f>+N1158-P1159</f>
        <v>430000</v>
      </c>
    </row>
    <row r="1159" spans="1:16" ht="12.75" customHeight="1" thickBot="1">
      <c r="A1159" s="882"/>
      <c r="B1159" s="876"/>
      <c r="C1159" s="878"/>
      <c r="D1159" s="882"/>
      <c r="E1159" s="882"/>
      <c r="F1159" s="884"/>
      <c r="G1159" s="56">
        <v>721</v>
      </c>
      <c r="H1159" s="79">
        <f>+F1158-H1158</f>
        <v>0</v>
      </c>
      <c r="I1159" s="882"/>
      <c r="J1159" s="876"/>
      <c r="K1159" s="882"/>
      <c r="L1159" s="880"/>
      <c r="M1159" s="882"/>
      <c r="N1159" s="884"/>
      <c r="O1159" s="56">
        <v>721</v>
      </c>
      <c r="P1159" s="79">
        <v>129000</v>
      </c>
    </row>
    <row r="1160" spans="1:16" ht="12.75" customHeight="1">
      <c r="A1160" s="881"/>
      <c r="B1160" s="875"/>
      <c r="C1160" s="877"/>
      <c r="D1160" s="881"/>
      <c r="E1160" s="881"/>
      <c r="F1160" s="883"/>
      <c r="G1160" s="55">
        <v>719</v>
      </c>
      <c r="H1160" s="78"/>
      <c r="I1160" s="881">
        <f>+I1158+1</f>
        <v>149</v>
      </c>
      <c r="J1160" s="875">
        <v>43062</v>
      </c>
      <c r="K1160" s="881" t="s">
        <v>472</v>
      </c>
      <c r="L1160" s="879" t="s">
        <v>1556</v>
      </c>
      <c r="M1160" s="881" t="s">
        <v>148</v>
      </c>
      <c r="N1160" s="883">
        <v>637000</v>
      </c>
      <c r="O1160" s="55">
        <v>719</v>
      </c>
      <c r="P1160" s="78">
        <f>+N1160-P1161</f>
        <v>490000</v>
      </c>
    </row>
    <row r="1161" spans="1:16" ht="13.5" customHeight="1" thickBot="1">
      <c r="A1161" s="882"/>
      <c r="B1161" s="876"/>
      <c r="C1161" s="878"/>
      <c r="D1161" s="882"/>
      <c r="E1161" s="882"/>
      <c r="F1161" s="884"/>
      <c r="G1161" s="56">
        <v>721</v>
      </c>
      <c r="H1161" s="79">
        <f>+F1160-H1160</f>
        <v>0</v>
      </c>
      <c r="I1161" s="882"/>
      <c r="J1161" s="876"/>
      <c r="K1161" s="882"/>
      <c r="L1161" s="880"/>
      <c r="M1161" s="882"/>
      <c r="N1161" s="884"/>
      <c r="O1161" s="56">
        <v>721</v>
      </c>
      <c r="P1161" s="79">
        <v>147000</v>
      </c>
    </row>
    <row r="1162" spans="1:16" ht="16.5" thickBot="1">
      <c r="A1162" s="901" t="s">
        <v>102</v>
      </c>
      <c r="B1162" s="902"/>
      <c r="C1162" s="902"/>
      <c r="D1162" s="902"/>
      <c r="E1162" s="903"/>
      <c r="F1162" s="81">
        <f>SUM(F1152:F1161)</f>
        <v>70000</v>
      </c>
      <c r="I1162" s="901" t="s">
        <v>102</v>
      </c>
      <c r="J1162" s="902"/>
      <c r="K1162" s="902"/>
      <c r="L1162" s="902"/>
      <c r="M1162" s="903"/>
      <c r="N1162" s="81">
        <f>SUM(N1152:N1161)</f>
        <v>-5962240</v>
      </c>
    </row>
    <row r="1163" spans="1:16" ht="16.5" thickBot="1">
      <c r="A1163" s="885" t="s">
        <v>103</v>
      </c>
      <c r="B1163" s="886"/>
      <c r="C1163" s="886"/>
      <c r="D1163" s="886"/>
      <c r="E1163" s="887"/>
      <c r="F1163" s="69">
        <f>+F1127</f>
        <v>654781254</v>
      </c>
      <c r="I1163" s="885" t="s">
        <v>103</v>
      </c>
      <c r="J1163" s="886"/>
      <c r="K1163" s="886"/>
      <c r="L1163" s="886"/>
      <c r="M1163" s="887"/>
      <c r="N1163" s="69">
        <f>+N1127</f>
        <v>405951688</v>
      </c>
      <c r="O1163" s="241" t="s">
        <v>561</v>
      </c>
      <c r="P1163" s="242"/>
    </row>
    <row r="1164" spans="1:16" ht="16.5" thickBot="1">
      <c r="A1164" s="888" t="s">
        <v>104</v>
      </c>
      <c r="B1164" s="889"/>
      <c r="C1164" s="889"/>
      <c r="D1164" s="889"/>
      <c r="E1164" s="890"/>
      <c r="F1164" s="183">
        <f>SUM(F1162:F1163)</f>
        <v>654851254</v>
      </c>
      <c r="I1164" s="888" t="s">
        <v>104</v>
      </c>
      <c r="J1164" s="889"/>
      <c r="K1164" s="889"/>
      <c r="L1164" s="889"/>
      <c r="M1164" s="890"/>
      <c r="N1164" s="183">
        <f>SUM(N1162:N1163)</f>
        <v>399989448</v>
      </c>
    </row>
    <row r="1165" spans="1:16" ht="13.5" customHeight="1">
      <c r="A1165" s="61"/>
      <c r="B1165" s="61"/>
      <c r="C1165" s="61"/>
      <c r="D1165" s="61"/>
      <c r="E1165" s="61"/>
      <c r="I1165" s="61"/>
      <c r="J1165" s="61"/>
      <c r="K1165" s="61"/>
      <c r="L1165" s="61"/>
      <c r="M1165" s="61"/>
    </row>
    <row r="1166" spans="1:16">
      <c r="A1166" s="51" t="s">
        <v>492</v>
      </c>
      <c r="I1166" s="51" t="s">
        <v>1557</v>
      </c>
    </row>
    <row r="1167" spans="1:16" ht="11.25" customHeight="1">
      <c r="F1167" s="139"/>
      <c r="N1167" s="139"/>
    </row>
    <row r="1168" spans="1:16">
      <c r="A1168" s="50" t="s">
        <v>105</v>
      </c>
      <c r="D1168" s="146"/>
      <c r="F1168" s="139"/>
      <c r="I1168" s="50" t="s">
        <v>105</v>
      </c>
      <c r="L1168" s="146"/>
      <c r="N1168" s="139"/>
    </row>
    <row r="1169" spans="1:16" ht="13.5" customHeight="1" thickBot="1"/>
    <row r="1170" spans="1:16" ht="15.75" thickBot="1">
      <c r="A1170" s="891" t="s">
        <v>106</v>
      </c>
      <c r="B1170" s="892"/>
      <c r="C1170" s="892"/>
      <c r="D1170" s="893"/>
      <c r="F1170" s="50" t="s">
        <v>288</v>
      </c>
      <c r="I1170" s="891" t="s">
        <v>106</v>
      </c>
      <c r="J1170" s="892"/>
      <c r="K1170" s="892"/>
      <c r="L1170" s="893"/>
      <c r="N1170" s="925" t="s">
        <v>288</v>
      </c>
      <c r="O1170" s="925"/>
      <c r="P1170" s="925"/>
    </row>
    <row r="1171" spans="1:16" ht="30.75" thickBot="1">
      <c r="A1171" s="57" t="s">
        <v>100</v>
      </c>
      <c r="B1171" s="58" t="s">
        <v>108</v>
      </c>
      <c r="C1171" s="59" t="s">
        <v>109</v>
      </c>
      <c r="D1171" s="60" t="s">
        <v>110</v>
      </c>
      <c r="I1171" s="57" t="s">
        <v>100</v>
      </c>
      <c r="J1171" s="58" t="s">
        <v>108</v>
      </c>
      <c r="K1171" s="59" t="s">
        <v>109</v>
      </c>
      <c r="L1171" s="60" t="s">
        <v>110</v>
      </c>
    </row>
    <row r="1172" spans="1:16" ht="13.5" customHeight="1">
      <c r="A1172" s="71">
        <v>719</v>
      </c>
      <c r="B1172" s="73">
        <f>+H1152+H1154+H1156+H1158+H1160</f>
        <v>70000</v>
      </c>
      <c r="C1172" s="74" t="e">
        <f>+D1135</f>
        <v>#REF!</v>
      </c>
      <c r="D1172" s="195" t="e">
        <f>+B1172+C1172</f>
        <v>#REF!</v>
      </c>
      <c r="I1172" s="71">
        <v>719</v>
      </c>
      <c r="J1172" s="73">
        <f>+P1152+P1154+P1156+P1158+P1160</f>
        <v>1430000</v>
      </c>
      <c r="K1172" s="74">
        <f>+L1135</f>
        <v>30800000</v>
      </c>
      <c r="L1172" s="195">
        <f>+J1172+K1172</f>
        <v>32230000</v>
      </c>
    </row>
    <row r="1173" spans="1:16">
      <c r="A1173" s="72">
        <v>721</v>
      </c>
      <c r="B1173" s="80">
        <f>(+H1161+H1159+H1157+H1155+H1153)</f>
        <v>0</v>
      </c>
      <c r="C1173" s="74" t="e">
        <f>+D1136</f>
        <v>#REF!</v>
      </c>
      <c r="D1173" s="195" t="e">
        <f>+B1173+C1173</f>
        <v>#REF!</v>
      </c>
      <c r="I1173" s="72">
        <v>721</v>
      </c>
      <c r="J1173" s="80">
        <f>+P1153+P1157+P1159+P1161</f>
        <v>429000</v>
      </c>
      <c r="K1173" s="74">
        <f>+L1136</f>
        <v>5355500</v>
      </c>
      <c r="L1173" s="195">
        <f>+J1173+K1173</f>
        <v>5784500</v>
      </c>
    </row>
    <row r="1174" spans="1:16" ht="13.5" customHeight="1">
      <c r="A1174" s="72">
        <v>722</v>
      </c>
      <c r="B1174" s="80"/>
      <c r="C1174" s="74">
        <f>+D1137</f>
        <v>231207671</v>
      </c>
      <c r="D1174" s="195">
        <f>+B1174+C1174</f>
        <v>231207671</v>
      </c>
      <c r="I1174" s="72">
        <v>722</v>
      </c>
      <c r="J1174" s="80"/>
      <c r="K1174" s="74">
        <f>+L1137</f>
        <v>42881706</v>
      </c>
      <c r="L1174" s="195">
        <f>+J1174+K1174</f>
        <v>42881706</v>
      </c>
      <c r="N1174" s="918" t="s">
        <v>1481</v>
      </c>
      <c r="O1174" s="918"/>
      <c r="P1174" s="918"/>
    </row>
    <row r="1175" spans="1:16" ht="15.75">
      <c r="A1175" s="72">
        <v>723</v>
      </c>
      <c r="B1175" s="80"/>
      <c r="C1175" s="74">
        <f>+D1138</f>
        <v>323193545</v>
      </c>
      <c r="D1175" s="195">
        <f>+B1175+C1175</f>
        <v>323193545</v>
      </c>
      <c r="F1175" s="174" t="s">
        <v>23</v>
      </c>
      <c r="G1175" s="175"/>
      <c r="I1175" s="72">
        <v>723</v>
      </c>
      <c r="J1175" s="80">
        <f>+P1155</f>
        <v>-7821240</v>
      </c>
      <c r="K1175" s="74">
        <f>+L1138</f>
        <v>326914482</v>
      </c>
      <c r="L1175" s="195">
        <f>+J1175+K1175</f>
        <v>319093242</v>
      </c>
      <c r="N1175" s="193"/>
      <c r="O1175" s="175"/>
    </row>
    <row r="1176" spans="1:16" ht="14.25" customHeight="1" thickBot="1">
      <c r="A1176" s="164" t="s">
        <v>181</v>
      </c>
      <c r="B1176" s="165"/>
      <c r="C1176" s="74" t="e">
        <f>+D1139</f>
        <v>#REF!</v>
      </c>
      <c r="D1176" s="196" t="e">
        <f>+B1176+C1176</f>
        <v>#REF!</v>
      </c>
      <c r="F1176" s="52"/>
      <c r="I1176" s="164" t="s">
        <v>181</v>
      </c>
      <c r="J1176" s="165"/>
      <c r="K1176" s="74">
        <f>+L1139</f>
        <v>0</v>
      </c>
      <c r="L1176" s="196">
        <f>+J1176+K1176</f>
        <v>0</v>
      </c>
      <c r="N1176" s="52"/>
    </row>
    <row r="1177" spans="1:16" ht="16.5" thickBot="1">
      <c r="A1177" s="169"/>
      <c r="B1177" s="170">
        <f>SUM(B1172:B1176)</f>
        <v>70000</v>
      </c>
      <c r="C1177" s="171" t="e">
        <f>SUM(C1172:C1176)</f>
        <v>#REF!</v>
      </c>
      <c r="D1177" s="172" t="e">
        <f>SUM(D1172:D1176)</f>
        <v>#REF!</v>
      </c>
      <c r="I1177" s="169"/>
      <c r="J1177" s="197">
        <f>SUM(J1172:J1176)</f>
        <v>-5962240</v>
      </c>
      <c r="K1177" s="197">
        <f>SUM(K1172:K1176)</f>
        <v>405951688</v>
      </c>
      <c r="L1177" s="198">
        <f>SUM(L1172:L1176)</f>
        <v>399989448</v>
      </c>
    </row>
    <row r="1178" spans="1:16" ht="16.5">
      <c r="A1178" s="49" t="s">
        <v>88</v>
      </c>
      <c r="B1178" s="50"/>
      <c r="I1178" s="49" t="s">
        <v>88</v>
      </c>
      <c r="J1178" s="50"/>
    </row>
    <row r="1179" spans="1:16">
      <c r="A1179" s="51" t="s">
        <v>89</v>
      </c>
      <c r="I1179" s="51" t="s">
        <v>89</v>
      </c>
    </row>
    <row r="1180" spans="1:16">
      <c r="A1180" s="51" t="s">
        <v>90</v>
      </c>
      <c r="I1180" s="51" t="s">
        <v>90</v>
      </c>
    </row>
    <row r="1181" spans="1:16" ht="14.25" customHeight="1">
      <c r="A1181" s="51" t="s">
        <v>91</v>
      </c>
      <c r="I1181" s="51" t="s">
        <v>91</v>
      </c>
    </row>
    <row r="1182" spans="1:16" ht="10.5" customHeight="1">
      <c r="A1182" s="50"/>
      <c r="B1182" s="50"/>
      <c r="I1182" s="50"/>
      <c r="J1182" s="50"/>
    </row>
    <row r="1183" spans="1:16" ht="16.5">
      <c r="A1183" s="52" t="s">
        <v>493</v>
      </c>
      <c r="G1183" s="52"/>
      <c r="I1183" s="260" t="s">
        <v>870</v>
      </c>
      <c r="O1183" s="52"/>
    </row>
    <row r="1184" spans="1:16" ht="15.75">
      <c r="A1184" s="53" t="s">
        <v>92</v>
      </c>
      <c r="G1184" s="53"/>
      <c r="I1184" s="53" t="s">
        <v>1333</v>
      </c>
      <c r="O1184" s="53"/>
    </row>
    <row r="1185" spans="1:16" ht="16.5">
      <c r="A1185" s="894" t="s">
        <v>261</v>
      </c>
      <c r="B1185" s="894"/>
      <c r="C1185" s="894"/>
      <c r="D1185" s="894"/>
      <c r="E1185" s="894"/>
      <c r="F1185" s="894"/>
      <c r="G1185" s="894"/>
      <c r="H1185" s="894"/>
      <c r="I1185" s="894" t="s">
        <v>261</v>
      </c>
      <c r="J1185" s="894"/>
      <c r="K1185" s="894"/>
      <c r="L1185" s="894"/>
      <c r="M1185" s="894"/>
      <c r="N1185" s="894"/>
      <c r="O1185" s="894"/>
      <c r="P1185" s="894"/>
    </row>
    <row r="1186" spans="1:16" ht="15.75" thickBot="1"/>
    <row r="1187" spans="1:16">
      <c r="A1187" s="895" t="s">
        <v>94</v>
      </c>
      <c r="B1187" s="897" t="s">
        <v>95</v>
      </c>
      <c r="C1187" s="897" t="s">
        <v>96</v>
      </c>
      <c r="D1187" s="897" t="s">
        <v>3</v>
      </c>
      <c r="E1187" s="897" t="s">
        <v>97</v>
      </c>
      <c r="F1187" s="897" t="s">
        <v>98</v>
      </c>
      <c r="G1187" s="897" t="s">
        <v>99</v>
      </c>
      <c r="H1187" s="899"/>
      <c r="I1187" s="895" t="s">
        <v>94</v>
      </c>
      <c r="J1187" s="897" t="s">
        <v>95</v>
      </c>
      <c r="K1187" s="897" t="s">
        <v>96</v>
      </c>
      <c r="L1187" s="897" t="s">
        <v>3</v>
      </c>
      <c r="M1187" s="897" t="s">
        <v>97</v>
      </c>
      <c r="N1187" s="897" t="s">
        <v>98</v>
      </c>
      <c r="O1187" s="897" t="s">
        <v>99</v>
      </c>
      <c r="P1187" s="899"/>
    </row>
    <row r="1188" spans="1:16" ht="15.75" thickBot="1">
      <c r="A1188" s="896"/>
      <c r="B1188" s="898"/>
      <c r="C1188" s="898"/>
      <c r="D1188" s="898"/>
      <c r="E1188" s="898"/>
      <c r="F1188" s="898"/>
      <c r="G1188" s="240" t="s">
        <v>100</v>
      </c>
      <c r="H1188" s="182" t="s">
        <v>101</v>
      </c>
      <c r="I1188" s="896"/>
      <c r="J1188" s="898"/>
      <c r="K1188" s="898"/>
      <c r="L1188" s="898"/>
      <c r="M1188" s="898"/>
      <c r="N1188" s="898"/>
      <c r="O1188" s="240" t="s">
        <v>100</v>
      </c>
      <c r="P1188" s="182" t="s">
        <v>101</v>
      </c>
    </row>
    <row r="1189" spans="1:16" ht="12.75" customHeight="1">
      <c r="A1189" s="919" t="e">
        <f>+A1154+1</f>
        <v>#REF!</v>
      </c>
      <c r="B1189" s="875">
        <v>42360</v>
      </c>
      <c r="C1189" s="877" t="s">
        <v>31</v>
      </c>
      <c r="D1189" s="877" t="s">
        <v>494</v>
      </c>
      <c r="E1189" s="881" t="s">
        <v>115</v>
      </c>
      <c r="F1189" s="883">
        <v>70000</v>
      </c>
      <c r="G1189" s="55">
        <v>719</v>
      </c>
      <c r="H1189" s="78">
        <v>70000</v>
      </c>
      <c r="I1189" s="873" t="s">
        <v>863</v>
      </c>
      <c r="J1189" s="875">
        <v>43062</v>
      </c>
      <c r="K1189" s="881" t="s">
        <v>28</v>
      </c>
      <c r="L1189" s="881" t="s">
        <v>1558</v>
      </c>
      <c r="M1189" s="881" t="s">
        <v>148</v>
      </c>
      <c r="N1189" s="883">
        <v>741000</v>
      </c>
      <c r="O1189" s="55">
        <v>719</v>
      </c>
      <c r="P1189" s="78">
        <f>+N1189-P1190</f>
        <v>570000</v>
      </c>
    </row>
    <row r="1190" spans="1:16" ht="12.75" customHeight="1" thickBot="1">
      <c r="A1190" s="920"/>
      <c r="B1190" s="876"/>
      <c r="C1190" s="878"/>
      <c r="D1190" s="878"/>
      <c r="E1190" s="882"/>
      <c r="F1190" s="884"/>
      <c r="G1190" s="56">
        <v>721</v>
      </c>
      <c r="H1190" s="79">
        <f>+F1189-H1189</f>
        <v>0</v>
      </c>
      <c r="I1190" s="874"/>
      <c r="J1190" s="876"/>
      <c r="K1190" s="882"/>
      <c r="L1190" s="882"/>
      <c r="M1190" s="882"/>
      <c r="N1190" s="884"/>
      <c r="O1190" s="56">
        <v>721</v>
      </c>
      <c r="P1190" s="79">
        <v>171000</v>
      </c>
    </row>
    <row r="1191" spans="1:16" ht="12" customHeight="1">
      <c r="A1191" s="919" t="e">
        <f>+A1189+1</f>
        <v>#REF!</v>
      </c>
      <c r="B1191" s="875">
        <v>42360</v>
      </c>
      <c r="C1191" s="877" t="s">
        <v>472</v>
      </c>
      <c r="D1191" s="877" t="s">
        <v>495</v>
      </c>
      <c r="E1191" s="881" t="s">
        <v>115</v>
      </c>
      <c r="F1191" s="883">
        <v>60000</v>
      </c>
      <c r="G1191" s="55">
        <v>719</v>
      </c>
      <c r="H1191" s="78">
        <v>60000</v>
      </c>
      <c r="I1191" s="873">
        <f>+I1189+1</f>
        <v>151</v>
      </c>
      <c r="J1191" s="875">
        <v>43062</v>
      </c>
      <c r="K1191" s="881" t="s">
        <v>28</v>
      </c>
      <c r="L1191" s="881" t="s">
        <v>1559</v>
      </c>
      <c r="M1191" s="881" t="s">
        <v>148</v>
      </c>
      <c r="N1191" s="883">
        <v>299000</v>
      </c>
      <c r="O1191" s="55">
        <v>719</v>
      </c>
      <c r="P1191" s="78">
        <f>+N1191-P1192</f>
        <v>230000</v>
      </c>
    </row>
    <row r="1192" spans="1:16" ht="12" customHeight="1" thickBot="1">
      <c r="A1192" s="920"/>
      <c r="B1192" s="876"/>
      <c r="C1192" s="878"/>
      <c r="D1192" s="878"/>
      <c r="E1192" s="882"/>
      <c r="F1192" s="884"/>
      <c r="G1192" s="56">
        <v>721</v>
      </c>
      <c r="H1192" s="79">
        <f>+F1191-H1191</f>
        <v>0</v>
      </c>
      <c r="I1192" s="882"/>
      <c r="J1192" s="876"/>
      <c r="K1192" s="882"/>
      <c r="L1192" s="882"/>
      <c r="M1192" s="882"/>
      <c r="N1192" s="884"/>
      <c r="O1192" s="56">
        <v>721</v>
      </c>
      <c r="P1192" s="79">
        <v>69000</v>
      </c>
    </row>
    <row r="1193" spans="1:16" ht="12" customHeight="1">
      <c r="A1193" s="919" t="e">
        <f>+A1191+1</f>
        <v>#REF!</v>
      </c>
      <c r="B1193" s="875">
        <v>42360</v>
      </c>
      <c r="C1193" s="877" t="s">
        <v>32</v>
      </c>
      <c r="D1193" s="877" t="s">
        <v>496</v>
      </c>
      <c r="E1193" s="881" t="s">
        <v>115</v>
      </c>
      <c r="F1193" s="883">
        <v>50000</v>
      </c>
      <c r="G1193" s="55">
        <v>719</v>
      </c>
      <c r="H1193" s="78">
        <v>50000</v>
      </c>
      <c r="I1193" s="873">
        <f>+I1191+1</f>
        <v>152</v>
      </c>
      <c r="J1193" s="875">
        <v>43062</v>
      </c>
      <c r="K1193" s="881" t="s">
        <v>120</v>
      </c>
      <c r="L1193" s="881" t="s">
        <v>1560</v>
      </c>
      <c r="M1193" s="881" t="s">
        <v>115</v>
      </c>
      <c r="N1193" s="883">
        <v>320000</v>
      </c>
      <c r="O1193" s="55">
        <v>719</v>
      </c>
      <c r="P1193" s="78">
        <v>320000</v>
      </c>
    </row>
    <row r="1194" spans="1:16" ht="10.5" customHeight="1" thickBot="1">
      <c r="A1194" s="920"/>
      <c r="B1194" s="876"/>
      <c r="C1194" s="878"/>
      <c r="D1194" s="878"/>
      <c r="E1194" s="882"/>
      <c r="F1194" s="884"/>
      <c r="G1194" s="56">
        <v>721</v>
      </c>
      <c r="H1194" s="79">
        <f>+F1193-H1193</f>
        <v>0</v>
      </c>
      <c r="I1194" s="882"/>
      <c r="J1194" s="876"/>
      <c r="K1194" s="882"/>
      <c r="L1194" s="882"/>
      <c r="M1194" s="882"/>
      <c r="N1194" s="884"/>
      <c r="O1194" s="56">
        <v>721</v>
      </c>
      <c r="P1194" s="79">
        <v>0</v>
      </c>
    </row>
    <row r="1195" spans="1:16" ht="12" customHeight="1">
      <c r="A1195" s="919"/>
      <c r="B1195" s="875"/>
      <c r="C1195" s="877"/>
      <c r="D1195" s="881"/>
      <c r="E1195" s="881"/>
      <c r="F1195" s="883"/>
      <c r="G1195" s="55">
        <v>719</v>
      </c>
      <c r="H1195" s="78"/>
      <c r="I1195" s="873">
        <f>+I1193+1</f>
        <v>153</v>
      </c>
      <c r="J1195" s="875">
        <v>43062</v>
      </c>
      <c r="K1195" s="881" t="s">
        <v>120</v>
      </c>
      <c r="L1195" s="881" t="s">
        <v>1561</v>
      </c>
      <c r="M1195" s="881" t="s">
        <v>115</v>
      </c>
      <c r="N1195" s="883">
        <v>230000</v>
      </c>
      <c r="O1195" s="55">
        <v>719</v>
      </c>
      <c r="P1195" s="78">
        <v>230000</v>
      </c>
    </row>
    <row r="1196" spans="1:16" ht="11.25" customHeight="1" thickBot="1">
      <c r="A1196" s="920"/>
      <c r="B1196" s="876"/>
      <c r="C1196" s="878"/>
      <c r="D1196" s="882"/>
      <c r="E1196" s="882"/>
      <c r="F1196" s="884"/>
      <c r="G1196" s="56">
        <v>721</v>
      </c>
      <c r="H1196" s="79">
        <f>+F1195-H1195</f>
        <v>0</v>
      </c>
      <c r="I1196" s="882"/>
      <c r="J1196" s="876"/>
      <c r="K1196" s="882"/>
      <c r="L1196" s="882"/>
      <c r="M1196" s="882"/>
      <c r="N1196" s="884"/>
      <c r="O1196" s="56">
        <v>721</v>
      </c>
      <c r="P1196" s="79">
        <v>0</v>
      </c>
    </row>
    <row r="1197" spans="1:16" ht="13.5" customHeight="1">
      <c r="A1197" s="439"/>
      <c r="B1197" s="252"/>
      <c r="C1197" s="253"/>
      <c r="D1197" s="251"/>
      <c r="E1197" s="251"/>
      <c r="F1197" s="254"/>
      <c r="G1197" s="255"/>
      <c r="H1197" s="256"/>
      <c r="I1197" s="873">
        <f>+I1193+1</f>
        <v>153</v>
      </c>
      <c r="J1197" s="875">
        <v>43062</v>
      </c>
      <c r="K1197" s="881" t="s">
        <v>120</v>
      </c>
      <c r="L1197" s="879" t="s">
        <v>1562</v>
      </c>
      <c r="M1197" s="881" t="s">
        <v>115</v>
      </c>
      <c r="N1197" s="883">
        <v>320000</v>
      </c>
      <c r="O1197" s="55">
        <v>719</v>
      </c>
      <c r="P1197" s="78">
        <v>320000</v>
      </c>
    </row>
    <row r="1198" spans="1:16" ht="13.5" customHeight="1" thickBot="1">
      <c r="A1198" s="439"/>
      <c r="B1198" s="252"/>
      <c r="C1198" s="253"/>
      <c r="D1198" s="251"/>
      <c r="E1198" s="251"/>
      <c r="F1198" s="254"/>
      <c r="G1198" s="255"/>
      <c r="H1198" s="256"/>
      <c r="I1198" s="882"/>
      <c r="J1198" s="876"/>
      <c r="K1198" s="882"/>
      <c r="L1198" s="880"/>
      <c r="M1198" s="882"/>
      <c r="N1198" s="884"/>
      <c r="O1198" s="56">
        <v>721</v>
      </c>
      <c r="P1198" s="79">
        <f>+N1197-P1197</f>
        <v>0</v>
      </c>
    </row>
    <row r="1199" spans="1:16" ht="12" customHeight="1">
      <c r="A1199" s="881"/>
      <c r="B1199" s="875"/>
      <c r="C1199" s="877"/>
      <c r="D1199" s="881"/>
      <c r="E1199" s="881"/>
      <c r="F1199" s="883"/>
      <c r="G1199" s="55">
        <v>719</v>
      </c>
      <c r="H1199" s="78"/>
      <c r="I1199" s="873" t="s">
        <v>872</v>
      </c>
      <c r="J1199" s="875">
        <v>43062</v>
      </c>
      <c r="K1199" s="881" t="s">
        <v>120</v>
      </c>
      <c r="L1199" s="881" t="s">
        <v>1545</v>
      </c>
      <c r="M1199" s="881" t="s">
        <v>115</v>
      </c>
      <c r="N1199" s="883">
        <v>160000</v>
      </c>
      <c r="O1199" s="55">
        <v>719</v>
      </c>
      <c r="P1199" s="78">
        <v>160000</v>
      </c>
    </row>
    <row r="1200" spans="1:16" ht="12" customHeight="1" thickBot="1">
      <c r="A1200" s="882"/>
      <c r="B1200" s="876"/>
      <c r="C1200" s="878"/>
      <c r="D1200" s="882"/>
      <c r="E1200" s="882"/>
      <c r="F1200" s="884"/>
      <c r="G1200" s="56">
        <v>721</v>
      </c>
      <c r="H1200" s="79">
        <f>+F1199-H1199</f>
        <v>0</v>
      </c>
      <c r="I1200" s="874"/>
      <c r="J1200" s="876"/>
      <c r="K1200" s="882"/>
      <c r="L1200" s="882"/>
      <c r="M1200" s="882"/>
      <c r="N1200" s="884"/>
      <c r="O1200" s="56">
        <v>721</v>
      </c>
      <c r="P1200" s="79">
        <v>0</v>
      </c>
    </row>
    <row r="1201" spans="1:16" ht="15" customHeight="1" thickBot="1">
      <c r="A1201" s="901" t="s">
        <v>102</v>
      </c>
      <c r="B1201" s="902"/>
      <c r="C1201" s="902"/>
      <c r="D1201" s="902"/>
      <c r="E1201" s="903"/>
      <c r="F1201" s="81">
        <f>SUM(F1189:F1200)</f>
        <v>180000</v>
      </c>
      <c r="I1201" s="901" t="s">
        <v>102</v>
      </c>
      <c r="J1201" s="902"/>
      <c r="K1201" s="902"/>
      <c r="L1201" s="902"/>
      <c r="M1201" s="903"/>
      <c r="N1201" s="81">
        <f>SUM(N1189:N1200)</f>
        <v>2070000</v>
      </c>
    </row>
    <row r="1202" spans="1:16" ht="16.5" thickBot="1">
      <c r="A1202" s="885" t="s">
        <v>103</v>
      </c>
      <c r="B1202" s="886"/>
      <c r="C1202" s="886"/>
      <c r="D1202" s="886"/>
      <c r="E1202" s="887"/>
      <c r="F1202" s="69">
        <f>+F1164</f>
        <v>654851254</v>
      </c>
      <c r="I1202" s="885" t="s">
        <v>103</v>
      </c>
      <c r="J1202" s="886"/>
      <c r="K1202" s="886"/>
      <c r="L1202" s="886"/>
      <c r="M1202" s="887"/>
      <c r="N1202" s="69">
        <f>+N1164</f>
        <v>399989448</v>
      </c>
      <c r="O1202" s="241" t="s">
        <v>561</v>
      </c>
      <c r="P1202" s="242">
        <f>557+418+511+644</f>
        <v>2130</v>
      </c>
    </row>
    <row r="1203" spans="1:16" ht="16.5" thickBot="1">
      <c r="A1203" s="888" t="s">
        <v>104</v>
      </c>
      <c r="B1203" s="889"/>
      <c r="C1203" s="889"/>
      <c r="D1203" s="889"/>
      <c r="E1203" s="890"/>
      <c r="F1203" s="183">
        <f>SUM(F1201:F1202)</f>
        <v>655031254</v>
      </c>
      <c r="I1203" s="888" t="s">
        <v>104</v>
      </c>
      <c r="J1203" s="889"/>
      <c r="K1203" s="889"/>
      <c r="L1203" s="889"/>
      <c r="M1203" s="890"/>
      <c r="N1203" s="183">
        <f>SUM(N1201:N1202)</f>
        <v>402059448</v>
      </c>
    </row>
    <row r="1204" spans="1:16" ht="11.25" customHeight="1">
      <c r="A1204" s="61"/>
      <c r="B1204" s="61"/>
      <c r="C1204" s="61"/>
      <c r="D1204" s="61"/>
      <c r="E1204" s="61"/>
      <c r="I1204" s="61"/>
      <c r="J1204" s="61"/>
      <c r="K1204" s="61"/>
      <c r="L1204" s="61"/>
      <c r="M1204" s="61"/>
    </row>
    <row r="1205" spans="1:16">
      <c r="A1205" s="51" t="s">
        <v>497</v>
      </c>
      <c r="I1205" s="51" t="s">
        <v>1577</v>
      </c>
    </row>
    <row r="1206" spans="1:16" ht="9.75" customHeight="1">
      <c r="F1206" s="139"/>
      <c r="N1206" s="139"/>
    </row>
    <row r="1207" spans="1:16">
      <c r="A1207" s="50" t="s">
        <v>105</v>
      </c>
      <c r="D1207" s="146"/>
      <c r="F1207" s="139"/>
      <c r="I1207" s="50" t="s">
        <v>105</v>
      </c>
      <c r="L1207" s="146"/>
      <c r="N1207" s="139"/>
    </row>
    <row r="1208" spans="1:16" ht="9.75" customHeight="1" thickBot="1"/>
    <row r="1209" spans="1:16" ht="17.25" thickBot="1">
      <c r="A1209" s="891" t="s">
        <v>106</v>
      </c>
      <c r="B1209" s="892"/>
      <c r="C1209" s="892"/>
      <c r="D1209" s="893"/>
      <c r="F1209" s="50" t="s">
        <v>288</v>
      </c>
      <c r="I1209" s="891" t="s">
        <v>106</v>
      </c>
      <c r="J1209" s="892"/>
      <c r="K1209" s="892"/>
      <c r="L1209" s="893"/>
      <c r="N1209" s="604" t="s">
        <v>288</v>
      </c>
      <c r="O1209" s="604"/>
      <c r="P1209" s="604"/>
    </row>
    <row r="1210" spans="1:16" ht="30.75" thickBot="1">
      <c r="A1210" s="57" t="s">
        <v>100</v>
      </c>
      <c r="B1210" s="58" t="s">
        <v>108</v>
      </c>
      <c r="C1210" s="59" t="s">
        <v>109</v>
      </c>
      <c r="D1210" s="60" t="s">
        <v>110</v>
      </c>
      <c r="I1210" s="57" t="s">
        <v>100</v>
      </c>
      <c r="J1210" s="58" t="s">
        <v>108</v>
      </c>
      <c r="K1210" s="59" t="s">
        <v>109</v>
      </c>
      <c r="L1210" s="60" t="s">
        <v>110</v>
      </c>
    </row>
    <row r="1211" spans="1:16" ht="14.25" customHeight="1">
      <c r="A1211" s="71">
        <v>719</v>
      </c>
      <c r="B1211" s="73">
        <f>+H1189+H1191+H1193+H1195+H1199</f>
        <v>180000</v>
      </c>
      <c r="C1211" s="74" t="e">
        <f>+D1172</f>
        <v>#REF!</v>
      </c>
      <c r="D1211" s="195" t="e">
        <f>+B1211+C1211</f>
        <v>#REF!</v>
      </c>
      <c r="I1211" s="71">
        <v>719</v>
      </c>
      <c r="J1211" s="73">
        <f>+P1189+P1191+P1193+P1195+P1199+P1197</f>
        <v>1830000</v>
      </c>
      <c r="K1211" s="74">
        <f>+L1172</f>
        <v>32230000</v>
      </c>
      <c r="L1211" s="195">
        <f>+J1211+K1211</f>
        <v>34060000</v>
      </c>
    </row>
    <row r="1212" spans="1:16" ht="13.5" customHeight="1">
      <c r="A1212" s="72">
        <v>721</v>
      </c>
      <c r="B1212" s="80">
        <f>(+H1200+H1196+H1194+H1192+H1190)</f>
        <v>0</v>
      </c>
      <c r="C1212" s="74" t="e">
        <f>+D1173</f>
        <v>#REF!</v>
      </c>
      <c r="D1212" s="195" t="e">
        <f>+B1212+C1212</f>
        <v>#REF!</v>
      </c>
      <c r="I1212" s="72">
        <v>721</v>
      </c>
      <c r="J1212" s="80">
        <f>+P1200+P1196+P1194+P1192+P1190</f>
        <v>240000</v>
      </c>
      <c r="K1212" s="74">
        <f>+L1173</f>
        <v>5784500</v>
      </c>
      <c r="L1212" s="195">
        <f>+J1212+K1212</f>
        <v>6024500</v>
      </c>
    </row>
    <row r="1213" spans="1:16" ht="12.75" customHeight="1">
      <c r="A1213" s="72">
        <v>722</v>
      </c>
      <c r="B1213" s="80"/>
      <c r="C1213" s="74">
        <f>+D1174</f>
        <v>231207671</v>
      </c>
      <c r="D1213" s="195">
        <f>+B1213+C1213</f>
        <v>231207671</v>
      </c>
      <c r="I1213" s="72">
        <v>722</v>
      </c>
      <c r="J1213" s="80"/>
      <c r="K1213" s="74">
        <f>+L1174</f>
        <v>42881706</v>
      </c>
      <c r="L1213" s="195">
        <f>+J1213+K1213</f>
        <v>42881706</v>
      </c>
    </row>
    <row r="1214" spans="1:16" ht="14.25" customHeight="1">
      <c r="A1214" s="72">
        <v>723</v>
      </c>
      <c r="B1214" s="80"/>
      <c r="C1214" s="74">
        <f>+D1175</f>
        <v>323193545</v>
      </c>
      <c r="D1214" s="195">
        <f>+B1214+C1214</f>
        <v>323193545</v>
      </c>
      <c r="F1214" s="174" t="s">
        <v>23</v>
      </c>
      <c r="G1214" s="175"/>
      <c r="I1214" s="72">
        <v>723</v>
      </c>
      <c r="J1214" s="80"/>
      <c r="K1214" s="74">
        <f>+L1175</f>
        <v>319093242</v>
      </c>
      <c r="L1214" s="195">
        <f>+J1214+K1214</f>
        <v>319093242</v>
      </c>
      <c r="N1214" s="918" t="s">
        <v>1481</v>
      </c>
      <c r="O1214" s="918"/>
      <c r="P1214" s="918"/>
    </row>
    <row r="1215" spans="1:16" ht="14.25" customHeight="1" thickBot="1">
      <c r="A1215" s="164" t="s">
        <v>181</v>
      </c>
      <c r="B1215" s="165"/>
      <c r="C1215" s="74" t="e">
        <f>+D1176</f>
        <v>#REF!</v>
      </c>
      <c r="D1215" s="196" t="e">
        <f>+B1215+C1215</f>
        <v>#REF!</v>
      </c>
      <c r="F1215" s="52"/>
      <c r="I1215" s="164" t="s">
        <v>181</v>
      </c>
      <c r="J1215" s="165"/>
      <c r="K1215" s="74">
        <f>+L1176</f>
        <v>0</v>
      </c>
      <c r="L1215" s="196">
        <f>+J1215+K1215</f>
        <v>0</v>
      </c>
      <c r="N1215" s="52"/>
    </row>
    <row r="1216" spans="1:16" ht="15" customHeight="1" thickBot="1">
      <c r="A1216" s="169"/>
      <c r="B1216" s="170">
        <f>SUM(B1211:B1215)</f>
        <v>180000</v>
      </c>
      <c r="C1216" s="171" t="e">
        <f>SUM(C1211:C1215)</f>
        <v>#REF!</v>
      </c>
      <c r="D1216" s="172" t="e">
        <f>SUM(D1211:D1215)</f>
        <v>#REF!</v>
      </c>
      <c r="I1216" s="169"/>
      <c r="J1216" s="197">
        <f>SUM(J1211:J1215)</f>
        <v>2070000</v>
      </c>
      <c r="K1216" s="197">
        <f>SUM(K1211:K1215)</f>
        <v>399989448</v>
      </c>
      <c r="L1216" s="198">
        <f>SUM(L1211:L1215)</f>
        <v>402059448</v>
      </c>
    </row>
    <row r="1217" spans="1:16" ht="16.5">
      <c r="A1217" s="49" t="s">
        <v>88</v>
      </c>
      <c r="B1217" s="50"/>
      <c r="I1217" s="49" t="s">
        <v>88</v>
      </c>
      <c r="J1217" s="50"/>
    </row>
    <row r="1218" spans="1:16">
      <c r="A1218" s="51" t="s">
        <v>89</v>
      </c>
      <c r="I1218" s="51" t="s">
        <v>89</v>
      </c>
    </row>
    <row r="1219" spans="1:16">
      <c r="A1219" s="51" t="s">
        <v>90</v>
      </c>
      <c r="I1219" s="51" t="s">
        <v>90</v>
      </c>
    </row>
    <row r="1220" spans="1:16">
      <c r="A1220" s="51" t="s">
        <v>91</v>
      </c>
      <c r="I1220" s="51" t="s">
        <v>91</v>
      </c>
    </row>
    <row r="1221" spans="1:16" ht="12" customHeight="1">
      <c r="A1221" s="50"/>
      <c r="B1221" s="50"/>
      <c r="I1221" s="50"/>
      <c r="J1221" s="50"/>
    </row>
    <row r="1222" spans="1:16" ht="16.5">
      <c r="A1222" s="52" t="s">
        <v>498</v>
      </c>
      <c r="G1222" s="52"/>
      <c r="I1222" s="260" t="s">
        <v>200</v>
      </c>
      <c r="O1222" s="52"/>
    </row>
    <row r="1223" spans="1:16" ht="15.75">
      <c r="A1223" s="53" t="s">
        <v>92</v>
      </c>
      <c r="G1223" s="53"/>
      <c r="I1223" s="53" t="s">
        <v>1333</v>
      </c>
      <c r="O1223" s="53"/>
    </row>
    <row r="1224" spans="1:16" ht="16.5">
      <c r="A1224" s="894" t="s">
        <v>261</v>
      </c>
      <c r="B1224" s="894"/>
      <c r="C1224" s="894"/>
      <c r="D1224" s="894"/>
      <c r="E1224" s="894"/>
      <c r="F1224" s="894"/>
      <c r="G1224" s="894"/>
      <c r="H1224" s="894"/>
      <c r="I1224" s="894" t="s">
        <v>1564</v>
      </c>
      <c r="J1224" s="894"/>
      <c r="K1224" s="894"/>
      <c r="L1224" s="894"/>
      <c r="M1224" s="894"/>
      <c r="N1224" s="894"/>
      <c r="O1224" s="894"/>
      <c r="P1224" s="894"/>
    </row>
    <row r="1225" spans="1:16" ht="15.75" thickBot="1"/>
    <row r="1226" spans="1:16">
      <c r="A1226" s="895" t="s">
        <v>94</v>
      </c>
      <c r="B1226" s="897" t="s">
        <v>95</v>
      </c>
      <c r="C1226" s="897" t="s">
        <v>96</v>
      </c>
      <c r="D1226" s="897" t="s">
        <v>3</v>
      </c>
      <c r="E1226" s="897" t="s">
        <v>97</v>
      </c>
      <c r="F1226" s="897" t="s">
        <v>98</v>
      </c>
      <c r="G1226" s="897" t="s">
        <v>99</v>
      </c>
      <c r="H1226" s="899"/>
      <c r="I1226" s="895" t="s">
        <v>94</v>
      </c>
      <c r="J1226" s="897" t="s">
        <v>95</v>
      </c>
      <c r="K1226" s="897" t="s">
        <v>96</v>
      </c>
      <c r="L1226" s="897" t="s">
        <v>3</v>
      </c>
      <c r="M1226" s="897" t="s">
        <v>97</v>
      </c>
      <c r="N1226" s="897" t="s">
        <v>98</v>
      </c>
      <c r="O1226" s="897" t="s">
        <v>99</v>
      </c>
      <c r="P1226" s="899"/>
    </row>
    <row r="1227" spans="1:16" ht="15.75" thickBot="1">
      <c r="A1227" s="896"/>
      <c r="B1227" s="898"/>
      <c r="C1227" s="898"/>
      <c r="D1227" s="898"/>
      <c r="E1227" s="898"/>
      <c r="F1227" s="898"/>
      <c r="G1227" s="240" t="s">
        <v>100</v>
      </c>
      <c r="H1227" s="182" t="s">
        <v>101</v>
      </c>
      <c r="I1227" s="896"/>
      <c r="J1227" s="898"/>
      <c r="K1227" s="898"/>
      <c r="L1227" s="898"/>
      <c r="M1227" s="898"/>
      <c r="N1227" s="898"/>
      <c r="O1227" s="240" t="s">
        <v>100</v>
      </c>
      <c r="P1227" s="182" t="s">
        <v>101</v>
      </c>
    </row>
    <row r="1228" spans="1:16" ht="12" customHeight="1">
      <c r="A1228" s="919" t="e">
        <f>+A1193+1</f>
        <v>#REF!</v>
      </c>
      <c r="B1228" s="875">
        <v>42361</v>
      </c>
      <c r="C1228" s="877" t="s">
        <v>267</v>
      </c>
      <c r="D1228" s="877" t="s">
        <v>499</v>
      </c>
      <c r="E1228" s="881" t="s">
        <v>148</v>
      </c>
      <c r="F1228" s="883">
        <v>126000</v>
      </c>
      <c r="G1228" s="55">
        <v>719</v>
      </c>
      <c r="H1228" s="78">
        <v>90000</v>
      </c>
      <c r="I1228" s="873" t="s">
        <v>1569</v>
      </c>
      <c r="J1228" s="875">
        <v>43062</v>
      </c>
      <c r="K1228" s="881" t="s">
        <v>28</v>
      </c>
      <c r="L1228" s="879" t="s">
        <v>1566</v>
      </c>
      <c r="M1228" s="881" t="s">
        <v>115</v>
      </c>
      <c r="N1228" s="883">
        <v>50000</v>
      </c>
      <c r="O1228" s="55">
        <v>719</v>
      </c>
      <c r="P1228" s="78">
        <f>+N1228</f>
        <v>50000</v>
      </c>
    </row>
    <row r="1229" spans="1:16" ht="14.25" customHeight="1" thickBot="1">
      <c r="A1229" s="920"/>
      <c r="B1229" s="876"/>
      <c r="C1229" s="878"/>
      <c r="D1229" s="878"/>
      <c r="E1229" s="882"/>
      <c r="F1229" s="884"/>
      <c r="G1229" s="56">
        <v>721</v>
      </c>
      <c r="H1229" s="79">
        <f>+F1228-H1228</f>
        <v>36000</v>
      </c>
      <c r="I1229" s="874"/>
      <c r="J1229" s="876"/>
      <c r="K1229" s="882"/>
      <c r="L1229" s="880"/>
      <c r="M1229" s="882"/>
      <c r="N1229" s="884"/>
      <c r="O1229" s="56">
        <v>721</v>
      </c>
      <c r="P1229" s="79"/>
    </row>
    <row r="1230" spans="1:16" ht="15" customHeight="1">
      <c r="A1230" s="919" t="e">
        <f>+A1228+1</f>
        <v>#REF!</v>
      </c>
      <c r="B1230" s="875">
        <v>42361</v>
      </c>
      <c r="C1230" s="881" t="s">
        <v>28</v>
      </c>
      <c r="D1230" s="877" t="s">
        <v>500</v>
      </c>
      <c r="E1230" s="881" t="s">
        <v>148</v>
      </c>
      <c r="F1230" s="883">
        <v>196000</v>
      </c>
      <c r="G1230" s="55">
        <v>719</v>
      </c>
      <c r="H1230" s="78">
        <v>140000</v>
      </c>
      <c r="I1230" s="873" t="s">
        <v>1570</v>
      </c>
      <c r="J1230" s="875">
        <v>43062</v>
      </c>
      <c r="K1230" s="881" t="s">
        <v>120</v>
      </c>
      <c r="L1230" s="879" t="s">
        <v>1567</v>
      </c>
      <c r="M1230" s="881" t="s">
        <v>115</v>
      </c>
      <c r="N1230" s="883">
        <v>190000</v>
      </c>
      <c r="O1230" s="55">
        <v>719</v>
      </c>
      <c r="P1230" s="78">
        <f>+N1230</f>
        <v>190000</v>
      </c>
    </row>
    <row r="1231" spans="1:16" ht="13.5" customHeight="1" thickBot="1">
      <c r="A1231" s="920"/>
      <c r="B1231" s="876"/>
      <c r="C1231" s="882"/>
      <c r="D1231" s="878"/>
      <c r="E1231" s="882"/>
      <c r="F1231" s="884"/>
      <c r="G1231" s="56">
        <v>721</v>
      </c>
      <c r="H1231" s="79">
        <f>+F1230-H1230</f>
        <v>56000</v>
      </c>
      <c r="I1231" s="882"/>
      <c r="J1231" s="876"/>
      <c r="K1231" s="882"/>
      <c r="L1231" s="880"/>
      <c r="M1231" s="882"/>
      <c r="N1231" s="884"/>
      <c r="O1231" s="56">
        <v>721</v>
      </c>
      <c r="P1231" s="79"/>
    </row>
    <row r="1232" spans="1:16" ht="12.75" customHeight="1">
      <c r="A1232" s="919" t="e">
        <f>+A1230+1</f>
        <v>#REF!</v>
      </c>
      <c r="B1232" s="875">
        <v>42361</v>
      </c>
      <c r="C1232" s="877" t="s">
        <v>32</v>
      </c>
      <c r="D1232" s="877" t="s">
        <v>500</v>
      </c>
      <c r="E1232" s="881" t="s">
        <v>148</v>
      </c>
      <c r="F1232" s="883">
        <v>42000</v>
      </c>
      <c r="G1232" s="55">
        <v>719</v>
      </c>
      <c r="H1232" s="78">
        <v>30000</v>
      </c>
      <c r="I1232" s="873" t="s">
        <v>1568</v>
      </c>
      <c r="J1232" s="875">
        <v>43062</v>
      </c>
      <c r="K1232" s="877" t="s">
        <v>1571</v>
      </c>
      <c r="L1232" s="879" t="s">
        <v>1225</v>
      </c>
      <c r="M1232" s="881" t="s">
        <v>115</v>
      </c>
      <c r="N1232" s="883">
        <v>3980000</v>
      </c>
      <c r="O1232" s="55">
        <v>719</v>
      </c>
      <c r="P1232" s="78"/>
    </row>
    <row r="1233" spans="1:16" ht="15.75" customHeight="1" thickBot="1">
      <c r="A1233" s="920"/>
      <c r="B1233" s="876"/>
      <c r="C1233" s="878"/>
      <c r="D1233" s="878"/>
      <c r="E1233" s="882"/>
      <c r="F1233" s="884"/>
      <c r="G1233" s="56">
        <v>721</v>
      </c>
      <c r="H1233" s="79">
        <f>+F1232-H1232</f>
        <v>12000</v>
      </c>
      <c r="I1233" s="882"/>
      <c r="J1233" s="876"/>
      <c r="K1233" s="878"/>
      <c r="L1233" s="880"/>
      <c r="M1233" s="882"/>
      <c r="N1233" s="884"/>
      <c r="O1233" s="56">
        <v>723</v>
      </c>
      <c r="P1233" s="79">
        <f>+N1232</f>
        <v>3980000</v>
      </c>
    </row>
    <row r="1234" spans="1:16" ht="12" customHeight="1">
      <c r="A1234" s="919" t="e">
        <f>+A1232+1</f>
        <v>#REF!</v>
      </c>
      <c r="B1234" s="875">
        <v>42361</v>
      </c>
      <c r="C1234" s="877" t="s">
        <v>111</v>
      </c>
      <c r="D1234" s="877" t="s">
        <v>499</v>
      </c>
      <c r="E1234" s="881" t="s">
        <v>148</v>
      </c>
      <c r="F1234" s="883">
        <v>112000</v>
      </c>
      <c r="G1234" s="55">
        <v>719</v>
      </c>
      <c r="H1234" s="78">
        <v>80000</v>
      </c>
      <c r="I1234" s="873" t="s">
        <v>1563</v>
      </c>
      <c r="J1234" s="875">
        <v>43062</v>
      </c>
      <c r="K1234" s="881" t="s">
        <v>385</v>
      </c>
      <c r="L1234" s="879" t="s">
        <v>1188</v>
      </c>
      <c r="M1234" s="881" t="s">
        <v>148</v>
      </c>
      <c r="N1234" s="883">
        <v>22479749</v>
      </c>
      <c r="O1234" s="55">
        <v>719</v>
      </c>
      <c r="P1234" s="78"/>
    </row>
    <row r="1235" spans="1:16" ht="14.25" customHeight="1" thickBot="1">
      <c r="A1235" s="920"/>
      <c r="B1235" s="876"/>
      <c r="C1235" s="878"/>
      <c r="D1235" s="878"/>
      <c r="E1235" s="882"/>
      <c r="F1235" s="884"/>
      <c r="G1235" s="56">
        <v>721</v>
      </c>
      <c r="H1235" s="79">
        <f>+F1234-H1234</f>
        <v>32000</v>
      </c>
      <c r="I1235" s="882"/>
      <c r="J1235" s="876"/>
      <c r="K1235" s="882"/>
      <c r="L1235" s="880"/>
      <c r="M1235" s="882"/>
      <c r="N1235" s="884"/>
      <c r="O1235" s="56">
        <v>721</v>
      </c>
      <c r="P1235" s="79">
        <f>+N1234</f>
        <v>22479749</v>
      </c>
    </row>
    <row r="1236" spans="1:16" ht="12" customHeight="1">
      <c r="A1236" s="919" t="e">
        <f>+A1234+1</f>
        <v>#REF!</v>
      </c>
      <c r="B1236" s="875">
        <v>42361</v>
      </c>
      <c r="C1236" s="877" t="s">
        <v>272</v>
      </c>
      <c r="D1236" s="877" t="s">
        <v>500</v>
      </c>
      <c r="E1236" s="881" t="s">
        <v>148</v>
      </c>
      <c r="F1236" s="883">
        <v>588000</v>
      </c>
      <c r="G1236" s="55">
        <v>719</v>
      </c>
      <c r="H1236" s="78">
        <v>420000</v>
      </c>
      <c r="I1236" s="873" t="s">
        <v>873</v>
      </c>
      <c r="J1236" s="875">
        <v>43062</v>
      </c>
      <c r="K1236" s="881" t="s">
        <v>385</v>
      </c>
      <c r="L1236" s="879" t="s">
        <v>1245</v>
      </c>
      <c r="M1236" s="881" t="s">
        <v>148</v>
      </c>
      <c r="N1236" s="883">
        <v>55554732</v>
      </c>
      <c r="O1236" s="55">
        <v>719</v>
      </c>
      <c r="P1236" s="78"/>
    </row>
    <row r="1237" spans="1:16" ht="13.5" customHeight="1" thickBot="1">
      <c r="A1237" s="920"/>
      <c r="B1237" s="876"/>
      <c r="C1237" s="878"/>
      <c r="D1237" s="878"/>
      <c r="E1237" s="882"/>
      <c r="F1237" s="884"/>
      <c r="G1237" s="56">
        <v>721</v>
      </c>
      <c r="H1237" s="79">
        <f>+F1236-H1236</f>
        <v>168000</v>
      </c>
      <c r="I1237" s="882"/>
      <c r="J1237" s="876"/>
      <c r="K1237" s="882"/>
      <c r="L1237" s="880"/>
      <c r="M1237" s="882"/>
      <c r="N1237" s="884"/>
      <c r="O1237" s="56">
        <v>721</v>
      </c>
      <c r="P1237" s="79">
        <f>+N1236-P1236</f>
        <v>55554732</v>
      </c>
    </row>
    <row r="1238" spans="1:16" ht="16.5" thickBot="1">
      <c r="A1238" s="901" t="s">
        <v>102</v>
      </c>
      <c r="B1238" s="902"/>
      <c r="C1238" s="902"/>
      <c r="D1238" s="902"/>
      <c r="E1238" s="903"/>
      <c r="F1238" s="81">
        <f>SUM(F1228:F1237)</f>
        <v>1064000</v>
      </c>
      <c r="I1238" s="901" t="s">
        <v>102</v>
      </c>
      <c r="J1238" s="902"/>
      <c r="K1238" s="902"/>
      <c r="L1238" s="902"/>
      <c r="M1238" s="903"/>
      <c r="N1238" s="81">
        <f>SUM(N1228:N1237)</f>
        <v>82254481</v>
      </c>
    </row>
    <row r="1239" spans="1:16" ht="16.5" thickBot="1">
      <c r="A1239" s="885" t="s">
        <v>103</v>
      </c>
      <c r="B1239" s="886"/>
      <c r="C1239" s="886"/>
      <c r="D1239" s="886"/>
      <c r="E1239" s="887"/>
      <c r="F1239" s="69">
        <f>+F1203</f>
        <v>655031254</v>
      </c>
      <c r="I1239" s="885" t="s">
        <v>103</v>
      </c>
      <c r="J1239" s="886"/>
      <c r="K1239" s="886"/>
      <c r="L1239" s="886"/>
      <c r="M1239" s="887"/>
      <c r="N1239" s="69">
        <f>+N1203</f>
        <v>402059448</v>
      </c>
      <c r="O1239" s="241" t="s">
        <v>561</v>
      </c>
      <c r="P1239" s="242"/>
    </row>
    <row r="1240" spans="1:16" ht="16.5" thickBot="1">
      <c r="A1240" s="888" t="s">
        <v>104</v>
      </c>
      <c r="B1240" s="889"/>
      <c r="C1240" s="889"/>
      <c r="D1240" s="889"/>
      <c r="E1240" s="890"/>
      <c r="F1240" s="183">
        <f>SUM(F1238:F1239)</f>
        <v>656095254</v>
      </c>
      <c r="I1240" s="888" t="s">
        <v>104</v>
      </c>
      <c r="J1240" s="889"/>
      <c r="K1240" s="889"/>
      <c r="L1240" s="889"/>
      <c r="M1240" s="890"/>
      <c r="N1240" s="183">
        <f>SUM(N1238:N1239)</f>
        <v>484313929</v>
      </c>
    </row>
    <row r="1241" spans="1:16">
      <c r="A1241" s="61"/>
      <c r="B1241" s="61"/>
      <c r="C1241" s="61"/>
      <c r="D1241" s="61"/>
      <c r="E1241" s="61"/>
      <c r="I1241" s="61"/>
      <c r="J1241" s="61"/>
      <c r="K1241" s="61"/>
      <c r="L1241" s="61"/>
      <c r="M1241" s="61"/>
    </row>
    <row r="1242" spans="1:16">
      <c r="A1242" s="51" t="s">
        <v>501</v>
      </c>
      <c r="I1242" s="51" t="s">
        <v>1565</v>
      </c>
    </row>
    <row r="1243" spans="1:16" ht="11.25" customHeight="1">
      <c r="F1243" s="139"/>
      <c r="N1243" s="139"/>
    </row>
    <row r="1244" spans="1:16">
      <c r="A1244" s="50" t="s">
        <v>105</v>
      </c>
      <c r="D1244" s="146"/>
      <c r="F1244" s="139"/>
      <c r="I1244" s="50" t="s">
        <v>105</v>
      </c>
      <c r="L1244" s="146"/>
      <c r="N1244" s="139"/>
    </row>
    <row r="1245" spans="1:16" ht="13.5" customHeight="1" thickBot="1"/>
    <row r="1246" spans="1:16" ht="17.25" thickBot="1">
      <c r="A1246" s="891" t="s">
        <v>106</v>
      </c>
      <c r="B1246" s="892"/>
      <c r="C1246" s="892"/>
      <c r="D1246" s="893"/>
      <c r="F1246" s="50" t="s">
        <v>288</v>
      </c>
      <c r="I1246" s="891" t="s">
        <v>106</v>
      </c>
      <c r="J1246" s="892"/>
      <c r="K1246" s="892"/>
      <c r="L1246" s="893"/>
      <c r="N1246" s="604" t="s">
        <v>288</v>
      </c>
      <c r="O1246" s="604"/>
      <c r="P1246" s="604"/>
    </row>
    <row r="1247" spans="1:16" ht="26.25" customHeight="1" thickBot="1">
      <c r="A1247" s="57" t="s">
        <v>100</v>
      </c>
      <c r="B1247" s="58" t="s">
        <v>108</v>
      </c>
      <c r="C1247" s="59" t="s">
        <v>109</v>
      </c>
      <c r="D1247" s="60" t="s">
        <v>110</v>
      </c>
      <c r="I1247" s="57" t="s">
        <v>100</v>
      </c>
      <c r="J1247" s="58" t="s">
        <v>108</v>
      </c>
      <c r="K1247" s="59" t="s">
        <v>109</v>
      </c>
      <c r="L1247" s="60" t="s">
        <v>110</v>
      </c>
    </row>
    <row r="1248" spans="1:16">
      <c r="A1248" s="71">
        <v>719</v>
      </c>
      <c r="B1248" s="73">
        <f>+H1228+H1230+H1232+H1234+H1236</f>
        <v>760000</v>
      </c>
      <c r="C1248" s="74" t="e">
        <f>+D1211</f>
        <v>#REF!</v>
      </c>
      <c r="D1248" s="195" t="e">
        <f>+B1248+C1248</f>
        <v>#REF!</v>
      </c>
      <c r="I1248" s="71">
        <v>719</v>
      </c>
      <c r="J1248" s="73">
        <f>+P1228+P1230+P1232+P1234+P1236</f>
        <v>240000</v>
      </c>
      <c r="K1248" s="74">
        <f>+L1211</f>
        <v>34060000</v>
      </c>
      <c r="L1248" s="195">
        <f>+J1248+K1248</f>
        <v>34300000</v>
      </c>
    </row>
    <row r="1249" spans="1:16" ht="14.25" customHeight="1">
      <c r="A1249" s="72">
        <v>721</v>
      </c>
      <c r="B1249" s="80">
        <f>(+H1237+H1235+H1233+H1231+H1229)</f>
        <v>304000</v>
      </c>
      <c r="C1249" s="74" t="e">
        <f>+D1212</f>
        <v>#REF!</v>
      </c>
      <c r="D1249" s="195" t="e">
        <f>+B1249+C1249</f>
        <v>#REF!</v>
      </c>
      <c r="I1249" s="72">
        <v>721</v>
      </c>
      <c r="J1249" s="80">
        <f>+P1229+P1231++P1235+P1237</f>
        <v>78034481</v>
      </c>
      <c r="K1249" s="74">
        <f>+L1212</f>
        <v>6024500</v>
      </c>
      <c r="L1249" s="195">
        <f>+J1249+K1249</f>
        <v>84058981</v>
      </c>
    </row>
    <row r="1250" spans="1:16" ht="12.75" customHeight="1">
      <c r="A1250" s="72">
        <v>722</v>
      </c>
      <c r="B1250" s="80"/>
      <c r="C1250" s="74">
        <f>+D1213</f>
        <v>231207671</v>
      </c>
      <c r="D1250" s="195">
        <f>+B1250+C1250</f>
        <v>231207671</v>
      </c>
      <c r="I1250" s="72">
        <v>722</v>
      </c>
      <c r="J1250" s="80"/>
      <c r="K1250" s="74">
        <f>+L1213</f>
        <v>42881706</v>
      </c>
      <c r="L1250" s="195">
        <f>+J1250+K1250</f>
        <v>42881706</v>
      </c>
      <c r="N1250" s="918" t="s">
        <v>1481</v>
      </c>
      <c r="O1250" s="918"/>
      <c r="P1250" s="918"/>
    </row>
    <row r="1251" spans="1:16" ht="14.25" customHeight="1">
      <c r="A1251" s="72">
        <v>723</v>
      </c>
      <c r="B1251" s="80"/>
      <c r="C1251" s="74">
        <f>+D1214</f>
        <v>323193545</v>
      </c>
      <c r="D1251" s="195">
        <f>+B1251+C1251</f>
        <v>323193545</v>
      </c>
      <c r="F1251" s="174" t="s">
        <v>23</v>
      </c>
      <c r="G1251" s="175"/>
      <c r="I1251" s="72">
        <v>723</v>
      </c>
      <c r="J1251" s="80">
        <f>+P1233</f>
        <v>3980000</v>
      </c>
      <c r="K1251" s="74">
        <f>+L1214</f>
        <v>319093242</v>
      </c>
      <c r="L1251" s="195">
        <f>+J1251+K1251</f>
        <v>323073242</v>
      </c>
      <c r="N1251" s="918"/>
      <c r="O1251" s="918"/>
      <c r="P1251" s="918"/>
    </row>
    <row r="1252" spans="1:16" ht="14.25" customHeight="1" thickBot="1">
      <c r="A1252" s="164" t="s">
        <v>181</v>
      </c>
      <c r="B1252" s="165"/>
      <c r="C1252" s="74" t="e">
        <f>+D1215</f>
        <v>#REF!</v>
      </c>
      <c r="D1252" s="196" t="e">
        <f>+B1252+C1252</f>
        <v>#REF!</v>
      </c>
      <c r="F1252" s="52"/>
      <c r="I1252" s="164" t="s">
        <v>181</v>
      </c>
      <c r="J1252" s="165"/>
      <c r="K1252" s="74">
        <f>+L1215</f>
        <v>0</v>
      </c>
      <c r="L1252" s="196">
        <f>+J1252+K1252</f>
        <v>0</v>
      </c>
      <c r="N1252" s="52"/>
    </row>
    <row r="1253" spans="1:16" ht="16.5" thickBot="1">
      <c r="A1253" s="169"/>
      <c r="B1253" s="170">
        <f>SUM(B1248:B1252)</f>
        <v>1064000</v>
      </c>
      <c r="C1253" s="171" t="e">
        <f>SUM(C1248:C1252)</f>
        <v>#REF!</v>
      </c>
      <c r="D1253" s="172" t="e">
        <f>SUM(D1248:D1252)</f>
        <v>#REF!</v>
      </c>
      <c r="I1253" s="169"/>
      <c r="J1253" s="197">
        <f>SUM(J1248:J1252)</f>
        <v>82254481</v>
      </c>
      <c r="K1253" s="197">
        <f>SUM(K1248:K1252)</f>
        <v>402059448</v>
      </c>
      <c r="L1253" s="198">
        <f>SUM(L1248:L1252)</f>
        <v>484313929</v>
      </c>
    </row>
    <row r="1254" spans="1:16" ht="16.5">
      <c r="A1254" s="49" t="s">
        <v>88</v>
      </c>
      <c r="B1254" s="50"/>
      <c r="I1254" s="49" t="s">
        <v>88</v>
      </c>
      <c r="J1254" s="50"/>
    </row>
    <row r="1255" spans="1:16">
      <c r="A1255" s="51" t="s">
        <v>89</v>
      </c>
      <c r="I1255" s="51" t="s">
        <v>89</v>
      </c>
    </row>
    <row r="1256" spans="1:16">
      <c r="A1256" s="51" t="s">
        <v>90</v>
      </c>
      <c r="I1256" s="51" t="s">
        <v>90</v>
      </c>
    </row>
    <row r="1257" spans="1:16">
      <c r="A1257" s="51" t="s">
        <v>91</v>
      </c>
      <c r="I1257" s="51" t="s">
        <v>91</v>
      </c>
    </row>
    <row r="1258" spans="1:16" ht="12" customHeight="1">
      <c r="A1258" s="50"/>
      <c r="B1258" s="50"/>
      <c r="I1258" s="50"/>
      <c r="J1258" s="50"/>
    </row>
    <row r="1259" spans="1:16" ht="16.5">
      <c r="A1259" s="52" t="s">
        <v>502</v>
      </c>
      <c r="G1259" s="52"/>
      <c r="I1259" s="260" t="s">
        <v>871</v>
      </c>
      <c r="O1259" s="52"/>
    </row>
    <row r="1260" spans="1:16" ht="15.75">
      <c r="A1260" s="53" t="s">
        <v>92</v>
      </c>
      <c r="G1260" s="53"/>
      <c r="I1260" s="53" t="s">
        <v>1333</v>
      </c>
      <c r="O1260" s="53"/>
    </row>
    <row r="1261" spans="1:16" ht="16.5">
      <c r="A1261" s="894" t="s">
        <v>261</v>
      </c>
      <c r="B1261" s="894"/>
      <c r="C1261" s="894"/>
      <c r="D1261" s="894"/>
      <c r="E1261" s="894"/>
      <c r="F1261" s="894"/>
      <c r="G1261" s="894"/>
      <c r="H1261" s="894"/>
      <c r="I1261" s="894" t="s">
        <v>903</v>
      </c>
      <c r="J1261" s="894"/>
      <c r="K1261" s="894"/>
      <c r="L1261" s="894"/>
      <c r="M1261" s="894"/>
      <c r="N1261" s="894"/>
      <c r="O1261" s="894"/>
      <c r="P1261" s="894"/>
    </row>
    <row r="1262" spans="1:16" ht="12.75" customHeight="1" thickBot="1"/>
    <row r="1263" spans="1:16">
      <c r="A1263" s="895" t="s">
        <v>94</v>
      </c>
      <c r="B1263" s="897" t="s">
        <v>95</v>
      </c>
      <c r="C1263" s="897" t="s">
        <v>96</v>
      </c>
      <c r="D1263" s="897" t="s">
        <v>3</v>
      </c>
      <c r="E1263" s="897" t="s">
        <v>97</v>
      </c>
      <c r="F1263" s="897" t="s">
        <v>98</v>
      </c>
      <c r="G1263" s="897" t="s">
        <v>99</v>
      </c>
      <c r="H1263" s="899"/>
      <c r="I1263" s="895" t="s">
        <v>94</v>
      </c>
      <c r="J1263" s="897" t="s">
        <v>95</v>
      </c>
      <c r="K1263" s="897" t="s">
        <v>96</v>
      </c>
      <c r="L1263" s="897" t="s">
        <v>3</v>
      </c>
      <c r="M1263" s="897" t="s">
        <v>97</v>
      </c>
      <c r="N1263" s="897" t="s">
        <v>98</v>
      </c>
      <c r="O1263" s="897" t="s">
        <v>99</v>
      </c>
      <c r="P1263" s="899"/>
    </row>
    <row r="1264" spans="1:16" ht="15.75" thickBot="1">
      <c r="A1264" s="896"/>
      <c r="B1264" s="898"/>
      <c r="C1264" s="898"/>
      <c r="D1264" s="898"/>
      <c r="E1264" s="898"/>
      <c r="F1264" s="898"/>
      <c r="G1264" s="240" t="s">
        <v>100</v>
      </c>
      <c r="H1264" s="182" t="s">
        <v>101</v>
      </c>
      <c r="I1264" s="896"/>
      <c r="J1264" s="898"/>
      <c r="K1264" s="898"/>
      <c r="L1264" s="898"/>
      <c r="M1264" s="898"/>
      <c r="N1264" s="898"/>
      <c r="O1264" s="240" t="s">
        <v>100</v>
      </c>
      <c r="P1264" s="182" t="s">
        <v>101</v>
      </c>
    </row>
    <row r="1265" spans="1:16" ht="15" customHeight="1">
      <c r="A1265" s="919" t="e">
        <f>+A1236+1</f>
        <v>#REF!</v>
      </c>
      <c r="B1265" s="875">
        <v>42361</v>
      </c>
      <c r="C1265" s="877" t="s">
        <v>267</v>
      </c>
      <c r="D1265" s="877" t="s">
        <v>490</v>
      </c>
      <c r="E1265" s="881" t="s">
        <v>148</v>
      </c>
      <c r="F1265" s="883">
        <v>168000</v>
      </c>
      <c r="G1265" s="55">
        <v>719</v>
      </c>
      <c r="H1265" s="78">
        <v>120000</v>
      </c>
      <c r="I1265" s="873" t="s">
        <v>1578</v>
      </c>
      <c r="J1265" s="875">
        <v>43062</v>
      </c>
      <c r="K1265" s="877" t="s">
        <v>28</v>
      </c>
      <c r="L1265" s="881" t="s">
        <v>1582</v>
      </c>
      <c r="M1265" s="881" t="s">
        <v>115</v>
      </c>
      <c r="N1265" s="883">
        <v>80000</v>
      </c>
      <c r="O1265" s="55">
        <v>719</v>
      </c>
      <c r="P1265" s="78">
        <f>+N1265</f>
        <v>80000</v>
      </c>
    </row>
    <row r="1266" spans="1:16" ht="15.75" customHeight="1" thickBot="1">
      <c r="A1266" s="920"/>
      <c r="B1266" s="876"/>
      <c r="C1266" s="878"/>
      <c r="D1266" s="878"/>
      <c r="E1266" s="882"/>
      <c r="F1266" s="884"/>
      <c r="G1266" s="56">
        <v>721</v>
      </c>
      <c r="H1266" s="79">
        <f>+F1265-H1265</f>
        <v>48000</v>
      </c>
      <c r="I1266" s="874"/>
      <c r="J1266" s="876"/>
      <c r="K1266" s="878"/>
      <c r="L1266" s="882"/>
      <c r="M1266" s="882"/>
      <c r="N1266" s="884"/>
      <c r="O1266" s="56">
        <v>723</v>
      </c>
      <c r="P1266" s="79"/>
    </row>
    <row r="1267" spans="1:16" ht="15" customHeight="1">
      <c r="A1267" s="919" t="e">
        <f>+A1265+1</f>
        <v>#REF!</v>
      </c>
      <c r="B1267" s="875">
        <v>42361</v>
      </c>
      <c r="C1267" s="881" t="s">
        <v>28</v>
      </c>
      <c r="D1267" s="877" t="s">
        <v>503</v>
      </c>
      <c r="E1267" s="881" t="s">
        <v>148</v>
      </c>
      <c r="F1267" s="883">
        <v>182000</v>
      </c>
      <c r="G1267" s="55">
        <v>719</v>
      </c>
      <c r="H1267" s="78">
        <v>130000</v>
      </c>
      <c r="I1267" s="873" t="s">
        <v>1579</v>
      </c>
      <c r="J1267" s="875">
        <v>43062</v>
      </c>
      <c r="K1267" s="881" t="s">
        <v>120</v>
      </c>
      <c r="L1267" s="881" t="s">
        <v>1581</v>
      </c>
      <c r="M1267" s="881" t="s">
        <v>115</v>
      </c>
      <c r="N1267" s="883">
        <v>300000</v>
      </c>
      <c r="O1267" s="55">
        <v>719</v>
      </c>
      <c r="P1267" s="78">
        <f>+N1267</f>
        <v>300000</v>
      </c>
    </row>
    <row r="1268" spans="1:16" ht="15.75" customHeight="1" thickBot="1">
      <c r="A1268" s="920"/>
      <c r="B1268" s="876"/>
      <c r="C1268" s="882"/>
      <c r="D1268" s="878"/>
      <c r="E1268" s="882"/>
      <c r="F1268" s="884"/>
      <c r="G1268" s="56">
        <v>721</v>
      </c>
      <c r="H1268" s="79">
        <f>+F1267-H1267</f>
        <v>52000</v>
      </c>
      <c r="I1268" s="874"/>
      <c r="J1268" s="876"/>
      <c r="K1268" s="882"/>
      <c r="L1268" s="882"/>
      <c r="M1268" s="882"/>
      <c r="N1268" s="884"/>
      <c r="O1268" s="56">
        <v>723</v>
      </c>
      <c r="P1268" s="79">
        <v>0</v>
      </c>
    </row>
    <row r="1269" spans="1:16" ht="12.75" customHeight="1">
      <c r="A1269" s="919" t="e">
        <f>+A1267+1</f>
        <v>#REF!</v>
      </c>
      <c r="B1269" s="875">
        <v>42361</v>
      </c>
      <c r="C1269" s="877" t="s">
        <v>32</v>
      </c>
      <c r="D1269" s="877" t="s">
        <v>504</v>
      </c>
      <c r="E1269" s="881" t="s">
        <v>148</v>
      </c>
      <c r="F1269" s="883">
        <v>98000</v>
      </c>
      <c r="G1269" s="55">
        <v>719</v>
      </c>
      <c r="H1269" s="78">
        <v>70000</v>
      </c>
      <c r="I1269" s="881"/>
      <c r="J1269" s="875"/>
      <c r="K1269" s="877"/>
      <c r="L1269" s="881"/>
      <c r="M1269" s="881"/>
      <c r="N1269" s="883"/>
      <c r="O1269" s="55"/>
      <c r="P1269" s="78"/>
    </row>
    <row r="1270" spans="1:16" ht="12" customHeight="1" thickBot="1">
      <c r="A1270" s="920"/>
      <c r="B1270" s="876"/>
      <c r="C1270" s="878"/>
      <c r="D1270" s="878"/>
      <c r="E1270" s="882"/>
      <c r="F1270" s="884"/>
      <c r="G1270" s="56">
        <v>721</v>
      </c>
      <c r="H1270" s="79">
        <f>+F1269-H1269</f>
        <v>28000</v>
      </c>
      <c r="I1270" s="882"/>
      <c r="J1270" s="876"/>
      <c r="K1270" s="878"/>
      <c r="L1270" s="882"/>
      <c r="M1270" s="882"/>
      <c r="N1270" s="884"/>
      <c r="O1270" s="56"/>
      <c r="P1270" s="79"/>
    </row>
    <row r="1271" spans="1:16" ht="12.75" customHeight="1">
      <c r="A1271" s="919" t="e">
        <f>+A1269+1</f>
        <v>#REF!</v>
      </c>
      <c r="B1271" s="875">
        <v>42361</v>
      </c>
      <c r="C1271" s="877" t="s">
        <v>111</v>
      </c>
      <c r="D1271" s="877" t="s">
        <v>505</v>
      </c>
      <c r="E1271" s="881" t="s">
        <v>148</v>
      </c>
      <c r="F1271" s="883">
        <v>168000</v>
      </c>
      <c r="G1271" s="55">
        <v>719</v>
      </c>
      <c r="H1271" s="78">
        <v>120000</v>
      </c>
      <c r="I1271" s="881"/>
      <c r="J1271" s="875"/>
      <c r="K1271" s="877"/>
      <c r="L1271" s="881"/>
      <c r="M1271" s="881"/>
      <c r="N1271" s="883"/>
      <c r="O1271" s="55"/>
      <c r="P1271" s="78"/>
    </row>
    <row r="1272" spans="1:16" ht="12" customHeight="1" thickBot="1">
      <c r="A1272" s="920"/>
      <c r="B1272" s="876"/>
      <c r="C1272" s="878"/>
      <c r="D1272" s="878"/>
      <c r="E1272" s="882"/>
      <c r="F1272" s="884"/>
      <c r="G1272" s="56">
        <v>721</v>
      </c>
      <c r="H1272" s="79">
        <f>+F1271-H1271</f>
        <v>48000</v>
      </c>
      <c r="I1272" s="882"/>
      <c r="J1272" s="876"/>
      <c r="K1272" s="878"/>
      <c r="L1272" s="882"/>
      <c r="M1272" s="882"/>
      <c r="N1272" s="884"/>
      <c r="O1272" s="56"/>
      <c r="P1272" s="79"/>
    </row>
    <row r="1273" spans="1:16" ht="12" customHeight="1">
      <c r="A1273" s="919" t="e">
        <f>+A1271+1</f>
        <v>#REF!</v>
      </c>
      <c r="B1273" s="875">
        <v>42361</v>
      </c>
      <c r="C1273" s="877" t="s">
        <v>272</v>
      </c>
      <c r="D1273" s="877" t="s">
        <v>504</v>
      </c>
      <c r="E1273" s="881" t="s">
        <v>148</v>
      </c>
      <c r="F1273" s="883">
        <v>700000</v>
      </c>
      <c r="G1273" s="55">
        <v>719</v>
      </c>
      <c r="H1273" s="78">
        <v>500000</v>
      </c>
      <c r="I1273" s="881"/>
      <c r="J1273" s="875"/>
      <c r="K1273" s="877"/>
      <c r="L1273" s="881"/>
      <c r="M1273" s="881"/>
      <c r="N1273" s="883"/>
      <c r="O1273" s="55"/>
      <c r="P1273" s="78"/>
    </row>
    <row r="1274" spans="1:16" ht="13.5" customHeight="1" thickBot="1">
      <c r="A1274" s="920"/>
      <c r="B1274" s="876"/>
      <c r="C1274" s="878"/>
      <c r="D1274" s="878"/>
      <c r="E1274" s="882"/>
      <c r="F1274" s="884"/>
      <c r="G1274" s="56">
        <v>721</v>
      </c>
      <c r="H1274" s="79">
        <f>+F1273-H1273</f>
        <v>200000</v>
      </c>
      <c r="I1274" s="882"/>
      <c r="J1274" s="876"/>
      <c r="K1274" s="878"/>
      <c r="L1274" s="882"/>
      <c r="M1274" s="882"/>
      <c r="N1274" s="884"/>
      <c r="O1274" s="56"/>
      <c r="P1274" s="79"/>
    </row>
    <row r="1275" spans="1:16" ht="16.5" thickBot="1">
      <c r="A1275" s="901" t="s">
        <v>102</v>
      </c>
      <c r="B1275" s="902"/>
      <c r="C1275" s="902"/>
      <c r="D1275" s="902"/>
      <c r="E1275" s="903"/>
      <c r="F1275" s="81">
        <f>SUM(F1265:F1274)</f>
        <v>1316000</v>
      </c>
      <c r="I1275" s="901" t="s">
        <v>102</v>
      </c>
      <c r="J1275" s="902"/>
      <c r="K1275" s="902"/>
      <c r="L1275" s="902"/>
      <c r="M1275" s="903"/>
      <c r="N1275" s="81">
        <f>SUM(N1265:N1274)</f>
        <v>380000</v>
      </c>
    </row>
    <row r="1276" spans="1:16" ht="16.5" thickBot="1">
      <c r="A1276" s="885" t="s">
        <v>103</v>
      </c>
      <c r="B1276" s="886"/>
      <c r="C1276" s="886"/>
      <c r="D1276" s="886"/>
      <c r="E1276" s="887"/>
      <c r="F1276" s="69">
        <f>+F1240</f>
        <v>656095254</v>
      </c>
      <c r="I1276" s="885" t="s">
        <v>103</v>
      </c>
      <c r="J1276" s="886"/>
      <c r="K1276" s="886"/>
      <c r="L1276" s="886"/>
      <c r="M1276" s="887"/>
      <c r="N1276" s="69">
        <f>+N1240</f>
        <v>484313929</v>
      </c>
      <c r="O1276" s="241" t="s">
        <v>561</v>
      </c>
      <c r="P1276" s="242"/>
    </row>
    <row r="1277" spans="1:16" ht="16.5" thickBot="1">
      <c r="A1277" s="888" t="s">
        <v>104</v>
      </c>
      <c r="B1277" s="889"/>
      <c r="C1277" s="889"/>
      <c r="D1277" s="889"/>
      <c r="E1277" s="890"/>
      <c r="F1277" s="183">
        <f>SUM(F1275:F1276)</f>
        <v>657411254</v>
      </c>
      <c r="I1277" s="888" t="s">
        <v>104</v>
      </c>
      <c r="J1277" s="889"/>
      <c r="K1277" s="889"/>
      <c r="L1277" s="889"/>
      <c r="M1277" s="890"/>
      <c r="N1277" s="183">
        <f>SUM(N1275:N1276)</f>
        <v>484693929</v>
      </c>
    </row>
    <row r="1278" spans="1:16">
      <c r="A1278" s="61"/>
      <c r="B1278" s="61"/>
      <c r="C1278" s="61"/>
      <c r="D1278" s="61"/>
      <c r="E1278" s="61"/>
      <c r="I1278" s="61"/>
      <c r="J1278" s="61"/>
      <c r="K1278" s="61"/>
      <c r="L1278" s="61"/>
      <c r="M1278" s="61"/>
    </row>
    <row r="1279" spans="1:16">
      <c r="A1279" s="51" t="s">
        <v>506</v>
      </c>
      <c r="I1279" s="51" t="s">
        <v>1580</v>
      </c>
    </row>
    <row r="1280" spans="1:16" ht="12" customHeight="1">
      <c r="F1280" s="139"/>
      <c r="N1280" s="139"/>
    </row>
    <row r="1281" spans="1:16">
      <c r="A1281" s="50" t="s">
        <v>105</v>
      </c>
      <c r="D1281" s="146"/>
      <c r="F1281" s="139"/>
      <c r="I1281" s="50" t="s">
        <v>105</v>
      </c>
      <c r="L1281" s="146"/>
      <c r="N1281" s="139"/>
    </row>
    <row r="1282" spans="1:16" ht="12" customHeight="1" thickBot="1"/>
    <row r="1283" spans="1:16" ht="15.75" thickBot="1">
      <c r="A1283" s="891" t="s">
        <v>106</v>
      </c>
      <c r="B1283" s="892"/>
      <c r="C1283" s="892"/>
      <c r="D1283" s="893"/>
      <c r="F1283" s="50" t="s">
        <v>288</v>
      </c>
      <c r="I1283" s="891" t="s">
        <v>106</v>
      </c>
      <c r="J1283" s="892"/>
      <c r="K1283" s="892"/>
      <c r="L1283" s="893"/>
      <c r="N1283" s="50" t="s">
        <v>288</v>
      </c>
    </row>
    <row r="1284" spans="1:16" ht="30.75" thickBot="1">
      <c r="A1284" s="57" t="s">
        <v>100</v>
      </c>
      <c r="B1284" s="58" t="s">
        <v>108</v>
      </c>
      <c r="C1284" s="59" t="s">
        <v>109</v>
      </c>
      <c r="D1284" s="60" t="s">
        <v>110</v>
      </c>
      <c r="I1284" s="57" t="s">
        <v>100</v>
      </c>
      <c r="J1284" s="58" t="s">
        <v>108</v>
      </c>
      <c r="K1284" s="59" t="s">
        <v>109</v>
      </c>
      <c r="L1284" s="60" t="s">
        <v>110</v>
      </c>
    </row>
    <row r="1285" spans="1:16" ht="12.75" customHeight="1">
      <c r="A1285" s="71">
        <v>719</v>
      </c>
      <c r="B1285" s="73">
        <f>+H1265+H1267+H1269+H1271+H1273</f>
        <v>940000</v>
      </c>
      <c r="C1285" s="74" t="e">
        <f>+D1248</f>
        <v>#REF!</v>
      </c>
      <c r="D1285" s="195" t="e">
        <f>+B1285+C1285</f>
        <v>#REF!</v>
      </c>
      <c r="I1285" s="71">
        <v>719</v>
      </c>
      <c r="J1285" s="73">
        <f>+P1265+P1267+P1269+P1271+P1273</f>
        <v>380000</v>
      </c>
      <c r="K1285" s="74">
        <f>+L1248</f>
        <v>34300000</v>
      </c>
      <c r="L1285" s="195">
        <f>+J1285+K1285</f>
        <v>34680000</v>
      </c>
    </row>
    <row r="1286" spans="1:16" ht="13.5" customHeight="1">
      <c r="A1286" s="72">
        <v>721</v>
      </c>
      <c r="B1286" s="80">
        <f>(+H1274+H1272+H1270+H1268+H1266)</f>
        <v>376000</v>
      </c>
      <c r="C1286" s="74" t="e">
        <f>+D1249</f>
        <v>#REF!</v>
      </c>
      <c r="D1286" s="195" t="e">
        <f>+B1286+C1286</f>
        <v>#REF!</v>
      </c>
      <c r="I1286" s="72">
        <v>721</v>
      </c>
      <c r="J1286" s="80">
        <v>0</v>
      </c>
      <c r="K1286" s="74">
        <f>+L1249</f>
        <v>84058981</v>
      </c>
      <c r="L1286" s="195">
        <f>+J1286+K1286</f>
        <v>84058981</v>
      </c>
    </row>
    <row r="1287" spans="1:16" ht="14.25" customHeight="1">
      <c r="A1287" s="72">
        <v>722</v>
      </c>
      <c r="B1287" s="80"/>
      <c r="C1287" s="74">
        <f>+D1250</f>
        <v>231207671</v>
      </c>
      <c r="D1287" s="195">
        <f>+B1287+C1287</f>
        <v>231207671</v>
      </c>
      <c r="I1287" s="72">
        <v>722</v>
      </c>
      <c r="J1287" s="80"/>
      <c r="K1287" s="74">
        <f>+L1250</f>
        <v>42881706</v>
      </c>
      <c r="L1287" s="195">
        <f>+J1287+K1287</f>
        <v>42881706</v>
      </c>
    </row>
    <row r="1288" spans="1:16" ht="15.75">
      <c r="A1288" s="72">
        <v>723</v>
      </c>
      <c r="B1288" s="80"/>
      <c r="C1288" s="74">
        <f>+D1251</f>
        <v>323193545</v>
      </c>
      <c r="D1288" s="195">
        <f>+B1288+C1288</f>
        <v>323193545</v>
      </c>
      <c r="F1288" s="174" t="s">
        <v>23</v>
      </c>
      <c r="G1288" s="175"/>
      <c r="I1288" s="72">
        <v>723</v>
      </c>
      <c r="J1288" s="80">
        <f>+P1274+P1272+P1270+P1268+P1266</f>
        <v>0</v>
      </c>
      <c r="K1288" s="74">
        <f>+L1251</f>
        <v>323073242</v>
      </c>
      <c r="L1288" s="195">
        <f>+J1288+K1288</f>
        <v>323073242</v>
      </c>
      <c r="N1288" s="918" t="s">
        <v>1481</v>
      </c>
      <c r="O1288" s="918"/>
      <c r="P1288" s="918"/>
    </row>
    <row r="1289" spans="1:16" ht="13.5" customHeight="1" thickBot="1">
      <c r="A1289" s="164" t="s">
        <v>181</v>
      </c>
      <c r="B1289" s="165"/>
      <c r="C1289" s="74" t="e">
        <f>+D1252</f>
        <v>#REF!</v>
      </c>
      <c r="D1289" s="196" t="e">
        <f>+B1289+C1289</f>
        <v>#REF!</v>
      </c>
      <c r="F1289" s="52"/>
      <c r="I1289" s="164" t="s">
        <v>181</v>
      </c>
      <c r="J1289" s="165"/>
      <c r="K1289" s="74">
        <f>+L1252</f>
        <v>0</v>
      </c>
      <c r="L1289" s="196">
        <f>+J1289+K1289</f>
        <v>0</v>
      </c>
      <c r="N1289" s="52"/>
    </row>
    <row r="1290" spans="1:16" ht="16.5" thickBot="1">
      <c r="A1290" s="169"/>
      <c r="B1290" s="170">
        <f>SUM(B1285:B1289)</f>
        <v>1316000</v>
      </c>
      <c r="C1290" s="171" t="e">
        <f>SUM(C1285:C1289)</f>
        <v>#REF!</v>
      </c>
      <c r="D1290" s="172" t="e">
        <f>SUM(D1285:D1289)</f>
        <v>#REF!</v>
      </c>
      <c r="I1290" s="169"/>
      <c r="J1290" s="197">
        <f>SUM(J1285:J1289)</f>
        <v>380000</v>
      </c>
      <c r="K1290" s="197">
        <f>SUM(K1285:K1289)</f>
        <v>484313929</v>
      </c>
      <c r="L1290" s="198">
        <f>SUM(L1285:L1289)</f>
        <v>484693929</v>
      </c>
    </row>
    <row r="1291" spans="1:16" ht="16.5">
      <c r="A1291" s="49" t="s">
        <v>88</v>
      </c>
      <c r="B1291" s="50"/>
      <c r="I1291" s="49" t="s">
        <v>88</v>
      </c>
      <c r="J1291" s="50"/>
    </row>
    <row r="1292" spans="1:16">
      <c r="A1292" s="51" t="s">
        <v>89</v>
      </c>
      <c r="I1292" s="51" t="s">
        <v>89</v>
      </c>
    </row>
    <row r="1293" spans="1:16">
      <c r="A1293" s="51" t="s">
        <v>90</v>
      </c>
      <c r="I1293" s="51" t="s">
        <v>90</v>
      </c>
    </row>
    <row r="1294" spans="1:16">
      <c r="A1294" s="51" t="s">
        <v>91</v>
      </c>
      <c r="I1294" s="51" t="s">
        <v>91</v>
      </c>
    </row>
    <row r="1295" spans="1:16" ht="12" customHeight="1">
      <c r="A1295" s="50"/>
      <c r="B1295" s="50"/>
      <c r="I1295" s="50"/>
      <c r="J1295" s="50"/>
    </row>
    <row r="1296" spans="1:16" ht="16.5">
      <c r="A1296" s="52" t="s">
        <v>507</v>
      </c>
      <c r="G1296" s="52"/>
      <c r="I1296" s="260" t="s">
        <v>209</v>
      </c>
      <c r="O1296" s="52"/>
    </row>
    <row r="1297" spans="1:16" ht="15.75">
      <c r="A1297" s="53" t="s">
        <v>92</v>
      </c>
      <c r="G1297" s="53"/>
      <c r="I1297" s="53" t="s">
        <v>1333</v>
      </c>
      <c r="O1297" s="53"/>
    </row>
    <row r="1298" spans="1:16" ht="16.5">
      <c r="A1298" s="894" t="s">
        <v>261</v>
      </c>
      <c r="B1298" s="894"/>
      <c r="C1298" s="894"/>
      <c r="D1298" s="894"/>
      <c r="E1298" s="894"/>
      <c r="F1298" s="894"/>
      <c r="G1298" s="894"/>
      <c r="H1298" s="894"/>
      <c r="I1298" s="894" t="s">
        <v>903</v>
      </c>
      <c r="J1298" s="894"/>
      <c r="K1298" s="894"/>
      <c r="L1298" s="894"/>
      <c r="M1298" s="894"/>
      <c r="N1298" s="894"/>
      <c r="O1298" s="894"/>
      <c r="P1298" s="894"/>
    </row>
    <row r="1299" spans="1:16" ht="15.75" thickBot="1"/>
    <row r="1300" spans="1:16">
      <c r="A1300" s="895" t="s">
        <v>94</v>
      </c>
      <c r="B1300" s="897" t="s">
        <v>95</v>
      </c>
      <c r="C1300" s="897" t="s">
        <v>96</v>
      </c>
      <c r="D1300" s="897" t="s">
        <v>3</v>
      </c>
      <c r="E1300" s="897" t="s">
        <v>97</v>
      </c>
      <c r="F1300" s="897" t="s">
        <v>98</v>
      </c>
      <c r="G1300" s="897" t="s">
        <v>99</v>
      </c>
      <c r="H1300" s="899"/>
      <c r="I1300" s="895" t="s">
        <v>94</v>
      </c>
      <c r="J1300" s="897" t="s">
        <v>95</v>
      </c>
      <c r="K1300" s="897" t="s">
        <v>96</v>
      </c>
      <c r="L1300" s="897" t="s">
        <v>3</v>
      </c>
      <c r="M1300" s="897" t="s">
        <v>97</v>
      </c>
      <c r="N1300" s="897" t="s">
        <v>98</v>
      </c>
      <c r="O1300" s="897" t="s">
        <v>99</v>
      </c>
      <c r="P1300" s="899"/>
    </row>
    <row r="1301" spans="1:16" ht="15.75" thickBot="1">
      <c r="A1301" s="896"/>
      <c r="B1301" s="898"/>
      <c r="C1301" s="898"/>
      <c r="D1301" s="898"/>
      <c r="E1301" s="898"/>
      <c r="F1301" s="898"/>
      <c r="G1301" s="240" t="s">
        <v>100</v>
      </c>
      <c r="H1301" s="182" t="s">
        <v>101</v>
      </c>
      <c r="I1301" s="896"/>
      <c r="J1301" s="898"/>
      <c r="K1301" s="898"/>
      <c r="L1301" s="898"/>
      <c r="M1301" s="898"/>
      <c r="N1301" s="898"/>
      <c r="O1301" s="240" t="s">
        <v>100</v>
      </c>
      <c r="P1301" s="182" t="s">
        <v>101</v>
      </c>
    </row>
    <row r="1302" spans="1:16" ht="13.5" customHeight="1">
      <c r="A1302" s="919" t="e">
        <f>+A1273+1</f>
        <v>#REF!</v>
      </c>
      <c r="B1302" s="875">
        <v>42364</v>
      </c>
      <c r="C1302" s="877" t="s">
        <v>267</v>
      </c>
      <c r="D1302" s="877" t="s">
        <v>509</v>
      </c>
      <c r="E1302" s="881" t="s">
        <v>148</v>
      </c>
      <c r="F1302" s="883">
        <v>112000</v>
      </c>
      <c r="G1302" s="55">
        <v>719</v>
      </c>
      <c r="H1302" s="78">
        <v>80000</v>
      </c>
      <c r="I1302" s="873" t="s">
        <v>1589</v>
      </c>
      <c r="J1302" s="875">
        <v>43088</v>
      </c>
      <c r="K1302" s="877" t="s">
        <v>472</v>
      </c>
      <c r="L1302" s="881" t="s">
        <v>1522</v>
      </c>
      <c r="M1302" s="881" t="s">
        <v>148</v>
      </c>
      <c r="N1302" s="883">
        <v>325000</v>
      </c>
      <c r="O1302" s="55">
        <v>719</v>
      </c>
      <c r="P1302" s="78">
        <v>250000</v>
      </c>
    </row>
    <row r="1303" spans="1:16" ht="12.75" customHeight="1" thickBot="1">
      <c r="A1303" s="920"/>
      <c r="B1303" s="876"/>
      <c r="C1303" s="878"/>
      <c r="D1303" s="878"/>
      <c r="E1303" s="882"/>
      <c r="F1303" s="884"/>
      <c r="G1303" s="56">
        <v>721</v>
      </c>
      <c r="H1303" s="79">
        <f>+F1302-H1302</f>
        <v>32000</v>
      </c>
      <c r="I1303" s="874"/>
      <c r="J1303" s="876"/>
      <c r="K1303" s="878"/>
      <c r="L1303" s="882"/>
      <c r="M1303" s="882"/>
      <c r="N1303" s="884"/>
      <c r="O1303" s="56">
        <v>723</v>
      </c>
      <c r="P1303" s="79">
        <f>+N1302-P1302</f>
        <v>75000</v>
      </c>
    </row>
    <row r="1304" spans="1:16" ht="12" customHeight="1">
      <c r="A1304" s="919" t="e">
        <f>+A1302+1</f>
        <v>#REF!</v>
      </c>
      <c r="B1304" s="875">
        <v>42364</v>
      </c>
      <c r="C1304" s="881" t="s">
        <v>28</v>
      </c>
      <c r="D1304" s="877" t="s">
        <v>510</v>
      </c>
      <c r="E1304" s="881" t="s">
        <v>148</v>
      </c>
      <c r="F1304" s="883">
        <v>238000</v>
      </c>
      <c r="G1304" s="55">
        <v>719</v>
      </c>
      <c r="H1304" s="78">
        <v>170000</v>
      </c>
      <c r="I1304" s="881">
        <f>+I1302+1</f>
        <v>164</v>
      </c>
      <c r="J1304" s="875">
        <v>43088</v>
      </c>
      <c r="K1304" s="877" t="s">
        <v>472</v>
      </c>
      <c r="L1304" s="881" t="s">
        <v>1590</v>
      </c>
      <c r="M1304" s="881" t="s">
        <v>148</v>
      </c>
      <c r="N1304" s="883">
        <v>312000</v>
      </c>
      <c r="O1304" s="55">
        <v>719</v>
      </c>
      <c r="P1304" s="78">
        <v>240000</v>
      </c>
    </row>
    <row r="1305" spans="1:16" ht="13.5" customHeight="1" thickBot="1">
      <c r="A1305" s="920"/>
      <c r="B1305" s="876"/>
      <c r="C1305" s="882"/>
      <c r="D1305" s="878"/>
      <c r="E1305" s="882"/>
      <c r="F1305" s="884"/>
      <c r="G1305" s="56">
        <v>721</v>
      </c>
      <c r="H1305" s="79">
        <f>+F1304-H1304</f>
        <v>68000</v>
      </c>
      <c r="I1305" s="882"/>
      <c r="J1305" s="876"/>
      <c r="K1305" s="878"/>
      <c r="L1305" s="882"/>
      <c r="M1305" s="882"/>
      <c r="N1305" s="884"/>
      <c r="O1305" s="56">
        <v>723</v>
      </c>
      <c r="P1305" s="79">
        <f>+N1304-P1304</f>
        <v>72000</v>
      </c>
    </row>
    <row r="1306" spans="1:16" ht="12.75" customHeight="1">
      <c r="A1306" s="919" t="e">
        <f>+A1304+1</f>
        <v>#REF!</v>
      </c>
      <c r="B1306" s="875">
        <v>42364</v>
      </c>
      <c r="C1306" s="877" t="s">
        <v>32</v>
      </c>
      <c r="D1306" s="877" t="s">
        <v>510</v>
      </c>
      <c r="E1306" s="881" t="s">
        <v>148</v>
      </c>
      <c r="F1306" s="883">
        <v>112000</v>
      </c>
      <c r="G1306" s="55">
        <v>719</v>
      </c>
      <c r="H1306" s="78">
        <v>80000</v>
      </c>
      <c r="I1306" s="881">
        <f>+I1304+1</f>
        <v>165</v>
      </c>
      <c r="J1306" s="875">
        <v>43088</v>
      </c>
      <c r="K1306" s="877" t="s">
        <v>472</v>
      </c>
      <c r="L1306" s="881" t="s">
        <v>1507</v>
      </c>
      <c r="M1306" s="881" t="s">
        <v>148</v>
      </c>
      <c r="N1306" s="883">
        <v>247000</v>
      </c>
      <c r="O1306" s="55">
        <v>719</v>
      </c>
      <c r="P1306" s="78">
        <v>190000</v>
      </c>
    </row>
    <row r="1307" spans="1:16" ht="12.75" customHeight="1" thickBot="1">
      <c r="A1307" s="920"/>
      <c r="B1307" s="876"/>
      <c r="C1307" s="878"/>
      <c r="D1307" s="878"/>
      <c r="E1307" s="882"/>
      <c r="F1307" s="884"/>
      <c r="G1307" s="56">
        <v>721</v>
      </c>
      <c r="H1307" s="79">
        <f>+F1306-H1306</f>
        <v>32000</v>
      </c>
      <c r="I1307" s="882"/>
      <c r="J1307" s="876"/>
      <c r="K1307" s="878"/>
      <c r="L1307" s="882"/>
      <c r="M1307" s="882"/>
      <c r="N1307" s="884"/>
      <c r="O1307" s="56">
        <v>723</v>
      </c>
      <c r="P1307" s="79">
        <f>+N1306-P1306</f>
        <v>57000</v>
      </c>
    </row>
    <row r="1308" spans="1:16" ht="13.5" customHeight="1">
      <c r="A1308" s="919" t="e">
        <f>+A1306+1</f>
        <v>#REF!</v>
      </c>
      <c r="B1308" s="875">
        <v>42364</v>
      </c>
      <c r="C1308" s="877" t="s">
        <v>111</v>
      </c>
      <c r="D1308" s="877" t="s">
        <v>511</v>
      </c>
      <c r="E1308" s="881" t="s">
        <v>148</v>
      </c>
      <c r="F1308" s="883">
        <v>112000</v>
      </c>
      <c r="G1308" s="55">
        <v>719</v>
      </c>
      <c r="H1308" s="78">
        <v>80000</v>
      </c>
      <c r="I1308" s="881">
        <f>+I1306+1</f>
        <v>166</v>
      </c>
      <c r="J1308" s="875">
        <v>43088</v>
      </c>
      <c r="K1308" s="877" t="s">
        <v>472</v>
      </c>
      <c r="L1308" s="881" t="s">
        <v>1506</v>
      </c>
      <c r="M1308" s="881" t="s">
        <v>148</v>
      </c>
      <c r="N1308" s="883">
        <v>208000</v>
      </c>
      <c r="O1308" s="55">
        <v>719</v>
      </c>
      <c r="P1308" s="78">
        <v>160000</v>
      </c>
    </row>
    <row r="1309" spans="1:16" ht="13.5" customHeight="1" thickBot="1">
      <c r="A1309" s="920"/>
      <c r="B1309" s="876"/>
      <c r="C1309" s="878"/>
      <c r="D1309" s="878"/>
      <c r="E1309" s="882"/>
      <c r="F1309" s="884"/>
      <c r="G1309" s="56">
        <v>721</v>
      </c>
      <c r="H1309" s="79">
        <f>+F1308-H1308</f>
        <v>32000</v>
      </c>
      <c r="I1309" s="882"/>
      <c r="J1309" s="876"/>
      <c r="K1309" s="878"/>
      <c r="L1309" s="882"/>
      <c r="M1309" s="882"/>
      <c r="N1309" s="884"/>
      <c r="O1309" s="56">
        <v>723</v>
      </c>
      <c r="P1309" s="79">
        <f>+N1308-P1308</f>
        <v>48000</v>
      </c>
    </row>
    <row r="1310" spans="1:16" ht="12.75" customHeight="1">
      <c r="A1310" s="919" t="e">
        <f>+A1308+1</f>
        <v>#REF!</v>
      </c>
      <c r="B1310" s="875">
        <v>42364</v>
      </c>
      <c r="C1310" s="877" t="s">
        <v>272</v>
      </c>
      <c r="D1310" s="877" t="s">
        <v>510</v>
      </c>
      <c r="E1310" s="881" t="s">
        <v>148</v>
      </c>
      <c r="F1310" s="883">
        <v>616000</v>
      </c>
      <c r="G1310" s="55">
        <v>719</v>
      </c>
      <c r="H1310" s="78">
        <v>440000</v>
      </c>
      <c r="I1310" s="881">
        <f>+I1308+1</f>
        <v>167</v>
      </c>
      <c r="J1310" s="875">
        <v>43088</v>
      </c>
      <c r="K1310" s="877" t="s">
        <v>472</v>
      </c>
      <c r="L1310" s="881" t="s">
        <v>1510</v>
      </c>
      <c r="M1310" s="881" t="s">
        <v>148</v>
      </c>
      <c r="N1310" s="883">
        <v>234000</v>
      </c>
      <c r="O1310" s="55">
        <v>719</v>
      </c>
      <c r="P1310" s="78">
        <v>180000</v>
      </c>
    </row>
    <row r="1311" spans="1:16" ht="12.75" customHeight="1" thickBot="1">
      <c r="A1311" s="920"/>
      <c r="B1311" s="876"/>
      <c r="C1311" s="878"/>
      <c r="D1311" s="878"/>
      <c r="E1311" s="882"/>
      <c r="F1311" s="884"/>
      <c r="G1311" s="56">
        <v>721</v>
      </c>
      <c r="H1311" s="79">
        <f>+F1310-H1310</f>
        <v>176000</v>
      </c>
      <c r="I1311" s="882"/>
      <c r="J1311" s="876"/>
      <c r="K1311" s="878"/>
      <c r="L1311" s="882"/>
      <c r="M1311" s="882"/>
      <c r="N1311" s="884"/>
      <c r="O1311" s="56">
        <v>723</v>
      </c>
      <c r="P1311" s="79">
        <f>+N1310-P1310</f>
        <v>54000</v>
      </c>
    </row>
    <row r="1312" spans="1:16" ht="16.5" thickBot="1">
      <c r="A1312" s="901" t="s">
        <v>102</v>
      </c>
      <c r="B1312" s="902"/>
      <c r="C1312" s="902"/>
      <c r="D1312" s="902"/>
      <c r="E1312" s="903"/>
      <c r="F1312" s="81">
        <f>SUM(F1302:F1311)</f>
        <v>1190000</v>
      </c>
      <c r="I1312" s="901" t="s">
        <v>102</v>
      </c>
      <c r="J1312" s="902"/>
      <c r="K1312" s="902"/>
      <c r="L1312" s="902"/>
      <c r="M1312" s="903"/>
      <c r="N1312" s="81">
        <f>SUM(N1302:N1311)</f>
        <v>1326000</v>
      </c>
    </row>
    <row r="1313" spans="1:16" ht="16.5" thickBot="1">
      <c r="A1313" s="885" t="s">
        <v>103</v>
      </c>
      <c r="B1313" s="886"/>
      <c r="C1313" s="886"/>
      <c r="D1313" s="886"/>
      <c r="E1313" s="887"/>
      <c r="F1313" s="69">
        <f>+F1277</f>
        <v>657411254</v>
      </c>
      <c r="I1313" s="885" t="s">
        <v>103</v>
      </c>
      <c r="J1313" s="886"/>
      <c r="K1313" s="886"/>
      <c r="L1313" s="886"/>
      <c r="M1313" s="887"/>
      <c r="N1313" s="69">
        <f>+N1277</f>
        <v>484693929</v>
      </c>
      <c r="O1313" s="241" t="s">
        <v>561</v>
      </c>
      <c r="P1313" s="242">
        <f>426+320+398+660+676</f>
        <v>2480</v>
      </c>
    </row>
    <row r="1314" spans="1:16" ht="16.5" thickBot="1">
      <c r="A1314" s="888" t="s">
        <v>104</v>
      </c>
      <c r="B1314" s="889"/>
      <c r="C1314" s="889"/>
      <c r="D1314" s="889"/>
      <c r="E1314" s="890"/>
      <c r="F1314" s="183">
        <f>SUM(F1312:F1313)</f>
        <v>658601254</v>
      </c>
      <c r="I1314" s="888" t="s">
        <v>104</v>
      </c>
      <c r="J1314" s="889"/>
      <c r="K1314" s="889"/>
      <c r="L1314" s="889"/>
      <c r="M1314" s="890"/>
      <c r="N1314" s="183">
        <f>SUM(N1312:N1313)</f>
        <v>486019929</v>
      </c>
    </row>
    <row r="1315" spans="1:16">
      <c r="A1315" s="61"/>
      <c r="B1315" s="61"/>
      <c r="C1315" s="61"/>
      <c r="D1315" s="61"/>
      <c r="E1315" s="61"/>
      <c r="I1315" s="61"/>
      <c r="J1315" s="61"/>
      <c r="K1315" s="61"/>
      <c r="L1315" s="61"/>
      <c r="M1315" s="61"/>
    </row>
    <row r="1316" spans="1:16">
      <c r="A1316" s="51" t="s">
        <v>512</v>
      </c>
      <c r="I1316" s="51" t="s">
        <v>1598</v>
      </c>
    </row>
    <row r="1317" spans="1:16" ht="9.75" customHeight="1">
      <c r="F1317" s="139"/>
      <c r="N1317" s="139"/>
    </row>
    <row r="1318" spans="1:16">
      <c r="A1318" s="50" t="s">
        <v>105</v>
      </c>
      <c r="D1318" s="146"/>
      <c r="F1318" s="139"/>
      <c r="I1318" s="50" t="s">
        <v>105</v>
      </c>
      <c r="L1318" s="146"/>
      <c r="N1318" s="139"/>
    </row>
    <row r="1319" spans="1:16" ht="10.5" customHeight="1" thickBot="1"/>
    <row r="1320" spans="1:16" ht="15.75" thickBot="1">
      <c r="A1320" s="891" t="s">
        <v>106</v>
      </c>
      <c r="B1320" s="892"/>
      <c r="C1320" s="892"/>
      <c r="D1320" s="893"/>
      <c r="F1320" s="50" t="s">
        <v>288</v>
      </c>
      <c r="I1320" s="891" t="s">
        <v>106</v>
      </c>
      <c r="J1320" s="892"/>
      <c r="K1320" s="892"/>
      <c r="L1320" s="893"/>
      <c r="N1320" s="50" t="s">
        <v>288</v>
      </c>
    </row>
    <row r="1321" spans="1:16" ht="30.75" thickBot="1">
      <c r="A1321" s="57" t="s">
        <v>100</v>
      </c>
      <c r="B1321" s="58" t="s">
        <v>108</v>
      </c>
      <c r="C1321" s="59" t="s">
        <v>109</v>
      </c>
      <c r="D1321" s="60" t="s">
        <v>110</v>
      </c>
      <c r="I1321" s="57" t="s">
        <v>100</v>
      </c>
      <c r="J1321" s="58" t="s">
        <v>108</v>
      </c>
      <c r="K1321" s="59" t="s">
        <v>109</v>
      </c>
      <c r="L1321" s="60" t="s">
        <v>110</v>
      </c>
    </row>
    <row r="1322" spans="1:16">
      <c r="A1322" s="71">
        <v>719</v>
      </c>
      <c r="B1322" s="73">
        <f>+H1302+H1304+H1306+H1308+H1310</f>
        <v>850000</v>
      </c>
      <c r="C1322" s="74" t="e">
        <f>+D1285</f>
        <v>#REF!</v>
      </c>
      <c r="D1322" s="195" t="e">
        <f>+B1322+C1322</f>
        <v>#REF!</v>
      </c>
      <c r="I1322" s="71">
        <v>719</v>
      </c>
      <c r="J1322" s="73">
        <f>+P1302+P1304+P1306+P1308+P1310</f>
        <v>1020000</v>
      </c>
      <c r="K1322" s="74">
        <f>+L1285</f>
        <v>34680000</v>
      </c>
      <c r="L1322" s="195">
        <f>+J1322+K1322</f>
        <v>35700000</v>
      </c>
    </row>
    <row r="1323" spans="1:16">
      <c r="A1323" s="72">
        <v>721</v>
      </c>
      <c r="B1323" s="80">
        <f>(+H1311+H1309+H1307+H1305+H1303)</f>
        <v>340000</v>
      </c>
      <c r="C1323" s="74" t="e">
        <f>+D1286</f>
        <v>#REF!</v>
      </c>
      <c r="D1323" s="195" t="e">
        <f>+B1323+C1323</f>
        <v>#REF!</v>
      </c>
      <c r="I1323" s="72">
        <v>721</v>
      </c>
      <c r="J1323" s="80">
        <f>+P1303+P1305+P1307+P1309+P1311</f>
        <v>306000</v>
      </c>
      <c r="K1323" s="74">
        <f>+L1286</f>
        <v>84058981</v>
      </c>
      <c r="L1323" s="195">
        <f>+J1323+K1323</f>
        <v>84364981</v>
      </c>
    </row>
    <row r="1324" spans="1:16" ht="13.5" customHeight="1">
      <c r="A1324" s="72">
        <v>722</v>
      </c>
      <c r="B1324" s="80"/>
      <c r="C1324" s="74">
        <f>+D1287</f>
        <v>231207671</v>
      </c>
      <c r="D1324" s="195">
        <f>+B1324+C1324</f>
        <v>231207671</v>
      </c>
      <c r="I1324" s="72">
        <v>722</v>
      </c>
      <c r="J1324" s="80"/>
      <c r="K1324" s="74">
        <f>+L1287</f>
        <v>42881706</v>
      </c>
      <c r="L1324" s="195">
        <f>+J1324+K1324</f>
        <v>42881706</v>
      </c>
    </row>
    <row r="1325" spans="1:16" ht="15.75">
      <c r="A1325" s="72">
        <v>723</v>
      </c>
      <c r="B1325" s="80"/>
      <c r="C1325" s="74">
        <f>+D1288</f>
        <v>323193545</v>
      </c>
      <c r="D1325" s="195">
        <f>+B1325+C1325</f>
        <v>323193545</v>
      </c>
      <c r="F1325" s="174" t="s">
        <v>23</v>
      </c>
      <c r="G1325" s="175"/>
      <c r="I1325" s="72">
        <v>723</v>
      </c>
      <c r="J1325" s="80"/>
      <c r="K1325" s="74">
        <f>+L1288</f>
        <v>323073242</v>
      </c>
      <c r="L1325" s="195">
        <f>+J1325+K1325</f>
        <v>323073242</v>
      </c>
      <c r="N1325" s="918" t="s">
        <v>1481</v>
      </c>
      <c r="O1325" s="918"/>
      <c r="P1325" s="918"/>
    </row>
    <row r="1326" spans="1:16" ht="15" customHeight="1" thickBot="1">
      <c r="A1326" s="164" t="s">
        <v>181</v>
      </c>
      <c r="B1326" s="165"/>
      <c r="C1326" s="74" t="e">
        <f>+D1289</f>
        <v>#REF!</v>
      </c>
      <c r="D1326" s="196" t="e">
        <f>+B1326+C1326</f>
        <v>#REF!</v>
      </c>
      <c r="F1326" s="52"/>
      <c r="I1326" s="164" t="s">
        <v>181</v>
      </c>
      <c r="J1326" s="165"/>
      <c r="K1326" s="74">
        <f>+L1289</f>
        <v>0</v>
      </c>
      <c r="L1326" s="196">
        <f>+J1326+K1326</f>
        <v>0</v>
      </c>
      <c r="N1326" s="52"/>
    </row>
    <row r="1327" spans="1:16" ht="16.5" thickBot="1">
      <c r="A1327" s="169"/>
      <c r="B1327" s="170">
        <f>SUM(B1322:B1326)</f>
        <v>1190000</v>
      </c>
      <c r="C1327" s="171" t="e">
        <f>SUM(C1322:C1326)</f>
        <v>#REF!</v>
      </c>
      <c r="D1327" s="172" t="e">
        <f>SUM(D1322:D1326)</f>
        <v>#REF!</v>
      </c>
      <c r="I1327" s="169"/>
      <c r="J1327" s="197">
        <f>SUM(J1322:J1326)</f>
        <v>1326000</v>
      </c>
      <c r="K1327" s="197">
        <f>SUM(K1322:K1326)</f>
        <v>484693929</v>
      </c>
      <c r="L1327" s="198">
        <f>SUM(L1322:L1326)</f>
        <v>486019929</v>
      </c>
    </row>
    <row r="1328" spans="1:16" ht="16.5">
      <c r="A1328" s="49" t="s">
        <v>88</v>
      </c>
      <c r="B1328" s="50"/>
      <c r="I1328" s="49" t="s">
        <v>88</v>
      </c>
      <c r="J1328" s="50"/>
    </row>
    <row r="1329" spans="1:16">
      <c r="A1329" s="51" t="s">
        <v>89</v>
      </c>
      <c r="I1329" s="51" t="s">
        <v>89</v>
      </c>
    </row>
    <row r="1330" spans="1:16">
      <c r="A1330" s="51" t="s">
        <v>90</v>
      </c>
      <c r="I1330" s="51" t="s">
        <v>90</v>
      </c>
    </row>
    <row r="1331" spans="1:16">
      <c r="A1331" s="51" t="s">
        <v>91</v>
      </c>
      <c r="I1331" s="51" t="s">
        <v>91</v>
      </c>
    </row>
    <row r="1332" spans="1:16" ht="9.75" customHeight="1">
      <c r="A1332" s="50"/>
      <c r="B1332" s="50"/>
      <c r="I1332" s="50"/>
      <c r="J1332" s="50"/>
    </row>
    <row r="1333" spans="1:16" ht="16.5">
      <c r="A1333" s="52" t="s">
        <v>508</v>
      </c>
      <c r="G1333" s="52"/>
      <c r="I1333" s="260" t="s">
        <v>898</v>
      </c>
      <c r="O1333" s="52"/>
    </row>
    <row r="1334" spans="1:16" ht="14.25" customHeight="1">
      <c r="A1334" s="53" t="s">
        <v>92</v>
      </c>
      <c r="G1334" s="53"/>
      <c r="I1334" s="53" t="s">
        <v>1333</v>
      </c>
      <c r="O1334" s="53"/>
    </row>
    <row r="1335" spans="1:16" ht="16.5">
      <c r="A1335" s="894" t="s">
        <v>261</v>
      </c>
      <c r="B1335" s="894"/>
      <c r="C1335" s="894"/>
      <c r="D1335" s="894"/>
      <c r="E1335" s="894"/>
      <c r="F1335" s="894"/>
      <c r="G1335" s="894"/>
      <c r="H1335" s="894"/>
      <c r="I1335" s="894" t="s">
        <v>903</v>
      </c>
      <c r="J1335" s="894"/>
      <c r="K1335" s="894"/>
      <c r="L1335" s="894"/>
      <c r="M1335" s="894"/>
      <c r="N1335" s="894"/>
      <c r="O1335" s="894"/>
      <c r="P1335" s="894"/>
    </row>
    <row r="1336" spans="1:16" ht="13.5" customHeight="1" thickBot="1"/>
    <row r="1337" spans="1:16">
      <c r="A1337" s="895" t="s">
        <v>94</v>
      </c>
      <c r="B1337" s="897" t="s">
        <v>95</v>
      </c>
      <c r="C1337" s="897" t="s">
        <v>96</v>
      </c>
      <c r="D1337" s="897" t="s">
        <v>3</v>
      </c>
      <c r="E1337" s="897" t="s">
        <v>97</v>
      </c>
      <c r="F1337" s="897" t="s">
        <v>98</v>
      </c>
      <c r="G1337" s="897" t="s">
        <v>99</v>
      </c>
      <c r="H1337" s="899"/>
      <c r="I1337" s="895" t="s">
        <v>94</v>
      </c>
      <c r="J1337" s="897" t="s">
        <v>95</v>
      </c>
      <c r="K1337" s="897" t="s">
        <v>96</v>
      </c>
      <c r="L1337" s="897" t="s">
        <v>3</v>
      </c>
      <c r="M1337" s="897" t="s">
        <v>97</v>
      </c>
      <c r="N1337" s="897" t="s">
        <v>98</v>
      </c>
      <c r="O1337" s="897" t="s">
        <v>99</v>
      </c>
      <c r="P1337" s="899"/>
    </row>
    <row r="1338" spans="1:16" ht="15.75" thickBot="1">
      <c r="A1338" s="896"/>
      <c r="B1338" s="898"/>
      <c r="C1338" s="898"/>
      <c r="D1338" s="898"/>
      <c r="E1338" s="898"/>
      <c r="F1338" s="898"/>
      <c r="G1338" s="240" t="s">
        <v>100</v>
      </c>
      <c r="H1338" s="182" t="s">
        <v>101</v>
      </c>
      <c r="I1338" s="896"/>
      <c r="J1338" s="898"/>
      <c r="K1338" s="898"/>
      <c r="L1338" s="898"/>
      <c r="M1338" s="898"/>
      <c r="N1338" s="898"/>
      <c r="O1338" s="240" t="s">
        <v>100</v>
      </c>
      <c r="P1338" s="182" t="s">
        <v>101</v>
      </c>
    </row>
    <row r="1339" spans="1:16" ht="12.75" customHeight="1">
      <c r="A1339" s="919" t="e">
        <f>+A1310+1</f>
        <v>#REF!</v>
      </c>
      <c r="B1339" s="875">
        <v>42364</v>
      </c>
      <c r="C1339" s="877" t="s">
        <v>31</v>
      </c>
      <c r="D1339" s="877" t="s">
        <v>513</v>
      </c>
      <c r="E1339" s="881" t="s">
        <v>115</v>
      </c>
      <c r="F1339" s="883">
        <v>100000</v>
      </c>
      <c r="G1339" s="55">
        <v>719</v>
      </c>
      <c r="H1339" s="78">
        <v>100000</v>
      </c>
      <c r="I1339" s="873" t="s">
        <v>1591</v>
      </c>
      <c r="J1339" s="875">
        <v>42723</v>
      </c>
      <c r="K1339" s="877" t="s">
        <v>28</v>
      </c>
      <c r="L1339" s="881" t="s">
        <v>1592</v>
      </c>
      <c r="M1339" s="881" t="s">
        <v>775</v>
      </c>
      <c r="N1339" s="883">
        <v>230000</v>
      </c>
      <c r="O1339" s="55">
        <v>719</v>
      </c>
      <c r="P1339" s="78">
        <v>230000</v>
      </c>
    </row>
    <row r="1340" spans="1:16" ht="13.5" customHeight="1" thickBot="1">
      <c r="A1340" s="920"/>
      <c r="B1340" s="876"/>
      <c r="C1340" s="878"/>
      <c r="D1340" s="878"/>
      <c r="E1340" s="882"/>
      <c r="F1340" s="884"/>
      <c r="G1340" s="56">
        <v>721</v>
      </c>
      <c r="H1340" s="79">
        <f>+F1339-H1339</f>
        <v>0</v>
      </c>
      <c r="I1340" s="874"/>
      <c r="J1340" s="876"/>
      <c r="K1340" s="878"/>
      <c r="L1340" s="882"/>
      <c r="M1340" s="882"/>
      <c r="N1340" s="884"/>
      <c r="O1340" s="56">
        <v>723</v>
      </c>
      <c r="P1340" s="79">
        <f>+N1339-P1339</f>
        <v>0</v>
      </c>
    </row>
    <row r="1341" spans="1:16" ht="15" customHeight="1">
      <c r="A1341" s="919" t="e">
        <f>+A1339+1</f>
        <v>#REF!</v>
      </c>
      <c r="B1341" s="875">
        <v>42364</v>
      </c>
      <c r="C1341" s="877" t="s">
        <v>472</v>
      </c>
      <c r="D1341" s="877" t="s">
        <v>517</v>
      </c>
      <c r="E1341" s="881" t="s">
        <v>115</v>
      </c>
      <c r="F1341" s="883">
        <v>40000</v>
      </c>
      <c r="G1341" s="55">
        <v>719</v>
      </c>
      <c r="H1341" s="78">
        <v>40000</v>
      </c>
      <c r="I1341" s="881">
        <f>+I1339+1</f>
        <v>169</v>
      </c>
      <c r="J1341" s="875">
        <v>42723</v>
      </c>
      <c r="K1341" s="877" t="s">
        <v>28</v>
      </c>
      <c r="L1341" s="881" t="s">
        <v>1516</v>
      </c>
      <c r="M1341" s="881" t="s">
        <v>775</v>
      </c>
      <c r="N1341" s="883">
        <v>90000</v>
      </c>
      <c r="O1341" s="55">
        <v>719</v>
      </c>
      <c r="P1341" s="78">
        <v>90000</v>
      </c>
    </row>
    <row r="1342" spans="1:16" ht="13.5" customHeight="1" thickBot="1">
      <c r="A1342" s="920"/>
      <c r="B1342" s="876"/>
      <c r="C1342" s="878"/>
      <c r="D1342" s="878"/>
      <c r="E1342" s="882"/>
      <c r="F1342" s="884"/>
      <c r="G1342" s="56">
        <v>721</v>
      </c>
      <c r="H1342" s="79">
        <f>+F1341-H1341</f>
        <v>0</v>
      </c>
      <c r="I1342" s="882"/>
      <c r="J1342" s="876"/>
      <c r="K1342" s="878"/>
      <c r="L1342" s="882"/>
      <c r="M1342" s="882"/>
      <c r="N1342" s="884"/>
      <c r="O1342" s="56">
        <v>723</v>
      </c>
      <c r="P1342" s="79">
        <f>+N1341-P1341</f>
        <v>0</v>
      </c>
    </row>
    <row r="1343" spans="1:16" ht="14.25" customHeight="1">
      <c r="A1343" s="919" t="e">
        <f>+A1341+1</f>
        <v>#REF!</v>
      </c>
      <c r="B1343" s="875">
        <v>42364</v>
      </c>
      <c r="C1343" s="877" t="s">
        <v>32</v>
      </c>
      <c r="D1343" s="877" t="s">
        <v>518</v>
      </c>
      <c r="E1343" s="881" t="s">
        <v>115</v>
      </c>
      <c r="F1343" s="883">
        <v>40000</v>
      </c>
      <c r="G1343" s="55">
        <v>719</v>
      </c>
      <c r="H1343" s="78">
        <v>40000</v>
      </c>
      <c r="I1343" s="881">
        <f>+I1341+1</f>
        <v>170</v>
      </c>
      <c r="J1343" s="875">
        <v>42723</v>
      </c>
      <c r="K1343" s="877" t="s">
        <v>28</v>
      </c>
      <c r="L1343" s="881" t="s">
        <v>1517</v>
      </c>
      <c r="M1343" s="881" t="s">
        <v>775</v>
      </c>
      <c r="N1343" s="883">
        <v>220000</v>
      </c>
      <c r="O1343" s="55">
        <v>719</v>
      </c>
      <c r="P1343" s="78">
        <v>220000</v>
      </c>
    </row>
    <row r="1344" spans="1:16" ht="13.5" customHeight="1" thickBot="1">
      <c r="A1344" s="920"/>
      <c r="B1344" s="876"/>
      <c r="C1344" s="878"/>
      <c r="D1344" s="878"/>
      <c r="E1344" s="882"/>
      <c r="F1344" s="884"/>
      <c r="G1344" s="56">
        <v>721</v>
      </c>
      <c r="H1344" s="79">
        <f>+F1343-H1343</f>
        <v>0</v>
      </c>
      <c r="I1344" s="882"/>
      <c r="J1344" s="876"/>
      <c r="K1344" s="878"/>
      <c r="L1344" s="882"/>
      <c r="M1344" s="882"/>
      <c r="N1344" s="884"/>
      <c r="O1344" s="56">
        <v>723</v>
      </c>
      <c r="P1344" s="79">
        <f>+N1343-P1343</f>
        <v>0</v>
      </c>
    </row>
    <row r="1345" spans="1:16" ht="15" customHeight="1">
      <c r="A1345" s="919" t="e">
        <f>+A1343+1</f>
        <v>#REF!</v>
      </c>
      <c r="B1345" s="875">
        <v>42364</v>
      </c>
      <c r="C1345" s="877" t="s">
        <v>120</v>
      </c>
      <c r="D1345" s="877" t="s">
        <v>519</v>
      </c>
      <c r="E1345" s="881" t="s">
        <v>115</v>
      </c>
      <c r="F1345" s="883">
        <v>20000</v>
      </c>
      <c r="G1345" s="55">
        <v>719</v>
      </c>
      <c r="H1345" s="78">
        <v>20000</v>
      </c>
      <c r="I1345" s="881">
        <f>+I1343+1</f>
        <v>171</v>
      </c>
      <c r="J1345" s="875">
        <v>42723</v>
      </c>
      <c r="K1345" s="877" t="s">
        <v>28</v>
      </c>
      <c r="L1345" s="881" t="s">
        <v>1593</v>
      </c>
      <c r="M1345" s="881" t="s">
        <v>775</v>
      </c>
      <c r="N1345" s="883">
        <v>80000</v>
      </c>
      <c r="O1345" s="55">
        <v>719</v>
      </c>
      <c r="P1345" s="78">
        <v>80000</v>
      </c>
    </row>
    <row r="1346" spans="1:16" ht="12" customHeight="1" thickBot="1">
      <c r="A1346" s="920"/>
      <c r="B1346" s="876"/>
      <c r="C1346" s="878"/>
      <c r="D1346" s="878"/>
      <c r="E1346" s="882"/>
      <c r="F1346" s="884"/>
      <c r="G1346" s="56">
        <v>721</v>
      </c>
      <c r="H1346" s="79">
        <f>+F1345-H1345</f>
        <v>0</v>
      </c>
      <c r="I1346" s="882"/>
      <c r="J1346" s="876"/>
      <c r="K1346" s="878"/>
      <c r="L1346" s="882"/>
      <c r="M1346" s="882"/>
      <c r="N1346" s="884"/>
      <c r="O1346" s="56">
        <v>723</v>
      </c>
      <c r="P1346" s="79">
        <f>+N1345-P1345</f>
        <v>0</v>
      </c>
    </row>
    <row r="1347" spans="1:16" ht="14.25" customHeight="1">
      <c r="A1347" s="919" t="e">
        <f>+A1345+1</f>
        <v>#REF!</v>
      </c>
      <c r="B1347" s="875">
        <v>42364</v>
      </c>
      <c r="C1347" s="877" t="s">
        <v>31</v>
      </c>
      <c r="D1347" s="877" t="s">
        <v>514</v>
      </c>
      <c r="E1347" s="881" t="s">
        <v>115</v>
      </c>
      <c r="F1347" s="883">
        <v>50000</v>
      </c>
      <c r="G1347" s="55">
        <v>719</v>
      </c>
      <c r="H1347" s="78">
        <v>50000</v>
      </c>
      <c r="I1347" s="881">
        <f>+I1345+1</f>
        <v>172</v>
      </c>
      <c r="J1347" s="875">
        <v>42723</v>
      </c>
      <c r="K1347" s="877" t="s">
        <v>120</v>
      </c>
      <c r="L1347" s="881" t="s">
        <v>1594</v>
      </c>
      <c r="M1347" s="881" t="s">
        <v>775</v>
      </c>
      <c r="N1347" s="883">
        <v>370000</v>
      </c>
      <c r="O1347" s="55">
        <v>719</v>
      </c>
      <c r="P1347" s="78">
        <v>370000</v>
      </c>
    </row>
    <row r="1348" spans="1:16" ht="12.75" customHeight="1" thickBot="1">
      <c r="A1348" s="920"/>
      <c r="B1348" s="876"/>
      <c r="C1348" s="878"/>
      <c r="D1348" s="878"/>
      <c r="E1348" s="882"/>
      <c r="F1348" s="884"/>
      <c r="G1348" s="56">
        <v>721</v>
      </c>
      <c r="H1348" s="79">
        <f>+F1347-H1347</f>
        <v>0</v>
      </c>
      <c r="I1348" s="882"/>
      <c r="J1348" s="876"/>
      <c r="K1348" s="878"/>
      <c r="L1348" s="882"/>
      <c r="M1348" s="882"/>
      <c r="N1348" s="884"/>
      <c r="O1348" s="56">
        <v>723</v>
      </c>
      <c r="P1348" s="79">
        <f>+N1347-P1347</f>
        <v>0</v>
      </c>
    </row>
    <row r="1349" spans="1:16" ht="14.25" customHeight="1" thickBot="1">
      <c r="A1349" s="919" t="e">
        <f>+A1347+1</f>
        <v>#REF!</v>
      </c>
      <c r="B1349" s="875">
        <v>42364</v>
      </c>
      <c r="C1349" s="877" t="s">
        <v>472</v>
      </c>
      <c r="D1349" s="877" t="s">
        <v>515</v>
      </c>
      <c r="E1349" s="881" t="s">
        <v>115</v>
      </c>
      <c r="F1349" s="883">
        <v>20000</v>
      </c>
      <c r="G1349" s="55">
        <v>719</v>
      </c>
      <c r="H1349" s="78">
        <v>20000</v>
      </c>
      <c r="I1349" s="901" t="s">
        <v>102</v>
      </c>
      <c r="J1349" s="902"/>
      <c r="K1349" s="902"/>
      <c r="L1349" s="902"/>
      <c r="M1349" s="903"/>
      <c r="N1349" s="81">
        <f>SUM(N1339:N1348)</f>
        <v>990000</v>
      </c>
    </row>
    <row r="1350" spans="1:16" ht="14.25" customHeight="1" thickBot="1">
      <c r="A1350" s="920"/>
      <c r="B1350" s="876"/>
      <c r="C1350" s="878"/>
      <c r="D1350" s="878"/>
      <c r="E1350" s="882"/>
      <c r="F1350" s="884"/>
      <c r="G1350" s="56">
        <v>721</v>
      </c>
      <c r="H1350" s="79">
        <f>+F1349-H1349</f>
        <v>0</v>
      </c>
      <c r="I1350" s="885" t="s">
        <v>103</v>
      </c>
      <c r="J1350" s="886"/>
      <c r="K1350" s="886"/>
      <c r="L1350" s="886"/>
      <c r="M1350" s="887"/>
      <c r="N1350" s="69">
        <f>+N1314</f>
        <v>486019929</v>
      </c>
      <c r="O1350" s="241" t="s">
        <v>561</v>
      </c>
      <c r="P1350" s="242">
        <f>754+171+406+173+423</f>
        <v>1927</v>
      </c>
    </row>
    <row r="1351" spans="1:16" ht="16.5" thickBot="1">
      <c r="A1351" s="901" t="s">
        <v>102</v>
      </c>
      <c r="B1351" s="902"/>
      <c r="C1351" s="902"/>
      <c r="D1351" s="902"/>
      <c r="E1351" s="903"/>
      <c r="F1351" s="81">
        <f>SUM(F1339:F1350)</f>
        <v>270000</v>
      </c>
      <c r="I1351" s="888" t="s">
        <v>104</v>
      </c>
      <c r="J1351" s="889"/>
      <c r="K1351" s="889"/>
      <c r="L1351" s="889"/>
      <c r="M1351" s="890"/>
      <c r="N1351" s="183">
        <f>SUM(N1349:N1350)</f>
        <v>487009929</v>
      </c>
    </row>
    <row r="1352" spans="1:16" ht="12.75" customHeight="1" thickBot="1">
      <c r="A1352" s="885" t="s">
        <v>103</v>
      </c>
      <c r="B1352" s="886"/>
      <c r="C1352" s="886"/>
      <c r="D1352" s="886"/>
      <c r="E1352" s="887"/>
      <c r="F1352" s="69">
        <f>+F1314</f>
        <v>658601254</v>
      </c>
      <c r="I1352" s="61"/>
      <c r="J1352" s="61"/>
      <c r="K1352" s="61"/>
      <c r="L1352" s="61"/>
      <c r="M1352" s="61"/>
    </row>
    <row r="1353" spans="1:16" ht="16.5" thickBot="1">
      <c r="A1353" s="888" t="s">
        <v>104</v>
      </c>
      <c r="B1353" s="889"/>
      <c r="C1353" s="889"/>
      <c r="D1353" s="889"/>
      <c r="E1353" s="890"/>
      <c r="F1353" s="183">
        <f>SUM(F1351:F1352)</f>
        <v>658871254</v>
      </c>
      <c r="I1353" s="51" t="s">
        <v>1599</v>
      </c>
    </row>
    <row r="1354" spans="1:16" ht="13.5" customHeight="1">
      <c r="A1354" s="61"/>
      <c r="B1354" s="61"/>
      <c r="C1354" s="61"/>
      <c r="D1354" s="61"/>
      <c r="E1354" s="61"/>
      <c r="N1354" s="139"/>
    </row>
    <row r="1355" spans="1:16">
      <c r="A1355" s="51" t="s">
        <v>516</v>
      </c>
      <c r="I1355" s="50" t="s">
        <v>105</v>
      </c>
      <c r="L1355" s="146"/>
      <c r="N1355" s="139"/>
    </row>
    <row r="1356" spans="1:16" ht="14.25" customHeight="1" thickBot="1">
      <c r="F1356" s="139"/>
    </row>
    <row r="1357" spans="1:16" ht="15.75" thickBot="1">
      <c r="A1357" s="50" t="s">
        <v>105</v>
      </c>
      <c r="D1357" s="146"/>
      <c r="F1357" s="139"/>
      <c r="I1357" s="891" t="s">
        <v>106</v>
      </c>
      <c r="J1357" s="892"/>
      <c r="K1357" s="892"/>
      <c r="L1357" s="893"/>
      <c r="N1357" s="50" t="s">
        <v>288</v>
      </c>
    </row>
    <row r="1358" spans="1:16" ht="28.5" customHeight="1" thickBot="1">
      <c r="I1358" s="57" t="s">
        <v>100</v>
      </c>
      <c r="J1358" s="58" t="s">
        <v>108</v>
      </c>
      <c r="K1358" s="287" t="s">
        <v>109</v>
      </c>
      <c r="L1358" s="60" t="s">
        <v>110</v>
      </c>
    </row>
    <row r="1359" spans="1:16" ht="15.75" thickBot="1">
      <c r="A1359" s="891" t="s">
        <v>106</v>
      </c>
      <c r="B1359" s="892"/>
      <c r="C1359" s="892"/>
      <c r="D1359" s="893"/>
      <c r="F1359" s="50" t="s">
        <v>288</v>
      </c>
      <c r="I1359" s="71">
        <v>719</v>
      </c>
      <c r="J1359" s="73">
        <f>+P1339+P1341+P1343+P1345+P1347</f>
        <v>990000</v>
      </c>
      <c r="K1359" s="74">
        <f>+L1322</f>
        <v>35700000</v>
      </c>
      <c r="L1359" s="195">
        <f>+J1359+K1359</f>
        <v>36690000</v>
      </c>
    </row>
    <row r="1360" spans="1:16" ht="14.25" customHeight="1" thickBot="1">
      <c r="A1360" s="57" t="s">
        <v>100</v>
      </c>
      <c r="B1360" s="58" t="s">
        <v>108</v>
      </c>
      <c r="C1360" s="59" t="s">
        <v>109</v>
      </c>
      <c r="D1360" s="60" t="s">
        <v>110</v>
      </c>
      <c r="I1360" s="72">
        <v>721</v>
      </c>
      <c r="J1360" s="80">
        <v>0</v>
      </c>
      <c r="K1360" s="74">
        <f>+L1323</f>
        <v>84364981</v>
      </c>
      <c r="L1360" s="195">
        <f>+J1360+K1360</f>
        <v>84364981</v>
      </c>
    </row>
    <row r="1361" spans="1:16" ht="13.5" customHeight="1">
      <c r="A1361" s="71">
        <v>719</v>
      </c>
      <c r="B1361" s="73">
        <f>+H1339+H1341+H13+H1343+H135355+H1345+H1349+H1347</f>
        <v>270000</v>
      </c>
      <c r="C1361" s="74" t="e">
        <f>+D1322</f>
        <v>#REF!</v>
      </c>
      <c r="D1361" s="195" t="e">
        <f>+B1361+C1361</f>
        <v>#REF!</v>
      </c>
      <c r="I1361" s="72">
        <v>722</v>
      </c>
      <c r="J1361" s="80"/>
      <c r="K1361" s="74">
        <f>+L1324</f>
        <v>42881706</v>
      </c>
      <c r="L1361" s="195">
        <f>+J1361+K1361</f>
        <v>42881706</v>
      </c>
    </row>
    <row r="1362" spans="1:16" ht="15.75">
      <c r="A1362" s="72">
        <v>721</v>
      </c>
      <c r="B1362" s="80">
        <f>(+H1350+H1346+H1344+H1342+H1340)</f>
        <v>0</v>
      </c>
      <c r="C1362" s="74" t="e">
        <f>+D1323</f>
        <v>#REF!</v>
      </c>
      <c r="D1362" s="195" t="e">
        <f>+B1362+C1362</f>
        <v>#REF!</v>
      </c>
      <c r="I1362" s="72">
        <v>723</v>
      </c>
      <c r="J1362" s="80"/>
      <c r="K1362" s="74">
        <f>+L1325</f>
        <v>323073242</v>
      </c>
      <c r="L1362" s="195">
        <f>+J1362+K1362</f>
        <v>323073242</v>
      </c>
      <c r="N1362" s="918" t="s">
        <v>1481</v>
      </c>
      <c r="O1362" s="918"/>
      <c r="P1362" s="918"/>
    </row>
    <row r="1363" spans="1:16" ht="16.5" thickBot="1">
      <c r="A1363" s="72">
        <v>722</v>
      </c>
      <c r="B1363" s="80"/>
      <c r="C1363" s="74">
        <f>+D1324</f>
        <v>231207671</v>
      </c>
      <c r="D1363" s="195">
        <f>+B1363+C1363</f>
        <v>231207671</v>
      </c>
      <c r="I1363" s="164" t="s">
        <v>181</v>
      </c>
      <c r="J1363" s="165"/>
      <c r="K1363" s="74">
        <f>+L1326</f>
        <v>0</v>
      </c>
      <c r="L1363" s="196">
        <f>+J1363+K1363</f>
        <v>0</v>
      </c>
      <c r="N1363" s="52"/>
    </row>
    <row r="1364" spans="1:16" ht="16.5" thickBot="1">
      <c r="A1364" s="72">
        <v>723</v>
      </c>
      <c r="B1364" s="80"/>
      <c r="C1364" s="74">
        <f>+D1325</f>
        <v>323193545</v>
      </c>
      <c r="D1364" s="195">
        <f>+B1364+C1364</f>
        <v>323193545</v>
      </c>
      <c r="F1364" s="174" t="s">
        <v>23</v>
      </c>
      <c r="G1364" s="175"/>
      <c r="I1364" s="169"/>
      <c r="J1364" s="197">
        <f>SUM(J1359:J1363)</f>
        <v>990000</v>
      </c>
      <c r="K1364" s="197">
        <f>SUM(K1359:K1363)</f>
        <v>486019929</v>
      </c>
      <c r="L1364" s="198">
        <f>SUM(L1359:L1363)</f>
        <v>487009929</v>
      </c>
    </row>
    <row r="1365" spans="1:16" ht="17.25" thickBot="1">
      <c r="A1365" s="164" t="s">
        <v>181</v>
      </c>
      <c r="B1365" s="165"/>
      <c r="C1365" s="74" t="e">
        <f>+D1326</f>
        <v>#REF!</v>
      </c>
      <c r="D1365" s="196" t="e">
        <f>+B1365+C1365</f>
        <v>#REF!</v>
      </c>
      <c r="F1365" s="52"/>
      <c r="I1365" s="49" t="s">
        <v>88</v>
      </c>
      <c r="J1365" s="50"/>
    </row>
    <row r="1366" spans="1:16" ht="16.5" thickBot="1">
      <c r="A1366" s="169"/>
      <c r="B1366" s="170">
        <f>SUM(B1361:B1365)</f>
        <v>270000</v>
      </c>
      <c r="C1366" s="171" t="e">
        <f>SUM(C1361:C1365)</f>
        <v>#REF!</v>
      </c>
      <c r="D1366" s="172" t="e">
        <f>SUM(D1361:D1365)</f>
        <v>#REF!</v>
      </c>
      <c r="I1366" s="51" t="s">
        <v>89</v>
      </c>
    </row>
    <row r="1367" spans="1:16" ht="16.5">
      <c r="A1367" s="49" t="s">
        <v>88</v>
      </c>
      <c r="B1367" s="50"/>
      <c r="I1367" s="51" t="s">
        <v>90</v>
      </c>
    </row>
    <row r="1368" spans="1:16">
      <c r="A1368" s="51" t="s">
        <v>89</v>
      </c>
      <c r="I1368" s="51" t="s">
        <v>91</v>
      </c>
    </row>
    <row r="1369" spans="1:16" ht="11.25" customHeight="1">
      <c r="A1369" s="51" t="s">
        <v>90</v>
      </c>
      <c r="I1369" s="50"/>
      <c r="J1369" s="50"/>
    </row>
    <row r="1370" spans="1:16" ht="16.5">
      <c r="A1370" s="51" t="s">
        <v>91</v>
      </c>
      <c r="I1370" s="260" t="s">
        <v>908</v>
      </c>
      <c r="O1370" s="52"/>
    </row>
    <row r="1371" spans="1:16" ht="12.75" customHeight="1">
      <c r="A1371" s="50"/>
      <c r="B1371" s="50"/>
      <c r="I1371" s="53" t="s">
        <v>1333</v>
      </c>
      <c r="O1371" s="53"/>
    </row>
    <row r="1372" spans="1:16" ht="16.5">
      <c r="A1372" s="52" t="s">
        <v>520</v>
      </c>
      <c r="G1372" s="52"/>
      <c r="I1372" s="894" t="s">
        <v>909</v>
      </c>
      <c r="J1372" s="894"/>
      <c r="K1372" s="894"/>
      <c r="L1372" s="894"/>
      <c r="M1372" s="894"/>
      <c r="N1372" s="894"/>
      <c r="O1372" s="894"/>
      <c r="P1372" s="894"/>
    </row>
    <row r="1373" spans="1:16" ht="16.5" thickBot="1">
      <c r="A1373" s="53" t="s">
        <v>92</v>
      </c>
      <c r="G1373" s="53"/>
    </row>
    <row r="1374" spans="1:16" ht="16.5">
      <c r="A1374" s="894" t="s">
        <v>261</v>
      </c>
      <c r="B1374" s="894"/>
      <c r="C1374" s="894"/>
      <c r="D1374" s="894"/>
      <c r="E1374" s="894"/>
      <c r="F1374" s="894"/>
      <c r="G1374" s="894"/>
      <c r="H1374" s="894"/>
      <c r="I1374" s="895" t="s">
        <v>94</v>
      </c>
      <c r="J1374" s="897" t="s">
        <v>95</v>
      </c>
      <c r="K1374" s="897" t="s">
        <v>96</v>
      </c>
      <c r="L1374" s="897" t="s">
        <v>3</v>
      </c>
      <c r="M1374" s="897" t="s">
        <v>97</v>
      </c>
      <c r="N1374" s="897" t="s">
        <v>98</v>
      </c>
      <c r="O1374" s="897" t="s">
        <v>99</v>
      </c>
      <c r="P1374" s="899"/>
    </row>
    <row r="1375" spans="1:16" ht="15.75" thickBot="1">
      <c r="I1375" s="896"/>
      <c r="J1375" s="898"/>
      <c r="K1375" s="898"/>
      <c r="L1375" s="898"/>
      <c r="M1375" s="898"/>
      <c r="N1375" s="898"/>
      <c r="O1375" s="240" t="s">
        <v>100</v>
      </c>
      <c r="P1375" s="182" t="s">
        <v>101</v>
      </c>
    </row>
    <row r="1376" spans="1:16" ht="15" customHeight="1">
      <c r="A1376" s="895" t="s">
        <v>94</v>
      </c>
      <c r="B1376" s="897" t="s">
        <v>95</v>
      </c>
      <c r="C1376" s="897" t="s">
        <v>96</v>
      </c>
      <c r="D1376" s="897" t="s">
        <v>3</v>
      </c>
      <c r="E1376" s="897" t="s">
        <v>97</v>
      </c>
      <c r="F1376" s="897" t="s">
        <v>98</v>
      </c>
      <c r="G1376" s="897" t="s">
        <v>99</v>
      </c>
      <c r="H1376" s="899"/>
      <c r="I1376" s="873" t="s">
        <v>1595</v>
      </c>
      <c r="J1376" s="875">
        <v>42723</v>
      </c>
      <c r="K1376" s="877" t="s">
        <v>472</v>
      </c>
      <c r="L1376" s="881" t="s">
        <v>1524</v>
      </c>
      <c r="M1376" s="881" t="s">
        <v>148</v>
      </c>
      <c r="N1376" s="883">
        <v>507000</v>
      </c>
      <c r="O1376" s="55">
        <v>719</v>
      </c>
      <c r="P1376" s="78">
        <v>390000</v>
      </c>
    </row>
    <row r="1377" spans="1:16" ht="15.75" customHeight="1" thickBot="1">
      <c r="A1377" s="896"/>
      <c r="B1377" s="898"/>
      <c r="C1377" s="898"/>
      <c r="D1377" s="898"/>
      <c r="E1377" s="898"/>
      <c r="F1377" s="898"/>
      <c r="G1377" s="240" t="s">
        <v>100</v>
      </c>
      <c r="H1377" s="182" t="s">
        <v>101</v>
      </c>
      <c r="I1377" s="874"/>
      <c r="J1377" s="876"/>
      <c r="K1377" s="878"/>
      <c r="L1377" s="882"/>
      <c r="M1377" s="882"/>
      <c r="N1377" s="884"/>
      <c r="O1377" s="56">
        <v>721</v>
      </c>
      <c r="P1377" s="79">
        <f>+N1376-P1376</f>
        <v>117000</v>
      </c>
    </row>
    <row r="1378" spans="1:16" ht="15" customHeight="1">
      <c r="A1378" s="919" t="e">
        <f>+A1349+1</f>
        <v>#REF!</v>
      </c>
      <c r="B1378" s="875">
        <v>42369</v>
      </c>
      <c r="C1378" s="877" t="s">
        <v>31</v>
      </c>
      <c r="D1378" s="877" t="s">
        <v>523</v>
      </c>
      <c r="E1378" s="881" t="s">
        <v>115</v>
      </c>
      <c r="F1378" s="883">
        <v>180000</v>
      </c>
      <c r="G1378" s="55">
        <v>719</v>
      </c>
      <c r="H1378" s="78">
        <v>180000</v>
      </c>
      <c r="I1378" s="881">
        <f>+I1376+1</f>
        <v>174</v>
      </c>
      <c r="J1378" s="875">
        <v>42723</v>
      </c>
      <c r="K1378" s="877" t="s">
        <v>472</v>
      </c>
      <c r="L1378" s="881" t="s">
        <v>913</v>
      </c>
      <c r="M1378" s="881" t="s">
        <v>148</v>
      </c>
      <c r="N1378" s="883">
        <v>312000</v>
      </c>
      <c r="O1378" s="55">
        <v>719</v>
      </c>
      <c r="P1378" s="78">
        <v>240000</v>
      </c>
    </row>
    <row r="1379" spans="1:16" ht="15.75" customHeight="1" thickBot="1">
      <c r="A1379" s="920"/>
      <c r="B1379" s="876"/>
      <c r="C1379" s="878"/>
      <c r="D1379" s="878"/>
      <c r="E1379" s="882"/>
      <c r="F1379" s="884"/>
      <c r="G1379" s="56">
        <v>721</v>
      </c>
      <c r="H1379" s="79">
        <f>+F1378-H1378</f>
        <v>0</v>
      </c>
      <c r="I1379" s="882"/>
      <c r="J1379" s="876"/>
      <c r="K1379" s="878"/>
      <c r="L1379" s="882"/>
      <c r="M1379" s="882"/>
      <c r="N1379" s="884"/>
      <c r="O1379" s="56">
        <v>721</v>
      </c>
      <c r="P1379" s="79">
        <f>+N1378-P1378</f>
        <v>72000</v>
      </c>
    </row>
    <row r="1380" spans="1:16" ht="15" customHeight="1">
      <c r="A1380" s="919" t="e">
        <f>+A1378+1</f>
        <v>#REF!</v>
      </c>
      <c r="B1380" s="875">
        <v>42369</v>
      </c>
      <c r="C1380" s="877" t="s">
        <v>472</v>
      </c>
      <c r="D1380" s="877" t="s">
        <v>524</v>
      </c>
      <c r="E1380" s="881" t="s">
        <v>115</v>
      </c>
      <c r="F1380" s="883">
        <v>40000</v>
      </c>
      <c r="G1380" s="55">
        <v>719</v>
      </c>
      <c r="H1380" s="78">
        <v>40000</v>
      </c>
      <c r="I1380" s="881">
        <f>+I1378+1</f>
        <v>175</v>
      </c>
      <c r="J1380" s="875">
        <v>42723</v>
      </c>
      <c r="K1380" s="877" t="s">
        <v>472</v>
      </c>
      <c r="L1380" s="881" t="s">
        <v>914</v>
      </c>
      <c r="M1380" s="881" t="s">
        <v>148</v>
      </c>
      <c r="N1380" s="883">
        <v>338000</v>
      </c>
      <c r="O1380" s="55">
        <v>719</v>
      </c>
      <c r="P1380" s="78">
        <v>260000</v>
      </c>
    </row>
    <row r="1381" spans="1:16" ht="15.75" customHeight="1" thickBot="1">
      <c r="A1381" s="920"/>
      <c r="B1381" s="876"/>
      <c r="C1381" s="878"/>
      <c r="D1381" s="878"/>
      <c r="E1381" s="882"/>
      <c r="F1381" s="884"/>
      <c r="G1381" s="56">
        <v>721</v>
      </c>
      <c r="H1381" s="79">
        <f>+F1380-H1380</f>
        <v>0</v>
      </c>
      <c r="I1381" s="882"/>
      <c r="J1381" s="876"/>
      <c r="K1381" s="878"/>
      <c r="L1381" s="882"/>
      <c r="M1381" s="882"/>
      <c r="N1381" s="884"/>
      <c r="O1381" s="56">
        <v>721</v>
      </c>
      <c r="P1381" s="79">
        <f>+N1380-P1380</f>
        <v>78000</v>
      </c>
    </row>
    <row r="1382" spans="1:16" ht="11.25" customHeight="1">
      <c r="A1382" s="919" t="e">
        <f>+A1380+1</f>
        <v>#REF!</v>
      </c>
      <c r="B1382" s="875">
        <v>42369</v>
      </c>
      <c r="C1382" s="877" t="s">
        <v>32</v>
      </c>
      <c r="D1382" s="877" t="s">
        <v>521</v>
      </c>
      <c r="E1382" s="881" t="s">
        <v>115</v>
      </c>
      <c r="F1382" s="883">
        <v>40000</v>
      </c>
      <c r="G1382" s="55">
        <v>719</v>
      </c>
      <c r="H1382" s="78">
        <v>40000</v>
      </c>
      <c r="I1382" s="881"/>
      <c r="J1382" s="875"/>
      <c r="K1382" s="877"/>
      <c r="L1382" s="881"/>
      <c r="M1382" s="881"/>
      <c r="N1382" s="883"/>
      <c r="O1382" s="55">
        <v>719</v>
      </c>
      <c r="P1382" s="78"/>
    </row>
    <row r="1383" spans="1:16" ht="13.5" customHeight="1" thickBot="1">
      <c r="A1383" s="920"/>
      <c r="B1383" s="876"/>
      <c r="C1383" s="878"/>
      <c r="D1383" s="878"/>
      <c r="E1383" s="882"/>
      <c r="F1383" s="884"/>
      <c r="G1383" s="56">
        <v>721</v>
      </c>
      <c r="H1383" s="79">
        <f>+F1382-H1382</f>
        <v>0</v>
      </c>
      <c r="I1383" s="882"/>
      <c r="J1383" s="876"/>
      <c r="K1383" s="878"/>
      <c r="L1383" s="882"/>
      <c r="M1383" s="882"/>
      <c r="N1383" s="884"/>
      <c r="O1383" s="56">
        <v>721</v>
      </c>
      <c r="P1383" s="79">
        <f>+N1382-P1382</f>
        <v>0</v>
      </c>
    </row>
    <row r="1384" spans="1:16" ht="12.75" customHeight="1">
      <c r="A1384" s="919" t="e">
        <f>+A1382+1</f>
        <v>#REF!</v>
      </c>
      <c r="B1384" s="875">
        <v>42369</v>
      </c>
      <c r="C1384" s="877" t="s">
        <v>120</v>
      </c>
      <c r="D1384" s="877" t="s">
        <v>522</v>
      </c>
      <c r="E1384" s="881" t="s">
        <v>115</v>
      </c>
      <c r="F1384" s="883">
        <v>20000</v>
      </c>
      <c r="G1384" s="55">
        <v>719</v>
      </c>
      <c r="H1384" s="78">
        <v>20000</v>
      </c>
      <c r="I1384" s="881"/>
      <c r="J1384" s="875"/>
      <c r="K1384" s="877"/>
      <c r="L1384" s="881"/>
      <c r="M1384" s="881"/>
      <c r="N1384" s="883"/>
      <c r="O1384" s="55">
        <v>719</v>
      </c>
      <c r="P1384" s="78"/>
    </row>
    <row r="1385" spans="1:16" ht="12.75" customHeight="1" thickBot="1">
      <c r="A1385" s="920"/>
      <c r="B1385" s="876"/>
      <c r="C1385" s="878"/>
      <c r="D1385" s="878"/>
      <c r="E1385" s="882"/>
      <c r="F1385" s="884"/>
      <c r="G1385" s="56">
        <v>721</v>
      </c>
      <c r="H1385" s="79">
        <f>+F1384-H1384</f>
        <v>0</v>
      </c>
      <c r="I1385" s="882"/>
      <c r="J1385" s="876"/>
      <c r="K1385" s="878"/>
      <c r="L1385" s="882"/>
      <c r="M1385" s="882"/>
      <c r="N1385" s="884"/>
      <c r="O1385" s="56">
        <v>721</v>
      </c>
      <c r="P1385" s="79">
        <f>+N1384-P1384</f>
        <v>0</v>
      </c>
    </row>
    <row r="1386" spans="1:16" ht="15" customHeight="1" thickBot="1">
      <c r="A1386" s="919"/>
      <c r="B1386" s="875"/>
      <c r="C1386" s="877"/>
      <c r="D1386" s="877"/>
      <c r="E1386" s="881"/>
      <c r="F1386" s="883"/>
      <c r="G1386" s="55">
        <v>719</v>
      </c>
      <c r="H1386" s="78"/>
      <c r="I1386" s="901" t="s">
        <v>102</v>
      </c>
      <c r="J1386" s="902"/>
      <c r="K1386" s="902"/>
      <c r="L1386" s="902"/>
      <c r="M1386" s="903"/>
      <c r="N1386" s="81">
        <f>SUM(N1376:N1385)</f>
        <v>1157000</v>
      </c>
    </row>
    <row r="1387" spans="1:16" ht="15.75" customHeight="1" thickBot="1">
      <c r="A1387" s="920"/>
      <c r="B1387" s="876"/>
      <c r="C1387" s="878"/>
      <c r="D1387" s="878"/>
      <c r="E1387" s="882"/>
      <c r="F1387" s="884"/>
      <c r="G1387" s="56">
        <v>721</v>
      </c>
      <c r="H1387" s="79">
        <f>+F1386-H1386</f>
        <v>0</v>
      </c>
      <c r="I1387" s="885" t="s">
        <v>103</v>
      </c>
      <c r="J1387" s="886"/>
      <c r="K1387" s="886"/>
      <c r="L1387" s="886"/>
      <c r="M1387" s="887"/>
      <c r="N1387" s="69">
        <f>+N1351</f>
        <v>487009929</v>
      </c>
      <c r="O1387" s="241" t="s">
        <v>561</v>
      </c>
      <c r="P1387" s="242">
        <f>753+65+288</f>
        <v>1106</v>
      </c>
    </row>
    <row r="1388" spans="1:16" ht="15" customHeight="1" thickBot="1">
      <c r="A1388" s="901" t="s">
        <v>102</v>
      </c>
      <c r="B1388" s="902"/>
      <c r="C1388" s="902"/>
      <c r="D1388" s="902"/>
      <c r="E1388" s="903"/>
      <c r="F1388" s="81">
        <f>SUM(F1378:F1387)</f>
        <v>280000</v>
      </c>
      <c r="I1388" s="888" t="s">
        <v>104</v>
      </c>
      <c r="J1388" s="889"/>
      <c r="K1388" s="889"/>
      <c r="L1388" s="889"/>
      <c r="M1388" s="890"/>
      <c r="N1388" s="183">
        <f>SUM(N1386:N1387)</f>
        <v>488166929</v>
      </c>
    </row>
    <row r="1389" spans="1:16" ht="15.75" customHeight="1" thickBot="1">
      <c r="A1389" s="885" t="s">
        <v>103</v>
      </c>
      <c r="B1389" s="886"/>
      <c r="C1389" s="886"/>
      <c r="D1389" s="886"/>
      <c r="E1389" s="887"/>
      <c r="F1389" s="69">
        <f>+F1353</f>
        <v>658871254</v>
      </c>
      <c r="I1389" s="61"/>
      <c r="J1389" s="61"/>
      <c r="K1389" s="61"/>
      <c r="L1389" s="61"/>
      <c r="M1389" s="61"/>
    </row>
    <row r="1390" spans="1:16" ht="16.5" thickBot="1">
      <c r="A1390" s="888" t="s">
        <v>104</v>
      </c>
      <c r="B1390" s="889"/>
      <c r="C1390" s="889"/>
      <c r="D1390" s="889"/>
      <c r="E1390" s="890"/>
      <c r="F1390" s="183">
        <f>SUM(F1388:F1389)</f>
        <v>659151254</v>
      </c>
      <c r="I1390" s="51" t="s">
        <v>1596</v>
      </c>
    </row>
    <row r="1391" spans="1:16" ht="12" customHeight="1">
      <c r="A1391" s="61"/>
      <c r="B1391" s="61"/>
      <c r="C1391" s="61"/>
      <c r="D1391" s="61"/>
      <c r="E1391" s="61"/>
      <c r="N1391" s="139"/>
    </row>
    <row r="1392" spans="1:16">
      <c r="A1392" s="51" t="s">
        <v>525</v>
      </c>
      <c r="I1392" s="50" t="s">
        <v>105</v>
      </c>
      <c r="L1392" s="146"/>
      <c r="N1392" s="139"/>
    </row>
    <row r="1393" spans="1:16" ht="14.25" customHeight="1" thickBot="1">
      <c r="F1393" s="139"/>
    </row>
    <row r="1394" spans="1:16" ht="15.75" thickBot="1">
      <c r="A1394" s="50" t="s">
        <v>105</v>
      </c>
      <c r="D1394" s="146"/>
      <c r="F1394" s="139"/>
      <c r="I1394" s="891" t="s">
        <v>106</v>
      </c>
      <c r="J1394" s="892"/>
      <c r="K1394" s="892"/>
      <c r="L1394" s="893"/>
      <c r="N1394" s="50" t="s">
        <v>288</v>
      </c>
    </row>
    <row r="1395" spans="1:16" ht="11.25" customHeight="1" thickBot="1">
      <c r="I1395" s="57" t="s">
        <v>100</v>
      </c>
      <c r="J1395" s="58" t="s">
        <v>108</v>
      </c>
      <c r="K1395" s="287" t="s">
        <v>109</v>
      </c>
      <c r="L1395" s="60" t="s">
        <v>110</v>
      </c>
    </row>
    <row r="1396" spans="1:16" ht="15.75" thickBot="1">
      <c r="A1396" s="891" t="s">
        <v>106</v>
      </c>
      <c r="B1396" s="892"/>
      <c r="C1396" s="892"/>
      <c r="D1396" s="893"/>
      <c r="F1396" s="50" t="s">
        <v>288</v>
      </c>
      <c r="I1396" s="71">
        <v>719</v>
      </c>
      <c r="J1396" s="73">
        <f>+P1376+P1378+P1380+P1382+P1384</f>
        <v>890000</v>
      </c>
      <c r="K1396" s="74">
        <f>+L1359</f>
        <v>36690000</v>
      </c>
      <c r="L1396" s="195">
        <f>+J1396+K1396</f>
        <v>37580000</v>
      </c>
    </row>
    <row r="1397" spans="1:16" ht="12.75" customHeight="1" thickBot="1">
      <c r="A1397" s="57" t="s">
        <v>100</v>
      </c>
      <c r="B1397" s="58" t="s">
        <v>108</v>
      </c>
      <c r="C1397" s="59" t="s">
        <v>109</v>
      </c>
      <c r="D1397" s="60" t="s">
        <v>110</v>
      </c>
      <c r="I1397" s="72">
        <v>721</v>
      </c>
      <c r="J1397" s="80">
        <f>+P1377+P1379+P1381</f>
        <v>267000</v>
      </c>
      <c r="K1397" s="74">
        <f>+L1360</f>
        <v>84364981</v>
      </c>
      <c r="L1397" s="195">
        <f>+J1397+K1397</f>
        <v>84631981</v>
      </c>
    </row>
    <row r="1398" spans="1:16">
      <c r="A1398" s="71">
        <v>719</v>
      </c>
      <c r="B1398" s="73">
        <f>+H1378+H1380+H1382+H1384+H1386</f>
        <v>280000</v>
      </c>
      <c r="C1398" s="74" t="e">
        <f>+D1361</f>
        <v>#REF!</v>
      </c>
      <c r="D1398" s="195" t="e">
        <f>+B1398+C1398</f>
        <v>#REF!</v>
      </c>
      <c r="I1398" s="72">
        <v>722</v>
      </c>
      <c r="J1398" s="80"/>
      <c r="K1398" s="74">
        <f>+L1361</f>
        <v>42881706</v>
      </c>
      <c r="L1398" s="195">
        <f>+J1398+K1398</f>
        <v>42881706</v>
      </c>
    </row>
    <row r="1399" spans="1:16" ht="15.75">
      <c r="A1399" s="72">
        <v>721</v>
      </c>
      <c r="B1399" s="80">
        <f>(+H1387+H1385+H1383+H1381+H1379)</f>
        <v>0</v>
      </c>
      <c r="C1399" s="74" t="e">
        <f>+D1362</f>
        <v>#REF!</v>
      </c>
      <c r="D1399" s="195" t="e">
        <f>+B1399+C1399</f>
        <v>#REF!</v>
      </c>
      <c r="I1399" s="72">
        <v>723</v>
      </c>
      <c r="J1399" s="80"/>
      <c r="K1399" s="74">
        <f>+L1362</f>
        <v>323073242</v>
      </c>
      <c r="L1399" s="195">
        <f>+J1399+K1399</f>
        <v>323073242</v>
      </c>
      <c r="N1399" s="918" t="s">
        <v>1481</v>
      </c>
      <c r="O1399" s="918"/>
      <c r="P1399" s="918"/>
    </row>
    <row r="1400" spans="1:16" ht="16.5" thickBot="1">
      <c r="A1400" s="72">
        <v>722</v>
      </c>
      <c r="B1400" s="80"/>
      <c r="C1400" s="74">
        <f>+D1363</f>
        <v>231207671</v>
      </c>
      <c r="D1400" s="195">
        <f>+B1400+C1400</f>
        <v>231207671</v>
      </c>
      <c r="I1400" s="164" t="s">
        <v>181</v>
      </c>
      <c r="J1400" s="165"/>
      <c r="K1400" s="74">
        <f>+L1363</f>
        <v>0</v>
      </c>
      <c r="L1400" s="196">
        <f>+J1400+K1400</f>
        <v>0</v>
      </c>
      <c r="N1400" s="52"/>
    </row>
    <row r="1401" spans="1:16" ht="16.5" thickBot="1">
      <c r="A1401" s="72">
        <v>723</v>
      </c>
      <c r="B1401" s="80"/>
      <c r="C1401" s="74">
        <f>+D1364</f>
        <v>323193545</v>
      </c>
      <c r="D1401" s="195">
        <f>+B1401+C1401</f>
        <v>323193545</v>
      </c>
      <c r="F1401" s="174" t="s">
        <v>23</v>
      </c>
      <c r="G1401" s="175"/>
      <c r="I1401" s="169"/>
      <c r="J1401" s="197">
        <f>SUM(J1396:J1400)</f>
        <v>1157000</v>
      </c>
      <c r="K1401" s="197">
        <f>SUM(K1396:K1400)</f>
        <v>487009929</v>
      </c>
      <c r="L1401" s="198">
        <f>SUM(L1396:L1400)</f>
        <v>488166929</v>
      </c>
    </row>
    <row r="1402" spans="1:16" ht="17.25" thickBot="1">
      <c r="A1402" s="164" t="s">
        <v>181</v>
      </c>
      <c r="B1402" s="165"/>
      <c r="C1402" s="74" t="e">
        <f>+D1365</f>
        <v>#REF!</v>
      </c>
      <c r="D1402" s="196" t="e">
        <f>+B1402+C1402</f>
        <v>#REF!</v>
      </c>
      <c r="F1402" s="52"/>
      <c r="I1402" s="49" t="s">
        <v>88</v>
      </c>
      <c r="J1402" s="50"/>
    </row>
    <row r="1403" spans="1:16" ht="16.5" thickBot="1">
      <c r="A1403" s="169"/>
      <c r="B1403" s="170">
        <f>SUM(B1398:B1402)</f>
        <v>280000</v>
      </c>
      <c r="C1403" s="171" t="e">
        <f>SUM(C1398:C1402)</f>
        <v>#REF!</v>
      </c>
      <c r="D1403" s="172" t="e">
        <f>SUM(D1398:D1402)</f>
        <v>#REF!</v>
      </c>
      <c r="I1403" s="51" t="s">
        <v>89</v>
      </c>
    </row>
    <row r="1404" spans="1:16" ht="16.5">
      <c r="A1404" s="49" t="s">
        <v>88</v>
      </c>
      <c r="B1404" s="50"/>
      <c r="I1404" s="51" t="s">
        <v>90</v>
      </c>
    </row>
    <row r="1405" spans="1:16">
      <c r="A1405" s="51" t="s">
        <v>89</v>
      </c>
      <c r="I1405" s="51" t="s">
        <v>91</v>
      </c>
    </row>
    <row r="1406" spans="1:16">
      <c r="A1406" s="51" t="s">
        <v>90</v>
      </c>
      <c r="I1406" s="50"/>
      <c r="J1406" s="50"/>
    </row>
    <row r="1407" spans="1:16" ht="16.5">
      <c r="A1407" s="51" t="s">
        <v>91</v>
      </c>
      <c r="I1407" s="260" t="s">
        <v>917</v>
      </c>
      <c r="O1407" s="52"/>
    </row>
    <row r="1408" spans="1:16" ht="15" customHeight="1">
      <c r="A1408" s="50"/>
      <c r="B1408" s="50"/>
      <c r="I1408" s="53" t="s">
        <v>1333</v>
      </c>
      <c r="O1408" s="53"/>
    </row>
    <row r="1409" spans="1:16" ht="16.5">
      <c r="A1409" s="52" t="s">
        <v>528</v>
      </c>
      <c r="G1409" s="52"/>
      <c r="I1409" s="894" t="s">
        <v>1600</v>
      </c>
      <c r="J1409" s="894"/>
      <c r="K1409" s="894"/>
      <c r="L1409" s="894"/>
      <c r="M1409" s="894"/>
      <c r="N1409" s="894"/>
      <c r="O1409" s="894"/>
      <c r="P1409" s="894"/>
    </row>
    <row r="1410" spans="1:16" ht="12" customHeight="1" thickBot="1">
      <c r="A1410" s="53" t="s">
        <v>92</v>
      </c>
      <c r="G1410" s="53"/>
    </row>
    <row r="1411" spans="1:16" ht="16.5">
      <c r="A1411" s="894" t="s">
        <v>261</v>
      </c>
      <c r="B1411" s="894"/>
      <c r="C1411" s="894"/>
      <c r="D1411" s="894"/>
      <c r="E1411" s="894"/>
      <c r="F1411" s="894"/>
      <c r="G1411" s="894"/>
      <c r="H1411" s="894"/>
      <c r="I1411" s="895" t="s">
        <v>94</v>
      </c>
      <c r="J1411" s="897" t="s">
        <v>95</v>
      </c>
      <c r="K1411" s="897" t="s">
        <v>96</v>
      </c>
      <c r="L1411" s="897" t="s">
        <v>3</v>
      </c>
      <c r="M1411" s="897" t="s">
        <v>97</v>
      </c>
      <c r="N1411" s="897" t="s">
        <v>98</v>
      </c>
      <c r="O1411" s="897" t="s">
        <v>99</v>
      </c>
      <c r="P1411" s="899"/>
    </row>
    <row r="1412" spans="1:16" ht="15.75" thickBot="1">
      <c r="I1412" s="896"/>
      <c r="J1412" s="898"/>
      <c r="K1412" s="898"/>
      <c r="L1412" s="898"/>
      <c r="M1412" s="898"/>
      <c r="N1412" s="898"/>
      <c r="O1412" s="240" t="s">
        <v>100</v>
      </c>
      <c r="P1412" s="182" t="s">
        <v>101</v>
      </c>
    </row>
    <row r="1413" spans="1:16" ht="13.5" customHeight="1">
      <c r="A1413" s="895" t="s">
        <v>94</v>
      </c>
      <c r="B1413" s="897" t="s">
        <v>95</v>
      </c>
      <c r="C1413" s="897" t="s">
        <v>96</v>
      </c>
      <c r="D1413" s="897" t="s">
        <v>3</v>
      </c>
      <c r="E1413" s="897" t="s">
        <v>97</v>
      </c>
      <c r="F1413" s="897" t="s">
        <v>98</v>
      </c>
      <c r="G1413" s="897" t="s">
        <v>99</v>
      </c>
      <c r="H1413" s="899"/>
      <c r="I1413" s="873" t="s">
        <v>1526</v>
      </c>
      <c r="J1413" s="875">
        <v>43088</v>
      </c>
      <c r="K1413" s="877" t="s">
        <v>472</v>
      </c>
      <c r="L1413" s="881" t="s">
        <v>1522</v>
      </c>
      <c r="M1413" s="881" t="s">
        <v>148</v>
      </c>
      <c r="N1413" s="883">
        <v>-637000</v>
      </c>
      <c r="O1413" s="55">
        <v>719</v>
      </c>
      <c r="P1413" s="78">
        <v>-490000</v>
      </c>
    </row>
    <row r="1414" spans="1:16" ht="12.75" customHeight="1" thickBot="1">
      <c r="A1414" s="896"/>
      <c r="B1414" s="898"/>
      <c r="C1414" s="898"/>
      <c r="D1414" s="898"/>
      <c r="E1414" s="898"/>
      <c r="F1414" s="898"/>
      <c r="G1414" s="240" t="s">
        <v>100</v>
      </c>
      <c r="H1414" s="182" t="s">
        <v>101</v>
      </c>
      <c r="I1414" s="874"/>
      <c r="J1414" s="876"/>
      <c r="K1414" s="878"/>
      <c r="L1414" s="882"/>
      <c r="M1414" s="882"/>
      <c r="N1414" s="884"/>
      <c r="O1414" s="56">
        <v>721</v>
      </c>
      <c r="P1414" s="79">
        <f>+N1413-P1413</f>
        <v>-147000</v>
      </c>
    </row>
    <row r="1415" spans="1:16" ht="13.5" customHeight="1">
      <c r="A1415" s="919" t="e">
        <f>+A1384+1</f>
        <v>#REF!</v>
      </c>
      <c r="B1415" s="875">
        <v>42369</v>
      </c>
      <c r="C1415" s="877" t="s">
        <v>267</v>
      </c>
      <c r="D1415" s="877" t="s">
        <v>526</v>
      </c>
      <c r="E1415" s="881" t="s">
        <v>148</v>
      </c>
      <c r="F1415" s="883">
        <v>224000</v>
      </c>
      <c r="G1415" s="55">
        <v>719</v>
      </c>
      <c r="H1415" s="78">
        <v>160000</v>
      </c>
      <c r="I1415" s="873" t="s">
        <v>1603</v>
      </c>
      <c r="J1415" s="875">
        <v>43088</v>
      </c>
      <c r="K1415" s="877" t="s">
        <v>472</v>
      </c>
      <c r="L1415" s="881" t="s">
        <v>1590</v>
      </c>
      <c r="M1415" s="881" t="s">
        <v>148</v>
      </c>
      <c r="N1415" s="883">
        <v>-572000</v>
      </c>
      <c r="O1415" s="55">
        <v>719</v>
      </c>
      <c r="P1415" s="78">
        <v>-440000</v>
      </c>
    </row>
    <row r="1416" spans="1:16" ht="13.5" customHeight="1" thickBot="1">
      <c r="A1416" s="920"/>
      <c r="B1416" s="876"/>
      <c r="C1416" s="878"/>
      <c r="D1416" s="878"/>
      <c r="E1416" s="882"/>
      <c r="F1416" s="884"/>
      <c r="G1416" s="56">
        <v>721</v>
      </c>
      <c r="H1416" s="79">
        <f>+F1415-H1415</f>
        <v>64000</v>
      </c>
      <c r="I1416" s="874"/>
      <c r="J1416" s="876"/>
      <c r="K1416" s="878"/>
      <c r="L1416" s="882"/>
      <c r="M1416" s="882"/>
      <c r="N1416" s="884"/>
      <c r="O1416" s="56">
        <v>723</v>
      </c>
      <c r="P1416" s="79">
        <f>+N1415-P1415</f>
        <v>-132000</v>
      </c>
    </row>
    <row r="1417" spans="1:16" ht="12.75" customHeight="1">
      <c r="A1417" s="919" t="e">
        <f>+A1415+1</f>
        <v>#REF!</v>
      </c>
      <c r="B1417" s="875">
        <v>42369</v>
      </c>
      <c r="C1417" s="881" t="s">
        <v>28</v>
      </c>
      <c r="D1417" s="877" t="s">
        <v>526</v>
      </c>
      <c r="E1417" s="881" t="s">
        <v>148</v>
      </c>
      <c r="F1417" s="883">
        <v>224000</v>
      </c>
      <c r="G1417" s="55">
        <v>719</v>
      </c>
      <c r="H1417" s="78">
        <v>160000</v>
      </c>
      <c r="I1417" s="873" t="s">
        <v>1604</v>
      </c>
      <c r="J1417" s="875">
        <v>43088</v>
      </c>
      <c r="K1417" s="877" t="s">
        <v>472</v>
      </c>
      <c r="L1417" s="881" t="s">
        <v>1507</v>
      </c>
      <c r="M1417" s="881" t="s">
        <v>148</v>
      </c>
      <c r="N1417" s="883">
        <v>-481000</v>
      </c>
      <c r="O1417" s="55">
        <v>719</v>
      </c>
      <c r="P1417" s="78">
        <v>-370000</v>
      </c>
    </row>
    <row r="1418" spans="1:16" ht="14.25" customHeight="1" thickBot="1">
      <c r="A1418" s="920"/>
      <c r="B1418" s="876"/>
      <c r="C1418" s="882"/>
      <c r="D1418" s="878"/>
      <c r="E1418" s="882"/>
      <c r="F1418" s="884"/>
      <c r="G1418" s="56">
        <v>721</v>
      </c>
      <c r="H1418" s="79">
        <f>+F1417-H1417</f>
        <v>64000</v>
      </c>
      <c r="I1418" s="874"/>
      <c r="J1418" s="876"/>
      <c r="K1418" s="878"/>
      <c r="L1418" s="882"/>
      <c r="M1418" s="882"/>
      <c r="N1418" s="884"/>
      <c r="O1418" s="56">
        <v>723</v>
      </c>
      <c r="P1418" s="79">
        <f>+N1417-P1417</f>
        <v>-111000</v>
      </c>
    </row>
    <row r="1419" spans="1:16" ht="12.75" customHeight="1">
      <c r="A1419" s="919" t="e">
        <f>+A1417+1</f>
        <v>#REF!</v>
      </c>
      <c r="B1419" s="875">
        <v>42369</v>
      </c>
      <c r="C1419" s="877" t="s">
        <v>32</v>
      </c>
      <c r="D1419" s="877" t="s">
        <v>521</v>
      </c>
      <c r="E1419" s="881" t="s">
        <v>148</v>
      </c>
      <c r="F1419" s="883">
        <v>154000</v>
      </c>
      <c r="G1419" s="55">
        <v>719</v>
      </c>
      <c r="H1419" s="78">
        <v>110000</v>
      </c>
      <c r="I1419" s="873" t="s">
        <v>1605</v>
      </c>
      <c r="J1419" s="875">
        <v>43088</v>
      </c>
      <c r="K1419" s="877" t="s">
        <v>472</v>
      </c>
      <c r="L1419" s="881" t="s">
        <v>1506</v>
      </c>
      <c r="M1419" s="881" t="s">
        <v>148</v>
      </c>
      <c r="N1419" s="883">
        <v>-403000</v>
      </c>
      <c r="O1419" s="55">
        <v>719</v>
      </c>
      <c r="P1419" s="78">
        <v>-310000</v>
      </c>
    </row>
    <row r="1420" spans="1:16" ht="12.75" customHeight="1" thickBot="1">
      <c r="A1420" s="920"/>
      <c r="B1420" s="876"/>
      <c r="C1420" s="878"/>
      <c r="D1420" s="878"/>
      <c r="E1420" s="882"/>
      <c r="F1420" s="884"/>
      <c r="G1420" s="56">
        <v>721</v>
      </c>
      <c r="H1420" s="79">
        <f>+F1419-H1419</f>
        <v>44000</v>
      </c>
      <c r="I1420" s="874"/>
      <c r="J1420" s="876"/>
      <c r="K1420" s="878"/>
      <c r="L1420" s="882"/>
      <c r="M1420" s="882"/>
      <c r="N1420" s="884"/>
      <c r="O1420" s="56">
        <v>722</v>
      </c>
      <c r="P1420" s="79">
        <f>+N1419-P1419</f>
        <v>-93000</v>
      </c>
    </row>
    <row r="1421" spans="1:16" ht="12.75" customHeight="1">
      <c r="A1421" s="919" t="e">
        <f>+A1419+1</f>
        <v>#REF!</v>
      </c>
      <c r="B1421" s="875">
        <v>42369</v>
      </c>
      <c r="C1421" s="877" t="s">
        <v>272</v>
      </c>
      <c r="D1421" s="877" t="s">
        <v>526</v>
      </c>
      <c r="E1421" s="881" t="s">
        <v>148</v>
      </c>
      <c r="F1421" s="883">
        <v>644000</v>
      </c>
      <c r="G1421" s="55">
        <v>719</v>
      </c>
      <c r="H1421" s="78">
        <v>460000</v>
      </c>
      <c r="I1421" s="873" t="s">
        <v>1509</v>
      </c>
      <c r="J1421" s="875">
        <v>43088</v>
      </c>
      <c r="K1421" s="877" t="s">
        <v>472</v>
      </c>
      <c r="L1421" s="881" t="s">
        <v>1510</v>
      </c>
      <c r="M1421" s="881" t="s">
        <v>148</v>
      </c>
      <c r="N1421" s="883">
        <v>-429000</v>
      </c>
      <c r="O1421" s="55">
        <v>719</v>
      </c>
      <c r="P1421" s="78">
        <v>-330000</v>
      </c>
    </row>
    <row r="1422" spans="1:16" ht="14.25" customHeight="1" thickBot="1">
      <c r="A1422" s="920"/>
      <c r="B1422" s="876"/>
      <c r="C1422" s="878"/>
      <c r="D1422" s="878"/>
      <c r="E1422" s="882"/>
      <c r="F1422" s="884"/>
      <c r="G1422" s="56">
        <v>721</v>
      </c>
      <c r="H1422" s="79">
        <f>+F1421-H1421</f>
        <v>184000</v>
      </c>
      <c r="I1422" s="874"/>
      <c r="J1422" s="876"/>
      <c r="K1422" s="878"/>
      <c r="L1422" s="882"/>
      <c r="M1422" s="882"/>
      <c r="N1422" s="884"/>
      <c r="O1422" s="56">
        <v>721</v>
      </c>
      <c r="P1422" s="79">
        <f>+N1421-P1421</f>
        <v>-99000</v>
      </c>
    </row>
    <row r="1423" spans="1:16" ht="15" customHeight="1" thickBot="1">
      <c r="A1423" s="919"/>
      <c r="B1423" s="875"/>
      <c r="C1423" s="877"/>
      <c r="D1423" s="877"/>
      <c r="E1423" s="881"/>
      <c r="F1423" s="883"/>
      <c r="G1423" s="55">
        <v>719</v>
      </c>
      <c r="H1423" s="78"/>
      <c r="I1423" s="901" t="s">
        <v>102</v>
      </c>
      <c r="J1423" s="902"/>
      <c r="K1423" s="902"/>
      <c r="L1423" s="902"/>
      <c r="M1423" s="903"/>
      <c r="N1423" s="81">
        <f>SUM(N1413:N1422)</f>
        <v>-2522000</v>
      </c>
    </row>
    <row r="1424" spans="1:16" ht="15.75" customHeight="1" thickBot="1">
      <c r="A1424" s="920"/>
      <c r="B1424" s="876"/>
      <c r="C1424" s="878"/>
      <c r="D1424" s="878"/>
      <c r="E1424" s="882"/>
      <c r="F1424" s="884"/>
      <c r="G1424" s="56">
        <v>721</v>
      </c>
      <c r="H1424" s="79">
        <f>+F1423-H1423</f>
        <v>0</v>
      </c>
      <c r="I1424" s="885" t="s">
        <v>103</v>
      </c>
      <c r="J1424" s="886"/>
      <c r="K1424" s="886"/>
      <c r="L1424" s="886"/>
      <c r="M1424" s="887"/>
      <c r="N1424" s="69">
        <f>+N1388</f>
        <v>488166929</v>
      </c>
      <c r="O1424" s="241" t="s">
        <v>561</v>
      </c>
      <c r="P1424" s="242">
        <v>124</v>
      </c>
    </row>
    <row r="1425" spans="1:16" ht="16.5" thickBot="1">
      <c r="A1425" s="901" t="s">
        <v>102</v>
      </c>
      <c r="B1425" s="902"/>
      <c r="C1425" s="902"/>
      <c r="D1425" s="902"/>
      <c r="E1425" s="903"/>
      <c r="F1425" s="81">
        <f>SUM(F1415:F1424)</f>
        <v>1246000</v>
      </c>
      <c r="I1425" s="888" t="s">
        <v>104</v>
      </c>
      <c r="J1425" s="889"/>
      <c r="K1425" s="889"/>
      <c r="L1425" s="889"/>
      <c r="M1425" s="890"/>
      <c r="N1425" s="183">
        <f>SUM(N1423:N1424)</f>
        <v>485644929</v>
      </c>
    </row>
    <row r="1426" spans="1:16" ht="12.75" customHeight="1" thickBot="1">
      <c r="A1426" s="885" t="s">
        <v>103</v>
      </c>
      <c r="B1426" s="886"/>
      <c r="C1426" s="886"/>
      <c r="D1426" s="886"/>
      <c r="E1426" s="887"/>
      <c r="F1426" s="69">
        <f>+F1390</f>
        <v>659151254</v>
      </c>
      <c r="I1426" s="61"/>
      <c r="J1426" s="61"/>
      <c r="K1426" s="61"/>
      <c r="L1426" s="61"/>
      <c r="M1426" s="61"/>
    </row>
    <row r="1427" spans="1:16" ht="16.5" thickBot="1">
      <c r="A1427" s="888" t="s">
        <v>104</v>
      </c>
      <c r="B1427" s="889"/>
      <c r="C1427" s="889"/>
      <c r="D1427" s="889"/>
      <c r="E1427" s="890"/>
      <c r="F1427" s="183">
        <f>SUM(F1425:F1426)</f>
        <v>660397254</v>
      </c>
      <c r="I1427" s="51" t="s">
        <v>1601</v>
      </c>
    </row>
    <row r="1428" spans="1:16" ht="9.75" customHeight="1">
      <c r="A1428" s="61"/>
      <c r="B1428" s="61"/>
      <c r="C1428" s="61"/>
      <c r="D1428" s="61"/>
      <c r="E1428" s="61"/>
      <c r="N1428" s="139"/>
    </row>
    <row r="1429" spans="1:16">
      <c r="A1429" s="51" t="s">
        <v>527</v>
      </c>
      <c r="I1429" s="50" t="s">
        <v>105</v>
      </c>
      <c r="L1429" s="146"/>
      <c r="N1429" s="139"/>
    </row>
    <row r="1430" spans="1:16" ht="12.75" customHeight="1" thickBot="1">
      <c r="F1430" s="139"/>
    </row>
    <row r="1431" spans="1:16" ht="15.75" thickBot="1">
      <c r="A1431" s="50" t="s">
        <v>105</v>
      </c>
      <c r="D1431" s="146"/>
      <c r="F1431" s="139"/>
      <c r="I1431" s="891" t="s">
        <v>106</v>
      </c>
      <c r="J1431" s="892"/>
      <c r="K1431" s="892"/>
      <c r="L1431" s="893"/>
      <c r="N1431" s="50" t="s">
        <v>288</v>
      </c>
    </row>
    <row r="1432" spans="1:16" ht="30.75" thickBot="1">
      <c r="I1432" s="57" t="s">
        <v>100</v>
      </c>
      <c r="J1432" s="58" t="s">
        <v>108</v>
      </c>
      <c r="K1432" s="287" t="s">
        <v>109</v>
      </c>
      <c r="L1432" s="60" t="s">
        <v>110</v>
      </c>
    </row>
    <row r="1433" spans="1:16" ht="15.75" thickBot="1">
      <c r="A1433" s="891" t="s">
        <v>106</v>
      </c>
      <c r="B1433" s="892"/>
      <c r="C1433" s="892"/>
      <c r="D1433" s="893"/>
      <c r="F1433" s="50" t="s">
        <v>288</v>
      </c>
      <c r="I1433" s="71">
        <v>719</v>
      </c>
      <c r="J1433" s="73">
        <f>+P1413+P1415+P1417+P1419+P1421</f>
        <v>-1940000</v>
      </c>
      <c r="K1433" s="74">
        <f>+L1396</f>
        <v>37580000</v>
      </c>
      <c r="L1433" s="195">
        <f>+J1433+K1433</f>
        <v>35640000</v>
      </c>
    </row>
    <row r="1434" spans="1:16" ht="17.25" customHeight="1" thickBot="1">
      <c r="A1434" s="57" t="s">
        <v>100</v>
      </c>
      <c r="B1434" s="58" t="s">
        <v>108</v>
      </c>
      <c r="C1434" s="59" t="s">
        <v>109</v>
      </c>
      <c r="D1434" s="60" t="s">
        <v>110</v>
      </c>
      <c r="I1434" s="72">
        <v>721</v>
      </c>
      <c r="J1434" s="80">
        <v>0</v>
      </c>
      <c r="K1434" s="74">
        <f>+L1397</f>
        <v>84631981</v>
      </c>
      <c r="L1434" s="195">
        <f>+J1434+K1434</f>
        <v>84631981</v>
      </c>
    </row>
    <row r="1435" spans="1:16" ht="11.25" customHeight="1">
      <c r="A1435" s="71">
        <v>719</v>
      </c>
      <c r="B1435" s="73">
        <f>+H1415+H1417+H1419+H1421</f>
        <v>890000</v>
      </c>
      <c r="C1435" s="74" t="e">
        <f>+D1398</f>
        <v>#REF!</v>
      </c>
      <c r="D1435" s="195" t="e">
        <f>+B1435+C1435</f>
        <v>#REF!</v>
      </c>
      <c r="I1435" s="72">
        <v>722</v>
      </c>
      <c r="J1435" s="80"/>
      <c r="K1435" s="74">
        <f>+L1398</f>
        <v>42881706</v>
      </c>
      <c r="L1435" s="195">
        <f>+J1435+K1435</f>
        <v>42881706</v>
      </c>
    </row>
    <row r="1436" spans="1:16" ht="15.75">
      <c r="A1436" s="72">
        <v>721</v>
      </c>
      <c r="B1436" s="80">
        <f>+H1416+H1418+H1420+H1422</f>
        <v>356000</v>
      </c>
      <c r="C1436" s="74" t="e">
        <f>+D1399</f>
        <v>#REF!</v>
      </c>
      <c r="D1436" s="195" t="e">
        <f>+B1436+C1436</f>
        <v>#REF!</v>
      </c>
      <c r="I1436" s="72">
        <v>723</v>
      </c>
      <c r="J1436" s="80">
        <f>+P1416+P1418+P1420+P1422+P1414</f>
        <v>-582000</v>
      </c>
      <c r="K1436" s="74">
        <f>+L1399</f>
        <v>323073242</v>
      </c>
      <c r="L1436" s="195">
        <f>+J1436+K1436</f>
        <v>322491242</v>
      </c>
      <c r="N1436" s="918" t="s">
        <v>1481</v>
      </c>
      <c r="O1436" s="918"/>
      <c r="P1436" s="918"/>
    </row>
    <row r="1437" spans="1:16" ht="12" customHeight="1" thickBot="1">
      <c r="A1437" s="72">
        <v>722</v>
      </c>
      <c r="B1437" s="80"/>
      <c r="C1437" s="74">
        <f>+D1400</f>
        <v>231207671</v>
      </c>
      <c r="D1437" s="195">
        <f>+B1437+C1437</f>
        <v>231207671</v>
      </c>
      <c r="I1437" s="164" t="s">
        <v>181</v>
      </c>
      <c r="J1437" s="165"/>
      <c r="K1437" s="74">
        <f>+L1400</f>
        <v>0</v>
      </c>
      <c r="L1437" s="196">
        <f>+J1437+K1437</f>
        <v>0</v>
      </c>
      <c r="N1437" s="52"/>
    </row>
    <row r="1438" spans="1:16" ht="14.25" customHeight="1" thickBot="1">
      <c r="A1438" s="72">
        <v>723</v>
      </c>
      <c r="B1438" s="80"/>
      <c r="C1438" s="74">
        <f>+D1401</f>
        <v>323193545</v>
      </c>
      <c r="D1438" s="195">
        <f>+B1438+C1438</f>
        <v>323193545</v>
      </c>
      <c r="F1438" s="174" t="s">
        <v>23</v>
      </c>
      <c r="G1438" s="175"/>
      <c r="I1438" s="169"/>
      <c r="J1438" s="197">
        <f>SUM(J1433:J1437)</f>
        <v>-2522000</v>
      </c>
      <c r="K1438" s="197">
        <f>SUM(K1433:K1437)</f>
        <v>488166929</v>
      </c>
      <c r="L1438" s="198">
        <f>SUM(L1433:L1437)</f>
        <v>485644929</v>
      </c>
    </row>
    <row r="1439" spans="1:16" ht="15.75" customHeight="1" thickBot="1">
      <c r="A1439" s="169"/>
      <c r="B1439" s="170" t="e">
        <f>SUM(#REF!)</f>
        <v>#REF!</v>
      </c>
      <c r="C1439" s="171" t="e">
        <f>SUM(#REF!)</f>
        <v>#REF!</v>
      </c>
      <c r="D1439" s="172" t="e">
        <f>SUM(#REF!)</f>
        <v>#REF!</v>
      </c>
      <c r="I1439" s="49" t="s">
        <v>88</v>
      </c>
      <c r="J1439" s="50"/>
    </row>
    <row r="1440" spans="1:16" ht="13.5" customHeight="1">
      <c r="A1440" s="49" t="s">
        <v>88</v>
      </c>
      <c r="B1440" s="50"/>
      <c r="I1440" s="51" t="s">
        <v>89</v>
      </c>
    </row>
    <row r="1441" spans="1:16" ht="14.25" customHeight="1">
      <c r="A1441" s="51" t="s">
        <v>89</v>
      </c>
      <c r="I1441" s="51" t="s">
        <v>90</v>
      </c>
    </row>
    <row r="1442" spans="1:16" ht="12" customHeight="1">
      <c r="A1442" s="51" t="s">
        <v>90</v>
      </c>
      <c r="I1442" s="51" t="s">
        <v>91</v>
      </c>
    </row>
    <row r="1443" spans="1:16" ht="8.25" customHeight="1">
      <c r="A1443" s="51" t="s">
        <v>91</v>
      </c>
      <c r="I1443" s="50"/>
      <c r="J1443" s="50"/>
    </row>
    <row r="1444" spans="1:16" ht="12" customHeight="1">
      <c r="A1444" s="50"/>
      <c r="B1444" s="50"/>
      <c r="I1444" s="260" t="s">
        <v>927</v>
      </c>
      <c r="O1444" s="52"/>
    </row>
    <row r="1445" spans="1:16" ht="16.5">
      <c r="A1445" s="52" t="s">
        <v>544</v>
      </c>
      <c r="G1445" s="52"/>
      <c r="I1445" s="53" t="s">
        <v>535</v>
      </c>
      <c r="O1445" s="53"/>
    </row>
    <row r="1446" spans="1:16" ht="16.5">
      <c r="A1446" s="53" t="s">
        <v>92</v>
      </c>
      <c r="G1446" s="53"/>
      <c r="I1446" s="894" t="s">
        <v>1600</v>
      </c>
      <c r="J1446" s="894"/>
      <c r="K1446" s="894"/>
      <c r="L1446" s="894"/>
      <c r="M1446" s="894"/>
      <c r="N1446" s="894"/>
      <c r="O1446" s="894"/>
      <c r="P1446" s="894"/>
    </row>
    <row r="1447" spans="1:16" ht="7.5" customHeight="1" thickBot="1">
      <c r="A1447" s="894" t="s">
        <v>261</v>
      </c>
      <c r="B1447" s="894"/>
      <c r="C1447" s="894"/>
      <c r="D1447" s="894"/>
      <c r="E1447" s="894"/>
      <c r="F1447" s="894"/>
      <c r="G1447" s="894"/>
      <c r="H1447" s="894"/>
    </row>
    <row r="1448" spans="1:16" ht="15.75" thickBot="1">
      <c r="I1448" s="895" t="s">
        <v>94</v>
      </c>
      <c r="J1448" s="897" t="s">
        <v>95</v>
      </c>
      <c r="K1448" s="897" t="s">
        <v>96</v>
      </c>
      <c r="L1448" s="897" t="s">
        <v>3</v>
      </c>
      <c r="M1448" s="897" t="s">
        <v>97</v>
      </c>
      <c r="N1448" s="897" t="s">
        <v>98</v>
      </c>
      <c r="O1448" s="897" t="s">
        <v>99</v>
      </c>
      <c r="P1448" s="899"/>
    </row>
    <row r="1449" spans="1:16" ht="15.75" thickBot="1">
      <c r="A1449" s="895" t="s">
        <v>94</v>
      </c>
      <c r="B1449" s="897" t="s">
        <v>95</v>
      </c>
      <c r="C1449" s="897" t="s">
        <v>96</v>
      </c>
      <c r="D1449" s="897" t="s">
        <v>3</v>
      </c>
      <c r="E1449" s="897" t="s">
        <v>97</v>
      </c>
      <c r="F1449" s="897" t="s">
        <v>98</v>
      </c>
      <c r="G1449" s="897" t="s">
        <v>99</v>
      </c>
      <c r="H1449" s="899"/>
      <c r="I1449" s="896"/>
      <c r="J1449" s="898"/>
      <c r="K1449" s="898"/>
      <c r="L1449" s="898"/>
      <c r="M1449" s="898"/>
      <c r="N1449" s="898"/>
      <c r="O1449" s="240" t="s">
        <v>100</v>
      </c>
      <c r="P1449" s="182" t="s">
        <v>101</v>
      </c>
    </row>
    <row r="1450" spans="1:16" ht="14.25" customHeight="1" thickBot="1">
      <c r="A1450" s="896"/>
      <c r="B1450" s="898"/>
      <c r="C1450" s="898"/>
      <c r="D1450" s="898"/>
      <c r="E1450" s="898"/>
      <c r="F1450" s="898"/>
      <c r="G1450" s="240" t="s">
        <v>100</v>
      </c>
      <c r="H1450" s="182" t="s">
        <v>101</v>
      </c>
      <c r="I1450" s="873" t="s">
        <v>1519</v>
      </c>
      <c r="J1450" s="875">
        <v>42723</v>
      </c>
      <c r="K1450" s="877" t="s">
        <v>28</v>
      </c>
      <c r="L1450" s="881" t="s">
        <v>1592</v>
      </c>
      <c r="M1450" s="881" t="s">
        <v>775</v>
      </c>
      <c r="N1450" s="883">
        <v>-170000</v>
      </c>
      <c r="O1450" s="55">
        <v>719</v>
      </c>
      <c r="P1450" s="78">
        <v>-170000</v>
      </c>
    </row>
    <row r="1451" spans="1:16" ht="12" customHeight="1" thickBot="1">
      <c r="A1451" s="919" t="e">
        <f>+#REF!+1</f>
        <v>#REF!</v>
      </c>
      <c r="B1451" s="875">
        <v>42369</v>
      </c>
      <c r="C1451" s="877" t="s">
        <v>267</v>
      </c>
      <c r="D1451" s="881" t="s">
        <v>530</v>
      </c>
      <c r="E1451" s="881" t="s">
        <v>148</v>
      </c>
      <c r="F1451" s="883">
        <v>70000</v>
      </c>
      <c r="G1451" s="55">
        <v>719</v>
      </c>
      <c r="H1451" s="78">
        <v>50000</v>
      </c>
      <c r="I1451" s="874"/>
      <c r="J1451" s="876"/>
      <c r="K1451" s="878"/>
      <c r="L1451" s="882"/>
      <c r="M1451" s="882"/>
      <c r="N1451" s="884"/>
      <c r="O1451" s="56">
        <v>721</v>
      </c>
      <c r="P1451" s="79">
        <f>+N1450-P1450</f>
        <v>0</v>
      </c>
    </row>
    <row r="1452" spans="1:16" ht="14.25" customHeight="1" thickBot="1">
      <c r="A1452" s="920"/>
      <c r="B1452" s="876"/>
      <c r="C1452" s="878"/>
      <c r="D1452" s="882"/>
      <c r="E1452" s="882"/>
      <c r="F1452" s="884"/>
      <c r="G1452" s="56">
        <v>721</v>
      </c>
      <c r="H1452" s="79">
        <f>+F1451-H1451</f>
        <v>20000</v>
      </c>
      <c r="I1452" s="873" t="s">
        <v>1606</v>
      </c>
      <c r="J1452" s="875">
        <v>42723</v>
      </c>
      <c r="K1452" s="877" t="s">
        <v>28</v>
      </c>
      <c r="L1452" s="881" t="s">
        <v>1516</v>
      </c>
      <c r="M1452" s="881" t="s">
        <v>775</v>
      </c>
      <c r="N1452" s="883">
        <v>-70000</v>
      </c>
      <c r="O1452" s="55">
        <v>719</v>
      </c>
      <c r="P1452" s="78">
        <v>-70000</v>
      </c>
    </row>
    <row r="1453" spans="1:16" ht="12.75" customHeight="1" thickBot="1">
      <c r="A1453" s="919" t="e">
        <f>+A1451+1</f>
        <v>#REF!</v>
      </c>
      <c r="B1453" s="875">
        <v>42369</v>
      </c>
      <c r="C1453" s="881" t="s">
        <v>28</v>
      </c>
      <c r="D1453" s="881" t="s">
        <v>530</v>
      </c>
      <c r="E1453" s="881" t="s">
        <v>148</v>
      </c>
      <c r="F1453" s="883">
        <v>70000</v>
      </c>
      <c r="G1453" s="55">
        <v>719</v>
      </c>
      <c r="H1453" s="78">
        <v>50000</v>
      </c>
      <c r="I1453" s="874"/>
      <c r="J1453" s="876"/>
      <c r="K1453" s="878"/>
      <c r="L1453" s="882"/>
      <c r="M1453" s="882"/>
      <c r="N1453" s="884"/>
      <c r="O1453" s="56">
        <v>721</v>
      </c>
      <c r="P1453" s="79">
        <f>+N1452-P1452</f>
        <v>0</v>
      </c>
    </row>
    <row r="1454" spans="1:16" ht="14.25" customHeight="1" thickBot="1">
      <c r="A1454" s="920"/>
      <c r="B1454" s="876"/>
      <c r="C1454" s="882"/>
      <c r="D1454" s="882"/>
      <c r="E1454" s="882"/>
      <c r="F1454" s="884"/>
      <c r="G1454" s="56">
        <v>721</v>
      </c>
      <c r="H1454" s="79">
        <f>+F1453-H1453</f>
        <v>20000</v>
      </c>
      <c r="I1454" s="873" t="s">
        <v>1607</v>
      </c>
      <c r="J1454" s="875">
        <v>42723</v>
      </c>
      <c r="K1454" s="877" t="s">
        <v>28</v>
      </c>
      <c r="L1454" s="881" t="s">
        <v>1517</v>
      </c>
      <c r="M1454" s="881" t="s">
        <v>775</v>
      </c>
      <c r="N1454" s="883">
        <v>-160000</v>
      </c>
      <c r="O1454" s="55">
        <v>719</v>
      </c>
      <c r="P1454" s="78">
        <v>-160000</v>
      </c>
    </row>
    <row r="1455" spans="1:16" ht="11.25" customHeight="1" thickBot="1">
      <c r="A1455" s="919" t="e">
        <f>+A1453+1</f>
        <v>#REF!</v>
      </c>
      <c r="B1455" s="875">
        <v>42369</v>
      </c>
      <c r="C1455" s="877" t="s">
        <v>32</v>
      </c>
      <c r="D1455" s="881" t="s">
        <v>530</v>
      </c>
      <c r="E1455" s="881" t="s">
        <v>148</v>
      </c>
      <c r="F1455" s="883">
        <v>84000</v>
      </c>
      <c r="G1455" s="55">
        <v>719</v>
      </c>
      <c r="H1455" s="78">
        <v>60000</v>
      </c>
      <c r="I1455" s="874"/>
      <c r="J1455" s="876"/>
      <c r="K1455" s="878"/>
      <c r="L1455" s="882"/>
      <c r="M1455" s="882"/>
      <c r="N1455" s="884"/>
      <c r="O1455" s="56">
        <v>721</v>
      </c>
      <c r="P1455" s="79"/>
    </row>
    <row r="1456" spans="1:16" ht="13.5" customHeight="1">
      <c r="A1456" s="921"/>
      <c r="B1456" s="922"/>
      <c r="C1456" s="900"/>
      <c r="D1456" s="923"/>
      <c r="E1456" s="923"/>
      <c r="F1456" s="924"/>
      <c r="G1456" s="255"/>
      <c r="H1456" s="256"/>
      <c r="I1456" s="873" t="s">
        <v>1608</v>
      </c>
      <c r="J1456" s="875">
        <v>42723</v>
      </c>
      <c r="K1456" s="877" t="s">
        <v>28</v>
      </c>
      <c r="L1456" s="881" t="s">
        <v>1524</v>
      </c>
      <c r="M1456" s="881" t="s">
        <v>148</v>
      </c>
      <c r="N1456" s="883">
        <v>-1001000</v>
      </c>
      <c r="O1456" s="55">
        <v>719</v>
      </c>
      <c r="P1456" s="78">
        <v>-770000</v>
      </c>
    </row>
    <row r="1457" spans="1:16" ht="13.5" customHeight="1" thickBot="1">
      <c r="A1457" s="921"/>
      <c r="B1457" s="922"/>
      <c r="C1457" s="900"/>
      <c r="D1457" s="923"/>
      <c r="E1457" s="923"/>
      <c r="F1457" s="924"/>
      <c r="G1457" s="255"/>
      <c r="H1457" s="256"/>
      <c r="I1457" s="874"/>
      <c r="J1457" s="876"/>
      <c r="K1457" s="878"/>
      <c r="L1457" s="882"/>
      <c r="M1457" s="882"/>
      <c r="N1457" s="884"/>
      <c r="O1457" s="56">
        <v>721</v>
      </c>
      <c r="P1457" s="79">
        <v>-231000</v>
      </c>
    </row>
    <row r="1458" spans="1:16" ht="14.25" customHeight="1" thickBot="1">
      <c r="A1458" s="920"/>
      <c r="B1458" s="876"/>
      <c r="C1458" s="878"/>
      <c r="D1458" s="882"/>
      <c r="E1458" s="882"/>
      <c r="F1458" s="884"/>
      <c r="G1458" s="56">
        <v>721</v>
      </c>
      <c r="H1458" s="79">
        <f>+F1455-H1455</f>
        <v>24000</v>
      </c>
      <c r="I1458" s="873" t="s">
        <v>1609</v>
      </c>
      <c r="J1458" s="875">
        <v>42723</v>
      </c>
      <c r="K1458" s="877" t="s">
        <v>28</v>
      </c>
      <c r="L1458" s="881" t="s">
        <v>1527</v>
      </c>
      <c r="M1458" s="881" t="s">
        <v>148</v>
      </c>
      <c r="N1458" s="883">
        <v>-559000</v>
      </c>
      <c r="O1458" s="55">
        <v>719</v>
      </c>
      <c r="P1458" s="78">
        <v>-430000</v>
      </c>
    </row>
    <row r="1459" spans="1:16" ht="15" customHeight="1" thickBot="1">
      <c r="A1459" s="919" t="e">
        <f>+A1455+1</f>
        <v>#REF!</v>
      </c>
      <c r="B1459" s="875">
        <v>42369</v>
      </c>
      <c r="C1459" s="877" t="s">
        <v>272</v>
      </c>
      <c r="D1459" s="881" t="s">
        <v>530</v>
      </c>
      <c r="E1459" s="881" t="s">
        <v>148</v>
      </c>
      <c r="F1459" s="883">
        <v>294000</v>
      </c>
      <c r="G1459" s="55">
        <v>719</v>
      </c>
      <c r="H1459" s="78">
        <v>210000</v>
      </c>
      <c r="I1459" s="874"/>
      <c r="J1459" s="876"/>
      <c r="K1459" s="878"/>
      <c r="L1459" s="882"/>
      <c r="M1459" s="882"/>
      <c r="N1459" s="884"/>
      <c r="O1459" s="56">
        <v>721</v>
      </c>
      <c r="P1459" s="79">
        <f>+N1458-P1458</f>
        <v>-129000</v>
      </c>
    </row>
    <row r="1460" spans="1:16" ht="13.5" customHeight="1" thickBot="1">
      <c r="A1460" s="920"/>
      <c r="B1460" s="876"/>
      <c r="C1460" s="878"/>
      <c r="D1460" s="882"/>
      <c r="E1460" s="882"/>
      <c r="F1460" s="884"/>
      <c r="G1460" s="56">
        <v>721</v>
      </c>
      <c r="H1460" s="79">
        <f>+F1459-H1459</f>
        <v>84000</v>
      </c>
      <c r="I1460" s="873" t="s">
        <v>1610</v>
      </c>
      <c r="J1460" s="875">
        <v>42723</v>
      </c>
      <c r="K1460" s="877" t="s">
        <v>28</v>
      </c>
      <c r="L1460" s="881" t="s">
        <v>1529</v>
      </c>
      <c r="M1460" s="881" t="s">
        <v>148</v>
      </c>
      <c r="N1460" s="883">
        <v>-624000</v>
      </c>
      <c r="O1460" s="55">
        <v>719</v>
      </c>
      <c r="P1460" s="78">
        <v>-480000</v>
      </c>
    </row>
    <row r="1461" spans="1:16" ht="14.25" customHeight="1" thickBot="1">
      <c r="A1461" s="919"/>
      <c r="B1461" s="875"/>
      <c r="C1461" s="877"/>
      <c r="D1461" s="877"/>
      <c r="E1461" s="881"/>
      <c r="F1461" s="883"/>
      <c r="G1461" s="55">
        <v>719</v>
      </c>
      <c r="H1461" s="78"/>
      <c r="I1461" s="874"/>
      <c r="J1461" s="876"/>
      <c r="K1461" s="878"/>
      <c r="L1461" s="882"/>
      <c r="M1461" s="882"/>
      <c r="N1461" s="884"/>
      <c r="O1461" s="56">
        <v>721</v>
      </c>
      <c r="P1461" s="79">
        <f>+N1460-P1460</f>
        <v>-144000</v>
      </c>
    </row>
    <row r="1462" spans="1:16" ht="16.5" thickBot="1">
      <c r="A1462" s="920"/>
      <c r="B1462" s="876"/>
      <c r="C1462" s="878"/>
      <c r="D1462" s="878"/>
      <c r="E1462" s="882"/>
      <c r="F1462" s="884"/>
      <c r="G1462" s="56">
        <v>721</v>
      </c>
      <c r="H1462" s="79">
        <f>+F1461-H1461</f>
        <v>0</v>
      </c>
      <c r="I1462" s="901" t="s">
        <v>102</v>
      </c>
      <c r="J1462" s="902"/>
      <c r="K1462" s="902"/>
      <c r="L1462" s="902"/>
      <c r="M1462" s="903"/>
      <c r="N1462" s="81">
        <f>SUM(N1450:N1461)</f>
        <v>-2584000</v>
      </c>
    </row>
    <row r="1463" spans="1:16" ht="16.5" thickBot="1">
      <c r="A1463" s="901" t="s">
        <v>102</v>
      </c>
      <c r="B1463" s="902"/>
      <c r="C1463" s="902"/>
      <c r="D1463" s="902"/>
      <c r="E1463" s="903"/>
      <c r="F1463" s="81">
        <f>SUM(F1451:F1462)</f>
        <v>518000</v>
      </c>
      <c r="I1463" s="885" t="s">
        <v>103</v>
      </c>
      <c r="J1463" s="886"/>
      <c r="K1463" s="886"/>
      <c r="L1463" s="886"/>
      <c r="M1463" s="887"/>
      <c r="N1463" s="69">
        <f>+N1425</f>
        <v>485644929</v>
      </c>
      <c r="O1463" s="241" t="s">
        <v>561</v>
      </c>
      <c r="P1463" s="242"/>
    </row>
    <row r="1464" spans="1:16" ht="16.5" thickBot="1">
      <c r="A1464" s="885" t="s">
        <v>103</v>
      </c>
      <c r="B1464" s="886"/>
      <c r="C1464" s="886"/>
      <c r="D1464" s="886"/>
      <c r="E1464" s="887"/>
      <c r="F1464" s="69" t="e">
        <f>+#REF!</f>
        <v>#REF!</v>
      </c>
      <c r="I1464" s="888" t="s">
        <v>104</v>
      </c>
      <c r="J1464" s="889"/>
      <c r="K1464" s="889"/>
      <c r="L1464" s="889"/>
      <c r="M1464" s="890"/>
      <c r="N1464" s="183">
        <f>SUM(N1462:N1463)</f>
        <v>483060929</v>
      </c>
    </row>
    <row r="1465" spans="1:16" ht="14.25" customHeight="1" thickBot="1">
      <c r="A1465" s="888" t="s">
        <v>104</v>
      </c>
      <c r="B1465" s="889"/>
      <c r="C1465" s="889"/>
      <c r="D1465" s="889"/>
      <c r="E1465" s="890"/>
      <c r="F1465" s="183" t="e">
        <f>SUM(F1463:F1464)</f>
        <v>#REF!</v>
      </c>
      <c r="I1465" s="61"/>
      <c r="J1465" s="61"/>
      <c r="K1465" s="61"/>
      <c r="L1465" s="61"/>
      <c r="M1465" s="61"/>
    </row>
    <row r="1466" spans="1:16">
      <c r="A1466" s="61"/>
      <c r="B1466" s="61"/>
      <c r="C1466" s="61"/>
      <c r="D1466" s="61"/>
      <c r="E1466" s="61"/>
      <c r="I1466" s="51" t="s">
        <v>1602</v>
      </c>
    </row>
    <row r="1467" spans="1:16" ht="9" customHeight="1">
      <c r="A1467" s="51" t="s">
        <v>546</v>
      </c>
      <c r="N1467" s="139"/>
    </row>
    <row r="1468" spans="1:16" ht="12.75" customHeight="1">
      <c r="F1468" s="139"/>
      <c r="I1468" s="50" t="s">
        <v>105</v>
      </c>
      <c r="L1468" s="146"/>
      <c r="N1468" s="139"/>
    </row>
    <row r="1469" spans="1:16" ht="12" customHeight="1" thickBot="1">
      <c r="A1469" s="50" t="s">
        <v>105</v>
      </c>
      <c r="D1469" s="146"/>
      <c r="F1469" s="139"/>
    </row>
    <row r="1470" spans="1:16" ht="12" customHeight="1" thickBot="1">
      <c r="I1470" s="891" t="s">
        <v>106</v>
      </c>
      <c r="J1470" s="892"/>
      <c r="K1470" s="892"/>
      <c r="L1470" s="893"/>
      <c r="N1470" s="50" t="s">
        <v>288</v>
      </c>
    </row>
    <row r="1471" spans="1:16" ht="28.5" customHeight="1" thickBot="1">
      <c r="A1471" s="891" t="s">
        <v>106</v>
      </c>
      <c r="B1471" s="892"/>
      <c r="C1471" s="892"/>
      <c r="D1471" s="893"/>
      <c r="F1471" s="50" t="s">
        <v>288</v>
      </c>
      <c r="I1471" s="57" t="s">
        <v>100</v>
      </c>
      <c r="J1471" s="58" t="s">
        <v>108</v>
      </c>
      <c r="K1471" s="59" t="s">
        <v>109</v>
      </c>
      <c r="L1471" s="60" t="s">
        <v>110</v>
      </c>
    </row>
    <row r="1472" spans="1:16" ht="14.25" customHeight="1" thickBot="1">
      <c r="A1472" s="57" t="s">
        <v>100</v>
      </c>
      <c r="B1472" s="58" t="s">
        <v>108</v>
      </c>
      <c r="C1472" s="59" t="s">
        <v>109</v>
      </c>
      <c r="D1472" s="60" t="s">
        <v>110</v>
      </c>
      <c r="I1472" s="71">
        <v>719</v>
      </c>
      <c r="J1472" s="73">
        <f>+P1450+P1452+P1454+P1456+P1458+P1460</f>
        <v>-2080000</v>
      </c>
      <c r="K1472" s="74">
        <f>+L1433</f>
        <v>35640000</v>
      </c>
      <c r="L1472" s="195">
        <f>+J1472+K1472</f>
        <v>33560000</v>
      </c>
    </row>
    <row r="1473" spans="1:16" ht="13.5" customHeight="1">
      <c r="A1473" s="71">
        <v>719</v>
      </c>
      <c r="B1473" s="73">
        <f>+H1451+H1453+H1455+H1459</f>
        <v>370000</v>
      </c>
      <c r="C1473" s="74" t="e">
        <f>+#REF!</f>
        <v>#REF!</v>
      </c>
      <c r="D1473" s="195" t="e">
        <f>+B1473+C1473</f>
        <v>#REF!</v>
      </c>
      <c r="I1473" s="72">
        <v>721</v>
      </c>
      <c r="J1473" s="80">
        <f>+P1461+P1459+P1457</f>
        <v>-504000</v>
      </c>
      <c r="K1473" s="74">
        <f>+L1434</f>
        <v>84631981</v>
      </c>
      <c r="L1473" s="195">
        <f>+J1473+K1473</f>
        <v>84127981</v>
      </c>
    </row>
    <row r="1474" spans="1:16" ht="13.5" customHeight="1">
      <c r="A1474" s="72">
        <v>721</v>
      </c>
      <c r="B1474" s="80">
        <f>+H1452+H1454+H1458+H1460+H1462</f>
        <v>148000</v>
      </c>
      <c r="C1474" s="74" t="e">
        <f>+#REF!</f>
        <v>#REF!</v>
      </c>
      <c r="D1474" s="195" t="e">
        <f>+B1474+C1474</f>
        <v>#REF!</v>
      </c>
      <c r="I1474" s="72">
        <v>722</v>
      </c>
      <c r="J1474" s="80"/>
      <c r="K1474" s="74">
        <f>+L1435</f>
        <v>42881706</v>
      </c>
      <c r="L1474" s="195">
        <f>+J1474+K1474</f>
        <v>42881706</v>
      </c>
    </row>
    <row r="1475" spans="1:16" ht="15" customHeight="1">
      <c r="A1475" s="72">
        <v>722</v>
      </c>
      <c r="B1475" s="80"/>
      <c r="C1475" s="74" t="e">
        <f>+#REF!</f>
        <v>#REF!</v>
      </c>
      <c r="D1475" s="195" t="e">
        <f>+B1475+C1475</f>
        <v>#REF!</v>
      </c>
      <c r="I1475" s="72">
        <v>723</v>
      </c>
      <c r="J1475" s="80"/>
      <c r="K1475" s="74">
        <f>+L1436</f>
        <v>322491242</v>
      </c>
      <c r="L1475" s="195">
        <f>+J1475+K1475</f>
        <v>322491242</v>
      </c>
      <c r="N1475" s="918" t="s">
        <v>1481</v>
      </c>
      <c r="O1475" s="918"/>
      <c r="P1475" s="918"/>
    </row>
    <row r="1476" spans="1:16" ht="16.5" thickBot="1">
      <c r="A1476" s="72">
        <v>723</v>
      </c>
      <c r="B1476" s="80"/>
      <c r="C1476" s="74" t="e">
        <f>+#REF!</f>
        <v>#REF!</v>
      </c>
      <c r="D1476" s="195" t="e">
        <f>+B1476+C1476</f>
        <v>#REF!</v>
      </c>
      <c r="F1476" s="174" t="s">
        <v>23</v>
      </c>
      <c r="G1476" s="175"/>
      <c r="I1476" s="164" t="s">
        <v>181</v>
      </c>
      <c r="J1476" s="165"/>
      <c r="K1476" s="74">
        <f>+L1437</f>
        <v>0</v>
      </c>
      <c r="L1476" s="196">
        <f>+J1476+K1476</f>
        <v>0</v>
      </c>
      <c r="N1476" s="52"/>
    </row>
    <row r="1477" spans="1:16" ht="16.5" thickBot="1">
      <c r="A1477" s="164" t="s">
        <v>181</v>
      </c>
      <c r="B1477" s="165"/>
      <c r="C1477" s="74" t="e">
        <f>+#REF!</f>
        <v>#REF!</v>
      </c>
      <c r="D1477" s="196" t="e">
        <f>+B1477+C1477</f>
        <v>#REF!</v>
      </c>
      <c r="F1477" s="52"/>
      <c r="I1477" s="169"/>
      <c r="J1477" s="197">
        <f>SUM(J1472:J1476)</f>
        <v>-2584000</v>
      </c>
      <c r="K1477" s="197">
        <f>SUM(K1472:K1476)</f>
        <v>485644929</v>
      </c>
      <c r="L1477" s="198">
        <f>SUM(L1472:L1476)</f>
        <v>483060929</v>
      </c>
    </row>
    <row r="1478" spans="1:16" ht="17.25" thickBot="1">
      <c r="A1478" s="169"/>
      <c r="B1478" s="170">
        <f>SUM(B1473:B1477)</f>
        <v>518000</v>
      </c>
      <c r="C1478" s="171" t="e">
        <f>SUM(C1473:C1477)</f>
        <v>#REF!</v>
      </c>
      <c r="D1478" s="172" t="e">
        <f>SUM(D1473:D1477)</f>
        <v>#REF!</v>
      </c>
      <c r="I1478" s="49" t="s">
        <v>88</v>
      </c>
      <c r="J1478" s="50"/>
    </row>
    <row r="1479" spans="1:16">
      <c r="I1479" s="51" t="s">
        <v>89</v>
      </c>
    </row>
    <row r="1480" spans="1:16">
      <c r="I1480" s="51" t="s">
        <v>90</v>
      </c>
    </row>
    <row r="1481" spans="1:16">
      <c r="I1481" s="51" t="s">
        <v>91</v>
      </c>
    </row>
    <row r="1482" spans="1:16">
      <c r="I1482" s="50"/>
      <c r="J1482" s="50"/>
    </row>
    <row r="1483" spans="1:16" ht="15.75">
      <c r="I1483" s="260" t="s">
        <v>928</v>
      </c>
      <c r="O1483" s="52"/>
    </row>
    <row r="1484" spans="1:16" ht="15.75">
      <c r="I1484" s="53" t="s">
        <v>1333</v>
      </c>
      <c r="O1484" s="53"/>
    </row>
    <row r="1485" spans="1:16" ht="16.5">
      <c r="I1485" s="894" t="s">
        <v>909</v>
      </c>
      <c r="J1485" s="894"/>
      <c r="K1485" s="894"/>
      <c r="L1485" s="894"/>
      <c r="M1485" s="894"/>
      <c r="N1485" s="894"/>
      <c r="O1485" s="894"/>
      <c r="P1485" s="894"/>
    </row>
    <row r="1486" spans="1:16" ht="15.75" thickBot="1"/>
    <row r="1487" spans="1:16">
      <c r="I1487" s="895" t="s">
        <v>94</v>
      </c>
      <c r="J1487" s="897" t="s">
        <v>95</v>
      </c>
      <c r="K1487" s="897" t="s">
        <v>96</v>
      </c>
      <c r="L1487" s="897" t="s">
        <v>3</v>
      </c>
      <c r="M1487" s="897" t="s">
        <v>97</v>
      </c>
      <c r="N1487" s="897" t="s">
        <v>98</v>
      </c>
      <c r="O1487" s="897" t="s">
        <v>99</v>
      </c>
      <c r="P1487" s="899"/>
    </row>
    <row r="1488" spans="1:16" ht="15.75" thickBot="1">
      <c r="I1488" s="896"/>
      <c r="J1488" s="898"/>
      <c r="K1488" s="898"/>
      <c r="L1488" s="898"/>
      <c r="M1488" s="898"/>
      <c r="N1488" s="898"/>
      <c r="O1488" s="240" t="s">
        <v>100</v>
      </c>
      <c r="P1488" s="182" t="s">
        <v>101</v>
      </c>
    </row>
    <row r="1489" spans="9:16" ht="12" customHeight="1">
      <c r="I1489" s="873" t="s">
        <v>1611</v>
      </c>
      <c r="J1489" s="875">
        <v>43096</v>
      </c>
      <c r="K1489" s="881" t="s">
        <v>28</v>
      </c>
      <c r="L1489" s="881" t="s">
        <v>1615</v>
      </c>
      <c r="M1489" s="881" t="s">
        <v>148</v>
      </c>
      <c r="N1489" s="883">
        <v>650000</v>
      </c>
      <c r="O1489" s="55">
        <v>719</v>
      </c>
      <c r="P1489" s="78">
        <v>500000</v>
      </c>
    </row>
    <row r="1490" spans="9:16" ht="13.5" customHeight="1" thickBot="1">
      <c r="I1490" s="874"/>
      <c r="J1490" s="876"/>
      <c r="K1490" s="882"/>
      <c r="L1490" s="882"/>
      <c r="M1490" s="882"/>
      <c r="N1490" s="884"/>
      <c r="O1490" s="56">
        <v>721</v>
      </c>
      <c r="P1490" s="79">
        <f>+N1489-P1489</f>
        <v>150000</v>
      </c>
    </row>
    <row r="1491" spans="9:16" ht="12" customHeight="1">
      <c r="I1491" s="881">
        <f>+I1489+1</f>
        <v>177</v>
      </c>
      <c r="J1491" s="875">
        <v>43096</v>
      </c>
      <c r="K1491" s="881" t="s">
        <v>28</v>
      </c>
      <c r="L1491" s="879" t="s">
        <v>1614</v>
      </c>
      <c r="M1491" s="881" t="s">
        <v>148</v>
      </c>
      <c r="N1491" s="883">
        <v>650000</v>
      </c>
      <c r="O1491" s="55">
        <v>719</v>
      </c>
      <c r="P1491" s="78">
        <v>500000</v>
      </c>
    </row>
    <row r="1492" spans="9:16" ht="12.75" customHeight="1" thickBot="1">
      <c r="I1492" s="882"/>
      <c r="J1492" s="876"/>
      <c r="K1492" s="882"/>
      <c r="L1492" s="880"/>
      <c r="M1492" s="882"/>
      <c r="N1492" s="884"/>
      <c r="O1492" s="56">
        <v>721</v>
      </c>
      <c r="P1492" s="79">
        <f>+N1491-P1491</f>
        <v>150000</v>
      </c>
    </row>
    <row r="1493" spans="9:16" ht="12.75" customHeight="1">
      <c r="I1493" s="881">
        <f>+I1491+1</f>
        <v>178</v>
      </c>
      <c r="J1493" s="875">
        <v>43096</v>
      </c>
      <c r="K1493" s="877" t="s">
        <v>1079</v>
      </c>
      <c r="L1493" s="881" t="s">
        <v>1613</v>
      </c>
      <c r="M1493" s="881" t="s">
        <v>148</v>
      </c>
      <c r="N1493" s="883">
        <v>650000</v>
      </c>
      <c r="O1493" s="55">
        <v>719</v>
      </c>
      <c r="P1493" s="78">
        <v>500000</v>
      </c>
    </row>
    <row r="1494" spans="9:16" ht="12.75" customHeight="1" thickBot="1">
      <c r="I1494" s="882"/>
      <c r="J1494" s="876"/>
      <c r="K1494" s="878"/>
      <c r="L1494" s="882"/>
      <c r="M1494" s="882"/>
      <c r="N1494" s="884"/>
      <c r="O1494" s="56">
        <v>721</v>
      </c>
      <c r="P1494" s="79">
        <f>+N1493-P1493</f>
        <v>150000</v>
      </c>
    </row>
    <row r="1495" spans="9:16" ht="12" customHeight="1">
      <c r="I1495" s="881">
        <f>+I1493+1</f>
        <v>179</v>
      </c>
      <c r="J1495" s="875">
        <v>43096</v>
      </c>
      <c r="K1495" s="877" t="s">
        <v>1079</v>
      </c>
      <c r="L1495" s="879" t="s">
        <v>1612</v>
      </c>
      <c r="M1495" s="881" t="s">
        <v>148</v>
      </c>
      <c r="N1495" s="883">
        <v>650000</v>
      </c>
      <c r="O1495" s="55">
        <v>719</v>
      </c>
      <c r="P1495" s="78">
        <v>500000</v>
      </c>
    </row>
    <row r="1496" spans="9:16" ht="13.5" customHeight="1" thickBot="1">
      <c r="I1496" s="882"/>
      <c r="J1496" s="876"/>
      <c r="K1496" s="878"/>
      <c r="L1496" s="880"/>
      <c r="M1496" s="882"/>
      <c r="N1496" s="884"/>
      <c r="O1496" s="56">
        <v>721</v>
      </c>
      <c r="P1496" s="79">
        <f>+N1495-P1495</f>
        <v>150000</v>
      </c>
    </row>
    <row r="1497" spans="9:16" ht="13.5" customHeight="1">
      <c r="I1497" s="881">
        <f>+I1495+1</f>
        <v>180</v>
      </c>
      <c r="J1497" s="875">
        <v>43096</v>
      </c>
      <c r="K1497" s="881" t="s">
        <v>28</v>
      </c>
      <c r="L1497" s="879" t="s">
        <v>1616</v>
      </c>
      <c r="M1497" s="881" t="s">
        <v>115</v>
      </c>
      <c r="N1497" s="883">
        <v>70000</v>
      </c>
      <c r="O1497" s="55">
        <v>719</v>
      </c>
      <c r="P1497" s="78">
        <v>70000</v>
      </c>
    </row>
    <row r="1498" spans="9:16" ht="12.75" customHeight="1" thickBot="1">
      <c r="I1498" s="882"/>
      <c r="J1498" s="876"/>
      <c r="K1498" s="882"/>
      <c r="L1498" s="880"/>
      <c r="M1498" s="882"/>
      <c r="N1498" s="884"/>
      <c r="O1498" s="56">
        <v>721</v>
      </c>
      <c r="P1498" s="79">
        <f>+N1497-P1497</f>
        <v>0</v>
      </c>
    </row>
    <row r="1499" spans="9:16" ht="15" customHeight="1">
      <c r="I1499" s="881">
        <f>+I1497+1</f>
        <v>181</v>
      </c>
      <c r="J1499" s="875">
        <v>43096</v>
      </c>
      <c r="K1499" s="877" t="s">
        <v>120</v>
      </c>
      <c r="L1499" s="879" t="s">
        <v>1616</v>
      </c>
      <c r="M1499" s="881" t="s">
        <v>115</v>
      </c>
      <c r="N1499" s="883">
        <v>250000</v>
      </c>
      <c r="O1499" s="55">
        <v>719</v>
      </c>
      <c r="P1499" s="78">
        <v>250000</v>
      </c>
    </row>
    <row r="1500" spans="9:16" ht="12.75" customHeight="1" thickBot="1">
      <c r="I1500" s="882"/>
      <c r="J1500" s="876"/>
      <c r="K1500" s="878"/>
      <c r="L1500" s="880"/>
      <c r="M1500" s="882"/>
      <c r="N1500" s="884"/>
      <c r="O1500" s="56">
        <v>721</v>
      </c>
      <c r="P1500" s="79">
        <f>+N1499-P1499</f>
        <v>0</v>
      </c>
    </row>
    <row r="1501" spans="9:16" ht="16.5" thickBot="1">
      <c r="I1501" s="901" t="s">
        <v>102</v>
      </c>
      <c r="J1501" s="902"/>
      <c r="K1501" s="902"/>
      <c r="L1501" s="902"/>
      <c r="M1501" s="903"/>
      <c r="N1501" s="81">
        <f>SUM(N1489:N1500)</f>
        <v>2920000</v>
      </c>
    </row>
    <row r="1502" spans="9:16" ht="16.5" thickBot="1">
      <c r="I1502" s="885" t="s">
        <v>103</v>
      </c>
      <c r="J1502" s="886"/>
      <c r="K1502" s="886"/>
      <c r="L1502" s="886"/>
      <c r="M1502" s="887"/>
      <c r="N1502" s="69">
        <f>+N1464</f>
        <v>483060929</v>
      </c>
      <c r="O1502" s="241" t="s">
        <v>561</v>
      </c>
      <c r="P1502" s="242">
        <f>1207+1207+235+235+162+310</f>
        <v>3356</v>
      </c>
    </row>
    <row r="1503" spans="9:16" ht="16.5" thickBot="1">
      <c r="I1503" s="888" t="s">
        <v>104</v>
      </c>
      <c r="J1503" s="889"/>
      <c r="K1503" s="889"/>
      <c r="L1503" s="889"/>
      <c r="M1503" s="890"/>
      <c r="N1503" s="183">
        <f>SUM(N1501:N1502)</f>
        <v>485980929</v>
      </c>
    </row>
    <row r="1504" spans="9:16">
      <c r="I1504" s="61"/>
      <c r="J1504" s="61"/>
      <c r="K1504" s="61"/>
      <c r="L1504" s="61"/>
      <c r="M1504" s="61"/>
    </row>
    <row r="1505" spans="9:16">
      <c r="I1505" s="51" t="s">
        <v>1617</v>
      </c>
    </row>
    <row r="1506" spans="9:16" ht="9.75" customHeight="1">
      <c r="N1506" s="139"/>
    </row>
    <row r="1507" spans="9:16">
      <c r="I1507" s="50" t="s">
        <v>105</v>
      </c>
      <c r="L1507" s="146"/>
      <c r="N1507" s="139"/>
    </row>
    <row r="1508" spans="9:16" ht="13.5" customHeight="1" thickBot="1"/>
    <row r="1509" spans="9:16" ht="15.75" thickBot="1">
      <c r="I1509" s="891" t="s">
        <v>106</v>
      </c>
      <c r="J1509" s="892"/>
      <c r="K1509" s="892"/>
      <c r="L1509" s="893"/>
      <c r="N1509" s="50" t="s">
        <v>288</v>
      </c>
    </row>
    <row r="1510" spans="9:16" ht="30.75" thickBot="1">
      <c r="I1510" s="57" t="s">
        <v>100</v>
      </c>
      <c r="J1510" s="58" t="s">
        <v>108</v>
      </c>
      <c r="K1510" s="287" t="s">
        <v>109</v>
      </c>
      <c r="L1510" s="60" t="s">
        <v>110</v>
      </c>
    </row>
    <row r="1511" spans="9:16" ht="13.5" customHeight="1">
      <c r="I1511" s="71">
        <v>719</v>
      </c>
      <c r="J1511" s="73">
        <f>+P1489+P1491+P1493+P1495+P1499</f>
        <v>2250000</v>
      </c>
      <c r="K1511" s="74">
        <f>+L1472</f>
        <v>33560000</v>
      </c>
      <c r="L1511" s="195">
        <f>+J1511+K1511</f>
        <v>35810000</v>
      </c>
    </row>
    <row r="1512" spans="9:16" ht="12.75" customHeight="1">
      <c r="I1512" s="72">
        <v>721</v>
      </c>
      <c r="J1512" s="80">
        <f>+P1500+P1496+P1494+P1492+P1490</f>
        <v>600000</v>
      </c>
      <c r="K1512" s="74">
        <f>+L1473</f>
        <v>84127981</v>
      </c>
      <c r="L1512" s="195">
        <f>+J1512+K1512</f>
        <v>84727981</v>
      </c>
    </row>
    <row r="1513" spans="9:16" ht="12.75" customHeight="1">
      <c r="I1513" s="72">
        <v>722</v>
      </c>
      <c r="J1513" s="80"/>
      <c r="K1513" s="74">
        <f>+L1474</f>
        <v>42881706</v>
      </c>
      <c r="L1513" s="195">
        <f>+J1513+K1513</f>
        <v>42881706</v>
      </c>
    </row>
    <row r="1514" spans="9:16" ht="15.75">
      <c r="I1514" s="72">
        <v>723</v>
      </c>
      <c r="J1514" s="80"/>
      <c r="K1514" s="74">
        <f>+L1475</f>
        <v>322491242</v>
      </c>
      <c r="L1514" s="195">
        <f>+J1514+K1514</f>
        <v>322491242</v>
      </c>
      <c r="N1514" s="918" t="s">
        <v>1481</v>
      </c>
      <c r="O1514" s="918"/>
      <c r="P1514" s="918"/>
    </row>
    <row r="1515" spans="9:16" ht="13.5" customHeight="1" thickBot="1">
      <c r="I1515" s="164" t="s">
        <v>181</v>
      </c>
      <c r="J1515" s="165"/>
      <c r="K1515" s="74">
        <f>+L1476</f>
        <v>0</v>
      </c>
      <c r="L1515" s="196">
        <f>+J1515+K1515</f>
        <v>0</v>
      </c>
      <c r="N1515" s="52"/>
    </row>
    <row r="1516" spans="9:16" ht="16.5" thickBot="1">
      <c r="I1516" s="169"/>
      <c r="J1516" s="197">
        <f>SUM(J1511:J1515)</f>
        <v>2850000</v>
      </c>
      <c r="K1516" s="197">
        <f>SUM(K1511:K1515)</f>
        <v>483060929</v>
      </c>
      <c r="L1516" s="198">
        <f>SUM(L1511:L1515)</f>
        <v>485910929</v>
      </c>
    </row>
    <row r="1517" spans="9:16" ht="16.5">
      <c r="I1517" s="49" t="s">
        <v>88</v>
      </c>
      <c r="J1517" s="50"/>
    </row>
    <row r="1518" spans="9:16">
      <c r="I1518" s="51" t="s">
        <v>89</v>
      </c>
    </row>
    <row r="1519" spans="9:16">
      <c r="I1519" s="51" t="s">
        <v>90</v>
      </c>
    </row>
    <row r="1520" spans="9:16">
      <c r="I1520" s="51" t="s">
        <v>91</v>
      </c>
    </row>
    <row r="1521" spans="9:16" ht="10.5" customHeight="1">
      <c r="I1521" s="50"/>
      <c r="J1521" s="50"/>
    </row>
    <row r="1522" spans="9:16" ht="15.75">
      <c r="I1522" s="260" t="s">
        <v>929</v>
      </c>
      <c r="O1522" s="52"/>
    </row>
    <row r="1523" spans="9:16" ht="15.75">
      <c r="I1523" s="53" t="s">
        <v>1333</v>
      </c>
      <c r="O1523" s="53"/>
    </row>
    <row r="1524" spans="9:16" ht="16.5">
      <c r="I1524" s="894" t="s">
        <v>909</v>
      </c>
      <c r="J1524" s="894"/>
      <c r="K1524" s="894"/>
      <c r="L1524" s="894"/>
      <c r="M1524" s="894"/>
      <c r="N1524" s="894"/>
      <c r="O1524" s="894"/>
      <c r="P1524" s="894"/>
    </row>
    <row r="1525" spans="9:16" ht="13.5" customHeight="1" thickBot="1"/>
    <row r="1526" spans="9:16">
      <c r="I1526" s="895" t="s">
        <v>94</v>
      </c>
      <c r="J1526" s="897" t="s">
        <v>95</v>
      </c>
      <c r="K1526" s="897" t="s">
        <v>96</v>
      </c>
      <c r="L1526" s="897" t="s">
        <v>3</v>
      </c>
      <c r="M1526" s="897" t="s">
        <v>97</v>
      </c>
      <c r="N1526" s="897" t="s">
        <v>98</v>
      </c>
      <c r="O1526" s="897" t="s">
        <v>99</v>
      </c>
      <c r="P1526" s="899"/>
    </row>
    <row r="1527" spans="9:16" ht="15.75" thickBot="1">
      <c r="I1527" s="896"/>
      <c r="J1527" s="898"/>
      <c r="K1527" s="898"/>
      <c r="L1527" s="898"/>
      <c r="M1527" s="898"/>
      <c r="N1527" s="898"/>
      <c r="O1527" s="240" t="s">
        <v>100</v>
      </c>
      <c r="P1527" s="182" t="s">
        <v>101</v>
      </c>
    </row>
    <row r="1528" spans="9:16" ht="15" customHeight="1">
      <c r="I1528" s="881">
        <v>182</v>
      </c>
      <c r="J1528" s="875">
        <v>43097</v>
      </c>
      <c r="K1528" s="881" t="s">
        <v>28</v>
      </c>
      <c r="L1528" s="879" t="s">
        <v>1618</v>
      </c>
      <c r="M1528" s="881" t="s">
        <v>115</v>
      </c>
      <c r="N1528" s="883">
        <v>110000</v>
      </c>
      <c r="O1528" s="55">
        <v>719</v>
      </c>
      <c r="P1528" s="78">
        <v>110000</v>
      </c>
    </row>
    <row r="1529" spans="9:16" ht="15.75" customHeight="1" thickBot="1">
      <c r="I1529" s="882"/>
      <c r="J1529" s="876"/>
      <c r="K1529" s="882"/>
      <c r="L1529" s="880"/>
      <c r="M1529" s="882"/>
      <c r="N1529" s="884"/>
      <c r="O1529" s="56">
        <v>721</v>
      </c>
      <c r="P1529" s="79"/>
    </row>
    <row r="1530" spans="9:16" ht="15" customHeight="1">
      <c r="I1530" s="881">
        <v>183</v>
      </c>
      <c r="J1530" s="875">
        <v>43097</v>
      </c>
      <c r="K1530" s="881" t="s">
        <v>120</v>
      </c>
      <c r="L1530" s="879" t="s">
        <v>1618</v>
      </c>
      <c r="M1530" s="881" t="s">
        <v>115</v>
      </c>
      <c r="N1530" s="883">
        <v>440000</v>
      </c>
      <c r="O1530" s="55">
        <v>719</v>
      </c>
      <c r="P1530" s="78">
        <v>440000</v>
      </c>
    </row>
    <row r="1531" spans="9:16" ht="15.75" customHeight="1" thickBot="1">
      <c r="I1531" s="882"/>
      <c r="J1531" s="876"/>
      <c r="K1531" s="882"/>
      <c r="L1531" s="880"/>
      <c r="M1531" s="882"/>
      <c r="N1531" s="884"/>
      <c r="O1531" s="56">
        <v>721</v>
      </c>
      <c r="P1531" s="79">
        <f>+N1530-P1530</f>
        <v>0</v>
      </c>
    </row>
    <row r="1532" spans="9:16" ht="15" customHeight="1">
      <c r="I1532" s="881">
        <v>184</v>
      </c>
      <c r="J1532" s="875">
        <v>43097</v>
      </c>
      <c r="K1532" s="877" t="s">
        <v>385</v>
      </c>
      <c r="L1532" s="879" t="s">
        <v>1619</v>
      </c>
      <c r="M1532" s="881" t="s">
        <v>148</v>
      </c>
      <c r="N1532" s="883">
        <v>4500000</v>
      </c>
      <c r="O1532" s="55">
        <v>719</v>
      </c>
      <c r="P1532" s="78"/>
    </row>
    <row r="1533" spans="9:16" ht="15.75" customHeight="1" thickBot="1">
      <c r="I1533" s="882"/>
      <c r="J1533" s="876"/>
      <c r="K1533" s="878"/>
      <c r="L1533" s="880"/>
      <c r="M1533" s="882"/>
      <c r="N1533" s="884"/>
      <c r="O1533" s="56">
        <v>721</v>
      </c>
      <c r="P1533" s="79">
        <f>+N1532-P1532</f>
        <v>4500000</v>
      </c>
    </row>
    <row r="1534" spans="9:16">
      <c r="I1534" s="881">
        <v>185</v>
      </c>
      <c r="J1534" s="875"/>
      <c r="K1534" s="877"/>
      <c r="L1534" s="879"/>
      <c r="M1534" s="881"/>
      <c r="N1534" s="883"/>
      <c r="O1534" s="55">
        <v>719</v>
      </c>
      <c r="P1534" s="78"/>
    </row>
    <row r="1535" spans="9:16" ht="15.75" thickBot="1">
      <c r="I1535" s="882"/>
      <c r="J1535" s="876"/>
      <c r="K1535" s="878"/>
      <c r="L1535" s="880"/>
      <c r="M1535" s="882"/>
      <c r="N1535" s="884"/>
      <c r="O1535" s="56">
        <v>721</v>
      </c>
      <c r="P1535" s="79">
        <f>+N1534-P1534</f>
        <v>0</v>
      </c>
    </row>
    <row r="1536" spans="9:16">
      <c r="I1536" s="881"/>
      <c r="J1536" s="875"/>
      <c r="K1536" s="877"/>
      <c r="L1536" s="881"/>
      <c r="M1536" s="881"/>
      <c r="N1536" s="883"/>
      <c r="O1536" s="55">
        <v>719</v>
      </c>
      <c r="P1536" s="78"/>
    </row>
    <row r="1537" spans="9:16" ht="15.75" thickBot="1">
      <c r="I1537" s="882"/>
      <c r="J1537" s="876"/>
      <c r="K1537" s="878"/>
      <c r="L1537" s="882"/>
      <c r="M1537" s="882"/>
      <c r="N1537" s="884"/>
      <c r="O1537" s="56">
        <v>721</v>
      </c>
      <c r="P1537" s="79">
        <f>+N1536-P1536</f>
        <v>0</v>
      </c>
    </row>
    <row r="1538" spans="9:16" ht="16.5" thickBot="1">
      <c r="I1538" s="901" t="s">
        <v>102</v>
      </c>
      <c r="J1538" s="902"/>
      <c r="K1538" s="902"/>
      <c r="L1538" s="902"/>
      <c r="M1538" s="903"/>
      <c r="N1538" s="81">
        <f>SUM(N1528:N1537)</f>
        <v>5050000</v>
      </c>
    </row>
    <row r="1539" spans="9:16" ht="16.5" thickBot="1">
      <c r="I1539" s="885" t="s">
        <v>103</v>
      </c>
      <c r="J1539" s="886"/>
      <c r="K1539" s="886"/>
      <c r="L1539" s="886"/>
      <c r="M1539" s="887"/>
      <c r="N1539" s="69">
        <f>+N1503</f>
        <v>485980929</v>
      </c>
      <c r="O1539" s="241" t="s">
        <v>561</v>
      </c>
      <c r="P1539" s="242">
        <f>246+617</f>
        <v>863</v>
      </c>
    </row>
    <row r="1540" spans="9:16" ht="16.5" thickBot="1">
      <c r="I1540" s="888" t="s">
        <v>104</v>
      </c>
      <c r="J1540" s="889"/>
      <c r="K1540" s="889"/>
      <c r="L1540" s="889"/>
      <c r="M1540" s="890"/>
      <c r="N1540" s="183">
        <f>SUM(N1538:N1539)</f>
        <v>491030929</v>
      </c>
    </row>
    <row r="1541" spans="9:16">
      <c r="I1541" s="61"/>
      <c r="J1541" s="61"/>
      <c r="K1541" s="61"/>
      <c r="L1541" s="61"/>
      <c r="M1541" s="61"/>
    </row>
    <row r="1542" spans="9:16">
      <c r="I1542" s="51" t="s">
        <v>1620</v>
      </c>
    </row>
    <row r="1543" spans="9:16">
      <c r="N1543" s="139"/>
    </row>
    <row r="1544" spans="9:16">
      <c r="I1544" s="50" t="s">
        <v>105</v>
      </c>
      <c r="L1544" s="146"/>
      <c r="N1544" s="139"/>
    </row>
    <row r="1545" spans="9:16" ht="13.5" customHeight="1" thickBot="1"/>
    <row r="1546" spans="9:16" ht="15.75" thickBot="1">
      <c r="I1546" s="891" t="s">
        <v>106</v>
      </c>
      <c r="J1546" s="892"/>
      <c r="K1546" s="892"/>
      <c r="L1546" s="893"/>
      <c r="N1546" s="50" t="s">
        <v>288</v>
      </c>
    </row>
    <row r="1547" spans="9:16" ht="30.75" thickBot="1">
      <c r="I1547" s="57" t="s">
        <v>100</v>
      </c>
      <c r="J1547" s="58" t="s">
        <v>108</v>
      </c>
      <c r="K1547" s="287" t="s">
        <v>109</v>
      </c>
      <c r="L1547" s="60" t="s">
        <v>110</v>
      </c>
    </row>
    <row r="1548" spans="9:16">
      <c r="I1548" s="71">
        <v>719</v>
      </c>
      <c r="J1548" s="73">
        <f>+P1528+P1530+P1532+P1534+P1536</f>
        <v>550000</v>
      </c>
      <c r="K1548" s="74">
        <f>+L1511</f>
        <v>35810000</v>
      </c>
      <c r="L1548" s="195">
        <f>+J1548+K1548</f>
        <v>36360000</v>
      </c>
    </row>
    <row r="1549" spans="9:16">
      <c r="I1549" s="72">
        <v>721</v>
      </c>
      <c r="J1549" s="80">
        <v>0</v>
      </c>
      <c r="K1549" s="74">
        <f>+L1512</f>
        <v>84727981</v>
      </c>
      <c r="L1549" s="195">
        <f>+J1549+K1549</f>
        <v>84727981</v>
      </c>
    </row>
    <row r="1550" spans="9:16">
      <c r="I1550" s="72">
        <v>722</v>
      </c>
      <c r="J1550" s="80"/>
      <c r="K1550" s="74">
        <f>+L1513</f>
        <v>42881706</v>
      </c>
      <c r="L1550" s="195">
        <f>+J1550+K1550</f>
        <v>42881706</v>
      </c>
    </row>
    <row r="1551" spans="9:16" ht="15.75">
      <c r="I1551" s="72">
        <v>723</v>
      </c>
      <c r="J1551" s="80">
        <f>+P1537+P1535+P1533+P1531+P1529</f>
        <v>4500000</v>
      </c>
      <c r="K1551" s="74">
        <f>+L1514</f>
        <v>322491242</v>
      </c>
      <c r="L1551" s="195">
        <f>+J1551+K1551</f>
        <v>326991242</v>
      </c>
      <c r="N1551" s="193" t="s">
        <v>289</v>
      </c>
      <c r="O1551" s="175"/>
    </row>
    <row r="1552" spans="9:16" ht="16.5" thickBot="1">
      <c r="I1552" s="164" t="s">
        <v>181</v>
      </c>
      <c r="J1552" s="165"/>
      <c r="K1552" s="74">
        <f>+L1515</f>
        <v>0</v>
      </c>
      <c r="L1552" s="196">
        <f>+J1552+K1552</f>
        <v>0</v>
      </c>
      <c r="N1552" s="52"/>
    </row>
    <row r="1553" spans="9:16" ht="16.5" thickBot="1">
      <c r="I1553" s="169"/>
      <c r="J1553" s="197">
        <f>SUM(J1548:J1552)</f>
        <v>5050000</v>
      </c>
      <c r="K1553" s="197">
        <f>SUM(K1548:K1552)</f>
        <v>485910929</v>
      </c>
      <c r="L1553" s="198">
        <f>SUM(L1548:L1552)</f>
        <v>490960929</v>
      </c>
    </row>
    <row r="1554" spans="9:16" ht="16.5">
      <c r="I1554" s="49" t="s">
        <v>88</v>
      </c>
      <c r="J1554" s="50"/>
    </row>
    <row r="1555" spans="9:16">
      <c r="I1555" s="51" t="s">
        <v>89</v>
      </c>
    </row>
    <row r="1556" spans="9:16">
      <c r="I1556" s="51" t="s">
        <v>90</v>
      </c>
    </row>
    <row r="1557" spans="9:16">
      <c r="I1557" s="51" t="s">
        <v>91</v>
      </c>
    </row>
    <row r="1558" spans="9:16" ht="12" customHeight="1">
      <c r="I1558" s="50"/>
      <c r="J1558" s="50"/>
    </row>
    <row r="1559" spans="9:16" ht="15.75">
      <c r="I1559" s="260" t="s">
        <v>944</v>
      </c>
      <c r="O1559" s="52"/>
    </row>
    <row r="1560" spans="9:16" ht="15.75">
      <c r="I1560" s="53" t="s">
        <v>535</v>
      </c>
      <c r="O1560" s="53"/>
    </row>
    <row r="1561" spans="9:16" ht="16.5">
      <c r="I1561" s="894" t="s">
        <v>909</v>
      </c>
      <c r="J1561" s="894"/>
      <c r="K1561" s="894"/>
      <c r="L1561" s="894"/>
      <c r="M1561" s="894"/>
      <c r="N1561" s="894"/>
      <c r="O1561" s="894"/>
      <c r="P1561" s="894"/>
    </row>
    <row r="1562" spans="9:16" ht="15.75" thickBot="1"/>
    <row r="1563" spans="9:16">
      <c r="I1563" s="895" t="s">
        <v>94</v>
      </c>
      <c r="J1563" s="897" t="s">
        <v>95</v>
      </c>
      <c r="K1563" s="897" t="s">
        <v>96</v>
      </c>
      <c r="L1563" s="897" t="s">
        <v>3</v>
      </c>
      <c r="M1563" s="897" t="s">
        <v>97</v>
      </c>
      <c r="N1563" s="897" t="s">
        <v>98</v>
      </c>
      <c r="O1563" s="897" t="s">
        <v>99</v>
      </c>
      <c r="P1563" s="899"/>
    </row>
    <row r="1564" spans="9:16" ht="15.75" thickBot="1">
      <c r="I1564" s="896"/>
      <c r="J1564" s="898"/>
      <c r="K1564" s="898"/>
      <c r="L1564" s="898"/>
      <c r="M1564" s="898"/>
      <c r="N1564" s="898"/>
      <c r="O1564" s="240" t="s">
        <v>100</v>
      </c>
      <c r="P1564" s="182" t="s">
        <v>101</v>
      </c>
    </row>
    <row r="1565" spans="9:16">
      <c r="I1565" s="881">
        <v>194</v>
      </c>
      <c r="J1565" s="875">
        <v>42515</v>
      </c>
      <c r="K1565" s="877" t="s">
        <v>272</v>
      </c>
      <c r="L1565" s="879" t="s">
        <v>945</v>
      </c>
      <c r="M1565" s="881" t="s">
        <v>115</v>
      </c>
      <c r="N1565" s="883">
        <v>100000</v>
      </c>
      <c r="O1565" s="55">
        <v>719</v>
      </c>
      <c r="P1565" s="78">
        <v>100000</v>
      </c>
    </row>
    <row r="1566" spans="9:16" ht="15.75" thickBot="1">
      <c r="I1566" s="882"/>
      <c r="J1566" s="876"/>
      <c r="K1566" s="878"/>
      <c r="L1566" s="880"/>
      <c r="M1566" s="882"/>
      <c r="N1566" s="884"/>
      <c r="O1566" s="56">
        <v>721</v>
      </c>
      <c r="P1566" s="79">
        <f>+N1565-P1565</f>
        <v>0</v>
      </c>
    </row>
    <row r="1567" spans="9:16" ht="15" customHeight="1">
      <c r="I1567" s="881">
        <v>195</v>
      </c>
      <c r="J1567" s="875">
        <v>42515</v>
      </c>
      <c r="K1567" s="877" t="s">
        <v>28</v>
      </c>
      <c r="L1567" s="879" t="s">
        <v>946</v>
      </c>
      <c r="M1567" s="881" t="s">
        <v>115</v>
      </c>
      <c r="N1567" s="883">
        <v>70000</v>
      </c>
      <c r="O1567" s="55">
        <v>719</v>
      </c>
      <c r="P1567" s="78">
        <v>70000</v>
      </c>
    </row>
    <row r="1568" spans="9:16" ht="15.75" customHeight="1" thickBot="1">
      <c r="I1568" s="882"/>
      <c r="J1568" s="876"/>
      <c r="K1568" s="878"/>
      <c r="L1568" s="880"/>
      <c r="M1568" s="882"/>
      <c r="N1568" s="884"/>
      <c r="O1568" s="56">
        <v>721</v>
      </c>
      <c r="P1568" s="79">
        <f>+N1567-P1567</f>
        <v>0</v>
      </c>
    </row>
    <row r="1569" spans="9:16">
      <c r="I1569" s="881"/>
      <c r="J1569" s="875"/>
      <c r="K1569" s="877"/>
      <c r="L1569" s="881"/>
      <c r="M1569" s="881"/>
      <c r="N1569" s="883"/>
      <c r="O1569" s="55">
        <v>719</v>
      </c>
      <c r="P1569" s="78"/>
    </row>
    <row r="1570" spans="9:16" ht="15.75" thickBot="1">
      <c r="I1570" s="882"/>
      <c r="J1570" s="876"/>
      <c r="K1570" s="878"/>
      <c r="L1570" s="882"/>
      <c r="M1570" s="882"/>
      <c r="N1570" s="884"/>
      <c r="O1570" s="56">
        <v>721</v>
      </c>
      <c r="P1570" s="79">
        <f>+N1569-P1569</f>
        <v>0</v>
      </c>
    </row>
    <row r="1571" spans="9:16">
      <c r="I1571" s="881"/>
      <c r="J1571" s="875"/>
      <c r="K1571" s="877"/>
      <c r="L1571" s="879"/>
      <c r="M1571" s="881"/>
      <c r="N1571" s="883"/>
      <c r="O1571" s="55">
        <v>719</v>
      </c>
      <c r="P1571" s="78"/>
    </row>
    <row r="1572" spans="9:16" ht="15.75" thickBot="1">
      <c r="I1572" s="882"/>
      <c r="J1572" s="876"/>
      <c r="K1572" s="878"/>
      <c r="L1572" s="880"/>
      <c r="M1572" s="882"/>
      <c r="N1572" s="884"/>
      <c r="O1572" s="56">
        <v>721</v>
      </c>
      <c r="P1572" s="79">
        <f>+N1571-P1571</f>
        <v>0</v>
      </c>
    </row>
    <row r="1573" spans="9:16">
      <c r="I1573" s="881"/>
      <c r="J1573" s="875"/>
      <c r="K1573" s="877"/>
      <c r="L1573" s="881"/>
      <c r="M1573" s="881"/>
      <c r="N1573" s="883"/>
      <c r="O1573" s="55">
        <v>719</v>
      </c>
      <c r="P1573" s="78"/>
    </row>
    <row r="1574" spans="9:16" ht="15.75" thickBot="1">
      <c r="I1574" s="882"/>
      <c r="J1574" s="876"/>
      <c r="K1574" s="878"/>
      <c r="L1574" s="882"/>
      <c r="M1574" s="882"/>
      <c r="N1574" s="884"/>
      <c r="O1574" s="56">
        <v>721</v>
      </c>
      <c r="P1574" s="79">
        <f>+N1573-P1573</f>
        <v>0</v>
      </c>
    </row>
    <row r="1575" spans="9:16" ht="16.5" thickBot="1">
      <c r="I1575" s="901" t="s">
        <v>102</v>
      </c>
      <c r="J1575" s="902"/>
      <c r="K1575" s="902"/>
      <c r="L1575" s="902"/>
      <c r="M1575" s="903"/>
      <c r="N1575" s="81">
        <f>SUM(N1565:N1574)</f>
        <v>170000</v>
      </c>
    </row>
    <row r="1576" spans="9:16" ht="16.5" thickBot="1">
      <c r="I1576" s="885" t="s">
        <v>103</v>
      </c>
      <c r="J1576" s="886"/>
      <c r="K1576" s="886"/>
      <c r="L1576" s="886"/>
      <c r="M1576" s="887"/>
      <c r="N1576" s="69">
        <f>+N1540</f>
        <v>491030929</v>
      </c>
      <c r="O1576" s="241" t="s">
        <v>561</v>
      </c>
      <c r="P1576" s="242">
        <f>108+281</f>
        <v>389</v>
      </c>
    </row>
    <row r="1577" spans="9:16" ht="16.5" thickBot="1">
      <c r="I1577" s="888" t="s">
        <v>104</v>
      </c>
      <c r="J1577" s="889"/>
      <c r="K1577" s="889"/>
      <c r="L1577" s="889"/>
      <c r="M1577" s="890"/>
      <c r="N1577" s="183">
        <f>SUM(N1575:N1576)</f>
        <v>491200929</v>
      </c>
    </row>
    <row r="1578" spans="9:16">
      <c r="I1578" s="61"/>
      <c r="J1578" s="61"/>
      <c r="K1578" s="61"/>
      <c r="L1578" s="61"/>
      <c r="M1578" s="61"/>
    </row>
    <row r="1579" spans="9:16">
      <c r="I1579" s="51" t="s">
        <v>947</v>
      </c>
    </row>
    <row r="1580" spans="9:16" ht="12.75" customHeight="1">
      <c r="N1580" s="139"/>
    </row>
    <row r="1581" spans="9:16">
      <c r="I1581" s="50" t="s">
        <v>105</v>
      </c>
      <c r="L1581" s="146"/>
      <c r="N1581" s="139"/>
    </row>
    <row r="1582" spans="9:16" ht="10.5" customHeight="1" thickBot="1"/>
    <row r="1583" spans="9:16" ht="15.75" thickBot="1">
      <c r="I1583" s="891" t="s">
        <v>106</v>
      </c>
      <c r="J1583" s="892"/>
      <c r="K1583" s="892"/>
      <c r="L1583" s="893"/>
      <c r="N1583" s="50" t="s">
        <v>288</v>
      </c>
    </row>
    <row r="1584" spans="9:16" ht="30.75" thickBot="1">
      <c r="I1584" s="57" t="s">
        <v>100</v>
      </c>
      <c r="J1584" s="58" t="s">
        <v>108</v>
      </c>
      <c r="K1584" s="287" t="s">
        <v>109</v>
      </c>
      <c r="L1584" s="60" t="s">
        <v>110</v>
      </c>
    </row>
    <row r="1585" spans="9:16">
      <c r="I1585" s="71">
        <v>719</v>
      </c>
      <c r="J1585" s="73">
        <f>+P1565+P1567+P1569+P1571+P1573</f>
        <v>170000</v>
      </c>
      <c r="K1585" s="74">
        <f>+L1548</f>
        <v>36360000</v>
      </c>
      <c r="L1585" s="195">
        <f>+J1585+K1585</f>
        <v>36530000</v>
      </c>
    </row>
    <row r="1586" spans="9:16">
      <c r="I1586" s="72">
        <v>721</v>
      </c>
      <c r="J1586" s="80">
        <v>0</v>
      </c>
      <c r="K1586" s="74">
        <f>+L1549</f>
        <v>84727981</v>
      </c>
      <c r="L1586" s="195">
        <f>+J1586+K1586</f>
        <v>84727981</v>
      </c>
    </row>
    <row r="1587" spans="9:16">
      <c r="I1587" s="72">
        <v>722</v>
      </c>
      <c r="J1587" s="80"/>
      <c r="K1587" s="74">
        <f>+L1550</f>
        <v>42881706</v>
      </c>
      <c r="L1587" s="195">
        <f>+J1587+K1587</f>
        <v>42881706</v>
      </c>
    </row>
    <row r="1588" spans="9:16" ht="15.75">
      <c r="I1588" s="72">
        <v>723</v>
      </c>
      <c r="J1588" s="80">
        <f>+P1574+P1572+P1570+P1568+P1566</f>
        <v>0</v>
      </c>
      <c r="K1588" s="74">
        <f>+L1551</f>
        <v>326991242</v>
      </c>
      <c r="L1588" s="195">
        <f>+J1588+K1588</f>
        <v>326991242</v>
      </c>
      <c r="N1588" s="193" t="s">
        <v>289</v>
      </c>
      <c r="O1588" s="175"/>
    </row>
    <row r="1589" spans="9:16" ht="16.5" thickBot="1">
      <c r="I1589" s="164" t="s">
        <v>181</v>
      </c>
      <c r="J1589" s="165"/>
      <c r="K1589" s="74">
        <f>+L1552</f>
        <v>0</v>
      </c>
      <c r="L1589" s="196">
        <f>+J1589+K1589</f>
        <v>0</v>
      </c>
      <c r="N1589" s="52"/>
    </row>
    <row r="1590" spans="9:16" ht="16.5" thickBot="1">
      <c r="I1590" s="169"/>
      <c r="J1590" s="197">
        <f>SUM(J1585:J1589)</f>
        <v>170000</v>
      </c>
      <c r="K1590" s="197">
        <f>SUM(K1585:K1589)</f>
        <v>490960929</v>
      </c>
      <c r="L1590" s="198">
        <f>SUM(L1585:L1589)</f>
        <v>491130929</v>
      </c>
    </row>
    <row r="1591" spans="9:16" ht="16.5">
      <c r="I1591" s="49" t="s">
        <v>88</v>
      </c>
      <c r="J1591" s="50"/>
    </row>
    <row r="1592" spans="9:16">
      <c r="I1592" s="51" t="s">
        <v>89</v>
      </c>
    </row>
    <row r="1593" spans="9:16">
      <c r="I1593" s="51" t="s">
        <v>90</v>
      </c>
    </row>
    <row r="1594" spans="9:16">
      <c r="I1594" s="51" t="s">
        <v>91</v>
      </c>
    </row>
    <row r="1595" spans="9:16" ht="12" customHeight="1">
      <c r="I1595" s="50"/>
      <c r="J1595" s="50"/>
    </row>
    <row r="1596" spans="9:16" ht="15.75">
      <c r="I1596" s="260" t="s">
        <v>948</v>
      </c>
      <c r="O1596" s="52"/>
    </row>
    <row r="1597" spans="9:16" ht="15.75">
      <c r="I1597" s="53" t="s">
        <v>535</v>
      </c>
      <c r="O1597" s="53"/>
    </row>
    <row r="1598" spans="9:16" ht="16.5">
      <c r="I1598" s="894" t="s">
        <v>909</v>
      </c>
      <c r="J1598" s="894"/>
      <c r="K1598" s="894"/>
      <c r="L1598" s="894"/>
      <c r="M1598" s="894"/>
      <c r="N1598" s="894"/>
      <c r="O1598" s="894"/>
      <c r="P1598" s="894"/>
    </row>
    <row r="1599" spans="9:16" ht="15.75" thickBot="1"/>
    <row r="1600" spans="9:16">
      <c r="I1600" s="895" t="s">
        <v>94</v>
      </c>
      <c r="J1600" s="897" t="s">
        <v>95</v>
      </c>
      <c r="K1600" s="897" t="s">
        <v>96</v>
      </c>
      <c r="L1600" s="897" t="s">
        <v>3</v>
      </c>
      <c r="M1600" s="897" t="s">
        <v>97</v>
      </c>
      <c r="N1600" s="897" t="s">
        <v>98</v>
      </c>
      <c r="O1600" s="897" t="s">
        <v>99</v>
      </c>
      <c r="P1600" s="899"/>
    </row>
    <row r="1601" spans="9:16" ht="15.75" thickBot="1">
      <c r="I1601" s="896"/>
      <c r="J1601" s="898"/>
      <c r="K1601" s="898"/>
      <c r="L1601" s="898"/>
      <c r="M1601" s="898"/>
      <c r="N1601" s="898"/>
      <c r="O1601" s="240" t="s">
        <v>100</v>
      </c>
      <c r="P1601" s="182" t="s">
        <v>101</v>
      </c>
    </row>
    <row r="1602" spans="9:16">
      <c r="I1602" s="881">
        <v>196</v>
      </c>
      <c r="J1602" s="875">
        <v>42520</v>
      </c>
      <c r="K1602" s="877" t="s">
        <v>272</v>
      </c>
      <c r="L1602" s="879" t="s">
        <v>951</v>
      </c>
      <c r="M1602" s="881" t="s">
        <v>115</v>
      </c>
      <c r="N1602" s="883">
        <v>140000</v>
      </c>
      <c r="O1602" s="55">
        <v>719</v>
      </c>
      <c r="P1602" s="78">
        <v>140000</v>
      </c>
    </row>
    <row r="1603" spans="9:16" ht="15.75" thickBot="1">
      <c r="I1603" s="882"/>
      <c r="J1603" s="876"/>
      <c r="K1603" s="878"/>
      <c r="L1603" s="880"/>
      <c r="M1603" s="882"/>
      <c r="N1603" s="884"/>
      <c r="O1603" s="56">
        <v>721</v>
      </c>
      <c r="P1603" s="79">
        <f>+N1602-P1602</f>
        <v>0</v>
      </c>
    </row>
    <row r="1604" spans="9:16">
      <c r="I1604" s="881">
        <v>197</v>
      </c>
      <c r="J1604" s="875">
        <v>42520</v>
      </c>
      <c r="K1604" s="877" t="s">
        <v>28</v>
      </c>
      <c r="L1604" s="879" t="s">
        <v>952</v>
      </c>
      <c r="M1604" s="881" t="s">
        <v>115</v>
      </c>
      <c r="N1604" s="883">
        <v>60000</v>
      </c>
      <c r="O1604" s="55">
        <v>719</v>
      </c>
      <c r="P1604" s="78">
        <v>60000</v>
      </c>
    </row>
    <row r="1605" spans="9:16" ht="15.75" thickBot="1">
      <c r="I1605" s="882"/>
      <c r="J1605" s="876"/>
      <c r="K1605" s="878"/>
      <c r="L1605" s="880"/>
      <c r="M1605" s="882"/>
      <c r="N1605" s="884"/>
      <c r="O1605" s="56">
        <v>721</v>
      </c>
      <c r="P1605" s="79">
        <f>+N1604-P1604</f>
        <v>0</v>
      </c>
    </row>
    <row r="1606" spans="9:16" ht="15" customHeight="1">
      <c r="I1606" s="881">
        <v>198</v>
      </c>
      <c r="J1606" s="875">
        <v>42520</v>
      </c>
      <c r="K1606" s="877" t="s">
        <v>120</v>
      </c>
      <c r="L1606" s="879" t="s">
        <v>953</v>
      </c>
      <c r="M1606" s="881" t="s">
        <v>115</v>
      </c>
      <c r="N1606" s="883">
        <v>60000</v>
      </c>
      <c r="O1606" s="55">
        <v>719</v>
      </c>
      <c r="P1606" s="78">
        <v>60000</v>
      </c>
    </row>
    <row r="1607" spans="9:16" ht="15.75" customHeight="1" thickBot="1">
      <c r="I1607" s="882"/>
      <c r="J1607" s="876"/>
      <c r="K1607" s="878"/>
      <c r="L1607" s="880"/>
      <c r="M1607" s="882"/>
      <c r="N1607" s="884"/>
      <c r="O1607" s="56">
        <v>721</v>
      </c>
      <c r="P1607" s="79">
        <f>+N1606-P1606</f>
        <v>0</v>
      </c>
    </row>
    <row r="1608" spans="9:16">
      <c r="I1608" s="881"/>
      <c r="J1608" s="875"/>
      <c r="K1608" s="877"/>
      <c r="L1608" s="879"/>
      <c r="M1608" s="881"/>
      <c r="N1608" s="883"/>
      <c r="O1608" s="55">
        <v>719</v>
      </c>
      <c r="P1608" s="78"/>
    </row>
    <row r="1609" spans="9:16" ht="15.75" thickBot="1">
      <c r="I1609" s="882"/>
      <c r="J1609" s="876"/>
      <c r="K1609" s="878"/>
      <c r="L1609" s="880"/>
      <c r="M1609" s="882"/>
      <c r="N1609" s="884"/>
      <c r="O1609" s="56">
        <v>721</v>
      </c>
      <c r="P1609" s="79">
        <f>+N1608-P1608</f>
        <v>0</v>
      </c>
    </row>
    <row r="1610" spans="9:16">
      <c r="I1610" s="881"/>
      <c r="J1610" s="875"/>
      <c r="K1610" s="877"/>
      <c r="L1610" s="881"/>
      <c r="M1610" s="881"/>
      <c r="N1610" s="883"/>
      <c r="O1610" s="55">
        <v>719</v>
      </c>
      <c r="P1610" s="78"/>
    </row>
    <row r="1611" spans="9:16" ht="15.75" thickBot="1">
      <c r="I1611" s="882"/>
      <c r="J1611" s="876"/>
      <c r="K1611" s="878"/>
      <c r="L1611" s="882"/>
      <c r="M1611" s="882"/>
      <c r="N1611" s="884"/>
      <c r="O1611" s="56">
        <v>721</v>
      </c>
      <c r="P1611" s="79">
        <f>+N1610-P1610</f>
        <v>0</v>
      </c>
    </row>
    <row r="1612" spans="9:16" ht="16.5" thickBot="1">
      <c r="I1612" s="901" t="s">
        <v>102</v>
      </c>
      <c r="J1612" s="902"/>
      <c r="K1612" s="902"/>
      <c r="L1612" s="902"/>
      <c r="M1612" s="903"/>
      <c r="N1612" s="81">
        <f>SUM(N1602:N1611)</f>
        <v>260000</v>
      </c>
    </row>
    <row r="1613" spans="9:16" ht="16.5" thickBot="1">
      <c r="I1613" s="885" t="s">
        <v>103</v>
      </c>
      <c r="J1613" s="886"/>
      <c r="K1613" s="886"/>
      <c r="L1613" s="886"/>
      <c r="M1613" s="887"/>
      <c r="N1613" s="69">
        <f>+N1577</f>
        <v>491200929</v>
      </c>
      <c r="O1613" s="241" t="s">
        <v>561</v>
      </c>
      <c r="P1613" s="242">
        <f>108+281</f>
        <v>389</v>
      </c>
    </row>
    <row r="1614" spans="9:16" ht="16.5" thickBot="1">
      <c r="I1614" s="888" t="s">
        <v>104</v>
      </c>
      <c r="J1614" s="889"/>
      <c r="K1614" s="889"/>
      <c r="L1614" s="889"/>
      <c r="M1614" s="890"/>
      <c r="N1614" s="183">
        <f>SUM(N1612:N1613)</f>
        <v>491460929</v>
      </c>
    </row>
    <row r="1615" spans="9:16">
      <c r="I1615" s="61"/>
      <c r="J1615" s="61"/>
      <c r="K1615" s="61"/>
      <c r="L1615" s="61"/>
      <c r="M1615" s="61"/>
    </row>
    <row r="1616" spans="9:16">
      <c r="I1616" s="51" t="s">
        <v>954</v>
      </c>
    </row>
    <row r="1617" spans="9:15" ht="12.75" customHeight="1">
      <c r="N1617" s="139"/>
    </row>
    <row r="1618" spans="9:15">
      <c r="I1618" s="50" t="s">
        <v>105</v>
      </c>
      <c r="L1618" s="146"/>
      <c r="N1618" s="139"/>
    </row>
    <row r="1619" spans="9:15" ht="11.25" customHeight="1" thickBot="1"/>
    <row r="1620" spans="9:15" ht="15.75" thickBot="1">
      <c r="I1620" s="891" t="s">
        <v>106</v>
      </c>
      <c r="J1620" s="892"/>
      <c r="K1620" s="892"/>
      <c r="L1620" s="893"/>
      <c r="N1620" s="50" t="s">
        <v>288</v>
      </c>
    </row>
    <row r="1621" spans="9:15" ht="30.75" thickBot="1">
      <c r="I1621" s="57" t="s">
        <v>100</v>
      </c>
      <c r="J1621" s="58" t="s">
        <v>108</v>
      </c>
      <c r="K1621" s="287" t="s">
        <v>109</v>
      </c>
      <c r="L1621" s="60" t="s">
        <v>110</v>
      </c>
    </row>
    <row r="1622" spans="9:15">
      <c r="I1622" s="71">
        <v>719</v>
      </c>
      <c r="J1622" s="73">
        <f>+P1602+P1604+P1606+P1608+P1610</f>
        <v>260000</v>
      </c>
      <c r="K1622" s="74">
        <f>+L1585</f>
        <v>36530000</v>
      </c>
      <c r="L1622" s="195">
        <f>+J1622+K1622</f>
        <v>36790000</v>
      </c>
    </row>
    <row r="1623" spans="9:15">
      <c r="I1623" s="72">
        <v>721</v>
      </c>
      <c r="J1623" s="80">
        <v>0</v>
      </c>
      <c r="K1623" s="74">
        <f>+L1586</f>
        <v>84727981</v>
      </c>
      <c r="L1623" s="195">
        <f>+J1623+K1623</f>
        <v>84727981</v>
      </c>
    </row>
    <row r="1624" spans="9:15">
      <c r="I1624" s="72">
        <v>722</v>
      </c>
      <c r="J1624" s="80"/>
      <c r="K1624" s="74">
        <f>+L1587</f>
        <v>42881706</v>
      </c>
      <c r="L1624" s="195">
        <f>+J1624+K1624</f>
        <v>42881706</v>
      </c>
    </row>
    <row r="1625" spans="9:15" ht="15.75">
      <c r="I1625" s="72">
        <v>723</v>
      </c>
      <c r="J1625" s="80">
        <f>+P1611+P1609+P1607+P1605+P1603</f>
        <v>0</v>
      </c>
      <c r="K1625" s="74">
        <f>+L1588</f>
        <v>326991242</v>
      </c>
      <c r="L1625" s="195">
        <f>+J1625+K1625</f>
        <v>326991242</v>
      </c>
      <c r="N1625" s="193" t="s">
        <v>289</v>
      </c>
      <c r="O1625" s="175"/>
    </row>
    <row r="1626" spans="9:15" ht="16.5" thickBot="1">
      <c r="I1626" s="164" t="s">
        <v>181</v>
      </c>
      <c r="J1626" s="165"/>
      <c r="K1626" s="74">
        <f>+L1589</f>
        <v>0</v>
      </c>
      <c r="L1626" s="196">
        <f>+J1626+K1626</f>
        <v>0</v>
      </c>
      <c r="N1626" s="52"/>
    </row>
    <row r="1627" spans="9:15" ht="16.5" thickBot="1">
      <c r="I1627" s="169"/>
      <c r="J1627" s="197">
        <f>SUM(J1622:J1626)</f>
        <v>260000</v>
      </c>
      <c r="K1627" s="197">
        <f>SUM(K1622:K1626)</f>
        <v>491130929</v>
      </c>
      <c r="L1627" s="198">
        <f>SUM(L1622:L1626)</f>
        <v>491390929</v>
      </c>
    </row>
    <row r="1628" spans="9:15" ht="16.5">
      <c r="I1628" s="49" t="s">
        <v>88</v>
      </c>
      <c r="J1628" s="50"/>
    </row>
    <row r="1629" spans="9:15">
      <c r="I1629" s="51" t="s">
        <v>89</v>
      </c>
    </row>
    <row r="1630" spans="9:15">
      <c r="I1630" s="51" t="s">
        <v>90</v>
      </c>
    </row>
    <row r="1631" spans="9:15">
      <c r="I1631" s="51" t="s">
        <v>91</v>
      </c>
    </row>
    <row r="1632" spans="9:15" ht="12" customHeight="1">
      <c r="I1632" s="50"/>
      <c r="J1632" s="50"/>
    </row>
    <row r="1633" spans="9:16" ht="15.75">
      <c r="I1633" s="260" t="s">
        <v>949</v>
      </c>
      <c r="O1633" s="52"/>
    </row>
    <row r="1634" spans="9:16" ht="15.75">
      <c r="I1634" s="53" t="s">
        <v>535</v>
      </c>
      <c r="O1634" s="53"/>
    </row>
    <row r="1635" spans="9:16" ht="16.5">
      <c r="I1635" s="894" t="s">
        <v>909</v>
      </c>
      <c r="J1635" s="894"/>
      <c r="K1635" s="894"/>
      <c r="L1635" s="894"/>
      <c r="M1635" s="894"/>
      <c r="N1635" s="894"/>
      <c r="O1635" s="894"/>
      <c r="P1635" s="894"/>
    </row>
    <row r="1636" spans="9:16" ht="15.75" thickBot="1"/>
    <row r="1637" spans="9:16">
      <c r="I1637" s="895" t="s">
        <v>94</v>
      </c>
      <c r="J1637" s="897" t="s">
        <v>95</v>
      </c>
      <c r="K1637" s="897" t="s">
        <v>96</v>
      </c>
      <c r="L1637" s="897" t="s">
        <v>3</v>
      </c>
      <c r="M1637" s="897" t="s">
        <v>97</v>
      </c>
      <c r="N1637" s="897" t="s">
        <v>98</v>
      </c>
      <c r="O1637" s="897" t="s">
        <v>99</v>
      </c>
      <c r="P1637" s="899"/>
    </row>
    <row r="1638" spans="9:16" ht="15.75" thickBot="1">
      <c r="I1638" s="896"/>
      <c r="J1638" s="898"/>
      <c r="K1638" s="898"/>
      <c r="L1638" s="898"/>
      <c r="M1638" s="898"/>
      <c r="N1638" s="898"/>
      <c r="O1638" s="240" t="s">
        <v>100</v>
      </c>
      <c r="P1638" s="182" t="s">
        <v>101</v>
      </c>
    </row>
    <row r="1639" spans="9:16" ht="15" customHeight="1">
      <c r="I1639" s="881">
        <v>199</v>
      </c>
      <c r="J1639" s="875">
        <v>42520</v>
      </c>
      <c r="K1639" s="877" t="s">
        <v>267</v>
      </c>
      <c r="L1639" s="879" t="s">
        <v>955</v>
      </c>
      <c r="M1639" s="881" t="s">
        <v>148</v>
      </c>
      <c r="N1639" s="883">
        <v>42000</v>
      </c>
      <c r="O1639" s="55">
        <v>719</v>
      </c>
      <c r="P1639" s="78">
        <v>30000</v>
      </c>
    </row>
    <row r="1640" spans="9:16" ht="15.75" customHeight="1" thickBot="1">
      <c r="I1640" s="882"/>
      <c r="J1640" s="876"/>
      <c r="K1640" s="878"/>
      <c r="L1640" s="880"/>
      <c r="M1640" s="882"/>
      <c r="N1640" s="884"/>
      <c r="O1640" s="56">
        <v>721</v>
      </c>
      <c r="P1640" s="79">
        <f>+N1639-P1639</f>
        <v>12000</v>
      </c>
    </row>
    <row r="1641" spans="9:16" ht="15" customHeight="1">
      <c r="I1641" s="881">
        <v>200</v>
      </c>
      <c r="J1641" s="875">
        <v>42520</v>
      </c>
      <c r="K1641" s="877" t="s">
        <v>28</v>
      </c>
      <c r="L1641" s="879" t="s">
        <v>956</v>
      </c>
      <c r="M1641" s="881" t="s">
        <v>148</v>
      </c>
      <c r="N1641" s="883">
        <v>224000</v>
      </c>
      <c r="O1641" s="55">
        <v>719</v>
      </c>
      <c r="P1641" s="78">
        <v>160000</v>
      </c>
    </row>
    <row r="1642" spans="9:16" ht="15.75" customHeight="1" thickBot="1">
      <c r="I1642" s="882"/>
      <c r="J1642" s="876"/>
      <c r="K1642" s="878"/>
      <c r="L1642" s="880"/>
      <c r="M1642" s="882"/>
      <c r="N1642" s="884"/>
      <c r="O1642" s="56">
        <v>721</v>
      </c>
      <c r="P1642" s="79">
        <f>+N1641-P1641</f>
        <v>64000</v>
      </c>
    </row>
    <row r="1643" spans="9:16" ht="15" customHeight="1">
      <c r="I1643" s="881">
        <v>201</v>
      </c>
      <c r="J1643" s="875">
        <v>42520</v>
      </c>
      <c r="K1643" s="877" t="s">
        <v>111</v>
      </c>
      <c r="L1643" s="879" t="s">
        <v>957</v>
      </c>
      <c r="M1643" s="881" t="s">
        <v>148</v>
      </c>
      <c r="N1643" s="883">
        <v>56000</v>
      </c>
      <c r="O1643" s="55">
        <v>719</v>
      </c>
      <c r="P1643" s="78">
        <v>40000</v>
      </c>
    </row>
    <row r="1644" spans="9:16" ht="15.75" customHeight="1" thickBot="1">
      <c r="I1644" s="882"/>
      <c r="J1644" s="876"/>
      <c r="K1644" s="878"/>
      <c r="L1644" s="880"/>
      <c r="M1644" s="882"/>
      <c r="N1644" s="884"/>
      <c r="O1644" s="56">
        <v>721</v>
      </c>
      <c r="P1644" s="79">
        <f>+N1643-P1643</f>
        <v>16000</v>
      </c>
    </row>
    <row r="1645" spans="9:16" ht="15" customHeight="1">
      <c r="I1645" s="881">
        <v>202</v>
      </c>
      <c r="J1645" s="875">
        <v>42520</v>
      </c>
      <c r="K1645" s="877" t="s">
        <v>272</v>
      </c>
      <c r="L1645" s="879" t="s">
        <v>956</v>
      </c>
      <c r="M1645" s="881" t="s">
        <v>148</v>
      </c>
      <c r="N1645" s="883">
        <v>546000</v>
      </c>
      <c r="O1645" s="55">
        <v>719</v>
      </c>
      <c r="P1645" s="78">
        <v>390000</v>
      </c>
    </row>
    <row r="1646" spans="9:16" ht="15.75" customHeight="1" thickBot="1">
      <c r="I1646" s="882"/>
      <c r="J1646" s="876"/>
      <c r="K1646" s="878"/>
      <c r="L1646" s="880"/>
      <c r="M1646" s="882"/>
      <c r="N1646" s="884"/>
      <c r="O1646" s="56">
        <v>721</v>
      </c>
      <c r="P1646" s="79">
        <f>+N1645-P1645</f>
        <v>156000</v>
      </c>
    </row>
    <row r="1647" spans="9:16">
      <c r="I1647" s="881"/>
      <c r="J1647" s="875"/>
      <c r="K1647" s="877"/>
      <c r="L1647" s="881"/>
      <c r="M1647" s="881"/>
      <c r="N1647" s="883"/>
      <c r="O1647" s="55">
        <v>719</v>
      </c>
      <c r="P1647" s="78"/>
    </row>
    <row r="1648" spans="9:16" ht="15.75" thickBot="1">
      <c r="I1648" s="882"/>
      <c r="J1648" s="876"/>
      <c r="K1648" s="878"/>
      <c r="L1648" s="882"/>
      <c r="M1648" s="882"/>
      <c r="N1648" s="884"/>
      <c r="O1648" s="56">
        <v>721</v>
      </c>
      <c r="P1648" s="79">
        <f>+N1647-P1647</f>
        <v>0</v>
      </c>
    </row>
    <row r="1649" spans="9:16" ht="16.5" thickBot="1">
      <c r="I1649" s="901" t="s">
        <v>102</v>
      </c>
      <c r="J1649" s="902"/>
      <c r="K1649" s="902"/>
      <c r="L1649" s="902"/>
      <c r="M1649" s="903"/>
      <c r="N1649" s="81">
        <f>SUM(N1639:N1648)</f>
        <v>868000</v>
      </c>
    </row>
    <row r="1650" spans="9:16" ht="16.5" thickBot="1">
      <c r="I1650" s="885" t="s">
        <v>103</v>
      </c>
      <c r="J1650" s="886"/>
      <c r="K1650" s="886"/>
      <c r="L1650" s="886"/>
      <c r="M1650" s="887"/>
      <c r="N1650" s="69">
        <f>+N1614</f>
        <v>491460929</v>
      </c>
      <c r="O1650" s="241" t="s">
        <v>561</v>
      </c>
      <c r="P1650" s="242">
        <f>941+20+470+17</f>
        <v>1448</v>
      </c>
    </row>
    <row r="1651" spans="9:16" ht="16.5" thickBot="1">
      <c r="I1651" s="888" t="s">
        <v>104</v>
      </c>
      <c r="J1651" s="889"/>
      <c r="K1651" s="889"/>
      <c r="L1651" s="889"/>
      <c r="M1651" s="890"/>
      <c r="N1651" s="183">
        <f>SUM(N1649:N1650)</f>
        <v>492328929</v>
      </c>
    </row>
    <row r="1652" spans="9:16">
      <c r="I1652" s="61"/>
      <c r="J1652" s="61"/>
      <c r="K1652" s="61"/>
      <c r="L1652" s="61"/>
      <c r="M1652" s="61"/>
    </row>
    <row r="1653" spans="9:16">
      <c r="I1653" s="51" t="s">
        <v>962</v>
      </c>
    </row>
    <row r="1654" spans="9:16" ht="11.25" customHeight="1">
      <c r="N1654" s="139"/>
    </row>
    <row r="1655" spans="9:16">
      <c r="I1655" s="50" t="s">
        <v>105</v>
      </c>
      <c r="L1655" s="146"/>
      <c r="N1655" s="139"/>
    </row>
    <row r="1656" spans="9:16" ht="13.5" customHeight="1" thickBot="1"/>
    <row r="1657" spans="9:16" ht="15.75" thickBot="1">
      <c r="I1657" s="891" t="s">
        <v>106</v>
      </c>
      <c r="J1657" s="892"/>
      <c r="K1657" s="892"/>
      <c r="L1657" s="893"/>
      <c r="N1657" s="50" t="s">
        <v>288</v>
      </c>
    </row>
    <row r="1658" spans="9:16" ht="30.75" thickBot="1">
      <c r="I1658" s="57" t="s">
        <v>100</v>
      </c>
      <c r="J1658" s="58" t="s">
        <v>108</v>
      </c>
      <c r="K1658" s="287" t="s">
        <v>109</v>
      </c>
      <c r="L1658" s="60" t="s">
        <v>110</v>
      </c>
    </row>
    <row r="1659" spans="9:16">
      <c r="I1659" s="71">
        <v>719</v>
      </c>
      <c r="J1659" s="73">
        <f>+P1639+P1641+P1643+P1645+P1647</f>
        <v>620000</v>
      </c>
      <c r="K1659" s="74">
        <f>+L1622</f>
        <v>36790000</v>
      </c>
      <c r="L1659" s="195">
        <f>+J1659+K1659</f>
        <v>37410000</v>
      </c>
    </row>
    <row r="1660" spans="9:16">
      <c r="I1660" s="72">
        <v>721</v>
      </c>
      <c r="J1660" s="80">
        <f>+P1640+P1642+P1644+P1646</f>
        <v>248000</v>
      </c>
      <c r="K1660" s="74">
        <f>+L1623</f>
        <v>84727981</v>
      </c>
      <c r="L1660" s="195">
        <f>+J1660+K1660</f>
        <v>84975981</v>
      </c>
    </row>
    <row r="1661" spans="9:16">
      <c r="I1661" s="72">
        <v>722</v>
      </c>
      <c r="J1661" s="80"/>
      <c r="K1661" s="74">
        <f>+L1624</f>
        <v>42881706</v>
      </c>
      <c r="L1661" s="195">
        <f>+J1661+K1661</f>
        <v>42881706</v>
      </c>
    </row>
    <row r="1662" spans="9:16" ht="15.75">
      <c r="I1662" s="72">
        <v>723</v>
      </c>
      <c r="J1662" s="80"/>
      <c r="K1662" s="74">
        <f>+L1625</f>
        <v>326991242</v>
      </c>
      <c r="L1662" s="195">
        <f>+J1662+K1662</f>
        <v>326991242</v>
      </c>
      <c r="N1662" s="193" t="s">
        <v>289</v>
      </c>
      <c r="O1662" s="175"/>
    </row>
    <row r="1663" spans="9:16" ht="16.5" thickBot="1">
      <c r="I1663" s="164" t="s">
        <v>181</v>
      </c>
      <c r="J1663" s="165"/>
      <c r="K1663" s="74">
        <f>+L1626</f>
        <v>0</v>
      </c>
      <c r="L1663" s="196">
        <f>+J1663+K1663</f>
        <v>0</v>
      </c>
      <c r="N1663" s="52"/>
    </row>
    <row r="1664" spans="9:16" ht="16.5" thickBot="1">
      <c r="I1664" s="169"/>
      <c r="J1664" s="197">
        <f>SUM(J1659:J1663)</f>
        <v>868000</v>
      </c>
      <c r="K1664" s="197">
        <f>SUM(K1659:K1663)</f>
        <v>491390929</v>
      </c>
      <c r="L1664" s="198">
        <f>SUM(L1659:L1663)</f>
        <v>492258929</v>
      </c>
    </row>
    <row r="1665" spans="9:16" ht="16.5">
      <c r="I1665" s="49" t="s">
        <v>88</v>
      </c>
      <c r="J1665" s="50"/>
    </row>
    <row r="1666" spans="9:16">
      <c r="I1666" s="51" t="s">
        <v>89</v>
      </c>
    </row>
    <row r="1667" spans="9:16">
      <c r="I1667" s="51" t="s">
        <v>90</v>
      </c>
    </row>
    <row r="1668" spans="9:16">
      <c r="I1668" s="51" t="s">
        <v>91</v>
      </c>
    </row>
    <row r="1669" spans="9:16" ht="12.75" customHeight="1">
      <c r="I1669" s="50"/>
      <c r="J1669" s="50"/>
    </row>
    <row r="1670" spans="9:16" ht="15.75">
      <c r="I1670" s="260" t="s">
        <v>950</v>
      </c>
      <c r="O1670" s="52"/>
    </row>
    <row r="1671" spans="9:16" ht="15.75">
      <c r="I1671" s="53" t="s">
        <v>535</v>
      </c>
      <c r="O1671" s="53"/>
    </row>
    <row r="1672" spans="9:16" ht="16.5">
      <c r="I1672" s="894" t="s">
        <v>909</v>
      </c>
      <c r="J1672" s="894"/>
      <c r="K1672" s="894"/>
      <c r="L1672" s="894"/>
      <c r="M1672" s="894"/>
      <c r="N1672" s="894"/>
      <c r="O1672" s="894"/>
      <c r="P1672" s="894"/>
    </row>
    <row r="1673" spans="9:16" ht="15.75" thickBot="1"/>
    <row r="1674" spans="9:16">
      <c r="I1674" s="895" t="s">
        <v>94</v>
      </c>
      <c r="J1674" s="897" t="s">
        <v>95</v>
      </c>
      <c r="K1674" s="897" t="s">
        <v>96</v>
      </c>
      <c r="L1674" s="897" t="s">
        <v>3</v>
      </c>
      <c r="M1674" s="897" t="s">
        <v>97</v>
      </c>
      <c r="N1674" s="897" t="s">
        <v>98</v>
      </c>
      <c r="O1674" s="897" t="s">
        <v>99</v>
      </c>
      <c r="P1674" s="899"/>
    </row>
    <row r="1675" spans="9:16" ht="15.75" thickBot="1">
      <c r="I1675" s="896"/>
      <c r="J1675" s="898"/>
      <c r="K1675" s="898"/>
      <c r="L1675" s="898"/>
      <c r="M1675" s="898"/>
      <c r="N1675" s="898"/>
      <c r="O1675" s="240" t="s">
        <v>100</v>
      </c>
      <c r="P1675" s="182" t="s">
        <v>101</v>
      </c>
    </row>
    <row r="1676" spans="9:16" ht="15" customHeight="1">
      <c r="I1676" s="881">
        <v>203</v>
      </c>
      <c r="J1676" s="875">
        <v>42520</v>
      </c>
      <c r="K1676" s="877" t="s">
        <v>267</v>
      </c>
      <c r="L1676" s="879" t="s">
        <v>958</v>
      </c>
      <c r="M1676" s="881" t="s">
        <v>148</v>
      </c>
      <c r="N1676" s="883">
        <v>28000</v>
      </c>
      <c r="O1676" s="55">
        <v>719</v>
      </c>
      <c r="P1676" s="78">
        <v>20000</v>
      </c>
    </row>
    <row r="1677" spans="9:16" ht="15.75" customHeight="1" thickBot="1">
      <c r="I1677" s="882"/>
      <c r="J1677" s="876"/>
      <c r="K1677" s="878"/>
      <c r="L1677" s="880"/>
      <c r="M1677" s="882"/>
      <c r="N1677" s="884"/>
      <c r="O1677" s="56">
        <v>721</v>
      </c>
      <c r="P1677" s="79">
        <f>+N1676-P1676</f>
        <v>8000</v>
      </c>
    </row>
    <row r="1678" spans="9:16" ht="15" customHeight="1">
      <c r="I1678" s="881">
        <v>204</v>
      </c>
      <c r="J1678" s="875">
        <v>42520</v>
      </c>
      <c r="K1678" s="877" t="s">
        <v>28</v>
      </c>
      <c r="L1678" s="879" t="s">
        <v>959</v>
      </c>
      <c r="M1678" s="881" t="s">
        <v>148</v>
      </c>
      <c r="N1678" s="883">
        <v>238000</v>
      </c>
      <c r="O1678" s="55">
        <v>719</v>
      </c>
      <c r="P1678" s="78">
        <v>170000</v>
      </c>
    </row>
    <row r="1679" spans="9:16" ht="15.75" customHeight="1" thickBot="1">
      <c r="I1679" s="882"/>
      <c r="J1679" s="876"/>
      <c r="K1679" s="878"/>
      <c r="L1679" s="880"/>
      <c r="M1679" s="882"/>
      <c r="N1679" s="884"/>
      <c r="O1679" s="56">
        <v>721</v>
      </c>
      <c r="P1679" s="79">
        <f>+N1678-P1678</f>
        <v>68000</v>
      </c>
    </row>
    <row r="1680" spans="9:16" ht="15" customHeight="1">
      <c r="I1680" s="881">
        <v>205</v>
      </c>
      <c r="J1680" s="875">
        <v>42520</v>
      </c>
      <c r="K1680" s="877" t="s">
        <v>111</v>
      </c>
      <c r="L1680" s="879" t="s">
        <v>960</v>
      </c>
      <c r="M1680" s="881" t="s">
        <v>148</v>
      </c>
      <c r="N1680" s="883">
        <v>84000</v>
      </c>
      <c r="O1680" s="55">
        <v>719</v>
      </c>
      <c r="P1680" s="78">
        <v>60000</v>
      </c>
    </row>
    <row r="1681" spans="9:16" ht="15.75" customHeight="1" thickBot="1">
      <c r="I1681" s="882"/>
      <c r="J1681" s="876"/>
      <c r="K1681" s="878"/>
      <c r="L1681" s="880"/>
      <c r="M1681" s="882"/>
      <c r="N1681" s="884"/>
      <c r="O1681" s="56">
        <v>721</v>
      </c>
      <c r="P1681" s="79">
        <f>+N1680-P1680</f>
        <v>24000</v>
      </c>
    </row>
    <row r="1682" spans="9:16" ht="15" customHeight="1">
      <c r="I1682" s="881">
        <v>206</v>
      </c>
      <c r="J1682" s="875">
        <v>42520</v>
      </c>
      <c r="K1682" s="877" t="s">
        <v>272</v>
      </c>
      <c r="L1682" s="879" t="s">
        <v>959</v>
      </c>
      <c r="M1682" s="881" t="s">
        <v>148</v>
      </c>
      <c r="N1682" s="883">
        <v>504000</v>
      </c>
      <c r="O1682" s="55">
        <v>719</v>
      </c>
      <c r="P1682" s="78">
        <v>360000</v>
      </c>
    </row>
    <row r="1683" spans="9:16" ht="15.75" customHeight="1" thickBot="1">
      <c r="I1683" s="882"/>
      <c r="J1683" s="876"/>
      <c r="K1683" s="878"/>
      <c r="L1683" s="880"/>
      <c r="M1683" s="882"/>
      <c r="N1683" s="884"/>
      <c r="O1683" s="56">
        <v>721</v>
      </c>
      <c r="P1683" s="79">
        <f>+N1682-P1682</f>
        <v>144000</v>
      </c>
    </row>
    <row r="1684" spans="9:16">
      <c r="I1684" s="881"/>
      <c r="J1684" s="875"/>
      <c r="K1684" s="877"/>
      <c r="L1684" s="881"/>
      <c r="M1684" s="881"/>
      <c r="N1684" s="883"/>
      <c r="O1684" s="55">
        <v>719</v>
      </c>
      <c r="P1684" s="78"/>
    </row>
    <row r="1685" spans="9:16" ht="15.75" thickBot="1">
      <c r="I1685" s="882"/>
      <c r="J1685" s="876"/>
      <c r="K1685" s="878"/>
      <c r="L1685" s="882"/>
      <c r="M1685" s="882"/>
      <c r="N1685" s="884"/>
      <c r="O1685" s="56">
        <v>721</v>
      </c>
      <c r="P1685" s="79">
        <f>+N1684-P1684</f>
        <v>0</v>
      </c>
    </row>
    <row r="1686" spans="9:16" ht="16.5" thickBot="1">
      <c r="I1686" s="901" t="s">
        <v>102</v>
      </c>
      <c r="J1686" s="902"/>
      <c r="K1686" s="902"/>
      <c r="L1686" s="902"/>
      <c r="M1686" s="903"/>
      <c r="N1686" s="81">
        <f>SUM(N1676:N1685)</f>
        <v>854000</v>
      </c>
    </row>
    <row r="1687" spans="9:16" ht="16.5" thickBot="1">
      <c r="I1687" s="885" t="s">
        <v>103</v>
      </c>
      <c r="J1687" s="886"/>
      <c r="K1687" s="886"/>
      <c r="L1687" s="886"/>
      <c r="M1687" s="887"/>
      <c r="N1687" s="69">
        <f>+N1651</f>
        <v>492328929</v>
      </c>
      <c r="O1687" s="241" t="s">
        <v>561</v>
      </c>
      <c r="P1687" s="242">
        <f>746+26+428+20</f>
        <v>1220</v>
      </c>
    </row>
    <row r="1688" spans="9:16" ht="16.5" thickBot="1">
      <c r="I1688" s="888" t="s">
        <v>104</v>
      </c>
      <c r="J1688" s="889"/>
      <c r="K1688" s="889"/>
      <c r="L1688" s="889"/>
      <c r="M1688" s="890"/>
      <c r="N1688" s="183">
        <f>SUM(N1686:N1687)</f>
        <v>493182929</v>
      </c>
    </row>
    <row r="1689" spans="9:16">
      <c r="I1689" s="61"/>
      <c r="J1689" s="61"/>
      <c r="K1689" s="61"/>
      <c r="L1689" s="61"/>
      <c r="M1689" s="61"/>
    </row>
    <row r="1690" spans="9:16">
      <c r="I1690" s="51" t="s">
        <v>961</v>
      </c>
    </row>
    <row r="1691" spans="9:16" ht="12" customHeight="1">
      <c r="N1691" s="139"/>
    </row>
    <row r="1692" spans="9:16">
      <c r="I1692" s="50" t="s">
        <v>105</v>
      </c>
      <c r="L1692" s="146"/>
      <c r="N1692" s="139"/>
    </row>
    <row r="1693" spans="9:16" ht="11.25" customHeight="1" thickBot="1"/>
    <row r="1694" spans="9:16" ht="15.75" thickBot="1">
      <c r="I1694" s="891" t="s">
        <v>106</v>
      </c>
      <c r="J1694" s="892"/>
      <c r="K1694" s="892"/>
      <c r="L1694" s="893"/>
      <c r="N1694" s="50" t="s">
        <v>288</v>
      </c>
    </row>
    <row r="1695" spans="9:16" ht="30.75" thickBot="1">
      <c r="I1695" s="57" t="s">
        <v>100</v>
      </c>
      <c r="J1695" s="58" t="s">
        <v>108</v>
      </c>
      <c r="K1695" s="287" t="s">
        <v>109</v>
      </c>
      <c r="L1695" s="60" t="s">
        <v>110</v>
      </c>
    </row>
    <row r="1696" spans="9:16">
      <c r="I1696" s="71">
        <v>719</v>
      </c>
      <c r="J1696" s="73">
        <f>+P1676+P1678+P1680+P1682+P1684</f>
        <v>610000</v>
      </c>
      <c r="K1696" s="74">
        <f>+L1659</f>
        <v>37410000</v>
      </c>
      <c r="L1696" s="195">
        <f>+J1696+K1696</f>
        <v>38020000</v>
      </c>
    </row>
    <row r="1697" spans="9:16">
      <c r="I1697" s="72">
        <v>721</v>
      </c>
      <c r="J1697" s="80">
        <f>+P1677+P1679+P1681+P1683</f>
        <v>244000</v>
      </c>
      <c r="K1697" s="74">
        <f>+L1660</f>
        <v>84975981</v>
      </c>
      <c r="L1697" s="195">
        <f>+J1697+K1697</f>
        <v>85219981</v>
      </c>
    </row>
    <row r="1698" spans="9:16">
      <c r="I1698" s="72">
        <v>722</v>
      </c>
      <c r="J1698" s="80"/>
      <c r="K1698" s="74">
        <f>+L1661</f>
        <v>42881706</v>
      </c>
      <c r="L1698" s="195">
        <f>+J1698+K1698</f>
        <v>42881706</v>
      </c>
    </row>
    <row r="1699" spans="9:16" ht="15.75">
      <c r="I1699" s="72">
        <v>723</v>
      </c>
      <c r="J1699" s="80"/>
      <c r="K1699" s="74">
        <f>+L1662</f>
        <v>326991242</v>
      </c>
      <c r="L1699" s="195">
        <f>+J1699+K1699</f>
        <v>326991242</v>
      </c>
      <c r="N1699" s="193" t="s">
        <v>289</v>
      </c>
      <c r="O1699" s="175"/>
    </row>
    <row r="1700" spans="9:16" ht="16.5" thickBot="1">
      <c r="I1700" s="164" t="s">
        <v>181</v>
      </c>
      <c r="J1700" s="165"/>
      <c r="K1700" s="74">
        <f>+L1663</f>
        <v>0</v>
      </c>
      <c r="L1700" s="196">
        <f>+J1700+K1700</f>
        <v>0</v>
      </c>
      <c r="N1700" s="52"/>
    </row>
    <row r="1701" spans="9:16" ht="16.5" thickBot="1">
      <c r="I1701" s="169"/>
      <c r="J1701" s="197">
        <f>SUM(J1696:J1700)</f>
        <v>854000</v>
      </c>
      <c r="K1701" s="197">
        <f>SUM(K1696:K1700)</f>
        <v>492258929</v>
      </c>
      <c r="L1701" s="198">
        <f>SUM(L1696:L1700)</f>
        <v>493112929</v>
      </c>
    </row>
    <row r="1702" spans="9:16" ht="16.5">
      <c r="I1702" s="49" t="s">
        <v>88</v>
      </c>
      <c r="J1702" s="50"/>
    </row>
    <row r="1703" spans="9:16">
      <c r="I1703" s="51" t="s">
        <v>89</v>
      </c>
    </row>
    <row r="1704" spans="9:16">
      <c r="I1704" s="51" t="s">
        <v>90</v>
      </c>
    </row>
    <row r="1705" spans="9:16">
      <c r="I1705" s="51" t="s">
        <v>91</v>
      </c>
    </row>
    <row r="1706" spans="9:16" ht="12.75" customHeight="1">
      <c r="I1706" s="50"/>
      <c r="J1706" s="50"/>
    </row>
    <row r="1707" spans="9:16" ht="15.75">
      <c r="I1707" s="260" t="s">
        <v>976</v>
      </c>
      <c r="O1707" s="52"/>
    </row>
    <row r="1708" spans="9:16" ht="15.75">
      <c r="I1708" s="53" t="s">
        <v>535</v>
      </c>
      <c r="O1708" s="53"/>
    </row>
    <row r="1709" spans="9:16" ht="16.5">
      <c r="I1709" s="894" t="s">
        <v>967</v>
      </c>
      <c r="J1709" s="894"/>
      <c r="K1709" s="894"/>
      <c r="L1709" s="894"/>
      <c r="M1709" s="894"/>
      <c r="N1709" s="894"/>
      <c r="O1709" s="894"/>
      <c r="P1709" s="894"/>
    </row>
    <row r="1710" spans="9:16" ht="15.75" thickBot="1"/>
    <row r="1711" spans="9:16">
      <c r="I1711" s="916" t="s">
        <v>968</v>
      </c>
      <c r="J1711" s="912" t="s">
        <v>95</v>
      </c>
      <c r="K1711" s="912" t="s">
        <v>96</v>
      </c>
      <c r="L1711" s="912" t="s">
        <v>3</v>
      </c>
      <c r="M1711" s="912" t="s">
        <v>97</v>
      </c>
      <c r="N1711" s="912" t="s">
        <v>98</v>
      </c>
      <c r="O1711" s="914" t="s">
        <v>99</v>
      </c>
      <c r="P1711" s="915"/>
    </row>
    <row r="1712" spans="9:16" ht="15.75" thickBot="1">
      <c r="I1712" s="917"/>
      <c r="J1712" s="913"/>
      <c r="K1712" s="913"/>
      <c r="L1712" s="913"/>
      <c r="M1712" s="913"/>
      <c r="N1712" s="913"/>
      <c r="O1712" s="240" t="s">
        <v>100</v>
      </c>
      <c r="P1712" s="182" t="s">
        <v>101</v>
      </c>
    </row>
    <row r="1713" spans="9:19" ht="12" customHeight="1">
      <c r="I1713" s="873" t="s">
        <v>545</v>
      </c>
      <c r="J1713" s="875">
        <v>42520</v>
      </c>
      <c r="K1713" s="910" t="s">
        <v>695</v>
      </c>
      <c r="L1713" s="879" t="s">
        <v>556</v>
      </c>
      <c r="M1713" s="881" t="s">
        <v>148</v>
      </c>
      <c r="N1713" s="883"/>
      <c r="O1713" s="55">
        <v>719</v>
      </c>
      <c r="P1713" s="78"/>
    </row>
    <row r="1714" spans="9:19" ht="12.75" customHeight="1" thickBot="1">
      <c r="I1714" s="874"/>
      <c r="J1714" s="876"/>
      <c r="K1714" s="911"/>
      <c r="L1714" s="880"/>
      <c r="M1714" s="882"/>
      <c r="N1714" s="884"/>
      <c r="O1714" s="56">
        <v>723</v>
      </c>
      <c r="P1714" s="79">
        <f>+N1713-P1713</f>
        <v>0</v>
      </c>
    </row>
    <row r="1715" spans="9:19" ht="12.75" customHeight="1">
      <c r="I1715" s="873" t="s">
        <v>547</v>
      </c>
      <c r="J1715" s="875">
        <v>42520</v>
      </c>
      <c r="K1715" s="910" t="s">
        <v>695</v>
      </c>
      <c r="L1715" s="879" t="s">
        <v>556</v>
      </c>
      <c r="M1715" s="881" t="s">
        <v>115</v>
      </c>
      <c r="N1715" s="883"/>
      <c r="O1715" s="55">
        <v>719</v>
      </c>
      <c r="P1715" s="78"/>
    </row>
    <row r="1716" spans="9:19" ht="13.5" customHeight="1" thickBot="1">
      <c r="I1716" s="874"/>
      <c r="J1716" s="876"/>
      <c r="K1716" s="911"/>
      <c r="L1716" s="880"/>
      <c r="M1716" s="882"/>
      <c r="N1716" s="884"/>
      <c r="O1716" s="56">
        <v>723</v>
      </c>
      <c r="P1716" s="79">
        <f>+N1715-P1715</f>
        <v>0</v>
      </c>
    </row>
    <row r="1717" spans="9:19" ht="11.25" customHeight="1">
      <c r="I1717" s="873" t="s">
        <v>548</v>
      </c>
      <c r="J1717" s="875">
        <v>42520</v>
      </c>
      <c r="K1717" s="877" t="s">
        <v>701</v>
      </c>
      <c r="L1717" s="879" t="s">
        <v>556</v>
      </c>
      <c r="M1717" s="881" t="s">
        <v>148</v>
      </c>
      <c r="N1717" s="883"/>
      <c r="O1717" s="55">
        <v>719</v>
      </c>
      <c r="P1717" s="78"/>
    </row>
    <row r="1718" spans="9:19" ht="13.5" customHeight="1" thickBot="1">
      <c r="I1718" s="874"/>
      <c r="J1718" s="876"/>
      <c r="K1718" s="878"/>
      <c r="L1718" s="880"/>
      <c r="M1718" s="882"/>
      <c r="N1718" s="884"/>
      <c r="O1718" s="56">
        <v>723</v>
      </c>
      <c r="P1718" s="79">
        <f>+N1717-P1717</f>
        <v>0</v>
      </c>
    </row>
    <row r="1719" spans="9:19" ht="12.75" customHeight="1">
      <c r="I1719" s="873" t="s">
        <v>549</v>
      </c>
      <c r="J1719" s="875">
        <v>42520</v>
      </c>
      <c r="K1719" s="877" t="s">
        <v>673</v>
      </c>
      <c r="L1719" s="879" t="s">
        <v>556</v>
      </c>
      <c r="M1719" s="881" t="s">
        <v>148</v>
      </c>
      <c r="N1719" s="883"/>
      <c r="O1719" s="55">
        <v>719</v>
      </c>
      <c r="P1719" s="78"/>
    </row>
    <row r="1720" spans="9:19" ht="14.25" customHeight="1" thickBot="1">
      <c r="I1720" s="874"/>
      <c r="J1720" s="876"/>
      <c r="K1720" s="878"/>
      <c r="L1720" s="880"/>
      <c r="M1720" s="882"/>
      <c r="N1720" s="884"/>
      <c r="O1720" s="56">
        <v>723</v>
      </c>
      <c r="P1720" s="79">
        <f>+N1719-P1719</f>
        <v>0</v>
      </c>
    </row>
    <row r="1721" spans="9:19" ht="12" customHeight="1">
      <c r="I1721" s="873" t="s">
        <v>550</v>
      </c>
      <c r="J1721" s="875">
        <v>42520</v>
      </c>
      <c r="K1721" s="877" t="s">
        <v>729</v>
      </c>
      <c r="L1721" s="879" t="s">
        <v>556</v>
      </c>
      <c r="M1721" s="881" t="s">
        <v>148</v>
      </c>
      <c r="N1721" s="883"/>
      <c r="O1721" s="55">
        <v>719</v>
      </c>
      <c r="P1721" s="78"/>
    </row>
    <row r="1722" spans="9:19" ht="12.75" customHeight="1" thickBot="1">
      <c r="I1722" s="874"/>
      <c r="J1722" s="876"/>
      <c r="K1722" s="878"/>
      <c r="L1722" s="880"/>
      <c r="M1722" s="882"/>
      <c r="N1722" s="884"/>
      <c r="O1722" s="56">
        <v>723</v>
      </c>
      <c r="P1722" s="79">
        <f>+N1721-P1721</f>
        <v>0</v>
      </c>
    </row>
    <row r="1723" spans="9:19" ht="12.75" customHeight="1">
      <c r="I1723" s="873" t="s">
        <v>551</v>
      </c>
      <c r="J1723" s="875">
        <v>42520</v>
      </c>
      <c r="K1723" s="877" t="s">
        <v>694</v>
      </c>
      <c r="L1723" s="879" t="s">
        <v>556</v>
      </c>
      <c r="M1723" s="881" t="s">
        <v>148</v>
      </c>
      <c r="N1723" s="883"/>
      <c r="O1723" s="55">
        <v>719</v>
      </c>
      <c r="P1723" s="78"/>
    </row>
    <row r="1724" spans="9:19" ht="13.5" customHeight="1" thickBot="1">
      <c r="I1724" s="874"/>
      <c r="J1724" s="876"/>
      <c r="K1724" s="878"/>
      <c r="L1724" s="880"/>
      <c r="M1724" s="882"/>
      <c r="N1724" s="884"/>
      <c r="O1724" s="56">
        <v>723</v>
      </c>
      <c r="P1724" s="79">
        <f>+N1723-P1723</f>
        <v>0</v>
      </c>
    </row>
    <row r="1725" spans="9:19" ht="16.5" thickBot="1">
      <c r="I1725" s="888" t="s">
        <v>102</v>
      </c>
      <c r="J1725" s="889"/>
      <c r="K1725" s="889"/>
      <c r="L1725" s="889"/>
      <c r="M1725" s="890"/>
      <c r="N1725" s="81">
        <f>SUM(N1713:N1724)</f>
        <v>0</v>
      </c>
    </row>
    <row r="1726" spans="9:19" ht="16.5" thickBot="1">
      <c r="I1726" s="885" t="s">
        <v>103</v>
      </c>
      <c r="J1726" s="886"/>
      <c r="K1726" s="886"/>
      <c r="L1726" s="886"/>
      <c r="M1726" s="887"/>
      <c r="N1726" s="69">
        <f>+N1688</f>
        <v>493182929</v>
      </c>
      <c r="O1726" s="241" t="s">
        <v>561</v>
      </c>
      <c r="P1726" s="242"/>
    </row>
    <row r="1727" spans="9:19" ht="16.5" thickBot="1">
      <c r="I1727" s="888" t="s">
        <v>104</v>
      </c>
      <c r="J1727" s="889"/>
      <c r="K1727" s="889"/>
      <c r="L1727" s="889"/>
      <c r="M1727" s="890"/>
      <c r="N1727" s="183">
        <f>SUM(N1725:N1726)</f>
        <v>493182929</v>
      </c>
      <c r="S1727" s="51">
        <f>1945*1.05^4.5</f>
        <v>2422.5427600461721</v>
      </c>
    </row>
    <row r="1728" spans="9:19" ht="13.5" customHeight="1">
      <c r="I1728" s="61"/>
      <c r="J1728" s="61"/>
      <c r="K1728" s="61"/>
      <c r="L1728" s="61"/>
      <c r="M1728" s="61"/>
    </row>
    <row r="1729" spans="9:15">
      <c r="I1729" s="51" t="s">
        <v>966</v>
      </c>
    </row>
    <row r="1730" spans="9:15" ht="12.75" customHeight="1">
      <c r="N1730" s="139"/>
    </row>
    <row r="1731" spans="9:15">
      <c r="I1731" s="50" t="s">
        <v>105</v>
      </c>
      <c r="L1731" s="146"/>
      <c r="N1731" s="139"/>
    </row>
    <row r="1732" spans="9:15" ht="13.5" customHeight="1" thickBot="1"/>
    <row r="1733" spans="9:15" ht="15.75" thickBot="1">
      <c r="I1733" s="891" t="s">
        <v>106</v>
      </c>
      <c r="J1733" s="892"/>
      <c r="K1733" s="892"/>
      <c r="L1733" s="893"/>
      <c r="N1733" s="50" t="s">
        <v>288</v>
      </c>
    </row>
    <row r="1734" spans="9:15" ht="30.75" thickBot="1">
      <c r="I1734" s="57" t="s">
        <v>100</v>
      </c>
      <c r="J1734" s="58" t="s">
        <v>108</v>
      </c>
      <c r="K1734" s="287" t="s">
        <v>109</v>
      </c>
      <c r="L1734" s="60" t="s">
        <v>110</v>
      </c>
    </row>
    <row r="1735" spans="9:15">
      <c r="I1735" s="71">
        <v>719</v>
      </c>
      <c r="J1735" s="73">
        <f>+P1713+P1715+P1719+P1721+P1723</f>
        <v>0</v>
      </c>
      <c r="K1735" s="74">
        <f>+L1696</f>
        <v>38020000</v>
      </c>
      <c r="L1735" s="195">
        <f>+J1735+K1735</f>
        <v>38020000</v>
      </c>
    </row>
    <row r="1736" spans="9:15">
      <c r="I1736" s="72">
        <v>721</v>
      </c>
      <c r="J1736" s="80">
        <v>0</v>
      </c>
      <c r="K1736" s="74">
        <f>+L1697</f>
        <v>85219981</v>
      </c>
      <c r="L1736" s="195">
        <f>+J1736+K1736</f>
        <v>85219981</v>
      </c>
    </row>
    <row r="1737" spans="9:15">
      <c r="I1737" s="72">
        <v>722</v>
      </c>
      <c r="J1737" s="80"/>
      <c r="K1737" s="74">
        <f>+L1698</f>
        <v>42881706</v>
      </c>
      <c r="L1737" s="195">
        <f>+J1737+K1737</f>
        <v>42881706</v>
      </c>
    </row>
    <row r="1738" spans="9:15" ht="15.75">
      <c r="I1738" s="72">
        <v>723</v>
      </c>
      <c r="J1738" s="80">
        <f>+P1724+P1722+P1720+P1716+P1714+P1718</f>
        <v>0</v>
      </c>
      <c r="K1738" s="74">
        <f>+L1699</f>
        <v>326991242</v>
      </c>
      <c r="L1738" s="195">
        <f>+J1738+K1738</f>
        <v>326991242</v>
      </c>
      <c r="N1738" s="193" t="s">
        <v>289</v>
      </c>
      <c r="O1738" s="175"/>
    </row>
    <row r="1739" spans="9:15" ht="16.5" thickBot="1">
      <c r="I1739" s="164" t="s">
        <v>181</v>
      </c>
      <c r="J1739" s="165"/>
      <c r="K1739" s="74">
        <f>+L1700</f>
        <v>0</v>
      </c>
      <c r="L1739" s="196">
        <f>+J1739+K1739</f>
        <v>0</v>
      </c>
      <c r="N1739" s="52"/>
    </row>
    <row r="1740" spans="9:15" ht="16.5" thickBot="1">
      <c r="I1740" s="169"/>
      <c r="J1740" s="197">
        <f>SUM(J1735:J1739)</f>
        <v>0</v>
      </c>
      <c r="K1740" s="197">
        <f>SUM(K1735:K1739)</f>
        <v>493112929</v>
      </c>
      <c r="L1740" s="198">
        <f>SUM(L1735:L1739)</f>
        <v>493112929</v>
      </c>
    </row>
    <row r="1741" spans="9:15" ht="16.5">
      <c r="I1741" s="49" t="s">
        <v>88</v>
      </c>
      <c r="J1741" s="50"/>
    </row>
    <row r="1742" spans="9:15">
      <c r="I1742" s="51" t="s">
        <v>89</v>
      </c>
    </row>
    <row r="1743" spans="9:15">
      <c r="I1743" s="51" t="s">
        <v>90</v>
      </c>
    </row>
    <row r="1744" spans="9:15">
      <c r="I1744" s="51" t="s">
        <v>91</v>
      </c>
    </row>
    <row r="1745" spans="9:16" ht="9" customHeight="1">
      <c r="I1745" s="50"/>
      <c r="J1745" s="50"/>
    </row>
    <row r="1746" spans="9:16" ht="15.75">
      <c r="I1746" s="260" t="s">
        <v>964</v>
      </c>
      <c r="O1746" s="52"/>
    </row>
    <row r="1747" spans="9:16" ht="15.75">
      <c r="I1747" s="53" t="s">
        <v>535</v>
      </c>
      <c r="O1747" s="53"/>
    </row>
    <row r="1748" spans="9:16" ht="16.5">
      <c r="I1748" s="894" t="s">
        <v>909</v>
      </c>
      <c r="J1748" s="894"/>
      <c r="K1748" s="894"/>
      <c r="L1748" s="894"/>
      <c r="M1748" s="894"/>
      <c r="N1748" s="894"/>
      <c r="O1748" s="894"/>
      <c r="P1748" s="894"/>
    </row>
    <row r="1749" spans="9:16" ht="15.75" thickBot="1"/>
    <row r="1750" spans="9:16">
      <c r="I1750" s="895" t="s">
        <v>94</v>
      </c>
      <c r="J1750" s="897" t="s">
        <v>95</v>
      </c>
      <c r="K1750" s="897" t="s">
        <v>96</v>
      </c>
      <c r="L1750" s="897" t="s">
        <v>3</v>
      </c>
      <c r="M1750" s="897" t="s">
        <v>97</v>
      </c>
      <c r="N1750" s="897" t="s">
        <v>98</v>
      </c>
      <c r="O1750" s="897" t="s">
        <v>99</v>
      </c>
      <c r="P1750" s="899"/>
    </row>
    <row r="1751" spans="9:16" ht="15.75" thickBot="1">
      <c r="I1751" s="896"/>
      <c r="J1751" s="898"/>
      <c r="K1751" s="898"/>
      <c r="L1751" s="898"/>
      <c r="M1751" s="898"/>
      <c r="N1751" s="898"/>
      <c r="O1751" s="240" t="s">
        <v>100</v>
      </c>
      <c r="P1751" s="182" t="s">
        <v>101</v>
      </c>
    </row>
    <row r="1752" spans="9:16">
      <c r="I1752" s="881">
        <v>207</v>
      </c>
      <c r="J1752" s="875">
        <v>42521</v>
      </c>
      <c r="K1752" s="877" t="s">
        <v>267</v>
      </c>
      <c r="L1752" s="879" t="s">
        <v>971</v>
      </c>
      <c r="M1752" s="881" t="s">
        <v>148</v>
      </c>
      <c r="N1752" s="883">
        <v>28000</v>
      </c>
      <c r="O1752" s="55">
        <v>719</v>
      </c>
      <c r="P1752" s="78">
        <v>20000</v>
      </c>
    </row>
    <row r="1753" spans="9:16" ht="15.75" thickBot="1">
      <c r="I1753" s="882"/>
      <c r="J1753" s="876"/>
      <c r="K1753" s="878"/>
      <c r="L1753" s="880"/>
      <c r="M1753" s="882"/>
      <c r="N1753" s="884"/>
      <c r="O1753" s="56">
        <v>721</v>
      </c>
      <c r="P1753" s="79">
        <f>+N1752-P1752</f>
        <v>8000</v>
      </c>
    </row>
    <row r="1754" spans="9:16">
      <c r="I1754" s="881">
        <v>208</v>
      </c>
      <c r="J1754" s="875">
        <v>42521</v>
      </c>
      <c r="K1754" s="877" t="s">
        <v>28</v>
      </c>
      <c r="L1754" s="879" t="s">
        <v>970</v>
      </c>
      <c r="M1754" s="881" t="s">
        <v>148</v>
      </c>
      <c r="N1754" s="883">
        <v>294000</v>
      </c>
      <c r="O1754" s="55">
        <v>719</v>
      </c>
      <c r="P1754" s="78">
        <v>210000</v>
      </c>
    </row>
    <row r="1755" spans="9:16" ht="15.75" thickBot="1">
      <c r="I1755" s="882"/>
      <c r="J1755" s="876"/>
      <c r="K1755" s="878"/>
      <c r="L1755" s="880"/>
      <c r="M1755" s="882"/>
      <c r="N1755" s="884"/>
      <c r="O1755" s="56">
        <v>721</v>
      </c>
      <c r="P1755" s="79">
        <f>+N1754-P1754</f>
        <v>84000</v>
      </c>
    </row>
    <row r="1756" spans="9:16">
      <c r="I1756" s="881">
        <v>209</v>
      </c>
      <c r="J1756" s="875">
        <v>42521</v>
      </c>
      <c r="K1756" s="877" t="s">
        <v>111</v>
      </c>
      <c r="L1756" s="879" t="s">
        <v>951</v>
      </c>
      <c r="M1756" s="881" t="s">
        <v>148</v>
      </c>
      <c r="N1756" s="883">
        <v>56000</v>
      </c>
      <c r="O1756" s="55">
        <v>719</v>
      </c>
      <c r="P1756" s="78">
        <v>40000</v>
      </c>
    </row>
    <row r="1757" spans="9:16" ht="15.75" thickBot="1">
      <c r="I1757" s="882"/>
      <c r="J1757" s="876"/>
      <c r="K1757" s="878"/>
      <c r="L1757" s="880"/>
      <c r="M1757" s="882"/>
      <c r="N1757" s="884"/>
      <c r="O1757" s="56">
        <v>721</v>
      </c>
      <c r="P1757" s="79">
        <f>+N1756-P1756</f>
        <v>16000</v>
      </c>
    </row>
    <row r="1758" spans="9:16">
      <c r="I1758" s="881">
        <v>210</v>
      </c>
      <c r="J1758" s="875">
        <v>42521</v>
      </c>
      <c r="K1758" s="877" t="s">
        <v>272</v>
      </c>
      <c r="L1758" s="879" t="s">
        <v>970</v>
      </c>
      <c r="M1758" s="881" t="s">
        <v>148</v>
      </c>
      <c r="N1758" s="883">
        <v>672000</v>
      </c>
      <c r="O1758" s="55">
        <v>719</v>
      </c>
      <c r="P1758" s="78">
        <v>480000</v>
      </c>
    </row>
    <row r="1759" spans="9:16" ht="15.75" thickBot="1">
      <c r="I1759" s="882"/>
      <c r="J1759" s="876"/>
      <c r="K1759" s="878"/>
      <c r="L1759" s="880"/>
      <c r="M1759" s="882"/>
      <c r="N1759" s="884"/>
      <c r="O1759" s="56">
        <v>721</v>
      </c>
      <c r="P1759" s="79">
        <f>+N1758-P1758</f>
        <v>192000</v>
      </c>
    </row>
    <row r="1760" spans="9:16" ht="12.75" customHeight="1">
      <c r="I1760" s="881"/>
      <c r="J1760" s="875"/>
      <c r="K1760" s="877"/>
      <c r="L1760" s="881"/>
      <c r="M1760" s="881"/>
      <c r="N1760" s="883"/>
      <c r="O1760" s="55">
        <v>719</v>
      </c>
      <c r="P1760" s="78"/>
    </row>
    <row r="1761" spans="9:16" ht="13.5" customHeight="1" thickBot="1">
      <c r="I1761" s="882"/>
      <c r="J1761" s="876"/>
      <c r="K1761" s="878"/>
      <c r="L1761" s="882"/>
      <c r="M1761" s="882"/>
      <c r="N1761" s="884"/>
      <c r="O1761" s="56">
        <v>721</v>
      </c>
      <c r="P1761" s="79">
        <f>+N1760-P1760</f>
        <v>0</v>
      </c>
    </row>
    <row r="1762" spans="9:16" ht="16.5" thickBot="1">
      <c r="I1762" s="901" t="s">
        <v>102</v>
      </c>
      <c r="J1762" s="902"/>
      <c r="K1762" s="902"/>
      <c r="L1762" s="902"/>
      <c r="M1762" s="903"/>
      <c r="N1762" s="81">
        <f>SUM(N1752:N1761)</f>
        <v>1050000</v>
      </c>
    </row>
    <row r="1763" spans="9:16" ht="16.5" thickBot="1">
      <c r="I1763" s="885" t="s">
        <v>103</v>
      </c>
      <c r="J1763" s="886"/>
      <c r="K1763" s="886"/>
      <c r="L1763" s="886"/>
      <c r="M1763" s="887"/>
      <c r="N1763" s="69">
        <f>+N1727</f>
        <v>493182929</v>
      </c>
      <c r="O1763" s="241" t="s">
        <v>561</v>
      </c>
      <c r="P1763" s="242">
        <f>22+651+13+1233</f>
        <v>1919</v>
      </c>
    </row>
    <row r="1764" spans="9:16" ht="16.5" thickBot="1">
      <c r="I1764" s="888" t="s">
        <v>104</v>
      </c>
      <c r="J1764" s="889"/>
      <c r="K1764" s="889"/>
      <c r="L1764" s="889"/>
      <c r="M1764" s="890"/>
      <c r="N1764" s="183">
        <f>SUM(N1762:N1763)</f>
        <v>494232929</v>
      </c>
    </row>
    <row r="1765" spans="9:16">
      <c r="I1765" s="61"/>
      <c r="J1765" s="61"/>
      <c r="K1765" s="61"/>
      <c r="L1765" s="61"/>
      <c r="M1765" s="61"/>
    </row>
    <row r="1766" spans="9:16">
      <c r="I1766" s="51" t="s">
        <v>972</v>
      </c>
    </row>
    <row r="1767" spans="9:16" ht="12" customHeight="1">
      <c r="N1767" s="139"/>
    </row>
    <row r="1768" spans="9:16">
      <c r="I1768" s="50" t="s">
        <v>105</v>
      </c>
      <c r="L1768" s="146"/>
      <c r="N1768" s="139"/>
    </row>
    <row r="1769" spans="9:16" ht="15.75" thickBot="1"/>
    <row r="1770" spans="9:16" ht="15.75" thickBot="1">
      <c r="I1770" s="891" t="s">
        <v>106</v>
      </c>
      <c r="J1770" s="892"/>
      <c r="K1770" s="892"/>
      <c r="L1770" s="893"/>
      <c r="N1770" s="50" t="s">
        <v>288</v>
      </c>
    </row>
    <row r="1771" spans="9:16" ht="30.75" thickBot="1">
      <c r="I1771" s="57" t="s">
        <v>100</v>
      </c>
      <c r="J1771" s="58" t="s">
        <v>108</v>
      </c>
      <c r="K1771" s="287" t="s">
        <v>109</v>
      </c>
      <c r="L1771" s="60" t="s">
        <v>110</v>
      </c>
    </row>
    <row r="1772" spans="9:16">
      <c r="I1772" s="71">
        <v>719</v>
      </c>
      <c r="J1772" s="73">
        <f>+P1752+P1754+P1756+P1758+P1760</f>
        <v>750000</v>
      </c>
      <c r="K1772" s="74">
        <f>+L1735</f>
        <v>38020000</v>
      </c>
      <c r="L1772" s="195">
        <f>+J1772+K1772</f>
        <v>38770000</v>
      </c>
    </row>
    <row r="1773" spans="9:16">
      <c r="I1773" s="72">
        <v>721</v>
      </c>
      <c r="J1773" s="80">
        <f>+P1753+P1755+P1757+P1759</f>
        <v>300000</v>
      </c>
      <c r="K1773" s="74">
        <f>+L1736</f>
        <v>85219981</v>
      </c>
      <c r="L1773" s="195">
        <f>+J1773+K1773</f>
        <v>85519981</v>
      </c>
    </row>
    <row r="1774" spans="9:16">
      <c r="I1774" s="72">
        <v>722</v>
      </c>
      <c r="J1774" s="80"/>
      <c r="K1774" s="74">
        <f>+L1737</f>
        <v>42881706</v>
      </c>
      <c r="L1774" s="195">
        <f>+J1774+K1774</f>
        <v>42881706</v>
      </c>
    </row>
    <row r="1775" spans="9:16" ht="15.75">
      <c r="I1775" s="72">
        <v>723</v>
      </c>
      <c r="J1775" s="80"/>
      <c r="K1775" s="74">
        <f>+L1738</f>
        <v>326991242</v>
      </c>
      <c r="L1775" s="195">
        <f>+J1775+K1775</f>
        <v>326991242</v>
      </c>
      <c r="N1775" s="193" t="s">
        <v>289</v>
      </c>
      <c r="O1775" s="175"/>
    </row>
    <row r="1776" spans="9:16" ht="16.5" thickBot="1">
      <c r="I1776" s="164" t="s">
        <v>181</v>
      </c>
      <c r="J1776" s="165"/>
      <c r="K1776" s="74">
        <f>+L1739</f>
        <v>0</v>
      </c>
      <c r="L1776" s="196">
        <f>+J1776+K1776</f>
        <v>0</v>
      </c>
      <c r="N1776" s="52"/>
    </row>
    <row r="1777" spans="9:16" ht="16.5" thickBot="1">
      <c r="I1777" s="169"/>
      <c r="J1777" s="197">
        <f>SUM(J1772:J1776)</f>
        <v>1050000</v>
      </c>
      <c r="K1777" s="197">
        <f>SUM(K1772:K1776)</f>
        <v>493112929</v>
      </c>
      <c r="L1777" s="198">
        <f>SUM(L1772:L1776)</f>
        <v>494162929</v>
      </c>
    </row>
    <row r="1778" spans="9:16" ht="16.5">
      <c r="I1778" s="49" t="s">
        <v>88</v>
      </c>
      <c r="J1778" s="50"/>
    </row>
    <row r="1779" spans="9:16">
      <c r="I1779" s="51" t="s">
        <v>89</v>
      </c>
    </row>
    <row r="1780" spans="9:16">
      <c r="I1780" s="51" t="s">
        <v>90</v>
      </c>
    </row>
    <row r="1781" spans="9:16">
      <c r="I1781" s="51" t="s">
        <v>91</v>
      </c>
    </row>
    <row r="1782" spans="9:16" ht="12" customHeight="1">
      <c r="I1782" s="50"/>
      <c r="J1782" s="50"/>
    </row>
    <row r="1783" spans="9:16" ht="15.75">
      <c r="I1783" s="260" t="s">
        <v>969</v>
      </c>
      <c r="O1783" s="52"/>
    </row>
    <row r="1784" spans="9:16" ht="15.75">
      <c r="I1784" s="53" t="s">
        <v>535</v>
      </c>
      <c r="O1784" s="53"/>
    </row>
    <row r="1785" spans="9:16" ht="16.5">
      <c r="I1785" s="894" t="s">
        <v>979</v>
      </c>
      <c r="J1785" s="894"/>
      <c r="K1785" s="894"/>
      <c r="L1785" s="894"/>
      <c r="M1785" s="894"/>
      <c r="N1785" s="894"/>
      <c r="O1785" s="894"/>
      <c r="P1785" s="894"/>
    </row>
    <row r="1786" spans="9:16" ht="15.75" thickBot="1"/>
    <row r="1787" spans="9:16">
      <c r="I1787" s="895" t="s">
        <v>94</v>
      </c>
      <c r="J1787" s="897" t="s">
        <v>95</v>
      </c>
      <c r="K1787" s="897" t="s">
        <v>96</v>
      </c>
      <c r="L1787" s="897" t="s">
        <v>3</v>
      </c>
      <c r="M1787" s="897" t="s">
        <v>97</v>
      </c>
      <c r="N1787" s="897" t="s">
        <v>98</v>
      </c>
      <c r="O1787" s="897" t="s">
        <v>99</v>
      </c>
      <c r="P1787" s="899"/>
    </row>
    <row r="1788" spans="9:16" ht="15.75" thickBot="1">
      <c r="I1788" s="896"/>
      <c r="J1788" s="898"/>
      <c r="K1788" s="898"/>
      <c r="L1788" s="898"/>
      <c r="M1788" s="898"/>
      <c r="N1788" s="898"/>
      <c r="O1788" s="240" t="s">
        <v>100</v>
      </c>
      <c r="P1788" s="182" t="s">
        <v>101</v>
      </c>
    </row>
    <row r="1789" spans="9:16">
      <c r="I1789" s="881">
        <v>211</v>
      </c>
      <c r="J1789" s="875">
        <v>42521</v>
      </c>
      <c r="K1789" s="910" t="s">
        <v>974</v>
      </c>
      <c r="L1789" s="879" t="s">
        <v>556</v>
      </c>
      <c r="M1789" s="881" t="s">
        <v>145</v>
      </c>
      <c r="N1789" s="883">
        <v>2941578</v>
      </c>
      <c r="O1789" s="55">
        <v>719</v>
      </c>
      <c r="P1789" s="78">
        <v>0</v>
      </c>
    </row>
    <row r="1790" spans="9:16" ht="15.75" thickBot="1">
      <c r="I1790" s="882"/>
      <c r="J1790" s="876"/>
      <c r="K1790" s="911"/>
      <c r="L1790" s="880"/>
      <c r="M1790" s="882"/>
      <c r="N1790" s="884"/>
      <c r="O1790" s="56">
        <v>721</v>
      </c>
      <c r="P1790" s="79">
        <f>+N1789-P1789</f>
        <v>2941578</v>
      </c>
    </row>
    <row r="1791" spans="9:16">
      <c r="I1791" s="881"/>
      <c r="J1791" s="875"/>
      <c r="K1791" s="910"/>
      <c r="L1791" s="879"/>
      <c r="M1791" s="881"/>
      <c r="N1791" s="883"/>
      <c r="O1791" s="55">
        <v>719</v>
      </c>
      <c r="P1791" s="78">
        <v>0</v>
      </c>
    </row>
    <row r="1792" spans="9:16" ht="15.75" thickBot="1">
      <c r="I1792" s="882"/>
      <c r="J1792" s="876"/>
      <c r="K1792" s="911"/>
      <c r="L1792" s="880"/>
      <c r="M1792" s="882"/>
      <c r="N1792" s="884"/>
      <c r="O1792" s="56">
        <v>723</v>
      </c>
      <c r="P1792" s="79">
        <f>+N1791-P1791</f>
        <v>0</v>
      </c>
    </row>
    <row r="1793" spans="9:16">
      <c r="I1793" s="881"/>
      <c r="J1793" s="875"/>
      <c r="K1793" s="877"/>
      <c r="L1793" s="879"/>
      <c r="M1793" s="881"/>
      <c r="N1793" s="883"/>
      <c r="O1793" s="55">
        <v>719</v>
      </c>
      <c r="P1793" s="78"/>
    </row>
    <row r="1794" spans="9:16" ht="15.75" thickBot="1">
      <c r="I1794" s="882"/>
      <c r="J1794" s="876"/>
      <c r="K1794" s="878"/>
      <c r="L1794" s="880"/>
      <c r="M1794" s="882"/>
      <c r="N1794" s="884"/>
      <c r="O1794" s="56">
        <v>721</v>
      </c>
      <c r="P1794" s="79">
        <f>+N1793-P1793</f>
        <v>0</v>
      </c>
    </row>
    <row r="1795" spans="9:16" ht="12.75" customHeight="1">
      <c r="I1795" s="881"/>
      <c r="J1795" s="875"/>
      <c r="K1795" s="877"/>
      <c r="L1795" s="879"/>
      <c r="M1795" s="881"/>
      <c r="N1795" s="883"/>
      <c r="O1795" s="55">
        <v>719</v>
      </c>
      <c r="P1795" s="78"/>
    </row>
    <row r="1796" spans="9:16" ht="15.75" thickBot="1">
      <c r="I1796" s="882"/>
      <c r="J1796" s="876"/>
      <c r="K1796" s="878"/>
      <c r="L1796" s="880"/>
      <c r="M1796" s="882"/>
      <c r="N1796" s="884"/>
      <c r="O1796" s="56">
        <v>721</v>
      </c>
      <c r="P1796" s="79">
        <f>+N1795-P1795</f>
        <v>0</v>
      </c>
    </row>
    <row r="1797" spans="9:16">
      <c r="I1797" s="881"/>
      <c r="J1797" s="875"/>
      <c r="K1797" s="877"/>
      <c r="L1797" s="881"/>
      <c r="M1797" s="881"/>
      <c r="N1797" s="883"/>
      <c r="O1797" s="55">
        <v>719</v>
      </c>
      <c r="P1797" s="78"/>
    </row>
    <row r="1798" spans="9:16" ht="14.25" customHeight="1" thickBot="1">
      <c r="I1798" s="882"/>
      <c r="J1798" s="876"/>
      <c r="K1798" s="878"/>
      <c r="L1798" s="882"/>
      <c r="M1798" s="882"/>
      <c r="N1798" s="884"/>
      <c r="O1798" s="56">
        <v>721</v>
      </c>
      <c r="P1798" s="79">
        <f>+N1797-P1797</f>
        <v>0</v>
      </c>
    </row>
    <row r="1799" spans="9:16" ht="16.5" thickBot="1">
      <c r="I1799" s="901" t="s">
        <v>102</v>
      </c>
      <c r="J1799" s="902"/>
      <c r="K1799" s="902"/>
      <c r="L1799" s="902"/>
      <c r="M1799" s="903"/>
      <c r="N1799" s="81">
        <f>SUM(N1789:N1798)</f>
        <v>2941578</v>
      </c>
    </row>
    <row r="1800" spans="9:16" ht="16.5" thickBot="1">
      <c r="I1800" s="885" t="s">
        <v>103</v>
      </c>
      <c r="J1800" s="886"/>
      <c r="K1800" s="886"/>
      <c r="L1800" s="886"/>
      <c r="M1800" s="887"/>
      <c r="N1800" s="69">
        <f>+N1764</f>
        <v>494232929</v>
      </c>
      <c r="O1800" s="241" t="s">
        <v>561</v>
      </c>
      <c r="P1800" s="242"/>
    </row>
    <row r="1801" spans="9:16" ht="16.5" thickBot="1">
      <c r="I1801" s="888" t="s">
        <v>104</v>
      </c>
      <c r="J1801" s="889"/>
      <c r="K1801" s="889"/>
      <c r="L1801" s="889"/>
      <c r="M1801" s="890"/>
      <c r="N1801" s="183">
        <f>SUM(N1799:N1800)</f>
        <v>497174507</v>
      </c>
    </row>
    <row r="1802" spans="9:16">
      <c r="I1802" s="61"/>
      <c r="J1802" s="61"/>
      <c r="K1802" s="61"/>
      <c r="L1802" s="61"/>
      <c r="M1802" s="61"/>
    </row>
    <row r="1803" spans="9:16">
      <c r="I1803" s="51" t="s">
        <v>975</v>
      </c>
    </row>
    <row r="1804" spans="9:16">
      <c r="N1804" s="139"/>
    </row>
    <row r="1805" spans="9:16">
      <c r="I1805" s="50" t="s">
        <v>105</v>
      </c>
      <c r="L1805" s="146"/>
      <c r="N1805" s="139"/>
    </row>
    <row r="1806" spans="9:16" ht="12" customHeight="1" thickBot="1"/>
    <row r="1807" spans="9:16" ht="15.75" thickBot="1">
      <c r="I1807" s="891" t="s">
        <v>106</v>
      </c>
      <c r="J1807" s="892"/>
      <c r="K1807" s="892"/>
      <c r="L1807" s="893"/>
      <c r="N1807" s="50" t="s">
        <v>288</v>
      </c>
    </row>
    <row r="1808" spans="9:16" ht="30.75" thickBot="1">
      <c r="I1808" s="57" t="s">
        <v>100</v>
      </c>
      <c r="J1808" s="58" t="s">
        <v>108</v>
      </c>
      <c r="K1808" s="287" t="s">
        <v>109</v>
      </c>
      <c r="L1808" s="60" t="s">
        <v>110</v>
      </c>
    </row>
    <row r="1809" spans="9:16">
      <c r="I1809" s="71">
        <v>719</v>
      </c>
      <c r="J1809" s="73">
        <f>+P1789+P1791+P1793+P1795+P1797</f>
        <v>0</v>
      </c>
      <c r="K1809" s="74">
        <f>+L1772</f>
        <v>38770000</v>
      </c>
      <c r="L1809" s="195">
        <f>+J1809+K1809</f>
        <v>38770000</v>
      </c>
    </row>
    <row r="1810" spans="9:16">
      <c r="I1810" s="72">
        <v>721</v>
      </c>
      <c r="J1810" s="80">
        <f>+P1790</f>
        <v>2941578</v>
      </c>
      <c r="K1810" s="74">
        <f>+L1773</f>
        <v>85519981</v>
      </c>
      <c r="L1810" s="195">
        <f>+J1810+K1810</f>
        <v>88461559</v>
      </c>
    </row>
    <row r="1811" spans="9:16">
      <c r="I1811" s="72">
        <v>722</v>
      </c>
      <c r="J1811" s="80"/>
      <c r="K1811" s="74">
        <f>+L1774</f>
        <v>42881706</v>
      </c>
      <c r="L1811" s="195">
        <f>+J1811+K1811</f>
        <v>42881706</v>
      </c>
    </row>
    <row r="1812" spans="9:16" ht="15.75">
      <c r="I1812" s="72">
        <v>723</v>
      </c>
      <c r="J1812" s="80"/>
      <c r="K1812" s="74">
        <f>+L1775</f>
        <v>326991242</v>
      </c>
      <c r="L1812" s="195">
        <f>+J1812+K1812</f>
        <v>326991242</v>
      </c>
      <c r="N1812" s="193" t="s">
        <v>289</v>
      </c>
      <c r="O1812" s="175"/>
    </row>
    <row r="1813" spans="9:16" ht="16.5" thickBot="1">
      <c r="I1813" s="164" t="s">
        <v>181</v>
      </c>
      <c r="J1813" s="165"/>
      <c r="K1813" s="74">
        <f>+L1776</f>
        <v>0</v>
      </c>
      <c r="L1813" s="196">
        <f>+J1813+K1813</f>
        <v>0</v>
      </c>
      <c r="N1813" s="52"/>
    </row>
    <row r="1814" spans="9:16" ht="16.5" thickBot="1">
      <c r="I1814" s="169"/>
      <c r="J1814" s="197">
        <f>SUM(J1809:J1813)</f>
        <v>2941578</v>
      </c>
      <c r="K1814" s="197">
        <f>SUM(K1809:K1813)</f>
        <v>494162929</v>
      </c>
      <c r="L1814" s="198">
        <f>SUM(L1809:L1813)</f>
        <v>497104507</v>
      </c>
    </row>
    <row r="1815" spans="9:16" ht="16.5">
      <c r="I1815" s="49" t="s">
        <v>88</v>
      </c>
      <c r="J1815" s="50"/>
    </row>
    <row r="1816" spans="9:16">
      <c r="I1816" s="51" t="s">
        <v>89</v>
      </c>
    </row>
    <row r="1817" spans="9:16">
      <c r="I1817" s="51" t="s">
        <v>90</v>
      </c>
    </row>
    <row r="1818" spans="9:16">
      <c r="I1818" s="51" t="s">
        <v>91</v>
      </c>
    </row>
    <row r="1819" spans="9:16" ht="12" customHeight="1">
      <c r="I1819" s="50"/>
      <c r="J1819" s="50"/>
    </row>
    <row r="1820" spans="9:16" ht="15.75">
      <c r="I1820" s="260" t="s">
        <v>973</v>
      </c>
      <c r="O1820" s="52"/>
    </row>
    <row r="1821" spans="9:16" ht="15.75">
      <c r="I1821" s="53" t="s">
        <v>535</v>
      </c>
      <c r="O1821" s="53"/>
    </row>
    <row r="1822" spans="9:16" ht="16.5">
      <c r="I1822" s="894" t="s">
        <v>967</v>
      </c>
      <c r="J1822" s="894"/>
      <c r="K1822" s="894"/>
      <c r="L1822" s="894"/>
      <c r="M1822" s="894"/>
      <c r="N1822" s="894"/>
      <c r="O1822" s="894"/>
      <c r="P1822" s="894"/>
    </row>
    <row r="1823" spans="9:16" ht="15.75" thickBot="1"/>
    <row r="1824" spans="9:16">
      <c r="I1824" s="895" t="s">
        <v>968</v>
      </c>
      <c r="J1824" s="897" t="s">
        <v>95</v>
      </c>
      <c r="K1824" s="897" t="s">
        <v>96</v>
      </c>
      <c r="L1824" s="897" t="s">
        <v>3</v>
      </c>
      <c r="M1824" s="897" t="s">
        <v>97</v>
      </c>
      <c r="N1824" s="897" t="s">
        <v>98</v>
      </c>
      <c r="O1824" s="897" t="s">
        <v>99</v>
      </c>
      <c r="P1824" s="899"/>
    </row>
    <row r="1825" spans="9:16" ht="15.75" thickBot="1">
      <c r="I1825" s="896"/>
      <c r="J1825" s="898"/>
      <c r="K1825" s="898"/>
      <c r="L1825" s="898"/>
      <c r="M1825" s="898"/>
      <c r="N1825" s="898"/>
      <c r="O1825" s="240" t="s">
        <v>100</v>
      </c>
      <c r="P1825" s="182" t="s">
        <v>101</v>
      </c>
    </row>
    <row r="1826" spans="9:16">
      <c r="I1826" s="873" t="s">
        <v>545</v>
      </c>
      <c r="J1826" s="875">
        <v>42520</v>
      </c>
      <c r="K1826" s="910" t="s">
        <v>695</v>
      </c>
      <c r="L1826" s="879" t="s">
        <v>556</v>
      </c>
      <c r="M1826" s="881" t="s">
        <v>148</v>
      </c>
      <c r="N1826" s="883">
        <v>-241240</v>
      </c>
      <c r="O1826" s="55">
        <v>719</v>
      </c>
      <c r="P1826" s="78"/>
    </row>
    <row r="1827" spans="9:16" ht="15.75" thickBot="1">
      <c r="I1827" s="874"/>
      <c r="J1827" s="876"/>
      <c r="K1827" s="911"/>
      <c r="L1827" s="880"/>
      <c r="M1827" s="882"/>
      <c r="N1827" s="884"/>
      <c r="O1827" s="56">
        <v>723</v>
      </c>
      <c r="P1827" s="79">
        <f>+N1826-P1826</f>
        <v>-241240</v>
      </c>
    </row>
    <row r="1828" spans="9:16">
      <c r="I1828" s="873" t="s">
        <v>547</v>
      </c>
      <c r="J1828" s="875">
        <v>42520</v>
      </c>
      <c r="K1828" s="910" t="s">
        <v>695</v>
      </c>
      <c r="L1828" s="879" t="s">
        <v>556</v>
      </c>
      <c r="M1828" s="881" t="s">
        <v>115</v>
      </c>
      <c r="N1828" s="883">
        <v>-525000</v>
      </c>
      <c r="O1828" s="55">
        <v>719</v>
      </c>
      <c r="P1828" s="78"/>
    </row>
    <row r="1829" spans="9:16" ht="15.75" thickBot="1">
      <c r="I1829" s="874"/>
      <c r="J1829" s="876"/>
      <c r="K1829" s="911"/>
      <c r="L1829" s="880"/>
      <c r="M1829" s="882"/>
      <c r="N1829" s="884"/>
      <c r="O1829" s="56">
        <v>723</v>
      </c>
      <c r="P1829" s="79">
        <f>+N1828-P1828</f>
        <v>-525000</v>
      </c>
    </row>
    <row r="1830" spans="9:16" ht="12.75" customHeight="1">
      <c r="I1830" s="873"/>
      <c r="J1830" s="875"/>
      <c r="K1830" s="877"/>
      <c r="L1830" s="879"/>
      <c r="M1830" s="881"/>
      <c r="N1830" s="883"/>
      <c r="O1830" s="55">
        <v>719</v>
      </c>
      <c r="P1830" s="78"/>
    </row>
    <row r="1831" spans="9:16" ht="14.25" customHeight="1" thickBot="1">
      <c r="I1831" s="874"/>
      <c r="J1831" s="876"/>
      <c r="K1831" s="878"/>
      <c r="L1831" s="880"/>
      <c r="M1831" s="882"/>
      <c r="N1831" s="884"/>
      <c r="O1831" s="56">
        <v>723</v>
      </c>
      <c r="P1831" s="79">
        <f>+N1830-P1830</f>
        <v>0</v>
      </c>
    </row>
    <row r="1832" spans="9:16">
      <c r="I1832" s="873"/>
      <c r="J1832" s="875"/>
      <c r="K1832" s="877"/>
      <c r="L1832" s="879"/>
      <c r="M1832" s="881"/>
      <c r="N1832" s="883"/>
      <c r="O1832" s="55">
        <v>719</v>
      </c>
      <c r="P1832" s="78"/>
    </row>
    <row r="1833" spans="9:16" ht="15.75" thickBot="1">
      <c r="I1833" s="874"/>
      <c r="J1833" s="876"/>
      <c r="K1833" s="878"/>
      <c r="L1833" s="880"/>
      <c r="M1833" s="882"/>
      <c r="N1833" s="884"/>
      <c r="O1833" s="56">
        <v>723</v>
      </c>
      <c r="P1833" s="79">
        <f>+N1832-P1832</f>
        <v>0</v>
      </c>
    </row>
    <row r="1834" spans="9:16" ht="12.75" customHeight="1">
      <c r="I1834" s="873"/>
      <c r="J1834" s="875"/>
      <c r="K1834" s="877"/>
      <c r="L1834" s="879"/>
      <c r="M1834" s="881"/>
      <c r="N1834" s="883"/>
      <c r="O1834" s="55">
        <v>719</v>
      </c>
      <c r="P1834" s="78"/>
    </row>
    <row r="1835" spans="9:16" ht="15.75" thickBot="1">
      <c r="I1835" s="874"/>
      <c r="J1835" s="876"/>
      <c r="K1835" s="878"/>
      <c r="L1835" s="880"/>
      <c r="M1835" s="882"/>
      <c r="N1835" s="884"/>
      <c r="O1835" s="56">
        <v>723</v>
      </c>
      <c r="P1835" s="79">
        <f>+N1834-P1834</f>
        <v>0</v>
      </c>
    </row>
    <row r="1836" spans="9:16" ht="16.5" thickBot="1">
      <c r="I1836" s="901" t="s">
        <v>102</v>
      </c>
      <c r="J1836" s="902"/>
      <c r="K1836" s="902"/>
      <c r="L1836" s="902"/>
      <c r="M1836" s="903"/>
      <c r="N1836" s="81">
        <f>SUM(N1826:N1835)</f>
        <v>-766240</v>
      </c>
    </row>
    <row r="1837" spans="9:16" ht="16.5" thickBot="1">
      <c r="I1837" s="885" t="s">
        <v>103</v>
      </c>
      <c r="J1837" s="886"/>
      <c r="K1837" s="886"/>
      <c r="L1837" s="886"/>
      <c r="M1837" s="887"/>
      <c r="N1837" s="69">
        <f>+N1801</f>
        <v>497174507</v>
      </c>
      <c r="O1837" s="241" t="s">
        <v>561</v>
      </c>
      <c r="P1837" s="242"/>
    </row>
    <row r="1838" spans="9:16" ht="16.5" thickBot="1">
      <c r="I1838" s="888" t="s">
        <v>104</v>
      </c>
      <c r="J1838" s="889"/>
      <c r="K1838" s="889"/>
      <c r="L1838" s="889"/>
      <c r="M1838" s="890"/>
      <c r="N1838" s="183">
        <f>SUM(N1836:N1837)</f>
        <v>496408267</v>
      </c>
    </row>
    <row r="1839" spans="9:16">
      <c r="I1839" s="61"/>
      <c r="J1839" s="61"/>
      <c r="K1839" s="61"/>
      <c r="L1839" s="61"/>
      <c r="M1839" s="61"/>
    </row>
    <row r="1840" spans="9:16">
      <c r="I1840" s="51" t="s">
        <v>978</v>
      </c>
    </row>
    <row r="1841" spans="9:15" ht="12" customHeight="1">
      <c r="N1841" s="139"/>
    </row>
    <row r="1842" spans="9:15">
      <c r="I1842" s="50" t="s">
        <v>105</v>
      </c>
      <c r="L1842" s="146"/>
      <c r="N1842" s="139"/>
    </row>
    <row r="1843" spans="9:15" ht="12" customHeight="1" thickBot="1"/>
    <row r="1844" spans="9:15" ht="15.75" thickBot="1">
      <c r="I1844" s="891" t="s">
        <v>106</v>
      </c>
      <c r="J1844" s="892"/>
      <c r="K1844" s="892"/>
      <c r="L1844" s="893"/>
      <c r="N1844" s="50" t="s">
        <v>288</v>
      </c>
    </row>
    <row r="1845" spans="9:15" ht="30.75" thickBot="1">
      <c r="I1845" s="57" t="s">
        <v>100</v>
      </c>
      <c r="J1845" s="58" t="s">
        <v>108</v>
      </c>
      <c r="K1845" s="287" t="s">
        <v>109</v>
      </c>
      <c r="L1845" s="60" t="s">
        <v>110</v>
      </c>
    </row>
    <row r="1846" spans="9:15">
      <c r="I1846" s="71">
        <v>719</v>
      </c>
      <c r="J1846" s="73">
        <f>+P1826+P1828+P1830+P1832+P1834</f>
        <v>0</v>
      </c>
      <c r="K1846" s="74">
        <f>+L1809</f>
        <v>38770000</v>
      </c>
      <c r="L1846" s="195">
        <f>+J1846+K1846</f>
        <v>38770000</v>
      </c>
    </row>
    <row r="1847" spans="9:15">
      <c r="I1847" s="72">
        <v>721</v>
      </c>
      <c r="J1847" s="80">
        <v>0</v>
      </c>
      <c r="K1847" s="74">
        <f>+L1810</f>
        <v>88461559</v>
      </c>
      <c r="L1847" s="195">
        <f>+J1847+K1847</f>
        <v>88461559</v>
      </c>
    </row>
    <row r="1848" spans="9:15">
      <c r="I1848" s="72">
        <v>722</v>
      </c>
      <c r="J1848" s="80"/>
      <c r="K1848" s="74">
        <f>+L1811</f>
        <v>42881706</v>
      </c>
      <c r="L1848" s="195">
        <f>+J1848+K1848</f>
        <v>42881706</v>
      </c>
    </row>
    <row r="1849" spans="9:15" ht="15.75">
      <c r="I1849" s="72">
        <v>723</v>
      </c>
      <c r="J1849" s="80">
        <f>+P1835+P1833+P1831+P1829+P1827</f>
        <v>-766240</v>
      </c>
      <c r="K1849" s="74">
        <f>+L1812</f>
        <v>326991242</v>
      </c>
      <c r="L1849" s="195">
        <f>+J1849+K1849</f>
        <v>326225002</v>
      </c>
      <c r="N1849" s="193" t="s">
        <v>289</v>
      </c>
      <c r="O1849" s="175"/>
    </row>
    <row r="1850" spans="9:15" ht="16.5" thickBot="1">
      <c r="I1850" s="164" t="s">
        <v>181</v>
      </c>
      <c r="J1850" s="165"/>
      <c r="K1850" s="74">
        <f>+L1813</f>
        <v>0</v>
      </c>
      <c r="L1850" s="196">
        <f>+J1850+K1850</f>
        <v>0</v>
      </c>
      <c r="N1850" s="52"/>
    </row>
    <row r="1851" spans="9:15" ht="16.5" thickBot="1">
      <c r="I1851" s="169"/>
      <c r="J1851" s="197">
        <f>SUM(J1846:J1850)</f>
        <v>-766240</v>
      </c>
      <c r="K1851" s="197">
        <f>SUM(K1846:K1850)</f>
        <v>497104507</v>
      </c>
      <c r="L1851" s="198">
        <f>SUM(L1846:L1850)</f>
        <v>496338267</v>
      </c>
    </row>
    <row r="1852" spans="9:15" ht="16.5">
      <c r="I1852" s="49" t="s">
        <v>88</v>
      </c>
      <c r="J1852" s="50"/>
    </row>
    <row r="1853" spans="9:15">
      <c r="I1853" s="51" t="s">
        <v>89</v>
      </c>
    </row>
    <row r="1854" spans="9:15">
      <c r="I1854" s="51" t="s">
        <v>90</v>
      </c>
    </row>
    <row r="1855" spans="9:15">
      <c r="I1855" s="51" t="s">
        <v>91</v>
      </c>
    </row>
    <row r="1856" spans="9:15">
      <c r="I1856" s="50"/>
      <c r="J1856" s="50"/>
    </row>
    <row r="1857" spans="9:16" ht="15.75">
      <c r="I1857" s="260" t="s">
        <v>977</v>
      </c>
      <c r="O1857" s="52"/>
    </row>
    <row r="1858" spans="9:16" ht="15.75">
      <c r="I1858" s="53" t="s">
        <v>535</v>
      </c>
      <c r="O1858" s="53"/>
    </row>
    <row r="1859" spans="9:16" ht="16.5">
      <c r="I1859" s="894" t="s">
        <v>967</v>
      </c>
      <c r="J1859" s="894"/>
      <c r="K1859" s="894"/>
      <c r="L1859" s="894"/>
      <c r="M1859" s="894"/>
      <c r="N1859" s="894"/>
      <c r="O1859" s="894"/>
      <c r="P1859" s="894"/>
    </row>
    <row r="1860" spans="9:16" ht="15.75" thickBot="1"/>
    <row r="1861" spans="9:16">
      <c r="I1861" s="895" t="s">
        <v>968</v>
      </c>
      <c r="J1861" s="897" t="s">
        <v>95</v>
      </c>
      <c r="K1861" s="897" t="s">
        <v>96</v>
      </c>
      <c r="L1861" s="897" t="s">
        <v>3</v>
      </c>
      <c r="M1861" s="897" t="s">
        <v>97</v>
      </c>
      <c r="N1861" s="897" t="s">
        <v>98</v>
      </c>
      <c r="O1861" s="897" t="s">
        <v>99</v>
      </c>
      <c r="P1861" s="899"/>
    </row>
    <row r="1862" spans="9:16" ht="15.75" thickBot="1">
      <c r="I1862" s="896"/>
      <c r="J1862" s="898"/>
      <c r="K1862" s="898"/>
      <c r="L1862" s="898"/>
      <c r="M1862" s="898"/>
      <c r="N1862" s="898"/>
      <c r="O1862" s="240" t="s">
        <v>100</v>
      </c>
      <c r="P1862" s="182" t="s">
        <v>101</v>
      </c>
    </row>
    <row r="1863" spans="9:16" ht="13.5" customHeight="1">
      <c r="I1863" s="873" t="s">
        <v>548</v>
      </c>
      <c r="J1863" s="875">
        <v>42520</v>
      </c>
      <c r="K1863" s="877" t="s">
        <v>701</v>
      </c>
      <c r="L1863" s="879" t="s">
        <v>556</v>
      </c>
      <c r="M1863" s="881" t="s">
        <v>148</v>
      </c>
      <c r="N1863" s="883">
        <v>-630000</v>
      </c>
      <c r="O1863" s="55">
        <v>719</v>
      </c>
      <c r="P1863" s="78"/>
    </row>
    <row r="1864" spans="9:16" ht="15.75" customHeight="1" thickBot="1">
      <c r="I1864" s="874"/>
      <c r="J1864" s="876"/>
      <c r="K1864" s="878"/>
      <c r="L1864" s="880"/>
      <c r="M1864" s="882"/>
      <c r="N1864" s="884"/>
      <c r="O1864" s="56">
        <v>723</v>
      </c>
      <c r="P1864" s="79">
        <f>+N1863-P1863</f>
        <v>-630000</v>
      </c>
    </row>
    <row r="1865" spans="9:16" ht="15" customHeight="1">
      <c r="I1865" s="873" t="s">
        <v>549</v>
      </c>
      <c r="J1865" s="875">
        <v>42520</v>
      </c>
      <c r="K1865" s="877" t="s">
        <v>673</v>
      </c>
      <c r="L1865" s="879" t="s">
        <v>556</v>
      </c>
      <c r="M1865" s="881" t="s">
        <v>148</v>
      </c>
      <c r="N1865" s="883">
        <v>-630000</v>
      </c>
      <c r="O1865" s="55">
        <v>719</v>
      </c>
      <c r="P1865" s="78"/>
    </row>
    <row r="1866" spans="9:16" ht="13.5" customHeight="1" thickBot="1">
      <c r="I1866" s="874"/>
      <c r="J1866" s="876"/>
      <c r="K1866" s="878"/>
      <c r="L1866" s="880"/>
      <c r="M1866" s="882"/>
      <c r="N1866" s="884"/>
      <c r="O1866" s="56">
        <v>723</v>
      </c>
      <c r="P1866" s="79">
        <f>+N1865-P1865</f>
        <v>-630000</v>
      </c>
    </row>
    <row r="1867" spans="9:16" ht="15" customHeight="1">
      <c r="I1867" s="873" t="s">
        <v>550</v>
      </c>
      <c r="J1867" s="875">
        <v>42520</v>
      </c>
      <c r="K1867" s="877" t="s">
        <v>729</v>
      </c>
      <c r="L1867" s="879" t="s">
        <v>556</v>
      </c>
      <c r="M1867" s="881" t="s">
        <v>148</v>
      </c>
      <c r="N1867" s="883">
        <v>-945000</v>
      </c>
      <c r="O1867" s="55">
        <v>719</v>
      </c>
      <c r="P1867" s="78"/>
    </row>
    <row r="1868" spans="9:16" ht="15.75" customHeight="1" thickBot="1">
      <c r="I1868" s="874"/>
      <c r="J1868" s="876"/>
      <c r="K1868" s="878"/>
      <c r="L1868" s="880"/>
      <c r="M1868" s="882"/>
      <c r="N1868" s="884"/>
      <c r="O1868" s="56">
        <v>723</v>
      </c>
      <c r="P1868" s="79">
        <f>+N1867-P1867</f>
        <v>-945000</v>
      </c>
    </row>
    <row r="1869" spans="9:16" ht="15" customHeight="1">
      <c r="I1869" s="873" t="s">
        <v>551</v>
      </c>
      <c r="J1869" s="875">
        <v>42520</v>
      </c>
      <c r="K1869" s="877" t="s">
        <v>694</v>
      </c>
      <c r="L1869" s="879" t="s">
        <v>556</v>
      </c>
      <c r="M1869" s="881" t="s">
        <v>148</v>
      </c>
      <c r="N1869" s="883">
        <v>-25611697</v>
      </c>
      <c r="O1869" s="55">
        <v>719</v>
      </c>
      <c r="P1869" s="78"/>
    </row>
    <row r="1870" spans="9:16" ht="15.75" customHeight="1" thickBot="1">
      <c r="I1870" s="874"/>
      <c r="J1870" s="876"/>
      <c r="K1870" s="878"/>
      <c r="L1870" s="880"/>
      <c r="M1870" s="882"/>
      <c r="N1870" s="884"/>
      <c r="O1870" s="56">
        <v>723</v>
      </c>
      <c r="P1870" s="79">
        <f>+N1869-P1869</f>
        <v>-25611697</v>
      </c>
    </row>
    <row r="1871" spans="9:16" ht="12" customHeight="1">
      <c r="I1871" s="873"/>
      <c r="J1871" s="875"/>
      <c r="K1871" s="877"/>
      <c r="L1871" s="879"/>
      <c r="M1871" s="881"/>
      <c r="N1871" s="883"/>
      <c r="O1871" s="55">
        <v>719</v>
      </c>
      <c r="P1871" s="78"/>
    </row>
    <row r="1872" spans="9:16" ht="12" customHeight="1" thickBot="1">
      <c r="I1872" s="874"/>
      <c r="J1872" s="876"/>
      <c r="K1872" s="878"/>
      <c r="L1872" s="880"/>
      <c r="M1872" s="882"/>
      <c r="N1872" s="884"/>
      <c r="O1872" s="56">
        <v>723</v>
      </c>
      <c r="P1872" s="79">
        <f>+N1871-P1871</f>
        <v>0</v>
      </c>
    </row>
    <row r="1873" spans="9:16" ht="16.5" thickBot="1">
      <c r="I1873" s="901" t="s">
        <v>102</v>
      </c>
      <c r="J1873" s="902"/>
      <c r="K1873" s="902"/>
      <c r="L1873" s="902"/>
      <c r="M1873" s="903"/>
      <c r="N1873" s="81">
        <f>SUM(N1863:N1872)</f>
        <v>-27816697</v>
      </c>
    </row>
    <row r="1874" spans="9:16" ht="16.5" thickBot="1">
      <c r="I1874" s="885" t="s">
        <v>103</v>
      </c>
      <c r="J1874" s="886"/>
      <c r="K1874" s="886"/>
      <c r="L1874" s="886"/>
      <c r="M1874" s="887"/>
      <c r="N1874" s="69">
        <f>+N1838</f>
        <v>496408267</v>
      </c>
      <c r="O1874" s="241" t="s">
        <v>561</v>
      </c>
      <c r="P1874" s="242"/>
    </row>
    <row r="1875" spans="9:16" ht="16.5" thickBot="1">
      <c r="I1875" s="888" t="s">
        <v>104</v>
      </c>
      <c r="J1875" s="889"/>
      <c r="K1875" s="889"/>
      <c r="L1875" s="889"/>
      <c r="M1875" s="890"/>
      <c r="N1875" s="183">
        <f>SUM(N1873:N1874)</f>
        <v>468591570</v>
      </c>
    </row>
    <row r="1876" spans="9:16">
      <c r="I1876" s="61"/>
      <c r="J1876" s="61"/>
      <c r="K1876" s="61"/>
      <c r="L1876" s="61"/>
      <c r="M1876" s="61"/>
    </row>
    <row r="1877" spans="9:16">
      <c r="I1877" s="51" t="s">
        <v>989</v>
      </c>
    </row>
    <row r="1878" spans="9:16">
      <c r="N1878" s="139"/>
    </row>
    <row r="1879" spans="9:16">
      <c r="I1879" s="50" t="s">
        <v>105</v>
      </c>
      <c r="L1879" s="146"/>
      <c r="N1879" s="139"/>
    </row>
    <row r="1880" spans="9:16" ht="15.75" thickBot="1"/>
    <row r="1881" spans="9:16" ht="15.75" thickBot="1">
      <c r="I1881" s="891" t="s">
        <v>106</v>
      </c>
      <c r="J1881" s="892"/>
      <c r="K1881" s="892"/>
      <c r="L1881" s="893"/>
      <c r="N1881" s="50" t="s">
        <v>288</v>
      </c>
    </row>
    <row r="1882" spans="9:16" ht="30.75" thickBot="1">
      <c r="I1882" s="57" t="s">
        <v>100</v>
      </c>
      <c r="J1882" s="58" t="s">
        <v>108</v>
      </c>
      <c r="K1882" s="287" t="s">
        <v>109</v>
      </c>
      <c r="L1882" s="60" t="s">
        <v>110</v>
      </c>
    </row>
    <row r="1883" spans="9:16">
      <c r="I1883" s="71">
        <v>719</v>
      </c>
      <c r="J1883" s="73">
        <f>+P1863+P1865+P1869</f>
        <v>0</v>
      </c>
      <c r="K1883" s="74">
        <f>+L1846</f>
        <v>38770000</v>
      </c>
      <c r="L1883" s="195">
        <f>+J1883+K1883</f>
        <v>38770000</v>
      </c>
    </row>
    <row r="1884" spans="9:16">
      <c r="I1884" s="72">
        <v>721</v>
      </c>
      <c r="J1884" s="80">
        <v>0</v>
      </c>
      <c r="K1884" s="74">
        <f>+L1847</f>
        <v>88461559</v>
      </c>
      <c r="L1884" s="195">
        <f>+J1884+K1884</f>
        <v>88461559</v>
      </c>
    </row>
    <row r="1885" spans="9:16">
      <c r="I1885" s="72">
        <v>722</v>
      </c>
      <c r="J1885" s="80"/>
      <c r="K1885" s="74">
        <f>+L1848</f>
        <v>42881706</v>
      </c>
      <c r="L1885" s="195">
        <f>+J1885+K1885</f>
        <v>42881706</v>
      </c>
    </row>
    <row r="1886" spans="9:16" ht="15.75">
      <c r="I1886" s="72">
        <v>723</v>
      </c>
      <c r="J1886" s="80">
        <f>+P1870+P1866+P1864+P1868</f>
        <v>-27816697</v>
      </c>
      <c r="K1886" s="74">
        <f>+L1849</f>
        <v>326225002</v>
      </c>
      <c r="L1886" s="195">
        <f>+J1886+K1886</f>
        <v>298408305</v>
      </c>
      <c r="N1886" s="193" t="s">
        <v>289</v>
      </c>
      <c r="O1886" s="175"/>
    </row>
    <row r="1887" spans="9:16" ht="16.5" thickBot="1">
      <c r="I1887" s="164" t="s">
        <v>181</v>
      </c>
      <c r="J1887" s="165"/>
      <c r="K1887" s="74">
        <f>+L1850</f>
        <v>0</v>
      </c>
      <c r="L1887" s="196">
        <f>+J1887+K1887</f>
        <v>0</v>
      </c>
      <c r="N1887" s="52"/>
    </row>
    <row r="1888" spans="9:16" ht="16.5" thickBot="1">
      <c r="I1888" s="169"/>
      <c r="J1888" s="197">
        <f>SUM(J1883:J1887)</f>
        <v>-27816697</v>
      </c>
      <c r="K1888" s="197">
        <f>SUM(K1883:K1887)</f>
        <v>496338267</v>
      </c>
      <c r="L1888" s="198">
        <f>SUM(L1883:L1887)</f>
        <v>468521570</v>
      </c>
    </row>
    <row r="1889" spans="9:16" ht="16.5">
      <c r="I1889" s="49" t="s">
        <v>88</v>
      </c>
      <c r="J1889" s="50"/>
    </row>
    <row r="1890" spans="9:16">
      <c r="I1890" s="51" t="s">
        <v>89</v>
      </c>
    </row>
    <row r="1891" spans="9:16">
      <c r="I1891" s="51" t="s">
        <v>90</v>
      </c>
    </row>
    <row r="1892" spans="9:16">
      <c r="I1892" s="51" t="s">
        <v>91</v>
      </c>
    </row>
    <row r="1893" spans="9:16">
      <c r="I1893" s="50"/>
      <c r="J1893" s="50"/>
    </row>
    <row r="1894" spans="9:16" ht="15.75">
      <c r="I1894" s="260" t="s">
        <v>980</v>
      </c>
      <c r="O1894" s="52"/>
    </row>
    <row r="1895" spans="9:16" ht="15.75">
      <c r="I1895" s="53" t="s">
        <v>535</v>
      </c>
      <c r="O1895" s="53"/>
    </row>
    <row r="1896" spans="9:16" ht="16.5">
      <c r="I1896" s="894" t="s">
        <v>909</v>
      </c>
      <c r="J1896" s="894"/>
      <c r="K1896" s="894"/>
      <c r="L1896" s="894"/>
      <c r="M1896" s="894"/>
      <c r="N1896" s="894"/>
      <c r="O1896" s="894"/>
      <c r="P1896" s="894"/>
    </row>
    <row r="1897" spans="9:16" ht="15.75" thickBot="1"/>
    <row r="1898" spans="9:16">
      <c r="I1898" s="895" t="s">
        <v>94</v>
      </c>
      <c r="J1898" s="897" t="s">
        <v>95</v>
      </c>
      <c r="K1898" s="897" t="s">
        <v>96</v>
      </c>
      <c r="L1898" s="897" t="s">
        <v>3</v>
      </c>
      <c r="M1898" s="897" t="s">
        <v>97</v>
      </c>
      <c r="N1898" s="897" t="s">
        <v>98</v>
      </c>
      <c r="O1898" s="897" t="s">
        <v>99</v>
      </c>
      <c r="P1898" s="899"/>
    </row>
    <row r="1899" spans="9:16" ht="15.75" thickBot="1">
      <c r="I1899" s="896"/>
      <c r="J1899" s="898"/>
      <c r="K1899" s="898"/>
      <c r="L1899" s="898"/>
      <c r="M1899" s="898"/>
      <c r="N1899" s="898"/>
      <c r="O1899" s="240" t="s">
        <v>100</v>
      </c>
      <c r="P1899" s="182" t="s">
        <v>101</v>
      </c>
    </row>
    <row r="1900" spans="9:16">
      <c r="I1900" s="881">
        <v>212</v>
      </c>
      <c r="J1900" s="875">
        <v>42549</v>
      </c>
      <c r="K1900" s="877" t="s">
        <v>272</v>
      </c>
      <c r="L1900" s="879" t="s">
        <v>983</v>
      </c>
      <c r="M1900" s="881" t="s">
        <v>115</v>
      </c>
      <c r="N1900" s="883">
        <v>140000</v>
      </c>
      <c r="O1900" s="55">
        <v>719</v>
      </c>
      <c r="P1900" s="78">
        <v>140000</v>
      </c>
    </row>
    <row r="1901" spans="9:16" ht="15.75" thickBot="1">
      <c r="I1901" s="882"/>
      <c r="J1901" s="876"/>
      <c r="K1901" s="878"/>
      <c r="L1901" s="880"/>
      <c r="M1901" s="882"/>
      <c r="N1901" s="884"/>
      <c r="O1901" s="56">
        <v>721</v>
      </c>
      <c r="P1901" s="79">
        <f>+N1900-P1900</f>
        <v>0</v>
      </c>
    </row>
    <row r="1902" spans="9:16" ht="15" customHeight="1">
      <c r="I1902" s="881">
        <v>213</v>
      </c>
      <c r="J1902" s="875">
        <v>42549</v>
      </c>
      <c r="K1902" s="877" t="s">
        <v>28</v>
      </c>
      <c r="L1902" s="879" t="s">
        <v>982</v>
      </c>
      <c r="M1902" s="881" t="s">
        <v>115</v>
      </c>
      <c r="N1902" s="883">
        <v>40000</v>
      </c>
      <c r="O1902" s="55">
        <v>719</v>
      </c>
      <c r="P1902" s="78">
        <v>40000</v>
      </c>
    </row>
    <row r="1903" spans="9:16" ht="15.75" customHeight="1" thickBot="1">
      <c r="I1903" s="882"/>
      <c r="J1903" s="876"/>
      <c r="K1903" s="878"/>
      <c r="L1903" s="880"/>
      <c r="M1903" s="882"/>
      <c r="N1903" s="884"/>
      <c r="O1903" s="56">
        <v>721</v>
      </c>
      <c r="P1903" s="79">
        <f>+N1902-P1902</f>
        <v>0</v>
      </c>
    </row>
    <row r="1904" spans="9:16" ht="15" customHeight="1">
      <c r="I1904" s="881">
        <v>214</v>
      </c>
      <c r="J1904" s="875">
        <v>42549</v>
      </c>
      <c r="K1904" s="877" t="s">
        <v>120</v>
      </c>
      <c r="L1904" s="879" t="s">
        <v>984</v>
      </c>
      <c r="M1904" s="881" t="s">
        <v>115</v>
      </c>
      <c r="N1904" s="883">
        <v>30000</v>
      </c>
      <c r="O1904" s="55">
        <v>719</v>
      </c>
      <c r="P1904" s="78">
        <v>30000</v>
      </c>
    </row>
    <row r="1905" spans="9:16" ht="15.75" customHeight="1" thickBot="1">
      <c r="I1905" s="882"/>
      <c r="J1905" s="876"/>
      <c r="K1905" s="878"/>
      <c r="L1905" s="880"/>
      <c r="M1905" s="882"/>
      <c r="N1905" s="884"/>
      <c r="O1905" s="56">
        <v>721</v>
      </c>
      <c r="P1905" s="79">
        <f>+N1904-P1904</f>
        <v>0</v>
      </c>
    </row>
    <row r="1906" spans="9:16" ht="15" customHeight="1">
      <c r="I1906" s="881">
        <v>215</v>
      </c>
      <c r="J1906" s="875">
        <v>42549</v>
      </c>
      <c r="K1906" s="877" t="s">
        <v>272</v>
      </c>
      <c r="L1906" s="879" t="s">
        <v>985</v>
      </c>
      <c r="M1906" s="881" t="s">
        <v>115</v>
      </c>
      <c r="N1906" s="883">
        <v>200000</v>
      </c>
      <c r="O1906" s="55">
        <v>719</v>
      </c>
      <c r="P1906" s="78">
        <v>200000</v>
      </c>
    </row>
    <row r="1907" spans="9:16" ht="15.75" customHeight="1" thickBot="1">
      <c r="I1907" s="882"/>
      <c r="J1907" s="876"/>
      <c r="K1907" s="878"/>
      <c r="L1907" s="880"/>
      <c r="M1907" s="882"/>
      <c r="N1907" s="884"/>
      <c r="O1907" s="56">
        <v>721</v>
      </c>
      <c r="P1907" s="79">
        <f>+N1906-P1906</f>
        <v>0</v>
      </c>
    </row>
    <row r="1908" spans="9:16" ht="15" customHeight="1">
      <c r="I1908" s="881"/>
      <c r="J1908" s="875"/>
      <c r="K1908" s="877"/>
      <c r="L1908" s="881"/>
      <c r="M1908" s="881"/>
      <c r="N1908" s="883"/>
      <c r="O1908" s="55">
        <v>719</v>
      </c>
      <c r="P1908" s="78"/>
    </row>
    <row r="1909" spans="9:16" ht="12" customHeight="1" thickBot="1">
      <c r="I1909" s="882"/>
      <c r="J1909" s="876"/>
      <c r="K1909" s="878"/>
      <c r="L1909" s="882"/>
      <c r="M1909" s="882"/>
      <c r="N1909" s="884"/>
      <c r="O1909" s="56">
        <v>721</v>
      </c>
      <c r="P1909" s="79">
        <f>+N1908-P1908</f>
        <v>0</v>
      </c>
    </row>
    <row r="1910" spans="9:16" ht="16.5" thickBot="1">
      <c r="I1910" s="901" t="s">
        <v>102</v>
      </c>
      <c r="J1910" s="902"/>
      <c r="K1910" s="902"/>
      <c r="L1910" s="902"/>
      <c r="M1910" s="903"/>
      <c r="N1910" s="81">
        <f>SUM(N1900:N1909)</f>
        <v>410000</v>
      </c>
    </row>
    <row r="1911" spans="9:16" ht="16.5" thickBot="1">
      <c r="I1911" s="885" t="s">
        <v>103</v>
      </c>
      <c r="J1911" s="886"/>
      <c r="K1911" s="886"/>
      <c r="L1911" s="886"/>
      <c r="M1911" s="887"/>
      <c r="N1911" s="69">
        <f>+N1875</f>
        <v>468591570</v>
      </c>
      <c r="O1911" s="241" t="s">
        <v>561</v>
      </c>
      <c r="P1911" s="242">
        <f>649+441+67+12</f>
        <v>1169</v>
      </c>
    </row>
    <row r="1912" spans="9:16" ht="16.5" thickBot="1">
      <c r="I1912" s="888" t="s">
        <v>104</v>
      </c>
      <c r="J1912" s="889"/>
      <c r="K1912" s="889"/>
      <c r="L1912" s="889"/>
      <c r="M1912" s="890"/>
      <c r="N1912" s="183">
        <f>SUM(N1910:N1911)</f>
        <v>469001570</v>
      </c>
    </row>
    <row r="1913" spans="9:16">
      <c r="I1913" s="61"/>
      <c r="J1913" s="61"/>
      <c r="K1913" s="61"/>
      <c r="L1913" s="61"/>
      <c r="M1913" s="61"/>
    </row>
    <row r="1914" spans="9:16">
      <c r="I1914" s="51" t="s">
        <v>990</v>
      </c>
    </row>
    <row r="1915" spans="9:16" ht="12" customHeight="1">
      <c r="N1915" s="139"/>
    </row>
    <row r="1916" spans="9:16">
      <c r="I1916" s="50" t="s">
        <v>105</v>
      </c>
      <c r="L1916" s="146"/>
      <c r="N1916" s="139"/>
    </row>
    <row r="1917" spans="9:16" ht="12.75" customHeight="1" thickBot="1"/>
    <row r="1918" spans="9:16" ht="15.75" thickBot="1">
      <c r="I1918" s="891" t="s">
        <v>106</v>
      </c>
      <c r="J1918" s="892"/>
      <c r="K1918" s="892"/>
      <c r="L1918" s="893"/>
      <c r="N1918" s="50" t="s">
        <v>288</v>
      </c>
    </row>
    <row r="1919" spans="9:16" ht="30.75" thickBot="1">
      <c r="I1919" s="57" t="s">
        <v>100</v>
      </c>
      <c r="J1919" s="58" t="s">
        <v>108</v>
      </c>
      <c r="K1919" s="287" t="s">
        <v>109</v>
      </c>
      <c r="L1919" s="60" t="s">
        <v>110</v>
      </c>
    </row>
    <row r="1920" spans="9:16">
      <c r="I1920" s="71">
        <v>719</v>
      </c>
      <c r="J1920" s="73">
        <f>+P1900+P1902+P1904+P1906+P1908</f>
        <v>410000</v>
      </c>
      <c r="K1920" s="74">
        <f>+L1883</f>
        <v>38770000</v>
      </c>
      <c r="L1920" s="195">
        <f>+J1920+K1920</f>
        <v>39180000</v>
      </c>
    </row>
    <row r="1921" spans="9:16">
      <c r="I1921" s="72">
        <v>721</v>
      </c>
      <c r="J1921" s="80">
        <f>+P1901+P1903+P1905+P1907</f>
        <v>0</v>
      </c>
      <c r="K1921" s="74">
        <f>+L1884</f>
        <v>88461559</v>
      </c>
      <c r="L1921" s="195">
        <f>+J1921+K1921</f>
        <v>88461559</v>
      </c>
    </row>
    <row r="1922" spans="9:16">
      <c r="I1922" s="72">
        <v>722</v>
      </c>
      <c r="J1922" s="80"/>
      <c r="K1922" s="74">
        <f>+L1885</f>
        <v>42881706</v>
      </c>
      <c r="L1922" s="195">
        <f>+J1922+K1922</f>
        <v>42881706</v>
      </c>
    </row>
    <row r="1923" spans="9:16" ht="15.75">
      <c r="I1923" s="72">
        <v>723</v>
      </c>
      <c r="J1923" s="80"/>
      <c r="K1923" s="74">
        <f>+L1886</f>
        <v>298408305</v>
      </c>
      <c r="L1923" s="195">
        <f>+J1923+K1923</f>
        <v>298408305</v>
      </c>
      <c r="N1923" s="193" t="s">
        <v>289</v>
      </c>
      <c r="O1923" s="175"/>
    </row>
    <row r="1924" spans="9:16" ht="16.5" thickBot="1">
      <c r="I1924" s="164" t="s">
        <v>181</v>
      </c>
      <c r="J1924" s="165"/>
      <c r="K1924" s="74">
        <f>+L1887</f>
        <v>0</v>
      </c>
      <c r="L1924" s="196">
        <f>+J1924+K1924</f>
        <v>0</v>
      </c>
      <c r="N1924" s="52"/>
    </row>
    <row r="1925" spans="9:16" ht="16.5" thickBot="1">
      <c r="I1925" s="169"/>
      <c r="J1925" s="197">
        <f>SUM(J1920:J1924)</f>
        <v>410000</v>
      </c>
      <c r="K1925" s="197">
        <f>SUM(K1920:K1924)</f>
        <v>468521570</v>
      </c>
      <c r="L1925" s="198">
        <f>SUM(L1920:L1924)</f>
        <v>468931570</v>
      </c>
    </row>
    <row r="1926" spans="9:16" ht="16.5">
      <c r="I1926" s="49" t="s">
        <v>88</v>
      </c>
      <c r="J1926" s="50"/>
    </row>
    <row r="1927" spans="9:16">
      <c r="I1927" s="51" t="s">
        <v>89</v>
      </c>
    </row>
    <row r="1928" spans="9:16">
      <c r="I1928" s="51" t="s">
        <v>90</v>
      </c>
    </row>
    <row r="1929" spans="9:16">
      <c r="I1929" s="51" t="s">
        <v>91</v>
      </c>
    </row>
    <row r="1930" spans="9:16" ht="11.25" customHeight="1">
      <c r="I1930" s="50"/>
      <c r="J1930" s="50"/>
    </row>
    <row r="1931" spans="9:16" ht="15.75">
      <c r="I1931" s="260" t="s">
        <v>981</v>
      </c>
      <c r="O1931" s="52"/>
    </row>
    <row r="1932" spans="9:16" ht="15.75">
      <c r="I1932" s="53" t="s">
        <v>535</v>
      </c>
      <c r="O1932" s="53"/>
    </row>
    <row r="1933" spans="9:16" ht="16.5">
      <c r="I1933" s="894" t="s">
        <v>909</v>
      </c>
      <c r="J1933" s="894"/>
      <c r="K1933" s="894"/>
      <c r="L1933" s="894"/>
      <c r="M1933" s="894"/>
      <c r="N1933" s="894"/>
      <c r="O1933" s="894"/>
      <c r="P1933" s="894"/>
    </row>
    <row r="1934" spans="9:16" ht="15.75" thickBot="1"/>
    <row r="1935" spans="9:16">
      <c r="I1935" s="895" t="s">
        <v>94</v>
      </c>
      <c r="J1935" s="897" t="s">
        <v>95</v>
      </c>
      <c r="K1935" s="897" t="s">
        <v>96</v>
      </c>
      <c r="L1935" s="897" t="s">
        <v>3</v>
      </c>
      <c r="M1935" s="897" t="s">
        <v>97</v>
      </c>
      <c r="N1935" s="897" t="s">
        <v>98</v>
      </c>
      <c r="O1935" s="897" t="s">
        <v>99</v>
      </c>
      <c r="P1935" s="899"/>
    </row>
    <row r="1936" spans="9:16" ht="15.75" thickBot="1">
      <c r="I1936" s="896"/>
      <c r="J1936" s="898"/>
      <c r="K1936" s="898"/>
      <c r="L1936" s="898"/>
      <c r="M1936" s="898"/>
      <c r="N1936" s="898"/>
      <c r="O1936" s="240" t="s">
        <v>100</v>
      </c>
      <c r="P1936" s="182" t="s">
        <v>101</v>
      </c>
    </row>
    <row r="1937" spans="9:16" ht="15" customHeight="1">
      <c r="I1937" s="881">
        <v>216</v>
      </c>
      <c r="J1937" s="875">
        <v>42549</v>
      </c>
      <c r="K1937" s="877" t="s">
        <v>272</v>
      </c>
      <c r="L1937" s="879" t="s">
        <v>986</v>
      </c>
      <c r="M1937" s="881" t="s">
        <v>115</v>
      </c>
      <c r="N1937" s="883">
        <v>60000</v>
      </c>
      <c r="O1937" s="55">
        <v>719</v>
      </c>
      <c r="P1937" s="78">
        <v>60000</v>
      </c>
    </row>
    <row r="1938" spans="9:16" ht="15.75" customHeight="1" thickBot="1">
      <c r="I1938" s="882"/>
      <c r="J1938" s="876"/>
      <c r="K1938" s="878"/>
      <c r="L1938" s="880"/>
      <c r="M1938" s="882"/>
      <c r="N1938" s="884"/>
      <c r="O1938" s="56">
        <v>721</v>
      </c>
      <c r="P1938" s="79">
        <f>+N1937-P1937</f>
        <v>0</v>
      </c>
    </row>
    <row r="1939" spans="9:16" ht="15" customHeight="1">
      <c r="I1939" s="881">
        <v>217</v>
      </c>
      <c r="J1939" s="875">
        <v>42549</v>
      </c>
      <c r="K1939" s="877" t="s">
        <v>28</v>
      </c>
      <c r="L1939" s="879" t="s">
        <v>987</v>
      </c>
      <c r="M1939" s="881" t="s">
        <v>115</v>
      </c>
      <c r="N1939" s="883">
        <v>50000</v>
      </c>
      <c r="O1939" s="55">
        <v>719</v>
      </c>
      <c r="P1939" s="78">
        <v>50000</v>
      </c>
    </row>
    <row r="1940" spans="9:16" ht="15.75" customHeight="1" thickBot="1">
      <c r="I1940" s="882"/>
      <c r="J1940" s="876"/>
      <c r="K1940" s="878"/>
      <c r="L1940" s="880"/>
      <c r="M1940" s="882"/>
      <c r="N1940" s="884"/>
      <c r="O1940" s="56">
        <v>721</v>
      </c>
      <c r="P1940" s="79">
        <f>+N1939-P1939</f>
        <v>0</v>
      </c>
    </row>
    <row r="1941" spans="9:16" ht="15" customHeight="1">
      <c r="I1941" s="881">
        <v>218</v>
      </c>
      <c r="J1941" s="875">
        <v>42549</v>
      </c>
      <c r="K1941" s="877" t="s">
        <v>28</v>
      </c>
      <c r="L1941" s="879" t="s">
        <v>988</v>
      </c>
      <c r="M1941" s="881" t="s">
        <v>115</v>
      </c>
      <c r="N1941" s="883">
        <v>40000</v>
      </c>
      <c r="O1941" s="55">
        <v>719</v>
      </c>
      <c r="P1941" s="78">
        <v>40000</v>
      </c>
    </row>
    <row r="1942" spans="9:16" ht="15.75" customHeight="1" thickBot="1">
      <c r="I1942" s="882"/>
      <c r="J1942" s="876"/>
      <c r="K1942" s="878"/>
      <c r="L1942" s="880"/>
      <c r="M1942" s="882"/>
      <c r="N1942" s="884"/>
      <c r="O1942" s="56">
        <v>721</v>
      </c>
      <c r="P1942" s="79">
        <f>+N1941-P1941</f>
        <v>0</v>
      </c>
    </row>
    <row r="1943" spans="9:16" ht="15" customHeight="1">
      <c r="I1943" s="881"/>
      <c r="J1943" s="875"/>
      <c r="K1943" s="877"/>
      <c r="L1943" s="879"/>
      <c r="M1943" s="881"/>
      <c r="N1943" s="883"/>
      <c r="O1943" s="55">
        <v>719</v>
      </c>
      <c r="P1943" s="78">
        <v>0</v>
      </c>
    </row>
    <row r="1944" spans="9:16" ht="15.75" customHeight="1" thickBot="1">
      <c r="I1944" s="882"/>
      <c r="J1944" s="876"/>
      <c r="K1944" s="878"/>
      <c r="L1944" s="880"/>
      <c r="M1944" s="882"/>
      <c r="N1944" s="884"/>
      <c r="O1944" s="56">
        <v>721</v>
      </c>
      <c r="P1944" s="79">
        <f>+N1943-P1943</f>
        <v>0</v>
      </c>
    </row>
    <row r="1945" spans="9:16">
      <c r="I1945" s="881"/>
      <c r="J1945" s="875"/>
      <c r="K1945" s="877"/>
      <c r="L1945" s="881"/>
      <c r="M1945" s="881"/>
      <c r="N1945" s="883"/>
      <c r="O1945" s="55">
        <v>719</v>
      </c>
      <c r="P1945" s="78"/>
    </row>
    <row r="1946" spans="9:16" ht="15.75" thickBot="1">
      <c r="I1946" s="882"/>
      <c r="J1946" s="876"/>
      <c r="K1946" s="878"/>
      <c r="L1946" s="882"/>
      <c r="M1946" s="882"/>
      <c r="N1946" s="884"/>
      <c r="O1946" s="56">
        <v>721</v>
      </c>
      <c r="P1946" s="79">
        <f>+N1945-P1945</f>
        <v>0</v>
      </c>
    </row>
    <row r="1947" spans="9:16" ht="16.5" thickBot="1">
      <c r="I1947" s="901" t="s">
        <v>102</v>
      </c>
      <c r="J1947" s="902"/>
      <c r="K1947" s="902"/>
      <c r="L1947" s="902"/>
      <c r="M1947" s="903"/>
      <c r="N1947" s="81">
        <f>SUM(N1937:N1946)</f>
        <v>150000</v>
      </c>
    </row>
    <row r="1948" spans="9:16" ht="16.5" thickBot="1">
      <c r="I1948" s="885" t="s">
        <v>103</v>
      </c>
      <c r="J1948" s="886"/>
      <c r="K1948" s="886"/>
      <c r="L1948" s="886"/>
      <c r="M1948" s="887"/>
      <c r="N1948" s="69">
        <f>+N1912</f>
        <v>469001570</v>
      </c>
      <c r="O1948" s="241" t="s">
        <v>561</v>
      </c>
      <c r="P1948" s="242">
        <f>314+120+93</f>
        <v>527</v>
      </c>
    </row>
    <row r="1949" spans="9:16" ht="16.5" thickBot="1">
      <c r="I1949" s="888" t="s">
        <v>104</v>
      </c>
      <c r="J1949" s="889"/>
      <c r="K1949" s="889"/>
      <c r="L1949" s="889"/>
      <c r="M1949" s="890"/>
      <c r="N1949" s="183">
        <f>SUM(N1947:N1948)</f>
        <v>469151570</v>
      </c>
    </row>
    <row r="1950" spans="9:16" ht="14.25" customHeight="1">
      <c r="I1950" s="61"/>
      <c r="J1950" s="61"/>
      <c r="K1950" s="61"/>
      <c r="L1950" s="61"/>
      <c r="M1950" s="61"/>
    </row>
    <row r="1951" spans="9:16">
      <c r="I1951" s="51" t="s">
        <v>991</v>
      </c>
    </row>
    <row r="1952" spans="9:16" ht="11.25" customHeight="1">
      <c r="N1952" s="139"/>
    </row>
    <row r="1953" spans="9:15">
      <c r="I1953" s="50" t="s">
        <v>105</v>
      </c>
      <c r="L1953" s="146"/>
      <c r="N1953" s="139"/>
    </row>
    <row r="1954" spans="9:15" ht="12" customHeight="1" thickBot="1"/>
    <row r="1955" spans="9:15" ht="15.75" thickBot="1">
      <c r="I1955" s="891" t="s">
        <v>106</v>
      </c>
      <c r="J1955" s="892"/>
      <c r="K1955" s="892"/>
      <c r="L1955" s="893"/>
      <c r="N1955" s="50" t="s">
        <v>288</v>
      </c>
    </row>
    <row r="1956" spans="9:15" ht="30.75" thickBot="1">
      <c r="I1956" s="57" t="s">
        <v>100</v>
      </c>
      <c r="J1956" s="58" t="s">
        <v>108</v>
      </c>
      <c r="K1956" s="287" t="s">
        <v>109</v>
      </c>
      <c r="L1956" s="60" t="s">
        <v>110</v>
      </c>
    </row>
    <row r="1957" spans="9:15">
      <c r="I1957" s="71">
        <v>719</v>
      </c>
      <c r="J1957" s="73">
        <f>+P1937+P1939+P1941+P1943+P1945</f>
        <v>150000</v>
      </c>
      <c r="K1957" s="74">
        <f>+L1920</f>
        <v>39180000</v>
      </c>
      <c r="L1957" s="195">
        <f>+J1957+K1957</f>
        <v>39330000</v>
      </c>
    </row>
    <row r="1958" spans="9:15">
      <c r="I1958" s="72">
        <v>721</v>
      </c>
      <c r="J1958" s="80">
        <f>+P1938+P1940+P1942+P1944</f>
        <v>0</v>
      </c>
      <c r="K1958" s="74">
        <f>+L1921</f>
        <v>88461559</v>
      </c>
      <c r="L1958" s="195">
        <f>+J1958+K1958</f>
        <v>88461559</v>
      </c>
    </row>
    <row r="1959" spans="9:15">
      <c r="I1959" s="72">
        <v>722</v>
      </c>
      <c r="J1959" s="80"/>
      <c r="K1959" s="74">
        <f>+L1922</f>
        <v>42881706</v>
      </c>
      <c r="L1959" s="195">
        <f>+J1959+K1959</f>
        <v>42881706</v>
      </c>
    </row>
    <row r="1960" spans="9:15" ht="15.75">
      <c r="I1960" s="72">
        <v>723</v>
      </c>
      <c r="J1960" s="80"/>
      <c r="K1960" s="74">
        <f>+L1923</f>
        <v>298408305</v>
      </c>
      <c r="L1960" s="195">
        <f>+J1960+K1960</f>
        <v>298408305</v>
      </c>
      <c r="N1960" s="193" t="s">
        <v>289</v>
      </c>
      <c r="O1960" s="175"/>
    </row>
    <row r="1961" spans="9:15" ht="16.5" thickBot="1">
      <c r="I1961" s="164" t="s">
        <v>181</v>
      </c>
      <c r="J1961" s="165"/>
      <c r="K1961" s="74">
        <f>+L1924</f>
        <v>0</v>
      </c>
      <c r="L1961" s="196">
        <f>+J1961+K1961</f>
        <v>0</v>
      </c>
      <c r="N1961" s="52"/>
    </row>
    <row r="1962" spans="9:15" ht="16.5" thickBot="1">
      <c r="I1962" s="169"/>
      <c r="J1962" s="197">
        <f>SUM(J1957:J1961)</f>
        <v>150000</v>
      </c>
      <c r="K1962" s="197">
        <f>SUM(K1957:K1961)</f>
        <v>468931570</v>
      </c>
      <c r="L1962" s="198">
        <f>SUM(L1957:L1961)</f>
        <v>469081570</v>
      </c>
    </row>
    <row r="1963" spans="9:15" ht="16.5">
      <c r="I1963" s="49" t="s">
        <v>88</v>
      </c>
      <c r="J1963" s="50"/>
    </row>
    <row r="1964" spans="9:15">
      <c r="I1964" s="51" t="s">
        <v>89</v>
      </c>
    </row>
    <row r="1965" spans="9:15">
      <c r="I1965" s="51" t="s">
        <v>90</v>
      </c>
    </row>
    <row r="1966" spans="9:15">
      <c r="I1966" s="51" t="s">
        <v>91</v>
      </c>
    </row>
    <row r="1967" spans="9:15" ht="11.25" customHeight="1">
      <c r="I1967" s="50"/>
      <c r="J1967" s="50"/>
    </row>
    <row r="1968" spans="9:15" ht="15.75">
      <c r="I1968" s="260" t="s">
        <v>992</v>
      </c>
      <c r="O1968" s="52"/>
    </row>
    <row r="1969" spans="9:16" ht="15.75">
      <c r="I1969" s="53" t="s">
        <v>535</v>
      </c>
      <c r="O1969" s="53"/>
    </row>
    <row r="1970" spans="9:16" ht="16.5">
      <c r="I1970" s="894" t="s">
        <v>909</v>
      </c>
      <c r="J1970" s="894"/>
      <c r="K1970" s="894"/>
      <c r="L1970" s="894"/>
      <c r="M1970" s="894"/>
      <c r="N1970" s="894"/>
      <c r="O1970" s="894"/>
      <c r="P1970" s="894"/>
    </row>
    <row r="1971" spans="9:16" ht="15.75" thickBot="1"/>
    <row r="1972" spans="9:16">
      <c r="I1972" s="895" t="s">
        <v>94</v>
      </c>
      <c r="J1972" s="897" t="s">
        <v>95</v>
      </c>
      <c r="K1972" s="897" t="s">
        <v>96</v>
      </c>
      <c r="L1972" s="897" t="s">
        <v>3</v>
      </c>
      <c r="M1972" s="897" t="s">
        <v>97</v>
      </c>
      <c r="N1972" s="897" t="s">
        <v>98</v>
      </c>
      <c r="O1972" s="897" t="s">
        <v>99</v>
      </c>
      <c r="P1972" s="899"/>
    </row>
    <row r="1973" spans="9:16" ht="15.75" thickBot="1">
      <c r="I1973" s="896"/>
      <c r="J1973" s="898"/>
      <c r="K1973" s="898"/>
      <c r="L1973" s="898"/>
      <c r="M1973" s="898"/>
      <c r="N1973" s="898"/>
      <c r="O1973" s="240" t="s">
        <v>100</v>
      </c>
      <c r="P1973" s="182" t="s">
        <v>101</v>
      </c>
    </row>
    <row r="1974" spans="9:16">
      <c r="I1974" s="881">
        <v>219</v>
      </c>
      <c r="J1974" s="875">
        <v>42549</v>
      </c>
      <c r="K1974" s="877" t="s">
        <v>272</v>
      </c>
      <c r="L1974" s="879" t="s">
        <v>996</v>
      </c>
      <c r="M1974" s="881" t="s">
        <v>115</v>
      </c>
      <c r="N1974" s="883">
        <v>190000</v>
      </c>
      <c r="O1974" s="55">
        <v>719</v>
      </c>
      <c r="P1974" s="78">
        <v>190000</v>
      </c>
    </row>
    <row r="1975" spans="9:16" ht="15.75" thickBot="1">
      <c r="I1975" s="882"/>
      <c r="J1975" s="876"/>
      <c r="K1975" s="878"/>
      <c r="L1975" s="880"/>
      <c r="M1975" s="882"/>
      <c r="N1975" s="884"/>
      <c r="O1975" s="56">
        <v>721</v>
      </c>
      <c r="P1975" s="79">
        <f>+N1974-P1974</f>
        <v>0</v>
      </c>
    </row>
    <row r="1976" spans="9:16">
      <c r="I1976" s="881">
        <v>220</v>
      </c>
      <c r="J1976" s="875">
        <v>42549</v>
      </c>
      <c r="K1976" s="877" t="s">
        <v>28</v>
      </c>
      <c r="L1976" s="879" t="s">
        <v>993</v>
      </c>
      <c r="M1976" s="881" t="s">
        <v>115</v>
      </c>
      <c r="N1976" s="883">
        <v>60000</v>
      </c>
      <c r="O1976" s="55">
        <v>719</v>
      </c>
      <c r="P1976" s="78">
        <v>60000</v>
      </c>
    </row>
    <row r="1977" spans="9:16" ht="15.75" thickBot="1">
      <c r="I1977" s="882"/>
      <c r="J1977" s="876"/>
      <c r="K1977" s="878"/>
      <c r="L1977" s="880"/>
      <c r="M1977" s="882"/>
      <c r="N1977" s="884"/>
      <c r="O1977" s="56">
        <v>721</v>
      </c>
      <c r="P1977" s="79">
        <f>+N1976-P1976</f>
        <v>0</v>
      </c>
    </row>
    <row r="1978" spans="9:16">
      <c r="I1978" s="881">
        <v>221</v>
      </c>
      <c r="J1978" s="875">
        <v>42549</v>
      </c>
      <c r="K1978" s="877" t="s">
        <v>120</v>
      </c>
      <c r="L1978" s="879" t="s">
        <v>994</v>
      </c>
      <c r="M1978" s="881" t="s">
        <v>115</v>
      </c>
      <c r="N1978" s="883">
        <v>50000</v>
      </c>
      <c r="O1978" s="55">
        <v>719</v>
      </c>
      <c r="P1978" s="78">
        <v>50000</v>
      </c>
    </row>
    <row r="1979" spans="9:16" ht="15.75" thickBot="1">
      <c r="I1979" s="882"/>
      <c r="J1979" s="876"/>
      <c r="K1979" s="878"/>
      <c r="L1979" s="880"/>
      <c r="M1979" s="882"/>
      <c r="N1979" s="884"/>
      <c r="O1979" s="56">
        <v>721</v>
      </c>
      <c r="P1979" s="79">
        <f>+N1978-P1978</f>
        <v>0</v>
      </c>
    </row>
    <row r="1980" spans="9:16">
      <c r="I1980" s="881"/>
      <c r="J1980" s="875"/>
      <c r="K1980" s="877"/>
      <c r="L1980" s="879"/>
      <c r="M1980" s="881"/>
      <c r="N1980" s="883"/>
      <c r="O1980" s="55">
        <v>719</v>
      </c>
      <c r="P1980" s="78">
        <v>0</v>
      </c>
    </row>
    <row r="1981" spans="9:16" ht="13.5" customHeight="1" thickBot="1">
      <c r="I1981" s="882"/>
      <c r="J1981" s="876"/>
      <c r="K1981" s="878"/>
      <c r="L1981" s="880"/>
      <c r="M1981" s="882"/>
      <c r="N1981" s="884"/>
      <c r="O1981" s="56">
        <v>721</v>
      </c>
      <c r="P1981" s="79">
        <f>+N1980-P1980</f>
        <v>0</v>
      </c>
    </row>
    <row r="1982" spans="9:16">
      <c r="I1982" s="881"/>
      <c r="J1982" s="875"/>
      <c r="K1982" s="877"/>
      <c r="L1982" s="881"/>
      <c r="M1982" s="881"/>
      <c r="N1982" s="883"/>
      <c r="O1982" s="55">
        <v>719</v>
      </c>
      <c r="P1982" s="78"/>
    </row>
    <row r="1983" spans="9:16" ht="12" customHeight="1" thickBot="1">
      <c r="I1983" s="882"/>
      <c r="J1983" s="876"/>
      <c r="K1983" s="878"/>
      <c r="L1983" s="882"/>
      <c r="M1983" s="882"/>
      <c r="N1983" s="884"/>
      <c r="O1983" s="56">
        <v>721</v>
      </c>
      <c r="P1983" s="79">
        <f>+N1982-P1982</f>
        <v>0</v>
      </c>
    </row>
    <row r="1984" spans="9:16" ht="16.5" thickBot="1">
      <c r="I1984" s="901" t="s">
        <v>102</v>
      </c>
      <c r="J1984" s="902"/>
      <c r="K1984" s="902"/>
      <c r="L1984" s="902"/>
      <c r="M1984" s="903"/>
      <c r="N1984" s="81">
        <f>SUM(N1974:N1983)</f>
        <v>300000</v>
      </c>
    </row>
    <row r="1985" spans="9:16" ht="16.5" thickBot="1">
      <c r="I1985" s="885" t="s">
        <v>103</v>
      </c>
      <c r="J1985" s="886"/>
      <c r="K1985" s="886"/>
      <c r="L1985" s="886"/>
      <c r="M1985" s="887"/>
      <c r="N1985" s="69">
        <f>+N1949</f>
        <v>469151570</v>
      </c>
      <c r="O1985" s="241" t="s">
        <v>561</v>
      </c>
      <c r="P1985" s="242">
        <f>50+174+606</f>
        <v>830</v>
      </c>
    </row>
    <row r="1986" spans="9:16" ht="16.5" thickBot="1">
      <c r="I1986" s="888" t="s">
        <v>104</v>
      </c>
      <c r="J1986" s="889"/>
      <c r="K1986" s="889"/>
      <c r="L1986" s="889"/>
      <c r="M1986" s="890"/>
      <c r="N1986" s="183">
        <f>SUM(N1984:N1985)</f>
        <v>469451570</v>
      </c>
    </row>
    <row r="1987" spans="9:16">
      <c r="I1987" s="61"/>
      <c r="J1987" s="61"/>
      <c r="K1987" s="61"/>
      <c r="L1987" s="61"/>
      <c r="M1987" s="61"/>
    </row>
    <row r="1988" spans="9:16">
      <c r="I1988" s="51" t="s">
        <v>995</v>
      </c>
    </row>
    <row r="1989" spans="9:16">
      <c r="N1989" s="139"/>
    </row>
    <row r="1990" spans="9:16">
      <c r="I1990" s="50" t="s">
        <v>105</v>
      </c>
      <c r="L1990" s="146"/>
      <c r="N1990" s="139"/>
    </row>
    <row r="1991" spans="9:16" ht="12.75" customHeight="1" thickBot="1"/>
    <row r="1992" spans="9:16" ht="15.75" thickBot="1">
      <c r="I1992" s="891" t="s">
        <v>106</v>
      </c>
      <c r="J1992" s="892"/>
      <c r="K1992" s="892"/>
      <c r="L1992" s="893"/>
      <c r="N1992" s="50" t="s">
        <v>288</v>
      </c>
    </row>
    <row r="1993" spans="9:16" ht="30.75" thickBot="1">
      <c r="I1993" s="57" t="s">
        <v>100</v>
      </c>
      <c r="J1993" s="58" t="s">
        <v>108</v>
      </c>
      <c r="K1993" s="287" t="s">
        <v>109</v>
      </c>
      <c r="L1993" s="60" t="s">
        <v>110</v>
      </c>
    </row>
    <row r="1994" spans="9:16">
      <c r="I1994" s="71">
        <v>719</v>
      </c>
      <c r="J1994" s="73">
        <f>+P1974+P1976+P1978+P1980+P1982</f>
        <v>300000</v>
      </c>
      <c r="K1994" s="74">
        <f>+L1957</f>
        <v>39330000</v>
      </c>
      <c r="L1994" s="195">
        <f>+J1994+K1994</f>
        <v>39630000</v>
      </c>
    </row>
    <row r="1995" spans="9:16">
      <c r="I1995" s="72">
        <v>721</v>
      </c>
      <c r="J1995" s="80">
        <f>+P1975+P1977+P1979+P1981</f>
        <v>0</v>
      </c>
      <c r="K1995" s="74">
        <f>+L1958</f>
        <v>88461559</v>
      </c>
      <c r="L1995" s="195">
        <f>+J1995+K1995</f>
        <v>88461559</v>
      </c>
    </row>
    <row r="1996" spans="9:16">
      <c r="I1996" s="72">
        <v>722</v>
      </c>
      <c r="J1996" s="80"/>
      <c r="K1996" s="74">
        <f>+L1959</f>
        <v>42881706</v>
      </c>
      <c r="L1996" s="195">
        <f>+J1996+K1996</f>
        <v>42881706</v>
      </c>
    </row>
    <row r="1997" spans="9:16" ht="15.75">
      <c r="I1997" s="72">
        <v>723</v>
      </c>
      <c r="J1997" s="80"/>
      <c r="K1997" s="74">
        <f>+L1960</f>
        <v>298408305</v>
      </c>
      <c r="L1997" s="195">
        <f>+J1997+K1997</f>
        <v>298408305</v>
      </c>
      <c r="N1997" s="193" t="s">
        <v>289</v>
      </c>
      <c r="O1997" s="175"/>
    </row>
    <row r="1998" spans="9:16" ht="16.5" thickBot="1">
      <c r="I1998" s="164" t="s">
        <v>181</v>
      </c>
      <c r="J1998" s="165"/>
      <c r="K1998" s="74">
        <f>+L1961</f>
        <v>0</v>
      </c>
      <c r="L1998" s="196">
        <f>+J1998+K1998</f>
        <v>0</v>
      </c>
      <c r="N1998" s="52"/>
    </row>
    <row r="1999" spans="9:16" ht="16.5" thickBot="1">
      <c r="I1999" s="169"/>
      <c r="J1999" s="197">
        <f>SUM(J1994:J1998)</f>
        <v>300000</v>
      </c>
      <c r="K1999" s="197">
        <f>SUM(K1994:K1998)</f>
        <v>469081570</v>
      </c>
      <c r="L1999" s="198">
        <f>SUM(L1994:L1998)</f>
        <v>469381570</v>
      </c>
    </row>
    <row r="2000" spans="9:16" ht="16.5">
      <c r="I2000" s="49" t="s">
        <v>88</v>
      </c>
      <c r="J2000" s="50"/>
    </row>
    <row r="2001" spans="9:16">
      <c r="I2001" s="51" t="s">
        <v>89</v>
      </c>
    </row>
    <row r="2002" spans="9:16">
      <c r="I2002" s="51" t="s">
        <v>90</v>
      </c>
    </row>
    <row r="2003" spans="9:16">
      <c r="I2003" s="51" t="s">
        <v>91</v>
      </c>
    </row>
    <row r="2004" spans="9:16" ht="12.75" customHeight="1">
      <c r="I2004" s="50"/>
      <c r="J2004" s="50"/>
    </row>
    <row r="2005" spans="9:16" ht="15.75">
      <c r="I2005" s="260" t="s">
        <v>997</v>
      </c>
      <c r="O2005" s="52"/>
    </row>
    <row r="2006" spans="9:16" ht="15.75">
      <c r="I2006" s="53" t="s">
        <v>535</v>
      </c>
      <c r="O2006" s="53"/>
    </row>
    <row r="2007" spans="9:16" ht="16.5">
      <c r="I2007" s="894" t="s">
        <v>909</v>
      </c>
      <c r="J2007" s="894"/>
      <c r="K2007" s="894"/>
      <c r="L2007" s="894"/>
      <c r="M2007" s="894"/>
      <c r="N2007" s="894"/>
      <c r="O2007" s="894"/>
      <c r="P2007" s="894"/>
    </row>
    <row r="2008" spans="9:16" ht="15.75" thickBot="1"/>
    <row r="2009" spans="9:16">
      <c r="I2009" s="895" t="s">
        <v>94</v>
      </c>
      <c r="J2009" s="897" t="s">
        <v>95</v>
      </c>
      <c r="K2009" s="897" t="s">
        <v>96</v>
      </c>
      <c r="L2009" s="897" t="s">
        <v>3</v>
      </c>
      <c r="M2009" s="897" t="s">
        <v>97</v>
      </c>
      <c r="N2009" s="897" t="s">
        <v>98</v>
      </c>
      <c r="O2009" s="897" t="s">
        <v>99</v>
      </c>
      <c r="P2009" s="899"/>
    </row>
    <row r="2010" spans="9:16" ht="15.75" thickBot="1">
      <c r="I2010" s="896"/>
      <c r="J2010" s="898"/>
      <c r="K2010" s="898"/>
      <c r="L2010" s="898"/>
      <c r="M2010" s="898"/>
      <c r="N2010" s="898"/>
      <c r="O2010" s="240" t="s">
        <v>100</v>
      </c>
      <c r="P2010" s="182" t="s">
        <v>101</v>
      </c>
    </row>
    <row r="2011" spans="9:16">
      <c r="I2011" s="881">
        <v>222</v>
      </c>
      <c r="J2011" s="875">
        <v>42551</v>
      </c>
      <c r="K2011" s="877" t="s">
        <v>40</v>
      </c>
      <c r="L2011" s="879" t="s">
        <v>999</v>
      </c>
      <c r="M2011" s="881" t="s">
        <v>148</v>
      </c>
      <c r="N2011" s="883">
        <v>28000</v>
      </c>
      <c r="O2011" s="55">
        <v>719</v>
      </c>
      <c r="P2011" s="78">
        <v>20000</v>
      </c>
    </row>
    <row r="2012" spans="9:16" ht="15.75" thickBot="1">
      <c r="I2012" s="882"/>
      <c r="J2012" s="876"/>
      <c r="K2012" s="878"/>
      <c r="L2012" s="880"/>
      <c r="M2012" s="882"/>
      <c r="N2012" s="884"/>
      <c r="O2012" s="56">
        <v>721</v>
      </c>
      <c r="P2012" s="79">
        <f>+N2011-P2011</f>
        <v>8000</v>
      </c>
    </row>
    <row r="2013" spans="9:16" ht="15" customHeight="1">
      <c r="I2013" s="881">
        <v>223</v>
      </c>
      <c r="J2013" s="875">
        <v>42551</v>
      </c>
      <c r="K2013" s="877" t="s">
        <v>28</v>
      </c>
      <c r="L2013" s="879" t="s">
        <v>983</v>
      </c>
      <c r="M2013" s="881" t="s">
        <v>148</v>
      </c>
      <c r="N2013" s="883">
        <v>294000</v>
      </c>
      <c r="O2013" s="55">
        <v>719</v>
      </c>
      <c r="P2013" s="78">
        <v>210000</v>
      </c>
    </row>
    <row r="2014" spans="9:16" ht="15.75" customHeight="1" thickBot="1">
      <c r="I2014" s="882"/>
      <c r="J2014" s="876"/>
      <c r="K2014" s="878"/>
      <c r="L2014" s="880"/>
      <c r="M2014" s="882"/>
      <c r="N2014" s="884"/>
      <c r="O2014" s="56">
        <v>721</v>
      </c>
      <c r="P2014" s="79">
        <f>+N2013-P2013</f>
        <v>84000</v>
      </c>
    </row>
    <row r="2015" spans="9:16" ht="15" customHeight="1">
      <c r="I2015" s="881">
        <v>224</v>
      </c>
      <c r="J2015" s="875">
        <v>42551</v>
      </c>
      <c r="K2015" s="877" t="s">
        <v>111</v>
      </c>
      <c r="L2015" s="879" t="s">
        <v>1000</v>
      </c>
      <c r="M2015" s="881" t="s">
        <v>148</v>
      </c>
      <c r="N2015" s="883">
        <v>84000</v>
      </c>
      <c r="O2015" s="55">
        <v>719</v>
      </c>
      <c r="P2015" s="78">
        <v>60000</v>
      </c>
    </row>
    <row r="2016" spans="9:16" ht="15.75" customHeight="1" thickBot="1">
      <c r="I2016" s="882"/>
      <c r="J2016" s="876"/>
      <c r="K2016" s="878"/>
      <c r="L2016" s="880"/>
      <c r="M2016" s="882"/>
      <c r="N2016" s="884"/>
      <c r="O2016" s="56">
        <v>721</v>
      </c>
      <c r="P2016" s="79">
        <f>+N2015-P2015</f>
        <v>24000</v>
      </c>
    </row>
    <row r="2017" spans="9:16" ht="15" customHeight="1">
      <c r="I2017" s="881">
        <v>225</v>
      </c>
      <c r="J2017" s="875">
        <v>42551</v>
      </c>
      <c r="K2017" s="877" t="s">
        <v>272</v>
      </c>
      <c r="L2017" s="879" t="s">
        <v>983</v>
      </c>
      <c r="M2017" s="881" t="s">
        <v>148</v>
      </c>
      <c r="N2017" s="883">
        <v>672000</v>
      </c>
      <c r="O2017" s="55">
        <v>719</v>
      </c>
      <c r="P2017" s="78">
        <v>480000</v>
      </c>
    </row>
    <row r="2018" spans="9:16" ht="15.75" customHeight="1" thickBot="1">
      <c r="I2018" s="882"/>
      <c r="J2018" s="876"/>
      <c r="K2018" s="878"/>
      <c r="L2018" s="880"/>
      <c r="M2018" s="882"/>
      <c r="N2018" s="884"/>
      <c r="O2018" s="56">
        <v>721</v>
      </c>
      <c r="P2018" s="79">
        <f>+N2017-P2017</f>
        <v>192000</v>
      </c>
    </row>
    <row r="2019" spans="9:16" ht="14.25" customHeight="1">
      <c r="I2019" s="881"/>
      <c r="J2019" s="875"/>
      <c r="K2019" s="877"/>
      <c r="L2019" s="881"/>
      <c r="M2019" s="881"/>
      <c r="N2019" s="883"/>
      <c r="O2019" s="55">
        <v>719</v>
      </c>
      <c r="P2019" s="78"/>
    </row>
    <row r="2020" spans="9:16" ht="12.75" customHeight="1" thickBot="1">
      <c r="I2020" s="882"/>
      <c r="J2020" s="876"/>
      <c r="K2020" s="878"/>
      <c r="L2020" s="882"/>
      <c r="M2020" s="882"/>
      <c r="N2020" s="884"/>
      <c r="O2020" s="56">
        <v>721</v>
      </c>
      <c r="P2020" s="79">
        <f>+N2019-P2019</f>
        <v>0</v>
      </c>
    </row>
    <row r="2021" spans="9:16" ht="16.5" thickBot="1">
      <c r="I2021" s="901" t="s">
        <v>102</v>
      </c>
      <c r="J2021" s="902"/>
      <c r="K2021" s="902"/>
      <c r="L2021" s="902"/>
      <c r="M2021" s="903"/>
      <c r="N2021" s="81">
        <f>SUM(N2011:N2020)</f>
        <v>1078000</v>
      </c>
    </row>
    <row r="2022" spans="9:16" ht="16.5" thickBot="1">
      <c r="I2022" s="885" t="s">
        <v>103</v>
      </c>
      <c r="J2022" s="886"/>
      <c r="K2022" s="886"/>
      <c r="L2022" s="886"/>
      <c r="M2022" s="887"/>
      <c r="N2022" s="69">
        <f>+N1986</f>
        <v>469451570</v>
      </c>
      <c r="O2022" s="241" t="s">
        <v>561</v>
      </c>
      <c r="P2022" s="242">
        <f>22+571+21+917</f>
        <v>1531</v>
      </c>
    </row>
    <row r="2023" spans="9:16" ht="16.5" thickBot="1">
      <c r="I2023" s="888" t="s">
        <v>104</v>
      </c>
      <c r="J2023" s="889"/>
      <c r="K2023" s="889"/>
      <c r="L2023" s="889"/>
      <c r="M2023" s="890"/>
      <c r="N2023" s="183">
        <f>SUM(N2021:N2022)</f>
        <v>470529570</v>
      </c>
    </row>
    <row r="2024" spans="9:16">
      <c r="I2024" s="61"/>
      <c r="J2024" s="61"/>
      <c r="K2024" s="61"/>
      <c r="L2024" s="61"/>
      <c r="M2024" s="61"/>
    </row>
    <row r="2025" spans="9:16">
      <c r="I2025" s="51" t="s">
        <v>1006</v>
      </c>
    </row>
    <row r="2026" spans="9:16" ht="12.75" customHeight="1">
      <c r="N2026" s="139"/>
    </row>
    <row r="2027" spans="9:16">
      <c r="I2027" s="50" t="s">
        <v>105</v>
      </c>
      <c r="L2027" s="146"/>
      <c r="N2027" s="139"/>
    </row>
    <row r="2028" spans="9:16" ht="15.75" thickBot="1"/>
    <row r="2029" spans="9:16" ht="15.75" thickBot="1">
      <c r="I2029" s="891" t="s">
        <v>106</v>
      </c>
      <c r="J2029" s="892"/>
      <c r="K2029" s="892"/>
      <c r="L2029" s="893"/>
      <c r="N2029" s="50" t="s">
        <v>288</v>
      </c>
    </row>
    <row r="2030" spans="9:16" ht="30.75" thickBot="1">
      <c r="I2030" s="57" t="s">
        <v>100</v>
      </c>
      <c r="J2030" s="58" t="s">
        <v>108</v>
      </c>
      <c r="K2030" s="287" t="s">
        <v>109</v>
      </c>
      <c r="L2030" s="60" t="s">
        <v>110</v>
      </c>
    </row>
    <row r="2031" spans="9:16">
      <c r="I2031" s="71">
        <v>719</v>
      </c>
      <c r="J2031" s="73">
        <f>+P2011+P2013+P2015+P2017+P2019</f>
        <v>770000</v>
      </c>
      <c r="K2031" s="74">
        <f>+L1994</f>
        <v>39630000</v>
      </c>
      <c r="L2031" s="195">
        <f>+J2031+K2031</f>
        <v>40400000</v>
      </c>
    </row>
    <row r="2032" spans="9:16">
      <c r="I2032" s="72">
        <v>721</v>
      </c>
      <c r="J2032" s="80">
        <f>+P2012+P2014+P2016+P2018</f>
        <v>308000</v>
      </c>
      <c r="K2032" s="74">
        <f>+L1995</f>
        <v>88461559</v>
      </c>
      <c r="L2032" s="195">
        <f>+J2032+K2032</f>
        <v>88769559</v>
      </c>
    </row>
    <row r="2033" spans="9:16">
      <c r="I2033" s="72">
        <v>722</v>
      </c>
      <c r="J2033" s="80"/>
      <c r="K2033" s="74">
        <f>+L1996</f>
        <v>42881706</v>
      </c>
      <c r="L2033" s="195">
        <f>+J2033+K2033</f>
        <v>42881706</v>
      </c>
    </row>
    <row r="2034" spans="9:16" ht="15.75">
      <c r="I2034" s="72">
        <v>723</v>
      </c>
      <c r="J2034" s="80"/>
      <c r="K2034" s="74">
        <f>+L1997</f>
        <v>298408305</v>
      </c>
      <c r="L2034" s="195">
        <f>+J2034+K2034</f>
        <v>298408305</v>
      </c>
      <c r="N2034" s="193" t="s">
        <v>289</v>
      </c>
      <c r="O2034" s="175"/>
    </row>
    <row r="2035" spans="9:16" ht="16.5" thickBot="1">
      <c r="I2035" s="164" t="s">
        <v>181</v>
      </c>
      <c r="J2035" s="165"/>
      <c r="K2035" s="74">
        <f>+L1998</f>
        <v>0</v>
      </c>
      <c r="L2035" s="196">
        <f>+J2035+K2035</f>
        <v>0</v>
      </c>
      <c r="N2035" s="52"/>
    </row>
    <row r="2036" spans="9:16" ht="16.5" thickBot="1">
      <c r="I2036" s="169"/>
      <c r="J2036" s="197">
        <f>SUM(J2031:J2035)</f>
        <v>1078000</v>
      </c>
      <c r="K2036" s="197">
        <f>SUM(K2031:K2035)</f>
        <v>469381570</v>
      </c>
      <c r="L2036" s="198">
        <f>SUM(L2031:L2035)</f>
        <v>470459570</v>
      </c>
    </row>
    <row r="2037" spans="9:16" ht="16.5">
      <c r="I2037" s="49" t="s">
        <v>88</v>
      </c>
      <c r="J2037" s="50"/>
    </row>
    <row r="2038" spans="9:16">
      <c r="I2038" s="51" t="s">
        <v>89</v>
      </c>
    </row>
    <row r="2039" spans="9:16">
      <c r="I2039" s="51" t="s">
        <v>90</v>
      </c>
    </row>
    <row r="2040" spans="9:16">
      <c r="I2040" s="51" t="s">
        <v>91</v>
      </c>
    </row>
    <row r="2041" spans="9:16" ht="12.75" customHeight="1">
      <c r="I2041" s="50"/>
      <c r="J2041" s="50"/>
    </row>
    <row r="2042" spans="9:16" ht="15.75">
      <c r="I2042" s="260" t="s">
        <v>998</v>
      </c>
      <c r="O2042" s="52"/>
    </row>
    <row r="2043" spans="9:16" ht="15.75">
      <c r="I2043" s="53" t="s">
        <v>535</v>
      </c>
      <c r="O2043" s="53"/>
    </row>
    <row r="2044" spans="9:16" ht="16.5">
      <c r="I2044" s="894" t="s">
        <v>909</v>
      </c>
      <c r="J2044" s="894"/>
      <c r="K2044" s="894"/>
      <c r="L2044" s="894"/>
      <c r="M2044" s="894"/>
      <c r="N2044" s="894"/>
      <c r="O2044" s="894"/>
      <c r="P2044" s="894"/>
    </row>
    <row r="2045" spans="9:16" ht="15.75" thickBot="1"/>
    <row r="2046" spans="9:16">
      <c r="I2046" s="895" t="s">
        <v>94</v>
      </c>
      <c r="J2046" s="897" t="s">
        <v>95</v>
      </c>
      <c r="K2046" s="897" t="s">
        <v>96</v>
      </c>
      <c r="L2046" s="897" t="s">
        <v>3</v>
      </c>
      <c r="M2046" s="897" t="s">
        <v>97</v>
      </c>
      <c r="N2046" s="897" t="s">
        <v>98</v>
      </c>
      <c r="O2046" s="897" t="s">
        <v>99</v>
      </c>
      <c r="P2046" s="899"/>
    </row>
    <row r="2047" spans="9:16" ht="15.75" thickBot="1">
      <c r="I2047" s="896"/>
      <c r="J2047" s="898"/>
      <c r="K2047" s="898"/>
      <c r="L2047" s="898"/>
      <c r="M2047" s="898"/>
      <c r="N2047" s="898"/>
      <c r="O2047" s="240" t="s">
        <v>100</v>
      </c>
      <c r="P2047" s="182" t="s">
        <v>101</v>
      </c>
    </row>
    <row r="2048" spans="9:16" ht="15" customHeight="1">
      <c r="I2048" s="881">
        <v>226</v>
      </c>
      <c r="J2048" s="875">
        <v>42551</v>
      </c>
      <c r="K2048" s="877" t="s">
        <v>40</v>
      </c>
      <c r="L2048" s="879" t="s">
        <v>1001</v>
      </c>
      <c r="M2048" s="881" t="s">
        <v>148</v>
      </c>
      <c r="N2048" s="883">
        <v>140000</v>
      </c>
      <c r="O2048" s="55">
        <v>719</v>
      </c>
      <c r="P2048" s="78">
        <v>100000</v>
      </c>
    </row>
    <row r="2049" spans="9:16" ht="15.75" customHeight="1" thickBot="1">
      <c r="I2049" s="882"/>
      <c r="J2049" s="876"/>
      <c r="K2049" s="878"/>
      <c r="L2049" s="880"/>
      <c r="M2049" s="882"/>
      <c r="N2049" s="884"/>
      <c r="O2049" s="56">
        <v>721</v>
      </c>
      <c r="P2049" s="79">
        <f>+N2048-P2048</f>
        <v>40000</v>
      </c>
    </row>
    <row r="2050" spans="9:16" ht="15" customHeight="1">
      <c r="I2050" s="881">
        <v>227</v>
      </c>
      <c r="J2050" s="875">
        <v>42551</v>
      </c>
      <c r="K2050" s="877" t="s">
        <v>28</v>
      </c>
      <c r="L2050" s="879" t="s">
        <v>1002</v>
      </c>
      <c r="M2050" s="881" t="s">
        <v>148</v>
      </c>
      <c r="N2050" s="883">
        <v>966000</v>
      </c>
      <c r="O2050" s="55">
        <v>719</v>
      </c>
      <c r="P2050" s="78">
        <v>690000</v>
      </c>
    </row>
    <row r="2051" spans="9:16" ht="15.75" customHeight="1" thickBot="1">
      <c r="I2051" s="882"/>
      <c r="J2051" s="876"/>
      <c r="K2051" s="878"/>
      <c r="L2051" s="880"/>
      <c r="M2051" s="882"/>
      <c r="N2051" s="884"/>
      <c r="O2051" s="56">
        <v>721</v>
      </c>
      <c r="P2051" s="79">
        <f>+N2050-P2050</f>
        <v>276000</v>
      </c>
    </row>
    <row r="2052" spans="9:16" ht="15" customHeight="1">
      <c r="I2052" s="881">
        <v>228</v>
      </c>
      <c r="J2052" s="875">
        <v>42551</v>
      </c>
      <c r="K2052" s="877" t="s">
        <v>111</v>
      </c>
      <c r="L2052" s="879" t="s">
        <v>1003</v>
      </c>
      <c r="M2052" s="881" t="s">
        <v>148</v>
      </c>
      <c r="N2052" s="883">
        <v>252000</v>
      </c>
      <c r="O2052" s="55">
        <v>719</v>
      </c>
      <c r="P2052" s="78">
        <v>180000</v>
      </c>
    </row>
    <row r="2053" spans="9:16" ht="15.75" customHeight="1" thickBot="1">
      <c r="I2053" s="882"/>
      <c r="J2053" s="876"/>
      <c r="K2053" s="878"/>
      <c r="L2053" s="880"/>
      <c r="M2053" s="882"/>
      <c r="N2053" s="884"/>
      <c r="O2053" s="56">
        <v>721</v>
      </c>
      <c r="P2053" s="79">
        <f>+N2052-P2052</f>
        <v>72000</v>
      </c>
    </row>
    <row r="2054" spans="9:16" ht="15" customHeight="1">
      <c r="I2054" s="881">
        <v>229</v>
      </c>
      <c r="J2054" s="875">
        <v>42551</v>
      </c>
      <c r="K2054" s="877" t="s">
        <v>272</v>
      </c>
      <c r="L2054" s="879" t="s">
        <v>1004</v>
      </c>
      <c r="M2054" s="881" t="s">
        <v>148</v>
      </c>
      <c r="N2054" s="883">
        <v>1946000</v>
      </c>
      <c r="O2054" s="55">
        <v>719</v>
      </c>
      <c r="P2054" s="78">
        <v>1390000</v>
      </c>
    </row>
    <row r="2055" spans="9:16" ht="15.75" customHeight="1" thickBot="1">
      <c r="I2055" s="882"/>
      <c r="J2055" s="876"/>
      <c r="K2055" s="878"/>
      <c r="L2055" s="880"/>
      <c r="M2055" s="882"/>
      <c r="N2055" s="884"/>
      <c r="O2055" s="56">
        <v>721</v>
      </c>
      <c r="P2055" s="79">
        <f>+N2054-P2054</f>
        <v>556000</v>
      </c>
    </row>
    <row r="2056" spans="9:16">
      <c r="I2056" s="881"/>
      <c r="J2056" s="875"/>
      <c r="K2056" s="877"/>
      <c r="L2056" s="881"/>
      <c r="M2056" s="881"/>
      <c r="N2056" s="883"/>
      <c r="O2056" s="55">
        <v>719</v>
      </c>
      <c r="P2056" s="78"/>
    </row>
    <row r="2057" spans="9:16" ht="12" customHeight="1" thickBot="1">
      <c r="I2057" s="882"/>
      <c r="J2057" s="876"/>
      <c r="K2057" s="878"/>
      <c r="L2057" s="882"/>
      <c r="M2057" s="882"/>
      <c r="N2057" s="884"/>
      <c r="O2057" s="56">
        <v>721</v>
      </c>
      <c r="P2057" s="79">
        <f>+N2056-P2056</f>
        <v>0</v>
      </c>
    </row>
    <row r="2058" spans="9:16" ht="16.5" thickBot="1">
      <c r="I2058" s="901" t="s">
        <v>102</v>
      </c>
      <c r="J2058" s="902"/>
      <c r="K2058" s="902"/>
      <c r="L2058" s="902"/>
      <c r="M2058" s="903"/>
      <c r="N2058" s="81">
        <f>SUM(N2048:N2057)</f>
        <v>3304000</v>
      </c>
    </row>
    <row r="2059" spans="9:16" ht="16.5" thickBot="1">
      <c r="I2059" s="885" t="s">
        <v>103</v>
      </c>
      <c r="J2059" s="886"/>
      <c r="K2059" s="886"/>
      <c r="L2059" s="886"/>
      <c r="M2059" s="887"/>
      <c r="N2059" s="69">
        <f>+N2023</f>
        <v>470529570</v>
      </c>
      <c r="O2059" s="241" t="s">
        <v>561</v>
      </c>
      <c r="P2059" s="242">
        <f>89+1849+70+3374</f>
        <v>5382</v>
      </c>
    </row>
    <row r="2060" spans="9:16" ht="16.5" thickBot="1">
      <c r="I2060" s="888" t="s">
        <v>104</v>
      </c>
      <c r="J2060" s="889"/>
      <c r="K2060" s="889"/>
      <c r="L2060" s="889"/>
      <c r="M2060" s="890"/>
      <c r="N2060" s="183">
        <f>SUM(N2058:N2059)</f>
        <v>473833570</v>
      </c>
    </row>
    <row r="2061" spans="9:16">
      <c r="I2061" s="61"/>
      <c r="J2061" s="61"/>
      <c r="K2061" s="61"/>
      <c r="L2061" s="61"/>
      <c r="M2061" s="61"/>
    </row>
    <row r="2062" spans="9:16">
      <c r="I2062" s="51" t="s">
        <v>1005</v>
      </c>
    </row>
    <row r="2063" spans="9:16" ht="12.75" customHeight="1">
      <c r="N2063" s="139"/>
    </row>
    <row r="2064" spans="9:16">
      <c r="I2064" s="50" t="s">
        <v>105</v>
      </c>
      <c r="L2064" s="146"/>
      <c r="N2064" s="139"/>
    </row>
    <row r="2065" spans="9:15" ht="15.75" thickBot="1"/>
    <row r="2066" spans="9:15" ht="15.75" thickBot="1">
      <c r="I2066" s="891" t="s">
        <v>106</v>
      </c>
      <c r="J2066" s="892"/>
      <c r="K2066" s="892"/>
      <c r="L2066" s="893"/>
      <c r="N2066" s="50" t="s">
        <v>288</v>
      </c>
    </row>
    <row r="2067" spans="9:15" ht="30.75" thickBot="1">
      <c r="I2067" s="57" t="s">
        <v>100</v>
      </c>
      <c r="J2067" s="58" t="s">
        <v>108</v>
      </c>
      <c r="K2067" s="287" t="s">
        <v>109</v>
      </c>
      <c r="L2067" s="60" t="s">
        <v>110</v>
      </c>
    </row>
    <row r="2068" spans="9:15">
      <c r="I2068" s="71">
        <v>719</v>
      </c>
      <c r="J2068" s="73">
        <f>+P2048+P2050+P2052+P2054+P2056</f>
        <v>2360000</v>
      </c>
      <c r="K2068" s="74">
        <f>+L2031</f>
        <v>40400000</v>
      </c>
      <c r="L2068" s="195">
        <f>+J2068+K2068</f>
        <v>42760000</v>
      </c>
    </row>
    <row r="2069" spans="9:15">
      <c r="I2069" s="72">
        <v>721</v>
      </c>
      <c r="J2069" s="80">
        <f>+P2049+P2051+P2053+P2055</f>
        <v>944000</v>
      </c>
      <c r="K2069" s="74">
        <f>+L2032</f>
        <v>88769559</v>
      </c>
      <c r="L2069" s="195">
        <f>+J2069+K2069</f>
        <v>89713559</v>
      </c>
    </row>
    <row r="2070" spans="9:15">
      <c r="I2070" s="72">
        <v>722</v>
      </c>
      <c r="J2070" s="80"/>
      <c r="K2070" s="74">
        <f>+L2033</f>
        <v>42881706</v>
      </c>
      <c r="L2070" s="195">
        <f>+J2070+K2070</f>
        <v>42881706</v>
      </c>
    </row>
    <row r="2071" spans="9:15" ht="15.75">
      <c r="I2071" s="72">
        <v>723</v>
      </c>
      <c r="J2071" s="80"/>
      <c r="K2071" s="74">
        <f>+L2034</f>
        <v>298408305</v>
      </c>
      <c r="L2071" s="195">
        <f>+J2071+K2071</f>
        <v>298408305</v>
      </c>
      <c r="N2071" s="193" t="s">
        <v>289</v>
      </c>
      <c r="O2071" s="175"/>
    </row>
    <row r="2072" spans="9:15" ht="16.5" thickBot="1">
      <c r="I2072" s="164" t="s">
        <v>181</v>
      </c>
      <c r="J2072" s="165"/>
      <c r="K2072" s="74">
        <f>+L2035</f>
        <v>0</v>
      </c>
      <c r="L2072" s="196">
        <f>+J2072+K2072</f>
        <v>0</v>
      </c>
      <c r="N2072" s="52"/>
    </row>
    <row r="2073" spans="9:15" ht="16.5" thickBot="1">
      <c r="I2073" s="169"/>
      <c r="J2073" s="197">
        <f>SUM(J2068:J2072)</f>
        <v>3304000</v>
      </c>
      <c r="K2073" s="197">
        <f>SUM(K2068:K2072)</f>
        <v>470459570</v>
      </c>
      <c r="L2073" s="198">
        <f>SUM(L2068:L2072)</f>
        <v>473763570</v>
      </c>
    </row>
    <row r="2074" spans="9:15" ht="16.5">
      <c r="I2074" s="49" t="s">
        <v>88</v>
      </c>
      <c r="J2074" s="50"/>
    </row>
    <row r="2075" spans="9:15">
      <c r="I2075" s="51" t="s">
        <v>89</v>
      </c>
    </row>
    <row r="2076" spans="9:15">
      <c r="I2076" s="51" t="s">
        <v>90</v>
      </c>
    </row>
    <row r="2077" spans="9:15">
      <c r="I2077" s="51" t="s">
        <v>91</v>
      </c>
    </row>
    <row r="2078" spans="9:15" ht="12.75" customHeight="1">
      <c r="I2078" s="50"/>
      <c r="J2078" s="50"/>
    </row>
    <row r="2079" spans="9:15" ht="15.75">
      <c r="I2079" s="260" t="s">
        <v>1007</v>
      </c>
      <c r="O2079" s="52"/>
    </row>
    <row r="2080" spans="9:15" ht="15.75">
      <c r="I2080" s="53" t="s">
        <v>535</v>
      </c>
      <c r="O2080" s="53"/>
    </row>
    <row r="2081" spans="9:16" ht="16.5">
      <c r="I2081" s="894" t="s">
        <v>1011</v>
      </c>
      <c r="J2081" s="894"/>
      <c r="K2081" s="894"/>
      <c r="L2081" s="894"/>
      <c r="M2081" s="894"/>
      <c r="N2081" s="894"/>
      <c r="O2081" s="894"/>
      <c r="P2081" s="894"/>
    </row>
    <row r="2082" spans="9:16" ht="15.75" thickBot="1"/>
    <row r="2083" spans="9:16">
      <c r="I2083" s="895" t="s">
        <v>94</v>
      </c>
      <c r="J2083" s="897" t="s">
        <v>95</v>
      </c>
      <c r="K2083" s="897" t="s">
        <v>96</v>
      </c>
      <c r="L2083" s="897" t="s">
        <v>3</v>
      </c>
      <c r="M2083" s="897" t="s">
        <v>97</v>
      </c>
      <c r="N2083" s="897" t="s">
        <v>98</v>
      </c>
      <c r="O2083" s="897" t="s">
        <v>99</v>
      </c>
      <c r="P2083" s="899"/>
    </row>
    <row r="2084" spans="9:16" ht="15.75" thickBot="1">
      <c r="I2084" s="896"/>
      <c r="J2084" s="898"/>
      <c r="K2084" s="898"/>
      <c r="L2084" s="898"/>
      <c r="M2084" s="898"/>
      <c r="N2084" s="898"/>
      <c r="O2084" s="240" t="s">
        <v>100</v>
      </c>
      <c r="P2084" s="182" t="s">
        <v>101</v>
      </c>
    </row>
    <row r="2085" spans="9:16">
      <c r="I2085" s="881">
        <v>230</v>
      </c>
      <c r="J2085" s="875">
        <v>42551</v>
      </c>
      <c r="K2085" s="877" t="s">
        <v>1008</v>
      </c>
      <c r="L2085" s="879" t="s">
        <v>1010</v>
      </c>
      <c r="M2085" s="881" t="s">
        <v>145</v>
      </c>
      <c r="N2085" s="883">
        <v>100000</v>
      </c>
      <c r="O2085" s="55">
        <v>719</v>
      </c>
      <c r="P2085" s="78">
        <v>0</v>
      </c>
    </row>
    <row r="2086" spans="9:16" ht="15.75" thickBot="1">
      <c r="I2086" s="882"/>
      <c r="J2086" s="876"/>
      <c r="K2086" s="878"/>
      <c r="L2086" s="880"/>
      <c r="M2086" s="882"/>
      <c r="N2086" s="884"/>
      <c r="O2086" s="56">
        <v>721</v>
      </c>
      <c r="P2086" s="79">
        <v>100000</v>
      </c>
    </row>
    <row r="2087" spans="9:16" ht="15" customHeight="1">
      <c r="I2087" s="881">
        <v>231</v>
      </c>
      <c r="J2087" s="875">
        <v>42551</v>
      </c>
      <c r="K2087" s="877" t="s">
        <v>1009</v>
      </c>
      <c r="L2087" s="879" t="s">
        <v>1010</v>
      </c>
      <c r="M2087" s="881" t="s">
        <v>145</v>
      </c>
      <c r="N2087" s="883">
        <v>100000</v>
      </c>
      <c r="O2087" s="55">
        <v>719</v>
      </c>
      <c r="P2087" s="78">
        <v>0</v>
      </c>
    </row>
    <row r="2088" spans="9:16" ht="15.75" customHeight="1" thickBot="1">
      <c r="I2088" s="882"/>
      <c r="J2088" s="876"/>
      <c r="K2088" s="878"/>
      <c r="L2088" s="880"/>
      <c r="M2088" s="882"/>
      <c r="N2088" s="884"/>
      <c r="O2088" s="56">
        <v>721</v>
      </c>
      <c r="P2088" s="79">
        <v>100000</v>
      </c>
    </row>
    <row r="2089" spans="9:16">
      <c r="I2089" s="881"/>
      <c r="J2089" s="875"/>
      <c r="K2089" s="877"/>
      <c r="L2089" s="879"/>
      <c r="M2089" s="881"/>
      <c r="N2089" s="883"/>
      <c r="O2089" s="55">
        <v>719</v>
      </c>
      <c r="P2089" s="78">
        <v>0</v>
      </c>
    </row>
    <row r="2090" spans="9:16" ht="14.25" customHeight="1" thickBot="1">
      <c r="I2090" s="882"/>
      <c r="J2090" s="876"/>
      <c r="K2090" s="878"/>
      <c r="L2090" s="880"/>
      <c r="M2090" s="882"/>
      <c r="N2090" s="884"/>
      <c r="O2090" s="56">
        <v>721</v>
      </c>
      <c r="P2090" s="79">
        <f>+N2089-P2089</f>
        <v>0</v>
      </c>
    </row>
    <row r="2091" spans="9:16" ht="15" customHeight="1">
      <c r="I2091" s="881"/>
      <c r="J2091" s="875"/>
      <c r="K2091" s="877"/>
      <c r="L2091" s="879"/>
      <c r="M2091" s="881"/>
      <c r="N2091" s="883"/>
      <c r="O2091" s="55">
        <v>719</v>
      </c>
      <c r="P2091" s="78">
        <v>0</v>
      </c>
    </row>
    <row r="2092" spans="9:16" ht="15.75" customHeight="1" thickBot="1">
      <c r="I2092" s="882"/>
      <c r="J2092" s="876"/>
      <c r="K2092" s="878"/>
      <c r="L2092" s="880"/>
      <c r="M2092" s="882"/>
      <c r="N2092" s="884"/>
      <c r="O2092" s="56">
        <v>721</v>
      </c>
      <c r="P2092" s="79">
        <f>+N2091-P2091</f>
        <v>0</v>
      </c>
    </row>
    <row r="2093" spans="9:16" ht="10.5" customHeight="1">
      <c r="I2093" s="881"/>
      <c r="J2093" s="875"/>
      <c r="K2093" s="877"/>
      <c r="L2093" s="881"/>
      <c r="M2093" s="881"/>
      <c r="N2093" s="883"/>
      <c r="O2093" s="55">
        <v>719</v>
      </c>
      <c r="P2093" s="78"/>
    </row>
    <row r="2094" spans="9:16" ht="14.25" customHeight="1" thickBot="1">
      <c r="I2094" s="882"/>
      <c r="J2094" s="876"/>
      <c r="K2094" s="878"/>
      <c r="L2094" s="882"/>
      <c r="M2094" s="882"/>
      <c r="N2094" s="884"/>
      <c r="O2094" s="56">
        <v>721</v>
      </c>
      <c r="P2094" s="79">
        <f>+N2093-P2093</f>
        <v>0</v>
      </c>
    </row>
    <row r="2095" spans="9:16" ht="16.5" customHeight="1" thickBot="1">
      <c r="I2095" s="901" t="s">
        <v>102</v>
      </c>
      <c r="J2095" s="902"/>
      <c r="K2095" s="902"/>
      <c r="L2095" s="902"/>
      <c r="M2095" s="903"/>
      <c r="N2095" s="81">
        <f>SUM(N2085:N2094)</f>
        <v>200000</v>
      </c>
    </row>
    <row r="2096" spans="9:16" ht="16.5" customHeight="1" thickBot="1">
      <c r="I2096" s="885" t="s">
        <v>103</v>
      </c>
      <c r="J2096" s="886"/>
      <c r="K2096" s="886"/>
      <c r="L2096" s="886"/>
      <c r="M2096" s="887"/>
      <c r="N2096" s="69">
        <f>+N2060</f>
        <v>473833570</v>
      </c>
      <c r="O2096" s="241" t="s">
        <v>561</v>
      </c>
      <c r="P2096" s="242"/>
    </row>
    <row r="2097" spans="9:15" ht="16.5" customHeight="1" thickBot="1">
      <c r="I2097" s="888" t="s">
        <v>104</v>
      </c>
      <c r="J2097" s="889"/>
      <c r="K2097" s="889"/>
      <c r="L2097" s="889"/>
      <c r="M2097" s="890"/>
      <c r="N2097" s="183">
        <f>SUM(N2095:N2096)</f>
        <v>474033570</v>
      </c>
    </row>
    <row r="2098" spans="9:15" ht="15.75" customHeight="1">
      <c r="I2098" s="61"/>
      <c r="J2098" s="61"/>
      <c r="K2098" s="61"/>
      <c r="L2098" s="61"/>
      <c r="M2098" s="61"/>
    </row>
    <row r="2099" spans="9:15" ht="15" customHeight="1">
      <c r="I2099" s="51" t="s">
        <v>1012</v>
      </c>
    </row>
    <row r="2100" spans="9:15" ht="14.25" customHeight="1">
      <c r="N2100" s="139"/>
    </row>
    <row r="2101" spans="9:15">
      <c r="I2101" s="50" t="s">
        <v>105</v>
      </c>
      <c r="L2101" s="146"/>
      <c r="N2101" s="139"/>
    </row>
    <row r="2102" spans="9:15" ht="14.25" customHeight="1" thickBot="1"/>
    <row r="2103" spans="9:15" ht="15.75" thickBot="1">
      <c r="I2103" s="891" t="s">
        <v>106</v>
      </c>
      <c r="J2103" s="892"/>
      <c r="K2103" s="892"/>
      <c r="L2103" s="893"/>
      <c r="N2103" s="50" t="s">
        <v>288</v>
      </c>
    </row>
    <row r="2104" spans="9:15" ht="30.75" thickBot="1">
      <c r="I2104" s="57" t="s">
        <v>100</v>
      </c>
      <c r="J2104" s="58" t="s">
        <v>108</v>
      </c>
      <c r="K2104" s="287" t="s">
        <v>109</v>
      </c>
      <c r="L2104" s="60" t="s">
        <v>110</v>
      </c>
    </row>
    <row r="2105" spans="9:15">
      <c r="I2105" s="71">
        <v>719</v>
      </c>
      <c r="J2105" s="73">
        <f>+P2085+P2087+P2089+P2091+P2093</f>
        <v>0</v>
      </c>
      <c r="K2105" s="74">
        <f>+L2068</f>
        <v>42760000</v>
      </c>
      <c r="L2105" s="195">
        <f>+J2105+K2105</f>
        <v>42760000</v>
      </c>
    </row>
    <row r="2106" spans="9:15">
      <c r="I2106" s="72">
        <v>721</v>
      </c>
      <c r="J2106" s="80">
        <f>+P2086+P2088+P2090+P2092</f>
        <v>200000</v>
      </c>
      <c r="K2106" s="74">
        <f>+L2069</f>
        <v>89713559</v>
      </c>
      <c r="L2106" s="195">
        <f>+J2106+K2106</f>
        <v>89913559</v>
      </c>
    </row>
    <row r="2107" spans="9:15">
      <c r="I2107" s="72">
        <v>722</v>
      </c>
      <c r="J2107" s="80"/>
      <c r="K2107" s="74">
        <f>+L2070</f>
        <v>42881706</v>
      </c>
      <c r="L2107" s="195">
        <f>+J2107+K2107</f>
        <v>42881706</v>
      </c>
    </row>
    <row r="2108" spans="9:15" ht="15.75">
      <c r="I2108" s="72">
        <v>723</v>
      </c>
      <c r="J2108" s="80"/>
      <c r="K2108" s="74">
        <f>+L2071</f>
        <v>298408305</v>
      </c>
      <c r="L2108" s="195">
        <f>+J2108+K2108</f>
        <v>298408305</v>
      </c>
      <c r="N2108" s="193" t="s">
        <v>289</v>
      </c>
      <c r="O2108" s="175"/>
    </row>
    <row r="2109" spans="9:15" ht="16.5" thickBot="1">
      <c r="I2109" s="164" t="s">
        <v>181</v>
      </c>
      <c r="J2109" s="165"/>
      <c r="K2109" s="74">
        <f>+L2072</f>
        <v>0</v>
      </c>
      <c r="L2109" s="196">
        <f>+J2109+K2109</f>
        <v>0</v>
      </c>
      <c r="N2109" s="52"/>
    </row>
    <row r="2110" spans="9:15" ht="16.5" thickBot="1">
      <c r="I2110" s="169"/>
      <c r="J2110" s="197">
        <f>SUM(J2105:J2109)</f>
        <v>200000</v>
      </c>
      <c r="K2110" s="197">
        <f>SUM(K2105:K2109)</f>
        <v>473763570</v>
      </c>
      <c r="L2110" s="198">
        <f>SUM(L2105:L2109)</f>
        <v>473963570</v>
      </c>
    </row>
    <row r="2111" spans="9:15" ht="16.5">
      <c r="I2111" s="49" t="s">
        <v>88</v>
      </c>
      <c r="J2111" s="50"/>
    </row>
    <row r="2112" spans="9:15">
      <c r="I2112" s="51" t="s">
        <v>89</v>
      </c>
    </row>
    <row r="2113" spans="9:18">
      <c r="I2113" s="51" t="s">
        <v>90</v>
      </c>
    </row>
    <row r="2114" spans="9:18">
      <c r="I2114" s="51" t="s">
        <v>91</v>
      </c>
    </row>
    <row r="2115" spans="9:18">
      <c r="I2115" s="50"/>
      <c r="J2115" s="50"/>
    </row>
    <row r="2116" spans="9:18" ht="15.75">
      <c r="I2116" s="260" t="s">
        <v>1013</v>
      </c>
      <c r="O2116" s="52"/>
    </row>
    <row r="2117" spans="9:18" ht="15.75">
      <c r="I2117" s="53" t="s">
        <v>535</v>
      </c>
      <c r="O2117" s="53"/>
    </row>
    <row r="2118" spans="9:18" ht="16.5">
      <c r="I2118" s="894" t="s">
        <v>1011</v>
      </c>
      <c r="J2118" s="894"/>
      <c r="K2118" s="894"/>
      <c r="L2118" s="894"/>
      <c r="M2118" s="894"/>
      <c r="N2118" s="894"/>
      <c r="O2118" s="894"/>
      <c r="P2118" s="894"/>
    </row>
    <row r="2119" spans="9:18" ht="15.75" thickBot="1"/>
    <row r="2120" spans="9:18">
      <c r="I2120" s="895" t="s">
        <v>94</v>
      </c>
      <c r="J2120" s="897" t="s">
        <v>95</v>
      </c>
      <c r="K2120" s="897" t="s">
        <v>96</v>
      </c>
      <c r="L2120" s="897" t="s">
        <v>3</v>
      </c>
      <c r="M2120" s="897" t="s">
        <v>97</v>
      </c>
      <c r="N2120" s="897" t="s">
        <v>98</v>
      </c>
      <c r="O2120" s="897" t="s">
        <v>99</v>
      </c>
      <c r="P2120" s="899"/>
    </row>
    <row r="2121" spans="9:18" ht="15.75" thickBot="1">
      <c r="I2121" s="896"/>
      <c r="J2121" s="898"/>
      <c r="K2121" s="898"/>
      <c r="L2121" s="898"/>
      <c r="M2121" s="898"/>
      <c r="N2121" s="898"/>
      <c r="O2121" s="240" t="s">
        <v>100</v>
      </c>
      <c r="P2121" s="182" t="s">
        <v>101</v>
      </c>
      <c r="R2121" s="51" t="s">
        <v>631</v>
      </c>
    </row>
    <row r="2122" spans="9:18">
      <c r="I2122" s="881">
        <v>232</v>
      </c>
      <c r="J2122" s="875">
        <v>42556</v>
      </c>
      <c r="K2122" s="877" t="s">
        <v>1014</v>
      </c>
      <c r="L2122" s="879" t="s">
        <v>1010</v>
      </c>
      <c r="M2122" s="881" t="s">
        <v>115</v>
      </c>
      <c r="N2122" s="883">
        <v>50000</v>
      </c>
      <c r="O2122" s="55">
        <v>719</v>
      </c>
      <c r="P2122" s="78">
        <v>50000</v>
      </c>
    </row>
    <row r="2123" spans="9:18" ht="15.75" thickBot="1">
      <c r="I2123" s="882"/>
      <c r="J2123" s="876"/>
      <c r="K2123" s="878"/>
      <c r="L2123" s="880"/>
      <c r="M2123" s="882"/>
      <c r="N2123" s="884"/>
      <c r="O2123" s="56">
        <v>721</v>
      </c>
      <c r="P2123" s="79"/>
    </row>
    <row r="2124" spans="9:18">
      <c r="I2124" s="881">
        <v>233</v>
      </c>
      <c r="J2124" s="875">
        <v>42556</v>
      </c>
      <c r="K2124" s="877" t="s">
        <v>120</v>
      </c>
      <c r="L2124" s="879" t="s">
        <v>1015</v>
      </c>
      <c r="M2124" s="881" t="s">
        <v>115</v>
      </c>
      <c r="N2124" s="883">
        <v>10000</v>
      </c>
      <c r="O2124" s="55">
        <v>719</v>
      </c>
      <c r="P2124" s="78">
        <v>10000</v>
      </c>
    </row>
    <row r="2125" spans="9:18" ht="15.75" thickBot="1">
      <c r="I2125" s="882"/>
      <c r="J2125" s="876"/>
      <c r="K2125" s="878"/>
      <c r="L2125" s="880"/>
      <c r="M2125" s="882"/>
      <c r="N2125" s="884"/>
      <c r="O2125" s="56">
        <v>721</v>
      </c>
      <c r="P2125" s="79"/>
    </row>
    <row r="2126" spans="9:18">
      <c r="I2126" s="881"/>
      <c r="J2126" s="875"/>
      <c r="K2126" s="877"/>
      <c r="L2126" s="879"/>
      <c r="M2126" s="881"/>
      <c r="N2126" s="883"/>
      <c r="O2126" s="55">
        <v>719</v>
      </c>
      <c r="P2126" s="78">
        <v>0</v>
      </c>
    </row>
    <row r="2127" spans="9:18" ht="12.75" customHeight="1" thickBot="1">
      <c r="I2127" s="882"/>
      <c r="J2127" s="876"/>
      <c r="K2127" s="878"/>
      <c r="L2127" s="880"/>
      <c r="M2127" s="882"/>
      <c r="N2127" s="884"/>
      <c r="O2127" s="56">
        <v>721</v>
      </c>
      <c r="P2127" s="79">
        <f>+N2126-P2126</f>
        <v>0</v>
      </c>
    </row>
    <row r="2128" spans="9:18">
      <c r="I2128" s="881"/>
      <c r="J2128" s="875"/>
      <c r="K2128" s="877"/>
      <c r="L2128" s="879"/>
      <c r="M2128" s="881"/>
      <c r="N2128" s="883"/>
      <c r="O2128" s="55">
        <v>719</v>
      </c>
      <c r="P2128" s="78">
        <v>0</v>
      </c>
    </row>
    <row r="2129" spans="9:16" ht="12.75" customHeight="1" thickBot="1">
      <c r="I2129" s="882"/>
      <c r="J2129" s="876"/>
      <c r="K2129" s="878"/>
      <c r="L2129" s="880"/>
      <c r="M2129" s="882"/>
      <c r="N2129" s="884"/>
      <c r="O2129" s="56">
        <v>721</v>
      </c>
      <c r="P2129" s="79">
        <f>+N2128-P2128</f>
        <v>0</v>
      </c>
    </row>
    <row r="2130" spans="9:16">
      <c r="I2130" s="881"/>
      <c r="J2130" s="875"/>
      <c r="K2130" s="877"/>
      <c r="L2130" s="881"/>
      <c r="M2130" s="881"/>
      <c r="N2130" s="883"/>
      <c r="O2130" s="55">
        <v>719</v>
      </c>
      <c r="P2130" s="78"/>
    </row>
    <row r="2131" spans="9:16" ht="12.75" customHeight="1" thickBot="1">
      <c r="I2131" s="882"/>
      <c r="J2131" s="876"/>
      <c r="K2131" s="878"/>
      <c r="L2131" s="882"/>
      <c r="M2131" s="882"/>
      <c r="N2131" s="884"/>
      <c r="O2131" s="56">
        <v>721</v>
      </c>
      <c r="P2131" s="79">
        <f>+N2130-P2130</f>
        <v>0</v>
      </c>
    </row>
    <row r="2132" spans="9:16" ht="16.5" thickBot="1">
      <c r="I2132" s="901" t="s">
        <v>102</v>
      </c>
      <c r="J2132" s="902"/>
      <c r="K2132" s="902"/>
      <c r="L2132" s="902"/>
      <c r="M2132" s="903"/>
      <c r="N2132" s="81">
        <f>SUM(N2122:N2131)</f>
        <v>60000</v>
      </c>
    </row>
    <row r="2133" spans="9:16" ht="16.5" thickBot="1">
      <c r="I2133" s="885" t="s">
        <v>103</v>
      </c>
      <c r="J2133" s="886"/>
      <c r="K2133" s="886"/>
      <c r="L2133" s="886"/>
      <c r="M2133" s="887"/>
      <c r="N2133" s="69">
        <f>+N2097</f>
        <v>474033570</v>
      </c>
      <c r="O2133" s="241" t="s">
        <v>561</v>
      </c>
      <c r="P2133" s="242">
        <v>161</v>
      </c>
    </row>
    <row r="2134" spans="9:16" ht="16.5" thickBot="1">
      <c r="I2134" s="888" t="s">
        <v>104</v>
      </c>
      <c r="J2134" s="889"/>
      <c r="K2134" s="889"/>
      <c r="L2134" s="889"/>
      <c r="M2134" s="890"/>
      <c r="N2134" s="183">
        <f>SUM(N2132:N2133)</f>
        <v>474093570</v>
      </c>
    </row>
    <row r="2135" spans="9:16">
      <c r="I2135" s="61"/>
      <c r="J2135" s="61"/>
      <c r="K2135" s="61"/>
      <c r="L2135" s="61"/>
      <c r="M2135" s="61"/>
    </row>
    <row r="2136" spans="9:16">
      <c r="I2136" s="51" t="s">
        <v>1016</v>
      </c>
    </row>
    <row r="2137" spans="9:16">
      <c r="N2137" s="139"/>
    </row>
    <row r="2138" spans="9:16">
      <c r="I2138" s="50" t="s">
        <v>105</v>
      </c>
      <c r="L2138" s="146"/>
      <c r="N2138" s="139"/>
    </row>
    <row r="2139" spans="9:16" ht="15.75" thickBot="1"/>
    <row r="2140" spans="9:16" ht="15.75" thickBot="1">
      <c r="I2140" s="891" t="s">
        <v>106</v>
      </c>
      <c r="J2140" s="892"/>
      <c r="K2140" s="892"/>
      <c r="L2140" s="893"/>
      <c r="N2140" s="50" t="s">
        <v>288</v>
      </c>
    </row>
    <row r="2141" spans="9:16" ht="30.75" thickBot="1">
      <c r="I2141" s="57" t="s">
        <v>100</v>
      </c>
      <c r="J2141" s="58" t="s">
        <v>108</v>
      </c>
      <c r="K2141" s="287" t="s">
        <v>109</v>
      </c>
      <c r="L2141" s="60" t="s">
        <v>110</v>
      </c>
    </row>
    <row r="2142" spans="9:16">
      <c r="I2142" s="71">
        <v>719</v>
      </c>
      <c r="J2142" s="73">
        <f>+P2122+P2124+P2126+P2128+P2130</f>
        <v>60000</v>
      </c>
      <c r="K2142" s="74">
        <f>+L2105</f>
        <v>42760000</v>
      </c>
      <c r="L2142" s="195">
        <f>+J2142+K2142</f>
        <v>42820000</v>
      </c>
    </row>
    <row r="2143" spans="9:16">
      <c r="I2143" s="72">
        <v>721</v>
      </c>
      <c r="J2143" s="80">
        <f>+P2123+P2125+P2127+P2129</f>
        <v>0</v>
      </c>
      <c r="K2143" s="74">
        <f>+L2106</f>
        <v>89913559</v>
      </c>
      <c r="L2143" s="195">
        <f>+J2143+K2143</f>
        <v>89913559</v>
      </c>
    </row>
    <row r="2144" spans="9:16">
      <c r="I2144" s="72">
        <v>722</v>
      </c>
      <c r="J2144" s="80"/>
      <c r="K2144" s="74">
        <f>+L2107</f>
        <v>42881706</v>
      </c>
      <c r="L2144" s="195">
        <f>+J2144+K2144</f>
        <v>42881706</v>
      </c>
    </row>
    <row r="2145" spans="9:16" ht="15.75">
      <c r="I2145" s="72">
        <v>723</v>
      </c>
      <c r="J2145" s="80"/>
      <c r="K2145" s="74">
        <f>+L2108</f>
        <v>298408305</v>
      </c>
      <c r="L2145" s="195">
        <f>+J2145+K2145</f>
        <v>298408305</v>
      </c>
      <c r="N2145" s="193" t="s">
        <v>289</v>
      </c>
      <c r="O2145" s="175"/>
    </row>
    <row r="2146" spans="9:16" ht="16.5" thickBot="1">
      <c r="I2146" s="164" t="s">
        <v>181</v>
      </c>
      <c r="J2146" s="165"/>
      <c r="K2146" s="74">
        <f>+L2109</f>
        <v>0</v>
      </c>
      <c r="L2146" s="196">
        <f>+J2146+K2146</f>
        <v>0</v>
      </c>
      <c r="N2146" s="52"/>
    </row>
    <row r="2147" spans="9:16" ht="16.5" thickBot="1">
      <c r="I2147" s="169"/>
      <c r="J2147" s="197">
        <f>SUM(J2142:J2146)</f>
        <v>60000</v>
      </c>
      <c r="K2147" s="197">
        <f>SUM(K2142:K2146)</f>
        <v>473963570</v>
      </c>
      <c r="L2147" s="198">
        <f>SUM(L2142:L2146)</f>
        <v>474023570</v>
      </c>
    </row>
    <row r="2148" spans="9:16" ht="16.5">
      <c r="I2148" s="49" t="s">
        <v>88</v>
      </c>
      <c r="J2148" s="50"/>
    </row>
    <row r="2149" spans="9:16">
      <c r="I2149" s="51" t="s">
        <v>89</v>
      </c>
    </row>
    <row r="2150" spans="9:16">
      <c r="I2150" s="51" t="s">
        <v>90</v>
      </c>
    </row>
    <row r="2151" spans="9:16">
      <c r="I2151" s="51" t="s">
        <v>91</v>
      </c>
    </row>
    <row r="2152" spans="9:16" ht="10.5" customHeight="1">
      <c r="I2152" s="50"/>
      <c r="J2152" s="50"/>
    </row>
    <row r="2153" spans="9:16" ht="15.75">
      <c r="I2153" s="260" t="s">
        <v>1017</v>
      </c>
      <c r="O2153" s="52"/>
    </row>
    <row r="2154" spans="9:16" ht="15.75">
      <c r="I2154" s="53" t="s">
        <v>535</v>
      </c>
      <c r="O2154" s="53"/>
    </row>
    <row r="2155" spans="9:16" ht="15.75" customHeight="1">
      <c r="I2155" s="894" t="s">
        <v>909</v>
      </c>
      <c r="J2155" s="894"/>
      <c r="K2155" s="894"/>
      <c r="L2155" s="894"/>
      <c r="M2155" s="894"/>
      <c r="N2155" s="894"/>
      <c r="O2155" s="894"/>
      <c r="P2155" s="894"/>
    </row>
    <row r="2156" spans="9:16" ht="12.75" customHeight="1" thickBot="1"/>
    <row r="2157" spans="9:16">
      <c r="I2157" s="895" t="s">
        <v>94</v>
      </c>
      <c r="J2157" s="897" t="s">
        <v>95</v>
      </c>
      <c r="K2157" s="897" t="s">
        <v>96</v>
      </c>
      <c r="L2157" s="897" t="s">
        <v>3</v>
      </c>
      <c r="M2157" s="897" t="s">
        <v>97</v>
      </c>
      <c r="N2157" s="897" t="s">
        <v>98</v>
      </c>
      <c r="O2157" s="897" t="s">
        <v>99</v>
      </c>
      <c r="P2157" s="899"/>
    </row>
    <row r="2158" spans="9:16" ht="15.75" thickBot="1">
      <c r="I2158" s="896"/>
      <c r="J2158" s="898"/>
      <c r="K2158" s="898"/>
      <c r="L2158" s="898"/>
      <c r="M2158" s="898"/>
      <c r="N2158" s="898"/>
      <c r="O2158" s="240" t="s">
        <v>100</v>
      </c>
      <c r="P2158" s="182" t="s">
        <v>101</v>
      </c>
    </row>
    <row r="2159" spans="9:16">
      <c r="I2159" s="881">
        <v>234</v>
      </c>
      <c r="J2159" s="875">
        <v>42573</v>
      </c>
      <c r="K2159" s="877" t="s">
        <v>1014</v>
      </c>
      <c r="L2159" s="879" t="s">
        <v>1018</v>
      </c>
      <c r="M2159" s="881" t="s">
        <v>115</v>
      </c>
      <c r="N2159" s="883">
        <v>100000</v>
      </c>
      <c r="O2159" s="55">
        <v>719</v>
      </c>
      <c r="P2159" s="78">
        <v>100000</v>
      </c>
    </row>
    <row r="2160" spans="9:16" ht="11.25" customHeight="1" thickBot="1">
      <c r="I2160" s="882"/>
      <c r="J2160" s="876"/>
      <c r="K2160" s="878"/>
      <c r="L2160" s="880"/>
      <c r="M2160" s="882"/>
      <c r="N2160" s="884"/>
      <c r="O2160" s="56">
        <v>721</v>
      </c>
      <c r="P2160" s="79"/>
    </row>
    <row r="2161" spans="9:16" ht="15" customHeight="1">
      <c r="I2161" s="881">
        <v>235</v>
      </c>
      <c r="J2161" s="875">
        <v>42573</v>
      </c>
      <c r="K2161" s="877" t="s">
        <v>28</v>
      </c>
      <c r="L2161" s="879" t="s">
        <v>1019</v>
      </c>
      <c r="M2161" s="881" t="s">
        <v>115</v>
      </c>
      <c r="N2161" s="883">
        <v>10000</v>
      </c>
      <c r="O2161" s="55">
        <v>719</v>
      </c>
      <c r="P2161" s="78">
        <v>10000</v>
      </c>
    </row>
    <row r="2162" spans="9:16" ht="12.75" customHeight="1" thickBot="1">
      <c r="I2162" s="882"/>
      <c r="J2162" s="876"/>
      <c r="K2162" s="878"/>
      <c r="L2162" s="880"/>
      <c r="M2162" s="882"/>
      <c r="N2162" s="884"/>
      <c r="O2162" s="56">
        <v>721</v>
      </c>
      <c r="P2162" s="79"/>
    </row>
    <row r="2163" spans="9:16" ht="15" customHeight="1">
      <c r="I2163" s="881">
        <v>236</v>
      </c>
      <c r="J2163" s="875">
        <v>42573</v>
      </c>
      <c r="K2163" s="877" t="s">
        <v>1014</v>
      </c>
      <c r="L2163" s="879" t="s">
        <v>1020</v>
      </c>
      <c r="M2163" s="881" t="s">
        <v>115</v>
      </c>
      <c r="N2163" s="883">
        <v>140000</v>
      </c>
      <c r="O2163" s="55">
        <v>719</v>
      </c>
      <c r="P2163" s="78">
        <v>140000</v>
      </c>
    </row>
    <row r="2164" spans="9:16" ht="12.75" customHeight="1" thickBot="1">
      <c r="I2164" s="882"/>
      <c r="J2164" s="876"/>
      <c r="K2164" s="878"/>
      <c r="L2164" s="880"/>
      <c r="M2164" s="882"/>
      <c r="N2164" s="884"/>
      <c r="O2164" s="56">
        <v>721</v>
      </c>
      <c r="P2164" s="79">
        <f>+N2163-P2163</f>
        <v>0</v>
      </c>
    </row>
    <row r="2165" spans="9:16">
      <c r="I2165" s="881">
        <v>237</v>
      </c>
      <c r="J2165" s="875">
        <v>42573</v>
      </c>
      <c r="K2165" s="877" t="s">
        <v>28</v>
      </c>
      <c r="L2165" s="879" t="s">
        <v>1022</v>
      </c>
      <c r="M2165" s="881" t="s">
        <v>115</v>
      </c>
      <c r="N2165" s="883">
        <v>60000</v>
      </c>
      <c r="O2165" s="55">
        <v>719</v>
      </c>
      <c r="P2165" s="78">
        <v>60000</v>
      </c>
    </row>
    <row r="2166" spans="9:16" ht="13.5" customHeight="1" thickBot="1">
      <c r="I2166" s="882"/>
      <c r="J2166" s="876"/>
      <c r="K2166" s="878"/>
      <c r="L2166" s="880"/>
      <c r="M2166" s="882"/>
      <c r="N2166" s="884"/>
      <c r="O2166" s="56">
        <v>721</v>
      </c>
      <c r="P2166" s="79">
        <f>+N2165-P2165</f>
        <v>0</v>
      </c>
    </row>
    <row r="2167" spans="9:16" ht="15" customHeight="1">
      <c r="I2167" s="881">
        <v>238</v>
      </c>
      <c r="J2167" s="875">
        <v>42573</v>
      </c>
      <c r="K2167" s="877" t="s">
        <v>28</v>
      </c>
      <c r="L2167" s="879" t="s">
        <v>1021</v>
      </c>
      <c r="M2167" s="881" t="s">
        <v>115</v>
      </c>
      <c r="N2167" s="883">
        <v>40000</v>
      </c>
      <c r="O2167" s="55">
        <v>719</v>
      </c>
      <c r="P2167" s="78">
        <v>40000</v>
      </c>
    </row>
    <row r="2168" spans="9:16" ht="12" customHeight="1" thickBot="1">
      <c r="I2168" s="882"/>
      <c r="J2168" s="876"/>
      <c r="K2168" s="878"/>
      <c r="L2168" s="880"/>
      <c r="M2168" s="882"/>
      <c r="N2168" s="884"/>
      <c r="O2168" s="56">
        <v>721</v>
      </c>
      <c r="P2168" s="79">
        <f>+N2167-P2167</f>
        <v>0</v>
      </c>
    </row>
    <row r="2169" spans="9:16" ht="15" customHeight="1">
      <c r="I2169" s="881">
        <v>239</v>
      </c>
      <c r="J2169" s="875">
        <v>42573</v>
      </c>
      <c r="K2169" s="877" t="s">
        <v>120</v>
      </c>
      <c r="L2169" s="879" t="s">
        <v>1010</v>
      </c>
      <c r="M2169" s="881" t="s">
        <v>115</v>
      </c>
      <c r="N2169" s="883">
        <v>1259900</v>
      </c>
      <c r="O2169" s="55">
        <v>719</v>
      </c>
      <c r="P2169" s="78"/>
    </row>
    <row r="2170" spans="9:16" ht="12.75" customHeight="1" thickBot="1">
      <c r="I2170" s="882"/>
      <c r="J2170" s="876"/>
      <c r="K2170" s="878"/>
      <c r="L2170" s="880"/>
      <c r="M2170" s="882"/>
      <c r="N2170" s="884"/>
      <c r="O2170" s="56">
        <v>723</v>
      </c>
      <c r="P2170" s="79">
        <f>+N2169-P2169</f>
        <v>1259900</v>
      </c>
    </row>
    <row r="2171" spans="9:16" ht="16.5" thickBot="1">
      <c r="I2171" s="901" t="s">
        <v>102</v>
      </c>
      <c r="J2171" s="902"/>
      <c r="K2171" s="902"/>
      <c r="L2171" s="902"/>
      <c r="M2171" s="903"/>
      <c r="N2171" s="81">
        <f>SUM(N2159:N2170)</f>
        <v>1609900</v>
      </c>
    </row>
    <row r="2172" spans="9:16" ht="16.5" thickBot="1">
      <c r="I2172" s="885" t="s">
        <v>103</v>
      </c>
      <c r="J2172" s="886"/>
      <c r="K2172" s="886"/>
      <c r="L2172" s="886"/>
      <c r="M2172" s="887"/>
      <c r="N2172" s="69">
        <f>+N2134</f>
        <v>474093570</v>
      </c>
      <c r="O2172" s="241" t="s">
        <v>561</v>
      </c>
      <c r="P2172" s="242">
        <f>28+324+91+533+198</f>
        <v>1174</v>
      </c>
    </row>
    <row r="2173" spans="9:16" ht="16.5" thickBot="1">
      <c r="I2173" s="888" t="s">
        <v>104</v>
      </c>
      <c r="J2173" s="889"/>
      <c r="K2173" s="889"/>
      <c r="L2173" s="889"/>
      <c r="M2173" s="890"/>
      <c r="N2173" s="183">
        <f>SUM(N2171:N2172)</f>
        <v>475703470</v>
      </c>
    </row>
    <row r="2174" spans="9:16" ht="12.75" customHeight="1">
      <c r="I2174" s="61"/>
      <c r="J2174" s="61"/>
      <c r="K2174" s="61"/>
      <c r="L2174" s="61"/>
      <c r="M2174" s="61"/>
    </row>
    <row r="2175" spans="9:16">
      <c r="I2175" s="51" t="s">
        <v>1023</v>
      </c>
    </row>
    <row r="2176" spans="9:16" ht="12" customHeight="1">
      <c r="N2176" s="139"/>
    </row>
    <row r="2177" spans="9:15">
      <c r="I2177" s="50" t="s">
        <v>105</v>
      </c>
      <c r="L2177" s="146"/>
      <c r="N2177" s="139"/>
    </row>
    <row r="2178" spans="9:15" ht="12.75" customHeight="1" thickBot="1"/>
    <row r="2179" spans="9:15" ht="15.75" thickBot="1">
      <c r="I2179" s="891" t="s">
        <v>106</v>
      </c>
      <c r="J2179" s="892"/>
      <c r="K2179" s="892"/>
      <c r="L2179" s="893"/>
      <c r="N2179" s="50" t="s">
        <v>288</v>
      </c>
    </row>
    <row r="2180" spans="9:15" ht="30.75" thickBot="1">
      <c r="I2180" s="57" t="s">
        <v>100</v>
      </c>
      <c r="J2180" s="58" t="s">
        <v>108</v>
      </c>
      <c r="K2180" s="287" t="s">
        <v>109</v>
      </c>
      <c r="L2180" s="60" t="s">
        <v>110</v>
      </c>
    </row>
    <row r="2181" spans="9:15">
      <c r="I2181" s="71">
        <v>719</v>
      </c>
      <c r="J2181" s="73">
        <f>+P2159+P2161+P2163+P2167+P2169+P2165</f>
        <v>350000</v>
      </c>
      <c r="K2181" s="74">
        <f>+L2142</f>
        <v>42820000</v>
      </c>
      <c r="L2181" s="195">
        <f>+J2181+K2181</f>
        <v>43170000</v>
      </c>
    </row>
    <row r="2182" spans="9:15" ht="13.5" customHeight="1">
      <c r="I2182" s="72">
        <v>721</v>
      </c>
      <c r="J2182" s="80">
        <f>+P2160+P2162+P2164+P2168+P2166</f>
        <v>0</v>
      </c>
      <c r="K2182" s="74">
        <f>+L2143</f>
        <v>89913559</v>
      </c>
      <c r="L2182" s="195">
        <f>+J2182+K2182</f>
        <v>89913559</v>
      </c>
    </row>
    <row r="2183" spans="9:15">
      <c r="I2183" s="72">
        <v>722</v>
      </c>
      <c r="J2183" s="80"/>
      <c r="K2183" s="74">
        <f>+L2144</f>
        <v>42881706</v>
      </c>
      <c r="L2183" s="195">
        <f>+J2183+K2183</f>
        <v>42881706</v>
      </c>
    </row>
    <row r="2184" spans="9:15" ht="15" customHeight="1">
      <c r="I2184" s="72">
        <v>723</v>
      </c>
      <c r="J2184" s="80">
        <f>+P2170</f>
        <v>1259900</v>
      </c>
      <c r="K2184" s="74">
        <f>+L2145</f>
        <v>298408305</v>
      </c>
      <c r="L2184" s="195">
        <f>+J2184+K2184</f>
        <v>299668205</v>
      </c>
      <c r="N2184" s="193" t="s">
        <v>289</v>
      </c>
      <c r="O2184" s="175"/>
    </row>
    <row r="2185" spans="9:15" ht="13.5" customHeight="1" thickBot="1">
      <c r="I2185" s="164" t="s">
        <v>181</v>
      </c>
      <c r="J2185" s="165"/>
      <c r="K2185" s="74">
        <f>+L2146</f>
        <v>0</v>
      </c>
      <c r="L2185" s="196">
        <f>+J2185+K2185</f>
        <v>0</v>
      </c>
      <c r="N2185" s="52"/>
    </row>
    <row r="2186" spans="9:15" ht="16.5" thickBot="1">
      <c r="I2186" s="169"/>
      <c r="J2186" s="197">
        <f>SUM(J2181:J2185)</f>
        <v>1609900</v>
      </c>
      <c r="K2186" s="197">
        <f>SUM(K2181:K2185)</f>
        <v>474023570</v>
      </c>
      <c r="L2186" s="198">
        <f>SUM(L2181:L2185)</f>
        <v>475633470</v>
      </c>
    </row>
    <row r="2187" spans="9:15" ht="16.5">
      <c r="I2187" s="49" t="s">
        <v>88</v>
      </c>
      <c r="J2187" s="50"/>
    </row>
    <row r="2188" spans="9:15">
      <c r="I2188" s="51" t="s">
        <v>89</v>
      </c>
    </row>
    <row r="2189" spans="9:15">
      <c r="I2189" s="51" t="s">
        <v>90</v>
      </c>
    </row>
    <row r="2190" spans="9:15">
      <c r="I2190" s="51" t="s">
        <v>91</v>
      </c>
    </row>
    <row r="2191" spans="9:15" ht="10.5" customHeight="1">
      <c r="I2191" s="50"/>
      <c r="J2191" s="50"/>
    </row>
    <row r="2192" spans="9:15" ht="15.75">
      <c r="I2192" s="260" t="s">
        <v>1024</v>
      </c>
      <c r="O2192" s="52"/>
    </row>
    <row r="2193" spans="9:16" ht="15.75">
      <c r="I2193" s="53" t="s">
        <v>535</v>
      </c>
      <c r="O2193" s="53"/>
    </row>
    <row r="2194" spans="9:16" ht="16.5">
      <c r="I2194" s="894" t="s">
        <v>909</v>
      </c>
      <c r="J2194" s="894"/>
      <c r="K2194" s="894"/>
      <c r="L2194" s="894"/>
      <c r="M2194" s="894"/>
      <c r="N2194" s="894"/>
      <c r="O2194" s="894"/>
      <c r="P2194" s="894"/>
    </row>
    <row r="2195" spans="9:16" ht="15.75" thickBot="1"/>
    <row r="2196" spans="9:16">
      <c r="I2196" s="895" t="s">
        <v>94</v>
      </c>
      <c r="J2196" s="897" t="s">
        <v>95</v>
      </c>
      <c r="K2196" s="897" t="s">
        <v>96</v>
      </c>
      <c r="L2196" s="897" t="s">
        <v>3</v>
      </c>
      <c r="M2196" s="897" t="s">
        <v>97</v>
      </c>
      <c r="N2196" s="897" t="s">
        <v>98</v>
      </c>
      <c r="O2196" s="897" t="s">
        <v>99</v>
      </c>
      <c r="P2196" s="899"/>
    </row>
    <row r="2197" spans="9:16" ht="15.75" thickBot="1">
      <c r="I2197" s="896"/>
      <c r="J2197" s="898"/>
      <c r="K2197" s="898"/>
      <c r="L2197" s="898"/>
      <c r="M2197" s="898"/>
      <c r="N2197" s="898"/>
      <c r="O2197" s="240" t="s">
        <v>100</v>
      </c>
      <c r="P2197" s="182" t="s">
        <v>101</v>
      </c>
    </row>
    <row r="2198" spans="9:16">
      <c r="I2198" s="881">
        <v>240</v>
      </c>
      <c r="J2198" s="875">
        <v>42592</v>
      </c>
      <c r="K2198" s="877" t="s">
        <v>1014</v>
      </c>
      <c r="L2198" s="879" t="s">
        <v>1025</v>
      </c>
      <c r="M2198" s="881" t="s">
        <v>115</v>
      </c>
      <c r="N2198" s="883">
        <v>110000</v>
      </c>
      <c r="O2198" s="55">
        <v>719</v>
      </c>
      <c r="P2198" s="78">
        <f>+N2198</f>
        <v>110000</v>
      </c>
    </row>
    <row r="2199" spans="9:16" ht="15.75" thickBot="1">
      <c r="I2199" s="882"/>
      <c r="J2199" s="876"/>
      <c r="K2199" s="878"/>
      <c r="L2199" s="880"/>
      <c r="M2199" s="882"/>
      <c r="N2199" s="884"/>
      <c r="O2199" s="56">
        <v>721</v>
      </c>
      <c r="P2199" s="79"/>
    </row>
    <row r="2200" spans="9:16" ht="15" customHeight="1">
      <c r="I2200" s="881">
        <v>241</v>
      </c>
      <c r="J2200" s="875">
        <v>42592</v>
      </c>
      <c r="K2200" s="877" t="s">
        <v>28</v>
      </c>
      <c r="L2200" s="879" t="s">
        <v>1026</v>
      </c>
      <c r="M2200" s="881" t="s">
        <v>115</v>
      </c>
      <c r="N2200" s="883">
        <v>70000</v>
      </c>
      <c r="O2200" s="55">
        <v>719</v>
      </c>
      <c r="P2200" s="78">
        <f>+N2200</f>
        <v>70000</v>
      </c>
    </row>
    <row r="2201" spans="9:16" ht="15.75" customHeight="1" thickBot="1">
      <c r="I2201" s="882"/>
      <c r="J2201" s="876"/>
      <c r="K2201" s="878"/>
      <c r="L2201" s="880"/>
      <c r="M2201" s="882"/>
      <c r="N2201" s="884"/>
      <c r="O2201" s="56">
        <v>721</v>
      </c>
      <c r="P2201" s="79"/>
    </row>
    <row r="2202" spans="9:16" ht="15" customHeight="1">
      <c r="I2202" s="881">
        <v>242</v>
      </c>
      <c r="J2202" s="875">
        <v>42592</v>
      </c>
      <c r="K2202" s="877" t="s">
        <v>1014</v>
      </c>
      <c r="L2202" s="879" t="s">
        <v>1027</v>
      </c>
      <c r="M2202" s="881" t="s">
        <v>115</v>
      </c>
      <c r="N2202" s="883">
        <v>260000</v>
      </c>
      <c r="O2202" s="55">
        <v>719</v>
      </c>
      <c r="P2202" s="78">
        <v>260000</v>
      </c>
    </row>
    <row r="2203" spans="9:16" ht="15.75" customHeight="1" thickBot="1">
      <c r="I2203" s="882"/>
      <c r="J2203" s="876"/>
      <c r="K2203" s="878"/>
      <c r="L2203" s="880"/>
      <c r="M2203" s="882"/>
      <c r="N2203" s="884"/>
      <c r="O2203" s="56">
        <v>721</v>
      </c>
      <c r="P2203" s="79">
        <f>+N2202-P2202</f>
        <v>0</v>
      </c>
    </row>
    <row r="2204" spans="9:16" ht="15" customHeight="1">
      <c r="I2204" s="881"/>
      <c r="J2204" s="875"/>
      <c r="K2204" s="877"/>
      <c r="L2204" s="879"/>
      <c r="M2204" s="881"/>
      <c r="N2204" s="883"/>
      <c r="O2204" s="55">
        <v>719</v>
      </c>
      <c r="P2204" s="78">
        <v>0</v>
      </c>
    </row>
    <row r="2205" spans="9:16" ht="15.75" customHeight="1" thickBot="1">
      <c r="I2205" s="882"/>
      <c r="J2205" s="876"/>
      <c r="K2205" s="878"/>
      <c r="L2205" s="880"/>
      <c r="M2205" s="882"/>
      <c r="N2205" s="884"/>
      <c r="O2205" s="56">
        <v>721</v>
      </c>
      <c r="P2205" s="79">
        <f>+N2204-P2204</f>
        <v>0</v>
      </c>
    </row>
    <row r="2206" spans="9:16">
      <c r="I2206" s="881"/>
      <c r="J2206" s="875"/>
      <c r="K2206" s="877"/>
      <c r="L2206" s="879"/>
      <c r="M2206" s="881"/>
      <c r="N2206" s="883"/>
      <c r="O2206" s="55">
        <v>719</v>
      </c>
      <c r="P2206" s="78"/>
    </row>
    <row r="2207" spans="9:16" ht="15.75" thickBot="1">
      <c r="I2207" s="882"/>
      <c r="J2207" s="876"/>
      <c r="K2207" s="878"/>
      <c r="L2207" s="880"/>
      <c r="M2207" s="882"/>
      <c r="N2207" s="884"/>
      <c r="O2207" s="56">
        <v>723</v>
      </c>
      <c r="P2207" s="79">
        <f>+N2206-P2206</f>
        <v>0</v>
      </c>
    </row>
    <row r="2208" spans="9:16" ht="16.5" thickBot="1">
      <c r="I2208" s="901" t="s">
        <v>102</v>
      </c>
      <c r="J2208" s="902"/>
      <c r="K2208" s="902"/>
      <c r="L2208" s="902"/>
      <c r="M2208" s="903"/>
      <c r="N2208" s="81">
        <f>SUM(N2198:N2207)</f>
        <v>440000</v>
      </c>
    </row>
    <row r="2209" spans="9:16" ht="16.5" thickBot="1">
      <c r="I2209" s="885" t="s">
        <v>103</v>
      </c>
      <c r="J2209" s="886"/>
      <c r="K2209" s="886"/>
      <c r="L2209" s="886"/>
      <c r="M2209" s="887"/>
      <c r="N2209" s="69">
        <f>+N2173</f>
        <v>475703470</v>
      </c>
      <c r="O2209" s="241" t="s">
        <v>561</v>
      </c>
      <c r="P2209" s="242">
        <f>742+165+273</f>
        <v>1180</v>
      </c>
    </row>
    <row r="2210" spans="9:16" ht="16.5" thickBot="1">
      <c r="I2210" s="888" t="s">
        <v>104</v>
      </c>
      <c r="J2210" s="889"/>
      <c r="K2210" s="889"/>
      <c r="L2210" s="889"/>
      <c r="M2210" s="890"/>
      <c r="N2210" s="183">
        <f>SUM(N2208:N2209)</f>
        <v>476143470</v>
      </c>
    </row>
    <row r="2211" spans="9:16">
      <c r="I2211" s="61"/>
      <c r="J2211" s="61"/>
      <c r="K2211" s="61"/>
      <c r="L2211" s="61"/>
      <c r="M2211" s="61"/>
    </row>
    <row r="2212" spans="9:16">
      <c r="I2212" s="51" t="s">
        <v>1029</v>
      </c>
    </row>
    <row r="2213" spans="9:16" ht="12.75" customHeight="1">
      <c r="N2213" s="139"/>
    </row>
    <row r="2214" spans="9:16">
      <c r="I2214" s="50" t="s">
        <v>105</v>
      </c>
      <c r="L2214" s="146"/>
      <c r="N2214" s="139"/>
    </row>
    <row r="2215" spans="9:16" ht="12.75" customHeight="1" thickBot="1"/>
    <row r="2216" spans="9:16" ht="15.75" thickBot="1">
      <c r="I2216" s="891" t="s">
        <v>106</v>
      </c>
      <c r="J2216" s="892"/>
      <c r="K2216" s="892"/>
      <c r="L2216" s="893"/>
      <c r="N2216" s="50" t="s">
        <v>270</v>
      </c>
    </row>
    <row r="2217" spans="9:16" ht="30.75" thickBot="1">
      <c r="I2217" s="57" t="s">
        <v>100</v>
      </c>
      <c r="J2217" s="58" t="s">
        <v>108</v>
      </c>
      <c r="K2217" s="287" t="s">
        <v>109</v>
      </c>
      <c r="L2217" s="60" t="s">
        <v>110</v>
      </c>
    </row>
    <row r="2218" spans="9:16">
      <c r="I2218" s="71">
        <v>719</v>
      </c>
      <c r="J2218" s="73">
        <f>+P2198+P2200+P2202+P2204+P2206</f>
        <v>440000</v>
      </c>
      <c r="K2218" s="74">
        <f>+L2181</f>
        <v>43170000</v>
      </c>
      <c r="L2218" s="195">
        <f>+J2218+K2218</f>
        <v>43610000</v>
      </c>
    </row>
    <row r="2219" spans="9:16">
      <c r="I2219" s="72">
        <v>721</v>
      </c>
      <c r="J2219" s="80">
        <f>+P2199+P2201+P2203+P2205</f>
        <v>0</v>
      </c>
      <c r="K2219" s="74">
        <f>+L2182</f>
        <v>89913559</v>
      </c>
      <c r="L2219" s="195">
        <f>+J2219+K2219</f>
        <v>89913559</v>
      </c>
    </row>
    <row r="2220" spans="9:16">
      <c r="I2220" s="72">
        <v>722</v>
      </c>
      <c r="J2220" s="80"/>
      <c r="K2220" s="74">
        <f>+L2183</f>
        <v>42881706</v>
      </c>
      <c r="L2220" s="195">
        <f>+J2220+K2220</f>
        <v>42881706</v>
      </c>
    </row>
    <row r="2221" spans="9:16" ht="15.75">
      <c r="I2221" s="72">
        <v>723</v>
      </c>
      <c r="J2221" s="80">
        <f>+P2207</f>
        <v>0</v>
      </c>
      <c r="K2221" s="74">
        <f>+L2184</f>
        <v>299668205</v>
      </c>
      <c r="L2221" s="195">
        <f>+J2221+K2221</f>
        <v>299668205</v>
      </c>
      <c r="N2221" s="193" t="s">
        <v>1028</v>
      </c>
      <c r="O2221" s="175"/>
    </row>
    <row r="2222" spans="9:16" ht="16.5" thickBot="1">
      <c r="I2222" s="164" t="s">
        <v>181</v>
      </c>
      <c r="J2222" s="165"/>
      <c r="K2222" s="74">
        <f>+L2185</f>
        <v>0</v>
      </c>
      <c r="L2222" s="196">
        <f>+J2222+K2222</f>
        <v>0</v>
      </c>
      <c r="N2222" s="52"/>
    </row>
    <row r="2223" spans="9:16" ht="16.5" thickBot="1">
      <c r="I2223" s="169"/>
      <c r="J2223" s="197">
        <f>SUM(J2218:J2222)</f>
        <v>440000</v>
      </c>
      <c r="K2223" s="197">
        <f>SUM(K2218:K2222)</f>
        <v>475633470</v>
      </c>
      <c r="L2223" s="198">
        <f>SUM(L2218:L2222)</f>
        <v>476073470</v>
      </c>
    </row>
    <row r="2224" spans="9:16" ht="16.5">
      <c r="I2224" s="49" t="s">
        <v>88</v>
      </c>
      <c r="J2224" s="50"/>
    </row>
    <row r="2225" spans="9:16">
      <c r="I2225" s="51" t="s">
        <v>89</v>
      </c>
    </row>
    <row r="2226" spans="9:16">
      <c r="I2226" s="51" t="s">
        <v>90</v>
      </c>
    </row>
    <row r="2227" spans="9:16">
      <c r="I2227" s="51" t="s">
        <v>91</v>
      </c>
    </row>
    <row r="2228" spans="9:16" ht="10.5" customHeight="1">
      <c r="I2228" s="50"/>
      <c r="J2228" s="50"/>
    </row>
    <row r="2229" spans="9:16" ht="15.75">
      <c r="I2229" s="260" t="s">
        <v>1030</v>
      </c>
      <c r="O2229" s="52"/>
    </row>
    <row r="2230" spans="9:16" ht="15.75">
      <c r="I2230" s="53" t="s">
        <v>535</v>
      </c>
      <c r="O2230" s="53"/>
    </row>
    <row r="2231" spans="9:16" ht="16.5">
      <c r="I2231" s="894" t="s">
        <v>909</v>
      </c>
      <c r="J2231" s="894"/>
      <c r="K2231" s="894"/>
      <c r="L2231" s="894"/>
      <c r="M2231" s="894"/>
      <c r="N2231" s="894"/>
      <c r="O2231" s="894"/>
      <c r="P2231" s="894"/>
    </row>
    <row r="2232" spans="9:16" ht="12" customHeight="1" thickBot="1"/>
    <row r="2233" spans="9:16">
      <c r="I2233" s="895" t="s">
        <v>94</v>
      </c>
      <c r="J2233" s="897" t="s">
        <v>95</v>
      </c>
      <c r="K2233" s="897" t="s">
        <v>96</v>
      </c>
      <c r="L2233" s="897" t="s">
        <v>3</v>
      </c>
      <c r="M2233" s="897" t="s">
        <v>97</v>
      </c>
      <c r="N2233" s="897" t="s">
        <v>98</v>
      </c>
      <c r="O2233" s="897" t="s">
        <v>99</v>
      </c>
      <c r="P2233" s="899"/>
    </row>
    <row r="2234" spans="9:16" ht="15.75" thickBot="1">
      <c r="I2234" s="896"/>
      <c r="J2234" s="898"/>
      <c r="K2234" s="898"/>
      <c r="L2234" s="898"/>
      <c r="M2234" s="898"/>
      <c r="N2234" s="898"/>
      <c r="O2234" s="240" t="s">
        <v>100</v>
      </c>
      <c r="P2234" s="182" t="s">
        <v>101</v>
      </c>
    </row>
    <row r="2235" spans="9:16">
      <c r="I2235" s="881">
        <v>243</v>
      </c>
      <c r="J2235" s="875">
        <v>42621</v>
      </c>
      <c r="K2235" s="877" t="s">
        <v>1014</v>
      </c>
      <c r="L2235" s="879" t="s">
        <v>1033</v>
      </c>
      <c r="M2235" s="881" t="s">
        <v>115</v>
      </c>
      <c r="N2235" s="883">
        <v>190000</v>
      </c>
      <c r="O2235" s="55">
        <v>719</v>
      </c>
      <c r="P2235" s="78">
        <f>+N2235</f>
        <v>190000</v>
      </c>
    </row>
    <row r="2236" spans="9:16" ht="15.75" thickBot="1">
      <c r="I2236" s="882"/>
      <c r="J2236" s="876"/>
      <c r="K2236" s="878"/>
      <c r="L2236" s="880"/>
      <c r="M2236" s="882"/>
      <c r="N2236" s="884"/>
      <c r="O2236" s="56">
        <v>721</v>
      </c>
      <c r="P2236" s="79"/>
    </row>
    <row r="2237" spans="9:16" ht="15" customHeight="1">
      <c r="I2237" s="881">
        <v>244</v>
      </c>
      <c r="J2237" s="875">
        <v>42621</v>
      </c>
      <c r="K2237" s="877" t="s">
        <v>28</v>
      </c>
      <c r="L2237" s="879" t="s">
        <v>1033</v>
      </c>
      <c r="M2237" s="881" t="s">
        <v>115</v>
      </c>
      <c r="N2237" s="883">
        <v>60000</v>
      </c>
      <c r="O2237" s="55">
        <v>719</v>
      </c>
      <c r="P2237" s="78">
        <f>+N2237</f>
        <v>60000</v>
      </c>
    </row>
    <row r="2238" spans="9:16" ht="15.75" customHeight="1" thickBot="1">
      <c r="I2238" s="882"/>
      <c r="J2238" s="876"/>
      <c r="K2238" s="878"/>
      <c r="L2238" s="880"/>
      <c r="M2238" s="882"/>
      <c r="N2238" s="884"/>
      <c r="O2238" s="56">
        <v>721</v>
      </c>
      <c r="P2238" s="79"/>
    </row>
    <row r="2239" spans="9:16" ht="15" customHeight="1">
      <c r="I2239" s="881">
        <v>245</v>
      </c>
      <c r="J2239" s="875">
        <v>42621</v>
      </c>
      <c r="K2239" s="877" t="s">
        <v>1014</v>
      </c>
      <c r="L2239" s="879" t="s">
        <v>1034</v>
      </c>
      <c r="M2239" s="881" t="s">
        <v>115</v>
      </c>
      <c r="N2239" s="883">
        <v>560000</v>
      </c>
      <c r="O2239" s="55">
        <v>719</v>
      </c>
      <c r="P2239" s="78">
        <v>560000</v>
      </c>
    </row>
    <row r="2240" spans="9:16" ht="15.75" customHeight="1" thickBot="1">
      <c r="I2240" s="882"/>
      <c r="J2240" s="876"/>
      <c r="K2240" s="878"/>
      <c r="L2240" s="880"/>
      <c r="M2240" s="882"/>
      <c r="N2240" s="884"/>
      <c r="O2240" s="56">
        <v>721</v>
      </c>
      <c r="P2240" s="79">
        <f>+N2239-P2239</f>
        <v>0</v>
      </c>
    </row>
    <row r="2241" spans="9:16" ht="15" customHeight="1">
      <c r="I2241" s="881">
        <v>246</v>
      </c>
      <c r="J2241" s="875">
        <v>42621</v>
      </c>
      <c r="K2241" s="877" t="s">
        <v>28</v>
      </c>
      <c r="L2241" s="879" t="s">
        <v>1035</v>
      </c>
      <c r="M2241" s="881" t="s">
        <v>115</v>
      </c>
      <c r="N2241" s="883">
        <v>70000</v>
      </c>
      <c r="O2241" s="55">
        <v>719</v>
      </c>
      <c r="P2241" s="78">
        <v>70000</v>
      </c>
    </row>
    <row r="2242" spans="9:16" ht="15.75" customHeight="1" thickBot="1">
      <c r="I2242" s="882"/>
      <c r="J2242" s="876"/>
      <c r="K2242" s="878"/>
      <c r="L2242" s="880"/>
      <c r="M2242" s="882"/>
      <c r="N2242" s="884"/>
      <c r="O2242" s="56">
        <v>721</v>
      </c>
      <c r="P2242" s="79">
        <f>+N2241-P2241</f>
        <v>0</v>
      </c>
    </row>
    <row r="2243" spans="9:16" ht="15" customHeight="1">
      <c r="I2243" s="881"/>
      <c r="J2243" s="875"/>
      <c r="K2243" s="877"/>
      <c r="L2243" s="879"/>
      <c r="M2243" s="881"/>
      <c r="N2243" s="883"/>
      <c r="O2243" s="55">
        <v>719</v>
      </c>
      <c r="P2243" s="78"/>
    </row>
    <row r="2244" spans="9:16" ht="15.75" customHeight="1" thickBot="1">
      <c r="I2244" s="882"/>
      <c r="J2244" s="876"/>
      <c r="K2244" s="878"/>
      <c r="L2244" s="880"/>
      <c r="M2244" s="882"/>
      <c r="N2244" s="884"/>
      <c r="O2244" s="56">
        <v>723</v>
      </c>
      <c r="P2244" s="79">
        <f>+N2243-P2243</f>
        <v>0</v>
      </c>
    </row>
    <row r="2245" spans="9:16" ht="16.5" thickBot="1">
      <c r="I2245" s="901" t="s">
        <v>102</v>
      </c>
      <c r="J2245" s="902"/>
      <c r="K2245" s="902"/>
      <c r="L2245" s="902"/>
      <c r="M2245" s="903"/>
      <c r="N2245" s="81">
        <f>SUM(N2235:N2244)</f>
        <v>880000</v>
      </c>
    </row>
    <row r="2246" spans="9:16" ht="16.5" thickBot="1">
      <c r="I2246" s="885" t="s">
        <v>103</v>
      </c>
      <c r="J2246" s="886"/>
      <c r="K2246" s="886"/>
      <c r="L2246" s="886"/>
      <c r="M2246" s="887"/>
      <c r="N2246" s="69">
        <f>+N2210</f>
        <v>476143470</v>
      </c>
      <c r="O2246" s="241" t="s">
        <v>561</v>
      </c>
      <c r="P2246" s="242">
        <f>86+1021+143+512</f>
        <v>1762</v>
      </c>
    </row>
    <row r="2247" spans="9:16" ht="16.5" thickBot="1">
      <c r="I2247" s="888" t="s">
        <v>104</v>
      </c>
      <c r="J2247" s="889"/>
      <c r="K2247" s="889"/>
      <c r="L2247" s="889"/>
      <c r="M2247" s="890"/>
      <c r="N2247" s="183">
        <f>SUM(N2245:N2246)</f>
        <v>477023470</v>
      </c>
    </row>
    <row r="2248" spans="9:16">
      <c r="I2248" s="61"/>
      <c r="J2248" s="61"/>
      <c r="K2248" s="61"/>
      <c r="L2248" s="61"/>
      <c r="M2248" s="61"/>
    </row>
    <row r="2249" spans="9:16">
      <c r="I2249" s="51" t="s">
        <v>1036</v>
      </c>
    </row>
    <row r="2250" spans="9:16" ht="12.75" customHeight="1">
      <c r="N2250" s="139"/>
    </row>
    <row r="2251" spans="9:16">
      <c r="I2251" s="50" t="s">
        <v>105</v>
      </c>
      <c r="L2251" s="146"/>
      <c r="N2251" s="139"/>
    </row>
    <row r="2252" spans="9:16" ht="13.5" customHeight="1" thickBot="1"/>
    <row r="2253" spans="9:16" ht="15.75" thickBot="1">
      <c r="I2253" s="891" t="s">
        <v>106</v>
      </c>
      <c r="J2253" s="892"/>
      <c r="K2253" s="892"/>
      <c r="L2253" s="893"/>
      <c r="N2253" s="50" t="s">
        <v>288</v>
      </c>
    </row>
    <row r="2254" spans="9:16" ht="30.75" thickBot="1">
      <c r="I2254" s="57" t="s">
        <v>100</v>
      </c>
      <c r="J2254" s="58" t="s">
        <v>108</v>
      </c>
      <c r="K2254" s="287" t="s">
        <v>109</v>
      </c>
      <c r="L2254" s="60" t="s">
        <v>110</v>
      </c>
    </row>
    <row r="2255" spans="9:16">
      <c r="I2255" s="71">
        <v>719</v>
      </c>
      <c r="J2255" s="73">
        <f>+P2235+P2237+P2239+P2241+P2243</f>
        <v>880000</v>
      </c>
      <c r="K2255" s="74">
        <f>+L2218</f>
        <v>43610000</v>
      </c>
      <c r="L2255" s="195">
        <f>+J2255+K2255</f>
        <v>44490000</v>
      </c>
    </row>
    <row r="2256" spans="9:16">
      <c r="I2256" s="72">
        <v>721</v>
      </c>
      <c r="J2256" s="80">
        <f>+P2236+P2238+P2240+P2242</f>
        <v>0</v>
      </c>
      <c r="K2256" s="74">
        <f>+L2219</f>
        <v>89913559</v>
      </c>
      <c r="L2256" s="195">
        <f>+J2256+K2256</f>
        <v>89913559</v>
      </c>
    </row>
    <row r="2257" spans="9:16">
      <c r="I2257" s="72">
        <v>722</v>
      </c>
      <c r="J2257" s="80"/>
      <c r="K2257" s="74">
        <f>+L2220</f>
        <v>42881706</v>
      </c>
      <c r="L2257" s="195">
        <f>+J2257+K2257</f>
        <v>42881706</v>
      </c>
    </row>
    <row r="2258" spans="9:16" ht="15.75">
      <c r="I2258" s="72">
        <v>723</v>
      </c>
      <c r="J2258" s="80">
        <f>+P2244</f>
        <v>0</v>
      </c>
      <c r="K2258" s="74">
        <f>+L2221</f>
        <v>299668205</v>
      </c>
      <c r="L2258" s="195">
        <f>+J2258+K2258</f>
        <v>299668205</v>
      </c>
      <c r="N2258" s="193" t="s">
        <v>289</v>
      </c>
      <c r="O2258" s="175"/>
    </row>
    <row r="2259" spans="9:16" ht="16.5" thickBot="1">
      <c r="I2259" s="164" t="s">
        <v>181</v>
      </c>
      <c r="J2259" s="165"/>
      <c r="K2259" s="74">
        <f>+L2222</f>
        <v>0</v>
      </c>
      <c r="L2259" s="196">
        <f>+J2259+K2259</f>
        <v>0</v>
      </c>
      <c r="N2259" s="52"/>
    </row>
    <row r="2260" spans="9:16" ht="16.5" thickBot="1">
      <c r="I2260" s="169"/>
      <c r="J2260" s="197">
        <f>SUM(J2255:J2259)</f>
        <v>880000</v>
      </c>
      <c r="K2260" s="197">
        <f>SUM(K2255:K2259)</f>
        <v>476073470</v>
      </c>
      <c r="L2260" s="198">
        <f>SUM(L2255:L2259)</f>
        <v>476953470</v>
      </c>
    </row>
    <row r="2261" spans="9:16" ht="16.5">
      <c r="I2261" s="49" t="s">
        <v>88</v>
      </c>
      <c r="J2261" s="50"/>
    </row>
    <row r="2262" spans="9:16">
      <c r="I2262" s="51" t="s">
        <v>89</v>
      </c>
    </row>
    <row r="2263" spans="9:16">
      <c r="I2263" s="51" t="s">
        <v>90</v>
      </c>
    </row>
    <row r="2264" spans="9:16">
      <c r="I2264" s="51" t="s">
        <v>91</v>
      </c>
    </row>
    <row r="2265" spans="9:16" ht="11.25" customHeight="1">
      <c r="I2265" s="50"/>
      <c r="J2265" s="50"/>
    </row>
    <row r="2266" spans="9:16" ht="15.75">
      <c r="I2266" s="260" t="s">
        <v>1031</v>
      </c>
      <c r="O2266" s="52"/>
    </row>
    <row r="2267" spans="9:16" ht="15.75">
      <c r="I2267" s="53" t="s">
        <v>535</v>
      </c>
      <c r="O2267" s="53"/>
    </row>
    <row r="2268" spans="9:16" ht="16.5">
      <c r="I2268" s="894" t="s">
        <v>909</v>
      </c>
      <c r="J2268" s="894"/>
      <c r="K2268" s="894"/>
      <c r="L2268" s="894"/>
      <c r="M2268" s="894"/>
      <c r="N2268" s="894"/>
      <c r="O2268" s="894"/>
      <c r="P2268" s="894"/>
    </row>
    <row r="2269" spans="9:16" ht="15.75" thickBot="1"/>
    <row r="2270" spans="9:16">
      <c r="I2270" s="895" t="s">
        <v>94</v>
      </c>
      <c r="J2270" s="897" t="s">
        <v>95</v>
      </c>
      <c r="K2270" s="897" t="s">
        <v>96</v>
      </c>
      <c r="L2270" s="897" t="s">
        <v>3</v>
      </c>
      <c r="M2270" s="897" t="s">
        <v>97</v>
      </c>
      <c r="N2270" s="897" t="s">
        <v>98</v>
      </c>
      <c r="O2270" s="897" t="s">
        <v>99</v>
      </c>
      <c r="P2270" s="899"/>
    </row>
    <row r="2271" spans="9:16" ht="15.75" thickBot="1">
      <c r="I2271" s="896"/>
      <c r="J2271" s="898"/>
      <c r="K2271" s="898"/>
      <c r="L2271" s="898"/>
      <c r="M2271" s="898"/>
      <c r="N2271" s="898"/>
      <c r="O2271" s="240" t="s">
        <v>100</v>
      </c>
      <c r="P2271" s="182" t="s">
        <v>101</v>
      </c>
    </row>
    <row r="2272" spans="9:16">
      <c r="I2272" s="881">
        <v>247</v>
      </c>
      <c r="J2272" s="875">
        <v>42623</v>
      </c>
      <c r="K2272" s="877" t="s">
        <v>40</v>
      </c>
      <c r="L2272" s="879" t="s">
        <v>1037</v>
      </c>
      <c r="M2272" s="881" t="s">
        <v>148</v>
      </c>
      <c r="N2272" s="883">
        <v>140000</v>
      </c>
      <c r="O2272" s="55">
        <v>719</v>
      </c>
      <c r="P2272" s="78">
        <v>100000</v>
      </c>
    </row>
    <row r="2273" spans="9:16" ht="15.75" thickBot="1">
      <c r="I2273" s="882"/>
      <c r="J2273" s="876"/>
      <c r="K2273" s="878"/>
      <c r="L2273" s="880"/>
      <c r="M2273" s="882"/>
      <c r="N2273" s="884"/>
      <c r="O2273" s="56">
        <v>721</v>
      </c>
      <c r="P2273" s="79">
        <f>+N2272-P2272</f>
        <v>40000</v>
      </c>
    </row>
    <row r="2274" spans="9:16">
      <c r="I2274" s="881">
        <v>248</v>
      </c>
      <c r="J2274" s="875">
        <v>42623</v>
      </c>
      <c r="K2274" s="877" t="s">
        <v>28</v>
      </c>
      <c r="L2274" s="879" t="s">
        <v>1038</v>
      </c>
      <c r="M2274" s="881" t="s">
        <v>148</v>
      </c>
      <c r="N2274" s="883">
        <v>714000</v>
      </c>
      <c r="O2274" s="55">
        <v>719</v>
      </c>
      <c r="P2274" s="78">
        <f>+N2274-P2275</f>
        <v>510000</v>
      </c>
    </row>
    <row r="2275" spans="9:16" ht="15.75" thickBot="1">
      <c r="I2275" s="882"/>
      <c r="J2275" s="876"/>
      <c r="K2275" s="878"/>
      <c r="L2275" s="880"/>
      <c r="M2275" s="882"/>
      <c r="N2275" s="884"/>
      <c r="O2275" s="56">
        <v>721</v>
      </c>
      <c r="P2275" s="79">
        <v>204000</v>
      </c>
    </row>
    <row r="2276" spans="9:16">
      <c r="I2276" s="881">
        <v>249</v>
      </c>
      <c r="J2276" s="875">
        <v>42623</v>
      </c>
      <c r="K2276" s="877" t="s">
        <v>111</v>
      </c>
      <c r="L2276" s="879" t="s">
        <v>1039</v>
      </c>
      <c r="M2276" s="881" t="s">
        <v>148</v>
      </c>
      <c r="N2276" s="883">
        <v>252000</v>
      </c>
      <c r="O2276" s="55">
        <v>719</v>
      </c>
      <c r="P2276" s="78">
        <v>180000</v>
      </c>
    </row>
    <row r="2277" spans="9:16" ht="15.75" thickBot="1">
      <c r="I2277" s="882"/>
      <c r="J2277" s="876"/>
      <c r="K2277" s="878"/>
      <c r="L2277" s="880"/>
      <c r="M2277" s="882"/>
      <c r="N2277" s="884"/>
      <c r="O2277" s="56">
        <v>721</v>
      </c>
      <c r="P2277" s="79">
        <f>+N2276-P2276</f>
        <v>72000</v>
      </c>
    </row>
    <row r="2278" spans="9:16">
      <c r="I2278" s="881">
        <v>250</v>
      </c>
      <c r="J2278" s="875">
        <v>42623</v>
      </c>
      <c r="K2278" s="877" t="s">
        <v>40</v>
      </c>
      <c r="L2278" s="879" t="s">
        <v>1040</v>
      </c>
      <c r="M2278" s="881" t="s">
        <v>148</v>
      </c>
      <c r="N2278" s="883">
        <v>112000</v>
      </c>
      <c r="O2278" s="55">
        <v>719</v>
      </c>
      <c r="P2278" s="78">
        <v>80000</v>
      </c>
    </row>
    <row r="2279" spans="9:16" ht="15.75" thickBot="1">
      <c r="I2279" s="882"/>
      <c r="J2279" s="876"/>
      <c r="K2279" s="878"/>
      <c r="L2279" s="880"/>
      <c r="M2279" s="882"/>
      <c r="N2279" s="884"/>
      <c r="O2279" s="56">
        <v>721</v>
      </c>
      <c r="P2279" s="79">
        <f>+N2278-P2278</f>
        <v>32000</v>
      </c>
    </row>
    <row r="2280" spans="9:16">
      <c r="I2280" s="881">
        <v>251</v>
      </c>
      <c r="J2280" s="875">
        <v>42623</v>
      </c>
      <c r="K2280" s="877" t="s">
        <v>28</v>
      </c>
      <c r="L2280" s="879" t="s">
        <v>1041</v>
      </c>
      <c r="M2280" s="881" t="s">
        <v>148</v>
      </c>
      <c r="N2280" s="883">
        <v>504000</v>
      </c>
      <c r="O2280" s="55">
        <v>719</v>
      </c>
      <c r="P2280" s="78">
        <v>360000</v>
      </c>
    </row>
    <row r="2281" spans="9:16" ht="15.75" thickBot="1">
      <c r="I2281" s="882"/>
      <c r="J2281" s="876"/>
      <c r="K2281" s="878"/>
      <c r="L2281" s="880"/>
      <c r="M2281" s="882"/>
      <c r="N2281" s="884"/>
      <c r="O2281" s="56">
        <v>723</v>
      </c>
      <c r="P2281" s="79">
        <f>+N2280-P2280</f>
        <v>144000</v>
      </c>
    </row>
    <row r="2282" spans="9:16" ht="16.5" thickBot="1">
      <c r="I2282" s="901" t="s">
        <v>102</v>
      </c>
      <c r="J2282" s="902"/>
      <c r="K2282" s="902"/>
      <c r="L2282" s="902"/>
      <c r="M2282" s="903"/>
      <c r="N2282" s="81">
        <f>SUM(N2272:N2281)</f>
        <v>1722000</v>
      </c>
    </row>
    <row r="2283" spans="9:16" ht="16.5" thickBot="1">
      <c r="I2283" s="885" t="s">
        <v>103</v>
      </c>
      <c r="J2283" s="886"/>
      <c r="K2283" s="886"/>
      <c r="L2283" s="886"/>
      <c r="M2283" s="887"/>
      <c r="N2283" s="69">
        <f>+N2247</f>
        <v>477023470</v>
      </c>
      <c r="O2283" s="241" t="s">
        <v>561</v>
      </c>
      <c r="P2283" s="242">
        <f>875+40+72+1421+61</f>
        <v>2469</v>
      </c>
    </row>
    <row r="2284" spans="9:16" ht="16.5" thickBot="1">
      <c r="I2284" s="888" t="s">
        <v>104</v>
      </c>
      <c r="J2284" s="889"/>
      <c r="K2284" s="889"/>
      <c r="L2284" s="889"/>
      <c r="M2284" s="890"/>
      <c r="N2284" s="183">
        <f>SUM(N2282:N2283)</f>
        <v>478745470</v>
      </c>
    </row>
    <row r="2285" spans="9:16">
      <c r="I2285" s="61"/>
      <c r="J2285" s="61"/>
      <c r="K2285" s="61"/>
      <c r="L2285" s="61"/>
      <c r="M2285" s="61"/>
    </row>
    <row r="2286" spans="9:16">
      <c r="I2286" s="51" t="s">
        <v>1042</v>
      </c>
    </row>
    <row r="2287" spans="9:16" ht="12.75" customHeight="1">
      <c r="N2287" s="139"/>
    </row>
    <row r="2288" spans="9:16">
      <c r="I2288" s="50" t="s">
        <v>105</v>
      </c>
      <c r="L2288" s="146"/>
      <c r="N2288" s="139"/>
    </row>
    <row r="2289" spans="9:15" ht="13.5" customHeight="1" thickBot="1"/>
    <row r="2290" spans="9:15" ht="15.75" thickBot="1">
      <c r="I2290" s="891" t="s">
        <v>106</v>
      </c>
      <c r="J2290" s="892"/>
      <c r="K2290" s="892"/>
      <c r="L2290" s="893"/>
      <c r="N2290" s="50" t="s">
        <v>288</v>
      </c>
    </row>
    <row r="2291" spans="9:15" ht="30.75" thickBot="1">
      <c r="I2291" s="57" t="s">
        <v>100</v>
      </c>
      <c r="J2291" s="58" t="s">
        <v>108</v>
      </c>
      <c r="K2291" s="287" t="s">
        <v>109</v>
      </c>
      <c r="L2291" s="60" t="s">
        <v>110</v>
      </c>
    </row>
    <row r="2292" spans="9:15">
      <c r="I2292" s="71">
        <v>719</v>
      </c>
      <c r="J2292" s="73">
        <f>+P2272+P2274+P2276+P2278+P2280</f>
        <v>1230000</v>
      </c>
      <c r="K2292" s="74">
        <f>+L2255</f>
        <v>44490000</v>
      </c>
      <c r="L2292" s="195">
        <f>+J2292+K2292</f>
        <v>45720000</v>
      </c>
    </row>
    <row r="2293" spans="9:15">
      <c r="I2293" s="72">
        <v>721</v>
      </c>
      <c r="J2293" s="80">
        <f>+P2273+P2275+P2277+P2279+P2281</f>
        <v>492000</v>
      </c>
      <c r="K2293" s="74">
        <f>+L2256</f>
        <v>89913559</v>
      </c>
      <c r="L2293" s="195">
        <f>+J2293+K2293</f>
        <v>90405559</v>
      </c>
    </row>
    <row r="2294" spans="9:15">
      <c r="I2294" s="72">
        <v>722</v>
      </c>
      <c r="J2294" s="80"/>
      <c r="K2294" s="74">
        <f>+L2257</f>
        <v>42881706</v>
      </c>
      <c r="L2294" s="195">
        <f>+J2294+K2294</f>
        <v>42881706</v>
      </c>
    </row>
    <row r="2295" spans="9:15" ht="15.75">
      <c r="I2295" s="72">
        <v>723</v>
      </c>
      <c r="J2295" s="80"/>
      <c r="K2295" s="74">
        <f>+L2258</f>
        <v>299668205</v>
      </c>
      <c r="L2295" s="195">
        <f>+J2295+K2295</f>
        <v>299668205</v>
      </c>
      <c r="N2295" s="193" t="s">
        <v>289</v>
      </c>
      <c r="O2295" s="175"/>
    </row>
    <row r="2296" spans="9:15" ht="16.5" thickBot="1">
      <c r="I2296" s="164" t="s">
        <v>181</v>
      </c>
      <c r="J2296" s="165"/>
      <c r="K2296" s="74">
        <f>+L2259</f>
        <v>0</v>
      </c>
      <c r="L2296" s="196">
        <f>+J2296+K2296</f>
        <v>0</v>
      </c>
      <c r="N2296" s="52"/>
    </row>
    <row r="2297" spans="9:15" ht="16.5" thickBot="1">
      <c r="I2297" s="169"/>
      <c r="J2297" s="197">
        <f>SUM(J2292:J2296)</f>
        <v>1722000</v>
      </c>
      <c r="K2297" s="197">
        <f>SUM(K2292:K2296)</f>
        <v>476953470</v>
      </c>
      <c r="L2297" s="198">
        <f>SUM(L2292:L2296)</f>
        <v>478675470</v>
      </c>
    </row>
    <row r="2298" spans="9:15" ht="16.5">
      <c r="I2298" s="49" t="s">
        <v>88</v>
      </c>
      <c r="J2298" s="50"/>
    </row>
    <row r="2299" spans="9:15">
      <c r="I2299" s="51" t="s">
        <v>89</v>
      </c>
    </row>
    <row r="2300" spans="9:15">
      <c r="I2300" s="51" t="s">
        <v>90</v>
      </c>
    </row>
    <row r="2301" spans="9:15">
      <c r="I2301" s="51" t="s">
        <v>91</v>
      </c>
    </row>
    <row r="2302" spans="9:15" ht="12.75" customHeight="1">
      <c r="I2302" s="50"/>
      <c r="J2302" s="50"/>
    </row>
    <row r="2303" spans="9:15" ht="15.75">
      <c r="I2303" s="260" t="s">
        <v>1032</v>
      </c>
      <c r="O2303" s="52"/>
    </row>
    <row r="2304" spans="9:15" ht="15.75">
      <c r="I2304" s="53" t="s">
        <v>535</v>
      </c>
      <c r="O2304" s="53"/>
    </row>
    <row r="2305" spans="9:16" ht="16.5">
      <c r="I2305" s="894" t="s">
        <v>909</v>
      </c>
      <c r="J2305" s="894"/>
      <c r="K2305" s="894"/>
      <c r="L2305" s="894"/>
      <c r="M2305" s="894"/>
      <c r="N2305" s="894"/>
      <c r="O2305" s="894"/>
      <c r="P2305" s="894"/>
    </row>
    <row r="2306" spans="9:16" ht="15.75" thickBot="1"/>
    <row r="2307" spans="9:16">
      <c r="I2307" s="895" t="s">
        <v>94</v>
      </c>
      <c r="J2307" s="897" t="s">
        <v>95</v>
      </c>
      <c r="K2307" s="897" t="s">
        <v>96</v>
      </c>
      <c r="L2307" s="897" t="s">
        <v>3</v>
      </c>
      <c r="M2307" s="897" t="s">
        <v>97</v>
      </c>
      <c r="N2307" s="897" t="s">
        <v>98</v>
      </c>
      <c r="O2307" s="897" t="s">
        <v>99</v>
      </c>
      <c r="P2307" s="899"/>
    </row>
    <row r="2308" spans="9:16" ht="15.75" thickBot="1">
      <c r="I2308" s="896"/>
      <c r="J2308" s="898"/>
      <c r="K2308" s="898"/>
      <c r="L2308" s="898"/>
      <c r="M2308" s="898"/>
      <c r="N2308" s="898"/>
      <c r="O2308" s="240" t="s">
        <v>100</v>
      </c>
      <c r="P2308" s="182" t="s">
        <v>101</v>
      </c>
    </row>
    <row r="2309" spans="9:16" ht="15" customHeight="1">
      <c r="I2309" s="881">
        <v>252</v>
      </c>
      <c r="J2309" s="875">
        <v>42621</v>
      </c>
      <c r="K2309" s="877" t="s">
        <v>40</v>
      </c>
      <c r="L2309" s="879" t="s">
        <v>1043</v>
      </c>
      <c r="M2309" s="881" t="s">
        <v>148</v>
      </c>
      <c r="N2309" s="883">
        <v>56000</v>
      </c>
      <c r="O2309" s="55">
        <v>719</v>
      </c>
      <c r="P2309" s="78">
        <v>40000</v>
      </c>
    </row>
    <row r="2310" spans="9:16" ht="15.75" customHeight="1" thickBot="1">
      <c r="I2310" s="882"/>
      <c r="J2310" s="876"/>
      <c r="K2310" s="878"/>
      <c r="L2310" s="880"/>
      <c r="M2310" s="882"/>
      <c r="N2310" s="884"/>
      <c r="O2310" s="56">
        <v>721</v>
      </c>
      <c r="P2310" s="79">
        <f>+N2309-P2309</f>
        <v>16000</v>
      </c>
    </row>
    <row r="2311" spans="9:16" ht="15" customHeight="1">
      <c r="I2311" s="881">
        <v>253</v>
      </c>
      <c r="J2311" s="875">
        <v>42621</v>
      </c>
      <c r="K2311" s="877" t="s">
        <v>28</v>
      </c>
      <c r="L2311" s="879" t="s">
        <v>1044</v>
      </c>
      <c r="M2311" s="881" t="s">
        <v>148</v>
      </c>
      <c r="N2311" s="883">
        <v>252000</v>
      </c>
      <c r="O2311" s="55">
        <v>719</v>
      </c>
      <c r="P2311" s="78">
        <v>180000</v>
      </c>
    </row>
    <row r="2312" spans="9:16" ht="15.75" customHeight="1" thickBot="1">
      <c r="I2312" s="882"/>
      <c r="J2312" s="876"/>
      <c r="K2312" s="878"/>
      <c r="L2312" s="880"/>
      <c r="M2312" s="882"/>
      <c r="N2312" s="884"/>
      <c r="O2312" s="56">
        <v>721</v>
      </c>
      <c r="P2312" s="79">
        <f>+N2311-P2311</f>
        <v>72000</v>
      </c>
    </row>
    <row r="2313" spans="9:16" ht="15" customHeight="1">
      <c r="I2313" s="881">
        <v>254</v>
      </c>
      <c r="J2313" s="875">
        <v>42621</v>
      </c>
      <c r="K2313" s="877" t="s">
        <v>111</v>
      </c>
      <c r="L2313" s="879" t="s">
        <v>1045</v>
      </c>
      <c r="M2313" s="881" t="s">
        <v>148</v>
      </c>
      <c r="N2313" s="883">
        <v>112000</v>
      </c>
      <c r="O2313" s="55">
        <v>719</v>
      </c>
      <c r="P2313" s="78">
        <v>80000</v>
      </c>
    </row>
    <row r="2314" spans="9:16" ht="15.75" customHeight="1" thickBot="1">
      <c r="I2314" s="882"/>
      <c r="J2314" s="876"/>
      <c r="K2314" s="878"/>
      <c r="L2314" s="880"/>
      <c r="M2314" s="882"/>
      <c r="N2314" s="884"/>
      <c r="O2314" s="56">
        <v>721</v>
      </c>
      <c r="P2314" s="79">
        <f>+N2313-P2313</f>
        <v>32000</v>
      </c>
    </row>
    <row r="2315" spans="9:16" ht="15" customHeight="1">
      <c r="I2315" s="881">
        <v>255</v>
      </c>
      <c r="J2315" s="875">
        <v>42621</v>
      </c>
      <c r="K2315" s="877" t="s">
        <v>111</v>
      </c>
      <c r="L2315" s="879" t="s">
        <v>1044</v>
      </c>
      <c r="M2315" s="881" t="s">
        <v>148</v>
      </c>
      <c r="N2315" s="883">
        <v>56000</v>
      </c>
      <c r="O2315" s="55">
        <v>719</v>
      </c>
      <c r="P2315" s="78">
        <v>40000</v>
      </c>
    </row>
    <row r="2316" spans="9:16" ht="15.75" customHeight="1" thickBot="1">
      <c r="I2316" s="882"/>
      <c r="J2316" s="876"/>
      <c r="K2316" s="878"/>
      <c r="L2316" s="880"/>
      <c r="M2316" s="882"/>
      <c r="N2316" s="884"/>
      <c r="O2316" s="56">
        <v>721</v>
      </c>
      <c r="P2316" s="79">
        <f>+N2315-P2315</f>
        <v>16000</v>
      </c>
    </row>
    <row r="2317" spans="9:16">
      <c r="I2317" s="881"/>
      <c r="J2317" s="875"/>
      <c r="K2317" s="877"/>
      <c r="L2317" s="879"/>
      <c r="M2317" s="881"/>
      <c r="N2317" s="883"/>
      <c r="O2317" s="55">
        <v>719</v>
      </c>
      <c r="P2317" s="78"/>
    </row>
    <row r="2318" spans="9:16" ht="15.75" thickBot="1">
      <c r="I2318" s="882"/>
      <c r="J2318" s="876"/>
      <c r="K2318" s="878"/>
      <c r="L2318" s="880"/>
      <c r="M2318" s="882"/>
      <c r="N2318" s="884"/>
      <c r="O2318" s="56">
        <v>723</v>
      </c>
      <c r="P2318" s="79">
        <f>+N2317-P2317</f>
        <v>0</v>
      </c>
    </row>
    <row r="2319" spans="9:16" ht="16.5" thickBot="1">
      <c r="I2319" s="901" t="s">
        <v>102</v>
      </c>
      <c r="J2319" s="902"/>
      <c r="K2319" s="902"/>
      <c r="L2319" s="902"/>
      <c r="M2319" s="903"/>
      <c r="N2319" s="81">
        <f>SUM(N2309:N2318)</f>
        <v>476000</v>
      </c>
    </row>
    <row r="2320" spans="9:16" ht="16.5" thickBot="1">
      <c r="I2320" s="885" t="s">
        <v>103</v>
      </c>
      <c r="J2320" s="886"/>
      <c r="K2320" s="886"/>
      <c r="L2320" s="886"/>
      <c r="M2320" s="887"/>
      <c r="N2320" s="69">
        <f>+N2284</f>
        <v>478745470</v>
      </c>
      <c r="O2320" s="241" t="s">
        <v>561</v>
      </c>
      <c r="P2320" s="242">
        <f>451+25+37+18</f>
        <v>531</v>
      </c>
    </row>
    <row r="2321" spans="9:15" ht="16.5" thickBot="1">
      <c r="I2321" s="888" t="s">
        <v>104</v>
      </c>
      <c r="J2321" s="889"/>
      <c r="K2321" s="889"/>
      <c r="L2321" s="889"/>
      <c r="M2321" s="890"/>
      <c r="N2321" s="183">
        <f>SUM(N2319:N2320)</f>
        <v>479221470</v>
      </c>
    </row>
    <row r="2322" spans="9:15">
      <c r="I2322" s="61"/>
      <c r="J2322" s="61"/>
      <c r="K2322" s="61"/>
      <c r="L2322" s="61"/>
      <c r="M2322" s="61"/>
    </row>
    <row r="2323" spans="9:15">
      <c r="I2323" s="51" t="s">
        <v>1065</v>
      </c>
    </row>
    <row r="2324" spans="9:15" ht="12" customHeight="1">
      <c r="N2324" s="139"/>
    </row>
    <row r="2325" spans="9:15">
      <c r="I2325" s="50" t="s">
        <v>105</v>
      </c>
      <c r="L2325" s="146"/>
      <c r="N2325" s="139"/>
    </row>
    <row r="2326" spans="9:15" ht="12.75" customHeight="1" thickBot="1"/>
    <row r="2327" spans="9:15" ht="15.75" thickBot="1">
      <c r="I2327" s="891" t="s">
        <v>106</v>
      </c>
      <c r="J2327" s="892"/>
      <c r="K2327" s="892"/>
      <c r="L2327" s="893"/>
      <c r="N2327" s="50" t="s">
        <v>288</v>
      </c>
    </row>
    <row r="2328" spans="9:15" ht="30.75" thickBot="1">
      <c r="I2328" s="57" t="s">
        <v>100</v>
      </c>
      <c r="J2328" s="58" t="s">
        <v>108</v>
      </c>
      <c r="K2328" s="287" t="s">
        <v>109</v>
      </c>
      <c r="L2328" s="60" t="s">
        <v>110</v>
      </c>
    </row>
    <row r="2329" spans="9:15">
      <c r="I2329" s="71">
        <v>719</v>
      </c>
      <c r="J2329" s="73">
        <f>+P2309+P2311+P2313+P2315+P2317</f>
        <v>340000</v>
      </c>
      <c r="K2329" s="74">
        <f>+L2292</f>
        <v>45720000</v>
      </c>
      <c r="L2329" s="195">
        <f>+J2329+K2329</f>
        <v>46060000</v>
      </c>
    </row>
    <row r="2330" spans="9:15">
      <c r="I2330" s="72">
        <v>721</v>
      </c>
      <c r="J2330" s="80">
        <f>+P2310+P2312+P2314+P2316+P2318</f>
        <v>136000</v>
      </c>
      <c r="K2330" s="74">
        <f>+L2293</f>
        <v>90405559</v>
      </c>
      <c r="L2330" s="195">
        <f>+J2330+K2330</f>
        <v>90541559</v>
      </c>
    </row>
    <row r="2331" spans="9:15">
      <c r="I2331" s="72">
        <v>722</v>
      </c>
      <c r="J2331" s="80"/>
      <c r="K2331" s="74">
        <f>+L2294</f>
        <v>42881706</v>
      </c>
      <c r="L2331" s="195">
        <f>+J2331+K2331</f>
        <v>42881706</v>
      </c>
    </row>
    <row r="2332" spans="9:15" ht="15.75">
      <c r="I2332" s="72">
        <v>723</v>
      </c>
      <c r="J2332" s="80"/>
      <c r="K2332" s="74">
        <f>+L2295</f>
        <v>299668205</v>
      </c>
      <c r="L2332" s="195">
        <f>+J2332+K2332</f>
        <v>299668205</v>
      </c>
      <c r="N2332" s="193" t="s">
        <v>289</v>
      </c>
      <c r="O2332" s="175"/>
    </row>
    <row r="2333" spans="9:15" ht="16.5" thickBot="1">
      <c r="I2333" s="164" t="s">
        <v>181</v>
      </c>
      <c r="J2333" s="165"/>
      <c r="K2333" s="74">
        <f>+L2296</f>
        <v>0</v>
      </c>
      <c r="L2333" s="196">
        <f>+J2333+K2333</f>
        <v>0</v>
      </c>
      <c r="N2333" s="52"/>
    </row>
    <row r="2334" spans="9:15" ht="16.5" thickBot="1">
      <c r="I2334" s="169"/>
      <c r="J2334" s="197">
        <f>SUM(J2329:J2333)</f>
        <v>476000</v>
      </c>
      <c r="K2334" s="197">
        <f>SUM(K2329:K2333)</f>
        <v>478675470</v>
      </c>
      <c r="L2334" s="198">
        <f>SUM(L2329:L2333)</f>
        <v>479151470</v>
      </c>
    </row>
    <row r="2335" spans="9:15" ht="16.5">
      <c r="I2335" s="49" t="s">
        <v>88</v>
      </c>
      <c r="J2335" s="50"/>
    </row>
    <row r="2336" spans="9:15">
      <c r="I2336" s="51" t="s">
        <v>89</v>
      </c>
    </row>
    <row r="2337" spans="9:16">
      <c r="I2337" s="51" t="s">
        <v>90</v>
      </c>
    </row>
    <row r="2338" spans="9:16">
      <c r="I2338" s="51" t="s">
        <v>91</v>
      </c>
    </row>
    <row r="2339" spans="9:16" ht="12" customHeight="1">
      <c r="I2339" s="50"/>
      <c r="J2339" s="50"/>
    </row>
    <row r="2340" spans="9:16" ht="15.75">
      <c r="I2340" s="260" t="s">
        <v>1059</v>
      </c>
      <c r="O2340" s="52"/>
    </row>
    <row r="2341" spans="9:16" ht="15.75">
      <c r="I2341" s="53" t="s">
        <v>535</v>
      </c>
      <c r="O2341" s="53"/>
    </row>
    <row r="2342" spans="9:16" ht="16.5">
      <c r="I2342" s="894" t="s">
        <v>1063</v>
      </c>
      <c r="J2342" s="894"/>
      <c r="K2342" s="894"/>
      <c r="L2342" s="894"/>
      <c r="M2342" s="894"/>
      <c r="N2342" s="894"/>
      <c r="O2342" s="894"/>
      <c r="P2342" s="894"/>
    </row>
    <row r="2343" spans="9:16" ht="15.75" thickBot="1"/>
    <row r="2344" spans="9:16">
      <c r="I2344" s="895" t="s">
        <v>94</v>
      </c>
      <c r="J2344" s="897" t="s">
        <v>95</v>
      </c>
      <c r="K2344" s="897" t="s">
        <v>96</v>
      </c>
      <c r="L2344" s="897" t="s">
        <v>3</v>
      </c>
      <c r="M2344" s="897" t="s">
        <v>97</v>
      </c>
      <c r="N2344" s="897" t="s">
        <v>98</v>
      </c>
      <c r="O2344" s="897" t="s">
        <v>99</v>
      </c>
      <c r="P2344" s="899"/>
    </row>
    <row r="2345" spans="9:16" ht="15.75" thickBot="1">
      <c r="I2345" s="896"/>
      <c r="J2345" s="898"/>
      <c r="K2345" s="898"/>
      <c r="L2345" s="898"/>
      <c r="M2345" s="898"/>
      <c r="N2345" s="898"/>
      <c r="O2345" s="240" t="s">
        <v>100</v>
      </c>
      <c r="P2345" s="182" t="s">
        <v>101</v>
      </c>
    </row>
    <row r="2346" spans="9:16">
      <c r="I2346" s="881">
        <v>256</v>
      </c>
      <c r="J2346" s="875">
        <v>42622</v>
      </c>
      <c r="K2346" s="877" t="s">
        <v>1060</v>
      </c>
      <c r="L2346" s="879" t="s">
        <v>1061</v>
      </c>
      <c r="M2346" s="881" t="s">
        <v>148</v>
      </c>
      <c r="N2346" s="883">
        <v>2000000</v>
      </c>
      <c r="O2346" s="55">
        <v>722</v>
      </c>
      <c r="P2346" s="78">
        <v>2000000</v>
      </c>
    </row>
    <row r="2347" spans="9:16" ht="15.75" thickBot="1">
      <c r="I2347" s="882"/>
      <c r="J2347" s="876"/>
      <c r="K2347" s="878"/>
      <c r="L2347" s="880"/>
      <c r="M2347" s="882"/>
      <c r="N2347" s="884"/>
      <c r="O2347" s="56">
        <v>721</v>
      </c>
      <c r="P2347" s="79">
        <f>+N2346-P2346</f>
        <v>0</v>
      </c>
    </row>
    <row r="2348" spans="9:16">
      <c r="I2348" s="881"/>
      <c r="J2348" s="875"/>
      <c r="K2348" s="877"/>
      <c r="L2348" s="879"/>
      <c r="M2348" s="881"/>
      <c r="N2348" s="883"/>
      <c r="O2348" s="55">
        <v>719</v>
      </c>
      <c r="P2348" s="78"/>
    </row>
    <row r="2349" spans="9:16" ht="15.75" thickBot="1">
      <c r="I2349" s="882"/>
      <c r="J2349" s="876"/>
      <c r="K2349" s="878"/>
      <c r="L2349" s="880"/>
      <c r="M2349" s="882"/>
      <c r="N2349" s="884"/>
      <c r="O2349" s="56">
        <v>721</v>
      </c>
      <c r="P2349" s="79">
        <f>+N2348-P2348</f>
        <v>0</v>
      </c>
    </row>
    <row r="2350" spans="9:16">
      <c r="I2350" s="881"/>
      <c r="J2350" s="875"/>
      <c r="K2350" s="877"/>
      <c r="L2350" s="879"/>
      <c r="M2350" s="881"/>
      <c r="N2350" s="883"/>
      <c r="O2350" s="55">
        <v>719</v>
      </c>
      <c r="P2350" s="78"/>
    </row>
    <row r="2351" spans="9:16" ht="13.5" customHeight="1" thickBot="1">
      <c r="I2351" s="882"/>
      <c r="J2351" s="876"/>
      <c r="K2351" s="878"/>
      <c r="L2351" s="880"/>
      <c r="M2351" s="882"/>
      <c r="N2351" s="884"/>
      <c r="O2351" s="56">
        <v>721</v>
      </c>
      <c r="P2351" s="79">
        <f>+N2350-P2350</f>
        <v>0</v>
      </c>
    </row>
    <row r="2352" spans="9:16">
      <c r="I2352" s="881"/>
      <c r="J2352" s="875"/>
      <c r="K2352" s="877"/>
      <c r="L2352" s="879"/>
      <c r="M2352" s="881"/>
      <c r="N2352" s="883"/>
      <c r="O2352" s="55">
        <v>719</v>
      </c>
      <c r="P2352" s="78"/>
    </row>
    <row r="2353" spans="9:16" ht="15.75" thickBot="1">
      <c r="I2353" s="882"/>
      <c r="J2353" s="876"/>
      <c r="K2353" s="878"/>
      <c r="L2353" s="880"/>
      <c r="M2353" s="882"/>
      <c r="N2353" s="884"/>
      <c r="O2353" s="56">
        <v>721</v>
      </c>
      <c r="P2353" s="79">
        <f>+N2352-P2352</f>
        <v>0</v>
      </c>
    </row>
    <row r="2354" spans="9:16">
      <c r="I2354" s="881"/>
      <c r="J2354" s="875"/>
      <c r="K2354" s="877"/>
      <c r="L2354" s="879"/>
      <c r="M2354" s="881"/>
      <c r="N2354" s="883"/>
      <c r="O2354" s="55">
        <v>719</v>
      </c>
      <c r="P2354" s="78"/>
    </row>
    <row r="2355" spans="9:16" ht="12" customHeight="1" thickBot="1">
      <c r="I2355" s="882"/>
      <c r="J2355" s="876"/>
      <c r="K2355" s="878"/>
      <c r="L2355" s="880"/>
      <c r="M2355" s="882"/>
      <c r="N2355" s="884"/>
      <c r="O2355" s="56">
        <v>723</v>
      </c>
      <c r="P2355" s="79">
        <f>+N2354-P2354</f>
        <v>0</v>
      </c>
    </row>
    <row r="2356" spans="9:16" ht="16.5" thickBot="1">
      <c r="I2356" s="901" t="s">
        <v>102</v>
      </c>
      <c r="J2356" s="902"/>
      <c r="K2356" s="902"/>
      <c r="L2356" s="902"/>
      <c r="M2356" s="903"/>
      <c r="N2356" s="81">
        <f>SUM(N2346:N2355)</f>
        <v>2000000</v>
      </c>
    </row>
    <row r="2357" spans="9:16" ht="16.5" thickBot="1">
      <c r="I2357" s="885" t="s">
        <v>103</v>
      </c>
      <c r="J2357" s="886"/>
      <c r="K2357" s="886"/>
      <c r="L2357" s="886"/>
      <c r="M2357" s="887"/>
      <c r="N2357" s="69">
        <f>+N2321</f>
        <v>479221470</v>
      </c>
      <c r="O2357" s="241" t="s">
        <v>561</v>
      </c>
      <c r="P2357" s="242">
        <v>0</v>
      </c>
    </row>
    <row r="2358" spans="9:16" ht="16.5" thickBot="1">
      <c r="I2358" s="888" t="s">
        <v>104</v>
      </c>
      <c r="J2358" s="889"/>
      <c r="K2358" s="889"/>
      <c r="L2358" s="889"/>
      <c r="M2358" s="890"/>
      <c r="N2358" s="183">
        <f>SUM(N2356:N2357)</f>
        <v>481221470</v>
      </c>
    </row>
    <row r="2359" spans="9:16">
      <c r="I2359" s="61"/>
      <c r="J2359" s="61"/>
      <c r="K2359" s="61"/>
      <c r="L2359" s="61"/>
      <c r="M2359" s="61"/>
    </row>
    <row r="2360" spans="9:16">
      <c r="I2360" s="51" t="s">
        <v>1062</v>
      </c>
    </row>
    <row r="2361" spans="9:16" ht="12" customHeight="1">
      <c r="N2361" s="139"/>
    </row>
    <row r="2362" spans="9:16">
      <c r="I2362" s="50" t="s">
        <v>105</v>
      </c>
      <c r="L2362" s="146"/>
      <c r="N2362" s="139"/>
    </row>
    <row r="2363" spans="9:16" ht="15.75" thickBot="1"/>
    <row r="2364" spans="9:16" ht="15.75" thickBot="1">
      <c r="I2364" s="891" t="s">
        <v>106</v>
      </c>
      <c r="J2364" s="892"/>
      <c r="K2364" s="892"/>
      <c r="L2364" s="893"/>
      <c r="N2364" s="50" t="s">
        <v>288</v>
      </c>
    </row>
    <row r="2365" spans="9:16" ht="30.75" thickBot="1">
      <c r="I2365" s="57" t="s">
        <v>100</v>
      </c>
      <c r="J2365" s="58" t="s">
        <v>108</v>
      </c>
      <c r="K2365" s="287" t="s">
        <v>109</v>
      </c>
      <c r="L2365" s="60" t="s">
        <v>110</v>
      </c>
    </row>
    <row r="2366" spans="9:16">
      <c r="I2366" s="71">
        <v>719</v>
      </c>
      <c r="J2366" s="73"/>
      <c r="K2366" s="74">
        <f>+L2329</f>
        <v>46060000</v>
      </c>
      <c r="L2366" s="195">
        <f>+J2366+K2366</f>
        <v>46060000</v>
      </c>
    </row>
    <row r="2367" spans="9:16">
      <c r="I2367" s="72">
        <v>721</v>
      </c>
      <c r="J2367" s="80">
        <f>+P2347+P2349+P2351+P2353+P2355</f>
        <v>0</v>
      </c>
      <c r="K2367" s="74">
        <f>+L2330</f>
        <v>90541559</v>
      </c>
      <c r="L2367" s="195">
        <f>+J2367+K2367</f>
        <v>90541559</v>
      </c>
    </row>
    <row r="2368" spans="9:16">
      <c r="I2368" s="72">
        <v>722</v>
      </c>
      <c r="J2368" s="80">
        <f>+P2346</f>
        <v>2000000</v>
      </c>
      <c r="K2368" s="74">
        <f>+L2331</f>
        <v>42881706</v>
      </c>
      <c r="L2368" s="195">
        <f>+J2368+K2368</f>
        <v>44881706</v>
      </c>
    </row>
    <row r="2369" spans="9:16" ht="15.75">
      <c r="I2369" s="72">
        <v>723</v>
      </c>
      <c r="J2369" s="80"/>
      <c r="K2369" s="74">
        <f>+L2332</f>
        <v>299668205</v>
      </c>
      <c r="L2369" s="195">
        <f>+J2369+K2369</f>
        <v>299668205</v>
      </c>
      <c r="N2369" s="193" t="s">
        <v>289</v>
      </c>
      <c r="O2369" s="175"/>
    </row>
    <row r="2370" spans="9:16" ht="16.5" thickBot="1">
      <c r="I2370" s="164" t="s">
        <v>181</v>
      </c>
      <c r="J2370" s="165"/>
      <c r="K2370" s="74">
        <f>+L2333</f>
        <v>0</v>
      </c>
      <c r="L2370" s="196">
        <f>+J2370+K2370</f>
        <v>0</v>
      </c>
      <c r="N2370" s="52"/>
    </row>
    <row r="2371" spans="9:16" ht="16.5" thickBot="1">
      <c r="I2371" s="169"/>
      <c r="J2371" s="197">
        <f>SUM(J2366:J2370)</f>
        <v>2000000</v>
      </c>
      <c r="K2371" s="197">
        <f>SUM(K2366:K2370)</f>
        <v>479151470</v>
      </c>
      <c r="L2371" s="198">
        <f>SUM(L2366:L2370)</f>
        <v>481151470</v>
      </c>
    </row>
    <row r="2372" spans="9:16" ht="16.5">
      <c r="I2372" s="49" t="s">
        <v>88</v>
      </c>
      <c r="J2372" s="50"/>
    </row>
    <row r="2373" spans="9:16">
      <c r="I2373" s="51" t="s">
        <v>89</v>
      </c>
    </row>
    <row r="2374" spans="9:16">
      <c r="I2374" s="51" t="s">
        <v>90</v>
      </c>
    </row>
    <row r="2375" spans="9:16">
      <c r="I2375" s="51" t="s">
        <v>91</v>
      </c>
    </row>
    <row r="2376" spans="9:16" ht="12" customHeight="1">
      <c r="I2376" s="50"/>
      <c r="J2376" s="50"/>
    </row>
    <row r="2377" spans="9:16" ht="15.75">
      <c r="I2377" s="260" t="s">
        <v>1066</v>
      </c>
      <c r="O2377" s="52"/>
    </row>
    <row r="2378" spans="9:16" ht="15.75">
      <c r="I2378" s="53" t="s">
        <v>535</v>
      </c>
      <c r="O2378" s="53"/>
    </row>
    <row r="2379" spans="9:16" ht="16.5">
      <c r="I2379" s="894" t="s">
        <v>909</v>
      </c>
      <c r="J2379" s="894"/>
      <c r="K2379" s="894"/>
      <c r="L2379" s="894"/>
      <c r="M2379" s="894"/>
      <c r="N2379" s="894"/>
      <c r="O2379" s="894"/>
      <c r="P2379" s="894"/>
    </row>
    <row r="2380" spans="9:16" ht="15.75" thickBot="1"/>
    <row r="2381" spans="9:16">
      <c r="I2381" s="895" t="s">
        <v>94</v>
      </c>
      <c r="J2381" s="897" t="s">
        <v>95</v>
      </c>
      <c r="K2381" s="897" t="s">
        <v>96</v>
      </c>
      <c r="L2381" s="897" t="s">
        <v>3</v>
      </c>
      <c r="M2381" s="897" t="s">
        <v>97</v>
      </c>
      <c r="N2381" s="897" t="s">
        <v>98</v>
      </c>
      <c r="O2381" s="897" t="s">
        <v>99</v>
      </c>
      <c r="P2381" s="899"/>
    </row>
    <row r="2382" spans="9:16" ht="15.75" thickBot="1">
      <c r="I2382" s="896"/>
      <c r="J2382" s="898"/>
      <c r="K2382" s="898"/>
      <c r="L2382" s="898"/>
      <c r="M2382" s="898"/>
      <c r="N2382" s="898"/>
      <c r="O2382" s="240" t="s">
        <v>100</v>
      </c>
      <c r="P2382" s="182" t="s">
        <v>101</v>
      </c>
    </row>
    <row r="2383" spans="9:16" ht="15" customHeight="1">
      <c r="I2383" s="881">
        <v>257</v>
      </c>
      <c r="J2383" s="875">
        <v>42622</v>
      </c>
      <c r="K2383" s="877" t="s">
        <v>1014</v>
      </c>
      <c r="L2383" s="879" t="s">
        <v>1067</v>
      </c>
      <c r="M2383" s="881" t="s">
        <v>115</v>
      </c>
      <c r="N2383" s="883">
        <v>60000</v>
      </c>
      <c r="O2383" s="55">
        <v>719</v>
      </c>
      <c r="P2383" s="78">
        <v>60000</v>
      </c>
    </row>
    <row r="2384" spans="9:16" ht="15.75" customHeight="1" thickBot="1">
      <c r="I2384" s="882"/>
      <c r="J2384" s="876"/>
      <c r="K2384" s="878"/>
      <c r="L2384" s="880"/>
      <c r="M2384" s="882"/>
      <c r="N2384" s="884"/>
      <c r="O2384" s="56">
        <v>721</v>
      </c>
      <c r="P2384" s="79">
        <f>+N2383-P2383</f>
        <v>0</v>
      </c>
    </row>
    <row r="2385" spans="9:16" ht="15" customHeight="1">
      <c r="I2385" s="881">
        <v>258</v>
      </c>
      <c r="J2385" s="875">
        <v>42622</v>
      </c>
      <c r="K2385" s="877" t="s">
        <v>28</v>
      </c>
      <c r="L2385" s="879" t="s">
        <v>1069</v>
      </c>
      <c r="M2385" s="881" t="s">
        <v>115</v>
      </c>
      <c r="N2385" s="883">
        <v>50000</v>
      </c>
      <c r="O2385" s="55">
        <v>719</v>
      </c>
      <c r="P2385" s="78">
        <v>50000</v>
      </c>
    </row>
    <row r="2386" spans="9:16" ht="15.75" customHeight="1" thickBot="1">
      <c r="I2386" s="882"/>
      <c r="J2386" s="876"/>
      <c r="K2386" s="878"/>
      <c r="L2386" s="880"/>
      <c r="M2386" s="882"/>
      <c r="N2386" s="884"/>
      <c r="O2386" s="56">
        <v>721</v>
      </c>
      <c r="P2386" s="79">
        <f>+N2385-P2385</f>
        <v>0</v>
      </c>
    </row>
    <row r="2387" spans="9:16">
      <c r="I2387" s="881"/>
      <c r="J2387" s="875"/>
      <c r="K2387" s="877"/>
      <c r="L2387" s="879"/>
      <c r="M2387" s="881"/>
      <c r="N2387" s="883"/>
      <c r="O2387" s="55">
        <v>719</v>
      </c>
      <c r="P2387" s="78"/>
    </row>
    <row r="2388" spans="9:16" ht="15.75" thickBot="1">
      <c r="I2388" s="882"/>
      <c r="J2388" s="876"/>
      <c r="K2388" s="878"/>
      <c r="L2388" s="880"/>
      <c r="M2388" s="882"/>
      <c r="N2388" s="884"/>
      <c r="O2388" s="56">
        <v>721</v>
      </c>
      <c r="P2388" s="79">
        <f>+N2387-P2387</f>
        <v>0</v>
      </c>
    </row>
    <row r="2389" spans="9:16">
      <c r="I2389" s="881"/>
      <c r="J2389" s="875"/>
      <c r="K2389" s="877"/>
      <c r="L2389" s="879"/>
      <c r="M2389" s="881"/>
      <c r="N2389" s="883"/>
      <c r="O2389" s="55">
        <v>719</v>
      </c>
      <c r="P2389" s="78"/>
    </row>
    <row r="2390" spans="9:16" ht="15.75" thickBot="1">
      <c r="I2390" s="882"/>
      <c r="J2390" s="876"/>
      <c r="K2390" s="878"/>
      <c r="L2390" s="880"/>
      <c r="M2390" s="882"/>
      <c r="N2390" s="884"/>
      <c r="O2390" s="56">
        <v>721</v>
      </c>
      <c r="P2390" s="79">
        <f>+N2389-P2389</f>
        <v>0</v>
      </c>
    </row>
    <row r="2391" spans="9:16">
      <c r="I2391" s="881"/>
      <c r="J2391" s="875"/>
      <c r="K2391" s="877"/>
      <c r="L2391" s="879"/>
      <c r="M2391" s="881"/>
      <c r="N2391" s="883"/>
      <c r="O2391" s="55">
        <v>719</v>
      </c>
      <c r="P2391" s="78"/>
    </row>
    <row r="2392" spans="9:16" ht="15.75" thickBot="1">
      <c r="I2392" s="882"/>
      <c r="J2392" s="876"/>
      <c r="K2392" s="878"/>
      <c r="L2392" s="880"/>
      <c r="M2392" s="882"/>
      <c r="N2392" s="884"/>
      <c r="O2392" s="56">
        <v>723</v>
      </c>
      <c r="P2392" s="79">
        <f>+N2391-P2391</f>
        <v>0</v>
      </c>
    </row>
    <row r="2393" spans="9:16" ht="16.5" thickBot="1">
      <c r="I2393" s="901" t="s">
        <v>102</v>
      </c>
      <c r="J2393" s="902"/>
      <c r="K2393" s="902"/>
      <c r="L2393" s="902"/>
      <c r="M2393" s="903"/>
      <c r="N2393" s="81">
        <f>SUM(N2383:N2392)</f>
        <v>110000</v>
      </c>
    </row>
    <row r="2394" spans="9:16" ht="16.5" thickBot="1">
      <c r="I2394" s="885" t="s">
        <v>103</v>
      </c>
      <c r="J2394" s="886"/>
      <c r="K2394" s="886"/>
      <c r="L2394" s="886"/>
      <c r="M2394" s="887"/>
      <c r="N2394" s="69">
        <f>+N2358</f>
        <v>481221470</v>
      </c>
      <c r="O2394" s="241" t="s">
        <v>561</v>
      </c>
      <c r="P2394" s="242">
        <f>123+195</f>
        <v>318</v>
      </c>
    </row>
    <row r="2395" spans="9:16" ht="16.5" thickBot="1">
      <c r="I2395" s="888" t="s">
        <v>104</v>
      </c>
      <c r="J2395" s="889"/>
      <c r="K2395" s="889"/>
      <c r="L2395" s="889"/>
      <c r="M2395" s="890"/>
      <c r="N2395" s="183">
        <f>SUM(N2393:N2394)</f>
        <v>481331470</v>
      </c>
    </row>
    <row r="2396" spans="9:16">
      <c r="I2396" s="61"/>
      <c r="J2396" s="61"/>
      <c r="K2396" s="61"/>
      <c r="L2396" s="61"/>
      <c r="M2396" s="61"/>
    </row>
    <row r="2397" spans="9:16">
      <c r="I2397" s="51" t="s">
        <v>1068</v>
      </c>
    </row>
    <row r="2398" spans="9:16" ht="12" customHeight="1">
      <c r="N2398" s="139"/>
    </row>
    <row r="2399" spans="9:16">
      <c r="I2399" s="50" t="s">
        <v>105</v>
      </c>
      <c r="L2399" s="146"/>
      <c r="N2399" s="139"/>
    </row>
    <row r="2400" spans="9:16" ht="12.75" customHeight="1" thickBot="1"/>
    <row r="2401" spans="9:16" ht="15.75" thickBot="1">
      <c r="I2401" s="891" t="s">
        <v>106</v>
      </c>
      <c r="J2401" s="892"/>
      <c r="K2401" s="892"/>
      <c r="L2401" s="893"/>
      <c r="N2401" s="50" t="s">
        <v>288</v>
      </c>
    </row>
    <row r="2402" spans="9:16" ht="30.75" thickBot="1">
      <c r="I2402" s="57" t="s">
        <v>100</v>
      </c>
      <c r="J2402" s="58" t="s">
        <v>108</v>
      </c>
      <c r="K2402" s="287" t="s">
        <v>109</v>
      </c>
      <c r="L2402" s="60" t="s">
        <v>110</v>
      </c>
    </row>
    <row r="2403" spans="9:16">
      <c r="I2403" s="71">
        <v>719</v>
      </c>
      <c r="J2403" s="73">
        <f>+P2383+P2385</f>
        <v>110000</v>
      </c>
      <c r="K2403" s="74">
        <f>+L2366</f>
        <v>46060000</v>
      </c>
      <c r="L2403" s="195">
        <f>+J2403+K2403</f>
        <v>46170000</v>
      </c>
    </row>
    <row r="2404" spans="9:16">
      <c r="I2404" s="72">
        <v>721</v>
      </c>
      <c r="J2404" s="80">
        <f>+P2384+P2386+P2388+P2390+P2392</f>
        <v>0</v>
      </c>
      <c r="K2404" s="74">
        <f>+L2367</f>
        <v>90541559</v>
      </c>
      <c r="L2404" s="195">
        <f>+J2404+K2404</f>
        <v>90541559</v>
      </c>
    </row>
    <row r="2405" spans="9:16">
      <c r="I2405" s="72">
        <v>722</v>
      </c>
      <c r="J2405" s="80"/>
      <c r="K2405" s="74">
        <f>+L2368</f>
        <v>44881706</v>
      </c>
      <c r="L2405" s="195">
        <f>+J2405+K2405</f>
        <v>44881706</v>
      </c>
    </row>
    <row r="2406" spans="9:16" ht="15.75">
      <c r="I2406" s="72">
        <v>723</v>
      </c>
      <c r="J2406" s="80"/>
      <c r="K2406" s="74">
        <f>+L2369</f>
        <v>299668205</v>
      </c>
      <c r="L2406" s="195">
        <f>+J2406+K2406</f>
        <v>299668205</v>
      </c>
      <c r="N2406" s="193" t="s">
        <v>289</v>
      </c>
      <c r="O2406" s="175"/>
    </row>
    <row r="2407" spans="9:16" ht="16.5" thickBot="1">
      <c r="I2407" s="164" t="s">
        <v>181</v>
      </c>
      <c r="J2407" s="165"/>
      <c r="K2407" s="74">
        <f>+L2370</f>
        <v>0</v>
      </c>
      <c r="L2407" s="196">
        <f>+J2407+K2407</f>
        <v>0</v>
      </c>
      <c r="N2407" s="52"/>
    </row>
    <row r="2408" spans="9:16" ht="16.5" thickBot="1">
      <c r="I2408" s="169"/>
      <c r="J2408" s="197">
        <f>SUM(J2403:J2407)</f>
        <v>110000</v>
      </c>
      <c r="K2408" s="197">
        <f>SUM(K2403:K2407)</f>
        <v>481151470</v>
      </c>
      <c r="L2408" s="198">
        <f>SUM(L2403:L2407)</f>
        <v>481261470</v>
      </c>
    </row>
    <row r="2409" spans="9:16" ht="16.5">
      <c r="I2409" s="49" t="s">
        <v>88</v>
      </c>
      <c r="J2409" s="50"/>
    </row>
    <row r="2410" spans="9:16">
      <c r="I2410" s="51" t="s">
        <v>89</v>
      </c>
    </row>
    <row r="2411" spans="9:16">
      <c r="I2411" s="51" t="s">
        <v>90</v>
      </c>
    </row>
    <row r="2412" spans="9:16">
      <c r="I2412" s="51" t="s">
        <v>91</v>
      </c>
    </row>
    <row r="2413" spans="9:16" ht="11.25" customHeight="1">
      <c r="I2413" s="50"/>
      <c r="J2413" s="50"/>
    </row>
    <row r="2414" spans="9:16" ht="15.75">
      <c r="I2414" s="260" t="s">
        <v>1070</v>
      </c>
      <c r="O2414" s="52"/>
    </row>
    <row r="2415" spans="9:16" ht="15.75">
      <c r="I2415" s="53" t="s">
        <v>535</v>
      </c>
      <c r="O2415" s="53"/>
    </row>
    <row r="2416" spans="9:16" ht="16.5">
      <c r="I2416" s="894" t="s">
        <v>909</v>
      </c>
      <c r="J2416" s="894"/>
      <c r="K2416" s="894"/>
      <c r="L2416" s="894"/>
      <c r="M2416" s="894"/>
      <c r="N2416" s="894"/>
      <c r="O2416" s="894"/>
      <c r="P2416" s="894"/>
    </row>
    <row r="2417" spans="9:16" ht="15.75" thickBot="1"/>
    <row r="2418" spans="9:16">
      <c r="I2418" s="895" t="s">
        <v>94</v>
      </c>
      <c r="J2418" s="897" t="s">
        <v>95</v>
      </c>
      <c r="K2418" s="897" t="s">
        <v>96</v>
      </c>
      <c r="L2418" s="897" t="s">
        <v>3</v>
      </c>
      <c r="M2418" s="897" t="s">
        <v>97</v>
      </c>
      <c r="N2418" s="897" t="s">
        <v>98</v>
      </c>
      <c r="O2418" s="897" t="s">
        <v>99</v>
      </c>
      <c r="P2418" s="899"/>
    </row>
    <row r="2419" spans="9:16" ht="15.75" thickBot="1">
      <c r="I2419" s="896"/>
      <c r="J2419" s="898"/>
      <c r="K2419" s="898"/>
      <c r="L2419" s="898"/>
      <c r="M2419" s="898"/>
      <c r="N2419" s="898"/>
      <c r="O2419" s="240" t="s">
        <v>100</v>
      </c>
      <c r="P2419" s="182" t="s">
        <v>101</v>
      </c>
    </row>
    <row r="2420" spans="9:16">
      <c r="I2420" s="881">
        <v>259</v>
      </c>
      <c r="J2420" s="875">
        <v>42632</v>
      </c>
      <c r="K2420" s="877" t="s">
        <v>1014</v>
      </c>
      <c r="L2420" s="879" t="s">
        <v>1072</v>
      </c>
      <c r="M2420" s="881" t="s">
        <v>115</v>
      </c>
      <c r="N2420" s="883">
        <v>150000</v>
      </c>
      <c r="O2420" s="55">
        <v>719</v>
      </c>
      <c r="P2420" s="78">
        <v>150000</v>
      </c>
    </row>
    <row r="2421" spans="9:16" ht="15.75" thickBot="1">
      <c r="I2421" s="882"/>
      <c r="J2421" s="876"/>
      <c r="K2421" s="878"/>
      <c r="L2421" s="880"/>
      <c r="M2421" s="882"/>
      <c r="N2421" s="884"/>
      <c r="O2421" s="56">
        <v>721</v>
      </c>
      <c r="P2421" s="79">
        <f>+N2420-P2420</f>
        <v>0</v>
      </c>
    </row>
    <row r="2422" spans="9:16">
      <c r="I2422" s="881">
        <v>260</v>
      </c>
      <c r="J2422" s="875">
        <v>42632</v>
      </c>
      <c r="K2422" s="877" t="s">
        <v>120</v>
      </c>
      <c r="L2422" s="879" t="s">
        <v>1071</v>
      </c>
      <c r="M2422" s="881" t="s">
        <v>115</v>
      </c>
      <c r="N2422" s="883">
        <v>110000</v>
      </c>
      <c r="O2422" s="55">
        <v>719</v>
      </c>
      <c r="P2422" s="78">
        <v>110000</v>
      </c>
    </row>
    <row r="2423" spans="9:16" ht="15.75" thickBot="1">
      <c r="I2423" s="882"/>
      <c r="J2423" s="876"/>
      <c r="K2423" s="878"/>
      <c r="L2423" s="880"/>
      <c r="M2423" s="882"/>
      <c r="N2423" s="884"/>
      <c r="O2423" s="56">
        <v>721</v>
      </c>
      <c r="P2423" s="79">
        <f>+N2422-P2422</f>
        <v>0</v>
      </c>
    </row>
    <row r="2424" spans="9:16">
      <c r="I2424" s="881"/>
      <c r="J2424" s="875"/>
      <c r="K2424" s="877"/>
      <c r="L2424" s="879"/>
      <c r="M2424" s="881"/>
      <c r="N2424" s="883"/>
      <c r="O2424" s="55">
        <v>719</v>
      </c>
      <c r="P2424" s="78"/>
    </row>
    <row r="2425" spans="9:16" ht="14.25" customHeight="1" thickBot="1">
      <c r="I2425" s="882"/>
      <c r="J2425" s="876"/>
      <c r="K2425" s="878"/>
      <c r="L2425" s="880"/>
      <c r="M2425" s="882"/>
      <c r="N2425" s="884"/>
      <c r="O2425" s="56">
        <v>721</v>
      </c>
      <c r="P2425" s="79">
        <f>+N2424-P2424</f>
        <v>0</v>
      </c>
    </row>
    <row r="2426" spans="9:16">
      <c r="I2426" s="881"/>
      <c r="J2426" s="875"/>
      <c r="K2426" s="877"/>
      <c r="L2426" s="879"/>
      <c r="M2426" s="881"/>
      <c r="N2426" s="883"/>
      <c r="O2426" s="55">
        <v>719</v>
      </c>
      <c r="P2426" s="78"/>
    </row>
    <row r="2427" spans="9:16" ht="13.5" customHeight="1" thickBot="1">
      <c r="I2427" s="882"/>
      <c r="J2427" s="876"/>
      <c r="K2427" s="878"/>
      <c r="L2427" s="880"/>
      <c r="M2427" s="882"/>
      <c r="N2427" s="884"/>
      <c r="O2427" s="56">
        <v>721</v>
      </c>
      <c r="P2427" s="79">
        <f>+N2426-P2426</f>
        <v>0</v>
      </c>
    </row>
    <row r="2428" spans="9:16">
      <c r="I2428" s="881"/>
      <c r="J2428" s="875"/>
      <c r="K2428" s="877"/>
      <c r="L2428" s="879"/>
      <c r="M2428" s="881"/>
      <c r="N2428" s="883"/>
      <c r="O2428" s="55">
        <v>719</v>
      </c>
      <c r="P2428" s="78"/>
    </row>
    <row r="2429" spans="9:16" ht="14.25" customHeight="1" thickBot="1">
      <c r="I2429" s="882"/>
      <c r="J2429" s="876"/>
      <c r="K2429" s="878"/>
      <c r="L2429" s="880"/>
      <c r="M2429" s="882"/>
      <c r="N2429" s="884"/>
      <c r="O2429" s="56">
        <v>723</v>
      </c>
      <c r="P2429" s="79">
        <f>+N2428-P2428</f>
        <v>0</v>
      </c>
    </row>
    <row r="2430" spans="9:16" ht="16.5" thickBot="1">
      <c r="I2430" s="901" t="s">
        <v>102</v>
      </c>
      <c r="J2430" s="902"/>
      <c r="K2430" s="902"/>
      <c r="L2430" s="902"/>
      <c r="M2430" s="903"/>
      <c r="N2430" s="81">
        <f>SUM(N2420:N2429)</f>
        <v>260000</v>
      </c>
    </row>
    <row r="2431" spans="9:16" ht="16.5" thickBot="1">
      <c r="I2431" s="885" t="s">
        <v>103</v>
      </c>
      <c r="J2431" s="886"/>
      <c r="K2431" s="886"/>
      <c r="L2431" s="886"/>
      <c r="M2431" s="887"/>
      <c r="N2431" s="69">
        <f>+N2395</f>
        <v>481331470</v>
      </c>
      <c r="O2431" s="241" t="s">
        <v>561</v>
      </c>
      <c r="P2431" s="242">
        <f>528+24</f>
        <v>552</v>
      </c>
    </row>
    <row r="2432" spans="9:16" ht="16.5" thickBot="1">
      <c r="I2432" s="888" t="s">
        <v>104</v>
      </c>
      <c r="J2432" s="889"/>
      <c r="K2432" s="889"/>
      <c r="L2432" s="889"/>
      <c r="M2432" s="890"/>
      <c r="N2432" s="183">
        <f>SUM(N2430:N2431)</f>
        <v>481591470</v>
      </c>
    </row>
    <row r="2433" spans="9:15">
      <c r="I2433" s="61"/>
      <c r="J2433" s="61"/>
      <c r="K2433" s="61"/>
      <c r="L2433" s="61"/>
      <c r="M2433" s="61"/>
    </row>
    <row r="2434" spans="9:15">
      <c r="I2434" s="51" t="s">
        <v>1073</v>
      </c>
    </row>
    <row r="2435" spans="9:15">
      <c r="N2435" s="139"/>
    </row>
    <row r="2436" spans="9:15">
      <c r="I2436" s="50" t="s">
        <v>105</v>
      </c>
      <c r="L2436" s="146"/>
      <c r="N2436" s="139"/>
    </row>
    <row r="2437" spans="9:15" ht="15.75" thickBot="1"/>
    <row r="2438" spans="9:15" ht="15.75" thickBot="1">
      <c r="I2438" s="891" t="s">
        <v>106</v>
      </c>
      <c r="J2438" s="892"/>
      <c r="K2438" s="892"/>
      <c r="L2438" s="893"/>
      <c r="N2438" s="50" t="s">
        <v>288</v>
      </c>
    </row>
    <row r="2439" spans="9:15" ht="30.75" thickBot="1">
      <c r="I2439" s="57" t="s">
        <v>100</v>
      </c>
      <c r="J2439" s="58" t="s">
        <v>108</v>
      </c>
      <c r="K2439" s="287" t="s">
        <v>109</v>
      </c>
      <c r="L2439" s="60" t="s">
        <v>110</v>
      </c>
    </row>
    <row r="2440" spans="9:15">
      <c r="I2440" s="71">
        <v>719</v>
      </c>
      <c r="J2440" s="73">
        <f>+P2420+P2422</f>
        <v>260000</v>
      </c>
      <c r="K2440" s="74">
        <f>+L2403</f>
        <v>46170000</v>
      </c>
      <c r="L2440" s="195">
        <f>+J2440+K2440</f>
        <v>46430000</v>
      </c>
    </row>
    <row r="2441" spans="9:15">
      <c r="I2441" s="72">
        <v>721</v>
      </c>
      <c r="J2441" s="80">
        <f>+P2421+P2423+P2425+P2427+P2429</f>
        <v>0</v>
      </c>
      <c r="K2441" s="74">
        <f>+L2404</f>
        <v>90541559</v>
      </c>
      <c r="L2441" s="195">
        <f>+J2441+K2441</f>
        <v>90541559</v>
      </c>
    </row>
    <row r="2442" spans="9:15">
      <c r="I2442" s="72">
        <v>722</v>
      </c>
      <c r="J2442" s="80"/>
      <c r="K2442" s="74">
        <f>+L2405</f>
        <v>44881706</v>
      </c>
      <c r="L2442" s="195">
        <f>+J2442+K2442</f>
        <v>44881706</v>
      </c>
    </row>
    <row r="2443" spans="9:15" ht="15.75">
      <c r="I2443" s="72">
        <v>723</v>
      </c>
      <c r="J2443" s="80"/>
      <c r="K2443" s="74">
        <f>+L2406</f>
        <v>299668205</v>
      </c>
      <c r="L2443" s="195">
        <f>+J2443+K2443</f>
        <v>299668205</v>
      </c>
      <c r="N2443" s="193" t="s">
        <v>289</v>
      </c>
      <c r="O2443" s="175"/>
    </row>
    <row r="2444" spans="9:15" ht="16.5" thickBot="1">
      <c r="I2444" s="164" t="s">
        <v>181</v>
      </c>
      <c r="J2444" s="165"/>
      <c r="K2444" s="74">
        <f>+L2407</f>
        <v>0</v>
      </c>
      <c r="L2444" s="196">
        <f>+J2444+K2444</f>
        <v>0</v>
      </c>
      <c r="N2444" s="52"/>
    </row>
    <row r="2445" spans="9:15" ht="16.5" thickBot="1">
      <c r="I2445" s="169"/>
      <c r="J2445" s="197">
        <f>SUM(J2440:J2444)</f>
        <v>260000</v>
      </c>
      <c r="K2445" s="197">
        <f>SUM(K2440:K2444)</f>
        <v>481261470</v>
      </c>
      <c r="L2445" s="198">
        <f>SUM(L2440:L2444)</f>
        <v>481521470</v>
      </c>
    </row>
    <row r="2446" spans="9:15" ht="16.5">
      <c r="I2446" s="49" t="s">
        <v>88</v>
      </c>
      <c r="J2446" s="50"/>
    </row>
    <row r="2447" spans="9:15">
      <c r="I2447" s="51" t="s">
        <v>89</v>
      </c>
    </row>
    <row r="2448" spans="9:15">
      <c r="I2448" s="51" t="s">
        <v>90</v>
      </c>
    </row>
    <row r="2449" spans="9:16">
      <c r="I2449" s="51" t="s">
        <v>91</v>
      </c>
    </row>
    <row r="2450" spans="9:16" ht="6.75" customHeight="1">
      <c r="I2450" s="50"/>
      <c r="J2450" s="50"/>
    </row>
    <row r="2451" spans="9:16" ht="15.75">
      <c r="I2451" s="260" t="s">
        <v>1074</v>
      </c>
      <c r="O2451" s="52"/>
    </row>
    <row r="2452" spans="9:16" ht="15.75">
      <c r="I2452" s="53" t="s">
        <v>535</v>
      </c>
      <c r="O2452" s="53"/>
    </row>
    <row r="2453" spans="9:16" ht="15.75" customHeight="1">
      <c r="I2453" s="894" t="s">
        <v>1078</v>
      </c>
      <c r="J2453" s="894"/>
      <c r="K2453" s="894"/>
      <c r="L2453" s="894"/>
      <c r="M2453" s="894"/>
      <c r="N2453" s="894"/>
      <c r="O2453" s="894"/>
      <c r="P2453" s="894"/>
    </row>
    <row r="2454" spans="9:16" ht="15.75" thickBot="1"/>
    <row r="2455" spans="9:16">
      <c r="I2455" s="895" t="s">
        <v>94</v>
      </c>
      <c r="J2455" s="897" t="s">
        <v>95</v>
      </c>
      <c r="K2455" s="897" t="s">
        <v>96</v>
      </c>
      <c r="L2455" s="897" t="s">
        <v>3</v>
      </c>
      <c r="M2455" s="897" t="s">
        <v>97</v>
      </c>
      <c r="N2455" s="897" t="s">
        <v>98</v>
      </c>
      <c r="O2455" s="897" t="s">
        <v>99</v>
      </c>
      <c r="P2455" s="899"/>
    </row>
    <row r="2456" spans="9:16" ht="15.75" thickBot="1">
      <c r="I2456" s="896"/>
      <c r="J2456" s="898"/>
      <c r="K2456" s="898"/>
      <c r="L2456" s="898"/>
      <c r="M2456" s="898"/>
      <c r="N2456" s="898"/>
      <c r="O2456" s="240" t="s">
        <v>100</v>
      </c>
      <c r="P2456" s="182" t="s">
        <v>101</v>
      </c>
    </row>
    <row r="2457" spans="9:16" ht="15" customHeight="1">
      <c r="I2457" s="881">
        <v>261</v>
      </c>
      <c r="J2457" s="875">
        <v>42641</v>
      </c>
      <c r="K2457" s="877" t="s">
        <v>1079</v>
      </c>
      <c r="L2457" s="879" t="s">
        <v>1080</v>
      </c>
      <c r="M2457" s="881" t="s">
        <v>783</v>
      </c>
      <c r="N2457" s="883">
        <v>145000</v>
      </c>
      <c r="O2457" s="55">
        <v>719</v>
      </c>
      <c r="P2457" s="78">
        <v>145000</v>
      </c>
    </row>
    <row r="2458" spans="9:16" ht="12.75" customHeight="1" thickBot="1">
      <c r="I2458" s="882"/>
      <c r="J2458" s="876"/>
      <c r="K2458" s="878"/>
      <c r="L2458" s="880"/>
      <c r="M2458" s="882"/>
      <c r="N2458" s="884"/>
      <c r="O2458" s="56">
        <v>721</v>
      </c>
      <c r="P2458" s="79">
        <f>+N2457-P2457</f>
        <v>0</v>
      </c>
    </row>
    <row r="2459" spans="9:16" ht="15" customHeight="1">
      <c r="I2459" s="881">
        <v>262</v>
      </c>
      <c r="J2459" s="875">
        <v>42641</v>
      </c>
      <c r="K2459" s="877" t="s">
        <v>1079</v>
      </c>
      <c r="L2459" s="879" t="s">
        <v>1081</v>
      </c>
      <c r="M2459" s="881" t="s">
        <v>783</v>
      </c>
      <c r="N2459" s="883">
        <v>72500</v>
      </c>
      <c r="O2459" s="55">
        <v>719</v>
      </c>
      <c r="P2459" s="78">
        <v>72500</v>
      </c>
    </row>
    <row r="2460" spans="9:16" ht="13.5" customHeight="1" thickBot="1">
      <c r="I2460" s="882"/>
      <c r="J2460" s="876"/>
      <c r="K2460" s="878"/>
      <c r="L2460" s="880"/>
      <c r="M2460" s="882"/>
      <c r="N2460" s="884"/>
      <c r="O2460" s="56">
        <v>721</v>
      </c>
      <c r="P2460" s="79">
        <f>+N2459-P2459</f>
        <v>0</v>
      </c>
    </row>
    <row r="2461" spans="9:16" ht="15" customHeight="1">
      <c r="I2461" s="881">
        <v>263</v>
      </c>
      <c r="J2461" s="875">
        <v>42641</v>
      </c>
      <c r="K2461" s="877" t="s">
        <v>1079</v>
      </c>
      <c r="L2461" s="879" t="s">
        <v>1082</v>
      </c>
      <c r="M2461" s="881" t="s">
        <v>783</v>
      </c>
      <c r="N2461" s="883">
        <v>72500</v>
      </c>
      <c r="O2461" s="55">
        <v>719</v>
      </c>
      <c r="P2461" s="78">
        <v>72500</v>
      </c>
    </row>
    <row r="2462" spans="9:16" ht="14.25" customHeight="1" thickBot="1">
      <c r="I2462" s="882"/>
      <c r="J2462" s="876"/>
      <c r="K2462" s="878"/>
      <c r="L2462" s="880"/>
      <c r="M2462" s="882"/>
      <c r="N2462" s="884"/>
      <c r="O2462" s="56">
        <v>721</v>
      </c>
      <c r="P2462" s="79">
        <f>+N2461-P2461</f>
        <v>0</v>
      </c>
    </row>
    <row r="2463" spans="9:16" ht="15" customHeight="1">
      <c r="I2463" s="881">
        <v>264</v>
      </c>
      <c r="J2463" s="875">
        <v>42641</v>
      </c>
      <c r="K2463" s="877" t="s">
        <v>1079</v>
      </c>
      <c r="L2463" s="879" t="s">
        <v>1084</v>
      </c>
      <c r="M2463" s="881" t="s">
        <v>783</v>
      </c>
      <c r="N2463" s="883">
        <v>217500</v>
      </c>
      <c r="O2463" s="55">
        <v>719</v>
      </c>
      <c r="P2463" s="78">
        <v>217500</v>
      </c>
    </row>
    <row r="2464" spans="9:16" ht="13.5" customHeight="1" thickBot="1">
      <c r="I2464" s="882"/>
      <c r="J2464" s="876"/>
      <c r="K2464" s="878"/>
      <c r="L2464" s="880"/>
      <c r="M2464" s="882"/>
      <c r="N2464" s="884"/>
      <c r="O2464" s="56">
        <v>721</v>
      </c>
      <c r="P2464" s="79">
        <f>+N2463-P2463</f>
        <v>0</v>
      </c>
    </row>
    <row r="2465" spans="9:16" ht="15.75" customHeight="1">
      <c r="I2465" s="881">
        <v>265</v>
      </c>
      <c r="J2465" s="875">
        <v>42641</v>
      </c>
      <c r="K2465" s="877" t="s">
        <v>1079</v>
      </c>
      <c r="L2465" s="879" t="s">
        <v>1095</v>
      </c>
      <c r="M2465" s="881" t="s">
        <v>783</v>
      </c>
      <c r="N2465" s="883">
        <f>72500*2</f>
        <v>145000</v>
      </c>
      <c r="O2465" s="55">
        <v>719</v>
      </c>
      <c r="P2465" s="78">
        <v>145000</v>
      </c>
    </row>
    <row r="2466" spans="9:16" ht="13.5" customHeight="1" thickBot="1">
      <c r="I2466" s="882"/>
      <c r="J2466" s="876"/>
      <c r="K2466" s="878"/>
      <c r="L2466" s="880"/>
      <c r="M2466" s="882"/>
      <c r="N2466" s="884"/>
      <c r="O2466" s="56">
        <v>721</v>
      </c>
      <c r="P2466" s="79">
        <f>+N2465-P2465</f>
        <v>0</v>
      </c>
    </row>
    <row r="2467" spans="9:16" ht="15" customHeight="1">
      <c r="I2467" s="881">
        <v>266</v>
      </c>
      <c r="J2467" s="875">
        <v>42641</v>
      </c>
      <c r="K2467" s="877" t="s">
        <v>1079</v>
      </c>
      <c r="L2467" s="879" t="s">
        <v>1086</v>
      </c>
      <c r="M2467" s="881" t="s">
        <v>783</v>
      </c>
      <c r="N2467" s="883">
        <v>145000</v>
      </c>
      <c r="O2467" s="55">
        <v>719</v>
      </c>
      <c r="P2467" s="78">
        <v>145000</v>
      </c>
    </row>
    <row r="2468" spans="9:16" ht="13.5" customHeight="1" thickBot="1">
      <c r="I2468" s="882"/>
      <c r="J2468" s="876"/>
      <c r="K2468" s="878"/>
      <c r="L2468" s="880"/>
      <c r="M2468" s="882"/>
      <c r="N2468" s="884"/>
      <c r="O2468" s="56">
        <v>721</v>
      </c>
      <c r="P2468" s="79">
        <f>+N2467-P2467</f>
        <v>0</v>
      </c>
    </row>
    <row r="2469" spans="9:16" ht="16.5" thickBot="1">
      <c r="I2469" s="901" t="s">
        <v>102</v>
      </c>
      <c r="J2469" s="902"/>
      <c r="K2469" s="902"/>
      <c r="L2469" s="902"/>
      <c r="M2469" s="903"/>
      <c r="N2469" s="81">
        <f>SUM(N2457:N2468)</f>
        <v>797500</v>
      </c>
    </row>
    <row r="2470" spans="9:16" ht="16.5" thickBot="1">
      <c r="I2470" s="885" t="s">
        <v>103</v>
      </c>
      <c r="J2470" s="886"/>
      <c r="K2470" s="886"/>
      <c r="L2470" s="886"/>
      <c r="M2470" s="887"/>
      <c r="N2470" s="69">
        <f>+N2432</f>
        <v>481591470</v>
      </c>
      <c r="O2470" s="241" t="s">
        <v>561</v>
      </c>
      <c r="P2470" s="242"/>
    </row>
    <row r="2471" spans="9:16" ht="16.5" thickBot="1">
      <c r="I2471" s="888" t="s">
        <v>104</v>
      </c>
      <c r="J2471" s="889"/>
      <c r="K2471" s="889"/>
      <c r="L2471" s="889"/>
      <c r="M2471" s="890"/>
      <c r="N2471" s="183">
        <f>SUM(N2469:N2470)</f>
        <v>482388970</v>
      </c>
    </row>
    <row r="2472" spans="9:16" ht="9.75" customHeight="1">
      <c r="I2472" s="61"/>
      <c r="J2472" s="61"/>
      <c r="K2472" s="61"/>
      <c r="L2472" s="61"/>
      <c r="M2472" s="61"/>
    </row>
    <row r="2473" spans="9:16">
      <c r="I2473" s="51" t="s">
        <v>1101</v>
      </c>
    </row>
    <row r="2474" spans="9:16" ht="9.75" customHeight="1">
      <c r="N2474" s="139"/>
    </row>
    <row r="2475" spans="9:16">
      <c r="I2475" s="50" t="s">
        <v>105</v>
      </c>
      <c r="L2475" s="146"/>
      <c r="N2475" s="139"/>
    </row>
    <row r="2476" spans="9:16" ht="12" customHeight="1" thickBot="1"/>
    <row r="2477" spans="9:16" ht="15.75" thickBot="1">
      <c r="I2477" s="891" t="s">
        <v>106</v>
      </c>
      <c r="J2477" s="892"/>
      <c r="K2477" s="892"/>
      <c r="L2477" s="893"/>
      <c r="N2477" s="50" t="s">
        <v>288</v>
      </c>
    </row>
    <row r="2478" spans="9:16" ht="28.5" customHeight="1" thickBot="1">
      <c r="I2478" s="57" t="s">
        <v>100</v>
      </c>
      <c r="J2478" s="58" t="s">
        <v>108</v>
      </c>
      <c r="K2478" s="287" t="s">
        <v>109</v>
      </c>
      <c r="L2478" s="60" t="s">
        <v>110</v>
      </c>
    </row>
    <row r="2479" spans="9:16">
      <c r="I2479" s="71">
        <v>719</v>
      </c>
      <c r="J2479" s="73"/>
      <c r="K2479" s="74">
        <f>+L2440</f>
        <v>46430000</v>
      </c>
      <c r="L2479" s="195">
        <f>+J2479+K2479</f>
        <v>46430000</v>
      </c>
    </row>
    <row r="2480" spans="9:16">
      <c r="I2480" s="72">
        <v>721</v>
      </c>
      <c r="J2480" s="80"/>
      <c r="K2480" s="74">
        <f>+L2441</f>
        <v>90541559</v>
      </c>
      <c r="L2480" s="195">
        <f>+J2480+K2480</f>
        <v>90541559</v>
      </c>
    </row>
    <row r="2481" spans="9:16">
      <c r="I2481" s="72">
        <v>722</v>
      </c>
      <c r="J2481" s="80"/>
      <c r="K2481" s="74">
        <f>+L2442</f>
        <v>44881706</v>
      </c>
      <c r="L2481" s="195">
        <f>+J2481+K2481</f>
        <v>44881706</v>
      </c>
    </row>
    <row r="2482" spans="9:16" ht="15" customHeight="1">
      <c r="I2482" s="72">
        <v>723</v>
      </c>
      <c r="J2482" s="80"/>
      <c r="K2482" s="74">
        <f>+L2443</f>
        <v>299668205</v>
      </c>
      <c r="L2482" s="195">
        <f>+J2482+K2482</f>
        <v>299668205</v>
      </c>
      <c r="N2482" s="193" t="s">
        <v>289</v>
      </c>
      <c r="O2482" s="175"/>
    </row>
    <row r="2483" spans="9:16" ht="16.5" thickBot="1">
      <c r="I2483" s="164" t="s">
        <v>1077</v>
      </c>
      <c r="J2483" s="165">
        <f>+P2457+P2459+P2461+P2463+P2467+P2465</f>
        <v>797500</v>
      </c>
      <c r="K2483" s="74">
        <f>+L2444</f>
        <v>0</v>
      </c>
      <c r="L2483" s="196">
        <f>+J2483+K2483</f>
        <v>797500</v>
      </c>
      <c r="N2483" s="52"/>
    </row>
    <row r="2484" spans="9:16" ht="16.5" thickBot="1">
      <c r="I2484" s="316" t="s">
        <v>147</v>
      </c>
      <c r="J2484" s="197">
        <f>SUM(J2479:J2483)</f>
        <v>797500</v>
      </c>
      <c r="K2484" s="197">
        <f>SUM(K2479:K2483)</f>
        <v>481521470</v>
      </c>
      <c r="L2484" s="198">
        <f>SUM(L2479:L2483)</f>
        <v>482318970</v>
      </c>
    </row>
    <row r="2485" spans="9:16" ht="16.5">
      <c r="I2485" s="49" t="s">
        <v>88</v>
      </c>
      <c r="J2485" s="50"/>
    </row>
    <row r="2486" spans="9:16">
      <c r="I2486" s="51" t="s">
        <v>89</v>
      </c>
    </row>
    <row r="2487" spans="9:16">
      <c r="I2487" s="51" t="s">
        <v>90</v>
      </c>
    </row>
    <row r="2488" spans="9:16">
      <c r="I2488" s="51" t="s">
        <v>91</v>
      </c>
    </row>
    <row r="2489" spans="9:16" ht="12.75" customHeight="1">
      <c r="I2489" s="50"/>
      <c r="J2489" s="50"/>
    </row>
    <row r="2490" spans="9:16" ht="15.75">
      <c r="I2490" s="260" t="s">
        <v>1075</v>
      </c>
      <c r="O2490" s="52"/>
    </row>
    <row r="2491" spans="9:16" ht="15.75">
      <c r="I2491" s="53" t="s">
        <v>535</v>
      </c>
      <c r="O2491" s="53"/>
    </row>
    <row r="2492" spans="9:16" ht="16.5">
      <c r="I2492" s="894" t="s">
        <v>1098</v>
      </c>
      <c r="J2492" s="894"/>
      <c r="K2492" s="894"/>
      <c r="L2492" s="894"/>
      <c r="M2492" s="894"/>
      <c r="N2492" s="894"/>
      <c r="O2492" s="894"/>
      <c r="P2492" s="894"/>
    </row>
    <row r="2493" spans="9:16" ht="15.75" thickBot="1"/>
    <row r="2494" spans="9:16">
      <c r="I2494" s="895" t="s">
        <v>94</v>
      </c>
      <c r="J2494" s="897" t="s">
        <v>95</v>
      </c>
      <c r="K2494" s="897" t="s">
        <v>96</v>
      </c>
      <c r="L2494" s="897" t="s">
        <v>3</v>
      </c>
      <c r="M2494" s="897" t="s">
        <v>97</v>
      </c>
      <c r="N2494" s="897" t="s">
        <v>98</v>
      </c>
      <c r="O2494" s="897" t="s">
        <v>99</v>
      </c>
      <c r="P2494" s="899"/>
    </row>
    <row r="2495" spans="9:16" ht="15.75" thickBot="1">
      <c r="I2495" s="896"/>
      <c r="J2495" s="898"/>
      <c r="K2495" s="898"/>
      <c r="L2495" s="898"/>
      <c r="M2495" s="898"/>
      <c r="N2495" s="898"/>
      <c r="O2495" s="240" t="s">
        <v>100</v>
      </c>
      <c r="P2495" s="182" t="s">
        <v>101</v>
      </c>
    </row>
    <row r="2496" spans="9:16" ht="15" customHeight="1">
      <c r="I2496" s="881">
        <v>267</v>
      </c>
      <c r="J2496" s="875">
        <v>42641</v>
      </c>
      <c r="K2496" s="877" t="s">
        <v>738</v>
      </c>
      <c r="L2496" s="879" t="s">
        <v>1097</v>
      </c>
      <c r="M2496" s="881" t="s">
        <v>148</v>
      </c>
      <c r="N2496" s="883">
        <v>2672700</v>
      </c>
      <c r="O2496" s="55">
        <v>719</v>
      </c>
      <c r="P2496" s="78"/>
    </row>
    <row r="2497" spans="9:16" ht="15.75" customHeight="1" thickBot="1">
      <c r="I2497" s="882"/>
      <c r="J2497" s="876"/>
      <c r="K2497" s="878"/>
      <c r="L2497" s="880"/>
      <c r="M2497" s="882"/>
      <c r="N2497" s="884"/>
      <c r="O2497" s="56">
        <v>721</v>
      </c>
      <c r="P2497" s="79">
        <f>+N2496</f>
        <v>2672700</v>
      </c>
    </row>
    <row r="2498" spans="9:16" ht="15" customHeight="1">
      <c r="I2498" s="881">
        <v>268</v>
      </c>
      <c r="J2498" s="875">
        <v>42641</v>
      </c>
      <c r="K2498" s="877" t="s">
        <v>738</v>
      </c>
      <c r="L2498" s="879" t="s">
        <v>1099</v>
      </c>
      <c r="M2498" s="881" t="s">
        <v>148</v>
      </c>
      <c r="N2498" s="883">
        <v>773675</v>
      </c>
      <c r="O2498" s="55">
        <v>719</v>
      </c>
      <c r="P2498" s="78"/>
    </row>
    <row r="2499" spans="9:16" ht="15.75" customHeight="1" thickBot="1">
      <c r="I2499" s="882"/>
      <c r="J2499" s="876"/>
      <c r="K2499" s="878"/>
      <c r="L2499" s="880"/>
      <c r="M2499" s="882"/>
      <c r="N2499" s="884"/>
      <c r="O2499" s="56">
        <v>721</v>
      </c>
      <c r="P2499" s="79">
        <f>+N2498-P2498</f>
        <v>773675</v>
      </c>
    </row>
    <row r="2500" spans="9:16" ht="15" customHeight="1">
      <c r="I2500" s="881">
        <v>269</v>
      </c>
      <c r="J2500" s="875">
        <v>42641</v>
      </c>
      <c r="K2500" s="877" t="s">
        <v>738</v>
      </c>
      <c r="L2500" s="879" t="s">
        <v>1100</v>
      </c>
      <c r="M2500" s="881" t="s">
        <v>148</v>
      </c>
      <c r="N2500" s="883">
        <v>2672700</v>
      </c>
      <c r="O2500" s="55">
        <v>719</v>
      </c>
      <c r="P2500" s="78"/>
    </row>
    <row r="2501" spans="9:16" ht="14.25" customHeight="1" thickBot="1">
      <c r="I2501" s="882"/>
      <c r="J2501" s="876"/>
      <c r="K2501" s="878"/>
      <c r="L2501" s="880"/>
      <c r="M2501" s="882"/>
      <c r="N2501" s="884"/>
      <c r="O2501" s="56">
        <v>721</v>
      </c>
      <c r="P2501" s="79">
        <f>+N2500-P2500</f>
        <v>2672700</v>
      </c>
    </row>
    <row r="2502" spans="9:16" ht="14.25" customHeight="1">
      <c r="I2502" s="881"/>
      <c r="J2502" s="875"/>
      <c r="K2502" s="877"/>
      <c r="L2502" s="879"/>
      <c r="M2502" s="881"/>
      <c r="N2502" s="883"/>
      <c r="O2502" s="55">
        <v>719</v>
      </c>
      <c r="P2502" s="78"/>
    </row>
    <row r="2503" spans="9:16" ht="14.25" customHeight="1" thickBot="1">
      <c r="I2503" s="882"/>
      <c r="J2503" s="876"/>
      <c r="K2503" s="878"/>
      <c r="L2503" s="880"/>
      <c r="M2503" s="882"/>
      <c r="N2503" s="884"/>
      <c r="O2503" s="56">
        <v>721</v>
      </c>
      <c r="P2503" s="79">
        <f>+N2502-P2502</f>
        <v>0</v>
      </c>
    </row>
    <row r="2504" spans="9:16" ht="15" customHeight="1">
      <c r="I2504" s="881"/>
      <c r="J2504" s="875"/>
      <c r="K2504" s="877"/>
      <c r="L2504" s="879"/>
      <c r="M2504" s="881"/>
      <c r="N2504" s="883"/>
      <c r="O2504" s="55">
        <v>719</v>
      </c>
      <c r="P2504" s="78"/>
    </row>
    <row r="2505" spans="9:16" ht="11.25" customHeight="1" thickBot="1">
      <c r="I2505" s="882"/>
      <c r="J2505" s="876"/>
      <c r="K2505" s="878"/>
      <c r="L2505" s="880"/>
      <c r="M2505" s="882"/>
      <c r="N2505" s="884"/>
      <c r="O2505" s="56">
        <v>723</v>
      </c>
      <c r="P2505" s="79">
        <f>+N2504-P2504</f>
        <v>0</v>
      </c>
    </row>
    <row r="2506" spans="9:16" ht="16.5" thickBot="1">
      <c r="I2506" s="901" t="s">
        <v>102</v>
      </c>
      <c r="J2506" s="902"/>
      <c r="K2506" s="902"/>
      <c r="L2506" s="902"/>
      <c r="M2506" s="903"/>
      <c r="N2506" s="81">
        <f>SUM(N2496:N2505)</f>
        <v>6119075</v>
      </c>
    </row>
    <row r="2507" spans="9:16" ht="16.5" thickBot="1">
      <c r="I2507" s="885" t="s">
        <v>103</v>
      </c>
      <c r="J2507" s="886"/>
      <c r="K2507" s="886"/>
      <c r="L2507" s="886"/>
      <c r="M2507" s="887"/>
      <c r="N2507" s="69">
        <f>+N2471</f>
        <v>482388970</v>
      </c>
      <c r="O2507" s="241" t="s">
        <v>561</v>
      </c>
      <c r="P2507" s="242"/>
    </row>
    <row r="2508" spans="9:16" ht="16.5" thickBot="1">
      <c r="I2508" s="888" t="s">
        <v>104</v>
      </c>
      <c r="J2508" s="889"/>
      <c r="K2508" s="889"/>
      <c r="L2508" s="889"/>
      <c r="M2508" s="890"/>
      <c r="N2508" s="183">
        <f>SUM(N2506:N2507)</f>
        <v>488508045</v>
      </c>
    </row>
    <row r="2509" spans="9:16">
      <c r="I2509" s="61"/>
      <c r="J2509" s="61"/>
      <c r="K2509" s="61"/>
      <c r="L2509" s="61"/>
      <c r="M2509" s="61"/>
    </row>
    <row r="2510" spans="9:16">
      <c r="I2510" s="51" t="s">
        <v>1110</v>
      </c>
    </row>
    <row r="2511" spans="9:16" ht="12.75" customHeight="1">
      <c r="N2511" s="139"/>
    </row>
    <row r="2512" spans="9:16">
      <c r="I2512" s="50" t="s">
        <v>105</v>
      </c>
      <c r="L2512" s="146"/>
      <c r="N2512" s="139"/>
    </row>
    <row r="2513" spans="9:15" ht="14.25" customHeight="1" thickBot="1"/>
    <row r="2514" spans="9:15" ht="15.75" thickBot="1">
      <c r="I2514" s="891" t="s">
        <v>106</v>
      </c>
      <c r="J2514" s="892"/>
      <c r="K2514" s="892"/>
      <c r="L2514" s="893"/>
      <c r="N2514" s="50" t="s">
        <v>288</v>
      </c>
    </row>
    <row r="2515" spans="9:15" ht="30.75" thickBot="1">
      <c r="I2515" s="57" t="s">
        <v>100</v>
      </c>
      <c r="J2515" s="58" t="s">
        <v>108</v>
      </c>
      <c r="K2515" s="287" t="s">
        <v>109</v>
      </c>
      <c r="L2515" s="60" t="s">
        <v>110</v>
      </c>
    </row>
    <row r="2516" spans="9:15">
      <c r="I2516" s="71">
        <v>719</v>
      </c>
      <c r="J2516" s="73">
        <v>0</v>
      </c>
      <c r="K2516" s="74">
        <f>+L2479</f>
        <v>46430000</v>
      </c>
      <c r="L2516" s="195">
        <f>+J2516+K2516</f>
        <v>46430000</v>
      </c>
    </row>
    <row r="2517" spans="9:15">
      <c r="I2517" s="72">
        <v>721</v>
      </c>
      <c r="J2517" s="80">
        <f>+P2497+P2499+P2501+P2503+P2505</f>
        <v>6119075</v>
      </c>
      <c r="K2517" s="74">
        <f>+L2480</f>
        <v>90541559</v>
      </c>
      <c r="L2517" s="195">
        <f>+J2517+K2517</f>
        <v>96660634</v>
      </c>
    </row>
    <row r="2518" spans="9:15">
      <c r="I2518" s="72">
        <v>722</v>
      </c>
      <c r="J2518" s="80"/>
      <c r="K2518" s="74">
        <f>+L2481</f>
        <v>44881706</v>
      </c>
      <c r="L2518" s="195">
        <f>+J2518+K2518</f>
        <v>44881706</v>
      </c>
    </row>
    <row r="2519" spans="9:15" ht="15.75">
      <c r="I2519" s="72">
        <v>723</v>
      </c>
      <c r="J2519" s="80"/>
      <c r="K2519" s="74">
        <f>+L2482</f>
        <v>299668205</v>
      </c>
      <c r="L2519" s="195">
        <f>+J2519+K2519</f>
        <v>299668205</v>
      </c>
      <c r="N2519" s="193" t="s">
        <v>289</v>
      </c>
      <c r="O2519" s="175"/>
    </row>
    <row r="2520" spans="9:15" ht="16.5" thickBot="1">
      <c r="I2520" s="164" t="s">
        <v>1077</v>
      </c>
      <c r="J2520" s="165">
        <f>+P2496+P2498+P2500</f>
        <v>0</v>
      </c>
      <c r="K2520" s="74">
        <f>+L2483</f>
        <v>797500</v>
      </c>
      <c r="L2520" s="196">
        <f>+J2520+K2520</f>
        <v>797500</v>
      </c>
      <c r="N2520" s="52"/>
    </row>
    <row r="2521" spans="9:15" ht="16.5" thickBot="1">
      <c r="I2521" s="169"/>
      <c r="J2521" s="197">
        <f>SUM(J2516:J2520)</f>
        <v>6119075</v>
      </c>
      <c r="K2521" s="197">
        <f>SUM(K2516:K2520)</f>
        <v>482318970</v>
      </c>
      <c r="L2521" s="198">
        <f>SUM(L2516:L2520)</f>
        <v>488438045</v>
      </c>
    </row>
    <row r="2522" spans="9:15" ht="16.5">
      <c r="I2522" s="49" t="s">
        <v>88</v>
      </c>
      <c r="J2522" s="50"/>
    </row>
    <row r="2523" spans="9:15">
      <c r="I2523" s="51" t="s">
        <v>89</v>
      </c>
    </row>
    <row r="2524" spans="9:15">
      <c r="I2524" s="51" t="s">
        <v>90</v>
      </c>
    </row>
    <row r="2525" spans="9:15">
      <c r="I2525" s="51" t="s">
        <v>91</v>
      </c>
    </row>
    <row r="2526" spans="9:15" ht="11.25" customHeight="1">
      <c r="I2526" s="50"/>
      <c r="J2526" s="50"/>
    </row>
    <row r="2527" spans="9:15" ht="15.75">
      <c r="I2527" s="260" t="s">
        <v>1076</v>
      </c>
      <c r="O2527" s="52"/>
    </row>
    <row r="2528" spans="9:15" ht="15.75">
      <c r="I2528" s="53" t="s">
        <v>535</v>
      </c>
      <c r="O2528" s="53"/>
    </row>
    <row r="2529" spans="9:16" ht="16.5">
      <c r="I2529" s="894" t="s">
        <v>1121</v>
      </c>
      <c r="J2529" s="894"/>
      <c r="K2529" s="894"/>
      <c r="L2529" s="894"/>
      <c r="M2529" s="894"/>
      <c r="N2529" s="894"/>
      <c r="O2529" s="894"/>
      <c r="P2529" s="894"/>
    </row>
    <row r="2530" spans="9:16" ht="15.75" thickBot="1"/>
    <row r="2531" spans="9:16">
      <c r="I2531" s="895" t="s">
        <v>94</v>
      </c>
      <c r="J2531" s="897" t="s">
        <v>95</v>
      </c>
      <c r="K2531" s="897" t="s">
        <v>96</v>
      </c>
      <c r="L2531" s="897" t="s">
        <v>3</v>
      </c>
      <c r="M2531" s="897" t="s">
        <v>97</v>
      </c>
      <c r="N2531" s="897" t="s">
        <v>98</v>
      </c>
      <c r="O2531" s="897" t="s">
        <v>99</v>
      </c>
      <c r="P2531" s="899"/>
    </row>
    <row r="2532" spans="9:16" ht="15.75" thickBot="1">
      <c r="I2532" s="896"/>
      <c r="J2532" s="898"/>
      <c r="K2532" s="898"/>
      <c r="L2532" s="898"/>
      <c r="M2532" s="898"/>
      <c r="N2532" s="898"/>
      <c r="O2532" s="240" t="s">
        <v>100</v>
      </c>
      <c r="P2532" s="182" t="s">
        <v>101</v>
      </c>
    </row>
    <row r="2533" spans="9:16" ht="15" customHeight="1">
      <c r="I2533" s="881">
        <v>270</v>
      </c>
      <c r="J2533" s="875">
        <v>42641</v>
      </c>
      <c r="K2533" s="877" t="s">
        <v>1014</v>
      </c>
      <c r="L2533" s="879" t="s">
        <v>1120</v>
      </c>
      <c r="M2533" s="881" t="s">
        <v>115</v>
      </c>
      <c r="N2533" s="883">
        <v>90000</v>
      </c>
      <c r="O2533" s="55">
        <v>719</v>
      </c>
      <c r="P2533" s="78">
        <v>90000</v>
      </c>
    </row>
    <row r="2534" spans="9:16" ht="15.75" customHeight="1" thickBot="1">
      <c r="I2534" s="882"/>
      <c r="J2534" s="876"/>
      <c r="K2534" s="878"/>
      <c r="L2534" s="880"/>
      <c r="M2534" s="882"/>
      <c r="N2534" s="884"/>
      <c r="O2534" s="56">
        <v>721</v>
      </c>
      <c r="P2534" s="79">
        <f>+N2533-P2533</f>
        <v>0</v>
      </c>
    </row>
    <row r="2535" spans="9:16" ht="15" customHeight="1">
      <c r="I2535" s="881">
        <v>271</v>
      </c>
      <c r="J2535" s="875">
        <v>42641</v>
      </c>
      <c r="K2535" s="877" t="s">
        <v>28</v>
      </c>
      <c r="L2535" s="879" t="s">
        <v>1119</v>
      </c>
      <c r="M2535" s="881" t="s">
        <v>115</v>
      </c>
      <c r="N2535" s="883">
        <v>80000</v>
      </c>
      <c r="O2535" s="55">
        <v>719</v>
      </c>
      <c r="P2535" s="78">
        <v>80000</v>
      </c>
    </row>
    <row r="2536" spans="9:16" ht="15.75" customHeight="1" thickBot="1">
      <c r="I2536" s="882"/>
      <c r="J2536" s="876"/>
      <c r="K2536" s="878"/>
      <c r="L2536" s="880"/>
      <c r="M2536" s="882"/>
      <c r="N2536" s="884"/>
      <c r="O2536" s="56">
        <v>721</v>
      </c>
      <c r="P2536" s="79">
        <f>+N2535-P2535</f>
        <v>0</v>
      </c>
    </row>
    <row r="2537" spans="9:16" ht="13.5" customHeight="1">
      <c r="I2537" s="881">
        <v>272</v>
      </c>
      <c r="J2537" s="875">
        <v>42641</v>
      </c>
      <c r="K2537" s="877" t="s">
        <v>1116</v>
      </c>
      <c r="L2537" s="879" t="s">
        <v>1118</v>
      </c>
      <c r="M2537" s="881" t="s">
        <v>115</v>
      </c>
      <c r="N2537" s="883">
        <v>80000</v>
      </c>
      <c r="O2537" s="55">
        <v>719</v>
      </c>
      <c r="P2537" s="78">
        <v>80000</v>
      </c>
    </row>
    <row r="2538" spans="9:16" ht="14.25" customHeight="1" thickBot="1">
      <c r="I2538" s="882"/>
      <c r="J2538" s="876"/>
      <c r="K2538" s="878"/>
      <c r="L2538" s="880"/>
      <c r="M2538" s="882"/>
      <c r="N2538" s="884"/>
      <c r="O2538" s="56">
        <v>721</v>
      </c>
      <c r="P2538" s="79">
        <f>+N2537-P2537</f>
        <v>0</v>
      </c>
    </row>
    <row r="2539" spans="9:16" ht="14.25" customHeight="1">
      <c r="I2539" s="881"/>
      <c r="J2539" s="875"/>
      <c r="K2539" s="875"/>
      <c r="L2539" s="877"/>
      <c r="M2539" s="879"/>
      <c r="N2539" s="883"/>
      <c r="O2539" s="55">
        <v>719</v>
      </c>
      <c r="P2539" s="78"/>
    </row>
    <row r="2540" spans="9:16" ht="13.5" customHeight="1" thickBot="1">
      <c r="I2540" s="882"/>
      <c r="J2540" s="876"/>
      <c r="K2540" s="876"/>
      <c r="L2540" s="878"/>
      <c r="M2540" s="880"/>
      <c r="N2540" s="884"/>
      <c r="O2540" s="56">
        <v>721</v>
      </c>
      <c r="P2540" s="79">
        <f>+N2539-P2539</f>
        <v>0</v>
      </c>
    </row>
    <row r="2541" spans="9:16" ht="14.25" customHeight="1">
      <c r="I2541" s="881"/>
      <c r="J2541" s="875"/>
      <c r="K2541" s="877"/>
      <c r="L2541" s="879"/>
      <c r="M2541" s="881"/>
      <c r="N2541" s="883"/>
      <c r="O2541" s="55">
        <v>719</v>
      </c>
      <c r="P2541" s="78"/>
    </row>
    <row r="2542" spans="9:16" ht="13.5" customHeight="1" thickBot="1">
      <c r="I2542" s="882"/>
      <c r="J2542" s="876"/>
      <c r="K2542" s="878"/>
      <c r="L2542" s="880"/>
      <c r="M2542" s="882"/>
      <c r="N2542" s="884"/>
      <c r="O2542" s="56">
        <v>723</v>
      </c>
      <c r="P2542" s="79">
        <f>+N2541-P2541</f>
        <v>0</v>
      </c>
    </row>
    <row r="2543" spans="9:16" ht="16.5" thickBot="1">
      <c r="I2543" s="901" t="s">
        <v>102</v>
      </c>
      <c r="J2543" s="902"/>
      <c r="K2543" s="902"/>
      <c r="L2543" s="902"/>
      <c r="M2543" s="903"/>
      <c r="N2543" s="81">
        <f>SUM(N2533:N2542)</f>
        <v>250000</v>
      </c>
    </row>
    <row r="2544" spans="9:16" ht="16.5" thickBot="1">
      <c r="I2544" s="885" t="s">
        <v>103</v>
      </c>
      <c r="J2544" s="886"/>
      <c r="K2544" s="886"/>
      <c r="L2544" s="886"/>
      <c r="M2544" s="887"/>
      <c r="N2544" s="69">
        <f>+N2508</f>
        <v>488508045</v>
      </c>
      <c r="O2544" s="241" t="s">
        <v>561</v>
      </c>
      <c r="P2544" s="242">
        <f>325+46+159</f>
        <v>530</v>
      </c>
    </row>
    <row r="2545" spans="9:15" ht="16.5" thickBot="1">
      <c r="I2545" s="888" t="s">
        <v>104</v>
      </c>
      <c r="J2545" s="889"/>
      <c r="K2545" s="889"/>
      <c r="L2545" s="889"/>
      <c r="M2545" s="890"/>
      <c r="N2545" s="183">
        <f>SUM(N2543:N2544)</f>
        <v>488758045</v>
      </c>
    </row>
    <row r="2546" spans="9:15">
      <c r="I2546" s="61"/>
      <c r="J2546" s="61"/>
      <c r="K2546" s="61"/>
      <c r="L2546" s="61"/>
      <c r="M2546" s="61"/>
    </row>
    <row r="2547" spans="9:15">
      <c r="I2547" s="51" t="s">
        <v>1117</v>
      </c>
    </row>
    <row r="2548" spans="9:15" ht="12.75" customHeight="1">
      <c r="N2548" s="139"/>
    </row>
    <row r="2549" spans="9:15">
      <c r="I2549" s="50" t="s">
        <v>105</v>
      </c>
      <c r="L2549" s="146"/>
      <c r="N2549" s="139"/>
    </row>
    <row r="2550" spans="9:15" ht="14.25" customHeight="1" thickBot="1"/>
    <row r="2551" spans="9:15" ht="15.75" thickBot="1">
      <c r="I2551" s="891" t="s">
        <v>106</v>
      </c>
      <c r="J2551" s="892"/>
      <c r="K2551" s="892"/>
      <c r="L2551" s="893"/>
      <c r="N2551" s="50" t="s">
        <v>288</v>
      </c>
    </row>
    <row r="2552" spans="9:15" ht="30.75" thickBot="1">
      <c r="I2552" s="57" t="s">
        <v>100</v>
      </c>
      <c r="J2552" s="58" t="s">
        <v>108</v>
      </c>
      <c r="K2552" s="287" t="s">
        <v>109</v>
      </c>
      <c r="L2552" s="60" t="s">
        <v>110</v>
      </c>
    </row>
    <row r="2553" spans="9:15">
      <c r="I2553" s="71">
        <v>719</v>
      </c>
      <c r="J2553" s="73">
        <f>+P2533+P2535+P2537</f>
        <v>250000</v>
      </c>
      <c r="K2553" s="74">
        <f>+L2516</f>
        <v>46430000</v>
      </c>
      <c r="L2553" s="195">
        <f>+J2553+K2553</f>
        <v>46680000</v>
      </c>
    </row>
    <row r="2554" spans="9:15">
      <c r="I2554" s="72">
        <v>721</v>
      </c>
      <c r="J2554" s="80">
        <f>+P2534+P2536+P2538+P2540+P2542</f>
        <v>0</v>
      </c>
      <c r="K2554" s="74">
        <f>+L2517</f>
        <v>96660634</v>
      </c>
      <c r="L2554" s="195">
        <f>+J2554+K2554</f>
        <v>96660634</v>
      </c>
    </row>
    <row r="2555" spans="9:15">
      <c r="I2555" s="72">
        <v>722</v>
      </c>
      <c r="J2555" s="80"/>
      <c r="K2555" s="74">
        <f>+L2518</f>
        <v>44881706</v>
      </c>
      <c r="L2555" s="195">
        <f>+J2555+K2555</f>
        <v>44881706</v>
      </c>
    </row>
    <row r="2556" spans="9:15" ht="15.75">
      <c r="I2556" s="72">
        <v>723</v>
      </c>
      <c r="J2556" s="80"/>
      <c r="K2556" s="74">
        <f>+L2519</f>
        <v>299668205</v>
      </c>
      <c r="L2556" s="195">
        <f>+J2556+K2556</f>
        <v>299668205</v>
      </c>
      <c r="N2556" s="193" t="s">
        <v>289</v>
      </c>
      <c r="O2556" s="175"/>
    </row>
    <row r="2557" spans="9:15" ht="16.5" thickBot="1">
      <c r="I2557" s="164" t="s">
        <v>1077</v>
      </c>
      <c r="J2557" s="165"/>
      <c r="K2557" s="74">
        <f>+L2520</f>
        <v>797500</v>
      </c>
      <c r="L2557" s="196">
        <f>+J2557+K2557</f>
        <v>797500</v>
      </c>
      <c r="N2557" s="52"/>
    </row>
    <row r="2558" spans="9:15" ht="16.5" thickBot="1">
      <c r="I2558" s="169"/>
      <c r="J2558" s="197">
        <f>SUM(J2553:J2557)</f>
        <v>250000</v>
      </c>
      <c r="K2558" s="197">
        <f>SUM(K2553:K2557)</f>
        <v>488438045</v>
      </c>
      <c r="L2558" s="198">
        <f>SUM(L2553:L2557)</f>
        <v>488688045</v>
      </c>
    </row>
    <row r="2559" spans="9:15" ht="16.5">
      <c r="I2559" s="49" t="s">
        <v>88</v>
      </c>
      <c r="J2559" s="50"/>
    </row>
    <row r="2560" spans="9:15">
      <c r="I2560" s="51" t="s">
        <v>89</v>
      </c>
    </row>
    <row r="2561" spans="9:16">
      <c r="I2561" s="51" t="s">
        <v>90</v>
      </c>
    </row>
    <row r="2562" spans="9:16">
      <c r="I2562" s="51" t="s">
        <v>91</v>
      </c>
    </row>
    <row r="2563" spans="9:16" ht="14.25" customHeight="1">
      <c r="I2563" s="50"/>
      <c r="J2563" s="50"/>
    </row>
    <row r="2564" spans="9:16" ht="15.75">
      <c r="I2564" s="260" t="s">
        <v>1083</v>
      </c>
      <c r="O2564" s="52"/>
    </row>
    <row r="2565" spans="9:16" ht="15.75">
      <c r="I2565" s="53" t="s">
        <v>535</v>
      </c>
      <c r="O2565" s="53"/>
    </row>
    <row r="2566" spans="9:16" ht="16.5">
      <c r="I2566" s="894" t="s">
        <v>1121</v>
      </c>
      <c r="J2566" s="894"/>
      <c r="K2566" s="894"/>
      <c r="L2566" s="894"/>
      <c r="M2566" s="894"/>
      <c r="N2566" s="894"/>
      <c r="O2566" s="894"/>
      <c r="P2566" s="894"/>
    </row>
    <row r="2567" spans="9:16" ht="12.75" customHeight="1" thickBot="1"/>
    <row r="2568" spans="9:16">
      <c r="I2568" s="895" t="s">
        <v>94</v>
      </c>
      <c r="J2568" s="897" t="s">
        <v>95</v>
      </c>
      <c r="K2568" s="897" t="s">
        <v>96</v>
      </c>
      <c r="L2568" s="897" t="s">
        <v>3</v>
      </c>
      <c r="M2568" s="897" t="s">
        <v>97</v>
      </c>
      <c r="N2568" s="897" t="s">
        <v>98</v>
      </c>
      <c r="O2568" s="897" t="s">
        <v>99</v>
      </c>
      <c r="P2568" s="899"/>
    </row>
    <row r="2569" spans="9:16" ht="15.75" thickBot="1">
      <c r="I2569" s="896"/>
      <c r="J2569" s="898"/>
      <c r="K2569" s="898"/>
      <c r="L2569" s="898"/>
      <c r="M2569" s="898"/>
      <c r="N2569" s="898"/>
      <c r="O2569" s="240" t="s">
        <v>100</v>
      </c>
      <c r="P2569" s="182" t="s">
        <v>101</v>
      </c>
    </row>
    <row r="2570" spans="9:16" ht="15" customHeight="1">
      <c r="I2570" s="881">
        <v>273</v>
      </c>
      <c r="J2570" s="875">
        <v>42648</v>
      </c>
      <c r="K2570" s="877" t="s">
        <v>1014</v>
      </c>
      <c r="L2570" s="879" t="s">
        <v>1122</v>
      </c>
      <c r="M2570" s="881" t="s">
        <v>115</v>
      </c>
      <c r="N2570" s="883">
        <v>60000</v>
      </c>
      <c r="O2570" s="55">
        <v>719</v>
      </c>
      <c r="P2570" s="78">
        <v>60000</v>
      </c>
    </row>
    <row r="2571" spans="9:16" ht="15.75" customHeight="1" thickBot="1">
      <c r="I2571" s="882"/>
      <c r="J2571" s="876"/>
      <c r="K2571" s="878"/>
      <c r="L2571" s="880"/>
      <c r="M2571" s="882"/>
      <c r="N2571" s="884"/>
      <c r="O2571" s="56">
        <v>721</v>
      </c>
      <c r="P2571" s="79">
        <f>+N2570-P2570</f>
        <v>0</v>
      </c>
    </row>
    <row r="2572" spans="9:16" ht="15" customHeight="1">
      <c r="I2572" s="881">
        <v>274</v>
      </c>
      <c r="J2572" s="875">
        <v>42648</v>
      </c>
      <c r="K2572" s="877" t="s">
        <v>28</v>
      </c>
      <c r="L2572" s="879" t="s">
        <v>1123</v>
      </c>
      <c r="M2572" s="881" t="s">
        <v>115</v>
      </c>
      <c r="N2572" s="883">
        <v>40000</v>
      </c>
      <c r="O2572" s="55">
        <v>719</v>
      </c>
      <c r="P2572" s="78">
        <v>40000</v>
      </c>
    </row>
    <row r="2573" spans="9:16" ht="15.75" customHeight="1" thickBot="1">
      <c r="I2573" s="882"/>
      <c r="J2573" s="876"/>
      <c r="K2573" s="878"/>
      <c r="L2573" s="880"/>
      <c r="M2573" s="882"/>
      <c r="N2573" s="884"/>
      <c r="O2573" s="56">
        <v>721</v>
      </c>
      <c r="P2573" s="79">
        <f>+N2572-P2572</f>
        <v>0</v>
      </c>
    </row>
    <row r="2574" spans="9:16" ht="15" customHeight="1">
      <c r="I2574" s="881">
        <v>275</v>
      </c>
      <c r="J2574" s="875">
        <v>42648</v>
      </c>
      <c r="K2574" s="877" t="s">
        <v>120</v>
      </c>
      <c r="L2574" s="879" t="s">
        <v>1122</v>
      </c>
      <c r="M2574" s="881" t="s">
        <v>115</v>
      </c>
      <c r="N2574" s="883">
        <v>100000</v>
      </c>
      <c r="O2574" s="55">
        <v>719</v>
      </c>
      <c r="P2574" s="78">
        <v>100000</v>
      </c>
    </row>
    <row r="2575" spans="9:16" ht="15.75" customHeight="1" thickBot="1">
      <c r="I2575" s="882"/>
      <c r="J2575" s="876"/>
      <c r="K2575" s="878"/>
      <c r="L2575" s="880"/>
      <c r="M2575" s="882"/>
      <c r="N2575" s="884"/>
      <c r="O2575" s="56">
        <v>721</v>
      </c>
      <c r="P2575" s="79">
        <f>+N2574-P2574</f>
        <v>0</v>
      </c>
    </row>
    <row r="2576" spans="9:16" ht="15" customHeight="1">
      <c r="I2576" s="881"/>
      <c r="J2576" s="875"/>
      <c r="K2576" s="877"/>
      <c r="L2576" s="879"/>
      <c r="M2576" s="881"/>
      <c r="N2576" s="883"/>
      <c r="O2576" s="55">
        <v>719</v>
      </c>
      <c r="P2576" s="78">
        <v>0</v>
      </c>
    </row>
    <row r="2577" spans="9:16" ht="15.75" customHeight="1" thickBot="1">
      <c r="I2577" s="882"/>
      <c r="J2577" s="876"/>
      <c r="K2577" s="878"/>
      <c r="L2577" s="880"/>
      <c r="M2577" s="882"/>
      <c r="N2577" s="884"/>
      <c r="O2577" s="56">
        <v>721</v>
      </c>
      <c r="P2577" s="79">
        <f>+N2576-P2576</f>
        <v>0</v>
      </c>
    </row>
    <row r="2578" spans="9:16" ht="15" customHeight="1">
      <c r="I2578" s="881"/>
      <c r="J2578" s="875"/>
      <c r="K2578" s="877"/>
      <c r="L2578" s="879"/>
      <c r="M2578" s="881"/>
      <c r="N2578" s="883"/>
      <c r="O2578" s="55">
        <v>719</v>
      </c>
      <c r="P2578" s="78"/>
    </row>
    <row r="2579" spans="9:16" ht="15.75" customHeight="1" thickBot="1">
      <c r="I2579" s="882"/>
      <c r="J2579" s="876"/>
      <c r="K2579" s="878"/>
      <c r="L2579" s="880"/>
      <c r="M2579" s="882"/>
      <c r="N2579" s="884"/>
      <c r="O2579" s="56">
        <v>723</v>
      </c>
      <c r="P2579" s="79">
        <f>+N2578-P2578</f>
        <v>0</v>
      </c>
    </row>
    <row r="2580" spans="9:16" ht="16.5" thickBot="1">
      <c r="I2580" s="901" t="s">
        <v>102</v>
      </c>
      <c r="J2580" s="902"/>
      <c r="K2580" s="902"/>
      <c r="L2580" s="902"/>
      <c r="M2580" s="903"/>
      <c r="N2580" s="81">
        <f>SUM(N2570:N2579)</f>
        <v>200000</v>
      </c>
    </row>
    <row r="2581" spans="9:16" ht="16.5" thickBot="1">
      <c r="I2581" s="885" t="s">
        <v>103</v>
      </c>
      <c r="J2581" s="886"/>
      <c r="K2581" s="886"/>
      <c r="L2581" s="886"/>
      <c r="M2581" s="887"/>
      <c r="N2581" s="69">
        <f>+N2545</f>
        <v>488758045</v>
      </c>
      <c r="O2581" s="241" t="s">
        <v>561</v>
      </c>
      <c r="P2581" s="242"/>
    </row>
    <row r="2582" spans="9:16" ht="16.5" thickBot="1">
      <c r="I2582" s="888" t="s">
        <v>104</v>
      </c>
      <c r="J2582" s="889"/>
      <c r="K2582" s="889"/>
      <c r="L2582" s="889"/>
      <c r="M2582" s="890"/>
      <c r="N2582" s="183">
        <f>SUM(N2580:N2581)</f>
        <v>488958045</v>
      </c>
    </row>
    <row r="2583" spans="9:16">
      <c r="I2583" s="61"/>
      <c r="J2583" s="61"/>
      <c r="K2583" s="61"/>
      <c r="L2583" s="61"/>
      <c r="M2583" s="61"/>
    </row>
    <row r="2584" spans="9:16">
      <c r="I2584" s="51" t="s">
        <v>1124</v>
      </c>
    </row>
    <row r="2585" spans="9:16" ht="12.75" customHeight="1">
      <c r="N2585" s="139"/>
    </row>
    <row r="2586" spans="9:16">
      <c r="I2586" s="50" t="s">
        <v>105</v>
      </c>
      <c r="L2586" s="146"/>
      <c r="N2586" s="139"/>
    </row>
    <row r="2587" spans="9:16" ht="13.5" customHeight="1" thickBot="1"/>
    <row r="2588" spans="9:16" ht="15.75" thickBot="1">
      <c r="I2588" s="891" t="s">
        <v>106</v>
      </c>
      <c r="J2588" s="892"/>
      <c r="K2588" s="892"/>
      <c r="L2588" s="893"/>
      <c r="N2588" s="908" t="s">
        <v>1126</v>
      </c>
      <c r="O2588" s="908"/>
      <c r="P2588" s="908"/>
    </row>
    <row r="2589" spans="9:16" ht="30.75" thickBot="1">
      <c r="I2589" s="57" t="s">
        <v>100</v>
      </c>
      <c r="J2589" s="58" t="s">
        <v>108</v>
      </c>
      <c r="K2589" s="287" t="s">
        <v>109</v>
      </c>
      <c r="L2589" s="60" t="s">
        <v>110</v>
      </c>
    </row>
    <row r="2590" spans="9:16">
      <c r="I2590" s="71">
        <v>719</v>
      </c>
      <c r="J2590" s="73">
        <f>+P2578+P2576+P2574+P2572+P2570</f>
        <v>200000</v>
      </c>
      <c r="K2590" s="74">
        <f>+L2553</f>
        <v>46680000</v>
      </c>
      <c r="L2590" s="195">
        <f>+J2590+K2590</f>
        <v>46880000</v>
      </c>
    </row>
    <row r="2591" spans="9:16">
      <c r="I2591" s="72">
        <v>721</v>
      </c>
      <c r="J2591" s="80"/>
      <c r="K2591" s="74">
        <f>+L2554</f>
        <v>96660634</v>
      </c>
      <c r="L2591" s="195">
        <f>+J2591+K2591</f>
        <v>96660634</v>
      </c>
    </row>
    <row r="2592" spans="9:16">
      <c r="I2592" s="72">
        <v>722</v>
      </c>
      <c r="J2592" s="80"/>
      <c r="K2592" s="74">
        <f>+L2555</f>
        <v>44881706</v>
      </c>
      <c r="L2592" s="195">
        <f>+J2592+K2592</f>
        <v>44881706</v>
      </c>
    </row>
    <row r="2593" spans="9:16" ht="15.75">
      <c r="I2593" s="72">
        <v>723</v>
      </c>
      <c r="J2593" s="80"/>
      <c r="K2593" s="74">
        <f>+L2556</f>
        <v>299668205</v>
      </c>
      <c r="L2593" s="195">
        <f>+J2593+K2593</f>
        <v>299668205</v>
      </c>
      <c r="N2593" s="909" t="s">
        <v>1125</v>
      </c>
      <c r="O2593" s="909"/>
      <c r="P2593" s="909"/>
    </row>
    <row r="2594" spans="9:16" ht="16.5" thickBot="1">
      <c r="I2594" s="164" t="s">
        <v>1077</v>
      </c>
      <c r="J2594" s="165"/>
      <c r="K2594" s="74">
        <f>+L2557</f>
        <v>797500</v>
      </c>
      <c r="L2594" s="196">
        <f>+J2594+K2594</f>
        <v>797500</v>
      </c>
      <c r="N2594" s="52"/>
    </row>
    <row r="2595" spans="9:16" ht="16.5" thickBot="1">
      <c r="I2595" s="169"/>
      <c r="J2595" s="197">
        <f>SUM(J2590:J2594)</f>
        <v>200000</v>
      </c>
      <c r="K2595" s="197">
        <f>SUM(K2590:K2594)</f>
        <v>488688045</v>
      </c>
      <c r="L2595" s="198">
        <f>SUM(L2590:L2594)</f>
        <v>488888045</v>
      </c>
    </row>
    <row r="2596" spans="9:16" ht="16.5">
      <c r="I2596" s="49" t="s">
        <v>88</v>
      </c>
      <c r="J2596" s="50"/>
    </row>
    <row r="2597" spans="9:16">
      <c r="I2597" s="51" t="s">
        <v>89</v>
      </c>
    </row>
    <row r="2598" spans="9:16">
      <c r="I2598" s="51" t="s">
        <v>90</v>
      </c>
    </row>
    <row r="2599" spans="9:16">
      <c r="I2599" s="51" t="s">
        <v>91</v>
      </c>
    </row>
    <row r="2600" spans="9:16" ht="12" customHeight="1">
      <c r="I2600" s="50"/>
      <c r="J2600" s="50"/>
    </row>
    <row r="2601" spans="9:16" ht="15.75">
      <c r="I2601" s="260" t="s">
        <v>1085</v>
      </c>
      <c r="O2601" s="52"/>
    </row>
    <row r="2602" spans="9:16" ht="15.75">
      <c r="I2602" s="53" t="s">
        <v>535</v>
      </c>
      <c r="O2602" s="53"/>
    </row>
    <row r="2603" spans="9:16" ht="15" customHeight="1">
      <c r="I2603" s="894" t="s">
        <v>1078</v>
      </c>
      <c r="J2603" s="894"/>
      <c r="K2603" s="894"/>
      <c r="L2603" s="894"/>
      <c r="M2603" s="894"/>
      <c r="N2603" s="894"/>
      <c r="O2603" s="894"/>
      <c r="P2603" s="894"/>
    </row>
    <row r="2604" spans="9:16" ht="13.5" customHeight="1" thickBot="1"/>
    <row r="2605" spans="9:16">
      <c r="I2605" s="895" t="s">
        <v>94</v>
      </c>
      <c r="J2605" s="897" t="s">
        <v>95</v>
      </c>
      <c r="K2605" s="897" t="s">
        <v>96</v>
      </c>
      <c r="L2605" s="897" t="s">
        <v>3</v>
      </c>
      <c r="M2605" s="897" t="s">
        <v>97</v>
      </c>
      <c r="N2605" s="897" t="s">
        <v>98</v>
      </c>
      <c r="O2605" s="897" t="s">
        <v>99</v>
      </c>
      <c r="P2605" s="899"/>
    </row>
    <row r="2606" spans="9:16" ht="15.75" thickBot="1">
      <c r="I2606" s="896"/>
      <c r="J2606" s="898"/>
      <c r="K2606" s="898"/>
      <c r="L2606" s="898"/>
      <c r="M2606" s="898"/>
      <c r="N2606" s="898"/>
      <c r="O2606" s="240" t="s">
        <v>100</v>
      </c>
      <c r="P2606" s="182" t="s">
        <v>101</v>
      </c>
    </row>
    <row r="2607" spans="9:16" ht="12.75" customHeight="1">
      <c r="I2607" s="881">
        <v>276</v>
      </c>
      <c r="J2607" s="875">
        <v>42650</v>
      </c>
      <c r="K2607" s="877" t="s">
        <v>350</v>
      </c>
      <c r="L2607" s="879" t="s">
        <v>1127</v>
      </c>
      <c r="M2607" s="881" t="s">
        <v>148</v>
      </c>
      <c r="N2607" s="883">
        <v>598000</v>
      </c>
      <c r="O2607" s="55">
        <v>719</v>
      </c>
      <c r="P2607" s="78">
        <v>460000</v>
      </c>
    </row>
    <row r="2608" spans="9:16" ht="12" customHeight="1" thickBot="1">
      <c r="I2608" s="882"/>
      <c r="J2608" s="876"/>
      <c r="K2608" s="878"/>
      <c r="L2608" s="880"/>
      <c r="M2608" s="882"/>
      <c r="N2608" s="884"/>
      <c r="O2608" s="56">
        <v>721</v>
      </c>
      <c r="P2608" s="351">
        <f>+N2607-P2607</f>
        <v>138000</v>
      </c>
    </row>
    <row r="2609" spans="9:16" ht="12.75" customHeight="1">
      <c r="I2609" s="881">
        <v>277</v>
      </c>
      <c r="J2609" s="875">
        <v>42650</v>
      </c>
      <c r="K2609" s="877" t="s">
        <v>350</v>
      </c>
      <c r="L2609" s="879" t="s">
        <v>1038</v>
      </c>
      <c r="M2609" s="881" t="s">
        <v>148</v>
      </c>
      <c r="N2609" s="883">
        <v>1521000</v>
      </c>
      <c r="O2609" s="55">
        <v>719</v>
      </c>
      <c r="P2609" s="78">
        <v>1170000</v>
      </c>
    </row>
    <row r="2610" spans="9:16" ht="12" customHeight="1" thickBot="1">
      <c r="I2610" s="882"/>
      <c r="J2610" s="876"/>
      <c r="K2610" s="878"/>
      <c r="L2610" s="880"/>
      <c r="M2610" s="882"/>
      <c r="N2610" s="884"/>
      <c r="O2610" s="56">
        <v>721</v>
      </c>
      <c r="P2610" s="352">
        <f>+N2609-P2609</f>
        <v>351000</v>
      </c>
    </row>
    <row r="2611" spans="9:16" ht="15" customHeight="1">
      <c r="I2611" s="881">
        <v>278</v>
      </c>
      <c r="J2611" s="875">
        <v>42650</v>
      </c>
      <c r="K2611" s="877" t="s">
        <v>350</v>
      </c>
      <c r="L2611" s="879" t="s">
        <v>1122</v>
      </c>
      <c r="M2611" s="881" t="s">
        <v>148</v>
      </c>
      <c r="N2611" s="883">
        <v>923000</v>
      </c>
      <c r="O2611" s="55">
        <v>719</v>
      </c>
      <c r="P2611" s="78">
        <v>710000</v>
      </c>
    </row>
    <row r="2612" spans="9:16" ht="12" customHeight="1" thickBot="1">
      <c r="I2612" s="882"/>
      <c r="J2612" s="876"/>
      <c r="K2612" s="878"/>
      <c r="L2612" s="880"/>
      <c r="M2612" s="882"/>
      <c r="N2612" s="884"/>
      <c r="O2612" s="56">
        <v>721</v>
      </c>
      <c r="P2612" s="352">
        <f>+N2611-P2611</f>
        <v>213000</v>
      </c>
    </row>
    <row r="2613" spans="9:16" ht="15" customHeight="1">
      <c r="I2613" s="881">
        <v>279</v>
      </c>
      <c r="J2613" s="875">
        <v>42650</v>
      </c>
      <c r="K2613" s="877" t="s">
        <v>350</v>
      </c>
      <c r="L2613" s="879" t="s">
        <v>1122</v>
      </c>
      <c r="M2613" s="881" t="s">
        <v>148</v>
      </c>
      <c r="N2613" s="883">
        <v>715000</v>
      </c>
      <c r="O2613" s="55">
        <v>719</v>
      </c>
      <c r="P2613" s="78">
        <v>550000</v>
      </c>
    </row>
    <row r="2614" spans="9:16" ht="13.5" customHeight="1" thickBot="1">
      <c r="I2614" s="882"/>
      <c r="J2614" s="876"/>
      <c r="K2614" s="878"/>
      <c r="L2614" s="880"/>
      <c r="M2614" s="882"/>
      <c r="N2614" s="884"/>
      <c r="O2614" s="56">
        <v>721</v>
      </c>
      <c r="P2614" s="79">
        <f>+N2613-P2613</f>
        <v>165000</v>
      </c>
    </row>
    <row r="2615" spans="9:16" ht="15" customHeight="1">
      <c r="I2615" s="881">
        <v>280</v>
      </c>
      <c r="J2615" s="875">
        <v>42650</v>
      </c>
      <c r="K2615" s="877" t="s">
        <v>350</v>
      </c>
      <c r="L2615" s="879" t="s">
        <v>1122</v>
      </c>
      <c r="M2615" s="881" t="s">
        <v>148</v>
      </c>
      <c r="N2615" s="883">
        <v>879000</v>
      </c>
      <c r="O2615" s="55">
        <v>719</v>
      </c>
      <c r="P2615" s="78">
        <v>720000</v>
      </c>
    </row>
    <row r="2616" spans="9:16" ht="15" customHeight="1" thickBot="1">
      <c r="I2616" s="882"/>
      <c r="J2616" s="876"/>
      <c r="K2616" s="878"/>
      <c r="L2616" s="880"/>
      <c r="M2616" s="882"/>
      <c r="N2616" s="884"/>
      <c r="O2616" s="56">
        <v>721</v>
      </c>
      <c r="P2616" s="79">
        <f>+N2615-P2615</f>
        <v>159000</v>
      </c>
    </row>
    <row r="2617" spans="9:16" ht="12.75" customHeight="1">
      <c r="I2617" s="881">
        <v>281</v>
      </c>
      <c r="J2617" s="875">
        <v>42650</v>
      </c>
      <c r="K2617" s="877" t="s">
        <v>350</v>
      </c>
      <c r="L2617" s="879" t="s">
        <v>1122</v>
      </c>
      <c r="M2617" s="881" t="s">
        <v>148</v>
      </c>
      <c r="N2617" s="883">
        <v>300000</v>
      </c>
      <c r="O2617" s="55">
        <v>719</v>
      </c>
      <c r="P2617" s="78">
        <v>300000</v>
      </c>
    </row>
    <row r="2618" spans="9:16" ht="13.5" customHeight="1" thickBot="1">
      <c r="I2618" s="882"/>
      <c r="J2618" s="876"/>
      <c r="K2618" s="878"/>
      <c r="L2618" s="880"/>
      <c r="M2618" s="882"/>
      <c r="N2618" s="884"/>
      <c r="O2618" s="56">
        <v>723</v>
      </c>
      <c r="P2618" s="79">
        <f>+N2617-P2617</f>
        <v>0</v>
      </c>
    </row>
    <row r="2619" spans="9:16" ht="16.5" thickBot="1">
      <c r="I2619" s="901" t="s">
        <v>102</v>
      </c>
      <c r="J2619" s="902"/>
      <c r="K2619" s="902"/>
      <c r="L2619" s="902"/>
      <c r="M2619" s="903"/>
      <c r="N2619" s="81">
        <f>SUM(N2607:N2618)</f>
        <v>4936000</v>
      </c>
    </row>
    <row r="2620" spans="9:16" ht="16.5" thickBot="1">
      <c r="I2620" s="885" t="s">
        <v>103</v>
      </c>
      <c r="J2620" s="886"/>
      <c r="K2620" s="886"/>
      <c r="L2620" s="886"/>
      <c r="M2620" s="887"/>
      <c r="N2620" s="69">
        <f>+N2582</f>
        <v>488958045</v>
      </c>
      <c r="O2620" s="241" t="s">
        <v>561</v>
      </c>
      <c r="P2620" s="242">
        <v>6648</v>
      </c>
    </row>
    <row r="2621" spans="9:16" ht="16.5" thickBot="1">
      <c r="I2621" s="888" t="s">
        <v>104</v>
      </c>
      <c r="J2621" s="889"/>
      <c r="K2621" s="889"/>
      <c r="L2621" s="889"/>
      <c r="M2621" s="890"/>
      <c r="N2621" s="183">
        <f>SUM(N2619:N2620)</f>
        <v>493894045</v>
      </c>
    </row>
    <row r="2622" spans="9:16" ht="13.5" customHeight="1">
      <c r="I2622" s="61"/>
      <c r="J2622" s="61"/>
      <c r="K2622" s="61"/>
      <c r="L2622" s="61"/>
      <c r="M2622" s="61"/>
    </row>
    <row r="2623" spans="9:16">
      <c r="I2623" s="51" t="s">
        <v>1158</v>
      </c>
    </row>
    <row r="2624" spans="9:16" ht="10.5" customHeight="1">
      <c r="N2624" s="139"/>
    </row>
    <row r="2625" spans="9:15">
      <c r="I2625" s="50" t="s">
        <v>105</v>
      </c>
      <c r="L2625" s="146"/>
      <c r="N2625" s="139"/>
    </row>
    <row r="2626" spans="9:15" ht="10.5" customHeight="1" thickBot="1"/>
    <row r="2627" spans="9:15" ht="15.75" thickBot="1">
      <c r="I2627" s="891" t="s">
        <v>106</v>
      </c>
      <c r="J2627" s="892"/>
      <c r="K2627" s="892"/>
      <c r="L2627" s="893"/>
      <c r="N2627" s="50" t="s">
        <v>288</v>
      </c>
    </row>
    <row r="2628" spans="9:15" ht="30.75" thickBot="1">
      <c r="I2628" s="57" t="s">
        <v>100</v>
      </c>
      <c r="J2628" s="58" t="s">
        <v>108</v>
      </c>
      <c r="K2628" s="287" t="s">
        <v>109</v>
      </c>
      <c r="L2628" s="60" t="s">
        <v>110</v>
      </c>
    </row>
    <row r="2629" spans="9:15">
      <c r="I2629" s="71">
        <v>719</v>
      </c>
      <c r="J2629" s="73">
        <f>+P2607+P2609+P2611+P2613+P2615+P2617</f>
        <v>3910000</v>
      </c>
      <c r="K2629" s="74">
        <f>+L2590</f>
        <v>46880000</v>
      </c>
      <c r="L2629" s="195">
        <f>+J2629+K2629</f>
        <v>50790000</v>
      </c>
    </row>
    <row r="2630" spans="9:15">
      <c r="I2630" s="72">
        <v>721</v>
      </c>
      <c r="J2630" s="80">
        <f>+P2608+P2610+P2612+P2614+P2618+P2616</f>
        <v>1026000</v>
      </c>
      <c r="K2630" s="74">
        <f>+L2591</f>
        <v>96660634</v>
      </c>
      <c r="L2630" s="195">
        <f>+J2630+K2630</f>
        <v>97686634</v>
      </c>
    </row>
    <row r="2631" spans="9:15">
      <c r="I2631" s="72">
        <v>722</v>
      </c>
      <c r="J2631" s="80"/>
      <c r="K2631" s="74">
        <f>+L2592</f>
        <v>44881706</v>
      </c>
      <c r="L2631" s="195">
        <f>+J2631+K2631</f>
        <v>44881706</v>
      </c>
    </row>
    <row r="2632" spans="9:15" ht="15.75">
      <c r="I2632" s="72">
        <v>723</v>
      </c>
      <c r="J2632" s="80"/>
      <c r="K2632" s="74">
        <f>+L2593</f>
        <v>299668205</v>
      </c>
      <c r="L2632" s="195">
        <f>+J2632+K2632</f>
        <v>299668205</v>
      </c>
      <c r="N2632" s="193" t="s">
        <v>289</v>
      </c>
      <c r="O2632" s="175"/>
    </row>
    <row r="2633" spans="9:15" ht="16.5" thickBot="1">
      <c r="I2633" s="164" t="s">
        <v>1077</v>
      </c>
      <c r="J2633" s="165"/>
      <c r="K2633" s="74">
        <f>+L2594</f>
        <v>797500</v>
      </c>
      <c r="L2633" s="196">
        <f>+J2633+K2633</f>
        <v>797500</v>
      </c>
      <c r="N2633" s="52"/>
    </row>
    <row r="2634" spans="9:15" ht="16.5" thickBot="1">
      <c r="I2634" s="169"/>
      <c r="J2634" s="197">
        <f>SUM(J2629:J2633)</f>
        <v>4936000</v>
      </c>
      <c r="K2634" s="197">
        <f>SUM(K2629:K2633)</f>
        <v>488888045</v>
      </c>
      <c r="L2634" s="198">
        <f>SUM(L2629:L2633)</f>
        <v>493824045</v>
      </c>
    </row>
    <row r="2635" spans="9:15" ht="16.5">
      <c r="I2635" s="49" t="s">
        <v>88</v>
      </c>
      <c r="J2635" s="50"/>
    </row>
    <row r="2636" spans="9:15">
      <c r="I2636" s="51" t="s">
        <v>89</v>
      </c>
    </row>
    <row r="2637" spans="9:15">
      <c r="I2637" s="51" t="s">
        <v>90</v>
      </c>
    </row>
    <row r="2638" spans="9:15">
      <c r="I2638" s="51" t="s">
        <v>91</v>
      </c>
    </row>
    <row r="2639" spans="9:15" ht="14.25" customHeight="1">
      <c r="I2639" s="50"/>
      <c r="J2639" s="50"/>
    </row>
    <row r="2640" spans="9:15" ht="15.75">
      <c r="I2640" s="260" t="s">
        <v>1087</v>
      </c>
      <c r="O2640" s="52"/>
    </row>
    <row r="2641" spans="9:16" ht="15.75">
      <c r="I2641" s="53" t="s">
        <v>535</v>
      </c>
      <c r="O2641" s="53"/>
    </row>
    <row r="2642" spans="9:16" ht="16.5">
      <c r="I2642" s="894" t="s">
        <v>1078</v>
      </c>
      <c r="J2642" s="894"/>
      <c r="K2642" s="894"/>
      <c r="L2642" s="894"/>
      <c r="M2642" s="894"/>
      <c r="N2642" s="894"/>
      <c r="O2642" s="894"/>
      <c r="P2642" s="894"/>
    </row>
    <row r="2643" spans="9:16" ht="15.75" thickBot="1"/>
    <row r="2644" spans="9:16">
      <c r="I2644" s="895" t="s">
        <v>94</v>
      </c>
      <c r="J2644" s="897" t="s">
        <v>95</v>
      </c>
      <c r="K2644" s="897" t="s">
        <v>96</v>
      </c>
      <c r="L2644" s="897" t="s">
        <v>3</v>
      </c>
      <c r="M2644" s="897" t="s">
        <v>97</v>
      </c>
      <c r="N2644" s="897" t="s">
        <v>98</v>
      </c>
      <c r="O2644" s="897" t="s">
        <v>99</v>
      </c>
      <c r="P2644" s="899"/>
    </row>
    <row r="2645" spans="9:16" ht="15.75" thickBot="1">
      <c r="I2645" s="896"/>
      <c r="J2645" s="898"/>
      <c r="K2645" s="898"/>
      <c r="L2645" s="898"/>
      <c r="M2645" s="898"/>
      <c r="N2645" s="898"/>
      <c r="O2645" s="240" t="s">
        <v>100</v>
      </c>
      <c r="P2645" s="182" t="s">
        <v>101</v>
      </c>
    </row>
    <row r="2646" spans="9:16" ht="15" customHeight="1">
      <c r="I2646" s="881">
        <v>282</v>
      </c>
      <c r="J2646" s="875">
        <v>42655</v>
      </c>
      <c r="K2646" s="877" t="s">
        <v>267</v>
      </c>
      <c r="L2646" s="879" t="s">
        <v>1129</v>
      </c>
      <c r="M2646" s="881" t="s">
        <v>148</v>
      </c>
      <c r="N2646" s="883">
        <v>26000</v>
      </c>
      <c r="O2646" s="55">
        <v>719</v>
      </c>
      <c r="P2646" s="78">
        <v>20000</v>
      </c>
    </row>
    <row r="2647" spans="9:16" ht="15.75" customHeight="1" thickBot="1">
      <c r="I2647" s="882"/>
      <c r="J2647" s="876"/>
      <c r="K2647" s="878"/>
      <c r="L2647" s="880"/>
      <c r="M2647" s="882"/>
      <c r="N2647" s="884"/>
      <c r="O2647" s="56">
        <v>721</v>
      </c>
      <c r="P2647" s="79">
        <f>+N2646-P2646</f>
        <v>6000</v>
      </c>
    </row>
    <row r="2648" spans="9:16" ht="15" customHeight="1">
      <c r="I2648" s="881">
        <v>283</v>
      </c>
      <c r="J2648" s="875">
        <v>42655</v>
      </c>
      <c r="K2648" s="877" t="s">
        <v>267</v>
      </c>
      <c r="L2648" s="879" t="s">
        <v>1130</v>
      </c>
      <c r="M2648" s="881" t="s">
        <v>148</v>
      </c>
      <c r="N2648" s="883">
        <v>130000</v>
      </c>
      <c r="O2648" s="55">
        <v>719</v>
      </c>
      <c r="P2648" s="78">
        <v>100000</v>
      </c>
    </row>
    <row r="2649" spans="9:16" ht="15.75" customHeight="1" thickBot="1">
      <c r="I2649" s="882"/>
      <c r="J2649" s="876"/>
      <c r="K2649" s="878"/>
      <c r="L2649" s="880"/>
      <c r="M2649" s="882"/>
      <c r="N2649" s="884"/>
      <c r="O2649" s="56">
        <v>721</v>
      </c>
      <c r="P2649" s="79">
        <f>+N2648-P2648</f>
        <v>30000</v>
      </c>
    </row>
    <row r="2650" spans="9:16" ht="15" customHeight="1">
      <c r="I2650" s="881">
        <v>284</v>
      </c>
      <c r="J2650" s="875">
        <v>42655</v>
      </c>
      <c r="K2650" s="877" t="s">
        <v>267</v>
      </c>
      <c r="L2650" s="879" t="s">
        <v>1131</v>
      </c>
      <c r="M2650" s="881" t="s">
        <v>148</v>
      </c>
      <c r="N2650" s="883">
        <v>130000</v>
      </c>
      <c r="O2650" s="55">
        <v>719</v>
      </c>
      <c r="P2650" s="78">
        <v>100000</v>
      </c>
    </row>
    <row r="2651" spans="9:16" ht="15.75" customHeight="1" thickBot="1">
      <c r="I2651" s="882"/>
      <c r="J2651" s="876"/>
      <c r="K2651" s="878"/>
      <c r="L2651" s="880"/>
      <c r="M2651" s="882"/>
      <c r="N2651" s="884"/>
      <c r="O2651" s="56">
        <v>721</v>
      </c>
      <c r="P2651" s="79">
        <f>+N2650-P2650</f>
        <v>30000</v>
      </c>
    </row>
    <row r="2652" spans="9:16" ht="15" customHeight="1">
      <c r="I2652" s="881">
        <v>285</v>
      </c>
      <c r="J2652" s="875">
        <v>42655</v>
      </c>
      <c r="K2652" s="877" t="s">
        <v>267</v>
      </c>
      <c r="L2652" s="879" t="s">
        <v>1132</v>
      </c>
      <c r="M2652" s="881" t="s">
        <v>148</v>
      </c>
      <c r="N2652" s="883">
        <v>30000</v>
      </c>
      <c r="O2652" s="55">
        <v>719</v>
      </c>
      <c r="P2652" s="78">
        <v>30000</v>
      </c>
    </row>
    <row r="2653" spans="9:16" ht="15.75" customHeight="1" thickBot="1">
      <c r="I2653" s="882"/>
      <c r="J2653" s="876"/>
      <c r="K2653" s="878"/>
      <c r="L2653" s="880"/>
      <c r="M2653" s="882"/>
      <c r="N2653" s="884"/>
      <c r="O2653" s="56">
        <v>721</v>
      </c>
      <c r="P2653" s="79">
        <f>+N2652-P2652</f>
        <v>0</v>
      </c>
    </row>
    <row r="2654" spans="9:16" ht="13.5" customHeight="1">
      <c r="I2654" s="881"/>
      <c r="J2654" s="875"/>
      <c r="K2654" s="877"/>
      <c r="L2654" s="879"/>
      <c r="M2654" s="881"/>
      <c r="N2654" s="883"/>
      <c r="O2654" s="55">
        <v>719</v>
      </c>
      <c r="P2654" s="78"/>
    </row>
    <row r="2655" spans="9:16" ht="13.5" customHeight="1" thickBot="1">
      <c r="I2655" s="882"/>
      <c r="J2655" s="876"/>
      <c r="K2655" s="878"/>
      <c r="L2655" s="880"/>
      <c r="M2655" s="882"/>
      <c r="N2655" s="884"/>
      <c r="O2655" s="56">
        <v>723</v>
      </c>
      <c r="P2655" s="79">
        <f>+N2654-P2654</f>
        <v>0</v>
      </c>
    </row>
    <row r="2656" spans="9:16" ht="16.5" thickBot="1">
      <c r="I2656" s="901" t="s">
        <v>102</v>
      </c>
      <c r="J2656" s="902"/>
      <c r="K2656" s="902"/>
      <c r="L2656" s="902"/>
      <c r="M2656" s="903"/>
      <c r="N2656" s="81">
        <f>SUM(N2646:N2655)</f>
        <v>316000</v>
      </c>
    </row>
    <row r="2657" spans="9:16" ht="16.5" thickBot="1">
      <c r="I2657" s="885" t="s">
        <v>103</v>
      </c>
      <c r="J2657" s="886"/>
      <c r="K2657" s="886"/>
      <c r="L2657" s="886"/>
      <c r="M2657" s="887"/>
      <c r="N2657" s="69">
        <f>+N2621</f>
        <v>493894045</v>
      </c>
      <c r="O2657" s="241" t="s">
        <v>561</v>
      </c>
      <c r="P2657" s="242"/>
    </row>
    <row r="2658" spans="9:16" ht="16.5" thickBot="1">
      <c r="I2658" s="888" t="s">
        <v>104</v>
      </c>
      <c r="J2658" s="889"/>
      <c r="K2658" s="889"/>
      <c r="L2658" s="889"/>
      <c r="M2658" s="890"/>
      <c r="N2658" s="183">
        <f>SUM(N2656:N2657)</f>
        <v>494210045</v>
      </c>
    </row>
    <row r="2659" spans="9:16">
      <c r="I2659" s="61"/>
      <c r="J2659" s="61"/>
      <c r="K2659" s="61"/>
      <c r="L2659" s="61"/>
      <c r="M2659" s="61"/>
    </row>
    <row r="2660" spans="9:16">
      <c r="I2660" s="51" t="s">
        <v>1159</v>
      </c>
    </row>
    <row r="2661" spans="9:16" ht="12.75" customHeight="1">
      <c r="N2661" s="139"/>
    </row>
    <row r="2662" spans="9:16">
      <c r="I2662" s="50" t="s">
        <v>105</v>
      </c>
      <c r="L2662" s="146"/>
      <c r="N2662" s="139"/>
    </row>
    <row r="2663" spans="9:16" ht="13.5" customHeight="1" thickBot="1"/>
    <row r="2664" spans="9:16" ht="15.75" thickBot="1">
      <c r="I2664" s="891" t="s">
        <v>106</v>
      </c>
      <c r="J2664" s="892"/>
      <c r="K2664" s="892"/>
      <c r="L2664" s="893"/>
      <c r="N2664" s="50" t="s">
        <v>288</v>
      </c>
    </row>
    <row r="2665" spans="9:16" ht="30.75" thickBot="1">
      <c r="I2665" s="57" t="s">
        <v>100</v>
      </c>
      <c r="J2665" s="58" t="s">
        <v>108</v>
      </c>
      <c r="K2665" s="287" t="s">
        <v>109</v>
      </c>
      <c r="L2665" s="60" t="s">
        <v>110</v>
      </c>
    </row>
    <row r="2666" spans="9:16">
      <c r="I2666" s="71">
        <v>719</v>
      </c>
      <c r="J2666" s="73">
        <f>+P2646+P2648+P2650+P2652</f>
        <v>250000</v>
      </c>
      <c r="K2666" s="74">
        <f>+L2629</f>
        <v>50790000</v>
      </c>
      <c r="L2666" s="195">
        <f>+J2666+K2666</f>
        <v>51040000</v>
      </c>
    </row>
    <row r="2667" spans="9:16">
      <c r="I2667" s="72">
        <v>721</v>
      </c>
      <c r="J2667" s="80">
        <f>+P2647+P2649+P2651+P2653+P2655</f>
        <v>66000</v>
      </c>
      <c r="K2667" s="74">
        <f>+L2630</f>
        <v>97686634</v>
      </c>
      <c r="L2667" s="195">
        <f>+J2667+K2667</f>
        <v>97752634</v>
      </c>
    </row>
    <row r="2668" spans="9:16">
      <c r="I2668" s="72">
        <v>722</v>
      </c>
      <c r="J2668" s="80"/>
      <c r="K2668" s="74">
        <f>+L2631</f>
        <v>44881706</v>
      </c>
      <c r="L2668" s="195">
        <f>+J2668+K2668</f>
        <v>44881706</v>
      </c>
    </row>
    <row r="2669" spans="9:16" ht="15.75">
      <c r="I2669" s="72">
        <v>723</v>
      </c>
      <c r="J2669" s="80"/>
      <c r="K2669" s="74">
        <f>+L2632</f>
        <v>299668205</v>
      </c>
      <c r="L2669" s="195">
        <f>+J2669+K2669</f>
        <v>299668205</v>
      </c>
      <c r="N2669" s="193" t="s">
        <v>289</v>
      </c>
      <c r="O2669" s="175"/>
    </row>
    <row r="2670" spans="9:16" ht="16.5" thickBot="1">
      <c r="I2670" s="164" t="s">
        <v>1077</v>
      </c>
      <c r="J2670" s="165"/>
      <c r="K2670" s="74">
        <f>+L2633</f>
        <v>797500</v>
      </c>
      <c r="L2670" s="196">
        <f>+J2670+K2670</f>
        <v>797500</v>
      </c>
      <c r="N2670" s="52"/>
    </row>
    <row r="2671" spans="9:16" ht="16.5" thickBot="1">
      <c r="I2671" s="169"/>
      <c r="J2671" s="197">
        <f>SUM(J2666:J2670)</f>
        <v>316000</v>
      </c>
      <c r="K2671" s="197">
        <f>SUM(K2666:K2670)</f>
        <v>493824045</v>
      </c>
      <c r="L2671" s="198">
        <f>SUM(L2666:L2670)</f>
        <v>494140045</v>
      </c>
    </row>
    <row r="2672" spans="9:16" ht="16.5">
      <c r="I2672" s="49" t="s">
        <v>88</v>
      </c>
      <c r="J2672" s="50"/>
    </row>
    <row r="2673" spans="9:16">
      <c r="I2673" s="51" t="s">
        <v>89</v>
      </c>
    </row>
    <row r="2674" spans="9:16">
      <c r="I2674" s="51" t="s">
        <v>90</v>
      </c>
    </row>
    <row r="2675" spans="9:16">
      <c r="I2675" s="51" t="s">
        <v>91</v>
      </c>
    </row>
    <row r="2676" spans="9:16" ht="10.5" customHeight="1">
      <c r="I2676" s="50"/>
      <c r="J2676" s="50"/>
    </row>
    <row r="2677" spans="9:16" ht="15.75">
      <c r="I2677" s="260" t="s">
        <v>1157</v>
      </c>
      <c r="O2677" s="52"/>
    </row>
    <row r="2678" spans="9:16" ht="15.75">
      <c r="I2678" s="53" t="s">
        <v>535</v>
      </c>
      <c r="O2678" s="53"/>
    </row>
    <row r="2679" spans="9:16" ht="16.5">
      <c r="I2679" s="894" t="s">
        <v>1078</v>
      </c>
      <c r="J2679" s="894"/>
      <c r="K2679" s="894"/>
      <c r="L2679" s="894"/>
      <c r="M2679" s="894"/>
      <c r="N2679" s="894"/>
      <c r="O2679" s="894"/>
      <c r="P2679" s="894"/>
    </row>
    <row r="2680" spans="9:16" ht="15.75" thickBot="1"/>
    <row r="2681" spans="9:16">
      <c r="I2681" s="895" t="s">
        <v>94</v>
      </c>
      <c r="J2681" s="897" t="s">
        <v>95</v>
      </c>
      <c r="K2681" s="897" t="s">
        <v>96</v>
      </c>
      <c r="L2681" s="897" t="s">
        <v>3</v>
      </c>
      <c r="M2681" s="897" t="s">
        <v>97</v>
      </c>
      <c r="N2681" s="897" t="s">
        <v>98</v>
      </c>
      <c r="O2681" s="897" t="s">
        <v>99</v>
      </c>
      <c r="P2681" s="899"/>
    </row>
    <row r="2682" spans="9:16" ht="15.75" thickBot="1">
      <c r="I2682" s="896"/>
      <c r="J2682" s="898"/>
      <c r="K2682" s="898"/>
      <c r="L2682" s="898"/>
      <c r="M2682" s="898"/>
      <c r="N2682" s="898"/>
      <c r="O2682" s="240" t="s">
        <v>100</v>
      </c>
      <c r="P2682" s="182" t="s">
        <v>101</v>
      </c>
    </row>
    <row r="2683" spans="9:16">
      <c r="I2683" s="881">
        <v>286</v>
      </c>
      <c r="J2683" s="875">
        <v>42655</v>
      </c>
      <c r="K2683" s="877" t="s">
        <v>472</v>
      </c>
      <c r="L2683" s="879" t="s">
        <v>1160</v>
      </c>
      <c r="M2683" s="881" t="s">
        <v>148</v>
      </c>
      <c r="N2683" s="883">
        <v>208000</v>
      </c>
      <c r="O2683" s="55">
        <v>719</v>
      </c>
      <c r="P2683" s="78">
        <v>160000</v>
      </c>
    </row>
    <row r="2684" spans="9:16" ht="15.75" thickBot="1">
      <c r="I2684" s="882"/>
      <c r="J2684" s="876"/>
      <c r="K2684" s="878"/>
      <c r="L2684" s="880"/>
      <c r="M2684" s="882"/>
      <c r="N2684" s="884"/>
      <c r="O2684" s="56">
        <v>721</v>
      </c>
      <c r="P2684" s="79">
        <f>+N2683-P2683</f>
        <v>48000</v>
      </c>
    </row>
    <row r="2685" spans="9:16">
      <c r="I2685" s="881">
        <v>287</v>
      </c>
      <c r="J2685" s="875">
        <v>42655</v>
      </c>
      <c r="K2685" s="877" t="s">
        <v>472</v>
      </c>
      <c r="L2685" s="879" t="s">
        <v>1133</v>
      </c>
      <c r="M2685" s="881" t="s">
        <v>148</v>
      </c>
      <c r="N2685" s="883">
        <v>390000</v>
      </c>
      <c r="O2685" s="55">
        <v>719</v>
      </c>
      <c r="P2685" s="78">
        <v>300000</v>
      </c>
    </row>
    <row r="2686" spans="9:16" ht="15.75" thickBot="1">
      <c r="I2686" s="882"/>
      <c r="J2686" s="876"/>
      <c r="K2686" s="878"/>
      <c r="L2686" s="880"/>
      <c r="M2686" s="882"/>
      <c r="N2686" s="884"/>
      <c r="O2686" s="56">
        <v>721</v>
      </c>
      <c r="P2686" s="79">
        <f>+N2685-P2685</f>
        <v>90000</v>
      </c>
    </row>
    <row r="2687" spans="9:16">
      <c r="I2687" s="881">
        <v>288</v>
      </c>
      <c r="J2687" s="875">
        <v>42655</v>
      </c>
      <c r="K2687" s="877" t="s">
        <v>472</v>
      </c>
      <c r="L2687" s="879" t="s">
        <v>1135</v>
      </c>
      <c r="M2687" s="881" t="s">
        <v>148</v>
      </c>
      <c r="N2687" s="883">
        <v>286000</v>
      </c>
      <c r="O2687" s="55">
        <v>719</v>
      </c>
      <c r="P2687" s="78">
        <v>220000</v>
      </c>
    </row>
    <row r="2688" spans="9:16" ht="15.75" thickBot="1">
      <c r="I2688" s="882"/>
      <c r="J2688" s="876"/>
      <c r="K2688" s="878"/>
      <c r="L2688" s="880"/>
      <c r="M2688" s="882"/>
      <c r="N2688" s="884"/>
      <c r="O2688" s="56">
        <v>721</v>
      </c>
      <c r="P2688" s="79">
        <f>+N2687-P2687</f>
        <v>66000</v>
      </c>
    </row>
    <row r="2689" spans="9:16">
      <c r="I2689" s="881">
        <v>289</v>
      </c>
      <c r="J2689" s="875">
        <v>42655</v>
      </c>
      <c r="K2689" s="877" t="s">
        <v>472</v>
      </c>
      <c r="L2689" s="879" t="s">
        <v>1128</v>
      </c>
      <c r="M2689" s="881" t="s">
        <v>148</v>
      </c>
      <c r="N2689" s="883">
        <v>100000</v>
      </c>
      <c r="O2689" s="55">
        <v>719</v>
      </c>
      <c r="P2689" s="78">
        <v>100000</v>
      </c>
    </row>
    <row r="2690" spans="9:16" ht="15.75" thickBot="1">
      <c r="I2690" s="882"/>
      <c r="J2690" s="876"/>
      <c r="K2690" s="878"/>
      <c r="L2690" s="880"/>
      <c r="M2690" s="882"/>
      <c r="N2690" s="884"/>
      <c r="O2690" s="56">
        <v>721</v>
      </c>
      <c r="P2690" s="79">
        <f>+N2689-P2689</f>
        <v>0</v>
      </c>
    </row>
    <row r="2691" spans="9:16">
      <c r="I2691" s="881"/>
      <c r="J2691" s="875"/>
      <c r="K2691" s="877"/>
      <c r="L2691" s="879"/>
      <c r="M2691" s="881"/>
      <c r="N2691" s="883"/>
      <c r="O2691" s="55">
        <v>719</v>
      </c>
      <c r="P2691" s="78"/>
    </row>
    <row r="2692" spans="9:16" ht="15.75" thickBot="1">
      <c r="I2692" s="882"/>
      <c r="J2692" s="876"/>
      <c r="K2692" s="878"/>
      <c r="L2692" s="880"/>
      <c r="M2692" s="882"/>
      <c r="N2692" s="884"/>
      <c r="O2692" s="56">
        <v>721</v>
      </c>
      <c r="P2692" s="79">
        <f>+N2691-P2691</f>
        <v>0</v>
      </c>
    </row>
    <row r="2693" spans="9:16" ht="16.5" thickBot="1">
      <c r="I2693" s="901" t="s">
        <v>102</v>
      </c>
      <c r="J2693" s="902"/>
      <c r="K2693" s="902"/>
      <c r="L2693" s="902"/>
      <c r="M2693" s="903"/>
      <c r="N2693" s="81">
        <f>SUM(N2683:N2692)</f>
        <v>984000</v>
      </c>
    </row>
    <row r="2694" spans="9:16" ht="16.5" thickBot="1">
      <c r="I2694" s="885" t="s">
        <v>103</v>
      </c>
      <c r="J2694" s="886"/>
      <c r="K2694" s="886"/>
      <c r="L2694" s="886"/>
      <c r="M2694" s="887"/>
      <c r="N2694" s="69">
        <f>+N2658</f>
        <v>494210045</v>
      </c>
      <c r="O2694" s="241" t="s">
        <v>561</v>
      </c>
      <c r="P2694" s="242">
        <f>183+395+650+498</f>
        <v>1726</v>
      </c>
    </row>
    <row r="2695" spans="9:16" ht="16.5" thickBot="1">
      <c r="I2695" s="888" t="s">
        <v>104</v>
      </c>
      <c r="J2695" s="889"/>
      <c r="K2695" s="889"/>
      <c r="L2695" s="889"/>
      <c r="M2695" s="890"/>
      <c r="N2695" s="183">
        <f>SUM(N2693:N2694)</f>
        <v>495194045</v>
      </c>
    </row>
    <row r="2696" spans="9:16">
      <c r="I2696" s="61"/>
      <c r="J2696" s="61"/>
      <c r="K2696" s="61"/>
      <c r="L2696" s="61"/>
      <c r="M2696" s="61"/>
    </row>
    <row r="2697" spans="9:16">
      <c r="I2697" s="51" t="s">
        <v>1161</v>
      </c>
    </row>
    <row r="2698" spans="9:16" ht="12.75" customHeight="1">
      <c r="N2698" s="139"/>
    </row>
    <row r="2699" spans="9:16">
      <c r="I2699" s="50" t="s">
        <v>105</v>
      </c>
      <c r="L2699" s="146"/>
      <c r="N2699" s="139"/>
    </row>
    <row r="2700" spans="9:16" ht="14.25" customHeight="1" thickBot="1"/>
    <row r="2701" spans="9:16" ht="15.75" thickBot="1">
      <c r="I2701" s="891" t="s">
        <v>106</v>
      </c>
      <c r="J2701" s="892"/>
      <c r="K2701" s="892"/>
      <c r="L2701" s="893"/>
      <c r="N2701" s="50" t="s">
        <v>288</v>
      </c>
    </row>
    <row r="2702" spans="9:16" ht="30.75" thickBot="1">
      <c r="I2702" s="57" t="s">
        <v>100</v>
      </c>
      <c r="J2702" s="58" t="s">
        <v>108</v>
      </c>
      <c r="K2702" s="287" t="s">
        <v>109</v>
      </c>
      <c r="L2702" s="60" t="s">
        <v>110</v>
      </c>
    </row>
    <row r="2703" spans="9:16">
      <c r="I2703" s="71">
        <v>719</v>
      </c>
      <c r="J2703" s="73">
        <f>+P2683+P2685+P2687+P2689</f>
        <v>780000</v>
      </c>
      <c r="K2703" s="74">
        <f>+L2666</f>
        <v>51040000</v>
      </c>
      <c r="L2703" s="195">
        <f>+J2703+K2703</f>
        <v>51820000</v>
      </c>
    </row>
    <row r="2704" spans="9:16">
      <c r="I2704" s="72">
        <v>721</v>
      </c>
      <c r="J2704" s="80">
        <f>+P2684+P2686+P2688+P2690+P2692</f>
        <v>204000</v>
      </c>
      <c r="K2704" s="74">
        <f>+L2667</f>
        <v>97752634</v>
      </c>
      <c r="L2704" s="195">
        <f>+J2704+K2704</f>
        <v>97956634</v>
      </c>
    </row>
    <row r="2705" spans="9:16">
      <c r="I2705" s="72">
        <v>722</v>
      </c>
      <c r="J2705" s="80"/>
      <c r="K2705" s="74">
        <f>+L2668</f>
        <v>44881706</v>
      </c>
      <c r="L2705" s="195">
        <f>+J2705+K2705</f>
        <v>44881706</v>
      </c>
    </row>
    <row r="2706" spans="9:16" ht="15.75">
      <c r="I2706" s="72">
        <v>723</v>
      </c>
      <c r="J2706" s="80"/>
      <c r="K2706" s="74">
        <f>+L2669</f>
        <v>299668205</v>
      </c>
      <c r="L2706" s="195">
        <f>+J2706+K2706</f>
        <v>299668205</v>
      </c>
      <c r="N2706" s="193" t="s">
        <v>289</v>
      </c>
      <c r="O2706" s="175"/>
    </row>
    <row r="2707" spans="9:16" ht="16.5" thickBot="1">
      <c r="I2707" s="164" t="s">
        <v>1077</v>
      </c>
      <c r="J2707" s="165"/>
      <c r="K2707" s="74">
        <f>+L2670</f>
        <v>797500</v>
      </c>
      <c r="L2707" s="196">
        <f>+J2707+K2707</f>
        <v>797500</v>
      </c>
      <c r="N2707" s="52"/>
    </row>
    <row r="2708" spans="9:16" ht="16.5" thickBot="1">
      <c r="I2708" s="169"/>
      <c r="J2708" s="197">
        <f>SUM(J2703:J2707)</f>
        <v>984000</v>
      </c>
      <c r="K2708" s="197">
        <f>SUM(K2703:K2707)</f>
        <v>494140045</v>
      </c>
      <c r="L2708" s="198">
        <f>SUM(L2703:L2707)</f>
        <v>495124045</v>
      </c>
    </row>
    <row r="2709" spans="9:16" ht="16.5">
      <c r="I2709" s="49" t="s">
        <v>88</v>
      </c>
      <c r="J2709" s="50"/>
    </row>
    <row r="2710" spans="9:16">
      <c r="I2710" s="51" t="s">
        <v>89</v>
      </c>
    </row>
    <row r="2711" spans="9:16">
      <c r="I2711" s="51" t="s">
        <v>90</v>
      </c>
    </row>
    <row r="2712" spans="9:16">
      <c r="I2712" s="51" t="s">
        <v>91</v>
      </c>
    </row>
    <row r="2713" spans="9:16" ht="11.25" customHeight="1">
      <c r="I2713" s="50"/>
      <c r="J2713" s="50"/>
    </row>
    <row r="2714" spans="9:16" ht="15.75">
      <c r="I2714" s="260" t="s">
        <v>1162</v>
      </c>
      <c r="O2714" s="52"/>
    </row>
    <row r="2715" spans="9:16" ht="15.75">
      <c r="I2715" s="53" t="s">
        <v>535</v>
      </c>
      <c r="O2715" s="53"/>
    </row>
    <row r="2716" spans="9:16" ht="16.5">
      <c r="I2716" s="894" t="s">
        <v>1078</v>
      </c>
      <c r="J2716" s="894"/>
      <c r="K2716" s="894"/>
      <c r="L2716" s="894"/>
      <c r="M2716" s="894"/>
      <c r="N2716" s="894"/>
      <c r="O2716" s="894"/>
      <c r="P2716" s="894"/>
    </row>
    <row r="2717" spans="9:16" ht="13.5" customHeight="1" thickBot="1"/>
    <row r="2718" spans="9:16">
      <c r="I2718" s="895" t="s">
        <v>94</v>
      </c>
      <c r="J2718" s="897" t="s">
        <v>95</v>
      </c>
      <c r="K2718" s="897" t="s">
        <v>96</v>
      </c>
      <c r="L2718" s="897" t="s">
        <v>3</v>
      </c>
      <c r="M2718" s="897" t="s">
        <v>97</v>
      </c>
      <c r="N2718" s="897" t="s">
        <v>98</v>
      </c>
      <c r="O2718" s="897" t="s">
        <v>99</v>
      </c>
      <c r="P2718" s="899"/>
    </row>
    <row r="2719" spans="9:16" ht="15.75" thickBot="1">
      <c r="I2719" s="896"/>
      <c r="J2719" s="898"/>
      <c r="K2719" s="898"/>
      <c r="L2719" s="898"/>
      <c r="M2719" s="898"/>
      <c r="N2719" s="898"/>
      <c r="O2719" s="240" t="s">
        <v>100</v>
      </c>
      <c r="P2719" s="182" t="s">
        <v>101</v>
      </c>
    </row>
    <row r="2720" spans="9:16">
      <c r="I2720" s="881">
        <v>290</v>
      </c>
      <c r="J2720" s="875">
        <v>42655</v>
      </c>
      <c r="K2720" s="877" t="s">
        <v>1139</v>
      </c>
      <c r="L2720" s="879" t="s">
        <v>1146</v>
      </c>
      <c r="M2720" s="881" t="s">
        <v>148</v>
      </c>
      <c r="N2720" s="883">
        <v>52000</v>
      </c>
      <c r="O2720" s="55">
        <v>719</v>
      </c>
      <c r="P2720" s="78">
        <v>40000</v>
      </c>
    </row>
    <row r="2721" spans="9:16" ht="13.5" customHeight="1" thickBot="1">
      <c r="I2721" s="882"/>
      <c r="J2721" s="876"/>
      <c r="K2721" s="878"/>
      <c r="L2721" s="880"/>
      <c r="M2721" s="882"/>
      <c r="N2721" s="884"/>
      <c r="O2721" s="56">
        <v>721</v>
      </c>
      <c r="P2721" s="79">
        <f>+N2720-P2720</f>
        <v>12000</v>
      </c>
    </row>
    <row r="2722" spans="9:16">
      <c r="I2722" s="881">
        <v>291</v>
      </c>
      <c r="J2722" s="875">
        <v>42655</v>
      </c>
      <c r="K2722" s="877" t="s">
        <v>1139</v>
      </c>
      <c r="L2722" s="879" t="s">
        <v>1150</v>
      </c>
      <c r="M2722" s="881" t="s">
        <v>148</v>
      </c>
      <c r="N2722" s="883">
        <v>78000</v>
      </c>
      <c r="O2722" s="55">
        <v>719</v>
      </c>
      <c r="P2722" s="78">
        <v>60000</v>
      </c>
    </row>
    <row r="2723" spans="9:16" ht="15.75" thickBot="1">
      <c r="I2723" s="882"/>
      <c r="J2723" s="876"/>
      <c r="K2723" s="878"/>
      <c r="L2723" s="880"/>
      <c r="M2723" s="882"/>
      <c r="N2723" s="884"/>
      <c r="O2723" s="56">
        <v>721</v>
      </c>
      <c r="P2723" s="79">
        <f>+N2722-P2722</f>
        <v>18000</v>
      </c>
    </row>
    <row r="2724" spans="9:16" ht="14.25" customHeight="1">
      <c r="I2724" s="881">
        <v>292</v>
      </c>
      <c r="J2724" s="875">
        <v>42655</v>
      </c>
      <c r="K2724" s="877" t="s">
        <v>1139</v>
      </c>
      <c r="L2724" s="879" t="s">
        <v>1141</v>
      </c>
      <c r="M2724" s="881" t="s">
        <v>148</v>
      </c>
      <c r="N2724" s="883">
        <v>46000</v>
      </c>
      <c r="O2724" s="55">
        <v>719</v>
      </c>
      <c r="P2724" s="78">
        <v>40000</v>
      </c>
    </row>
    <row r="2725" spans="9:16" ht="14.25" customHeight="1" thickBot="1">
      <c r="I2725" s="882"/>
      <c r="J2725" s="876"/>
      <c r="K2725" s="878"/>
      <c r="L2725" s="880"/>
      <c r="M2725" s="882"/>
      <c r="N2725" s="884"/>
      <c r="O2725" s="56">
        <v>721</v>
      </c>
      <c r="P2725" s="79">
        <f>+N2724-P2724</f>
        <v>6000</v>
      </c>
    </row>
    <row r="2726" spans="9:16">
      <c r="I2726" s="881">
        <v>293</v>
      </c>
      <c r="J2726" s="875">
        <v>42655</v>
      </c>
      <c r="K2726" s="877" t="s">
        <v>31</v>
      </c>
      <c r="L2726" s="879" t="s">
        <v>1155</v>
      </c>
      <c r="M2726" s="881" t="s">
        <v>148</v>
      </c>
      <c r="N2726" s="883">
        <v>1326000</v>
      </c>
      <c r="O2726" s="55">
        <v>719</v>
      </c>
      <c r="P2726" s="78">
        <v>1020000</v>
      </c>
    </row>
    <row r="2727" spans="9:16" ht="15.75" thickBot="1">
      <c r="I2727" s="882"/>
      <c r="J2727" s="876"/>
      <c r="K2727" s="878"/>
      <c r="L2727" s="880"/>
      <c r="M2727" s="882"/>
      <c r="N2727" s="884"/>
      <c r="O2727" s="56">
        <v>721</v>
      </c>
      <c r="P2727" s="79">
        <f>+N2726-P2726</f>
        <v>306000</v>
      </c>
    </row>
    <row r="2728" spans="9:16" ht="13.5" customHeight="1">
      <c r="I2728" s="881"/>
      <c r="J2728" s="875"/>
      <c r="K2728" s="877"/>
      <c r="L2728" s="879"/>
      <c r="M2728" s="881"/>
      <c r="N2728" s="883"/>
      <c r="O2728" s="55">
        <v>719</v>
      </c>
      <c r="P2728" s="78"/>
    </row>
    <row r="2729" spans="9:16" ht="13.5" customHeight="1" thickBot="1">
      <c r="I2729" s="882"/>
      <c r="J2729" s="876"/>
      <c r="K2729" s="878"/>
      <c r="L2729" s="880"/>
      <c r="M2729" s="882"/>
      <c r="N2729" s="884"/>
      <c r="O2729" s="56">
        <v>721</v>
      </c>
      <c r="P2729" s="79">
        <f>+N2728-P2728</f>
        <v>0</v>
      </c>
    </row>
    <row r="2730" spans="9:16" ht="16.5" thickBot="1">
      <c r="I2730" s="901" t="s">
        <v>102</v>
      </c>
      <c r="J2730" s="902"/>
      <c r="K2730" s="902"/>
      <c r="L2730" s="902"/>
      <c r="M2730" s="903"/>
      <c r="N2730" s="81">
        <f>SUM(N2720:N2729)</f>
        <v>1502000</v>
      </c>
    </row>
    <row r="2731" spans="9:16" ht="16.5" thickBot="1">
      <c r="I2731" s="885" t="s">
        <v>103</v>
      </c>
      <c r="J2731" s="886"/>
      <c r="K2731" s="886"/>
      <c r="L2731" s="886"/>
      <c r="M2731" s="887"/>
      <c r="N2731" s="69">
        <f>+N2695</f>
        <v>495194045</v>
      </c>
      <c r="O2731" s="241" t="s">
        <v>561</v>
      </c>
      <c r="P2731" s="242">
        <v>1556</v>
      </c>
    </row>
    <row r="2732" spans="9:16" ht="16.5" thickBot="1">
      <c r="I2732" s="888" t="s">
        <v>104</v>
      </c>
      <c r="J2732" s="889"/>
      <c r="K2732" s="889"/>
      <c r="L2732" s="889"/>
      <c r="M2732" s="890"/>
      <c r="N2732" s="183">
        <f>SUM(N2730:N2731)</f>
        <v>496696045</v>
      </c>
    </row>
    <row r="2733" spans="9:16" ht="12.75" customHeight="1">
      <c r="I2733" s="61"/>
      <c r="J2733" s="61"/>
      <c r="K2733" s="61"/>
      <c r="L2733" s="61"/>
      <c r="M2733" s="61"/>
    </row>
    <row r="2734" spans="9:16">
      <c r="I2734" s="51" t="s">
        <v>1163</v>
      </c>
    </row>
    <row r="2735" spans="9:16" ht="14.25" customHeight="1">
      <c r="N2735" s="139"/>
    </row>
    <row r="2736" spans="9:16">
      <c r="I2736" s="50" t="s">
        <v>105</v>
      </c>
      <c r="L2736" s="146"/>
      <c r="N2736" s="139"/>
    </row>
    <row r="2737" spans="9:15" ht="13.5" customHeight="1" thickBot="1"/>
    <row r="2738" spans="9:15" ht="15.75" thickBot="1">
      <c r="I2738" s="891" t="s">
        <v>106</v>
      </c>
      <c r="J2738" s="892"/>
      <c r="K2738" s="892"/>
      <c r="L2738" s="893"/>
      <c r="N2738" s="50" t="s">
        <v>288</v>
      </c>
    </row>
    <row r="2739" spans="9:15" ht="30.75" thickBot="1">
      <c r="I2739" s="57" t="s">
        <v>100</v>
      </c>
      <c r="J2739" s="58" t="s">
        <v>108</v>
      </c>
      <c r="K2739" s="287" t="s">
        <v>109</v>
      </c>
      <c r="L2739" s="60" t="s">
        <v>110</v>
      </c>
    </row>
    <row r="2740" spans="9:15">
      <c r="I2740" s="71">
        <v>719</v>
      </c>
      <c r="J2740" s="73">
        <f>+P2720+P2722+P2724+P2726</f>
        <v>1160000</v>
      </c>
      <c r="K2740" s="74">
        <f>+L2703</f>
        <v>51820000</v>
      </c>
      <c r="L2740" s="195">
        <f>+J2740+K2740</f>
        <v>52980000</v>
      </c>
    </row>
    <row r="2741" spans="9:15">
      <c r="I2741" s="72">
        <v>721</v>
      </c>
      <c r="J2741" s="80">
        <f>+P2721+P2723+P2725+P2727+P2729</f>
        <v>342000</v>
      </c>
      <c r="K2741" s="74">
        <f>+L2704</f>
        <v>97956634</v>
      </c>
      <c r="L2741" s="195">
        <f>+J2741+K2741</f>
        <v>98298634</v>
      </c>
    </row>
    <row r="2742" spans="9:15">
      <c r="I2742" s="72">
        <v>722</v>
      </c>
      <c r="J2742" s="80"/>
      <c r="K2742" s="74">
        <f>+L2705</f>
        <v>44881706</v>
      </c>
      <c r="L2742" s="195">
        <f>+J2742+K2742</f>
        <v>44881706</v>
      </c>
    </row>
    <row r="2743" spans="9:15" ht="15.75">
      <c r="I2743" s="72">
        <v>723</v>
      </c>
      <c r="J2743" s="80"/>
      <c r="K2743" s="74">
        <f>+L2706</f>
        <v>299668205</v>
      </c>
      <c r="L2743" s="195">
        <f>+J2743+K2743</f>
        <v>299668205</v>
      </c>
      <c r="N2743" s="193" t="s">
        <v>289</v>
      </c>
      <c r="O2743" s="175"/>
    </row>
    <row r="2744" spans="9:15" ht="16.5" thickBot="1">
      <c r="I2744" s="164" t="s">
        <v>1077</v>
      </c>
      <c r="J2744" s="165"/>
      <c r="K2744" s="74">
        <f>+L2707</f>
        <v>797500</v>
      </c>
      <c r="L2744" s="196">
        <f>+J2744+K2744</f>
        <v>797500</v>
      </c>
      <c r="N2744" s="52"/>
    </row>
    <row r="2745" spans="9:15" ht="16.5" thickBot="1">
      <c r="I2745" s="169"/>
      <c r="J2745" s="197">
        <f>SUM(J2740:J2744)</f>
        <v>1502000</v>
      </c>
      <c r="K2745" s="197">
        <f>SUM(K2740:K2744)</f>
        <v>495124045</v>
      </c>
      <c r="L2745" s="198">
        <f>SUM(L2740:L2744)</f>
        <v>496626045</v>
      </c>
    </row>
    <row r="2746" spans="9:15" ht="16.5">
      <c r="I2746" s="49" t="s">
        <v>88</v>
      </c>
      <c r="J2746" s="50"/>
    </row>
    <row r="2747" spans="9:15">
      <c r="I2747" s="51" t="s">
        <v>89</v>
      </c>
    </row>
    <row r="2748" spans="9:15">
      <c r="I2748" s="51" t="s">
        <v>90</v>
      </c>
    </row>
    <row r="2749" spans="9:15">
      <c r="I2749" s="51" t="s">
        <v>91</v>
      </c>
    </row>
    <row r="2750" spans="9:15" ht="11.25" customHeight="1">
      <c r="I2750" s="50"/>
      <c r="J2750" s="50"/>
    </row>
    <row r="2751" spans="9:15" ht="15.75">
      <c r="I2751" s="260" t="s">
        <v>1164</v>
      </c>
      <c r="O2751" s="52"/>
    </row>
    <row r="2752" spans="9:15" ht="15.75">
      <c r="I2752" s="53" t="s">
        <v>535</v>
      </c>
      <c r="O2752" s="53"/>
    </row>
    <row r="2753" spans="9:16" ht="16.5">
      <c r="I2753" s="894" t="s">
        <v>1078</v>
      </c>
      <c r="J2753" s="894"/>
      <c r="K2753" s="894"/>
      <c r="L2753" s="894"/>
      <c r="M2753" s="894"/>
      <c r="N2753" s="894"/>
      <c r="O2753" s="894"/>
      <c r="P2753" s="894"/>
    </row>
    <row r="2754" spans="9:16" ht="15.75" thickBot="1"/>
    <row r="2755" spans="9:16">
      <c r="I2755" s="895" t="s">
        <v>94</v>
      </c>
      <c r="J2755" s="897" t="s">
        <v>95</v>
      </c>
      <c r="K2755" s="897" t="s">
        <v>96</v>
      </c>
      <c r="L2755" s="897" t="s">
        <v>3</v>
      </c>
      <c r="M2755" s="897" t="s">
        <v>97</v>
      </c>
      <c r="N2755" s="897" t="s">
        <v>98</v>
      </c>
      <c r="O2755" s="897" t="s">
        <v>99</v>
      </c>
      <c r="P2755" s="899"/>
    </row>
    <row r="2756" spans="9:16" ht="15.75" thickBot="1">
      <c r="I2756" s="896"/>
      <c r="J2756" s="898"/>
      <c r="K2756" s="898"/>
      <c r="L2756" s="898"/>
      <c r="M2756" s="898"/>
      <c r="N2756" s="898"/>
      <c r="O2756" s="240" t="s">
        <v>100</v>
      </c>
      <c r="P2756" s="182" t="s">
        <v>101</v>
      </c>
    </row>
    <row r="2757" spans="9:16">
      <c r="I2757" s="881">
        <v>294</v>
      </c>
      <c r="J2757" s="875">
        <v>42657</v>
      </c>
      <c r="K2757" s="877" t="s">
        <v>1014</v>
      </c>
      <c r="L2757" s="879" t="s">
        <v>1167</v>
      </c>
      <c r="M2757" s="881" t="s">
        <v>115</v>
      </c>
      <c r="N2757" s="883">
        <v>110000</v>
      </c>
      <c r="O2757" s="55">
        <v>719</v>
      </c>
      <c r="P2757" s="78">
        <v>110000</v>
      </c>
    </row>
    <row r="2758" spans="9:16" ht="15.75" thickBot="1">
      <c r="I2758" s="882"/>
      <c r="J2758" s="876"/>
      <c r="K2758" s="878"/>
      <c r="L2758" s="880"/>
      <c r="M2758" s="882"/>
      <c r="N2758" s="884"/>
      <c r="O2758" s="56">
        <v>721</v>
      </c>
      <c r="P2758" s="79">
        <f>+N2757-P2757</f>
        <v>0</v>
      </c>
    </row>
    <row r="2759" spans="9:16" ht="15" customHeight="1">
      <c r="I2759" s="881">
        <v>295</v>
      </c>
      <c r="J2759" s="875">
        <v>42657</v>
      </c>
      <c r="K2759" s="877" t="s">
        <v>28</v>
      </c>
      <c r="L2759" s="879" t="s">
        <v>1166</v>
      </c>
      <c r="M2759" s="881" t="s">
        <v>115</v>
      </c>
      <c r="N2759" s="883">
        <v>70000</v>
      </c>
      <c r="O2759" s="55">
        <v>719</v>
      </c>
      <c r="P2759" s="78">
        <v>70000</v>
      </c>
    </row>
    <row r="2760" spans="9:16" ht="14.25" customHeight="1" thickBot="1">
      <c r="I2760" s="882"/>
      <c r="J2760" s="876"/>
      <c r="K2760" s="878"/>
      <c r="L2760" s="880"/>
      <c r="M2760" s="882"/>
      <c r="N2760" s="884"/>
      <c r="O2760" s="56">
        <v>721</v>
      </c>
      <c r="P2760" s="79">
        <f>+N2759-P2759</f>
        <v>0</v>
      </c>
    </row>
    <row r="2761" spans="9:16" ht="14.25" customHeight="1">
      <c r="I2761" s="881">
        <v>296</v>
      </c>
      <c r="J2761" s="875">
        <v>42657</v>
      </c>
      <c r="K2761" s="877" t="s">
        <v>120</v>
      </c>
      <c r="L2761" s="879" t="s">
        <v>1165</v>
      </c>
      <c r="M2761" s="881" t="s">
        <v>115</v>
      </c>
      <c r="N2761" s="883">
        <v>200000</v>
      </c>
      <c r="O2761" s="55">
        <v>719</v>
      </c>
      <c r="P2761" s="78">
        <v>200000</v>
      </c>
    </row>
    <row r="2762" spans="9:16" ht="15.75" customHeight="1" thickBot="1">
      <c r="I2762" s="882"/>
      <c r="J2762" s="876"/>
      <c r="K2762" s="878"/>
      <c r="L2762" s="880"/>
      <c r="M2762" s="882"/>
      <c r="N2762" s="884"/>
      <c r="O2762" s="56">
        <v>721</v>
      </c>
      <c r="P2762" s="79">
        <f>+N2761-P2761</f>
        <v>0</v>
      </c>
    </row>
    <row r="2763" spans="9:16">
      <c r="I2763" s="881"/>
      <c r="J2763" s="875"/>
      <c r="K2763" s="877"/>
      <c r="L2763" s="879"/>
      <c r="M2763" s="881"/>
      <c r="N2763" s="883"/>
      <c r="O2763" s="55">
        <v>719</v>
      </c>
      <c r="P2763" s="78">
        <v>0</v>
      </c>
    </row>
    <row r="2764" spans="9:16" ht="13.5" customHeight="1" thickBot="1">
      <c r="I2764" s="882"/>
      <c r="J2764" s="876"/>
      <c r="K2764" s="878"/>
      <c r="L2764" s="880"/>
      <c r="M2764" s="882"/>
      <c r="N2764" s="884"/>
      <c r="O2764" s="56">
        <v>721</v>
      </c>
      <c r="P2764" s="79">
        <f>+N2763-P2763</f>
        <v>0</v>
      </c>
    </row>
    <row r="2765" spans="9:16">
      <c r="I2765" s="881"/>
      <c r="J2765" s="875"/>
      <c r="K2765" s="877"/>
      <c r="L2765" s="879"/>
      <c r="M2765" s="881"/>
      <c r="N2765" s="883"/>
      <c r="O2765" s="55">
        <v>719</v>
      </c>
      <c r="P2765" s="78"/>
    </row>
    <row r="2766" spans="9:16" ht="14.25" customHeight="1" thickBot="1">
      <c r="I2766" s="882"/>
      <c r="J2766" s="876"/>
      <c r="K2766" s="878"/>
      <c r="L2766" s="880"/>
      <c r="M2766" s="882"/>
      <c r="N2766" s="884"/>
      <c r="O2766" s="56">
        <v>721</v>
      </c>
      <c r="P2766" s="79">
        <f>+N2765-P2765</f>
        <v>0</v>
      </c>
    </row>
    <row r="2767" spans="9:16" ht="16.5" thickBot="1">
      <c r="I2767" s="901" t="s">
        <v>102</v>
      </c>
      <c r="J2767" s="902"/>
      <c r="K2767" s="902"/>
      <c r="L2767" s="902"/>
      <c r="M2767" s="903"/>
      <c r="N2767" s="81">
        <f>SUM(N2757:N2766)</f>
        <v>380000</v>
      </c>
    </row>
    <row r="2768" spans="9:16" ht="16.5" thickBot="1">
      <c r="I2768" s="885" t="s">
        <v>103</v>
      </c>
      <c r="J2768" s="886"/>
      <c r="K2768" s="886"/>
      <c r="L2768" s="886"/>
      <c r="M2768" s="887"/>
      <c r="N2768" s="69">
        <f>+N2732</f>
        <v>496696045</v>
      </c>
      <c r="O2768" s="241" t="s">
        <v>561</v>
      </c>
      <c r="P2768" s="242">
        <f>328+189+267</f>
        <v>784</v>
      </c>
    </row>
    <row r="2769" spans="9:15" ht="16.5" thickBot="1">
      <c r="I2769" s="888" t="s">
        <v>104</v>
      </c>
      <c r="J2769" s="889"/>
      <c r="K2769" s="889"/>
      <c r="L2769" s="889"/>
      <c r="M2769" s="890"/>
      <c r="N2769" s="183">
        <f>SUM(N2767:N2768)</f>
        <v>497076045</v>
      </c>
    </row>
    <row r="2770" spans="9:15">
      <c r="I2770" s="61"/>
      <c r="J2770" s="61"/>
      <c r="K2770" s="61"/>
      <c r="L2770" s="61"/>
      <c r="M2770" s="61"/>
    </row>
    <row r="2771" spans="9:15">
      <c r="I2771" s="51" t="s">
        <v>1168</v>
      </c>
    </row>
    <row r="2772" spans="9:15" ht="12.75" customHeight="1">
      <c r="N2772" s="139"/>
    </row>
    <row r="2773" spans="9:15">
      <c r="I2773" s="50" t="s">
        <v>105</v>
      </c>
      <c r="L2773" s="146"/>
      <c r="N2773" s="139"/>
    </row>
    <row r="2774" spans="9:15" ht="13.5" customHeight="1" thickBot="1"/>
    <row r="2775" spans="9:15" ht="15.75" thickBot="1">
      <c r="I2775" s="891" t="s">
        <v>106</v>
      </c>
      <c r="J2775" s="892"/>
      <c r="K2775" s="892"/>
      <c r="L2775" s="893"/>
      <c r="N2775" s="50" t="s">
        <v>288</v>
      </c>
    </row>
    <row r="2776" spans="9:15" ht="30.75" thickBot="1">
      <c r="I2776" s="57" t="s">
        <v>100</v>
      </c>
      <c r="J2776" s="58" t="s">
        <v>108</v>
      </c>
      <c r="K2776" s="287" t="s">
        <v>109</v>
      </c>
      <c r="L2776" s="60" t="s">
        <v>110</v>
      </c>
    </row>
    <row r="2777" spans="9:15">
      <c r="I2777" s="71">
        <v>719</v>
      </c>
      <c r="J2777" s="73">
        <f>+P2757+P2759+P2761+P2763</f>
        <v>380000</v>
      </c>
      <c r="K2777" s="74">
        <f>+L2740</f>
        <v>52980000</v>
      </c>
      <c r="L2777" s="195">
        <f>+J2777+K2777</f>
        <v>53360000</v>
      </c>
    </row>
    <row r="2778" spans="9:15">
      <c r="I2778" s="72">
        <v>721</v>
      </c>
      <c r="J2778" s="80">
        <f>+P2758+P2760+P2762+P2764+P2766</f>
        <v>0</v>
      </c>
      <c r="K2778" s="74">
        <f>+L2741</f>
        <v>98298634</v>
      </c>
      <c r="L2778" s="195">
        <f>+J2778+K2778</f>
        <v>98298634</v>
      </c>
    </row>
    <row r="2779" spans="9:15">
      <c r="I2779" s="72">
        <v>722</v>
      </c>
      <c r="J2779" s="80"/>
      <c r="K2779" s="74">
        <f>+L2742</f>
        <v>44881706</v>
      </c>
      <c r="L2779" s="195">
        <f>+J2779+K2779</f>
        <v>44881706</v>
      </c>
    </row>
    <row r="2780" spans="9:15" ht="15.75">
      <c r="I2780" s="72">
        <v>723</v>
      </c>
      <c r="J2780" s="80"/>
      <c r="K2780" s="74">
        <f>+L2743</f>
        <v>299668205</v>
      </c>
      <c r="L2780" s="195">
        <f>+J2780+K2780</f>
        <v>299668205</v>
      </c>
      <c r="N2780" s="193" t="s">
        <v>289</v>
      </c>
      <c r="O2780" s="175"/>
    </row>
    <row r="2781" spans="9:15" ht="16.5" thickBot="1">
      <c r="I2781" s="164" t="s">
        <v>1077</v>
      </c>
      <c r="J2781" s="165"/>
      <c r="K2781" s="74">
        <f>+L2744</f>
        <v>797500</v>
      </c>
      <c r="L2781" s="196">
        <f>+J2781+K2781</f>
        <v>797500</v>
      </c>
      <c r="N2781" s="52"/>
    </row>
    <row r="2782" spans="9:15" ht="16.5" thickBot="1">
      <c r="I2782" s="169"/>
      <c r="J2782" s="197">
        <f>SUM(J2777:J2781)</f>
        <v>380000</v>
      </c>
      <c r="K2782" s="197">
        <f>SUM(K2777:K2781)</f>
        <v>496626045</v>
      </c>
      <c r="L2782" s="198">
        <f>SUM(L2777:L2781)</f>
        <v>497006045</v>
      </c>
    </row>
    <row r="2783" spans="9:15" ht="16.5">
      <c r="I2783" s="49" t="s">
        <v>88</v>
      </c>
      <c r="J2783" s="50"/>
    </row>
    <row r="2784" spans="9:15">
      <c r="I2784" s="51" t="s">
        <v>89</v>
      </c>
    </row>
    <row r="2785" spans="9:16">
      <c r="I2785" s="51" t="s">
        <v>90</v>
      </c>
    </row>
    <row r="2786" spans="9:16">
      <c r="I2786" s="51" t="s">
        <v>91</v>
      </c>
    </row>
    <row r="2787" spans="9:16" ht="10.5" customHeight="1">
      <c r="I2787" s="50"/>
      <c r="J2787" s="50"/>
    </row>
    <row r="2788" spans="9:16" ht="15.75">
      <c r="I2788" s="260" t="s">
        <v>1169</v>
      </c>
      <c r="O2788" s="52"/>
    </row>
    <row r="2789" spans="9:16" ht="15.75">
      <c r="I2789" s="53" t="s">
        <v>535</v>
      </c>
      <c r="O2789" s="53"/>
    </row>
    <row r="2790" spans="9:16" ht="16.5">
      <c r="I2790" s="894" t="s">
        <v>1205</v>
      </c>
      <c r="J2790" s="894"/>
      <c r="K2790" s="894"/>
      <c r="L2790" s="894"/>
      <c r="M2790" s="894"/>
      <c r="N2790" s="894"/>
      <c r="O2790" s="894"/>
      <c r="P2790" s="894"/>
    </row>
    <row r="2791" spans="9:16" ht="15.75" thickBot="1"/>
    <row r="2792" spans="9:16">
      <c r="I2792" s="895" t="s">
        <v>94</v>
      </c>
      <c r="J2792" s="897" t="s">
        <v>95</v>
      </c>
      <c r="K2792" s="897" t="s">
        <v>96</v>
      </c>
      <c r="L2792" s="897" t="s">
        <v>3</v>
      </c>
      <c r="M2792" s="897" t="s">
        <v>97</v>
      </c>
      <c r="N2792" s="897" t="s">
        <v>98</v>
      </c>
      <c r="O2792" s="897" t="s">
        <v>99</v>
      </c>
      <c r="P2792" s="899"/>
    </row>
    <row r="2793" spans="9:16" ht="15.75" thickBot="1">
      <c r="I2793" s="896"/>
      <c r="J2793" s="898"/>
      <c r="K2793" s="898"/>
      <c r="L2793" s="898"/>
      <c r="M2793" s="898"/>
      <c r="N2793" s="898"/>
      <c r="O2793" s="240" t="s">
        <v>100</v>
      </c>
      <c r="P2793" s="182" t="s">
        <v>101</v>
      </c>
    </row>
    <row r="2794" spans="9:16" ht="14.25" customHeight="1">
      <c r="I2794" s="881">
        <v>297</v>
      </c>
      <c r="J2794" s="875">
        <v>42660</v>
      </c>
      <c r="K2794" s="877" t="s">
        <v>350</v>
      </c>
      <c r="L2794" s="879" t="s">
        <v>921</v>
      </c>
      <c r="M2794" s="881" t="s">
        <v>148</v>
      </c>
      <c r="N2794" s="883">
        <v>260000</v>
      </c>
      <c r="O2794" s="55">
        <v>722</v>
      </c>
      <c r="P2794" s="78">
        <v>260000</v>
      </c>
    </row>
    <row r="2795" spans="9:16" ht="14.25" customHeight="1" thickBot="1">
      <c r="I2795" s="882"/>
      <c r="J2795" s="876"/>
      <c r="K2795" s="878"/>
      <c r="L2795" s="880"/>
      <c r="M2795" s="882"/>
      <c r="N2795" s="884"/>
      <c r="O2795" s="56">
        <v>721</v>
      </c>
      <c r="P2795" s="351">
        <f>+N2794-P2794</f>
        <v>0</v>
      </c>
    </row>
    <row r="2796" spans="9:16" ht="14.25" customHeight="1">
      <c r="I2796" s="881">
        <v>298</v>
      </c>
      <c r="J2796" s="875">
        <v>42660</v>
      </c>
      <c r="K2796" s="877" t="s">
        <v>1091</v>
      </c>
      <c r="L2796" s="879" t="s">
        <v>921</v>
      </c>
      <c r="M2796" s="881" t="s">
        <v>148</v>
      </c>
      <c r="N2796" s="883">
        <v>600000</v>
      </c>
      <c r="O2796" s="55">
        <v>722</v>
      </c>
      <c r="P2796" s="78">
        <v>600000</v>
      </c>
    </row>
    <row r="2797" spans="9:16" ht="13.5" customHeight="1" thickBot="1">
      <c r="I2797" s="882"/>
      <c r="J2797" s="876"/>
      <c r="K2797" s="878"/>
      <c r="L2797" s="880"/>
      <c r="M2797" s="882"/>
      <c r="N2797" s="884"/>
      <c r="O2797" s="56">
        <v>721</v>
      </c>
      <c r="P2797" s="352">
        <f>+N2796-P2796</f>
        <v>0</v>
      </c>
    </row>
    <row r="2798" spans="9:16" ht="15" customHeight="1">
      <c r="I2798" s="881">
        <v>299</v>
      </c>
      <c r="J2798" s="875">
        <v>42660</v>
      </c>
      <c r="K2798" s="877" t="s">
        <v>120</v>
      </c>
      <c r="L2798" s="879" t="s">
        <v>921</v>
      </c>
      <c r="M2798" s="881" t="s">
        <v>148</v>
      </c>
      <c r="N2798" s="883">
        <v>560000</v>
      </c>
      <c r="O2798" s="55">
        <v>722</v>
      </c>
      <c r="P2798" s="78">
        <v>560000</v>
      </c>
    </row>
    <row r="2799" spans="9:16" ht="13.5" customHeight="1" thickBot="1">
      <c r="I2799" s="882"/>
      <c r="J2799" s="876"/>
      <c r="K2799" s="878"/>
      <c r="L2799" s="880"/>
      <c r="M2799" s="882"/>
      <c r="N2799" s="884"/>
      <c r="O2799" s="56">
        <v>721</v>
      </c>
      <c r="P2799" s="352">
        <f>+N2798-P2798</f>
        <v>0</v>
      </c>
    </row>
    <row r="2800" spans="9:16" ht="15" customHeight="1">
      <c r="I2800" s="881">
        <v>300</v>
      </c>
      <c r="J2800" s="875">
        <v>42660</v>
      </c>
      <c r="K2800" s="877" t="s">
        <v>1171</v>
      </c>
      <c r="L2800" s="879" t="s">
        <v>921</v>
      </c>
      <c r="M2800" s="881" t="s">
        <v>148</v>
      </c>
      <c r="N2800" s="883">
        <v>1000000</v>
      </c>
      <c r="O2800" s="55">
        <v>722</v>
      </c>
      <c r="P2800" s="78">
        <v>1000000</v>
      </c>
    </row>
    <row r="2801" spans="9:16" ht="13.5" customHeight="1" thickBot="1">
      <c r="I2801" s="882"/>
      <c r="J2801" s="876"/>
      <c r="K2801" s="878"/>
      <c r="L2801" s="880"/>
      <c r="M2801" s="882"/>
      <c r="N2801" s="884"/>
      <c r="O2801" s="56">
        <v>721</v>
      </c>
      <c r="P2801" s="79">
        <f>+N2800-P2800</f>
        <v>0</v>
      </c>
    </row>
    <row r="2802" spans="9:16" ht="15" customHeight="1">
      <c r="I2802" s="881">
        <v>301</v>
      </c>
      <c r="J2802" s="875">
        <v>42660</v>
      </c>
      <c r="K2802" s="877" t="s">
        <v>40</v>
      </c>
      <c r="L2802" s="879" t="s">
        <v>921</v>
      </c>
      <c r="M2802" s="881" t="s">
        <v>148</v>
      </c>
      <c r="N2802" s="883">
        <v>200000</v>
      </c>
      <c r="O2802" s="55">
        <v>722</v>
      </c>
      <c r="P2802" s="78">
        <v>200000</v>
      </c>
    </row>
    <row r="2803" spans="9:16" ht="13.5" customHeight="1" thickBot="1">
      <c r="I2803" s="882"/>
      <c r="J2803" s="876"/>
      <c r="K2803" s="878"/>
      <c r="L2803" s="880"/>
      <c r="M2803" s="882"/>
      <c r="N2803" s="884"/>
      <c r="O2803" s="56">
        <v>721</v>
      </c>
      <c r="P2803" s="79">
        <f>+N2802-P2802</f>
        <v>0</v>
      </c>
    </row>
    <row r="2804" spans="9:16" ht="15" customHeight="1">
      <c r="I2804" s="881">
        <v>302</v>
      </c>
      <c r="J2804" s="875">
        <v>42660</v>
      </c>
      <c r="K2804" s="877" t="s">
        <v>1172</v>
      </c>
      <c r="L2804" s="879" t="s">
        <v>921</v>
      </c>
      <c r="M2804" s="881" t="s">
        <v>148</v>
      </c>
      <c r="N2804" s="883">
        <v>220000</v>
      </c>
      <c r="O2804" s="55">
        <v>722</v>
      </c>
      <c r="P2804" s="78">
        <v>220000</v>
      </c>
    </row>
    <row r="2805" spans="9:16" ht="13.5" customHeight="1" thickBot="1">
      <c r="I2805" s="882"/>
      <c r="J2805" s="876"/>
      <c r="K2805" s="878"/>
      <c r="L2805" s="880"/>
      <c r="M2805" s="882"/>
      <c r="N2805" s="884"/>
      <c r="O2805" s="56">
        <v>721</v>
      </c>
      <c r="P2805" s="79">
        <f>+N2804-P2804</f>
        <v>0</v>
      </c>
    </row>
    <row r="2806" spans="9:16" ht="15" customHeight="1" thickBot="1">
      <c r="I2806" s="901" t="s">
        <v>102</v>
      </c>
      <c r="J2806" s="902"/>
      <c r="K2806" s="902"/>
      <c r="L2806" s="902"/>
      <c r="M2806" s="903"/>
      <c r="N2806" s="81">
        <f>SUM(N2794:N2805)</f>
        <v>2840000</v>
      </c>
    </row>
    <row r="2807" spans="9:16" ht="16.5" thickBot="1">
      <c r="I2807" s="885" t="s">
        <v>103</v>
      </c>
      <c r="J2807" s="886"/>
      <c r="K2807" s="886"/>
      <c r="L2807" s="886"/>
      <c r="M2807" s="887"/>
      <c r="N2807" s="69">
        <f>+N2769</f>
        <v>497076045</v>
      </c>
      <c r="O2807" s="241" t="s">
        <v>561</v>
      </c>
      <c r="P2807" s="242"/>
    </row>
    <row r="2808" spans="9:16" ht="16.5" thickBot="1">
      <c r="I2808" s="888" t="s">
        <v>104</v>
      </c>
      <c r="J2808" s="889"/>
      <c r="K2808" s="889"/>
      <c r="L2808" s="889"/>
      <c r="M2808" s="890"/>
      <c r="N2808" s="183">
        <f>SUM(N2806:N2807)</f>
        <v>499916045</v>
      </c>
    </row>
    <row r="2809" spans="9:16" ht="12.75" customHeight="1">
      <c r="I2809" s="61"/>
      <c r="J2809" s="61"/>
      <c r="K2809" s="61"/>
      <c r="L2809" s="61"/>
      <c r="M2809" s="61"/>
    </row>
    <row r="2810" spans="9:16">
      <c r="I2810" s="51" t="s">
        <v>1173</v>
      </c>
    </row>
    <row r="2811" spans="9:16" ht="10.5" customHeight="1">
      <c r="N2811" s="139"/>
    </row>
    <row r="2812" spans="9:16">
      <c r="I2812" s="50" t="s">
        <v>105</v>
      </c>
      <c r="L2812" s="146"/>
      <c r="N2812" s="139"/>
    </row>
    <row r="2813" spans="9:16" ht="9" customHeight="1" thickBot="1"/>
    <row r="2814" spans="9:16" ht="15.75" thickBot="1">
      <c r="I2814" s="891" t="s">
        <v>106</v>
      </c>
      <c r="J2814" s="892"/>
      <c r="K2814" s="892"/>
      <c r="L2814" s="893"/>
      <c r="N2814" s="50" t="s">
        <v>288</v>
      </c>
    </row>
    <row r="2815" spans="9:16" ht="29.25" customHeight="1" thickBot="1">
      <c r="I2815" s="57" t="s">
        <v>100</v>
      </c>
      <c r="J2815" s="58" t="s">
        <v>108</v>
      </c>
      <c r="K2815" s="287" t="s">
        <v>109</v>
      </c>
      <c r="L2815" s="60" t="s">
        <v>110</v>
      </c>
    </row>
    <row r="2816" spans="9:16" ht="14.25" customHeight="1">
      <c r="I2816" s="71">
        <v>719</v>
      </c>
      <c r="J2816" s="73"/>
      <c r="K2816" s="74">
        <f>+L2777</f>
        <v>53360000</v>
      </c>
      <c r="L2816" s="195">
        <f>+J2816+K2816</f>
        <v>53360000</v>
      </c>
    </row>
    <row r="2817" spans="9:16">
      <c r="I2817" s="72">
        <v>721</v>
      </c>
      <c r="J2817" s="80">
        <f>+P2795+P2797+P2799+P2801+P2805+P2803</f>
        <v>0</v>
      </c>
      <c r="K2817" s="74">
        <f>+L2778</f>
        <v>98298634</v>
      </c>
      <c r="L2817" s="195">
        <f>+J2817+K2817</f>
        <v>98298634</v>
      </c>
    </row>
    <row r="2818" spans="9:16">
      <c r="I2818" s="72">
        <v>722</v>
      </c>
      <c r="J2818" s="80">
        <f>+P2794+P2796+P2798+P2800+P2802+P2804</f>
        <v>2840000</v>
      </c>
      <c r="K2818" s="74">
        <f>+L2779</f>
        <v>44881706</v>
      </c>
      <c r="L2818" s="195">
        <f>+J2818+K2818</f>
        <v>47721706</v>
      </c>
    </row>
    <row r="2819" spans="9:16" ht="15" customHeight="1">
      <c r="I2819" s="72">
        <v>723</v>
      </c>
      <c r="J2819" s="80"/>
      <c r="K2819" s="74">
        <f>+L2780</f>
        <v>299668205</v>
      </c>
      <c r="L2819" s="195">
        <f>+J2819+K2819</f>
        <v>299668205</v>
      </c>
      <c r="N2819" s="193" t="s">
        <v>289</v>
      </c>
      <c r="O2819" s="175"/>
    </row>
    <row r="2820" spans="9:16" ht="14.25" customHeight="1" thickBot="1">
      <c r="I2820" s="164" t="s">
        <v>1077</v>
      </c>
      <c r="J2820" s="165"/>
      <c r="K2820" s="74">
        <f>+L2781</f>
        <v>797500</v>
      </c>
      <c r="L2820" s="196">
        <f>+J2820+K2820</f>
        <v>797500</v>
      </c>
      <c r="N2820" s="52"/>
    </row>
    <row r="2821" spans="9:16" ht="16.5" thickBot="1">
      <c r="I2821" s="169"/>
      <c r="J2821" s="197">
        <f>SUM(J2816:J2820)</f>
        <v>2840000</v>
      </c>
      <c r="K2821" s="197">
        <f>SUM(K2816:K2820)</f>
        <v>497006045</v>
      </c>
      <c r="L2821" s="198">
        <f>SUM(L2816:L2820)</f>
        <v>499846045</v>
      </c>
    </row>
    <row r="2822" spans="9:16" ht="16.5">
      <c r="I2822" s="49" t="s">
        <v>88</v>
      </c>
      <c r="J2822" s="50"/>
    </row>
    <row r="2823" spans="9:16">
      <c r="I2823" s="51" t="s">
        <v>89</v>
      </c>
    </row>
    <row r="2824" spans="9:16">
      <c r="I2824" s="51" t="s">
        <v>90</v>
      </c>
    </row>
    <row r="2825" spans="9:16">
      <c r="I2825" s="51" t="s">
        <v>91</v>
      </c>
    </row>
    <row r="2826" spans="9:16" ht="10.5" customHeight="1">
      <c r="I2826" s="50"/>
      <c r="J2826" s="50"/>
    </row>
    <row r="2827" spans="9:16" ht="15.75">
      <c r="I2827" s="260" t="s">
        <v>1170</v>
      </c>
      <c r="O2827" s="52"/>
    </row>
    <row r="2828" spans="9:16" ht="15.75">
      <c r="I2828" s="53" t="s">
        <v>535</v>
      </c>
      <c r="O2828" s="53"/>
    </row>
    <row r="2829" spans="9:16" ht="16.5">
      <c r="I2829" s="894" t="s">
        <v>1205</v>
      </c>
      <c r="J2829" s="894"/>
      <c r="K2829" s="894"/>
      <c r="L2829" s="894"/>
      <c r="M2829" s="894"/>
      <c r="N2829" s="894"/>
      <c r="O2829" s="894"/>
      <c r="P2829" s="894"/>
    </row>
    <row r="2830" spans="9:16" ht="12.75" customHeight="1" thickBot="1"/>
    <row r="2831" spans="9:16">
      <c r="I2831" s="895" t="s">
        <v>94</v>
      </c>
      <c r="J2831" s="897" t="s">
        <v>95</v>
      </c>
      <c r="K2831" s="897" t="s">
        <v>96</v>
      </c>
      <c r="L2831" s="897" t="s">
        <v>3</v>
      </c>
      <c r="M2831" s="897" t="s">
        <v>97</v>
      </c>
      <c r="N2831" s="897" t="s">
        <v>98</v>
      </c>
      <c r="O2831" s="897" t="s">
        <v>99</v>
      </c>
      <c r="P2831" s="899"/>
    </row>
    <row r="2832" spans="9:16" ht="15.75" thickBot="1">
      <c r="I2832" s="896"/>
      <c r="J2832" s="898"/>
      <c r="K2832" s="898"/>
      <c r="L2832" s="898"/>
      <c r="M2832" s="898"/>
      <c r="N2832" s="898"/>
      <c r="O2832" s="240" t="s">
        <v>100</v>
      </c>
      <c r="P2832" s="182" t="s">
        <v>101</v>
      </c>
    </row>
    <row r="2833" spans="9:16" ht="14.25" customHeight="1">
      <c r="I2833" s="881">
        <v>303</v>
      </c>
      <c r="J2833" s="875">
        <v>42660</v>
      </c>
      <c r="K2833" s="877" t="s">
        <v>1174</v>
      </c>
      <c r="L2833" s="879" t="s">
        <v>921</v>
      </c>
      <c r="M2833" s="881" t="s">
        <v>148</v>
      </c>
      <c r="N2833" s="883">
        <v>180000</v>
      </c>
      <c r="O2833" s="55">
        <v>722</v>
      </c>
      <c r="P2833" s="78">
        <v>180000</v>
      </c>
    </row>
    <row r="2834" spans="9:16" ht="12.75" customHeight="1" thickBot="1">
      <c r="I2834" s="882"/>
      <c r="J2834" s="876"/>
      <c r="K2834" s="878"/>
      <c r="L2834" s="880"/>
      <c r="M2834" s="882"/>
      <c r="N2834" s="884"/>
      <c r="O2834" s="56">
        <v>721</v>
      </c>
      <c r="P2834" s="351">
        <f>+N2833-P2833</f>
        <v>0</v>
      </c>
    </row>
    <row r="2835" spans="9:16">
      <c r="I2835" s="881">
        <v>304</v>
      </c>
      <c r="J2835" s="875">
        <v>42660</v>
      </c>
      <c r="K2835" s="877" t="s">
        <v>1175</v>
      </c>
      <c r="L2835" s="879" t="s">
        <v>921</v>
      </c>
      <c r="M2835" s="881" t="s">
        <v>148</v>
      </c>
      <c r="N2835" s="883">
        <v>160000</v>
      </c>
      <c r="O2835" s="55">
        <v>722</v>
      </c>
      <c r="P2835" s="78">
        <v>160000</v>
      </c>
    </row>
    <row r="2836" spans="9:16" ht="13.5" customHeight="1" thickBot="1">
      <c r="I2836" s="882"/>
      <c r="J2836" s="876"/>
      <c r="K2836" s="878"/>
      <c r="L2836" s="880"/>
      <c r="M2836" s="882"/>
      <c r="N2836" s="884"/>
      <c r="O2836" s="56">
        <v>721</v>
      </c>
      <c r="P2836" s="352">
        <f>+N2835-P2835</f>
        <v>0</v>
      </c>
    </row>
    <row r="2837" spans="9:16" ht="13.5" customHeight="1">
      <c r="I2837" s="881">
        <v>305</v>
      </c>
      <c r="J2837" s="875">
        <v>42660</v>
      </c>
      <c r="K2837" s="877" t="s">
        <v>1177</v>
      </c>
      <c r="L2837" s="879" t="s">
        <v>921</v>
      </c>
      <c r="M2837" s="881" t="s">
        <v>148</v>
      </c>
      <c r="N2837" s="883">
        <v>220000</v>
      </c>
      <c r="O2837" s="55">
        <v>722</v>
      </c>
      <c r="P2837" s="78">
        <v>220000</v>
      </c>
    </row>
    <row r="2838" spans="9:16" ht="12.75" customHeight="1" thickBot="1">
      <c r="I2838" s="882"/>
      <c r="J2838" s="876"/>
      <c r="K2838" s="878"/>
      <c r="L2838" s="880"/>
      <c r="M2838" s="882"/>
      <c r="N2838" s="884"/>
      <c r="O2838" s="56">
        <v>721</v>
      </c>
      <c r="P2838" s="352">
        <f>+N2837-P2837</f>
        <v>0</v>
      </c>
    </row>
    <row r="2839" spans="9:16">
      <c r="I2839" s="881">
        <v>306</v>
      </c>
      <c r="J2839" s="875">
        <v>42660</v>
      </c>
      <c r="K2839" s="877" t="s">
        <v>1176</v>
      </c>
      <c r="L2839" s="879" t="s">
        <v>921</v>
      </c>
      <c r="M2839" s="881" t="s">
        <v>148</v>
      </c>
      <c r="N2839" s="883">
        <v>40000</v>
      </c>
      <c r="O2839" s="55">
        <v>722</v>
      </c>
      <c r="P2839" s="78">
        <v>40000</v>
      </c>
    </row>
    <row r="2840" spans="9:16" ht="12" customHeight="1" thickBot="1">
      <c r="I2840" s="882"/>
      <c r="J2840" s="876"/>
      <c r="K2840" s="878"/>
      <c r="L2840" s="880"/>
      <c r="M2840" s="882"/>
      <c r="N2840" s="884"/>
      <c r="O2840" s="56">
        <v>721</v>
      </c>
      <c r="P2840" s="79">
        <f>+N2839-P2839</f>
        <v>0</v>
      </c>
    </row>
    <row r="2841" spans="9:16">
      <c r="I2841" s="881">
        <v>307</v>
      </c>
      <c r="J2841" s="875">
        <v>42660</v>
      </c>
      <c r="K2841" s="877" t="s">
        <v>738</v>
      </c>
      <c r="L2841" s="879" t="s">
        <v>921</v>
      </c>
      <c r="M2841" s="881" t="s">
        <v>148</v>
      </c>
      <c r="N2841" s="883">
        <v>20000</v>
      </c>
      <c r="O2841" s="55">
        <v>722</v>
      </c>
      <c r="P2841" s="78">
        <v>20000</v>
      </c>
    </row>
    <row r="2842" spans="9:16" ht="14.25" customHeight="1" thickBot="1">
      <c r="I2842" s="882"/>
      <c r="J2842" s="876"/>
      <c r="K2842" s="878"/>
      <c r="L2842" s="880"/>
      <c r="M2842" s="882"/>
      <c r="N2842" s="884"/>
      <c r="O2842" s="56">
        <v>721</v>
      </c>
      <c r="P2842" s="79">
        <f>+N2841-P2841</f>
        <v>0</v>
      </c>
    </row>
    <row r="2843" spans="9:16" ht="14.25" customHeight="1">
      <c r="I2843" s="881">
        <v>308</v>
      </c>
      <c r="J2843" s="875">
        <v>42660</v>
      </c>
      <c r="K2843" s="877" t="s">
        <v>1178</v>
      </c>
      <c r="L2843" s="879" t="s">
        <v>921</v>
      </c>
      <c r="M2843" s="881" t="s">
        <v>148</v>
      </c>
      <c r="N2843" s="883">
        <v>120000</v>
      </c>
      <c r="O2843" s="55">
        <v>722</v>
      </c>
      <c r="P2843" s="78">
        <v>120000</v>
      </c>
    </row>
    <row r="2844" spans="9:16" ht="13.5" customHeight="1" thickBot="1">
      <c r="I2844" s="882"/>
      <c r="J2844" s="876"/>
      <c r="K2844" s="878"/>
      <c r="L2844" s="880"/>
      <c r="M2844" s="882"/>
      <c r="N2844" s="884"/>
      <c r="O2844" s="56">
        <v>721</v>
      </c>
      <c r="P2844" s="79">
        <f>+N2843-P2843</f>
        <v>0</v>
      </c>
    </row>
    <row r="2845" spans="9:16" ht="16.5" thickBot="1">
      <c r="I2845" s="901" t="s">
        <v>102</v>
      </c>
      <c r="J2845" s="902"/>
      <c r="K2845" s="902"/>
      <c r="L2845" s="902"/>
      <c r="M2845" s="903"/>
      <c r="N2845" s="81">
        <f>SUM(N2833:N2844)</f>
        <v>740000</v>
      </c>
    </row>
    <row r="2846" spans="9:16" ht="16.5" thickBot="1">
      <c r="I2846" s="885" t="s">
        <v>103</v>
      </c>
      <c r="J2846" s="886"/>
      <c r="K2846" s="886"/>
      <c r="L2846" s="886"/>
      <c r="M2846" s="887"/>
      <c r="N2846" s="69">
        <f>+N2808</f>
        <v>499916045</v>
      </c>
      <c r="O2846" s="241" t="s">
        <v>561</v>
      </c>
      <c r="P2846" s="242"/>
    </row>
    <row r="2847" spans="9:16" ht="14.25" customHeight="1" thickBot="1">
      <c r="I2847" s="888" t="s">
        <v>104</v>
      </c>
      <c r="J2847" s="889"/>
      <c r="K2847" s="889"/>
      <c r="L2847" s="889"/>
      <c r="M2847" s="890"/>
      <c r="N2847" s="183">
        <f>SUM(N2845:N2846)</f>
        <v>500656045</v>
      </c>
    </row>
    <row r="2848" spans="9:16" ht="12.75" customHeight="1">
      <c r="I2848" s="61"/>
      <c r="J2848" s="61"/>
      <c r="K2848" s="61"/>
      <c r="L2848" s="61"/>
      <c r="M2848" s="61"/>
    </row>
    <row r="2849" spans="9:15">
      <c r="I2849" s="51" t="s">
        <v>1179</v>
      </c>
    </row>
    <row r="2850" spans="9:15" ht="10.5" customHeight="1">
      <c r="N2850" s="139"/>
    </row>
    <row r="2851" spans="9:15">
      <c r="I2851" s="50" t="s">
        <v>105</v>
      </c>
      <c r="L2851" s="146"/>
      <c r="N2851" s="139"/>
    </row>
    <row r="2852" spans="9:15" ht="12" customHeight="1" thickBot="1"/>
    <row r="2853" spans="9:15" ht="15.75" thickBot="1">
      <c r="I2853" s="891" t="s">
        <v>106</v>
      </c>
      <c r="J2853" s="892"/>
      <c r="K2853" s="892"/>
      <c r="L2853" s="893"/>
      <c r="N2853" s="50" t="s">
        <v>288</v>
      </c>
    </row>
    <row r="2854" spans="9:15" ht="30.75" thickBot="1">
      <c r="I2854" s="57" t="s">
        <v>100</v>
      </c>
      <c r="J2854" s="58" t="s">
        <v>108</v>
      </c>
      <c r="K2854" s="287" t="s">
        <v>109</v>
      </c>
      <c r="L2854" s="60" t="s">
        <v>110</v>
      </c>
    </row>
    <row r="2855" spans="9:15">
      <c r="I2855" s="71">
        <v>719</v>
      </c>
      <c r="J2855" s="73"/>
      <c r="K2855" s="74">
        <f>+L2816</f>
        <v>53360000</v>
      </c>
      <c r="L2855" s="195">
        <f>+J2855+K2855</f>
        <v>53360000</v>
      </c>
    </row>
    <row r="2856" spans="9:15">
      <c r="I2856" s="72">
        <v>721</v>
      </c>
      <c r="J2856" s="80">
        <f>+P2834+P2836+P2838+P2840+P2844+P2842</f>
        <v>0</v>
      </c>
      <c r="K2856" s="74">
        <f>+L2817</f>
        <v>98298634</v>
      </c>
      <c r="L2856" s="195">
        <f>+J2856+K2856</f>
        <v>98298634</v>
      </c>
    </row>
    <row r="2857" spans="9:15">
      <c r="I2857" s="72">
        <v>722</v>
      </c>
      <c r="J2857" s="80">
        <f>+P2833+P2835+P2837+P2839+P2841+P2843</f>
        <v>740000</v>
      </c>
      <c r="K2857" s="74">
        <f>+L2818</f>
        <v>47721706</v>
      </c>
      <c r="L2857" s="195">
        <f>+J2857+K2857</f>
        <v>48461706</v>
      </c>
    </row>
    <row r="2858" spans="9:15" ht="15.75">
      <c r="I2858" s="72">
        <v>723</v>
      </c>
      <c r="J2858" s="80"/>
      <c r="K2858" s="74">
        <f>+L2819</f>
        <v>299668205</v>
      </c>
      <c r="L2858" s="195">
        <f>+J2858+K2858</f>
        <v>299668205</v>
      </c>
      <c r="N2858" s="193" t="s">
        <v>289</v>
      </c>
      <c r="O2858" s="175"/>
    </row>
    <row r="2859" spans="9:15" ht="16.5" thickBot="1">
      <c r="I2859" s="164" t="s">
        <v>1077</v>
      </c>
      <c r="J2859" s="165"/>
      <c r="K2859" s="74">
        <f>+L2820</f>
        <v>797500</v>
      </c>
      <c r="L2859" s="196">
        <f>+J2859+K2859</f>
        <v>797500</v>
      </c>
      <c r="N2859" s="52"/>
    </row>
    <row r="2860" spans="9:15" ht="16.5" thickBot="1">
      <c r="I2860" s="169"/>
      <c r="J2860" s="197">
        <f>SUM(J2855:J2859)</f>
        <v>740000</v>
      </c>
      <c r="K2860" s="197">
        <f>SUM(K2855:K2859)</f>
        <v>499846045</v>
      </c>
      <c r="L2860" s="198">
        <f>SUM(L2855:L2859)</f>
        <v>500586045</v>
      </c>
    </row>
    <row r="2861" spans="9:15" ht="16.5">
      <c r="I2861" s="49" t="s">
        <v>88</v>
      </c>
      <c r="J2861" s="50"/>
    </row>
    <row r="2862" spans="9:15">
      <c r="I2862" s="51" t="s">
        <v>89</v>
      </c>
    </row>
    <row r="2863" spans="9:15">
      <c r="I2863" s="51" t="s">
        <v>90</v>
      </c>
    </row>
    <row r="2864" spans="9:15">
      <c r="I2864" s="51" t="s">
        <v>91</v>
      </c>
    </row>
    <row r="2865" spans="9:16" ht="9.75" customHeight="1">
      <c r="I2865" s="50"/>
      <c r="J2865" s="50"/>
    </row>
    <row r="2866" spans="9:16" ht="15.75">
      <c r="I2866" s="260" t="s">
        <v>1186</v>
      </c>
      <c r="O2866" s="52"/>
    </row>
    <row r="2867" spans="9:16" ht="15.75">
      <c r="I2867" s="53" t="s">
        <v>535</v>
      </c>
      <c r="O2867" s="53"/>
    </row>
    <row r="2868" spans="9:16" ht="16.5">
      <c r="I2868" s="894" t="s">
        <v>1190</v>
      </c>
      <c r="J2868" s="894"/>
      <c r="K2868" s="894"/>
      <c r="L2868" s="894"/>
      <c r="M2868" s="894"/>
      <c r="N2868" s="894"/>
      <c r="O2868" s="894"/>
      <c r="P2868" s="894"/>
    </row>
    <row r="2869" spans="9:16" ht="15.75" thickBot="1"/>
    <row r="2870" spans="9:16">
      <c r="I2870" s="895" t="s">
        <v>94</v>
      </c>
      <c r="J2870" s="897" t="s">
        <v>95</v>
      </c>
      <c r="K2870" s="897" t="s">
        <v>96</v>
      </c>
      <c r="L2870" s="897" t="s">
        <v>3</v>
      </c>
      <c r="M2870" s="897" t="s">
        <v>97</v>
      </c>
      <c r="N2870" s="897" t="s">
        <v>98</v>
      </c>
      <c r="O2870" s="897" t="s">
        <v>99</v>
      </c>
      <c r="P2870" s="899"/>
    </row>
    <row r="2871" spans="9:16" ht="15.75" thickBot="1">
      <c r="I2871" s="896"/>
      <c r="J2871" s="898"/>
      <c r="K2871" s="898"/>
      <c r="L2871" s="898"/>
      <c r="M2871" s="898"/>
      <c r="N2871" s="898"/>
      <c r="O2871" s="240" t="s">
        <v>100</v>
      </c>
      <c r="P2871" s="182" t="s">
        <v>101</v>
      </c>
    </row>
    <row r="2872" spans="9:16">
      <c r="I2872" s="881">
        <v>309</v>
      </c>
      <c r="J2872" s="875">
        <v>42674</v>
      </c>
      <c r="K2872" s="877" t="s">
        <v>738</v>
      </c>
      <c r="L2872" s="879" t="s">
        <v>1184</v>
      </c>
      <c r="M2872" s="881" t="s">
        <v>148</v>
      </c>
      <c r="N2872" s="883">
        <v>2672700</v>
      </c>
      <c r="O2872" s="55">
        <v>722</v>
      </c>
      <c r="P2872" s="78">
        <v>0</v>
      </c>
    </row>
    <row r="2873" spans="9:16" ht="15.75" thickBot="1">
      <c r="I2873" s="882"/>
      <c r="J2873" s="876"/>
      <c r="K2873" s="878"/>
      <c r="L2873" s="880"/>
      <c r="M2873" s="882"/>
      <c r="N2873" s="884"/>
      <c r="O2873" s="56">
        <v>721</v>
      </c>
      <c r="P2873" s="351">
        <f>+N2872-P2872</f>
        <v>2672700</v>
      </c>
    </row>
    <row r="2874" spans="9:16" ht="15" customHeight="1">
      <c r="I2874" s="881">
        <v>310</v>
      </c>
      <c r="J2874" s="875">
        <v>42674</v>
      </c>
      <c r="K2874" s="877" t="s">
        <v>738</v>
      </c>
      <c r="L2874" s="879" t="s">
        <v>1185</v>
      </c>
      <c r="M2874" s="881" t="s">
        <v>148</v>
      </c>
      <c r="N2874" s="883">
        <v>28216212</v>
      </c>
      <c r="O2874" s="55">
        <v>722</v>
      </c>
      <c r="P2874" s="78"/>
    </row>
    <row r="2875" spans="9:16" ht="15.75" customHeight="1" thickBot="1">
      <c r="I2875" s="882"/>
      <c r="J2875" s="876"/>
      <c r="K2875" s="878"/>
      <c r="L2875" s="880"/>
      <c r="M2875" s="882"/>
      <c r="N2875" s="884"/>
      <c r="O2875" s="56">
        <v>721</v>
      </c>
      <c r="P2875" s="352">
        <f>+N2874-P2874</f>
        <v>28216212</v>
      </c>
    </row>
    <row r="2876" spans="9:16" ht="15" customHeight="1">
      <c r="I2876" s="881">
        <v>311</v>
      </c>
      <c r="J2876" s="875">
        <v>42674</v>
      </c>
      <c r="K2876" s="877" t="s">
        <v>738</v>
      </c>
      <c r="L2876" s="879" t="s">
        <v>1187</v>
      </c>
      <c r="M2876" s="881" t="s">
        <v>148</v>
      </c>
      <c r="N2876" s="883">
        <v>16677173</v>
      </c>
      <c r="O2876" s="55">
        <v>722</v>
      </c>
      <c r="P2876" s="78"/>
    </row>
    <row r="2877" spans="9:16" ht="15.75" customHeight="1" thickBot="1">
      <c r="I2877" s="882"/>
      <c r="J2877" s="876"/>
      <c r="K2877" s="878"/>
      <c r="L2877" s="880"/>
      <c r="M2877" s="882"/>
      <c r="N2877" s="884"/>
      <c r="O2877" s="56">
        <v>721</v>
      </c>
      <c r="P2877" s="352">
        <f>+N2876-P2876</f>
        <v>16677173</v>
      </c>
    </row>
    <row r="2878" spans="9:16" ht="15" customHeight="1">
      <c r="I2878" s="881">
        <v>312</v>
      </c>
      <c r="J2878" s="875">
        <v>42675</v>
      </c>
      <c r="K2878" s="877" t="s">
        <v>738</v>
      </c>
      <c r="L2878" s="879" t="s">
        <v>1188</v>
      </c>
      <c r="M2878" s="881" t="s">
        <v>148</v>
      </c>
      <c r="N2878" s="883">
        <v>24662327</v>
      </c>
      <c r="O2878" s="55">
        <v>722</v>
      </c>
      <c r="P2878" s="78"/>
    </row>
    <row r="2879" spans="9:16" ht="13.5" customHeight="1" thickBot="1">
      <c r="I2879" s="882"/>
      <c r="J2879" s="876"/>
      <c r="K2879" s="878"/>
      <c r="L2879" s="880"/>
      <c r="M2879" s="882"/>
      <c r="N2879" s="884"/>
      <c r="O2879" s="56">
        <v>721</v>
      </c>
      <c r="P2879" s="79">
        <f>+N2878-P2878</f>
        <v>24662327</v>
      </c>
    </row>
    <row r="2880" spans="9:16">
      <c r="I2880" s="881"/>
      <c r="J2880" s="875"/>
      <c r="K2880" s="877"/>
      <c r="L2880" s="879"/>
      <c r="M2880" s="881"/>
      <c r="N2880" s="883"/>
      <c r="O2880" s="55">
        <v>722</v>
      </c>
      <c r="P2880" s="78"/>
    </row>
    <row r="2881" spans="9:16" ht="13.5" customHeight="1" thickBot="1">
      <c r="I2881" s="882"/>
      <c r="J2881" s="876"/>
      <c r="K2881" s="878"/>
      <c r="L2881" s="880"/>
      <c r="M2881" s="882"/>
      <c r="N2881" s="884"/>
      <c r="O2881" s="56">
        <v>721</v>
      </c>
      <c r="P2881" s="79">
        <f>+N2880-P2880</f>
        <v>0</v>
      </c>
    </row>
    <row r="2882" spans="9:16" ht="16.5" thickBot="1">
      <c r="I2882" s="901" t="s">
        <v>102</v>
      </c>
      <c r="J2882" s="902"/>
      <c r="K2882" s="902"/>
      <c r="L2882" s="902"/>
      <c r="M2882" s="903"/>
      <c r="N2882" s="81">
        <f>SUM(N2872:N2881)</f>
        <v>72228412</v>
      </c>
    </row>
    <row r="2883" spans="9:16" ht="16.5" thickBot="1">
      <c r="I2883" s="885" t="s">
        <v>103</v>
      </c>
      <c r="J2883" s="886"/>
      <c r="K2883" s="886"/>
      <c r="L2883" s="886"/>
      <c r="M2883" s="887"/>
      <c r="N2883" s="69">
        <f>+N2847</f>
        <v>500656045</v>
      </c>
      <c r="O2883" s="241" t="s">
        <v>561</v>
      </c>
      <c r="P2883" s="242"/>
    </row>
    <row r="2884" spans="9:16" ht="16.5" thickBot="1">
      <c r="I2884" s="888" t="s">
        <v>104</v>
      </c>
      <c r="J2884" s="889"/>
      <c r="K2884" s="889"/>
      <c r="L2884" s="889"/>
      <c r="M2884" s="890"/>
      <c r="N2884" s="183">
        <f>SUM(N2882:N2883)</f>
        <v>572884457</v>
      </c>
    </row>
    <row r="2885" spans="9:16">
      <c r="I2885" s="61"/>
      <c r="J2885" s="61"/>
      <c r="K2885" s="61"/>
      <c r="L2885" s="61"/>
      <c r="M2885" s="61"/>
    </row>
    <row r="2886" spans="9:16">
      <c r="I2886" s="51" t="s">
        <v>1189</v>
      </c>
    </row>
    <row r="2887" spans="9:16">
      <c r="N2887" s="139"/>
    </row>
    <row r="2888" spans="9:16">
      <c r="I2888" s="50" t="s">
        <v>105</v>
      </c>
      <c r="L2888" s="146"/>
      <c r="N2888" s="139"/>
    </row>
    <row r="2889" spans="9:16" ht="13.5" customHeight="1" thickBot="1"/>
    <row r="2890" spans="9:16" ht="15.75" thickBot="1">
      <c r="I2890" s="891" t="s">
        <v>106</v>
      </c>
      <c r="J2890" s="892"/>
      <c r="K2890" s="892"/>
      <c r="L2890" s="893"/>
      <c r="N2890" s="50" t="s">
        <v>1126</v>
      </c>
    </row>
    <row r="2891" spans="9:16" ht="30.75" thickBot="1">
      <c r="I2891" s="57" t="s">
        <v>100</v>
      </c>
      <c r="J2891" s="58" t="s">
        <v>108</v>
      </c>
      <c r="K2891" s="287" t="s">
        <v>109</v>
      </c>
      <c r="L2891" s="60" t="s">
        <v>110</v>
      </c>
    </row>
    <row r="2892" spans="9:16">
      <c r="I2892" s="71">
        <v>719</v>
      </c>
      <c r="J2892" s="73"/>
      <c r="K2892" s="74">
        <f>+L2855</f>
        <v>53360000</v>
      </c>
      <c r="L2892" s="195">
        <f>+J2892+K2892</f>
        <v>53360000</v>
      </c>
    </row>
    <row r="2893" spans="9:16">
      <c r="I2893" s="72">
        <v>721</v>
      </c>
      <c r="J2893" s="80">
        <f>+P2873+P2875+P2877+P2879+P2881</f>
        <v>72228412</v>
      </c>
      <c r="K2893" s="74">
        <f>+L2856</f>
        <v>98298634</v>
      </c>
      <c r="L2893" s="195">
        <f>+J2893+K2893</f>
        <v>170527046</v>
      </c>
    </row>
    <row r="2894" spans="9:16">
      <c r="I2894" s="72">
        <v>722</v>
      </c>
      <c r="J2894" s="80">
        <f>+P2872+P2874+P2876+P2878+P2880</f>
        <v>0</v>
      </c>
      <c r="K2894" s="74">
        <f>+L2857</f>
        <v>48461706</v>
      </c>
      <c r="L2894" s="195">
        <f>+J2894+K2894</f>
        <v>48461706</v>
      </c>
    </row>
    <row r="2895" spans="9:16" ht="15.75">
      <c r="I2895" s="72">
        <v>723</v>
      </c>
      <c r="J2895" s="80"/>
      <c r="K2895" s="74">
        <f>+L2858</f>
        <v>299668205</v>
      </c>
      <c r="L2895" s="195">
        <f>+J2895+K2895</f>
        <v>299668205</v>
      </c>
      <c r="N2895" s="193" t="s">
        <v>1028</v>
      </c>
      <c r="O2895" s="175"/>
    </row>
    <row r="2896" spans="9:16" ht="16.5" thickBot="1">
      <c r="I2896" s="164" t="s">
        <v>1077</v>
      </c>
      <c r="J2896" s="165"/>
      <c r="K2896" s="74">
        <f>+L2859</f>
        <v>797500</v>
      </c>
      <c r="L2896" s="196">
        <f>+J2896+K2896</f>
        <v>797500</v>
      </c>
      <c r="N2896" s="52"/>
    </row>
    <row r="2897" spans="9:16" ht="16.5" thickBot="1">
      <c r="I2897" s="169"/>
      <c r="J2897" s="197">
        <f>SUM(J2892:J2896)</f>
        <v>72228412</v>
      </c>
      <c r="K2897" s="197">
        <f>SUM(K2892:K2896)</f>
        <v>500586045</v>
      </c>
      <c r="L2897" s="198">
        <f>SUM(L2892:L2896)</f>
        <v>572814457</v>
      </c>
    </row>
    <row r="2898" spans="9:16" ht="16.5">
      <c r="I2898" s="49" t="s">
        <v>88</v>
      </c>
      <c r="J2898" s="50"/>
    </row>
    <row r="2899" spans="9:16">
      <c r="I2899" s="51" t="s">
        <v>89</v>
      </c>
    </row>
    <row r="2900" spans="9:16">
      <c r="I2900" s="51" t="s">
        <v>90</v>
      </c>
    </row>
    <row r="2901" spans="9:16">
      <c r="I2901" s="51" t="s">
        <v>91</v>
      </c>
    </row>
    <row r="2902" spans="9:16" ht="10.5" customHeight="1">
      <c r="I2902" s="50"/>
      <c r="J2902" s="50"/>
    </row>
    <row r="2903" spans="9:16" ht="15.75">
      <c r="I2903" s="260" t="s">
        <v>1191</v>
      </c>
      <c r="O2903" s="52"/>
    </row>
    <row r="2904" spans="9:16" ht="15.75">
      <c r="I2904" s="53" t="s">
        <v>535</v>
      </c>
      <c r="O2904" s="53"/>
    </row>
    <row r="2905" spans="9:16" ht="16.5">
      <c r="I2905" s="894" t="s">
        <v>909</v>
      </c>
      <c r="J2905" s="894"/>
      <c r="K2905" s="894"/>
      <c r="L2905" s="894"/>
      <c r="M2905" s="894"/>
      <c r="N2905" s="894"/>
      <c r="O2905" s="894"/>
      <c r="P2905" s="894"/>
    </row>
    <row r="2906" spans="9:16" ht="15.75" thickBot="1"/>
    <row r="2907" spans="9:16">
      <c r="I2907" s="895" t="s">
        <v>94</v>
      </c>
      <c r="J2907" s="897" t="s">
        <v>95</v>
      </c>
      <c r="K2907" s="897" t="s">
        <v>96</v>
      </c>
      <c r="L2907" s="897" t="s">
        <v>3</v>
      </c>
      <c r="M2907" s="897" t="s">
        <v>97</v>
      </c>
      <c r="N2907" s="897" t="s">
        <v>98</v>
      </c>
      <c r="O2907" s="897" t="s">
        <v>99</v>
      </c>
      <c r="P2907" s="899"/>
    </row>
    <row r="2908" spans="9:16" ht="15.75" thickBot="1">
      <c r="I2908" s="896"/>
      <c r="J2908" s="898"/>
      <c r="K2908" s="898"/>
      <c r="L2908" s="898"/>
      <c r="M2908" s="898"/>
      <c r="N2908" s="898"/>
      <c r="O2908" s="240" t="s">
        <v>100</v>
      </c>
      <c r="P2908" s="182" t="s">
        <v>101</v>
      </c>
    </row>
    <row r="2909" spans="9:16">
      <c r="I2909" s="881">
        <v>313</v>
      </c>
      <c r="J2909" s="875">
        <v>42657</v>
      </c>
      <c r="K2909" s="877" t="s">
        <v>1014</v>
      </c>
      <c r="L2909" s="879" t="s">
        <v>1192</v>
      </c>
      <c r="M2909" s="881" t="s">
        <v>115</v>
      </c>
      <c r="N2909" s="883">
        <v>70000</v>
      </c>
      <c r="O2909" s="55">
        <v>719</v>
      </c>
      <c r="P2909" s="78">
        <v>70000</v>
      </c>
    </row>
    <row r="2910" spans="9:16" ht="15.75" thickBot="1">
      <c r="I2910" s="882"/>
      <c r="J2910" s="876"/>
      <c r="K2910" s="878"/>
      <c r="L2910" s="880"/>
      <c r="M2910" s="882"/>
      <c r="N2910" s="884"/>
      <c r="O2910" s="56">
        <v>721</v>
      </c>
      <c r="P2910" s="79">
        <f>+N2909-P2909</f>
        <v>0</v>
      </c>
    </row>
    <row r="2911" spans="9:16">
      <c r="I2911" s="881">
        <v>314</v>
      </c>
      <c r="J2911" s="875">
        <v>42657</v>
      </c>
      <c r="K2911" s="877" t="s">
        <v>28</v>
      </c>
      <c r="L2911" s="879" t="s">
        <v>1193</v>
      </c>
      <c r="M2911" s="881" t="s">
        <v>115</v>
      </c>
      <c r="N2911" s="883">
        <v>30000</v>
      </c>
      <c r="O2911" s="55">
        <v>719</v>
      </c>
      <c r="P2911" s="78">
        <v>30000</v>
      </c>
    </row>
    <row r="2912" spans="9:16" ht="15.75" thickBot="1">
      <c r="I2912" s="882"/>
      <c r="J2912" s="876"/>
      <c r="K2912" s="878"/>
      <c r="L2912" s="880"/>
      <c r="M2912" s="882"/>
      <c r="N2912" s="884"/>
      <c r="O2912" s="56">
        <v>721</v>
      </c>
      <c r="P2912" s="79">
        <f>+N2911-P2911</f>
        <v>0</v>
      </c>
    </row>
    <row r="2913" spans="9:16">
      <c r="I2913" s="881">
        <v>315</v>
      </c>
      <c r="J2913" s="875">
        <v>42657</v>
      </c>
      <c r="K2913" s="877" t="s">
        <v>120</v>
      </c>
      <c r="L2913" s="879" t="s">
        <v>1165</v>
      </c>
      <c r="M2913" s="881" t="s">
        <v>115</v>
      </c>
      <c r="N2913" s="883">
        <v>50000</v>
      </c>
      <c r="O2913" s="55">
        <v>719</v>
      </c>
      <c r="P2913" s="78">
        <v>50000</v>
      </c>
    </row>
    <row r="2914" spans="9:16" ht="15.75" thickBot="1">
      <c r="I2914" s="882"/>
      <c r="J2914" s="876"/>
      <c r="K2914" s="878"/>
      <c r="L2914" s="880"/>
      <c r="M2914" s="882"/>
      <c r="N2914" s="884"/>
      <c r="O2914" s="56">
        <v>721</v>
      </c>
      <c r="P2914" s="79">
        <f>+N2913-P2913</f>
        <v>0</v>
      </c>
    </row>
    <row r="2915" spans="9:16">
      <c r="I2915" s="881"/>
      <c r="J2915" s="875"/>
      <c r="K2915" s="877"/>
      <c r="L2915" s="879"/>
      <c r="M2915" s="881"/>
      <c r="N2915" s="883"/>
      <c r="O2915" s="55">
        <v>719</v>
      </c>
      <c r="P2915" s="78">
        <v>0</v>
      </c>
    </row>
    <row r="2916" spans="9:16" ht="14.25" customHeight="1" thickBot="1">
      <c r="I2916" s="882"/>
      <c r="J2916" s="876"/>
      <c r="K2916" s="878"/>
      <c r="L2916" s="880"/>
      <c r="M2916" s="882"/>
      <c r="N2916" s="884"/>
      <c r="O2916" s="56">
        <v>721</v>
      </c>
      <c r="P2916" s="79">
        <f>+N2915-P2915</f>
        <v>0</v>
      </c>
    </row>
    <row r="2917" spans="9:16" ht="13.5" customHeight="1">
      <c r="I2917" s="881"/>
      <c r="J2917" s="875"/>
      <c r="K2917" s="877"/>
      <c r="L2917" s="879"/>
      <c r="M2917" s="881"/>
      <c r="N2917" s="883"/>
      <c r="O2917" s="55">
        <v>719</v>
      </c>
      <c r="P2917" s="78"/>
    </row>
    <row r="2918" spans="9:16" ht="12.75" customHeight="1" thickBot="1">
      <c r="I2918" s="882"/>
      <c r="J2918" s="876"/>
      <c r="K2918" s="878"/>
      <c r="L2918" s="880"/>
      <c r="M2918" s="882"/>
      <c r="N2918" s="884"/>
      <c r="O2918" s="56">
        <v>721</v>
      </c>
      <c r="P2918" s="79">
        <f>+N2917-P2917</f>
        <v>0</v>
      </c>
    </row>
    <row r="2919" spans="9:16" ht="16.5" thickBot="1">
      <c r="I2919" s="901" t="s">
        <v>102</v>
      </c>
      <c r="J2919" s="902"/>
      <c r="K2919" s="902"/>
      <c r="L2919" s="902"/>
      <c r="M2919" s="903"/>
      <c r="N2919" s="81">
        <f>SUM(N2909:N2918)</f>
        <v>150000</v>
      </c>
    </row>
    <row r="2920" spans="9:16" ht="16.5" thickBot="1">
      <c r="I2920" s="885" t="s">
        <v>103</v>
      </c>
      <c r="J2920" s="886"/>
      <c r="K2920" s="886"/>
      <c r="L2920" s="886"/>
      <c r="M2920" s="887"/>
      <c r="N2920" s="69">
        <f>+N2884</f>
        <v>572884457</v>
      </c>
      <c r="O2920" s="241" t="s">
        <v>561</v>
      </c>
      <c r="P2920" s="242">
        <f>76+80+291</f>
        <v>447</v>
      </c>
    </row>
    <row r="2921" spans="9:16" ht="16.5" thickBot="1">
      <c r="I2921" s="888" t="s">
        <v>104</v>
      </c>
      <c r="J2921" s="889"/>
      <c r="K2921" s="889"/>
      <c r="L2921" s="889"/>
      <c r="M2921" s="890"/>
      <c r="N2921" s="183">
        <f>SUM(N2919:N2920)</f>
        <v>573034457</v>
      </c>
    </row>
    <row r="2922" spans="9:16">
      <c r="I2922" s="61"/>
      <c r="J2922" s="61"/>
      <c r="K2922" s="61"/>
      <c r="L2922" s="61"/>
      <c r="M2922" s="61"/>
    </row>
    <row r="2923" spans="9:16">
      <c r="I2923" s="51" t="s">
        <v>1194</v>
      </c>
    </row>
    <row r="2924" spans="9:16">
      <c r="N2924" s="139"/>
    </row>
    <row r="2925" spans="9:16">
      <c r="I2925" s="50" t="s">
        <v>105</v>
      </c>
      <c r="L2925" s="146"/>
      <c r="N2925" s="139"/>
    </row>
    <row r="2926" spans="9:16" ht="12.75" customHeight="1" thickBot="1"/>
    <row r="2927" spans="9:16" ht="15.75" thickBot="1">
      <c r="I2927" s="891" t="s">
        <v>106</v>
      </c>
      <c r="J2927" s="892"/>
      <c r="K2927" s="892"/>
      <c r="L2927" s="893"/>
      <c r="N2927" s="50" t="s">
        <v>1126</v>
      </c>
    </row>
    <row r="2928" spans="9:16" ht="30.75" thickBot="1">
      <c r="I2928" s="57" t="s">
        <v>100</v>
      </c>
      <c r="J2928" s="58" t="s">
        <v>108</v>
      </c>
      <c r="K2928" s="287" t="s">
        <v>109</v>
      </c>
      <c r="L2928" s="60" t="s">
        <v>110</v>
      </c>
    </row>
    <row r="2929" spans="9:16">
      <c r="I2929" s="71">
        <v>719</v>
      </c>
      <c r="J2929" s="73">
        <f>+P2909+P2911+P2913+P2915</f>
        <v>150000</v>
      </c>
      <c r="K2929" s="74">
        <f>+L2892</f>
        <v>53360000</v>
      </c>
      <c r="L2929" s="195">
        <f>+J2929+K2929</f>
        <v>53510000</v>
      </c>
    </row>
    <row r="2930" spans="9:16">
      <c r="I2930" s="72">
        <v>721</v>
      </c>
      <c r="J2930" s="80">
        <f>+P2910+P2912+P2914+P2916+P2918</f>
        <v>0</v>
      </c>
      <c r="K2930" s="74">
        <f>+L2893</f>
        <v>170527046</v>
      </c>
      <c r="L2930" s="195">
        <f>+J2930+K2930</f>
        <v>170527046</v>
      </c>
    </row>
    <row r="2931" spans="9:16">
      <c r="I2931" s="72">
        <v>722</v>
      </c>
      <c r="J2931" s="80"/>
      <c r="K2931" s="74">
        <f>+L2894</f>
        <v>48461706</v>
      </c>
      <c r="L2931" s="195">
        <f>+J2931+K2931</f>
        <v>48461706</v>
      </c>
    </row>
    <row r="2932" spans="9:16" ht="15.75">
      <c r="I2932" s="72">
        <v>723</v>
      </c>
      <c r="J2932" s="80"/>
      <c r="K2932" s="74">
        <f>+L2895</f>
        <v>299668205</v>
      </c>
      <c r="L2932" s="195">
        <f>+J2932+K2932</f>
        <v>299668205</v>
      </c>
      <c r="N2932" s="193" t="s">
        <v>1028</v>
      </c>
      <c r="O2932" s="175"/>
    </row>
    <row r="2933" spans="9:16" ht="16.5" thickBot="1">
      <c r="I2933" s="164" t="s">
        <v>1077</v>
      </c>
      <c r="J2933" s="165"/>
      <c r="K2933" s="74">
        <f>+L2896</f>
        <v>797500</v>
      </c>
      <c r="L2933" s="196">
        <f>+J2933+K2933</f>
        <v>797500</v>
      </c>
      <c r="N2933" s="52"/>
    </row>
    <row r="2934" spans="9:16" ht="16.5" thickBot="1">
      <c r="I2934" s="169"/>
      <c r="J2934" s="197">
        <f>SUM(J2929:J2933)</f>
        <v>150000</v>
      </c>
      <c r="K2934" s="197">
        <f>SUM(K2929:K2933)</f>
        <v>572814457</v>
      </c>
      <c r="L2934" s="198">
        <f>SUM(L2929:L2933)</f>
        <v>572964457</v>
      </c>
    </row>
    <row r="2935" spans="9:16" ht="16.5">
      <c r="I2935" s="49" t="s">
        <v>88</v>
      </c>
      <c r="J2935" s="50"/>
    </row>
    <row r="2936" spans="9:16">
      <c r="I2936" s="51" t="s">
        <v>89</v>
      </c>
    </row>
    <row r="2937" spans="9:16">
      <c r="I2937" s="51" t="s">
        <v>90</v>
      </c>
    </row>
    <row r="2938" spans="9:16">
      <c r="I2938" s="51" t="s">
        <v>91</v>
      </c>
    </row>
    <row r="2939" spans="9:16" ht="9.75" customHeight="1">
      <c r="I2939" s="50"/>
      <c r="J2939" s="50"/>
    </row>
    <row r="2940" spans="9:16" ht="15.75">
      <c r="I2940" s="260" t="s">
        <v>1197</v>
      </c>
      <c r="O2940" s="52"/>
    </row>
    <row r="2941" spans="9:16" ht="15.75">
      <c r="I2941" s="53" t="s">
        <v>535</v>
      </c>
      <c r="O2941" s="53"/>
    </row>
    <row r="2942" spans="9:16" ht="16.5">
      <c r="I2942" s="894" t="s">
        <v>909</v>
      </c>
      <c r="J2942" s="894"/>
      <c r="K2942" s="894"/>
      <c r="L2942" s="894"/>
      <c r="M2942" s="894"/>
      <c r="N2942" s="894"/>
      <c r="O2942" s="894"/>
      <c r="P2942" s="894"/>
    </row>
    <row r="2943" spans="9:16" ht="15.75" thickBot="1"/>
    <row r="2944" spans="9:16">
      <c r="I2944" s="895" t="s">
        <v>94</v>
      </c>
      <c r="J2944" s="897" t="s">
        <v>95</v>
      </c>
      <c r="K2944" s="897" t="s">
        <v>96</v>
      </c>
      <c r="L2944" s="897" t="s">
        <v>3</v>
      </c>
      <c r="M2944" s="897" t="s">
        <v>97</v>
      </c>
      <c r="N2944" s="897" t="s">
        <v>98</v>
      </c>
      <c r="O2944" s="897" t="s">
        <v>99</v>
      </c>
      <c r="P2944" s="899"/>
    </row>
    <row r="2945" spans="9:16" ht="15.75" thickBot="1">
      <c r="I2945" s="896"/>
      <c r="J2945" s="898"/>
      <c r="K2945" s="898"/>
      <c r="L2945" s="898"/>
      <c r="M2945" s="898"/>
      <c r="N2945" s="898"/>
      <c r="O2945" s="240" t="s">
        <v>100</v>
      </c>
      <c r="P2945" s="182" t="s">
        <v>101</v>
      </c>
    </row>
    <row r="2946" spans="9:16">
      <c r="I2946" s="881">
        <v>316</v>
      </c>
      <c r="J2946" s="875">
        <v>42684</v>
      </c>
      <c r="K2946" s="877" t="s">
        <v>267</v>
      </c>
      <c r="L2946" s="879" t="s">
        <v>1195</v>
      </c>
      <c r="M2946" s="881" t="s">
        <v>148</v>
      </c>
      <c r="N2946" s="883">
        <v>130000</v>
      </c>
      <c r="O2946" s="55">
        <v>719</v>
      </c>
      <c r="P2946" s="78">
        <v>100000</v>
      </c>
    </row>
    <row r="2947" spans="9:16" ht="15.75" thickBot="1">
      <c r="I2947" s="882"/>
      <c r="J2947" s="876"/>
      <c r="K2947" s="878"/>
      <c r="L2947" s="880"/>
      <c r="M2947" s="882"/>
      <c r="N2947" s="884"/>
      <c r="O2947" s="56">
        <v>721</v>
      </c>
      <c r="P2947" s="79">
        <f>+N2946-P2946</f>
        <v>30000</v>
      </c>
    </row>
    <row r="2948" spans="9:16" ht="15" customHeight="1">
      <c r="I2948" s="881">
        <v>317</v>
      </c>
      <c r="J2948" s="875">
        <v>42684</v>
      </c>
      <c r="K2948" s="877" t="s">
        <v>28</v>
      </c>
      <c r="L2948" s="879" t="s">
        <v>1196</v>
      </c>
      <c r="M2948" s="881" t="s">
        <v>148</v>
      </c>
      <c r="N2948" s="883">
        <v>559000</v>
      </c>
      <c r="O2948" s="55">
        <v>719</v>
      </c>
      <c r="P2948" s="78">
        <v>430000</v>
      </c>
    </row>
    <row r="2949" spans="9:16" ht="15.75" customHeight="1" thickBot="1">
      <c r="I2949" s="882"/>
      <c r="J2949" s="876"/>
      <c r="K2949" s="878"/>
      <c r="L2949" s="880"/>
      <c r="M2949" s="882"/>
      <c r="N2949" s="884"/>
      <c r="O2949" s="56">
        <v>721</v>
      </c>
      <c r="P2949" s="79">
        <f>+N2948-P2948</f>
        <v>129000</v>
      </c>
    </row>
    <row r="2950" spans="9:16" ht="15" customHeight="1">
      <c r="I2950" s="881">
        <v>318</v>
      </c>
      <c r="J2950" s="875">
        <v>42684</v>
      </c>
      <c r="K2950" s="877" t="s">
        <v>111</v>
      </c>
      <c r="L2950" s="879" t="s">
        <v>1198</v>
      </c>
      <c r="M2950" s="881" t="s">
        <v>148</v>
      </c>
      <c r="N2950" s="883">
        <v>104000</v>
      </c>
      <c r="O2950" s="55">
        <v>719</v>
      </c>
      <c r="P2950" s="78">
        <v>80000</v>
      </c>
    </row>
    <row r="2951" spans="9:16" ht="15.75" customHeight="1" thickBot="1">
      <c r="I2951" s="882"/>
      <c r="J2951" s="876"/>
      <c r="K2951" s="878"/>
      <c r="L2951" s="880"/>
      <c r="M2951" s="882"/>
      <c r="N2951" s="884"/>
      <c r="O2951" s="56">
        <v>721</v>
      </c>
      <c r="P2951" s="79">
        <f>+N2950-P2950</f>
        <v>24000</v>
      </c>
    </row>
    <row r="2952" spans="9:16" ht="15" customHeight="1">
      <c r="I2952" s="881">
        <v>319</v>
      </c>
      <c r="J2952" s="875">
        <v>42684</v>
      </c>
      <c r="K2952" s="877" t="s">
        <v>1014</v>
      </c>
      <c r="L2952" s="879" t="s">
        <v>1196</v>
      </c>
      <c r="M2952" s="881" t="s">
        <v>148</v>
      </c>
      <c r="N2952" s="883">
        <v>1105000</v>
      </c>
      <c r="O2952" s="55">
        <v>719</v>
      </c>
      <c r="P2952" s="78">
        <v>850000</v>
      </c>
    </row>
    <row r="2953" spans="9:16" ht="15.75" customHeight="1" thickBot="1">
      <c r="I2953" s="882"/>
      <c r="J2953" s="876"/>
      <c r="K2953" s="878"/>
      <c r="L2953" s="880"/>
      <c r="M2953" s="882"/>
      <c r="N2953" s="884"/>
      <c r="O2953" s="56">
        <v>721</v>
      </c>
      <c r="P2953" s="79">
        <f>+N2952-P2952</f>
        <v>255000</v>
      </c>
    </row>
    <row r="2954" spans="9:16">
      <c r="I2954" s="881"/>
      <c r="J2954" s="875"/>
      <c r="K2954" s="877"/>
      <c r="L2954" s="879"/>
      <c r="M2954" s="881"/>
      <c r="N2954" s="883"/>
      <c r="O2954" s="55">
        <v>719</v>
      </c>
      <c r="P2954" s="78"/>
    </row>
    <row r="2955" spans="9:16" ht="15.75" thickBot="1">
      <c r="I2955" s="882"/>
      <c r="J2955" s="876"/>
      <c r="K2955" s="878"/>
      <c r="L2955" s="880"/>
      <c r="M2955" s="882"/>
      <c r="N2955" s="884"/>
      <c r="O2955" s="56">
        <v>721</v>
      </c>
      <c r="P2955" s="79">
        <f>+N2954-P2954</f>
        <v>0</v>
      </c>
    </row>
    <row r="2956" spans="9:16" ht="16.5" thickBot="1">
      <c r="I2956" s="901" t="s">
        <v>102</v>
      </c>
      <c r="J2956" s="902"/>
      <c r="K2956" s="902"/>
      <c r="L2956" s="902"/>
      <c r="M2956" s="903"/>
      <c r="N2956" s="81">
        <f>SUM(N2946:N2955)</f>
        <v>1898000</v>
      </c>
    </row>
    <row r="2957" spans="9:16" ht="16.5" thickBot="1">
      <c r="I2957" s="885" t="s">
        <v>103</v>
      </c>
      <c r="J2957" s="886"/>
      <c r="K2957" s="886"/>
      <c r="L2957" s="886"/>
      <c r="M2957" s="887"/>
      <c r="N2957" s="69">
        <f>+N2921</f>
        <v>573034457</v>
      </c>
      <c r="O2957" s="241" t="s">
        <v>561</v>
      </c>
      <c r="P2957" s="242">
        <f>1061+35+841+56</f>
        <v>1993</v>
      </c>
    </row>
    <row r="2958" spans="9:16" ht="16.5" thickBot="1">
      <c r="I2958" s="888" t="s">
        <v>104</v>
      </c>
      <c r="J2958" s="889"/>
      <c r="K2958" s="889"/>
      <c r="L2958" s="889"/>
      <c r="M2958" s="890"/>
      <c r="N2958" s="183">
        <f>SUM(N2956:N2957)</f>
        <v>574932457</v>
      </c>
    </row>
    <row r="2959" spans="9:16">
      <c r="I2959" s="61"/>
      <c r="J2959" s="61"/>
      <c r="K2959" s="61"/>
      <c r="L2959" s="61"/>
      <c r="M2959" s="61"/>
    </row>
    <row r="2960" spans="9:16">
      <c r="I2960" s="51" t="s">
        <v>1199</v>
      </c>
    </row>
    <row r="2961" spans="9:15">
      <c r="N2961" s="139"/>
    </row>
    <row r="2962" spans="9:15">
      <c r="I2962" s="50" t="s">
        <v>105</v>
      </c>
      <c r="L2962" s="146"/>
      <c r="N2962" s="139"/>
    </row>
    <row r="2963" spans="9:15" ht="10.5" customHeight="1" thickBot="1"/>
    <row r="2964" spans="9:15" ht="15.75" thickBot="1">
      <c r="I2964" s="891" t="s">
        <v>106</v>
      </c>
      <c r="J2964" s="892"/>
      <c r="K2964" s="892"/>
      <c r="L2964" s="893"/>
      <c r="N2964" s="50" t="s">
        <v>1126</v>
      </c>
    </row>
    <row r="2965" spans="9:15" ht="30.75" thickBot="1">
      <c r="I2965" s="57" t="s">
        <v>100</v>
      </c>
      <c r="J2965" s="58" t="s">
        <v>108</v>
      </c>
      <c r="K2965" s="287" t="s">
        <v>109</v>
      </c>
      <c r="L2965" s="60" t="s">
        <v>110</v>
      </c>
    </row>
    <row r="2966" spans="9:15">
      <c r="I2966" s="71">
        <v>719</v>
      </c>
      <c r="J2966" s="73">
        <f>+P2946+P2948+P2950+P2952</f>
        <v>1460000</v>
      </c>
      <c r="K2966" s="74">
        <f>+L2929</f>
        <v>53510000</v>
      </c>
      <c r="L2966" s="195">
        <f>+J2966+K2966</f>
        <v>54970000</v>
      </c>
    </row>
    <row r="2967" spans="9:15">
      <c r="I2967" s="72">
        <v>721</v>
      </c>
      <c r="J2967" s="80">
        <f>+P2947+P2949+P2951+P2953+P2955</f>
        <v>438000</v>
      </c>
      <c r="K2967" s="74">
        <f>+L2930</f>
        <v>170527046</v>
      </c>
      <c r="L2967" s="195">
        <f>+J2967+K2967</f>
        <v>170965046</v>
      </c>
    </row>
    <row r="2968" spans="9:15">
      <c r="I2968" s="72">
        <v>722</v>
      </c>
      <c r="J2968" s="80"/>
      <c r="K2968" s="74">
        <f>+L2931</f>
        <v>48461706</v>
      </c>
      <c r="L2968" s="195">
        <f>+J2968+K2968</f>
        <v>48461706</v>
      </c>
    </row>
    <row r="2969" spans="9:15" ht="15.75">
      <c r="I2969" s="72">
        <v>723</v>
      </c>
      <c r="J2969" s="80"/>
      <c r="K2969" s="74">
        <f>+L2932</f>
        <v>299668205</v>
      </c>
      <c r="L2969" s="195">
        <f>+J2969+K2969</f>
        <v>299668205</v>
      </c>
      <c r="N2969" s="193" t="s">
        <v>1028</v>
      </c>
      <c r="O2969" s="175"/>
    </row>
    <row r="2970" spans="9:15" ht="16.5" thickBot="1">
      <c r="I2970" s="164" t="s">
        <v>1077</v>
      </c>
      <c r="J2970" s="165"/>
      <c r="K2970" s="74">
        <f>+L2933</f>
        <v>797500</v>
      </c>
      <c r="L2970" s="196">
        <f>+J2970+K2970</f>
        <v>797500</v>
      </c>
      <c r="N2970" s="52"/>
    </row>
    <row r="2971" spans="9:15" ht="16.5" thickBot="1">
      <c r="I2971" s="169"/>
      <c r="J2971" s="197">
        <f>SUM(J2966:J2970)</f>
        <v>1898000</v>
      </c>
      <c r="K2971" s="197">
        <f>SUM(K2966:K2970)</f>
        <v>572964457</v>
      </c>
      <c r="L2971" s="198">
        <f>SUM(L2966:L2970)</f>
        <v>574862457</v>
      </c>
    </row>
    <row r="2972" spans="9:15" ht="16.5">
      <c r="I2972" s="49" t="s">
        <v>88</v>
      </c>
      <c r="J2972" s="50"/>
    </row>
    <row r="2973" spans="9:15">
      <c r="I2973" s="51" t="s">
        <v>89</v>
      </c>
    </row>
    <row r="2974" spans="9:15">
      <c r="I2974" s="51" t="s">
        <v>90</v>
      </c>
    </row>
    <row r="2975" spans="9:15">
      <c r="I2975" s="51" t="s">
        <v>91</v>
      </c>
    </row>
    <row r="2976" spans="9:15" ht="12" customHeight="1">
      <c r="I2976" s="50"/>
      <c r="J2976" s="50"/>
    </row>
    <row r="2977" spans="9:16" ht="15.75">
      <c r="I2977" s="260" t="s">
        <v>1200</v>
      </c>
      <c r="O2977" s="52"/>
    </row>
    <row r="2978" spans="9:16" ht="15.75">
      <c r="I2978" s="53" t="s">
        <v>535</v>
      </c>
      <c r="O2978" s="53"/>
    </row>
    <row r="2979" spans="9:16" ht="16.5">
      <c r="I2979" s="894" t="s">
        <v>909</v>
      </c>
      <c r="J2979" s="894"/>
      <c r="K2979" s="894"/>
      <c r="L2979" s="894"/>
      <c r="M2979" s="894"/>
      <c r="N2979" s="894"/>
      <c r="O2979" s="894"/>
      <c r="P2979" s="894"/>
    </row>
    <row r="2980" spans="9:16" ht="15.75" thickBot="1"/>
    <row r="2981" spans="9:16">
      <c r="I2981" s="895" t="s">
        <v>94</v>
      </c>
      <c r="J2981" s="897" t="s">
        <v>95</v>
      </c>
      <c r="K2981" s="897" t="s">
        <v>96</v>
      </c>
      <c r="L2981" s="897" t="s">
        <v>3</v>
      </c>
      <c r="M2981" s="897" t="s">
        <v>97</v>
      </c>
      <c r="N2981" s="897" t="s">
        <v>98</v>
      </c>
      <c r="O2981" s="897" t="s">
        <v>99</v>
      </c>
      <c r="P2981" s="899"/>
    </row>
    <row r="2982" spans="9:16" ht="15.75" thickBot="1">
      <c r="I2982" s="896"/>
      <c r="J2982" s="898"/>
      <c r="K2982" s="898"/>
      <c r="L2982" s="898"/>
      <c r="M2982" s="898"/>
      <c r="N2982" s="898"/>
      <c r="O2982" s="240" t="s">
        <v>100</v>
      </c>
      <c r="P2982" s="182" t="s">
        <v>101</v>
      </c>
    </row>
    <row r="2983" spans="9:16">
      <c r="I2983" s="881">
        <v>320</v>
      </c>
      <c r="J2983" s="875">
        <v>42684</v>
      </c>
      <c r="K2983" s="877" t="s">
        <v>267</v>
      </c>
      <c r="L2983" s="879" t="s">
        <v>1201</v>
      </c>
      <c r="M2983" s="881" t="s">
        <v>148</v>
      </c>
      <c r="N2983" s="883">
        <v>52000</v>
      </c>
      <c r="O2983" s="55">
        <v>719</v>
      </c>
      <c r="P2983" s="78">
        <v>40000</v>
      </c>
    </row>
    <row r="2984" spans="9:16" ht="15.75" thickBot="1">
      <c r="I2984" s="882"/>
      <c r="J2984" s="876"/>
      <c r="K2984" s="878"/>
      <c r="L2984" s="880"/>
      <c r="M2984" s="882"/>
      <c r="N2984" s="884"/>
      <c r="O2984" s="56">
        <v>721</v>
      </c>
      <c r="P2984" s="79">
        <f>+N2983-P2983</f>
        <v>12000</v>
      </c>
    </row>
    <row r="2985" spans="9:16">
      <c r="I2985" s="881">
        <v>321</v>
      </c>
      <c r="J2985" s="875">
        <v>42684</v>
      </c>
      <c r="K2985" s="877" t="s">
        <v>28</v>
      </c>
      <c r="L2985" s="879" t="s">
        <v>1202</v>
      </c>
      <c r="M2985" s="881" t="s">
        <v>148</v>
      </c>
      <c r="N2985" s="883">
        <v>442000</v>
      </c>
      <c r="O2985" s="55">
        <v>719</v>
      </c>
      <c r="P2985" s="78">
        <v>340000</v>
      </c>
    </row>
    <row r="2986" spans="9:16" ht="15.75" thickBot="1">
      <c r="I2986" s="882"/>
      <c r="J2986" s="876"/>
      <c r="K2986" s="878"/>
      <c r="L2986" s="880"/>
      <c r="M2986" s="882"/>
      <c r="N2986" s="884"/>
      <c r="O2986" s="56">
        <v>721</v>
      </c>
      <c r="P2986" s="79">
        <f>+N2985-P2985</f>
        <v>102000</v>
      </c>
    </row>
    <row r="2987" spans="9:16">
      <c r="I2987" s="881">
        <v>322</v>
      </c>
      <c r="J2987" s="875">
        <v>42684</v>
      </c>
      <c r="K2987" s="877" t="s">
        <v>111</v>
      </c>
      <c r="L2987" s="879" t="s">
        <v>1203</v>
      </c>
      <c r="M2987" s="881" t="s">
        <v>148</v>
      </c>
      <c r="N2987" s="883">
        <v>104000</v>
      </c>
      <c r="O2987" s="55">
        <v>719</v>
      </c>
      <c r="P2987" s="78">
        <v>80000</v>
      </c>
    </row>
    <row r="2988" spans="9:16" ht="15.75" thickBot="1">
      <c r="I2988" s="882"/>
      <c r="J2988" s="876"/>
      <c r="K2988" s="878"/>
      <c r="L2988" s="880"/>
      <c r="M2988" s="882"/>
      <c r="N2988" s="884"/>
      <c r="O2988" s="56">
        <v>721</v>
      </c>
      <c r="P2988" s="79">
        <f>+N2987-P2987</f>
        <v>24000</v>
      </c>
    </row>
    <row r="2989" spans="9:16">
      <c r="I2989" s="881">
        <v>323</v>
      </c>
      <c r="J2989" s="875">
        <v>42684</v>
      </c>
      <c r="K2989" s="877" t="s">
        <v>1014</v>
      </c>
      <c r="L2989" s="879" t="s">
        <v>1202</v>
      </c>
      <c r="M2989" s="881" t="s">
        <v>148</v>
      </c>
      <c r="N2989" s="883">
        <v>1053000</v>
      </c>
      <c r="O2989" s="55">
        <v>719</v>
      </c>
      <c r="P2989" s="78">
        <v>810000</v>
      </c>
    </row>
    <row r="2990" spans="9:16" ht="15.75" thickBot="1">
      <c r="I2990" s="882"/>
      <c r="J2990" s="876"/>
      <c r="K2990" s="878"/>
      <c r="L2990" s="880"/>
      <c r="M2990" s="882"/>
      <c r="N2990" s="884"/>
      <c r="O2990" s="56">
        <v>721</v>
      </c>
      <c r="P2990" s="79">
        <f>+N2989-P2989</f>
        <v>243000</v>
      </c>
    </row>
    <row r="2991" spans="9:16">
      <c r="I2991" s="881"/>
      <c r="J2991" s="875"/>
      <c r="K2991" s="877"/>
      <c r="L2991" s="879"/>
      <c r="M2991" s="881"/>
      <c r="N2991" s="883"/>
      <c r="O2991" s="55">
        <v>719</v>
      </c>
      <c r="P2991" s="78"/>
    </row>
    <row r="2992" spans="9:16" ht="15.75" thickBot="1">
      <c r="I2992" s="882"/>
      <c r="J2992" s="876"/>
      <c r="K2992" s="878"/>
      <c r="L2992" s="880"/>
      <c r="M2992" s="882"/>
      <c r="N2992" s="884"/>
      <c r="O2992" s="56">
        <v>721</v>
      </c>
      <c r="P2992" s="79">
        <f>+N2991-P2991</f>
        <v>0</v>
      </c>
    </row>
    <row r="2993" spans="9:16" ht="16.5" thickBot="1">
      <c r="I2993" s="901" t="s">
        <v>102</v>
      </c>
      <c r="J2993" s="902"/>
      <c r="K2993" s="902"/>
      <c r="L2993" s="902"/>
      <c r="M2993" s="903"/>
      <c r="N2993" s="81">
        <f>SUM(N2983:N2992)</f>
        <v>1651000</v>
      </c>
    </row>
    <row r="2994" spans="9:16" ht="16.5" thickBot="1">
      <c r="I2994" s="885" t="s">
        <v>103</v>
      </c>
      <c r="J2994" s="886"/>
      <c r="K2994" s="886"/>
      <c r="L2994" s="886"/>
      <c r="M2994" s="887"/>
      <c r="N2994" s="69">
        <f>+N2958</f>
        <v>574932457</v>
      </c>
      <c r="O2994" s="241" t="s">
        <v>561</v>
      </c>
      <c r="P2994" s="242">
        <f>1174+29+720+29</f>
        <v>1952</v>
      </c>
    </row>
    <row r="2995" spans="9:16" ht="16.5" thickBot="1">
      <c r="I2995" s="888" t="s">
        <v>104</v>
      </c>
      <c r="J2995" s="889"/>
      <c r="K2995" s="889"/>
      <c r="L2995" s="889"/>
      <c r="M2995" s="890"/>
      <c r="N2995" s="183">
        <f>SUM(N2993:N2994)</f>
        <v>576583457</v>
      </c>
    </row>
    <row r="2996" spans="9:16" ht="11.25" customHeight="1">
      <c r="I2996" s="61"/>
      <c r="J2996" s="61"/>
      <c r="K2996" s="61"/>
      <c r="L2996" s="61"/>
      <c r="M2996" s="61"/>
    </row>
    <row r="2997" spans="9:16">
      <c r="I2997" s="51" t="s">
        <v>1204</v>
      </c>
    </row>
    <row r="2998" spans="9:16">
      <c r="N2998" s="139"/>
    </row>
    <row r="2999" spans="9:16">
      <c r="I2999" s="50" t="s">
        <v>105</v>
      </c>
      <c r="L2999" s="146"/>
      <c r="N2999" s="139"/>
    </row>
    <row r="3000" spans="9:16" ht="14.25" customHeight="1" thickBot="1"/>
    <row r="3001" spans="9:16" ht="15.75" thickBot="1">
      <c r="I3001" s="891" t="s">
        <v>106</v>
      </c>
      <c r="J3001" s="892"/>
      <c r="K3001" s="892"/>
      <c r="L3001" s="893"/>
      <c r="N3001" s="50" t="s">
        <v>1126</v>
      </c>
    </row>
    <row r="3002" spans="9:16" ht="30.75" thickBot="1">
      <c r="I3002" s="57" t="s">
        <v>100</v>
      </c>
      <c r="J3002" s="58" t="s">
        <v>108</v>
      </c>
      <c r="K3002" s="287" t="s">
        <v>109</v>
      </c>
      <c r="L3002" s="60" t="s">
        <v>110</v>
      </c>
    </row>
    <row r="3003" spans="9:16">
      <c r="I3003" s="71">
        <v>719</v>
      </c>
      <c r="J3003" s="73">
        <f>+P2983+P2985+P2987+P2989</f>
        <v>1270000</v>
      </c>
      <c r="K3003" s="74">
        <f>+L2966</f>
        <v>54970000</v>
      </c>
      <c r="L3003" s="195">
        <f>+J3003+K3003</f>
        <v>56240000</v>
      </c>
    </row>
    <row r="3004" spans="9:16">
      <c r="I3004" s="72">
        <v>721</v>
      </c>
      <c r="J3004" s="80">
        <f>+P2984+P2986+P2988+P2990+P2992</f>
        <v>381000</v>
      </c>
      <c r="K3004" s="74">
        <f>+L2967</f>
        <v>170965046</v>
      </c>
      <c r="L3004" s="195">
        <f>+J3004+K3004</f>
        <v>171346046</v>
      </c>
    </row>
    <row r="3005" spans="9:16">
      <c r="I3005" s="72">
        <v>722</v>
      </c>
      <c r="J3005" s="80"/>
      <c r="K3005" s="74">
        <f>+L2968</f>
        <v>48461706</v>
      </c>
      <c r="L3005" s="195">
        <f>+J3005+K3005</f>
        <v>48461706</v>
      </c>
    </row>
    <row r="3006" spans="9:16" ht="15.75">
      <c r="I3006" s="72">
        <v>723</v>
      </c>
      <c r="J3006" s="80"/>
      <c r="K3006" s="74">
        <f>+L2969</f>
        <v>299668205</v>
      </c>
      <c r="L3006" s="195">
        <f>+J3006+K3006</f>
        <v>299668205</v>
      </c>
      <c r="N3006" s="193" t="s">
        <v>1028</v>
      </c>
      <c r="O3006" s="175"/>
    </row>
    <row r="3007" spans="9:16" ht="16.5" thickBot="1">
      <c r="I3007" s="164" t="s">
        <v>1077</v>
      </c>
      <c r="J3007" s="165"/>
      <c r="K3007" s="74">
        <f>+L2970</f>
        <v>797500</v>
      </c>
      <c r="L3007" s="196">
        <f>+J3007+K3007</f>
        <v>797500</v>
      </c>
      <c r="N3007" s="52"/>
    </row>
    <row r="3008" spans="9:16" ht="16.5" thickBot="1">
      <c r="I3008" s="169"/>
      <c r="J3008" s="197">
        <f>SUM(J3003:J3007)</f>
        <v>1651000</v>
      </c>
      <c r="K3008" s="197">
        <f>SUM(K3003:K3007)</f>
        <v>574862457</v>
      </c>
      <c r="L3008" s="198">
        <f>SUM(L3003:L3007)</f>
        <v>576513457</v>
      </c>
    </row>
    <row r="3009" spans="9:16" ht="16.5">
      <c r="I3009" s="49" t="s">
        <v>88</v>
      </c>
      <c r="J3009" s="50"/>
    </row>
    <row r="3010" spans="9:16">
      <c r="I3010" s="51" t="s">
        <v>89</v>
      </c>
    </row>
    <row r="3011" spans="9:16">
      <c r="I3011" s="51" t="s">
        <v>90</v>
      </c>
    </row>
    <row r="3012" spans="9:16">
      <c r="I3012" s="51" t="s">
        <v>91</v>
      </c>
    </row>
    <row r="3013" spans="9:16" ht="12" customHeight="1">
      <c r="I3013" s="50"/>
      <c r="J3013" s="50"/>
    </row>
    <row r="3014" spans="9:16" ht="15.75">
      <c r="I3014" s="260" t="s">
        <v>1206</v>
      </c>
      <c r="O3014" s="52"/>
    </row>
    <row r="3015" spans="9:16" ht="15.75">
      <c r="I3015" s="53" t="s">
        <v>535</v>
      </c>
      <c r="O3015" s="53"/>
    </row>
    <row r="3016" spans="9:16" ht="16.5">
      <c r="I3016" s="894" t="s">
        <v>909</v>
      </c>
      <c r="J3016" s="894"/>
      <c r="K3016" s="894"/>
      <c r="L3016" s="894"/>
      <c r="M3016" s="894"/>
      <c r="N3016" s="894"/>
      <c r="O3016" s="894"/>
      <c r="P3016" s="894"/>
    </row>
    <row r="3017" spans="9:16" ht="15.75" thickBot="1"/>
    <row r="3018" spans="9:16">
      <c r="I3018" s="895" t="s">
        <v>94</v>
      </c>
      <c r="J3018" s="897" t="s">
        <v>95</v>
      </c>
      <c r="K3018" s="897" t="s">
        <v>96</v>
      </c>
      <c r="L3018" s="897" t="s">
        <v>3</v>
      </c>
      <c r="M3018" s="897" t="s">
        <v>97</v>
      </c>
      <c r="N3018" s="897" t="s">
        <v>98</v>
      </c>
      <c r="O3018" s="897" t="s">
        <v>99</v>
      </c>
      <c r="P3018" s="899"/>
    </row>
    <row r="3019" spans="9:16" ht="15.75" thickBot="1">
      <c r="I3019" s="896"/>
      <c r="J3019" s="898"/>
      <c r="K3019" s="898"/>
      <c r="L3019" s="898"/>
      <c r="M3019" s="898"/>
      <c r="N3019" s="898"/>
      <c r="O3019" s="240" t="s">
        <v>100</v>
      </c>
      <c r="P3019" s="182" t="s">
        <v>101</v>
      </c>
    </row>
    <row r="3020" spans="9:16">
      <c r="I3020" s="881">
        <v>324</v>
      </c>
      <c r="J3020" s="875">
        <v>42692</v>
      </c>
      <c r="K3020" s="877" t="s">
        <v>1014</v>
      </c>
      <c r="L3020" s="879" t="s">
        <v>1207</v>
      </c>
      <c r="M3020" s="881" t="s">
        <v>115</v>
      </c>
      <c r="N3020" s="883">
        <v>70000</v>
      </c>
      <c r="O3020" s="55">
        <v>719</v>
      </c>
      <c r="P3020" s="78">
        <v>70000</v>
      </c>
    </row>
    <row r="3021" spans="9:16" ht="15.75" thickBot="1">
      <c r="I3021" s="882"/>
      <c r="J3021" s="876"/>
      <c r="K3021" s="878"/>
      <c r="L3021" s="880"/>
      <c r="M3021" s="882"/>
      <c r="N3021" s="884"/>
      <c r="O3021" s="56">
        <v>721</v>
      </c>
      <c r="P3021" s="79">
        <f>+N3020-P3020</f>
        <v>0</v>
      </c>
    </row>
    <row r="3022" spans="9:16" ht="15" customHeight="1">
      <c r="I3022" s="881">
        <v>325</v>
      </c>
      <c r="J3022" s="875">
        <v>42692</v>
      </c>
      <c r="K3022" s="877" t="s">
        <v>28</v>
      </c>
      <c r="L3022" s="879" t="s">
        <v>1208</v>
      </c>
      <c r="M3022" s="881" t="s">
        <v>115</v>
      </c>
      <c r="N3022" s="883">
        <v>80000</v>
      </c>
      <c r="O3022" s="55">
        <v>719</v>
      </c>
      <c r="P3022" s="78">
        <v>80000</v>
      </c>
    </row>
    <row r="3023" spans="9:16" ht="15.75" customHeight="1" thickBot="1">
      <c r="I3023" s="882"/>
      <c r="J3023" s="876"/>
      <c r="K3023" s="878"/>
      <c r="L3023" s="880"/>
      <c r="M3023" s="882"/>
      <c r="N3023" s="884"/>
      <c r="O3023" s="56">
        <v>721</v>
      </c>
      <c r="P3023" s="79">
        <f>+N3022-P3022</f>
        <v>0</v>
      </c>
    </row>
    <row r="3024" spans="9:16" ht="15" customHeight="1">
      <c r="I3024" s="881">
        <v>326</v>
      </c>
      <c r="J3024" s="875">
        <v>42692</v>
      </c>
      <c r="K3024" s="877" t="s">
        <v>120</v>
      </c>
      <c r="L3024" s="879" t="s">
        <v>1209</v>
      </c>
      <c r="M3024" s="881" t="s">
        <v>115</v>
      </c>
      <c r="N3024" s="883">
        <v>110000</v>
      </c>
      <c r="O3024" s="55">
        <v>719</v>
      </c>
      <c r="P3024" s="78">
        <v>110000</v>
      </c>
    </row>
    <row r="3025" spans="9:16" ht="15.75" customHeight="1" thickBot="1">
      <c r="I3025" s="882"/>
      <c r="J3025" s="876"/>
      <c r="K3025" s="878"/>
      <c r="L3025" s="880"/>
      <c r="M3025" s="882"/>
      <c r="N3025" s="884"/>
      <c r="O3025" s="56">
        <v>721</v>
      </c>
      <c r="P3025" s="79">
        <f>+N3024-P3024</f>
        <v>0</v>
      </c>
    </row>
    <row r="3026" spans="9:16">
      <c r="I3026" s="881"/>
      <c r="J3026" s="875"/>
      <c r="K3026" s="877"/>
      <c r="L3026" s="879"/>
      <c r="M3026" s="881"/>
      <c r="N3026" s="883"/>
      <c r="O3026" s="55">
        <v>719</v>
      </c>
      <c r="P3026" s="78">
        <v>0</v>
      </c>
    </row>
    <row r="3027" spans="9:16" ht="15.75" thickBot="1">
      <c r="I3027" s="882"/>
      <c r="J3027" s="876"/>
      <c r="K3027" s="878"/>
      <c r="L3027" s="880"/>
      <c r="M3027" s="882"/>
      <c r="N3027" s="884"/>
      <c r="O3027" s="56">
        <v>721</v>
      </c>
      <c r="P3027" s="79">
        <f>+N3026-P3026</f>
        <v>0</v>
      </c>
    </row>
    <row r="3028" spans="9:16">
      <c r="I3028" s="881"/>
      <c r="J3028" s="875"/>
      <c r="K3028" s="877"/>
      <c r="L3028" s="879"/>
      <c r="M3028" s="881"/>
      <c r="N3028" s="883"/>
      <c r="O3028" s="55">
        <v>719</v>
      </c>
      <c r="P3028" s="78"/>
    </row>
    <row r="3029" spans="9:16" ht="15.75" thickBot="1">
      <c r="I3029" s="882"/>
      <c r="J3029" s="876"/>
      <c r="K3029" s="878"/>
      <c r="L3029" s="880"/>
      <c r="M3029" s="882"/>
      <c r="N3029" s="884"/>
      <c r="O3029" s="56">
        <v>721</v>
      </c>
      <c r="P3029" s="79">
        <f>+N3028-P3028</f>
        <v>0</v>
      </c>
    </row>
    <row r="3030" spans="9:16" ht="16.5" thickBot="1">
      <c r="I3030" s="901" t="s">
        <v>102</v>
      </c>
      <c r="J3030" s="902"/>
      <c r="K3030" s="902"/>
      <c r="L3030" s="902"/>
      <c r="M3030" s="903"/>
      <c r="N3030" s="81">
        <f>SUM(N3020:N3029)</f>
        <v>260000</v>
      </c>
    </row>
    <row r="3031" spans="9:16" ht="16.5" thickBot="1">
      <c r="I3031" s="885" t="s">
        <v>103</v>
      </c>
      <c r="J3031" s="886"/>
      <c r="K3031" s="886"/>
      <c r="L3031" s="886"/>
      <c r="M3031" s="887"/>
      <c r="N3031" s="69">
        <f>+N2995</f>
        <v>576583457</v>
      </c>
      <c r="O3031" s="241" t="s">
        <v>561</v>
      </c>
      <c r="P3031" s="242">
        <f>235+115+352</f>
        <v>702</v>
      </c>
    </row>
    <row r="3032" spans="9:16" ht="16.5" thickBot="1">
      <c r="I3032" s="888" t="s">
        <v>104</v>
      </c>
      <c r="J3032" s="889"/>
      <c r="K3032" s="889"/>
      <c r="L3032" s="889"/>
      <c r="M3032" s="890"/>
      <c r="N3032" s="183">
        <f>SUM(N3030:N3031)</f>
        <v>576843457</v>
      </c>
    </row>
    <row r="3033" spans="9:16">
      <c r="I3033" s="61"/>
      <c r="J3033" s="61"/>
      <c r="K3033" s="61"/>
      <c r="L3033" s="61"/>
      <c r="M3033" s="61"/>
    </row>
    <row r="3034" spans="9:16">
      <c r="I3034" s="51" t="s">
        <v>1210</v>
      </c>
    </row>
    <row r="3035" spans="9:16" ht="11.25" customHeight="1">
      <c r="N3035" s="139"/>
    </row>
    <row r="3036" spans="9:16">
      <c r="I3036" s="50" t="s">
        <v>105</v>
      </c>
      <c r="L3036" s="146"/>
      <c r="N3036" s="139"/>
    </row>
    <row r="3037" spans="9:16" ht="13.5" customHeight="1" thickBot="1"/>
    <row r="3038" spans="9:16" ht="15.75" thickBot="1">
      <c r="I3038" s="891" t="s">
        <v>106</v>
      </c>
      <c r="J3038" s="892"/>
      <c r="K3038" s="892"/>
      <c r="L3038" s="893"/>
      <c r="N3038" s="50" t="s">
        <v>1126</v>
      </c>
    </row>
    <row r="3039" spans="9:16" ht="30.75" thickBot="1">
      <c r="I3039" s="57" t="s">
        <v>100</v>
      </c>
      <c r="J3039" s="58" t="s">
        <v>108</v>
      </c>
      <c r="K3039" s="287" t="s">
        <v>109</v>
      </c>
      <c r="L3039" s="60" t="s">
        <v>110</v>
      </c>
    </row>
    <row r="3040" spans="9:16">
      <c r="I3040" s="71">
        <v>719</v>
      </c>
      <c r="J3040" s="73">
        <f>+P3020+P3022+P3024+P3026</f>
        <v>260000</v>
      </c>
      <c r="K3040" s="74">
        <f>+L3003</f>
        <v>56240000</v>
      </c>
      <c r="L3040" s="195">
        <f>+J3040+K3040</f>
        <v>56500000</v>
      </c>
    </row>
    <row r="3041" spans="9:16">
      <c r="I3041" s="72">
        <v>721</v>
      </c>
      <c r="J3041" s="80">
        <f>+P3021+P3023+P3025+P3027+P3029</f>
        <v>0</v>
      </c>
      <c r="K3041" s="74">
        <f>+L3004</f>
        <v>171346046</v>
      </c>
      <c r="L3041" s="195">
        <f>+J3041+K3041</f>
        <v>171346046</v>
      </c>
    </row>
    <row r="3042" spans="9:16">
      <c r="I3042" s="72">
        <v>722</v>
      </c>
      <c r="J3042" s="80"/>
      <c r="K3042" s="74">
        <f>+L3005</f>
        <v>48461706</v>
      </c>
      <c r="L3042" s="195">
        <f>+J3042+K3042</f>
        <v>48461706</v>
      </c>
    </row>
    <row r="3043" spans="9:16" ht="15.75">
      <c r="I3043" s="72">
        <v>723</v>
      </c>
      <c r="J3043" s="80"/>
      <c r="K3043" s="74">
        <f>+L3006</f>
        <v>299668205</v>
      </c>
      <c r="L3043" s="195">
        <f>+J3043+K3043</f>
        <v>299668205</v>
      </c>
      <c r="N3043" s="193" t="s">
        <v>1028</v>
      </c>
      <c r="O3043" s="175"/>
    </row>
    <row r="3044" spans="9:16" ht="16.5" thickBot="1">
      <c r="I3044" s="164" t="s">
        <v>1077</v>
      </c>
      <c r="J3044" s="165"/>
      <c r="K3044" s="74">
        <f>+L3007</f>
        <v>797500</v>
      </c>
      <c r="L3044" s="196">
        <f>+J3044+K3044</f>
        <v>797500</v>
      </c>
      <c r="N3044" s="52"/>
    </row>
    <row r="3045" spans="9:16" ht="16.5" thickBot="1">
      <c r="I3045" s="169"/>
      <c r="J3045" s="197">
        <f>SUM(J3040:J3044)</f>
        <v>260000</v>
      </c>
      <c r="K3045" s="197">
        <f>SUM(K3040:K3044)</f>
        <v>576513457</v>
      </c>
      <c r="L3045" s="198">
        <f>SUM(L3040:L3044)</f>
        <v>576773457</v>
      </c>
    </row>
    <row r="3046" spans="9:16" ht="16.5">
      <c r="I3046" s="49" t="s">
        <v>88</v>
      </c>
      <c r="J3046" s="50"/>
    </row>
    <row r="3047" spans="9:16">
      <c r="I3047" s="51" t="s">
        <v>89</v>
      </c>
    </row>
    <row r="3048" spans="9:16">
      <c r="I3048" s="51" t="s">
        <v>90</v>
      </c>
    </row>
    <row r="3049" spans="9:16">
      <c r="I3049" s="51" t="s">
        <v>91</v>
      </c>
    </row>
    <row r="3050" spans="9:16" ht="11.25" customHeight="1">
      <c r="I3050" s="50"/>
      <c r="J3050" s="50"/>
    </row>
    <row r="3051" spans="9:16" ht="15.75">
      <c r="I3051" s="260" t="s">
        <v>1217</v>
      </c>
      <c r="O3051" s="52"/>
    </row>
    <row r="3052" spans="9:16" ht="15.75">
      <c r="I3052" s="53" t="s">
        <v>535</v>
      </c>
      <c r="O3052" s="53"/>
    </row>
    <row r="3053" spans="9:16" ht="16.5">
      <c r="I3053" s="894" t="s">
        <v>909</v>
      </c>
      <c r="J3053" s="894"/>
      <c r="K3053" s="894"/>
      <c r="L3053" s="894"/>
      <c r="M3053" s="894"/>
      <c r="N3053" s="894"/>
      <c r="O3053" s="894"/>
      <c r="P3053" s="894"/>
    </row>
    <row r="3054" spans="9:16" ht="15.75" thickBot="1"/>
    <row r="3055" spans="9:16">
      <c r="I3055" s="895" t="s">
        <v>94</v>
      </c>
      <c r="J3055" s="897" t="s">
        <v>95</v>
      </c>
      <c r="K3055" s="897" t="s">
        <v>96</v>
      </c>
      <c r="L3055" s="897" t="s">
        <v>3</v>
      </c>
      <c r="M3055" s="897" t="s">
        <v>97</v>
      </c>
      <c r="N3055" s="897" t="s">
        <v>98</v>
      </c>
      <c r="O3055" s="897" t="s">
        <v>99</v>
      </c>
      <c r="P3055" s="899"/>
    </row>
    <row r="3056" spans="9:16" ht="15.75" thickBot="1">
      <c r="I3056" s="896"/>
      <c r="J3056" s="898"/>
      <c r="K3056" s="898"/>
      <c r="L3056" s="898"/>
      <c r="M3056" s="898"/>
      <c r="N3056" s="898"/>
      <c r="O3056" s="240" t="s">
        <v>100</v>
      </c>
      <c r="P3056" s="182" t="s">
        <v>101</v>
      </c>
    </row>
    <row r="3057" spans="9:16">
      <c r="I3057" s="881">
        <v>327</v>
      </c>
      <c r="J3057" s="875">
        <v>42703</v>
      </c>
      <c r="K3057" s="877" t="s">
        <v>1014</v>
      </c>
      <c r="L3057" s="879" t="s">
        <v>1218</v>
      </c>
      <c r="M3057" s="881" t="s">
        <v>115</v>
      </c>
      <c r="N3057" s="883">
        <v>50000</v>
      </c>
      <c r="O3057" s="55">
        <v>719</v>
      </c>
      <c r="P3057" s="78">
        <v>50000</v>
      </c>
    </row>
    <row r="3058" spans="9:16" ht="15.75" thickBot="1">
      <c r="I3058" s="882"/>
      <c r="J3058" s="876"/>
      <c r="K3058" s="878"/>
      <c r="L3058" s="880"/>
      <c r="M3058" s="882"/>
      <c r="N3058" s="884"/>
      <c r="O3058" s="56">
        <v>721</v>
      </c>
      <c r="P3058" s="79">
        <f>+N3057-P3057</f>
        <v>0</v>
      </c>
    </row>
    <row r="3059" spans="9:16" ht="15" customHeight="1">
      <c r="I3059" s="881">
        <v>328</v>
      </c>
      <c r="J3059" s="875">
        <v>42703</v>
      </c>
      <c r="K3059" s="877" t="s">
        <v>28</v>
      </c>
      <c r="L3059" s="879" t="s">
        <v>1218</v>
      </c>
      <c r="M3059" s="881" t="s">
        <v>115</v>
      </c>
      <c r="N3059" s="883">
        <v>50000</v>
      </c>
      <c r="O3059" s="55">
        <v>719</v>
      </c>
      <c r="P3059" s="78">
        <v>50000</v>
      </c>
    </row>
    <row r="3060" spans="9:16" ht="15.75" customHeight="1" thickBot="1">
      <c r="I3060" s="882"/>
      <c r="J3060" s="876"/>
      <c r="K3060" s="878"/>
      <c r="L3060" s="880"/>
      <c r="M3060" s="882"/>
      <c r="N3060" s="884"/>
      <c r="O3060" s="56">
        <v>721</v>
      </c>
      <c r="P3060" s="79">
        <f>+N3059-P3059</f>
        <v>0</v>
      </c>
    </row>
    <row r="3061" spans="9:16" ht="15" customHeight="1">
      <c r="I3061" s="881">
        <v>329</v>
      </c>
      <c r="J3061" s="875">
        <v>42703</v>
      </c>
      <c r="K3061" s="877" t="s">
        <v>120</v>
      </c>
      <c r="L3061" s="879" t="s">
        <v>1219</v>
      </c>
      <c r="M3061" s="881" t="s">
        <v>115</v>
      </c>
      <c r="N3061" s="883">
        <v>30000</v>
      </c>
      <c r="O3061" s="55">
        <v>719</v>
      </c>
      <c r="P3061" s="78">
        <v>30000</v>
      </c>
    </row>
    <row r="3062" spans="9:16" ht="15.75" customHeight="1" thickBot="1">
      <c r="I3062" s="882"/>
      <c r="J3062" s="876"/>
      <c r="K3062" s="878"/>
      <c r="L3062" s="880"/>
      <c r="M3062" s="882"/>
      <c r="N3062" s="884"/>
      <c r="O3062" s="56">
        <v>721</v>
      </c>
      <c r="P3062" s="79">
        <f>+N3061-P3061</f>
        <v>0</v>
      </c>
    </row>
    <row r="3063" spans="9:16">
      <c r="I3063" s="881">
        <v>330</v>
      </c>
      <c r="J3063" s="875">
        <v>42703</v>
      </c>
      <c r="K3063" s="877" t="s">
        <v>674</v>
      </c>
      <c r="L3063" s="879" t="s">
        <v>1221</v>
      </c>
      <c r="M3063" s="881" t="s">
        <v>148</v>
      </c>
      <c r="N3063" s="883">
        <v>1350000</v>
      </c>
      <c r="O3063" s="55">
        <v>719</v>
      </c>
      <c r="P3063" s="78">
        <v>0</v>
      </c>
    </row>
    <row r="3064" spans="9:16" ht="15.75" thickBot="1">
      <c r="I3064" s="882"/>
      <c r="J3064" s="876"/>
      <c r="K3064" s="878"/>
      <c r="L3064" s="880"/>
      <c r="M3064" s="882"/>
      <c r="N3064" s="884"/>
      <c r="O3064" s="56">
        <v>723</v>
      </c>
      <c r="P3064" s="79">
        <f>+N3063-P3063</f>
        <v>1350000</v>
      </c>
    </row>
    <row r="3065" spans="9:16">
      <c r="I3065" s="881"/>
      <c r="J3065" s="875"/>
      <c r="K3065" s="877"/>
      <c r="L3065" s="879"/>
      <c r="M3065" s="881"/>
      <c r="N3065" s="883"/>
      <c r="O3065" s="55">
        <v>719</v>
      </c>
      <c r="P3065" s="78"/>
    </row>
    <row r="3066" spans="9:16" ht="15.75" thickBot="1">
      <c r="I3066" s="882"/>
      <c r="J3066" s="876"/>
      <c r="K3066" s="878"/>
      <c r="L3066" s="880"/>
      <c r="M3066" s="882"/>
      <c r="N3066" s="884"/>
      <c r="O3066" s="56">
        <v>721</v>
      </c>
      <c r="P3066" s="79">
        <f>+N3065-P3065</f>
        <v>0</v>
      </c>
    </row>
    <row r="3067" spans="9:16" ht="16.5" thickBot="1">
      <c r="I3067" s="901" t="s">
        <v>102</v>
      </c>
      <c r="J3067" s="902"/>
      <c r="K3067" s="902"/>
      <c r="L3067" s="902"/>
      <c r="M3067" s="903"/>
      <c r="N3067" s="81">
        <f>SUM(N3057:N3066)</f>
        <v>1480000</v>
      </c>
    </row>
    <row r="3068" spans="9:16" ht="16.5" thickBot="1">
      <c r="I3068" s="885" t="s">
        <v>103</v>
      </c>
      <c r="J3068" s="886"/>
      <c r="K3068" s="886"/>
      <c r="L3068" s="886"/>
      <c r="M3068" s="887"/>
      <c r="N3068" s="69">
        <f>+N3032</f>
        <v>576843457</v>
      </c>
      <c r="O3068" s="241" t="s">
        <v>561</v>
      </c>
      <c r="P3068" s="242">
        <f>48+92+184</f>
        <v>324</v>
      </c>
    </row>
    <row r="3069" spans="9:16" ht="16.5" thickBot="1">
      <c r="I3069" s="888" t="s">
        <v>104</v>
      </c>
      <c r="J3069" s="889"/>
      <c r="K3069" s="889"/>
      <c r="L3069" s="889"/>
      <c r="M3069" s="890"/>
      <c r="N3069" s="183">
        <f>SUM(N3067:N3068)</f>
        <v>578323457</v>
      </c>
    </row>
    <row r="3070" spans="9:16" ht="12" customHeight="1">
      <c r="I3070" s="61"/>
      <c r="J3070" s="61"/>
      <c r="K3070" s="61"/>
      <c r="L3070" s="61"/>
      <c r="M3070" s="61"/>
    </row>
    <row r="3071" spans="9:16">
      <c r="I3071" s="51" t="s">
        <v>1220</v>
      </c>
    </row>
    <row r="3072" spans="9:16" ht="12" customHeight="1">
      <c r="N3072" s="139"/>
    </row>
    <row r="3073" spans="9:15">
      <c r="I3073" s="50" t="s">
        <v>105</v>
      </c>
      <c r="L3073" s="146"/>
      <c r="N3073" s="139"/>
    </row>
    <row r="3074" spans="9:15" ht="12.75" customHeight="1" thickBot="1"/>
    <row r="3075" spans="9:15" ht="15.75" thickBot="1">
      <c r="I3075" s="891" t="s">
        <v>106</v>
      </c>
      <c r="J3075" s="892"/>
      <c r="K3075" s="892"/>
      <c r="L3075" s="893"/>
      <c r="N3075" s="50" t="s">
        <v>288</v>
      </c>
    </row>
    <row r="3076" spans="9:15" ht="30.75" thickBot="1">
      <c r="I3076" s="57" t="s">
        <v>100</v>
      </c>
      <c r="J3076" s="58" t="s">
        <v>108</v>
      </c>
      <c r="K3076" s="287" t="s">
        <v>109</v>
      </c>
      <c r="L3076" s="60" t="s">
        <v>110</v>
      </c>
    </row>
    <row r="3077" spans="9:15">
      <c r="I3077" s="71">
        <v>719</v>
      </c>
      <c r="J3077" s="73">
        <f>+P3057+P3059+P3061+P3063</f>
        <v>130000</v>
      </c>
      <c r="K3077" s="74">
        <f>+L3040</f>
        <v>56500000</v>
      </c>
      <c r="L3077" s="195">
        <f>+J3077+K3077</f>
        <v>56630000</v>
      </c>
    </row>
    <row r="3078" spans="9:15">
      <c r="I3078" s="72">
        <v>721</v>
      </c>
      <c r="J3078" s="80"/>
      <c r="K3078" s="74">
        <f>+L3041</f>
        <v>171346046</v>
      </c>
      <c r="L3078" s="195">
        <f>+J3078+K3078</f>
        <v>171346046</v>
      </c>
    </row>
    <row r="3079" spans="9:15">
      <c r="I3079" s="72">
        <v>722</v>
      </c>
      <c r="J3079" s="80"/>
      <c r="K3079" s="74">
        <f>+L3042</f>
        <v>48461706</v>
      </c>
      <c r="L3079" s="195">
        <f>+J3079+K3079</f>
        <v>48461706</v>
      </c>
    </row>
    <row r="3080" spans="9:15" ht="15.75">
      <c r="I3080" s="72">
        <v>723</v>
      </c>
      <c r="J3080" s="80">
        <f>+P3064</f>
        <v>1350000</v>
      </c>
      <c r="K3080" s="74">
        <f>+L3043</f>
        <v>299668205</v>
      </c>
      <c r="L3080" s="195">
        <f>+J3080+K3080</f>
        <v>301018205</v>
      </c>
      <c r="N3080" s="193" t="s">
        <v>289</v>
      </c>
      <c r="O3080" s="175"/>
    </row>
    <row r="3081" spans="9:15" ht="16.5" thickBot="1">
      <c r="I3081" s="164" t="s">
        <v>1077</v>
      </c>
      <c r="J3081" s="165"/>
      <c r="K3081" s="74">
        <f>+L3044</f>
        <v>797500</v>
      </c>
      <c r="L3081" s="196">
        <f>+J3081+K3081</f>
        <v>797500</v>
      </c>
      <c r="N3081" s="52"/>
    </row>
    <row r="3082" spans="9:15" ht="16.5" thickBot="1">
      <c r="I3082" s="169"/>
      <c r="J3082" s="197">
        <f>SUM(J3077:J3081)</f>
        <v>1480000</v>
      </c>
      <c r="K3082" s="197">
        <f>SUM(K3077:K3081)</f>
        <v>576773457</v>
      </c>
      <c r="L3082" s="198">
        <f>SUM(L3077:L3081)</f>
        <v>578253457</v>
      </c>
    </row>
    <row r="3083" spans="9:15" ht="16.5">
      <c r="I3083" s="49" t="s">
        <v>88</v>
      </c>
      <c r="J3083" s="50"/>
    </row>
    <row r="3084" spans="9:15">
      <c r="I3084" s="51" t="s">
        <v>89</v>
      </c>
    </row>
    <row r="3085" spans="9:15">
      <c r="I3085" s="51" t="s">
        <v>90</v>
      </c>
    </row>
    <row r="3086" spans="9:15">
      <c r="I3086" s="51" t="s">
        <v>91</v>
      </c>
    </row>
    <row r="3087" spans="9:15" ht="12" customHeight="1">
      <c r="I3087" s="50"/>
      <c r="J3087" s="50"/>
    </row>
    <row r="3088" spans="9:15" ht="15.75">
      <c r="I3088" s="260" t="s">
        <v>1222</v>
      </c>
      <c r="O3088" s="52"/>
    </row>
    <row r="3089" spans="9:16" ht="15.75">
      <c r="I3089" s="53" t="s">
        <v>535</v>
      </c>
      <c r="O3089" s="53"/>
    </row>
    <row r="3090" spans="9:16" ht="16.5">
      <c r="I3090" s="894" t="s">
        <v>170</v>
      </c>
      <c r="J3090" s="894"/>
      <c r="K3090" s="894"/>
      <c r="L3090" s="894"/>
      <c r="M3090" s="894"/>
      <c r="N3090" s="894"/>
      <c r="O3090" s="894"/>
      <c r="P3090" s="894"/>
    </row>
    <row r="3091" spans="9:16" ht="15.75" thickBot="1"/>
    <row r="3092" spans="9:16">
      <c r="I3092" s="895" t="s">
        <v>94</v>
      </c>
      <c r="J3092" s="897" t="s">
        <v>95</v>
      </c>
      <c r="K3092" s="897" t="s">
        <v>96</v>
      </c>
      <c r="L3092" s="897" t="s">
        <v>3</v>
      </c>
      <c r="M3092" s="897" t="s">
        <v>97</v>
      </c>
      <c r="N3092" s="897" t="s">
        <v>98</v>
      </c>
      <c r="O3092" s="897" t="s">
        <v>99</v>
      </c>
      <c r="P3092" s="899"/>
    </row>
    <row r="3093" spans="9:16" ht="15.75" thickBot="1">
      <c r="I3093" s="896"/>
      <c r="J3093" s="898"/>
      <c r="K3093" s="898"/>
      <c r="L3093" s="898"/>
      <c r="M3093" s="898"/>
      <c r="N3093" s="898"/>
      <c r="O3093" s="240" t="s">
        <v>100</v>
      </c>
      <c r="P3093" s="182" t="s">
        <v>101</v>
      </c>
    </row>
    <row r="3094" spans="9:16">
      <c r="I3094" s="881">
        <v>331</v>
      </c>
      <c r="J3094" s="875">
        <v>42704</v>
      </c>
      <c r="K3094" s="877" t="s">
        <v>1014</v>
      </c>
      <c r="L3094" s="879" t="s">
        <v>1224</v>
      </c>
      <c r="M3094" s="881" t="s">
        <v>115</v>
      </c>
      <c r="N3094" s="883">
        <v>70000</v>
      </c>
      <c r="O3094" s="55">
        <v>719</v>
      </c>
      <c r="P3094" s="78">
        <v>70000</v>
      </c>
    </row>
    <row r="3095" spans="9:16" ht="15.75" thickBot="1">
      <c r="I3095" s="882"/>
      <c r="J3095" s="876"/>
      <c r="K3095" s="878"/>
      <c r="L3095" s="880"/>
      <c r="M3095" s="882"/>
      <c r="N3095" s="884"/>
      <c r="O3095" s="56">
        <v>721</v>
      </c>
      <c r="P3095" s="79">
        <f>+N3094-P3094</f>
        <v>0</v>
      </c>
    </row>
    <row r="3096" spans="9:16" ht="15" customHeight="1">
      <c r="I3096" s="881">
        <v>332</v>
      </c>
      <c r="J3096" s="875">
        <v>42704</v>
      </c>
      <c r="K3096" s="877" t="s">
        <v>28</v>
      </c>
      <c r="L3096" s="879" t="s">
        <v>1224</v>
      </c>
      <c r="M3096" s="881" t="s">
        <v>115</v>
      </c>
      <c r="N3096" s="883">
        <v>70000</v>
      </c>
      <c r="O3096" s="55">
        <v>719</v>
      </c>
      <c r="P3096" s="78">
        <v>70000</v>
      </c>
    </row>
    <row r="3097" spans="9:16" ht="15.75" customHeight="1" thickBot="1">
      <c r="I3097" s="882"/>
      <c r="J3097" s="876"/>
      <c r="K3097" s="878"/>
      <c r="L3097" s="880"/>
      <c r="M3097" s="882"/>
      <c r="N3097" s="884"/>
      <c r="O3097" s="56">
        <v>721</v>
      </c>
      <c r="P3097" s="79">
        <f>+N3096-P3096</f>
        <v>0</v>
      </c>
    </row>
    <row r="3098" spans="9:16" ht="15" customHeight="1">
      <c r="I3098" s="881">
        <v>333</v>
      </c>
      <c r="J3098" s="875">
        <v>42704</v>
      </c>
      <c r="K3098" s="877" t="s">
        <v>120</v>
      </c>
      <c r="L3098" s="879" t="s">
        <v>1224</v>
      </c>
      <c r="M3098" s="881" t="s">
        <v>115</v>
      </c>
      <c r="N3098" s="883">
        <v>110000</v>
      </c>
      <c r="O3098" s="55">
        <v>719</v>
      </c>
      <c r="P3098" s="78">
        <v>110000</v>
      </c>
    </row>
    <row r="3099" spans="9:16" ht="15.75" customHeight="1" thickBot="1">
      <c r="I3099" s="882"/>
      <c r="J3099" s="876"/>
      <c r="K3099" s="878"/>
      <c r="L3099" s="880"/>
      <c r="M3099" s="882"/>
      <c r="N3099" s="884"/>
      <c r="O3099" s="56">
        <v>721</v>
      </c>
      <c r="P3099" s="79">
        <f>+N3098-P3098</f>
        <v>0</v>
      </c>
    </row>
    <row r="3100" spans="9:16" ht="15" customHeight="1">
      <c r="I3100" s="881"/>
      <c r="J3100" s="875"/>
      <c r="K3100" s="877"/>
      <c r="L3100" s="879"/>
      <c r="M3100" s="881"/>
      <c r="N3100" s="883"/>
      <c r="O3100" s="55"/>
      <c r="P3100" s="78"/>
    </row>
    <row r="3101" spans="9:16" ht="15.75" customHeight="1" thickBot="1">
      <c r="I3101" s="882"/>
      <c r="J3101" s="876"/>
      <c r="K3101" s="878"/>
      <c r="L3101" s="880"/>
      <c r="M3101" s="882"/>
      <c r="N3101" s="884"/>
      <c r="O3101" s="56"/>
      <c r="P3101" s="79"/>
    </row>
    <row r="3102" spans="9:16" ht="14.25" customHeight="1">
      <c r="I3102" s="881"/>
      <c r="J3102" s="875"/>
      <c r="K3102" s="877"/>
      <c r="L3102" s="879"/>
      <c r="M3102" s="881"/>
      <c r="N3102" s="883"/>
      <c r="O3102" s="55">
        <v>719</v>
      </c>
      <c r="P3102" s="78"/>
    </row>
    <row r="3103" spans="9:16" ht="13.5" customHeight="1" thickBot="1">
      <c r="I3103" s="882"/>
      <c r="J3103" s="876"/>
      <c r="K3103" s="878"/>
      <c r="L3103" s="880"/>
      <c r="M3103" s="882"/>
      <c r="N3103" s="884"/>
      <c r="O3103" s="56">
        <v>721</v>
      </c>
      <c r="P3103" s="79">
        <f>+N3102-P3102</f>
        <v>0</v>
      </c>
    </row>
    <row r="3104" spans="9:16" ht="16.5" thickBot="1">
      <c r="I3104" s="901" t="s">
        <v>102</v>
      </c>
      <c r="J3104" s="902"/>
      <c r="K3104" s="902"/>
      <c r="L3104" s="902"/>
      <c r="M3104" s="903"/>
      <c r="N3104" s="81">
        <f>SUM(N3094:N3103)</f>
        <v>250000</v>
      </c>
    </row>
    <row r="3105" spans="9:16" ht="16.5" thickBot="1">
      <c r="I3105" s="885" t="s">
        <v>103</v>
      </c>
      <c r="J3105" s="886"/>
      <c r="K3105" s="886"/>
      <c r="L3105" s="886"/>
      <c r="M3105" s="887"/>
      <c r="N3105" s="69">
        <f>+N3069</f>
        <v>578323457</v>
      </c>
      <c r="O3105" s="241" t="s">
        <v>561</v>
      </c>
      <c r="P3105" s="242">
        <f>158+308+108</f>
        <v>574</v>
      </c>
    </row>
    <row r="3106" spans="9:16" ht="16.5" thickBot="1">
      <c r="I3106" s="888" t="s">
        <v>104</v>
      </c>
      <c r="J3106" s="889"/>
      <c r="K3106" s="889"/>
      <c r="L3106" s="889"/>
      <c r="M3106" s="890"/>
      <c r="N3106" s="183">
        <f>SUM(N3104:N3105)</f>
        <v>578573457</v>
      </c>
    </row>
    <row r="3107" spans="9:16">
      <c r="I3107" s="61"/>
      <c r="J3107" s="61"/>
      <c r="K3107" s="61"/>
      <c r="L3107" s="61"/>
      <c r="M3107" s="61"/>
    </row>
    <row r="3108" spans="9:16">
      <c r="I3108" s="51" t="s">
        <v>1228</v>
      </c>
    </row>
    <row r="3109" spans="9:16" ht="12.75" customHeight="1">
      <c r="N3109" s="139"/>
    </row>
    <row r="3110" spans="9:16">
      <c r="I3110" s="50" t="s">
        <v>105</v>
      </c>
      <c r="L3110" s="146"/>
      <c r="N3110" s="139"/>
    </row>
    <row r="3111" spans="9:16" ht="12.75" customHeight="1" thickBot="1"/>
    <row r="3112" spans="9:16" ht="15.75" thickBot="1">
      <c r="I3112" s="891" t="s">
        <v>106</v>
      </c>
      <c r="J3112" s="892"/>
      <c r="K3112" s="892"/>
      <c r="L3112" s="893"/>
      <c r="N3112" s="50" t="s">
        <v>288</v>
      </c>
    </row>
    <row r="3113" spans="9:16" ht="30.75" thickBot="1">
      <c r="I3113" s="57" t="s">
        <v>100</v>
      </c>
      <c r="J3113" s="58" t="s">
        <v>108</v>
      </c>
      <c r="K3113" s="287" t="s">
        <v>109</v>
      </c>
      <c r="L3113" s="60" t="s">
        <v>110</v>
      </c>
    </row>
    <row r="3114" spans="9:16">
      <c r="I3114" s="71">
        <v>719</v>
      </c>
      <c r="J3114" s="73">
        <f>+P3094+P3096+P3098+P3100</f>
        <v>250000</v>
      </c>
      <c r="K3114" s="74">
        <f>+L3077</f>
        <v>56630000</v>
      </c>
      <c r="L3114" s="195">
        <f>+J3114+K3114</f>
        <v>56880000</v>
      </c>
    </row>
    <row r="3115" spans="9:16">
      <c r="I3115" s="72">
        <v>721</v>
      </c>
      <c r="J3115" s="80"/>
      <c r="K3115" s="74">
        <f>+L3078</f>
        <v>171346046</v>
      </c>
      <c r="L3115" s="195">
        <f>+J3115+K3115</f>
        <v>171346046</v>
      </c>
    </row>
    <row r="3116" spans="9:16">
      <c r="I3116" s="72">
        <v>722</v>
      </c>
      <c r="J3116" s="80"/>
      <c r="K3116" s="74">
        <f>+L3079</f>
        <v>48461706</v>
      </c>
      <c r="L3116" s="195">
        <f>+J3116+K3116</f>
        <v>48461706</v>
      </c>
    </row>
    <row r="3117" spans="9:16" ht="15.75">
      <c r="I3117" s="72">
        <v>723</v>
      </c>
      <c r="J3117" s="80">
        <f>+P3101</f>
        <v>0</v>
      </c>
      <c r="K3117" s="74">
        <f>+L3080</f>
        <v>301018205</v>
      </c>
      <c r="L3117" s="195">
        <f>+J3117+K3117</f>
        <v>301018205</v>
      </c>
      <c r="N3117" s="193" t="s">
        <v>289</v>
      </c>
      <c r="O3117" s="175"/>
    </row>
    <row r="3118" spans="9:16" ht="16.5" thickBot="1">
      <c r="I3118" s="164" t="s">
        <v>1077</v>
      </c>
      <c r="J3118" s="165"/>
      <c r="K3118" s="74">
        <f>+L3081</f>
        <v>797500</v>
      </c>
      <c r="L3118" s="196">
        <f>+J3118+K3118</f>
        <v>797500</v>
      </c>
      <c r="N3118" s="52"/>
    </row>
    <row r="3119" spans="9:16" ht="16.5" thickBot="1">
      <c r="I3119" s="169"/>
      <c r="J3119" s="197">
        <f>SUM(J3114:J3118)</f>
        <v>250000</v>
      </c>
      <c r="K3119" s="197">
        <f>SUM(K3114:K3118)</f>
        <v>578253457</v>
      </c>
      <c r="L3119" s="198">
        <f>SUM(L3114:L3118)</f>
        <v>578503457</v>
      </c>
    </row>
    <row r="3120" spans="9:16" ht="16.5">
      <c r="I3120" s="49" t="s">
        <v>88</v>
      </c>
      <c r="J3120" s="50"/>
    </row>
    <row r="3121" spans="9:16">
      <c r="I3121" s="51" t="s">
        <v>89</v>
      </c>
    </row>
    <row r="3122" spans="9:16">
      <c r="I3122" s="51" t="s">
        <v>90</v>
      </c>
    </row>
    <row r="3123" spans="9:16">
      <c r="I3123" s="51" t="s">
        <v>91</v>
      </c>
    </row>
    <row r="3124" spans="9:16" ht="12" customHeight="1">
      <c r="I3124" s="50"/>
      <c r="J3124" s="50"/>
    </row>
    <row r="3125" spans="9:16" ht="15.75">
      <c r="I3125" s="260" t="s">
        <v>1227</v>
      </c>
      <c r="O3125" s="52"/>
    </row>
    <row r="3126" spans="9:16" ht="15.75">
      <c r="I3126" s="53" t="s">
        <v>535</v>
      </c>
      <c r="O3126" s="53"/>
    </row>
    <row r="3127" spans="9:16" ht="16.5">
      <c r="I3127" s="894" t="s">
        <v>1226</v>
      </c>
      <c r="J3127" s="894"/>
      <c r="K3127" s="894"/>
      <c r="L3127" s="894"/>
      <c r="M3127" s="894"/>
      <c r="N3127" s="894"/>
      <c r="O3127" s="894"/>
      <c r="P3127" s="894"/>
    </row>
    <row r="3128" spans="9:16" ht="15.75" thickBot="1"/>
    <row r="3129" spans="9:16">
      <c r="I3129" s="895" t="s">
        <v>94</v>
      </c>
      <c r="J3129" s="897" t="s">
        <v>95</v>
      </c>
      <c r="K3129" s="897" t="s">
        <v>96</v>
      </c>
      <c r="L3129" s="897" t="s">
        <v>3</v>
      </c>
      <c r="M3129" s="897" t="s">
        <v>97</v>
      </c>
      <c r="N3129" s="897" t="s">
        <v>98</v>
      </c>
      <c r="O3129" s="897" t="s">
        <v>99</v>
      </c>
      <c r="P3129" s="899"/>
    </row>
    <row r="3130" spans="9:16" ht="15.75" thickBot="1">
      <c r="I3130" s="896"/>
      <c r="J3130" s="898"/>
      <c r="K3130" s="898"/>
      <c r="L3130" s="898"/>
      <c r="M3130" s="898"/>
      <c r="N3130" s="898"/>
      <c r="O3130" s="240" t="s">
        <v>100</v>
      </c>
      <c r="P3130" s="182" t="s">
        <v>101</v>
      </c>
    </row>
    <row r="3131" spans="9:16">
      <c r="I3131" s="881">
        <v>334</v>
      </c>
      <c r="J3131" s="875">
        <v>42704</v>
      </c>
      <c r="K3131" s="877" t="s">
        <v>267</v>
      </c>
      <c r="L3131" s="879" t="s">
        <v>1233</v>
      </c>
      <c r="M3131" s="881" t="s">
        <v>148</v>
      </c>
      <c r="N3131" s="883">
        <v>65000</v>
      </c>
      <c r="O3131" s="55">
        <v>719</v>
      </c>
      <c r="P3131" s="78">
        <v>50000</v>
      </c>
    </row>
    <row r="3132" spans="9:16" ht="15.75" thickBot="1">
      <c r="I3132" s="882"/>
      <c r="J3132" s="876"/>
      <c r="K3132" s="878"/>
      <c r="L3132" s="880"/>
      <c r="M3132" s="882"/>
      <c r="N3132" s="884"/>
      <c r="O3132" s="56">
        <v>721</v>
      </c>
      <c r="P3132" s="79">
        <f>+N3131-P3131</f>
        <v>15000</v>
      </c>
    </row>
    <row r="3133" spans="9:16" ht="15" customHeight="1">
      <c r="I3133" s="881">
        <v>335</v>
      </c>
      <c r="J3133" s="875">
        <v>42704</v>
      </c>
      <c r="K3133" s="877" t="s">
        <v>28</v>
      </c>
      <c r="L3133" s="879" t="s">
        <v>1234</v>
      </c>
      <c r="M3133" s="881" t="s">
        <v>148</v>
      </c>
      <c r="N3133" s="883">
        <v>390000</v>
      </c>
      <c r="O3133" s="55">
        <v>719</v>
      </c>
      <c r="P3133" s="78">
        <v>300000</v>
      </c>
    </row>
    <row r="3134" spans="9:16" ht="15.75" customHeight="1" thickBot="1">
      <c r="I3134" s="882"/>
      <c r="J3134" s="876"/>
      <c r="K3134" s="878"/>
      <c r="L3134" s="880"/>
      <c r="M3134" s="882"/>
      <c r="N3134" s="884"/>
      <c r="O3134" s="56">
        <v>721</v>
      </c>
      <c r="P3134" s="79">
        <f>+N3133-P3133</f>
        <v>90000</v>
      </c>
    </row>
    <row r="3135" spans="9:16" ht="15" customHeight="1">
      <c r="I3135" s="881">
        <v>336</v>
      </c>
      <c r="J3135" s="875">
        <v>42704</v>
      </c>
      <c r="K3135" s="877" t="s">
        <v>111</v>
      </c>
      <c r="L3135" s="879" t="s">
        <v>1232</v>
      </c>
      <c r="M3135" s="881" t="s">
        <v>148</v>
      </c>
      <c r="N3135" s="883">
        <v>104000</v>
      </c>
      <c r="O3135" s="55">
        <v>719</v>
      </c>
      <c r="P3135" s="78">
        <v>80000</v>
      </c>
    </row>
    <row r="3136" spans="9:16" ht="15.75" customHeight="1" thickBot="1">
      <c r="I3136" s="882"/>
      <c r="J3136" s="876"/>
      <c r="K3136" s="878"/>
      <c r="L3136" s="880"/>
      <c r="M3136" s="882"/>
      <c r="N3136" s="884"/>
      <c r="O3136" s="56">
        <v>721</v>
      </c>
      <c r="P3136" s="79">
        <f>+N3135-P3135</f>
        <v>24000</v>
      </c>
    </row>
    <row r="3137" spans="9:16" ht="15" customHeight="1">
      <c r="I3137" s="881">
        <v>337</v>
      </c>
      <c r="J3137" s="875">
        <v>42704</v>
      </c>
      <c r="K3137" s="877" t="s">
        <v>1014</v>
      </c>
      <c r="L3137" s="879" t="s">
        <v>1231</v>
      </c>
      <c r="M3137" s="881" t="s">
        <v>148</v>
      </c>
      <c r="N3137" s="883">
        <v>676000</v>
      </c>
      <c r="O3137" s="55">
        <v>719</v>
      </c>
      <c r="P3137" s="78">
        <v>520000</v>
      </c>
    </row>
    <row r="3138" spans="9:16" ht="15.75" customHeight="1" thickBot="1">
      <c r="I3138" s="882"/>
      <c r="J3138" s="876"/>
      <c r="K3138" s="878"/>
      <c r="L3138" s="880"/>
      <c r="M3138" s="882"/>
      <c r="N3138" s="884"/>
      <c r="O3138" s="56">
        <v>721</v>
      </c>
      <c r="P3138" s="79">
        <f>+N3137-P3137</f>
        <v>156000</v>
      </c>
    </row>
    <row r="3139" spans="9:16" ht="15" customHeight="1">
      <c r="I3139" s="881">
        <v>338</v>
      </c>
      <c r="J3139" s="875">
        <v>42704</v>
      </c>
      <c r="K3139" s="877" t="s">
        <v>1223</v>
      </c>
      <c r="L3139" s="879" t="s">
        <v>1225</v>
      </c>
      <c r="M3139" s="881" t="s">
        <v>148</v>
      </c>
      <c r="N3139" s="883">
        <v>6240000</v>
      </c>
      <c r="O3139" s="55">
        <v>719</v>
      </c>
      <c r="P3139" s="78">
        <v>0</v>
      </c>
    </row>
    <row r="3140" spans="9:16" ht="15.75" customHeight="1" thickBot="1">
      <c r="I3140" s="882"/>
      <c r="J3140" s="876"/>
      <c r="K3140" s="878"/>
      <c r="L3140" s="880"/>
      <c r="M3140" s="882"/>
      <c r="N3140" s="884"/>
      <c r="O3140" s="56">
        <v>723</v>
      </c>
      <c r="P3140" s="79">
        <f>+N3139-P3139</f>
        <v>6240000</v>
      </c>
    </row>
    <row r="3141" spans="9:16" ht="16.5" thickBot="1">
      <c r="I3141" s="901" t="s">
        <v>102</v>
      </c>
      <c r="J3141" s="902"/>
      <c r="K3141" s="902"/>
      <c r="L3141" s="902"/>
      <c r="M3141" s="903"/>
      <c r="N3141" s="81">
        <f>SUM(N3131:N3140)</f>
        <v>7475000</v>
      </c>
    </row>
    <row r="3142" spans="9:16" ht="16.5" thickBot="1">
      <c r="I3142" s="885" t="s">
        <v>103</v>
      </c>
      <c r="J3142" s="886"/>
      <c r="K3142" s="886"/>
      <c r="L3142" s="886"/>
      <c r="M3142" s="887"/>
      <c r="N3142" s="69">
        <f>+N3106</f>
        <v>578573457</v>
      </c>
      <c r="O3142" s="241" t="s">
        <v>561</v>
      </c>
      <c r="P3142" s="242">
        <f>33+37+514+915</f>
        <v>1499</v>
      </c>
    </row>
    <row r="3143" spans="9:16" ht="16.5" thickBot="1">
      <c r="I3143" s="888" t="s">
        <v>104</v>
      </c>
      <c r="J3143" s="889"/>
      <c r="K3143" s="889"/>
      <c r="L3143" s="889"/>
      <c r="M3143" s="890"/>
      <c r="N3143" s="183">
        <f>SUM(N3141:N3142)</f>
        <v>586048457</v>
      </c>
    </row>
    <row r="3144" spans="9:16" ht="12.75" customHeight="1">
      <c r="I3144" s="61"/>
      <c r="J3144" s="61"/>
      <c r="K3144" s="61"/>
      <c r="L3144" s="61"/>
      <c r="M3144" s="61"/>
    </row>
    <row r="3145" spans="9:16">
      <c r="I3145" s="51" t="s">
        <v>1230</v>
      </c>
    </row>
    <row r="3146" spans="9:16" ht="13.5" customHeight="1">
      <c r="N3146" s="139"/>
    </row>
    <row r="3147" spans="9:16">
      <c r="I3147" s="50" t="s">
        <v>105</v>
      </c>
      <c r="L3147" s="146"/>
      <c r="N3147" s="139"/>
    </row>
    <row r="3148" spans="9:16" ht="13.5" customHeight="1" thickBot="1"/>
    <row r="3149" spans="9:16" ht="15.75" thickBot="1">
      <c r="I3149" s="891" t="s">
        <v>106</v>
      </c>
      <c r="J3149" s="892"/>
      <c r="K3149" s="892"/>
      <c r="L3149" s="893"/>
      <c r="N3149" s="50" t="s">
        <v>288</v>
      </c>
    </row>
    <row r="3150" spans="9:16" ht="30.75" thickBot="1">
      <c r="I3150" s="57" t="s">
        <v>100</v>
      </c>
      <c r="J3150" s="58" t="s">
        <v>108</v>
      </c>
      <c r="K3150" s="287" t="s">
        <v>109</v>
      </c>
      <c r="L3150" s="60" t="s">
        <v>110</v>
      </c>
    </row>
    <row r="3151" spans="9:16">
      <c r="I3151" s="71">
        <v>719</v>
      </c>
      <c r="J3151" s="73">
        <f>+P3131+P3133+P3135+P3137</f>
        <v>950000</v>
      </c>
      <c r="K3151" s="74">
        <f>+L3114</f>
        <v>56880000</v>
      </c>
      <c r="L3151" s="195">
        <f>+J3151+K3151</f>
        <v>57830000</v>
      </c>
    </row>
    <row r="3152" spans="9:16">
      <c r="I3152" s="72">
        <v>721</v>
      </c>
      <c r="J3152" s="80">
        <f>+P3138+P3136+P3134+P3132</f>
        <v>285000</v>
      </c>
      <c r="K3152" s="74">
        <f>+L3115</f>
        <v>171346046</v>
      </c>
      <c r="L3152" s="195">
        <f>+J3152+K3152</f>
        <v>171631046</v>
      </c>
    </row>
    <row r="3153" spans="9:16">
      <c r="I3153" s="72">
        <v>722</v>
      </c>
      <c r="J3153" s="80"/>
      <c r="K3153" s="74">
        <f>+L3116</f>
        <v>48461706</v>
      </c>
      <c r="L3153" s="195">
        <f>+J3153+K3153</f>
        <v>48461706</v>
      </c>
    </row>
    <row r="3154" spans="9:16" ht="15.75">
      <c r="I3154" s="72">
        <v>723</v>
      </c>
      <c r="J3154" s="80">
        <f>+P3140</f>
        <v>6240000</v>
      </c>
      <c r="K3154" s="74">
        <f>+L3117</f>
        <v>301018205</v>
      </c>
      <c r="L3154" s="195">
        <f>+J3154+K3154</f>
        <v>307258205</v>
      </c>
      <c r="N3154" s="193" t="s">
        <v>289</v>
      </c>
      <c r="O3154" s="175"/>
    </row>
    <row r="3155" spans="9:16" ht="16.5" thickBot="1">
      <c r="I3155" s="164" t="s">
        <v>1077</v>
      </c>
      <c r="J3155" s="165"/>
      <c r="K3155" s="74">
        <f>+L3118</f>
        <v>797500</v>
      </c>
      <c r="L3155" s="196">
        <f>+J3155+K3155</f>
        <v>797500</v>
      </c>
      <c r="N3155" s="52"/>
    </row>
    <row r="3156" spans="9:16" ht="16.5" thickBot="1">
      <c r="I3156" s="169"/>
      <c r="J3156" s="197">
        <f>SUM(J3151:J3155)</f>
        <v>7475000</v>
      </c>
      <c r="K3156" s="197">
        <f>SUM(K3151:K3155)</f>
        <v>578503457</v>
      </c>
      <c r="L3156" s="198">
        <f>SUM(L3151:L3155)</f>
        <v>585978457</v>
      </c>
    </row>
    <row r="3157" spans="9:16" ht="16.5">
      <c r="I3157" s="49" t="s">
        <v>88</v>
      </c>
      <c r="J3157" s="50"/>
    </row>
    <row r="3158" spans="9:16">
      <c r="I3158" s="51" t="s">
        <v>89</v>
      </c>
      <c r="L3158" s="139"/>
    </row>
    <row r="3159" spans="9:16">
      <c r="I3159" s="51" t="s">
        <v>90</v>
      </c>
    </row>
    <row r="3160" spans="9:16">
      <c r="I3160" s="51" t="s">
        <v>91</v>
      </c>
    </row>
    <row r="3161" spans="9:16" ht="9.75" customHeight="1">
      <c r="I3161" s="50"/>
      <c r="J3161" s="50"/>
    </row>
    <row r="3162" spans="9:16" ht="15.75">
      <c r="I3162" s="260" t="s">
        <v>1238</v>
      </c>
      <c r="O3162" s="52"/>
    </row>
    <row r="3163" spans="9:16" ht="15.75">
      <c r="I3163" s="53" t="s">
        <v>535</v>
      </c>
      <c r="O3163" s="53"/>
    </row>
    <row r="3164" spans="9:16" ht="16.5">
      <c r="I3164" s="894" t="s">
        <v>1243</v>
      </c>
      <c r="J3164" s="894"/>
      <c r="K3164" s="894"/>
      <c r="L3164" s="894"/>
      <c r="M3164" s="894"/>
      <c r="N3164" s="894"/>
      <c r="O3164" s="894"/>
      <c r="P3164" s="894"/>
    </row>
    <row r="3165" spans="9:16" ht="13.5" customHeight="1" thickBot="1"/>
    <row r="3166" spans="9:16">
      <c r="I3166" s="895" t="s">
        <v>94</v>
      </c>
      <c r="J3166" s="897" t="s">
        <v>95</v>
      </c>
      <c r="K3166" s="897" t="s">
        <v>96</v>
      </c>
      <c r="L3166" s="897" t="s">
        <v>3</v>
      </c>
      <c r="M3166" s="897" t="s">
        <v>97</v>
      </c>
      <c r="N3166" s="897" t="s">
        <v>98</v>
      </c>
      <c r="O3166" s="897" t="s">
        <v>99</v>
      </c>
      <c r="P3166" s="899"/>
    </row>
    <row r="3167" spans="9:16" ht="15.75" thickBot="1">
      <c r="I3167" s="896"/>
      <c r="J3167" s="898"/>
      <c r="K3167" s="898"/>
      <c r="L3167" s="898"/>
      <c r="M3167" s="898"/>
      <c r="N3167" s="898"/>
      <c r="O3167" s="240" t="s">
        <v>100</v>
      </c>
      <c r="P3167" s="182" t="s">
        <v>101</v>
      </c>
    </row>
    <row r="3168" spans="9:16" ht="13.5" customHeight="1">
      <c r="I3168" s="881">
        <v>339</v>
      </c>
      <c r="J3168" s="875">
        <v>42712</v>
      </c>
      <c r="K3168" s="877" t="s">
        <v>1014</v>
      </c>
      <c r="L3168" s="879" t="s">
        <v>1239</v>
      </c>
      <c r="M3168" s="881" t="s">
        <v>115</v>
      </c>
      <c r="N3168" s="883">
        <v>80000</v>
      </c>
      <c r="O3168" s="55">
        <v>719</v>
      </c>
      <c r="P3168" s="78">
        <v>80000</v>
      </c>
    </row>
    <row r="3169" spans="9:16" ht="13.5" customHeight="1" thickBot="1">
      <c r="I3169" s="882"/>
      <c r="J3169" s="876"/>
      <c r="K3169" s="878"/>
      <c r="L3169" s="880"/>
      <c r="M3169" s="882"/>
      <c r="N3169" s="884"/>
      <c r="O3169" s="56">
        <v>721</v>
      </c>
      <c r="P3169" s="79">
        <f>+N3168-P3168</f>
        <v>0</v>
      </c>
    </row>
    <row r="3170" spans="9:16" ht="14.25" customHeight="1">
      <c r="I3170" s="881">
        <v>340</v>
      </c>
      <c r="J3170" s="875">
        <v>42712</v>
      </c>
      <c r="K3170" s="877" t="s">
        <v>120</v>
      </c>
      <c r="L3170" s="879" t="s">
        <v>1239</v>
      </c>
      <c r="M3170" s="881" t="s">
        <v>115</v>
      </c>
      <c r="N3170" s="883">
        <v>140000</v>
      </c>
      <c r="O3170" s="55">
        <v>719</v>
      </c>
      <c r="P3170" s="78">
        <v>140000</v>
      </c>
    </row>
    <row r="3171" spans="9:16" ht="14.25" customHeight="1" thickBot="1">
      <c r="I3171" s="882"/>
      <c r="J3171" s="876"/>
      <c r="K3171" s="878"/>
      <c r="L3171" s="880"/>
      <c r="M3171" s="882"/>
      <c r="N3171" s="884"/>
      <c r="O3171" s="56">
        <v>721</v>
      </c>
      <c r="P3171" s="79">
        <f>+N3170-P3170</f>
        <v>0</v>
      </c>
    </row>
    <row r="3172" spans="9:16" ht="12.75" customHeight="1">
      <c r="I3172" s="881">
        <v>341</v>
      </c>
      <c r="J3172" s="875">
        <v>42712</v>
      </c>
      <c r="K3172" s="877" t="s">
        <v>28</v>
      </c>
      <c r="L3172" s="879" t="s">
        <v>1239</v>
      </c>
      <c r="M3172" s="881" t="s">
        <v>115</v>
      </c>
      <c r="N3172" s="883">
        <v>60000</v>
      </c>
      <c r="O3172" s="55">
        <v>719</v>
      </c>
      <c r="P3172" s="78">
        <v>60000</v>
      </c>
    </row>
    <row r="3173" spans="9:16" ht="13.5" customHeight="1" thickBot="1">
      <c r="I3173" s="882"/>
      <c r="J3173" s="876"/>
      <c r="K3173" s="878"/>
      <c r="L3173" s="880"/>
      <c r="M3173" s="882"/>
      <c r="N3173" s="884"/>
      <c r="O3173" s="56">
        <v>721</v>
      </c>
      <c r="P3173" s="79">
        <f>+N3172-P3172</f>
        <v>0</v>
      </c>
    </row>
    <row r="3174" spans="9:16" ht="13.5" customHeight="1">
      <c r="I3174" s="881">
        <v>342</v>
      </c>
      <c r="J3174" s="875">
        <v>42712</v>
      </c>
      <c r="K3174" s="877" t="s">
        <v>1174</v>
      </c>
      <c r="L3174" s="879" t="s">
        <v>1240</v>
      </c>
      <c r="M3174" s="881" t="s">
        <v>148</v>
      </c>
      <c r="N3174" s="883">
        <v>6287553</v>
      </c>
      <c r="O3174" s="55">
        <v>719</v>
      </c>
      <c r="P3174" s="78"/>
    </row>
    <row r="3175" spans="9:16" ht="15.75" customHeight="1" thickBot="1">
      <c r="I3175" s="882"/>
      <c r="J3175" s="876"/>
      <c r="K3175" s="878"/>
      <c r="L3175" s="880"/>
      <c r="M3175" s="882"/>
      <c r="N3175" s="884"/>
      <c r="O3175" s="56">
        <v>723</v>
      </c>
      <c r="P3175" s="79">
        <f>+N3174-P3174</f>
        <v>6287553</v>
      </c>
    </row>
    <row r="3176" spans="9:16" ht="14.25" customHeight="1">
      <c r="I3176" s="881">
        <v>343</v>
      </c>
      <c r="J3176" s="875">
        <v>42712</v>
      </c>
      <c r="K3176" s="877" t="s">
        <v>738</v>
      </c>
      <c r="L3176" s="879" t="s">
        <v>1244</v>
      </c>
      <c r="M3176" s="881" t="s">
        <v>148</v>
      </c>
      <c r="N3176" s="883">
        <v>5345430</v>
      </c>
      <c r="O3176" s="55">
        <v>719</v>
      </c>
      <c r="P3176" s="78">
        <v>0</v>
      </c>
    </row>
    <row r="3177" spans="9:16" ht="14.25" customHeight="1" thickBot="1">
      <c r="I3177" s="882"/>
      <c r="J3177" s="876"/>
      <c r="K3177" s="878"/>
      <c r="L3177" s="880"/>
      <c r="M3177" s="882"/>
      <c r="N3177" s="884"/>
      <c r="O3177" s="56">
        <v>721</v>
      </c>
      <c r="P3177" s="351">
        <f>+N3176-P3176</f>
        <v>5345430</v>
      </c>
    </row>
    <row r="3178" spans="9:16" ht="13.5" customHeight="1">
      <c r="I3178" s="881">
        <v>344</v>
      </c>
      <c r="J3178" s="875">
        <v>42712</v>
      </c>
      <c r="K3178" s="877" t="s">
        <v>738</v>
      </c>
      <c r="L3178" s="879" t="s">
        <v>1245</v>
      </c>
      <c r="M3178" s="881" t="s">
        <v>148</v>
      </c>
      <c r="N3178" s="883">
        <v>64517844</v>
      </c>
      <c r="O3178" s="55">
        <v>719</v>
      </c>
      <c r="P3178" s="78">
        <v>0</v>
      </c>
    </row>
    <row r="3179" spans="9:16" ht="13.5" customHeight="1" thickBot="1">
      <c r="I3179" s="882"/>
      <c r="J3179" s="876"/>
      <c r="K3179" s="878"/>
      <c r="L3179" s="880"/>
      <c r="M3179" s="882"/>
      <c r="N3179" s="884"/>
      <c r="O3179" s="56">
        <v>721</v>
      </c>
      <c r="P3179" s="351">
        <f>+N3178-P3178</f>
        <v>64517844</v>
      </c>
    </row>
    <row r="3180" spans="9:16" ht="16.5" thickBot="1">
      <c r="I3180" s="901" t="s">
        <v>102</v>
      </c>
      <c r="J3180" s="902"/>
      <c r="K3180" s="902"/>
      <c r="L3180" s="902"/>
      <c r="M3180" s="903"/>
      <c r="N3180" s="81">
        <f>SUM(N3168:N3179)</f>
        <v>76430827</v>
      </c>
    </row>
    <row r="3181" spans="9:16" ht="16.5" thickBot="1">
      <c r="I3181" s="885" t="s">
        <v>103</v>
      </c>
      <c r="J3181" s="886"/>
      <c r="K3181" s="886"/>
      <c r="L3181" s="886"/>
      <c r="M3181" s="887"/>
      <c r="N3181" s="69">
        <f>+N3143</f>
        <v>586048457</v>
      </c>
      <c r="O3181" s="241" t="s">
        <v>561</v>
      </c>
      <c r="P3181" s="242">
        <f>95+174+227</f>
        <v>496</v>
      </c>
    </row>
    <row r="3182" spans="9:16" ht="16.5" thickBot="1">
      <c r="I3182" s="888" t="s">
        <v>104</v>
      </c>
      <c r="J3182" s="889"/>
      <c r="K3182" s="889"/>
      <c r="L3182" s="889"/>
      <c r="M3182" s="890"/>
      <c r="N3182" s="183">
        <f>SUM(N3180:N3181)</f>
        <v>662479284</v>
      </c>
    </row>
    <row r="3183" spans="9:16" ht="13.5" customHeight="1">
      <c r="I3183" s="61"/>
      <c r="J3183" s="61"/>
      <c r="K3183" s="61"/>
      <c r="L3183" s="61"/>
      <c r="M3183" s="61"/>
    </row>
    <row r="3184" spans="9:16">
      <c r="I3184" s="51" t="s">
        <v>1246</v>
      </c>
    </row>
    <row r="3185" spans="9:15" ht="11.25" customHeight="1">
      <c r="N3185" s="139"/>
    </row>
    <row r="3186" spans="9:15">
      <c r="I3186" s="50" t="s">
        <v>105</v>
      </c>
      <c r="L3186" s="146"/>
      <c r="N3186" s="139"/>
    </row>
    <row r="3187" spans="9:15" ht="11.25" customHeight="1" thickBot="1"/>
    <row r="3188" spans="9:15" ht="15.75" thickBot="1">
      <c r="I3188" s="891" t="s">
        <v>106</v>
      </c>
      <c r="J3188" s="892"/>
      <c r="K3188" s="892"/>
      <c r="L3188" s="893"/>
      <c r="N3188" s="50" t="s">
        <v>1126</v>
      </c>
    </row>
    <row r="3189" spans="9:15" ht="30.75" thickBot="1">
      <c r="I3189" s="57" t="s">
        <v>100</v>
      </c>
      <c r="J3189" s="58" t="s">
        <v>108</v>
      </c>
      <c r="K3189" s="287" t="s">
        <v>109</v>
      </c>
      <c r="L3189" s="60" t="s">
        <v>110</v>
      </c>
    </row>
    <row r="3190" spans="9:15">
      <c r="I3190" s="71">
        <v>719</v>
      </c>
      <c r="J3190" s="73">
        <f>+P3168+P3172+P3174+P3170</f>
        <v>280000</v>
      </c>
      <c r="K3190" s="74">
        <f>+L3151</f>
        <v>57830000</v>
      </c>
      <c r="L3190" s="195">
        <f>+J3190+K3190</f>
        <v>58110000</v>
      </c>
    </row>
    <row r="3191" spans="9:15">
      <c r="I3191" s="72">
        <v>721</v>
      </c>
      <c r="J3191" s="80">
        <f>+P3179</f>
        <v>64517844</v>
      </c>
      <c r="K3191" s="74">
        <f>+L3152</f>
        <v>171631046</v>
      </c>
      <c r="L3191" s="195">
        <f>+J3191+K3191</f>
        <v>236148890</v>
      </c>
    </row>
    <row r="3192" spans="9:15" ht="13.5" customHeight="1">
      <c r="I3192" s="72">
        <v>722</v>
      </c>
      <c r="J3192" s="80"/>
      <c r="K3192" s="74">
        <f>+L3153</f>
        <v>48461706</v>
      </c>
      <c r="L3192" s="195">
        <f>+J3192+K3192</f>
        <v>48461706</v>
      </c>
    </row>
    <row r="3193" spans="9:15" ht="14.25" customHeight="1">
      <c r="I3193" s="72">
        <v>723</v>
      </c>
      <c r="J3193" s="80">
        <f>+P3175+P3177</f>
        <v>11632983</v>
      </c>
      <c r="K3193" s="74">
        <f>+L3154</f>
        <v>307258205</v>
      </c>
      <c r="L3193" s="195">
        <f>+J3193+K3193</f>
        <v>318891188</v>
      </c>
      <c r="M3193" s="139"/>
      <c r="N3193" s="193" t="s">
        <v>1125</v>
      </c>
      <c r="O3193" s="175"/>
    </row>
    <row r="3194" spans="9:15" ht="15" customHeight="1" thickBot="1">
      <c r="I3194" s="164" t="s">
        <v>1077</v>
      </c>
      <c r="J3194" s="165"/>
      <c r="K3194" s="74">
        <f>+L3155</f>
        <v>797500</v>
      </c>
      <c r="L3194" s="196">
        <f>+J3194+K3194</f>
        <v>797500</v>
      </c>
      <c r="N3194" s="52"/>
    </row>
    <row r="3195" spans="9:15" ht="16.5" thickBot="1">
      <c r="I3195" s="169"/>
      <c r="J3195" s="197">
        <f>SUM(J3190:J3194)</f>
        <v>76430827</v>
      </c>
      <c r="K3195" s="197">
        <f>SUM(K3190:K3194)</f>
        <v>585978457</v>
      </c>
      <c r="L3195" s="198">
        <f>SUM(L3190:L3194)</f>
        <v>662409284</v>
      </c>
    </row>
    <row r="3196" spans="9:15" ht="16.5">
      <c r="I3196" s="49" t="s">
        <v>88</v>
      </c>
      <c r="J3196" s="50"/>
    </row>
    <row r="3197" spans="9:15">
      <c r="I3197" s="51" t="s">
        <v>89</v>
      </c>
    </row>
    <row r="3198" spans="9:15">
      <c r="I3198" s="51" t="s">
        <v>90</v>
      </c>
    </row>
    <row r="3199" spans="9:15">
      <c r="I3199" s="51" t="s">
        <v>91</v>
      </c>
    </row>
    <row r="3200" spans="9:15" ht="17.25" customHeight="1">
      <c r="I3200" s="50"/>
      <c r="J3200" s="50"/>
    </row>
    <row r="3201" spans="9:18" ht="15.75">
      <c r="I3201" s="260" t="s">
        <v>1242</v>
      </c>
      <c r="O3201" s="52"/>
    </row>
    <row r="3202" spans="9:18" ht="18" customHeight="1">
      <c r="I3202" s="53" t="s">
        <v>535</v>
      </c>
      <c r="O3202" s="53"/>
    </row>
    <row r="3203" spans="9:18" ht="16.5">
      <c r="I3203" s="894" t="s">
        <v>1278</v>
      </c>
      <c r="J3203" s="894"/>
      <c r="K3203" s="894"/>
      <c r="L3203" s="894"/>
      <c r="M3203" s="894"/>
      <c r="N3203" s="894"/>
      <c r="O3203" s="894"/>
      <c r="P3203" s="894"/>
    </row>
    <row r="3204" spans="9:18" ht="15.75" thickBot="1"/>
    <row r="3205" spans="9:18">
      <c r="I3205" s="895" t="s">
        <v>94</v>
      </c>
      <c r="J3205" s="897" t="s">
        <v>95</v>
      </c>
      <c r="K3205" s="897" t="s">
        <v>96</v>
      </c>
      <c r="L3205" s="897" t="s">
        <v>3</v>
      </c>
      <c r="M3205" s="897" t="s">
        <v>97</v>
      </c>
      <c r="N3205" s="897" t="s">
        <v>98</v>
      </c>
      <c r="O3205" s="897" t="s">
        <v>99</v>
      </c>
      <c r="P3205" s="899"/>
    </row>
    <row r="3206" spans="9:18" ht="15.75" thickBot="1">
      <c r="I3206" s="896"/>
      <c r="J3206" s="898"/>
      <c r="K3206" s="898"/>
      <c r="L3206" s="898"/>
      <c r="M3206" s="898"/>
      <c r="N3206" s="898"/>
      <c r="O3206" s="240" t="s">
        <v>100</v>
      </c>
      <c r="P3206" s="182" t="s">
        <v>101</v>
      </c>
    </row>
    <row r="3207" spans="9:18">
      <c r="I3207" s="881">
        <v>345</v>
      </c>
      <c r="J3207" s="875">
        <v>42725</v>
      </c>
      <c r="K3207" s="877" t="s">
        <v>1014</v>
      </c>
      <c r="L3207" s="879" t="s">
        <v>1260</v>
      </c>
      <c r="M3207" s="881" t="s">
        <v>115</v>
      </c>
      <c r="N3207" s="883">
        <v>160000</v>
      </c>
      <c r="O3207" s="55">
        <v>719</v>
      </c>
      <c r="P3207" s="78">
        <v>160000</v>
      </c>
    </row>
    <row r="3208" spans="9:18" ht="15.75" thickBot="1">
      <c r="I3208" s="882"/>
      <c r="J3208" s="876"/>
      <c r="K3208" s="878"/>
      <c r="L3208" s="880"/>
      <c r="M3208" s="882"/>
      <c r="N3208" s="884"/>
      <c r="O3208" s="56">
        <v>721</v>
      </c>
      <c r="P3208" s="351">
        <f>+N3207-P3207</f>
        <v>0</v>
      </c>
    </row>
    <row r="3209" spans="9:18" ht="15" customHeight="1">
      <c r="I3209" s="881">
        <f>+I3207+1</f>
        <v>346</v>
      </c>
      <c r="J3209" s="875">
        <v>42725</v>
      </c>
      <c r="K3209" s="877" t="s">
        <v>28</v>
      </c>
      <c r="L3209" s="879" t="s">
        <v>1276</v>
      </c>
      <c r="M3209" s="881" t="s">
        <v>115</v>
      </c>
      <c r="N3209" s="883">
        <v>60000</v>
      </c>
      <c r="O3209" s="55">
        <v>722</v>
      </c>
      <c r="P3209" s="78">
        <v>60000</v>
      </c>
    </row>
    <row r="3210" spans="9:18" ht="15.75" customHeight="1" thickBot="1">
      <c r="I3210" s="882"/>
      <c r="J3210" s="876"/>
      <c r="K3210" s="878"/>
      <c r="L3210" s="880"/>
      <c r="M3210" s="882"/>
      <c r="N3210" s="884"/>
      <c r="O3210" s="56">
        <v>721</v>
      </c>
      <c r="P3210" s="352">
        <f>+N3209-P3209</f>
        <v>0</v>
      </c>
    </row>
    <row r="3211" spans="9:18" ht="15" customHeight="1">
      <c r="I3211" s="881">
        <f>+I3209+1</f>
        <v>347</v>
      </c>
      <c r="J3211" s="875">
        <v>42725</v>
      </c>
      <c r="K3211" s="877" t="s">
        <v>120</v>
      </c>
      <c r="L3211" s="879" t="s">
        <v>1276</v>
      </c>
      <c r="M3211" s="881" t="s">
        <v>115</v>
      </c>
      <c r="N3211" s="883">
        <v>140000</v>
      </c>
      <c r="O3211" s="55">
        <v>722</v>
      </c>
      <c r="P3211" s="78">
        <v>140000</v>
      </c>
      <c r="R3211" s="875"/>
    </row>
    <row r="3212" spans="9:18" ht="15.75" customHeight="1" thickBot="1">
      <c r="I3212" s="882"/>
      <c r="J3212" s="876"/>
      <c r="K3212" s="878"/>
      <c r="L3212" s="880"/>
      <c r="M3212" s="882"/>
      <c r="N3212" s="884"/>
      <c r="O3212" s="56">
        <v>721</v>
      </c>
      <c r="P3212" s="352">
        <f>+N3211-P3211</f>
        <v>0</v>
      </c>
      <c r="R3212" s="876"/>
    </row>
    <row r="3213" spans="9:18" ht="15" customHeight="1">
      <c r="I3213" s="881"/>
      <c r="J3213" s="875"/>
      <c r="K3213" s="877"/>
      <c r="L3213" s="879"/>
      <c r="M3213" s="881"/>
      <c r="N3213" s="883"/>
      <c r="O3213" s="55">
        <v>722</v>
      </c>
      <c r="P3213" s="78"/>
    </row>
    <row r="3214" spans="9:18" ht="15.75" customHeight="1" thickBot="1">
      <c r="I3214" s="882"/>
      <c r="J3214" s="876"/>
      <c r="K3214" s="878"/>
      <c r="L3214" s="880"/>
      <c r="M3214" s="882"/>
      <c r="N3214" s="884"/>
      <c r="O3214" s="56">
        <v>721</v>
      </c>
      <c r="P3214" s="79">
        <f>+N3213-P3213</f>
        <v>0</v>
      </c>
    </row>
    <row r="3215" spans="9:18" ht="16.5" thickBot="1">
      <c r="I3215" s="901" t="s">
        <v>102</v>
      </c>
      <c r="J3215" s="902"/>
      <c r="K3215" s="902"/>
      <c r="L3215" s="902"/>
      <c r="M3215" s="903"/>
      <c r="N3215" s="81">
        <f>SUM(N3207:N3214)</f>
        <v>360000</v>
      </c>
    </row>
    <row r="3216" spans="9:18" ht="16.5" thickBot="1">
      <c r="I3216" s="885" t="s">
        <v>103</v>
      </c>
      <c r="J3216" s="886"/>
      <c r="K3216" s="886"/>
      <c r="L3216" s="886"/>
      <c r="M3216" s="887"/>
      <c r="N3216" s="69">
        <f>+N3182</f>
        <v>662479284</v>
      </c>
      <c r="O3216" s="241" t="s">
        <v>561</v>
      </c>
      <c r="P3216" s="242">
        <f>108+107+310</f>
        <v>525</v>
      </c>
    </row>
    <row r="3217" spans="9:15" ht="16.5" thickBot="1">
      <c r="I3217" s="888" t="s">
        <v>104</v>
      </c>
      <c r="J3217" s="889"/>
      <c r="K3217" s="889"/>
      <c r="L3217" s="889"/>
      <c r="M3217" s="890"/>
      <c r="N3217" s="183">
        <f>SUM(N3215:N3216)</f>
        <v>662839284</v>
      </c>
    </row>
    <row r="3218" spans="9:15">
      <c r="I3218" s="61"/>
      <c r="J3218" s="61"/>
      <c r="K3218" s="61"/>
      <c r="L3218" s="61"/>
      <c r="M3218" s="61"/>
    </row>
    <row r="3219" spans="9:15">
      <c r="I3219" s="51" t="s">
        <v>1261</v>
      </c>
    </row>
    <row r="3220" spans="9:15" ht="19.5" customHeight="1">
      <c r="N3220" s="139"/>
    </row>
    <row r="3221" spans="9:15">
      <c r="I3221" s="50" t="s">
        <v>105</v>
      </c>
      <c r="L3221" s="146"/>
      <c r="N3221" s="139"/>
    </row>
    <row r="3222" spans="9:15" ht="15.75" thickBot="1"/>
    <row r="3223" spans="9:15" ht="15.75" thickBot="1">
      <c r="I3223" s="891" t="s">
        <v>106</v>
      </c>
      <c r="J3223" s="892"/>
      <c r="K3223" s="892"/>
      <c r="L3223" s="893"/>
      <c r="N3223" s="50" t="s">
        <v>288</v>
      </c>
    </row>
    <row r="3224" spans="9:15" ht="30.75" thickBot="1">
      <c r="I3224" s="57" t="s">
        <v>100</v>
      </c>
      <c r="J3224" s="58" t="s">
        <v>108</v>
      </c>
      <c r="K3224" s="287" t="s">
        <v>109</v>
      </c>
      <c r="L3224" s="60" t="s">
        <v>110</v>
      </c>
    </row>
    <row r="3225" spans="9:15">
      <c r="I3225" s="71">
        <v>719</v>
      </c>
      <c r="J3225" s="73">
        <f>+P3207+P3209+P3211+P3213</f>
        <v>360000</v>
      </c>
      <c r="K3225" s="74">
        <f>+L3190</f>
        <v>58110000</v>
      </c>
      <c r="L3225" s="195">
        <f>+J3225+K3225</f>
        <v>58470000</v>
      </c>
    </row>
    <row r="3226" spans="9:15">
      <c r="I3226" s="72">
        <v>721</v>
      </c>
      <c r="J3226" s="80"/>
      <c r="K3226" s="74">
        <f>+L3191</f>
        <v>236148890</v>
      </c>
      <c r="L3226" s="195">
        <f>+J3226+K3226</f>
        <v>236148890</v>
      </c>
    </row>
    <row r="3227" spans="9:15">
      <c r="I3227" s="72">
        <v>722</v>
      </c>
      <c r="J3227" s="80"/>
      <c r="K3227" s="74">
        <f>+L3192</f>
        <v>48461706</v>
      </c>
      <c r="L3227" s="195">
        <f>+J3227+K3227</f>
        <v>48461706</v>
      </c>
    </row>
    <row r="3228" spans="9:15" ht="15.75">
      <c r="I3228" s="72">
        <v>723</v>
      </c>
      <c r="J3228" s="80"/>
      <c r="K3228" s="74">
        <f>+L3193</f>
        <v>318891188</v>
      </c>
      <c r="L3228" s="195">
        <f>+J3228+K3228</f>
        <v>318891188</v>
      </c>
      <c r="N3228" s="193" t="s">
        <v>289</v>
      </c>
      <c r="O3228" s="175"/>
    </row>
    <row r="3229" spans="9:15" ht="16.5" thickBot="1">
      <c r="I3229" s="164" t="s">
        <v>1077</v>
      </c>
      <c r="J3229" s="165"/>
      <c r="K3229" s="74">
        <f>+L3194</f>
        <v>797500</v>
      </c>
      <c r="L3229" s="196">
        <f>+J3229+K3229</f>
        <v>797500</v>
      </c>
      <c r="N3229" s="52"/>
    </row>
    <row r="3230" spans="9:15" ht="16.5" thickBot="1">
      <c r="I3230" s="169"/>
      <c r="J3230" s="197">
        <f>SUM(J3225:J3229)</f>
        <v>360000</v>
      </c>
      <c r="K3230" s="197">
        <f>SUM(K3225:K3229)</f>
        <v>662409284</v>
      </c>
      <c r="L3230" s="198">
        <f>SUM(L3225:L3229)</f>
        <v>662769284</v>
      </c>
    </row>
    <row r="3231" spans="9:15" ht="16.5">
      <c r="I3231" s="49" t="s">
        <v>88</v>
      </c>
      <c r="J3231" s="50"/>
    </row>
    <row r="3232" spans="9:15">
      <c r="I3232" s="51" t="s">
        <v>89</v>
      </c>
    </row>
    <row r="3233" spans="9:16">
      <c r="I3233" s="51" t="s">
        <v>90</v>
      </c>
    </row>
    <row r="3234" spans="9:16">
      <c r="I3234" s="51" t="s">
        <v>91</v>
      </c>
    </row>
    <row r="3235" spans="9:16" ht="14.25" customHeight="1">
      <c r="I3235" s="50"/>
      <c r="J3235" s="50"/>
    </row>
    <row r="3236" spans="9:16" ht="15.75">
      <c r="I3236" s="260" t="s">
        <v>1264</v>
      </c>
      <c r="O3236" s="52"/>
    </row>
    <row r="3237" spans="9:16" ht="15.75">
      <c r="I3237" s="53" t="s">
        <v>535</v>
      </c>
      <c r="O3237" s="53"/>
    </row>
    <row r="3238" spans="9:16" ht="16.5">
      <c r="I3238" s="894" t="s">
        <v>1278</v>
      </c>
      <c r="J3238" s="894"/>
      <c r="K3238" s="894"/>
      <c r="L3238" s="894"/>
      <c r="M3238" s="894"/>
      <c r="N3238" s="894"/>
      <c r="O3238" s="894"/>
      <c r="P3238" s="894"/>
    </row>
    <row r="3239" spans="9:16" ht="15.75" thickBot="1"/>
    <row r="3240" spans="9:16">
      <c r="I3240" s="895" t="s">
        <v>94</v>
      </c>
      <c r="J3240" s="897" t="s">
        <v>95</v>
      </c>
      <c r="K3240" s="897" t="s">
        <v>96</v>
      </c>
      <c r="L3240" s="897" t="s">
        <v>3</v>
      </c>
      <c r="M3240" s="897" t="s">
        <v>97</v>
      </c>
      <c r="N3240" s="897" t="s">
        <v>98</v>
      </c>
      <c r="O3240" s="897" t="s">
        <v>99</v>
      </c>
      <c r="P3240" s="899"/>
    </row>
    <row r="3241" spans="9:16" ht="15.75" thickBot="1">
      <c r="I3241" s="896"/>
      <c r="J3241" s="898"/>
      <c r="K3241" s="898"/>
      <c r="L3241" s="898"/>
      <c r="M3241" s="898"/>
      <c r="N3241" s="898"/>
      <c r="O3241" s="240" t="s">
        <v>100</v>
      </c>
      <c r="P3241" s="182" t="s">
        <v>101</v>
      </c>
    </row>
    <row r="3242" spans="9:16">
      <c r="I3242" s="881">
        <v>348</v>
      </c>
      <c r="J3242" s="875">
        <v>42725</v>
      </c>
      <c r="K3242" s="877" t="s">
        <v>1014</v>
      </c>
      <c r="L3242" s="879" t="s">
        <v>1263</v>
      </c>
      <c r="M3242" s="881" t="s">
        <v>115</v>
      </c>
      <c r="N3242" s="883">
        <v>140000</v>
      </c>
      <c r="O3242" s="55">
        <v>719</v>
      </c>
      <c r="P3242" s="78">
        <v>140000</v>
      </c>
    </row>
    <row r="3243" spans="9:16" ht="15.75" thickBot="1">
      <c r="I3243" s="882"/>
      <c r="J3243" s="876"/>
      <c r="K3243" s="878"/>
      <c r="L3243" s="880"/>
      <c r="M3243" s="882"/>
      <c r="N3243" s="884"/>
      <c r="O3243" s="56">
        <v>721</v>
      </c>
      <c r="P3243" s="351">
        <f>+N3242-P3242</f>
        <v>0</v>
      </c>
    </row>
    <row r="3244" spans="9:16">
      <c r="I3244" s="881">
        <f>+I3242+1</f>
        <v>349</v>
      </c>
      <c r="J3244" s="875">
        <v>42725</v>
      </c>
      <c r="K3244" s="877" t="s">
        <v>28</v>
      </c>
      <c r="L3244" s="879" t="s">
        <v>1266</v>
      </c>
      <c r="M3244" s="881" t="s">
        <v>115</v>
      </c>
      <c r="N3244" s="883">
        <v>50000</v>
      </c>
      <c r="O3244" s="55">
        <v>722</v>
      </c>
      <c r="P3244" s="78">
        <v>50000</v>
      </c>
    </row>
    <row r="3245" spans="9:16" ht="15.75" thickBot="1">
      <c r="I3245" s="882"/>
      <c r="J3245" s="876"/>
      <c r="K3245" s="878"/>
      <c r="L3245" s="880"/>
      <c r="M3245" s="882"/>
      <c r="N3245" s="884"/>
      <c r="O3245" s="56">
        <v>721</v>
      </c>
      <c r="P3245" s="352"/>
    </row>
    <row r="3246" spans="9:16">
      <c r="I3246" s="881">
        <f>+I3244+1</f>
        <v>350</v>
      </c>
      <c r="J3246" s="875">
        <v>42725</v>
      </c>
      <c r="K3246" s="877" t="s">
        <v>120</v>
      </c>
      <c r="L3246" s="879" t="s">
        <v>1262</v>
      </c>
      <c r="M3246" s="881" t="s">
        <v>115</v>
      </c>
      <c r="N3246" s="883">
        <v>140000</v>
      </c>
      <c r="O3246" s="55">
        <v>722</v>
      </c>
      <c r="P3246" s="78">
        <v>140000</v>
      </c>
    </row>
    <row r="3247" spans="9:16" ht="15.75" thickBot="1">
      <c r="I3247" s="882"/>
      <c r="J3247" s="876"/>
      <c r="K3247" s="878"/>
      <c r="L3247" s="880"/>
      <c r="M3247" s="882"/>
      <c r="N3247" s="884"/>
      <c r="O3247" s="56">
        <v>721</v>
      </c>
      <c r="P3247" s="352">
        <f>+N3246-P3246</f>
        <v>0</v>
      </c>
    </row>
    <row r="3248" spans="9:16">
      <c r="I3248" s="881"/>
      <c r="J3248" s="875"/>
      <c r="K3248" s="877"/>
      <c r="L3248" s="879"/>
      <c r="M3248" s="881"/>
      <c r="N3248" s="883"/>
      <c r="O3248" s="55">
        <v>722</v>
      </c>
      <c r="P3248" s="78"/>
    </row>
    <row r="3249" spans="9:16" ht="15.75" thickBot="1">
      <c r="I3249" s="882"/>
      <c r="J3249" s="876"/>
      <c r="K3249" s="878"/>
      <c r="L3249" s="880"/>
      <c r="M3249" s="882"/>
      <c r="N3249" s="884"/>
      <c r="O3249" s="56">
        <v>721</v>
      </c>
      <c r="P3249" s="79">
        <f>+N3248-P3248</f>
        <v>0</v>
      </c>
    </row>
    <row r="3250" spans="9:16" ht="16.5" thickBot="1">
      <c r="I3250" s="901" t="s">
        <v>102</v>
      </c>
      <c r="J3250" s="902"/>
      <c r="K3250" s="902"/>
      <c r="L3250" s="902"/>
      <c r="M3250" s="903"/>
      <c r="N3250" s="81">
        <f>SUM(N3242:N3249)</f>
        <v>330000</v>
      </c>
    </row>
    <row r="3251" spans="9:16" ht="16.5" thickBot="1">
      <c r="I3251" s="885" t="s">
        <v>103</v>
      </c>
      <c r="J3251" s="886"/>
      <c r="K3251" s="886"/>
      <c r="L3251" s="886"/>
      <c r="M3251" s="887"/>
      <c r="N3251" s="69">
        <f>+N3217</f>
        <v>662839284</v>
      </c>
      <c r="O3251" s="241" t="s">
        <v>561</v>
      </c>
      <c r="P3251" s="242">
        <f>404+83+122</f>
        <v>609</v>
      </c>
    </row>
    <row r="3252" spans="9:16" ht="16.5" thickBot="1">
      <c r="I3252" s="888" t="s">
        <v>104</v>
      </c>
      <c r="J3252" s="889"/>
      <c r="K3252" s="889"/>
      <c r="L3252" s="889"/>
      <c r="M3252" s="890"/>
      <c r="N3252" s="183">
        <f>SUM(N3250:N3251)</f>
        <v>663169284</v>
      </c>
    </row>
    <row r="3253" spans="9:16">
      <c r="I3253" s="61"/>
      <c r="J3253" s="61"/>
      <c r="K3253" s="61"/>
      <c r="L3253" s="61"/>
      <c r="M3253" s="61"/>
    </row>
    <row r="3254" spans="9:16">
      <c r="I3254" s="51" t="s">
        <v>1265</v>
      </c>
    </row>
    <row r="3255" spans="9:16">
      <c r="N3255" s="139"/>
    </row>
    <row r="3256" spans="9:16">
      <c r="I3256" s="50" t="s">
        <v>105</v>
      </c>
      <c r="L3256" s="146"/>
      <c r="N3256" s="139"/>
    </row>
    <row r="3257" spans="9:16" ht="15.75" thickBot="1"/>
    <row r="3258" spans="9:16" ht="15.75" thickBot="1">
      <c r="I3258" s="891" t="s">
        <v>106</v>
      </c>
      <c r="J3258" s="892"/>
      <c r="K3258" s="892"/>
      <c r="L3258" s="893"/>
      <c r="N3258" s="50" t="s">
        <v>288</v>
      </c>
    </row>
    <row r="3259" spans="9:16" ht="30.75" thickBot="1">
      <c r="I3259" s="57" t="s">
        <v>100</v>
      </c>
      <c r="J3259" s="58" t="s">
        <v>108</v>
      </c>
      <c r="K3259" s="287" t="s">
        <v>109</v>
      </c>
      <c r="L3259" s="60" t="s">
        <v>110</v>
      </c>
    </row>
    <row r="3260" spans="9:16">
      <c r="I3260" s="71">
        <v>719</v>
      </c>
      <c r="J3260" s="73">
        <f>+P3242+P3244+P3246+P3248</f>
        <v>330000</v>
      </c>
      <c r="K3260" s="74">
        <f>+L3225</f>
        <v>58470000</v>
      </c>
      <c r="L3260" s="195">
        <f>+J3260+K3260</f>
        <v>58800000</v>
      </c>
    </row>
    <row r="3261" spans="9:16">
      <c r="I3261" s="72">
        <v>721</v>
      </c>
      <c r="J3261" s="80"/>
      <c r="K3261" s="74">
        <f>+L3226</f>
        <v>236148890</v>
      </c>
      <c r="L3261" s="195">
        <f>+J3261+K3261</f>
        <v>236148890</v>
      </c>
    </row>
    <row r="3262" spans="9:16">
      <c r="I3262" s="72">
        <v>722</v>
      </c>
      <c r="J3262" s="80"/>
      <c r="K3262" s="74">
        <f>+L3227</f>
        <v>48461706</v>
      </c>
      <c r="L3262" s="195">
        <f>+J3262+K3262</f>
        <v>48461706</v>
      </c>
    </row>
    <row r="3263" spans="9:16" ht="15.75">
      <c r="I3263" s="72">
        <v>723</v>
      </c>
      <c r="J3263" s="80"/>
      <c r="K3263" s="74">
        <f>+L3228</f>
        <v>318891188</v>
      </c>
      <c r="L3263" s="195">
        <f>+J3263+K3263</f>
        <v>318891188</v>
      </c>
      <c r="N3263" s="193" t="s">
        <v>289</v>
      </c>
      <c r="O3263" s="175"/>
    </row>
    <row r="3264" spans="9:16" ht="16.5" thickBot="1">
      <c r="I3264" s="164" t="s">
        <v>1077</v>
      </c>
      <c r="J3264" s="165"/>
      <c r="K3264" s="74">
        <f>+L3229</f>
        <v>797500</v>
      </c>
      <c r="L3264" s="196">
        <f>+J3264+K3264</f>
        <v>797500</v>
      </c>
      <c r="N3264" s="52"/>
    </row>
    <row r="3265" spans="9:16" ht="16.5" thickBot="1">
      <c r="I3265" s="169"/>
      <c r="J3265" s="197">
        <f>SUM(J3260:J3264)</f>
        <v>330000</v>
      </c>
      <c r="K3265" s="197">
        <f>SUM(K3260:K3264)</f>
        <v>662769284</v>
      </c>
      <c r="L3265" s="198">
        <f>SUM(L3260:L3264)</f>
        <v>663099284</v>
      </c>
    </row>
    <row r="3267" spans="9:16" ht="16.5">
      <c r="I3267" s="49" t="s">
        <v>88</v>
      </c>
      <c r="J3267" s="50"/>
    </row>
    <row r="3268" spans="9:16">
      <c r="I3268" s="51" t="s">
        <v>89</v>
      </c>
    </row>
    <row r="3269" spans="9:16">
      <c r="I3269" s="51" t="s">
        <v>90</v>
      </c>
    </row>
    <row r="3270" spans="9:16">
      <c r="I3270" s="51" t="s">
        <v>91</v>
      </c>
    </row>
    <row r="3271" spans="9:16">
      <c r="I3271" s="50"/>
      <c r="J3271" s="50"/>
    </row>
    <row r="3272" spans="9:16" ht="15.75">
      <c r="I3272" s="260" t="s">
        <v>1272</v>
      </c>
      <c r="O3272" s="52"/>
    </row>
    <row r="3273" spans="9:16" ht="15.75">
      <c r="I3273" s="53" t="s">
        <v>535</v>
      </c>
      <c r="O3273" s="53"/>
    </row>
    <row r="3274" spans="9:16" ht="16.5">
      <c r="I3274" s="894" t="s">
        <v>1277</v>
      </c>
      <c r="J3274" s="894"/>
      <c r="K3274" s="894"/>
      <c r="L3274" s="894"/>
      <c r="M3274" s="894"/>
      <c r="N3274" s="894"/>
      <c r="O3274" s="894"/>
      <c r="P3274" s="894"/>
    </row>
    <row r="3275" spans="9:16" ht="15.75" thickBot="1"/>
    <row r="3276" spans="9:16">
      <c r="I3276" s="895" t="s">
        <v>94</v>
      </c>
      <c r="J3276" s="897" t="s">
        <v>95</v>
      </c>
      <c r="K3276" s="897" t="s">
        <v>96</v>
      </c>
      <c r="L3276" s="897" t="s">
        <v>3</v>
      </c>
      <c r="M3276" s="897" t="s">
        <v>97</v>
      </c>
      <c r="N3276" s="897" t="s">
        <v>98</v>
      </c>
      <c r="O3276" s="897" t="s">
        <v>99</v>
      </c>
      <c r="P3276" s="899"/>
    </row>
    <row r="3277" spans="9:16" ht="15.75" thickBot="1">
      <c r="I3277" s="896"/>
      <c r="J3277" s="898"/>
      <c r="K3277" s="898"/>
      <c r="L3277" s="898"/>
      <c r="M3277" s="898"/>
      <c r="N3277" s="898"/>
      <c r="O3277" s="240" t="s">
        <v>100</v>
      </c>
      <c r="P3277" s="182" t="s">
        <v>101</v>
      </c>
    </row>
    <row r="3278" spans="9:16" ht="15" customHeight="1">
      <c r="I3278" s="881">
        <v>351</v>
      </c>
      <c r="J3278" s="875">
        <v>42732</v>
      </c>
      <c r="K3278" s="877" t="s">
        <v>1267</v>
      </c>
      <c r="L3278" s="879" t="s">
        <v>1270</v>
      </c>
      <c r="M3278" s="881" t="s">
        <v>115</v>
      </c>
      <c r="N3278" s="883">
        <v>14718204</v>
      </c>
      <c r="O3278" s="55">
        <v>719</v>
      </c>
      <c r="P3278" s="78">
        <v>0</v>
      </c>
    </row>
    <row r="3279" spans="9:16" ht="15.75" thickBot="1">
      <c r="I3279" s="882"/>
      <c r="J3279" s="876"/>
      <c r="K3279" s="900"/>
      <c r="L3279" s="880"/>
      <c r="M3279" s="882"/>
      <c r="N3279" s="884"/>
      <c r="O3279" s="56">
        <v>721</v>
      </c>
      <c r="P3279" s="351">
        <f>+N3278-P3278</f>
        <v>14718204</v>
      </c>
    </row>
    <row r="3280" spans="9:16" ht="15" customHeight="1">
      <c r="I3280" s="881">
        <f>+I3278+1</f>
        <v>352</v>
      </c>
      <c r="J3280" s="875">
        <v>42732</v>
      </c>
      <c r="K3280" s="900"/>
      <c r="L3280" s="879" t="s">
        <v>1271</v>
      </c>
      <c r="M3280" s="881" t="s">
        <v>115</v>
      </c>
      <c r="N3280" s="883">
        <v>3962065</v>
      </c>
      <c r="O3280" s="55">
        <v>722</v>
      </c>
      <c r="P3280" s="78">
        <v>0</v>
      </c>
    </row>
    <row r="3281" spans="9:16" ht="15.75" customHeight="1" thickBot="1">
      <c r="I3281" s="882"/>
      <c r="J3281" s="876"/>
      <c r="K3281" s="878"/>
      <c r="L3281" s="880"/>
      <c r="M3281" s="882"/>
      <c r="N3281" s="884"/>
      <c r="O3281" s="56">
        <v>721</v>
      </c>
      <c r="P3281" s="352">
        <f>+N3280-P3280</f>
        <v>3962065</v>
      </c>
    </row>
    <row r="3282" spans="9:16" ht="15" customHeight="1">
      <c r="I3282" s="881">
        <f>+I3280+1</f>
        <v>353</v>
      </c>
      <c r="J3282" s="875">
        <v>42732</v>
      </c>
      <c r="K3282" s="877" t="s">
        <v>1014</v>
      </c>
      <c r="L3282" s="879" t="s">
        <v>1273</v>
      </c>
      <c r="M3282" s="881" t="s">
        <v>115</v>
      </c>
      <c r="N3282" s="883">
        <v>90000</v>
      </c>
      <c r="O3282" s="55">
        <v>722</v>
      </c>
      <c r="P3282" s="78">
        <v>90000</v>
      </c>
    </row>
    <row r="3283" spans="9:16" ht="15.75" customHeight="1" thickBot="1">
      <c r="I3283" s="882"/>
      <c r="J3283" s="876"/>
      <c r="K3283" s="878"/>
      <c r="L3283" s="880"/>
      <c r="M3283" s="882"/>
      <c r="N3283" s="884"/>
      <c r="O3283" s="56">
        <v>721</v>
      </c>
      <c r="P3283" s="352">
        <f>+N3282-P3282</f>
        <v>0</v>
      </c>
    </row>
    <row r="3284" spans="9:16" ht="15" customHeight="1">
      <c r="I3284" s="881">
        <f>+I3282+1</f>
        <v>354</v>
      </c>
      <c r="J3284" s="875">
        <v>42732</v>
      </c>
      <c r="K3284" s="877" t="s">
        <v>120</v>
      </c>
      <c r="L3284" s="879" t="s">
        <v>1274</v>
      </c>
      <c r="M3284" s="881" t="s">
        <v>115</v>
      </c>
      <c r="N3284" s="883">
        <v>60000</v>
      </c>
      <c r="O3284" s="55">
        <v>722</v>
      </c>
      <c r="P3284" s="78">
        <v>60000</v>
      </c>
    </row>
    <row r="3285" spans="9:16" ht="15.75" customHeight="1" thickBot="1">
      <c r="I3285" s="882"/>
      <c r="J3285" s="876"/>
      <c r="K3285" s="878"/>
      <c r="L3285" s="880"/>
      <c r="M3285" s="882"/>
      <c r="N3285" s="884"/>
      <c r="O3285" s="56">
        <v>721</v>
      </c>
      <c r="P3285" s="79">
        <f>+N3284-P3284</f>
        <v>0</v>
      </c>
    </row>
    <row r="3286" spans="9:16" ht="16.5" thickBot="1">
      <c r="I3286" s="901" t="s">
        <v>102</v>
      </c>
      <c r="J3286" s="902"/>
      <c r="K3286" s="902"/>
      <c r="L3286" s="902"/>
      <c r="M3286" s="903"/>
      <c r="N3286" s="81">
        <f>SUM(N3278:N3285)</f>
        <v>18830269</v>
      </c>
    </row>
    <row r="3287" spans="9:16" ht="16.5" thickBot="1">
      <c r="I3287" s="885" t="s">
        <v>103</v>
      </c>
      <c r="J3287" s="886"/>
      <c r="K3287" s="886"/>
      <c r="L3287" s="886"/>
      <c r="M3287" s="887"/>
      <c r="N3287" s="69">
        <f>+N3252</f>
        <v>663169284</v>
      </c>
      <c r="O3287" s="241" t="s">
        <v>561</v>
      </c>
      <c r="P3287" s="242">
        <f>38+294</f>
        <v>332</v>
      </c>
    </row>
    <row r="3288" spans="9:16" ht="16.5" thickBot="1">
      <c r="I3288" s="888" t="s">
        <v>104</v>
      </c>
      <c r="J3288" s="889"/>
      <c r="K3288" s="889"/>
      <c r="L3288" s="889"/>
      <c r="M3288" s="890"/>
      <c r="N3288" s="183">
        <f>SUM(N3286:N3287)</f>
        <v>681999553</v>
      </c>
    </row>
    <row r="3289" spans="9:16">
      <c r="I3289" s="61"/>
      <c r="J3289" s="61"/>
      <c r="K3289" s="61"/>
      <c r="L3289" s="61"/>
      <c r="M3289" s="61"/>
    </row>
    <row r="3290" spans="9:16">
      <c r="I3290" s="51" t="s">
        <v>1275</v>
      </c>
    </row>
    <row r="3291" spans="9:16">
      <c r="N3291" s="139"/>
    </row>
    <row r="3292" spans="9:16">
      <c r="I3292" s="50" t="s">
        <v>105</v>
      </c>
      <c r="L3292" s="146"/>
      <c r="N3292" s="139"/>
    </row>
    <row r="3293" spans="9:16" ht="15.75" thickBot="1"/>
    <row r="3294" spans="9:16" ht="15.75" thickBot="1">
      <c r="I3294" s="891" t="s">
        <v>106</v>
      </c>
      <c r="J3294" s="892"/>
      <c r="K3294" s="892"/>
      <c r="L3294" s="893"/>
      <c r="N3294" s="50" t="s">
        <v>288</v>
      </c>
    </row>
    <row r="3295" spans="9:16" ht="30.75" thickBot="1">
      <c r="I3295" s="57" t="s">
        <v>100</v>
      </c>
      <c r="J3295" s="58" t="s">
        <v>108</v>
      </c>
      <c r="K3295" s="287" t="s">
        <v>109</v>
      </c>
      <c r="L3295" s="60" t="s">
        <v>110</v>
      </c>
    </row>
    <row r="3296" spans="9:16">
      <c r="I3296" s="71">
        <v>719</v>
      </c>
      <c r="J3296" s="73">
        <f>+P3278+P3280+P3282+P3284</f>
        <v>150000</v>
      </c>
      <c r="K3296" s="74">
        <f>+L3260</f>
        <v>58800000</v>
      </c>
      <c r="L3296" s="195">
        <f>+J3296+K3296</f>
        <v>58950000</v>
      </c>
    </row>
    <row r="3297" spans="9:16">
      <c r="I3297" s="72">
        <v>721</v>
      </c>
      <c r="J3297" s="80">
        <f>+P3279+P3281</f>
        <v>18680269</v>
      </c>
      <c r="K3297" s="74">
        <f>+L3261</f>
        <v>236148890</v>
      </c>
      <c r="L3297" s="195">
        <f>+J3297+K3297</f>
        <v>254829159</v>
      </c>
    </row>
    <row r="3298" spans="9:16">
      <c r="I3298" s="72">
        <v>722</v>
      </c>
      <c r="J3298" s="80"/>
      <c r="K3298" s="74">
        <f>+L3262</f>
        <v>48461706</v>
      </c>
      <c r="L3298" s="195">
        <f>+J3298+K3298</f>
        <v>48461706</v>
      </c>
    </row>
    <row r="3299" spans="9:16" ht="15.75">
      <c r="I3299" s="72">
        <v>723</v>
      </c>
      <c r="J3299" s="80"/>
      <c r="K3299" s="74">
        <f>+L3263</f>
        <v>318891188</v>
      </c>
      <c r="L3299" s="195">
        <f>+J3299+K3299</f>
        <v>318891188</v>
      </c>
      <c r="N3299" s="193" t="s">
        <v>289</v>
      </c>
      <c r="O3299" s="175"/>
    </row>
    <row r="3300" spans="9:16" ht="16.5" thickBot="1">
      <c r="I3300" s="164" t="s">
        <v>1077</v>
      </c>
      <c r="J3300" s="165"/>
      <c r="K3300" s="74">
        <f>+L3264</f>
        <v>797500</v>
      </c>
      <c r="L3300" s="196">
        <f>+J3300+K3300</f>
        <v>797500</v>
      </c>
      <c r="N3300" s="52"/>
    </row>
    <row r="3301" spans="9:16" ht="16.5" thickBot="1">
      <c r="I3301" s="169"/>
      <c r="J3301" s="197">
        <f>SUM(J3296:J3300)</f>
        <v>18830269</v>
      </c>
      <c r="K3301" s="197">
        <f>SUM(K3296:K3300)</f>
        <v>663099284</v>
      </c>
      <c r="L3301" s="198">
        <f>SUM(L3296:L3300)</f>
        <v>681929553</v>
      </c>
    </row>
    <row r="3302" spans="9:16" ht="16.5">
      <c r="I3302" s="49" t="s">
        <v>88</v>
      </c>
      <c r="J3302" s="50"/>
    </row>
    <row r="3303" spans="9:16">
      <c r="I3303" s="51" t="s">
        <v>89</v>
      </c>
    </row>
    <row r="3304" spans="9:16">
      <c r="I3304" s="51" t="s">
        <v>90</v>
      </c>
    </row>
    <row r="3305" spans="9:16">
      <c r="I3305" s="51" t="s">
        <v>91</v>
      </c>
    </row>
    <row r="3306" spans="9:16" ht="12" customHeight="1">
      <c r="I3306" s="50"/>
      <c r="J3306" s="50"/>
    </row>
    <row r="3307" spans="9:16" ht="15.75">
      <c r="I3307" s="260" t="s">
        <v>1279</v>
      </c>
      <c r="O3307" s="52"/>
    </row>
    <row r="3308" spans="9:16" ht="15.75">
      <c r="I3308" s="53" t="s">
        <v>535</v>
      </c>
      <c r="O3308" s="53"/>
    </row>
    <row r="3309" spans="9:16" ht="14.25" customHeight="1">
      <c r="I3309" s="894" t="s">
        <v>1288</v>
      </c>
      <c r="J3309" s="894"/>
      <c r="K3309" s="894"/>
      <c r="L3309" s="894"/>
      <c r="M3309" s="894"/>
      <c r="N3309" s="894"/>
      <c r="O3309" s="894"/>
      <c r="P3309" s="894"/>
    </row>
    <row r="3310" spans="9:16" ht="12.75" customHeight="1" thickBot="1"/>
    <row r="3311" spans="9:16">
      <c r="I3311" s="895" t="s">
        <v>94</v>
      </c>
      <c r="J3311" s="897" t="s">
        <v>95</v>
      </c>
      <c r="K3311" s="897" t="s">
        <v>96</v>
      </c>
      <c r="L3311" s="897" t="s">
        <v>3</v>
      </c>
      <c r="M3311" s="897" t="s">
        <v>97</v>
      </c>
      <c r="N3311" s="897" t="s">
        <v>98</v>
      </c>
      <c r="O3311" s="897" t="s">
        <v>99</v>
      </c>
      <c r="P3311" s="899"/>
    </row>
    <row r="3312" spans="9:16" ht="15.75" thickBot="1">
      <c r="I3312" s="896"/>
      <c r="J3312" s="898"/>
      <c r="K3312" s="898"/>
      <c r="L3312" s="898"/>
      <c r="M3312" s="898"/>
      <c r="N3312" s="898"/>
      <c r="O3312" s="240" t="s">
        <v>100</v>
      </c>
      <c r="P3312" s="182" t="s">
        <v>101</v>
      </c>
    </row>
    <row r="3313" spans="9:16" ht="12.75" customHeight="1">
      <c r="I3313" s="881">
        <v>355</v>
      </c>
      <c r="J3313" s="875">
        <v>42734</v>
      </c>
      <c r="K3313" s="877" t="s">
        <v>1280</v>
      </c>
      <c r="L3313" s="904">
        <v>42569</v>
      </c>
      <c r="M3313" s="881" t="s">
        <v>148</v>
      </c>
      <c r="N3313" s="883">
        <v>100000</v>
      </c>
      <c r="O3313" s="55">
        <v>719</v>
      </c>
      <c r="P3313" s="78">
        <v>0</v>
      </c>
    </row>
    <row r="3314" spans="9:16" ht="15.75" thickBot="1">
      <c r="I3314" s="882"/>
      <c r="J3314" s="876"/>
      <c r="K3314" s="878"/>
      <c r="L3314" s="880"/>
      <c r="M3314" s="882"/>
      <c r="N3314" s="884"/>
      <c r="O3314" s="56">
        <v>722</v>
      </c>
      <c r="P3314" s="351">
        <f>+N3313-P3313</f>
        <v>100000</v>
      </c>
    </row>
    <row r="3315" spans="9:16" ht="12" customHeight="1">
      <c r="I3315" s="881">
        <f>+I3313+1</f>
        <v>356</v>
      </c>
      <c r="J3315" s="875">
        <v>42734</v>
      </c>
      <c r="K3315" s="877" t="s">
        <v>1281</v>
      </c>
      <c r="L3315" s="904">
        <v>42569</v>
      </c>
      <c r="M3315" s="881" t="s">
        <v>148</v>
      </c>
      <c r="N3315" s="883">
        <v>100000</v>
      </c>
      <c r="O3315" s="55">
        <v>719</v>
      </c>
      <c r="P3315" s="78">
        <v>0</v>
      </c>
    </row>
    <row r="3316" spans="9:16" ht="15.75" customHeight="1" thickBot="1">
      <c r="I3316" s="882"/>
      <c r="J3316" s="876"/>
      <c r="K3316" s="878"/>
      <c r="L3316" s="880"/>
      <c r="M3316" s="882"/>
      <c r="N3316" s="884"/>
      <c r="O3316" s="56">
        <v>722</v>
      </c>
      <c r="P3316" s="352">
        <f>+N3315-P3315</f>
        <v>100000</v>
      </c>
    </row>
    <row r="3317" spans="9:16" ht="12.75" customHeight="1">
      <c r="I3317" s="881">
        <f>+I3315+1</f>
        <v>357</v>
      </c>
      <c r="J3317" s="875">
        <v>42734</v>
      </c>
      <c r="K3317" s="877" t="s">
        <v>1282</v>
      </c>
      <c r="L3317" s="904">
        <v>42569</v>
      </c>
      <c r="M3317" s="881" t="s">
        <v>148</v>
      </c>
      <c r="N3317" s="883">
        <v>100000</v>
      </c>
      <c r="O3317" s="55">
        <v>719</v>
      </c>
      <c r="P3317" s="78"/>
    </row>
    <row r="3318" spans="9:16" ht="15.75" customHeight="1" thickBot="1">
      <c r="I3318" s="882"/>
      <c r="J3318" s="876"/>
      <c r="K3318" s="878"/>
      <c r="L3318" s="880"/>
      <c r="M3318" s="882"/>
      <c r="N3318" s="884"/>
      <c r="O3318" s="56">
        <v>722</v>
      </c>
      <c r="P3318" s="352">
        <f>+N3317-P3317</f>
        <v>100000</v>
      </c>
    </row>
    <row r="3319" spans="9:16" ht="16.5" customHeight="1">
      <c r="I3319" s="881">
        <f>+I3317+1</f>
        <v>358</v>
      </c>
      <c r="J3319" s="875">
        <v>42734</v>
      </c>
      <c r="K3319" s="877" t="s">
        <v>1284</v>
      </c>
      <c r="L3319" s="904">
        <v>42569</v>
      </c>
      <c r="M3319" s="881" t="s">
        <v>148</v>
      </c>
      <c r="N3319" s="883">
        <v>100000</v>
      </c>
      <c r="O3319" s="55">
        <v>719</v>
      </c>
      <c r="P3319" s="78"/>
    </row>
    <row r="3320" spans="9:16" ht="15" customHeight="1" thickBot="1">
      <c r="I3320" s="882"/>
      <c r="J3320" s="876"/>
      <c r="K3320" s="878"/>
      <c r="L3320" s="907"/>
      <c r="M3320" s="882"/>
      <c r="N3320" s="884"/>
      <c r="O3320" s="56">
        <v>722</v>
      </c>
      <c r="P3320" s="352">
        <f>+N3319-P3319</f>
        <v>100000</v>
      </c>
    </row>
    <row r="3321" spans="9:16" ht="12.75" customHeight="1">
      <c r="I3321" s="881">
        <f>+I3319+1</f>
        <v>359</v>
      </c>
      <c r="J3321" s="875">
        <v>42734</v>
      </c>
      <c r="K3321" s="905" t="s">
        <v>1285</v>
      </c>
      <c r="L3321" s="904">
        <v>42570</v>
      </c>
      <c r="M3321" s="881" t="s">
        <v>148</v>
      </c>
      <c r="N3321" s="883">
        <v>100000</v>
      </c>
      <c r="O3321" s="55">
        <v>719</v>
      </c>
      <c r="P3321" s="78"/>
    </row>
    <row r="3322" spans="9:16" ht="14.25" customHeight="1" thickBot="1">
      <c r="I3322" s="882"/>
      <c r="J3322" s="876"/>
      <c r="K3322" s="906"/>
      <c r="L3322" s="907"/>
      <c r="M3322" s="882"/>
      <c r="N3322" s="884"/>
      <c r="O3322" s="56">
        <v>722</v>
      </c>
      <c r="P3322" s="352">
        <f>+N3321-P3321</f>
        <v>100000</v>
      </c>
    </row>
    <row r="3323" spans="9:16" ht="15" customHeight="1">
      <c r="I3323" s="881">
        <f>+I3321+1</f>
        <v>360</v>
      </c>
      <c r="J3323" s="875">
        <v>42734</v>
      </c>
      <c r="K3323" s="905" t="s">
        <v>1285</v>
      </c>
      <c r="L3323" s="904">
        <v>42570</v>
      </c>
      <c r="M3323" s="881" t="s">
        <v>148</v>
      </c>
      <c r="N3323" s="883">
        <v>100000</v>
      </c>
      <c r="O3323" s="55">
        <v>719</v>
      </c>
      <c r="P3323" s="78"/>
    </row>
    <row r="3324" spans="9:16" ht="15.75" customHeight="1" thickBot="1">
      <c r="I3324" s="882"/>
      <c r="J3324" s="876"/>
      <c r="K3324" s="906"/>
      <c r="L3324" s="907"/>
      <c r="M3324" s="882"/>
      <c r="N3324" s="884"/>
      <c r="O3324" s="56">
        <v>722</v>
      </c>
      <c r="P3324" s="79">
        <f>+N3323-P3323</f>
        <v>100000</v>
      </c>
    </row>
    <row r="3325" spans="9:16" ht="16.5" thickBot="1">
      <c r="I3325" s="901" t="s">
        <v>102</v>
      </c>
      <c r="J3325" s="902"/>
      <c r="K3325" s="902"/>
      <c r="L3325" s="902"/>
      <c r="M3325" s="903"/>
      <c r="N3325" s="81">
        <f>SUM(N3313:N3324)</f>
        <v>600000</v>
      </c>
    </row>
    <row r="3326" spans="9:16" ht="16.5" thickBot="1">
      <c r="I3326" s="885" t="s">
        <v>103</v>
      </c>
      <c r="J3326" s="886"/>
      <c r="K3326" s="886"/>
      <c r="L3326" s="886"/>
      <c r="M3326" s="887"/>
      <c r="N3326" s="69">
        <f>+N3288</f>
        <v>681999553</v>
      </c>
      <c r="O3326" s="241" t="s">
        <v>561</v>
      </c>
      <c r="P3326" s="242"/>
    </row>
    <row r="3327" spans="9:16" ht="16.5" thickBot="1">
      <c r="I3327" s="888" t="s">
        <v>104</v>
      </c>
      <c r="J3327" s="889"/>
      <c r="K3327" s="889"/>
      <c r="L3327" s="889"/>
      <c r="M3327" s="890"/>
      <c r="N3327" s="183">
        <f>SUM(N3325:N3326)</f>
        <v>682599553</v>
      </c>
    </row>
    <row r="3328" spans="9:16">
      <c r="I3328" s="61"/>
      <c r="J3328" s="61"/>
      <c r="K3328" s="61"/>
      <c r="L3328" s="61"/>
      <c r="M3328" s="61"/>
    </row>
    <row r="3329" spans="9:15">
      <c r="I3329" s="51" t="s">
        <v>1286</v>
      </c>
    </row>
    <row r="3330" spans="9:15" ht="11.25" customHeight="1">
      <c r="N3330" s="139"/>
    </row>
    <row r="3331" spans="9:15">
      <c r="I3331" s="50" t="s">
        <v>105</v>
      </c>
      <c r="L3331" s="146"/>
      <c r="N3331" s="139"/>
    </row>
    <row r="3332" spans="9:15" ht="13.5" customHeight="1" thickBot="1"/>
    <row r="3333" spans="9:15" ht="15.75" thickBot="1">
      <c r="I3333" s="891" t="s">
        <v>106</v>
      </c>
      <c r="J3333" s="892"/>
      <c r="K3333" s="892"/>
      <c r="L3333" s="893"/>
      <c r="N3333" s="50" t="s">
        <v>288</v>
      </c>
    </row>
    <row r="3334" spans="9:15" ht="30.75" thickBot="1">
      <c r="I3334" s="57" t="s">
        <v>100</v>
      </c>
      <c r="J3334" s="58" t="s">
        <v>108</v>
      </c>
      <c r="K3334" s="287" t="s">
        <v>109</v>
      </c>
      <c r="L3334" s="60" t="s">
        <v>110</v>
      </c>
    </row>
    <row r="3335" spans="9:15">
      <c r="I3335" s="71">
        <v>719</v>
      </c>
      <c r="J3335" s="73">
        <f>+P3313+P3315+P3321+P3323</f>
        <v>0</v>
      </c>
      <c r="K3335" s="74">
        <f>+L3296</f>
        <v>58950000</v>
      </c>
      <c r="L3335" s="195">
        <f>+J3335+K3335</f>
        <v>58950000</v>
      </c>
    </row>
    <row r="3336" spans="9:15">
      <c r="I3336" s="72">
        <v>721</v>
      </c>
      <c r="J3336" s="80"/>
      <c r="K3336" s="74">
        <f>+L3297</f>
        <v>254829159</v>
      </c>
      <c r="L3336" s="195">
        <f>+J3336+K3336</f>
        <v>254829159</v>
      </c>
    </row>
    <row r="3337" spans="9:15">
      <c r="I3337" s="72">
        <v>722</v>
      </c>
      <c r="J3337" s="80">
        <f>+P3324+P3322+P3318+P3316+P3314+P3320</f>
        <v>600000</v>
      </c>
      <c r="K3337" s="74">
        <f>+L3298</f>
        <v>48461706</v>
      </c>
      <c r="L3337" s="195">
        <f>+J3337+K3337</f>
        <v>49061706</v>
      </c>
    </row>
    <row r="3338" spans="9:15" ht="15.75">
      <c r="I3338" s="72">
        <v>723</v>
      </c>
      <c r="J3338" s="80"/>
      <c r="K3338" s="74">
        <f>+L3299</f>
        <v>318891188</v>
      </c>
      <c r="L3338" s="195">
        <f>+J3338+K3338</f>
        <v>318891188</v>
      </c>
      <c r="N3338" s="193" t="s">
        <v>289</v>
      </c>
      <c r="O3338" s="175"/>
    </row>
    <row r="3339" spans="9:15" ht="16.5" thickBot="1">
      <c r="I3339" s="164" t="s">
        <v>1077</v>
      </c>
      <c r="J3339" s="165"/>
      <c r="K3339" s="74">
        <f>+L3300</f>
        <v>797500</v>
      </c>
      <c r="L3339" s="196">
        <f>+J3339+K3339</f>
        <v>797500</v>
      </c>
      <c r="N3339" s="52"/>
    </row>
    <row r="3340" spans="9:15" ht="16.5" thickBot="1">
      <c r="I3340" s="169"/>
      <c r="J3340" s="197">
        <f>SUM(J3335:J3339)</f>
        <v>600000</v>
      </c>
      <c r="K3340" s="197">
        <f>SUM(K3335:K3339)</f>
        <v>681929553</v>
      </c>
      <c r="L3340" s="198">
        <f>SUM(L3335:L3339)</f>
        <v>682529553</v>
      </c>
    </row>
    <row r="3341" spans="9:15" ht="16.5">
      <c r="I3341" s="49" t="s">
        <v>88</v>
      </c>
      <c r="J3341" s="50"/>
    </row>
    <row r="3342" spans="9:15">
      <c r="I3342" s="51" t="s">
        <v>89</v>
      </c>
    </row>
    <row r="3343" spans="9:15">
      <c r="I3343" s="51" t="s">
        <v>90</v>
      </c>
    </row>
    <row r="3344" spans="9:15">
      <c r="I3344" s="51" t="s">
        <v>91</v>
      </c>
    </row>
    <row r="3345" spans="9:16">
      <c r="I3345" s="50"/>
      <c r="J3345" s="50"/>
    </row>
    <row r="3346" spans="9:16" ht="15.75">
      <c r="I3346" s="260" t="s">
        <v>1283</v>
      </c>
      <c r="O3346" s="52"/>
    </row>
    <row r="3347" spans="9:16" ht="15.75">
      <c r="I3347" s="53" t="s">
        <v>535</v>
      </c>
      <c r="O3347" s="53"/>
    </row>
    <row r="3348" spans="9:16" ht="16.5">
      <c r="I3348" s="894" t="s">
        <v>1288</v>
      </c>
      <c r="J3348" s="894"/>
      <c r="K3348" s="894"/>
      <c r="L3348" s="894"/>
      <c r="M3348" s="894"/>
      <c r="N3348" s="894"/>
      <c r="O3348" s="894"/>
      <c r="P3348" s="894"/>
    </row>
    <row r="3349" spans="9:16" ht="15.75" thickBot="1"/>
    <row r="3350" spans="9:16">
      <c r="I3350" s="895" t="s">
        <v>94</v>
      </c>
      <c r="J3350" s="897" t="s">
        <v>95</v>
      </c>
      <c r="K3350" s="897" t="s">
        <v>96</v>
      </c>
      <c r="L3350" s="897" t="s">
        <v>3</v>
      </c>
      <c r="M3350" s="897" t="s">
        <v>97</v>
      </c>
      <c r="N3350" s="897" t="s">
        <v>98</v>
      </c>
      <c r="O3350" s="897" t="s">
        <v>99</v>
      </c>
      <c r="P3350" s="899"/>
    </row>
    <row r="3351" spans="9:16" ht="15.75" thickBot="1">
      <c r="I3351" s="896"/>
      <c r="J3351" s="898"/>
      <c r="K3351" s="898"/>
      <c r="L3351" s="898"/>
      <c r="M3351" s="898"/>
      <c r="N3351" s="898"/>
      <c r="O3351" s="240" t="s">
        <v>100</v>
      </c>
      <c r="P3351" s="182" t="s">
        <v>101</v>
      </c>
    </row>
    <row r="3352" spans="9:16" ht="15" customHeight="1">
      <c r="I3352" s="873" t="s">
        <v>552</v>
      </c>
      <c r="J3352" s="875">
        <v>42735</v>
      </c>
      <c r="K3352" s="877" t="s">
        <v>790</v>
      </c>
      <c r="L3352" s="879" t="s">
        <v>1293</v>
      </c>
      <c r="M3352" s="881" t="s">
        <v>165</v>
      </c>
      <c r="N3352" s="883">
        <v>-401330</v>
      </c>
      <c r="O3352" s="55">
        <v>719</v>
      </c>
      <c r="P3352" s="78"/>
    </row>
    <row r="3353" spans="9:16" ht="15.75" thickBot="1">
      <c r="I3353" s="874"/>
      <c r="J3353" s="876"/>
      <c r="K3353" s="878"/>
      <c r="L3353" s="880"/>
      <c r="M3353" s="882"/>
      <c r="N3353" s="884"/>
      <c r="O3353" s="56">
        <v>723</v>
      </c>
      <c r="P3353" s="351">
        <f>+N3352-P3352</f>
        <v>-401330</v>
      </c>
    </row>
    <row r="3354" spans="9:16" ht="15" customHeight="1">
      <c r="I3354" s="873" t="s">
        <v>553</v>
      </c>
      <c r="J3354" s="875">
        <v>42735</v>
      </c>
      <c r="K3354" s="877" t="s">
        <v>791</v>
      </c>
      <c r="L3354" s="879" t="s">
        <v>1294</v>
      </c>
      <c r="M3354" s="881" t="s">
        <v>165</v>
      </c>
      <c r="N3354" s="883">
        <v>-164000</v>
      </c>
      <c r="O3354" s="55">
        <v>719</v>
      </c>
      <c r="P3354" s="78"/>
    </row>
    <row r="3355" spans="9:16" ht="15.75" customHeight="1" thickBot="1">
      <c r="I3355" s="874"/>
      <c r="J3355" s="876"/>
      <c r="K3355" s="878"/>
      <c r="L3355" s="880"/>
      <c r="M3355" s="882"/>
      <c r="N3355" s="884"/>
      <c r="O3355" s="56">
        <v>723</v>
      </c>
      <c r="P3355" s="352">
        <f>+N3354-P3354</f>
        <v>-164000</v>
      </c>
    </row>
    <row r="3356" spans="9:16" ht="15" customHeight="1">
      <c r="I3356" s="873"/>
      <c r="J3356" s="875"/>
      <c r="K3356" s="877"/>
      <c r="L3356" s="879"/>
      <c r="M3356" s="881"/>
      <c r="N3356" s="883"/>
      <c r="O3356" s="55">
        <v>719</v>
      </c>
      <c r="P3356" s="78"/>
    </row>
    <row r="3357" spans="9:16" ht="15.75" customHeight="1" thickBot="1">
      <c r="I3357" s="874"/>
      <c r="J3357" s="876"/>
      <c r="K3357" s="878"/>
      <c r="L3357" s="880"/>
      <c r="M3357" s="882"/>
      <c r="N3357" s="884"/>
      <c r="O3357" s="56">
        <v>722</v>
      </c>
      <c r="P3357" s="352"/>
    </row>
    <row r="3358" spans="9:16" ht="15" customHeight="1">
      <c r="I3358" s="873"/>
      <c r="J3358" s="875"/>
      <c r="K3358" s="877"/>
      <c r="L3358" s="879"/>
      <c r="M3358" s="881"/>
      <c r="N3358" s="883"/>
      <c r="O3358" s="55">
        <v>719</v>
      </c>
      <c r="P3358" s="78"/>
    </row>
    <row r="3359" spans="9:16" ht="15.75" customHeight="1" thickBot="1">
      <c r="I3359" s="874"/>
      <c r="J3359" s="876"/>
      <c r="K3359" s="878"/>
      <c r="L3359" s="880"/>
      <c r="M3359" s="882"/>
      <c r="N3359" s="884"/>
      <c r="O3359" s="56">
        <v>722</v>
      </c>
      <c r="P3359" s="79">
        <f>+N3358-P3358</f>
        <v>0</v>
      </c>
    </row>
    <row r="3360" spans="9:16" ht="16.5" thickBot="1">
      <c r="I3360" s="901" t="s">
        <v>102</v>
      </c>
      <c r="J3360" s="902"/>
      <c r="K3360" s="902"/>
      <c r="L3360" s="902"/>
      <c r="M3360" s="903"/>
      <c r="N3360" s="81">
        <f>SUM(N3352:N3359)</f>
        <v>-565330</v>
      </c>
    </row>
    <row r="3361" spans="9:16" ht="16.5" thickBot="1">
      <c r="I3361" s="885" t="s">
        <v>103</v>
      </c>
      <c r="J3361" s="886"/>
      <c r="K3361" s="886"/>
      <c r="L3361" s="886"/>
      <c r="M3361" s="887"/>
      <c r="N3361" s="69">
        <f>+N3327</f>
        <v>682599553</v>
      </c>
      <c r="O3361" s="241" t="s">
        <v>561</v>
      </c>
      <c r="P3361" s="242"/>
    </row>
    <row r="3362" spans="9:16" ht="16.5" thickBot="1">
      <c r="I3362" s="888" t="s">
        <v>104</v>
      </c>
      <c r="J3362" s="889"/>
      <c r="K3362" s="889"/>
      <c r="L3362" s="889"/>
      <c r="M3362" s="890"/>
      <c r="N3362" s="183">
        <f>SUM(N3360:N3361)</f>
        <v>682034223</v>
      </c>
    </row>
    <row r="3363" spans="9:16">
      <c r="I3363" s="61"/>
      <c r="J3363" s="61"/>
      <c r="K3363" s="61"/>
      <c r="L3363" s="61"/>
      <c r="M3363" s="61"/>
    </row>
    <row r="3364" spans="9:16">
      <c r="I3364" s="51" t="s">
        <v>1287</v>
      </c>
    </row>
    <row r="3365" spans="9:16">
      <c r="N3365" s="139"/>
    </row>
    <row r="3366" spans="9:16">
      <c r="I3366" s="50" t="s">
        <v>105</v>
      </c>
      <c r="L3366" s="146"/>
      <c r="N3366" s="139"/>
    </row>
    <row r="3367" spans="9:16" ht="15.75" thickBot="1"/>
    <row r="3368" spans="9:16" ht="15.75" thickBot="1">
      <c r="I3368" s="891" t="s">
        <v>106</v>
      </c>
      <c r="J3368" s="892"/>
      <c r="K3368" s="892"/>
      <c r="L3368" s="893"/>
      <c r="N3368" s="50" t="s">
        <v>288</v>
      </c>
    </row>
    <row r="3369" spans="9:16" ht="30.75" thickBot="1">
      <c r="I3369" s="57" t="s">
        <v>100</v>
      </c>
      <c r="J3369" s="58" t="s">
        <v>108</v>
      </c>
      <c r="K3369" s="287" t="s">
        <v>109</v>
      </c>
      <c r="L3369" s="60" t="s">
        <v>110</v>
      </c>
    </row>
    <row r="3370" spans="9:16">
      <c r="I3370" s="71">
        <v>719</v>
      </c>
      <c r="J3370" s="73">
        <f>+P3352+P3354+P3358</f>
        <v>0</v>
      </c>
      <c r="K3370" s="74">
        <f>+L3335</f>
        <v>58950000</v>
      </c>
      <c r="L3370" s="195">
        <f>+J3370+K3370</f>
        <v>58950000</v>
      </c>
    </row>
    <row r="3371" spans="9:16">
      <c r="I3371" s="72">
        <v>721</v>
      </c>
      <c r="J3371" s="80"/>
      <c r="K3371" s="74">
        <f>+L3336</f>
        <v>254829159</v>
      </c>
      <c r="L3371" s="195">
        <f>+J3371+K3371</f>
        <v>254829159</v>
      </c>
    </row>
    <row r="3372" spans="9:16">
      <c r="I3372" s="72">
        <v>722</v>
      </c>
      <c r="J3372" s="80"/>
      <c r="K3372" s="74">
        <f>+L3337</f>
        <v>49061706</v>
      </c>
      <c r="L3372" s="195">
        <f>+J3372+K3372</f>
        <v>49061706</v>
      </c>
    </row>
    <row r="3373" spans="9:16" ht="15.75">
      <c r="I3373" s="72">
        <v>723</v>
      </c>
      <c r="J3373" s="80">
        <f>+P3355+P3353</f>
        <v>-565330</v>
      </c>
      <c r="K3373" s="74">
        <f>+L3338</f>
        <v>318891188</v>
      </c>
      <c r="L3373" s="195">
        <f>+J3373+K3373</f>
        <v>318325858</v>
      </c>
      <c r="N3373" s="193" t="s">
        <v>289</v>
      </c>
      <c r="O3373" s="175"/>
    </row>
    <row r="3374" spans="9:16" ht="16.5" thickBot="1">
      <c r="I3374" s="164" t="s">
        <v>1077</v>
      </c>
      <c r="J3374" s="165"/>
      <c r="K3374" s="74">
        <f>+L3339</f>
        <v>797500</v>
      </c>
      <c r="L3374" s="196">
        <f>+J3374+K3374</f>
        <v>797500</v>
      </c>
      <c r="N3374" s="52"/>
    </row>
    <row r="3375" spans="9:16" ht="16.5" thickBot="1">
      <c r="I3375" s="169"/>
      <c r="J3375" s="197">
        <f>SUM(J3370:J3374)</f>
        <v>-565330</v>
      </c>
      <c r="K3375" s="197">
        <f>SUM(K3370:K3374)</f>
        <v>682529553</v>
      </c>
      <c r="L3375" s="198">
        <f>SUM(L3370:L3374)</f>
        <v>681964223</v>
      </c>
    </row>
    <row r="3376" spans="9:16" ht="15.75">
      <c r="I3376" s="397"/>
      <c r="J3376" s="398"/>
      <c r="K3376" s="398"/>
      <c r="L3376" s="399"/>
    </row>
    <row r="3377" spans="9:16" ht="16.5">
      <c r="I3377" s="49" t="s">
        <v>88</v>
      </c>
      <c r="J3377" s="50"/>
    </row>
    <row r="3378" spans="9:16">
      <c r="I3378" s="51" t="s">
        <v>89</v>
      </c>
    </row>
    <row r="3379" spans="9:16">
      <c r="I3379" s="51" t="s">
        <v>90</v>
      </c>
    </row>
    <row r="3380" spans="9:16">
      <c r="I3380" s="51" t="s">
        <v>91</v>
      </c>
    </row>
    <row r="3381" spans="9:16" ht="14.25" customHeight="1">
      <c r="I3381" s="50"/>
      <c r="J3381" s="50"/>
    </row>
    <row r="3382" spans="9:16" ht="15.75">
      <c r="I3382" s="260" t="s">
        <v>1289</v>
      </c>
      <c r="O3382" s="52"/>
    </row>
    <row r="3383" spans="9:16" ht="15.75">
      <c r="I3383" s="53" t="s">
        <v>535</v>
      </c>
      <c r="O3383" s="53"/>
    </row>
    <row r="3384" spans="9:16" ht="16.5">
      <c r="I3384" s="894" t="s">
        <v>1278</v>
      </c>
      <c r="J3384" s="894"/>
      <c r="K3384" s="894"/>
      <c r="L3384" s="894"/>
      <c r="M3384" s="894"/>
      <c r="N3384" s="894"/>
      <c r="O3384" s="894"/>
      <c r="P3384" s="894"/>
    </row>
    <row r="3385" spans="9:16" ht="15.75" thickBot="1"/>
    <row r="3386" spans="9:16">
      <c r="I3386" s="895" t="s">
        <v>94</v>
      </c>
      <c r="J3386" s="897" t="s">
        <v>95</v>
      </c>
      <c r="K3386" s="897" t="s">
        <v>96</v>
      </c>
      <c r="L3386" s="897" t="s">
        <v>3</v>
      </c>
      <c r="M3386" s="897" t="s">
        <v>97</v>
      </c>
      <c r="N3386" s="897" t="s">
        <v>98</v>
      </c>
      <c r="O3386" s="897" t="s">
        <v>99</v>
      </c>
      <c r="P3386" s="899"/>
    </row>
    <row r="3387" spans="9:16" ht="15.75" thickBot="1">
      <c r="I3387" s="896"/>
      <c r="J3387" s="898"/>
      <c r="K3387" s="898"/>
      <c r="L3387" s="898"/>
      <c r="M3387" s="898"/>
      <c r="N3387" s="898"/>
      <c r="O3387" s="240" t="s">
        <v>100</v>
      </c>
      <c r="P3387" s="182" t="s">
        <v>101</v>
      </c>
    </row>
    <row r="3388" spans="9:16" ht="15" customHeight="1">
      <c r="I3388" s="873" t="s">
        <v>1290</v>
      </c>
      <c r="J3388" s="875">
        <v>42734</v>
      </c>
      <c r="K3388" s="877" t="s">
        <v>1014</v>
      </c>
      <c r="L3388" s="879" t="s">
        <v>1293</v>
      </c>
      <c r="M3388" s="881" t="s">
        <v>115</v>
      </c>
      <c r="N3388" s="883">
        <v>50000</v>
      </c>
      <c r="O3388" s="55">
        <v>719</v>
      </c>
      <c r="P3388" s="78">
        <v>50000</v>
      </c>
    </row>
    <row r="3389" spans="9:16" ht="15.75" customHeight="1" thickBot="1">
      <c r="I3389" s="874"/>
      <c r="J3389" s="876"/>
      <c r="K3389" s="878"/>
      <c r="L3389" s="880"/>
      <c r="M3389" s="882"/>
      <c r="N3389" s="884"/>
      <c r="O3389" s="56">
        <v>723</v>
      </c>
      <c r="P3389" s="351">
        <f>+N3388-P3388</f>
        <v>0</v>
      </c>
    </row>
    <row r="3390" spans="9:16" ht="15" customHeight="1">
      <c r="I3390" s="873" t="s">
        <v>1291</v>
      </c>
      <c r="J3390" s="875">
        <v>42734</v>
      </c>
      <c r="K3390" s="877" t="s">
        <v>28</v>
      </c>
      <c r="L3390" s="879" t="s">
        <v>1294</v>
      </c>
      <c r="M3390" s="881" t="s">
        <v>115</v>
      </c>
      <c r="N3390" s="883">
        <v>50000</v>
      </c>
      <c r="O3390" s="55">
        <v>719</v>
      </c>
      <c r="P3390" s="78">
        <v>50000</v>
      </c>
    </row>
    <row r="3391" spans="9:16" ht="15.75" customHeight="1" thickBot="1">
      <c r="I3391" s="874"/>
      <c r="J3391" s="876"/>
      <c r="K3391" s="878"/>
      <c r="L3391" s="880"/>
      <c r="M3391" s="882"/>
      <c r="N3391" s="884"/>
      <c r="O3391" s="56">
        <v>723</v>
      </c>
      <c r="P3391" s="352">
        <f>+N3390-P3390</f>
        <v>0</v>
      </c>
    </row>
    <row r="3392" spans="9:16" ht="15" customHeight="1">
      <c r="I3392" s="873" t="s">
        <v>1292</v>
      </c>
      <c r="J3392" s="875">
        <v>42734</v>
      </c>
      <c r="K3392" s="877" t="s">
        <v>120</v>
      </c>
      <c r="L3392" s="879" t="s">
        <v>1294</v>
      </c>
      <c r="M3392" s="881" t="s">
        <v>115</v>
      </c>
      <c r="N3392" s="883">
        <v>140000</v>
      </c>
      <c r="O3392" s="55">
        <v>719</v>
      </c>
      <c r="P3392" s="78">
        <v>140000</v>
      </c>
    </row>
    <row r="3393" spans="9:16" ht="15.75" customHeight="1" thickBot="1">
      <c r="I3393" s="874"/>
      <c r="J3393" s="876"/>
      <c r="K3393" s="878"/>
      <c r="L3393" s="880"/>
      <c r="M3393" s="882"/>
      <c r="N3393" s="884"/>
      <c r="O3393" s="56">
        <v>722</v>
      </c>
      <c r="P3393" s="352">
        <f>+N3392-P3392</f>
        <v>0</v>
      </c>
    </row>
    <row r="3394" spans="9:16">
      <c r="I3394" s="881"/>
      <c r="J3394" s="875"/>
      <c r="K3394" s="877"/>
      <c r="L3394" s="904"/>
      <c r="M3394" s="881"/>
      <c r="N3394" s="883"/>
      <c r="O3394" s="55">
        <v>719</v>
      </c>
      <c r="P3394" s="78"/>
    </row>
    <row r="3395" spans="9:16" ht="15.75" thickBot="1">
      <c r="I3395" s="882"/>
      <c r="J3395" s="876"/>
      <c r="K3395" s="878"/>
      <c r="L3395" s="880"/>
      <c r="M3395" s="882"/>
      <c r="N3395" s="884"/>
      <c r="O3395" s="56">
        <v>722</v>
      </c>
      <c r="P3395" s="79">
        <f>+N3394-P3394</f>
        <v>0</v>
      </c>
    </row>
    <row r="3396" spans="9:16" ht="16.5" thickBot="1">
      <c r="I3396" s="901" t="s">
        <v>102</v>
      </c>
      <c r="J3396" s="902"/>
      <c r="K3396" s="902"/>
      <c r="L3396" s="902"/>
      <c r="M3396" s="903"/>
      <c r="N3396" s="81">
        <f>SUM(N3388:N3395)</f>
        <v>240000</v>
      </c>
    </row>
    <row r="3397" spans="9:16" ht="16.5" thickBot="1">
      <c r="I3397" s="885" t="s">
        <v>103</v>
      </c>
      <c r="J3397" s="886"/>
      <c r="K3397" s="886"/>
      <c r="L3397" s="886"/>
      <c r="M3397" s="887"/>
      <c r="N3397" s="69">
        <f>+N3362</f>
        <v>682034223</v>
      </c>
      <c r="O3397" s="241" t="s">
        <v>561</v>
      </c>
      <c r="P3397" s="242">
        <v>349</v>
      </c>
    </row>
    <row r="3398" spans="9:16" ht="16.5" thickBot="1">
      <c r="I3398" s="888" t="s">
        <v>104</v>
      </c>
      <c r="J3398" s="889"/>
      <c r="K3398" s="889"/>
      <c r="L3398" s="889"/>
      <c r="M3398" s="890"/>
      <c r="N3398" s="183">
        <f>SUM(N3396:N3397)</f>
        <v>682274223</v>
      </c>
    </row>
    <row r="3399" spans="9:16">
      <c r="I3399" s="61"/>
      <c r="J3399" s="61"/>
      <c r="K3399" s="61"/>
      <c r="L3399" s="61"/>
      <c r="M3399" s="61"/>
    </row>
    <row r="3400" spans="9:16">
      <c r="I3400" s="51" t="s">
        <v>1295</v>
      </c>
    </row>
    <row r="3401" spans="9:16">
      <c r="N3401" s="139"/>
    </row>
    <row r="3402" spans="9:16" ht="19.5" customHeight="1">
      <c r="I3402" s="50" t="s">
        <v>105</v>
      </c>
      <c r="L3402" s="146"/>
      <c r="N3402" s="139"/>
    </row>
    <row r="3403" spans="9:16" ht="18" customHeight="1" thickBot="1"/>
    <row r="3404" spans="9:16" ht="15.75" thickBot="1">
      <c r="I3404" s="891" t="s">
        <v>106</v>
      </c>
      <c r="J3404" s="892"/>
      <c r="K3404" s="892"/>
      <c r="L3404" s="893"/>
      <c r="N3404" s="50" t="s">
        <v>288</v>
      </c>
    </row>
    <row r="3405" spans="9:16" ht="30.75" thickBot="1">
      <c r="I3405" s="57" t="s">
        <v>100</v>
      </c>
      <c r="J3405" s="58" t="s">
        <v>108</v>
      </c>
      <c r="K3405" s="287" t="s">
        <v>109</v>
      </c>
      <c r="L3405" s="60" t="s">
        <v>110</v>
      </c>
    </row>
    <row r="3406" spans="9:16">
      <c r="I3406" s="71">
        <v>719</v>
      </c>
      <c r="J3406" s="73">
        <f>+P3388+P3390+P3394+P3392</f>
        <v>240000</v>
      </c>
      <c r="K3406" s="74">
        <f>+L3370</f>
        <v>58950000</v>
      </c>
      <c r="L3406" s="195">
        <f>+J3406+K3406</f>
        <v>59190000</v>
      </c>
    </row>
    <row r="3407" spans="9:16">
      <c r="I3407" s="72">
        <v>721</v>
      </c>
      <c r="J3407" s="80"/>
      <c r="K3407" s="74">
        <f>+L3371</f>
        <v>254829159</v>
      </c>
      <c r="L3407" s="195">
        <f>+J3407+K3407</f>
        <v>254829159</v>
      </c>
    </row>
    <row r="3408" spans="9:16">
      <c r="I3408" s="72">
        <v>722</v>
      </c>
      <c r="J3408" s="80"/>
      <c r="K3408" s="74">
        <f>+L3372</f>
        <v>49061706</v>
      </c>
      <c r="L3408" s="195">
        <f>+J3408+K3408</f>
        <v>49061706</v>
      </c>
    </row>
    <row r="3409" spans="9:16" ht="15.75">
      <c r="I3409" s="72">
        <v>723</v>
      </c>
      <c r="J3409" s="80">
        <f>+P3391+P3389</f>
        <v>0</v>
      </c>
      <c r="K3409" s="74">
        <f>+L3373</f>
        <v>318325858</v>
      </c>
      <c r="L3409" s="195">
        <f>+J3409+K3409</f>
        <v>318325858</v>
      </c>
      <c r="N3409" s="193" t="s">
        <v>289</v>
      </c>
      <c r="O3409" s="175"/>
    </row>
    <row r="3410" spans="9:16" ht="16.5" thickBot="1">
      <c r="I3410" s="164" t="s">
        <v>1077</v>
      </c>
      <c r="J3410" s="165"/>
      <c r="K3410" s="74">
        <f>+L3374</f>
        <v>797500</v>
      </c>
      <c r="L3410" s="196">
        <f>+J3410+K3410</f>
        <v>797500</v>
      </c>
      <c r="N3410" s="52"/>
    </row>
    <row r="3411" spans="9:16" ht="16.5" thickBot="1">
      <c r="I3411" s="169"/>
      <c r="J3411" s="197">
        <f>SUM(J3406:J3410)</f>
        <v>240000</v>
      </c>
      <c r="K3411" s="197">
        <f>SUM(K3406:K3410)</f>
        <v>681964223</v>
      </c>
      <c r="L3411" s="198">
        <f>SUM(L3406:L3410)</f>
        <v>682204223</v>
      </c>
    </row>
    <row r="3412" spans="9:16" ht="15.75">
      <c r="I3412" s="397"/>
      <c r="J3412" s="398"/>
      <c r="K3412" s="398"/>
      <c r="L3412" s="399"/>
    </row>
    <row r="3413" spans="9:16" ht="16.5">
      <c r="I3413" s="49" t="s">
        <v>88</v>
      </c>
      <c r="J3413" s="50"/>
    </row>
    <row r="3414" spans="9:16">
      <c r="I3414" s="50" t="s">
        <v>89</v>
      </c>
    </row>
    <row r="3415" spans="9:16">
      <c r="I3415" s="51" t="s">
        <v>90</v>
      </c>
    </row>
    <row r="3416" spans="9:16">
      <c r="I3416" s="51" t="s">
        <v>91</v>
      </c>
    </row>
    <row r="3417" spans="9:16" ht="9" customHeight="1">
      <c r="I3417" s="50"/>
      <c r="J3417" s="50"/>
    </row>
    <row r="3418" spans="9:16" ht="15.75">
      <c r="I3418" s="260" t="s">
        <v>1296</v>
      </c>
      <c r="O3418" s="52"/>
    </row>
    <row r="3419" spans="9:16" ht="15.75">
      <c r="I3419" s="53" t="s">
        <v>535</v>
      </c>
      <c r="O3419" s="53"/>
    </row>
    <row r="3420" spans="9:16" ht="15.75" customHeight="1">
      <c r="I3420" s="894" t="s">
        <v>1302</v>
      </c>
      <c r="J3420" s="894"/>
      <c r="K3420" s="894"/>
      <c r="L3420" s="894"/>
      <c r="M3420" s="894"/>
      <c r="N3420" s="894"/>
      <c r="O3420" s="894"/>
      <c r="P3420" s="894"/>
    </row>
    <row r="3421" spans="9:16" ht="12.75" customHeight="1" thickBot="1"/>
    <row r="3422" spans="9:16">
      <c r="I3422" s="895" t="s">
        <v>94</v>
      </c>
      <c r="J3422" s="897" t="s">
        <v>95</v>
      </c>
      <c r="K3422" s="897" t="s">
        <v>96</v>
      </c>
      <c r="L3422" s="897" t="s">
        <v>3</v>
      </c>
      <c r="M3422" s="897" t="s">
        <v>97</v>
      </c>
      <c r="N3422" s="897" t="s">
        <v>98</v>
      </c>
      <c r="O3422" s="897" t="s">
        <v>99</v>
      </c>
      <c r="P3422" s="899"/>
    </row>
    <row r="3423" spans="9:16" ht="15.75" thickBot="1">
      <c r="I3423" s="896"/>
      <c r="J3423" s="898"/>
      <c r="K3423" s="898"/>
      <c r="L3423" s="898"/>
      <c r="M3423" s="898"/>
      <c r="N3423" s="898"/>
      <c r="O3423" s="240" t="s">
        <v>100</v>
      </c>
      <c r="P3423" s="182" t="s">
        <v>101</v>
      </c>
    </row>
    <row r="3424" spans="9:16" ht="13.5" customHeight="1">
      <c r="I3424" s="873" t="s">
        <v>1297</v>
      </c>
      <c r="J3424" s="875">
        <v>42734</v>
      </c>
      <c r="K3424" s="400" t="s">
        <v>1267</v>
      </c>
      <c r="L3424" s="879" t="s">
        <v>1221</v>
      </c>
      <c r="M3424" s="881" t="s">
        <v>145</v>
      </c>
      <c r="N3424" s="883">
        <v>14718204</v>
      </c>
      <c r="O3424" s="55">
        <v>719</v>
      </c>
      <c r="P3424" s="78">
        <v>0</v>
      </c>
    </row>
    <row r="3425" spans="9:16" ht="14.25" customHeight="1" thickBot="1">
      <c r="I3425" s="874"/>
      <c r="J3425" s="876"/>
      <c r="K3425" s="402"/>
      <c r="L3425" s="880"/>
      <c r="M3425" s="882"/>
      <c r="N3425" s="884"/>
      <c r="O3425" s="56">
        <v>721</v>
      </c>
      <c r="P3425" s="351">
        <f>+N3424-P3424</f>
        <v>14718204</v>
      </c>
    </row>
    <row r="3426" spans="9:16" ht="13.5" customHeight="1">
      <c r="I3426" s="873" t="s">
        <v>1298</v>
      </c>
      <c r="J3426" s="875">
        <v>42734</v>
      </c>
      <c r="K3426" s="402"/>
      <c r="L3426" s="879" t="s">
        <v>1304</v>
      </c>
      <c r="M3426" s="881" t="s">
        <v>145</v>
      </c>
      <c r="N3426" s="883">
        <v>4941638</v>
      </c>
      <c r="O3426" s="55">
        <v>719</v>
      </c>
      <c r="P3426" s="78">
        <v>0</v>
      </c>
    </row>
    <row r="3427" spans="9:16" ht="15" customHeight="1" thickBot="1">
      <c r="I3427" s="874"/>
      <c r="J3427" s="876"/>
      <c r="K3427" s="402"/>
      <c r="L3427" s="880"/>
      <c r="M3427" s="882"/>
      <c r="N3427" s="884"/>
      <c r="O3427" s="56">
        <v>721</v>
      </c>
      <c r="P3427" s="352">
        <f>+N3426-P3426</f>
        <v>4941638</v>
      </c>
    </row>
    <row r="3428" spans="9:16" ht="15" customHeight="1">
      <c r="I3428" s="873" t="s">
        <v>1299</v>
      </c>
      <c r="J3428" s="875">
        <v>42734</v>
      </c>
      <c r="K3428" s="402"/>
      <c r="L3428" s="879" t="s">
        <v>1305</v>
      </c>
      <c r="M3428" s="881" t="s">
        <v>145</v>
      </c>
      <c r="N3428" s="883">
        <v>3962065</v>
      </c>
      <c r="O3428" s="55">
        <v>719</v>
      </c>
      <c r="P3428" s="78">
        <v>0</v>
      </c>
    </row>
    <row r="3429" spans="9:16" ht="15.75" customHeight="1" thickBot="1">
      <c r="I3429" s="874"/>
      <c r="J3429" s="876"/>
      <c r="K3429" s="402"/>
      <c r="L3429" s="880"/>
      <c r="M3429" s="882"/>
      <c r="N3429" s="884"/>
      <c r="O3429" s="56">
        <v>721</v>
      </c>
      <c r="P3429" s="352">
        <f>+N3428-P3428</f>
        <v>3962065</v>
      </c>
    </row>
    <row r="3430" spans="9:16" ht="14.25" customHeight="1">
      <c r="I3430" s="873" t="s">
        <v>1300</v>
      </c>
      <c r="J3430" s="875">
        <v>42734</v>
      </c>
      <c r="K3430" s="402"/>
      <c r="L3430" s="879" t="s">
        <v>1303</v>
      </c>
      <c r="M3430" s="881" t="s">
        <v>145</v>
      </c>
      <c r="N3430" s="883">
        <v>2449488</v>
      </c>
      <c r="O3430" s="55">
        <v>719</v>
      </c>
      <c r="P3430" s="78">
        <v>0</v>
      </c>
    </row>
    <row r="3431" spans="9:16" ht="14.25" customHeight="1" thickBot="1">
      <c r="I3431" s="874"/>
      <c r="J3431" s="876"/>
      <c r="K3431" s="402"/>
      <c r="L3431" s="880"/>
      <c r="M3431" s="882"/>
      <c r="N3431" s="884"/>
      <c r="O3431" s="56">
        <v>721</v>
      </c>
      <c r="P3431" s="352">
        <f>+N3430-P3430</f>
        <v>2449488</v>
      </c>
    </row>
    <row r="3432" spans="9:16" ht="13.5" customHeight="1">
      <c r="I3432" s="873" t="s">
        <v>1308</v>
      </c>
      <c r="J3432" s="875">
        <v>42734</v>
      </c>
      <c r="K3432" s="402"/>
      <c r="L3432" s="879" t="s">
        <v>1306</v>
      </c>
      <c r="M3432" s="881" t="s">
        <v>145</v>
      </c>
      <c r="N3432" s="883">
        <v>4151192</v>
      </c>
      <c r="O3432" s="55">
        <v>719</v>
      </c>
      <c r="P3432" s="78">
        <v>0</v>
      </c>
    </row>
    <row r="3433" spans="9:16" ht="15.75" customHeight="1" thickBot="1">
      <c r="I3433" s="874"/>
      <c r="J3433" s="876"/>
      <c r="K3433" s="402"/>
      <c r="L3433" s="880"/>
      <c r="M3433" s="882"/>
      <c r="N3433" s="884"/>
      <c r="O3433" s="56">
        <v>721</v>
      </c>
      <c r="P3433" s="352">
        <f>+N3432-P3432</f>
        <v>4151192</v>
      </c>
    </row>
    <row r="3434" spans="9:16" ht="12.75" customHeight="1">
      <c r="I3434" s="873" t="s">
        <v>1309</v>
      </c>
      <c r="J3434" s="875">
        <v>42734</v>
      </c>
      <c r="K3434" s="402"/>
      <c r="L3434" s="879" t="s">
        <v>1307</v>
      </c>
      <c r="M3434" s="881" t="s">
        <v>145</v>
      </c>
      <c r="N3434" s="883">
        <v>1734563</v>
      </c>
      <c r="O3434" s="55">
        <v>719</v>
      </c>
      <c r="P3434" s="78"/>
    </row>
    <row r="3435" spans="9:16" ht="12.75" customHeight="1" thickBot="1">
      <c r="I3435" s="874"/>
      <c r="J3435" s="876"/>
      <c r="K3435" s="401"/>
      <c r="L3435" s="880"/>
      <c r="M3435" s="882"/>
      <c r="N3435" s="884"/>
      <c r="O3435" s="56">
        <v>721</v>
      </c>
      <c r="P3435" s="79">
        <f>+N3434-P3434</f>
        <v>1734563</v>
      </c>
    </row>
    <row r="3436" spans="9:16" ht="16.5" thickBot="1">
      <c r="I3436" s="901" t="s">
        <v>102</v>
      </c>
      <c r="J3436" s="902"/>
      <c r="K3436" s="902"/>
      <c r="L3436" s="902"/>
      <c r="M3436" s="903"/>
      <c r="N3436" s="81">
        <f>SUM(N3424:N3435)</f>
        <v>31957150</v>
      </c>
    </row>
    <row r="3437" spans="9:16" ht="16.5" thickBot="1">
      <c r="I3437" s="885" t="s">
        <v>103</v>
      </c>
      <c r="J3437" s="886"/>
      <c r="K3437" s="886"/>
      <c r="L3437" s="886"/>
      <c r="M3437" s="887"/>
      <c r="N3437" s="69">
        <f>+N3398</f>
        <v>682274223</v>
      </c>
      <c r="O3437" s="241" t="s">
        <v>561</v>
      </c>
      <c r="P3437" s="242"/>
    </row>
    <row r="3438" spans="9:16" ht="16.5" thickBot="1">
      <c r="I3438" s="888" t="s">
        <v>104</v>
      </c>
      <c r="J3438" s="889"/>
      <c r="K3438" s="889"/>
      <c r="L3438" s="889"/>
      <c r="M3438" s="890"/>
      <c r="N3438" s="183">
        <f>SUM(N3436:N3437)</f>
        <v>714231373</v>
      </c>
    </row>
    <row r="3439" spans="9:16" ht="12.75" customHeight="1">
      <c r="I3439" s="61"/>
      <c r="J3439" s="61"/>
      <c r="K3439" s="61"/>
      <c r="L3439" s="61"/>
      <c r="M3439" s="61"/>
    </row>
    <row r="3440" spans="9:16">
      <c r="I3440" s="51" t="s">
        <v>1310</v>
      </c>
    </row>
    <row r="3441" spans="9:15" ht="8.25" customHeight="1">
      <c r="N3441" s="139"/>
    </row>
    <row r="3442" spans="9:15">
      <c r="I3442" s="50" t="s">
        <v>105</v>
      </c>
      <c r="L3442" s="146"/>
      <c r="N3442" s="139"/>
    </row>
    <row r="3443" spans="9:15" ht="9" customHeight="1" thickBot="1"/>
    <row r="3444" spans="9:15" ht="15.75" thickBot="1">
      <c r="I3444" s="891" t="s">
        <v>106</v>
      </c>
      <c r="J3444" s="892"/>
      <c r="K3444" s="892"/>
      <c r="L3444" s="893"/>
      <c r="N3444" s="50" t="s">
        <v>1126</v>
      </c>
    </row>
    <row r="3445" spans="9:15" ht="30.75" thickBot="1">
      <c r="I3445" s="57" t="s">
        <v>100</v>
      </c>
      <c r="J3445" s="58" t="s">
        <v>108</v>
      </c>
      <c r="K3445" s="287" t="s">
        <v>109</v>
      </c>
      <c r="L3445" s="60" t="s">
        <v>110</v>
      </c>
    </row>
    <row r="3446" spans="9:15">
      <c r="I3446" s="71">
        <v>719</v>
      </c>
      <c r="J3446" s="73">
        <f>+P3428+P3430+P3434+P3432</f>
        <v>0</v>
      </c>
      <c r="K3446" s="74">
        <f>+L3406</f>
        <v>59190000</v>
      </c>
      <c r="L3446" s="195">
        <f>+J3446+K3446</f>
        <v>59190000</v>
      </c>
    </row>
    <row r="3447" spans="9:15">
      <c r="I3447" s="72">
        <v>721</v>
      </c>
      <c r="J3447" s="80">
        <f>+P3435+P3433+P3431+P3429+P3427+P3425</f>
        <v>31957150</v>
      </c>
      <c r="K3447" s="74">
        <f>+L3407</f>
        <v>254829159</v>
      </c>
      <c r="L3447" s="195">
        <f>+J3447+K3447</f>
        <v>286786309</v>
      </c>
    </row>
    <row r="3448" spans="9:15">
      <c r="I3448" s="72">
        <v>722</v>
      </c>
      <c r="J3448" s="80"/>
      <c r="K3448" s="74">
        <f>+L3408</f>
        <v>49061706</v>
      </c>
      <c r="L3448" s="195">
        <f>+J3448+K3448</f>
        <v>49061706</v>
      </c>
    </row>
    <row r="3449" spans="9:15" ht="15.75">
      <c r="I3449" s="72">
        <v>723</v>
      </c>
      <c r="J3449" s="80"/>
      <c r="K3449" s="74">
        <f>+L3409</f>
        <v>318325858</v>
      </c>
      <c r="L3449" s="195">
        <f>+J3449+K3449</f>
        <v>318325858</v>
      </c>
      <c r="N3449" s="193" t="s">
        <v>1125</v>
      </c>
      <c r="O3449" s="175"/>
    </row>
    <row r="3450" spans="9:15" ht="16.5" thickBot="1">
      <c r="I3450" s="164" t="s">
        <v>1077</v>
      </c>
      <c r="J3450" s="165"/>
      <c r="K3450" s="74">
        <f>+L3410</f>
        <v>797500</v>
      </c>
      <c r="L3450" s="196">
        <f>+J3450+K3450</f>
        <v>797500</v>
      </c>
      <c r="N3450" s="52"/>
    </row>
    <row r="3451" spans="9:15" ht="16.5" thickBot="1">
      <c r="I3451" s="169"/>
      <c r="J3451" s="197">
        <f>SUM(J3446:J3450)</f>
        <v>31957150</v>
      </c>
      <c r="K3451" s="197">
        <f>SUM(K3446:K3450)</f>
        <v>682204223</v>
      </c>
      <c r="L3451" s="198">
        <f>SUM(L3446:L3450)</f>
        <v>714161373</v>
      </c>
    </row>
    <row r="3452" spans="9:15" ht="16.5">
      <c r="I3452" s="49" t="s">
        <v>88</v>
      </c>
      <c r="J3452" s="50"/>
    </row>
    <row r="3453" spans="9:15">
      <c r="I3453" s="51" t="s">
        <v>89</v>
      </c>
    </row>
    <row r="3454" spans="9:15">
      <c r="I3454" s="51" t="s">
        <v>90</v>
      </c>
    </row>
    <row r="3455" spans="9:15">
      <c r="I3455" s="51" t="s">
        <v>91</v>
      </c>
    </row>
    <row r="3456" spans="9:15">
      <c r="I3456" s="50"/>
      <c r="J3456" s="50"/>
    </row>
    <row r="3457" spans="9:16" ht="15.75">
      <c r="I3457" s="260" t="s">
        <v>1312</v>
      </c>
      <c r="O3457" s="52"/>
    </row>
    <row r="3458" spans="9:16" ht="15.75">
      <c r="I3458" s="53" t="s">
        <v>535</v>
      </c>
      <c r="O3458" s="53"/>
    </row>
    <row r="3459" spans="9:16" ht="16.5">
      <c r="I3459" s="894" t="s">
        <v>1316</v>
      </c>
      <c r="J3459" s="894"/>
      <c r="K3459" s="894"/>
      <c r="L3459" s="894"/>
      <c r="M3459" s="894"/>
      <c r="N3459" s="894"/>
      <c r="O3459" s="894"/>
      <c r="P3459" s="894"/>
    </row>
    <row r="3460" spans="9:16" ht="15.75" thickBot="1"/>
    <row r="3461" spans="9:16">
      <c r="I3461" s="895" t="s">
        <v>94</v>
      </c>
      <c r="J3461" s="897" t="s">
        <v>95</v>
      </c>
      <c r="K3461" s="897" t="s">
        <v>96</v>
      </c>
      <c r="L3461" s="897" t="s">
        <v>3</v>
      </c>
      <c r="M3461" s="897" t="s">
        <v>97</v>
      </c>
      <c r="N3461" s="897" t="s">
        <v>98</v>
      </c>
      <c r="O3461" s="897" t="s">
        <v>99</v>
      </c>
      <c r="P3461" s="899"/>
    </row>
    <row r="3462" spans="9:16" ht="15.75" thickBot="1">
      <c r="I3462" s="896"/>
      <c r="J3462" s="898"/>
      <c r="K3462" s="898"/>
      <c r="L3462" s="898"/>
      <c r="M3462" s="898"/>
      <c r="N3462" s="898"/>
      <c r="O3462" s="240" t="s">
        <v>100</v>
      </c>
      <c r="P3462" s="182" t="s">
        <v>101</v>
      </c>
    </row>
    <row r="3463" spans="9:16">
      <c r="I3463" s="873" t="s">
        <v>1311</v>
      </c>
      <c r="J3463" s="875">
        <v>42734</v>
      </c>
      <c r="K3463" s="877" t="s">
        <v>1315</v>
      </c>
      <c r="L3463" s="879" t="s">
        <v>1301</v>
      </c>
      <c r="M3463" s="881" t="s">
        <v>148</v>
      </c>
      <c r="N3463" s="883">
        <v>1817700</v>
      </c>
      <c r="O3463" s="55">
        <v>719</v>
      </c>
      <c r="P3463" s="78"/>
    </row>
    <row r="3464" spans="9:16" ht="15.75" thickBot="1">
      <c r="I3464" s="874"/>
      <c r="J3464" s="876"/>
      <c r="K3464" s="878"/>
      <c r="L3464" s="880"/>
      <c r="M3464" s="882"/>
      <c r="N3464" s="884"/>
      <c r="O3464" s="56">
        <v>723</v>
      </c>
      <c r="P3464" s="351">
        <f>+N3463-P3463</f>
        <v>1817700</v>
      </c>
    </row>
    <row r="3465" spans="9:16">
      <c r="I3465" s="873"/>
      <c r="J3465" s="875"/>
      <c r="K3465" s="877"/>
      <c r="L3465" s="879"/>
      <c r="M3465" s="881"/>
      <c r="N3465" s="883"/>
      <c r="O3465" s="55">
        <v>719</v>
      </c>
      <c r="P3465" s="78"/>
    </row>
    <row r="3466" spans="9:16" ht="15.75" thickBot="1">
      <c r="I3466" s="874"/>
      <c r="J3466" s="876"/>
      <c r="K3466" s="878"/>
      <c r="L3466" s="880"/>
      <c r="M3466" s="882"/>
      <c r="N3466" s="884"/>
      <c r="O3466" s="56">
        <v>723</v>
      </c>
      <c r="P3466" s="352">
        <f>+N3465-P3465</f>
        <v>0</v>
      </c>
    </row>
    <row r="3467" spans="9:16">
      <c r="I3467" s="873"/>
      <c r="J3467" s="875"/>
      <c r="K3467" s="877"/>
      <c r="L3467" s="879"/>
      <c r="M3467" s="881"/>
      <c r="N3467" s="883"/>
      <c r="O3467" s="55">
        <v>719</v>
      </c>
      <c r="P3467" s="78"/>
    </row>
    <row r="3468" spans="9:16" ht="15.75" thickBot="1">
      <c r="I3468" s="874"/>
      <c r="J3468" s="876"/>
      <c r="K3468" s="878"/>
      <c r="L3468" s="880"/>
      <c r="M3468" s="882"/>
      <c r="N3468" s="884"/>
      <c r="O3468" s="56">
        <v>722</v>
      </c>
      <c r="P3468" s="352">
        <f>+N3467-P3467</f>
        <v>0</v>
      </c>
    </row>
    <row r="3469" spans="9:16">
      <c r="I3469" s="881"/>
      <c r="J3469" s="875"/>
      <c r="K3469" s="877"/>
      <c r="L3469" s="904"/>
      <c r="M3469" s="881"/>
      <c r="N3469" s="883"/>
      <c r="O3469" s="55">
        <v>719</v>
      </c>
      <c r="P3469" s="78"/>
    </row>
    <row r="3470" spans="9:16" ht="15.75" thickBot="1">
      <c r="I3470" s="882"/>
      <c r="J3470" s="876"/>
      <c r="K3470" s="878"/>
      <c r="L3470" s="880"/>
      <c r="M3470" s="882"/>
      <c r="N3470" s="884"/>
      <c r="O3470" s="56">
        <v>722</v>
      </c>
      <c r="P3470" s="79">
        <f>+N3469-P3469</f>
        <v>0</v>
      </c>
    </row>
    <row r="3471" spans="9:16" ht="16.5" thickBot="1">
      <c r="I3471" s="901" t="s">
        <v>102</v>
      </c>
      <c r="J3471" s="902"/>
      <c r="K3471" s="902"/>
      <c r="L3471" s="902"/>
      <c r="M3471" s="903"/>
      <c r="N3471" s="81">
        <f>SUM(N3463:N3470)</f>
        <v>1817700</v>
      </c>
    </row>
    <row r="3472" spans="9:16" ht="16.5" thickBot="1">
      <c r="I3472" s="885" t="s">
        <v>103</v>
      </c>
      <c r="J3472" s="886"/>
      <c r="K3472" s="886"/>
      <c r="L3472" s="886"/>
      <c r="M3472" s="887"/>
      <c r="N3472" s="69">
        <f>+N3438</f>
        <v>714231373</v>
      </c>
      <c r="O3472" s="241" t="s">
        <v>561</v>
      </c>
      <c r="P3472" s="242"/>
    </row>
    <row r="3473" spans="9:15" ht="16.5" thickBot="1">
      <c r="I3473" s="888" t="s">
        <v>104</v>
      </c>
      <c r="J3473" s="889"/>
      <c r="K3473" s="889"/>
      <c r="L3473" s="889"/>
      <c r="M3473" s="890"/>
      <c r="N3473" s="183">
        <f>SUM(N3471:N3472)</f>
        <v>716049073</v>
      </c>
    </row>
    <row r="3474" spans="9:15">
      <c r="I3474" s="61"/>
      <c r="J3474" s="61"/>
      <c r="K3474" s="61"/>
      <c r="L3474" s="61"/>
      <c r="M3474" s="61"/>
    </row>
    <row r="3475" spans="9:15">
      <c r="I3475" s="51" t="s">
        <v>1314</v>
      </c>
    </row>
    <row r="3476" spans="9:15">
      <c r="N3476" s="139"/>
    </row>
    <row r="3477" spans="9:15">
      <c r="I3477" s="50" t="s">
        <v>105</v>
      </c>
      <c r="L3477" s="146"/>
      <c r="N3477" s="139"/>
    </row>
    <row r="3478" spans="9:15" ht="15.75" thickBot="1"/>
    <row r="3479" spans="9:15" ht="15.75" thickBot="1">
      <c r="I3479" s="891" t="s">
        <v>106</v>
      </c>
      <c r="J3479" s="892"/>
      <c r="K3479" s="892"/>
      <c r="L3479" s="893"/>
      <c r="N3479" s="50" t="s">
        <v>1313</v>
      </c>
    </row>
    <row r="3480" spans="9:15" ht="30.75" thickBot="1">
      <c r="I3480" s="57" t="s">
        <v>100</v>
      </c>
      <c r="J3480" s="58" t="s">
        <v>108</v>
      </c>
      <c r="K3480" s="287" t="s">
        <v>109</v>
      </c>
      <c r="L3480" s="60" t="s">
        <v>110</v>
      </c>
    </row>
    <row r="3481" spans="9:15">
      <c r="I3481" s="71">
        <v>719</v>
      </c>
      <c r="J3481" s="73"/>
      <c r="K3481" s="74">
        <f>+L3446</f>
        <v>59190000</v>
      </c>
      <c r="L3481" s="195">
        <f>+J3481+K3481</f>
        <v>59190000</v>
      </c>
    </row>
    <row r="3482" spans="9:15">
      <c r="I3482" s="72">
        <v>721</v>
      </c>
      <c r="J3482" s="80"/>
      <c r="K3482" s="74">
        <f>+L3447</f>
        <v>286786309</v>
      </c>
      <c r="L3482" s="195">
        <f>+J3482+K3482</f>
        <v>286786309</v>
      </c>
    </row>
    <row r="3483" spans="9:15">
      <c r="I3483" s="72">
        <v>722</v>
      </c>
      <c r="J3483" s="80"/>
      <c r="K3483" s="74">
        <f>+L3448</f>
        <v>49061706</v>
      </c>
      <c r="L3483" s="195">
        <f>+J3483+K3483</f>
        <v>49061706</v>
      </c>
    </row>
    <row r="3484" spans="9:15" ht="15.75">
      <c r="I3484" s="72">
        <v>723</v>
      </c>
      <c r="J3484" s="80">
        <f>+P3464</f>
        <v>1817700</v>
      </c>
      <c r="K3484" s="74">
        <f>+L3449</f>
        <v>318325858</v>
      </c>
      <c r="L3484" s="195">
        <f>+J3484+K3484</f>
        <v>320143558</v>
      </c>
      <c r="N3484" s="193" t="s">
        <v>1125</v>
      </c>
      <c r="O3484" s="175"/>
    </row>
    <row r="3485" spans="9:15" ht="16.5" thickBot="1">
      <c r="I3485" s="164" t="s">
        <v>1077</v>
      </c>
      <c r="J3485" s="165"/>
      <c r="K3485" s="74">
        <f>+L3450</f>
        <v>797500</v>
      </c>
      <c r="L3485" s="196">
        <f>+J3485+K3485</f>
        <v>797500</v>
      </c>
      <c r="N3485" s="52"/>
    </row>
    <row r="3486" spans="9:15" ht="16.5" thickBot="1">
      <c r="I3486" s="169"/>
      <c r="J3486" s="197">
        <f>SUM(J3481:J3485)</f>
        <v>1817700</v>
      </c>
      <c r="K3486" s="197">
        <f>SUM(K3481:K3485)</f>
        <v>714161373</v>
      </c>
      <c r="L3486" s="198">
        <f>SUM(L3481:L3485)</f>
        <v>715979073</v>
      </c>
    </row>
    <row r="3487" spans="9:15" ht="15.75">
      <c r="I3487" s="397"/>
      <c r="J3487" s="398"/>
      <c r="K3487" s="398"/>
      <c r="L3487" s="399"/>
    </row>
    <row r="3488" spans="9:15" ht="16.5">
      <c r="I3488" s="49" t="s">
        <v>88</v>
      </c>
      <c r="J3488" s="50"/>
    </row>
    <row r="3489" spans="9:16">
      <c r="I3489" s="51" t="s">
        <v>89</v>
      </c>
    </row>
    <row r="3490" spans="9:16">
      <c r="I3490" s="51" t="s">
        <v>90</v>
      </c>
    </row>
    <row r="3491" spans="9:16">
      <c r="I3491" s="51" t="s">
        <v>91</v>
      </c>
    </row>
    <row r="3492" spans="9:16">
      <c r="I3492" s="50"/>
      <c r="J3492" s="50"/>
    </row>
    <row r="3493" spans="9:16" ht="15.75">
      <c r="I3493" s="260" t="s">
        <v>1320</v>
      </c>
      <c r="O3493" s="52"/>
    </row>
    <row r="3494" spans="9:16" ht="15.75">
      <c r="I3494" s="53" t="s">
        <v>535</v>
      </c>
      <c r="O3494" s="53"/>
    </row>
    <row r="3495" spans="9:16" ht="16.5">
      <c r="I3495" s="894" t="s">
        <v>1317</v>
      </c>
      <c r="J3495" s="894"/>
      <c r="K3495" s="894"/>
      <c r="L3495" s="894"/>
      <c r="M3495" s="894"/>
      <c r="N3495" s="894"/>
      <c r="O3495" s="894"/>
      <c r="P3495" s="894"/>
    </row>
    <row r="3496" spans="9:16" ht="15.75" thickBot="1"/>
    <row r="3497" spans="9:16">
      <c r="I3497" s="895" t="s">
        <v>94</v>
      </c>
      <c r="J3497" s="897" t="s">
        <v>95</v>
      </c>
      <c r="K3497" s="897" t="s">
        <v>96</v>
      </c>
      <c r="L3497" s="897" t="s">
        <v>3</v>
      </c>
      <c r="M3497" s="897" t="s">
        <v>97</v>
      </c>
      <c r="N3497" s="897" t="s">
        <v>98</v>
      </c>
      <c r="O3497" s="897" t="s">
        <v>99</v>
      </c>
      <c r="P3497" s="899"/>
    </row>
    <row r="3498" spans="9:16" ht="15.75" thickBot="1">
      <c r="I3498" s="896"/>
      <c r="J3498" s="898"/>
      <c r="K3498" s="898"/>
      <c r="L3498" s="898"/>
      <c r="M3498" s="898"/>
      <c r="N3498" s="898"/>
      <c r="O3498" s="240" t="s">
        <v>100</v>
      </c>
      <c r="P3498" s="182" t="s">
        <v>101</v>
      </c>
    </row>
    <row r="3499" spans="9:16" ht="15" customHeight="1">
      <c r="I3499" s="873" t="s">
        <v>554</v>
      </c>
      <c r="J3499" s="875">
        <v>42735</v>
      </c>
      <c r="K3499" s="877" t="s">
        <v>1267</v>
      </c>
      <c r="L3499" s="879" t="s">
        <v>1221</v>
      </c>
      <c r="M3499" s="881" t="s">
        <v>145</v>
      </c>
      <c r="N3499" s="883">
        <v>-14718204</v>
      </c>
      <c r="O3499" s="55">
        <v>719</v>
      </c>
      <c r="P3499" s="78"/>
    </row>
    <row r="3500" spans="9:16" ht="15.75" customHeight="1" thickBot="1">
      <c r="I3500" s="874"/>
      <c r="J3500" s="876"/>
      <c r="K3500" s="900"/>
      <c r="L3500" s="880"/>
      <c r="M3500" s="882"/>
      <c r="N3500" s="884"/>
      <c r="O3500" s="56">
        <v>721</v>
      </c>
      <c r="P3500" s="351">
        <f>+N3499-P3499</f>
        <v>-14718204</v>
      </c>
    </row>
    <row r="3501" spans="9:16" ht="15" customHeight="1">
      <c r="I3501" s="873" t="s">
        <v>1318</v>
      </c>
      <c r="J3501" s="875">
        <v>42735</v>
      </c>
      <c r="K3501" s="900"/>
      <c r="L3501" s="879" t="s">
        <v>1305</v>
      </c>
      <c r="M3501" s="881" t="s">
        <v>145</v>
      </c>
      <c r="N3501" s="883">
        <v>-3962065</v>
      </c>
      <c r="O3501" s="55">
        <v>719</v>
      </c>
      <c r="P3501" s="78"/>
    </row>
    <row r="3502" spans="9:16" ht="15.75" customHeight="1" thickBot="1">
      <c r="I3502" s="874"/>
      <c r="J3502" s="876"/>
      <c r="K3502" s="878"/>
      <c r="L3502" s="880"/>
      <c r="M3502" s="882"/>
      <c r="N3502" s="884"/>
      <c r="O3502" s="56">
        <v>721</v>
      </c>
      <c r="P3502" s="352">
        <f>+N3501-P3501</f>
        <v>-3962065</v>
      </c>
    </row>
    <row r="3503" spans="9:16" ht="15.75" customHeight="1">
      <c r="I3503" s="462"/>
      <c r="J3503" s="252"/>
      <c r="K3503" s="253"/>
      <c r="L3503" s="463"/>
      <c r="M3503" s="251"/>
      <c r="N3503" s="254"/>
      <c r="O3503" s="255"/>
      <c r="P3503" s="464"/>
    </row>
    <row r="3504" spans="9:16" ht="15.75" customHeight="1">
      <c r="I3504" s="462"/>
      <c r="J3504" s="252"/>
      <c r="K3504" s="253"/>
      <c r="L3504" s="463"/>
      <c r="M3504" s="251"/>
      <c r="N3504" s="254"/>
      <c r="O3504" s="255"/>
      <c r="P3504" s="464"/>
    </row>
    <row r="3505" spans="9:16" ht="15.75" customHeight="1">
      <c r="I3505" s="462"/>
      <c r="J3505" s="252"/>
      <c r="K3505" s="253"/>
      <c r="L3505" s="463"/>
      <c r="M3505" s="251"/>
      <c r="N3505" s="254"/>
      <c r="O3505" s="255"/>
      <c r="P3505" s="464"/>
    </row>
    <row r="3506" spans="9:16" ht="15.75" customHeight="1" thickBot="1">
      <c r="I3506" s="462"/>
      <c r="J3506" s="252"/>
      <c r="K3506" s="253"/>
      <c r="L3506" s="463"/>
      <c r="M3506" s="251"/>
      <c r="N3506" s="254"/>
      <c r="O3506" s="255"/>
      <c r="P3506" s="464"/>
    </row>
    <row r="3507" spans="9:16" ht="15" customHeight="1">
      <c r="I3507" s="873"/>
      <c r="J3507" s="875"/>
      <c r="K3507" s="877"/>
      <c r="L3507" s="879"/>
      <c r="M3507" s="881"/>
      <c r="N3507" s="883"/>
      <c r="O3507" s="55">
        <v>719</v>
      </c>
      <c r="P3507" s="78"/>
    </row>
    <row r="3508" spans="9:16" ht="15.75" customHeight="1" thickBot="1">
      <c r="I3508" s="874"/>
      <c r="J3508" s="876"/>
      <c r="K3508" s="878"/>
      <c r="L3508" s="880"/>
      <c r="M3508" s="882"/>
      <c r="N3508" s="884"/>
      <c r="O3508" s="56">
        <v>722</v>
      </c>
      <c r="P3508" s="352"/>
    </row>
    <row r="3509" spans="9:16" ht="15" customHeight="1">
      <c r="I3509" s="873"/>
      <c r="J3509" s="875"/>
      <c r="K3509" s="877"/>
      <c r="L3509" s="879"/>
      <c r="M3509" s="881"/>
      <c r="N3509" s="883"/>
      <c r="O3509" s="55">
        <v>719</v>
      </c>
      <c r="P3509" s="78"/>
    </row>
    <row r="3510" spans="9:16" ht="15.75" customHeight="1" thickBot="1">
      <c r="I3510" s="874"/>
      <c r="J3510" s="876"/>
      <c r="K3510" s="878"/>
      <c r="L3510" s="880"/>
      <c r="M3510" s="882"/>
      <c r="N3510" s="884"/>
      <c r="O3510" s="56">
        <v>722</v>
      </c>
      <c r="P3510" s="79">
        <f>+N3509-P3509</f>
        <v>0</v>
      </c>
    </row>
    <row r="3511" spans="9:16" ht="16.5" thickBot="1">
      <c r="I3511" s="901" t="s">
        <v>102</v>
      </c>
      <c r="J3511" s="902"/>
      <c r="K3511" s="902"/>
      <c r="L3511" s="902"/>
      <c r="M3511" s="903"/>
      <c r="N3511" s="81">
        <f>SUM(N3499:N3510)</f>
        <v>-18680269</v>
      </c>
    </row>
    <row r="3512" spans="9:16" ht="16.5" thickBot="1">
      <c r="I3512" s="885" t="s">
        <v>103</v>
      </c>
      <c r="J3512" s="886"/>
      <c r="K3512" s="886"/>
      <c r="L3512" s="886"/>
      <c r="M3512" s="887"/>
      <c r="N3512" s="69">
        <f>+N3473</f>
        <v>716049073</v>
      </c>
      <c r="O3512" s="241" t="s">
        <v>561</v>
      </c>
      <c r="P3512" s="242"/>
    </row>
    <row r="3513" spans="9:16" ht="16.5" thickBot="1">
      <c r="I3513" s="888" t="s">
        <v>104</v>
      </c>
      <c r="J3513" s="889"/>
      <c r="K3513" s="889"/>
      <c r="L3513" s="889"/>
      <c r="M3513" s="890"/>
      <c r="N3513" s="183">
        <f>SUM(N3511:N3512)</f>
        <v>697368804</v>
      </c>
    </row>
    <row r="3514" spans="9:16">
      <c r="I3514" s="61"/>
      <c r="J3514" s="61"/>
      <c r="K3514" s="61"/>
      <c r="L3514" s="61"/>
      <c r="M3514" s="61"/>
    </row>
    <row r="3515" spans="9:16">
      <c r="I3515" s="51" t="s">
        <v>1319</v>
      </c>
    </row>
    <row r="3516" spans="9:16">
      <c r="N3516" s="139"/>
    </row>
    <row r="3517" spans="9:16">
      <c r="I3517" s="50" t="s">
        <v>105</v>
      </c>
      <c r="L3517" s="146"/>
      <c r="N3517" s="139"/>
    </row>
    <row r="3518" spans="9:16" ht="15.75" thickBot="1"/>
    <row r="3519" spans="9:16" ht="15.75" thickBot="1">
      <c r="I3519" s="891" t="s">
        <v>106</v>
      </c>
      <c r="J3519" s="892"/>
      <c r="K3519" s="892"/>
      <c r="L3519" s="893"/>
      <c r="N3519" s="50" t="s">
        <v>288</v>
      </c>
    </row>
    <row r="3520" spans="9:16" ht="30.75" thickBot="1">
      <c r="I3520" s="57" t="s">
        <v>100</v>
      </c>
      <c r="J3520" s="58" t="s">
        <v>108</v>
      </c>
      <c r="K3520" s="287" t="s">
        <v>109</v>
      </c>
      <c r="L3520" s="60" t="s">
        <v>110</v>
      </c>
    </row>
    <row r="3521" spans="9:16">
      <c r="I3521" s="71">
        <v>719</v>
      </c>
      <c r="J3521" s="73">
        <f>+P3499+P3501+P3509</f>
        <v>0</v>
      </c>
      <c r="K3521" s="74">
        <f>+L3481</f>
        <v>59190000</v>
      </c>
      <c r="L3521" s="195">
        <f>+J3521+K3521</f>
        <v>59190000</v>
      </c>
    </row>
    <row r="3522" spans="9:16">
      <c r="I3522" s="72">
        <v>721</v>
      </c>
      <c r="J3522" s="80">
        <f>+P3500+P3502</f>
        <v>-18680269</v>
      </c>
      <c r="K3522" s="74">
        <f>+L3482</f>
        <v>286786309</v>
      </c>
      <c r="L3522" s="195">
        <f>+J3522+K3522</f>
        <v>268106040</v>
      </c>
    </row>
    <row r="3523" spans="9:16" ht="15.75">
      <c r="I3523" s="72">
        <v>722</v>
      </c>
      <c r="J3523" s="80"/>
      <c r="K3523" s="74">
        <f>+L3483</f>
        <v>49061706</v>
      </c>
      <c r="L3523" s="195">
        <f>+J3523+K3523</f>
        <v>49061706</v>
      </c>
      <c r="N3523" s="193" t="s">
        <v>1125</v>
      </c>
    </row>
    <row r="3524" spans="9:16" ht="15.75">
      <c r="I3524" s="72">
        <v>723</v>
      </c>
      <c r="J3524" s="80"/>
      <c r="K3524" s="74">
        <f>+L3484</f>
        <v>320143558</v>
      </c>
      <c r="L3524" s="195">
        <f>+J3524+K3524</f>
        <v>320143558</v>
      </c>
      <c r="N3524" s="193"/>
      <c r="O3524" s="175"/>
    </row>
    <row r="3525" spans="9:16" ht="16.5" thickBot="1">
      <c r="I3525" s="164" t="s">
        <v>1077</v>
      </c>
      <c r="J3525" s="165"/>
      <c r="K3525" s="74">
        <f>+L3485</f>
        <v>797500</v>
      </c>
      <c r="L3525" s="196">
        <f>+J3525+K3525</f>
        <v>797500</v>
      </c>
      <c r="N3525" s="52"/>
    </row>
    <row r="3526" spans="9:16" ht="16.5" thickBot="1">
      <c r="I3526" s="169"/>
      <c r="J3526" s="197">
        <f>SUM(J3521:J3525)</f>
        <v>-18680269</v>
      </c>
      <c r="K3526" s="197">
        <f>SUM(K3521:K3525)</f>
        <v>715979073</v>
      </c>
      <c r="L3526" s="198">
        <f>SUM(L3521:L3525)</f>
        <v>697298804</v>
      </c>
    </row>
    <row r="3527" spans="9:16" ht="15.75">
      <c r="I3527" s="397"/>
      <c r="J3527" s="398"/>
      <c r="K3527" s="398"/>
      <c r="L3527" s="399"/>
    </row>
    <row r="3528" spans="9:16" ht="16.5">
      <c r="I3528" s="49" t="s">
        <v>88</v>
      </c>
      <c r="J3528" s="50"/>
    </row>
    <row r="3529" spans="9:16">
      <c r="I3529" s="51" t="s">
        <v>89</v>
      </c>
    </row>
    <row r="3530" spans="9:16">
      <c r="I3530" s="51" t="s">
        <v>90</v>
      </c>
    </row>
    <row r="3531" spans="9:16">
      <c r="I3531" s="51" t="s">
        <v>91</v>
      </c>
    </row>
    <row r="3532" spans="9:16">
      <c r="I3532" s="50"/>
      <c r="J3532" s="50"/>
    </row>
    <row r="3533" spans="9:16" ht="15.75">
      <c r="I3533" s="260" t="s">
        <v>1322</v>
      </c>
      <c r="O3533" s="52"/>
    </row>
    <row r="3534" spans="9:16" ht="15.75">
      <c r="I3534" s="53" t="s">
        <v>535</v>
      </c>
      <c r="O3534" s="53"/>
    </row>
    <row r="3535" spans="9:16" ht="16.5">
      <c r="I3535" s="894" t="s">
        <v>1328</v>
      </c>
      <c r="J3535" s="894"/>
      <c r="K3535" s="894"/>
      <c r="L3535" s="894"/>
      <c r="M3535" s="894"/>
      <c r="N3535" s="894"/>
      <c r="O3535" s="894"/>
      <c r="P3535" s="894"/>
    </row>
    <row r="3536" spans="9:16" ht="15.75" thickBot="1"/>
    <row r="3537" spans="9:16">
      <c r="I3537" s="895" t="s">
        <v>94</v>
      </c>
      <c r="J3537" s="897" t="s">
        <v>95</v>
      </c>
      <c r="K3537" s="897" t="s">
        <v>96</v>
      </c>
      <c r="L3537" s="897" t="s">
        <v>3</v>
      </c>
      <c r="M3537" s="897" t="s">
        <v>97</v>
      </c>
      <c r="N3537" s="897" t="s">
        <v>98</v>
      </c>
      <c r="O3537" s="897" t="s">
        <v>99</v>
      </c>
      <c r="P3537" s="899"/>
    </row>
    <row r="3538" spans="9:16" ht="15.75" thickBot="1">
      <c r="I3538" s="896"/>
      <c r="J3538" s="898"/>
      <c r="K3538" s="898"/>
      <c r="L3538" s="898"/>
      <c r="M3538" s="898"/>
      <c r="N3538" s="898"/>
      <c r="O3538" s="240" t="s">
        <v>100</v>
      </c>
      <c r="P3538" s="182" t="s">
        <v>101</v>
      </c>
    </row>
    <row r="3539" spans="9:16">
      <c r="I3539" s="873" t="s">
        <v>1323</v>
      </c>
      <c r="J3539" s="875">
        <v>42735</v>
      </c>
      <c r="K3539" s="877" t="s">
        <v>1267</v>
      </c>
      <c r="L3539" s="879" t="s">
        <v>1325</v>
      </c>
      <c r="M3539" s="881" t="s">
        <v>145</v>
      </c>
      <c r="N3539" s="883">
        <v>3379917</v>
      </c>
      <c r="O3539" s="55">
        <v>719</v>
      </c>
      <c r="P3539" s="78"/>
    </row>
    <row r="3540" spans="9:16" ht="15.75" thickBot="1">
      <c r="I3540" s="874"/>
      <c r="J3540" s="876"/>
      <c r="K3540" s="900"/>
      <c r="L3540" s="880"/>
      <c r="M3540" s="882"/>
      <c r="N3540" s="884"/>
      <c r="O3540" s="56">
        <v>721</v>
      </c>
      <c r="P3540" s="351">
        <f>+N3539-P3539</f>
        <v>3379917</v>
      </c>
    </row>
    <row r="3541" spans="9:16">
      <c r="I3541" s="873" t="s">
        <v>1324</v>
      </c>
      <c r="J3541" s="875">
        <v>42735</v>
      </c>
      <c r="K3541" s="900"/>
      <c r="L3541" s="879" t="s">
        <v>1326</v>
      </c>
      <c r="M3541" s="881" t="s">
        <v>145</v>
      </c>
      <c r="N3541" s="883">
        <v>1673382</v>
      </c>
      <c r="O3541" s="55">
        <v>719</v>
      </c>
      <c r="P3541" s="78"/>
    </row>
    <row r="3542" spans="9:16" ht="15.75" thickBot="1">
      <c r="I3542" s="874"/>
      <c r="J3542" s="876"/>
      <c r="K3542" s="878"/>
      <c r="L3542" s="880"/>
      <c r="M3542" s="882"/>
      <c r="N3542" s="884"/>
      <c r="O3542" s="56">
        <v>721</v>
      </c>
      <c r="P3542" s="352">
        <f>+N3541-P3541</f>
        <v>1673382</v>
      </c>
    </row>
    <row r="3543" spans="9:16" ht="16.5">
      <c r="I3543" s="462"/>
      <c r="J3543" s="252"/>
      <c r="K3543" s="253"/>
      <c r="L3543" s="463"/>
      <c r="M3543" s="251"/>
      <c r="N3543" s="254"/>
      <c r="O3543" s="255"/>
      <c r="P3543" s="464"/>
    </row>
    <row r="3544" spans="9:16" ht="16.5">
      <c r="I3544" s="462"/>
      <c r="J3544" s="252"/>
      <c r="K3544" s="253"/>
      <c r="L3544" s="463"/>
      <c r="M3544" s="251"/>
      <c r="N3544" s="254"/>
      <c r="O3544" s="255"/>
      <c r="P3544" s="464"/>
    </row>
    <row r="3545" spans="9:16" ht="16.5">
      <c r="I3545" s="462"/>
      <c r="J3545" s="252"/>
      <c r="K3545" s="253"/>
      <c r="L3545" s="463"/>
      <c r="M3545" s="251"/>
      <c r="N3545" s="254"/>
      <c r="O3545" s="255"/>
      <c r="P3545" s="464"/>
    </row>
    <row r="3546" spans="9:16" ht="16.5">
      <c r="I3546" s="462"/>
      <c r="J3546" s="252"/>
      <c r="K3546" s="253"/>
      <c r="L3546" s="463"/>
      <c r="M3546" s="251"/>
      <c r="N3546" s="254"/>
      <c r="O3546" s="255"/>
      <c r="P3546" s="464"/>
    </row>
    <row r="3547" spans="9:16" ht="16.5">
      <c r="I3547" s="462"/>
      <c r="J3547" s="252"/>
      <c r="K3547" s="253"/>
      <c r="L3547" s="463"/>
      <c r="M3547" s="251"/>
      <c r="N3547" s="254"/>
      <c r="O3547" s="255"/>
      <c r="P3547" s="464"/>
    </row>
    <row r="3548" spans="9:16" ht="16.5">
      <c r="I3548" s="462"/>
      <c r="J3548" s="252"/>
      <c r="K3548" s="253"/>
      <c r="L3548" s="463"/>
      <c r="M3548" s="251"/>
      <c r="N3548" s="254"/>
      <c r="O3548" s="255"/>
      <c r="P3548" s="464"/>
    </row>
    <row r="3549" spans="9:16" ht="16.5">
      <c r="I3549" s="462"/>
      <c r="J3549" s="252"/>
      <c r="K3549" s="253"/>
      <c r="L3549" s="463"/>
      <c r="M3549" s="251"/>
      <c r="N3549" s="254"/>
      <c r="O3549" s="255"/>
      <c r="P3549" s="464"/>
    </row>
    <row r="3550" spans="9:16" ht="16.5">
      <c r="I3550" s="462"/>
      <c r="J3550" s="252"/>
      <c r="K3550" s="253"/>
      <c r="L3550" s="463"/>
      <c r="M3550" s="251"/>
      <c r="N3550" s="254"/>
      <c r="O3550" s="255"/>
      <c r="P3550" s="464"/>
    </row>
    <row r="3551" spans="9:16" ht="16.5">
      <c r="I3551" s="462"/>
      <c r="J3551" s="252"/>
      <c r="K3551" s="253"/>
      <c r="L3551" s="463"/>
      <c r="M3551" s="251"/>
      <c r="N3551" s="254"/>
      <c r="O3551" s="255"/>
      <c r="P3551" s="464"/>
    </row>
    <row r="3552" spans="9:16" ht="16.5">
      <c r="I3552" s="462"/>
      <c r="J3552" s="252"/>
      <c r="K3552" s="253"/>
      <c r="L3552" s="463"/>
      <c r="M3552" s="251"/>
      <c r="N3552" s="254"/>
      <c r="O3552" s="255"/>
      <c r="P3552" s="464"/>
    </row>
    <row r="3553" spans="9:16" ht="16.5">
      <c r="I3553" s="462"/>
      <c r="J3553" s="252"/>
      <c r="K3553" s="253"/>
      <c r="L3553" s="463"/>
      <c r="M3553" s="251"/>
      <c r="N3553" s="254"/>
      <c r="O3553" s="255"/>
      <c r="P3553" s="464"/>
    </row>
    <row r="3554" spans="9:16" ht="17.25" thickBot="1">
      <c r="I3554" s="462"/>
      <c r="J3554" s="252"/>
      <c r="K3554" s="253"/>
      <c r="L3554" s="463"/>
      <c r="M3554" s="251"/>
      <c r="N3554" s="254"/>
      <c r="O3554" s="255"/>
      <c r="P3554" s="464"/>
    </row>
    <row r="3555" spans="9:16" ht="15" customHeight="1">
      <c r="I3555" s="873"/>
      <c r="J3555" s="875"/>
      <c r="K3555" s="877"/>
      <c r="L3555" s="879"/>
      <c r="M3555" s="881"/>
      <c r="N3555" s="883"/>
      <c r="O3555" s="55">
        <v>719</v>
      </c>
      <c r="P3555" s="78"/>
    </row>
    <row r="3556" spans="9:16" ht="15.75" customHeight="1" thickBot="1">
      <c r="I3556" s="874"/>
      <c r="J3556" s="876"/>
      <c r="K3556" s="878"/>
      <c r="L3556" s="880"/>
      <c r="M3556" s="882"/>
      <c r="N3556" s="884"/>
      <c r="O3556" s="56">
        <v>722</v>
      </c>
      <c r="P3556" s="352"/>
    </row>
    <row r="3557" spans="9:16" ht="15" customHeight="1">
      <c r="I3557" s="873"/>
      <c r="J3557" s="875"/>
      <c r="K3557" s="877"/>
      <c r="L3557" s="879"/>
      <c r="M3557" s="881"/>
      <c r="N3557" s="883"/>
      <c r="O3557" s="55">
        <v>719</v>
      </c>
      <c r="P3557" s="78"/>
    </row>
    <row r="3558" spans="9:16" ht="15.75" customHeight="1" thickBot="1">
      <c r="I3558" s="874"/>
      <c r="J3558" s="876"/>
      <c r="K3558" s="878"/>
      <c r="L3558" s="880"/>
      <c r="M3558" s="882"/>
      <c r="N3558" s="884"/>
      <c r="O3558" s="56">
        <v>722</v>
      </c>
      <c r="P3558" s="79">
        <f>+N3557-P3557</f>
        <v>0</v>
      </c>
    </row>
    <row r="3559" spans="9:16" ht="16.5" thickBot="1">
      <c r="I3559" s="901" t="s">
        <v>102</v>
      </c>
      <c r="J3559" s="902"/>
      <c r="K3559" s="902"/>
      <c r="L3559" s="902"/>
      <c r="M3559" s="903"/>
      <c r="N3559" s="81">
        <f>SUM(N3539:N3558)</f>
        <v>5053299</v>
      </c>
    </row>
    <row r="3560" spans="9:16" ht="16.5" thickBot="1">
      <c r="I3560" s="885" t="s">
        <v>103</v>
      </c>
      <c r="J3560" s="886"/>
      <c r="K3560" s="886"/>
      <c r="L3560" s="886"/>
      <c r="M3560" s="887"/>
      <c r="N3560" s="69">
        <f>+N3513</f>
        <v>697368804</v>
      </c>
      <c r="O3560" s="241" t="s">
        <v>561</v>
      </c>
      <c r="P3560" s="242"/>
    </row>
    <row r="3561" spans="9:16" ht="16.5" thickBot="1">
      <c r="I3561" s="888" t="s">
        <v>104</v>
      </c>
      <c r="J3561" s="889"/>
      <c r="K3561" s="889"/>
      <c r="L3561" s="889"/>
      <c r="M3561" s="890"/>
      <c r="N3561" s="183">
        <f>SUM(N3559:N3560)</f>
        <v>702422103</v>
      </c>
    </row>
    <row r="3562" spans="9:16">
      <c r="I3562" s="61"/>
      <c r="J3562" s="61"/>
      <c r="K3562" s="61"/>
      <c r="L3562" s="61"/>
      <c r="M3562" s="61"/>
    </row>
    <row r="3563" spans="9:16">
      <c r="I3563" s="51" t="s">
        <v>1327</v>
      </c>
    </row>
    <row r="3564" spans="9:16">
      <c r="N3564" s="139"/>
    </row>
    <row r="3565" spans="9:16">
      <c r="I3565" s="50" t="s">
        <v>105</v>
      </c>
      <c r="L3565" s="146"/>
      <c r="N3565" s="139"/>
    </row>
    <row r="3566" spans="9:16" ht="15.75" thickBot="1"/>
    <row r="3567" spans="9:16" ht="15.75" thickBot="1">
      <c r="I3567" s="891" t="s">
        <v>106</v>
      </c>
      <c r="J3567" s="892"/>
      <c r="K3567" s="892"/>
      <c r="L3567" s="893"/>
      <c r="N3567" s="50" t="s">
        <v>288</v>
      </c>
    </row>
    <row r="3568" spans="9:16" ht="30.75" thickBot="1">
      <c r="I3568" s="57" t="s">
        <v>100</v>
      </c>
      <c r="J3568" s="58" t="s">
        <v>108</v>
      </c>
      <c r="K3568" s="287" t="s">
        <v>109</v>
      </c>
      <c r="L3568" s="60" t="s">
        <v>110</v>
      </c>
    </row>
    <row r="3569" spans="9:16">
      <c r="I3569" s="71">
        <v>719</v>
      </c>
      <c r="J3569" s="73">
        <f>+P3539+P3541+P3557</f>
        <v>0</v>
      </c>
      <c r="K3569" s="74">
        <f>+L3521</f>
        <v>59190000</v>
      </c>
      <c r="L3569" s="195">
        <f>+J3569+K3569</f>
        <v>59190000</v>
      </c>
    </row>
    <row r="3570" spans="9:16">
      <c r="I3570" s="72">
        <v>721</v>
      </c>
      <c r="J3570" s="80">
        <f>+P3540+P3542</f>
        <v>5053299</v>
      </c>
      <c r="K3570" s="74">
        <f>+L3522</f>
        <v>268106040</v>
      </c>
      <c r="L3570" s="195">
        <f>+J3570+K3570</f>
        <v>273159339</v>
      </c>
    </row>
    <row r="3571" spans="9:16" ht="15.75">
      <c r="I3571" s="72">
        <v>722</v>
      </c>
      <c r="J3571" s="80"/>
      <c r="K3571" s="74">
        <f>+L3523</f>
        <v>49061706</v>
      </c>
      <c r="L3571" s="195">
        <f>+J3571+K3571</f>
        <v>49061706</v>
      </c>
      <c r="N3571" s="193" t="s">
        <v>23</v>
      </c>
    </row>
    <row r="3572" spans="9:16" ht="15.75">
      <c r="I3572" s="72">
        <v>723</v>
      </c>
      <c r="J3572" s="80"/>
      <c r="K3572" s="74">
        <f>+L3524</f>
        <v>320143558</v>
      </c>
      <c r="L3572" s="195">
        <f>+J3572+K3572</f>
        <v>320143558</v>
      </c>
      <c r="N3572" s="193"/>
      <c r="O3572" s="175"/>
    </row>
    <row r="3573" spans="9:16" ht="16.5" thickBot="1">
      <c r="I3573" s="164" t="s">
        <v>1077</v>
      </c>
      <c r="J3573" s="165"/>
      <c r="K3573" s="74">
        <f>+L3525</f>
        <v>797500</v>
      </c>
      <c r="L3573" s="196">
        <f>+J3573+K3573</f>
        <v>797500</v>
      </c>
      <c r="N3573" s="52"/>
    </row>
    <row r="3574" spans="9:16" ht="16.5" thickBot="1">
      <c r="I3574" s="169"/>
      <c r="J3574" s="197">
        <f>SUM(J3569:J3573)</f>
        <v>5053299</v>
      </c>
      <c r="K3574" s="197">
        <f>SUM(K3569:K3573)</f>
        <v>697298804</v>
      </c>
      <c r="L3574" s="198">
        <f>SUM(L3569:L3573)</f>
        <v>702352103</v>
      </c>
    </row>
    <row r="3575" spans="9:16" ht="16.5">
      <c r="I3575" s="49" t="s">
        <v>88</v>
      </c>
      <c r="J3575" s="50"/>
    </row>
    <row r="3576" spans="9:16">
      <c r="I3576" s="51" t="s">
        <v>89</v>
      </c>
    </row>
    <row r="3577" spans="9:16">
      <c r="I3577" s="51" t="s">
        <v>90</v>
      </c>
    </row>
    <row r="3578" spans="9:16">
      <c r="I3578" s="51" t="s">
        <v>91</v>
      </c>
    </row>
    <row r="3579" spans="9:16" ht="10.5" customHeight="1">
      <c r="I3579" s="50"/>
      <c r="J3579" s="50"/>
    </row>
    <row r="3580" spans="9:16" ht="15.75">
      <c r="I3580" s="260" t="s">
        <v>1699</v>
      </c>
      <c r="O3580" s="52"/>
    </row>
    <row r="3581" spans="9:16" ht="15.75">
      <c r="I3581" s="53" t="s">
        <v>1623</v>
      </c>
      <c r="O3581" s="53"/>
    </row>
    <row r="3582" spans="9:16" ht="16.5">
      <c r="I3582" s="894" t="s">
        <v>1700</v>
      </c>
      <c r="J3582" s="894"/>
      <c r="K3582" s="894"/>
      <c r="L3582" s="894"/>
      <c r="M3582" s="894"/>
      <c r="N3582" s="894"/>
      <c r="O3582" s="894"/>
      <c r="P3582" s="894"/>
    </row>
    <row r="3583" spans="9:16" ht="15.75" thickBot="1"/>
    <row r="3584" spans="9:16">
      <c r="I3584" s="895" t="s">
        <v>94</v>
      </c>
      <c r="J3584" s="897" t="s">
        <v>95</v>
      </c>
      <c r="K3584" s="897" t="s">
        <v>96</v>
      </c>
      <c r="L3584" s="897" t="s">
        <v>3</v>
      </c>
      <c r="M3584" s="897" t="s">
        <v>97</v>
      </c>
      <c r="N3584" s="897" t="s">
        <v>98</v>
      </c>
      <c r="O3584" s="897" t="s">
        <v>99</v>
      </c>
      <c r="P3584" s="899"/>
    </row>
    <row r="3585" spans="9:16" ht="15.75" thickBot="1">
      <c r="I3585" s="896"/>
      <c r="J3585" s="898"/>
      <c r="K3585" s="898"/>
      <c r="L3585" s="898"/>
      <c r="M3585" s="898"/>
      <c r="N3585" s="898"/>
      <c r="O3585" s="240" t="s">
        <v>100</v>
      </c>
      <c r="P3585" s="182" t="s">
        <v>101</v>
      </c>
    </row>
    <row r="3586" spans="9:16">
      <c r="I3586" s="873" t="s">
        <v>1698</v>
      </c>
      <c r="J3586" s="875">
        <v>43464</v>
      </c>
      <c r="K3586" s="877" t="s">
        <v>815</v>
      </c>
      <c r="L3586" s="879" t="s">
        <v>1697</v>
      </c>
      <c r="M3586" s="881" t="s">
        <v>115</v>
      </c>
      <c r="N3586" s="883">
        <v>681500</v>
      </c>
      <c r="O3586" s="55">
        <v>719</v>
      </c>
      <c r="P3586" s="78">
        <v>517000</v>
      </c>
    </row>
    <row r="3587" spans="9:16" ht="15.75" thickBot="1">
      <c r="I3587" s="874"/>
      <c r="J3587" s="876"/>
      <c r="K3587" s="900"/>
      <c r="L3587" s="880"/>
      <c r="M3587" s="882"/>
      <c r="N3587" s="884"/>
      <c r="O3587" s="56">
        <v>721</v>
      </c>
      <c r="P3587" s="351">
        <f>+N3586-P3586</f>
        <v>164500</v>
      </c>
    </row>
    <row r="3588" spans="9:16" ht="15" customHeight="1">
      <c r="I3588" s="873"/>
      <c r="J3588" s="875"/>
      <c r="K3588" s="877"/>
      <c r="L3588" s="879"/>
      <c r="M3588" s="881"/>
      <c r="N3588" s="883"/>
      <c r="O3588" s="55">
        <v>719</v>
      </c>
      <c r="P3588" s="78"/>
    </row>
    <row r="3589" spans="9:16" ht="15.75" customHeight="1" thickBot="1">
      <c r="I3589" s="874"/>
      <c r="J3589" s="876"/>
      <c r="K3589" s="878"/>
      <c r="L3589" s="880"/>
      <c r="M3589" s="882"/>
      <c r="N3589" s="884"/>
      <c r="O3589" s="56">
        <v>722</v>
      </c>
      <c r="P3589" s="352">
        <f>+N3588-P3588</f>
        <v>0</v>
      </c>
    </row>
    <row r="3590" spans="9:16">
      <c r="I3590" s="873"/>
      <c r="J3590" s="875"/>
      <c r="K3590" s="877"/>
      <c r="L3590" s="879"/>
      <c r="M3590" s="881"/>
      <c r="N3590" s="883"/>
      <c r="O3590" s="55">
        <v>719</v>
      </c>
      <c r="P3590" s="78"/>
    </row>
    <row r="3591" spans="9:16" ht="15.75" thickBot="1">
      <c r="I3591" s="874"/>
      <c r="J3591" s="876"/>
      <c r="K3591" s="878"/>
      <c r="L3591" s="880"/>
      <c r="M3591" s="882"/>
      <c r="N3591" s="884"/>
      <c r="O3591" s="56">
        <v>722</v>
      </c>
      <c r="P3591" s="79">
        <f>+N3590-P3590</f>
        <v>0</v>
      </c>
    </row>
    <row r="3592" spans="9:16" ht="16.5" thickBot="1">
      <c r="I3592" s="901" t="s">
        <v>102</v>
      </c>
      <c r="J3592" s="902"/>
      <c r="K3592" s="902"/>
      <c r="L3592" s="902"/>
      <c r="M3592" s="903"/>
      <c r="N3592" s="81">
        <f>SUM(N3586:N3591)</f>
        <v>681500</v>
      </c>
    </row>
    <row r="3593" spans="9:16" ht="16.5" thickBot="1">
      <c r="I3593" s="885" t="s">
        <v>103</v>
      </c>
      <c r="J3593" s="886"/>
      <c r="K3593" s="886"/>
      <c r="L3593" s="886"/>
      <c r="M3593" s="887"/>
      <c r="N3593" s="69">
        <v>514609750</v>
      </c>
      <c r="O3593" s="241" t="s">
        <v>561</v>
      </c>
      <c r="P3593" s="242">
        <v>904</v>
      </c>
    </row>
    <row r="3594" spans="9:16" ht="16.5" thickBot="1">
      <c r="I3594" s="888" t="s">
        <v>104</v>
      </c>
      <c r="J3594" s="889"/>
      <c r="K3594" s="889"/>
      <c r="L3594" s="889"/>
      <c r="M3594" s="890"/>
      <c r="N3594" s="183">
        <f>SUM(N3592:N3593)</f>
        <v>515291250</v>
      </c>
    </row>
    <row r="3595" spans="9:16">
      <c r="I3595" s="61"/>
      <c r="J3595" s="61"/>
      <c r="K3595" s="61"/>
      <c r="L3595" s="61"/>
      <c r="M3595" s="61"/>
    </row>
    <row r="3596" spans="9:16">
      <c r="I3596" s="51" t="s">
        <v>1701</v>
      </c>
    </row>
    <row r="3597" spans="9:16" ht="9.75" customHeight="1">
      <c r="N3597" s="139"/>
    </row>
    <row r="3598" spans="9:16">
      <c r="I3598" s="50" t="s">
        <v>105</v>
      </c>
      <c r="L3598" s="146"/>
      <c r="N3598" s="139"/>
    </row>
    <row r="3599" spans="9:16" ht="11.25" customHeight="1" thickBot="1"/>
    <row r="3600" spans="9:16" ht="15.75" thickBot="1">
      <c r="I3600" s="891" t="s">
        <v>106</v>
      </c>
      <c r="J3600" s="892"/>
      <c r="K3600" s="892"/>
      <c r="L3600" s="893"/>
      <c r="N3600" s="50" t="s">
        <v>288</v>
      </c>
    </row>
    <row r="3601" spans="9:18" ht="30.75" thickBot="1">
      <c r="I3601" s="57" t="s">
        <v>100</v>
      </c>
      <c r="J3601" s="58" t="s">
        <v>108</v>
      </c>
      <c r="K3601" s="287" t="s">
        <v>109</v>
      </c>
      <c r="L3601" s="60" t="s">
        <v>110</v>
      </c>
    </row>
    <row r="3602" spans="9:18">
      <c r="I3602" s="71">
        <v>719</v>
      </c>
      <c r="J3602" s="73">
        <f>+P3586+P3588+P3590</f>
        <v>517000</v>
      </c>
      <c r="K3602" s="74">
        <v>27970000</v>
      </c>
      <c r="L3602" s="195">
        <f>+J3602+K3602</f>
        <v>28487000</v>
      </c>
    </row>
    <row r="3603" spans="9:18">
      <c r="I3603" s="72">
        <v>721</v>
      </c>
      <c r="J3603" s="80">
        <f>+P3587</f>
        <v>164500</v>
      </c>
      <c r="K3603" s="74">
        <v>90116743</v>
      </c>
      <c r="L3603" s="195">
        <f>+J3603+K3603</f>
        <v>90281243</v>
      </c>
    </row>
    <row r="3604" spans="9:18" ht="15.75">
      <c r="I3604" s="72">
        <v>722</v>
      </c>
      <c r="J3604" s="80">
        <f>+P3589</f>
        <v>0</v>
      </c>
      <c r="K3604" s="74">
        <v>30732180</v>
      </c>
      <c r="L3604" s="195">
        <f>+J3604+K3604</f>
        <v>30732180</v>
      </c>
      <c r="N3604" s="872" t="s">
        <v>1696</v>
      </c>
      <c r="O3604" s="872"/>
    </row>
    <row r="3605" spans="9:18" ht="16.5" thickBot="1">
      <c r="I3605" s="72">
        <v>723</v>
      </c>
      <c r="J3605" s="80"/>
      <c r="K3605" s="74">
        <v>365790827</v>
      </c>
      <c r="L3605" s="195">
        <f>+J3605+K3605</f>
        <v>365790827</v>
      </c>
      <c r="N3605" s="193"/>
      <c r="O3605" s="175"/>
    </row>
    <row r="3606" spans="9:18" ht="16.5" hidden="1" thickBot="1">
      <c r="I3606" s="164" t="s">
        <v>1077</v>
      </c>
      <c r="J3606" s="165"/>
      <c r="K3606" s="74"/>
      <c r="L3606" s="196">
        <f>+J3606+K3606</f>
        <v>0</v>
      </c>
      <c r="N3606" s="52"/>
    </row>
    <row r="3607" spans="9:18" ht="16.5" thickBot="1">
      <c r="I3607" s="169"/>
      <c r="J3607" s="197">
        <f>SUM(J3602:J3606)</f>
        <v>681500</v>
      </c>
      <c r="K3607" s="197">
        <f>SUM(K3602:K3606)</f>
        <v>514609750</v>
      </c>
      <c r="L3607" s="198">
        <f>SUM(L3602:L3606)</f>
        <v>515291250</v>
      </c>
    </row>
    <row r="3608" spans="9:18">
      <c r="R3608" s="139">
        <f>+K3602+K3603+K3604+K3605</f>
        <v>514609750</v>
      </c>
    </row>
  </sheetData>
  <mergeCells count="5690">
    <mergeCell ref="I3592:M3592"/>
    <mergeCell ref="I3593:M3593"/>
    <mergeCell ref="I3594:M3594"/>
    <mergeCell ref="I3600:L3600"/>
    <mergeCell ref="N3604:O3604"/>
    <mergeCell ref="O3584:P3584"/>
    <mergeCell ref="K3584:K3585"/>
    <mergeCell ref="L3584:L3585"/>
    <mergeCell ref="M3584:M3585"/>
    <mergeCell ref="I3557:I3558"/>
    <mergeCell ref="J3557:J3558"/>
    <mergeCell ref="K3557:K3558"/>
    <mergeCell ref="L3557:L3558"/>
    <mergeCell ref="M3557:M3558"/>
    <mergeCell ref="N3557:N3558"/>
    <mergeCell ref="L3541:L3542"/>
    <mergeCell ref="M3541:M3542"/>
    <mergeCell ref="N3541:N3542"/>
    <mergeCell ref="I3555:I3556"/>
    <mergeCell ref="J3555:J3556"/>
    <mergeCell ref="I3559:M3559"/>
    <mergeCell ref="I3590:I3591"/>
    <mergeCell ref="J3590:J3591"/>
    <mergeCell ref="K3590:K3591"/>
    <mergeCell ref="L3590:L3591"/>
    <mergeCell ref="M3590:M3591"/>
    <mergeCell ref="N3590:N3591"/>
    <mergeCell ref="I3588:I3589"/>
    <mergeCell ref="J3588:J3589"/>
    <mergeCell ref="K3588:K3589"/>
    <mergeCell ref="L3588:L3589"/>
    <mergeCell ref="M3588:M3589"/>
    <mergeCell ref="J3584:J3585"/>
    <mergeCell ref="I318:I319"/>
    <mergeCell ref="J318:J319"/>
    <mergeCell ref="K318:K319"/>
    <mergeCell ref="L318:L319"/>
    <mergeCell ref="M318:M319"/>
    <mergeCell ref="N318:N319"/>
    <mergeCell ref="I166:I167"/>
    <mergeCell ref="J166:J167"/>
    <mergeCell ref="K166:K167"/>
    <mergeCell ref="L166:L167"/>
    <mergeCell ref="M166:M167"/>
    <mergeCell ref="N166:N167"/>
    <mergeCell ref="I3511:M3511"/>
    <mergeCell ref="I3512:M3512"/>
    <mergeCell ref="I3513:M3513"/>
    <mergeCell ref="I3519:L3519"/>
    <mergeCell ref="I3535:P3535"/>
    <mergeCell ref="I3509:I3510"/>
    <mergeCell ref="J3509:J3510"/>
    <mergeCell ref="K3509:K3510"/>
    <mergeCell ref="L3509:L3510"/>
    <mergeCell ref="M3509:M3510"/>
    <mergeCell ref="N3509:N3510"/>
    <mergeCell ref="L3501:L3502"/>
    <mergeCell ref="M3501:M3502"/>
    <mergeCell ref="N3501:N3502"/>
    <mergeCell ref="I3507:I3508"/>
    <mergeCell ref="J3507:J3508"/>
    <mergeCell ref="K3507:K3508"/>
    <mergeCell ref="L3507:L3508"/>
    <mergeCell ref="M3507:M3508"/>
    <mergeCell ref="N3588:N3589"/>
    <mergeCell ref="N3584:N3585"/>
    <mergeCell ref="I3586:I3587"/>
    <mergeCell ref="J3586:J3587"/>
    <mergeCell ref="K3586:K3587"/>
    <mergeCell ref="L3586:L3587"/>
    <mergeCell ref="M3586:M3587"/>
    <mergeCell ref="N3586:N3587"/>
    <mergeCell ref="K3555:K3556"/>
    <mergeCell ref="L3555:L3556"/>
    <mergeCell ref="M3555:M3556"/>
    <mergeCell ref="N3555:N3556"/>
    <mergeCell ref="N3537:N3538"/>
    <mergeCell ref="O3537:P3537"/>
    <mergeCell ref="I3539:I3540"/>
    <mergeCell ref="J3539:J3540"/>
    <mergeCell ref="K3539:K3542"/>
    <mergeCell ref="L3539:L3540"/>
    <mergeCell ref="M3539:M3540"/>
    <mergeCell ref="N3539:N3540"/>
    <mergeCell ref="I3541:I3542"/>
    <mergeCell ref="J3541:J3542"/>
    <mergeCell ref="I3537:I3538"/>
    <mergeCell ref="J3537:J3538"/>
    <mergeCell ref="K3537:K3538"/>
    <mergeCell ref="L3537:L3538"/>
    <mergeCell ref="M3537:M3538"/>
    <mergeCell ref="I3560:M3560"/>
    <mergeCell ref="I3561:M3561"/>
    <mergeCell ref="I3567:L3567"/>
    <mergeCell ref="I3582:P3582"/>
    <mergeCell ref="I3584:I3585"/>
    <mergeCell ref="N3507:N3508"/>
    <mergeCell ref="N3497:N3498"/>
    <mergeCell ref="O3497:P3497"/>
    <mergeCell ref="I3499:I3500"/>
    <mergeCell ref="J3499:J3500"/>
    <mergeCell ref="K3499:K3502"/>
    <mergeCell ref="L3499:L3500"/>
    <mergeCell ref="M3499:M3500"/>
    <mergeCell ref="N3499:N3500"/>
    <mergeCell ref="I3501:I3502"/>
    <mergeCell ref="J3501:J3502"/>
    <mergeCell ref="I3471:M3471"/>
    <mergeCell ref="I3472:M3472"/>
    <mergeCell ref="I3473:M3473"/>
    <mergeCell ref="I3479:L3479"/>
    <mergeCell ref="I3495:P3495"/>
    <mergeCell ref="I3497:I3498"/>
    <mergeCell ref="J3497:J3498"/>
    <mergeCell ref="K3497:K3498"/>
    <mergeCell ref="L3497:L3498"/>
    <mergeCell ref="M3497:M3498"/>
    <mergeCell ref="I3469:I3470"/>
    <mergeCell ref="J3469:J3470"/>
    <mergeCell ref="K3469:K3470"/>
    <mergeCell ref="L3469:L3470"/>
    <mergeCell ref="M3469:M3470"/>
    <mergeCell ref="N3469:N3470"/>
    <mergeCell ref="I3467:I3468"/>
    <mergeCell ref="J3467:J3468"/>
    <mergeCell ref="K3467:K3468"/>
    <mergeCell ref="L3467:L3468"/>
    <mergeCell ref="M3467:M3468"/>
    <mergeCell ref="N3467:N3468"/>
    <mergeCell ref="I3465:I3466"/>
    <mergeCell ref="J3465:J3466"/>
    <mergeCell ref="K3465:K3466"/>
    <mergeCell ref="L3465:L3466"/>
    <mergeCell ref="M3465:M3466"/>
    <mergeCell ref="N3465:N3466"/>
    <mergeCell ref="O3461:P3461"/>
    <mergeCell ref="I3463:I3464"/>
    <mergeCell ref="J3463:J3464"/>
    <mergeCell ref="K3463:K3464"/>
    <mergeCell ref="L3463:L3464"/>
    <mergeCell ref="M3463:M3464"/>
    <mergeCell ref="N3463:N3464"/>
    <mergeCell ref="I3437:M3437"/>
    <mergeCell ref="I3438:M3438"/>
    <mergeCell ref="I3444:L3444"/>
    <mergeCell ref="I3459:P3459"/>
    <mergeCell ref="I3461:I3462"/>
    <mergeCell ref="J3461:J3462"/>
    <mergeCell ref="K3461:K3462"/>
    <mergeCell ref="L3461:L3462"/>
    <mergeCell ref="M3461:M3462"/>
    <mergeCell ref="N3461:N3462"/>
    <mergeCell ref="I3434:I3435"/>
    <mergeCell ref="J3434:J3435"/>
    <mergeCell ref="L3434:L3435"/>
    <mergeCell ref="M3434:M3435"/>
    <mergeCell ref="N3434:N3435"/>
    <mergeCell ref="I3436:M3436"/>
    <mergeCell ref="I3430:I3431"/>
    <mergeCell ref="J3430:J3431"/>
    <mergeCell ref="L3430:L3431"/>
    <mergeCell ref="M3430:M3431"/>
    <mergeCell ref="N3430:N3431"/>
    <mergeCell ref="I3432:I3433"/>
    <mergeCell ref="J3432:J3433"/>
    <mergeCell ref="L3432:L3433"/>
    <mergeCell ref="M3432:M3433"/>
    <mergeCell ref="N3432:N3433"/>
    <mergeCell ref="I3426:I3427"/>
    <mergeCell ref="J3426:J3427"/>
    <mergeCell ref="L3426:L3427"/>
    <mergeCell ref="M3426:M3427"/>
    <mergeCell ref="N3426:N3427"/>
    <mergeCell ref="I3428:I3429"/>
    <mergeCell ref="J3428:J3429"/>
    <mergeCell ref="L3428:L3429"/>
    <mergeCell ref="M3428:M3429"/>
    <mergeCell ref="N3428:N3429"/>
    <mergeCell ref="N3422:N3423"/>
    <mergeCell ref="O3422:P3422"/>
    <mergeCell ref="I3424:I3425"/>
    <mergeCell ref="J3424:J3425"/>
    <mergeCell ref="L3424:L3425"/>
    <mergeCell ref="M3424:M3425"/>
    <mergeCell ref="N3424:N3425"/>
    <mergeCell ref="I3396:M3396"/>
    <mergeCell ref="I3397:M3397"/>
    <mergeCell ref="I3398:M3398"/>
    <mergeCell ref="I3404:L3404"/>
    <mergeCell ref="I3420:P3420"/>
    <mergeCell ref="I3422:I3423"/>
    <mergeCell ref="J3422:J3423"/>
    <mergeCell ref="K3422:K3423"/>
    <mergeCell ref="L3422:L3423"/>
    <mergeCell ref="M3422:M3423"/>
    <mergeCell ref="I3394:I3395"/>
    <mergeCell ref="J3394:J3395"/>
    <mergeCell ref="K3394:K3395"/>
    <mergeCell ref="L3394:L3395"/>
    <mergeCell ref="M3394:M3395"/>
    <mergeCell ref="N3394:N3395"/>
    <mergeCell ref="I3392:I3393"/>
    <mergeCell ref="J3392:J3393"/>
    <mergeCell ref="K3392:K3393"/>
    <mergeCell ref="L3392:L3393"/>
    <mergeCell ref="M3392:M3393"/>
    <mergeCell ref="N3392:N3393"/>
    <mergeCell ref="I3390:I3391"/>
    <mergeCell ref="J3390:J3391"/>
    <mergeCell ref="K3390:K3391"/>
    <mergeCell ref="L3390:L3391"/>
    <mergeCell ref="M3390:M3391"/>
    <mergeCell ref="N3390:N3391"/>
    <mergeCell ref="N3386:N3387"/>
    <mergeCell ref="O3386:P3386"/>
    <mergeCell ref="I3388:I3389"/>
    <mergeCell ref="J3388:J3389"/>
    <mergeCell ref="K3388:K3389"/>
    <mergeCell ref="L3388:L3389"/>
    <mergeCell ref="M3388:M3389"/>
    <mergeCell ref="N3388:N3389"/>
    <mergeCell ref="I3360:M3360"/>
    <mergeCell ref="I3361:M3361"/>
    <mergeCell ref="I3362:M3362"/>
    <mergeCell ref="I3368:L3368"/>
    <mergeCell ref="I3384:P3384"/>
    <mergeCell ref="I3386:I3387"/>
    <mergeCell ref="J3386:J3387"/>
    <mergeCell ref="K3386:K3387"/>
    <mergeCell ref="L3386:L3387"/>
    <mergeCell ref="M3386:M3387"/>
    <mergeCell ref="I3358:I3359"/>
    <mergeCell ref="J3358:J3359"/>
    <mergeCell ref="K3358:K3359"/>
    <mergeCell ref="L3358:L3359"/>
    <mergeCell ref="M3358:M3359"/>
    <mergeCell ref="N3358:N3359"/>
    <mergeCell ref="I3356:I3357"/>
    <mergeCell ref="J3356:J3357"/>
    <mergeCell ref="K3356:K3357"/>
    <mergeCell ref="L3356:L3357"/>
    <mergeCell ref="M3356:M3357"/>
    <mergeCell ref="N3356:N3357"/>
    <mergeCell ref="I3354:I3355"/>
    <mergeCell ref="J3354:J3355"/>
    <mergeCell ref="K3354:K3355"/>
    <mergeCell ref="L3354:L3355"/>
    <mergeCell ref="M3354:M3355"/>
    <mergeCell ref="N3354:N3355"/>
    <mergeCell ref="N3350:N3351"/>
    <mergeCell ref="O3350:P3350"/>
    <mergeCell ref="I3352:I3353"/>
    <mergeCell ref="J3352:J3353"/>
    <mergeCell ref="K3352:K3353"/>
    <mergeCell ref="L3352:L3353"/>
    <mergeCell ref="M3352:M3353"/>
    <mergeCell ref="N3352:N3353"/>
    <mergeCell ref="I3325:M3325"/>
    <mergeCell ref="I3326:M3326"/>
    <mergeCell ref="I3327:M3327"/>
    <mergeCell ref="I3333:L3333"/>
    <mergeCell ref="I3348:P3348"/>
    <mergeCell ref="I3350:I3351"/>
    <mergeCell ref="J3350:J3351"/>
    <mergeCell ref="K3350:K3351"/>
    <mergeCell ref="L3350:L3351"/>
    <mergeCell ref="M3350:M3351"/>
    <mergeCell ref="I3323:I3324"/>
    <mergeCell ref="J3323:J3324"/>
    <mergeCell ref="K3323:K3324"/>
    <mergeCell ref="L3323:L3324"/>
    <mergeCell ref="M3323:M3324"/>
    <mergeCell ref="N3323:N3324"/>
    <mergeCell ref="I3321:I3322"/>
    <mergeCell ref="J3321:J3322"/>
    <mergeCell ref="K3321:K3322"/>
    <mergeCell ref="L3321:L3322"/>
    <mergeCell ref="M3321:M3322"/>
    <mergeCell ref="N3321:N3322"/>
    <mergeCell ref="I3319:I3320"/>
    <mergeCell ref="J3319:J3320"/>
    <mergeCell ref="K3319:K3320"/>
    <mergeCell ref="L3319:L3320"/>
    <mergeCell ref="M3319:M3320"/>
    <mergeCell ref="N3319:N3320"/>
    <mergeCell ref="I3317:I3318"/>
    <mergeCell ref="J3317:J3318"/>
    <mergeCell ref="K3317:K3318"/>
    <mergeCell ref="L3317:L3318"/>
    <mergeCell ref="M3317:M3318"/>
    <mergeCell ref="N3317:N3318"/>
    <mergeCell ref="I3315:I3316"/>
    <mergeCell ref="J3315:J3316"/>
    <mergeCell ref="K3315:K3316"/>
    <mergeCell ref="L3315:L3316"/>
    <mergeCell ref="M3315:M3316"/>
    <mergeCell ref="N3315:N3316"/>
    <mergeCell ref="N3311:N3312"/>
    <mergeCell ref="O3311:P3311"/>
    <mergeCell ref="I3313:I3314"/>
    <mergeCell ref="J3313:J3314"/>
    <mergeCell ref="K3313:K3314"/>
    <mergeCell ref="L3313:L3314"/>
    <mergeCell ref="M3313:M3314"/>
    <mergeCell ref="N3313:N3314"/>
    <mergeCell ref="I3286:M3286"/>
    <mergeCell ref="I3287:M3287"/>
    <mergeCell ref="I3288:M3288"/>
    <mergeCell ref="I3294:L3294"/>
    <mergeCell ref="I3309:P3309"/>
    <mergeCell ref="I3311:I3312"/>
    <mergeCell ref="J3311:J3312"/>
    <mergeCell ref="K3311:K3312"/>
    <mergeCell ref="L3311:L3312"/>
    <mergeCell ref="M3311:M3312"/>
    <mergeCell ref="I3284:I3285"/>
    <mergeCell ref="J3284:J3285"/>
    <mergeCell ref="K3284:K3285"/>
    <mergeCell ref="L3284:L3285"/>
    <mergeCell ref="M3284:M3285"/>
    <mergeCell ref="N3284:N3285"/>
    <mergeCell ref="L3280:L3281"/>
    <mergeCell ref="M3280:M3281"/>
    <mergeCell ref="N3280:N3281"/>
    <mergeCell ref="I3282:I3283"/>
    <mergeCell ref="J3282:J3283"/>
    <mergeCell ref="K3282:K3283"/>
    <mergeCell ref="L3282:L3283"/>
    <mergeCell ref="M3282:M3283"/>
    <mergeCell ref="N3282:N3283"/>
    <mergeCell ref="N3276:N3277"/>
    <mergeCell ref="O3276:P3276"/>
    <mergeCell ref="I3278:I3279"/>
    <mergeCell ref="J3278:J3279"/>
    <mergeCell ref="K3278:K3281"/>
    <mergeCell ref="L3278:L3279"/>
    <mergeCell ref="M3278:M3279"/>
    <mergeCell ref="N3278:N3279"/>
    <mergeCell ref="I3280:I3281"/>
    <mergeCell ref="J3280:J3281"/>
    <mergeCell ref="I3250:M3250"/>
    <mergeCell ref="I3251:M3251"/>
    <mergeCell ref="I3252:M3252"/>
    <mergeCell ref="I3258:L3258"/>
    <mergeCell ref="I3274:P3274"/>
    <mergeCell ref="I3276:I3277"/>
    <mergeCell ref="J3276:J3277"/>
    <mergeCell ref="K3276:K3277"/>
    <mergeCell ref="L3276:L3277"/>
    <mergeCell ref="M3276:M3277"/>
    <mergeCell ref="I3248:I3249"/>
    <mergeCell ref="J3248:J3249"/>
    <mergeCell ref="K3248:K3249"/>
    <mergeCell ref="L3248:L3249"/>
    <mergeCell ref="M3248:M3249"/>
    <mergeCell ref="N3248:N3249"/>
    <mergeCell ref="I3246:I3247"/>
    <mergeCell ref="J3246:J3247"/>
    <mergeCell ref="K3246:K3247"/>
    <mergeCell ref="L3246:L3247"/>
    <mergeCell ref="M3246:M3247"/>
    <mergeCell ref="N3246:N3247"/>
    <mergeCell ref="I3244:I3245"/>
    <mergeCell ref="J3244:J3245"/>
    <mergeCell ref="K3244:K3245"/>
    <mergeCell ref="L3244:L3245"/>
    <mergeCell ref="M3244:M3245"/>
    <mergeCell ref="N3244:N3245"/>
    <mergeCell ref="N3240:N3241"/>
    <mergeCell ref="O3240:P3240"/>
    <mergeCell ref="I3242:I3243"/>
    <mergeCell ref="J3242:J3243"/>
    <mergeCell ref="K3242:K3243"/>
    <mergeCell ref="L3242:L3243"/>
    <mergeCell ref="M3242:M3243"/>
    <mergeCell ref="N3242:N3243"/>
    <mergeCell ref="I3215:M3215"/>
    <mergeCell ref="I3216:M3216"/>
    <mergeCell ref="I3217:M3217"/>
    <mergeCell ref="I3223:L3223"/>
    <mergeCell ref="I3238:P3238"/>
    <mergeCell ref="I3240:I3241"/>
    <mergeCell ref="J3240:J3241"/>
    <mergeCell ref="K3240:K3241"/>
    <mergeCell ref="L3240:L3241"/>
    <mergeCell ref="M3240:M3241"/>
    <mergeCell ref="R3211:R3212"/>
    <mergeCell ref="I3213:I3214"/>
    <mergeCell ref="J3213:J3214"/>
    <mergeCell ref="K3213:K3214"/>
    <mergeCell ref="L3213:L3214"/>
    <mergeCell ref="M3213:M3214"/>
    <mergeCell ref="N3213:N3214"/>
    <mergeCell ref="I3211:I3212"/>
    <mergeCell ref="J3211:J3212"/>
    <mergeCell ref="K3211:K3212"/>
    <mergeCell ref="L3211:L3212"/>
    <mergeCell ref="M3211:M3212"/>
    <mergeCell ref="N3211:N3212"/>
    <mergeCell ref="I3209:I3210"/>
    <mergeCell ref="J3209:J3210"/>
    <mergeCell ref="K3209:K3210"/>
    <mergeCell ref="L3209:L3210"/>
    <mergeCell ref="M3209:M3210"/>
    <mergeCell ref="N3209:N3210"/>
    <mergeCell ref="N3205:N3206"/>
    <mergeCell ref="O3205:P3205"/>
    <mergeCell ref="I3207:I3208"/>
    <mergeCell ref="J3207:J3208"/>
    <mergeCell ref="K3207:K3208"/>
    <mergeCell ref="L3207:L3208"/>
    <mergeCell ref="M3207:M3208"/>
    <mergeCell ref="N3207:N3208"/>
    <mergeCell ref="I3180:M3180"/>
    <mergeCell ref="I3181:M3181"/>
    <mergeCell ref="I3182:M3182"/>
    <mergeCell ref="I3188:L3188"/>
    <mergeCell ref="I3203:P3203"/>
    <mergeCell ref="I3205:I3206"/>
    <mergeCell ref="J3205:J3206"/>
    <mergeCell ref="K3205:K3206"/>
    <mergeCell ref="L3205:L3206"/>
    <mergeCell ref="M3205:M3206"/>
    <mergeCell ref="I3178:I3179"/>
    <mergeCell ref="J3178:J3179"/>
    <mergeCell ref="K3178:K3179"/>
    <mergeCell ref="L3178:L3179"/>
    <mergeCell ref="M3178:M3179"/>
    <mergeCell ref="N3178:N3179"/>
    <mergeCell ref="I3176:I3177"/>
    <mergeCell ref="J3176:J3177"/>
    <mergeCell ref="K3176:K3177"/>
    <mergeCell ref="L3176:L3177"/>
    <mergeCell ref="M3176:M3177"/>
    <mergeCell ref="N3176:N3177"/>
    <mergeCell ref="I3174:I3175"/>
    <mergeCell ref="J3174:J3175"/>
    <mergeCell ref="K3174:K3175"/>
    <mergeCell ref="L3174:L3175"/>
    <mergeCell ref="M3174:M3175"/>
    <mergeCell ref="N3174:N3175"/>
    <mergeCell ref="I3172:I3173"/>
    <mergeCell ref="J3172:J3173"/>
    <mergeCell ref="K3172:K3173"/>
    <mergeCell ref="L3172:L3173"/>
    <mergeCell ref="M3172:M3173"/>
    <mergeCell ref="N3172:N3173"/>
    <mergeCell ref="I3170:I3171"/>
    <mergeCell ref="J3170:J3171"/>
    <mergeCell ref="K3170:K3171"/>
    <mergeCell ref="L3170:L3171"/>
    <mergeCell ref="M3170:M3171"/>
    <mergeCell ref="N3170:N3171"/>
    <mergeCell ref="N3166:N3167"/>
    <mergeCell ref="O3166:P3166"/>
    <mergeCell ref="I3168:I3169"/>
    <mergeCell ref="J3168:J3169"/>
    <mergeCell ref="K3168:K3169"/>
    <mergeCell ref="L3168:L3169"/>
    <mergeCell ref="M3168:M3169"/>
    <mergeCell ref="N3168:N3169"/>
    <mergeCell ref="I3141:M3141"/>
    <mergeCell ref="I3142:M3142"/>
    <mergeCell ref="I3143:M3143"/>
    <mergeCell ref="I3149:L3149"/>
    <mergeCell ref="I3164:P3164"/>
    <mergeCell ref="I3166:I3167"/>
    <mergeCell ref="J3166:J3167"/>
    <mergeCell ref="K3166:K3167"/>
    <mergeCell ref="L3166:L3167"/>
    <mergeCell ref="M3166:M3167"/>
    <mergeCell ref="I3139:I3140"/>
    <mergeCell ref="J3139:J3140"/>
    <mergeCell ref="K3139:K3140"/>
    <mergeCell ref="L3139:L3140"/>
    <mergeCell ref="M3139:M3140"/>
    <mergeCell ref="N3139:N3140"/>
    <mergeCell ref="I3137:I3138"/>
    <mergeCell ref="J3137:J3138"/>
    <mergeCell ref="K3137:K3138"/>
    <mergeCell ref="L3137:L3138"/>
    <mergeCell ref="M3137:M3138"/>
    <mergeCell ref="N3137:N3138"/>
    <mergeCell ref="I3135:I3136"/>
    <mergeCell ref="J3135:J3136"/>
    <mergeCell ref="K3135:K3136"/>
    <mergeCell ref="L3135:L3136"/>
    <mergeCell ref="M3135:M3136"/>
    <mergeCell ref="N3135:N3136"/>
    <mergeCell ref="I3133:I3134"/>
    <mergeCell ref="J3133:J3134"/>
    <mergeCell ref="K3133:K3134"/>
    <mergeCell ref="L3133:L3134"/>
    <mergeCell ref="M3133:M3134"/>
    <mergeCell ref="N3133:N3134"/>
    <mergeCell ref="N3129:N3130"/>
    <mergeCell ref="O3129:P3129"/>
    <mergeCell ref="I3131:I3132"/>
    <mergeCell ref="J3131:J3132"/>
    <mergeCell ref="K3131:K3132"/>
    <mergeCell ref="L3131:L3132"/>
    <mergeCell ref="M3131:M3132"/>
    <mergeCell ref="N3131:N3132"/>
    <mergeCell ref="I3104:M3104"/>
    <mergeCell ref="I3105:M3105"/>
    <mergeCell ref="I3106:M3106"/>
    <mergeCell ref="I3112:L3112"/>
    <mergeCell ref="I3127:P3127"/>
    <mergeCell ref="I3129:I3130"/>
    <mergeCell ref="J3129:J3130"/>
    <mergeCell ref="K3129:K3130"/>
    <mergeCell ref="L3129:L3130"/>
    <mergeCell ref="M3129:M3130"/>
    <mergeCell ref="I3102:I3103"/>
    <mergeCell ref="J3102:J3103"/>
    <mergeCell ref="K3102:K3103"/>
    <mergeCell ref="L3102:L3103"/>
    <mergeCell ref="M3102:M3103"/>
    <mergeCell ref="N3102:N3103"/>
    <mergeCell ref="I3100:I3101"/>
    <mergeCell ref="J3100:J3101"/>
    <mergeCell ref="K3100:K3101"/>
    <mergeCell ref="L3100:L3101"/>
    <mergeCell ref="M3100:M3101"/>
    <mergeCell ref="N3100:N3101"/>
    <mergeCell ref="I3098:I3099"/>
    <mergeCell ref="J3098:J3099"/>
    <mergeCell ref="K3098:K3099"/>
    <mergeCell ref="L3098:L3099"/>
    <mergeCell ref="M3098:M3099"/>
    <mergeCell ref="N3098:N3099"/>
    <mergeCell ref="I3096:I3097"/>
    <mergeCell ref="J3096:J3097"/>
    <mergeCell ref="K3096:K3097"/>
    <mergeCell ref="L3096:L3097"/>
    <mergeCell ref="M3096:M3097"/>
    <mergeCell ref="N3096:N3097"/>
    <mergeCell ref="N3092:N3093"/>
    <mergeCell ref="O3092:P3092"/>
    <mergeCell ref="I3094:I3095"/>
    <mergeCell ref="J3094:J3095"/>
    <mergeCell ref="K3094:K3095"/>
    <mergeCell ref="L3094:L3095"/>
    <mergeCell ref="M3094:M3095"/>
    <mergeCell ref="N3094:N3095"/>
    <mergeCell ref="I3067:M3067"/>
    <mergeCell ref="I3068:M3068"/>
    <mergeCell ref="I3069:M3069"/>
    <mergeCell ref="I3075:L3075"/>
    <mergeCell ref="I3090:P3090"/>
    <mergeCell ref="I3092:I3093"/>
    <mergeCell ref="J3092:J3093"/>
    <mergeCell ref="K3092:K3093"/>
    <mergeCell ref="L3092:L3093"/>
    <mergeCell ref="M3092:M3093"/>
    <mergeCell ref="I3065:I3066"/>
    <mergeCell ref="J3065:J3066"/>
    <mergeCell ref="K3065:K3066"/>
    <mergeCell ref="L3065:L3066"/>
    <mergeCell ref="M3065:M3066"/>
    <mergeCell ref="N3065:N3066"/>
    <mergeCell ref="I3063:I3064"/>
    <mergeCell ref="J3063:J3064"/>
    <mergeCell ref="K3063:K3064"/>
    <mergeCell ref="L3063:L3064"/>
    <mergeCell ref="M3063:M3064"/>
    <mergeCell ref="N3063:N3064"/>
    <mergeCell ref="I3061:I3062"/>
    <mergeCell ref="J3061:J3062"/>
    <mergeCell ref="K3061:K3062"/>
    <mergeCell ref="L3061:L3062"/>
    <mergeCell ref="M3061:M3062"/>
    <mergeCell ref="N3061:N3062"/>
    <mergeCell ref="I3059:I3060"/>
    <mergeCell ref="J3059:J3060"/>
    <mergeCell ref="K3059:K3060"/>
    <mergeCell ref="L3059:L3060"/>
    <mergeCell ref="M3059:M3060"/>
    <mergeCell ref="N3059:N3060"/>
    <mergeCell ref="N3055:N3056"/>
    <mergeCell ref="O3055:P3055"/>
    <mergeCell ref="I3057:I3058"/>
    <mergeCell ref="J3057:J3058"/>
    <mergeCell ref="K3057:K3058"/>
    <mergeCell ref="L3057:L3058"/>
    <mergeCell ref="M3057:M3058"/>
    <mergeCell ref="N3057:N3058"/>
    <mergeCell ref="I3030:M3030"/>
    <mergeCell ref="I3031:M3031"/>
    <mergeCell ref="I3032:M3032"/>
    <mergeCell ref="I3038:L3038"/>
    <mergeCell ref="I3053:P3053"/>
    <mergeCell ref="I3055:I3056"/>
    <mergeCell ref="J3055:J3056"/>
    <mergeCell ref="K3055:K3056"/>
    <mergeCell ref="L3055:L3056"/>
    <mergeCell ref="M3055:M3056"/>
    <mergeCell ref="I3028:I3029"/>
    <mergeCell ref="J3028:J3029"/>
    <mergeCell ref="K3028:K3029"/>
    <mergeCell ref="L3028:L3029"/>
    <mergeCell ref="M3028:M3029"/>
    <mergeCell ref="N3028:N3029"/>
    <mergeCell ref="I3026:I3027"/>
    <mergeCell ref="J3026:J3027"/>
    <mergeCell ref="K3026:K3027"/>
    <mergeCell ref="L3026:L3027"/>
    <mergeCell ref="M3026:M3027"/>
    <mergeCell ref="N3026:N3027"/>
    <mergeCell ref="I3024:I3025"/>
    <mergeCell ref="J3024:J3025"/>
    <mergeCell ref="K3024:K3025"/>
    <mergeCell ref="L3024:L3025"/>
    <mergeCell ref="M3024:M3025"/>
    <mergeCell ref="N3024:N3025"/>
    <mergeCell ref="I3022:I3023"/>
    <mergeCell ref="J3022:J3023"/>
    <mergeCell ref="K3022:K3023"/>
    <mergeCell ref="L3022:L3023"/>
    <mergeCell ref="M3022:M3023"/>
    <mergeCell ref="N3022:N3023"/>
    <mergeCell ref="N3018:N3019"/>
    <mergeCell ref="O3018:P3018"/>
    <mergeCell ref="I3020:I3021"/>
    <mergeCell ref="J3020:J3021"/>
    <mergeCell ref="K3020:K3021"/>
    <mergeCell ref="L3020:L3021"/>
    <mergeCell ref="M3020:M3021"/>
    <mergeCell ref="N3020:N3021"/>
    <mergeCell ref="I2993:M2993"/>
    <mergeCell ref="I2994:M2994"/>
    <mergeCell ref="I2995:M2995"/>
    <mergeCell ref="I3001:L3001"/>
    <mergeCell ref="I3016:P3016"/>
    <mergeCell ref="I3018:I3019"/>
    <mergeCell ref="J3018:J3019"/>
    <mergeCell ref="K3018:K3019"/>
    <mergeCell ref="L3018:L3019"/>
    <mergeCell ref="M3018:M3019"/>
    <mergeCell ref="I2991:I2992"/>
    <mergeCell ref="J2991:J2992"/>
    <mergeCell ref="K2991:K2992"/>
    <mergeCell ref="L2991:L2992"/>
    <mergeCell ref="M2991:M2992"/>
    <mergeCell ref="N2991:N2992"/>
    <mergeCell ref="I2989:I2990"/>
    <mergeCell ref="J2989:J2990"/>
    <mergeCell ref="K2989:K2990"/>
    <mergeCell ref="L2989:L2990"/>
    <mergeCell ref="M2989:M2990"/>
    <mergeCell ref="N2989:N2990"/>
    <mergeCell ref="I2987:I2988"/>
    <mergeCell ref="J2987:J2988"/>
    <mergeCell ref="K2987:K2988"/>
    <mergeCell ref="L2987:L2988"/>
    <mergeCell ref="M2987:M2988"/>
    <mergeCell ref="N2987:N2988"/>
    <mergeCell ref="I2985:I2986"/>
    <mergeCell ref="J2985:J2986"/>
    <mergeCell ref="K2985:K2986"/>
    <mergeCell ref="L2985:L2986"/>
    <mergeCell ref="M2985:M2986"/>
    <mergeCell ref="N2985:N2986"/>
    <mergeCell ref="N2981:N2982"/>
    <mergeCell ref="O2981:P2981"/>
    <mergeCell ref="I2983:I2984"/>
    <mergeCell ref="J2983:J2984"/>
    <mergeCell ref="K2983:K2984"/>
    <mergeCell ref="L2983:L2984"/>
    <mergeCell ref="M2983:M2984"/>
    <mergeCell ref="N2983:N2984"/>
    <mergeCell ref="I2956:M2956"/>
    <mergeCell ref="I2957:M2957"/>
    <mergeCell ref="I2958:M2958"/>
    <mergeCell ref="I2964:L2964"/>
    <mergeCell ref="I2979:P2979"/>
    <mergeCell ref="I2981:I2982"/>
    <mergeCell ref="J2981:J2982"/>
    <mergeCell ref="K2981:K2982"/>
    <mergeCell ref="L2981:L2982"/>
    <mergeCell ref="M2981:M2982"/>
    <mergeCell ref="I2954:I2955"/>
    <mergeCell ref="J2954:J2955"/>
    <mergeCell ref="K2954:K2955"/>
    <mergeCell ref="L2954:L2955"/>
    <mergeCell ref="M2954:M2955"/>
    <mergeCell ref="N2954:N2955"/>
    <mergeCell ref="I2952:I2953"/>
    <mergeCell ref="J2952:J2953"/>
    <mergeCell ref="K2952:K2953"/>
    <mergeCell ref="L2952:L2953"/>
    <mergeCell ref="M2952:M2953"/>
    <mergeCell ref="N2952:N2953"/>
    <mergeCell ref="I2950:I2951"/>
    <mergeCell ref="J2950:J2951"/>
    <mergeCell ref="K2950:K2951"/>
    <mergeCell ref="L2950:L2951"/>
    <mergeCell ref="M2950:M2951"/>
    <mergeCell ref="N2950:N2951"/>
    <mergeCell ref="I2948:I2949"/>
    <mergeCell ref="J2948:J2949"/>
    <mergeCell ref="K2948:K2949"/>
    <mergeCell ref="L2948:L2949"/>
    <mergeCell ref="M2948:M2949"/>
    <mergeCell ref="N2948:N2949"/>
    <mergeCell ref="N2944:N2945"/>
    <mergeCell ref="O2944:P2944"/>
    <mergeCell ref="I2946:I2947"/>
    <mergeCell ref="J2946:J2947"/>
    <mergeCell ref="K2946:K2947"/>
    <mergeCell ref="L2946:L2947"/>
    <mergeCell ref="M2946:M2947"/>
    <mergeCell ref="N2946:N2947"/>
    <mergeCell ref="I2919:M2919"/>
    <mergeCell ref="I2920:M2920"/>
    <mergeCell ref="I2921:M2921"/>
    <mergeCell ref="I2927:L2927"/>
    <mergeCell ref="I2942:P2942"/>
    <mergeCell ref="I2944:I2945"/>
    <mergeCell ref="J2944:J2945"/>
    <mergeCell ref="K2944:K2945"/>
    <mergeCell ref="L2944:L2945"/>
    <mergeCell ref="M2944:M2945"/>
    <mergeCell ref="I2917:I2918"/>
    <mergeCell ref="J2917:J2918"/>
    <mergeCell ref="K2917:K2918"/>
    <mergeCell ref="L2917:L2918"/>
    <mergeCell ref="M2917:M2918"/>
    <mergeCell ref="N2917:N2918"/>
    <mergeCell ref="I2915:I2916"/>
    <mergeCell ref="J2915:J2916"/>
    <mergeCell ref="K2915:K2916"/>
    <mergeCell ref="L2915:L2916"/>
    <mergeCell ref="M2915:M2916"/>
    <mergeCell ref="N2915:N2916"/>
    <mergeCell ref="I2913:I2914"/>
    <mergeCell ref="J2913:J2914"/>
    <mergeCell ref="K2913:K2914"/>
    <mergeCell ref="L2913:L2914"/>
    <mergeCell ref="M2913:M2914"/>
    <mergeCell ref="N2913:N2914"/>
    <mergeCell ref="I2911:I2912"/>
    <mergeCell ref="J2911:J2912"/>
    <mergeCell ref="K2911:K2912"/>
    <mergeCell ref="L2911:L2912"/>
    <mergeCell ref="M2911:M2912"/>
    <mergeCell ref="N2911:N2912"/>
    <mergeCell ref="N2907:N2908"/>
    <mergeCell ref="O2907:P2907"/>
    <mergeCell ref="I2909:I2910"/>
    <mergeCell ref="J2909:J2910"/>
    <mergeCell ref="K2909:K2910"/>
    <mergeCell ref="L2909:L2910"/>
    <mergeCell ref="M2909:M2910"/>
    <mergeCell ref="N2909:N2910"/>
    <mergeCell ref="I2882:M2882"/>
    <mergeCell ref="I2883:M2883"/>
    <mergeCell ref="I2884:M2884"/>
    <mergeCell ref="I2890:L2890"/>
    <mergeCell ref="I2905:P2905"/>
    <mergeCell ref="I2907:I2908"/>
    <mergeCell ref="J2907:J2908"/>
    <mergeCell ref="K2907:K2908"/>
    <mergeCell ref="L2907:L2908"/>
    <mergeCell ref="M2907:M2908"/>
    <mergeCell ref="I2880:I2881"/>
    <mergeCell ref="J2880:J2881"/>
    <mergeCell ref="K2880:K2881"/>
    <mergeCell ref="L2880:L2881"/>
    <mergeCell ref="M2880:M2881"/>
    <mergeCell ref="N2880:N2881"/>
    <mergeCell ref="I2878:I2879"/>
    <mergeCell ref="J2878:J2879"/>
    <mergeCell ref="K2878:K2879"/>
    <mergeCell ref="L2878:L2879"/>
    <mergeCell ref="M2878:M2879"/>
    <mergeCell ref="N2878:N2879"/>
    <mergeCell ref="I2876:I2877"/>
    <mergeCell ref="J2876:J2877"/>
    <mergeCell ref="K2876:K2877"/>
    <mergeCell ref="L2876:L2877"/>
    <mergeCell ref="M2876:M2877"/>
    <mergeCell ref="N2876:N2877"/>
    <mergeCell ref="I2874:I2875"/>
    <mergeCell ref="J2874:J2875"/>
    <mergeCell ref="K2874:K2875"/>
    <mergeCell ref="L2874:L2875"/>
    <mergeCell ref="M2874:M2875"/>
    <mergeCell ref="N2874:N2875"/>
    <mergeCell ref="N2870:N2871"/>
    <mergeCell ref="O2870:P2870"/>
    <mergeCell ref="I2872:I2873"/>
    <mergeCell ref="J2872:J2873"/>
    <mergeCell ref="K2872:K2873"/>
    <mergeCell ref="L2872:L2873"/>
    <mergeCell ref="M2872:M2873"/>
    <mergeCell ref="N2872:N2873"/>
    <mergeCell ref="I2845:M2845"/>
    <mergeCell ref="I2846:M2846"/>
    <mergeCell ref="I2847:M2847"/>
    <mergeCell ref="I2853:L2853"/>
    <mergeCell ref="I2868:P2868"/>
    <mergeCell ref="I2870:I2871"/>
    <mergeCell ref="J2870:J2871"/>
    <mergeCell ref="K2870:K2871"/>
    <mergeCell ref="L2870:L2871"/>
    <mergeCell ref="M2870:M2871"/>
    <mergeCell ref="I2843:I2844"/>
    <mergeCell ref="J2843:J2844"/>
    <mergeCell ref="K2843:K2844"/>
    <mergeCell ref="L2843:L2844"/>
    <mergeCell ref="M2843:M2844"/>
    <mergeCell ref="N2843:N2844"/>
    <mergeCell ref="I2841:I2842"/>
    <mergeCell ref="J2841:J2842"/>
    <mergeCell ref="K2841:K2842"/>
    <mergeCell ref="L2841:L2842"/>
    <mergeCell ref="M2841:M2842"/>
    <mergeCell ref="N2841:N2842"/>
    <mergeCell ref="I2839:I2840"/>
    <mergeCell ref="J2839:J2840"/>
    <mergeCell ref="K2839:K2840"/>
    <mergeCell ref="L2839:L2840"/>
    <mergeCell ref="M2839:M2840"/>
    <mergeCell ref="N2839:N2840"/>
    <mergeCell ref="I2837:I2838"/>
    <mergeCell ref="J2837:J2838"/>
    <mergeCell ref="K2837:K2838"/>
    <mergeCell ref="L2837:L2838"/>
    <mergeCell ref="M2837:M2838"/>
    <mergeCell ref="N2837:N2838"/>
    <mergeCell ref="I2835:I2836"/>
    <mergeCell ref="J2835:J2836"/>
    <mergeCell ref="K2835:K2836"/>
    <mergeCell ref="L2835:L2836"/>
    <mergeCell ref="M2835:M2836"/>
    <mergeCell ref="N2835:N2836"/>
    <mergeCell ref="N2831:N2832"/>
    <mergeCell ref="O2831:P2831"/>
    <mergeCell ref="I2833:I2834"/>
    <mergeCell ref="J2833:J2834"/>
    <mergeCell ref="K2833:K2834"/>
    <mergeCell ref="L2833:L2834"/>
    <mergeCell ref="M2833:M2834"/>
    <mergeCell ref="N2833:N2834"/>
    <mergeCell ref="I2806:M2806"/>
    <mergeCell ref="I2807:M2807"/>
    <mergeCell ref="I2808:M2808"/>
    <mergeCell ref="I2814:L2814"/>
    <mergeCell ref="I2829:P2829"/>
    <mergeCell ref="I2831:I2832"/>
    <mergeCell ref="J2831:J2832"/>
    <mergeCell ref="K2831:K2832"/>
    <mergeCell ref="L2831:L2832"/>
    <mergeCell ref="M2831:M2832"/>
    <mergeCell ref="I2804:I2805"/>
    <mergeCell ref="J2804:J2805"/>
    <mergeCell ref="K2804:K2805"/>
    <mergeCell ref="L2804:L2805"/>
    <mergeCell ref="M2804:M2805"/>
    <mergeCell ref="N2804:N2805"/>
    <mergeCell ref="I2802:I2803"/>
    <mergeCell ref="J2802:J2803"/>
    <mergeCell ref="K2802:K2803"/>
    <mergeCell ref="L2802:L2803"/>
    <mergeCell ref="M2802:M2803"/>
    <mergeCell ref="N2802:N2803"/>
    <mergeCell ref="I2800:I2801"/>
    <mergeCell ref="J2800:J2801"/>
    <mergeCell ref="K2800:K2801"/>
    <mergeCell ref="L2800:L2801"/>
    <mergeCell ref="M2800:M2801"/>
    <mergeCell ref="N2800:N2801"/>
    <mergeCell ref="I2798:I2799"/>
    <mergeCell ref="J2798:J2799"/>
    <mergeCell ref="K2798:K2799"/>
    <mergeCell ref="L2798:L2799"/>
    <mergeCell ref="M2798:M2799"/>
    <mergeCell ref="N2798:N2799"/>
    <mergeCell ref="I2796:I2797"/>
    <mergeCell ref="J2796:J2797"/>
    <mergeCell ref="K2796:K2797"/>
    <mergeCell ref="L2796:L2797"/>
    <mergeCell ref="M2796:M2797"/>
    <mergeCell ref="N2796:N2797"/>
    <mergeCell ref="N2792:N2793"/>
    <mergeCell ref="O2792:P2792"/>
    <mergeCell ref="I2794:I2795"/>
    <mergeCell ref="J2794:J2795"/>
    <mergeCell ref="K2794:K2795"/>
    <mergeCell ref="L2794:L2795"/>
    <mergeCell ref="M2794:M2795"/>
    <mergeCell ref="N2794:N2795"/>
    <mergeCell ref="I2767:M2767"/>
    <mergeCell ref="I2768:M2768"/>
    <mergeCell ref="I2769:M2769"/>
    <mergeCell ref="I2775:L2775"/>
    <mergeCell ref="I2790:P2790"/>
    <mergeCell ref="I2792:I2793"/>
    <mergeCell ref="J2792:J2793"/>
    <mergeCell ref="K2792:K2793"/>
    <mergeCell ref="L2792:L2793"/>
    <mergeCell ref="M2792:M2793"/>
    <mergeCell ref="I2765:I2766"/>
    <mergeCell ref="J2765:J2766"/>
    <mergeCell ref="K2765:K2766"/>
    <mergeCell ref="L2765:L2766"/>
    <mergeCell ref="M2765:M2766"/>
    <mergeCell ref="N2765:N2766"/>
    <mergeCell ref="I2763:I2764"/>
    <mergeCell ref="J2763:J2764"/>
    <mergeCell ref="K2763:K2764"/>
    <mergeCell ref="L2763:L2764"/>
    <mergeCell ref="M2763:M2764"/>
    <mergeCell ref="N2763:N2764"/>
    <mergeCell ref="I2761:I2762"/>
    <mergeCell ref="J2761:J2762"/>
    <mergeCell ref="K2761:K2762"/>
    <mergeCell ref="L2761:L2762"/>
    <mergeCell ref="M2761:M2762"/>
    <mergeCell ref="N2761:N2762"/>
    <mergeCell ref="I2759:I2760"/>
    <mergeCell ref="J2759:J2760"/>
    <mergeCell ref="K2759:K2760"/>
    <mergeCell ref="L2759:L2760"/>
    <mergeCell ref="M2759:M2760"/>
    <mergeCell ref="N2759:N2760"/>
    <mergeCell ref="N2755:N2756"/>
    <mergeCell ref="O2755:P2755"/>
    <mergeCell ref="I2757:I2758"/>
    <mergeCell ref="J2757:J2758"/>
    <mergeCell ref="K2757:K2758"/>
    <mergeCell ref="L2757:L2758"/>
    <mergeCell ref="M2757:M2758"/>
    <mergeCell ref="N2757:N2758"/>
    <mergeCell ref="I2730:M2730"/>
    <mergeCell ref="I2731:M2731"/>
    <mergeCell ref="I2732:M2732"/>
    <mergeCell ref="I2738:L2738"/>
    <mergeCell ref="I2753:P2753"/>
    <mergeCell ref="I2755:I2756"/>
    <mergeCell ref="J2755:J2756"/>
    <mergeCell ref="K2755:K2756"/>
    <mergeCell ref="L2755:L2756"/>
    <mergeCell ref="M2755:M2756"/>
    <mergeCell ref="I2728:I2729"/>
    <mergeCell ref="J2728:J2729"/>
    <mergeCell ref="K2728:K2729"/>
    <mergeCell ref="L2728:L2729"/>
    <mergeCell ref="M2728:M2729"/>
    <mergeCell ref="N2728:N2729"/>
    <mergeCell ref="I2726:I2727"/>
    <mergeCell ref="J2726:J2727"/>
    <mergeCell ref="K2726:K2727"/>
    <mergeCell ref="L2726:L2727"/>
    <mergeCell ref="M2726:M2727"/>
    <mergeCell ref="N2726:N2727"/>
    <mergeCell ref="I2724:I2725"/>
    <mergeCell ref="J2724:J2725"/>
    <mergeCell ref="K2724:K2725"/>
    <mergeCell ref="L2724:L2725"/>
    <mergeCell ref="M2724:M2725"/>
    <mergeCell ref="N2724:N2725"/>
    <mergeCell ref="I2722:I2723"/>
    <mergeCell ref="J2722:J2723"/>
    <mergeCell ref="K2722:K2723"/>
    <mergeCell ref="L2722:L2723"/>
    <mergeCell ref="M2722:M2723"/>
    <mergeCell ref="N2722:N2723"/>
    <mergeCell ref="N2718:N2719"/>
    <mergeCell ref="O2718:P2718"/>
    <mergeCell ref="I2720:I2721"/>
    <mergeCell ref="J2720:J2721"/>
    <mergeCell ref="K2720:K2721"/>
    <mergeCell ref="L2720:L2721"/>
    <mergeCell ref="M2720:M2721"/>
    <mergeCell ref="N2720:N2721"/>
    <mergeCell ref="I2693:M2693"/>
    <mergeCell ref="I2694:M2694"/>
    <mergeCell ref="I2695:M2695"/>
    <mergeCell ref="I2701:L2701"/>
    <mergeCell ref="I2716:P2716"/>
    <mergeCell ref="I2718:I2719"/>
    <mergeCell ref="J2718:J2719"/>
    <mergeCell ref="K2718:K2719"/>
    <mergeCell ref="L2718:L2719"/>
    <mergeCell ref="M2718:M2719"/>
    <mergeCell ref="I2691:I2692"/>
    <mergeCell ref="J2691:J2692"/>
    <mergeCell ref="K2691:K2692"/>
    <mergeCell ref="L2691:L2692"/>
    <mergeCell ref="M2691:M2692"/>
    <mergeCell ref="N2691:N2692"/>
    <mergeCell ref="I2689:I2690"/>
    <mergeCell ref="J2689:J2690"/>
    <mergeCell ref="K2689:K2690"/>
    <mergeCell ref="L2689:L2690"/>
    <mergeCell ref="M2689:M2690"/>
    <mergeCell ref="N2689:N2690"/>
    <mergeCell ref="I2687:I2688"/>
    <mergeCell ref="J2687:J2688"/>
    <mergeCell ref="K2687:K2688"/>
    <mergeCell ref="L2687:L2688"/>
    <mergeCell ref="M2687:M2688"/>
    <mergeCell ref="N2687:N2688"/>
    <mergeCell ref="I2685:I2686"/>
    <mergeCell ref="J2685:J2686"/>
    <mergeCell ref="K2685:K2686"/>
    <mergeCell ref="L2685:L2686"/>
    <mergeCell ref="M2685:M2686"/>
    <mergeCell ref="N2685:N2686"/>
    <mergeCell ref="N2681:N2682"/>
    <mergeCell ref="O2681:P2681"/>
    <mergeCell ref="I2683:I2684"/>
    <mergeCell ref="J2683:J2684"/>
    <mergeCell ref="K2683:K2684"/>
    <mergeCell ref="L2683:L2684"/>
    <mergeCell ref="M2683:M2684"/>
    <mergeCell ref="N2683:N2684"/>
    <mergeCell ref="I2656:M2656"/>
    <mergeCell ref="I2657:M2657"/>
    <mergeCell ref="I2658:M2658"/>
    <mergeCell ref="I2664:L2664"/>
    <mergeCell ref="I2679:P2679"/>
    <mergeCell ref="I2681:I2682"/>
    <mergeCell ref="J2681:J2682"/>
    <mergeCell ref="K2681:K2682"/>
    <mergeCell ref="L2681:L2682"/>
    <mergeCell ref="M2681:M2682"/>
    <mergeCell ref="I2654:I2655"/>
    <mergeCell ref="J2654:J2655"/>
    <mergeCell ref="K2654:K2655"/>
    <mergeCell ref="L2654:L2655"/>
    <mergeCell ref="M2654:M2655"/>
    <mergeCell ref="N2654:N2655"/>
    <mergeCell ref="I2652:I2653"/>
    <mergeCell ref="J2652:J2653"/>
    <mergeCell ref="K2652:K2653"/>
    <mergeCell ref="L2652:L2653"/>
    <mergeCell ref="M2652:M2653"/>
    <mergeCell ref="N2652:N2653"/>
    <mergeCell ref="I2650:I2651"/>
    <mergeCell ref="J2650:J2651"/>
    <mergeCell ref="K2650:K2651"/>
    <mergeCell ref="L2650:L2651"/>
    <mergeCell ref="M2650:M2651"/>
    <mergeCell ref="N2650:N2651"/>
    <mergeCell ref="I2648:I2649"/>
    <mergeCell ref="J2648:J2649"/>
    <mergeCell ref="K2648:K2649"/>
    <mergeCell ref="L2648:L2649"/>
    <mergeCell ref="M2648:M2649"/>
    <mergeCell ref="N2648:N2649"/>
    <mergeCell ref="N2644:N2645"/>
    <mergeCell ref="O2644:P2644"/>
    <mergeCell ref="I2646:I2647"/>
    <mergeCell ref="J2646:J2647"/>
    <mergeCell ref="K2646:K2647"/>
    <mergeCell ref="L2646:L2647"/>
    <mergeCell ref="M2646:M2647"/>
    <mergeCell ref="N2646:N2647"/>
    <mergeCell ref="I2619:M2619"/>
    <mergeCell ref="I2620:M2620"/>
    <mergeCell ref="I2621:M2621"/>
    <mergeCell ref="I2627:L2627"/>
    <mergeCell ref="I2642:P2642"/>
    <mergeCell ref="I2644:I2645"/>
    <mergeCell ref="J2644:J2645"/>
    <mergeCell ref="K2644:K2645"/>
    <mergeCell ref="L2644:L2645"/>
    <mergeCell ref="M2644:M2645"/>
    <mergeCell ref="I2617:I2618"/>
    <mergeCell ref="J2617:J2618"/>
    <mergeCell ref="K2617:K2618"/>
    <mergeCell ref="L2617:L2618"/>
    <mergeCell ref="M2617:M2618"/>
    <mergeCell ref="N2617:N2618"/>
    <mergeCell ref="I2615:I2616"/>
    <mergeCell ref="J2615:J2616"/>
    <mergeCell ref="K2615:K2616"/>
    <mergeCell ref="L2615:L2616"/>
    <mergeCell ref="M2615:M2616"/>
    <mergeCell ref="N2615:N2616"/>
    <mergeCell ref="I2613:I2614"/>
    <mergeCell ref="J2613:J2614"/>
    <mergeCell ref="K2613:K2614"/>
    <mergeCell ref="L2613:L2614"/>
    <mergeCell ref="M2613:M2614"/>
    <mergeCell ref="N2613:N2614"/>
    <mergeCell ref="I2611:I2612"/>
    <mergeCell ref="J2611:J2612"/>
    <mergeCell ref="K2611:K2612"/>
    <mergeCell ref="L2611:L2612"/>
    <mergeCell ref="M2611:M2612"/>
    <mergeCell ref="N2611:N2612"/>
    <mergeCell ref="I2609:I2610"/>
    <mergeCell ref="J2609:J2610"/>
    <mergeCell ref="K2609:K2610"/>
    <mergeCell ref="L2609:L2610"/>
    <mergeCell ref="M2609:M2610"/>
    <mergeCell ref="N2609:N2610"/>
    <mergeCell ref="I2607:I2608"/>
    <mergeCell ref="J2607:J2608"/>
    <mergeCell ref="K2607:K2608"/>
    <mergeCell ref="L2607:L2608"/>
    <mergeCell ref="M2607:M2608"/>
    <mergeCell ref="N2607:N2608"/>
    <mergeCell ref="I2603:P2603"/>
    <mergeCell ref="I2605:I2606"/>
    <mergeCell ref="J2605:J2606"/>
    <mergeCell ref="K2605:K2606"/>
    <mergeCell ref="L2605:L2606"/>
    <mergeCell ref="M2605:M2606"/>
    <mergeCell ref="N2605:N2606"/>
    <mergeCell ref="O2605:P2605"/>
    <mergeCell ref="I2580:M2580"/>
    <mergeCell ref="I2581:M2581"/>
    <mergeCell ref="I2582:M2582"/>
    <mergeCell ref="I2588:L2588"/>
    <mergeCell ref="N2588:P2588"/>
    <mergeCell ref="N2593:P2593"/>
    <mergeCell ref="I2578:I2579"/>
    <mergeCell ref="J2578:J2579"/>
    <mergeCell ref="K2578:K2579"/>
    <mergeCell ref="L2578:L2579"/>
    <mergeCell ref="M2578:M2579"/>
    <mergeCell ref="N2578:N2579"/>
    <mergeCell ref="I2576:I2577"/>
    <mergeCell ref="J2576:J2577"/>
    <mergeCell ref="K2576:K2577"/>
    <mergeCell ref="L2576:L2577"/>
    <mergeCell ref="M2576:M2577"/>
    <mergeCell ref="N2576:N2577"/>
    <mergeCell ref="I2574:I2575"/>
    <mergeCell ref="J2574:J2575"/>
    <mergeCell ref="K2574:K2575"/>
    <mergeCell ref="L2574:L2575"/>
    <mergeCell ref="M2574:M2575"/>
    <mergeCell ref="N2574:N2575"/>
    <mergeCell ref="I2572:I2573"/>
    <mergeCell ref="J2572:J2573"/>
    <mergeCell ref="K2572:K2573"/>
    <mergeCell ref="L2572:L2573"/>
    <mergeCell ref="M2572:M2573"/>
    <mergeCell ref="N2572:N2573"/>
    <mergeCell ref="N2568:N2569"/>
    <mergeCell ref="O2568:P2568"/>
    <mergeCell ref="I2570:I2571"/>
    <mergeCell ref="J2570:J2571"/>
    <mergeCell ref="K2570:K2571"/>
    <mergeCell ref="L2570:L2571"/>
    <mergeCell ref="M2570:M2571"/>
    <mergeCell ref="N2570:N2571"/>
    <mergeCell ref="I2543:M2543"/>
    <mergeCell ref="I2544:M2544"/>
    <mergeCell ref="I2545:M2545"/>
    <mergeCell ref="I2551:L2551"/>
    <mergeCell ref="I2566:P2566"/>
    <mergeCell ref="I2568:I2569"/>
    <mergeCell ref="J2568:J2569"/>
    <mergeCell ref="K2568:K2569"/>
    <mergeCell ref="L2568:L2569"/>
    <mergeCell ref="M2568:M2569"/>
    <mergeCell ref="I2541:I2542"/>
    <mergeCell ref="J2541:J2542"/>
    <mergeCell ref="K2541:K2542"/>
    <mergeCell ref="L2541:L2542"/>
    <mergeCell ref="M2541:M2542"/>
    <mergeCell ref="N2541:N2542"/>
    <mergeCell ref="I2539:I2540"/>
    <mergeCell ref="J2539:J2540"/>
    <mergeCell ref="K2539:K2540"/>
    <mergeCell ref="L2539:L2540"/>
    <mergeCell ref="M2539:M2540"/>
    <mergeCell ref="N2539:N2540"/>
    <mergeCell ref="I2537:I2538"/>
    <mergeCell ref="J2537:J2538"/>
    <mergeCell ref="K2537:K2538"/>
    <mergeCell ref="L2537:L2538"/>
    <mergeCell ref="M2537:M2538"/>
    <mergeCell ref="N2537:N2538"/>
    <mergeCell ref="I2535:I2536"/>
    <mergeCell ref="J2535:J2536"/>
    <mergeCell ref="K2535:K2536"/>
    <mergeCell ref="L2535:L2536"/>
    <mergeCell ref="M2535:M2536"/>
    <mergeCell ref="N2535:N2536"/>
    <mergeCell ref="N2531:N2532"/>
    <mergeCell ref="O2531:P2531"/>
    <mergeCell ref="I2533:I2534"/>
    <mergeCell ref="J2533:J2534"/>
    <mergeCell ref="K2533:K2534"/>
    <mergeCell ref="L2533:L2534"/>
    <mergeCell ref="M2533:M2534"/>
    <mergeCell ref="N2533:N2534"/>
    <mergeCell ref="I2506:M2506"/>
    <mergeCell ref="I2507:M2507"/>
    <mergeCell ref="I2508:M2508"/>
    <mergeCell ref="I2514:L2514"/>
    <mergeCell ref="I2529:P2529"/>
    <mergeCell ref="I2531:I2532"/>
    <mergeCell ref="J2531:J2532"/>
    <mergeCell ref="K2531:K2532"/>
    <mergeCell ref="L2531:L2532"/>
    <mergeCell ref="M2531:M2532"/>
    <mergeCell ref="I2504:I2505"/>
    <mergeCell ref="J2504:J2505"/>
    <mergeCell ref="K2504:K2505"/>
    <mergeCell ref="L2504:L2505"/>
    <mergeCell ref="M2504:M2505"/>
    <mergeCell ref="N2504:N2505"/>
    <mergeCell ref="I2502:I2503"/>
    <mergeCell ref="J2502:J2503"/>
    <mergeCell ref="K2502:K2503"/>
    <mergeCell ref="L2502:L2503"/>
    <mergeCell ref="M2502:M2503"/>
    <mergeCell ref="N2502:N2503"/>
    <mergeCell ref="I2500:I2501"/>
    <mergeCell ref="J2500:J2501"/>
    <mergeCell ref="K2500:K2501"/>
    <mergeCell ref="L2500:L2501"/>
    <mergeCell ref="M2500:M2501"/>
    <mergeCell ref="N2500:N2501"/>
    <mergeCell ref="I2498:I2499"/>
    <mergeCell ref="J2498:J2499"/>
    <mergeCell ref="K2498:K2499"/>
    <mergeCell ref="L2498:L2499"/>
    <mergeCell ref="M2498:M2499"/>
    <mergeCell ref="N2498:N2499"/>
    <mergeCell ref="N2494:N2495"/>
    <mergeCell ref="O2494:P2494"/>
    <mergeCell ref="I2496:I2497"/>
    <mergeCell ref="J2496:J2497"/>
    <mergeCell ref="K2496:K2497"/>
    <mergeCell ref="L2496:L2497"/>
    <mergeCell ref="M2496:M2497"/>
    <mergeCell ref="N2496:N2497"/>
    <mergeCell ref="I2469:M2469"/>
    <mergeCell ref="I2470:M2470"/>
    <mergeCell ref="I2471:M2471"/>
    <mergeCell ref="I2477:L2477"/>
    <mergeCell ref="I2492:P2492"/>
    <mergeCell ref="I2494:I2495"/>
    <mergeCell ref="J2494:J2495"/>
    <mergeCell ref="K2494:K2495"/>
    <mergeCell ref="L2494:L2495"/>
    <mergeCell ref="M2494:M2495"/>
    <mergeCell ref="I2467:I2468"/>
    <mergeCell ref="J2467:J2468"/>
    <mergeCell ref="K2467:K2468"/>
    <mergeCell ref="L2467:L2468"/>
    <mergeCell ref="M2467:M2468"/>
    <mergeCell ref="N2467:N2468"/>
    <mergeCell ref="I2465:I2466"/>
    <mergeCell ref="J2465:J2466"/>
    <mergeCell ref="K2465:K2466"/>
    <mergeCell ref="L2465:L2466"/>
    <mergeCell ref="M2465:M2466"/>
    <mergeCell ref="N2465:N2466"/>
    <mergeCell ref="I2463:I2464"/>
    <mergeCell ref="J2463:J2464"/>
    <mergeCell ref="K2463:K2464"/>
    <mergeCell ref="L2463:L2464"/>
    <mergeCell ref="M2463:M2464"/>
    <mergeCell ref="N2463:N2464"/>
    <mergeCell ref="I2461:I2462"/>
    <mergeCell ref="J2461:J2462"/>
    <mergeCell ref="K2461:K2462"/>
    <mergeCell ref="L2461:L2462"/>
    <mergeCell ref="M2461:M2462"/>
    <mergeCell ref="N2461:N2462"/>
    <mergeCell ref="I2459:I2460"/>
    <mergeCell ref="J2459:J2460"/>
    <mergeCell ref="K2459:K2460"/>
    <mergeCell ref="L2459:L2460"/>
    <mergeCell ref="M2459:M2460"/>
    <mergeCell ref="N2459:N2460"/>
    <mergeCell ref="N2455:N2456"/>
    <mergeCell ref="O2455:P2455"/>
    <mergeCell ref="I2457:I2458"/>
    <mergeCell ref="J2457:J2458"/>
    <mergeCell ref="K2457:K2458"/>
    <mergeCell ref="L2457:L2458"/>
    <mergeCell ref="M2457:M2458"/>
    <mergeCell ref="N2457:N2458"/>
    <mergeCell ref="I2430:M2430"/>
    <mergeCell ref="I2431:M2431"/>
    <mergeCell ref="I2432:M2432"/>
    <mergeCell ref="I2438:L2438"/>
    <mergeCell ref="I2453:P2453"/>
    <mergeCell ref="I2455:I2456"/>
    <mergeCell ref="J2455:J2456"/>
    <mergeCell ref="K2455:K2456"/>
    <mergeCell ref="L2455:L2456"/>
    <mergeCell ref="M2455:M2456"/>
    <mergeCell ref="I2428:I2429"/>
    <mergeCell ref="J2428:J2429"/>
    <mergeCell ref="K2428:K2429"/>
    <mergeCell ref="L2428:L2429"/>
    <mergeCell ref="M2428:M2429"/>
    <mergeCell ref="N2428:N2429"/>
    <mergeCell ref="I2426:I2427"/>
    <mergeCell ref="J2426:J2427"/>
    <mergeCell ref="K2426:K2427"/>
    <mergeCell ref="L2426:L2427"/>
    <mergeCell ref="M2426:M2427"/>
    <mergeCell ref="N2426:N2427"/>
    <mergeCell ref="I2424:I2425"/>
    <mergeCell ref="J2424:J2425"/>
    <mergeCell ref="K2424:K2425"/>
    <mergeCell ref="L2424:L2425"/>
    <mergeCell ref="M2424:M2425"/>
    <mergeCell ref="N2424:N2425"/>
    <mergeCell ref="I2422:I2423"/>
    <mergeCell ref="J2422:J2423"/>
    <mergeCell ref="K2422:K2423"/>
    <mergeCell ref="L2422:L2423"/>
    <mergeCell ref="M2422:M2423"/>
    <mergeCell ref="N2422:N2423"/>
    <mergeCell ref="N2418:N2419"/>
    <mergeCell ref="O2418:P2418"/>
    <mergeCell ref="I2420:I2421"/>
    <mergeCell ref="J2420:J2421"/>
    <mergeCell ref="K2420:K2421"/>
    <mergeCell ref="L2420:L2421"/>
    <mergeCell ref="M2420:M2421"/>
    <mergeCell ref="N2420:N2421"/>
    <mergeCell ref="I2393:M2393"/>
    <mergeCell ref="I2394:M2394"/>
    <mergeCell ref="I2395:M2395"/>
    <mergeCell ref="I2401:L2401"/>
    <mergeCell ref="I2416:P2416"/>
    <mergeCell ref="I2418:I2419"/>
    <mergeCell ref="J2418:J2419"/>
    <mergeCell ref="K2418:K2419"/>
    <mergeCell ref="L2418:L2419"/>
    <mergeCell ref="M2418:M2419"/>
    <mergeCell ref="I2391:I2392"/>
    <mergeCell ref="J2391:J2392"/>
    <mergeCell ref="K2391:K2392"/>
    <mergeCell ref="L2391:L2392"/>
    <mergeCell ref="M2391:M2392"/>
    <mergeCell ref="N2391:N2392"/>
    <mergeCell ref="I2389:I2390"/>
    <mergeCell ref="J2389:J2390"/>
    <mergeCell ref="K2389:K2390"/>
    <mergeCell ref="L2389:L2390"/>
    <mergeCell ref="M2389:M2390"/>
    <mergeCell ref="N2389:N2390"/>
    <mergeCell ref="I2387:I2388"/>
    <mergeCell ref="J2387:J2388"/>
    <mergeCell ref="K2387:K2388"/>
    <mergeCell ref="L2387:L2388"/>
    <mergeCell ref="M2387:M2388"/>
    <mergeCell ref="N2387:N2388"/>
    <mergeCell ref="I2385:I2386"/>
    <mergeCell ref="J2385:J2386"/>
    <mergeCell ref="K2385:K2386"/>
    <mergeCell ref="L2385:L2386"/>
    <mergeCell ref="M2385:M2386"/>
    <mergeCell ref="N2385:N2386"/>
    <mergeCell ref="N2381:N2382"/>
    <mergeCell ref="O2381:P2381"/>
    <mergeCell ref="I2383:I2384"/>
    <mergeCell ref="J2383:J2384"/>
    <mergeCell ref="K2383:K2384"/>
    <mergeCell ref="L2383:L2384"/>
    <mergeCell ref="M2383:M2384"/>
    <mergeCell ref="N2383:N2384"/>
    <mergeCell ref="I2356:M2356"/>
    <mergeCell ref="I2357:M2357"/>
    <mergeCell ref="I2358:M2358"/>
    <mergeCell ref="I2364:L2364"/>
    <mergeCell ref="I2379:P2379"/>
    <mergeCell ref="I2381:I2382"/>
    <mergeCell ref="J2381:J2382"/>
    <mergeCell ref="K2381:K2382"/>
    <mergeCell ref="L2381:L2382"/>
    <mergeCell ref="M2381:M2382"/>
    <mergeCell ref="I2354:I2355"/>
    <mergeCell ref="J2354:J2355"/>
    <mergeCell ref="K2354:K2355"/>
    <mergeCell ref="L2354:L2355"/>
    <mergeCell ref="M2354:M2355"/>
    <mergeCell ref="N2354:N2355"/>
    <mergeCell ref="I2352:I2353"/>
    <mergeCell ref="J2352:J2353"/>
    <mergeCell ref="K2352:K2353"/>
    <mergeCell ref="L2352:L2353"/>
    <mergeCell ref="M2352:M2353"/>
    <mergeCell ref="N2352:N2353"/>
    <mergeCell ref="I2350:I2351"/>
    <mergeCell ref="J2350:J2351"/>
    <mergeCell ref="K2350:K2351"/>
    <mergeCell ref="L2350:L2351"/>
    <mergeCell ref="M2350:M2351"/>
    <mergeCell ref="N2350:N2351"/>
    <mergeCell ref="I2348:I2349"/>
    <mergeCell ref="J2348:J2349"/>
    <mergeCell ref="K2348:K2349"/>
    <mergeCell ref="L2348:L2349"/>
    <mergeCell ref="M2348:M2349"/>
    <mergeCell ref="N2348:N2349"/>
    <mergeCell ref="N2344:N2345"/>
    <mergeCell ref="O2344:P2344"/>
    <mergeCell ref="I2346:I2347"/>
    <mergeCell ref="J2346:J2347"/>
    <mergeCell ref="K2346:K2347"/>
    <mergeCell ref="L2346:L2347"/>
    <mergeCell ref="M2346:M2347"/>
    <mergeCell ref="N2346:N2347"/>
    <mergeCell ref="I2319:M2319"/>
    <mergeCell ref="I2320:M2320"/>
    <mergeCell ref="I2321:M2321"/>
    <mergeCell ref="I2327:L2327"/>
    <mergeCell ref="I2342:P2342"/>
    <mergeCell ref="I2344:I2345"/>
    <mergeCell ref="J2344:J2345"/>
    <mergeCell ref="K2344:K2345"/>
    <mergeCell ref="L2344:L2345"/>
    <mergeCell ref="M2344:M2345"/>
    <mergeCell ref="I2317:I2318"/>
    <mergeCell ref="J2317:J2318"/>
    <mergeCell ref="K2317:K2318"/>
    <mergeCell ref="L2317:L2318"/>
    <mergeCell ref="M2317:M2318"/>
    <mergeCell ref="N2317:N2318"/>
    <mergeCell ref="I2315:I2316"/>
    <mergeCell ref="J2315:J2316"/>
    <mergeCell ref="K2315:K2316"/>
    <mergeCell ref="L2315:L2316"/>
    <mergeCell ref="M2315:M2316"/>
    <mergeCell ref="N2315:N2316"/>
    <mergeCell ref="I2313:I2314"/>
    <mergeCell ref="J2313:J2314"/>
    <mergeCell ref="K2313:K2314"/>
    <mergeCell ref="L2313:L2314"/>
    <mergeCell ref="M2313:M2314"/>
    <mergeCell ref="N2313:N2314"/>
    <mergeCell ref="I2311:I2312"/>
    <mergeCell ref="J2311:J2312"/>
    <mergeCell ref="K2311:K2312"/>
    <mergeCell ref="L2311:L2312"/>
    <mergeCell ref="M2311:M2312"/>
    <mergeCell ref="N2311:N2312"/>
    <mergeCell ref="N2307:N2308"/>
    <mergeCell ref="O2307:P2307"/>
    <mergeCell ref="I2309:I2310"/>
    <mergeCell ref="J2309:J2310"/>
    <mergeCell ref="K2309:K2310"/>
    <mergeCell ref="L2309:L2310"/>
    <mergeCell ref="M2309:M2310"/>
    <mergeCell ref="N2309:N2310"/>
    <mergeCell ref="I2282:M2282"/>
    <mergeCell ref="I2283:M2283"/>
    <mergeCell ref="I2284:M2284"/>
    <mergeCell ref="I2290:L2290"/>
    <mergeCell ref="I2305:P2305"/>
    <mergeCell ref="I2307:I2308"/>
    <mergeCell ref="J2307:J2308"/>
    <mergeCell ref="K2307:K2308"/>
    <mergeCell ref="L2307:L2308"/>
    <mergeCell ref="M2307:M2308"/>
    <mergeCell ref="I2280:I2281"/>
    <mergeCell ref="J2280:J2281"/>
    <mergeCell ref="K2280:K2281"/>
    <mergeCell ref="L2280:L2281"/>
    <mergeCell ref="M2280:M2281"/>
    <mergeCell ref="N2280:N2281"/>
    <mergeCell ref="I2278:I2279"/>
    <mergeCell ref="J2278:J2279"/>
    <mergeCell ref="K2278:K2279"/>
    <mergeCell ref="L2278:L2279"/>
    <mergeCell ref="M2278:M2279"/>
    <mergeCell ref="N2278:N2279"/>
    <mergeCell ref="I2276:I2277"/>
    <mergeCell ref="J2276:J2277"/>
    <mergeCell ref="K2276:K2277"/>
    <mergeCell ref="L2276:L2277"/>
    <mergeCell ref="M2276:M2277"/>
    <mergeCell ref="N2276:N2277"/>
    <mergeCell ref="I2274:I2275"/>
    <mergeCell ref="J2274:J2275"/>
    <mergeCell ref="K2274:K2275"/>
    <mergeCell ref="L2274:L2275"/>
    <mergeCell ref="M2274:M2275"/>
    <mergeCell ref="N2274:N2275"/>
    <mergeCell ref="N2270:N2271"/>
    <mergeCell ref="O2270:P2270"/>
    <mergeCell ref="I2272:I2273"/>
    <mergeCell ref="J2272:J2273"/>
    <mergeCell ref="K2272:K2273"/>
    <mergeCell ref="L2272:L2273"/>
    <mergeCell ref="M2272:M2273"/>
    <mergeCell ref="N2272:N2273"/>
    <mergeCell ref="I2245:M2245"/>
    <mergeCell ref="I2246:M2246"/>
    <mergeCell ref="I2247:M2247"/>
    <mergeCell ref="I2253:L2253"/>
    <mergeCell ref="I2268:P2268"/>
    <mergeCell ref="I2270:I2271"/>
    <mergeCell ref="J2270:J2271"/>
    <mergeCell ref="K2270:K2271"/>
    <mergeCell ref="L2270:L2271"/>
    <mergeCell ref="M2270:M2271"/>
    <mergeCell ref="I2243:I2244"/>
    <mergeCell ref="J2243:J2244"/>
    <mergeCell ref="K2243:K2244"/>
    <mergeCell ref="L2243:L2244"/>
    <mergeCell ref="M2243:M2244"/>
    <mergeCell ref="N2243:N2244"/>
    <mergeCell ref="I2241:I2242"/>
    <mergeCell ref="J2241:J2242"/>
    <mergeCell ref="K2241:K2242"/>
    <mergeCell ref="L2241:L2242"/>
    <mergeCell ref="M2241:M2242"/>
    <mergeCell ref="N2241:N2242"/>
    <mergeCell ref="I2239:I2240"/>
    <mergeCell ref="J2239:J2240"/>
    <mergeCell ref="K2239:K2240"/>
    <mergeCell ref="L2239:L2240"/>
    <mergeCell ref="M2239:M2240"/>
    <mergeCell ref="N2239:N2240"/>
    <mergeCell ref="I2237:I2238"/>
    <mergeCell ref="J2237:J2238"/>
    <mergeCell ref="K2237:K2238"/>
    <mergeCell ref="L2237:L2238"/>
    <mergeCell ref="M2237:M2238"/>
    <mergeCell ref="N2237:N2238"/>
    <mergeCell ref="N2233:N2234"/>
    <mergeCell ref="O2233:P2233"/>
    <mergeCell ref="I2235:I2236"/>
    <mergeCell ref="J2235:J2236"/>
    <mergeCell ref="K2235:K2236"/>
    <mergeCell ref="L2235:L2236"/>
    <mergeCell ref="M2235:M2236"/>
    <mergeCell ref="N2235:N2236"/>
    <mergeCell ref="I2208:M2208"/>
    <mergeCell ref="I2209:M2209"/>
    <mergeCell ref="I2210:M2210"/>
    <mergeCell ref="I2216:L2216"/>
    <mergeCell ref="I2231:P2231"/>
    <mergeCell ref="I2233:I2234"/>
    <mergeCell ref="J2233:J2234"/>
    <mergeCell ref="K2233:K2234"/>
    <mergeCell ref="L2233:L2234"/>
    <mergeCell ref="M2233:M2234"/>
    <mergeCell ref="I2206:I2207"/>
    <mergeCell ref="J2206:J2207"/>
    <mergeCell ref="K2206:K2207"/>
    <mergeCell ref="L2206:L2207"/>
    <mergeCell ref="M2206:M2207"/>
    <mergeCell ref="N2206:N2207"/>
    <mergeCell ref="I2204:I2205"/>
    <mergeCell ref="J2204:J2205"/>
    <mergeCell ref="K2204:K2205"/>
    <mergeCell ref="L2204:L2205"/>
    <mergeCell ref="M2204:M2205"/>
    <mergeCell ref="N2204:N2205"/>
    <mergeCell ref="I2202:I2203"/>
    <mergeCell ref="J2202:J2203"/>
    <mergeCell ref="K2202:K2203"/>
    <mergeCell ref="L2202:L2203"/>
    <mergeCell ref="M2202:M2203"/>
    <mergeCell ref="N2202:N2203"/>
    <mergeCell ref="I2200:I2201"/>
    <mergeCell ref="J2200:J2201"/>
    <mergeCell ref="K2200:K2201"/>
    <mergeCell ref="L2200:L2201"/>
    <mergeCell ref="M2200:M2201"/>
    <mergeCell ref="N2200:N2201"/>
    <mergeCell ref="N2196:N2197"/>
    <mergeCell ref="O2196:P2196"/>
    <mergeCell ref="I2198:I2199"/>
    <mergeCell ref="J2198:J2199"/>
    <mergeCell ref="K2198:K2199"/>
    <mergeCell ref="L2198:L2199"/>
    <mergeCell ref="M2198:M2199"/>
    <mergeCell ref="N2198:N2199"/>
    <mergeCell ref="I2171:M2171"/>
    <mergeCell ref="I2172:M2172"/>
    <mergeCell ref="I2173:M2173"/>
    <mergeCell ref="I2179:L2179"/>
    <mergeCell ref="I2194:P2194"/>
    <mergeCell ref="I2196:I2197"/>
    <mergeCell ref="J2196:J2197"/>
    <mergeCell ref="K2196:K2197"/>
    <mergeCell ref="L2196:L2197"/>
    <mergeCell ref="M2196:M2197"/>
    <mergeCell ref="I2169:I2170"/>
    <mergeCell ref="J2169:J2170"/>
    <mergeCell ref="K2169:K2170"/>
    <mergeCell ref="L2169:L2170"/>
    <mergeCell ref="M2169:M2170"/>
    <mergeCell ref="N2169:N2170"/>
    <mergeCell ref="I2167:I2168"/>
    <mergeCell ref="J2167:J2168"/>
    <mergeCell ref="K2167:K2168"/>
    <mergeCell ref="L2167:L2168"/>
    <mergeCell ref="M2167:M2168"/>
    <mergeCell ref="N2167:N2168"/>
    <mergeCell ref="I2165:I2166"/>
    <mergeCell ref="J2165:J2166"/>
    <mergeCell ref="K2165:K2166"/>
    <mergeCell ref="L2165:L2166"/>
    <mergeCell ref="M2165:M2166"/>
    <mergeCell ref="N2165:N2166"/>
    <mergeCell ref="I2163:I2164"/>
    <mergeCell ref="J2163:J2164"/>
    <mergeCell ref="K2163:K2164"/>
    <mergeCell ref="L2163:L2164"/>
    <mergeCell ref="M2163:M2164"/>
    <mergeCell ref="N2163:N2164"/>
    <mergeCell ref="I2161:I2162"/>
    <mergeCell ref="J2161:J2162"/>
    <mergeCell ref="K2161:K2162"/>
    <mergeCell ref="L2161:L2162"/>
    <mergeCell ref="M2161:M2162"/>
    <mergeCell ref="N2161:N2162"/>
    <mergeCell ref="N2157:N2158"/>
    <mergeCell ref="O2157:P2157"/>
    <mergeCell ref="I2159:I2160"/>
    <mergeCell ref="J2159:J2160"/>
    <mergeCell ref="K2159:K2160"/>
    <mergeCell ref="L2159:L2160"/>
    <mergeCell ref="M2159:M2160"/>
    <mergeCell ref="N2159:N2160"/>
    <mergeCell ref="I2132:M2132"/>
    <mergeCell ref="I2133:M2133"/>
    <mergeCell ref="I2134:M2134"/>
    <mergeCell ref="I2140:L2140"/>
    <mergeCell ref="I2155:P2155"/>
    <mergeCell ref="I2157:I2158"/>
    <mergeCell ref="J2157:J2158"/>
    <mergeCell ref="K2157:K2158"/>
    <mergeCell ref="L2157:L2158"/>
    <mergeCell ref="M2157:M2158"/>
    <mergeCell ref="I2130:I2131"/>
    <mergeCell ref="J2130:J2131"/>
    <mergeCell ref="K2130:K2131"/>
    <mergeCell ref="L2130:L2131"/>
    <mergeCell ref="M2130:M2131"/>
    <mergeCell ref="N2130:N2131"/>
    <mergeCell ref="I2128:I2129"/>
    <mergeCell ref="J2128:J2129"/>
    <mergeCell ref="K2128:K2129"/>
    <mergeCell ref="L2128:L2129"/>
    <mergeCell ref="M2128:M2129"/>
    <mergeCell ref="N2128:N2129"/>
    <mergeCell ref="I2126:I2127"/>
    <mergeCell ref="J2126:J2127"/>
    <mergeCell ref="K2126:K2127"/>
    <mergeCell ref="L2126:L2127"/>
    <mergeCell ref="M2126:M2127"/>
    <mergeCell ref="N2126:N2127"/>
    <mergeCell ref="I2124:I2125"/>
    <mergeCell ref="J2124:J2125"/>
    <mergeCell ref="K2124:K2125"/>
    <mergeCell ref="L2124:L2125"/>
    <mergeCell ref="M2124:M2125"/>
    <mergeCell ref="N2124:N2125"/>
    <mergeCell ref="N2120:N2121"/>
    <mergeCell ref="O2120:P2120"/>
    <mergeCell ref="I2122:I2123"/>
    <mergeCell ref="J2122:J2123"/>
    <mergeCell ref="K2122:K2123"/>
    <mergeCell ref="L2122:L2123"/>
    <mergeCell ref="M2122:M2123"/>
    <mergeCell ref="N2122:N2123"/>
    <mergeCell ref="I2095:M2095"/>
    <mergeCell ref="I2096:M2096"/>
    <mergeCell ref="I2097:M2097"/>
    <mergeCell ref="I2103:L2103"/>
    <mergeCell ref="I2118:P2118"/>
    <mergeCell ref="I2120:I2121"/>
    <mergeCell ref="J2120:J2121"/>
    <mergeCell ref="K2120:K2121"/>
    <mergeCell ref="L2120:L2121"/>
    <mergeCell ref="M2120:M2121"/>
    <mergeCell ref="I2093:I2094"/>
    <mergeCell ref="J2093:J2094"/>
    <mergeCell ref="K2093:K2094"/>
    <mergeCell ref="L2093:L2094"/>
    <mergeCell ref="M2093:M2094"/>
    <mergeCell ref="N2093:N2094"/>
    <mergeCell ref="I2091:I2092"/>
    <mergeCell ref="J2091:J2092"/>
    <mergeCell ref="K2091:K2092"/>
    <mergeCell ref="L2091:L2092"/>
    <mergeCell ref="M2091:M2092"/>
    <mergeCell ref="N2091:N2092"/>
    <mergeCell ref="I2089:I2090"/>
    <mergeCell ref="J2089:J2090"/>
    <mergeCell ref="K2089:K2090"/>
    <mergeCell ref="L2089:L2090"/>
    <mergeCell ref="M2089:M2090"/>
    <mergeCell ref="N2089:N2090"/>
    <mergeCell ref="I2087:I2088"/>
    <mergeCell ref="J2087:J2088"/>
    <mergeCell ref="K2087:K2088"/>
    <mergeCell ref="L2087:L2088"/>
    <mergeCell ref="M2087:M2088"/>
    <mergeCell ref="N2087:N2088"/>
    <mergeCell ref="N2083:N2084"/>
    <mergeCell ref="O2083:P2083"/>
    <mergeCell ref="I2085:I2086"/>
    <mergeCell ref="J2085:J2086"/>
    <mergeCell ref="K2085:K2086"/>
    <mergeCell ref="L2085:L2086"/>
    <mergeCell ref="M2085:M2086"/>
    <mergeCell ref="N2085:N2086"/>
    <mergeCell ref="I2058:M2058"/>
    <mergeCell ref="I2059:M2059"/>
    <mergeCell ref="I2060:M2060"/>
    <mergeCell ref="I2066:L2066"/>
    <mergeCell ref="I2081:P2081"/>
    <mergeCell ref="I2083:I2084"/>
    <mergeCell ref="J2083:J2084"/>
    <mergeCell ref="K2083:K2084"/>
    <mergeCell ref="L2083:L2084"/>
    <mergeCell ref="M2083:M2084"/>
    <mergeCell ref="I2056:I2057"/>
    <mergeCell ref="J2056:J2057"/>
    <mergeCell ref="K2056:K2057"/>
    <mergeCell ref="L2056:L2057"/>
    <mergeCell ref="M2056:M2057"/>
    <mergeCell ref="N2056:N2057"/>
    <mergeCell ref="I2054:I2055"/>
    <mergeCell ref="J2054:J2055"/>
    <mergeCell ref="K2054:K2055"/>
    <mergeCell ref="L2054:L2055"/>
    <mergeCell ref="M2054:M2055"/>
    <mergeCell ref="N2054:N2055"/>
    <mergeCell ref="I2052:I2053"/>
    <mergeCell ref="J2052:J2053"/>
    <mergeCell ref="K2052:K2053"/>
    <mergeCell ref="L2052:L2053"/>
    <mergeCell ref="M2052:M2053"/>
    <mergeCell ref="N2052:N2053"/>
    <mergeCell ref="I2050:I2051"/>
    <mergeCell ref="J2050:J2051"/>
    <mergeCell ref="K2050:K2051"/>
    <mergeCell ref="L2050:L2051"/>
    <mergeCell ref="M2050:M2051"/>
    <mergeCell ref="N2050:N2051"/>
    <mergeCell ref="N2046:N2047"/>
    <mergeCell ref="O2046:P2046"/>
    <mergeCell ref="I2048:I2049"/>
    <mergeCell ref="J2048:J2049"/>
    <mergeCell ref="K2048:K2049"/>
    <mergeCell ref="L2048:L2049"/>
    <mergeCell ref="M2048:M2049"/>
    <mergeCell ref="N2048:N2049"/>
    <mergeCell ref="I2021:M2021"/>
    <mergeCell ref="I2022:M2022"/>
    <mergeCell ref="I2023:M2023"/>
    <mergeCell ref="I2029:L2029"/>
    <mergeCell ref="I2044:P2044"/>
    <mergeCell ref="I2046:I2047"/>
    <mergeCell ref="J2046:J2047"/>
    <mergeCell ref="K2046:K2047"/>
    <mergeCell ref="L2046:L2047"/>
    <mergeCell ref="M2046:M2047"/>
    <mergeCell ref="I2019:I2020"/>
    <mergeCell ref="J2019:J2020"/>
    <mergeCell ref="K2019:K2020"/>
    <mergeCell ref="L2019:L2020"/>
    <mergeCell ref="M2019:M2020"/>
    <mergeCell ref="N2019:N2020"/>
    <mergeCell ref="I2017:I2018"/>
    <mergeCell ref="J2017:J2018"/>
    <mergeCell ref="K2017:K2018"/>
    <mergeCell ref="L2017:L2018"/>
    <mergeCell ref="M2017:M2018"/>
    <mergeCell ref="N2017:N2018"/>
    <mergeCell ref="I2015:I2016"/>
    <mergeCell ref="J2015:J2016"/>
    <mergeCell ref="K2015:K2016"/>
    <mergeCell ref="L2015:L2016"/>
    <mergeCell ref="M2015:M2016"/>
    <mergeCell ref="N2015:N2016"/>
    <mergeCell ref="I2013:I2014"/>
    <mergeCell ref="J2013:J2014"/>
    <mergeCell ref="K2013:K2014"/>
    <mergeCell ref="L2013:L2014"/>
    <mergeCell ref="M2013:M2014"/>
    <mergeCell ref="N2013:N2014"/>
    <mergeCell ref="N2009:N2010"/>
    <mergeCell ref="O2009:P2009"/>
    <mergeCell ref="I2011:I2012"/>
    <mergeCell ref="J2011:J2012"/>
    <mergeCell ref="K2011:K2012"/>
    <mergeCell ref="L2011:L2012"/>
    <mergeCell ref="M2011:M2012"/>
    <mergeCell ref="N2011:N2012"/>
    <mergeCell ref="I1984:M1984"/>
    <mergeCell ref="I1985:M1985"/>
    <mergeCell ref="I1986:M1986"/>
    <mergeCell ref="I1992:L1992"/>
    <mergeCell ref="I2007:P2007"/>
    <mergeCell ref="I2009:I2010"/>
    <mergeCell ref="J2009:J2010"/>
    <mergeCell ref="K2009:K2010"/>
    <mergeCell ref="L2009:L2010"/>
    <mergeCell ref="M2009:M2010"/>
    <mergeCell ref="I1982:I1983"/>
    <mergeCell ref="J1982:J1983"/>
    <mergeCell ref="K1982:K1983"/>
    <mergeCell ref="L1982:L1983"/>
    <mergeCell ref="M1982:M1983"/>
    <mergeCell ref="N1982:N1983"/>
    <mergeCell ref="I1980:I1981"/>
    <mergeCell ref="J1980:J1981"/>
    <mergeCell ref="K1980:K1981"/>
    <mergeCell ref="L1980:L1981"/>
    <mergeCell ref="M1980:M1981"/>
    <mergeCell ref="N1980:N1981"/>
    <mergeCell ref="I1978:I1979"/>
    <mergeCell ref="J1978:J1979"/>
    <mergeCell ref="K1978:K1979"/>
    <mergeCell ref="L1978:L1979"/>
    <mergeCell ref="M1978:M1979"/>
    <mergeCell ref="N1978:N1979"/>
    <mergeCell ref="I1976:I1977"/>
    <mergeCell ref="J1976:J1977"/>
    <mergeCell ref="K1976:K1977"/>
    <mergeCell ref="L1976:L1977"/>
    <mergeCell ref="M1976:M1977"/>
    <mergeCell ref="N1976:N1977"/>
    <mergeCell ref="N1972:N1973"/>
    <mergeCell ref="O1972:P1972"/>
    <mergeCell ref="I1974:I1975"/>
    <mergeCell ref="J1974:J1975"/>
    <mergeCell ref="K1974:K1975"/>
    <mergeCell ref="L1974:L1975"/>
    <mergeCell ref="M1974:M1975"/>
    <mergeCell ref="N1974:N1975"/>
    <mergeCell ref="I1947:M1947"/>
    <mergeCell ref="I1948:M1948"/>
    <mergeCell ref="I1949:M1949"/>
    <mergeCell ref="I1955:L1955"/>
    <mergeCell ref="I1970:P1970"/>
    <mergeCell ref="I1972:I1973"/>
    <mergeCell ref="J1972:J1973"/>
    <mergeCell ref="K1972:K1973"/>
    <mergeCell ref="L1972:L1973"/>
    <mergeCell ref="M1972:M1973"/>
    <mergeCell ref="I1945:I1946"/>
    <mergeCell ref="J1945:J1946"/>
    <mergeCell ref="K1945:K1946"/>
    <mergeCell ref="L1945:L1946"/>
    <mergeCell ref="M1945:M1946"/>
    <mergeCell ref="N1945:N1946"/>
    <mergeCell ref="I1943:I1944"/>
    <mergeCell ref="J1943:J1944"/>
    <mergeCell ref="K1943:K1944"/>
    <mergeCell ref="L1943:L1944"/>
    <mergeCell ref="M1943:M1944"/>
    <mergeCell ref="N1943:N1944"/>
    <mergeCell ref="I1941:I1942"/>
    <mergeCell ref="J1941:J1942"/>
    <mergeCell ref="K1941:K1942"/>
    <mergeCell ref="L1941:L1942"/>
    <mergeCell ref="M1941:M1942"/>
    <mergeCell ref="N1941:N1942"/>
    <mergeCell ref="I1939:I1940"/>
    <mergeCell ref="J1939:J1940"/>
    <mergeCell ref="K1939:K1940"/>
    <mergeCell ref="L1939:L1940"/>
    <mergeCell ref="M1939:M1940"/>
    <mergeCell ref="N1939:N1940"/>
    <mergeCell ref="N1935:N1936"/>
    <mergeCell ref="O1935:P1935"/>
    <mergeCell ref="I1937:I1938"/>
    <mergeCell ref="J1937:J1938"/>
    <mergeCell ref="K1937:K1938"/>
    <mergeCell ref="L1937:L1938"/>
    <mergeCell ref="M1937:M1938"/>
    <mergeCell ref="N1937:N1938"/>
    <mergeCell ref="I1910:M1910"/>
    <mergeCell ref="I1911:M1911"/>
    <mergeCell ref="I1912:M1912"/>
    <mergeCell ref="I1918:L1918"/>
    <mergeCell ref="I1933:P1933"/>
    <mergeCell ref="I1935:I1936"/>
    <mergeCell ref="J1935:J1936"/>
    <mergeCell ref="K1935:K1936"/>
    <mergeCell ref="L1935:L1936"/>
    <mergeCell ref="M1935:M1936"/>
    <mergeCell ref="I1908:I1909"/>
    <mergeCell ref="J1908:J1909"/>
    <mergeCell ref="K1908:K1909"/>
    <mergeCell ref="L1908:L1909"/>
    <mergeCell ref="M1908:M1909"/>
    <mergeCell ref="N1908:N1909"/>
    <mergeCell ref="I1906:I1907"/>
    <mergeCell ref="J1906:J1907"/>
    <mergeCell ref="K1906:K1907"/>
    <mergeCell ref="L1906:L1907"/>
    <mergeCell ref="M1906:M1907"/>
    <mergeCell ref="N1906:N1907"/>
    <mergeCell ref="I1904:I1905"/>
    <mergeCell ref="J1904:J1905"/>
    <mergeCell ref="K1904:K1905"/>
    <mergeCell ref="L1904:L1905"/>
    <mergeCell ref="M1904:M1905"/>
    <mergeCell ref="N1904:N1905"/>
    <mergeCell ref="I1902:I1903"/>
    <mergeCell ref="J1902:J1903"/>
    <mergeCell ref="K1902:K1903"/>
    <mergeCell ref="L1902:L1903"/>
    <mergeCell ref="M1902:M1903"/>
    <mergeCell ref="N1902:N1903"/>
    <mergeCell ref="N1898:N1899"/>
    <mergeCell ref="O1898:P1898"/>
    <mergeCell ref="I1900:I1901"/>
    <mergeCell ref="J1900:J1901"/>
    <mergeCell ref="K1900:K1901"/>
    <mergeCell ref="L1900:L1901"/>
    <mergeCell ref="M1900:M1901"/>
    <mergeCell ref="N1900:N1901"/>
    <mergeCell ref="I1873:M1873"/>
    <mergeCell ref="I1874:M1874"/>
    <mergeCell ref="I1875:M1875"/>
    <mergeCell ref="I1881:L1881"/>
    <mergeCell ref="I1896:P1896"/>
    <mergeCell ref="I1898:I1899"/>
    <mergeCell ref="J1898:J1899"/>
    <mergeCell ref="K1898:K1899"/>
    <mergeCell ref="L1898:L1899"/>
    <mergeCell ref="M1898:M1899"/>
    <mergeCell ref="I1871:I1872"/>
    <mergeCell ref="J1871:J1872"/>
    <mergeCell ref="K1871:K1872"/>
    <mergeCell ref="L1871:L1872"/>
    <mergeCell ref="M1871:M1872"/>
    <mergeCell ref="N1871:N1872"/>
    <mergeCell ref="I1869:I1870"/>
    <mergeCell ref="J1869:J1870"/>
    <mergeCell ref="K1869:K1870"/>
    <mergeCell ref="L1869:L1870"/>
    <mergeCell ref="M1869:M1870"/>
    <mergeCell ref="N1869:N1870"/>
    <mergeCell ref="I1867:I1868"/>
    <mergeCell ref="J1867:J1868"/>
    <mergeCell ref="K1867:K1868"/>
    <mergeCell ref="L1867:L1868"/>
    <mergeCell ref="M1867:M1868"/>
    <mergeCell ref="N1867:N1868"/>
    <mergeCell ref="I1865:I1866"/>
    <mergeCell ref="J1865:J1866"/>
    <mergeCell ref="K1865:K1866"/>
    <mergeCell ref="L1865:L1866"/>
    <mergeCell ref="M1865:M1866"/>
    <mergeCell ref="N1865:N1866"/>
    <mergeCell ref="N1861:N1862"/>
    <mergeCell ref="O1861:P1861"/>
    <mergeCell ref="I1863:I1864"/>
    <mergeCell ref="J1863:J1864"/>
    <mergeCell ref="K1863:K1864"/>
    <mergeCell ref="L1863:L1864"/>
    <mergeCell ref="M1863:M1864"/>
    <mergeCell ref="N1863:N1864"/>
    <mergeCell ref="I1836:M1836"/>
    <mergeCell ref="I1837:M1837"/>
    <mergeCell ref="I1838:M1838"/>
    <mergeCell ref="I1844:L1844"/>
    <mergeCell ref="I1859:P1859"/>
    <mergeCell ref="I1861:I1862"/>
    <mergeCell ref="J1861:J1862"/>
    <mergeCell ref="K1861:K1862"/>
    <mergeCell ref="L1861:L1862"/>
    <mergeCell ref="M1861:M1862"/>
    <mergeCell ref="I1834:I1835"/>
    <mergeCell ref="J1834:J1835"/>
    <mergeCell ref="K1834:K1835"/>
    <mergeCell ref="L1834:L1835"/>
    <mergeCell ref="M1834:M1835"/>
    <mergeCell ref="N1834:N1835"/>
    <mergeCell ref="I1832:I1833"/>
    <mergeCell ref="J1832:J1833"/>
    <mergeCell ref="K1832:K1833"/>
    <mergeCell ref="L1832:L1833"/>
    <mergeCell ref="M1832:M1833"/>
    <mergeCell ref="N1832:N1833"/>
    <mergeCell ref="I1830:I1831"/>
    <mergeCell ref="J1830:J1831"/>
    <mergeCell ref="K1830:K1831"/>
    <mergeCell ref="L1830:L1831"/>
    <mergeCell ref="M1830:M1831"/>
    <mergeCell ref="N1830:N1831"/>
    <mergeCell ref="I1828:I1829"/>
    <mergeCell ref="J1828:J1829"/>
    <mergeCell ref="K1828:K1829"/>
    <mergeCell ref="L1828:L1829"/>
    <mergeCell ref="M1828:M1829"/>
    <mergeCell ref="N1828:N1829"/>
    <mergeCell ref="N1824:N1825"/>
    <mergeCell ref="O1824:P1824"/>
    <mergeCell ref="I1826:I1827"/>
    <mergeCell ref="J1826:J1827"/>
    <mergeCell ref="K1826:K1827"/>
    <mergeCell ref="L1826:L1827"/>
    <mergeCell ref="M1826:M1827"/>
    <mergeCell ref="N1826:N1827"/>
    <mergeCell ref="I1799:M1799"/>
    <mergeCell ref="I1800:M1800"/>
    <mergeCell ref="I1801:M1801"/>
    <mergeCell ref="I1807:L1807"/>
    <mergeCell ref="I1822:P1822"/>
    <mergeCell ref="I1824:I1825"/>
    <mergeCell ref="J1824:J1825"/>
    <mergeCell ref="K1824:K1825"/>
    <mergeCell ref="L1824:L1825"/>
    <mergeCell ref="M1824:M1825"/>
    <mergeCell ref="I1797:I1798"/>
    <mergeCell ref="J1797:J1798"/>
    <mergeCell ref="K1797:K1798"/>
    <mergeCell ref="L1797:L1798"/>
    <mergeCell ref="M1797:M1798"/>
    <mergeCell ref="N1797:N1798"/>
    <mergeCell ref="I1795:I1796"/>
    <mergeCell ref="J1795:J1796"/>
    <mergeCell ref="K1795:K1796"/>
    <mergeCell ref="L1795:L1796"/>
    <mergeCell ref="M1795:M1796"/>
    <mergeCell ref="N1795:N1796"/>
    <mergeCell ref="I1793:I1794"/>
    <mergeCell ref="J1793:J1794"/>
    <mergeCell ref="K1793:K1794"/>
    <mergeCell ref="L1793:L1794"/>
    <mergeCell ref="M1793:M1794"/>
    <mergeCell ref="N1793:N1794"/>
    <mergeCell ref="I1791:I1792"/>
    <mergeCell ref="J1791:J1792"/>
    <mergeCell ref="K1791:K1792"/>
    <mergeCell ref="L1791:L1792"/>
    <mergeCell ref="M1791:M1792"/>
    <mergeCell ref="N1791:N1792"/>
    <mergeCell ref="N1787:N1788"/>
    <mergeCell ref="O1787:P1787"/>
    <mergeCell ref="I1789:I1790"/>
    <mergeCell ref="J1789:J1790"/>
    <mergeCell ref="K1789:K1790"/>
    <mergeCell ref="L1789:L1790"/>
    <mergeCell ref="M1789:M1790"/>
    <mergeCell ref="N1789:N1790"/>
    <mergeCell ref="I1762:M1762"/>
    <mergeCell ref="I1763:M1763"/>
    <mergeCell ref="I1764:M1764"/>
    <mergeCell ref="I1770:L1770"/>
    <mergeCell ref="I1785:P1785"/>
    <mergeCell ref="I1787:I1788"/>
    <mergeCell ref="J1787:J1788"/>
    <mergeCell ref="K1787:K1788"/>
    <mergeCell ref="L1787:L1788"/>
    <mergeCell ref="M1787:M1788"/>
    <mergeCell ref="I1760:I1761"/>
    <mergeCell ref="J1760:J1761"/>
    <mergeCell ref="K1760:K1761"/>
    <mergeCell ref="L1760:L1761"/>
    <mergeCell ref="M1760:M1761"/>
    <mergeCell ref="N1760:N1761"/>
    <mergeCell ref="I1758:I1759"/>
    <mergeCell ref="J1758:J1759"/>
    <mergeCell ref="K1758:K1759"/>
    <mergeCell ref="L1758:L1759"/>
    <mergeCell ref="M1758:M1759"/>
    <mergeCell ref="N1758:N1759"/>
    <mergeCell ref="I1756:I1757"/>
    <mergeCell ref="J1756:J1757"/>
    <mergeCell ref="K1756:K1757"/>
    <mergeCell ref="L1756:L1757"/>
    <mergeCell ref="M1756:M1757"/>
    <mergeCell ref="N1756:N1757"/>
    <mergeCell ref="I1754:I1755"/>
    <mergeCell ref="J1754:J1755"/>
    <mergeCell ref="K1754:K1755"/>
    <mergeCell ref="L1754:L1755"/>
    <mergeCell ref="M1754:M1755"/>
    <mergeCell ref="N1754:N1755"/>
    <mergeCell ref="N1750:N1751"/>
    <mergeCell ref="O1750:P1750"/>
    <mergeCell ref="I1752:I1753"/>
    <mergeCell ref="J1752:J1753"/>
    <mergeCell ref="K1752:K1753"/>
    <mergeCell ref="L1752:L1753"/>
    <mergeCell ref="M1752:M1753"/>
    <mergeCell ref="N1752:N1753"/>
    <mergeCell ref="I1725:M1725"/>
    <mergeCell ref="I1726:M1726"/>
    <mergeCell ref="I1727:M1727"/>
    <mergeCell ref="I1733:L1733"/>
    <mergeCell ref="I1748:P1748"/>
    <mergeCell ref="I1750:I1751"/>
    <mergeCell ref="J1750:J1751"/>
    <mergeCell ref="K1750:K1751"/>
    <mergeCell ref="L1750:L1751"/>
    <mergeCell ref="M1750:M1751"/>
    <mergeCell ref="I1723:I1724"/>
    <mergeCell ref="J1723:J1724"/>
    <mergeCell ref="K1723:K1724"/>
    <mergeCell ref="L1723:L1724"/>
    <mergeCell ref="M1723:M1724"/>
    <mergeCell ref="N1723:N1724"/>
    <mergeCell ref="I1721:I1722"/>
    <mergeCell ref="J1721:J1722"/>
    <mergeCell ref="K1721:K1722"/>
    <mergeCell ref="L1721:L1722"/>
    <mergeCell ref="M1721:M1722"/>
    <mergeCell ref="N1721:N1722"/>
    <mergeCell ref="I1719:I1720"/>
    <mergeCell ref="J1719:J1720"/>
    <mergeCell ref="K1719:K1720"/>
    <mergeCell ref="L1719:L1720"/>
    <mergeCell ref="M1719:M1720"/>
    <mergeCell ref="N1719:N1720"/>
    <mergeCell ref="I1717:I1718"/>
    <mergeCell ref="J1717:J1718"/>
    <mergeCell ref="K1717:K1718"/>
    <mergeCell ref="L1717:L1718"/>
    <mergeCell ref="M1717:M1718"/>
    <mergeCell ref="N1717:N1718"/>
    <mergeCell ref="I1715:I1716"/>
    <mergeCell ref="J1715:J1716"/>
    <mergeCell ref="K1715:K1716"/>
    <mergeCell ref="L1715:L1716"/>
    <mergeCell ref="M1715:M1716"/>
    <mergeCell ref="N1715:N1716"/>
    <mergeCell ref="N1711:N1712"/>
    <mergeCell ref="O1711:P1711"/>
    <mergeCell ref="I1713:I1714"/>
    <mergeCell ref="J1713:J1714"/>
    <mergeCell ref="K1713:K1714"/>
    <mergeCell ref="L1713:L1714"/>
    <mergeCell ref="M1713:M1714"/>
    <mergeCell ref="N1713:N1714"/>
    <mergeCell ref="I1686:M1686"/>
    <mergeCell ref="I1687:M1687"/>
    <mergeCell ref="I1688:M1688"/>
    <mergeCell ref="I1694:L1694"/>
    <mergeCell ref="I1709:P1709"/>
    <mergeCell ref="I1711:I1712"/>
    <mergeCell ref="J1711:J1712"/>
    <mergeCell ref="K1711:K1712"/>
    <mergeCell ref="L1711:L1712"/>
    <mergeCell ref="M1711:M1712"/>
    <mergeCell ref="I1684:I1685"/>
    <mergeCell ref="J1684:J1685"/>
    <mergeCell ref="K1684:K1685"/>
    <mergeCell ref="L1684:L1685"/>
    <mergeCell ref="M1684:M1685"/>
    <mergeCell ref="N1684:N1685"/>
    <mergeCell ref="I1682:I1683"/>
    <mergeCell ref="J1682:J1683"/>
    <mergeCell ref="K1682:K1683"/>
    <mergeCell ref="L1682:L1683"/>
    <mergeCell ref="M1682:M1683"/>
    <mergeCell ref="N1682:N1683"/>
    <mergeCell ref="I1680:I1681"/>
    <mergeCell ref="J1680:J1681"/>
    <mergeCell ref="K1680:K1681"/>
    <mergeCell ref="L1680:L1681"/>
    <mergeCell ref="M1680:M1681"/>
    <mergeCell ref="N1680:N1681"/>
    <mergeCell ref="I1678:I1679"/>
    <mergeCell ref="J1678:J1679"/>
    <mergeCell ref="K1678:K1679"/>
    <mergeCell ref="L1678:L1679"/>
    <mergeCell ref="M1678:M1679"/>
    <mergeCell ref="N1678:N1679"/>
    <mergeCell ref="N1674:N1675"/>
    <mergeCell ref="O1674:P1674"/>
    <mergeCell ref="I1676:I1677"/>
    <mergeCell ref="J1676:J1677"/>
    <mergeCell ref="K1676:K1677"/>
    <mergeCell ref="L1676:L1677"/>
    <mergeCell ref="M1676:M1677"/>
    <mergeCell ref="N1676:N1677"/>
    <mergeCell ref="I1649:M1649"/>
    <mergeCell ref="I1650:M1650"/>
    <mergeCell ref="I1651:M1651"/>
    <mergeCell ref="I1657:L1657"/>
    <mergeCell ref="I1672:P1672"/>
    <mergeCell ref="I1674:I1675"/>
    <mergeCell ref="J1674:J1675"/>
    <mergeCell ref="K1674:K1675"/>
    <mergeCell ref="L1674:L1675"/>
    <mergeCell ref="M1674:M1675"/>
    <mergeCell ref="I1647:I1648"/>
    <mergeCell ref="J1647:J1648"/>
    <mergeCell ref="K1647:K1648"/>
    <mergeCell ref="L1647:L1648"/>
    <mergeCell ref="M1647:M1648"/>
    <mergeCell ref="N1647:N1648"/>
    <mergeCell ref="I1645:I1646"/>
    <mergeCell ref="J1645:J1646"/>
    <mergeCell ref="K1645:K1646"/>
    <mergeCell ref="L1645:L1646"/>
    <mergeCell ref="M1645:M1646"/>
    <mergeCell ref="N1645:N1646"/>
    <mergeCell ref="I1643:I1644"/>
    <mergeCell ref="J1643:J1644"/>
    <mergeCell ref="K1643:K1644"/>
    <mergeCell ref="L1643:L1644"/>
    <mergeCell ref="M1643:M1644"/>
    <mergeCell ref="N1643:N1644"/>
    <mergeCell ref="I1641:I1642"/>
    <mergeCell ref="J1641:J1642"/>
    <mergeCell ref="K1641:K1642"/>
    <mergeCell ref="L1641:L1642"/>
    <mergeCell ref="M1641:M1642"/>
    <mergeCell ref="N1641:N1642"/>
    <mergeCell ref="N1637:N1638"/>
    <mergeCell ref="O1637:P1637"/>
    <mergeCell ref="I1639:I1640"/>
    <mergeCell ref="J1639:J1640"/>
    <mergeCell ref="K1639:K1640"/>
    <mergeCell ref="L1639:L1640"/>
    <mergeCell ref="M1639:M1640"/>
    <mergeCell ref="N1639:N1640"/>
    <mergeCell ref="I1612:M1612"/>
    <mergeCell ref="I1613:M1613"/>
    <mergeCell ref="I1614:M1614"/>
    <mergeCell ref="I1620:L1620"/>
    <mergeCell ref="I1635:P1635"/>
    <mergeCell ref="I1637:I1638"/>
    <mergeCell ref="J1637:J1638"/>
    <mergeCell ref="K1637:K1638"/>
    <mergeCell ref="L1637:L1638"/>
    <mergeCell ref="M1637:M1638"/>
    <mergeCell ref="I1610:I1611"/>
    <mergeCell ref="J1610:J1611"/>
    <mergeCell ref="K1610:K1611"/>
    <mergeCell ref="L1610:L1611"/>
    <mergeCell ref="M1610:M1611"/>
    <mergeCell ref="N1610:N1611"/>
    <mergeCell ref="I1608:I1609"/>
    <mergeCell ref="J1608:J1609"/>
    <mergeCell ref="K1608:K1609"/>
    <mergeCell ref="L1608:L1609"/>
    <mergeCell ref="M1608:M1609"/>
    <mergeCell ref="N1608:N1609"/>
    <mergeCell ref="I1606:I1607"/>
    <mergeCell ref="J1606:J1607"/>
    <mergeCell ref="K1606:K1607"/>
    <mergeCell ref="L1606:L1607"/>
    <mergeCell ref="M1606:M1607"/>
    <mergeCell ref="N1606:N1607"/>
    <mergeCell ref="I1604:I1605"/>
    <mergeCell ref="J1604:J1605"/>
    <mergeCell ref="K1604:K1605"/>
    <mergeCell ref="L1604:L1605"/>
    <mergeCell ref="M1604:M1605"/>
    <mergeCell ref="N1604:N1605"/>
    <mergeCell ref="N1600:N1601"/>
    <mergeCell ref="O1600:P1600"/>
    <mergeCell ref="I1602:I1603"/>
    <mergeCell ref="J1602:J1603"/>
    <mergeCell ref="K1602:K1603"/>
    <mergeCell ref="L1602:L1603"/>
    <mergeCell ref="M1602:M1603"/>
    <mergeCell ref="N1602:N1603"/>
    <mergeCell ref="I1575:M1575"/>
    <mergeCell ref="I1576:M1576"/>
    <mergeCell ref="I1577:M1577"/>
    <mergeCell ref="I1583:L1583"/>
    <mergeCell ref="I1598:P1598"/>
    <mergeCell ref="I1600:I1601"/>
    <mergeCell ref="J1600:J1601"/>
    <mergeCell ref="K1600:K1601"/>
    <mergeCell ref="L1600:L1601"/>
    <mergeCell ref="M1600:M1601"/>
    <mergeCell ref="I1573:I1574"/>
    <mergeCell ref="J1573:J1574"/>
    <mergeCell ref="K1573:K1574"/>
    <mergeCell ref="L1573:L1574"/>
    <mergeCell ref="M1573:M1574"/>
    <mergeCell ref="N1573:N1574"/>
    <mergeCell ref="I1571:I1572"/>
    <mergeCell ref="J1571:J1572"/>
    <mergeCell ref="K1571:K1572"/>
    <mergeCell ref="L1571:L1572"/>
    <mergeCell ref="M1571:M1572"/>
    <mergeCell ref="N1571:N1572"/>
    <mergeCell ref="I1569:I1570"/>
    <mergeCell ref="J1569:J1570"/>
    <mergeCell ref="K1569:K1570"/>
    <mergeCell ref="L1569:L1570"/>
    <mergeCell ref="M1569:M1570"/>
    <mergeCell ref="N1569:N1570"/>
    <mergeCell ref="I1567:I1568"/>
    <mergeCell ref="J1567:J1568"/>
    <mergeCell ref="K1567:K1568"/>
    <mergeCell ref="L1567:L1568"/>
    <mergeCell ref="M1567:M1568"/>
    <mergeCell ref="N1567:N1568"/>
    <mergeCell ref="N1563:N1564"/>
    <mergeCell ref="O1563:P1563"/>
    <mergeCell ref="I1565:I1566"/>
    <mergeCell ref="J1565:J1566"/>
    <mergeCell ref="K1565:K1566"/>
    <mergeCell ref="L1565:L1566"/>
    <mergeCell ref="M1565:M1566"/>
    <mergeCell ref="N1565:N1566"/>
    <mergeCell ref="I1538:M1538"/>
    <mergeCell ref="I1539:M1539"/>
    <mergeCell ref="I1540:M1540"/>
    <mergeCell ref="I1546:L1546"/>
    <mergeCell ref="I1561:P1561"/>
    <mergeCell ref="I1563:I1564"/>
    <mergeCell ref="J1563:J1564"/>
    <mergeCell ref="K1563:K1564"/>
    <mergeCell ref="L1563:L1564"/>
    <mergeCell ref="M1563:M1564"/>
    <mergeCell ref="I1536:I1537"/>
    <mergeCell ref="J1536:J1537"/>
    <mergeCell ref="K1536:K1537"/>
    <mergeCell ref="L1536:L1537"/>
    <mergeCell ref="M1536:M1537"/>
    <mergeCell ref="N1536:N1537"/>
    <mergeCell ref="I1534:I1535"/>
    <mergeCell ref="J1534:J1535"/>
    <mergeCell ref="K1534:K1535"/>
    <mergeCell ref="L1534:L1535"/>
    <mergeCell ref="M1534:M1535"/>
    <mergeCell ref="N1534:N1535"/>
    <mergeCell ref="I1532:I1533"/>
    <mergeCell ref="J1532:J1533"/>
    <mergeCell ref="K1532:K1533"/>
    <mergeCell ref="L1532:L1533"/>
    <mergeCell ref="M1532:M1533"/>
    <mergeCell ref="N1532:N1533"/>
    <mergeCell ref="I1530:I1531"/>
    <mergeCell ref="J1530:J1531"/>
    <mergeCell ref="K1530:K1531"/>
    <mergeCell ref="L1530:L1531"/>
    <mergeCell ref="M1530:M1531"/>
    <mergeCell ref="N1530:N1531"/>
    <mergeCell ref="O1526:P1526"/>
    <mergeCell ref="I1528:I1529"/>
    <mergeCell ref="J1528:J1529"/>
    <mergeCell ref="K1528:K1529"/>
    <mergeCell ref="L1528:L1529"/>
    <mergeCell ref="M1528:M1529"/>
    <mergeCell ref="N1528:N1529"/>
    <mergeCell ref="I1526:I1527"/>
    <mergeCell ref="J1526:J1527"/>
    <mergeCell ref="K1526:K1527"/>
    <mergeCell ref="L1526:L1527"/>
    <mergeCell ref="M1526:M1527"/>
    <mergeCell ref="N1526:N1527"/>
    <mergeCell ref="I1501:M1501"/>
    <mergeCell ref="I1502:M1502"/>
    <mergeCell ref="I1503:M1503"/>
    <mergeCell ref="I1509:L1509"/>
    <mergeCell ref="N1514:P1514"/>
    <mergeCell ref="I1524:P1524"/>
    <mergeCell ref="I1499:I1500"/>
    <mergeCell ref="J1499:J1500"/>
    <mergeCell ref="K1499:K1500"/>
    <mergeCell ref="L1499:L1500"/>
    <mergeCell ref="M1499:M1500"/>
    <mergeCell ref="N1499:N1500"/>
    <mergeCell ref="I1497:I1498"/>
    <mergeCell ref="J1497:J1498"/>
    <mergeCell ref="K1497:K1498"/>
    <mergeCell ref="L1497:L1498"/>
    <mergeCell ref="M1497:M1498"/>
    <mergeCell ref="N1497:N1498"/>
    <mergeCell ref="I1495:I1496"/>
    <mergeCell ref="J1495:J1496"/>
    <mergeCell ref="K1495:K1496"/>
    <mergeCell ref="L1495:L1496"/>
    <mergeCell ref="M1495:M1496"/>
    <mergeCell ref="N1495:N1496"/>
    <mergeCell ref="I1493:I1494"/>
    <mergeCell ref="J1493:J1494"/>
    <mergeCell ref="K1493:K1494"/>
    <mergeCell ref="L1493:L1494"/>
    <mergeCell ref="M1493:M1494"/>
    <mergeCell ref="N1493:N1494"/>
    <mergeCell ref="I1491:I1492"/>
    <mergeCell ref="J1491:J1492"/>
    <mergeCell ref="K1491:K1492"/>
    <mergeCell ref="L1491:L1492"/>
    <mergeCell ref="M1491:M1492"/>
    <mergeCell ref="N1491:N1492"/>
    <mergeCell ref="I1489:I1490"/>
    <mergeCell ref="J1489:J1490"/>
    <mergeCell ref="K1489:K1490"/>
    <mergeCell ref="L1489:L1490"/>
    <mergeCell ref="M1489:M1490"/>
    <mergeCell ref="N1489:N1490"/>
    <mergeCell ref="A1471:D1471"/>
    <mergeCell ref="N1475:P1475"/>
    <mergeCell ref="I1485:P1485"/>
    <mergeCell ref="I1487:I1488"/>
    <mergeCell ref="J1487:J1488"/>
    <mergeCell ref="K1487:K1488"/>
    <mergeCell ref="L1487:L1488"/>
    <mergeCell ref="M1487:M1488"/>
    <mergeCell ref="N1487:N1488"/>
    <mergeCell ref="O1487:P1487"/>
    <mergeCell ref="A1463:E1463"/>
    <mergeCell ref="I1463:M1463"/>
    <mergeCell ref="A1464:E1464"/>
    <mergeCell ref="I1464:M1464"/>
    <mergeCell ref="A1465:E1465"/>
    <mergeCell ref="I1470:L1470"/>
    <mergeCell ref="L1460:L1461"/>
    <mergeCell ref="M1460:M1461"/>
    <mergeCell ref="N1460:N1461"/>
    <mergeCell ref="A1461:A1462"/>
    <mergeCell ref="B1461:B1462"/>
    <mergeCell ref="C1461:C1462"/>
    <mergeCell ref="D1461:D1462"/>
    <mergeCell ref="E1461:E1462"/>
    <mergeCell ref="F1461:F1462"/>
    <mergeCell ref="I1462:M1462"/>
    <mergeCell ref="N1458:N1459"/>
    <mergeCell ref="A1459:A1460"/>
    <mergeCell ref="B1459:B1460"/>
    <mergeCell ref="C1459:C1460"/>
    <mergeCell ref="D1459:D1460"/>
    <mergeCell ref="E1459:E1460"/>
    <mergeCell ref="F1459:F1460"/>
    <mergeCell ref="I1460:I1461"/>
    <mergeCell ref="J1460:J1461"/>
    <mergeCell ref="K1460:K1461"/>
    <mergeCell ref="J1456:J1457"/>
    <mergeCell ref="K1456:K1457"/>
    <mergeCell ref="L1456:L1457"/>
    <mergeCell ref="M1456:M1457"/>
    <mergeCell ref="N1456:N1457"/>
    <mergeCell ref="I1458:I1459"/>
    <mergeCell ref="J1458:J1459"/>
    <mergeCell ref="K1458:K1459"/>
    <mergeCell ref="L1458:L1459"/>
    <mergeCell ref="M1458:M1459"/>
    <mergeCell ref="L1454:L1455"/>
    <mergeCell ref="M1454:M1455"/>
    <mergeCell ref="N1454:N1455"/>
    <mergeCell ref="A1455:A1458"/>
    <mergeCell ref="B1455:B1458"/>
    <mergeCell ref="C1455:C1458"/>
    <mergeCell ref="D1455:D1458"/>
    <mergeCell ref="E1455:E1458"/>
    <mergeCell ref="F1455:F1458"/>
    <mergeCell ref="I1456:I1457"/>
    <mergeCell ref="N1452:N1453"/>
    <mergeCell ref="A1453:A1454"/>
    <mergeCell ref="B1453:B1454"/>
    <mergeCell ref="C1453:C1454"/>
    <mergeCell ref="D1453:D1454"/>
    <mergeCell ref="E1453:E1454"/>
    <mergeCell ref="F1453:F1454"/>
    <mergeCell ref="I1454:I1455"/>
    <mergeCell ref="J1454:J1455"/>
    <mergeCell ref="K1454:K1455"/>
    <mergeCell ref="F1451:F1452"/>
    <mergeCell ref="I1452:I1453"/>
    <mergeCell ref="J1452:J1453"/>
    <mergeCell ref="K1452:K1453"/>
    <mergeCell ref="L1452:L1453"/>
    <mergeCell ref="M1452:M1453"/>
    <mergeCell ref="J1450:J1451"/>
    <mergeCell ref="K1450:K1451"/>
    <mergeCell ref="L1450:L1451"/>
    <mergeCell ref="M1450:M1451"/>
    <mergeCell ref="N1450:N1451"/>
    <mergeCell ref="A1451:A1452"/>
    <mergeCell ref="B1451:B1452"/>
    <mergeCell ref="C1451:C1452"/>
    <mergeCell ref="D1451:D1452"/>
    <mergeCell ref="E1451:E1452"/>
    <mergeCell ref="N1448:N1449"/>
    <mergeCell ref="O1448:P1448"/>
    <mergeCell ref="A1449:A1450"/>
    <mergeCell ref="B1449:B1450"/>
    <mergeCell ref="C1449:C1450"/>
    <mergeCell ref="D1449:D1450"/>
    <mergeCell ref="E1449:E1450"/>
    <mergeCell ref="F1449:F1450"/>
    <mergeCell ref="G1449:H1449"/>
    <mergeCell ref="I1450:I1451"/>
    <mergeCell ref="I1431:L1431"/>
    <mergeCell ref="A1433:D1433"/>
    <mergeCell ref="N1436:P1436"/>
    <mergeCell ref="I1446:P1446"/>
    <mergeCell ref="A1447:H1447"/>
    <mergeCell ref="I1448:I1449"/>
    <mergeCell ref="J1448:J1449"/>
    <mergeCell ref="K1448:K1449"/>
    <mergeCell ref="L1448:L1449"/>
    <mergeCell ref="M1448:M1449"/>
    <mergeCell ref="I1423:M1423"/>
    <mergeCell ref="I1424:M1424"/>
    <mergeCell ref="A1425:E1425"/>
    <mergeCell ref="I1425:M1425"/>
    <mergeCell ref="A1426:E1426"/>
    <mergeCell ref="A1427:E1427"/>
    <mergeCell ref="A1423:A1424"/>
    <mergeCell ref="B1423:B1424"/>
    <mergeCell ref="C1423:C1424"/>
    <mergeCell ref="D1423:D1424"/>
    <mergeCell ref="E1423:E1424"/>
    <mergeCell ref="F1423:F1424"/>
    <mergeCell ref="I1421:I1422"/>
    <mergeCell ref="J1421:J1422"/>
    <mergeCell ref="K1421:K1422"/>
    <mergeCell ref="L1421:L1422"/>
    <mergeCell ref="M1421:M1422"/>
    <mergeCell ref="N1421:N1422"/>
    <mergeCell ref="A1421:A1422"/>
    <mergeCell ref="B1421:B1422"/>
    <mergeCell ref="C1421:C1422"/>
    <mergeCell ref="D1421:D1422"/>
    <mergeCell ref="E1421:E1422"/>
    <mergeCell ref="F1421:F1422"/>
    <mergeCell ref="I1419:I1420"/>
    <mergeCell ref="J1419:J1420"/>
    <mergeCell ref="K1419:K1420"/>
    <mergeCell ref="L1419:L1420"/>
    <mergeCell ref="M1419:M1420"/>
    <mergeCell ref="N1419:N1420"/>
    <mergeCell ref="A1419:A1420"/>
    <mergeCell ref="B1419:B1420"/>
    <mergeCell ref="C1419:C1420"/>
    <mergeCell ref="D1419:D1420"/>
    <mergeCell ref="E1419:E1420"/>
    <mergeCell ref="F1419:F1420"/>
    <mergeCell ref="I1417:I1418"/>
    <mergeCell ref="J1417:J1418"/>
    <mergeCell ref="K1417:K1418"/>
    <mergeCell ref="L1417:L1418"/>
    <mergeCell ref="M1417:M1418"/>
    <mergeCell ref="N1417:N1418"/>
    <mergeCell ref="A1417:A1418"/>
    <mergeCell ref="B1417:B1418"/>
    <mergeCell ref="C1417:C1418"/>
    <mergeCell ref="D1417:D1418"/>
    <mergeCell ref="E1417:E1418"/>
    <mergeCell ref="F1417:F1418"/>
    <mergeCell ref="I1415:I1416"/>
    <mergeCell ref="J1415:J1416"/>
    <mergeCell ref="K1415:K1416"/>
    <mergeCell ref="L1415:L1416"/>
    <mergeCell ref="M1415:M1416"/>
    <mergeCell ref="N1415:N1416"/>
    <mergeCell ref="K1413:K1414"/>
    <mergeCell ref="L1413:L1414"/>
    <mergeCell ref="M1413:M1414"/>
    <mergeCell ref="N1413:N1414"/>
    <mergeCell ref="A1415:A1416"/>
    <mergeCell ref="B1415:B1416"/>
    <mergeCell ref="C1415:C1416"/>
    <mergeCell ref="D1415:D1416"/>
    <mergeCell ref="E1415:E1416"/>
    <mergeCell ref="F1415:F1416"/>
    <mergeCell ref="O1411:P1411"/>
    <mergeCell ref="A1413:A1414"/>
    <mergeCell ref="B1413:B1414"/>
    <mergeCell ref="C1413:C1414"/>
    <mergeCell ref="D1413:D1414"/>
    <mergeCell ref="E1413:E1414"/>
    <mergeCell ref="F1413:F1414"/>
    <mergeCell ref="G1413:H1413"/>
    <mergeCell ref="I1413:I1414"/>
    <mergeCell ref="J1413:J1414"/>
    <mergeCell ref="A1396:D1396"/>
    <mergeCell ref="N1399:P1399"/>
    <mergeCell ref="I1409:P1409"/>
    <mergeCell ref="A1411:H1411"/>
    <mergeCell ref="I1411:I1412"/>
    <mergeCell ref="J1411:J1412"/>
    <mergeCell ref="K1411:K1412"/>
    <mergeCell ref="L1411:L1412"/>
    <mergeCell ref="M1411:M1412"/>
    <mergeCell ref="N1411:N1412"/>
    <mergeCell ref="I1387:M1387"/>
    <mergeCell ref="A1388:E1388"/>
    <mergeCell ref="I1388:M1388"/>
    <mergeCell ref="A1389:E1389"/>
    <mergeCell ref="A1390:E1390"/>
    <mergeCell ref="I1394:L1394"/>
    <mergeCell ref="L1384:L1385"/>
    <mergeCell ref="M1384:M1385"/>
    <mergeCell ref="N1384:N1385"/>
    <mergeCell ref="A1386:A1387"/>
    <mergeCell ref="B1386:B1387"/>
    <mergeCell ref="C1386:C1387"/>
    <mergeCell ref="D1386:D1387"/>
    <mergeCell ref="E1386:E1387"/>
    <mergeCell ref="F1386:F1387"/>
    <mergeCell ref="I1386:M1386"/>
    <mergeCell ref="N1382:N1383"/>
    <mergeCell ref="A1384:A1385"/>
    <mergeCell ref="B1384:B1385"/>
    <mergeCell ref="C1384:C1385"/>
    <mergeCell ref="D1384:D1385"/>
    <mergeCell ref="E1384:E1385"/>
    <mergeCell ref="F1384:F1385"/>
    <mergeCell ref="I1384:I1385"/>
    <mergeCell ref="J1384:J1385"/>
    <mergeCell ref="K1384:K1385"/>
    <mergeCell ref="F1382:F1383"/>
    <mergeCell ref="I1382:I1383"/>
    <mergeCell ref="J1382:J1383"/>
    <mergeCell ref="K1382:K1383"/>
    <mergeCell ref="L1382:L1383"/>
    <mergeCell ref="M1382:M1383"/>
    <mergeCell ref="J1380:J1381"/>
    <mergeCell ref="K1380:K1381"/>
    <mergeCell ref="L1380:L1381"/>
    <mergeCell ref="M1380:M1381"/>
    <mergeCell ref="N1380:N1381"/>
    <mergeCell ref="A1382:A1383"/>
    <mergeCell ref="B1382:B1383"/>
    <mergeCell ref="C1382:C1383"/>
    <mergeCell ref="D1382:D1383"/>
    <mergeCell ref="E1382:E1383"/>
    <mergeCell ref="L1378:L1379"/>
    <mergeCell ref="M1378:M1379"/>
    <mergeCell ref="N1378:N1379"/>
    <mergeCell ref="A1380:A1381"/>
    <mergeCell ref="B1380:B1381"/>
    <mergeCell ref="C1380:C1381"/>
    <mergeCell ref="D1380:D1381"/>
    <mergeCell ref="E1380:E1381"/>
    <mergeCell ref="F1380:F1381"/>
    <mergeCell ref="I1380:I1381"/>
    <mergeCell ref="N1376:N1377"/>
    <mergeCell ref="A1378:A1379"/>
    <mergeCell ref="B1378:B1379"/>
    <mergeCell ref="C1378:C1379"/>
    <mergeCell ref="D1378:D1379"/>
    <mergeCell ref="E1378:E1379"/>
    <mergeCell ref="F1378:F1379"/>
    <mergeCell ref="I1378:I1379"/>
    <mergeCell ref="J1378:J1379"/>
    <mergeCell ref="K1378:K1379"/>
    <mergeCell ref="G1376:H1376"/>
    <mergeCell ref="I1376:I1377"/>
    <mergeCell ref="J1376:J1377"/>
    <mergeCell ref="K1376:K1377"/>
    <mergeCell ref="L1376:L1377"/>
    <mergeCell ref="M1376:M1377"/>
    <mergeCell ref="A1376:A1377"/>
    <mergeCell ref="B1376:B1377"/>
    <mergeCell ref="C1376:C1377"/>
    <mergeCell ref="D1376:D1377"/>
    <mergeCell ref="E1376:E1377"/>
    <mergeCell ref="F1376:F1377"/>
    <mergeCell ref="N1362:P1362"/>
    <mergeCell ref="I1372:P1372"/>
    <mergeCell ref="A1374:H1374"/>
    <mergeCell ref="I1374:I1375"/>
    <mergeCell ref="J1374:J1375"/>
    <mergeCell ref="K1374:K1375"/>
    <mergeCell ref="L1374:L1375"/>
    <mergeCell ref="M1374:M1375"/>
    <mergeCell ref="N1374:N1375"/>
    <mergeCell ref="O1374:P1374"/>
    <mergeCell ref="A1351:E1351"/>
    <mergeCell ref="I1351:M1351"/>
    <mergeCell ref="A1352:E1352"/>
    <mergeCell ref="A1353:E1353"/>
    <mergeCell ref="I1357:L1357"/>
    <mergeCell ref="A1359:D1359"/>
    <mergeCell ref="N1347:N1348"/>
    <mergeCell ref="A1349:A1350"/>
    <mergeCell ref="B1349:B1350"/>
    <mergeCell ref="C1349:C1350"/>
    <mergeCell ref="D1349:D1350"/>
    <mergeCell ref="E1349:E1350"/>
    <mergeCell ref="F1349:F1350"/>
    <mergeCell ref="I1349:M1349"/>
    <mergeCell ref="I1350:M1350"/>
    <mergeCell ref="F1347:F1348"/>
    <mergeCell ref="I1347:I1348"/>
    <mergeCell ref="J1347:J1348"/>
    <mergeCell ref="K1347:K1348"/>
    <mergeCell ref="L1347:L1348"/>
    <mergeCell ref="M1347:M1348"/>
    <mergeCell ref="J1345:J1346"/>
    <mergeCell ref="K1345:K1346"/>
    <mergeCell ref="L1345:L1346"/>
    <mergeCell ref="M1345:M1346"/>
    <mergeCell ref="N1345:N1346"/>
    <mergeCell ref="A1347:A1348"/>
    <mergeCell ref="B1347:B1348"/>
    <mergeCell ref="C1347:C1348"/>
    <mergeCell ref="D1347:D1348"/>
    <mergeCell ref="E1347:E1348"/>
    <mergeCell ref="L1343:L1344"/>
    <mergeCell ref="M1343:M1344"/>
    <mergeCell ref="N1343:N1344"/>
    <mergeCell ref="A1345:A1346"/>
    <mergeCell ref="B1345:B1346"/>
    <mergeCell ref="C1345:C1346"/>
    <mergeCell ref="D1345:D1346"/>
    <mergeCell ref="E1345:E1346"/>
    <mergeCell ref="F1345:F1346"/>
    <mergeCell ref="I1345:I1346"/>
    <mergeCell ref="N1341:N1342"/>
    <mergeCell ref="A1343:A1344"/>
    <mergeCell ref="B1343:B1344"/>
    <mergeCell ref="C1343:C1344"/>
    <mergeCell ref="D1343:D1344"/>
    <mergeCell ref="E1343:E1344"/>
    <mergeCell ref="F1343:F1344"/>
    <mergeCell ref="I1343:I1344"/>
    <mergeCell ref="J1343:J1344"/>
    <mergeCell ref="K1343:K1344"/>
    <mergeCell ref="F1341:F1342"/>
    <mergeCell ref="I1341:I1342"/>
    <mergeCell ref="J1341:J1342"/>
    <mergeCell ref="K1341:K1342"/>
    <mergeCell ref="L1341:L1342"/>
    <mergeCell ref="M1341:M1342"/>
    <mergeCell ref="J1339:J1340"/>
    <mergeCell ref="K1339:K1340"/>
    <mergeCell ref="L1339:L1340"/>
    <mergeCell ref="M1339:M1340"/>
    <mergeCell ref="N1339:N1340"/>
    <mergeCell ref="A1341:A1342"/>
    <mergeCell ref="B1341:B1342"/>
    <mergeCell ref="C1341:C1342"/>
    <mergeCell ref="D1341:D1342"/>
    <mergeCell ref="E1341:E1342"/>
    <mergeCell ref="M1337:M1338"/>
    <mergeCell ref="N1337:N1338"/>
    <mergeCell ref="O1337:P1337"/>
    <mergeCell ref="A1339:A1340"/>
    <mergeCell ref="B1339:B1340"/>
    <mergeCell ref="C1339:C1340"/>
    <mergeCell ref="D1339:D1340"/>
    <mergeCell ref="E1339:E1340"/>
    <mergeCell ref="F1339:F1340"/>
    <mergeCell ref="I1339:I1340"/>
    <mergeCell ref="F1337:F1338"/>
    <mergeCell ref="G1337:H1337"/>
    <mergeCell ref="I1337:I1338"/>
    <mergeCell ref="J1337:J1338"/>
    <mergeCell ref="K1337:K1338"/>
    <mergeCell ref="L1337:L1338"/>
    <mergeCell ref="A1320:D1320"/>
    <mergeCell ref="I1320:L1320"/>
    <mergeCell ref="N1325:P1325"/>
    <mergeCell ref="A1335:H1335"/>
    <mergeCell ref="I1335:P1335"/>
    <mergeCell ref="A1337:A1338"/>
    <mergeCell ref="B1337:B1338"/>
    <mergeCell ref="C1337:C1338"/>
    <mergeCell ref="D1337:D1338"/>
    <mergeCell ref="E1337:E1338"/>
    <mergeCell ref="N1310:N1311"/>
    <mergeCell ref="A1312:E1312"/>
    <mergeCell ref="I1312:M1312"/>
    <mergeCell ref="A1313:E1313"/>
    <mergeCell ref="I1313:M1313"/>
    <mergeCell ref="A1314:E1314"/>
    <mergeCell ref="I1314:M1314"/>
    <mergeCell ref="F1310:F1311"/>
    <mergeCell ref="I1310:I1311"/>
    <mergeCell ref="J1310:J1311"/>
    <mergeCell ref="K1310:K1311"/>
    <mergeCell ref="L1310:L1311"/>
    <mergeCell ref="M1310:M1311"/>
    <mergeCell ref="J1308:J1309"/>
    <mergeCell ref="K1308:K1309"/>
    <mergeCell ref="L1308:L1309"/>
    <mergeCell ref="M1308:M1309"/>
    <mergeCell ref="N1308:N1309"/>
    <mergeCell ref="A1310:A1311"/>
    <mergeCell ref="B1310:B1311"/>
    <mergeCell ref="C1310:C1311"/>
    <mergeCell ref="D1310:D1311"/>
    <mergeCell ref="E1310:E1311"/>
    <mergeCell ref="L1306:L1307"/>
    <mergeCell ref="M1306:M1307"/>
    <mergeCell ref="N1306:N1307"/>
    <mergeCell ref="A1308:A1309"/>
    <mergeCell ref="B1308:B1309"/>
    <mergeCell ref="C1308:C1309"/>
    <mergeCell ref="D1308:D1309"/>
    <mergeCell ref="E1308:E1309"/>
    <mergeCell ref="F1308:F1309"/>
    <mergeCell ref="I1308:I1309"/>
    <mergeCell ref="N1304:N1305"/>
    <mergeCell ref="A1306:A1307"/>
    <mergeCell ref="B1306:B1307"/>
    <mergeCell ref="C1306:C1307"/>
    <mergeCell ref="D1306:D1307"/>
    <mergeCell ref="E1306:E1307"/>
    <mergeCell ref="F1306:F1307"/>
    <mergeCell ref="I1306:I1307"/>
    <mergeCell ref="J1306:J1307"/>
    <mergeCell ref="K1306:K1307"/>
    <mergeCell ref="F1304:F1305"/>
    <mergeCell ref="I1304:I1305"/>
    <mergeCell ref="J1304:J1305"/>
    <mergeCell ref="K1304:K1305"/>
    <mergeCell ref="L1304:L1305"/>
    <mergeCell ref="M1304:M1305"/>
    <mergeCell ref="J1302:J1303"/>
    <mergeCell ref="K1302:K1303"/>
    <mergeCell ref="L1302:L1303"/>
    <mergeCell ref="M1302:M1303"/>
    <mergeCell ref="N1302:N1303"/>
    <mergeCell ref="A1304:A1305"/>
    <mergeCell ref="B1304:B1305"/>
    <mergeCell ref="C1304:C1305"/>
    <mergeCell ref="D1304:D1305"/>
    <mergeCell ref="E1304:E1305"/>
    <mergeCell ref="M1300:M1301"/>
    <mergeCell ref="N1300:N1301"/>
    <mergeCell ref="O1300:P1300"/>
    <mergeCell ref="A1302:A1303"/>
    <mergeCell ref="B1302:B1303"/>
    <mergeCell ref="C1302:C1303"/>
    <mergeCell ref="D1302:D1303"/>
    <mergeCell ref="E1302:E1303"/>
    <mergeCell ref="F1302:F1303"/>
    <mergeCell ref="I1302:I1303"/>
    <mergeCell ref="F1300:F1301"/>
    <mergeCell ref="G1300:H1300"/>
    <mergeCell ref="I1300:I1301"/>
    <mergeCell ref="J1300:J1301"/>
    <mergeCell ref="K1300:K1301"/>
    <mergeCell ref="L1300:L1301"/>
    <mergeCell ref="A1283:D1283"/>
    <mergeCell ref="I1283:L1283"/>
    <mergeCell ref="N1288:P1288"/>
    <mergeCell ref="A1298:H1298"/>
    <mergeCell ref="I1298:P1298"/>
    <mergeCell ref="A1300:A1301"/>
    <mergeCell ref="B1300:B1301"/>
    <mergeCell ref="C1300:C1301"/>
    <mergeCell ref="D1300:D1301"/>
    <mergeCell ref="E1300:E1301"/>
    <mergeCell ref="A1275:E1275"/>
    <mergeCell ref="I1275:M1275"/>
    <mergeCell ref="A1276:E1276"/>
    <mergeCell ref="I1276:M1276"/>
    <mergeCell ref="A1277:E1277"/>
    <mergeCell ref="I1277:M1277"/>
    <mergeCell ref="I1273:I1274"/>
    <mergeCell ref="J1273:J1274"/>
    <mergeCell ref="K1273:K1274"/>
    <mergeCell ref="L1273:L1274"/>
    <mergeCell ref="M1273:M1274"/>
    <mergeCell ref="N1273:N1274"/>
    <mergeCell ref="A1273:A1274"/>
    <mergeCell ref="B1273:B1274"/>
    <mergeCell ref="C1273:C1274"/>
    <mergeCell ref="D1273:D1274"/>
    <mergeCell ref="E1273:E1274"/>
    <mergeCell ref="F1273:F1274"/>
    <mergeCell ref="I1271:I1272"/>
    <mergeCell ref="J1271:J1272"/>
    <mergeCell ref="K1271:K1272"/>
    <mergeCell ref="L1271:L1272"/>
    <mergeCell ref="M1271:M1272"/>
    <mergeCell ref="N1271:N1272"/>
    <mergeCell ref="A1271:A1272"/>
    <mergeCell ref="B1271:B1272"/>
    <mergeCell ref="C1271:C1272"/>
    <mergeCell ref="D1271:D1272"/>
    <mergeCell ref="E1271:E1272"/>
    <mergeCell ref="F1271:F1272"/>
    <mergeCell ref="I1269:I1270"/>
    <mergeCell ref="J1269:J1270"/>
    <mergeCell ref="K1269:K1270"/>
    <mergeCell ref="L1269:L1270"/>
    <mergeCell ref="M1269:M1270"/>
    <mergeCell ref="N1269:N1270"/>
    <mergeCell ref="A1269:A1270"/>
    <mergeCell ref="B1269:B1270"/>
    <mergeCell ref="C1269:C1270"/>
    <mergeCell ref="D1269:D1270"/>
    <mergeCell ref="E1269:E1270"/>
    <mergeCell ref="F1269:F1270"/>
    <mergeCell ref="I1267:I1268"/>
    <mergeCell ref="J1267:J1268"/>
    <mergeCell ref="K1267:K1268"/>
    <mergeCell ref="L1267:L1268"/>
    <mergeCell ref="M1267:M1268"/>
    <mergeCell ref="N1267:N1268"/>
    <mergeCell ref="K1265:K1266"/>
    <mergeCell ref="L1265:L1266"/>
    <mergeCell ref="M1265:M1266"/>
    <mergeCell ref="N1265:N1266"/>
    <mergeCell ref="A1267:A1268"/>
    <mergeCell ref="B1267:B1268"/>
    <mergeCell ref="C1267:C1268"/>
    <mergeCell ref="D1267:D1268"/>
    <mergeCell ref="E1267:E1268"/>
    <mergeCell ref="F1267:F1268"/>
    <mergeCell ref="N1263:N1264"/>
    <mergeCell ref="O1263:P1263"/>
    <mergeCell ref="A1265:A1266"/>
    <mergeCell ref="B1265:B1266"/>
    <mergeCell ref="C1265:C1266"/>
    <mergeCell ref="D1265:D1266"/>
    <mergeCell ref="E1265:E1266"/>
    <mergeCell ref="F1265:F1266"/>
    <mergeCell ref="I1265:I1266"/>
    <mergeCell ref="J1265:J1266"/>
    <mergeCell ref="G1263:H1263"/>
    <mergeCell ref="I1263:I1264"/>
    <mergeCell ref="J1263:J1264"/>
    <mergeCell ref="K1263:K1264"/>
    <mergeCell ref="L1263:L1264"/>
    <mergeCell ref="M1263:M1264"/>
    <mergeCell ref="A1263:A1264"/>
    <mergeCell ref="B1263:B1264"/>
    <mergeCell ref="C1263:C1264"/>
    <mergeCell ref="D1263:D1264"/>
    <mergeCell ref="E1263:E1264"/>
    <mergeCell ref="F1263:F1264"/>
    <mergeCell ref="A1246:D1246"/>
    <mergeCell ref="I1246:L1246"/>
    <mergeCell ref="N1246:P1246"/>
    <mergeCell ref="N1250:P1250"/>
    <mergeCell ref="N1251:P1251"/>
    <mergeCell ref="A1261:H1261"/>
    <mergeCell ref="I1261:P1261"/>
    <mergeCell ref="A1238:E1238"/>
    <mergeCell ref="I1238:M1238"/>
    <mergeCell ref="A1239:E1239"/>
    <mergeCell ref="I1239:M1239"/>
    <mergeCell ref="A1240:E1240"/>
    <mergeCell ref="I1240:M1240"/>
    <mergeCell ref="I1236:I1237"/>
    <mergeCell ref="J1236:J1237"/>
    <mergeCell ref="K1236:K1237"/>
    <mergeCell ref="L1236:L1237"/>
    <mergeCell ref="M1236:M1237"/>
    <mergeCell ref="N1236:N1237"/>
    <mergeCell ref="A1236:A1237"/>
    <mergeCell ref="B1236:B1237"/>
    <mergeCell ref="C1236:C1237"/>
    <mergeCell ref="D1236:D1237"/>
    <mergeCell ref="E1236:E1237"/>
    <mergeCell ref="F1236:F1237"/>
    <mergeCell ref="I1234:I1235"/>
    <mergeCell ref="J1234:J1235"/>
    <mergeCell ref="K1234:K1235"/>
    <mergeCell ref="L1234:L1235"/>
    <mergeCell ref="M1234:M1235"/>
    <mergeCell ref="N1234:N1235"/>
    <mergeCell ref="A1234:A1235"/>
    <mergeCell ref="B1234:B1235"/>
    <mergeCell ref="C1234:C1235"/>
    <mergeCell ref="D1234:D1235"/>
    <mergeCell ref="E1234:E1235"/>
    <mergeCell ref="F1234:F1235"/>
    <mergeCell ref="I1232:I1233"/>
    <mergeCell ref="J1232:J1233"/>
    <mergeCell ref="K1232:K1233"/>
    <mergeCell ref="L1232:L1233"/>
    <mergeCell ref="M1232:M1233"/>
    <mergeCell ref="N1232:N1233"/>
    <mergeCell ref="A1232:A1233"/>
    <mergeCell ref="B1232:B1233"/>
    <mergeCell ref="C1232:C1233"/>
    <mergeCell ref="D1232:D1233"/>
    <mergeCell ref="E1232:E1233"/>
    <mergeCell ref="F1232:F1233"/>
    <mergeCell ref="I1230:I1231"/>
    <mergeCell ref="J1230:J1231"/>
    <mergeCell ref="K1230:K1231"/>
    <mergeCell ref="L1230:L1231"/>
    <mergeCell ref="M1230:M1231"/>
    <mergeCell ref="N1230:N1231"/>
    <mergeCell ref="K1228:K1229"/>
    <mergeCell ref="L1228:L1229"/>
    <mergeCell ref="M1228:M1229"/>
    <mergeCell ref="N1228:N1229"/>
    <mergeCell ref="A1230:A1231"/>
    <mergeCell ref="B1230:B1231"/>
    <mergeCell ref="C1230:C1231"/>
    <mergeCell ref="D1230:D1231"/>
    <mergeCell ref="E1230:E1231"/>
    <mergeCell ref="F1230:F1231"/>
    <mergeCell ref="N1226:N1227"/>
    <mergeCell ref="O1226:P1226"/>
    <mergeCell ref="A1228:A1229"/>
    <mergeCell ref="B1228:B1229"/>
    <mergeCell ref="C1228:C1229"/>
    <mergeCell ref="D1228:D1229"/>
    <mergeCell ref="E1228:E1229"/>
    <mergeCell ref="F1228:F1229"/>
    <mergeCell ref="I1228:I1229"/>
    <mergeCell ref="J1228:J1229"/>
    <mergeCell ref="G1226:H1226"/>
    <mergeCell ref="I1226:I1227"/>
    <mergeCell ref="J1226:J1227"/>
    <mergeCell ref="K1226:K1227"/>
    <mergeCell ref="L1226:L1227"/>
    <mergeCell ref="M1226:M1227"/>
    <mergeCell ref="A1226:A1227"/>
    <mergeCell ref="B1226:B1227"/>
    <mergeCell ref="C1226:C1227"/>
    <mergeCell ref="D1226:D1227"/>
    <mergeCell ref="E1226:E1227"/>
    <mergeCell ref="F1226:F1227"/>
    <mergeCell ref="A1209:D1209"/>
    <mergeCell ref="I1209:L1209"/>
    <mergeCell ref="N1209:P1209"/>
    <mergeCell ref="N1214:P1214"/>
    <mergeCell ref="A1224:H1224"/>
    <mergeCell ref="I1224:P1224"/>
    <mergeCell ref="A1201:E1201"/>
    <mergeCell ref="I1201:M1201"/>
    <mergeCell ref="A1202:E1202"/>
    <mergeCell ref="I1202:M1202"/>
    <mergeCell ref="A1203:E1203"/>
    <mergeCell ref="I1203:M1203"/>
    <mergeCell ref="I1199:I1200"/>
    <mergeCell ref="J1199:J1200"/>
    <mergeCell ref="K1199:K1200"/>
    <mergeCell ref="L1199:L1200"/>
    <mergeCell ref="M1199:M1200"/>
    <mergeCell ref="N1199:N1200"/>
    <mergeCell ref="A1199:A1200"/>
    <mergeCell ref="B1199:B1200"/>
    <mergeCell ref="C1199:C1200"/>
    <mergeCell ref="D1199:D1200"/>
    <mergeCell ref="E1199:E1200"/>
    <mergeCell ref="F1199:F1200"/>
    <mergeCell ref="I1197:I1198"/>
    <mergeCell ref="J1197:J1198"/>
    <mergeCell ref="K1197:K1198"/>
    <mergeCell ref="L1197:L1198"/>
    <mergeCell ref="M1197:M1198"/>
    <mergeCell ref="N1197:N1198"/>
    <mergeCell ref="I1195:I1196"/>
    <mergeCell ref="J1195:J1196"/>
    <mergeCell ref="K1195:K1196"/>
    <mergeCell ref="L1195:L1196"/>
    <mergeCell ref="M1195:M1196"/>
    <mergeCell ref="N1195:N1196"/>
    <mergeCell ref="A1195:A1196"/>
    <mergeCell ref="B1195:B1196"/>
    <mergeCell ref="C1195:C1196"/>
    <mergeCell ref="D1195:D1196"/>
    <mergeCell ref="E1195:E1196"/>
    <mergeCell ref="F1195:F1196"/>
    <mergeCell ref="I1193:I1194"/>
    <mergeCell ref="J1193:J1194"/>
    <mergeCell ref="K1193:K1194"/>
    <mergeCell ref="L1193:L1194"/>
    <mergeCell ref="M1193:M1194"/>
    <mergeCell ref="N1193:N1194"/>
    <mergeCell ref="A1193:A1194"/>
    <mergeCell ref="B1193:B1194"/>
    <mergeCell ref="C1193:C1194"/>
    <mergeCell ref="D1193:D1194"/>
    <mergeCell ref="E1193:E1194"/>
    <mergeCell ref="F1193:F1194"/>
    <mergeCell ref="I1191:I1192"/>
    <mergeCell ref="J1191:J1192"/>
    <mergeCell ref="K1191:K1192"/>
    <mergeCell ref="L1191:L1192"/>
    <mergeCell ref="M1191:M1192"/>
    <mergeCell ref="N1191:N1192"/>
    <mergeCell ref="K1189:K1190"/>
    <mergeCell ref="L1189:L1190"/>
    <mergeCell ref="M1189:M1190"/>
    <mergeCell ref="N1189:N1190"/>
    <mergeCell ref="A1191:A1192"/>
    <mergeCell ref="B1191:B1192"/>
    <mergeCell ref="C1191:C1192"/>
    <mergeCell ref="D1191:D1192"/>
    <mergeCell ref="E1191:E1192"/>
    <mergeCell ref="F1191:F1192"/>
    <mergeCell ref="N1187:N1188"/>
    <mergeCell ref="O1187:P1187"/>
    <mergeCell ref="A1189:A1190"/>
    <mergeCell ref="B1189:B1190"/>
    <mergeCell ref="C1189:C1190"/>
    <mergeCell ref="D1189:D1190"/>
    <mergeCell ref="E1189:E1190"/>
    <mergeCell ref="F1189:F1190"/>
    <mergeCell ref="I1189:I1190"/>
    <mergeCell ref="J1189:J1190"/>
    <mergeCell ref="G1187:H1187"/>
    <mergeCell ref="I1187:I1188"/>
    <mergeCell ref="J1187:J1188"/>
    <mergeCell ref="K1187:K1188"/>
    <mergeCell ref="L1187:L1188"/>
    <mergeCell ref="M1187:M1188"/>
    <mergeCell ref="A1187:A1188"/>
    <mergeCell ref="B1187:B1188"/>
    <mergeCell ref="C1187:C1188"/>
    <mergeCell ref="D1187:D1188"/>
    <mergeCell ref="E1187:E1188"/>
    <mergeCell ref="F1187:F1188"/>
    <mergeCell ref="A1170:D1170"/>
    <mergeCell ref="I1170:L1170"/>
    <mergeCell ref="N1170:P1170"/>
    <mergeCell ref="N1174:P1174"/>
    <mergeCell ref="A1185:H1185"/>
    <mergeCell ref="I1185:P1185"/>
    <mergeCell ref="A1162:E1162"/>
    <mergeCell ref="I1162:M1162"/>
    <mergeCell ref="A1163:E1163"/>
    <mergeCell ref="I1163:M1163"/>
    <mergeCell ref="A1164:E1164"/>
    <mergeCell ref="I1164:M1164"/>
    <mergeCell ref="I1160:I1161"/>
    <mergeCell ref="J1160:J1161"/>
    <mergeCell ref="K1160:K1161"/>
    <mergeCell ref="L1160:L1161"/>
    <mergeCell ref="M1160:M1161"/>
    <mergeCell ref="N1160:N1161"/>
    <mergeCell ref="A1160:A1161"/>
    <mergeCell ref="B1160:B1161"/>
    <mergeCell ref="C1160:C1161"/>
    <mergeCell ref="D1160:D1161"/>
    <mergeCell ref="E1160:E1161"/>
    <mergeCell ref="F1160:F1161"/>
    <mergeCell ref="I1158:I1159"/>
    <mergeCell ref="J1158:J1159"/>
    <mergeCell ref="K1158:K1159"/>
    <mergeCell ref="L1158:L1159"/>
    <mergeCell ref="M1158:M1159"/>
    <mergeCell ref="N1158:N1159"/>
    <mergeCell ref="A1158:A1159"/>
    <mergeCell ref="B1158:B1159"/>
    <mergeCell ref="C1158:C1159"/>
    <mergeCell ref="D1158:D1159"/>
    <mergeCell ref="E1158:E1159"/>
    <mergeCell ref="F1158:F1159"/>
    <mergeCell ref="I1156:I1157"/>
    <mergeCell ref="J1156:J1157"/>
    <mergeCell ref="K1156:K1157"/>
    <mergeCell ref="L1156:L1157"/>
    <mergeCell ref="M1156:M1157"/>
    <mergeCell ref="N1156:N1157"/>
    <mergeCell ref="A1156:A1157"/>
    <mergeCell ref="B1156:B1157"/>
    <mergeCell ref="C1156:C1157"/>
    <mergeCell ref="D1156:D1157"/>
    <mergeCell ref="E1156:E1157"/>
    <mergeCell ref="F1156:F1157"/>
    <mergeCell ref="I1154:I1155"/>
    <mergeCell ref="J1154:J1155"/>
    <mergeCell ref="K1154:K1155"/>
    <mergeCell ref="L1154:L1155"/>
    <mergeCell ref="M1154:M1155"/>
    <mergeCell ref="N1154:N1155"/>
    <mergeCell ref="K1152:K1153"/>
    <mergeCell ref="L1152:L1153"/>
    <mergeCell ref="M1152:M1153"/>
    <mergeCell ref="N1152:N1153"/>
    <mergeCell ref="A1154:A1155"/>
    <mergeCell ref="B1154:B1155"/>
    <mergeCell ref="C1154:C1155"/>
    <mergeCell ref="D1154:D1155"/>
    <mergeCell ref="E1154:E1155"/>
    <mergeCell ref="F1154:F1155"/>
    <mergeCell ref="N1150:N1151"/>
    <mergeCell ref="O1150:P1150"/>
    <mergeCell ref="A1152:A1153"/>
    <mergeCell ref="B1152:B1153"/>
    <mergeCell ref="C1152:C1153"/>
    <mergeCell ref="D1152:D1153"/>
    <mergeCell ref="E1152:E1153"/>
    <mergeCell ref="F1152:F1153"/>
    <mergeCell ref="I1152:I1153"/>
    <mergeCell ref="J1152:J1153"/>
    <mergeCell ref="G1150:H1150"/>
    <mergeCell ref="I1150:I1151"/>
    <mergeCell ref="J1150:J1151"/>
    <mergeCell ref="K1150:K1151"/>
    <mergeCell ref="L1150:L1151"/>
    <mergeCell ref="M1150:M1151"/>
    <mergeCell ref="A1150:A1151"/>
    <mergeCell ref="B1150:B1151"/>
    <mergeCell ref="C1150:C1151"/>
    <mergeCell ref="D1150:D1151"/>
    <mergeCell ref="E1150:E1151"/>
    <mergeCell ref="F1150:F1151"/>
    <mergeCell ref="A1133:D1133"/>
    <mergeCell ref="I1133:L1133"/>
    <mergeCell ref="N1133:P1133"/>
    <mergeCell ref="N1137:P1137"/>
    <mergeCell ref="A1148:H1148"/>
    <mergeCell ref="I1148:P1148"/>
    <mergeCell ref="A1125:E1125"/>
    <mergeCell ref="I1125:M1125"/>
    <mergeCell ref="A1126:E1126"/>
    <mergeCell ref="I1126:M1126"/>
    <mergeCell ref="A1127:E1127"/>
    <mergeCell ref="I1127:M1127"/>
    <mergeCell ref="I1123:I1124"/>
    <mergeCell ref="J1123:J1124"/>
    <mergeCell ref="K1123:K1124"/>
    <mergeCell ref="L1123:L1124"/>
    <mergeCell ref="M1123:M1124"/>
    <mergeCell ref="N1123:N1124"/>
    <mergeCell ref="A1123:A1124"/>
    <mergeCell ref="B1123:B1124"/>
    <mergeCell ref="C1123:C1124"/>
    <mergeCell ref="D1123:D1124"/>
    <mergeCell ref="E1123:E1124"/>
    <mergeCell ref="F1123:F1124"/>
    <mergeCell ref="I1121:I1122"/>
    <mergeCell ref="J1121:J1122"/>
    <mergeCell ref="K1121:K1122"/>
    <mergeCell ref="L1121:L1122"/>
    <mergeCell ref="M1121:M1122"/>
    <mergeCell ref="N1121:N1122"/>
    <mergeCell ref="A1121:A1122"/>
    <mergeCell ref="B1121:B1122"/>
    <mergeCell ref="C1121:C1122"/>
    <mergeCell ref="D1121:D1122"/>
    <mergeCell ref="E1121:E1122"/>
    <mergeCell ref="F1121:F1122"/>
    <mergeCell ref="I1119:I1120"/>
    <mergeCell ref="J1119:J1120"/>
    <mergeCell ref="K1119:K1120"/>
    <mergeCell ref="L1119:L1120"/>
    <mergeCell ref="M1119:M1120"/>
    <mergeCell ref="N1119:N1120"/>
    <mergeCell ref="A1119:A1120"/>
    <mergeCell ref="B1119:B1120"/>
    <mergeCell ref="C1119:C1120"/>
    <mergeCell ref="D1119:D1120"/>
    <mergeCell ref="E1119:E1120"/>
    <mergeCell ref="F1119:F1120"/>
    <mergeCell ref="I1117:I1118"/>
    <mergeCell ref="J1117:J1118"/>
    <mergeCell ref="K1117:K1118"/>
    <mergeCell ref="L1117:L1118"/>
    <mergeCell ref="M1117:M1118"/>
    <mergeCell ref="N1117:N1118"/>
    <mergeCell ref="K1115:K1116"/>
    <mergeCell ref="L1115:L1116"/>
    <mergeCell ref="M1115:M1116"/>
    <mergeCell ref="N1115:N1116"/>
    <mergeCell ref="A1117:A1118"/>
    <mergeCell ref="B1117:B1118"/>
    <mergeCell ref="C1117:C1118"/>
    <mergeCell ref="D1117:D1118"/>
    <mergeCell ref="E1117:E1118"/>
    <mergeCell ref="F1117:F1118"/>
    <mergeCell ref="N1113:N1114"/>
    <mergeCell ref="O1113:P1113"/>
    <mergeCell ref="A1115:A1116"/>
    <mergeCell ref="B1115:B1116"/>
    <mergeCell ref="C1115:C1116"/>
    <mergeCell ref="D1115:D1116"/>
    <mergeCell ref="E1115:E1116"/>
    <mergeCell ref="F1115:F1116"/>
    <mergeCell ref="I1115:I1116"/>
    <mergeCell ref="J1115:J1116"/>
    <mergeCell ref="G1113:H1113"/>
    <mergeCell ref="I1113:I1114"/>
    <mergeCell ref="J1113:J1114"/>
    <mergeCell ref="K1113:K1114"/>
    <mergeCell ref="L1113:L1114"/>
    <mergeCell ref="M1113:M1114"/>
    <mergeCell ref="A1113:A1114"/>
    <mergeCell ref="B1113:B1114"/>
    <mergeCell ref="C1113:C1114"/>
    <mergeCell ref="D1113:D1114"/>
    <mergeCell ref="E1113:E1114"/>
    <mergeCell ref="F1113:F1114"/>
    <mergeCell ref="A1096:D1096"/>
    <mergeCell ref="I1096:L1096"/>
    <mergeCell ref="N1096:P1096"/>
    <mergeCell ref="N1101:P1101"/>
    <mergeCell ref="A1111:H1111"/>
    <mergeCell ref="I1111:P1111"/>
    <mergeCell ref="A1088:E1088"/>
    <mergeCell ref="I1088:M1088"/>
    <mergeCell ref="A1089:E1089"/>
    <mergeCell ref="I1089:M1089"/>
    <mergeCell ref="A1090:E1090"/>
    <mergeCell ref="I1090:M1090"/>
    <mergeCell ref="I1086:I1087"/>
    <mergeCell ref="J1086:J1087"/>
    <mergeCell ref="K1086:K1087"/>
    <mergeCell ref="L1086:L1087"/>
    <mergeCell ref="M1086:M1087"/>
    <mergeCell ref="N1086:N1087"/>
    <mergeCell ref="I1084:I1085"/>
    <mergeCell ref="J1084:J1085"/>
    <mergeCell ref="K1084:K1085"/>
    <mergeCell ref="L1084:L1085"/>
    <mergeCell ref="M1084:M1085"/>
    <mergeCell ref="N1084:N1085"/>
    <mergeCell ref="I1082:I1083"/>
    <mergeCell ref="J1082:J1083"/>
    <mergeCell ref="K1082:K1083"/>
    <mergeCell ref="L1082:L1083"/>
    <mergeCell ref="M1082:M1083"/>
    <mergeCell ref="N1082:N1083"/>
    <mergeCell ref="I1080:I1081"/>
    <mergeCell ref="J1080:J1081"/>
    <mergeCell ref="K1080:K1081"/>
    <mergeCell ref="L1080:L1081"/>
    <mergeCell ref="M1080:M1081"/>
    <mergeCell ref="N1080:N1081"/>
    <mergeCell ref="A1080:A1081"/>
    <mergeCell ref="B1080:B1081"/>
    <mergeCell ref="C1080:C1081"/>
    <mergeCell ref="D1080:D1081"/>
    <mergeCell ref="E1080:E1081"/>
    <mergeCell ref="F1080:F1081"/>
    <mergeCell ref="I1078:I1079"/>
    <mergeCell ref="J1078:J1079"/>
    <mergeCell ref="K1078:K1079"/>
    <mergeCell ref="L1078:L1079"/>
    <mergeCell ref="M1078:M1079"/>
    <mergeCell ref="N1078:N1079"/>
    <mergeCell ref="K1076:K1077"/>
    <mergeCell ref="L1076:L1077"/>
    <mergeCell ref="M1076:M1077"/>
    <mergeCell ref="N1076:N1077"/>
    <mergeCell ref="A1078:A1079"/>
    <mergeCell ref="B1078:B1079"/>
    <mergeCell ref="C1078:C1079"/>
    <mergeCell ref="D1078:D1079"/>
    <mergeCell ref="E1078:E1079"/>
    <mergeCell ref="F1078:F1079"/>
    <mergeCell ref="N1074:N1075"/>
    <mergeCell ref="O1074:P1074"/>
    <mergeCell ref="A1076:A1077"/>
    <mergeCell ref="B1076:B1077"/>
    <mergeCell ref="C1076:C1077"/>
    <mergeCell ref="D1076:D1077"/>
    <mergeCell ref="E1076:E1077"/>
    <mergeCell ref="F1076:F1077"/>
    <mergeCell ref="I1076:I1077"/>
    <mergeCell ref="J1076:J1077"/>
    <mergeCell ref="G1074:H1074"/>
    <mergeCell ref="I1074:I1075"/>
    <mergeCell ref="J1074:J1075"/>
    <mergeCell ref="K1074:K1075"/>
    <mergeCell ref="L1074:L1075"/>
    <mergeCell ref="M1074:M1075"/>
    <mergeCell ref="A1074:A1075"/>
    <mergeCell ref="B1074:B1075"/>
    <mergeCell ref="C1074:C1075"/>
    <mergeCell ref="D1074:D1075"/>
    <mergeCell ref="E1074:E1075"/>
    <mergeCell ref="F1074:F1075"/>
    <mergeCell ref="A1051:E1051"/>
    <mergeCell ref="I1051:M1051"/>
    <mergeCell ref="A1057:D1057"/>
    <mergeCell ref="I1057:L1057"/>
    <mergeCell ref="N1062:P1062"/>
    <mergeCell ref="A1072:H1072"/>
    <mergeCell ref="I1072:P1072"/>
    <mergeCell ref="L1047:L1048"/>
    <mergeCell ref="M1047:M1048"/>
    <mergeCell ref="N1047:N1048"/>
    <mergeCell ref="A1049:E1049"/>
    <mergeCell ref="I1049:M1049"/>
    <mergeCell ref="A1050:E1050"/>
    <mergeCell ref="I1050:M1050"/>
    <mergeCell ref="N1045:N1046"/>
    <mergeCell ref="A1047:A1048"/>
    <mergeCell ref="B1047:B1048"/>
    <mergeCell ref="C1047:C1048"/>
    <mergeCell ref="D1047:D1048"/>
    <mergeCell ref="E1047:E1048"/>
    <mergeCell ref="F1047:F1048"/>
    <mergeCell ref="I1047:I1048"/>
    <mergeCell ref="J1047:J1048"/>
    <mergeCell ref="K1047:K1048"/>
    <mergeCell ref="F1045:F1046"/>
    <mergeCell ref="I1045:I1046"/>
    <mergeCell ref="J1045:J1046"/>
    <mergeCell ref="K1045:K1046"/>
    <mergeCell ref="L1045:L1046"/>
    <mergeCell ref="M1045:M1046"/>
    <mergeCell ref="J1043:J1044"/>
    <mergeCell ref="K1043:K1044"/>
    <mergeCell ref="L1043:L1044"/>
    <mergeCell ref="M1043:M1044"/>
    <mergeCell ref="N1043:N1044"/>
    <mergeCell ref="A1045:A1046"/>
    <mergeCell ref="B1045:B1046"/>
    <mergeCell ref="C1045:C1046"/>
    <mergeCell ref="D1045:D1046"/>
    <mergeCell ref="E1045:E1046"/>
    <mergeCell ref="L1041:L1042"/>
    <mergeCell ref="M1041:M1042"/>
    <mergeCell ref="N1041:N1042"/>
    <mergeCell ref="A1043:A1044"/>
    <mergeCell ref="B1043:B1044"/>
    <mergeCell ref="C1043:C1044"/>
    <mergeCell ref="D1043:D1044"/>
    <mergeCell ref="E1043:E1044"/>
    <mergeCell ref="F1043:F1044"/>
    <mergeCell ref="I1043:I1044"/>
    <mergeCell ref="O1039:P1039"/>
    <mergeCell ref="A1041:A1042"/>
    <mergeCell ref="B1041:B1042"/>
    <mergeCell ref="C1041:C1042"/>
    <mergeCell ref="D1041:D1042"/>
    <mergeCell ref="E1041:E1042"/>
    <mergeCell ref="F1041:F1042"/>
    <mergeCell ref="I1041:I1042"/>
    <mergeCell ref="J1041:J1042"/>
    <mergeCell ref="K1041:K1042"/>
    <mergeCell ref="I1039:I1040"/>
    <mergeCell ref="J1039:J1040"/>
    <mergeCell ref="K1039:K1040"/>
    <mergeCell ref="L1039:L1040"/>
    <mergeCell ref="M1039:M1040"/>
    <mergeCell ref="N1039:N1040"/>
    <mergeCell ref="N1027:P1027"/>
    <mergeCell ref="A1037:H1037"/>
    <mergeCell ref="I1037:P1037"/>
    <mergeCell ref="A1039:A1040"/>
    <mergeCell ref="B1039:B1040"/>
    <mergeCell ref="C1039:C1040"/>
    <mergeCell ref="D1039:D1040"/>
    <mergeCell ref="E1039:E1040"/>
    <mergeCell ref="F1039:F1040"/>
    <mergeCell ref="G1039:H1039"/>
    <mergeCell ref="A1016:E1016"/>
    <mergeCell ref="I1016:M1016"/>
    <mergeCell ref="A1017:E1017"/>
    <mergeCell ref="A1018:E1018"/>
    <mergeCell ref="I1022:L1022"/>
    <mergeCell ref="A1024:D1024"/>
    <mergeCell ref="N1012:N1013"/>
    <mergeCell ref="A1014:A1015"/>
    <mergeCell ref="B1014:B1015"/>
    <mergeCell ref="C1014:C1015"/>
    <mergeCell ref="D1014:D1015"/>
    <mergeCell ref="E1014:E1015"/>
    <mergeCell ref="F1014:F1015"/>
    <mergeCell ref="I1014:M1014"/>
    <mergeCell ref="I1015:M1015"/>
    <mergeCell ref="F1012:F1013"/>
    <mergeCell ref="I1012:I1013"/>
    <mergeCell ref="J1012:J1013"/>
    <mergeCell ref="K1012:K1013"/>
    <mergeCell ref="L1012:L1013"/>
    <mergeCell ref="M1012:M1013"/>
    <mergeCell ref="J1010:J1011"/>
    <mergeCell ref="K1010:K1011"/>
    <mergeCell ref="L1010:L1011"/>
    <mergeCell ref="M1010:M1011"/>
    <mergeCell ref="N1010:N1011"/>
    <mergeCell ref="A1012:A1013"/>
    <mergeCell ref="B1012:B1013"/>
    <mergeCell ref="C1012:C1013"/>
    <mergeCell ref="D1012:D1013"/>
    <mergeCell ref="E1012:E1013"/>
    <mergeCell ref="L1008:L1009"/>
    <mergeCell ref="M1008:M1009"/>
    <mergeCell ref="N1008:N1009"/>
    <mergeCell ref="A1010:A1011"/>
    <mergeCell ref="B1010:B1011"/>
    <mergeCell ref="C1010:C1011"/>
    <mergeCell ref="D1010:D1011"/>
    <mergeCell ref="E1010:E1011"/>
    <mergeCell ref="F1010:F1011"/>
    <mergeCell ref="I1010:I1011"/>
    <mergeCell ref="N1006:N1007"/>
    <mergeCell ref="A1008:A1009"/>
    <mergeCell ref="B1008:B1009"/>
    <mergeCell ref="C1008:C1009"/>
    <mergeCell ref="D1008:D1009"/>
    <mergeCell ref="E1008:E1009"/>
    <mergeCell ref="F1008:F1009"/>
    <mergeCell ref="I1008:I1009"/>
    <mergeCell ref="J1008:J1009"/>
    <mergeCell ref="K1008:K1009"/>
    <mergeCell ref="F1006:F1007"/>
    <mergeCell ref="I1006:I1007"/>
    <mergeCell ref="J1006:J1007"/>
    <mergeCell ref="K1006:K1007"/>
    <mergeCell ref="L1006:L1007"/>
    <mergeCell ref="M1006:M1007"/>
    <mergeCell ref="J1004:J1005"/>
    <mergeCell ref="K1004:K1005"/>
    <mergeCell ref="L1004:L1005"/>
    <mergeCell ref="M1004:M1005"/>
    <mergeCell ref="N1004:N1005"/>
    <mergeCell ref="A1006:A1007"/>
    <mergeCell ref="B1006:B1007"/>
    <mergeCell ref="C1006:C1007"/>
    <mergeCell ref="D1006:D1007"/>
    <mergeCell ref="E1006:E1007"/>
    <mergeCell ref="N1002:N1003"/>
    <mergeCell ref="O1002:P1002"/>
    <mergeCell ref="A1004:A1005"/>
    <mergeCell ref="B1004:B1005"/>
    <mergeCell ref="C1004:C1005"/>
    <mergeCell ref="D1004:D1005"/>
    <mergeCell ref="E1004:E1005"/>
    <mergeCell ref="F1004:F1005"/>
    <mergeCell ref="G1004:H1004"/>
    <mergeCell ref="I1004:I1005"/>
    <mergeCell ref="I985:L985"/>
    <mergeCell ref="A987:D987"/>
    <mergeCell ref="N990:P990"/>
    <mergeCell ref="I1000:P1000"/>
    <mergeCell ref="A1002:H1002"/>
    <mergeCell ref="I1002:I1003"/>
    <mergeCell ref="J1002:J1003"/>
    <mergeCell ref="K1002:K1003"/>
    <mergeCell ref="L1002:L1003"/>
    <mergeCell ref="M1002:M1003"/>
    <mergeCell ref="I977:M977"/>
    <mergeCell ref="I978:M978"/>
    <mergeCell ref="A979:E979"/>
    <mergeCell ref="I979:M979"/>
    <mergeCell ref="A980:E980"/>
    <mergeCell ref="A981:E981"/>
    <mergeCell ref="A977:A978"/>
    <mergeCell ref="B977:B978"/>
    <mergeCell ref="C977:C978"/>
    <mergeCell ref="D977:D978"/>
    <mergeCell ref="E977:E978"/>
    <mergeCell ref="F977:F978"/>
    <mergeCell ref="I975:I976"/>
    <mergeCell ref="J975:J976"/>
    <mergeCell ref="K975:K976"/>
    <mergeCell ref="L975:L976"/>
    <mergeCell ref="M975:M976"/>
    <mergeCell ref="N975:N976"/>
    <mergeCell ref="A975:A976"/>
    <mergeCell ref="B975:B976"/>
    <mergeCell ref="C975:C976"/>
    <mergeCell ref="D975:D976"/>
    <mergeCell ref="E975:E976"/>
    <mergeCell ref="F975:F976"/>
    <mergeCell ref="I973:I974"/>
    <mergeCell ref="J973:J974"/>
    <mergeCell ref="K973:K974"/>
    <mergeCell ref="L973:L974"/>
    <mergeCell ref="M973:M974"/>
    <mergeCell ref="N973:N974"/>
    <mergeCell ref="A973:A974"/>
    <mergeCell ref="B973:B974"/>
    <mergeCell ref="C973:C974"/>
    <mergeCell ref="D973:D974"/>
    <mergeCell ref="E973:E974"/>
    <mergeCell ref="F973:F974"/>
    <mergeCell ref="L969:L970"/>
    <mergeCell ref="M969:M970"/>
    <mergeCell ref="N969:N970"/>
    <mergeCell ref="I971:I972"/>
    <mergeCell ref="J971:J972"/>
    <mergeCell ref="K971:K972"/>
    <mergeCell ref="L971:L972"/>
    <mergeCell ref="M971:M972"/>
    <mergeCell ref="N971:N972"/>
    <mergeCell ref="N967:N968"/>
    <mergeCell ref="A969:A970"/>
    <mergeCell ref="B969:B970"/>
    <mergeCell ref="C969:C970"/>
    <mergeCell ref="D969:D970"/>
    <mergeCell ref="E969:E970"/>
    <mergeCell ref="F969:F970"/>
    <mergeCell ref="I969:I970"/>
    <mergeCell ref="J969:J970"/>
    <mergeCell ref="K969:K970"/>
    <mergeCell ref="F967:F968"/>
    <mergeCell ref="I967:I968"/>
    <mergeCell ref="J967:J968"/>
    <mergeCell ref="K967:K968"/>
    <mergeCell ref="L967:L968"/>
    <mergeCell ref="M967:M968"/>
    <mergeCell ref="J965:J966"/>
    <mergeCell ref="K965:K966"/>
    <mergeCell ref="L965:L966"/>
    <mergeCell ref="M965:M966"/>
    <mergeCell ref="N965:N966"/>
    <mergeCell ref="A967:A968"/>
    <mergeCell ref="B967:B968"/>
    <mergeCell ref="C967:C968"/>
    <mergeCell ref="D967:D968"/>
    <mergeCell ref="E967:E968"/>
    <mergeCell ref="N963:N964"/>
    <mergeCell ref="O963:P963"/>
    <mergeCell ref="A965:A966"/>
    <mergeCell ref="B965:B966"/>
    <mergeCell ref="C965:C966"/>
    <mergeCell ref="D965:D966"/>
    <mergeCell ref="E965:E966"/>
    <mergeCell ref="F965:F966"/>
    <mergeCell ref="G965:H965"/>
    <mergeCell ref="I965:I966"/>
    <mergeCell ref="I946:L946"/>
    <mergeCell ref="A948:D948"/>
    <mergeCell ref="N951:P951"/>
    <mergeCell ref="I961:P961"/>
    <mergeCell ref="A963:H963"/>
    <mergeCell ref="I963:I964"/>
    <mergeCell ref="J963:J964"/>
    <mergeCell ref="K963:K964"/>
    <mergeCell ref="L963:L964"/>
    <mergeCell ref="M963:M964"/>
    <mergeCell ref="I938:M938"/>
    <mergeCell ref="I939:M939"/>
    <mergeCell ref="A940:E940"/>
    <mergeCell ref="I940:M940"/>
    <mergeCell ref="A941:E941"/>
    <mergeCell ref="A942:E942"/>
    <mergeCell ref="A938:A939"/>
    <mergeCell ref="B938:B939"/>
    <mergeCell ref="C938:C939"/>
    <mergeCell ref="D938:D939"/>
    <mergeCell ref="E938:E939"/>
    <mergeCell ref="F938:F939"/>
    <mergeCell ref="I936:I937"/>
    <mergeCell ref="J936:J937"/>
    <mergeCell ref="K936:K937"/>
    <mergeCell ref="L936:L937"/>
    <mergeCell ref="M936:M937"/>
    <mergeCell ref="N936:N937"/>
    <mergeCell ref="A936:A937"/>
    <mergeCell ref="B936:B937"/>
    <mergeCell ref="C936:C937"/>
    <mergeCell ref="D936:D937"/>
    <mergeCell ref="E936:E937"/>
    <mergeCell ref="F936:F937"/>
    <mergeCell ref="I934:I935"/>
    <mergeCell ref="J934:J935"/>
    <mergeCell ref="K934:K935"/>
    <mergeCell ref="L934:L935"/>
    <mergeCell ref="M934:M935"/>
    <mergeCell ref="N934:N935"/>
    <mergeCell ref="A934:A935"/>
    <mergeCell ref="B934:B935"/>
    <mergeCell ref="C934:C935"/>
    <mergeCell ref="D934:D935"/>
    <mergeCell ref="E934:E935"/>
    <mergeCell ref="F934:F935"/>
    <mergeCell ref="L930:L931"/>
    <mergeCell ref="M930:M931"/>
    <mergeCell ref="N930:N931"/>
    <mergeCell ref="I932:I933"/>
    <mergeCell ref="J932:J933"/>
    <mergeCell ref="K932:K933"/>
    <mergeCell ref="L932:L933"/>
    <mergeCell ref="M932:M933"/>
    <mergeCell ref="N932:N933"/>
    <mergeCell ref="N928:N929"/>
    <mergeCell ref="A930:A931"/>
    <mergeCell ref="B930:B931"/>
    <mergeCell ref="C930:C931"/>
    <mergeCell ref="D930:D931"/>
    <mergeCell ref="E930:E931"/>
    <mergeCell ref="F930:F931"/>
    <mergeCell ref="I930:I931"/>
    <mergeCell ref="J930:J931"/>
    <mergeCell ref="K930:K931"/>
    <mergeCell ref="F928:F929"/>
    <mergeCell ref="I928:I929"/>
    <mergeCell ref="J928:J929"/>
    <mergeCell ref="K928:K929"/>
    <mergeCell ref="L928:L929"/>
    <mergeCell ref="M928:M929"/>
    <mergeCell ref="J926:J927"/>
    <mergeCell ref="K926:K927"/>
    <mergeCell ref="L926:L927"/>
    <mergeCell ref="M926:M927"/>
    <mergeCell ref="N926:N927"/>
    <mergeCell ref="A928:A929"/>
    <mergeCell ref="B928:B929"/>
    <mergeCell ref="C928:C929"/>
    <mergeCell ref="D928:D929"/>
    <mergeCell ref="E928:E929"/>
    <mergeCell ref="N924:N925"/>
    <mergeCell ref="O924:P924"/>
    <mergeCell ref="A926:A927"/>
    <mergeCell ref="B926:B927"/>
    <mergeCell ref="C926:C927"/>
    <mergeCell ref="D926:D927"/>
    <mergeCell ref="E926:E927"/>
    <mergeCell ref="F926:F927"/>
    <mergeCell ref="G926:H926"/>
    <mergeCell ref="I926:I927"/>
    <mergeCell ref="N907:P907"/>
    <mergeCell ref="A909:D909"/>
    <mergeCell ref="N912:P912"/>
    <mergeCell ref="I922:P922"/>
    <mergeCell ref="A924:H924"/>
    <mergeCell ref="I924:I925"/>
    <mergeCell ref="J924:J925"/>
    <mergeCell ref="K924:K925"/>
    <mergeCell ref="L924:L925"/>
    <mergeCell ref="M924:M925"/>
    <mergeCell ref="I900:M900"/>
    <mergeCell ref="A901:E901"/>
    <mergeCell ref="I901:M901"/>
    <mergeCell ref="A902:E902"/>
    <mergeCell ref="A903:E903"/>
    <mergeCell ref="I907:L907"/>
    <mergeCell ref="L897:L898"/>
    <mergeCell ref="M897:M898"/>
    <mergeCell ref="N897:N898"/>
    <mergeCell ref="A899:A900"/>
    <mergeCell ref="B899:B900"/>
    <mergeCell ref="C899:C900"/>
    <mergeCell ref="D899:D900"/>
    <mergeCell ref="E899:E900"/>
    <mergeCell ref="F899:F900"/>
    <mergeCell ref="I899:M899"/>
    <mergeCell ref="N895:N896"/>
    <mergeCell ref="A897:A898"/>
    <mergeCell ref="B897:B898"/>
    <mergeCell ref="C897:C898"/>
    <mergeCell ref="D897:D898"/>
    <mergeCell ref="E897:E898"/>
    <mergeCell ref="F897:F898"/>
    <mergeCell ref="I897:I898"/>
    <mergeCell ref="J897:J898"/>
    <mergeCell ref="K897:K898"/>
    <mergeCell ref="F895:F896"/>
    <mergeCell ref="I895:I896"/>
    <mergeCell ref="J895:J896"/>
    <mergeCell ref="K895:K896"/>
    <mergeCell ref="L895:L896"/>
    <mergeCell ref="M895:M896"/>
    <mergeCell ref="J893:J894"/>
    <mergeCell ref="K893:K894"/>
    <mergeCell ref="L893:L894"/>
    <mergeCell ref="M893:M894"/>
    <mergeCell ref="N893:N894"/>
    <mergeCell ref="A895:A896"/>
    <mergeCell ref="B895:B896"/>
    <mergeCell ref="C895:C896"/>
    <mergeCell ref="D895:D896"/>
    <mergeCell ref="E895:E896"/>
    <mergeCell ref="L891:L892"/>
    <mergeCell ref="M891:M892"/>
    <mergeCell ref="N891:N892"/>
    <mergeCell ref="A893:A894"/>
    <mergeCell ref="B893:B894"/>
    <mergeCell ref="C893:C894"/>
    <mergeCell ref="D893:D894"/>
    <mergeCell ref="E893:E894"/>
    <mergeCell ref="F893:F894"/>
    <mergeCell ref="I893:I894"/>
    <mergeCell ref="N889:N890"/>
    <mergeCell ref="A891:A892"/>
    <mergeCell ref="B891:B892"/>
    <mergeCell ref="C891:C892"/>
    <mergeCell ref="D891:D892"/>
    <mergeCell ref="E891:E892"/>
    <mergeCell ref="F891:F892"/>
    <mergeCell ref="I891:I892"/>
    <mergeCell ref="J891:J892"/>
    <mergeCell ref="K891:K892"/>
    <mergeCell ref="G889:H889"/>
    <mergeCell ref="I889:I890"/>
    <mergeCell ref="J889:J890"/>
    <mergeCell ref="K889:K890"/>
    <mergeCell ref="L889:L890"/>
    <mergeCell ref="M889:M890"/>
    <mergeCell ref="A889:A890"/>
    <mergeCell ref="B889:B890"/>
    <mergeCell ref="C889:C890"/>
    <mergeCell ref="D889:D890"/>
    <mergeCell ref="E889:E890"/>
    <mergeCell ref="F889:F890"/>
    <mergeCell ref="I885:P885"/>
    <mergeCell ref="A887:H887"/>
    <mergeCell ref="I887:I888"/>
    <mergeCell ref="J887:J888"/>
    <mergeCell ref="K887:K888"/>
    <mergeCell ref="L887:L888"/>
    <mergeCell ref="M887:M888"/>
    <mergeCell ref="N887:N888"/>
    <mergeCell ref="O887:P887"/>
    <mergeCell ref="N870:P870"/>
    <mergeCell ref="A872:D872"/>
    <mergeCell ref="N872:P872"/>
    <mergeCell ref="N873:P873"/>
    <mergeCell ref="N874:P874"/>
    <mergeCell ref="N875:P875"/>
    <mergeCell ref="I863:M863"/>
    <mergeCell ref="A864:E864"/>
    <mergeCell ref="I864:M864"/>
    <mergeCell ref="A865:E865"/>
    <mergeCell ref="A866:E866"/>
    <mergeCell ref="I870:L870"/>
    <mergeCell ref="L860:L861"/>
    <mergeCell ref="M860:M861"/>
    <mergeCell ref="N860:N861"/>
    <mergeCell ref="A862:A863"/>
    <mergeCell ref="B862:B863"/>
    <mergeCell ref="C862:C863"/>
    <mergeCell ref="D862:D863"/>
    <mergeCell ref="E862:E863"/>
    <mergeCell ref="F862:F863"/>
    <mergeCell ref="I862:M862"/>
    <mergeCell ref="N858:N859"/>
    <mergeCell ref="A860:A861"/>
    <mergeCell ref="B860:B861"/>
    <mergeCell ref="C860:C861"/>
    <mergeCell ref="D860:D861"/>
    <mergeCell ref="E860:E861"/>
    <mergeCell ref="F860:F861"/>
    <mergeCell ref="I860:I861"/>
    <mergeCell ref="J860:J861"/>
    <mergeCell ref="K860:K861"/>
    <mergeCell ref="J856:J857"/>
    <mergeCell ref="K856:K857"/>
    <mergeCell ref="L856:L857"/>
    <mergeCell ref="M856:M857"/>
    <mergeCell ref="N856:N857"/>
    <mergeCell ref="I858:I859"/>
    <mergeCell ref="J858:J859"/>
    <mergeCell ref="K858:K859"/>
    <mergeCell ref="L858:L859"/>
    <mergeCell ref="M858:M859"/>
    <mergeCell ref="L854:L855"/>
    <mergeCell ref="M854:M855"/>
    <mergeCell ref="N854:N855"/>
    <mergeCell ref="A856:A857"/>
    <mergeCell ref="B856:B857"/>
    <mergeCell ref="C856:C857"/>
    <mergeCell ref="D856:D857"/>
    <mergeCell ref="E856:E857"/>
    <mergeCell ref="F856:F857"/>
    <mergeCell ref="I856:I857"/>
    <mergeCell ref="N852:N853"/>
    <mergeCell ref="A854:A855"/>
    <mergeCell ref="B854:B855"/>
    <mergeCell ref="C854:C855"/>
    <mergeCell ref="D854:D855"/>
    <mergeCell ref="E854:E855"/>
    <mergeCell ref="F854:F855"/>
    <mergeCell ref="I854:I855"/>
    <mergeCell ref="J854:J855"/>
    <mergeCell ref="K854:K855"/>
    <mergeCell ref="F852:F853"/>
    <mergeCell ref="I852:I853"/>
    <mergeCell ref="J852:J853"/>
    <mergeCell ref="K852:K853"/>
    <mergeCell ref="L852:L853"/>
    <mergeCell ref="M852:M853"/>
    <mergeCell ref="J850:J851"/>
    <mergeCell ref="K850:K851"/>
    <mergeCell ref="L850:L851"/>
    <mergeCell ref="M850:M851"/>
    <mergeCell ref="N850:N851"/>
    <mergeCell ref="A852:A853"/>
    <mergeCell ref="B852:B853"/>
    <mergeCell ref="C852:C853"/>
    <mergeCell ref="D852:D853"/>
    <mergeCell ref="E852:E853"/>
    <mergeCell ref="N848:N849"/>
    <mergeCell ref="O848:P848"/>
    <mergeCell ref="A850:A851"/>
    <mergeCell ref="B850:B851"/>
    <mergeCell ref="C850:C851"/>
    <mergeCell ref="D850:D851"/>
    <mergeCell ref="E850:E851"/>
    <mergeCell ref="F850:F851"/>
    <mergeCell ref="G850:H850"/>
    <mergeCell ref="I850:I851"/>
    <mergeCell ref="A848:H848"/>
    <mergeCell ref="I848:I849"/>
    <mergeCell ref="J848:J849"/>
    <mergeCell ref="K848:K849"/>
    <mergeCell ref="L848:L849"/>
    <mergeCell ref="M848:M849"/>
    <mergeCell ref="I831:L831"/>
    <mergeCell ref="A833:D833"/>
    <mergeCell ref="N833:P833"/>
    <mergeCell ref="N837:P837"/>
    <mergeCell ref="N838:P838"/>
    <mergeCell ref="I846:P846"/>
    <mergeCell ref="I823:M823"/>
    <mergeCell ref="I824:M824"/>
    <mergeCell ref="A825:E825"/>
    <mergeCell ref="I825:M825"/>
    <mergeCell ref="A826:E826"/>
    <mergeCell ref="A827:E827"/>
    <mergeCell ref="A823:A824"/>
    <mergeCell ref="B823:B824"/>
    <mergeCell ref="C823:C824"/>
    <mergeCell ref="D823:D824"/>
    <mergeCell ref="E823:E824"/>
    <mergeCell ref="F823:F824"/>
    <mergeCell ref="I821:I822"/>
    <mergeCell ref="J821:J822"/>
    <mergeCell ref="K821:K822"/>
    <mergeCell ref="L821:L822"/>
    <mergeCell ref="M821:M822"/>
    <mergeCell ref="B813:B814"/>
    <mergeCell ref="C813:C814"/>
    <mergeCell ref="D813:D814"/>
    <mergeCell ref="E813:E814"/>
    <mergeCell ref="F813:F814"/>
    <mergeCell ref="N821:N822"/>
    <mergeCell ref="A821:A822"/>
    <mergeCell ref="B821:B822"/>
    <mergeCell ref="C821:C822"/>
    <mergeCell ref="D821:D822"/>
    <mergeCell ref="E821:E822"/>
    <mergeCell ref="F821:F822"/>
    <mergeCell ref="I817:I818"/>
    <mergeCell ref="J817:J818"/>
    <mergeCell ref="K817:K818"/>
    <mergeCell ref="L817:L818"/>
    <mergeCell ref="M817:M818"/>
    <mergeCell ref="N817:N818"/>
    <mergeCell ref="A817:A818"/>
    <mergeCell ref="B817:B818"/>
    <mergeCell ref="C817:C818"/>
    <mergeCell ref="D817:D818"/>
    <mergeCell ref="E817:E818"/>
    <mergeCell ref="F817:F818"/>
    <mergeCell ref="I819:I820"/>
    <mergeCell ref="J819:J820"/>
    <mergeCell ref="K819:K820"/>
    <mergeCell ref="L819:L820"/>
    <mergeCell ref="M819:M820"/>
    <mergeCell ref="N819:N820"/>
    <mergeCell ref="M811:M812"/>
    <mergeCell ref="N811:N812"/>
    <mergeCell ref="O811:P811"/>
    <mergeCell ref="I794:L794"/>
    <mergeCell ref="N794:P794"/>
    <mergeCell ref="A796:D796"/>
    <mergeCell ref="N799:P799"/>
    <mergeCell ref="I809:P809"/>
    <mergeCell ref="A811:H811"/>
    <mergeCell ref="I811:I812"/>
    <mergeCell ref="J811:J812"/>
    <mergeCell ref="K811:K812"/>
    <mergeCell ref="L811:L812"/>
    <mergeCell ref="I815:I816"/>
    <mergeCell ref="J815:J816"/>
    <mergeCell ref="K815:K816"/>
    <mergeCell ref="L815:L816"/>
    <mergeCell ref="M815:M816"/>
    <mergeCell ref="N815:N816"/>
    <mergeCell ref="A815:A816"/>
    <mergeCell ref="B815:B816"/>
    <mergeCell ref="C815:C816"/>
    <mergeCell ref="D815:D816"/>
    <mergeCell ref="E815:E816"/>
    <mergeCell ref="F815:F816"/>
    <mergeCell ref="I813:I814"/>
    <mergeCell ref="J813:J814"/>
    <mergeCell ref="K813:K814"/>
    <mergeCell ref="L813:L814"/>
    <mergeCell ref="M813:M814"/>
    <mergeCell ref="N813:N814"/>
    <mergeCell ref="A813:A814"/>
    <mergeCell ref="I786:M786"/>
    <mergeCell ref="I787:M787"/>
    <mergeCell ref="A788:E788"/>
    <mergeCell ref="I788:M788"/>
    <mergeCell ref="A789:E789"/>
    <mergeCell ref="A790:E790"/>
    <mergeCell ref="A786:A787"/>
    <mergeCell ref="B786:B787"/>
    <mergeCell ref="C786:C787"/>
    <mergeCell ref="D786:D787"/>
    <mergeCell ref="E786:E787"/>
    <mergeCell ref="F786:F787"/>
    <mergeCell ref="I784:I785"/>
    <mergeCell ref="J784:J785"/>
    <mergeCell ref="K784:K785"/>
    <mergeCell ref="L784:L785"/>
    <mergeCell ref="M784:M785"/>
    <mergeCell ref="N784:N785"/>
    <mergeCell ref="A784:A785"/>
    <mergeCell ref="B784:B785"/>
    <mergeCell ref="C784:C785"/>
    <mergeCell ref="D784:D785"/>
    <mergeCell ref="E784:E785"/>
    <mergeCell ref="F784:F785"/>
    <mergeCell ref="I780:I781"/>
    <mergeCell ref="J780:J781"/>
    <mergeCell ref="K780:K781"/>
    <mergeCell ref="L780:L781"/>
    <mergeCell ref="M780:M781"/>
    <mergeCell ref="N780:N781"/>
    <mergeCell ref="A780:A781"/>
    <mergeCell ref="B780:B781"/>
    <mergeCell ref="C780:C781"/>
    <mergeCell ref="D780:D781"/>
    <mergeCell ref="E780:E781"/>
    <mergeCell ref="F780:F781"/>
    <mergeCell ref="I782:I783"/>
    <mergeCell ref="J782:J783"/>
    <mergeCell ref="K782:K783"/>
    <mergeCell ref="L782:L783"/>
    <mergeCell ref="M782:M783"/>
    <mergeCell ref="N782:N783"/>
    <mergeCell ref="I778:I779"/>
    <mergeCell ref="J778:J779"/>
    <mergeCell ref="K778:K779"/>
    <mergeCell ref="L778:L779"/>
    <mergeCell ref="M778:M779"/>
    <mergeCell ref="N778:N779"/>
    <mergeCell ref="A778:A779"/>
    <mergeCell ref="B778:B779"/>
    <mergeCell ref="C778:C779"/>
    <mergeCell ref="D778:D779"/>
    <mergeCell ref="E778:E779"/>
    <mergeCell ref="F778:F779"/>
    <mergeCell ref="I776:I777"/>
    <mergeCell ref="J776:J777"/>
    <mergeCell ref="K776:K777"/>
    <mergeCell ref="L776:L777"/>
    <mergeCell ref="M776:M777"/>
    <mergeCell ref="N776:N777"/>
    <mergeCell ref="M774:M775"/>
    <mergeCell ref="N774:N775"/>
    <mergeCell ref="O774:P774"/>
    <mergeCell ref="A776:A777"/>
    <mergeCell ref="B776:B777"/>
    <mergeCell ref="C776:C777"/>
    <mergeCell ref="D776:D777"/>
    <mergeCell ref="E776:E777"/>
    <mergeCell ref="F776:F777"/>
    <mergeCell ref="G776:H776"/>
    <mergeCell ref="I757:L757"/>
    <mergeCell ref="N757:P757"/>
    <mergeCell ref="A759:D759"/>
    <mergeCell ref="N762:P762"/>
    <mergeCell ref="I772:P772"/>
    <mergeCell ref="A774:H774"/>
    <mergeCell ref="I774:I775"/>
    <mergeCell ref="J774:J775"/>
    <mergeCell ref="K774:K775"/>
    <mergeCell ref="L774:L775"/>
    <mergeCell ref="I749:M749"/>
    <mergeCell ref="I750:M750"/>
    <mergeCell ref="A751:E751"/>
    <mergeCell ref="I751:M751"/>
    <mergeCell ref="A752:E752"/>
    <mergeCell ref="A753:E753"/>
    <mergeCell ref="A749:A750"/>
    <mergeCell ref="B749:B750"/>
    <mergeCell ref="C749:C750"/>
    <mergeCell ref="D749:D750"/>
    <mergeCell ref="E749:E750"/>
    <mergeCell ref="F749:F750"/>
    <mergeCell ref="I747:I748"/>
    <mergeCell ref="J747:J748"/>
    <mergeCell ref="K747:K748"/>
    <mergeCell ref="L747:L748"/>
    <mergeCell ref="M747:M748"/>
    <mergeCell ref="N747:N748"/>
    <mergeCell ref="A747:A748"/>
    <mergeCell ref="B747:B748"/>
    <mergeCell ref="C747:C748"/>
    <mergeCell ref="D747:D748"/>
    <mergeCell ref="E747:E748"/>
    <mergeCell ref="F747:F748"/>
    <mergeCell ref="I745:I746"/>
    <mergeCell ref="J745:J746"/>
    <mergeCell ref="K745:K746"/>
    <mergeCell ref="L745:L746"/>
    <mergeCell ref="M745:M746"/>
    <mergeCell ref="N745:N746"/>
    <mergeCell ref="A745:A746"/>
    <mergeCell ref="B745:B746"/>
    <mergeCell ref="C745:C746"/>
    <mergeCell ref="D745:D746"/>
    <mergeCell ref="E745:E746"/>
    <mergeCell ref="F745:F746"/>
    <mergeCell ref="I743:I744"/>
    <mergeCell ref="J743:J744"/>
    <mergeCell ref="K743:K744"/>
    <mergeCell ref="L743:L744"/>
    <mergeCell ref="M743:M744"/>
    <mergeCell ref="N743:N744"/>
    <mergeCell ref="A743:A744"/>
    <mergeCell ref="B743:B744"/>
    <mergeCell ref="C743:C744"/>
    <mergeCell ref="D743:D744"/>
    <mergeCell ref="E743:E744"/>
    <mergeCell ref="F743:F744"/>
    <mergeCell ref="I739:I740"/>
    <mergeCell ref="J739:J740"/>
    <mergeCell ref="K739:K740"/>
    <mergeCell ref="L739:L740"/>
    <mergeCell ref="M739:M740"/>
    <mergeCell ref="N739:N740"/>
    <mergeCell ref="M737:M738"/>
    <mergeCell ref="N737:N738"/>
    <mergeCell ref="O737:P737"/>
    <mergeCell ref="A739:A740"/>
    <mergeCell ref="B739:B740"/>
    <mergeCell ref="C739:C740"/>
    <mergeCell ref="D739:D740"/>
    <mergeCell ref="E739:E740"/>
    <mergeCell ref="F739:F740"/>
    <mergeCell ref="G739:H739"/>
    <mergeCell ref="I720:L720"/>
    <mergeCell ref="N720:P720"/>
    <mergeCell ref="A722:D722"/>
    <mergeCell ref="N725:P725"/>
    <mergeCell ref="I735:P735"/>
    <mergeCell ref="A737:H737"/>
    <mergeCell ref="I737:I738"/>
    <mergeCell ref="J737:J738"/>
    <mergeCell ref="K737:K738"/>
    <mergeCell ref="L737:L738"/>
    <mergeCell ref="I712:M712"/>
    <mergeCell ref="I713:M713"/>
    <mergeCell ref="A714:E714"/>
    <mergeCell ref="I714:M714"/>
    <mergeCell ref="A715:E715"/>
    <mergeCell ref="A716:E716"/>
    <mergeCell ref="A712:A713"/>
    <mergeCell ref="B712:B713"/>
    <mergeCell ref="C712:C713"/>
    <mergeCell ref="D712:D713"/>
    <mergeCell ref="E712:E713"/>
    <mergeCell ref="F712:F713"/>
    <mergeCell ref="I710:I711"/>
    <mergeCell ref="J710:J711"/>
    <mergeCell ref="K710:K711"/>
    <mergeCell ref="L710:L711"/>
    <mergeCell ref="M710:M711"/>
    <mergeCell ref="N710:N711"/>
    <mergeCell ref="A710:A711"/>
    <mergeCell ref="B710:B711"/>
    <mergeCell ref="C710:C711"/>
    <mergeCell ref="D710:D711"/>
    <mergeCell ref="E710:E711"/>
    <mergeCell ref="F710:F711"/>
    <mergeCell ref="I708:I709"/>
    <mergeCell ref="J708:J709"/>
    <mergeCell ref="K708:K709"/>
    <mergeCell ref="L708:L709"/>
    <mergeCell ref="M708:M709"/>
    <mergeCell ref="N708:N709"/>
    <mergeCell ref="A708:A709"/>
    <mergeCell ref="B708:B709"/>
    <mergeCell ref="C708:C709"/>
    <mergeCell ref="D708:D709"/>
    <mergeCell ref="E708:E709"/>
    <mergeCell ref="F708:F709"/>
    <mergeCell ref="I704:I705"/>
    <mergeCell ref="J704:J705"/>
    <mergeCell ref="K704:K705"/>
    <mergeCell ref="L704:L705"/>
    <mergeCell ref="M704:M705"/>
    <mergeCell ref="N704:N705"/>
    <mergeCell ref="K702:K703"/>
    <mergeCell ref="L702:L703"/>
    <mergeCell ref="M702:M703"/>
    <mergeCell ref="N702:N703"/>
    <mergeCell ref="A704:A705"/>
    <mergeCell ref="B704:B705"/>
    <mergeCell ref="C704:C705"/>
    <mergeCell ref="D704:D705"/>
    <mergeCell ref="E704:E705"/>
    <mergeCell ref="F704:F705"/>
    <mergeCell ref="N700:N701"/>
    <mergeCell ref="O700:P700"/>
    <mergeCell ref="A702:A703"/>
    <mergeCell ref="B702:B703"/>
    <mergeCell ref="C702:C703"/>
    <mergeCell ref="D702:D703"/>
    <mergeCell ref="E702:E703"/>
    <mergeCell ref="F702:F703"/>
    <mergeCell ref="I702:I703"/>
    <mergeCell ref="J702:J703"/>
    <mergeCell ref="G700:H700"/>
    <mergeCell ref="I700:I701"/>
    <mergeCell ref="J700:J701"/>
    <mergeCell ref="K700:K701"/>
    <mergeCell ref="L700:L701"/>
    <mergeCell ref="M700:M701"/>
    <mergeCell ref="A700:A701"/>
    <mergeCell ref="B700:B701"/>
    <mergeCell ref="C700:C701"/>
    <mergeCell ref="D700:D701"/>
    <mergeCell ref="E700:E701"/>
    <mergeCell ref="F700:F701"/>
    <mergeCell ref="A683:D683"/>
    <mergeCell ref="I683:L683"/>
    <mergeCell ref="N683:P683"/>
    <mergeCell ref="N688:P688"/>
    <mergeCell ref="A698:H698"/>
    <mergeCell ref="I698:P698"/>
    <mergeCell ref="A675:E675"/>
    <mergeCell ref="I675:M675"/>
    <mergeCell ref="A676:E676"/>
    <mergeCell ref="I676:M676"/>
    <mergeCell ref="A677:E677"/>
    <mergeCell ref="I677:M677"/>
    <mergeCell ref="I673:I674"/>
    <mergeCell ref="J673:J674"/>
    <mergeCell ref="L673:L674"/>
    <mergeCell ref="M673:M674"/>
    <mergeCell ref="N673:N674"/>
    <mergeCell ref="A673:A674"/>
    <mergeCell ref="B673:B674"/>
    <mergeCell ref="C673:C674"/>
    <mergeCell ref="D673:D674"/>
    <mergeCell ref="E673:E674"/>
    <mergeCell ref="F673:F674"/>
    <mergeCell ref="I671:I672"/>
    <mergeCell ref="J671:J672"/>
    <mergeCell ref="K671:K672"/>
    <mergeCell ref="L671:L672"/>
    <mergeCell ref="M671:M672"/>
    <mergeCell ref="N671:N672"/>
    <mergeCell ref="A671:A672"/>
    <mergeCell ref="B671:B672"/>
    <mergeCell ref="C671:C672"/>
    <mergeCell ref="D671:D672"/>
    <mergeCell ref="E671:E672"/>
    <mergeCell ref="F671:F672"/>
    <mergeCell ref="I669:I670"/>
    <mergeCell ref="J669:J670"/>
    <mergeCell ref="K669:K670"/>
    <mergeCell ref="L669:L670"/>
    <mergeCell ref="M669:M670"/>
    <mergeCell ref="N669:N670"/>
    <mergeCell ref="K667:K668"/>
    <mergeCell ref="L667:L668"/>
    <mergeCell ref="M667:M668"/>
    <mergeCell ref="N667:N668"/>
    <mergeCell ref="A669:A670"/>
    <mergeCell ref="B669:B670"/>
    <mergeCell ref="C669:C670"/>
    <mergeCell ref="D669:D670"/>
    <mergeCell ref="E669:E670"/>
    <mergeCell ref="F669:F670"/>
    <mergeCell ref="N665:N666"/>
    <mergeCell ref="O665:P665"/>
    <mergeCell ref="A667:A668"/>
    <mergeCell ref="B667:B668"/>
    <mergeCell ref="C667:C668"/>
    <mergeCell ref="D667:D668"/>
    <mergeCell ref="E667:E668"/>
    <mergeCell ref="F667:F668"/>
    <mergeCell ref="I667:I668"/>
    <mergeCell ref="J667:J668"/>
    <mergeCell ref="G665:H665"/>
    <mergeCell ref="I665:I666"/>
    <mergeCell ref="J665:J666"/>
    <mergeCell ref="K665:K666"/>
    <mergeCell ref="L665:L666"/>
    <mergeCell ref="M665:M666"/>
    <mergeCell ref="A665:A666"/>
    <mergeCell ref="B665:B666"/>
    <mergeCell ref="C665:C666"/>
    <mergeCell ref="D665:D666"/>
    <mergeCell ref="E665:E666"/>
    <mergeCell ref="F665:F666"/>
    <mergeCell ref="A648:D648"/>
    <mergeCell ref="I648:L648"/>
    <mergeCell ref="N649:P649"/>
    <mergeCell ref="N654:P654"/>
    <mergeCell ref="A663:H663"/>
    <mergeCell ref="I663:P663"/>
    <mergeCell ref="A640:E640"/>
    <mergeCell ref="I640:M640"/>
    <mergeCell ref="A641:E641"/>
    <mergeCell ref="I641:M641"/>
    <mergeCell ref="A642:E642"/>
    <mergeCell ref="I642:M642"/>
    <mergeCell ref="I638:I639"/>
    <mergeCell ref="J638:J639"/>
    <mergeCell ref="K638:K639"/>
    <mergeCell ref="L638:L639"/>
    <mergeCell ref="M638:M639"/>
    <mergeCell ref="N638:N639"/>
    <mergeCell ref="A638:A639"/>
    <mergeCell ref="B638:B639"/>
    <mergeCell ref="C638:C639"/>
    <mergeCell ref="D638:D639"/>
    <mergeCell ref="E638:E639"/>
    <mergeCell ref="F638:F639"/>
    <mergeCell ref="L630:L631"/>
    <mergeCell ref="M630:M631"/>
    <mergeCell ref="A630:A631"/>
    <mergeCell ref="B630:B631"/>
    <mergeCell ref="C630:C631"/>
    <mergeCell ref="D630:D631"/>
    <mergeCell ref="E630:E631"/>
    <mergeCell ref="F630:F631"/>
    <mergeCell ref="I636:I637"/>
    <mergeCell ref="J636:J637"/>
    <mergeCell ref="K636:K637"/>
    <mergeCell ref="L636:L637"/>
    <mergeCell ref="M636:M637"/>
    <mergeCell ref="N636:N637"/>
    <mergeCell ref="A636:A637"/>
    <mergeCell ref="B636:B637"/>
    <mergeCell ref="C636:C637"/>
    <mergeCell ref="D636:D637"/>
    <mergeCell ref="E636:E637"/>
    <mergeCell ref="F636:F637"/>
    <mergeCell ref="I634:I635"/>
    <mergeCell ref="J634:J635"/>
    <mergeCell ref="K634:K635"/>
    <mergeCell ref="L634:L635"/>
    <mergeCell ref="M634:M635"/>
    <mergeCell ref="N634:N635"/>
    <mergeCell ref="A628:H628"/>
    <mergeCell ref="I628:P628"/>
    <mergeCell ref="A606:E606"/>
    <mergeCell ref="I606:M606"/>
    <mergeCell ref="A607:E607"/>
    <mergeCell ref="I607:M607"/>
    <mergeCell ref="A608:E608"/>
    <mergeCell ref="I608:M608"/>
    <mergeCell ref="K632:K633"/>
    <mergeCell ref="L632:L633"/>
    <mergeCell ref="M632:M633"/>
    <mergeCell ref="N632:N633"/>
    <mergeCell ref="A634:A635"/>
    <mergeCell ref="B634:B635"/>
    <mergeCell ref="C634:C635"/>
    <mergeCell ref="D634:D635"/>
    <mergeCell ref="E634:E635"/>
    <mergeCell ref="F634:F635"/>
    <mergeCell ref="N630:N631"/>
    <mergeCell ref="O630:P630"/>
    <mergeCell ref="A632:A633"/>
    <mergeCell ref="B632:B633"/>
    <mergeCell ref="C632:C633"/>
    <mergeCell ref="D632:D633"/>
    <mergeCell ref="E632:E633"/>
    <mergeCell ref="F632:F633"/>
    <mergeCell ref="I632:I633"/>
    <mergeCell ref="J632:J633"/>
    <mergeCell ref="G630:H630"/>
    <mergeCell ref="I630:I631"/>
    <mergeCell ref="J630:J631"/>
    <mergeCell ref="K630:K631"/>
    <mergeCell ref="N604:N605"/>
    <mergeCell ref="A604:A605"/>
    <mergeCell ref="B604:B605"/>
    <mergeCell ref="C604:C605"/>
    <mergeCell ref="D604:D605"/>
    <mergeCell ref="E604:E605"/>
    <mergeCell ref="F604:F605"/>
    <mergeCell ref="I602:I603"/>
    <mergeCell ref="J602:J603"/>
    <mergeCell ref="K602:K603"/>
    <mergeCell ref="L602:L603"/>
    <mergeCell ref="M602:M603"/>
    <mergeCell ref="N602:N603"/>
    <mergeCell ref="A614:D614"/>
    <mergeCell ref="I614:L614"/>
    <mergeCell ref="N614:P614"/>
    <mergeCell ref="N619:P619"/>
    <mergeCell ref="G596:H596"/>
    <mergeCell ref="I596:I597"/>
    <mergeCell ref="J596:J597"/>
    <mergeCell ref="K596:K597"/>
    <mergeCell ref="L596:L597"/>
    <mergeCell ref="M596:M597"/>
    <mergeCell ref="A596:A597"/>
    <mergeCell ref="B596:B597"/>
    <mergeCell ref="C596:C597"/>
    <mergeCell ref="D596:D597"/>
    <mergeCell ref="E596:E597"/>
    <mergeCell ref="F596:F597"/>
    <mergeCell ref="I604:I605"/>
    <mergeCell ref="J604:J605"/>
    <mergeCell ref="K604:K605"/>
    <mergeCell ref="L604:L605"/>
    <mergeCell ref="M604:M605"/>
    <mergeCell ref="A580:D580"/>
    <mergeCell ref="I580:L580"/>
    <mergeCell ref="N580:P580"/>
    <mergeCell ref="N585:P585"/>
    <mergeCell ref="A594:H594"/>
    <mergeCell ref="I594:P594"/>
    <mergeCell ref="A572:E572"/>
    <mergeCell ref="I572:M572"/>
    <mergeCell ref="A573:E573"/>
    <mergeCell ref="I573:M573"/>
    <mergeCell ref="A574:E574"/>
    <mergeCell ref="I574:M574"/>
    <mergeCell ref="K598:K599"/>
    <mergeCell ref="L598:L599"/>
    <mergeCell ref="M598:M599"/>
    <mergeCell ref="N598:N599"/>
    <mergeCell ref="A602:A603"/>
    <mergeCell ref="B602:B603"/>
    <mergeCell ref="C602:C603"/>
    <mergeCell ref="D602:D603"/>
    <mergeCell ref="E602:E603"/>
    <mergeCell ref="F602:F603"/>
    <mergeCell ref="N596:N597"/>
    <mergeCell ref="O596:P596"/>
    <mergeCell ref="A598:A599"/>
    <mergeCell ref="B598:B599"/>
    <mergeCell ref="C598:C599"/>
    <mergeCell ref="D598:D599"/>
    <mergeCell ref="E598:E599"/>
    <mergeCell ref="F598:F599"/>
    <mergeCell ref="I598:I599"/>
    <mergeCell ref="J598:J599"/>
    <mergeCell ref="I570:I571"/>
    <mergeCell ref="J570:J571"/>
    <mergeCell ref="K570:K571"/>
    <mergeCell ref="L570:L571"/>
    <mergeCell ref="M570:M571"/>
    <mergeCell ref="N570:N571"/>
    <mergeCell ref="A570:A571"/>
    <mergeCell ref="B570:B571"/>
    <mergeCell ref="C570:C571"/>
    <mergeCell ref="D570:D571"/>
    <mergeCell ref="E570:E571"/>
    <mergeCell ref="F570:F571"/>
    <mergeCell ref="I568:I569"/>
    <mergeCell ref="J568:J569"/>
    <mergeCell ref="K568:K569"/>
    <mergeCell ref="L568:L569"/>
    <mergeCell ref="M568:M569"/>
    <mergeCell ref="N568:N569"/>
    <mergeCell ref="A568:A569"/>
    <mergeCell ref="B568:B569"/>
    <mergeCell ref="C568:C569"/>
    <mergeCell ref="D568:D569"/>
    <mergeCell ref="E568:E569"/>
    <mergeCell ref="F568:F569"/>
    <mergeCell ref="I566:I567"/>
    <mergeCell ref="J566:J567"/>
    <mergeCell ref="K566:K567"/>
    <mergeCell ref="L566:L567"/>
    <mergeCell ref="M566:M567"/>
    <mergeCell ref="N566:N567"/>
    <mergeCell ref="K564:K565"/>
    <mergeCell ref="L564:L565"/>
    <mergeCell ref="M564:M565"/>
    <mergeCell ref="N564:N565"/>
    <mergeCell ref="A566:A567"/>
    <mergeCell ref="B566:B567"/>
    <mergeCell ref="C566:C567"/>
    <mergeCell ref="D566:D567"/>
    <mergeCell ref="E566:E567"/>
    <mergeCell ref="F566:F567"/>
    <mergeCell ref="N562:N563"/>
    <mergeCell ref="O562:P562"/>
    <mergeCell ref="A564:A565"/>
    <mergeCell ref="B564:B565"/>
    <mergeCell ref="C564:C565"/>
    <mergeCell ref="D564:D565"/>
    <mergeCell ref="E564:E565"/>
    <mergeCell ref="F564:F565"/>
    <mergeCell ref="I564:I565"/>
    <mergeCell ref="J564:J565"/>
    <mergeCell ref="G562:H562"/>
    <mergeCell ref="I562:I563"/>
    <mergeCell ref="J562:J563"/>
    <mergeCell ref="K562:K563"/>
    <mergeCell ref="L562:L563"/>
    <mergeCell ref="M562:M563"/>
    <mergeCell ref="A562:A563"/>
    <mergeCell ref="B562:B563"/>
    <mergeCell ref="C562:C563"/>
    <mergeCell ref="D562:D563"/>
    <mergeCell ref="E562:E563"/>
    <mergeCell ref="F562:F563"/>
    <mergeCell ref="A546:D546"/>
    <mergeCell ref="I546:L546"/>
    <mergeCell ref="N546:P546"/>
    <mergeCell ref="N551:P551"/>
    <mergeCell ref="A560:H560"/>
    <mergeCell ref="I560:P560"/>
    <mergeCell ref="A538:E538"/>
    <mergeCell ref="I538:M538"/>
    <mergeCell ref="A539:E539"/>
    <mergeCell ref="I539:M539"/>
    <mergeCell ref="A540:E540"/>
    <mergeCell ref="I540:M540"/>
    <mergeCell ref="I536:I537"/>
    <mergeCell ref="J536:J537"/>
    <mergeCell ref="K536:K537"/>
    <mergeCell ref="L536:L537"/>
    <mergeCell ref="M536:M537"/>
    <mergeCell ref="N536:N537"/>
    <mergeCell ref="A536:A537"/>
    <mergeCell ref="B536:B537"/>
    <mergeCell ref="C536:C537"/>
    <mergeCell ref="D536:D537"/>
    <mergeCell ref="E536:E537"/>
    <mergeCell ref="F536:F537"/>
    <mergeCell ref="I534:I535"/>
    <mergeCell ref="J534:J535"/>
    <mergeCell ref="K534:K535"/>
    <mergeCell ref="L534:L535"/>
    <mergeCell ref="M534:M535"/>
    <mergeCell ref="N534:N535"/>
    <mergeCell ref="A534:A535"/>
    <mergeCell ref="B534:B535"/>
    <mergeCell ref="C534:C535"/>
    <mergeCell ref="D534:D535"/>
    <mergeCell ref="E534:E535"/>
    <mergeCell ref="F534:F535"/>
    <mergeCell ref="I532:I533"/>
    <mergeCell ref="J532:J533"/>
    <mergeCell ref="K532:K533"/>
    <mergeCell ref="L532:L533"/>
    <mergeCell ref="M532:M533"/>
    <mergeCell ref="N532:N533"/>
    <mergeCell ref="K530:K531"/>
    <mergeCell ref="L530:L531"/>
    <mergeCell ref="M530:M531"/>
    <mergeCell ref="N530:N531"/>
    <mergeCell ref="A532:A533"/>
    <mergeCell ref="B532:B533"/>
    <mergeCell ref="C532:C533"/>
    <mergeCell ref="D532:D533"/>
    <mergeCell ref="E532:E533"/>
    <mergeCell ref="F532:F533"/>
    <mergeCell ref="N528:N529"/>
    <mergeCell ref="O528:P528"/>
    <mergeCell ref="A530:A531"/>
    <mergeCell ref="B530:B531"/>
    <mergeCell ref="C530:C531"/>
    <mergeCell ref="D530:D531"/>
    <mergeCell ref="E530:E531"/>
    <mergeCell ref="F530:F531"/>
    <mergeCell ref="I530:I531"/>
    <mergeCell ref="J530:J531"/>
    <mergeCell ref="G528:H528"/>
    <mergeCell ref="I528:I529"/>
    <mergeCell ref="J528:J529"/>
    <mergeCell ref="K528:K529"/>
    <mergeCell ref="L528:L529"/>
    <mergeCell ref="M528:M529"/>
    <mergeCell ref="A528:A529"/>
    <mergeCell ref="B528:B529"/>
    <mergeCell ref="C528:C529"/>
    <mergeCell ref="D528:D529"/>
    <mergeCell ref="E528:E529"/>
    <mergeCell ref="F528:F529"/>
    <mergeCell ref="A511:D511"/>
    <mergeCell ref="I511:L511"/>
    <mergeCell ref="N511:P511"/>
    <mergeCell ref="N516:P516"/>
    <mergeCell ref="A526:H526"/>
    <mergeCell ref="I526:P526"/>
    <mergeCell ref="A503:E503"/>
    <mergeCell ref="I503:M503"/>
    <mergeCell ref="A504:E504"/>
    <mergeCell ref="I504:M504"/>
    <mergeCell ref="A505:E505"/>
    <mergeCell ref="I505:M505"/>
    <mergeCell ref="I501:I502"/>
    <mergeCell ref="J501:J502"/>
    <mergeCell ref="K501:K502"/>
    <mergeCell ref="L501:L502"/>
    <mergeCell ref="M501:M502"/>
    <mergeCell ref="N501:N502"/>
    <mergeCell ref="A501:A502"/>
    <mergeCell ref="B501:B502"/>
    <mergeCell ref="C501:C502"/>
    <mergeCell ref="D501:D502"/>
    <mergeCell ref="E501:E502"/>
    <mergeCell ref="F501:F502"/>
    <mergeCell ref="I499:I500"/>
    <mergeCell ref="J499:J500"/>
    <mergeCell ref="K499:K500"/>
    <mergeCell ref="L499:L500"/>
    <mergeCell ref="M499:M500"/>
    <mergeCell ref="N499:N500"/>
    <mergeCell ref="K495:K496"/>
    <mergeCell ref="L495:L496"/>
    <mergeCell ref="M495:M496"/>
    <mergeCell ref="N495:N496"/>
    <mergeCell ref="A499:A500"/>
    <mergeCell ref="B499:B500"/>
    <mergeCell ref="C499:C500"/>
    <mergeCell ref="D499:D500"/>
    <mergeCell ref="E499:E500"/>
    <mergeCell ref="F499:F500"/>
    <mergeCell ref="N493:N494"/>
    <mergeCell ref="O493:P493"/>
    <mergeCell ref="A495:A496"/>
    <mergeCell ref="B495:B496"/>
    <mergeCell ref="C495:C496"/>
    <mergeCell ref="D495:D496"/>
    <mergeCell ref="E495:E496"/>
    <mergeCell ref="F495:F496"/>
    <mergeCell ref="I495:I496"/>
    <mergeCell ref="J495:J496"/>
    <mergeCell ref="G493:H493"/>
    <mergeCell ref="I493:I494"/>
    <mergeCell ref="J493:J494"/>
    <mergeCell ref="K493:K494"/>
    <mergeCell ref="L493:L494"/>
    <mergeCell ref="M493:M494"/>
    <mergeCell ref="A493:A494"/>
    <mergeCell ref="B493:B494"/>
    <mergeCell ref="C493:C494"/>
    <mergeCell ref="D493:D494"/>
    <mergeCell ref="E493:E494"/>
    <mergeCell ref="F493:F494"/>
    <mergeCell ref="A476:D476"/>
    <mergeCell ref="I476:L476"/>
    <mergeCell ref="N476:P476"/>
    <mergeCell ref="N481:P481"/>
    <mergeCell ref="A491:H491"/>
    <mergeCell ref="I491:P491"/>
    <mergeCell ref="A468:E468"/>
    <mergeCell ref="I468:M468"/>
    <mergeCell ref="A469:E469"/>
    <mergeCell ref="I469:M469"/>
    <mergeCell ref="A470:E470"/>
    <mergeCell ref="I470:M470"/>
    <mergeCell ref="I466:I467"/>
    <mergeCell ref="J466:J467"/>
    <mergeCell ref="K466:K467"/>
    <mergeCell ref="L466:L467"/>
    <mergeCell ref="M466:M467"/>
    <mergeCell ref="N466:N467"/>
    <mergeCell ref="A466:A467"/>
    <mergeCell ref="B466:B467"/>
    <mergeCell ref="C466:C467"/>
    <mergeCell ref="D466:D467"/>
    <mergeCell ref="E466:E467"/>
    <mergeCell ref="F466:F467"/>
    <mergeCell ref="I464:I465"/>
    <mergeCell ref="J464:J465"/>
    <mergeCell ref="K464:K465"/>
    <mergeCell ref="L464:L465"/>
    <mergeCell ref="M464:M465"/>
    <mergeCell ref="N464:N465"/>
    <mergeCell ref="A464:A465"/>
    <mergeCell ref="B464:B465"/>
    <mergeCell ref="C464:C465"/>
    <mergeCell ref="D464:D465"/>
    <mergeCell ref="E464:E465"/>
    <mergeCell ref="F464:F465"/>
    <mergeCell ref="I462:I463"/>
    <mergeCell ref="J462:J463"/>
    <mergeCell ref="K462:K463"/>
    <mergeCell ref="L462:L463"/>
    <mergeCell ref="M462:M463"/>
    <mergeCell ref="N462:N463"/>
    <mergeCell ref="K460:K461"/>
    <mergeCell ref="L460:L461"/>
    <mergeCell ref="M460:M461"/>
    <mergeCell ref="N460:N461"/>
    <mergeCell ref="A462:A463"/>
    <mergeCell ref="B462:B463"/>
    <mergeCell ref="C462:C463"/>
    <mergeCell ref="D462:D463"/>
    <mergeCell ref="E462:E463"/>
    <mergeCell ref="F462:F463"/>
    <mergeCell ref="N458:N459"/>
    <mergeCell ref="O458:P458"/>
    <mergeCell ref="A460:A461"/>
    <mergeCell ref="B460:B461"/>
    <mergeCell ref="C460:C461"/>
    <mergeCell ref="D460:D461"/>
    <mergeCell ref="E460:E461"/>
    <mergeCell ref="F460:F461"/>
    <mergeCell ref="I460:I461"/>
    <mergeCell ref="J460:J461"/>
    <mergeCell ref="G458:H458"/>
    <mergeCell ref="I458:I459"/>
    <mergeCell ref="J458:J459"/>
    <mergeCell ref="K458:K459"/>
    <mergeCell ref="L458:L459"/>
    <mergeCell ref="M458:M459"/>
    <mergeCell ref="A458:A459"/>
    <mergeCell ref="B458:B459"/>
    <mergeCell ref="C458:C459"/>
    <mergeCell ref="D458:D459"/>
    <mergeCell ref="E458:E459"/>
    <mergeCell ref="F458:F459"/>
    <mergeCell ref="A441:D441"/>
    <mergeCell ref="I441:L441"/>
    <mergeCell ref="N441:P441"/>
    <mergeCell ref="N446:P446"/>
    <mergeCell ref="A456:H456"/>
    <mergeCell ref="I456:P456"/>
    <mergeCell ref="A433:E433"/>
    <mergeCell ref="I433:M433"/>
    <mergeCell ref="A434:E434"/>
    <mergeCell ref="I434:M434"/>
    <mergeCell ref="A435:E435"/>
    <mergeCell ref="I435:M435"/>
    <mergeCell ref="I431:I432"/>
    <mergeCell ref="J431:J432"/>
    <mergeCell ref="K431:K432"/>
    <mergeCell ref="L431:L432"/>
    <mergeCell ref="M431:M432"/>
    <mergeCell ref="N431:N432"/>
    <mergeCell ref="A431:A432"/>
    <mergeCell ref="B431:B432"/>
    <mergeCell ref="C431:C432"/>
    <mergeCell ref="D431:D432"/>
    <mergeCell ref="E431:E432"/>
    <mergeCell ref="F431:F432"/>
    <mergeCell ref="I429:I430"/>
    <mergeCell ref="J429:J430"/>
    <mergeCell ref="K429:K430"/>
    <mergeCell ref="L429:L430"/>
    <mergeCell ref="M429:M430"/>
    <mergeCell ref="N429:N430"/>
    <mergeCell ref="A429:A430"/>
    <mergeCell ref="B429:B430"/>
    <mergeCell ref="C429:C430"/>
    <mergeCell ref="D429:D430"/>
    <mergeCell ref="E429:E430"/>
    <mergeCell ref="F429:F430"/>
    <mergeCell ref="I427:I428"/>
    <mergeCell ref="J427:J428"/>
    <mergeCell ref="K427:K428"/>
    <mergeCell ref="L427:L428"/>
    <mergeCell ref="M427:M428"/>
    <mergeCell ref="N427:N428"/>
    <mergeCell ref="A427:A428"/>
    <mergeCell ref="B427:B428"/>
    <mergeCell ref="C427:C428"/>
    <mergeCell ref="D427:D428"/>
    <mergeCell ref="E427:E428"/>
    <mergeCell ref="F427:F428"/>
    <mergeCell ref="I425:I426"/>
    <mergeCell ref="J425:J426"/>
    <mergeCell ref="K425:K426"/>
    <mergeCell ref="L425:L426"/>
    <mergeCell ref="M425:M426"/>
    <mergeCell ref="N425:N426"/>
    <mergeCell ref="K423:K424"/>
    <mergeCell ref="L423:L424"/>
    <mergeCell ref="M423:M424"/>
    <mergeCell ref="N423:N424"/>
    <mergeCell ref="A425:A426"/>
    <mergeCell ref="B425:B426"/>
    <mergeCell ref="C425:C426"/>
    <mergeCell ref="D425:D426"/>
    <mergeCell ref="E425:E426"/>
    <mergeCell ref="F425:F426"/>
    <mergeCell ref="N421:N422"/>
    <mergeCell ref="O421:P421"/>
    <mergeCell ref="A423:A424"/>
    <mergeCell ref="B423:B424"/>
    <mergeCell ref="C423:C424"/>
    <mergeCell ref="D423:D424"/>
    <mergeCell ref="E423:E424"/>
    <mergeCell ref="F423:F424"/>
    <mergeCell ref="I423:I424"/>
    <mergeCell ref="J423:J424"/>
    <mergeCell ref="G421:H421"/>
    <mergeCell ref="I421:I422"/>
    <mergeCell ref="J421:J422"/>
    <mergeCell ref="K421:K422"/>
    <mergeCell ref="L421:L422"/>
    <mergeCell ref="M421:M422"/>
    <mergeCell ref="A421:A422"/>
    <mergeCell ref="B421:B422"/>
    <mergeCell ref="C421:C422"/>
    <mergeCell ref="D421:D422"/>
    <mergeCell ref="E421:E422"/>
    <mergeCell ref="F421:F422"/>
    <mergeCell ref="A404:D404"/>
    <mergeCell ref="I404:L404"/>
    <mergeCell ref="N404:P404"/>
    <mergeCell ref="N409:P409"/>
    <mergeCell ref="A419:H419"/>
    <mergeCell ref="I419:P419"/>
    <mergeCell ref="A396:E396"/>
    <mergeCell ref="I396:M396"/>
    <mergeCell ref="A397:E397"/>
    <mergeCell ref="I397:M397"/>
    <mergeCell ref="A398:E398"/>
    <mergeCell ref="I398:M398"/>
    <mergeCell ref="I394:I395"/>
    <mergeCell ref="J394:J395"/>
    <mergeCell ref="K394:K395"/>
    <mergeCell ref="L394:L395"/>
    <mergeCell ref="M394:M395"/>
    <mergeCell ref="N394:N395"/>
    <mergeCell ref="A394:A395"/>
    <mergeCell ref="B394:B395"/>
    <mergeCell ref="C394:C395"/>
    <mergeCell ref="D394:D395"/>
    <mergeCell ref="E394:E395"/>
    <mergeCell ref="F394:F395"/>
    <mergeCell ref="I392:I393"/>
    <mergeCell ref="J392:J393"/>
    <mergeCell ref="K392:K393"/>
    <mergeCell ref="L392:L393"/>
    <mergeCell ref="M392:M393"/>
    <mergeCell ref="N392:N393"/>
    <mergeCell ref="A392:A393"/>
    <mergeCell ref="B392:B393"/>
    <mergeCell ref="C392:C393"/>
    <mergeCell ref="D392:D393"/>
    <mergeCell ref="E392:E393"/>
    <mergeCell ref="F392:F393"/>
    <mergeCell ref="I390:I391"/>
    <mergeCell ref="J390:J391"/>
    <mergeCell ref="K390:K391"/>
    <mergeCell ref="L390:L391"/>
    <mergeCell ref="M390:M391"/>
    <mergeCell ref="N390:N391"/>
    <mergeCell ref="A390:A391"/>
    <mergeCell ref="B390:B391"/>
    <mergeCell ref="C390:C391"/>
    <mergeCell ref="D390:D391"/>
    <mergeCell ref="E390:E391"/>
    <mergeCell ref="F390:F391"/>
    <mergeCell ref="I388:I389"/>
    <mergeCell ref="J388:J389"/>
    <mergeCell ref="K388:K389"/>
    <mergeCell ref="L388:L389"/>
    <mergeCell ref="M388:M389"/>
    <mergeCell ref="N388:N389"/>
    <mergeCell ref="K386:K387"/>
    <mergeCell ref="L386:L387"/>
    <mergeCell ref="M386:M387"/>
    <mergeCell ref="N386:N387"/>
    <mergeCell ref="A388:A389"/>
    <mergeCell ref="B388:B389"/>
    <mergeCell ref="C388:C389"/>
    <mergeCell ref="D388:D389"/>
    <mergeCell ref="E388:E389"/>
    <mergeCell ref="F388:F389"/>
    <mergeCell ref="N384:N385"/>
    <mergeCell ref="O384:P384"/>
    <mergeCell ref="A386:A387"/>
    <mergeCell ref="B386:B387"/>
    <mergeCell ref="C386:C387"/>
    <mergeCell ref="D386:D387"/>
    <mergeCell ref="E386:E387"/>
    <mergeCell ref="F386:F387"/>
    <mergeCell ref="I386:I387"/>
    <mergeCell ref="J386:J387"/>
    <mergeCell ref="G384:H384"/>
    <mergeCell ref="I384:I385"/>
    <mergeCell ref="J384:J385"/>
    <mergeCell ref="K384:K385"/>
    <mergeCell ref="L384:L385"/>
    <mergeCell ref="M384:M385"/>
    <mergeCell ref="A384:A385"/>
    <mergeCell ref="B384:B385"/>
    <mergeCell ref="C384:C385"/>
    <mergeCell ref="D384:D385"/>
    <mergeCell ref="E384:E385"/>
    <mergeCell ref="F384:F385"/>
    <mergeCell ref="A367:D367"/>
    <mergeCell ref="I367:L367"/>
    <mergeCell ref="N367:P367"/>
    <mergeCell ref="N372:P372"/>
    <mergeCell ref="A382:H382"/>
    <mergeCell ref="I382:P382"/>
    <mergeCell ref="A359:E359"/>
    <mergeCell ref="I359:M359"/>
    <mergeCell ref="A360:E360"/>
    <mergeCell ref="I360:M360"/>
    <mergeCell ref="A361:E361"/>
    <mergeCell ref="I361:M361"/>
    <mergeCell ref="I357:I358"/>
    <mergeCell ref="J357:J358"/>
    <mergeCell ref="K357:K358"/>
    <mergeCell ref="L357:L358"/>
    <mergeCell ref="M357:M358"/>
    <mergeCell ref="N357:N358"/>
    <mergeCell ref="A357:A358"/>
    <mergeCell ref="B357:B358"/>
    <mergeCell ref="C357:C358"/>
    <mergeCell ref="D357:D358"/>
    <mergeCell ref="E357:E358"/>
    <mergeCell ref="F357:F358"/>
    <mergeCell ref="I355:I356"/>
    <mergeCell ref="J355:J356"/>
    <mergeCell ref="K355:K356"/>
    <mergeCell ref="L355:L356"/>
    <mergeCell ref="M355:M356"/>
    <mergeCell ref="N355:N356"/>
    <mergeCell ref="A355:A356"/>
    <mergeCell ref="B355:B356"/>
    <mergeCell ref="C355:C356"/>
    <mergeCell ref="D355:D356"/>
    <mergeCell ref="E355:E356"/>
    <mergeCell ref="F355:F356"/>
    <mergeCell ref="I353:I354"/>
    <mergeCell ref="J353:J354"/>
    <mergeCell ref="K353:K354"/>
    <mergeCell ref="L353:L354"/>
    <mergeCell ref="M353:M354"/>
    <mergeCell ref="N353:N354"/>
    <mergeCell ref="A353:A354"/>
    <mergeCell ref="B353:B354"/>
    <mergeCell ref="C353:C354"/>
    <mergeCell ref="D353:D354"/>
    <mergeCell ref="E353:E354"/>
    <mergeCell ref="F353:F354"/>
    <mergeCell ref="I351:I352"/>
    <mergeCell ref="J351:J352"/>
    <mergeCell ref="K351:K352"/>
    <mergeCell ref="L351:L352"/>
    <mergeCell ref="M351:M352"/>
    <mergeCell ref="N351:N352"/>
    <mergeCell ref="K349:K350"/>
    <mergeCell ref="L349:L350"/>
    <mergeCell ref="M349:M350"/>
    <mergeCell ref="N349:N350"/>
    <mergeCell ref="A351:A352"/>
    <mergeCell ref="B351:B352"/>
    <mergeCell ref="C351:C352"/>
    <mergeCell ref="D351:D352"/>
    <mergeCell ref="E351:E352"/>
    <mergeCell ref="F351:F352"/>
    <mergeCell ref="N347:N348"/>
    <mergeCell ref="O347:P347"/>
    <mergeCell ref="A349:A350"/>
    <mergeCell ref="B349:B350"/>
    <mergeCell ref="C349:C350"/>
    <mergeCell ref="D349:D350"/>
    <mergeCell ref="E349:E350"/>
    <mergeCell ref="F349:F350"/>
    <mergeCell ref="I349:I350"/>
    <mergeCell ref="J349:J350"/>
    <mergeCell ref="G347:H347"/>
    <mergeCell ref="I347:I348"/>
    <mergeCell ref="J347:J348"/>
    <mergeCell ref="K347:K348"/>
    <mergeCell ref="L347:L348"/>
    <mergeCell ref="M347:M348"/>
    <mergeCell ref="A347:A348"/>
    <mergeCell ref="B347:B348"/>
    <mergeCell ref="C347:C348"/>
    <mergeCell ref="D347:D348"/>
    <mergeCell ref="E347:E348"/>
    <mergeCell ref="F347:F348"/>
    <mergeCell ref="A330:D330"/>
    <mergeCell ref="I330:L330"/>
    <mergeCell ref="N330:P330"/>
    <mergeCell ref="N335:P335"/>
    <mergeCell ref="A345:H345"/>
    <mergeCell ref="I345:P345"/>
    <mergeCell ref="A322:E322"/>
    <mergeCell ref="I322:M322"/>
    <mergeCell ref="A323:E323"/>
    <mergeCell ref="I323:M323"/>
    <mergeCell ref="A324:E324"/>
    <mergeCell ref="I324:M324"/>
    <mergeCell ref="I320:I321"/>
    <mergeCell ref="J320:J321"/>
    <mergeCell ref="K320:K321"/>
    <mergeCell ref="L320:L321"/>
    <mergeCell ref="M320:M321"/>
    <mergeCell ref="N320:N321"/>
    <mergeCell ref="A320:A321"/>
    <mergeCell ref="B320:B321"/>
    <mergeCell ref="C320:C321"/>
    <mergeCell ref="D320:D321"/>
    <mergeCell ref="E320:E321"/>
    <mergeCell ref="F320:F321"/>
    <mergeCell ref="I316:I317"/>
    <mergeCell ref="J316:J317"/>
    <mergeCell ref="K316:K317"/>
    <mergeCell ref="L316:L317"/>
    <mergeCell ref="M316:M317"/>
    <mergeCell ref="N316:N317"/>
    <mergeCell ref="A316:A317"/>
    <mergeCell ref="B316:B317"/>
    <mergeCell ref="C316:C317"/>
    <mergeCell ref="D316:D317"/>
    <mergeCell ref="E316:E317"/>
    <mergeCell ref="F316:F317"/>
    <mergeCell ref="I314:I315"/>
    <mergeCell ref="J314:J315"/>
    <mergeCell ref="K314:K315"/>
    <mergeCell ref="L314:L315"/>
    <mergeCell ref="M314:M315"/>
    <mergeCell ref="N314:N315"/>
    <mergeCell ref="A314:A315"/>
    <mergeCell ref="B314:B315"/>
    <mergeCell ref="C314:C315"/>
    <mergeCell ref="D314:D315"/>
    <mergeCell ref="E314:E315"/>
    <mergeCell ref="F314:F315"/>
    <mergeCell ref="I312:I313"/>
    <mergeCell ref="J312:J313"/>
    <mergeCell ref="K312:K313"/>
    <mergeCell ref="L312:L313"/>
    <mergeCell ref="M312:M313"/>
    <mergeCell ref="N312:N313"/>
    <mergeCell ref="K310:K311"/>
    <mergeCell ref="L310:L311"/>
    <mergeCell ref="M310:M311"/>
    <mergeCell ref="N310:N311"/>
    <mergeCell ref="A312:A313"/>
    <mergeCell ref="B312:B313"/>
    <mergeCell ref="C312:C313"/>
    <mergeCell ref="D312:D313"/>
    <mergeCell ref="E312:E313"/>
    <mergeCell ref="F312:F313"/>
    <mergeCell ref="N308:N309"/>
    <mergeCell ref="O308:P308"/>
    <mergeCell ref="A310:A311"/>
    <mergeCell ref="B310:B311"/>
    <mergeCell ref="C310:C311"/>
    <mergeCell ref="D310:D311"/>
    <mergeCell ref="E310:E311"/>
    <mergeCell ref="F310:F311"/>
    <mergeCell ref="I310:I311"/>
    <mergeCell ref="J310:J311"/>
    <mergeCell ref="G308:H308"/>
    <mergeCell ref="I308:I309"/>
    <mergeCell ref="J308:J309"/>
    <mergeCell ref="K308:K309"/>
    <mergeCell ref="L308:L309"/>
    <mergeCell ref="M308:M309"/>
    <mergeCell ref="A308:A309"/>
    <mergeCell ref="B308:B309"/>
    <mergeCell ref="C308:C309"/>
    <mergeCell ref="D308:D309"/>
    <mergeCell ref="E308:E309"/>
    <mergeCell ref="F308:F309"/>
    <mergeCell ref="A291:D291"/>
    <mergeCell ref="I291:L291"/>
    <mergeCell ref="N291:P291"/>
    <mergeCell ref="N296:P296"/>
    <mergeCell ref="A306:H306"/>
    <mergeCell ref="I306:P306"/>
    <mergeCell ref="A283:E283"/>
    <mergeCell ref="I283:M283"/>
    <mergeCell ref="A284:E284"/>
    <mergeCell ref="I284:M284"/>
    <mergeCell ref="A285:E285"/>
    <mergeCell ref="I285:M285"/>
    <mergeCell ref="I281:I282"/>
    <mergeCell ref="J281:J282"/>
    <mergeCell ref="K281:K282"/>
    <mergeCell ref="L281:L282"/>
    <mergeCell ref="M281:M282"/>
    <mergeCell ref="N281:N282"/>
    <mergeCell ref="A281:A282"/>
    <mergeCell ref="B281:B282"/>
    <mergeCell ref="C281:C282"/>
    <mergeCell ref="D281:D282"/>
    <mergeCell ref="E281:E282"/>
    <mergeCell ref="F281:F282"/>
    <mergeCell ref="I279:I280"/>
    <mergeCell ref="J279:J280"/>
    <mergeCell ref="K279:K280"/>
    <mergeCell ref="L279:L280"/>
    <mergeCell ref="M279:M280"/>
    <mergeCell ref="N279:N280"/>
    <mergeCell ref="A279:A280"/>
    <mergeCell ref="B279:B280"/>
    <mergeCell ref="C279:C280"/>
    <mergeCell ref="D279:D280"/>
    <mergeCell ref="E279:E280"/>
    <mergeCell ref="F279:F280"/>
    <mergeCell ref="I277:I278"/>
    <mergeCell ref="J277:J278"/>
    <mergeCell ref="K277:K278"/>
    <mergeCell ref="L277:L278"/>
    <mergeCell ref="M277:M278"/>
    <mergeCell ref="N277:N278"/>
    <mergeCell ref="A277:A278"/>
    <mergeCell ref="B277:B278"/>
    <mergeCell ref="C277:C278"/>
    <mergeCell ref="D277:D278"/>
    <mergeCell ref="E277:E278"/>
    <mergeCell ref="F277:F278"/>
    <mergeCell ref="I275:I276"/>
    <mergeCell ref="J275:J276"/>
    <mergeCell ref="K275:K276"/>
    <mergeCell ref="L275:L276"/>
    <mergeCell ref="M275:M276"/>
    <mergeCell ref="N275:N276"/>
    <mergeCell ref="K273:K274"/>
    <mergeCell ref="L273:L274"/>
    <mergeCell ref="M273:M274"/>
    <mergeCell ref="N273:N274"/>
    <mergeCell ref="A275:A276"/>
    <mergeCell ref="B275:B276"/>
    <mergeCell ref="C275:C276"/>
    <mergeCell ref="D275:D276"/>
    <mergeCell ref="E275:E276"/>
    <mergeCell ref="F275:F276"/>
    <mergeCell ref="N271:N272"/>
    <mergeCell ref="O271:P271"/>
    <mergeCell ref="A273:A274"/>
    <mergeCell ref="B273:B274"/>
    <mergeCell ref="C273:C274"/>
    <mergeCell ref="D273:D274"/>
    <mergeCell ref="E273:E274"/>
    <mergeCell ref="F273:F274"/>
    <mergeCell ref="I273:I274"/>
    <mergeCell ref="J273:J274"/>
    <mergeCell ref="G271:H271"/>
    <mergeCell ref="I271:I272"/>
    <mergeCell ref="J271:J272"/>
    <mergeCell ref="K271:K272"/>
    <mergeCell ref="L271:L272"/>
    <mergeCell ref="M271:M272"/>
    <mergeCell ref="A271:A272"/>
    <mergeCell ref="B271:B272"/>
    <mergeCell ref="C271:C272"/>
    <mergeCell ref="D271:D272"/>
    <mergeCell ref="E271:E272"/>
    <mergeCell ref="F271:F272"/>
    <mergeCell ref="A254:D254"/>
    <mergeCell ref="I254:L254"/>
    <mergeCell ref="N254:P254"/>
    <mergeCell ref="N259:P259"/>
    <mergeCell ref="A269:H269"/>
    <mergeCell ref="I269:P269"/>
    <mergeCell ref="A246:E246"/>
    <mergeCell ref="I246:M246"/>
    <mergeCell ref="A247:E247"/>
    <mergeCell ref="I247:M247"/>
    <mergeCell ref="A248:E248"/>
    <mergeCell ref="I248:M248"/>
    <mergeCell ref="I244:I245"/>
    <mergeCell ref="J244:J245"/>
    <mergeCell ref="K244:K245"/>
    <mergeCell ref="L244:L245"/>
    <mergeCell ref="M244:M245"/>
    <mergeCell ref="N244:N245"/>
    <mergeCell ref="A244:A245"/>
    <mergeCell ref="B244:B245"/>
    <mergeCell ref="C244:C245"/>
    <mergeCell ref="D244:D245"/>
    <mergeCell ref="E244:E245"/>
    <mergeCell ref="F244:F245"/>
    <mergeCell ref="I242:I243"/>
    <mergeCell ref="J242:J243"/>
    <mergeCell ref="K242:K243"/>
    <mergeCell ref="L242:L243"/>
    <mergeCell ref="M242:M243"/>
    <mergeCell ref="N242:N243"/>
    <mergeCell ref="A242:A243"/>
    <mergeCell ref="B242:B243"/>
    <mergeCell ref="C242:C243"/>
    <mergeCell ref="D242:D243"/>
    <mergeCell ref="E242:E243"/>
    <mergeCell ref="F242:F243"/>
    <mergeCell ref="I238:I239"/>
    <mergeCell ref="J238:J239"/>
    <mergeCell ref="K238:K239"/>
    <mergeCell ref="L238:L239"/>
    <mergeCell ref="M238:M239"/>
    <mergeCell ref="N238:N239"/>
    <mergeCell ref="A238:A239"/>
    <mergeCell ref="B238:B239"/>
    <mergeCell ref="C238:C239"/>
    <mergeCell ref="D238:D239"/>
    <mergeCell ref="E238:E239"/>
    <mergeCell ref="F238:F239"/>
    <mergeCell ref="I240:I241"/>
    <mergeCell ref="J240:J241"/>
    <mergeCell ref="K240:K241"/>
    <mergeCell ref="L240:L241"/>
    <mergeCell ref="M240:M241"/>
    <mergeCell ref="N240:N241"/>
    <mergeCell ref="I236:I237"/>
    <mergeCell ref="J236:J237"/>
    <mergeCell ref="K236:K237"/>
    <mergeCell ref="L236:L237"/>
    <mergeCell ref="M236:M237"/>
    <mergeCell ref="N236:N237"/>
    <mergeCell ref="K234:K235"/>
    <mergeCell ref="L234:L235"/>
    <mergeCell ref="M234:M235"/>
    <mergeCell ref="N234:N235"/>
    <mergeCell ref="A236:A237"/>
    <mergeCell ref="B236:B237"/>
    <mergeCell ref="C236:C237"/>
    <mergeCell ref="D236:D237"/>
    <mergeCell ref="E236:E237"/>
    <mergeCell ref="F236:F237"/>
    <mergeCell ref="N232:N233"/>
    <mergeCell ref="O232:P232"/>
    <mergeCell ref="A234:A235"/>
    <mergeCell ref="B234:B235"/>
    <mergeCell ref="C234:C235"/>
    <mergeCell ref="D234:D235"/>
    <mergeCell ref="E234:E235"/>
    <mergeCell ref="F234:F235"/>
    <mergeCell ref="I234:I235"/>
    <mergeCell ref="J234:J235"/>
    <mergeCell ref="G232:H232"/>
    <mergeCell ref="I232:I233"/>
    <mergeCell ref="J232:J233"/>
    <mergeCell ref="K232:K233"/>
    <mergeCell ref="L232:L233"/>
    <mergeCell ref="M232:M233"/>
    <mergeCell ref="A232:A233"/>
    <mergeCell ref="B232:B233"/>
    <mergeCell ref="C232:C233"/>
    <mergeCell ref="D232:D233"/>
    <mergeCell ref="E232:E233"/>
    <mergeCell ref="F232:F233"/>
    <mergeCell ref="B201:B202"/>
    <mergeCell ref="C201:C202"/>
    <mergeCell ref="D201:D202"/>
    <mergeCell ref="E201:E202"/>
    <mergeCell ref="F201:F202"/>
    <mergeCell ref="A215:D215"/>
    <mergeCell ref="I215:L215"/>
    <mergeCell ref="N215:P215"/>
    <mergeCell ref="N220:P220"/>
    <mergeCell ref="A230:H230"/>
    <mergeCell ref="I230:P230"/>
    <mergeCell ref="A207:E207"/>
    <mergeCell ref="I207:M207"/>
    <mergeCell ref="A208:E208"/>
    <mergeCell ref="I208:M208"/>
    <mergeCell ref="A209:E209"/>
    <mergeCell ref="I209:M209"/>
    <mergeCell ref="I205:I206"/>
    <mergeCell ref="J205:J206"/>
    <mergeCell ref="K205:K206"/>
    <mergeCell ref="L205:L206"/>
    <mergeCell ref="M205:M206"/>
    <mergeCell ref="N205:N206"/>
    <mergeCell ref="A205:A206"/>
    <mergeCell ref="B205:B206"/>
    <mergeCell ref="C205:C206"/>
    <mergeCell ref="D205:D206"/>
    <mergeCell ref="E205:E206"/>
    <mergeCell ref="F205:F206"/>
    <mergeCell ref="M199:M200"/>
    <mergeCell ref="N199:N200"/>
    <mergeCell ref="K197:K198"/>
    <mergeCell ref="L197:L198"/>
    <mergeCell ref="M197:M198"/>
    <mergeCell ref="N197:N198"/>
    <mergeCell ref="A199:A200"/>
    <mergeCell ref="B199:B200"/>
    <mergeCell ref="C199:C200"/>
    <mergeCell ref="D199:D200"/>
    <mergeCell ref="E199:E200"/>
    <mergeCell ref="F199:F200"/>
    <mergeCell ref="N195:N196"/>
    <mergeCell ref="I203:I204"/>
    <mergeCell ref="J203:J204"/>
    <mergeCell ref="K203:K204"/>
    <mergeCell ref="L203:L204"/>
    <mergeCell ref="M203:M204"/>
    <mergeCell ref="N203:N204"/>
    <mergeCell ref="A203:A204"/>
    <mergeCell ref="B203:B204"/>
    <mergeCell ref="C203:C204"/>
    <mergeCell ref="D203:D204"/>
    <mergeCell ref="E203:E204"/>
    <mergeCell ref="F203:F204"/>
    <mergeCell ref="I201:I202"/>
    <mergeCell ref="J201:J202"/>
    <mergeCell ref="K201:K202"/>
    <mergeCell ref="L201:L202"/>
    <mergeCell ref="M201:M202"/>
    <mergeCell ref="N201:N202"/>
    <mergeCell ref="A201:A202"/>
    <mergeCell ref="A197:A198"/>
    <mergeCell ref="B197:B198"/>
    <mergeCell ref="C197:C198"/>
    <mergeCell ref="D197:D198"/>
    <mergeCell ref="E197:E198"/>
    <mergeCell ref="F197:F198"/>
    <mergeCell ref="I197:I198"/>
    <mergeCell ref="J197:J198"/>
    <mergeCell ref="G195:H195"/>
    <mergeCell ref="I195:I196"/>
    <mergeCell ref="J195:J196"/>
    <mergeCell ref="K195:K196"/>
    <mergeCell ref="L195:L196"/>
    <mergeCell ref="M195:M196"/>
    <mergeCell ref="A195:A196"/>
    <mergeCell ref="B195:B196"/>
    <mergeCell ref="C195:C196"/>
    <mergeCell ref="D195:D196"/>
    <mergeCell ref="E195:E196"/>
    <mergeCell ref="F195:F196"/>
    <mergeCell ref="A193:H193"/>
    <mergeCell ref="I193:P193"/>
    <mergeCell ref="A170:E170"/>
    <mergeCell ref="I170:M170"/>
    <mergeCell ref="A171:E171"/>
    <mergeCell ref="I171:M171"/>
    <mergeCell ref="A172:E172"/>
    <mergeCell ref="I172:M172"/>
    <mergeCell ref="I168:I169"/>
    <mergeCell ref="J168:J169"/>
    <mergeCell ref="K168:K169"/>
    <mergeCell ref="L168:L169"/>
    <mergeCell ref="M168:M169"/>
    <mergeCell ref="N168:N169"/>
    <mergeCell ref="A168:A169"/>
    <mergeCell ref="B168:B169"/>
    <mergeCell ref="C168:C169"/>
    <mergeCell ref="D168:D169"/>
    <mergeCell ref="E168:E169"/>
    <mergeCell ref="F168:F169"/>
    <mergeCell ref="A164:A165"/>
    <mergeCell ref="B164:B165"/>
    <mergeCell ref="C164:C165"/>
    <mergeCell ref="D164:D165"/>
    <mergeCell ref="E164:E165"/>
    <mergeCell ref="F164:F165"/>
    <mergeCell ref="K160:K161"/>
    <mergeCell ref="L160:L161"/>
    <mergeCell ref="M160:M161"/>
    <mergeCell ref="N160:N161"/>
    <mergeCell ref="I162:I163"/>
    <mergeCell ref="J162:J163"/>
    <mergeCell ref="K162:K163"/>
    <mergeCell ref="L162:L163"/>
    <mergeCell ref="M162:M163"/>
    <mergeCell ref="N162:N163"/>
    <mergeCell ref="A178:D178"/>
    <mergeCell ref="I178:L178"/>
    <mergeCell ref="N178:P178"/>
    <mergeCell ref="O158:P158"/>
    <mergeCell ref="A160:A161"/>
    <mergeCell ref="B160:B161"/>
    <mergeCell ref="C160:C161"/>
    <mergeCell ref="D160:D161"/>
    <mergeCell ref="E160:E161"/>
    <mergeCell ref="F160:F161"/>
    <mergeCell ref="I160:I161"/>
    <mergeCell ref="J160:J161"/>
    <mergeCell ref="G158:H158"/>
    <mergeCell ref="I158:I159"/>
    <mergeCell ref="J158:J159"/>
    <mergeCell ref="K158:K159"/>
    <mergeCell ref="L158:L159"/>
    <mergeCell ref="M158:M159"/>
    <mergeCell ref="A158:A159"/>
    <mergeCell ref="B158:B159"/>
    <mergeCell ref="C158:C159"/>
    <mergeCell ref="D158:D159"/>
    <mergeCell ref="E158:E159"/>
    <mergeCell ref="F158:F159"/>
    <mergeCell ref="A141:D141"/>
    <mergeCell ref="I141:L141"/>
    <mergeCell ref="N141:P141"/>
    <mergeCell ref="N146:P146"/>
    <mergeCell ref="A156:H156"/>
    <mergeCell ref="I156:P156"/>
    <mergeCell ref="A133:E133"/>
    <mergeCell ref="I133:M133"/>
    <mergeCell ref="A134:E134"/>
    <mergeCell ref="I134:M134"/>
    <mergeCell ref="A135:E135"/>
    <mergeCell ref="I135:M135"/>
    <mergeCell ref="I131:I132"/>
    <mergeCell ref="J131:J132"/>
    <mergeCell ref="K131:K132"/>
    <mergeCell ref="L131:L132"/>
    <mergeCell ref="M131:M132"/>
    <mergeCell ref="N131:N132"/>
    <mergeCell ref="A131:A132"/>
    <mergeCell ref="B131:B132"/>
    <mergeCell ref="C131:C132"/>
    <mergeCell ref="D131:D132"/>
    <mergeCell ref="E131:E132"/>
    <mergeCell ref="F131:F132"/>
    <mergeCell ref="I127:I128"/>
    <mergeCell ref="J127:J128"/>
    <mergeCell ref="K127:K128"/>
    <mergeCell ref="L127:L128"/>
    <mergeCell ref="M127:M128"/>
    <mergeCell ref="N127:N128"/>
    <mergeCell ref="A127:A128"/>
    <mergeCell ref="B127:B128"/>
    <mergeCell ref="C127:C128"/>
    <mergeCell ref="D127:D128"/>
    <mergeCell ref="E127:E128"/>
    <mergeCell ref="F127:F128"/>
    <mergeCell ref="I125:I126"/>
    <mergeCell ref="J125:J126"/>
    <mergeCell ref="K125:K126"/>
    <mergeCell ref="L125:L126"/>
    <mergeCell ref="M125:M126"/>
    <mergeCell ref="N125:N126"/>
    <mergeCell ref="K123:K124"/>
    <mergeCell ref="L123:L124"/>
    <mergeCell ref="M123:M124"/>
    <mergeCell ref="N123:N124"/>
    <mergeCell ref="A125:A126"/>
    <mergeCell ref="B125:B126"/>
    <mergeCell ref="C125:C126"/>
    <mergeCell ref="D125:D126"/>
    <mergeCell ref="E125:E126"/>
    <mergeCell ref="F125:F126"/>
    <mergeCell ref="N121:N122"/>
    <mergeCell ref="O121:P121"/>
    <mergeCell ref="A123:A124"/>
    <mergeCell ref="B123:B124"/>
    <mergeCell ref="C123:C124"/>
    <mergeCell ref="D123:D124"/>
    <mergeCell ref="E123:E124"/>
    <mergeCell ref="F123:F124"/>
    <mergeCell ref="I123:I124"/>
    <mergeCell ref="J123:J124"/>
    <mergeCell ref="G121:H121"/>
    <mergeCell ref="I121:I122"/>
    <mergeCell ref="J121:J122"/>
    <mergeCell ref="K121:K122"/>
    <mergeCell ref="L121:L122"/>
    <mergeCell ref="M121:M122"/>
    <mergeCell ref="A121:A122"/>
    <mergeCell ref="B121:B122"/>
    <mergeCell ref="C121:C122"/>
    <mergeCell ref="D121:D122"/>
    <mergeCell ref="E121:E122"/>
    <mergeCell ref="F121:F122"/>
    <mergeCell ref="A104:D104"/>
    <mergeCell ref="I104:L104"/>
    <mergeCell ref="N104:P104"/>
    <mergeCell ref="N109:P109"/>
    <mergeCell ref="A119:H119"/>
    <mergeCell ref="I119:P119"/>
    <mergeCell ref="A96:E96"/>
    <mergeCell ref="I96:M96"/>
    <mergeCell ref="A97:E97"/>
    <mergeCell ref="I97:M97"/>
    <mergeCell ref="A98:E98"/>
    <mergeCell ref="I98:M98"/>
    <mergeCell ref="I94:I95"/>
    <mergeCell ref="J94:J95"/>
    <mergeCell ref="K94:K95"/>
    <mergeCell ref="L94:L95"/>
    <mergeCell ref="M94:M95"/>
    <mergeCell ref="N94:N95"/>
    <mergeCell ref="A94:A95"/>
    <mergeCell ref="B94:B95"/>
    <mergeCell ref="C94:C95"/>
    <mergeCell ref="D94:D95"/>
    <mergeCell ref="E94:E95"/>
    <mergeCell ref="F94:F95"/>
    <mergeCell ref="I92:I93"/>
    <mergeCell ref="J92:J93"/>
    <mergeCell ref="K92:K93"/>
    <mergeCell ref="L92:L93"/>
    <mergeCell ref="M92:M93"/>
    <mergeCell ref="N92:N93"/>
    <mergeCell ref="F90:F91"/>
    <mergeCell ref="I90:I91"/>
    <mergeCell ref="J90:J91"/>
    <mergeCell ref="K90:K91"/>
    <mergeCell ref="L90:L91"/>
    <mergeCell ref="M90:M91"/>
    <mergeCell ref="J88:J89"/>
    <mergeCell ref="K88:K89"/>
    <mergeCell ref="L88:L89"/>
    <mergeCell ref="M88:M89"/>
    <mergeCell ref="N88:N89"/>
    <mergeCell ref="A90:A91"/>
    <mergeCell ref="B90:B91"/>
    <mergeCell ref="C90:C91"/>
    <mergeCell ref="D90:D91"/>
    <mergeCell ref="E90:E91"/>
    <mergeCell ref="L86:L87"/>
    <mergeCell ref="M86:M87"/>
    <mergeCell ref="N86:N87"/>
    <mergeCell ref="A88:A89"/>
    <mergeCell ref="B88:B89"/>
    <mergeCell ref="C88:C89"/>
    <mergeCell ref="D88:D89"/>
    <mergeCell ref="E88:E89"/>
    <mergeCell ref="F88:F89"/>
    <mergeCell ref="I88:I89"/>
    <mergeCell ref="O84:P84"/>
    <mergeCell ref="A86:A87"/>
    <mergeCell ref="B86:B87"/>
    <mergeCell ref="C86:C87"/>
    <mergeCell ref="D86:D87"/>
    <mergeCell ref="E86:E87"/>
    <mergeCell ref="F86:F87"/>
    <mergeCell ref="I86:I87"/>
    <mergeCell ref="J86:J87"/>
    <mergeCell ref="K86:K87"/>
    <mergeCell ref="I84:I85"/>
    <mergeCell ref="J84:J85"/>
    <mergeCell ref="K84:K85"/>
    <mergeCell ref="L84:L85"/>
    <mergeCell ref="M84:M85"/>
    <mergeCell ref="N84:N85"/>
    <mergeCell ref="N90:N91"/>
    <mergeCell ref="N72:P72"/>
    <mergeCell ref="A82:H82"/>
    <mergeCell ref="I82:P82"/>
    <mergeCell ref="A84:A85"/>
    <mergeCell ref="B84:B85"/>
    <mergeCell ref="C84:C85"/>
    <mergeCell ref="D84:D85"/>
    <mergeCell ref="E84:E85"/>
    <mergeCell ref="F84:F85"/>
    <mergeCell ref="G84:H84"/>
    <mergeCell ref="A60:E60"/>
    <mergeCell ref="I60:M60"/>
    <mergeCell ref="A61:E61"/>
    <mergeCell ref="I61:M61"/>
    <mergeCell ref="A67:D67"/>
    <mergeCell ref="I67:L67"/>
    <mergeCell ref="J57:J58"/>
    <mergeCell ref="K57:K58"/>
    <mergeCell ref="L57:L58"/>
    <mergeCell ref="M57:M58"/>
    <mergeCell ref="N57:N58"/>
    <mergeCell ref="A59:E59"/>
    <mergeCell ref="I59:M59"/>
    <mergeCell ref="L55:L56"/>
    <mergeCell ref="M55:M56"/>
    <mergeCell ref="N55:N56"/>
    <mergeCell ref="A57:A58"/>
    <mergeCell ref="B57:B58"/>
    <mergeCell ref="C57:C58"/>
    <mergeCell ref="D57:D58"/>
    <mergeCell ref="E57:E58"/>
    <mergeCell ref="F57:F58"/>
    <mergeCell ref="I57:I58"/>
    <mergeCell ref="N51:N52"/>
    <mergeCell ref="A55:A56"/>
    <mergeCell ref="B55:B56"/>
    <mergeCell ref="C55:C56"/>
    <mergeCell ref="D55:D56"/>
    <mergeCell ref="E55:E56"/>
    <mergeCell ref="F55:F56"/>
    <mergeCell ref="I55:I56"/>
    <mergeCell ref="J55:J56"/>
    <mergeCell ref="K55:K56"/>
    <mergeCell ref="F51:F52"/>
    <mergeCell ref="I51:I52"/>
    <mergeCell ref="J51:J52"/>
    <mergeCell ref="K51:K52"/>
    <mergeCell ref="L51:L52"/>
    <mergeCell ref="M51:M52"/>
    <mergeCell ref="J53:J54"/>
    <mergeCell ref="K53:K54"/>
    <mergeCell ref="L53:L54"/>
    <mergeCell ref="M53:M54"/>
    <mergeCell ref="N53:N54"/>
    <mergeCell ref="I53:I54"/>
    <mergeCell ref="J49:J50"/>
    <mergeCell ref="K49:K50"/>
    <mergeCell ref="L49:L50"/>
    <mergeCell ref="M49:M50"/>
    <mergeCell ref="N49:N50"/>
    <mergeCell ref="A51:A52"/>
    <mergeCell ref="B51:B52"/>
    <mergeCell ref="C51:C52"/>
    <mergeCell ref="D51:D52"/>
    <mergeCell ref="E51:E52"/>
    <mergeCell ref="M47:M48"/>
    <mergeCell ref="N47:N48"/>
    <mergeCell ref="O47:P47"/>
    <mergeCell ref="A49:A50"/>
    <mergeCell ref="B49:B50"/>
    <mergeCell ref="C49:C50"/>
    <mergeCell ref="D49:D50"/>
    <mergeCell ref="E49:E50"/>
    <mergeCell ref="F49:F50"/>
    <mergeCell ref="I49:I50"/>
    <mergeCell ref="F47:F48"/>
    <mergeCell ref="G47:H47"/>
    <mergeCell ref="I47:I48"/>
    <mergeCell ref="J47:J48"/>
    <mergeCell ref="K47:K48"/>
    <mergeCell ref="L47:L48"/>
    <mergeCell ref="A30:D30"/>
    <mergeCell ref="I30:L30"/>
    <mergeCell ref="N35:P35"/>
    <mergeCell ref="A45:H45"/>
    <mergeCell ref="I45:P45"/>
    <mergeCell ref="A47:A48"/>
    <mergeCell ref="B47:B48"/>
    <mergeCell ref="C47:C48"/>
    <mergeCell ref="D47:D48"/>
    <mergeCell ref="E47:E48"/>
    <mergeCell ref="A22:E22"/>
    <mergeCell ref="I22:M22"/>
    <mergeCell ref="A23:E23"/>
    <mergeCell ref="I23:M23"/>
    <mergeCell ref="A24:E24"/>
    <mergeCell ref="I24:M24"/>
    <mergeCell ref="I20:I21"/>
    <mergeCell ref="J20:J21"/>
    <mergeCell ref="K20:K21"/>
    <mergeCell ref="L20:L21"/>
    <mergeCell ref="M20:M21"/>
    <mergeCell ref="N20:N21"/>
    <mergeCell ref="A20:A21"/>
    <mergeCell ref="B20:B21"/>
    <mergeCell ref="C20:C21"/>
    <mergeCell ref="D20:D21"/>
    <mergeCell ref="E20:E21"/>
    <mergeCell ref="F20:F21"/>
    <mergeCell ref="I18:I19"/>
    <mergeCell ref="J18:J19"/>
    <mergeCell ref="K18:K19"/>
    <mergeCell ref="L18:L19"/>
    <mergeCell ref="M18:M19"/>
    <mergeCell ref="N18:N19"/>
    <mergeCell ref="A18:A19"/>
    <mergeCell ref="B18:B19"/>
    <mergeCell ref="C18:C19"/>
    <mergeCell ref="D18:D19"/>
    <mergeCell ref="E18:E19"/>
    <mergeCell ref="F18:F19"/>
    <mergeCell ref="I14:I15"/>
    <mergeCell ref="J14:J15"/>
    <mergeCell ref="K14:K15"/>
    <mergeCell ref="L14:L15"/>
    <mergeCell ref="M14:M15"/>
    <mergeCell ref="N14:N15"/>
    <mergeCell ref="A14:A15"/>
    <mergeCell ref="B14:B15"/>
    <mergeCell ref="C14:C15"/>
    <mergeCell ref="D14:D15"/>
    <mergeCell ref="E14:E15"/>
    <mergeCell ref="F14:F15"/>
    <mergeCell ref="N16:N17"/>
    <mergeCell ref="I16:I17"/>
    <mergeCell ref="J16:J17"/>
    <mergeCell ref="K16:K17"/>
    <mergeCell ref="L16:L17"/>
    <mergeCell ref="M16:M17"/>
    <mergeCell ref="O10:P10"/>
    <mergeCell ref="A8:H8"/>
    <mergeCell ref="I8:P8"/>
    <mergeCell ref="A10:A11"/>
    <mergeCell ref="B10:B11"/>
    <mergeCell ref="C10:C11"/>
    <mergeCell ref="D10:D11"/>
    <mergeCell ref="E10:E11"/>
    <mergeCell ref="F10:F11"/>
    <mergeCell ref="G10:H10"/>
    <mergeCell ref="I10:I11"/>
    <mergeCell ref="I12:I13"/>
    <mergeCell ref="J12:J13"/>
    <mergeCell ref="K12:K13"/>
    <mergeCell ref="L12:L13"/>
    <mergeCell ref="M12:M13"/>
    <mergeCell ref="N12:N13"/>
    <mergeCell ref="A12:A13"/>
    <mergeCell ref="B12:B13"/>
    <mergeCell ref="C12:C13"/>
    <mergeCell ref="D12:D13"/>
    <mergeCell ref="E12:E13"/>
    <mergeCell ref="F12:F13"/>
    <mergeCell ref="J10:J11"/>
    <mergeCell ref="K10:K11"/>
    <mergeCell ref="L10:L11"/>
    <mergeCell ref="M10:M11"/>
    <mergeCell ref="N10:N11"/>
    <mergeCell ref="I706:I707"/>
    <mergeCell ref="J706:J707"/>
    <mergeCell ref="K706:K707"/>
    <mergeCell ref="L706:L707"/>
    <mergeCell ref="N706:N707"/>
    <mergeCell ref="M706:M707"/>
    <mergeCell ref="K673:K674"/>
    <mergeCell ref="I741:I742"/>
    <mergeCell ref="J741:J742"/>
    <mergeCell ref="K741:K742"/>
    <mergeCell ref="L741:L742"/>
    <mergeCell ref="M741:M742"/>
    <mergeCell ref="N741:N742"/>
    <mergeCell ref="I129:I130"/>
    <mergeCell ref="J129:J130"/>
    <mergeCell ref="K129:K130"/>
    <mergeCell ref="L129:L130"/>
    <mergeCell ref="M129:M130"/>
    <mergeCell ref="N129:N130"/>
    <mergeCell ref="N158:N159"/>
    <mergeCell ref="I164:I165"/>
    <mergeCell ref="J164:J165"/>
    <mergeCell ref="K164:K165"/>
    <mergeCell ref="L164:L165"/>
    <mergeCell ref="M164:M165"/>
    <mergeCell ref="N164:N165"/>
    <mergeCell ref="N182:P182"/>
    <mergeCell ref="O195:P195"/>
    <mergeCell ref="I199:I200"/>
    <mergeCell ref="J199:J200"/>
    <mergeCell ref="K199:K200"/>
    <mergeCell ref="L199:L200"/>
  </mergeCells>
  <phoneticPr fontId="93" type="noConversion"/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98"/>
  <sheetViews>
    <sheetView topLeftCell="I1" workbookViewId="0">
      <selection activeCell="O30" sqref="O30"/>
    </sheetView>
  </sheetViews>
  <sheetFormatPr baseColWidth="10" defaultRowHeight="15"/>
  <cols>
    <col min="1" max="1" width="13.28515625" style="51" hidden="1" customWidth="1"/>
    <col min="2" max="2" width="21.140625" style="51" hidden="1" customWidth="1"/>
    <col min="3" max="3" width="19.7109375" style="51" hidden="1" customWidth="1"/>
    <col min="4" max="4" width="19.140625" style="51" hidden="1" customWidth="1"/>
    <col min="5" max="5" width="18.28515625" style="51" hidden="1" customWidth="1"/>
    <col min="6" max="6" width="22.140625" style="51" hidden="1" customWidth="1"/>
    <col min="7" max="7" width="7.140625" style="51" hidden="1" customWidth="1"/>
    <col min="8" max="8" width="14.42578125" style="51" hidden="1" customWidth="1"/>
    <col min="9" max="9" width="13.28515625" style="51" customWidth="1"/>
    <col min="10" max="10" width="20.5703125" style="51" customWidth="1"/>
    <col min="11" max="11" width="19.5703125" style="51" customWidth="1"/>
    <col min="12" max="12" width="20.85546875" style="51" customWidth="1"/>
    <col min="13" max="13" width="14.140625" style="51" customWidth="1"/>
    <col min="14" max="14" width="21.7109375" style="51" customWidth="1"/>
    <col min="15" max="15" width="8" style="51" customWidth="1"/>
    <col min="16" max="16" width="13" style="51" customWidth="1"/>
    <col min="17" max="17" width="11.42578125" style="51"/>
    <col min="18" max="18" width="14.140625" style="51" bestFit="1" customWidth="1"/>
    <col min="19" max="16384" width="11.42578125" style="51"/>
  </cols>
  <sheetData>
    <row r="1" spans="1:16" ht="14.25" customHeight="1">
      <c r="A1" s="49" t="s">
        <v>88</v>
      </c>
      <c r="B1" s="50"/>
      <c r="I1" s="49" t="s">
        <v>88</v>
      </c>
      <c r="J1" s="50"/>
    </row>
    <row r="2" spans="1:16">
      <c r="A2" s="51" t="s">
        <v>89</v>
      </c>
      <c r="I2" s="51" t="s">
        <v>89</v>
      </c>
    </row>
    <row r="3" spans="1:16">
      <c r="A3" s="51" t="s">
        <v>90</v>
      </c>
      <c r="I3" s="51" t="s">
        <v>90</v>
      </c>
    </row>
    <row r="4" spans="1:16">
      <c r="A4" s="51" t="s">
        <v>91</v>
      </c>
      <c r="I4" s="51" t="s">
        <v>91</v>
      </c>
    </row>
    <row r="5" spans="1:16" ht="5.25" customHeight="1">
      <c r="A5" s="50"/>
      <c r="B5" s="50"/>
      <c r="I5" s="50"/>
      <c r="J5" s="50"/>
    </row>
    <row r="6" spans="1:16" ht="16.5">
      <c r="A6" s="52" t="s">
        <v>172</v>
      </c>
      <c r="G6" s="52"/>
      <c r="I6" s="52" t="s">
        <v>534</v>
      </c>
      <c r="O6" s="52"/>
    </row>
    <row r="7" spans="1:16" ht="15.75">
      <c r="A7" s="53" t="s">
        <v>92</v>
      </c>
      <c r="G7" s="53"/>
      <c r="I7" s="53" t="s">
        <v>1702</v>
      </c>
      <c r="O7" s="53"/>
    </row>
    <row r="8" spans="1:16" ht="13.5" customHeight="1">
      <c r="A8" s="894" t="s">
        <v>93</v>
      </c>
      <c r="B8" s="894"/>
      <c r="C8" s="894"/>
      <c r="D8" s="894"/>
      <c r="E8" s="894"/>
      <c r="F8" s="894"/>
      <c r="G8" s="894"/>
      <c r="H8" s="894"/>
      <c r="I8" s="894" t="s">
        <v>228</v>
      </c>
      <c r="J8" s="894"/>
      <c r="K8" s="894"/>
      <c r="L8" s="894"/>
      <c r="M8" s="894"/>
      <c r="N8" s="894"/>
      <c r="O8" s="894"/>
      <c r="P8" s="894"/>
    </row>
    <row r="9" spans="1:16" ht="12" customHeight="1" thickBot="1"/>
    <row r="10" spans="1:16">
      <c r="A10" s="895" t="s">
        <v>94</v>
      </c>
      <c r="B10" s="897" t="s">
        <v>95</v>
      </c>
      <c r="C10" s="897" t="s">
        <v>96</v>
      </c>
      <c r="D10" s="897" t="s">
        <v>3</v>
      </c>
      <c r="E10" s="897" t="s">
        <v>97</v>
      </c>
      <c r="F10" s="897" t="s">
        <v>98</v>
      </c>
      <c r="G10" s="897" t="s">
        <v>99</v>
      </c>
      <c r="H10" s="899"/>
      <c r="I10" s="895" t="s">
        <v>94</v>
      </c>
      <c r="J10" s="897" t="s">
        <v>95</v>
      </c>
      <c r="K10" s="897" t="s">
        <v>96</v>
      </c>
      <c r="L10" s="897" t="s">
        <v>3</v>
      </c>
      <c r="M10" s="897" t="s">
        <v>97</v>
      </c>
      <c r="N10" s="897" t="s">
        <v>98</v>
      </c>
      <c r="O10" s="897" t="s">
        <v>99</v>
      </c>
      <c r="P10" s="899"/>
    </row>
    <row r="11" spans="1:16" ht="15.75" thickBot="1">
      <c r="A11" s="896"/>
      <c r="B11" s="898"/>
      <c r="C11" s="898"/>
      <c r="D11" s="898"/>
      <c r="E11" s="898"/>
      <c r="F11" s="898"/>
      <c r="G11" s="240" t="s">
        <v>100</v>
      </c>
      <c r="H11" s="182" t="s">
        <v>101</v>
      </c>
      <c r="I11" s="896"/>
      <c r="J11" s="898"/>
      <c r="K11" s="898"/>
      <c r="L11" s="898"/>
      <c r="M11" s="898"/>
      <c r="N11" s="898"/>
      <c r="O11" s="240" t="s">
        <v>100</v>
      </c>
      <c r="P11" s="182" t="s">
        <v>101</v>
      </c>
    </row>
    <row r="12" spans="1:16" ht="12" customHeight="1">
      <c r="A12" s="881">
        <v>237</v>
      </c>
      <c r="B12" s="875">
        <v>42228</v>
      </c>
      <c r="C12" s="942" t="s">
        <v>31</v>
      </c>
      <c r="D12" s="881" t="s">
        <v>174</v>
      </c>
      <c r="E12" s="881" t="s">
        <v>115</v>
      </c>
      <c r="F12" s="883">
        <v>120000</v>
      </c>
      <c r="G12" s="55">
        <v>719</v>
      </c>
      <c r="H12" s="78">
        <v>120000</v>
      </c>
      <c r="I12" s="873" t="s">
        <v>553</v>
      </c>
      <c r="J12" s="875">
        <v>43511</v>
      </c>
      <c r="K12" s="877" t="s">
        <v>111</v>
      </c>
      <c r="L12" s="881" t="s">
        <v>1706</v>
      </c>
      <c r="M12" s="881" t="s">
        <v>148</v>
      </c>
      <c r="N12" s="883"/>
      <c r="O12" s="55">
        <v>719</v>
      </c>
      <c r="P12" s="78"/>
    </row>
    <row r="13" spans="1:16" ht="14.25" customHeight="1" thickBot="1">
      <c r="A13" s="882"/>
      <c r="B13" s="934"/>
      <c r="C13" s="943"/>
      <c r="D13" s="882"/>
      <c r="E13" s="882"/>
      <c r="F13" s="884"/>
      <c r="G13" s="56">
        <v>721</v>
      </c>
      <c r="H13" s="79">
        <f>+F12-H12</f>
        <v>0</v>
      </c>
      <c r="I13" s="874"/>
      <c r="J13" s="876"/>
      <c r="K13" s="900"/>
      <c r="L13" s="882"/>
      <c r="M13" s="882"/>
      <c r="N13" s="884"/>
      <c r="O13" s="56">
        <v>723</v>
      </c>
      <c r="P13" s="79">
        <f>+N12-P12</f>
        <v>0</v>
      </c>
    </row>
    <row r="14" spans="1:16" ht="12.75" customHeight="1">
      <c r="A14" s="881">
        <f>+A12+1</f>
        <v>238</v>
      </c>
      <c r="B14" s="875">
        <v>42228</v>
      </c>
      <c r="C14" s="935" t="s">
        <v>28</v>
      </c>
      <c r="D14" s="881" t="s">
        <v>175</v>
      </c>
      <c r="E14" s="881" t="s">
        <v>115</v>
      </c>
      <c r="F14" s="883">
        <v>90000</v>
      </c>
      <c r="G14" s="55">
        <v>719</v>
      </c>
      <c r="H14" s="78">
        <v>90000</v>
      </c>
      <c r="I14" s="873" t="s">
        <v>554</v>
      </c>
      <c r="J14" s="875">
        <v>43511</v>
      </c>
      <c r="K14" s="877" t="s">
        <v>40</v>
      </c>
      <c r="L14" s="881" t="s">
        <v>1707</v>
      </c>
      <c r="M14" s="881" t="s">
        <v>148</v>
      </c>
      <c r="N14" s="883"/>
      <c r="O14" s="55">
        <v>719</v>
      </c>
      <c r="P14" s="78"/>
    </row>
    <row r="15" spans="1:16" ht="14.25" customHeight="1" thickBot="1">
      <c r="A15" s="882"/>
      <c r="B15" s="876"/>
      <c r="C15" s="936"/>
      <c r="D15" s="882"/>
      <c r="E15" s="882"/>
      <c r="F15" s="884"/>
      <c r="G15" s="56">
        <v>721</v>
      </c>
      <c r="H15" s="79"/>
      <c r="I15" s="874"/>
      <c r="J15" s="876"/>
      <c r="K15" s="878"/>
      <c r="L15" s="882"/>
      <c r="M15" s="882"/>
      <c r="N15" s="884"/>
      <c r="O15" s="56">
        <v>723</v>
      </c>
      <c r="P15" s="79">
        <f>+N14-P14</f>
        <v>0</v>
      </c>
    </row>
    <row r="16" spans="1:16" ht="12.75" customHeight="1">
      <c r="A16" s="881"/>
      <c r="B16" s="875"/>
      <c r="C16" s="935"/>
      <c r="D16" s="881"/>
      <c r="E16" s="881"/>
      <c r="F16" s="883"/>
      <c r="G16" s="55">
        <v>719</v>
      </c>
      <c r="H16" s="78"/>
      <c r="I16" s="873" t="s">
        <v>1318</v>
      </c>
      <c r="J16" s="875">
        <v>43511</v>
      </c>
      <c r="K16" s="877" t="s">
        <v>1079</v>
      </c>
      <c r="L16" s="881" t="s">
        <v>1708</v>
      </c>
      <c r="M16" s="881" t="s">
        <v>148</v>
      </c>
      <c r="N16" s="883"/>
      <c r="O16" s="55">
        <v>719</v>
      </c>
      <c r="P16" s="78"/>
    </row>
    <row r="17" spans="1:16" ht="12.75" customHeight="1" thickBot="1">
      <c r="A17" s="882"/>
      <c r="B17" s="934"/>
      <c r="C17" s="936"/>
      <c r="D17" s="882"/>
      <c r="E17" s="882"/>
      <c r="F17" s="884"/>
      <c r="G17" s="56">
        <v>721</v>
      </c>
      <c r="H17" s="79">
        <f>+F16-H16</f>
        <v>0</v>
      </c>
      <c r="I17" s="874"/>
      <c r="J17" s="876"/>
      <c r="K17" s="878"/>
      <c r="L17" s="882"/>
      <c r="M17" s="882"/>
      <c r="N17" s="884"/>
      <c r="O17" s="56">
        <v>723</v>
      </c>
      <c r="P17" s="79">
        <f>+N16-P16</f>
        <v>0</v>
      </c>
    </row>
    <row r="18" spans="1:16" ht="12.75" customHeight="1">
      <c r="A18" s="881"/>
      <c r="B18" s="875"/>
      <c r="C18" s="935"/>
      <c r="D18" s="877"/>
      <c r="E18" s="881"/>
      <c r="F18" s="883"/>
      <c r="G18" s="55">
        <v>719</v>
      </c>
      <c r="H18" s="78"/>
      <c r="I18" s="873" t="s">
        <v>1628</v>
      </c>
      <c r="J18" s="875">
        <v>43511</v>
      </c>
      <c r="K18" s="877" t="s">
        <v>1079</v>
      </c>
      <c r="L18" s="881" t="s">
        <v>1709</v>
      </c>
      <c r="M18" s="881" t="s">
        <v>148</v>
      </c>
      <c r="N18" s="883"/>
      <c r="O18" s="55">
        <v>719</v>
      </c>
      <c r="P18" s="78"/>
    </row>
    <row r="19" spans="1:16" ht="12.75" customHeight="1" thickBot="1">
      <c r="A19" s="882"/>
      <c r="B19" s="934"/>
      <c r="C19" s="936"/>
      <c r="D19" s="878"/>
      <c r="E19" s="882"/>
      <c r="F19" s="884"/>
      <c r="G19" s="56">
        <v>721</v>
      </c>
      <c r="H19" s="79">
        <f>+F18-H18</f>
        <v>0</v>
      </c>
      <c r="I19" s="874"/>
      <c r="J19" s="876"/>
      <c r="K19" s="878"/>
      <c r="L19" s="882"/>
      <c r="M19" s="882"/>
      <c r="N19" s="884"/>
      <c r="O19" s="56">
        <v>723</v>
      </c>
      <c r="P19" s="79">
        <f>+N18-P18</f>
        <v>0</v>
      </c>
    </row>
    <row r="20" spans="1:16" ht="15" customHeight="1" thickBot="1">
      <c r="A20" s="901" t="s">
        <v>102</v>
      </c>
      <c r="B20" s="902"/>
      <c r="C20" s="902"/>
      <c r="D20" s="902"/>
      <c r="E20" s="903"/>
      <c r="F20" s="81">
        <f>SUM(F12:F19)</f>
        <v>210000</v>
      </c>
      <c r="I20" s="901" t="s">
        <v>102</v>
      </c>
      <c r="J20" s="902"/>
      <c r="K20" s="902"/>
      <c r="L20" s="902"/>
      <c r="M20" s="903"/>
      <c r="N20" s="81">
        <f>SUM(N12:N19)</f>
        <v>0</v>
      </c>
    </row>
    <row r="21" spans="1:16" ht="15.75" customHeight="1" thickBot="1">
      <c r="A21" s="885" t="s">
        <v>103</v>
      </c>
      <c r="B21" s="886"/>
      <c r="C21" s="886"/>
      <c r="D21" s="886"/>
      <c r="E21" s="887"/>
      <c r="F21" s="69">
        <f>+C35</f>
        <v>610857841</v>
      </c>
      <c r="I21" s="885" t="s">
        <v>103</v>
      </c>
      <c r="J21" s="886"/>
      <c r="K21" s="886"/>
      <c r="L21" s="886"/>
      <c r="M21" s="887"/>
      <c r="N21" s="69">
        <v>1890000</v>
      </c>
      <c r="O21" s="241" t="s">
        <v>561</v>
      </c>
      <c r="P21" s="242">
        <f>113+228+106+62</f>
        <v>509</v>
      </c>
    </row>
    <row r="22" spans="1:16" ht="16.5" thickBot="1">
      <c r="A22" s="888" t="s">
        <v>104</v>
      </c>
      <c r="B22" s="889"/>
      <c r="C22" s="889"/>
      <c r="D22" s="889"/>
      <c r="E22" s="890"/>
      <c r="F22" s="183">
        <f>SUM(F20:F21)</f>
        <v>611067841</v>
      </c>
      <c r="I22" s="888" t="s">
        <v>104</v>
      </c>
      <c r="J22" s="889"/>
      <c r="K22" s="889"/>
      <c r="L22" s="889"/>
      <c r="M22" s="890"/>
      <c r="N22" s="183">
        <f>SUM(N20:N21)</f>
        <v>1890000</v>
      </c>
    </row>
    <row r="23" spans="1:16" ht="12" customHeight="1">
      <c r="A23" s="61"/>
      <c r="B23" s="61"/>
      <c r="C23" s="61"/>
      <c r="D23" s="61"/>
      <c r="E23" s="61"/>
      <c r="I23" s="61"/>
      <c r="J23" s="61"/>
      <c r="K23" s="61"/>
      <c r="L23" s="61"/>
      <c r="M23" s="61"/>
    </row>
    <row r="24" spans="1:16" ht="16.5" customHeight="1">
      <c r="A24" s="51" t="s">
        <v>176</v>
      </c>
      <c r="I24" s="51" t="s">
        <v>1710</v>
      </c>
    </row>
    <row r="25" spans="1:16" ht="5.25" customHeight="1">
      <c r="F25" s="139"/>
      <c r="N25" s="139"/>
    </row>
    <row r="26" spans="1:16" ht="15" customHeight="1">
      <c r="A26" s="50" t="s">
        <v>105</v>
      </c>
      <c r="D26" s="146"/>
      <c r="F26" s="139"/>
      <c r="I26" s="50" t="s">
        <v>105</v>
      </c>
      <c r="L26" s="146"/>
      <c r="N26" s="139"/>
    </row>
    <row r="27" spans="1:16" ht="9.75" customHeight="1" thickBot="1"/>
    <row r="28" spans="1:16" ht="15.75" thickBot="1">
      <c r="A28" s="891" t="s">
        <v>106</v>
      </c>
      <c r="B28" s="892"/>
      <c r="C28" s="892"/>
      <c r="D28" s="893"/>
      <c r="F28" s="50" t="s">
        <v>107</v>
      </c>
      <c r="I28" s="891" t="s">
        <v>106</v>
      </c>
      <c r="J28" s="892"/>
      <c r="K28" s="892"/>
      <c r="L28" s="893"/>
      <c r="N28" s="50" t="s">
        <v>288</v>
      </c>
    </row>
    <row r="29" spans="1:16" ht="38.25" customHeight="1" thickBot="1">
      <c r="A29" s="57" t="s">
        <v>100</v>
      </c>
      <c r="B29" s="58" t="s">
        <v>108</v>
      </c>
      <c r="C29" s="59" t="s">
        <v>109</v>
      </c>
      <c r="D29" s="60" t="s">
        <v>110</v>
      </c>
      <c r="I29" s="57" t="s">
        <v>100</v>
      </c>
      <c r="J29" s="58" t="s">
        <v>108</v>
      </c>
      <c r="K29" s="59" t="s">
        <v>109</v>
      </c>
      <c r="L29" s="60" t="s">
        <v>110</v>
      </c>
    </row>
    <row r="30" spans="1:16" ht="13.5" customHeight="1">
      <c r="A30" s="71">
        <v>719</v>
      </c>
      <c r="B30" s="73">
        <v>210000</v>
      </c>
      <c r="C30" s="74">
        <v>28120000</v>
      </c>
      <c r="D30" s="76">
        <f>+B30+C30</f>
        <v>28330000</v>
      </c>
      <c r="I30" s="71">
        <v>719</v>
      </c>
      <c r="J30" s="73">
        <f>+P12+P14+P16+P18</f>
        <v>0</v>
      </c>
      <c r="K30" s="74">
        <f>+N21</f>
        <v>1890000</v>
      </c>
      <c r="L30" s="195">
        <f>+J30+K30</f>
        <v>1890000</v>
      </c>
    </row>
    <row r="31" spans="1:16" ht="13.5" customHeight="1">
      <c r="A31" s="72">
        <v>721</v>
      </c>
      <c r="B31" s="80"/>
      <c r="C31" s="75">
        <v>36156092</v>
      </c>
      <c r="D31" s="76">
        <f>+B31+C31</f>
        <v>36156092</v>
      </c>
      <c r="I31" s="72">
        <v>721</v>
      </c>
      <c r="J31" s="80"/>
      <c r="K31" s="74">
        <v>0</v>
      </c>
      <c r="L31" s="195">
        <f>+J31+K31</f>
        <v>0</v>
      </c>
    </row>
    <row r="32" spans="1:16" ht="12.75" customHeight="1">
      <c r="A32" s="72">
        <v>722</v>
      </c>
      <c r="B32" s="80"/>
      <c r="C32" s="75">
        <v>224787287</v>
      </c>
      <c r="D32" s="76">
        <f>+B32+C32</f>
        <v>224787287</v>
      </c>
      <c r="I32" s="72">
        <v>722</v>
      </c>
      <c r="J32" s="80"/>
      <c r="K32" s="74">
        <v>0</v>
      </c>
      <c r="L32" s="195">
        <f>+J32+K32</f>
        <v>0</v>
      </c>
    </row>
    <row r="33" spans="1:22" ht="13.5" customHeight="1">
      <c r="A33" s="72">
        <v>723</v>
      </c>
      <c r="B33" s="80"/>
      <c r="C33" s="75">
        <v>319828837</v>
      </c>
      <c r="D33" s="76">
        <f>+B33+C33</f>
        <v>319828837</v>
      </c>
      <c r="F33" s="174" t="s">
        <v>23</v>
      </c>
      <c r="G33" s="175"/>
      <c r="I33" s="72">
        <v>723</v>
      </c>
      <c r="J33" s="80">
        <f>+P13+P15+P17+P19</f>
        <v>0</v>
      </c>
      <c r="K33" s="74">
        <v>0</v>
      </c>
      <c r="L33" s="195">
        <f>+J33+K33</f>
        <v>0</v>
      </c>
      <c r="N33" s="909" t="s">
        <v>1696</v>
      </c>
      <c r="O33" s="909"/>
      <c r="P33" s="909"/>
    </row>
    <row r="34" spans="1:22" ht="14.25" customHeight="1" thickBot="1">
      <c r="A34" s="164" t="s">
        <v>181</v>
      </c>
      <c r="B34" s="165"/>
      <c r="C34" s="166">
        <v>1965625</v>
      </c>
      <c r="D34" s="168">
        <f>+B34+C34</f>
        <v>1965625</v>
      </c>
      <c r="F34" s="52"/>
      <c r="I34" s="164" t="s">
        <v>181</v>
      </c>
      <c r="J34" s="165"/>
      <c r="K34" s="74">
        <v>0</v>
      </c>
      <c r="L34" s="196">
        <f>+J34+K34</f>
        <v>0</v>
      </c>
      <c r="N34" s="52"/>
    </row>
    <row r="35" spans="1:22" ht="16.5" thickBot="1">
      <c r="A35" s="169"/>
      <c r="B35" s="170">
        <f>SUM(B30:B34)</f>
        <v>210000</v>
      </c>
      <c r="C35" s="171">
        <f>SUM(C30:C34)</f>
        <v>610857841</v>
      </c>
      <c r="D35" s="172">
        <f>SUM(D30:D34)</f>
        <v>611067841</v>
      </c>
      <c r="I35" s="169"/>
      <c r="J35" s="197">
        <f>SUM(J30:J34)</f>
        <v>0</v>
      </c>
      <c r="K35" s="197">
        <f>SUM(K30:K34)</f>
        <v>1890000</v>
      </c>
      <c r="L35" s="198">
        <f>SUM(L30:L34)</f>
        <v>1890000</v>
      </c>
    </row>
    <row r="36" spans="1:22" ht="16.5">
      <c r="A36" s="49" t="s">
        <v>88</v>
      </c>
      <c r="B36" s="50"/>
      <c r="I36" s="49" t="s">
        <v>88</v>
      </c>
      <c r="J36" s="50"/>
    </row>
    <row r="37" spans="1:22" ht="13.5" customHeight="1">
      <c r="A37" s="51" t="s">
        <v>89</v>
      </c>
      <c r="I37" s="51" t="s">
        <v>89</v>
      </c>
    </row>
    <row r="38" spans="1:22" ht="14.25" customHeight="1">
      <c r="A38" s="51" t="s">
        <v>90</v>
      </c>
      <c r="I38" s="51" t="s">
        <v>90</v>
      </c>
    </row>
    <row r="39" spans="1:22" ht="14.25" customHeight="1">
      <c r="A39" s="51" t="s">
        <v>91</v>
      </c>
      <c r="I39" s="51" t="s">
        <v>91</v>
      </c>
    </row>
    <row r="40" spans="1:22" ht="6" customHeight="1">
      <c r="A40" s="50"/>
      <c r="B40" s="50"/>
      <c r="I40" s="50"/>
      <c r="J40" s="50"/>
    </row>
    <row r="41" spans="1:22" ht="16.5" customHeight="1">
      <c r="A41" s="52" t="s">
        <v>222</v>
      </c>
      <c r="G41" s="52"/>
      <c r="I41" s="52" t="s">
        <v>540</v>
      </c>
      <c r="O41" s="52"/>
    </row>
    <row r="42" spans="1:22" ht="15.75" customHeight="1">
      <c r="A42" s="53" t="s">
        <v>92</v>
      </c>
      <c r="G42" s="53"/>
      <c r="I42" s="53" t="s">
        <v>1702</v>
      </c>
      <c r="O42" s="53"/>
    </row>
    <row r="43" spans="1:22" ht="15.75" customHeight="1">
      <c r="A43" s="894" t="s">
        <v>93</v>
      </c>
      <c r="B43" s="894"/>
      <c r="C43" s="894"/>
      <c r="D43" s="894"/>
      <c r="E43" s="894"/>
      <c r="F43" s="894"/>
      <c r="G43" s="894"/>
      <c r="H43" s="894"/>
      <c r="I43" s="894" t="s">
        <v>1278</v>
      </c>
      <c r="J43" s="894"/>
      <c r="K43" s="894"/>
      <c r="L43" s="894"/>
      <c r="M43" s="894"/>
      <c r="N43" s="894"/>
      <c r="O43" s="894"/>
      <c r="P43" s="894"/>
      <c r="V43" s="51">
        <v>189000000</v>
      </c>
    </row>
    <row r="44" spans="1:22" ht="12" customHeight="1" thickBot="1"/>
    <row r="45" spans="1:22">
      <c r="A45" s="895" t="s">
        <v>94</v>
      </c>
      <c r="B45" s="897" t="s">
        <v>95</v>
      </c>
      <c r="C45" s="897" t="s">
        <v>96</v>
      </c>
      <c r="D45" s="897" t="s">
        <v>3</v>
      </c>
      <c r="E45" s="897" t="s">
        <v>97</v>
      </c>
      <c r="F45" s="897" t="s">
        <v>98</v>
      </c>
      <c r="G45" s="897" t="s">
        <v>99</v>
      </c>
      <c r="H45" s="899"/>
      <c r="I45" s="895" t="s">
        <v>94</v>
      </c>
      <c r="J45" s="897" t="s">
        <v>95</v>
      </c>
      <c r="K45" s="897" t="s">
        <v>96</v>
      </c>
      <c r="L45" s="897" t="s">
        <v>3</v>
      </c>
      <c r="M45" s="897" t="s">
        <v>97</v>
      </c>
      <c r="N45" s="897" t="s">
        <v>98</v>
      </c>
      <c r="O45" s="897" t="s">
        <v>99</v>
      </c>
      <c r="P45" s="899"/>
    </row>
    <row r="46" spans="1:22" ht="15.75" thickBot="1">
      <c r="A46" s="896"/>
      <c r="B46" s="898"/>
      <c r="C46" s="898"/>
      <c r="D46" s="898"/>
      <c r="E46" s="898"/>
      <c r="F46" s="898"/>
      <c r="G46" s="240" t="s">
        <v>100</v>
      </c>
      <c r="H46" s="182" t="s">
        <v>101</v>
      </c>
      <c r="I46" s="896"/>
      <c r="J46" s="898"/>
      <c r="K46" s="898"/>
      <c r="L46" s="898"/>
      <c r="M46" s="898"/>
      <c r="N46" s="898"/>
      <c r="O46" s="240" t="s">
        <v>100</v>
      </c>
      <c r="P46" s="182" t="s">
        <v>101</v>
      </c>
    </row>
    <row r="47" spans="1:22" ht="13.5" customHeight="1">
      <c r="A47" s="881">
        <f>+A14+1</f>
        <v>239</v>
      </c>
      <c r="B47" s="875">
        <v>42240</v>
      </c>
      <c r="C47" s="935" t="s">
        <v>28</v>
      </c>
      <c r="D47" s="881" t="s">
        <v>223</v>
      </c>
      <c r="E47" s="881" t="s">
        <v>115</v>
      </c>
      <c r="F47" s="883">
        <v>60000</v>
      </c>
      <c r="G47" s="55">
        <v>719</v>
      </c>
      <c r="H47" s="78">
        <v>60000</v>
      </c>
      <c r="I47" s="873" t="s">
        <v>1703</v>
      </c>
      <c r="J47" s="875">
        <v>43511</v>
      </c>
      <c r="K47" s="877" t="s">
        <v>120</v>
      </c>
      <c r="L47" s="881" t="s">
        <v>1711</v>
      </c>
      <c r="M47" s="881" t="s">
        <v>148</v>
      </c>
      <c r="N47" s="883"/>
      <c r="O47" s="55">
        <v>719</v>
      </c>
      <c r="P47" s="78"/>
    </row>
    <row r="48" spans="1:22" ht="12.75" customHeight="1" thickBot="1">
      <c r="A48" s="882"/>
      <c r="B48" s="934"/>
      <c r="C48" s="936"/>
      <c r="D48" s="882"/>
      <c r="E48" s="882"/>
      <c r="F48" s="884"/>
      <c r="G48" s="56">
        <v>721</v>
      </c>
      <c r="H48" s="79">
        <f>+F47-H47</f>
        <v>0</v>
      </c>
      <c r="I48" s="874"/>
      <c r="J48" s="876"/>
      <c r="K48" s="878"/>
      <c r="L48" s="882"/>
      <c r="M48" s="882"/>
      <c r="N48" s="884"/>
      <c r="O48" s="56">
        <v>721</v>
      </c>
      <c r="P48" s="79">
        <f>+N47-P47</f>
        <v>0</v>
      </c>
    </row>
    <row r="49" spans="1:16" ht="12" customHeight="1">
      <c r="A49" s="881">
        <f>+A47+1</f>
        <v>240</v>
      </c>
      <c r="B49" s="875">
        <v>42240</v>
      </c>
      <c r="C49" s="942" t="s">
        <v>31</v>
      </c>
      <c r="D49" s="881" t="s">
        <v>224</v>
      </c>
      <c r="E49" s="881" t="s">
        <v>115</v>
      </c>
      <c r="F49" s="883">
        <v>140000</v>
      </c>
      <c r="G49" s="55">
        <v>719</v>
      </c>
      <c r="H49" s="78">
        <v>140000</v>
      </c>
      <c r="I49" s="873" t="s">
        <v>1704</v>
      </c>
      <c r="J49" s="875">
        <v>43511</v>
      </c>
      <c r="K49" s="877" t="s">
        <v>472</v>
      </c>
      <c r="L49" s="881" t="s">
        <v>1712</v>
      </c>
      <c r="M49" s="881" t="s">
        <v>148</v>
      </c>
      <c r="N49" s="883"/>
      <c r="O49" s="55">
        <v>719</v>
      </c>
      <c r="P49" s="78"/>
    </row>
    <row r="50" spans="1:16" ht="15" customHeight="1" thickBot="1">
      <c r="A50" s="882"/>
      <c r="B50" s="934"/>
      <c r="C50" s="943"/>
      <c r="D50" s="882"/>
      <c r="E50" s="882"/>
      <c r="F50" s="884"/>
      <c r="G50" s="56">
        <v>721</v>
      </c>
      <c r="H50" s="79"/>
      <c r="I50" s="874"/>
      <c r="J50" s="876"/>
      <c r="K50" s="878"/>
      <c r="L50" s="882"/>
      <c r="M50" s="882"/>
      <c r="N50" s="884"/>
      <c r="O50" s="56">
        <v>721</v>
      </c>
      <c r="P50" s="79">
        <f>+N49-P49</f>
        <v>0</v>
      </c>
    </row>
    <row r="51" spans="1:16" ht="13.5" customHeight="1">
      <c r="A51" s="881">
        <f>+A49+1</f>
        <v>241</v>
      </c>
      <c r="B51" s="875">
        <v>42240</v>
      </c>
      <c r="C51" s="942" t="s">
        <v>32</v>
      </c>
      <c r="D51" s="881" t="s">
        <v>225</v>
      </c>
      <c r="E51" s="881" t="s">
        <v>115</v>
      </c>
      <c r="F51" s="883">
        <v>50000</v>
      </c>
      <c r="G51" s="55">
        <v>719</v>
      </c>
      <c r="H51" s="78">
        <v>50000</v>
      </c>
      <c r="I51" s="873" t="s">
        <v>1705</v>
      </c>
      <c r="J51" s="875">
        <v>43511</v>
      </c>
      <c r="K51" s="877" t="s">
        <v>472</v>
      </c>
      <c r="L51" s="881" t="s">
        <v>1713</v>
      </c>
      <c r="M51" s="881" t="s">
        <v>148</v>
      </c>
      <c r="N51" s="883"/>
      <c r="O51" s="55">
        <v>719</v>
      </c>
      <c r="P51" s="78"/>
    </row>
    <row r="52" spans="1:16" ht="15" customHeight="1" thickBot="1">
      <c r="A52" s="882"/>
      <c r="B52" s="934"/>
      <c r="C52" s="943"/>
      <c r="D52" s="882"/>
      <c r="E52" s="882"/>
      <c r="F52" s="884"/>
      <c r="G52" s="56">
        <v>721</v>
      </c>
      <c r="H52" s="79">
        <f>+F51-H51</f>
        <v>0</v>
      </c>
      <c r="I52" s="874"/>
      <c r="J52" s="876"/>
      <c r="K52" s="878"/>
      <c r="L52" s="882"/>
      <c r="M52" s="882"/>
      <c r="N52" s="884"/>
      <c r="O52" s="56">
        <v>721</v>
      </c>
      <c r="P52" s="79">
        <f>+N51-P51</f>
        <v>0</v>
      </c>
    </row>
    <row r="53" spans="1:16" ht="12.75" customHeight="1">
      <c r="A53" s="881"/>
      <c r="B53" s="875"/>
      <c r="C53" s="935"/>
      <c r="D53" s="877"/>
      <c r="E53" s="881"/>
      <c r="F53" s="883"/>
      <c r="G53" s="55">
        <v>719</v>
      </c>
      <c r="H53" s="78"/>
      <c r="I53" s="873"/>
      <c r="J53" s="875"/>
      <c r="K53" s="877"/>
      <c r="L53" s="881"/>
      <c r="M53" s="881"/>
      <c r="N53" s="883"/>
      <c r="O53" s="55">
        <v>719</v>
      </c>
      <c r="P53" s="78"/>
    </row>
    <row r="54" spans="1:16" ht="12.75" customHeight="1" thickBot="1">
      <c r="A54" s="882"/>
      <c r="B54" s="934"/>
      <c r="C54" s="936"/>
      <c r="D54" s="878"/>
      <c r="E54" s="882"/>
      <c r="F54" s="884"/>
      <c r="G54" s="56">
        <v>721</v>
      </c>
      <c r="H54" s="79">
        <f>+F53-H53</f>
        <v>0</v>
      </c>
      <c r="I54" s="874"/>
      <c r="J54" s="876"/>
      <c r="K54" s="878"/>
      <c r="L54" s="882"/>
      <c r="M54" s="882"/>
      <c r="N54" s="884"/>
      <c r="O54" s="56">
        <v>721</v>
      </c>
      <c r="P54" s="79"/>
    </row>
    <row r="55" spans="1:16" ht="15.75" customHeight="1" thickBot="1">
      <c r="A55" s="901" t="s">
        <v>102</v>
      </c>
      <c r="B55" s="902"/>
      <c r="C55" s="902"/>
      <c r="D55" s="902"/>
      <c r="E55" s="903"/>
      <c r="F55" s="81">
        <f>SUM(F47:F54)</f>
        <v>250000</v>
      </c>
      <c r="I55" s="901" t="s">
        <v>102</v>
      </c>
      <c r="J55" s="902"/>
      <c r="K55" s="902"/>
      <c r="L55" s="902"/>
      <c r="M55" s="903"/>
      <c r="N55" s="81">
        <f>SUM(N47:N54)</f>
        <v>0</v>
      </c>
    </row>
    <row r="56" spans="1:16" ht="16.5" thickBot="1">
      <c r="A56" s="885" t="s">
        <v>103</v>
      </c>
      <c r="B56" s="886"/>
      <c r="C56" s="886"/>
      <c r="D56" s="886"/>
      <c r="E56" s="887"/>
      <c r="F56" s="69">
        <f>+C70</f>
        <v>611067841</v>
      </c>
      <c r="I56" s="885" t="s">
        <v>103</v>
      </c>
      <c r="J56" s="886"/>
      <c r="K56" s="886"/>
      <c r="L56" s="886"/>
      <c r="M56" s="887"/>
      <c r="N56" s="69">
        <f>+N22</f>
        <v>1890000</v>
      </c>
      <c r="O56" s="241" t="s">
        <v>561</v>
      </c>
      <c r="P56" s="242"/>
    </row>
    <row r="57" spans="1:16" ht="15" customHeight="1" thickBot="1">
      <c r="A57" s="888" t="s">
        <v>104</v>
      </c>
      <c r="B57" s="889"/>
      <c r="C57" s="889"/>
      <c r="D57" s="889"/>
      <c r="E57" s="890"/>
      <c r="F57" s="183">
        <f>SUM(F55:F56)</f>
        <v>611317841</v>
      </c>
      <c r="I57" s="888" t="s">
        <v>104</v>
      </c>
      <c r="J57" s="889"/>
      <c r="K57" s="889"/>
      <c r="L57" s="889"/>
      <c r="M57" s="890"/>
      <c r="N57" s="183">
        <f>SUM(N55:N56)</f>
        <v>1890000</v>
      </c>
    </row>
    <row r="58" spans="1:16" ht="11.25" customHeight="1">
      <c r="A58" s="61"/>
      <c r="B58" s="61"/>
      <c r="C58" s="61"/>
      <c r="D58" s="61"/>
      <c r="E58" s="61"/>
      <c r="I58" s="61"/>
      <c r="J58" s="61"/>
      <c r="K58" s="61"/>
      <c r="L58" s="61"/>
      <c r="M58" s="61"/>
    </row>
    <row r="59" spans="1:16">
      <c r="A59" s="51" t="s">
        <v>226</v>
      </c>
      <c r="I59" s="51" t="s">
        <v>1714</v>
      </c>
    </row>
    <row r="60" spans="1:16" ht="7.5" customHeight="1">
      <c r="F60" s="139"/>
      <c r="N60" s="139"/>
    </row>
    <row r="61" spans="1:16">
      <c r="A61" s="50" t="s">
        <v>105</v>
      </c>
      <c r="D61" s="146"/>
      <c r="F61" s="139"/>
      <c r="I61" s="50" t="s">
        <v>105</v>
      </c>
      <c r="L61" s="146"/>
      <c r="N61" s="139"/>
    </row>
    <row r="62" spans="1:16" ht="12" customHeight="1" thickBot="1"/>
    <row r="63" spans="1:16" ht="15.75" thickBot="1">
      <c r="A63" s="891" t="s">
        <v>106</v>
      </c>
      <c r="B63" s="892"/>
      <c r="C63" s="892"/>
      <c r="D63" s="893"/>
      <c r="F63" s="50" t="s">
        <v>107</v>
      </c>
      <c r="I63" s="891" t="s">
        <v>106</v>
      </c>
      <c r="J63" s="892"/>
      <c r="K63" s="892"/>
      <c r="L63" s="893"/>
      <c r="N63" s="50" t="s">
        <v>288</v>
      </c>
    </row>
    <row r="64" spans="1:16" ht="30.75" thickBot="1">
      <c r="A64" s="57" t="s">
        <v>100</v>
      </c>
      <c r="B64" s="58" t="s">
        <v>108</v>
      </c>
      <c r="C64" s="59" t="s">
        <v>109</v>
      </c>
      <c r="D64" s="60" t="s">
        <v>110</v>
      </c>
      <c r="I64" s="57" t="s">
        <v>100</v>
      </c>
      <c r="J64" s="58" t="s">
        <v>108</v>
      </c>
      <c r="K64" s="59" t="s">
        <v>109</v>
      </c>
      <c r="L64" s="60" t="s">
        <v>110</v>
      </c>
    </row>
    <row r="65" spans="1:16" ht="14.25" customHeight="1">
      <c r="A65" s="71">
        <v>719</v>
      </c>
      <c r="B65" s="73">
        <f>+H47+H49+H51</f>
        <v>250000</v>
      </c>
      <c r="C65" s="74">
        <f>+D30</f>
        <v>28330000</v>
      </c>
      <c r="D65" s="76">
        <f>+B65+C65</f>
        <v>28580000</v>
      </c>
      <c r="I65" s="71">
        <v>719</v>
      </c>
      <c r="J65" s="73">
        <f>+P47+P49+P51</f>
        <v>0</v>
      </c>
      <c r="K65" s="74">
        <f>+L30</f>
        <v>1890000</v>
      </c>
      <c r="L65" s="195">
        <f>+J65+K65</f>
        <v>1890000</v>
      </c>
    </row>
    <row r="66" spans="1:16" ht="13.5" customHeight="1">
      <c r="A66" s="72">
        <v>721</v>
      </c>
      <c r="B66" s="80"/>
      <c r="C66" s="74">
        <f>+D31</f>
        <v>36156092</v>
      </c>
      <c r="D66" s="76">
        <f>+B66+C66</f>
        <v>36156092</v>
      </c>
      <c r="I66" s="72">
        <v>721</v>
      </c>
      <c r="J66" s="80"/>
      <c r="K66" s="74">
        <f>+L31</f>
        <v>0</v>
      </c>
      <c r="L66" s="195">
        <f>+J66+K66</f>
        <v>0</v>
      </c>
    </row>
    <row r="67" spans="1:16" ht="12.75" customHeight="1">
      <c r="A67" s="72">
        <v>722</v>
      </c>
      <c r="B67" s="80"/>
      <c r="C67" s="74">
        <f>+D32</f>
        <v>224787287</v>
      </c>
      <c r="D67" s="76">
        <f>+B67+C67</f>
        <v>224787287</v>
      </c>
      <c r="I67" s="72">
        <v>722</v>
      </c>
      <c r="J67" s="80"/>
      <c r="K67" s="74">
        <f>+L32</f>
        <v>0</v>
      </c>
      <c r="L67" s="195">
        <f>+J67+K67</f>
        <v>0</v>
      </c>
    </row>
    <row r="68" spans="1:16" ht="14.25" customHeight="1">
      <c r="A68" s="72">
        <v>723</v>
      </c>
      <c r="B68" s="80"/>
      <c r="C68" s="74">
        <f>+D33</f>
        <v>319828837</v>
      </c>
      <c r="D68" s="76">
        <f>+B68+C68</f>
        <v>319828837</v>
      </c>
      <c r="F68" s="174" t="s">
        <v>23</v>
      </c>
      <c r="G68" s="175"/>
      <c r="I68" s="72">
        <v>723</v>
      </c>
      <c r="J68" s="80"/>
      <c r="K68" s="74">
        <f>+L33</f>
        <v>0</v>
      </c>
      <c r="L68" s="195">
        <f>+J68+K68</f>
        <v>0</v>
      </c>
      <c r="N68" s="909" t="s">
        <v>1696</v>
      </c>
      <c r="O68" s="909"/>
      <c r="P68" s="909"/>
    </row>
    <row r="69" spans="1:16" ht="14.25" customHeight="1" thickBot="1">
      <c r="A69" s="164" t="s">
        <v>181</v>
      </c>
      <c r="B69" s="165"/>
      <c r="C69" s="74">
        <f>+D34</f>
        <v>1965625</v>
      </c>
      <c r="D69" s="168">
        <f>+B69+C69</f>
        <v>1965625</v>
      </c>
      <c r="F69" s="52"/>
      <c r="I69" s="164" t="s">
        <v>181</v>
      </c>
      <c r="J69" s="165"/>
      <c r="K69" s="74">
        <f>+L34</f>
        <v>0</v>
      </c>
      <c r="L69" s="196">
        <f>+J69+K69</f>
        <v>0</v>
      </c>
      <c r="N69" s="52"/>
    </row>
    <row r="70" spans="1:16" ht="16.5" thickBot="1">
      <c r="A70" s="169"/>
      <c r="B70" s="170">
        <f>SUM(B65:B69)</f>
        <v>250000</v>
      </c>
      <c r="C70" s="171">
        <f>SUM(C65:C69)</f>
        <v>611067841</v>
      </c>
      <c r="D70" s="172">
        <f>SUM(D65:D69)</f>
        <v>611317841</v>
      </c>
      <c r="I70" s="169"/>
      <c r="J70" s="197">
        <f>SUM(J65:J69)</f>
        <v>0</v>
      </c>
      <c r="K70" s="197">
        <f>SUM(K65:K69)</f>
        <v>1890000</v>
      </c>
      <c r="L70" s="198">
        <f>SUM(L65:L69)</f>
        <v>1890000</v>
      </c>
    </row>
    <row r="71" spans="1:16" ht="16.5">
      <c r="A71" s="49" t="s">
        <v>88</v>
      </c>
      <c r="B71" s="50"/>
      <c r="I71" s="49" t="s">
        <v>88</v>
      </c>
      <c r="J71" s="50"/>
    </row>
    <row r="72" spans="1:16" ht="14.25" customHeight="1">
      <c r="A72" s="51" t="s">
        <v>89</v>
      </c>
      <c r="I72" s="51" t="s">
        <v>89</v>
      </c>
    </row>
    <row r="73" spans="1:16" ht="12.75" customHeight="1">
      <c r="A73" s="51" t="s">
        <v>90</v>
      </c>
      <c r="I73" s="51" t="s">
        <v>90</v>
      </c>
    </row>
    <row r="74" spans="1:16" ht="15" customHeight="1">
      <c r="A74" s="51" t="s">
        <v>91</v>
      </c>
      <c r="I74" s="51" t="s">
        <v>91</v>
      </c>
    </row>
    <row r="75" spans="1:16" ht="6.75" customHeight="1">
      <c r="A75" s="50"/>
      <c r="B75" s="50"/>
      <c r="I75" s="50"/>
      <c r="J75" s="50"/>
    </row>
    <row r="76" spans="1:16" ht="13.5" customHeight="1">
      <c r="A76" s="52" t="s">
        <v>227</v>
      </c>
      <c r="B76" s="50"/>
      <c r="G76" s="52"/>
      <c r="I76" s="52" t="s">
        <v>539</v>
      </c>
      <c r="O76" s="52"/>
    </row>
    <row r="77" spans="1:16" ht="15.75" customHeight="1">
      <c r="A77" s="53" t="s">
        <v>92</v>
      </c>
      <c r="G77" s="53"/>
      <c r="I77" s="53" t="s">
        <v>1702</v>
      </c>
      <c r="O77" s="53"/>
    </row>
    <row r="78" spans="1:16" ht="15" customHeight="1">
      <c r="A78" s="894" t="s">
        <v>228</v>
      </c>
      <c r="B78" s="894"/>
      <c r="C78" s="894"/>
      <c r="D78" s="894"/>
      <c r="E78" s="894"/>
      <c r="F78" s="894"/>
      <c r="G78" s="894"/>
      <c r="H78" s="894"/>
      <c r="I78" s="894" t="s">
        <v>903</v>
      </c>
      <c r="J78" s="894"/>
      <c r="K78" s="894"/>
      <c r="L78" s="894"/>
      <c r="M78" s="894"/>
      <c r="N78" s="894"/>
      <c r="O78" s="894"/>
      <c r="P78" s="894"/>
    </row>
    <row r="79" spans="1:16" ht="8.25" customHeight="1" thickBot="1"/>
    <row r="80" spans="1:16" ht="15" customHeight="1">
      <c r="A80" s="895" t="s">
        <v>94</v>
      </c>
      <c r="B80" s="897" t="s">
        <v>95</v>
      </c>
      <c r="C80" s="897" t="s">
        <v>96</v>
      </c>
      <c r="D80" s="897" t="s">
        <v>3</v>
      </c>
      <c r="E80" s="897" t="s">
        <v>97</v>
      </c>
      <c r="F80" s="897" t="s">
        <v>98</v>
      </c>
      <c r="G80" s="897" t="s">
        <v>99</v>
      </c>
      <c r="H80" s="899"/>
      <c r="I80" s="895" t="s">
        <v>94</v>
      </c>
      <c r="J80" s="897" t="s">
        <v>95</v>
      </c>
      <c r="K80" s="897" t="s">
        <v>96</v>
      </c>
      <c r="L80" s="897" t="s">
        <v>3</v>
      </c>
      <c r="M80" s="897" t="s">
        <v>97</v>
      </c>
      <c r="N80" s="897" t="s">
        <v>98</v>
      </c>
      <c r="O80" s="897" t="s">
        <v>99</v>
      </c>
      <c r="P80" s="899"/>
    </row>
    <row r="81" spans="1:16" ht="15.75" customHeight="1" thickBot="1">
      <c r="A81" s="896"/>
      <c r="B81" s="898"/>
      <c r="C81" s="898"/>
      <c r="D81" s="898"/>
      <c r="E81" s="898"/>
      <c r="F81" s="898"/>
      <c r="G81" s="240" t="s">
        <v>100</v>
      </c>
      <c r="H81" s="182" t="s">
        <v>101</v>
      </c>
      <c r="I81" s="896"/>
      <c r="J81" s="898"/>
      <c r="K81" s="898"/>
      <c r="L81" s="898"/>
      <c r="M81" s="898"/>
      <c r="N81" s="898"/>
      <c r="O81" s="240" t="s">
        <v>100</v>
      </c>
      <c r="P81" s="182" t="s">
        <v>101</v>
      </c>
    </row>
    <row r="82" spans="1:16" ht="13.5" customHeight="1">
      <c r="A82" s="881">
        <f>+A51+1</f>
        <v>242</v>
      </c>
      <c r="B82" s="875">
        <v>42242</v>
      </c>
      <c r="C82" s="877" t="s">
        <v>230</v>
      </c>
      <c r="D82" s="881" t="s">
        <v>244</v>
      </c>
      <c r="E82" s="881" t="s">
        <v>148</v>
      </c>
      <c r="F82" s="883">
        <v>182000</v>
      </c>
      <c r="G82" s="55">
        <v>719</v>
      </c>
      <c r="H82" s="78">
        <v>130000</v>
      </c>
      <c r="I82" s="873" t="s">
        <v>553</v>
      </c>
      <c r="J82" s="875">
        <v>43516</v>
      </c>
      <c r="K82" s="910" t="s">
        <v>1315</v>
      </c>
      <c r="L82" s="881" t="s">
        <v>1717</v>
      </c>
      <c r="M82" s="881" t="s">
        <v>148</v>
      </c>
      <c r="N82" s="883">
        <v>1569300</v>
      </c>
      <c r="O82" s="55">
        <v>719</v>
      </c>
      <c r="P82" s="78"/>
    </row>
    <row r="83" spans="1:16" ht="12.75" customHeight="1" thickBot="1">
      <c r="A83" s="882"/>
      <c r="B83" s="934"/>
      <c r="C83" s="878"/>
      <c r="D83" s="882"/>
      <c r="E83" s="882"/>
      <c r="F83" s="884"/>
      <c r="G83" s="56">
        <v>721</v>
      </c>
      <c r="H83" s="79">
        <f>+F82-H82</f>
        <v>52000</v>
      </c>
      <c r="I83" s="882"/>
      <c r="J83" s="876"/>
      <c r="K83" s="911"/>
      <c r="L83" s="882"/>
      <c r="M83" s="882"/>
      <c r="N83" s="884"/>
      <c r="O83" s="56">
        <v>723</v>
      </c>
      <c r="P83" s="79">
        <f>+N82-P82</f>
        <v>1569300</v>
      </c>
    </row>
    <row r="84" spans="1:16" ht="12" customHeight="1">
      <c r="A84" s="881">
        <f>+A82+1</f>
        <v>243</v>
      </c>
      <c r="B84" s="875">
        <v>42242</v>
      </c>
      <c r="C84" s="881" t="s">
        <v>28</v>
      </c>
      <c r="D84" s="881" t="s">
        <v>229</v>
      </c>
      <c r="E84" s="881" t="s">
        <v>148</v>
      </c>
      <c r="F84" s="883">
        <v>336000</v>
      </c>
      <c r="G84" s="55">
        <v>719</v>
      </c>
      <c r="H84" s="78">
        <v>240000</v>
      </c>
      <c r="I84" s="873" t="s">
        <v>554</v>
      </c>
      <c r="J84" s="875">
        <v>43516</v>
      </c>
      <c r="K84" s="877" t="s">
        <v>1718</v>
      </c>
      <c r="L84" s="881" t="s">
        <v>1716</v>
      </c>
      <c r="M84" s="881" t="s">
        <v>148</v>
      </c>
      <c r="N84" s="883">
        <v>27547490</v>
      </c>
      <c r="O84" s="55">
        <v>719</v>
      </c>
      <c r="P84" s="78"/>
    </row>
    <row r="85" spans="1:16" ht="14.25" customHeight="1" thickBot="1">
      <c r="A85" s="882"/>
      <c r="B85" s="934"/>
      <c r="C85" s="882"/>
      <c r="D85" s="882"/>
      <c r="E85" s="882"/>
      <c r="F85" s="884"/>
      <c r="G85" s="56">
        <v>721</v>
      </c>
      <c r="H85" s="79">
        <f>+F84-H84</f>
        <v>96000</v>
      </c>
      <c r="I85" s="882"/>
      <c r="J85" s="876"/>
      <c r="K85" s="878"/>
      <c r="L85" s="882"/>
      <c r="M85" s="882"/>
      <c r="N85" s="884"/>
      <c r="O85" s="56">
        <v>723</v>
      </c>
      <c r="P85" s="79">
        <f>+N84-P84</f>
        <v>27547490</v>
      </c>
    </row>
    <row r="86" spans="1:16" ht="11.25" customHeight="1">
      <c r="A86" s="881">
        <f>+A84+1</f>
        <v>244</v>
      </c>
      <c r="B86" s="875">
        <v>42242</v>
      </c>
      <c r="C86" s="877" t="s">
        <v>32</v>
      </c>
      <c r="D86" s="881" t="s">
        <v>229</v>
      </c>
      <c r="E86" s="881" t="s">
        <v>148</v>
      </c>
      <c r="F86" s="883">
        <v>56000</v>
      </c>
      <c r="G86" s="55">
        <v>719</v>
      </c>
      <c r="H86" s="78">
        <v>40000</v>
      </c>
      <c r="I86" s="873" t="s">
        <v>1318</v>
      </c>
      <c r="J86" s="875">
        <v>43516</v>
      </c>
      <c r="K86" s="881" t="s">
        <v>1091</v>
      </c>
      <c r="L86" s="881" t="s">
        <v>1716</v>
      </c>
      <c r="M86" s="881" t="s">
        <v>148</v>
      </c>
      <c r="N86" s="883">
        <v>46252500</v>
      </c>
      <c r="O86" s="55">
        <v>719</v>
      </c>
      <c r="P86" s="78"/>
    </row>
    <row r="87" spans="1:16" ht="14.25" customHeight="1" thickBot="1">
      <c r="A87" s="882"/>
      <c r="B87" s="934"/>
      <c r="C87" s="878"/>
      <c r="D87" s="882"/>
      <c r="E87" s="882"/>
      <c r="F87" s="884"/>
      <c r="G87" s="56">
        <v>721</v>
      </c>
      <c r="H87" s="79">
        <f>+F86-H86</f>
        <v>16000</v>
      </c>
      <c r="I87" s="882"/>
      <c r="J87" s="876"/>
      <c r="K87" s="882"/>
      <c r="L87" s="882"/>
      <c r="M87" s="882"/>
      <c r="N87" s="884"/>
      <c r="O87" s="56">
        <v>723</v>
      </c>
      <c r="P87" s="79">
        <f>+N86-P86</f>
        <v>46252500</v>
      </c>
    </row>
    <row r="88" spans="1:16" ht="12" customHeight="1">
      <c r="A88" s="251"/>
      <c r="B88" s="452"/>
      <c r="C88" s="253"/>
      <c r="D88" s="251"/>
      <c r="E88" s="251"/>
      <c r="F88" s="254"/>
      <c r="G88" s="255"/>
      <c r="H88" s="256"/>
      <c r="I88" s="873" t="s">
        <v>1628</v>
      </c>
      <c r="J88" s="875">
        <v>43516</v>
      </c>
      <c r="K88" s="881" t="s">
        <v>694</v>
      </c>
      <c r="L88" s="881" t="s">
        <v>1716</v>
      </c>
      <c r="M88" s="881" t="s">
        <v>148</v>
      </c>
      <c r="N88" s="883">
        <v>30033550</v>
      </c>
      <c r="O88" s="55">
        <v>719</v>
      </c>
      <c r="P88" s="78"/>
    </row>
    <row r="89" spans="1:16" ht="14.25" customHeight="1" thickBot="1">
      <c r="A89" s="251"/>
      <c r="B89" s="452"/>
      <c r="C89" s="253"/>
      <c r="D89" s="251"/>
      <c r="E89" s="251"/>
      <c r="F89" s="254"/>
      <c r="G89" s="255"/>
      <c r="H89" s="256"/>
      <c r="I89" s="882"/>
      <c r="J89" s="876"/>
      <c r="K89" s="882"/>
      <c r="L89" s="882"/>
      <c r="M89" s="882"/>
      <c r="N89" s="884"/>
      <c r="O89" s="56">
        <v>723</v>
      </c>
      <c r="P89" s="79">
        <f>+N88-P88</f>
        <v>30033550</v>
      </c>
    </row>
    <row r="90" spans="1:16" ht="11.25" customHeight="1">
      <c r="A90" s="881" t="e">
        <f>+#REF!+1</f>
        <v>#REF!</v>
      </c>
      <c r="B90" s="875">
        <v>42242</v>
      </c>
      <c r="C90" s="881" t="s">
        <v>31</v>
      </c>
      <c r="D90" s="881" t="s">
        <v>229</v>
      </c>
      <c r="E90" s="881" t="s">
        <v>148</v>
      </c>
      <c r="F90" s="883">
        <v>588000</v>
      </c>
      <c r="G90" s="55">
        <v>719</v>
      </c>
      <c r="H90" s="78">
        <v>420000</v>
      </c>
      <c r="I90" s="873" t="s">
        <v>1629</v>
      </c>
      <c r="J90" s="875">
        <v>43516</v>
      </c>
      <c r="K90" s="881" t="s">
        <v>267</v>
      </c>
      <c r="L90" s="881" t="s">
        <v>1716</v>
      </c>
      <c r="M90" s="881" t="s">
        <v>148</v>
      </c>
      <c r="N90" s="883">
        <v>33195000</v>
      </c>
      <c r="O90" s="55">
        <v>719</v>
      </c>
      <c r="P90" s="78"/>
    </row>
    <row r="91" spans="1:16" ht="14.25" customHeight="1" thickBot="1">
      <c r="A91" s="882"/>
      <c r="B91" s="934"/>
      <c r="C91" s="882"/>
      <c r="D91" s="882"/>
      <c r="E91" s="882"/>
      <c r="F91" s="884"/>
      <c r="G91" s="56">
        <v>721</v>
      </c>
      <c r="H91" s="79">
        <f>+F90-H90</f>
        <v>168000</v>
      </c>
      <c r="I91" s="882"/>
      <c r="J91" s="876"/>
      <c r="K91" s="882"/>
      <c r="L91" s="882"/>
      <c r="M91" s="882"/>
      <c r="N91" s="884"/>
      <c r="O91" s="56">
        <v>723</v>
      </c>
      <c r="P91" s="79">
        <f>+N90-P90</f>
        <v>33195000</v>
      </c>
    </row>
    <row r="92" spans="1:16" ht="16.5" thickBot="1">
      <c r="A92" s="901" t="s">
        <v>102</v>
      </c>
      <c r="B92" s="902"/>
      <c r="C92" s="902"/>
      <c r="D92" s="902"/>
      <c r="E92" s="903"/>
      <c r="F92" s="81">
        <f>SUM(F82:F91)</f>
        <v>1162000</v>
      </c>
      <c r="I92" s="901" t="s">
        <v>102</v>
      </c>
      <c r="J92" s="902"/>
      <c r="K92" s="902"/>
      <c r="L92" s="902"/>
      <c r="M92" s="903"/>
      <c r="N92" s="81">
        <f>+N82+N84+N86+N88+N90</f>
        <v>138597840</v>
      </c>
    </row>
    <row r="93" spans="1:16" ht="16.5" thickBot="1">
      <c r="A93" s="885" t="s">
        <v>103</v>
      </c>
      <c r="B93" s="886"/>
      <c r="C93" s="886"/>
      <c r="D93" s="886"/>
      <c r="E93" s="887"/>
      <c r="F93" s="184">
        <f>+C107</f>
        <v>611317841</v>
      </c>
      <c r="I93" s="885" t="s">
        <v>103</v>
      </c>
      <c r="J93" s="886"/>
      <c r="K93" s="886"/>
      <c r="L93" s="886"/>
      <c r="M93" s="887"/>
      <c r="N93" s="69">
        <f>+N57</f>
        <v>1890000</v>
      </c>
      <c r="O93" s="241" t="s">
        <v>561</v>
      </c>
      <c r="P93" s="242"/>
    </row>
    <row r="94" spans="1:16" ht="16.5" thickBot="1">
      <c r="A94" s="888" t="s">
        <v>104</v>
      </c>
      <c r="B94" s="889"/>
      <c r="C94" s="889"/>
      <c r="D94" s="889"/>
      <c r="E94" s="890"/>
      <c r="F94" s="183">
        <f>SUM(F92:F93)</f>
        <v>612479841</v>
      </c>
      <c r="I94" s="888" t="s">
        <v>104</v>
      </c>
      <c r="J94" s="889"/>
      <c r="K94" s="889"/>
      <c r="L94" s="889"/>
      <c r="M94" s="890"/>
      <c r="N94" s="183">
        <f>SUM(N92:N93)</f>
        <v>140487840</v>
      </c>
    </row>
    <row r="95" spans="1:16" ht="14.25" customHeight="1">
      <c r="A95" s="61"/>
      <c r="B95" s="61"/>
      <c r="C95" s="61"/>
      <c r="D95" s="61"/>
      <c r="E95" s="61"/>
      <c r="I95" s="61"/>
      <c r="J95" s="61"/>
      <c r="K95" s="61"/>
      <c r="L95" s="61"/>
      <c r="M95" s="61"/>
    </row>
    <row r="96" spans="1:16">
      <c r="A96" s="51" t="s">
        <v>232</v>
      </c>
      <c r="I96" s="51" t="s">
        <v>1719</v>
      </c>
    </row>
    <row r="97" spans="1:16" ht="4.5" customHeight="1">
      <c r="F97" s="139"/>
      <c r="N97" s="139"/>
    </row>
    <row r="98" spans="1:16" ht="12" customHeight="1">
      <c r="A98" s="50" t="s">
        <v>105</v>
      </c>
      <c r="D98" s="146"/>
      <c r="I98" s="50" t="s">
        <v>105</v>
      </c>
      <c r="L98" s="146"/>
      <c r="N98" s="139"/>
    </row>
    <row r="99" spans="1:16" ht="6" customHeight="1" thickBot="1"/>
    <row r="100" spans="1:16" ht="17.25" thickBot="1">
      <c r="A100" s="891" t="s">
        <v>106</v>
      </c>
      <c r="B100" s="892"/>
      <c r="C100" s="892"/>
      <c r="D100" s="893"/>
      <c r="F100" s="50" t="s">
        <v>107</v>
      </c>
      <c r="I100" s="891" t="s">
        <v>106</v>
      </c>
      <c r="J100" s="892"/>
      <c r="K100" s="892"/>
      <c r="L100" s="893"/>
      <c r="N100" s="604" t="s">
        <v>288</v>
      </c>
      <c r="O100" s="604"/>
      <c r="P100" s="604"/>
    </row>
    <row r="101" spans="1:16" ht="28.5" customHeight="1" thickBot="1">
      <c r="A101" s="57" t="s">
        <v>100</v>
      </c>
      <c r="B101" s="58" t="s">
        <v>108</v>
      </c>
      <c r="C101" s="59" t="s">
        <v>109</v>
      </c>
      <c r="D101" s="60" t="s">
        <v>110</v>
      </c>
      <c r="I101" s="57" t="s">
        <v>100</v>
      </c>
      <c r="J101" s="58" t="s">
        <v>108</v>
      </c>
      <c r="K101" s="59" t="s">
        <v>109</v>
      </c>
      <c r="L101" s="60" t="s">
        <v>110</v>
      </c>
      <c r="N101" s="12"/>
      <c r="O101" s="12"/>
      <c r="P101" s="12"/>
    </row>
    <row r="102" spans="1:16" ht="12.75" customHeight="1">
      <c r="A102" s="71">
        <v>719</v>
      </c>
      <c r="B102" s="73" t="e">
        <f>+H82+H84+H86+#REF!+H90</f>
        <v>#REF!</v>
      </c>
      <c r="C102" s="74">
        <f>+D65</f>
        <v>28580000</v>
      </c>
      <c r="D102" s="76" t="e">
        <f>+B102+C102</f>
        <v>#REF!</v>
      </c>
      <c r="I102" s="71">
        <v>719</v>
      </c>
      <c r="J102" s="73"/>
      <c r="K102" s="74">
        <f>+N93</f>
        <v>1890000</v>
      </c>
      <c r="L102" s="195">
        <f>+J102+K102</f>
        <v>1890000</v>
      </c>
      <c r="N102" s="12"/>
      <c r="O102" s="12"/>
      <c r="P102" s="12"/>
    </row>
    <row r="103" spans="1:16" ht="13.5" customHeight="1">
      <c r="A103" s="72">
        <v>721</v>
      </c>
      <c r="B103" s="80" t="e">
        <f>+H91+#REF!+H87+H85+H83</f>
        <v>#REF!</v>
      </c>
      <c r="C103" s="74">
        <f>+D66</f>
        <v>36156092</v>
      </c>
      <c r="D103" s="76" t="e">
        <f>+B103+C103</f>
        <v>#REF!</v>
      </c>
      <c r="I103" s="72">
        <v>721</v>
      </c>
      <c r="J103" s="80"/>
      <c r="K103" s="74"/>
      <c r="L103" s="195">
        <f>+J103+K103</f>
        <v>0</v>
      </c>
      <c r="N103" s="12"/>
      <c r="O103" s="12"/>
      <c r="P103" s="12"/>
    </row>
    <row r="104" spans="1:16" ht="12.75" customHeight="1">
      <c r="A104" s="72">
        <v>722</v>
      </c>
      <c r="B104" s="80"/>
      <c r="C104" s="74">
        <f>+D67</f>
        <v>224787287</v>
      </c>
      <c r="D104" s="76">
        <f>+B104+C104</f>
        <v>224787287</v>
      </c>
      <c r="I104" s="72">
        <v>722</v>
      </c>
      <c r="J104" s="80">
        <v>0</v>
      </c>
      <c r="K104" s="74">
        <f>+L67</f>
        <v>0</v>
      </c>
      <c r="L104" s="195">
        <f>+J104+K104</f>
        <v>0</v>
      </c>
      <c r="N104" s="12"/>
      <c r="O104" s="12"/>
      <c r="P104" s="12"/>
    </row>
    <row r="105" spans="1:16" ht="17.25" customHeight="1">
      <c r="A105" s="72">
        <v>723</v>
      </c>
      <c r="B105" s="80"/>
      <c r="C105" s="74">
        <f>+D68</f>
        <v>319828837</v>
      </c>
      <c r="D105" s="76">
        <f>+B105+C105</f>
        <v>319828837</v>
      </c>
      <c r="F105" s="174" t="s">
        <v>23</v>
      </c>
      <c r="I105" s="72">
        <v>723</v>
      </c>
      <c r="J105" s="80">
        <f>+N92</f>
        <v>138597840</v>
      </c>
      <c r="K105" s="74">
        <f>+L68</f>
        <v>0</v>
      </c>
      <c r="L105" s="195">
        <f>+J105+K105</f>
        <v>138597840</v>
      </c>
      <c r="N105" s="956" t="s">
        <v>1696</v>
      </c>
      <c r="O105" s="956"/>
      <c r="P105" s="956"/>
    </row>
    <row r="106" spans="1:16" ht="13.5" customHeight="1" thickBot="1">
      <c r="A106" s="164" t="s">
        <v>181</v>
      </c>
      <c r="B106" s="165"/>
      <c r="C106" s="74">
        <f>+D69</f>
        <v>1965625</v>
      </c>
      <c r="D106" s="168">
        <f>+B106+C106</f>
        <v>1965625</v>
      </c>
      <c r="F106" s="52"/>
      <c r="I106" s="164" t="s">
        <v>181</v>
      </c>
      <c r="J106" s="165"/>
      <c r="K106" s="74">
        <f>+L69</f>
        <v>0</v>
      </c>
      <c r="L106" s="196">
        <f>+J106+K106</f>
        <v>0</v>
      </c>
      <c r="N106" s="191"/>
      <c r="O106" s="12"/>
      <c r="P106" s="12"/>
    </row>
    <row r="107" spans="1:16" ht="15" customHeight="1" thickBot="1">
      <c r="A107" s="169"/>
      <c r="B107" s="170" t="e">
        <f>SUM(B102:B106)</f>
        <v>#REF!</v>
      </c>
      <c r="C107" s="171">
        <f>SUM(C102:C106)</f>
        <v>611317841</v>
      </c>
      <c r="D107" s="172" t="e">
        <f>SUM(D102:D106)</f>
        <v>#REF!</v>
      </c>
      <c r="I107" s="169"/>
      <c r="J107" s="197">
        <f>SUM(J102:J106)</f>
        <v>138597840</v>
      </c>
      <c r="K107" s="197">
        <f>SUM(K102:K106)</f>
        <v>1890000</v>
      </c>
      <c r="L107" s="198">
        <f>SUM(L102:L106)</f>
        <v>140487840</v>
      </c>
    </row>
    <row r="108" spans="1:16" ht="16.5">
      <c r="A108" s="49" t="s">
        <v>88</v>
      </c>
      <c r="B108" s="50"/>
      <c r="I108" s="49" t="s">
        <v>88</v>
      </c>
      <c r="J108" s="50"/>
    </row>
    <row r="109" spans="1:16" ht="11.25" customHeight="1">
      <c r="A109" s="51" t="s">
        <v>89</v>
      </c>
      <c r="I109" s="51" t="s">
        <v>89</v>
      </c>
    </row>
    <row r="110" spans="1:16" ht="11.25" customHeight="1">
      <c r="A110" s="51" t="s">
        <v>90</v>
      </c>
      <c r="I110" s="51" t="s">
        <v>90</v>
      </c>
    </row>
    <row r="111" spans="1:16" ht="12.75" customHeight="1">
      <c r="A111" s="51" t="s">
        <v>91</v>
      </c>
      <c r="I111" s="51" t="s">
        <v>91</v>
      </c>
    </row>
    <row r="112" spans="1:16" ht="5.25" customHeight="1">
      <c r="A112" s="50"/>
      <c r="B112" s="50"/>
      <c r="I112" s="50"/>
      <c r="J112" s="50"/>
    </row>
    <row r="113" spans="1:16" ht="15.75" customHeight="1">
      <c r="A113" s="52" t="s">
        <v>233</v>
      </c>
      <c r="B113" s="50"/>
      <c r="G113" s="52"/>
      <c r="I113" s="52" t="s">
        <v>540</v>
      </c>
      <c r="O113" s="52"/>
    </row>
    <row r="114" spans="1:16" ht="15.75">
      <c r="A114" s="53" t="s">
        <v>92</v>
      </c>
      <c r="G114" s="53"/>
      <c r="I114" s="53" t="s">
        <v>1702</v>
      </c>
      <c r="O114" s="53"/>
    </row>
    <row r="115" spans="1:16" ht="15.75" customHeight="1">
      <c r="A115" s="894" t="s">
        <v>228</v>
      </c>
      <c r="B115" s="894"/>
      <c r="C115" s="894"/>
      <c r="D115" s="894"/>
      <c r="E115" s="894"/>
      <c r="F115" s="894"/>
      <c r="G115" s="894"/>
      <c r="H115" s="894"/>
      <c r="I115" s="894" t="s">
        <v>903</v>
      </c>
      <c r="J115" s="894"/>
      <c r="K115" s="894"/>
      <c r="L115" s="894"/>
      <c r="M115" s="894"/>
      <c r="N115" s="894"/>
      <c r="O115" s="894"/>
      <c r="P115" s="894"/>
    </row>
    <row r="116" spans="1:16" ht="12.75" customHeight="1" thickBot="1"/>
    <row r="117" spans="1:16" ht="15.75" customHeight="1">
      <c r="A117" s="895" t="s">
        <v>94</v>
      </c>
      <c r="B117" s="897" t="s">
        <v>95</v>
      </c>
      <c r="C117" s="897" t="s">
        <v>96</v>
      </c>
      <c r="D117" s="897" t="s">
        <v>3</v>
      </c>
      <c r="E117" s="897" t="s">
        <v>97</v>
      </c>
      <c r="F117" s="897" t="s">
        <v>98</v>
      </c>
      <c r="G117" s="897" t="s">
        <v>99</v>
      </c>
      <c r="H117" s="899"/>
      <c r="I117" s="895" t="s">
        <v>94</v>
      </c>
      <c r="J117" s="897" t="s">
        <v>95</v>
      </c>
      <c r="K117" s="897" t="s">
        <v>96</v>
      </c>
      <c r="L117" s="897" t="s">
        <v>3</v>
      </c>
      <c r="M117" s="897" t="s">
        <v>97</v>
      </c>
      <c r="N117" s="897" t="s">
        <v>98</v>
      </c>
      <c r="O117" s="897" t="s">
        <v>99</v>
      </c>
      <c r="P117" s="899"/>
    </row>
    <row r="118" spans="1:16" ht="15" customHeight="1" thickBot="1">
      <c r="A118" s="896"/>
      <c r="B118" s="898"/>
      <c r="C118" s="898"/>
      <c r="D118" s="898"/>
      <c r="E118" s="898"/>
      <c r="F118" s="898"/>
      <c r="G118" s="240" t="s">
        <v>100</v>
      </c>
      <c r="H118" s="182" t="s">
        <v>101</v>
      </c>
      <c r="I118" s="896"/>
      <c r="J118" s="898"/>
      <c r="K118" s="898"/>
      <c r="L118" s="898"/>
      <c r="M118" s="898"/>
      <c r="N118" s="898"/>
      <c r="O118" s="240" t="s">
        <v>100</v>
      </c>
      <c r="P118" s="182" t="s">
        <v>101</v>
      </c>
    </row>
    <row r="119" spans="1:16" ht="14.25" customHeight="1">
      <c r="A119" s="881" t="e">
        <f>+A90+1</f>
        <v>#REF!</v>
      </c>
      <c r="B119" s="875">
        <v>42242</v>
      </c>
      <c r="C119" s="942" t="s">
        <v>230</v>
      </c>
      <c r="D119" s="881" t="s">
        <v>234</v>
      </c>
      <c r="E119" s="881" t="s">
        <v>148</v>
      </c>
      <c r="F119" s="883">
        <v>196000</v>
      </c>
      <c r="G119" s="55">
        <v>719</v>
      </c>
      <c r="H119" s="78">
        <v>140000</v>
      </c>
      <c r="I119" s="873" t="s">
        <v>1631</v>
      </c>
      <c r="J119" s="875">
        <v>43516</v>
      </c>
      <c r="K119" s="910" t="s">
        <v>40</v>
      </c>
      <c r="L119" s="881" t="s">
        <v>1716</v>
      </c>
      <c r="M119" s="881" t="s">
        <v>148</v>
      </c>
      <c r="N119" s="883">
        <v>7821240</v>
      </c>
      <c r="O119" s="55">
        <v>719</v>
      </c>
      <c r="P119" s="78"/>
    </row>
    <row r="120" spans="1:16" ht="13.5" customHeight="1" thickBot="1">
      <c r="A120" s="882"/>
      <c r="B120" s="934"/>
      <c r="C120" s="943"/>
      <c r="D120" s="882"/>
      <c r="E120" s="882"/>
      <c r="F120" s="884"/>
      <c r="G120" s="56">
        <v>721</v>
      </c>
      <c r="H120" s="79">
        <f>+F119-H119</f>
        <v>56000</v>
      </c>
      <c r="I120" s="882"/>
      <c r="J120" s="876"/>
      <c r="K120" s="911"/>
      <c r="L120" s="882"/>
      <c r="M120" s="882"/>
      <c r="N120" s="884"/>
      <c r="O120" s="56">
        <v>723</v>
      </c>
      <c r="P120" s="79">
        <f>+N119-P119</f>
        <v>7821240</v>
      </c>
    </row>
    <row r="121" spans="1:16" ht="11.25" customHeight="1">
      <c r="A121" s="881" t="e">
        <f>+A119+1</f>
        <v>#REF!</v>
      </c>
      <c r="B121" s="875">
        <v>42242</v>
      </c>
      <c r="C121" s="935" t="s">
        <v>28</v>
      </c>
      <c r="D121" s="881" t="s">
        <v>234</v>
      </c>
      <c r="E121" s="881" t="s">
        <v>148</v>
      </c>
      <c r="F121" s="883">
        <v>364000</v>
      </c>
      <c r="G121" s="55">
        <v>719</v>
      </c>
      <c r="H121" s="78">
        <v>260000</v>
      </c>
      <c r="I121" s="873" t="s">
        <v>1344</v>
      </c>
      <c r="J121" s="875">
        <v>43516</v>
      </c>
      <c r="K121" s="881" t="s">
        <v>1091</v>
      </c>
      <c r="L121" s="881" t="s">
        <v>1716</v>
      </c>
      <c r="M121" s="881" t="s">
        <v>148</v>
      </c>
      <c r="N121" s="883">
        <v>6662400</v>
      </c>
      <c r="O121" s="55">
        <v>719</v>
      </c>
      <c r="P121" s="78"/>
    </row>
    <row r="122" spans="1:16" ht="15.75" customHeight="1" thickBot="1">
      <c r="A122" s="882"/>
      <c r="B122" s="934"/>
      <c r="C122" s="936"/>
      <c r="D122" s="882"/>
      <c r="E122" s="882"/>
      <c r="F122" s="884"/>
      <c r="G122" s="56">
        <v>721</v>
      </c>
      <c r="H122" s="79">
        <f>+F121-H121</f>
        <v>104000</v>
      </c>
      <c r="I122" s="882"/>
      <c r="J122" s="876"/>
      <c r="K122" s="882"/>
      <c r="L122" s="882"/>
      <c r="M122" s="882"/>
      <c r="N122" s="884"/>
      <c r="O122" s="56">
        <v>723</v>
      </c>
      <c r="P122" s="79">
        <f>+N121-P121</f>
        <v>6662400</v>
      </c>
    </row>
    <row r="123" spans="1:16" ht="13.5" customHeight="1">
      <c r="A123" s="881" t="e">
        <f>+A121+1</f>
        <v>#REF!</v>
      </c>
      <c r="B123" s="875">
        <v>42242</v>
      </c>
      <c r="C123" s="942" t="s">
        <v>32</v>
      </c>
      <c r="D123" s="881" t="s">
        <v>235</v>
      </c>
      <c r="E123" s="881" t="s">
        <v>148</v>
      </c>
      <c r="F123" s="883">
        <v>70000</v>
      </c>
      <c r="G123" s="55">
        <v>719</v>
      </c>
      <c r="H123" s="78">
        <v>50000</v>
      </c>
      <c r="I123" s="873" t="s">
        <v>1345</v>
      </c>
      <c r="J123" s="875">
        <v>43516</v>
      </c>
      <c r="K123" s="877" t="s">
        <v>1633</v>
      </c>
      <c r="L123" s="881" t="s">
        <v>1716</v>
      </c>
      <c r="M123" s="881" t="s">
        <v>165</v>
      </c>
      <c r="N123" s="883">
        <v>1500000</v>
      </c>
      <c r="O123" s="55">
        <v>719</v>
      </c>
      <c r="P123" s="78"/>
    </row>
    <row r="124" spans="1:16" ht="12.75" customHeight="1" thickBot="1">
      <c r="A124" s="882"/>
      <c r="B124" s="934"/>
      <c r="C124" s="943"/>
      <c r="D124" s="882"/>
      <c r="E124" s="882"/>
      <c r="F124" s="884"/>
      <c r="G124" s="56">
        <v>721</v>
      </c>
      <c r="H124" s="79">
        <f>+F123-H123</f>
        <v>20000</v>
      </c>
      <c r="I124" s="882"/>
      <c r="J124" s="876"/>
      <c r="K124" s="878"/>
      <c r="L124" s="882"/>
      <c r="M124" s="882"/>
      <c r="N124" s="884"/>
      <c r="O124" s="56">
        <v>723</v>
      </c>
      <c r="P124" s="79">
        <f>+N123-P123</f>
        <v>1500000</v>
      </c>
    </row>
    <row r="125" spans="1:16" ht="11.25" customHeight="1">
      <c r="A125" s="881" t="e">
        <f>+A123+1</f>
        <v>#REF!</v>
      </c>
      <c r="B125" s="875">
        <v>42242</v>
      </c>
      <c r="C125" s="935" t="s">
        <v>169</v>
      </c>
      <c r="D125" s="881" t="s">
        <v>236</v>
      </c>
      <c r="E125" s="881" t="s">
        <v>148</v>
      </c>
      <c r="F125" s="883">
        <v>56000</v>
      </c>
      <c r="G125" s="55">
        <v>719</v>
      </c>
      <c r="H125" s="78">
        <v>40000</v>
      </c>
      <c r="I125" s="873" t="s">
        <v>1346</v>
      </c>
      <c r="J125" s="875">
        <v>43516</v>
      </c>
      <c r="K125" s="877" t="s">
        <v>1721</v>
      </c>
      <c r="L125" s="881" t="s">
        <v>1716</v>
      </c>
      <c r="M125" s="881" t="s">
        <v>148</v>
      </c>
      <c r="N125" s="883">
        <v>7875000</v>
      </c>
      <c r="O125" s="55">
        <v>719</v>
      </c>
      <c r="P125" s="78"/>
    </row>
    <row r="126" spans="1:16" ht="14.25" customHeight="1" thickBot="1">
      <c r="A126" s="882"/>
      <c r="B126" s="934"/>
      <c r="C126" s="936"/>
      <c r="D126" s="882"/>
      <c r="E126" s="882"/>
      <c r="F126" s="884"/>
      <c r="G126" s="56">
        <v>721</v>
      </c>
      <c r="H126" s="79">
        <f>+F125-H125</f>
        <v>16000</v>
      </c>
      <c r="I126" s="882"/>
      <c r="J126" s="876"/>
      <c r="K126" s="878"/>
      <c r="L126" s="882"/>
      <c r="M126" s="882"/>
      <c r="N126" s="884"/>
      <c r="O126" s="56">
        <v>723</v>
      </c>
      <c r="P126" s="79">
        <f>+N125-P125</f>
        <v>7875000</v>
      </c>
    </row>
    <row r="127" spans="1:16" ht="16.5" thickBot="1">
      <c r="A127" s="901" t="s">
        <v>102</v>
      </c>
      <c r="B127" s="902"/>
      <c r="C127" s="902"/>
      <c r="D127" s="902"/>
      <c r="E127" s="903"/>
      <c r="F127" s="81">
        <f>SUM(F119:F126)</f>
        <v>686000</v>
      </c>
      <c r="I127" s="901" t="s">
        <v>102</v>
      </c>
      <c r="J127" s="902"/>
      <c r="K127" s="902"/>
      <c r="L127" s="902"/>
      <c r="M127" s="903"/>
      <c r="N127" s="81">
        <f>SUM(N119:N126)</f>
        <v>23858640</v>
      </c>
    </row>
    <row r="128" spans="1:16" ht="16.5" thickBot="1">
      <c r="A128" s="885" t="s">
        <v>103</v>
      </c>
      <c r="B128" s="886"/>
      <c r="C128" s="886"/>
      <c r="D128" s="886"/>
      <c r="E128" s="887"/>
      <c r="F128" s="184">
        <f>+F94</f>
        <v>612479841</v>
      </c>
      <c r="I128" s="885" t="s">
        <v>103</v>
      </c>
      <c r="J128" s="886"/>
      <c r="K128" s="886"/>
      <c r="L128" s="886"/>
      <c r="M128" s="887"/>
      <c r="N128" s="239">
        <f>+N94</f>
        <v>140487840</v>
      </c>
      <c r="O128" s="241" t="s">
        <v>561</v>
      </c>
      <c r="P128" s="242"/>
    </row>
    <row r="129" spans="1:16" ht="15" customHeight="1" thickBot="1">
      <c r="A129" s="888" t="s">
        <v>104</v>
      </c>
      <c r="B129" s="889"/>
      <c r="C129" s="889"/>
      <c r="D129" s="889"/>
      <c r="E129" s="890"/>
      <c r="F129" s="183">
        <f>SUM(F127:F128)</f>
        <v>613165841</v>
      </c>
      <c r="I129" s="888" t="s">
        <v>104</v>
      </c>
      <c r="J129" s="889"/>
      <c r="K129" s="889"/>
      <c r="L129" s="889"/>
      <c r="M129" s="890"/>
      <c r="N129" s="183">
        <f>SUM(N127:N128)</f>
        <v>164346480</v>
      </c>
    </row>
    <row r="130" spans="1:16" ht="12" customHeight="1">
      <c r="A130" s="61"/>
      <c r="B130" s="61"/>
      <c r="C130" s="61"/>
      <c r="D130" s="61"/>
      <c r="E130" s="61"/>
      <c r="I130" s="61"/>
      <c r="J130" s="61"/>
      <c r="K130" s="61"/>
      <c r="L130" s="61"/>
      <c r="M130" s="61"/>
    </row>
    <row r="131" spans="1:16" ht="15" customHeight="1">
      <c r="A131" s="51" t="s">
        <v>238</v>
      </c>
      <c r="I131" s="51" t="s">
        <v>1722</v>
      </c>
    </row>
    <row r="132" spans="1:16" ht="9.75" customHeight="1">
      <c r="F132" s="139"/>
      <c r="N132" s="139"/>
    </row>
    <row r="133" spans="1:16">
      <c r="A133" s="50" t="s">
        <v>105</v>
      </c>
      <c r="D133" s="146"/>
      <c r="I133" s="50" t="s">
        <v>105</v>
      </c>
      <c r="L133" s="146"/>
      <c r="N133" s="139"/>
    </row>
    <row r="134" spans="1:16" ht="12" customHeight="1" thickBot="1"/>
    <row r="135" spans="1:16" ht="17.25" thickBot="1">
      <c r="A135" s="891" t="s">
        <v>106</v>
      </c>
      <c r="B135" s="892"/>
      <c r="C135" s="892"/>
      <c r="D135" s="893"/>
      <c r="F135" s="50" t="s">
        <v>107</v>
      </c>
      <c r="I135" s="891" t="s">
        <v>106</v>
      </c>
      <c r="J135" s="892"/>
      <c r="K135" s="892"/>
      <c r="L135" s="893"/>
      <c r="N135" s="604" t="s">
        <v>288</v>
      </c>
      <c r="O135" s="604"/>
      <c r="P135" s="604"/>
    </row>
    <row r="136" spans="1:16" ht="31.5" thickBot="1">
      <c r="A136" s="57" t="s">
        <v>100</v>
      </c>
      <c r="B136" s="58" t="s">
        <v>108</v>
      </c>
      <c r="C136" s="59" t="s">
        <v>109</v>
      </c>
      <c r="D136" s="60" t="s">
        <v>110</v>
      </c>
      <c r="I136" s="57" t="s">
        <v>100</v>
      </c>
      <c r="J136" s="58" t="s">
        <v>108</v>
      </c>
      <c r="K136" s="59" t="s">
        <v>109</v>
      </c>
      <c r="L136" s="60" t="s">
        <v>110</v>
      </c>
      <c r="N136" s="12"/>
      <c r="O136" s="12"/>
      <c r="P136" s="12"/>
    </row>
    <row r="137" spans="1:16" ht="15" customHeight="1">
      <c r="A137" s="71">
        <v>719</v>
      </c>
      <c r="B137" s="73" t="e">
        <f>+H119+H121+H123+H125+#REF!</f>
        <v>#REF!</v>
      </c>
      <c r="C137" s="74" t="e">
        <f>+D102</f>
        <v>#REF!</v>
      </c>
      <c r="D137" s="76" t="e">
        <f>+B137+C137</f>
        <v>#REF!</v>
      </c>
      <c r="I137" s="71">
        <v>719</v>
      </c>
      <c r="J137" s="73"/>
      <c r="K137" s="74">
        <f>+L102</f>
        <v>1890000</v>
      </c>
      <c r="L137" s="195">
        <f>+J137+K137</f>
        <v>1890000</v>
      </c>
      <c r="N137" s="12"/>
      <c r="O137" s="12"/>
      <c r="P137" s="12"/>
    </row>
    <row r="138" spans="1:16" ht="12.75" customHeight="1">
      <c r="A138" s="72">
        <v>721</v>
      </c>
      <c r="B138" s="80" t="e">
        <f>+#REF!+H126+H124+H122+H120</f>
        <v>#REF!</v>
      </c>
      <c r="C138" s="74" t="e">
        <f>+D103</f>
        <v>#REF!</v>
      </c>
      <c r="D138" s="76" t="e">
        <f>+B138+C138</f>
        <v>#REF!</v>
      </c>
      <c r="I138" s="72">
        <v>721</v>
      </c>
      <c r="J138" s="80"/>
      <c r="K138" s="74">
        <f>+L103</f>
        <v>0</v>
      </c>
      <c r="L138" s="195">
        <f>+J138+K138</f>
        <v>0</v>
      </c>
      <c r="N138" s="12"/>
      <c r="O138" s="12"/>
      <c r="P138" s="12"/>
    </row>
    <row r="139" spans="1:16" ht="13.5" customHeight="1">
      <c r="A139" s="72">
        <v>722</v>
      </c>
      <c r="B139" s="80"/>
      <c r="C139" s="74">
        <f>+D104</f>
        <v>224787287</v>
      </c>
      <c r="D139" s="76">
        <f>+B139+C139</f>
        <v>224787287</v>
      </c>
      <c r="I139" s="72">
        <v>722</v>
      </c>
      <c r="J139" s="80"/>
      <c r="K139" s="74">
        <f>+L104</f>
        <v>0</v>
      </c>
      <c r="L139" s="195">
        <f>+J139+K139</f>
        <v>0</v>
      </c>
      <c r="N139" s="12"/>
      <c r="O139" s="12"/>
      <c r="P139" s="12"/>
    </row>
    <row r="140" spans="1:16" ht="13.5" customHeight="1">
      <c r="A140" s="72">
        <v>723</v>
      </c>
      <c r="B140" s="80"/>
      <c r="C140" s="74">
        <f>+D105</f>
        <v>319828837</v>
      </c>
      <c r="D140" s="76">
        <f>+B140+C140</f>
        <v>319828837</v>
      </c>
      <c r="F140" s="174" t="s">
        <v>23</v>
      </c>
      <c r="I140" s="72">
        <v>723</v>
      </c>
      <c r="J140" s="80">
        <f>+P120+P122+P124+P126</f>
        <v>23858640</v>
      </c>
      <c r="K140" s="74">
        <f>+L105</f>
        <v>138597840</v>
      </c>
      <c r="L140" s="195">
        <f>+J140+K140</f>
        <v>162456480</v>
      </c>
      <c r="N140" s="609" t="s">
        <v>1696</v>
      </c>
      <c r="O140" s="609"/>
      <c r="P140" s="609"/>
    </row>
    <row r="141" spans="1:16" ht="13.5" customHeight="1" thickBot="1">
      <c r="A141" s="164" t="s">
        <v>181</v>
      </c>
      <c r="B141" s="165"/>
      <c r="C141" s="74">
        <f>+D106</f>
        <v>1965625</v>
      </c>
      <c r="D141" s="168">
        <f>+B141+C141</f>
        <v>1965625</v>
      </c>
      <c r="F141" s="52"/>
      <c r="I141" s="164" t="s">
        <v>181</v>
      </c>
      <c r="J141" s="165"/>
      <c r="K141" s="74">
        <f>+L106</f>
        <v>0</v>
      </c>
      <c r="L141" s="196">
        <f>+J141+K141</f>
        <v>0</v>
      </c>
      <c r="N141" s="52"/>
    </row>
    <row r="142" spans="1:16" ht="15.75" customHeight="1" thickBot="1">
      <c r="A142" s="169"/>
      <c r="B142" s="170" t="e">
        <f>SUM(B137:B141)</f>
        <v>#REF!</v>
      </c>
      <c r="C142" s="171" t="e">
        <f>SUM(C137:C141)</f>
        <v>#REF!</v>
      </c>
      <c r="D142" s="172" t="e">
        <f>SUM(D137:D141)</f>
        <v>#REF!</v>
      </c>
      <c r="I142" s="169"/>
      <c r="J142" s="197">
        <f>SUM(J137:J141)</f>
        <v>23858640</v>
      </c>
      <c r="K142" s="197">
        <f>SUM(K137:K141)</f>
        <v>140487840</v>
      </c>
      <c r="L142" s="198">
        <f>SUM(L137:L141)</f>
        <v>164346480</v>
      </c>
    </row>
    <row r="143" spans="1:16" ht="16.5">
      <c r="A143" s="49" t="s">
        <v>88</v>
      </c>
      <c r="B143" s="50"/>
      <c r="I143" s="49" t="s">
        <v>88</v>
      </c>
      <c r="J143" s="50"/>
    </row>
    <row r="144" spans="1:16" ht="14.25" customHeight="1">
      <c r="A144" s="51" t="s">
        <v>89</v>
      </c>
      <c r="I144" s="51" t="s">
        <v>89</v>
      </c>
    </row>
    <row r="145" spans="1:16">
      <c r="A145" s="51" t="s">
        <v>90</v>
      </c>
      <c r="I145" s="51" t="s">
        <v>90</v>
      </c>
    </row>
    <row r="146" spans="1:16">
      <c r="A146" s="51" t="s">
        <v>91</v>
      </c>
      <c r="I146" s="51" t="s">
        <v>91</v>
      </c>
    </row>
    <row r="147" spans="1:16" ht="4.5" customHeight="1">
      <c r="A147" s="50"/>
      <c r="B147" s="50"/>
      <c r="I147" s="50"/>
      <c r="J147" s="50"/>
    </row>
    <row r="148" spans="1:16" ht="15.75" customHeight="1">
      <c r="A148" s="52" t="s">
        <v>237</v>
      </c>
      <c r="B148" s="50"/>
      <c r="G148" s="52"/>
      <c r="I148" s="52" t="s">
        <v>564</v>
      </c>
      <c r="O148" s="52"/>
    </row>
    <row r="149" spans="1:16" ht="15" customHeight="1">
      <c r="A149" s="53" t="s">
        <v>92</v>
      </c>
      <c r="G149" s="53"/>
      <c r="I149" s="53" t="s">
        <v>1702</v>
      </c>
      <c r="O149" s="53"/>
    </row>
    <row r="150" spans="1:16" ht="15.75" customHeight="1">
      <c r="A150" s="894" t="s">
        <v>228</v>
      </c>
      <c r="B150" s="894"/>
      <c r="C150" s="894"/>
      <c r="D150" s="894"/>
      <c r="E150" s="894"/>
      <c r="F150" s="894"/>
      <c r="G150" s="894"/>
      <c r="H150" s="894"/>
      <c r="I150" s="894" t="s">
        <v>212</v>
      </c>
      <c r="J150" s="894"/>
      <c r="K150" s="894"/>
      <c r="L150" s="894"/>
      <c r="M150" s="894"/>
      <c r="N150" s="894"/>
      <c r="O150" s="894"/>
      <c r="P150" s="894"/>
    </row>
    <row r="151" spans="1:16" ht="15" customHeight="1" thickBot="1"/>
    <row r="152" spans="1:16" ht="15.75" customHeight="1">
      <c r="A152" s="895" t="s">
        <v>94</v>
      </c>
      <c r="B152" s="897" t="s">
        <v>95</v>
      </c>
      <c r="C152" s="897" t="s">
        <v>96</v>
      </c>
      <c r="D152" s="897" t="s">
        <v>3</v>
      </c>
      <c r="E152" s="897" t="s">
        <v>97</v>
      </c>
      <c r="F152" s="897" t="s">
        <v>98</v>
      </c>
      <c r="G152" s="897" t="s">
        <v>99</v>
      </c>
      <c r="H152" s="899"/>
      <c r="I152" s="895" t="s">
        <v>94</v>
      </c>
      <c r="J152" s="897" t="s">
        <v>95</v>
      </c>
      <c r="K152" s="897" t="s">
        <v>96</v>
      </c>
      <c r="L152" s="897" t="s">
        <v>3</v>
      </c>
      <c r="M152" s="897" t="s">
        <v>97</v>
      </c>
      <c r="N152" s="897" t="s">
        <v>98</v>
      </c>
      <c r="O152" s="897" t="s">
        <v>99</v>
      </c>
      <c r="P152" s="899"/>
    </row>
    <row r="153" spans="1:16" ht="15" customHeight="1" thickBot="1">
      <c r="A153" s="896"/>
      <c r="B153" s="898"/>
      <c r="C153" s="898"/>
      <c r="D153" s="898"/>
      <c r="E153" s="898"/>
      <c r="F153" s="898"/>
      <c r="G153" s="240" t="s">
        <v>100</v>
      </c>
      <c r="H153" s="182" t="s">
        <v>101</v>
      </c>
      <c r="I153" s="896"/>
      <c r="J153" s="898"/>
      <c r="K153" s="898"/>
      <c r="L153" s="898"/>
      <c r="M153" s="898"/>
      <c r="N153" s="898"/>
      <c r="O153" s="240" t="s">
        <v>100</v>
      </c>
      <c r="P153" s="182" t="s">
        <v>101</v>
      </c>
    </row>
    <row r="154" spans="1:16" ht="12" customHeight="1">
      <c r="A154" s="881" t="e">
        <f>+#REF!+1</f>
        <v>#REF!</v>
      </c>
      <c r="B154" s="875">
        <v>42242</v>
      </c>
      <c r="C154" s="942" t="s">
        <v>230</v>
      </c>
      <c r="D154" s="881" t="s">
        <v>242</v>
      </c>
      <c r="E154" s="881" t="s">
        <v>148</v>
      </c>
      <c r="F154" s="883">
        <v>182000</v>
      </c>
      <c r="G154" s="55">
        <v>719</v>
      </c>
      <c r="H154" s="78">
        <v>130000</v>
      </c>
      <c r="I154" s="873" t="s">
        <v>1347</v>
      </c>
      <c r="J154" s="875">
        <v>43531</v>
      </c>
      <c r="K154" s="877" t="s">
        <v>806</v>
      </c>
      <c r="L154" s="881" t="s">
        <v>1726</v>
      </c>
      <c r="M154" s="881" t="s">
        <v>165</v>
      </c>
      <c r="N154" s="883">
        <v>1600000</v>
      </c>
      <c r="O154" s="55">
        <v>719</v>
      </c>
      <c r="P154" s="78"/>
    </row>
    <row r="155" spans="1:16" ht="15" customHeight="1" thickBot="1">
      <c r="A155" s="882"/>
      <c r="B155" s="934"/>
      <c r="C155" s="943"/>
      <c r="D155" s="882"/>
      <c r="E155" s="882"/>
      <c r="F155" s="884"/>
      <c r="G155" s="56">
        <v>721</v>
      </c>
      <c r="H155" s="79">
        <f>+F154-H154</f>
        <v>52000</v>
      </c>
      <c r="I155" s="882"/>
      <c r="J155" s="876"/>
      <c r="K155" s="878"/>
      <c r="L155" s="882"/>
      <c r="M155" s="882"/>
      <c r="N155" s="884"/>
      <c r="O155" s="56">
        <v>723</v>
      </c>
      <c r="P155" s="79">
        <f>+N154</f>
        <v>1600000</v>
      </c>
    </row>
    <row r="156" spans="1:16" ht="13.5" customHeight="1">
      <c r="A156" s="251"/>
      <c r="B156" s="452"/>
      <c r="C156" s="465"/>
      <c r="D156" s="251"/>
      <c r="E156" s="251"/>
      <c r="F156" s="254"/>
      <c r="G156" s="255"/>
      <c r="H156" s="256"/>
      <c r="I156" s="873" t="s">
        <v>1348</v>
      </c>
      <c r="J156" s="875">
        <v>43531</v>
      </c>
      <c r="K156" s="877" t="s">
        <v>799</v>
      </c>
      <c r="L156" s="881" t="s">
        <v>1726</v>
      </c>
      <c r="M156" s="881" t="s">
        <v>165</v>
      </c>
      <c r="N156" s="883">
        <v>975000</v>
      </c>
      <c r="O156" s="55">
        <v>719</v>
      </c>
      <c r="P156" s="78"/>
    </row>
    <row r="157" spans="1:16" ht="15" customHeight="1" thickBot="1">
      <c r="A157" s="251"/>
      <c r="B157" s="452"/>
      <c r="C157" s="465"/>
      <c r="D157" s="251"/>
      <c r="E157" s="251"/>
      <c r="F157" s="254"/>
      <c r="G157" s="255"/>
      <c r="H157" s="256"/>
      <c r="I157" s="882"/>
      <c r="J157" s="876"/>
      <c r="K157" s="878"/>
      <c r="L157" s="882"/>
      <c r="M157" s="882"/>
      <c r="N157" s="884"/>
      <c r="O157" s="56">
        <v>723</v>
      </c>
      <c r="P157" s="79">
        <f>+N156</f>
        <v>975000</v>
      </c>
    </row>
    <row r="158" spans="1:16" ht="14.25" customHeight="1">
      <c r="A158" s="881" t="e">
        <f>+A154+1</f>
        <v>#REF!</v>
      </c>
      <c r="B158" s="875">
        <v>42242</v>
      </c>
      <c r="C158" s="935" t="s">
        <v>28</v>
      </c>
      <c r="D158" s="881" t="s">
        <v>240</v>
      </c>
      <c r="E158" s="881" t="s">
        <v>148</v>
      </c>
      <c r="F158" s="883">
        <v>364000</v>
      </c>
      <c r="G158" s="55">
        <v>719</v>
      </c>
      <c r="H158" s="78">
        <v>260000</v>
      </c>
      <c r="I158" s="873" t="s">
        <v>1725</v>
      </c>
      <c r="J158" s="875">
        <v>43531</v>
      </c>
      <c r="K158" s="881" t="s">
        <v>1636</v>
      </c>
      <c r="L158" s="881" t="s">
        <v>1726</v>
      </c>
      <c r="M158" s="881" t="s">
        <v>215</v>
      </c>
      <c r="N158" s="883">
        <v>1440000</v>
      </c>
      <c r="O158" s="55">
        <v>719</v>
      </c>
      <c r="P158" s="78"/>
    </row>
    <row r="159" spans="1:16" ht="13.5" customHeight="1" thickBot="1">
      <c r="A159" s="882"/>
      <c r="B159" s="934"/>
      <c r="C159" s="936"/>
      <c r="D159" s="882"/>
      <c r="E159" s="882"/>
      <c r="F159" s="884"/>
      <c r="G159" s="56">
        <v>721</v>
      </c>
      <c r="H159" s="79">
        <f>+F158-H158</f>
        <v>104000</v>
      </c>
      <c r="I159" s="882"/>
      <c r="J159" s="876"/>
      <c r="K159" s="882"/>
      <c r="L159" s="882"/>
      <c r="M159" s="882"/>
      <c r="N159" s="884"/>
      <c r="O159" s="56">
        <v>723</v>
      </c>
      <c r="P159" s="79">
        <f>+N158</f>
        <v>1440000</v>
      </c>
    </row>
    <row r="160" spans="1:16" ht="12" customHeight="1">
      <c r="A160" s="881" t="e">
        <f>+A158+1</f>
        <v>#REF!</v>
      </c>
      <c r="B160" s="875">
        <v>42242</v>
      </c>
      <c r="C160" s="942" t="s">
        <v>32</v>
      </c>
      <c r="D160" s="881" t="s">
        <v>241</v>
      </c>
      <c r="E160" s="881" t="s">
        <v>148</v>
      </c>
      <c r="F160" s="883">
        <v>84000</v>
      </c>
      <c r="G160" s="55">
        <v>719</v>
      </c>
      <c r="H160" s="78">
        <v>60000</v>
      </c>
      <c r="I160" s="873" t="s">
        <v>574</v>
      </c>
      <c r="J160" s="875">
        <v>43531</v>
      </c>
      <c r="K160" s="905" t="s">
        <v>1727</v>
      </c>
      <c r="L160" s="881" t="s">
        <v>1726</v>
      </c>
      <c r="M160" s="881" t="s">
        <v>214</v>
      </c>
      <c r="N160" s="883">
        <v>787500</v>
      </c>
      <c r="O160" s="55">
        <v>719</v>
      </c>
      <c r="P160" s="78"/>
    </row>
    <row r="161" spans="1:16" ht="12.75" customHeight="1" thickBot="1">
      <c r="A161" s="882"/>
      <c r="B161" s="934"/>
      <c r="C161" s="943"/>
      <c r="D161" s="882"/>
      <c r="E161" s="882"/>
      <c r="F161" s="884"/>
      <c r="G161" s="56">
        <v>721</v>
      </c>
      <c r="H161" s="79">
        <f>+F160-H160</f>
        <v>24000</v>
      </c>
      <c r="I161" s="882"/>
      <c r="J161" s="876"/>
      <c r="K161" s="906"/>
      <c r="L161" s="882"/>
      <c r="M161" s="882"/>
      <c r="N161" s="884"/>
      <c r="O161" s="56">
        <v>723</v>
      </c>
      <c r="P161" s="79">
        <f>+N160</f>
        <v>787500</v>
      </c>
    </row>
    <row r="162" spans="1:16" ht="17.25" customHeight="1" thickBot="1">
      <c r="A162" s="901" t="s">
        <v>102</v>
      </c>
      <c r="B162" s="902"/>
      <c r="C162" s="902"/>
      <c r="D162" s="902"/>
      <c r="E162" s="903"/>
      <c r="F162" s="81">
        <f>SUM(F154:F161)</f>
        <v>630000</v>
      </c>
      <c r="I162" s="901" t="s">
        <v>102</v>
      </c>
      <c r="J162" s="902"/>
      <c r="K162" s="902"/>
      <c r="L162" s="902"/>
      <c r="M162" s="903"/>
      <c r="N162" s="81">
        <f>SUM(N154:N161)</f>
        <v>4802500</v>
      </c>
    </row>
    <row r="163" spans="1:16" ht="16.5" thickBot="1">
      <c r="A163" s="885" t="s">
        <v>103</v>
      </c>
      <c r="B163" s="886"/>
      <c r="C163" s="886"/>
      <c r="D163" s="886"/>
      <c r="E163" s="887"/>
      <c r="F163" s="69">
        <f>+F129</f>
        <v>613165841</v>
      </c>
      <c r="I163" s="885" t="s">
        <v>103</v>
      </c>
      <c r="J163" s="886"/>
      <c r="K163" s="886"/>
      <c r="L163" s="886"/>
      <c r="M163" s="887"/>
      <c r="N163" s="239">
        <f>+N129</f>
        <v>164346480</v>
      </c>
      <c r="O163" s="241" t="s">
        <v>561</v>
      </c>
      <c r="P163" s="242"/>
    </row>
    <row r="164" spans="1:16" ht="15.75" customHeight="1" thickBot="1">
      <c r="A164" s="888" t="s">
        <v>104</v>
      </c>
      <c r="B164" s="889"/>
      <c r="C164" s="889"/>
      <c r="D164" s="889"/>
      <c r="E164" s="890"/>
      <c r="F164" s="70">
        <f>SUM(F162:F163)</f>
        <v>613795841</v>
      </c>
      <c r="I164" s="888" t="s">
        <v>104</v>
      </c>
      <c r="J164" s="889"/>
      <c r="K164" s="889"/>
      <c r="L164" s="889"/>
      <c r="M164" s="890"/>
      <c r="N164" s="183">
        <f>SUM(N162:N163)</f>
        <v>169148980</v>
      </c>
    </row>
    <row r="165" spans="1:16" ht="12.75" customHeight="1">
      <c r="A165" s="61"/>
      <c r="B165" s="61"/>
      <c r="C165" s="61"/>
      <c r="D165" s="61"/>
      <c r="E165" s="61"/>
      <c r="I165" s="61"/>
      <c r="J165" s="61"/>
      <c r="K165" s="61"/>
      <c r="L165" s="61"/>
      <c r="M165" s="61"/>
    </row>
    <row r="166" spans="1:16" ht="13.5" customHeight="1">
      <c r="A166" s="51" t="s">
        <v>243</v>
      </c>
      <c r="I166" s="51" t="s">
        <v>1783</v>
      </c>
    </row>
    <row r="167" spans="1:16" ht="9" customHeight="1">
      <c r="F167" s="139"/>
      <c r="N167" s="139"/>
    </row>
    <row r="168" spans="1:16" ht="18" customHeight="1">
      <c r="A168" s="50" t="s">
        <v>105</v>
      </c>
      <c r="D168" s="146"/>
      <c r="I168" s="453" t="s">
        <v>105</v>
      </c>
      <c r="L168" s="146"/>
      <c r="N168" s="139"/>
    </row>
    <row r="169" spans="1:16" ht="12" customHeight="1" thickBot="1"/>
    <row r="170" spans="1:16" ht="17.25" thickBot="1">
      <c r="A170" s="891" t="s">
        <v>106</v>
      </c>
      <c r="B170" s="892"/>
      <c r="C170" s="892"/>
      <c r="D170" s="893"/>
      <c r="F170" s="50" t="s">
        <v>107</v>
      </c>
      <c r="I170" s="891" t="s">
        <v>106</v>
      </c>
      <c r="J170" s="892"/>
      <c r="K170" s="892"/>
      <c r="L170" s="893"/>
      <c r="N170" s="604" t="s">
        <v>288</v>
      </c>
      <c r="O170" s="604"/>
      <c r="P170" s="604"/>
    </row>
    <row r="171" spans="1:16" ht="31.5" thickBot="1">
      <c r="A171" s="57" t="s">
        <v>100</v>
      </c>
      <c r="B171" s="58" t="s">
        <v>108</v>
      </c>
      <c r="C171" s="59" t="s">
        <v>109</v>
      </c>
      <c r="D171" s="60" t="s">
        <v>110</v>
      </c>
      <c r="I171" s="57" t="s">
        <v>100</v>
      </c>
      <c r="J171" s="58" t="s">
        <v>108</v>
      </c>
      <c r="K171" s="59" t="s">
        <v>109</v>
      </c>
      <c r="L171" s="60" t="s">
        <v>110</v>
      </c>
      <c r="N171" s="12"/>
      <c r="O171" s="12"/>
      <c r="P171" s="12"/>
    </row>
    <row r="172" spans="1:16" ht="12.75" customHeight="1">
      <c r="A172" s="71">
        <v>719</v>
      </c>
      <c r="B172" s="73" t="e">
        <f>+H154+H158+H160+#REF!+#REF!</f>
        <v>#REF!</v>
      </c>
      <c r="C172" s="74" t="e">
        <f>+D137</f>
        <v>#REF!</v>
      </c>
      <c r="D172" s="76" t="e">
        <f>+B172+C172</f>
        <v>#REF!</v>
      </c>
      <c r="I172" s="71">
        <v>719</v>
      </c>
      <c r="J172" s="73"/>
      <c r="K172" s="74">
        <f>+L137</f>
        <v>1890000</v>
      </c>
      <c r="L172" s="195">
        <f>+J172+K172</f>
        <v>1890000</v>
      </c>
      <c r="N172" s="12"/>
      <c r="O172" s="12"/>
      <c r="P172" s="12"/>
    </row>
    <row r="173" spans="1:16" ht="12" customHeight="1">
      <c r="A173" s="72">
        <v>721</v>
      </c>
      <c r="B173" s="80" t="e">
        <f>+#REF!+#REF!+H161+H159+H155</f>
        <v>#REF!</v>
      </c>
      <c r="C173" s="74" t="e">
        <f>+D138</f>
        <v>#REF!</v>
      </c>
      <c r="D173" s="76" t="e">
        <f>+B173+C173</f>
        <v>#REF!</v>
      </c>
      <c r="I173" s="72">
        <v>721</v>
      </c>
      <c r="J173" s="80">
        <v>0</v>
      </c>
      <c r="K173" s="74">
        <f>+L138</f>
        <v>0</v>
      </c>
      <c r="L173" s="195">
        <f>+J173+K173</f>
        <v>0</v>
      </c>
      <c r="N173" s="12"/>
      <c r="O173" s="12"/>
      <c r="P173" s="12"/>
    </row>
    <row r="174" spans="1:16" ht="14.25" customHeight="1">
      <c r="A174" s="72">
        <v>722</v>
      </c>
      <c r="B174" s="80"/>
      <c r="C174" s="74">
        <f>+D139</f>
        <v>224787287</v>
      </c>
      <c r="D174" s="76">
        <f>+B174+C174</f>
        <v>224787287</v>
      </c>
      <c r="I174" s="72">
        <v>722</v>
      </c>
      <c r="J174" s="80"/>
      <c r="K174" s="74">
        <f>+L139</f>
        <v>0</v>
      </c>
      <c r="L174" s="195">
        <f>+J174+K174</f>
        <v>0</v>
      </c>
      <c r="N174" s="609" t="s">
        <v>1696</v>
      </c>
      <c r="O174" s="609"/>
      <c r="P174" s="609"/>
    </row>
    <row r="175" spans="1:16" ht="14.25" customHeight="1">
      <c r="A175" s="72">
        <v>723</v>
      </c>
      <c r="B175" s="80"/>
      <c r="C175" s="74">
        <f>+D140</f>
        <v>319828837</v>
      </c>
      <c r="D175" s="76">
        <f>+B175+C175</f>
        <v>319828837</v>
      </c>
      <c r="F175" s="174" t="s">
        <v>23</v>
      </c>
      <c r="I175" s="72">
        <v>723</v>
      </c>
      <c r="J175" s="80">
        <f>+P155+P159+P161+P157</f>
        <v>4802500</v>
      </c>
      <c r="K175" s="74">
        <f>+L140</f>
        <v>162456480</v>
      </c>
      <c r="L175" s="195">
        <f>+J175+K175</f>
        <v>167258980</v>
      </c>
      <c r="N175" s="193"/>
      <c r="O175" s="175"/>
    </row>
    <row r="176" spans="1:16" ht="12.75" customHeight="1" thickBot="1">
      <c r="A176" s="164" t="s">
        <v>181</v>
      </c>
      <c r="B176" s="165"/>
      <c r="C176" s="74">
        <f>+D141</f>
        <v>1965625</v>
      </c>
      <c r="D176" s="168">
        <f>+B176+C176</f>
        <v>1965625</v>
      </c>
      <c r="F176" s="52"/>
      <c r="I176" s="164" t="s">
        <v>181</v>
      </c>
      <c r="J176" s="165"/>
      <c r="K176" s="74">
        <f>+L141</f>
        <v>0</v>
      </c>
      <c r="L176" s="196">
        <f>+J176+K176</f>
        <v>0</v>
      </c>
      <c r="N176" s="52"/>
    </row>
    <row r="177" spans="1:16" ht="16.5" thickBot="1">
      <c r="A177" s="169"/>
      <c r="B177" s="170" t="e">
        <f>SUM(B172:B176)</f>
        <v>#REF!</v>
      </c>
      <c r="C177" s="171" t="e">
        <f>SUM(C172:C176)</f>
        <v>#REF!</v>
      </c>
      <c r="D177" s="172" t="e">
        <f>SUM(D172:D176)</f>
        <v>#REF!</v>
      </c>
      <c r="I177" s="169"/>
      <c r="J177" s="197">
        <f>SUM(J172:J176)</f>
        <v>4802500</v>
      </c>
      <c r="K177" s="197">
        <f>SUM(K172:K176)</f>
        <v>164346480</v>
      </c>
      <c r="L177" s="198">
        <f>SUM(L172:L176)</f>
        <v>169148980</v>
      </c>
    </row>
    <row r="178" spans="1:16" ht="16.5">
      <c r="A178" s="49" t="s">
        <v>88</v>
      </c>
      <c r="B178" s="50"/>
      <c r="I178" s="49" t="s">
        <v>88</v>
      </c>
      <c r="J178" s="50"/>
    </row>
    <row r="179" spans="1:16" ht="11.25" customHeight="1">
      <c r="A179" s="51" t="s">
        <v>89</v>
      </c>
      <c r="I179" s="51" t="s">
        <v>89</v>
      </c>
    </row>
    <row r="180" spans="1:16" ht="12.75" customHeight="1">
      <c r="A180" s="51" t="s">
        <v>90</v>
      </c>
      <c r="I180" s="51" t="s">
        <v>90</v>
      </c>
    </row>
    <row r="181" spans="1:16" ht="12.75" customHeight="1">
      <c r="A181" s="51" t="s">
        <v>91</v>
      </c>
      <c r="I181" s="51" t="s">
        <v>91</v>
      </c>
    </row>
    <row r="182" spans="1:16" ht="3.75" customHeight="1">
      <c r="A182" s="50"/>
      <c r="B182" s="50"/>
      <c r="I182" s="50"/>
      <c r="J182" s="50"/>
    </row>
    <row r="183" spans="1:16" ht="16.5">
      <c r="A183" s="52" t="s">
        <v>245</v>
      </c>
      <c r="G183" s="52"/>
      <c r="I183" s="52" t="s">
        <v>571</v>
      </c>
      <c r="O183" s="52"/>
    </row>
    <row r="184" spans="1:16" ht="15.75">
      <c r="A184" s="53" t="s">
        <v>92</v>
      </c>
      <c r="G184" s="53"/>
      <c r="I184" s="53" t="s">
        <v>1702</v>
      </c>
      <c r="O184" s="53"/>
    </row>
    <row r="185" spans="1:16" ht="14.25" customHeight="1">
      <c r="A185" s="894" t="s">
        <v>255</v>
      </c>
      <c r="B185" s="894"/>
      <c r="C185" s="894"/>
      <c r="D185" s="894"/>
      <c r="E185" s="894"/>
      <c r="F185" s="894"/>
      <c r="G185" s="894"/>
      <c r="H185" s="894"/>
      <c r="I185" s="894" t="s">
        <v>212</v>
      </c>
      <c r="J185" s="894"/>
      <c r="K185" s="894"/>
      <c r="L185" s="894"/>
      <c r="M185" s="894"/>
      <c r="N185" s="894"/>
      <c r="O185" s="894"/>
      <c r="P185" s="894"/>
    </row>
    <row r="186" spans="1:16" ht="12" customHeight="1" thickBot="1"/>
    <row r="187" spans="1:16">
      <c r="A187" s="895" t="s">
        <v>94</v>
      </c>
      <c r="B187" s="897" t="s">
        <v>95</v>
      </c>
      <c r="C187" s="897" t="s">
        <v>96</v>
      </c>
      <c r="D187" s="897" t="s">
        <v>3</v>
      </c>
      <c r="E187" s="897" t="s">
        <v>97</v>
      </c>
      <c r="F187" s="897" t="s">
        <v>98</v>
      </c>
      <c r="G187" s="897" t="s">
        <v>99</v>
      </c>
      <c r="H187" s="899"/>
      <c r="I187" s="895" t="s">
        <v>94</v>
      </c>
      <c r="J187" s="897" t="s">
        <v>95</v>
      </c>
      <c r="K187" s="897" t="s">
        <v>96</v>
      </c>
      <c r="L187" s="897" t="s">
        <v>3</v>
      </c>
      <c r="M187" s="897" t="s">
        <v>97</v>
      </c>
      <c r="N187" s="897" t="s">
        <v>98</v>
      </c>
      <c r="O187" s="897" t="s">
        <v>99</v>
      </c>
      <c r="P187" s="899"/>
    </row>
    <row r="188" spans="1:16" ht="15.75" thickBot="1">
      <c r="A188" s="896"/>
      <c r="B188" s="898"/>
      <c r="C188" s="898"/>
      <c r="D188" s="898"/>
      <c r="E188" s="898"/>
      <c r="F188" s="898"/>
      <c r="G188" s="240" t="s">
        <v>100</v>
      </c>
      <c r="H188" s="182" t="s">
        <v>101</v>
      </c>
      <c r="I188" s="896"/>
      <c r="J188" s="898"/>
      <c r="K188" s="898"/>
      <c r="L188" s="898"/>
      <c r="M188" s="898"/>
      <c r="N188" s="898"/>
      <c r="O188" s="240" t="s">
        <v>100</v>
      </c>
      <c r="P188" s="182" t="s">
        <v>101</v>
      </c>
    </row>
    <row r="189" spans="1:16" ht="12.75" customHeight="1">
      <c r="A189" s="881" t="e">
        <f>+#REF!+1</f>
        <v>#REF!</v>
      </c>
      <c r="B189" s="875">
        <v>42243</v>
      </c>
      <c r="C189" s="942" t="s">
        <v>31</v>
      </c>
      <c r="D189" s="881" t="s">
        <v>246</v>
      </c>
      <c r="E189" s="881" t="s">
        <v>115</v>
      </c>
      <c r="F189" s="883">
        <v>120000</v>
      </c>
      <c r="G189" s="55">
        <v>719</v>
      </c>
      <c r="H189" s="78">
        <v>120000</v>
      </c>
      <c r="I189" s="873" t="s">
        <v>575</v>
      </c>
      <c r="J189" s="875">
        <v>43531</v>
      </c>
      <c r="K189" s="905" t="s">
        <v>672</v>
      </c>
      <c r="L189" s="881" t="s">
        <v>1726</v>
      </c>
      <c r="M189" s="881" t="s">
        <v>148</v>
      </c>
      <c r="N189" s="883">
        <v>21521960</v>
      </c>
      <c r="O189" s="55">
        <v>719</v>
      </c>
      <c r="P189" s="78"/>
    </row>
    <row r="190" spans="1:16" ht="12.75" customHeight="1" thickBot="1">
      <c r="A190" s="882"/>
      <c r="B190" s="934"/>
      <c r="C190" s="943"/>
      <c r="D190" s="882"/>
      <c r="E190" s="882"/>
      <c r="F190" s="884"/>
      <c r="G190" s="56">
        <v>721</v>
      </c>
      <c r="H190" s="79">
        <f>+F189-H189</f>
        <v>0</v>
      </c>
      <c r="I190" s="874"/>
      <c r="J190" s="876"/>
      <c r="K190" s="906"/>
      <c r="L190" s="882"/>
      <c r="M190" s="882"/>
      <c r="N190" s="884"/>
      <c r="O190" s="56">
        <v>723</v>
      </c>
      <c r="P190" s="79">
        <f>+N189</f>
        <v>21521960</v>
      </c>
    </row>
    <row r="191" spans="1:16" ht="12.75" customHeight="1">
      <c r="A191" s="881" t="e">
        <f>+A189+1</f>
        <v>#REF!</v>
      </c>
      <c r="B191" s="875">
        <v>42243</v>
      </c>
      <c r="C191" s="935" t="s">
        <v>28</v>
      </c>
      <c r="D191" s="881" t="s">
        <v>247</v>
      </c>
      <c r="E191" s="881" t="s">
        <v>115</v>
      </c>
      <c r="F191" s="883">
        <v>50000</v>
      </c>
      <c r="G191" s="55">
        <v>719</v>
      </c>
      <c r="H191" s="78">
        <v>50000</v>
      </c>
      <c r="I191" s="873" t="s">
        <v>576</v>
      </c>
      <c r="J191" s="875">
        <v>43531</v>
      </c>
      <c r="K191" s="877" t="s">
        <v>1728</v>
      </c>
      <c r="L191" s="881" t="s">
        <v>1726</v>
      </c>
      <c r="M191" s="881" t="s">
        <v>148</v>
      </c>
      <c r="N191" s="883">
        <v>6615000</v>
      </c>
      <c r="O191" s="55">
        <v>719</v>
      </c>
      <c r="P191" s="78"/>
    </row>
    <row r="192" spans="1:16" ht="12.75" customHeight="1" thickBot="1">
      <c r="A192" s="882"/>
      <c r="B192" s="934"/>
      <c r="C192" s="936"/>
      <c r="D192" s="882"/>
      <c r="E192" s="882"/>
      <c r="F192" s="884"/>
      <c r="G192" s="56">
        <v>721</v>
      </c>
      <c r="H192" s="79"/>
      <c r="I192" s="874"/>
      <c r="J192" s="876"/>
      <c r="K192" s="878"/>
      <c r="L192" s="882"/>
      <c r="M192" s="882"/>
      <c r="N192" s="884"/>
      <c r="O192" s="56">
        <v>723</v>
      </c>
      <c r="P192" s="79">
        <f>+N191</f>
        <v>6615000</v>
      </c>
    </row>
    <row r="193" spans="1:16" ht="12" customHeight="1">
      <c r="A193" s="881" t="e">
        <f>+A191+1</f>
        <v>#REF!</v>
      </c>
      <c r="B193" s="875">
        <v>42243</v>
      </c>
      <c r="C193" s="877" t="s">
        <v>250</v>
      </c>
      <c r="D193" s="877" t="s">
        <v>248</v>
      </c>
      <c r="E193" s="881" t="s">
        <v>145</v>
      </c>
      <c r="F193" s="883">
        <v>4280256</v>
      </c>
      <c r="G193" s="55">
        <v>719</v>
      </c>
      <c r="H193" s="78"/>
      <c r="I193" s="873" t="s">
        <v>577</v>
      </c>
      <c r="J193" s="875">
        <v>43531</v>
      </c>
      <c r="K193" s="877" t="s">
        <v>1729</v>
      </c>
      <c r="L193" s="881" t="s">
        <v>1726</v>
      </c>
      <c r="M193" s="881" t="s">
        <v>148</v>
      </c>
      <c r="N193" s="883">
        <v>630000</v>
      </c>
      <c r="O193" s="55">
        <v>719</v>
      </c>
      <c r="P193" s="78"/>
    </row>
    <row r="194" spans="1:16" ht="15" customHeight="1" thickBot="1">
      <c r="A194" s="882"/>
      <c r="B194" s="934"/>
      <c r="C194" s="878"/>
      <c r="D194" s="878"/>
      <c r="E194" s="882"/>
      <c r="F194" s="884"/>
      <c r="G194" s="56">
        <v>722</v>
      </c>
      <c r="H194" s="79">
        <f>+F193-H193</f>
        <v>4280256</v>
      </c>
      <c r="I194" s="874"/>
      <c r="J194" s="876"/>
      <c r="K194" s="878"/>
      <c r="L194" s="882"/>
      <c r="M194" s="882"/>
      <c r="N194" s="884"/>
      <c r="O194" s="56">
        <v>723</v>
      </c>
      <c r="P194" s="79">
        <f>+N193</f>
        <v>630000</v>
      </c>
    </row>
    <row r="195" spans="1:16" ht="12" customHeight="1">
      <c r="A195" s="881" t="e">
        <f>+A193+1</f>
        <v>#REF!</v>
      </c>
      <c r="B195" s="875">
        <v>42243</v>
      </c>
      <c r="C195" s="877" t="s">
        <v>249</v>
      </c>
      <c r="D195" s="877" t="s">
        <v>248</v>
      </c>
      <c r="E195" s="881" t="s">
        <v>145</v>
      </c>
      <c r="F195" s="883">
        <v>2140128</v>
      </c>
      <c r="G195" s="55">
        <v>719</v>
      </c>
      <c r="H195" s="78"/>
      <c r="I195" s="873" t="s">
        <v>578</v>
      </c>
      <c r="J195" s="875">
        <v>43531</v>
      </c>
      <c r="K195" s="877" t="s">
        <v>678</v>
      </c>
      <c r="L195" s="881" t="s">
        <v>1726</v>
      </c>
      <c r="M195" s="881" t="s">
        <v>148</v>
      </c>
      <c r="N195" s="883">
        <v>1260000</v>
      </c>
      <c r="O195" s="55">
        <v>719</v>
      </c>
      <c r="P195" s="78"/>
    </row>
    <row r="196" spans="1:16" ht="15" customHeight="1" thickBot="1">
      <c r="A196" s="882"/>
      <c r="B196" s="934"/>
      <c r="C196" s="878"/>
      <c r="D196" s="878"/>
      <c r="E196" s="882"/>
      <c r="F196" s="884"/>
      <c r="G196" s="56">
        <v>722</v>
      </c>
      <c r="H196" s="79">
        <f>+F195-H195</f>
        <v>2140128</v>
      </c>
      <c r="I196" s="874"/>
      <c r="J196" s="876"/>
      <c r="K196" s="878"/>
      <c r="L196" s="882"/>
      <c r="M196" s="882"/>
      <c r="N196" s="884"/>
      <c r="O196" s="56">
        <v>723</v>
      </c>
      <c r="P196" s="79">
        <f>+N195</f>
        <v>1260000</v>
      </c>
    </row>
    <row r="197" spans="1:16" ht="13.5" customHeight="1">
      <c r="A197" s="881"/>
      <c r="B197" s="875"/>
      <c r="C197" s="935"/>
      <c r="D197" s="877"/>
      <c r="E197" s="881"/>
      <c r="F197" s="883"/>
      <c r="G197" s="55">
        <v>719</v>
      </c>
      <c r="H197" s="78"/>
      <c r="I197" s="873" t="s">
        <v>579</v>
      </c>
      <c r="J197" s="875">
        <v>43531</v>
      </c>
      <c r="K197" s="877" t="s">
        <v>1677</v>
      </c>
      <c r="L197" s="881" t="s">
        <v>1726</v>
      </c>
      <c r="M197" s="881" t="s">
        <v>148</v>
      </c>
      <c r="N197" s="883">
        <v>6000000</v>
      </c>
      <c r="O197" s="55">
        <v>719</v>
      </c>
      <c r="P197" s="78"/>
    </row>
    <row r="198" spans="1:16" ht="12.75" customHeight="1" thickBot="1">
      <c r="A198" s="882"/>
      <c r="B198" s="934"/>
      <c r="C198" s="936"/>
      <c r="D198" s="878"/>
      <c r="E198" s="882"/>
      <c r="F198" s="884"/>
      <c r="G198" s="56">
        <v>721</v>
      </c>
      <c r="H198" s="79">
        <f>+F197-H197</f>
        <v>0</v>
      </c>
      <c r="I198" s="874"/>
      <c r="J198" s="876"/>
      <c r="K198" s="878"/>
      <c r="L198" s="882"/>
      <c r="M198" s="882"/>
      <c r="N198" s="884"/>
      <c r="O198" s="56">
        <v>723</v>
      </c>
      <c r="P198" s="79">
        <f>+N197</f>
        <v>6000000</v>
      </c>
    </row>
    <row r="199" spans="1:16" ht="15" customHeight="1" thickBot="1">
      <c r="A199" s="901" t="s">
        <v>102</v>
      </c>
      <c r="B199" s="902"/>
      <c r="C199" s="902"/>
      <c r="D199" s="902"/>
      <c r="E199" s="903"/>
      <c r="F199" s="81">
        <f>SUM(F189:F198)</f>
        <v>6590384</v>
      </c>
      <c r="I199" s="901" t="s">
        <v>102</v>
      </c>
      <c r="J199" s="902"/>
      <c r="K199" s="902"/>
      <c r="L199" s="902"/>
      <c r="M199" s="903"/>
      <c r="N199" s="81">
        <f>SUM(N189:N198)</f>
        <v>36026960</v>
      </c>
    </row>
    <row r="200" spans="1:16" ht="15.75" customHeight="1" thickBot="1">
      <c r="A200" s="885" t="s">
        <v>103</v>
      </c>
      <c r="B200" s="886"/>
      <c r="C200" s="886"/>
      <c r="D200" s="886"/>
      <c r="E200" s="887"/>
      <c r="F200" s="69">
        <f>+F164</f>
        <v>613795841</v>
      </c>
      <c r="I200" s="885" t="s">
        <v>103</v>
      </c>
      <c r="J200" s="886"/>
      <c r="K200" s="886"/>
      <c r="L200" s="886"/>
      <c r="M200" s="887"/>
      <c r="N200" s="239">
        <f>+N164</f>
        <v>169148980</v>
      </c>
      <c r="O200" s="241" t="s">
        <v>561</v>
      </c>
      <c r="P200" s="242"/>
    </row>
    <row r="201" spans="1:16" ht="14.25" customHeight="1" thickBot="1">
      <c r="A201" s="888" t="s">
        <v>104</v>
      </c>
      <c r="B201" s="889"/>
      <c r="C201" s="889"/>
      <c r="D201" s="889"/>
      <c r="E201" s="890"/>
      <c r="F201" s="183">
        <f>SUM(F199:F200)</f>
        <v>620386225</v>
      </c>
      <c r="I201" s="888" t="s">
        <v>104</v>
      </c>
      <c r="J201" s="889"/>
      <c r="K201" s="889"/>
      <c r="L201" s="889"/>
      <c r="M201" s="890"/>
      <c r="N201" s="183">
        <f>SUM(N199:N200)</f>
        <v>205175940</v>
      </c>
    </row>
    <row r="202" spans="1:16" ht="7.5" customHeight="1">
      <c r="A202" s="61"/>
      <c r="B202" s="61"/>
      <c r="C202" s="61"/>
      <c r="D202" s="61"/>
      <c r="E202" s="61"/>
      <c r="I202" s="61"/>
      <c r="J202" s="61"/>
      <c r="K202" s="61"/>
      <c r="L202" s="61"/>
      <c r="M202" s="61"/>
    </row>
    <row r="203" spans="1:16">
      <c r="A203" s="51" t="s">
        <v>254</v>
      </c>
      <c r="I203" s="51" t="s">
        <v>1736</v>
      </c>
    </row>
    <row r="204" spans="1:16" ht="4.5" customHeight="1">
      <c r="F204" s="139"/>
      <c r="N204" s="139"/>
    </row>
    <row r="205" spans="1:16" ht="12.75" customHeight="1">
      <c r="A205" s="50" t="s">
        <v>105</v>
      </c>
      <c r="D205" s="146"/>
      <c r="F205" s="139"/>
      <c r="I205" s="50" t="s">
        <v>105</v>
      </c>
      <c r="L205" s="146"/>
      <c r="N205" s="139"/>
    </row>
    <row r="206" spans="1:16" ht="11.25" customHeight="1" thickBot="1"/>
    <row r="207" spans="1:16" ht="17.25" thickBot="1">
      <c r="A207" s="891" t="s">
        <v>106</v>
      </c>
      <c r="B207" s="892"/>
      <c r="C207" s="892"/>
      <c r="D207" s="893"/>
      <c r="F207" s="50" t="s">
        <v>107</v>
      </c>
      <c r="I207" s="891" t="s">
        <v>106</v>
      </c>
      <c r="J207" s="892"/>
      <c r="K207" s="892"/>
      <c r="L207" s="893"/>
      <c r="N207" s="604" t="s">
        <v>288</v>
      </c>
      <c r="O207" s="604"/>
      <c r="P207" s="604"/>
    </row>
    <row r="208" spans="1:16" ht="30.75" customHeight="1" thickBot="1">
      <c r="A208" s="57" t="s">
        <v>100</v>
      </c>
      <c r="B208" s="58" t="s">
        <v>108</v>
      </c>
      <c r="C208" s="59" t="s">
        <v>109</v>
      </c>
      <c r="D208" s="60" t="s">
        <v>110</v>
      </c>
      <c r="I208" s="57" t="s">
        <v>100</v>
      </c>
      <c r="J208" s="58" t="s">
        <v>108</v>
      </c>
      <c r="K208" s="59" t="s">
        <v>109</v>
      </c>
      <c r="L208" s="60" t="s">
        <v>110</v>
      </c>
      <c r="N208" s="12"/>
      <c r="O208" s="12"/>
      <c r="P208" s="12"/>
    </row>
    <row r="209" spans="1:16" ht="14.25" customHeight="1">
      <c r="A209" s="71">
        <v>719</v>
      </c>
      <c r="B209" s="73">
        <f>+H189+H191</f>
        <v>170000</v>
      </c>
      <c r="C209" s="74" t="e">
        <f>+D172</f>
        <v>#REF!</v>
      </c>
      <c r="D209" s="76" t="e">
        <f>+B209+C209</f>
        <v>#REF!</v>
      </c>
      <c r="I209" s="71">
        <v>719</v>
      </c>
      <c r="J209" s="73"/>
      <c r="K209" s="74">
        <f>+L172</f>
        <v>1890000</v>
      </c>
      <c r="L209" s="195">
        <f>+J209+K209</f>
        <v>1890000</v>
      </c>
      <c r="N209" s="12"/>
      <c r="O209" s="12"/>
      <c r="P209" s="12"/>
    </row>
    <row r="210" spans="1:16" ht="12.75" customHeight="1">
      <c r="A210" s="72">
        <v>721</v>
      </c>
      <c r="B210" s="80"/>
      <c r="C210" s="74" t="e">
        <f>+D173</f>
        <v>#REF!</v>
      </c>
      <c r="D210" s="76" t="e">
        <f>+B210+C210</f>
        <v>#REF!</v>
      </c>
      <c r="I210" s="72">
        <v>721</v>
      </c>
      <c r="J210" s="80"/>
      <c r="K210" s="74">
        <f>+L173</f>
        <v>0</v>
      </c>
      <c r="L210" s="195">
        <f>+J210+K210</f>
        <v>0</v>
      </c>
      <c r="N210" s="12"/>
      <c r="O210" s="12"/>
      <c r="P210" s="12"/>
    </row>
    <row r="211" spans="1:16" ht="12.75" customHeight="1">
      <c r="A211" s="72">
        <v>722</v>
      </c>
      <c r="B211" s="80">
        <f>+H194+H196</f>
        <v>6420384</v>
      </c>
      <c r="C211" s="74">
        <f>+D174</f>
        <v>224787287</v>
      </c>
      <c r="D211" s="76">
        <f>+B211+C211</f>
        <v>231207671</v>
      </c>
      <c r="I211" s="72">
        <v>722</v>
      </c>
      <c r="J211" s="80"/>
      <c r="K211" s="74">
        <f>+L174</f>
        <v>0</v>
      </c>
      <c r="L211" s="195">
        <f>+J211+K211</f>
        <v>0</v>
      </c>
      <c r="N211" s="12"/>
      <c r="O211" s="12"/>
      <c r="P211" s="12"/>
    </row>
    <row r="212" spans="1:16" ht="13.5" customHeight="1">
      <c r="A212" s="72">
        <v>723</v>
      </c>
      <c r="B212" s="80"/>
      <c r="C212" s="74">
        <f>+D175</f>
        <v>319828837</v>
      </c>
      <c r="D212" s="76">
        <f>+B212+C212</f>
        <v>319828837</v>
      </c>
      <c r="F212" s="174" t="s">
        <v>23</v>
      </c>
      <c r="G212" s="175"/>
      <c r="I212" s="72">
        <v>723</v>
      </c>
      <c r="J212" s="80">
        <f>+P190+P192+P194+P196+P198</f>
        <v>36026960</v>
      </c>
      <c r="K212" s="74">
        <f>+L175</f>
        <v>167258980</v>
      </c>
      <c r="L212" s="195">
        <f>+J212+K212</f>
        <v>203285940</v>
      </c>
      <c r="N212" s="609" t="s">
        <v>1696</v>
      </c>
      <c r="O212" s="609"/>
      <c r="P212" s="609"/>
    </row>
    <row r="213" spans="1:16" ht="13.5" customHeight="1" thickBot="1">
      <c r="A213" s="164" t="s">
        <v>181</v>
      </c>
      <c r="B213" s="165"/>
      <c r="C213" s="74">
        <f>+D176</f>
        <v>1965625</v>
      </c>
      <c r="D213" s="168">
        <f>+B213+C213</f>
        <v>1965625</v>
      </c>
      <c r="F213" s="52"/>
      <c r="I213" s="164" t="s">
        <v>181</v>
      </c>
      <c r="J213" s="165"/>
      <c r="K213" s="74">
        <f>+L176</f>
        <v>0</v>
      </c>
      <c r="L213" s="196">
        <f>+J213+K213</f>
        <v>0</v>
      </c>
      <c r="N213" s="52"/>
    </row>
    <row r="214" spans="1:16" ht="15" customHeight="1" thickBot="1">
      <c r="A214" s="169"/>
      <c r="B214" s="170">
        <f>SUM(B209:B213)</f>
        <v>6590384</v>
      </c>
      <c r="C214" s="171" t="e">
        <f>SUM(C209:C213)</f>
        <v>#REF!</v>
      </c>
      <c r="D214" s="172" t="e">
        <f>SUM(D209:D213)</f>
        <v>#REF!</v>
      </c>
      <c r="I214" s="169"/>
      <c r="J214" s="197">
        <f>SUM(J209:J213)</f>
        <v>36026960</v>
      </c>
      <c r="K214" s="197">
        <f>SUM(K209:K213)</f>
        <v>169148980</v>
      </c>
      <c r="L214" s="198">
        <f>SUM(L209:L213)</f>
        <v>205175940</v>
      </c>
    </row>
    <row r="215" spans="1:16" ht="15.75" customHeight="1">
      <c r="A215" s="49" t="s">
        <v>88</v>
      </c>
      <c r="B215" s="50"/>
      <c r="I215" s="49" t="s">
        <v>88</v>
      </c>
      <c r="J215" s="50"/>
    </row>
    <row r="216" spans="1:16" ht="13.5" customHeight="1">
      <c r="A216" s="51" t="s">
        <v>89</v>
      </c>
      <c r="I216" s="51" t="s">
        <v>89</v>
      </c>
    </row>
    <row r="217" spans="1:16" ht="13.5" customHeight="1">
      <c r="A217" s="51" t="s">
        <v>90</v>
      </c>
      <c r="I217" s="51" t="s">
        <v>90</v>
      </c>
    </row>
    <row r="218" spans="1:16" ht="12.75" customHeight="1">
      <c r="A218" s="51" t="s">
        <v>91</v>
      </c>
      <c r="I218" s="51" t="s">
        <v>91</v>
      </c>
    </row>
    <row r="219" spans="1:16" ht="4.5" customHeight="1">
      <c r="A219" s="50"/>
      <c r="B219" s="50"/>
      <c r="I219" s="50"/>
      <c r="J219" s="50"/>
    </row>
    <row r="220" spans="1:16" ht="13.5" customHeight="1">
      <c r="A220" s="52" t="s">
        <v>256</v>
      </c>
      <c r="G220" s="52"/>
      <c r="I220" s="52" t="s">
        <v>1641</v>
      </c>
      <c r="J220" s="243"/>
      <c r="O220" s="52"/>
    </row>
    <row r="221" spans="1:16" ht="15.75">
      <c r="A221" s="53" t="s">
        <v>92</v>
      </c>
      <c r="G221" s="53"/>
      <c r="I221" s="53" t="s">
        <v>1702</v>
      </c>
      <c r="O221" s="53"/>
    </row>
    <row r="222" spans="1:16" ht="13.5" customHeight="1">
      <c r="A222" s="894" t="s">
        <v>261</v>
      </c>
      <c r="B222" s="894"/>
      <c r="C222" s="894"/>
      <c r="D222" s="894"/>
      <c r="E222" s="894"/>
      <c r="F222" s="894"/>
      <c r="G222" s="894"/>
      <c r="H222" s="894"/>
      <c r="I222" s="894" t="s">
        <v>212</v>
      </c>
      <c r="J222" s="894"/>
      <c r="K222" s="894"/>
      <c r="L222" s="894"/>
      <c r="M222" s="894"/>
      <c r="N222" s="894"/>
      <c r="O222" s="894"/>
      <c r="P222" s="894"/>
    </row>
    <row r="223" spans="1:16" ht="8.25" customHeight="1" thickBot="1"/>
    <row r="224" spans="1:16">
      <c r="A224" s="895" t="s">
        <v>94</v>
      </c>
      <c r="B224" s="897" t="s">
        <v>95</v>
      </c>
      <c r="C224" s="897" t="s">
        <v>96</v>
      </c>
      <c r="D224" s="897" t="s">
        <v>3</v>
      </c>
      <c r="E224" s="897" t="s">
        <v>97</v>
      </c>
      <c r="F224" s="897" t="s">
        <v>98</v>
      </c>
      <c r="G224" s="897" t="s">
        <v>99</v>
      </c>
      <c r="H224" s="899"/>
      <c r="I224" s="895" t="s">
        <v>94</v>
      </c>
      <c r="J224" s="897" t="s">
        <v>95</v>
      </c>
      <c r="K224" s="897" t="s">
        <v>96</v>
      </c>
      <c r="L224" s="897" t="s">
        <v>3</v>
      </c>
      <c r="M224" s="897" t="s">
        <v>97</v>
      </c>
      <c r="N224" s="897" t="s">
        <v>98</v>
      </c>
      <c r="O224" s="897" t="s">
        <v>99</v>
      </c>
      <c r="P224" s="899"/>
    </row>
    <row r="225" spans="1:16" ht="15.75" thickBot="1">
      <c r="A225" s="896"/>
      <c r="B225" s="898"/>
      <c r="C225" s="898"/>
      <c r="D225" s="898"/>
      <c r="E225" s="898"/>
      <c r="F225" s="898"/>
      <c r="G225" s="240" t="s">
        <v>100</v>
      </c>
      <c r="H225" s="182" t="s">
        <v>101</v>
      </c>
      <c r="I225" s="896"/>
      <c r="J225" s="898"/>
      <c r="K225" s="898"/>
      <c r="L225" s="898"/>
      <c r="M225" s="898"/>
      <c r="N225" s="898"/>
      <c r="O225" s="240" t="s">
        <v>100</v>
      </c>
      <c r="P225" s="182" t="s">
        <v>101</v>
      </c>
    </row>
    <row r="226" spans="1:16" ht="13.5" customHeight="1">
      <c r="A226" s="881" t="e">
        <f>+A195+1</f>
        <v>#REF!</v>
      </c>
      <c r="B226" s="875">
        <v>42252</v>
      </c>
      <c r="C226" s="942" t="s">
        <v>31</v>
      </c>
      <c r="D226" s="881" t="s">
        <v>257</v>
      </c>
      <c r="E226" s="881" t="s">
        <v>115</v>
      </c>
      <c r="F226" s="883">
        <v>90000</v>
      </c>
      <c r="G226" s="55">
        <v>719</v>
      </c>
      <c r="H226" s="78">
        <v>90000</v>
      </c>
      <c r="I226" s="873" t="s">
        <v>580</v>
      </c>
      <c r="J226" s="875">
        <v>43531</v>
      </c>
      <c r="K226" s="877" t="s">
        <v>679</v>
      </c>
      <c r="L226" s="881" t="s">
        <v>1726</v>
      </c>
      <c r="M226" s="881" t="s">
        <v>148</v>
      </c>
      <c r="N226" s="883">
        <v>945000</v>
      </c>
      <c r="O226" s="55">
        <v>719</v>
      </c>
      <c r="P226" s="78"/>
    </row>
    <row r="227" spans="1:16" ht="14.25" customHeight="1" thickBot="1">
      <c r="A227" s="882"/>
      <c r="B227" s="934"/>
      <c r="C227" s="943"/>
      <c r="D227" s="882"/>
      <c r="E227" s="882"/>
      <c r="F227" s="884"/>
      <c r="G227" s="56">
        <v>721</v>
      </c>
      <c r="H227" s="79">
        <f>+F226-H226</f>
        <v>0</v>
      </c>
      <c r="I227" s="882"/>
      <c r="J227" s="876"/>
      <c r="K227" s="878"/>
      <c r="L227" s="882"/>
      <c r="M227" s="882"/>
      <c r="N227" s="884"/>
      <c r="O227" s="56">
        <v>723</v>
      </c>
      <c r="P227" s="79">
        <f>+N226</f>
        <v>945000</v>
      </c>
    </row>
    <row r="228" spans="1:16" ht="12.75" customHeight="1">
      <c r="A228" s="881" t="e">
        <f>+A226+1</f>
        <v>#REF!</v>
      </c>
      <c r="B228" s="875">
        <v>42252</v>
      </c>
      <c r="C228" s="935" t="s">
        <v>28</v>
      </c>
      <c r="D228" s="881" t="s">
        <v>258</v>
      </c>
      <c r="E228" s="881" t="s">
        <v>115</v>
      </c>
      <c r="F228" s="883">
        <v>40000</v>
      </c>
      <c r="G228" s="55">
        <v>719</v>
      </c>
      <c r="H228" s="78">
        <f>+F228</f>
        <v>40000</v>
      </c>
      <c r="I228" s="873" t="s">
        <v>581</v>
      </c>
      <c r="J228" s="875">
        <v>43531</v>
      </c>
      <c r="K228" s="877" t="s">
        <v>1642</v>
      </c>
      <c r="L228" s="881" t="s">
        <v>1726</v>
      </c>
      <c r="M228" s="881" t="s">
        <v>148</v>
      </c>
      <c r="N228" s="883">
        <v>7337400</v>
      </c>
      <c r="O228" s="55">
        <v>719</v>
      </c>
      <c r="P228" s="78"/>
    </row>
    <row r="229" spans="1:16" ht="13.5" customHeight="1" thickBot="1">
      <c r="A229" s="882"/>
      <c r="B229" s="934"/>
      <c r="C229" s="936"/>
      <c r="D229" s="882"/>
      <c r="E229" s="882"/>
      <c r="F229" s="884"/>
      <c r="G229" s="56">
        <v>721</v>
      </c>
      <c r="H229" s="79"/>
      <c r="I229" s="882"/>
      <c r="J229" s="876"/>
      <c r="K229" s="878"/>
      <c r="L229" s="882"/>
      <c r="M229" s="882"/>
      <c r="N229" s="884"/>
      <c r="O229" s="56">
        <v>723</v>
      </c>
      <c r="P229" s="79">
        <f>+N228</f>
        <v>7337400</v>
      </c>
    </row>
    <row r="230" spans="1:16" ht="12.75" customHeight="1">
      <c r="A230" s="881" t="e">
        <f>+A228+1</f>
        <v>#REF!</v>
      </c>
      <c r="B230" s="875">
        <v>42252</v>
      </c>
      <c r="C230" s="877" t="s">
        <v>32</v>
      </c>
      <c r="D230" s="881" t="s">
        <v>259</v>
      </c>
      <c r="E230" s="881" t="s">
        <v>115</v>
      </c>
      <c r="F230" s="883">
        <v>80000</v>
      </c>
      <c r="G230" s="55">
        <v>719</v>
      </c>
      <c r="H230" s="78">
        <v>80000</v>
      </c>
      <c r="I230" s="873" t="s">
        <v>582</v>
      </c>
      <c r="J230" s="875">
        <v>43531</v>
      </c>
      <c r="K230" s="881" t="s">
        <v>682</v>
      </c>
      <c r="L230" s="881" t="s">
        <v>1726</v>
      </c>
      <c r="M230" s="881" t="s">
        <v>148</v>
      </c>
      <c r="N230" s="883">
        <v>2142000</v>
      </c>
      <c r="O230" s="55">
        <v>719</v>
      </c>
      <c r="P230" s="78"/>
    </row>
    <row r="231" spans="1:16" ht="13.5" customHeight="1" thickBot="1">
      <c r="A231" s="882"/>
      <c r="B231" s="934"/>
      <c r="C231" s="878"/>
      <c r="D231" s="882"/>
      <c r="E231" s="882"/>
      <c r="F231" s="884"/>
      <c r="G231" s="56">
        <v>721</v>
      </c>
      <c r="H231" s="79">
        <f>+F230-H230</f>
        <v>0</v>
      </c>
      <c r="I231" s="882"/>
      <c r="J231" s="876"/>
      <c r="K231" s="882"/>
      <c r="L231" s="882"/>
      <c r="M231" s="882"/>
      <c r="N231" s="884"/>
      <c r="O231" s="56">
        <v>723</v>
      </c>
      <c r="P231" s="79">
        <f>+N230-P230</f>
        <v>2142000</v>
      </c>
    </row>
    <row r="232" spans="1:16" ht="13.5" customHeight="1">
      <c r="A232" s="881"/>
      <c r="B232" s="875"/>
      <c r="C232" s="877"/>
      <c r="D232" s="877"/>
      <c r="E232" s="881"/>
      <c r="F232" s="883"/>
      <c r="G232" s="55">
        <v>719</v>
      </c>
      <c r="H232" s="78"/>
      <c r="I232" s="873" t="s">
        <v>583</v>
      </c>
      <c r="J232" s="875">
        <v>43531</v>
      </c>
      <c r="K232" s="877" t="s">
        <v>684</v>
      </c>
      <c r="L232" s="881" t="s">
        <v>1726</v>
      </c>
      <c r="M232" s="881" t="s">
        <v>148</v>
      </c>
      <c r="N232" s="883">
        <v>4410000</v>
      </c>
      <c r="O232" s="55">
        <v>719</v>
      </c>
      <c r="P232" s="78"/>
    </row>
    <row r="233" spans="1:16" ht="12.75" customHeight="1" thickBot="1">
      <c r="A233" s="882"/>
      <c r="B233" s="934"/>
      <c r="C233" s="878"/>
      <c r="D233" s="878"/>
      <c r="E233" s="882"/>
      <c r="F233" s="884"/>
      <c r="G233" s="56">
        <v>721</v>
      </c>
      <c r="H233" s="79">
        <f>+F232-H232</f>
        <v>0</v>
      </c>
      <c r="I233" s="882"/>
      <c r="J233" s="876"/>
      <c r="K233" s="878"/>
      <c r="L233" s="882"/>
      <c r="M233" s="882"/>
      <c r="N233" s="884"/>
      <c r="O233" s="56">
        <v>723</v>
      </c>
      <c r="P233" s="79">
        <f>+N232-P232</f>
        <v>4410000</v>
      </c>
    </row>
    <row r="234" spans="1:16" ht="12.75" customHeight="1">
      <c r="A234" s="881"/>
      <c r="B234" s="875"/>
      <c r="C234" s="935"/>
      <c r="D234" s="877"/>
      <c r="E234" s="881"/>
      <c r="F234" s="883"/>
      <c r="G234" s="55">
        <v>719</v>
      </c>
      <c r="H234" s="78"/>
      <c r="I234" s="873" t="s">
        <v>591</v>
      </c>
      <c r="J234" s="875">
        <v>43531</v>
      </c>
      <c r="K234" s="877" t="s">
        <v>685</v>
      </c>
      <c r="L234" s="881" t="s">
        <v>1726</v>
      </c>
      <c r="M234" s="881" t="s">
        <v>148</v>
      </c>
      <c r="N234" s="883">
        <v>3150000</v>
      </c>
      <c r="O234" s="55">
        <v>719</v>
      </c>
      <c r="P234" s="78"/>
    </row>
    <row r="235" spans="1:16" ht="13.5" customHeight="1" thickBot="1">
      <c r="A235" s="882"/>
      <c r="B235" s="934"/>
      <c r="C235" s="936"/>
      <c r="D235" s="878"/>
      <c r="E235" s="882"/>
      <c r="F235" s="884"/>
      <c r="G235" s="56">
        <v>721</v>
      </c>
      <c r="H235" s="79">
        <f>+F234-H234</f>
        <v>0</v>
      </c>
      <c r="I235" s="882"/>
      <c r="J235" s="876"/>
      <c r="K235" s="878"/>
      <c r="L235" s="882"/>
      <c r="M235" s="882"/>
      <c r="N235" s="884"/>
      <c r="O235" s="56">
        <v>723</v>
      </c>
      <c r="P235" s="79">
        <f>+N234-P234</f>
        <v>3150000</v>
      </c>
    </row>
    <row r="236" spans="1:16" ht="16.5" thickBot="1">
      <c r="A236" s="901" t="s">
        <v>102</v>
      </c>
      <c r="B236" s="902"/>
      <c r="C236" s="902"/>
      <c r="D236" s="902"/>
      <c r="E236" s="903"/>
      <c r="F236" s="81">
        <f>SUM(F226:F235)</f>
        <v>210000</v>
      </c>
      <c r="I236" s="901" t="s">
        <v>102</v>
      </c>
      <c r="J236" s="902"/>
      <c r="K236" s="902"/>
      <c r="L236" s="902"/>
      <c r="M236" s="903"/>
      <c r="N236" s="81">
        <f>SUM(N226:N235)</f>
        <v>17984400</v>
      </c>
    </row>
    <row r="237" spans="1:16" ht="14.25" customHeight="1" thickBot="1">
      <c r="A237" s="885" t="s">
        <v>103</v>
      </c>
      <c r="B237" s="886"/>
      <c r="C237" s="886"/>
      <c r="D237" s="886"/>
      <c r="E237" s="887"/>
      <c r="F237" s="69">
        <f>+F201</f>
        <v>620386225</v>
      </c>
      <c r="I237" s="885" t="s">
        <v>103</v>
      </c>
      <c r="J237" s="886"/>
      <c r="K237" s="886"/>
      <c r="L237" s="886"/>
      <c r="M237" s="887"/>
      <c r="N237" s="239">
        <f>+N201</f>
        <v>205175940</v>
      </c>
      <c r="O237" s="241" t="s">
        <v>561</v>
      </c>
      <c r="P237" s="242"/>
    </row>
    <row r="238" spans="1:16" ht="15" customHeight="1" thickBot="1">
      <c r="A238" s="888" t="s">
        <v>104</v>
      </c>
      <c r="B238" s="889"/>
      <c r="C238" s="889"/>
      <c r="D238" s="889"/>
      <c r="E238" s="890"/>
      <c r="F238" s="183">
        <f>SUM(F236:F237)</f>
        <v>620596225</v>
      </c>
      <c r="I238" s="888" t="s">
        <v>104</v>
      </c>
      <c r="J238" s="889"/>
      <c r="K238" s="889"/>
      <c r="L238" s="889"/>
      <c r="M238" s="890"/>
      <c r="N238" s="183">
        <f>SUM(N236:N237)</f>
        <v>223160340</v>
      </c>
    </row>
    <row r="239" spans="1:16" ht="7.5" customHeight="1">
      <c r="A239" s="61"/>
      <c r="B239" s="61"/>
      <c r="C239" s="61"/>
      <c r="D239" s="61"/>
      <c r="E239" s="61"/>
      <c r="I239" s="61"/>
      <c r="J239" s="61"/>
      <c r="K239" s="61"/>
      <c r="L239" s="61"/>
      <c r="M239" s="61"/>
    </row>
    <row r="240" spans="1:16">
      <c r="A240" s="51" t="s">
        <v>260</v>
      </c>
      <c r="I240" s="51" t="s">
        <v>1730</v>
      </c>
    </row>
    <row r="241" spans="1:16" ht="3.75" customHeight="1">
      <c r="F241" s="139"/>
      <c r="N241" s="139"/>
    </row>
    <row r="242" spans="1:16" ht="13.5" customHeight="1">
      <c r="A242" s="50" t="s">
        <v>105</v>
      </c>
      <c r="D242" s="146"/>
      <c r="F242" s="139"/>
      <c r="I242" s="50" t="s">
        <v>105</v>
      </c>
      <c r="L242" s="146"/>
      <c r="N242" s="139"/>
    </row>
    <row r="243" spans="1:16" ht="12" customHeight="1" thickBot="1"/>
    <row r="244" spans="1:16" ht="17.25" thickBot="1">
      <c r="A244" s="891" t="s">
        <v>106</v>
      </c>
      <c r="B244" s="892"/>
      <c r="C244" s="892"/>
      <c r="D244" s="893"/>
      <c r="F244" s="50" t="s">
        <v>263</v>
      </c>
      <c r="I244" s="891" t="s">
        <v>106</v>
      </c>
      <c r="J244" s="892"/>
      <c r="K244" s="892"/>
      <c r="L244" s="893"/>
      <c r="N244" s="604" t="s">
        <v>288</v>
      </c>
      <c r="O244" s="604"/>
      <c r="P244" s="604"/>
    </row>
    <row r="245" spans="1:16" ht="31.5" thickBot="1">
      <c r="A245" s="57" t="s">
        <v>100</v>
      </c>
      <c r="B245" s="58" t="s">
        <v>108</v>
      </c>
      <c r="C245" s="59" t="s">
        <v>109</v>
      </c>
      <c r="D245" s="60" t="s">
        <v>110</v>
      </c>
      <c r="I245" s="57" t="s">
        <v>100</v>
      </c>
      <c r="J245" s="58" t="s">
        <v>108</v>
      </c>
      <c r="K245" s="59" t="s">
        <v>109</v>
      </c>
      <c r="L245" s="60" t="s">
        <v>110</v>
      </c>
      <c r="N245" s="12"/>
      <c r="O245" s="12"/>
      <c r="P245" s="12"/>
    </row>
    <row r="246" spans="1:16" ht="13.5" customHeight="1">
      <c r="A246" s="71">
        <v>719</v>
      </c>
      <c r="B246" s="73">
        <f>+H226+H228+H230</f>
        <v>210000</v>
      </c>
      <c r="C246" s="74" t="e">
        <f>+D209</f>
        <v>#REF!</v>
      </c>
      <c r="D246" s="76" t="e">
        <f>+B246+C246</f>
        <v>#REF!</v>
      </c>
      <c r="I246" s="71">
        <v>719</v>
      </c>
      <c r="J246" s="73">
        <f>+P226+P228+P230+P232+P234</f>
        <v>0</v>
      </c>
      <c r="K246" s="74">
        <f>+L209</f>
        <v>1890000</v>
      </c>
      <c r="L246" s="195">
        <f>+J246+K246</f>
        <v>1890000</v>
      </c>
      <c r="N246" s="12"/>
      <c r="O246" s="12"/>
      <c r="P246" s="12"/>
    </row>
    <row r="247" spans="1:16" ht="14.25" customHeight="1">
      <c r="A247" s="72">
        <v>721</v>
      </c>
      <c r="B247" s="80"/>
      <c r="C247" s="74" t="e">
        <f>+D210</f>
        <v>#REF!</v>
      </c>
      <c r="D247" s="76" t="e">
        <f>+B247+C247</f>
        <v>#REF!</v>
      </c>
      <c r="I247" s="72">
        <v>721</v>
      </c>
      <c r="J247" s="80">
        <v>0</v>
      </c>
      <c r="K247" s="74">
        <f>+L210</f>
        <v>0</v>
      </c>
      <c r="L247" s="195">
        <f>+J247+K247</f>
        <v>0</v>
      </c>
      <c r="N247" s="12"/>
      <c r="O247" s="12"/>
      <c r="P247" s="12"/>
    </row>
    <row r="248" spans="1:16" ht="12.75" customHeight="1">
      <c r="A248" s="72">
        <v>722</v>
      </c>
      <c r="B248" s="80"/>
      <c r="C248" s="74">
        <f>+D211</f>
        <v>231207671</v>
      </c>
      <c r="D248" s="76">
        <f>+B248+C248</f>
        <v>231207671</v>
      </c>
      <c r="I248" s="72">
        <v>722</v>
      </c>
      <c r="J248" s="80"/>
      <c r="K248" s="74">
        <f>+L211</f>
        <v>0</v>
      </c>
      <c r="L248" s="195">
        <f>+J248+K248</f>
        <v>0</v>
      </c>
      <c r="N248" s="12"/>
      <c r="O248" s="12"/>
      <c r="P248" s="12"/>
    </row>
    <row r="249" spans="1:16" ht="12.75" customHeight="1">
      <c r="A249" s="72">
        <v>723</v>
      </c>
      <c r="B249" s="80"/>
      <c r="C249" s="74">
        <f>+D212</f>
        <v>319828837</v>
      </c>
      <c r="D249" s="76">
        <f>+B249+C249</f>
        <v>319828837</v>
      </c>
      <c r="F249" s="174" t="s">
        <v>262</v>
      </c>
      <c r="G249" s="175"/>
      <c r="I249" s="72">
        <v>723</v>
      </c>
      <c r="J249" s="80">
        <f>+P227+P229+P231+P233+P235</f>
        <v>17984400</v>
      </c>
      <c r="K249" s="74">
        <f>+L212</f>
        <v>203285940</v>
      </c>
      <c r="L249" s="195">
        <f>+J249+K249</f>
        <v>221270340</v>
      </c>
      <c r="N249" s="609" t="s">
        <v>1696</v>
      </c>
      <c r="O249" s="609"/>
      <c r="P249" s="609"/>
    </row>
    <row r="250" spans="1:16" ht="13.5" customHeight="1" thickBot="1">
      <c r="A250" s="164" t="s">
        <v>181</v>
      </c>
      <c r="B250" s="165"/>
      <c r="C250" s="74">
        <f>+D213</f>
        <v>1965625</v>
      </c>
      <c r="D250" s="168">
        <f>+B250+C250</f>
        <v>1965625</v>
      </c>
      <c r="F250" s="52"/>
      <c r="I250" s="164" t="s">
        <v>181</v>
      </c>
      <c r="J250" s="165"/>
      <c r="K250" s="74">
        <f>+L213</f>
        <v>0</v>
      </c>
      <c r="L250" s="196">
        <f>+J250+K250</f>
        <v>0</v>
      </c>
      <c r="N250" s="52"/>
    </row>
    <row r="251" spans="1:16" ht="15" customHeight="1" thickBot="1">
      <c r="A251" s="169"/>
      <c r="B251" s="170">
        <f>SUM(B246:B250)</f>
        <v>210000</v>
      </c>
      <c r="C251" s="171" t="e">
        <f>SUM(C246:C250)</f>
        <v>#REF!</v>
      </c>
      <c r="D251" s="172" t="e">
        <f>SUM(D246:D250)</f>
        <v>#REF!</v>
      </c>
      <c r="I251" s="169"/>
      <c r="J251" s="197">
        <f>SUM(J246:J250)</f>
        <v>17984400</v>
      </c>
      <c r="K251" s="197">
        <f>SUM(K246:K250)</f>
        <v>205175940</v>
      </c>
      <c r="L251" s="198">
        <f>SUM(L246:L250)</f>
        <v>223160340</v>
      </c>
    </row>
    <row r="252" spans="1:16" ht="15" customHeight="1">
      <c r="A252" s="49" t="s">
        <v>88</v>
      </c>
      <c r="B252" s="50"/>
      <c r="I252" s="49" t="s">
        <v>88</v>
      </c>
      <c r="J252" s="50"/>
    </row>
    <row r="253" spans="1:16" ht="12.75" customHeight="1">
      <c r="A253" s="51" t="s">
        <v>89</v>
      </c>
      <c r="I253" s="51" t="s">
        <v>89</v>
      </c>
    </row>
    <row r="254" spans="1:16" ht="13.5" customHeight="1">
      <c r="A254" s="51" t="s">
        <v>90</v>
      </c>
      <c r="I254" s="51" t="s">
        <v>90</v>
      </c>
    </row>
    <row r="255" spans="1:16" ht="13.5" customHeight="1">
      <c r="A255" s="51" t="s">
        <v>91</v>
      </c>
      <c r="I255" s="51" t="s">
        <v>91</v>
      </c>
    </row>
    <row r="256" spans="1:16" ht="4.5" customHeight="1">
      <c r="A256" s="50"/>
      <c r="B256" s="50"/>
      <c r="I256" s="50"/>
      <c r="J256" s="50"/>
    </row>
    <row r="257" spans="1:16" ht="14.25" customHeight="1">
      <c r="A257" s="52" t="s">
        <v>264</v>
      </c>
      <c r="G257" s="52"/>
      <c r="I257" s="52" t="s">
        <v>1731</v>
      </c>
      <c r="J257" s="244"/>
      <c r="O257" s="52"/>
    </row>
    <row r="258" spans="1:16" ht="15.75">
      <c r="A258" s="53" t="s">
        <v>92</v>
      </c>
      <c r="G258" s="53"/>
      <c r="I258" s="53" t="s">
        <v>1702</v>
      </c>
      <c r="O258" s="53"/>
    </row>
    <row r="259" spans="1:16" ht="14.25" customHeight="1">
      <c r="A259" s="894" t="s">
        <v>261</v>
      </c>
      <c r="B259" s="894"/>
      <c r="C259" s="894"/>
      <c r="D259" s="894"/>
      <c r="E259" s="894"/>
      <c r="F259" s="894"/>
      <c r="G259" s="894"/>
      <c r="H259" s="894"/>
      <c r="I259" s="894" t="s">
        <v>212</v>
      </c>
      <c r="J259" s="894"/>
      <c r="K259" s="894"/>
      <c r="L259" s="894"/>
      <c r="M259" s="894"/>
      <c r="N259" s="894"/>
      <c r="O259" s="894"/>
      <c r="P259" s="894"/>
    </row>
    <row r="260" spans="1:16" ht="11.25" customHeight="1" thickBot="1"/>
    <row r="261" spans="1:16">
      <c r="A261" s="895" t="s">
        <v>94</v>
      </c>
      <c r="B261" s="897" t="s">
        <v>95</v>
      </c>
      <c r="C261" s="897" t="s">
        <v>96</v>
      </c>
      <c r="D261" s="897" t="s">
        <v>3</v>
      </c>
      <c r="E261" s="897" t="s">
        <v>97</v>
      </c>
      <c r="F261" s="897" t="s">
        <v>98</v>
      </c>
      <c r="G261" s="897" t="s">
        <v>99</v>
      </c>
      <c r="H261" s="899"/>
      <c r="I261" s="895" t="s">
        <v>94</v>
      </c>
      <c r="J261" s="897" t="s">
        <v>95</v>
      </c>
      <c r="K261" s="897" t="s">
        <v>96</v>
      </c>
      <c r="L261" s="897" t="s">
        <v>3</v>
      </c>
      <c r="M261" s="897" t="s">
        <v>97</v>
      </c>
      <c r="N261" s="897" t="s">
        <v>98</v>
      </c>
      <c r="O261" s="897" t="s">
        <v>99</v>
      </c>
      <c r="P261" s="899"/>
    </row>
    <row r="262" spans="1:16" ht="15.75" thickBot="1">
      <c r="A262" s="896"/>
      <c r="B262" s="898"/>
      <c r="C262" s="898"/>
      <c r="D262" s="898"/>
      <c r="E262" s="898"/>
      <c r="F262" s="898"/>
      <c r="G262" s="240" t="s">
        <v>100</v>
      </c>
      <c r="H262" s="182" t="s">
        <v>101</v>
      </c>
      <c r="I262" s="896"/>
      <c r="J262" s="898"/>
      <c r="K262" s="898"/>
      <c r="L262" s="898"/>
      <c r="M262" s="898"/>
      <c r="N262" s="898"/>
      <c r="O262" s="240" t="s">
        <v>100</v>
      </c>
      <c r="P262" s="182" t="s">
        <v>101</v>
      </c>
    </row>
    <row r="263" spans="1:16" ht="13.5" customHeight="1">
      <c r="A263" s="881" t="e">
        <f>+A230+1</f>
        <v>#REF!</v>
      </c>
      <c r="B263" s="875">
        <v>42254</v>
      </c>
      <c r="C263" s="877" t="s">
        <v>267</v>
      </c>
      <c r="D263" s="881" t="s">
        <v>266</v>
      </c>
      <c r="E263" s="881" t="s">
        <v>148</v>
      </c>
      <c r="F263" s="883">
        <v>252000</v>
      </c>
      <c r="G263" s="55">
        <v>719</v>
      </c>
      <c r="H263" s="78">
        <v>180000</v>
      </c>
      <c r="I263" s="873" t="s">
        <v>592</v>
      </c>
      <c r="J263" s="875">
        <v>43531</v>
      </c>
      <c r="K263" s="877" t="s">
        <v>694</v>
      </c>
      <c r="L263" s="881" t="s">
        <v>1726</v>
      </c>
      <c r="M263" s="881" t="s">
        <v>148</v>
      </c>
      <c r="N263" s="883">
        <v>25661698</v>
      </c>
      <c r="O263" s="55">
        <v>719</v>
      </c>
      <c r="P263" s="78"/>
    </row>
    <row r="264" spans="1:16" ht="14.25" customHeight="1" thickBot="1">
      <c r="A264" s="882"/>
      <c r="B264" s="934"/>
      <c r="C264" s="878"/>
      <c r="D264" s="882"/>
      <c r="E264" s="882"/>
      <c r="F264" s="884"/>
      <c r="G264" s="56">
        <v>721</v>
      </c>
      <c r="H264" s="79">
        <f>+F263-H263</f>
        <v>72000</v>
      </c>
      <c r="I264" s="882"/>
      <c r="J264" s="876"/>
      <c r="K264" s="878"/>
      <c r="L264" s="882"/>
      <c r="M264" s="882"/>
      <c r="N264" s="884"/>
      <c r="O264" s="56">
        <v>723</v>
      </c>
      <c r="P264" s="79">
        <f>+N263</f>
        <v>25661698</v>
      </c>
    </row>
    <row r="265" spans="1:16" ht="12" customHeight="1">
      <c r="A265" s="881" t="e">
        <f>+A263+1</f>
        <v>#REF!</v>
      </c>
      <c r="B265" s="875">
        <v>42254</v>
      </c>
      <c r="C265" s="881" t="s">
        <v>28</v>
      </c>
      <c r="D265" s="881" t="s">
        <v>258</v>
      </c>
      <c r="E265" s="881" t="s">
        <v>148</v>
      </c>
      <c r="F265" s="883">
        <v>560000</v>
      </c>
      <c r="G265" s="55">
        <v>719</v>
      </c>
      <c r="H265" s="78">
        <v>400000</v>
      </c>
      <c r="I265" s="873" t="s">
        <v>593</v>
      </c>
      <c r="J265" s="875">
        <v>43531</v>
      </c>
      <c r="K265" s="881" t="s">
        <v>267</v>
      </c>
      <c r="L265" s="881" t="s">
        <v>1726</v>
      </c>
      <c r="M265" s="881" t="s">
        <v>148</v>
      </c>
      <c r="N265" s="883">
        <v>4830000</v>
      </c>
      <c r="O265" s="55">
        <v>719</v>
      </c>
      <c r="P265" s="78"/>
    </row>
    <row r="266" spans="1:16" ht="13.5" customHeight="1" thickBot="1">
      <c r="A266" s="882"/>
      <c r="B266" s="934"/>
      <c r="C266" s="882"/>
      <c r="D266" s="882"/>
      <c r="E266" s="882"/>
      <c r="F266" s="884"/>
      <c r="G266" s="56">
        <v>721</v>
      </c>
      <c r="H266" s="79">
        <f>+F265-H265</f>
        <v>160000</v>
      </c>
      <c r="I266" s="882"/>
      <c r="J266" s="876"/>
      <c r="K266" s="882"/>
      <c r="L266" s="882"/>
      <c r="M266" s="882"/>
      <c r="N266" s="884"/>
      <c r="O266" s="56">
        <v>723</v>
      </c>
      <c r="P266" s="79">
        <f>+N265</f>
        <v>4830000</v>
      </c>
    </row>
    <row r="267" spans="1:16" ht="13.5" customHeight="1">
      <c r="A267" s="881" t="e">
        <f>+A265+1</f>
        <v>#REF!</v>
      </c>
      <c r="B267" s="875">
        <v>42254</v>
      </c>
      <c r="C267" s="877" t="s">
        <v>32</v>
      </c>
      <c r="D267" s="881" t="s">
        <v>265</v>
      </c>
      <c r="E267" s="881" t="s">
        <v>148</v>
      </c>
      <c r="F267" s="883">
        <v>154000</v>
      </c>
      <c r="G267" s="55">
        <v>719</v>
      </c>
      <c r="H267" s="78">
        <v>110000</v>
      </c>
      <c r="I267" s="873" t="s">
        <v>594</v>
      </c>
      <c r="J267" s="875">
        <v>43531</v>
      </c>
      <c r="K267" s="910" t="s">
        <v>28</v>
      </c>
      <c r="L267" s="881" t="s">
        <v>1726</v>
      </c>
      <c r="M267" s="881" t="s">
        <v>148</v>
      </c>
      <c r="N267" s="883">
        <v>8509200</v>
      </c>
      <c r="O267" s="55">
        <v>719</v>
      </c>
      <c r="P267" s="78"/>
    </row>
    <row r="268" spans="1:16" ht="15.75" customHeight="1" thickBot="1">
      <c r="A268" s="882"/>
      <c r="B268" s="934"/>
      <c r="C268" s="878"/>
      <c r="D268" s="882"/>
      <c r="E268" s="882"/>
      <c r="F268" s="884"/>
      <c r="G268" s="56">
        <v>721</v>
      </c>
      <c r="H268" s="79">
        <f>+F267-H267</f>
        <v>44000</v>
      </c>
      <c r="I268" s="882"/>
      <c r="J268" s="876"/>
      <c r="K268" s="911"/>
      <c r="L268" s="882"/>
      <c r="M268" s="882"/>
      <c r="N268" s="884"/>
      <c r="O268" s="56">
        <v>723</v>
      </c>
      <c r="P268" s="79">
        <f>+N267</f>
        <v>8509200</v>
      </c>
    </row>
    <row r="269" spans="1:16" ht="12" customHeight="1">
      <c r="A269" s="881" t="e">
        <f>+A267+1</f>
        <v>#REF!</v>
      </c>
      <c r="B269" s="875">
        <v>42254</v>
      </c>
      <c r="C269" s="877" t="s">
        <v>31</v>
      </c>
      <c r="D269" s="881" t="s">
        <v>265</v>
      </c>
      <c r="E269" s="881" t="s">
        <v>148</v>
      </c>
      <c r="F269" s="883">
        <v>1078000</v>
      </c>
      <c r="G269" s="55">
        <v>719</v>
      </c>
      <c r="H269" s="78">
        <v>770000</v>
      </c>
      <c r="I269" s="873" t="s">
        <v>599</v>
      </c>
      <c r="J269" s="875">
        <v>43531</v>
      </c>
      <c r="K269" s="910" t="s">
        <v>28</v>
      </c>
      <c r="L269" s="881" t="s">
        <v>1726</v>
      </c>
      <c r="M269" s="881" t="s">
        <v>148</v>
      </c>
      <c r="N269" s="883">
        <v>1544550</v>
      </c>
      <c r="O269" s="55">
        <v>719</v>
      </c>
      <c r="P269" s="78"/>
    </row>
    <row r="270" spans="1:16" ht="14.25" customHeight="1" thickBot="1">
      <c r="A270" s="882"/>
      <c r="B270" s="934"/>
      <c r="C270" s="878"/>
      <c r="D270" s="882"/>
      <c r="E270" s="882"/>
      <c r="F270" s="884"/>
      <c r="G270" s="56">
        <v>721</v>
      </c>
      <c r="H270" s="79">
        <f>+F269-H269</f>
        <v>308000</v>
      </c>
      <c r="I270" s="882"/>
      <c r="J270" s="876"/>
      <c r="K270" s="911"/>
      <c r="L270" s="882"/>
      <c r="M270" s="882"/>
      <c r="N270" s="884"/>
      <c r="O270" s="56">
        <v>723</v>
      </c>
      <c r="P270" s="79">
        <f>+N269</f>
        <v>1544550</v>
      </c>
    </row>
    <row r="271" spans="1:16" ht="11.25" customHeight="1">
      <c r="A271" s="881" t="e">
        <f>+A269+1</f>
        <v>#REF!</v>
      </c>
      <c r="B271" s="875">
        <v>42254</v>
      </c>
      <c r="C271" s="877" t="s">
        <v>111</v>
      </c>
      <c r="D271" s="881" t="s">
        <v>268</v>
      </c>
      <c r="E271" s="881" t="s">
        <v>148</v>
      </c>
      <c r="F271" s="883">
        <v>112000</v>
      </c>
      <c r="G271" s="55">
        <v>719</v>
      </c>
      <c r="H271" s="78">
        <v>80000</v>
      </c>
      <c r="I271" s="873" t="s">
        <v>600</v>
      </c>
      <c r="J271" s="875">
        <v>43531</v>
      </c>
      <c r="K271" s="877" t="s">
        <v>1174</v>
      </c>
      <c r="L271" s="881" t="s">
        <v>1726</v>
      </c>
      <c r="M271" s="881" t="s">
        <v>148</v>
      </c>
      <c r="N271" s="883">
        <v>8383404</v>
      </c>
      <c r="O271" s="55">
        <v>719</v>
      </c>
      <c r="P271" s="78"/>
    </row>
    <row r="272" spans="1:16" ht="14.25" customHeight="1" thickBot="1">
      <c r="A272" s="882"/>
      <c r="B272" s="934"/>
      <c r="C272" s="878"/>
      <c r="D272" s="882"/>
      <c r="E272" s="882"/>
      <c r="F272" s="884"/>
      <c r="G272" s="56">
        <v>721</v>
      </c>
      <c r="H272" s="79">
        <f>+F271-H271</f>
        <v>32000</v>
      </c>
      <c r="I272" s="882"/>
      <c r="J272" s="876"/>
      <c r="K272" s="878"/>
      <c r="L272" s="882"/>
      <c r="M272" s="882"/>
      <c r="N272" s="884"/>
      <c r="O272" s="56">
        <v>723</v>
      </c>
      <c r="P272" s="79">
        <f>+N271-P271</f>
        <v>8383404</v>
      </c>
    </row>
    <row r="273" spans="1:16" ht="13.5" customHeight="1" thickBot="1">
      <c r="A273" s="901" t="s">
        <v>102</v>
      </c>
      <c r="B273" s="902"/>
      <c r="C273" s="902"/>
      <c r="D273" s="902"/>
      <c r="E273" s="903"/>
      <c r="F273" s="81">
        <f>SUM(F263:F272)</f>
        <v>2156000</v>
      </c>
      <c r="I273" s="901" t="s">
        <v>102</v>
      </c>
      <c r="J273" s="902"/>
      <c r="K273" s="902"/>
      <c r="L273" s="902"/>
      <c r="M273" s="903"/>
      <c r="N273" s="81">
        <f>SUM(N263:N272)</f>
        <v>48928852</v>
      </c>
    </row>
    <row r="274" spans="1:16" ht="14.25" customHeight="1" thickBot="1">
      <c r="A274" s="885" t="s">
        <v>103</v>
      </c>
      <c r="B274" s="886"/>
      <c r="C274" s="886"/>
      <c r="D274" s="886"/>
      <c r="E274" s="887"/>
      <c r="F274" s="69">
        <f>+F238</f>
        <v>620596225</v>
      </c>
      <c r="I274" s="885" t="s">
        <v>103</v>
      </c>
      <c r="J274" s="886"/>
      <c r="K274" s="886"/>
      <c r="L274" s="886"/>
      <c r="M274" s="887"/>
      <c r="N274" s="239">
        <f>+N238</f>
        <v>223160340</v>
      </c>
      <c r="O274" s="241" t="s">
        <v>561</v>
      </c>
      <c r="P274" s="242"/>
    </row>
    <row r="275" spans="1:16" ht="15.75" customHeight="1" thickBot="1">
      <c r="A275" s="888" t="s">
        <v>104</v>
      </c>
      <c r="B275" s="889"/>
      <c r="C275" s="889"/>
      <c r="D275" s="889"/>
      <c r="E275" s="890"/>
      <c r="F275" s="183">
        <f>SUM(F273:F274)</f>
        <v>622752225</v>
      </c>
      <c r="I275" s="888" t="s">
        <v>104</v>
      </c>
      <c r="J275" s="889"/>
      <c r="K275" s="889"/>
      <c r="L275" s="889"/>
      <c r="M275" s="890"/>
      <c r="N275" s="183">
        <f>SUM(N273:N274)</f>
        <v>272089192</v>
      </c>
    </row>
    <row r="276" spans="1:16" ht="9" customHeight="1">
      <c r="A276" s="61"/>
      <c r="B276" s="61"/>
      <c r="C276" s="61"/>
      <c r="D276" s="61"/>
      <c r="E276" s="61"/>
      <c r="I276" s="61"/>
      <c r="J276" s="61"/>
      <c r="K276" s="61"/>
      <c r="L276" s="61"/>
      <c r="M276" s="61"/>
    </row>
    <row r="277" spans="1:16">
      <c r="A277" s="51" t="s">
        <v>269</v>
      </c>
      <c r="I277" s="51" t="s">
        <v>1734</v>
      </c>
    </row>
    <row r="278" spans="1:16" ht="4.5" customHeight="1">
      <c r="F278" s="139"/>
      <c r="N278" s="139"/>
    </row>
    <row r="279" spans="1:16" ht="12.75" customHeight="1">
      <c r="A279" s="50" t="s">
        <v>105</v>
      </c>
      <c r="D279" s="146"/>
      <c r="F279" s="139"/>
      <c r="I279" s="50" t="s">
        <v>105</v>
      </c>
      <c r="L279" s="146"/>
      <c r="N279" s="139"/>
    </row>
    <row r="280" spans="1:16" ht="6" customHeight="1" thickBot="1"/>
    <row r="281" spans="1:16" ht="17.25" thickBot="1">
      <c r="A281" s="891" t="s">
        <v>106</v>
      </c>
      <c r="B281" s="892"/>
      <c r="C281" s="892"/>
      <c r="D281" s="893"/>
      <c r="F281" s="50" t="s">
        <v>270</v>
      </c>
      <c r="I281" s="891" t="s">
        <v>106</v>
      </c>
      <c r="J281" s="892"/>
      <c r="K281" s="892"/>
      <c r="L281" s="893"/>
      <c r="N281" s="604" t="s">
        <v>288</v>
      </c>
      <c r="O281" s="604"/>
      <c r="P281" s="604"/>
    </row>
    <row r="282" spans="1:16" ht="31.5" thickBot="1">
      <c r="A282" s="57" t="s">
        <v>100</v>
      </c>
      <c r="B282" s="58" t="s">
        <v>108</v>
      </c>
      <c r="C282" s="59" t="s">
        <v>109</v>
      </c>
      <c r="D282" s="60" t="s">
        <v>110</v>
      </c>
      <c r="I282" s="57" t="s">
        <v>100</v>
      </c>
      <c r="J282" s="58" t="s">
        <v>108</v>
      </c>
      <c r="K282" s="59" t="s">
        <v>109</v>
      </c>
      <c r="L282" s="60" t="s">
        <v>110</v>
      </c>
      <c r="N282" s="12"/>
    </row>
    <row r="283" spans="1:16" ht="12.75" customHeight="1">
      <c r="A283" s="71">
        <v>719</v>
      </c>
      <c r="B283" s="73">
        <f>+H263+H265+H267+H269+H271</f>
        <v>1540000</v>
      </c>
      <c r="C283" s="74" t="e">
        <f>+D246</f>
        <v>#REF!</v>
      </c>
      <c r="D283" s="76" t="e">
        <f>+B283+C283</f>
        <v>#REF!</v>
      </c>
      <c r="I283" s="71">
        <v>719</v>
      </c>
      <c r="J283" s="73">
        <f>+P263+P265+P267+P269+P271</f>
        <v>0</v>
      </c>
      <c r="K283" s="74">
        <f>+L246</f>
        <v>1890000</v>
      </c>
      <c r="L283" s="195">
        <f>+J283+K283</f>
        <v>1890000</v>
      </c>
      <c r="N283" s="12"/>
    </row>
    <row r="284" spans="1:16" ht="13.5" customHeight="1">
      <c r="A284" s="72">
        <v>721</v>
      </c>
      <c r="B284" s="80">
        <f>+H270+H268+H266+H264+H272</f>
        <v>616000</v>
      </c>
      <c r="C284" s="74" t="e">
        <f>+D247</f>
        <v>#REF!</v>
      </c>
      <c r="D284" s="76" t="e">
        <f>+B284+C284</f>
        <v>#REF!</v>
      </c>
      <c r="I284" s="72">
        <v>721</v>
      </c>
      <c r="J284" s="80"/>
      <c r="K284" s="74">
        <f>+L247</f>
        <v>0</v>
      </c>
      <c r="L284" s="195">
        <f>+J284+K284</f>
        <v>0</v>
      </c>
      <c r="N284" s="12"/>
    </row>
    <row r="285" spans="1:16" ht="14.25" customHeight="1">
      <c r="A285" s="72">
        <v>722</v>
      </c>
      <c r="B285" s="80"/>
      <c r="C285" s="74">
        <f>+D248</f>
        <v>231207671</v>
      </c>
      <c r="D285" s="76">
        <f>+B285+C285</f>
        <v>231207671</v>
      </c>
      <c r="I285" s="72">
        <v>722</v>
      </c>
      <c r="J285" s="80"/>
      <c r="K285" s="74">
        <f>+L248</f>
        <v>0</v>
      </c>
      <c r="L285" s="195">
        <f>+J285+K285</f>
        <v>0</v>
      </c>
      <c r="N285" s="12"/>
    </row>
    <row r="286" spans="1:16" ht="12" customHeight="1">
      <c r="A286" s="72">
        <v>723</v>
      </c>
      <c r="B286" s="80"/>
      <c r="C286" s="74">
        <f>+D249</f>
        <v>319828837</v>
      </c>
      <c r="D286" s="76">
        <f>+B286+C286</f>
        <v>319828837</v>
      </c>
      <c r="F286" s="174" t="s">
        <v>262</v>
      </c>
      <c r="G286" s="175"/>
      <c r="I286" s="72">
        <v>723</v>
      </c>
      <c r="J286" s="80">
        <f>+P272+P270+P268+P266+P264</f>
        <v>48928852</v>
      </c>
      <c r="K286" s="74">
        <f>+L249</f>
        <v>221270340</v>
      </c>
      <c r="L286" s="195">
        <f>+J286+K286</f>
        <v>270199192</v>
      </c>
      <c r="N286" s="609" t="s">
        <v>1696</v>
      </c>
      <c r="O286" s="609"/>
      <c r="P286" s="609"/>
    </row>
    <row r="287" spans="1:16" ht="14.25" customHeight="1" thickBot="1">
      <c r="A287" s="164" t="s">
        <v>181</v>
      </c>
      <c r="B287" s="165"/>
      <c r="C287" s="74">
        <f>+D250</f>
        <v>1965625</v>
      </c>
      <c r="D287" s="168">
        <f>+B287+C287</f>
        <v>1965625</v>
      </c>
      <c r="F287" s="52"/>
      <c r="I287" s="164" t="s">
        <v>181</v>
      </c>
      <c r="J287" s="165"/>
      <c r="K287" s="74">
        <f>+L250</f>
        <v>0</v>
      </c>
      <c r="L287" s="196">
        <f>+J287+K287</f>
        <v>0</v>
      </c>
      <c r="N287" s="52"/>
    </row>
    <row r="288" spans="1:16" ht="16.5" thickBot="1">
      <c r="A288" s="169"/>
      <c r="B288" s="170">
        <f>SUM(B283:B287)</f>
        <v>2156000</v>
      </c>
      <c r="C288" s="171" t="e">
        <f>SUM(C283:C287)</f>
        <v>#REF!</v>
      </c>
      <c r="D288" s="172" t="e">
        <f>SUM(D283:D287)</f>
        <v>#REF!</v>
      </c>
      <c r="I288" s="169"/>
      <c r="J288" s="197">
        <f>SUM(J283:J287)</f>
        <v>48928852</v>
      </c>
      <c r="K288" s="197">
        <f>SUM(K283:K287)</f>
        <v>223160340</v>
      </c>
      <c r="L288" s="198">
        <f>SUM(L283:L287)</f>
        <v>272089192</v>
      </c>
    </row>
    <row r="289" spans="1:16" ht="14.25" customHeight="1">
      <c r="A289" s="49" t="s">
        <v>88</v>
      </c>
      <c r="B289" s="50"/>
      <c r="I289" s="49" t="s">
        <v>88</v>
      </c>
      <c r="J289" s="50"/>
    </row>
    <row r="290" spans="1:16" ht="12.75" customHeight="1">
      <c r="A290" s="51" t="s">
        <v>89</v>
      </c>
      <c r="I290" s="51" t="s">
        <v>89</v>
      </c>
    </row>
    <row r="291" spans="1:16" ht="12.75" customHeight="1">
      <c r="A291" s="51" t="s">
        <v>90</v>
      </c>
      <c r="I291" s="51" t="s">
        <v>90</v>
      </c>
    </row>
    <row r="292" spans="1:16">
      <c r="A292" s="51" t="s">
        <v>91</v>
      </c>
      <c r="I292" s="51" t="s">
        <v>91</v>
      </c>
    </row>
    <row r="293" spans="1:16" ht="5.25" customHeight="1">
      <c r="A293" s="50"/>
      <c r="B293" s="50"/>
      <c r="I293" s="50"/>
      <c r="J293" s="50"/>
    </row>
    <row r="294" spans="1:16" ht="13.5" customHeight="1">
      <c r="A294" s="52" t="s">
        <v>271</v>
      </c>
      <c r="G294" s="52"/>
      <c r="I294" s="52" t="s">
        <v>573</v>
      </c>
      <c r="O294" s="52"/>
    </row>
    <row r="295" spans="1:16" ht="14.25" customHeight="1">
      <c r="A295" s="53" t="s">
        <v>92</v>
      </c>
      <c r="G295" s="53"/>
      <c r="I295" s="53" t="s">
        <v>1702</v>
      </c>
      <c r="O295" s="53"/>
    </row>
    <row r="296" spans="1:16" ht="15" customHeight="1">
      <c r="A296" s="894" t="s">
        <v>261</v>
      </c>
      <c r="B296" s="894"/>
      <c r="C296" s="894"/>
      <c r="D296" s="894"/>
      <c r="E296" s="894"/>
      <c r="F296" s="894"/>
      <c r="G296" s="894"/>
      <c r="H296" s="894"/>
      <c r="I296" s="894" t="s">
        <v>212</v>
      </c>
      <c r="J296" s="894"/>
      <c r="K296" s="894"/>
      <c r="L296" s="894"/>
      <c r="M296" s="894"/>
      <c r="N296" s="894"/>
      <c r="O296" s="894"/>
      <c r="P296" s="894"/>
    </row>
    <row r="297" spans="1:16" ht="13.5" customHeight="1" thickBot="1"/>
    <row r="298" spans="1:16">
      <c r="A298" s="895" t="s">
        <v>94</v>
      </c>
      <c r="B298" s="897" t="s">
        <v>95</v>
      </c>
      <c r="C298" s="897" t="s">
        <v>96</v>
      </c>
      <c r="D298" s="897" t="s">
        <v>3</v>
      </c>
      <c r="E298" s="897" t="s">
        <v>97</v>
      </c>
      <c r="F298" s="897" t="s">
        <v>98</v>
      </c>
      <c r="G298" s="897" t="s">
        <v>99</v>
      </c>
      <c r="H298" s="899"/>
      <c r="I298" s="895" t="s">
        <v>94</v>
      </c>
      <c r="J298" s="897" t="s">
        <v>95</v>
      </c>
      <c r="K298" s="897" t="s">
        <v>96</v>
      </c>
      <c r="L298" s="897" t="s">
        <v>3</v>
      </c>
      <c r="M298" s="897" t="s">
        <v>97</v>
      </c>
      <c r="N298" s="897" t="s">
        <v>98</v>
      </c>
      <c r="O298" s="897" t="s">
        <v>99</v>
      </c>
      <c r="P298" s="899"/>
    </row>
    <row r="299" spans="1:16" ht="15.75" thickBot="1">
      <c r="A299" s="896"/>
      <c r="B299" s="898"/>
      <c r="C299" s="898"/>
      <c r="D299" s="898"/>
      <c r="E299" s="898"/>
      <c r="F299" s="898"/>
      <c r="G299" s="240" t="s">
        <v>100</v>
      </c>
      <c r="H299" s="182" t="s">
        <v>101</v>
      </c>
      <c r="I299" s="896"/>
      <c r="J299" s="898"/>
      <c r="K299" s="898"/>
      <c r="L299" s="898"/>
      <c r="M299" s="898"/>
      <c r="N299" s="898"/>
      <c r="O299" s="240" t="s">
        <v>100</v>
      </c>
      <c r="P299" s="182" t="s">
        <v>101</v>
      </c>
    </row>
    <row r="300" spans="1:16" ht="12.75" customHeight="1">
      <c r="A300" s="881" t="e">
        <f>+A271+1</f>
        <v>#REF!</v>
      </c>
      <c r="B300" s="875">
        <v>42261</v>
      </c>
      <c r="C300" s="877" t="s">
        <v>267</v>
      </c>
      <c r="D300" s="881" t="s">
        <v>273</v>
      </c>
      <c r="E300" s="881" t="s">
        <v>148</v>
      </c>
      <c r="F300" s="883">
        <v>154000</v>
      </c>
      <c r="G300" s="55">
        <v>719</v>
      </c>
      <c r="H300" s="78">
        <v>110000</v>
      </c>
      <c r="I300" s="873" t="s">
        <v>601</v>
      </c>
      <c r="J300" s="875">
        <v>43531</v>
      </c>
      <c r="K300" s="877" t="s">
        <v>1732</v>
      </c>
      <c r="L300" s="881" t="s">
        <v>1733</v>
      </c>
      <c r="M300" s="881" t="s">
        <v>148</v>
      </c>
      <c r="N300" s="883">
        <v>1571050</v>
      </c>
      <c r="O300" s="55">
        <v>719</v>
      </c>
      <c r="P300" s="78">
        <v>0</v>
      </c>
    </row>
    <row r="301" spans="1:16" ht="13.5" customHeight="1" thickBot="1">
      <c r="A301" s="882"/>
      <c r="B301" s="934"/>
      <c r="C301" s="878"/>
      <c r="D301" s="882"/>
      <c r="E301" s="882"/>
      <c r="F301" s="884"/>
      <c r="G301" s="56">
        <v>721</v>
      </c>
      <c r="H301" s="79">
        <f>+F300-H300</f>
        <v>44000</v>
      </c>
      <c r="I301" s="882"/>
      <c r="J301" s="876"/>
      <c r="K301" s="878"/>
      <c r="L301" s="882"/>
      <c r="M301" s="882"/>
      <c r="N301" s="884"/>
      <c r="O301" s="56">
        <v>723</v>
      </c>
      <c r="P301" s="79">
        <f>+N300-P300</f>
        <v>1571050</v>
      </c>
    </row>
    <row r="302" spans="1:16" ht="12.75" customHeight="1">
      <c r="A302" s="881" t="e">
        <f>+A300+1</f>
        <v>#REF!</v>
      </c>
      <c r="B302" s="875">
        <v>42261</v>
      </c>
      <c r="C302" s="881" t="s">
        <v>28</v>
      </c>
      <c r="D302" s="881" t="s">
        <v>274</v>
      </c>
      <c r="E302" s="881" t="s">
        <v>148</v>
      </c>
      <c r="F302" s="883">
        <v>238000</v>
      </c>
      <c r="G302" s="55">
        <v>719</v>
      </c>
      <c r="H302" s="78">
        <v>170000</v>
      </c>
      <c r="I302" s="873" t="s">
        <v>602</v>
      </c>
      <c r="J302" s="875">
        <v>43531</v>
      </c>
      <c r="K302" s="877" t="s">
        <v>1735</v>
      </c>
      <c r="L302" s="881" t="s">
        <v>1726</v>
      </c>
      <c r="M302" s="881" t="s">
        <v>148</v>
      </c>
      <c r="N302" s="883">
        <v>16099000</v>
      </c>
      <c r="O302" s="55">
        <v>719</v>
      </c>
      <c r="P302" s="78"/>
    </row>
    <row r="303" spans="1:16" ht="14.25" customHeight="1" thickBot="1">
      <c r="A303" s="882"/>
      <c r="B303" s="934"/>
      <c r="C303" s="882"/>
      <c r="D303" s="882"/>
      <c r="E303" s="882"/>
      <c r="F303" s="884"/>
      <c r="G303" s="56">
        <v>721</v>
      </c>
      <c r="H303" s="79">
        <f>+F302-H302</f>
        <v>68000</v>
      </c>
      <c r="I303" s="882"/>
      <c r="J303" s="876"/>
      <c r="K303" s="878"/>
      <c r="L303" s="882"/>
      <c r="M303" s="882"/>
      <c r="N303" s="884"/>
      <c r="O303" s="56">
        <v>723</v>
      </c>
      <c r="P303" s="79">
        <f>+N302-P302</f>
        <v>16099000</v>
      </c>
    </row>
    <row r="304" spans="1:16" ht="12" customHeight="1">
      <c r="A304" s="881" t="e">
        <f>+A302+1</f>
        <v>#REF!</v>
      </c>
      <c r="B304" s="875">
        <v>42261</v>
      </c>
      <c r="C304" s="877" t="s">
        <v>32</v>
      </c>
      <c r="D304" s="881" t="s">
        <v>275</v>
      </c>
      <c r="E304" s="881" t="s">
        <v>148</v>
      </c>
      <c r="F304" s="883">
        <v>98000</v>
      </c>
      <c r="G304" s="55">
        <v>719</v>
      </c>
      <c r="H304" s="78">
        <v>70000</v>
      </c>
      <c r="I304" s="873" t="s">
        <v>607</v>
      </c>
      <c r="J304" s="875">
        <v>43531</v>
      </c>
      <c r="K304" s="910" t="s">
        <v>555</v>
      </c>
      <c r="L304" s="881" t="s">
        <v>1726</v>
      </c>
      <c r="M304" s="881" t="s">
        <v>148</v>
      </c>
      <c r="N304" s="883">
        <v>7623000</v>
      </c>
      <c r="O304" s="55">
        <v>719</v>
      </c>
      <c r="P304" s="78"/>
    </row>
    <row r="305" spans="1:16" ht="15.75" customHeight="1" thickBot="1">
      <c r="A305" s="882"/>
      <c r="B305" s="934"/>
      <c r="C305" s="878"/>
      <c r="D305" s="882"/>
      <c r="E305" s="882"/>
      <c r="F305" s="884"/>
      <c r="G305" s="56">
        <v>721</v>
      </c>
      <c r="H305" s="79">
        <f>+F304-H304</f>
        <v>28000</v>
      </c>
      <c r="I305" s="882"/>
      <c r="J305" s="876"/>
      <c r="K305" s="911"/>
      <c r="L305" s="882"/>
      <c r="M305" s="882"/>
      <c r="N305" s="884"/>
      <c r="O305" s="56">
        <v>723</v>
      </c>
      <c r="P305" s="79">
        <f>+N304-P304</f>
        <v>7623000</v>
      </c>
    </row>
    <row r="306" spans="1:16" ht="12.75" customHeight="1">
      <c r="A306" s="881" t="e">
        <f>+A304+1</f>
        <v>#REF!</v>
      </c>
      <c r="B306" s="875">
        <v>42261</v>
      </c>
      <c r="C306" s="877" t="s">
        <v>111</v>
      </c>
      <c r="D306" s="881" t="s">
        <v>273</v>
      </c>
      <c r="E306" s="881" t="s">
        <v>148</v>
      </c>
      <c r="F306" s="883">
        <v>42000</v>
      </c>
      <c r="G306" s="55">
        <v>719</v>
      </c>
      <c r="H306" s="78">
        <v>30000</v>
      </c>
      <c r="I306" s="873" t="s">
        <v>608</v>
      </c>
      <c r="J306" s="875">
        <v>43531</v>
      </c>
      <c r="K306" s="877" t="s">
        <v>695</v>
      </c>
      <c r="L306" s="881" t="s">
        <v>1726</v>
      </c>
      <c r="M306" s="881" t="s">
        <v>148</v>
      </c>
      <c r="N306" s="883">
        <v>7139940</v>
      </c>
      <c r="O306" s="55">
        <v>719</v>
      </c>
      <c r="P306" s="78"/>
    </row>
    <row r="307" spans="1:16" ht="13.5" customHeight="1" thickBot="1">
      <c r="A307" s="882"/>
      <c r="B307" s="934"/>
      <c r="C307" s="878"/>
      <c r="D307" s="882"/>
      <c r="E307" s="882"/>
      <c r="F307" s="884"/>
      <c r="G307" s="56">
        <v>721</v>
      </c>
      <c r="H307" s="79">
        <f>+F306-H306</f>
        <v>12000</v>
      </c>
      <c r="I307" s="882"/>
      <c r="J307" s="876"/>
      <c r="K307" s="878"/>
      <c r="L307" s="882"/>
      <c r="M307" s="882"/>
      <c r="N307" s="884"/>
      <c r="O307" s="56">
        <v>723</v>
      </c>
      <c r="P307" s="79">
        <f>+N306-P306</f>
        <v>7139940</v>
      </c>
    </row>
    <row r="308" spans="1:16" ht="13.5" customHeight="1">
      <c r="A308" s="881" t="e">
        <f>+A306+1</f>
        <v>#REF!</v>
      </c>
      <c r="B308" s="875">
        <v>42261</v>
      </c>
      <c r="C308" s="877" t="s">
        <v>272</v>
      </c>
      <c r="D308" s="881" t="s">
        <v>274</v>
      </c>
      <c r="E308" s="881" t="s">
        <v>148</v>
      </c>
      <c r="F308" s="883">
        <v>378000</v>
      </c>
      <c r="G308" s="55">
        <v>719</v>
      </c>
      <c r="H308" s="78">
        <v>270000</v>
      </c>
      <c r="I308" s="873" t="s">
        <v>609</v>
      </c>
      <c r="J308" s="875">
        <v>43531</v>
      </c>
      <c r="K308" s="877" t="s">
        <v>117</v>
      </c>
      <c r="L308" s="881" t="s">
        <v>1726</v>
      </c>
      <c r="M308" s="881" t="s">
        <v>148</v>
      </c>
      <c r="N308" s="883">
        <v>1512000</v>
      </c>
      <c r="O308" s="55">
        <v>719</v>
      </c>
      <c r="P308" s="78"/>
    </row>
    <row r="309" spans="1:16" ht="13.5" customHeight="1" thickBot="1">
      <c r="A309" s="882"/>
      <c r="B309" s="934"/>
      <c r="C309" s="878"/>
      <c r="D309" s="882"/>
      <c r="E309" s="882"/>
      <c r="F309" s="884"/>
      <c r="G309" s="56">
        <v>721</v>
      </c>
      <c r="H309" s="79">
        <f>+F308-H308</f>
        <v>108000</v>
      </c>
      <c r="I309" s="882"/>
      <c r="J309" s="876"/>
      <c r="K309" s="878"/>
      <c r="L309" s="882"/>
      <c r="M309" s="882"/>
      <c r="N309" s="884"/>
      <c r="O309" s="56">
        <v>723</v>
      </c>
      <c r="P309" s="79">
        <f>+N308-P308</f>
        <v>1512000</v>
      </c>
    </row>
    <row r="310" spans="1:16" ht="14.25" customHeight="1" thickBot="1">
      <c r="A310" s="901" t="s">
        <v>102</v>
      </c>
      <c r="B310" s="902"/>
      <c r="C310" s="902"/>
      <c r="D310" s="902"/>
      <c r="E310" s="903"/>
      <c r="F310" s="81">
        <f>SUM(F300:F309)</f>
        <v>910000</v>
      </c>
      <c r="I310" s="901" t="s">
        <v>102</v>
      </c>
      <c r="J310" s="902"/>
      <c r="K310" s="902"/>
      <c r="L310" s="902"/>
      <c r="M310" s="903"/>
      <c r="N310" s="81">
        <f>SUM(N300:N309)</f>
        <v>33944990</v>
      </c>
    </row>
    <row r="311" spans="1:16" ht="14.25" customHeight="1" thickBot="1">
      <c r="A311" s="885" t="s">
        <v>103</v>
      </c>
      <c r="B311" s="886"/>
      <c r="C311" s="886"/>
      <c r="D311" s="886"/>
      <c r="E311" s="887"/>
      <c r="F311" s="69">
        <f>+F275</f>
        <v>622752225</v>
      </c>
      <c r="I311" s="885" t="s">
        <v>103</v>
      </c>
      <c r="J311" s="886"/>
      <c r="K311" s="886"/>
      <c r="L311" s="886"/>
      <c r="M311" s="887"/>
      <c r="N311" s="239">
        <f>+N275</f>
        <v>272089192</v>
      </c>
      <c r="O311" s="241" t="s">
        <v>561</v>
      </c>
      <c r="P311" s="242"/>
    </row>
    <row r="312" spans="1:16" ht="13.5" customHeight="1" thickBot="1">
      <c r="A312" s="888" t="s">
        <v>104</v>
      </c>
      <c r="B312" s="889"/>
      <c r="C312" s="889"/>
      <c r="D312" s="889"/>
      <c r="E312" s="890"/>
      <c r="F312" s="183">
        <f>SUM(F310:F311)</f>
        <v>623662225</v>
      </c>
      <c r="I312" s="888" t="s">
        <v>104</v>
      </c>
      <c r="J312" s="889"/>
      <c r="K312" s="889"/>
      <c r="L312" s="889"/>
      <c r="M312" s="890"/>
      <c r="N312" s="183">
        <f>SUM(N310:N311)</f>
        <v>306034182</v>
      </c>
    </row>
    <row r="313" spans="1:16" ht="11.25" customHeight="1">
      <c r="A313" s="61"/>
      <c r="B313" s="61"/>
      <c r="C313" s="61"/>
      <c r="D313" s="61"/>
      <c r="E313" s="61"/>
      <c r="I313" s="61"/>
      <c r="J313" s="61"/>
      <c r="K313" s="61"/>
      <c r="L313" s="61"/>
      <c r="M313" s="61"/>
    </row>
    <row r="314" spans="1:16">
      <c r="A314" s="51" t="s">
        <v>276</v>
      </c>
      <c r="I314" s="51" t="s">
        <v>1737</v>
      </c>
    </row>
    <row r="315" spans="1:16" ht="4.5" customHeight="1">
      <c r="F315" s="139"/>
      <c r="N315" s="139"/>
    </row>
    <row r="316" spans="1:16" ht="12.75" customHeight="1">
      <c r="A316" s="50" t="s">
        <v>105</v>
      </c>
      <c r="D316" s="146"/>
      <c r="F316" s="139"/>
      <c r="I316" s="50" t="s">
        <v>105</v>
      </c>
      <c r="L316" s="146"/>
      <c r="N316" s="139"/>
    </row>
    <row r="317" spans="1:16" ht="8.25" customHeight="1" thickBot="1"/>
    <row r="318" spans="1:16" ht="17.25" thickBot="1">
      <c r="A318" s="891" t="s">
        <v>106</v>
      </c>
      <c r="B318" s="892"/>
      <c r="C318" s="892"/>
      <c r="D318" s="893"/>
      <c r="F318" s="50" t="s">
        <v>270</v>
      </c>
      <c r="I318" s="891" t="s">
        <v>106</v>
      </c>
      <c r="J318" s="892"/>
      <c r="K318" s="892"/>
      <c r="L318" s="893"/>
      <c r="N318" s="604" t="s">
        <v>288</v>
      </c>
      <c r="O318" s="604"/>
      <c r="P318" s="604"/>
    </row>
    <row r="319" spans="1:16" ht="30.75" thickBot="1">
      <c r="A319" s="57" t="s">
        <v>100</v>
      </c>
      <c r="B319" s="58" t="s">
        <v>108</v>
      </c>
      <c r="C319" s="59" t="s">
        <v>109</v>
      </c>
      <c r="D319" s="60" t="s">
        <v>110</v>
      </c>
      <c r="I319" s="57" t="s">
        <v>100</v>
      </c>
      <c r="J319" s="58" t="s">
        <v>108</v>
      </c>
      <c r="K319" s="59" t="s">
        <v>109</v>
      </c>
      <c r="L319" s="60" t="s">
        <v>110</v>
      </c>
    </row>
    <row r="320" spans="1:16" ht="12" customHeight="1">
      <c r="A320" s="71">
        <v>719</v>
      </c>
      <c r="B320" s="73">
        <f>+H300+H302+H304+H306+H308</f>
        <v>650000</v>
      </c>
      <c r="C320" s="74" t="e">
        <f>+D283</f>
        <v>#REF!</v>
      </c>
      <c r="D320" s="76" t="e">
        <f>+B320+C320</f>
        <v>#REF!</v>
      </c>
      <c r="I320" s="71">
        <v>719</v>
      </c>
      <c r="J320" s="73">
        <f>+P300+P302+P304+P306+P308</f>
        <v>0</v>
      </c>
      <c r="K320" s="74">
        <f>+L283</f>
        <v>1890000</v>
      </c>
      <c r="L320" s="195">
        <f>+J320+K320</f>
        <v>1890000</v>
      </c>
    </row>
    <row r="321" spans="1:17" ht="13.5" customHeight="1">
      <c r="A321" s="72">
        <v>721</v>
      </c>
      <c r="B321" s="80">
        <f>+H307+H305+H303+H301+H309</f>
        <v>260000</v>
      </c>
      <c r="C321" s="74" t="e">
        <f>+D284</f>
        <v>#REF!</v>
      </c>
      <c r="D321" s="76" t="e">
        <f>+B321+C321</f>
        <v>#REF!</v>
      </c>
      <c r="I321" s="72">
        <v>721</v>
      </c>
      <c r="J321" s="80"/>
      <c r="K321" s="74">
        <f>+L284</f>
        <v>0</v>
      </c>
      <c r="L321" s="195">
        <f>+J321+K321</f>
        <v>0</v>
      </c>
    </row>
    <row r="322" spans="1:17" ht="12.75" customHeight="1">
      <c r="A322" s="72">
        <v>722</v>
      </c>
      <c r="B322" s="80"/>
      <c r="C322" s="74">
        <f>+D285</f>
        <v>231207671</v>
      </c>
      <c r="D322" s="76">
        <f>+B322+C322</f>
        <v>231207671</v>
      </c>
      <c r="I322" s="72">
        <v>722</v>
      </c>
      <c r="J322" s="80"/>
      <c r="K322" s="74">
        <f>+L285</f>
        <v>0</v>
      </c>
      <c r="L322" s="195">
        <f>+J322+K322</f>
        <v>0</v>
      </c>
    </row>
    <row r="323" spans="1:17" ht="12" customHeight="1">
      <c r="A323" s="72">
        <v>723</v>
      </c>
      <c r="B323" s="80"/>
      <c r="C323" s="74">
        <f>+D286</f>
        <v>319828837</v>
      </c>
      <c r="D323" s="76">
        <f>+B323+C323</f>
        <v>319828837</v>
      </c>
      <c r="F323" s="174" t="s">
        <v>262</v>
      </c>
      <c r="G323" s="175"/>
      <c r="I323" s="72">
        <v>723</v>
      </c>
      <c r="J323" s="80">
        <f>+P309+P307+P305+P303+P301</f>
        <v>33944990</v>
      </c>
      <c r="K323" s="74">
        <f>+L286</f>
        <v>270199192</v>
      </c>
      <c r="L323" s="195">
        <f>+J323+K323</f>
        <v>304144182</v>
      </c>
      <c r="N323" s="609" t="s">
        <v>1696</v>
      </c>
      <c r="O323" s="609"/>
      <c r="P323" s="609"/>
      <c r="Q323" s="259"/>
    </row>
    <row r="324" spans="1:17" ht="13.5" customHeight="1" thickBot="1">
      <c r="A324" s="164" t="s">
        <v>181</v>
      </c>
      <c r="B324" s="165"/>
      <c r="C324" s="74">
        <f>+D287</f>
        <v>1965625</v>
      </c>
      <c r="D324" s="168">
        <f>+B324+C324</f>
        <v>1965625</v>
      </c>
      <c r="F324" s="52"/>
      <c r="I324" s="164" t="s">
        <v>181</v>
      </c>
      <c r="J324" s="165"/>
      <c r="K324" s="74">
        <f>+L287</f>
        <v>0</v>
      </c>
      <c r="L324" s="196">
        <f>+J324+K324</f>
        <v>0</v>
      </c>
      <c r="N324" s="52"/>
    </row>
    <row r="325" spans="1:17" ht="16.5" thickBot="1">
      <c r="A325" s="169"/>
      <c r="B325" s="170">
        <f>SUM(B320:B324)</f>
        <v>910000</v>
      </c>
      <c r="C325" s="171" t="e">
        <f>SUM(C320:C324)</f>
        <v>#REF!</v>
      </c>
      <c r="D325" s="172" t="e">
        <f>SUM(D320:D324)</f>
        <v>#REF!</v>
      </c>
      <c r="I325" s="169"/>
      <c r="J325" s="197">
        <f>SUM(J320:J324)</f>
        <v>33944990</v>
      </c>
      <c r="K325" s="197">
        <f>SUM(K320:K324)</f>
        <v>272089192</v>
      </c>
      <c r="L325" s="198">
        <f>SUM(L320:L324)</f>
        <v>306034182</v>
      </c>
    </row>
    <row r="326" spans="1:17" ht="15" customHeight="1">
      <c r="A326" s="49" t="s">
        <v>88</v>
      </c>
      <c r="B326" s="50"/>
      <c r="I326" s="49" t="s">
        <v>88</v>
      </c>
      <c r="J326" s="50"/>
    </row>
    <row r="327" spans="1:17" ht="13.5" customHeight="1">
      <c r="A327" s="51" t="s">
        <v>89</v>
      </c>
      <c r="I327" s="51" t="s">
        <v>89</v>
      </c>
    </row>
    <row r="328" spans="1:17" ht="13.5" customHeight="1">
      <c r="A328" s="51" t="s">
        <v>90</v>
      </c>
      <c r="I328" s="51" t="s">
        <v>90</v>
      </c>
    </row>
    <row r="329" spans="1:17">
      <c r="A329" s="51" t="s">
        <v>91</v>
      </c>
      <c r="I329" s="51" t="s">
        <v>91</v>
      </c>
    </row>
    <row r="330" spans="1:17" ht="2.25" customHeight="1">
      <c r="A330" s="50"/>
      <c r="B330" s="50"/>
      <c r="I330" s="50"/>
      <c r="J330" s="50"/>
    </row>
    <row r="331" spans="1:17" ht="14.25" customHeight="1">
      <c r="A331" s="52" t="s">
        <v>277</v>
      </c>
      <c r="G331" s="52"/>
      <c r="I331" s="52" t="s">
        <v>590</v>
      </c>
      <c r="O331" s="52"/>
    </row>
    <row r="332" spans="1:17" ht="14.25" customHeight="1">
      <c r="A332" s="53" t="s">
        <v>92</v>
      </c>
      <c r="G332" s="53"/>
      <c r="I332" s="53" t="s">
        <v>1702</v>
      </c>
      <c r="O332" s="53"/>
    </row>
    <row r="333" spans="1:17" ht="15" customHeight="1">
      <c r="A333" s="894" t="s">
        <v>278</v>
      </c>
      <c r="B333" s="894"/>
      <c r="C333" s="894"/>
      <c r="D333" s="894"/>
      <c r="E333" s="894"/>
      <c r="F333" s="894"/>
      <c r="G333" s="894"/>
      <c r="H333" s="894"/>
      <c r="I333" s="894" t="s">
        <v>212</v>
      </c>
      <c r="J333" s="894"/>
      <c r="K333" s="894"/>
      <c r="L333" s="894"/>
      <c r="M333" s="894"/>
      <c r="N333" s="894"/>
      <c r="O333" s="894"/>
      <c r="P333" s="894"/>
    </row>
    <row r="334" spans="1:17" ht="9.75" customHeight="1" thickBot="1"/>
    <row r="335" spans="1:17">
      <c r="A335" s="895" t="s">
        <v>94</v>
      </c>
      <c r="B335" s="897" t="s">
        <v>95</v>
      </c>
      <c r="C335" s="897" t="s">
        <v>96</v>
      </c>
      <c r="D335" s="897" t="s">
        <v>3</v>
      </c>
      <c r="E335" s="897" t="s">
        <v>97</v>
      </c>
      <c r="F335" s="897" t="s">
        <v>98</v>
      </c>
      <c r="G335" s="897" t="s">
        <v>99</v>
      </c>
      <c r="H335" s="899"/>
      <c r="I335" s="895" t="s">
        <v>94</v>
      </c>
      <c r="J335" s="897" t="s">
        <v>95</v>
      </c>
      <c r="K335" s="897" t="s">
        <v>96</v>
      </c>
      <c r="L335" s="897" t="s">
        <v>3</v>
      </c>
      <c r="M335" s="897" t="s">
        <v>97</v>
      </c>
      <c r="N335" s="897" t="s">
        <v>98</v>
      </c>
      <c r="O335" s="897" t="s">
        <v>99</v>
      </c>
      <c r="P335" s="899"/>
    </row>
    <row r="336" spans="1:17" ht="15.75" thickBot="1">
      <c r="A336" s="896"/>
      <c r="B336" s="898"/>
      <c r="C336" s="898"/>
      <c r="D336" s="898"/>
      <c r="E336" s="898"/>
      <c r="F336" s="898"/>
      <c r="G336" s="240" t="s">
        <v>100</v>
      </c>
      <c r="H336" s="182" t="s">
        <v>101</v>
      </c>
      <c r="I336" s="896"/>
      <c r="J336" s="898"/>
      <c r="K336" s="898"/>
      <c r="L336" s="898"/>
      <c r="M336" s="898"/>
      <c r="N336" s="898"/>
      <c r="O336" s="240" t="s">
        <v>100</v>
      </c>
      <c r="P336" s="182" t="s">
        <v>101</v>
      </c>
    </row>
    <row r="337" spans="1:16" ht="12.75" customHeight="1">
      <c r="A337" s="881" t="e">
        <f>+A308+1</f>
        <v>#REF!</v>
      </c>
      <c r="B337" s="875">
        <v>42261</v>
      </c>
      <c r="C337" s="877" t="s">
        <v>267</v>
      </c>
      <c r="D337" s="881" t="s">
        <v>284</v>
      </c>
      <c r="E337" s="881" t="s">
        <v>115</v>
      </c>
      <c r="F337" s="883">
        <v>130000</v>
      </c>
      <c r="G337" s="55">
        <v>719</v>
      </c>
      <c r="H337" s="78">
        <v>130000</v>
      </c>
      <c r="I337" s="873" t="s">
        <v>610</v>
      </c>
      <c r="J337" s="875">
        <v>43531</v>
      </c>
      <c r="K337" s="877" t="s">
        <v>723</v>
      </c>
      <c r="L337" s="881" t="s">
        <v>1726</v>
      </c>
      <c r="M337" s="881" t="s">
        <v>148</v>
      </c>
      <c r="N337" s="883">
        <v>630000</v>
      </c>
      <c r="O337" s="55">
        <v>719</v>
      </c>
      <c r="P337" s="78"/>
    </row>
    <row r="338" spans="1:16" ht="12.75" customHeight="1" thickBot="1">
      <c r="A338" s="882"/>
      <c r="B338" s="934"/>
      <c r="C338" s="878"/>
      <c r="D338" s="882"/>
      <c r="E338" s="882"/>
      <c r="F338" s="884"/>
      <c r="G338" s="56">
        <v>721</v>
      </c>
      <c r="H338" s="79">
        <f>+F337-H337</f>
        <v>0</v>
      </c>
      <c r="I338" s="882"/>
      <c r="J338" s="876"/>
      <c r="K338" s="878"/>
      <c r="L338" s="882"/>
      <c r="M338" s="882"/>
      <c r="N338" s="884"/>
      <c r="O338" s="56">
        <v>723</v>
      </c>
      <c r="P338" s="79">
        <f>+N337-P337</f>
        <v>630000</v>
      </c>
    </row>
    <row r="339" spans="1:16" ht="13.5" customHeight="1">
      <c r="A339" s="881" t="e">
        <f>+A337+1</f>
        <v>#REF!</v>
      </c>
      <c r="B339" s="875">
        <v>42261</v>
      </c>
      <c r="C339" s="881" t="s">
        <v>28</v>
      </c>
      <c r="D339" s="881" t="s">
        <v>283</v>
      </c>
      <c r="E339" s="881" t="s">
        <v>115</v>
      </c>
      <c r="F339" s="883">
        <v>70000</v>
      </c>
      <c r="G339" s="55">
        <v>719</v>
      </c>
      <c r="H339" s="78">
        <v>70000</v>
      </c>
      <c r="I339" s="873" t="s">
        <v>611</v>
      </c>
      <c r="J339" s="875">
        <v>43531</v>
      </c>
      <c r="K339" s="877" t="s">
        <v>738</v>
      </c>
      <c r="L339" s="881" t="s">
        <v>1726</v>
      </c>
      <c r="M339" s="881" t="s">
        <v>148</v>
      </c>
      <c r="N339" s="883">
        <v>3937500</v>
      </c>
      <c r="O339" s="55">
        <v>719</v>
      </c>
      <c r="P339" s="78"/>
    </row>
    <row r="340" spans="1:16" ht="12.75" customHeight="1" thickBot="1">
      <c r="A340" s="882"/>
      <c r="B340" s="934"/>
      <c r="C340" s="882"/>
      <c r="D340" s="882"/>
      <c r="E340" s="882"/>
      <c r="F340" s="884"/>
      <c r="G340" s="56">
        <v>721</v>
      </c>
      <c r="H340" s="79">
        <f>+F339-H339</f>
        <v>0</v>
      </c>
      <c r="I340" s="882"/>
      <c r="J340" s="876"/>
      <c r="K340" s="878"/>
      <c r="L340" s="882"/>
      <c r="M340" s="882"/>
      <c r="N340" s="884"/>
      <c r="O340" s="56">
        <v>723</v>
      </c>
      <c r="P340" s="79">
        <f>+N339-P339</f>
        <v>3937500</v>
      </c>
    </row>
    <row r="341" spans="1:16" ht="13.5" customHeight="1">
      <c r="A341" s="881" t="e">
        <f>+A339+1</f>
        <v>#REF!</v>
      </c>
      <c r="B341" s="875">
        <v>42261</v>
      </c>
      <c r="C341" s="877" t="s">
        <v>32</v>
      </c>
      <c r="D341" s="881" t="s">
        <v>283</v>
      </c>
      <c r="E341" s="881" t="s">
        <v>115</v>
      </c>
      <c r="F341" s="883">
        <v>50000</v>
      </c>
      <c r="G341" s="55">
        <v>719</v>
      </c>
      <c r="H341" s="78">
        <v>50000</v>
      </c>
      <c r="I341" s="873" t="s">
        <v>617</v>
      </c>
      <c r="J341" s="875">
        <v>43531</v>
      </c>
      <c r="K341" s="877" t="s">
        <v>1755</v>
      </c>
      <c r="L341" s="881" t="s">
        <v>1726</v>
      </c>
      <c r="M341" s="881" t="s">
        <v>148</v>
      </c>
      <c r="N341" s="883">
        <v>3780000</v>
      </c>
      <c r="O341" s="55">
        <v>719</v>
      </c>
      <c r="P341" s="78"/>
    </row>
    <row r="342" spans="1:16" ht="13.5" customHeight="1" thickBot="1">
      <c r="A342" s="882"/>
      <c r="B342" s="934"/>
      <c r="C342" s="878"/>
      <c r="D342" s="882"/>
      <c r="E342" s="882"/>
      <c r="F342" s="884"/>
      <c r="G342" s="56">
        <v>721</v>
      </c>
      <c r="H342" s="79">
        <f>+F341-H341</f>
        <v>0</v>
      </c>
      <c r="I342" s="882"/>
      <c r="J342" s="876"/>
      <c r="K342" s="878"/>
      <c r="L342" s="882"/>
      <c r="M342" s="882"/>
      <c r="N342" s="884"/>
      <c r="O342" s="56">
        <v>723</v>
      </c>
      <c r="P342" s="79">
        <f>+N341-P341</f>
        <v>3780000</v>
      </c>
    </row>
    <row r="343" spans="1:16" ht="13.5" customHeight="1">
      <c r="A343" s="881" t="e">
        <f>+A341+1</f>
        <v>#REF!</v>
      </c>
      <c r="B343" s="875">
        <v>42261</v>
      </c>
      <c r="C343" s="910" t="s">
        <v>281</v>
      </c>
      <c r="D343" s="881" t="s">
        <v>280</v>
      </c>
      <c r="E343" s="881" t="s">
        <v>148</v>
      </c>
      <c r="F343" s="883">
        <v>1100000</v>
      </c>
      <c r="G343" s="55">
        <v>719</v>
      </c>
      <c r="H343" s="78"/>
      <c r="I343" s="873" t="s">
        <v>618</v>
      </c>
      <c r="J343" s="875">
        <v>43531</v>
      </c>
      <c r="K343" s="877" t="s">
        <v>739</v>
      </c>
      <c r="L343" s="881" t="s">
        <v>1726</v>
      </c>
      <c r="M343" s="881" t="s">
        <v>148</v>
      </c>
      <c r="N343" s="883">
        <v>1440000</v>
      </c>
      <c r="O343" s="55">
        <v>719</v>
      </c>
      <c r="P343" s="78"/>
    </row>
    <row r="344" spans="1:16" ht="12.75" customHeight="1" thickBot="1">
      <c r="A344" s="882"/>
      <c r="B344" s="934"/>
      <c r="C344" s="911"/>
      <c r="D344" s="882"/>
      <c r="E344" s="882"/>
      <c r="F344" s="884"/>
      <c r="G344" s="56">
        <v>723</v>
      </c>
      <c r="H344" s="79">
        <f>+F343-H343</f>
        <v>1100000</v>
      </c>
      <c r="I344" s="882"/>
      <c r="J344" s="876"/>
      <c r="K344" s="878"/>
      <c r="L344" s="882"/>
      <c r="M344" s="882"/>
      <c r="N344" s="884"/>
      <c r="O344" s="56">
        <v>723</v>
      </c>
      <c r="P344" s="79">
        <f>+N343-P343</f>
        <v>1440000</v>
      </c>
    </row>
    <row r="345" spans="1:16" ht="12.75" customHeight="1">
      <c r="A345" s="881" t="e">
        <f>+A343+1</f>
        <v>#REF!</v>
      </c>
      <c r="B345" s="875">
        <v>42261</v>
      </c>
      <c r="C345" s="910" t="s">
        <v>282</v>
      </c>
      <c r="D345" s="881" t="s">
        <v>279</v>
      </c>
      <c r="E345" s="881" t="s">
        <v>165</v>
      </c>
      <c r="F345" s="883">
        <v>300000</v>
      </c>
      <c r="G345" s="55">
        <v>719</v>
      </c>
      <c r="H345" s="78"/>
      <c r="I345" s="873" t="s">
        <v>619</v>
      </c>
      <c r="J345" s="875">
        <v>43531</v>
      </c>
      <c r="K345" s="877" t="s">
        <v>1753</v>
      </c>
      <c r="L345" s="881" t="s">
        <v>1726</v>
      </c>
      <c r="M345" s="881" t="s">
        <v>148</v>
      </c>
      <c r="N345" s="883">
        <v>4200000</v>
      </c>
      <c r="O345" s="55">
        <v>719</v>
      </c>
      <c r="P345" s="78"/>
    </row>
    <row r="346" spans="1:16" ht="13.5" customHeight="1" thickBot="1">
      <c r="A346" s="882"/>
      <c r="B346" s="934"/>
      <c r="C346" s="911"/>
      <c r="D346" s="882"/>
      <c r="E346" s="882"/>
      <c r="F346" s="884"/>
      <c r="G346" s="56">
        <v>723</v>
      </c>
      <c r="H346" s="79">
        <f>+F345-H345</f>
        <v>300000</v>
      </c>
      <c r="I346" s="882"/>
      <c r="J346" s="876"/>
      <c r="K346" s="878"/>
      <c r="L346" s="882"/>
      <c r="M346" s="882"/>
      <c r="N346" s="884"/>
      <c r="O346" s="56">
        <v>723</v>
      </c>
      <c r="P346" s="79">
        <f>+N345-P345</f>
        <v>4200000</v>
      </c>
    </row>
    <row r="347" spans="1:16" ht="14.25" customHeight="1" thickBot="1">
      <c r="A347" s="901" t="s">
        <v>102</v>
      </c>
      <c r="B347" s="902"/>
      <c r="C347" s="902"/>
      <c r="D347" s="902"/>
      <c r="E347" s="903"/>
      <c r="F347" s="81">
        <f>SUM(F337:F346)</f>
        <v>1650000</v>
      </c>
      <c r="I347" s="901" t="s">
        <v>102</v>
      </c>
      <c r="J347" s="902"/>
      <c r="K347" s="902"/>
      <c r="L347" s="902"/>
      <c r="M347" s="903"/>
      <c r="N347" s="81">
        <f>SUM(N337:N346)</f>
        <v>13987500</v>
      </c>
    </row>
    <row r="348" spans="1:16" ht="15" customHeight="1" thickBot="1">
      <c r="A348" s="885" t="s">
        <v>103</v>
      </c>
      <c r="B348" s="886"/>
      <c r="C348" s="886"/>
      <c r="D348" s="886"/>
      <c r="E348" s="887"/>
      <c r="F348" s="69">
        <f>+F312</f>
        <v>623662225</v>
      </c>
      <c r="I348" s="885" t="s">
        <v>103</v>
      </c>
      <c r="J348" s="886"/>
      <c r="K348" s="886"/>
      <c r="L348" s="886"/>
      <c r="M348" s="887"/>
      <c r="N348" s="239">
        <f>+N312</f>
        <v>306034182</v>
      </c>
      <c r="O348" s="241" t="s">
        <v>561</v>
      </c>
      <c r="P348" s="242"/>
    </row>
    <row r="349" spans="1:16" ht="13.5" customHeight="1" thickBot="1">
      <c r="A349" s="888" t="s">
        <v>104</v>
      </c>
      <c r="B349" s="889"/>
      <c r="C349" s="889"/>
      <c r="D349" s="889"/>
      <c r="E349" s="890"/>
      <c r="F349" s="183">
        <f>SUM(F347:F348)</f>
        <v>625312225</v>
      </c>
      <c r="I349" s="888" t="s">
        <v>104</v>
      </c>
      <c r="J349" s="889"/>
      <c r="K349" s="889"/>
      <c r="L349" s="889"/>
      <c r="M349" s="890"/>
      <c r="N349" s="183">
        <f>SUM(N347:N348)</f>
        <v>320021682</v>
      </c>
    </row>
    <row r="350" spans="1:16" ht="12.75" customHeight="1">
      <c r="A350" s="61"/>
      <c r="B350" s="61"/>
      <c r="C350" s="61"/>
      <c r="D350" s="61"/>
      <c r="E350" s="61"/>
      <c r="I350" s="61"/>
      <c r="J350" s="61"/>
      <c r="K350" s="61"/>
      <c r="L350" s="61"/>
      <c r="M350" s="61"/>
    </row>
    <row r="351" spans="1:16">
      <c r="A351" s="51" t="s">
        <v>285</v>
      </c>
      <c r="I351" s="51" t="s">
        <v>1747</v>
      </c>
    </row>
    <row r="352" spans="1:16" ht="3.75" customHeight="1">
      <c r="F352" s="139"/>
      <c r="N352" s="139"/>
    </row>
    <row r="353" spans="1:16" ht="12.75" customHeight="1">
      <c r="A353" s="50" t="s">
        <v>105</v>
      </c>
      <c r="D353" s="146"/>
      <c r="F353" s="139"/>
      <c r="I353" s="50" t="s">
        <v>105</v>
      </c>
      <c r="L353" s="146"/>
      <c r="N353" s="139" t="s">
        <v>631</v>
      </c>
    </row>
    <row r="354" spans="1:16" ht="9" customHeight="1" thickBot="1"/>
    <row r="355" spans="1:16" ht="17.25" thickBot="1">
      <c r="A355" s="891" t="s">
        <v>106</v>
      </c>
      <c r="B355" s="892"/>
      <c r="C355" s="892"/>
      <c r="D355" s="893"/>
      <c r="F355" s="50" t="s">
        <v>270</v>
      </c>
      <c r="I355" s="891" t="s">
        <v>106</v>
      </c>
      <c r="J355" s="892"/>
      <c r="K355" s="892"/>
      <c r="L355" s="893"/>
      <c r="N355" s="604" t="s">
        <v>288</v>
      </c>
      <c r="O355" s="604"/>
      <c r="P355" s="604"/>
    </row>
    <row r="356" spans="1:16" ht="30.75" thickBot="1">
      <c r="A356" s="57" t="s">
        <v>100</v>
      </c>
      <c r="B356" s="58" t="s">
        <v>108</v>
      </c>
      <c r="C356" s="59" t="s">
        <v>109</v>
      </c>
      <c r="D356" s="60" t="s">
        <v>110</v>
      </c>
      <c r="I356" s="57" t="s">
        <v>100</v>
      </c>
      <c r="J356" s="58" t="s">
        <v>108</v>
      </c>
      <c r="K356" s="59" t="s">
        <v>109</v>
      </c>
      <c r="L356" s="60" t="s">
        <v>110</v>
      </c>
    </row>
    <row r="357" spans="1:16" ht="13.5" customHeight="1">
      <c r="A357" s="71">
        <v>719</v>
      </c>
      <c r="B357" s="73">
        <f>+H337+H339+H341+H343+H345</f>
        <v>250000</v>
      </c>
      <c r="C357" s="74" t="e">
        <f>+D320</f>
        <v>#REF!</v>
      </c>
      <c r="D357" s="76" t="e">
        <f>+B357+C357</f>
        <v>#REF!</v>
      </c>
      <c r="I357" s="71">
        <v>719</v>
      </c>
      <c r="J357" s="73">
        <f>+P337+P339+P341+P343+P345</f>
        <v>0</v>
      </c>
      <c r="K357" s="74">
        <f>+L320</f>
        <v>1890000</v>
      </c>
      <c r="L357" s="195">
        <f>+J357+K357</f>
        <v>1890000</v>
      </c>
    </row>
    <row r="358" spans="1:16" ht="13.5" customHeight="1">
      <c r="A358" s="72">
        <v>721</v>
      </c>
      <c r="B358" s="80"/>
      <c r="C358" s="74" t="e">
        <f>+D321</f>
        <v>#REF!</v>
      </c>
      <c r="D358" s="76" t="e">
        <f>+B358+C358</f>
        <v>#REF!</v>
      </c>
      <c r="I358" s="72">
        <v>721</v>
      </c>
      <c r="J358" s="80"/>
      <c r="K358" s="74">
        <f>+L321</f>
        <v>0</v>
      </c>
      <c r="L358" s="195">
        <f>+J358+K358</f>
        <v>0</v>
      </c>
    </row>
    <row r="359" spans="1:16" ht="13.5" customHeight="1">
      <c r="A359" s="72">
        <v>722</v>
      </c>
      <c r="B359" s="80"/>
      <c r="C359" s="74">
        <f>+D322</f>
        <v>231207671</v>
      </c>
      <c r="D359" s="76">
        <f>+B359+C359</f>
        <v>231207671</v>
      </c>
      <c r="I359" s="72">
        <v>722</v>
      </c>
      <c r="J359" s="80"/>
      <c r="K359" s="74">
        <f>+L322</f>
        <v>0</v>
      </c>
      <c r="L359" s="195">
        <f>+J359+K359</f>
        <v>0</v>
      </c>
    </row>
    <row r="360" spans="1:16" ht="13.5" customHeight="1">
      <c r="A360" s="72">
        <v>723</v>
      </c>
      <c r="B360" s="80">
        <f>+H344+H346</f>
        <v>1400000</v>
      </c>
      <c r="C360" s="74">
        <f>+D323</f>
        <v>319828837</v>
      </c>
      <c r="D360" s="76">
        <f>+B360+C360</f>
        <v>321228837</v>
      </c>
      <c r="F360" s="174" t="s">
        <v>262</v>
      </c>
      <c r="G360" s="175"/>
      <c r="I360" s="72">
        <v>723</v>
      </c>
      <c r="J360" s="80">
        <f>+P346+P344+P342+P340+P338</f>
        <v>13987500</v>
      </c>
      <c r="K360" s="74">
        <f>+L323</f>
        <v>304144182</v>
      </c>
      <c r="L360" s="195">
        <f>+J360+K360</f>
        <v>318131682</v>
      </c>
      <c r="N360" s="918" t="s">
        <v>1696</v>
      </c>
      <c r="O360" s="608"/>
      <c r="P360" s="608"/>
    </row>
    <row r="361" spans="1:16" ht="13.5" customHeight="1" thickBot="1">
      <c r="A361" s="164" t="s">
        <v>181</v>
      </c>
      <c r="B361" s="165"/>
      <c r="C361" s="74">
        <f>+D324</f>
        <v>1965625</v>
      </c>
      <c r="D361" s="168">
        <f>+B361+C361</f>
        <v>1965625</v>
      </c>
      <c r="F361" s="52"/>
      <c r="I361" s="164" t="s">
        <v>181</v>
      </c>
      <c r="J361" s="165"/>
      <c r="K361" s="74">
        <f>+L324</f>
        <v>0</v>
      </c>
      <c r="L361" s="196">
        <f>+J361+K361</f>
        <v>0</v>
      </c>
      <c r="N361" s="52"/>
    </row>
    <row r="362" spans="1:16" ht="16.5" thickBot="1">
      <c r="A362" s="169"/>
      <c r="B362" s="170">
        <f>SUM(B357:B361)</f>
        <v>1650000</v>
      </c>
      <c r="C362" s="171" t="e">
        <f>SUM(C357:C361)</f>
        <v>#REF!</v>
      </c>
      <c r="D362" s="172" t="e">
        <f>SUM(D357:D361)</f>
        <v>#REF!</v>
      </c>
      <c r="I362" s="169"/>
      <c r="J362" s="197">
        <f>SUM(J357:J361)</f>
        <v>13987500</v>
      </c>
      <c r="K362" s="197">
        <f>SUM(K357:K361)</f>
        <v>306034182</v>
      </c>
      <c r="L362" s="198">
        <f>SUM(L357:L361)</f>
        <v>320021682</v>
      </c>
    </row>
    <row r="363" spans="1:16" ht="12.75" customHeight="1">
      <c r="A363" s="49" t="s">
        <v>88</v>
      </c>
      <c r="B363" s="50"/>
      <c r="I363" s="49" t="s">
        <v>88</v>
      </c>
      <c r="J363" s="50"/>
    </row>
    <row r="364" spans="1:16" ht="13.5" customHeight="1">
      <c r="A364" s="51" t="s">
        <v>89</v>
      </c>
      <c r="I364" s="51" t="s">
        <v>89</v>
      </c>
    </row>
    <row r="365" spans="1:16" ht="13.5" customHeight="1">
      <c r="A365" s="51" t="s">
        <v>90</v>
      </c>
      <c r="I365" s="51" t="s">
        <v>90</v>
      </c>
    </row>
    <row r="366" spans="1:16">
      <c r="A366" s="51" t="s">
        <v>91</v>
      </c>
      <c r="I366" s="51" t="s">
        <v>91</v>
      </c>
    </row>
    <row r="367" spans="1:16" ht="3" customHeight="1">
      <c r="A367" s="50"/>
      <c r="B367" s="50"/>
      <c r="I367" s="50"/>
      <c r="J367" s="50"/>
    </row>
    <row r="368" spans="1:16" ht="14.25" customHeight="1">
      <c r="A368" s="52" t="s">
        <v>287</v>
      </c>
      <c r="G368" s="52"/>
      <c r="I368" s="52" t="s">
        <v>606</v>
      </c>
      <c r="O368" s="52"/>
    </row>
    <row r="369" spans="1:16" ht="15.75">
      <c r="A369" s="53" t="s">
        <v>92</v>
      </c>
      <c r="G369" s="53"/>
      <c r="I369" s="53" t="s">
        <v>1702</v>
      </c>
      <c r="O369" s="53"/>
    </row>
    <row r="370" spans="1:16" ht="14.25" customHeight="1">
      <c r="A370" s="894" t="s">
        <v>261</v>
      </c>
      <c r="B370" s="894"/>
      <c r="C370" s="894"/>
      <c r="D370" s="894"/>
      <c r="E370" s="894"/>
      <c r="F370" s="894"/>
      <c r="G370" s="894"/>
      <c r="H370" s="894"/>
      <c r="I370" s="894" t="s">
        <v>261</v>
      </c>
      <c r="J370" s="894"/>
      <c r="K370" s="894"/>
      <c r="L370" s="894"/>
      <c r="M370" s="894"/>
      <c r="N370" s="894"/>
      <c r="O370" s="894"/>
      <c r="P370" s="894"/>
    </row>
    <row r="371" spans="1:16" ht="10.5" customHeight="1" thickBot="1"/>
    <row r="372" spans="1:16">
      <c r="A372" s="895" t="s">
        <v>94</v>
      </c>
      <c r="B372" s="897" t="s">
        <v>95</v>
      </c>
      <c r="C372" s="897" t="s">
        <v>96</v>
      </c>
      <c r="D372" s="897" t="s">
        <v>3</v>
      </c>
      <c r="E372" s="897" t="s">
        <v>97</v>
      </c>
      <c r="F372" s="897" t="s">
        <v>98</v>
      </c>
      <c r="G372" s="897" t="s">
        <v>99</v>
      </c>
      <c r="H372" s="899"/>
      <c r="I372" s="895" t="s">
        <v>94</v>
      </c>
      <c r="J372" s="897" t="s">
        <v>95</v>
      </c>
      <c r="K372" s="897" t="s">
        <v>96</v>
      </c>
      <c r="L372" s="897" t="s">
        <v>3</v>
      </c>
      <c r="M372" s="897" t="s">
        <v>97</v>
      </c>
      <c r="N372" s="897" t="s">
        <v>98</v>
      </c>
      <c r="O372" s="897" t="s">
        <v>99</v>
      </c>
      <c r="P372" s="899"/>
    </row>
    <row r="373" spans="1:16" ht="15.75" thickBot="1">
      <c r="A373" s="896"/>
      <c r="B373" s="898"/>
      <c r="C373" s="898"/>
      <c r="D373" s="898"/>
      <c r="E373" s="898"/>
      <c r="F373" s="898"/>
      <c r="G373" s="240" t="s">
        <v>100</v>
      </c>
      <c r="H373" s="182" t="s">
        <v>101</v>
      </c>
      <c r="I373" s="896"/>
      <c r="J373" s="898"/>
      <c r="K373" s="898"/>
      <c r="L373" s="898"/>
      <c r="M373" s="898"/>
      <c r="N373" s="898"/>
      <c r="O373" s="240" t="s">
        <v>100</v>
      </c>
      <c r="P373" s="182" t="s">
        <v>101</v>
      </c>
    </row>
    <row r="374" spans="1:16" ht="13.5" customHeight="1">
      <c r="A374" s="881" t="e">
        <f>+A345+1</f>
        <v>#REF!</v>
      </c>
      <c r="B374" s="875">
        <v>42264</v>
      </c>
      <c r="C374" s="877" t="s">
        <v>267</v>
      </c>
      <c r="D374" s="881" t="s">
        <v>290</v>
      </c>
      <c r="E374" s="881" t="s">
        <v>148</v>
      </c>
      <c r="F374" s="883">
        <v>168000</v>
      </c>
      <c r="G374" s="55">
        <v>719</v>
      </c>
      <c r="H374" s="78">
        <v>120000</v>
      </c>
      <c r="I374" s="873" t="s">
        <v>1409</v>
      </c>
      <c r="J374" s="875">
        <v>43531</v>
      </c>
      <c r="K374" s="877" t="s">
        <v>1650</v>
      </c>
      <c r="L374" s="881" t="s">
        <v>1726</v>
      </c>
      <c r="M374" s="881" t="s">
        <v>148</v>
      </c>
      <c r="N374" s="883">
        <v>5000000</v>
      </c>
      <c r="O374" s="55">
        <v>719</v>
      </c>
      <c r="P374" s="78"/>
    </row>
    <row r="375" spans="1:16" ht="12.75" customHeight="1" thickBot="1">
      <c r="A375" s="882"/>
      <c r="B375" s="934"/>
      <c r="C375" s="878"/>
      <c r="D375" s="882"/>
      <c r="E375" s="882"/>
      <c r="F375" s="884"/>
      <c r="G375" s="56">
        <v>721</v>
      </c>
      <c r="H375" s="79">
        <f>+F374-H374</f>
        <v>48000</v>
      </c>
      <c r="I375" s="882"/>
      <c r="J375" s="876"/>
      <c r="K375" s="878"/>
      <c r="L375" s="882"/>
      <c r="M375" s="882"/>
      <c r="N375" s="884"/>
      <c r="O375" s="56">
        <v>723</v>
      </c>
      <c r="P375" s="79">
        <f>+N374-P374</f>
        <v>5000000</v>
      </c>
    </row>
    <row r="376" spans="1:16" ht="14.25" customHeight="1">
      <c r="A376" s="881" t="e">
        <f>+A374+1</f>
        <v>#REF!</v>
      </c>
      <c r="B376" s="875">
        <v>42264</v>
      </c>
      <c r="C376" s="881" t="s">
        <v>28</v>
      </c>
      <c r="D376" s="881" t="s">
        <v>292</v>
      </c>
      <c r="E376" s="881" t="s">
        <v>148</v>
      </c>
      <c r="F376" s="883">
        <v>238000</v>
      </c>
      <c r="G376" s="55">
        <v>719</v>
      </c>
      <c r="H376" s="78">
        <v>170000</v>
      </c>
      <c r="I376" s="873" t="s">
        <v>1410</v>
      </c>
      <c r="J376" s="875">
        <v>43531</v>
      </c>
      <c r="K376" s="877" t="s">
        <v>1738</v>
      </c>
      <c r="L376" s="881" t="s">
        <v>1726</v>
      </c>
      <c r="M376" s="881" t="s">
        <v>148</v>
      </c>
      <c r="N376" s="883">
        <v>8237040</v>
      </c>
      <c r="O376" s="55">
        <v>719</v>
      </c>
      <c r="P376" s="78"/>
    </row>
    <row r="377" spans="1:16" ht="14.25" customHeight="1" thickBot="1">
      <c r="A377" s="882"/>
      <c r="B377" s="934"/>
      <c r="C377" s="882"/>
      <c r="D377" s="882"/>
      <c r="E377" s="882"/>
      <c r="F377" s="884"/>
      <c r="G377" s="56">
        <v>721</v>
      </c>
      <c r="H377" s="79">
        <f>+F376-H376</f>
        <v>68000</v>
      </c>
      <c r="I377" s="882"/>
      <c r="J377" s="876"/>
      <c r="K377" s="878"/>
      <c r="L377" s="882"/>
      <c r="M377" s="882"/>
      <c r="N377" s="884"/>
      <c r="O377" s="56">
        <v>723</v>
      </c>
      <c r="P377" s="79">
        <f>+N376-P376</f>
        <v>8237040</v>
      </c>
    </row>
    <row r="378" spans="1:16" ht="12.75" customHeight="1">
      <c r="A378" s="881" t="e">
        <f>+A376+1</f>
        <v>#REF!</v>
      </c>
      <c r="B378" s="875">
        <v>42264</v>
      </c>
      <c r="C378" s="877" t="s">
        <v>32</v>
      </c>
      <c r="D378" s="881" t="s">
        <v>292</v>
      </c>
      <c r="E378" s="881" t="s">
        <v>148</v>
      </c>
      <c r="F378" s="883">
        <v>126000</v>
      </c>
      <c r="G378" s="55">
        <v>719</v>
      </c>
      <c r="H378" s="78">
        <v>90000</v>
      </c>
      <c r="I378" s="873" t="s">
        <v>1411</v>
      </c>
      <c r="J378" s="875">
        <v>43531</v>
      </c>
      <c r="K378" s="877" t="s">
        <v>693</v>
      </c>
      <c r="L378" s="881" t="s">
        <v>1726</v>
      </c>
      <c r="M378" s="881" t="s">
        <v>148</v>
      </c>
      <c r="N378" s="883">
        <v>5250000</v>
      </c>
      <c r="O378" s="55">
        <v>719</v>
      </c>
      <c r="P378" s="78"/>
    </row>
    <row r="379" spans="1:16" ht="12.75" customHeight="1" thickBot="1">
      <c r="A379" s="882"/>
      <c r="B379" s="934"/>
      <c r="C379" s="878"/>
      <c r="D379" s="882"/>
      <c r="E379" s="882"/>
      <c r="F379" s="884"/>
      <c r="G379" s="56">
        <v>721</v>
      </c>
      <c r="H379" s="79">
        <f>+F378-H378</f>
        <v>36000</v>
      </c>
      <c r="I379" s="882"/>
      <c r="J379" s="876"/>
      <c r="K379" s="878"/>
      <c r="L379" s="882"/>
      <c r="M379" s="882"/>
      <c r="N379" s="884"/>
      <c r="O379" s="56">
        <v>723</v>
      </c>
      <c r="P379" s="79">
        <f>+N378-P378</f>
        <v>5250000</v>
      </c>
    </row>
    <row r="380" spans="1:16" ht="13.5" customHeight="1">
      <c r="A380" s="881" t="e">
        <f>+A378+1</f>
        <v>#REF!</v>
      </c>
      <c r="B380" s="875">
        <v>42264</v>
      </c>
      <c r="C380" s="877" t="s">
        <v>111</v>
      </c>
      <c r="D380" s="881" t="s">
        <v>291</v>
      </c>
      <c r="E380" s="881" t="s">
        <v>148</v>
      </c>
      <c r="F380" s="883">
        <v>84000</v>
      </c>
      <c r="G380" s="55">
        <v>719</v>
      </c>
      <c r="H380" s="78">
        <v>60000</v>
      </c>
      <c r="I380" s="873" t="s">
        <v>1420</v>
      </c>
      <c r="J380" s="875">
        <v>43531</v>
      </c>
      <c r="K380" s="877" t="s">
        <v>1658</v>
      </c>
      <c r="L380" s="881" t="s">
        <v>1726</v>
      </c>
      <c r="M380" s="881" t="s">
        <v>148</v>
      </c>
      <c r="N380" s="883">
        <v>3980000</v>
      </c>
      <c r="O380" s="55">
        <v>719</v>
      </c>
      <c r="P380" s="78"/>
    </row>
    <row r="381" spans="1:16" ht="13.5" customHeight="1" thickBot="1">
      <c r="A381" s="882"/>
      <c r="B381" s="934"/>
      <c r="C381" s="878"/>
      <c r="D381" s="882"/>
      <c r="E381" s="882"/>
      <c r="F381" s="884"/>
      <c r="G381" s="56">
        <v>721</v>
      </c>
      <c r="H381" s="79">
        <f>+F380-H380</f>
        <v>24000</v>
      </c>
      <c r="I381" s="882"/>
      <c r="J381" s="876"/>
      <c r="K381" s="878"/>
      <c r="L381" s="882"/>
      <c r="M381" s="882"/>
      <c r="N381" s="884"/>
      <c r="O381" s="56">
        <v>723</v>
      </c>
      <c r="P381" s="79">
        <f>+N380-P380</f>
        <v>3980000</v>
      </c>
    </row>
    <row r="382" spans="1:16" ht="13.5" customHeight="1">
      <c r="A382" s="881" t="e">
        <f>+A380+1</f>
        <v>#REF!</v>
      </c>
      <c r="B382" s="875">
        <v>42264</v>
      </c>
      <c r="C382" s="877" t="s">
        <v>272</v>
      </c>
      <c r="D382" s="881" t="s">
        <v>290</v>
      </c>
      <c r="E382" s="881" t="s">
        <v>148</v>
      </c>
      <c r="F382" s="883">
        <v>532000</v>
      </c>
      <c r="G382" s="55">
        <v>719</v>
      </c>
      <c r="H382" s="78">
        <v>380000</v>
      </c>
      <c r="I382" s="873" t="s">
        <v>1421</v>
      </c>
      <c r="J382" s="875">
        <v>43531</v>
      </c>
      <c r="K382" s="877" t="s">
        <v>889</v>
      </c>
      <c r="L382" s="881" t="s">
        <v>1726</v>
      </c>
      <c r="M382" s="881" t="s">
        <v>145</v>
      </c>
      <c r="N382" s="883">
        <v>4528000</v>
      </c>
      <c r="O382" s="55">
        <v>719</v>
      </c>
      <c r="P382" s="78"/>
    </row>
    <row r="383" spans="1:16" ht="14.25" customHeight="1" thickBot="1">
      <c r="A383" s="882"/>
      <c r="B383" s="934"/>
      <c r="C383" s="878"/>
      <c r="D383" s="882"/>
      <c r="E383" s="882"/>
      <c r="F383" s="884"/>
      <c r="G383" s="56">
        <v>721</v>
      </c>
      <c r="H383" s="79">
        <f>+F382-H382</f>
        <v>152000</v>
      </c>
      <c r="I383" s="882"/>
      <c r="J383" s="876"/>
      <c r="K383" s="878"/>
      <c r="L383" s="882"/>
      <c r="M383" s="882"/>
      <c r="N383" s="884"/>
      <c r="O383" s="56">
        <v>723</v>
      </c>
      <c r="P383" s="79">
        <f>+N382-P382</f>
        <v>4528000</v>
      </c>
    </row>
    <row r="384" spans="1:16" ht="14.25" customHeight="1" thickBot="1">
      <c r="A384" s="901" t="s">
        <v>102</v>
      </c>
      <c r="B384" s="902"/>
      <c r="C384" s="902"/>
      <c r="D384" s="902"/>
      <c r="E384" s="903"/>
      <c r="F384" s="81">
        <f>SUM(F374:F383)</f>
        <v>1148000</v>
      </c>
      <c r="I384" s="901" t="s">
        <v>102</v>
      </c>
      <c r="J384" s="902"/>
      <c r="K384" s="902"/>
      <c r="L384" s="902"/>
      <c r="M384" s="903"/>
      <c r="N384" s="81">
        <f>SUM(N374:N383)</f>
        <v>26995040</v>
      </c>
    </row>
    <row r="385" spans="1:16" ht="13.5" customHeight="1" thickBot="1">
      <c r="A385" s="885" t="s">
        <v>103</v>
      </c>
      <c r="B385" s="886"/>
      <c r="C385" s="886"/>
      <c r="D385" s="886"/>
      <c r="E385" s="887"/>
      <c r="F385" s="69">
        <f>+F349</f>
        <v>625312225</v>
      </c>
      <c r="I385" s="885" t="s">
        <v>103</v>
      </c>
      <c r="J385" s="886"/>
      <c r="K385" s="886"/>
      <c r="L385" s="886"/>
      <c r="M385" s="887"/>
      <c r="N385" s="239">
        <f>+N349</f>
        <v>320021682</v>
      </c>
      <c r="O385" s="241" t="s">
        <v>561</v>
      </c>
      <c r="P385" s="242"/>
    </row>
    <row r="386" spans="1:16" ht="14.25" customHeight="1" thickBot="1">
      <c r="A386" s="888" t="s">
        <v>104</v>
      </c>
      <c r="B386" s="889"/>
      <c r="C386" s="889"/>
      <c r="D386" s="889"/>
      <c r="E386" s="890"/>
      <c r="F386" s="183">
        <f>SUM(F384:F385)</f>
        <v>626460225</v>
      </c>
      <c r="I386" s="888" t="s">
        <v>104</v>
      </c>
      <c r="J386" s="889"/>
      <c r="K386" s="889"/>
      <c r="L386" s="889"/>
      <c r="M386" s="890"/>
      <c r="N386" s="183">
        <f>SUM(N384:N385)</f>
        <v>347016722</v>
      </c>
    </row>
    <row r="387" spans="1:16" ht="10.5" customHeight="1">
      <c r="A387" s="61"/>
      <c r="B387" s="61"/>
      <c r="C387" s="61"/>
      <c r="D387" s="61"/>
      <c r="E387" s="61"/>
      <c r="I387" s="61"/>
      <c r="J387" s="61"/>
      <c r="K387" s="61"/>
      <c r="L387" s="61"/>
      <c r="M387" s="61"/>
    </row>
    <row r="388" spans="1:16">
      <c r="A388" s="51" t="s">
        <v>294</v>
      </c>
      <c r="I388" s="51" t="s">
        <v>1748</v>
      </c>
    </row>
    <row r="389" spans="1:16" ht="3.75" customHeight="1">
      <c r="F389" s="139"/>
      <c r="N389" s="139"/>
    </row>
    <row r="390" spans="1:16">
      <c r="A390" s="50" t="s">
        <v>105</v>
      </c>
      <c r="D390" s="146"/>
      <c r="F390" s="139"/>
      <c r="I390" s="50" t="s">
        <v>105</v>
      </c>
      <c r="L390" s="146"/>
      <c r="N390" s="139"/>
    </row>
    <row r="391" spans="1:16" ht="6.75" customHeight="1" thickBot="1"/>
    <row r="392" spans="1:16" ht="17.25" thickBot="1">
      <c r="A392" s="891" t="s">
        <v>106</v>
      </c>
      <c r="B392" s="892"/>
      <c r="C392" s="892"/>
      <c r="D392" s="893"/>
      <c r="F392" s="50" t="s">
        <v>288</v>
      </c>
      <c r="I392" s="891" t="s">
        <v>106</v>
      </c>
      <c r="J392" s="892"/>
      <c r="K392" s="892"/>
      <c r="L392" s="893"/>
      <c r="N392" s="604" t="s">
        <v>288</v>
      </c>
      <c r="O392" s="604"/>
      <c r="P392" s="604"/>
    </row>
    <row r="393" spans="1:16" ht="30.75" thickBot="1">
      <c r="A393" s="57" t="s">
        <v>100</v>
      </c>
      <c r="B393" s="58" t="s">
        <v>108</v>
      </c>
      <c r="C393" s="59" t="s">
        <v>109</v>
      </c>
      <c r="D393" s="60" t="s">
        <v>110</v>
      </c>
      <c r="I393" s="57" t="s">
        <v>100</v>
      </c>
      <c r="J393" s="58" t="s">
        <v>108</v>
      </c>
      <c r="K393" s="59" t="s">
        <v>109</v>
      </c>
      <c r="L393" s="60" t="s">
        <v>110</v>
      </c>
    </row>
    <row r="394" spans="1:16" ht="12.75" customHeight="1">
      <c r="A394" s="71">
        <v>719</v>
      </c>
      <c r="B394" s="73">
        <f>+H374+H376+H378+H380+H382</f>
        <v>820000</v>
      </c>
      <c r="C394" s="74" t="e">
        <f>+D357</f>
        <v>#REF!</v>
      </c>
      <c r="D394" s="76" t="e">
        <f>+B394+C394</f>
        <v>#REF!</v>
      </c>
      <c r="I394" s="71">
        <v>719</v>
      </c>
      <c r="J394" s="73">
        <f>+P374+P376+P378+P380+P382</f>
        <v>0</v>
      </c>
      <c r="K394" s="74">
        <f>+L357</f>
        <v>1890000</v>
      </c>
      <c r="L394" s="195">
        <f>+J394+K394</f>
        <v>1890000</v>
      </c>
    </row>
    <row r="395" spans="1:16" ht="13.5" customHeight="1">
      <c r="A395" s="72">
        <v>721</v>
      </c>
      <c r="B395" s="80">
        <f>+H375+H377+H379+H381+H383</f>
        <v>328000</v>
      </c>
      <c r="C395" s="74" t="e">
        <f>+D358</f>
        <v>#REF!</v>
      </c>
      <c r="D395" s="76" t="e">
        <f>+B395+C395</f>
        <v>#REF!</v>
      </c>
      <c r="I395" s="72">
        <v>721</v>
      </c>
      <c r="J395" s="80"/>
      <c r="K395" s="74">
        <f>+L358</f>
        <v>0</v>
      </c>
      <c r="L395" s="195">
        <f>+J395+K395</f>
        <v>0</v>
      </c>
    </row>
    <row r="396" spans="1:16" ht="13.5" customHeight="1">
      <c r="A396" s="72">
        <v>722</v>
      </c>
      <c r="B396" s="80"/>
      <c r="C396" s="74">
        <f>+D359</f>
        <v>231207671</v>
      </c>
      <c r="D396" s="76">
        <f>+B396+C396</f>
        <v>231207671</v>
      </c>
      <c r="I396" s="72">
        <v>722</v>
      </c>
      <c r="J396" s="80"/>
      <c r="K396" s="74">
        <f>+L359</f>
        <v>0</v>
      </c>
      <c r="L396" s="195">
        <f>+J396+K396</f>
        <v>0</v>
      </c>
    </row>
    <row r="397" spans="1:16" ht="13.5" customHeight="1">
      <c r="A397" s="72">
        <v>723</v>
      </c>
      <c r="B397" s="80"/>
      <c r="C397" s="74">
        <f>+D360</f>
        <v>321228837</v>
      </c>
      <c r="D397" s="76">
        <f>+B397+C397</f>
        <v>321228837</v>
      </c>
      <c r="F397" s="193" t="s">
        <v>289</v>
      </c>
      <c r="G397" s="175"/>
      <c r="I397" s="72">
        <v>723</v>
      </c>
      <c r="J397" s="80">
        <f>+P383+P381+P379+P377+P375</f>
        <v>26995040</v>
      </c>
      <c r="K397" s="74">
        <f>+L360</f>
        <v>318131682</v>
      </c>
      <c r="L397" s="195">
        <f>+J397+K397</f>
        <v>345126722</v>
      </c>
      <c r="N397" s="918" t="s">
        <v>1744</v>
      </c>
      <c r="O397" s="608"/>
      <c r="P397" s="608"/>
    </row>
    <row r="398" spans="1:16" ht="13.5" customHeight="1" thickBot="1">
      <c r="A398" s="164" t="s">
        <v>181</v>
      </c>
      <c r="B398" s="165"/>
      <c r="C398" s="74">
        <f>+D361</f>
        <v>1965625</v>
      </c>
      <c r="D398" s="168">
        <f>+B398+C398</f>
        <v>1965625</v>
      </c>
      <c r="F398" s="52"/>
      <c r="I398" s="164" t="s">
        <v>181</v>
      </c>
      <c r="J398" s="165"/>
      <c r="K398" s="74">
        <f>+L361</f>
        <v>0</v>
      </c>
      <c r="L398" s="196">
        <f>+J398+K398</f>
        <v>0</v>
      </c>
      <c r="N398" s="52"/>
    </row>
    <row r="399" spans="1:16" ht="16.5" thickBot="1">
      <c r="A399" s="169"/>
      <c r="B399" s="170">
        <f>SUM(B394:B398)</f>
        <v>1148000</v>
      </c>
      <c r="C399" s="171" t="e">
        <f>SUM(C394:C398)</f>
        <v>#REF!</v>
      </c>
      <c r="D399" s="172" t="e">
        <f>SUM(D394:D398)</f>
        <v>#REF!</v>
      </c>
      <c r="I399" s="169"/>
      <c r="J399" s="197">
        <f>SUM(J394:J398)</f>
        <v>26995040</v>
      </c>
      <c r="K399" s="197">
        <f>SUM(K394:K398)</f>
        <v>320021682</v>
      </c>
      <c r="L399" s="198">
        <f>SUM(L394:L398)</f>
        <v>347016722</v>
      </c>
    </row>
    <row r="400" spans="1:16" ht="14.25" customHeight="1">
      <c r="A400" s="49" t="s">
        <v>88</v>
      </c>
      <c r="B400" s="50"/>
      <c r="I400" s="49" t="s">
        <v>88</v>
      </c>
      <c r="J400" s="50"/>
    </row>
    <row r="401" spans="1:16" ht="12.75" customHeight="1">
      <c r="A401" s="51" t="s">
        <v>89</v>
      </c>
      <c r="I401" s="51" t="s">
        <v>89</v>
      </c>
    </row>
    <row r="402" spans="1:16" ht="13.5" customHeight="1">
      <c r="A402" s="51" t="s">
        <v>90</v>
      </c>
      <c r="I402" s="51" t="s">
        <v>90</v>
      </c>
    </row>
    <row r="403" spans="1:16" ht="12.75" customHeight="1">
      <c r="A403" s="51" t="s">
        <v>91</v>
      </c>
      <c r="I403" s="51" t="s">
        <v>91</v>
      </c>
    </row>
    <row r="404" spans="1:16" ht="3" customHeight="1">
      <c r="A404" s="50"/>
      <c r="B404" s="50"/>
      <c r="I404" s="50"/>
      <c r="J404" s="50"/>
    </row>
    <row r="405" spans="1:16" ht="13.5" customHeight="1">
      <c r="A405" s="52" t="s">
        <v>295</v>
      </c>
      <c r="G405" s="52"/>
      <c r="I405" s="52" t="s">
        <v>635</v>
      </c>
      <c r="O405" s="52"/>
    </row>
    <row r="406" spans="1:16" ht="14.25" customHeight="1">
      <c r="A406" s="53" t="s">
        <v>92</v>
      </c>
      <c r="G406" s="53"/>
      <c r="I406" s="53" t="s">
        <v>1702</v>
      </c>
      <c r="O406" s="53"/>
    </row>
    <row r="407" spans="1:16" ht="14.25" customHeight="1">
      <c r="A407" s="894" t="s">
        <v>261</v>
      </c>
      <c r="B407" s="894"/>
      <c r="C407" s="894"/>
      <c r="D407" s="894"/>
      <c r="E407" s="894"/>
      <c r="F407" s="894"/>
      <c r="G407" s="894"/>
      <c r="H407" s="894"/>
      <c r="I407" s="894" t="s">
        <v>212</v>
      </c>
      <c r="J407" s="894"/>
      <c r="K407" s="894"/>
      <c r="L407" s="894"/>
      <c r="M407" s="894"/>
      <c r="N407" s="894"/>
      <c r="O407" s="894"/>
      <c r="P407" s="894"/>
    </row>
    <row r="408" spans="1:16" ht="13.5" customHeight="1" thickBot="1"/>
    <row r="409" spans="1:16">
      <c r="A409" s="895" t="s">
        <v>94</v>
      </c>
      <c r="B409" s="897" t="s">
        <v>95</v>
      </c>
      <c r="C409" s="897" t="s">
        <v>96</v>
      </c>
      <c r="D409" s="897" t="s">
        <v>3</v>
      </c>
      <c r="E409" s="897" t="s">
        <v>97</v>
      </c>
      <c r="F409" s="897" t="s">
        <v>98</v>
      </c>
      <c r="G409" s="897" t="s">
        <v>99</v>
      </c>
      <c r="H409" s="899"/>
      <c r="I409" s="895" t="s">
        <v>94</v>
      </c>
      <c r="J409" s="897" t="s">
        <v>95</v>
      </c>
      <c r="K409" s="897" t="s">
        <v>96</v>
      </c>
      <c r="L409" s="897" t="s">
        <v>3</v>
      </c>
      <c r="M409" s="897" t="s">
        <v>97</v>
      </c>
      <c r="N409" s="897" t="s">
        <v>98</v>
      </c>
      <c r="O409" s="897" t="s">
        <v>99</v>
      </c>
      <c r="P409" s="899"/>
    </row>
    <row r="410" spans="1:16" ht="15.75" thickBot="1">
      <c r="A410" s="896"/>
      <c r="B410" s="898"/>
      <c r="C410" s="898"/>
      <c r="D410" s="898"/>
      <c r="E410" s="898"/>
      <c r="F410" s="898"/>
      <c r="G410" s="240" t="s">
        <v>100</v>
      </c>
      <c r="H410" s="182" t="s">
        <v>101</v>
      </c>
      <c r="I410" s="896"/>
      <c r="J410" s="898"/>
      <c r="K410" s="898"/>
      <c r="L410" s="898"/>
      <c r="M410" s="898"/>
      <c r="N410" s="898"/>
      <c r="O410" s="240" t="s">
        <v>100</v>
      </c>
      <c r="P410" s="182" t="s">
        <v>101</v>
      </c>
    </row>
    <row r="411" spans="1:16" ht="12.75" customHeight="1">
      <c r="A411" s="881" t="e">
        <f>+A382+1</f>
        <v>#REF!</v>
      </c>
      <c r="B411" s="875">
        <v>42275</v>
      </c>
      <c r="C411" s="877" t="s">
        <v>267</v>
      </c>
      <c r="D411" s="881" t="s">
        <v>296</v>
      </c>
      <c r="E411" s="935" t="s">
        <v>31</v>
      </c>
      <c r="F411" s="883">
        <v>100000</v>
      </c>
      <c r="G411" s="55">
        <v>719</v>
      </c>
      <c r="H411" s="78">
        <v>100000</v>
      </c>
      <c r="I411" s="873" t="s">
        <v>644</v>
      </c>
      <c r="J411" s="875">
        <v>43531</v>
      </c>
      <c r="K411" s="910" t="s">
        <v>1763</v>
      </c>
      <c r="L411" s="881" t="s">
        <v>1726</v>
      </c>
      <c r="M411" s="877" t="s">
        <v>1771</v>
      </c>
      <c r="N411" s="883">
        <v>630000</v>
      </c>
      <c r="O411" s="55">
        <v>723</v>
      </c>
      <c r="P411" s="78">
        <f>+N411</f>
        <v>630000</v>
      </c>
    </row>
    <row r="412" spans="1:16" ht="14.25" customHeight="1" thickBot="1">
      <c r="A412" s="882"/>
      <c r="B412" s="934"/>
      <c r="C412" s="878"/>
      <c r="D412" s="882"/>
      <c r="E412" s="936"/>
      <c r="F412" s="884"/>
      <c r="G412" s="56">
        <v>721</v>
      </c>
      <c r="H412" s="79"/>
      <c r="I412" s="882"/>
      <c r="J412" s="876"/>
      <c r="K412" s="911"/>
      <c r="L412" s="882"/>
      <c r="M412" s="878"/>
      <c r="N412" s="884"/>
      <c r="O412" s="56">
        <v>721</v>
      </c>
      <c r="P412" s="79">
        <f>+N411-P411</f>
        <v>0</v>
      </c>
    </row>
    <row r="413" spans="1:16" ht="13.5" customHeight="1">
      <c r="A413" s="881" t="e">
        <f>+A411+1</f>
        <v>#REF!</v>
      </c>
      <c r="B413" s="875">
        <v>42275</v>
      </c>
      <c r="C413" s="881" t="s">
        <v>28</v>
      </c>
      <c r="D413" s="881" t="s">
        <v>297</v>
      </c>
      <c r="E413" s="935" t="s">
        <v>28</v>
      </c>
      <c r="F413" s="883">
        <v>50000</v>
      </c>
      <c r="G413" s="55">
        <v>719</v>
      </c>
      <c r="H413" s="78">
        <v>50000</v>
      </c>
      <c r="I413" s="873" t="s">
        <v>645</v>
      </c>
      <c r="J413" s="875">
        <v>43531</v>
      </c>
      <c r="K413" s="877" t="s">
        <v>28</v>
      </c>
      <c r="L413" s="881" t="s">
        <v>1726</v>
      </c>
      <c r="M413" s="881" t="s">
        <v>214</v>
      </c>
      <c r="N413" s="883">
        <v>940000</v>
      </c>
      <c r="O413" s="55">
        <v>723</v>
      </c>
      <c r="P413" s="78">
        <f>+N413</f>
        <v>940000</v>
      </c>
    </row>
    <row r="414" spans="1:16" ht="14.25" customHeight="1" thickBot="1">
      <c r="A414" s="882"/>
      <c r="B414" s="934"/>
      <c r="C414" s="882"/>
      <c r="D414" s="882"/>
      <c r="E414" s="936"/>
      <c r="F414" s="884"/>
      <c r="G414" s="56">
        <v>721</v>
      </c>
      <c r="H414" s="79">
        <f>+F413-H413</f>
        <v>0</v>
      </c>
      <c r="I414" s="882"/>
      <c r="J414" s="876"/>
      <c r="K414" s="878"/>
      <c r="L414" s="882"/>
      <c r="M414" s="882"/>
      <c r="N414" s="884"/>
      <c r="O414" s="56">
        <v>721</v>
      </c>
      <c r="P414" s="79">
        <f>+N413-P413</f>
        <v>0</v>
      </c>
    </row>
    <row r="415" spans="1:16" ht="14.25" customHeight="1">
      <c r="A415" s="881" t="e">
        <f>+A413+1</f>
        <v>#REF!</v>
      </c>
      <c r="B415" s="875">
        <v>42275</v>
      </c>
      <c r="C415" s="877" t="s">
        <v>32</v>
      </c>
      <c r="D415" s="881" t="s">
        <v>297</v>
      </c>
      <c r="E415" s="877" t="s">
        <v>32</v>
      </c>
      <c r="F415" s="883">
        <v>30000</v>
      </c>
      <c r="G415" s="55">
        <v>719</v>
      </c>
      <c r="H415" s="78">
        <v>30000</v>
      </c>
      <c r="I415" s="873" t="s">
        <v>646</v>
      </c>
      <c r="J415" s="875">
        <v>43531</v>
      </c>
      <c r="K415" s="877" t="s">
        <v>796</v>
      </c>
      <c r="L415" s="881" t="s">
        <v>1726</v>
      </c>
      <c r="M415" s="881" t="s">
        <v>214</v>
      </c>
      <c r="N415" s="883">
        <v>441000</v>
      </c>
      <c r="O415" s="55">
        <v>723</v>
      </c>
      <c r="P415" s="78">
        <f>+N415</f>
        <v>441000</v>
      </c>
    </row>
    <row r="416" spans="1:16" ht="12.75" customHeight="1" thickBot="1">
      <c r="A416" s="882"/>
      <c r="B416" s="934"/>
      <c r="C416" s="878"/>
      <c r="D416" s="882"/>
      <c r="E416" s="878"/>
      <c r="F416" s="884"/>
      <c r="G416" s="56">
        <v>721</v>
      </c>
      <c r="H416" s="79">
        <f>+F415-H415</f>
        <v>0</v>
      </c>
      <c r="I416" s="882"/>
      <c r="J416" s="876"/>
      <c r="K416" s="878"/>
      <c r="L416" s="882"/>
      <c r="M416" s="882"/>
      <c r="N416" s="884"/>
      <c r="O416" s="56">
        <v>721</v>
      </c>
      <c r="P416" s="79">
        <f>+N415-P415</f>
        <v>0</v>
      </c>
    </row>
    <row r="417" spans="1:16" ht="12.75" customHeight="1">
      <c r="A417" s="881"/>
      <c r="B417" s="875"/>
      <c r="C417" s="877"/>
      <c r="D417" s="881"/>
      <c r="E417" s="881"/>
      <c r="F417" s="883"/>
      <c r="G417" s="55">
        <v>719</v>
      </c>
      <c r="H417" s="78"/>
      <c r="I417" s="873"/>
      <c r="J417" s="875"/>
      <c r="K417" s="877"/>
      <c r="L417" s="881"/>
      <c r="M417" s="881"/>
      <c r="N417" s="883"/>
      <c r="O417" s="55">
        <v>723</v>
      </c>
      <c r="P417" s="78">
        <f>+N417</f>
        <v>0</v>
      </c>
    </row>
    <row r="418" spans="1:16" ht="13.5" customHeight="1" thickBot="1">
      <c r="A418" s="882"/>
      <c r="B418" s="934"/>
      <c r="C418" s="878"/>
      <c r="D418" s="882"/>
      <c r="E418" s="882"/>
      <c r="F418" s="884"/>
      <c r="G418" s="56">
        <v>721</v>
      </c>
      <c r="H418" s="79">
        <f>+F417-H417</f>
        <v>0</v>
      </c>
      <c r="I418" s="882"/>
      <c r="J418" s="876"/>
      <c r="K418" s="878"/>
      <c r="L418" s="882"/>
      <c r="M418" s="882"/>
      <c r="N418" s="884"/>
      <c r="O418" s="56">
        <v>721</v>
      </c>
      <c r="P418" s="79">
        <f>+N417-P417</f>
        <v>0</v>
      </c>
    </row>
    <row r="419" spans="1:16" ht="13.5" customHeight="1">
      <c r="A419" s="881"/>
      <c r="B419" s="875"/>
      <c r="C419" s="877"/>
      <c r="D419" s="881"/>
      <c r="E419" s="881"/>
      <c r="F419" s="883"/>
      <c r="G419" s="55">
        <v>719</v>
      </c>
      <c r="H419" s="78"/>
      <c r="I419" s="873"/>
      <c r="J419" s="875"/>
      <c r="K419" s="910"/>
      <c r="L419" s="881"/>
      <c r="M419" s="967"/>
      <c r="N419" s="883"/>
      <c r="O419" s="55">
        <v>723</v>
      </c>
      <c r="P419" s="78">
        <f>+N419</f>
        <v>0</v>
      </c>
    </row>
    <row r="420" spans="1:16" ht="12" customHeight="1" thickBot="1">
      <c r="A420" s="882"/>
      <c r="B420" s="934"/>
      <c r="C420" s="878"/>
      <c r="D420" s="882"/>
      <c r="E420" s="882"/>
      <c r="F420" s="884"/>
      <c r="G420" s="56">
        <v>721</v>
      </c>
      <c r="H420" s="79">
        <f>+F419-H419</f>
        <v>0</v>
      </c>
      <c r="I420" s="882"/>
      <c r="J420" s="876"/>
      <c r="K420" s="911"/>
      <c r="L420" s="882"/>
      <c r="M420" s="968"/>
      <c r="N420" s="884"/>
      <c r="O420" s="56">
        <v>721</v>
      </c>
      <c r="P420" s="79">
        <f>+N419-P419</f>
        <v>0</v>
      </c>
    </row>
    <row r="421" spans="1:16" ht="13.5" customHeight="1" thickBot="1">
      <c r="A421" s="901" t="s">
        <v>102</v>
      </c>
      <c r="B421" s="902"/>
      <c r="C421" s="902"/>
      <c r="D421" s="902"/>
      <c r="E421" s="903"/>
      <c r="F421" s="81">
        <f>SUM(F411:F420)</f>
        <v>180000</v>
      </c>
      <c r="I421" s="901" t="s">
        <v>102</v>
      </c>
      <c r="J421" s="902"/>
      <c r="K421" s="902"/>
      <c r="L421" s="902"/>
      <c r="M421" s="903"/>
      <c r="N421" s="81">
        <f>SUM(N411:N420)</f>
        <v>2011000</v>
      </c>
    </row>
    <row r="422" spans="1:16" ht="13.5" customHeight="1" thickBot="1">
      <c r="A422" s="885" t="s">
        <v>103</v>
      </c>
      <c r="B422" s="886"/>
      <c r="C422" s="886"/>
      <c r="D422" s="886"/>
      <c r="E422" s="887"/>
      <c r="F422" s="69">
        <f>+F386</f>
        <v>626460225</v>
      </c>
      <c r="I422" s="885" t="s">
        <v>103</v>
      </c>
      <c r="J422" s="886"/>
      <c r="K422" s="886"/>
      <c r="L422" s="886"/>
      <c r="M422" s="887"/>
      <c r="N422" s="239">
        <f>+N386</f>
        <v>347016722</v>
      </c>
      <c r="O422" s="241" t="s">
        <v>561</v>
      </c>
      <c r="P422" s="242"/>
    </row>
    <row r="423" spans="1:16" ht="14.25" customHeight="1" thickBot="1">
      <c r="A423" s="888" t="s">
        <v>104</v>
      </c>
      <c r="B423" s="889"/>
      <c r="C423" s="889"/>
      <c r="D423" s="889"/>
      <c r="E423" s="890"/>
      <c r="F423" s="183">
        <f>SUM(F421:F422)</f>
        <v>626640225</v>
      </c>
      <c r="I423" s="888" t="s">
        <v>104</v>
      </c>
      <c r="J423" s="889"/>
      <c r="K423" s="889"/>
      <c r="L423" s="889"/>
      <c r="M423" s="890"/>
      <c r="N423" s="183">
        <f>SUM(N421:N422)</f>
        <v>349027722</v>
      </c>
    </row>
    <row r="424" spans="1:16" ht="12" customHeight="1">
      <c r="A424" s="61"/>
      <c r="B424" s="61"/>
      <c r="C424" s="61"/>
      <c r="D424" s="61"/>
      <c r="E424" s="61"/>
      <c r="I424" s="61"/>
      <c r="J424" s="61"/>
      <c r="K424" s="61"/>
      <c r="L424" s="61"/>
      <c r="M424" s="61"/>
    </row>
    <row r="425" spans="1:16">
      <c r="A425" s="51" t="s">
        <v>298</v>
      </c>
      <c r="I425" s="51" t="s">
        <v>1784</v>
      </c>
    </row>
    <row r="426" spans="1:16" ht="3" customHeight="1">
      <c r="F426" s="139"/>
      <c r="N426" s="139"/>
    </row>
    <row r="427" spans="1:16">
      <c r="A427" s="50" t="s">
        <v>105</v>
      </c>
      <c r="D427" s="146"/>
      <c r="F427" s="139"/>
      <c r="I427" s="50" t="s">
        <v>105</v>
      </c>
      <c r="L427" s="146"/>
      <c r="N427" s="139"/>
    </row>
    <row r="428" spans="1:16" ht="6" customHeight="1" thickBot="1"/>
    <row r="429" spans="1:16" ht="17.25" thickBot="1">
      <c r="A429" s="891" t="s">
        <v>106</v>
      </c>
      <c r="B429" s="892"/>
      <c r="C429" s="892"/>
      <c r="D429" s="893"/>
      <c r="F429" s="50" t="s">
        <v>288</v>
      </c>
      <c r="I429" s="891" t="s">
        <v>106</v>
      </c>
      <c r="J429" s="892"/>
      <c r="K429" s="892"/>
      <c r="L429" s="893"/>
      <c r="N429" s="605" t="s">
        <v>288</v>
      </c>
      <c r="O429" s="605"/>
      <c r="P429" s="605"/>
    </row>
    <row r="430" spans="1:16" ht="30.75" thickBot="1">
      <c r="A430" s="57" t="s">
        <v>100</v>
      </c>
      <c r="B430" s="58" t="s">
        <v>108</v>
      </c>
      <c r="C430" s="59" t="s">
        <v>109</v>
      </c>
      <c r="D430" s="60" t="s">
        <v>110</v>
      </c>
      <c r="I430" s="57" t="s">
        <v>100</v>
      </c>
      <c r="J430" s="58" t="s">
        <v>108</v>
      </c>
      <c r="K430" s="59" t="s">
        <v>109</v>
      </c>
      <c r="L430" s="60" t="s">
        <v>110</v>
      </c>
      <c r="N430" s="202"/>
      <c r="O430" s="202"/>
      <c r="P430" s="202"/>
    </row>
    <row r="431" spans="1:16" ht="12.75" customHeight="1">
      <c r="A431" s="71">
        <v>719</v>
      </c>
      <c r="B431" s="73">
        <f>+H411+H413+H415+H417+H419</f>
        <v>180000</v>
      </c>
      <c r="C431" s="74" t="e">
        <f>+D394</f>
        <v>#REF!</v>
      </c>
      <c r="D431" s="76" t="e">
        <f>+B431+C431</f>
        <v>#REF!</v>
      </c>
      <c r="I431" s="71">
        <v>719</v>
      </c>
      <c r="J431" s="73">
        <v>0</v>
      </c>
      <c r="K431" s="74">
        <f>+L394</f>
        <v>1890000</v>
      </c>
      <c r="L431" s="195">
        <f>+J431+K431</f>
        <v>1890000</v>
      </c>
      <c r="N431" s="202"/>
      <c r="O431" s="202"/>
      <c r="P431" s="202"/>
    </row>
    <row r="432" spans="1:16" ht="13.5" customHeight="1">
      <c r="A432" s="72">
        <v>721</v>
      </c>
      <c r="B432" s="80">
        <f>+H412+H414+H416+H418+H420</f>
        <v>0</v>
      </c>
      <c r="C432" s="74" t="e">
        <f>+D395</f>
        <v>#REF!</v>
      </c>
      <c r="D432" s="76" t="e">
        <f>+B432+C432</f>
        <v>#REF!</v>
      </c>
      <c r="I432" s="72">
        <v>721</v>
      </c>
      <c r="J432" s="80">
        <f>+P412+P414+P416+P418+P420</f>
        <v>0</v>
      </c>
      <c r="K432" s="74">
        <f>+L395</f>
        <v>0</v>
      </c>
      <c r="L432" s="195">
        <f>+J432+K432</f>
        <v>0</v>
      </c>
      <c r="N432" s="202"/>
      <c r="O432" s="202"/>
      <c r="P432" s="202"/>
    </row>
    <row r="433" spans="1:16" ht="12.75" customHeight="1">
      <c r="A433" s="72">
        <v>722</v>
      </c>
      <c r="B433" s="80"/>
      <c r="C433" s="74">
        <f>+D396</f>
        <v>231207671</v>
      </c>
      <c r="D433" s="76">
        <f>+B433+C433</f>
        <v>231207671</v>
      </c>
      <c r="I433" s="72">
        <v>722</v>
      </c>
      <c r="J433" s="80"/>
      <c r="K433" s="74">
        <f>+L396</f>
        <v>0</v>
      </c>
      <c r="L433" s="195">
        <f>+J433+K433</f>
        <v>0</v>
      </c>
      <c r="N433" s="202"/>
      <c r="O433" s="202"/>
      <c r="P433" s="202"/>
    </row>
    <row r="434" spans="1:16" ht="14.25" customHeight="1">
      <c r="A434" s="72">
        <v>723</v>
      </c>
      <c r="B434" s="80"/>
      <c r="C434" s="74">
        <f>+D397</f>
        <v>321228837</v>
      </c>
      <c r="D434" s="76">
        <f>+B434+C434</f>
        <v>321228837</v>
      </c>
      <c r="F434" s="193" t="s">
        <v>289</v>
      </c>
      <c r="G434" s="175"/>
      <c r="I434" s="72">
        <v>723</v>
      </c>
      <c r="J434" s="80">
        <f>+P411+P413+P415+P417+P419</f>
        <v>2011000</v>
      </c>
      <c r="K434" s="74">
        <f>+L397</f>
        <v>345126722</v>
      </c>
      <c r="L434" s="195">
        <f>+J434+K434</f>
        <v>347137722</v>
      </c>
      <c r="N434" s="918" t="s">
        <v>1696</v>
      </c>
      <c r="O434" s="608"/>
      <c r="P434" s="608"/>
    </row>
    <row r="435" spans="1:16" ht="13.5" customHeight="1" thickBot="1">
      <c r="A435" s="164" t="s">
        <v>181</v>
      </c>
      <c r="B435" s="165"/>
      <c r="C435" s="74">
        <f>+D398</f>
        <v>1965625</v>
      </c>
      <c r="D435" s="168">
        <f>+B435+C435</f>
        <v>1965625</v>
      </c>
      <c r="F435" s="52"/>
      <c r="I435" s="164" t="s">
        <v>181</v>
      </c>
      <c r="J435" s="165"/>
      <c r="K435" s="74">
        <f>+L398</f>
        <v>0</v>
      </c>
      <c r="L435" s="196">
        <f>+J435+K435</f>
        <v>0</v>
      </c>
      <c r="N435" s="52"/>
    </row>
    <row r="436" spans="1:16" ht="16.5" customHeight="1" thickBot="1">
      <c r="A436" s="169"/>
      <c r="B436" s="170">
        <f>SUM(B431:B435)</f>
        <v>180000</v>
      </c>
      <c r="C436" s="171" t="e">
        <f>SUM(C431:C435)</f>
        <v>#REF!</v>
      </c>
      <c r="D436" s="172" t="e">
        <f>SUM(D431:D435)</f>
        <v>#REF!</v>
      </c>
      <c r="I436" s="169"/>
      <c r="J436" s="197">
        <f>SUM(J431:J435)</f>
        <v>2011000</v>
      </c>
      <c r="K436" s="197">
        <f>SUM(K431:K435)</f>
        <v>347016722</v>
      </c>
      <c r="L436" s="198">
        <f>SUM(L431:L435)</f>
        <v>349027722</v>
      </c>
    </row>
    <row r="437" spans="1:16" ht="13.5" customHeight="1">
      <c r="A437" s="49" t="s">
        <v>88</v>
      </c>
      <c r="B437" s="50"/>
      <c r="I437" s="49" t="s">
        <v>88</v>
      </c>
      <c r="J437" s="50"/>
    </row>
    <row r="438" spans="1:16" ht="12.75" customHeight="1">
      <c r="A438" s="51" t="s">
        <v>89</v>
      </c>
      <c r="I438" s="51" t="s">
        <v>89</v>
      </c>
    </row>
    <row r="439" spans="1:16" ht="13.5" customHeight="1">
      <c r="A439" s="51" t="s">
        <v>90</v>
      </c>
      <c r="I439" s="51" t="s">
        <v>90</v>
      </c>
    </row>
    <row r="440" spans="1:16" ht="12.75" customHeight="1">
      <c r="A440" s="51" t="s">
        <v>91</v>
      </c>
      <c r="I440" s="51" t="s">
        <v>91</v>
      </c>
    </row>
    <row r="441" spans="1:16" ht="3.75" customHeight="1">
      <c r="A441" s="50"/>
      <c r="B441" s="50"/>
      <c r="I441" s="50"/>
      <c r="J441" s="50"/>
    </row>
    <row r="442" spans="1:16" ht="12.75" customHeight="1">
      <c r="A442" s="52" t="s">
        <v>299</v>
      </c>
      <c r="G442" s="52"/>
      <c r="I442" s="52" t="s">
        <v>636</v>
      </c>
      <c r="O442" s="52"/>
    </row>
    <row r="443" spans="1:16" ht="15.75">
      <c r="A443" s="53" t="s">
        <v>92</v>
      </c>
      <c r="G443" s="53"/>
      <c r="I443" s="53" t="s">
        <v>1702</v>
      </c>
      <c r="O443" s="53"/>
    </row>
    <row r="444" spans="1:16" ht="13.5" customHeight="1">
      <c r="A444" s="894" t="s">
        <v>261</v>
      </c>
      <c r="B444" s="894"/>
      <c r="C444" s="894"/>
      <c r="D444" s="894"/>
      <c r="E444" s="894"/>
      <c r="F444" s="894"/>
      <c r="G444" s="894"/>
      <c r="H444" s="894"/>
      <c r="I444" s="894" t="s">
        <v>212</v>
      </c>
      <c r="J444" s="894"/>
      <c r="K444" s="894"/>
      <c r="L444" s="894"/>
      <c r="M444" s="894"/>
      <c r="N444" s="894"/>
      <c r="O444" s="894"/>
      <c r="P444" s="894"/>
    </row>
    <row r="445" spans="1:16" ht="9" customHeight="1" thickBot="1"/>
    <row r="446" spans="1:16">
      <c r="A446" s="895" t="s">
        <v>94</v>
      </c>
      <c r="B446" s="897" t="s">
        <v>95</v>
      </c>
      <c r="C446" s="897" t="s">
        <v>96</v>
      </c>
      <c r="D446" s="897" t="s">
        <v>3</v>
      </c>
      <c r="E446" s="897" t="s">
        <v>97</v>
      </c>
      <c r="F446" s="897" t="s">
        <v>98</v>
      </c>
      <c r="G446" s="897" t="s">
        <v>99</v>
      </c>
      <c r="H446" s="899"/>
      <c r="I446" s="895" t="s">
        <v>94</v>
      </c>
      <c r="J446" s="897" t="s">
        <v>95</v>
      </c>
      <c r="K446" s="897" t="s">
        <v>96</v>
      </c>
      <c r="L446" s="897" t="s">
        <v>3</v>
      </c>
      <c r="M446" s="897" t="s">
        <v>97</v>
      </c>
      <c r="N446" s="897" t="s">
        <v>98</v>
      </c>
      <c r="O446" s="897" t="s">
        <v>99</v>
      </c>
      <c r="P446" s="899"/>
    </row>
    <row r="447" spans="1:16" ht="15.75" thickBot="1">
      <c r="A447" s="896"/>
      <c r="B447" s="898"/>
      <c r="C447" s="898"/>
      <c r="D447" s="898"/>
      <c r="E447" s="898"/>
      <c r="F447" s="898"/>
      <c r="G447" s="240" t="s">
        <v>100</v>
      </c>
      <c r="H447" s="182" t="s">
        <v>101</v>
      </c>
      <c r="I447" s="896"/>
      <c r="J447" s="898"/>
      <c r="K447" s="898"/>
      <c r="L447" s="898"/>
      <c r="M447" s="898"/>
      <c r="N447" s="898"/>
      <c r="O447" s="240" t="s">
        <v>100</v>
      </c>
      <c r="P447" s="182" t="s">
        <v>101</v>
      </c>
    </row>
    <row r="448" spans="1:16" ht="14.25" customHeight="1">
      <c r="A448" s="881" t="e">
        <f>+A415+1</f>
        <v>#REF!</v>
      </c>
      <c r="B448" s="875">
        <v>42278</v>
      </c>
      <c r="C448" s="877" t="s">
        <v>267</v>
      </c>
      <c r="D448" s="881" t="s">
        <v>300</v>
      </c>
      <c r="E448" s="881" t="s">
        <v>148</v>
      </c>
      <c r="F448" s="883">
        <v>196000</v>
      </c>
      <c r="G448" s="55">
        <v>719</v>
      </c>
      <c r="H448" s="78">
        <v>160000</v>
      </c>
      <c r="I448" s="873" t="s">
        <v>1431</v>
      </c>
      <c r="J448" s="875">
        <v>43546</v>
      </c>
      <c r="K448" s="877" t="s">
        <v>1764</v>
      </c>
      <c r="L448" s="881" t="s">
        <v>1765</v>
      </c>
      <c r="M448" s="881" t="s">
        <v>775</v>
      </c>
      <c r="N448" s="883">
        <v>2519800</v>
      </c>
      <c r="O448" s="55">
        <v>719</v>
      </c>
      <c r="P448" s="78"/>
    </row>
    <row r="449" spans="1:16" ht="13.5" customHeight="1" thickBot="1">
      <c r="A449" s="882"/>
      <c r="B449" s="934"/>
      <c r="C449" s="878"/>
      <c r="D449" s="882"/>
      <c r="E449" s="882"/>
      <c r="F449" s="884"/>
      <c r="G449" s="56">
        <v>721</v>
      </c>
      <c r="H449" s="79">
        <f>+F448-H448</f>
        <v>36000</v>
      </c>
      <c r="I449" s="882"/>
      <c r="J449" s="876"/>
      <c r="K449" s="878"/>
      <c r="L449" s="882"/>
      <c r="M449" s="882"/>
      <c r="N449" s="884"/>
      <c r="O449" s="56">
        <v>723</v>
      </c>
      <c r="P449" s="79">
        <f>+N448-P448</f>
        <v>2519800</v>
      </c>
    </row>
    <row r="450" spans="1:16" ht="12.75" customHeight="1">
      <c r="A450" s="881" t="e">
        <f>+A448+1</f>
        <v>#REF!</v>
      </c>
      <c r="B450" s="875">
        <v>42278</v>
      </c>
      <c r="C450" s="881" t="s">
        <v>28</v>
      </c>
      <c r="D450" s="881" t="s">
        <v>301</v>
      </c>
      <c r="E450" s="881" t="s">
        <v>148</v>
      </c>
      <c r="F450" s="883">
        <v>224000</v>
      </c>
      <c r="G450" s="55">
        <v>719</v>
      </c>
      <c r="H450" s="78">
        <v>160000</v>
      </c>
      <c r="I450" s="873" t="s">
        <v>1432</v>
      </c>
      <c r="J450" s="875">
        <v>43546</v>
      </c>
      <c r="K450" s="877" t="s">
        <v>780</v>
      </c>
      <c r="L450" s="881" t="s">
        <v>1765</v>
      </c>
      <c r="M450" s="881" t="s">
        <v>775</v>
      </c>
      <c r="N450" s="883">
        <v>6749700</v>
      </c>
      <c r="O450" s="55">
        <v>719</v>
      </c>
      <c r="P450" s="78"/>
    </row>
    <row r="451" spans="1:16" ht="13.5" customHeight="1" thickBot="1">
      <c r="A451" s="882"/>
      <c r="B451" s="934"/>
      <c r="C451" s="882"/>
      <c r="D451" s="882"/>
      <c r="E451" s="882"/>
      <c r="F451" s="884"/>
      <c r="G451" s="56">
        <v>721</v>
      </c>
      <c r="H451" s="79">
        <f>+F450-H450</f>
        <v>64000</v>
      </c>
      <c r="I451" s="882"/>
      <c r="J451" s="876"/>
      <c r="K451" s="878"/>
      <c r="L451" s="882"/>
      <c r="M451" s="882"/>
      <c r="N451" s="884"/>
      <c r="O451" s="56">
        <v>723</v>
      </c>
      <c r="P451" s="79">
        <f>+N450-P450</f>
        <v>6749700</v>
      </c>
    </row>
    <row r="452" spans="1:16" ht="13.5" customHeight="1">
      <c r="A452" s="881" t="e">
        <f>+A450+1</f>
        <v>#REF!</v>
      </c>
      <c r="B452" s="875">
        <v>42278</v>
      </c>
      <c r="C452" s="877" t="s">
        <v>32</v>
      </c>
      <c r="D452" s="881" t="s">
        <v>301</v>
      </c>
      <c r="E452" s="881" t="s">
        <v>148</v>
      </c>
      <c r="F452" s="883">
        <v>112000</v>
      </c>
      <c r="G452" s="55">
        <v>719</v>
      </c>
      <c r="H452" s="78">
        <v>80000</v>
      </c>
      <c r="I452" s="873" t="s">
        <v>1433</v>
      </c>
      <c r="J452" s="875">
        <v>43546</v>
      </c>
      <c r="K452" s="877" t="s">
        <v>1357</v>
      </c>
      <c r="L452" s="881" t="s">
        <v>1765</v>
      </c>
      <c r="M452" s="881" t="s">
        <v>775</v>
      </c>
      <c r="N452" s="883">
        <v>8820000</v>
      </c>
      <c r="O452" s="55">
        <v>719</v>
      </c>
      <c r="P452" s="78"/>
    </row>
    <row r="453" spans="1:16" ht="13.5" customHeight="1" thickBot="1">
      <c r="A453" s="882"/>
      <c r="B453" s="934"/>
      <c r="C453" s="878"/>
      <c r="D453" s="882"/>
      <c r="E453" s="882"/>
      <c r="F453" s="884"/>
      <c r="G453" s="56">
        <v>721</v>
      </c>
      <c r="H453" s="79">
        <f>+F452-H452</f>
        <v>32000</v>
      </c>
      <c r="I453" s="882"/>
      <c r="J453" s="876"/>
      <c r="K453" s="878"/>
      <c r="L453" s="882"/>
      <c r="M453" s="882"/>
      <c r="N453" s="884"/>
      <c r="O453" s="56">
        <v>723</v>
      </c>
      <c r="P453" s="79">
        <f>+N452-P452</f>
        <v>8820000</v>
      </c>
    </row>
    <row r="454" spans="1:16" ht="12.75" customHeight="1">
      <c r="A454" s="881" t="e">
        <f>+A452+1</f>
        <v>#REF!</v>
      </c>
      <c r="B454" s="875">
        <v>42278</v>
      </c>
      <c r="C454" s="877" t="s">
        <v>111</v>
      </c>
      <c r="D454" s="881" t="s">
        <v>302</v>
      </c>
      <c r="E454" s="881" t="s">
        <v>148</v>
      </c>
      <c r="F454" s="883">
        <v>84000</v>
      </c>
      <c r="G454" s="55">
        <v>719</v>
      </c>
      <c r="H454" s="78">
        <v>60000</v>
      </c>
      <c r="I454" s="873" t="s">
        <v>1434</v>
      </c>
      <c r="J454" s="875">
        <v>43546</v>
      </c>
      <c r="K454" s="905" t="s">
        <v>1766</v>
      </c>
      <c r="L454" s="881" t="s">
        <v>1765</v>
      </c>
      <c r="M454" s="881" t="s">
        <v>775</v>
      </c>
      <c r="N454" s="883">
        <v>1725000</v>
      </c>
      <c r="O454" s="55">
        <v>719</v>
      </c>
      <c r="P454" s="78"/>
    </row>
    <row r="455" spans="1:16" ht="14.25" customHeight="1" thickBot="1">
      <c r="A455" s="882"/>
      <c r="B455" s="934"/>
      <c r="C455" s="878"/>
      <c r="D455" s="882"/>
      <c r="E455" s="882"/>
      <c r="F455" s="884"/>
      <c r="G455" s="56">
        <v>721</v>
      </c>
      <c r="H455" s="79">
        <f>+F454-H454</f>
        <v>24000</v>
      </c>
      <c r="I455" s="882"/>
      <c r="J455" s="876"/>
      <c r="K455" s="906"/>
      <c r="L455" s="882"/>
      <c r="M455" s="882"/>
      <c r="N455" s="884"/>
      <c r="O455" s="56">
        <v>723</v>
      </c>
      <c r="P455" s="79">
        <f>+N454-P454</f>
        <v>1725000</v>
      </c>
    </row>
    <row r="456" spans="1:16" ht="16.5" thickBot="1">
      <c r="A456" s="901" t="s">
        <v>102</v>
      </c>
      <c r="B456" s="902"/>
      <c r="C456" s="902"/>
      <c r="D456" s="902"/>
      <c r="E456" s="903"/>
      <c r="F456" s="81">
        <f>SUM(F448:F455)</f>
        <v>616000</v>
      </c>
      <c r="I456" s="901" t="s">
        <v>102</v>
      </c>
      <c r="J456" s="902"/>
      <c r="K456" s="902"/>
      <c r="L456" s="902"/>
      <c r="M456" s="903"/>
      <c r="N456" s="81">
        <f>SUM(N448:N455)</f>
        <v>19814500</v>
      </c>
    </row>
    <row r="457" spans="1:16" ht="16.5" thickBot="1">
      <c r="A457" s="885" t="s">
        <v>103</v>
      </c>
      <c r="B457" s="886"/>
      <c r="C457" s="886"/>
      <c r="D457" s="886"/>
      <c r="E457" s="887"/>
      <c r="F457" s="69">
        <f>+F423</f>
        <v>626640225</v>
      </c>
      <c r="I457" s="885" t="s">
        <v>103</v>
      </c>
      <c r="J457" s="886"/>
      <c r="K457" s="886"/>
      <c r="L457" s="886"/>
      <c r="M457" s="887"/>
      <c r="N457" s="239">
        <f>+N423</f>
        <v>349027722</v>
      </c>
      <c r="O457" s="241" t="s">
        <v>561</v>
      </c>
      <c r="P457" s="242"/>
    </row>
    <row r="458" spans="1:16" ht="16.5" thickBot="1">
      <c r="A458" s="888" t="s">
        <v>104</v>
      </c>
      <c r="B458" s="889"/>
      <c r="C458" s="889"/>
      <c r="D458" s="889"/>
      <c r="E458" s="890"/>
      <c r="F458" s="183">
        <f>SUM(F456:F457)</f>
        <v>627256225</v>
      </c>
      <c r="I458" s="888" t="s">
        <v>104</v>
      </c>
      <c r="J458" s="889"/>
      <c r="K458" s="889"/>
      <c r="L458" s="889"/>
      <c r="M458" s="890"/>
      <c r="N458" s="183">
        <f>SUM(N456:N457)</f>
        <v>368842222</v>
      </c>
    </row>
    <row r="459" spans="1:16" ht="13.5" customHeight="1">
      <c r="A459" s="61"/>
      <c r="B459" s="61"/>
      <c r="C459" s="61"/>
      <c r="D459" s="61"/>
      <c r="E459" s="61"/>
      <c r="I459" s="61"/>
      <c r="J459" s="61"/>
      <c r="K459" s="61"/>
      <c r="L459" s="61"/>
      <c r="M459" s="61"/>
    </row>
    <row r="460" spans="1:16">
      <c r="A460" s="51" t="s">
        <v>303</v>
      </c>
      <c r="I460" s="51" t="s">
        <v>1786</v>
      </c>
    </row>
    <row r="461" spans="1:16" ht="11.25" customHeight="1">
      <c r="F461" s="139"/>
      <c r="N461" s="139"/>
    </row>
    <row r="462" spans="1:16">
      <c r="A462" s="50" t="s">
        <v>105</v>
      </c>
      <c r="D462" s="146"/>
      <c r="F462" s="139"/>
      <c r="I462" s="50" t="s">
        <v>105</v>
      </c>
      <c r="L462" s="146"/>
      <c r="N462" s="139"/>
    </row>
    <row r="463" spans="1:16" ht="13.5" customHeight="1" thickBot="1"/>
    <row r="464" spans="1:16" ht="17.25" thickBot="1">
      <c r="A464" s="891" t="s">
        <v>106</v>
      </c>
      <c r="B464" s="892"/>
      <c r="C464" s="892"/>
      <c r="D464" s="893"/>
      <c r="F464" s="50" t="s">
        <v>288</v>
      </c>
      <c r="I464" s="891" t="s">
        <v>106</v>
      </c>
      <c r="J464" s="892"/>
      <c r="K464" s="892"/>
      <c r="L464" s="893"/>
      <c r="N464" s="605" t="s">
        <v>288</v>
      </c>
      <c r="O464" s="605"/>
      <c r="P464" s="605"/>
    </row>
    <row r="465" spans="1:16" ht="28.5" customHeight="1" thickBot="1">
      <c r="A465" s="57" t="s">
        <v>100</v>
      </c>
      <c r="B465" s="58" t="s">
        <v>108</v>
      </c>
      <c r="C465" s="59" t="s">
        <v>109</v>
      </c>
      <c r="D465" s="60" t="s">
        <v>110</v>
      </c>
      <c r="I465" s="57" t="s">
        <v>100</v>
      </c>
      <c r="J465" s="58" t="s">
        <v>108</v>
      </c>
      <c r="K465" s="59" t="s">
        <v>109</v>
      </c>
      <c r="L465" s="60" t="s">
        <v>110</v>
      </c>
      <c r="N465" s="202"/>
      <c r="O465" s="202"/>
      <c r="P465" s="202"/>
    </row>
    <row r="466" spans="1:16" ht="15" customHeight="1">
      <c r="A466" s="71">
        <v>719</v>
      </c>
      <c r="B466" s="73" t="e">
        <f>+H448+H450+H452+H454+#REF!</f>
        <v>#REF!</v>
      </c>
      <c r="C466" s="74" t="e">
        <f>+D431</f>
        <v>#REF!</v>
      </c>
      <c r="D466" s="195" t="e">
        <f>+B466+C466</f>
        <v>#REF!</v>
      </c>
      <c r="I466" s="71">
        <v>719</v>
      </c>
      <c r="J466" s="73">
        <v>0</v>
      </c>
      <c r="K466" s="74">
        <f>+L431</f>
        <v>1890000</v>
      </c>
      <c r="L466" s="195">
        <f>+J466+K466</f>
        <v>1890000</v>
      </c>
      <c r="N466" s="202"/>
      <c r="O466" s="202"/>
      <c r="P466" s="202"/>
    </row>
    <row r="467" spans="1:16" ht="13.5" customHeight="1">
      <c r="A467" s="72">
        <v>721</v>
      </c>
      <c r="B467" s="80" t="e">
        <f>+H449+H451+H453+H455+#REF!</f>
        <v>#REF!</v>
      </c>
      <c r="C467" s="74" t="e">
        <f>+D432</f>
        <v>#REF!</v>
      </c>
      <c r="D467" s="195" t="e">
        <f>+B467+C467</f>
        <v>#REF!</v>
      </c>
      <c r="I467" s="72">
        <v>721</v>
      </c>
      <c r="J467" s="80"/>
      <c r="K467" s="74">
        <f>+L432</f>
        <v>0</v>
      </c>
      <c r="L467" s="195">
        <f>+J467+K467</f>
        <v>0</v>
      </c>
      <c r="N467" s="202"/>
      <c r="O467" s="202"/>
      <c r="P467" s="202"/>
    </row>
    <row r="468" spans="1:16" ht="15" customHeight="1">
      <c r="A468" s="72">
        <v>722</v>
      </c>
      <c r="B468" s="80"/>
      <c r="C468" s="74">
        <f>+D433</f>
        <v>231207671</v>
      </c>
      <c r="D468" s="195">
        <f>+B468+C468</f>
        <v>231207671</v>
      </c>
      <c r="I468" s="72">
        <v>722</v>
      </c>
      <c r="J468" s="80"/>
      <c r="K468" s="74">
        <f>+L433</f>
        <v>0</v>
      </c>
      <c r="L468" s="195">
        <f>+J468+K468</f>
        <v>0</v>
      </c>
      <c r="N468" s="202"/>
      <c r="O468" s="202"/>
      <c r="P468" s="202"/>
    </row>
    <row r="469" spans="1:16" ht="14.25" customHeight="1">
      <c r="A469" s="72">
        <v>723</v>
      </c>
      <c r="B469" s="80"/>
      <c r="C469" s="74">
        <f>+D434</f>
        <v>321228837</v>
      </c>
      <c r="D469" s="195">
        <f>+B469+C469</f>
        <v>321228837</v>
      </c>
      <c r="F469" s="193" t="s">
        <v>289</v>
      </c>
      <c r="G469" s="175"/>
      <c r="I469" s="72">
        <v>723</v>
      </c>
      <c r="J469" s="80">
        <f>+P455+P453+P451+P449</f>
        <v>19814500</v>
      </c>
      <c r="K469" s="74">
        <f>+L434</f>
        <v>347137722</v>
      </c>
      <c r="L469" s="195">
        <f>+J469+K469</f>
        <v>366952222</v>
      </c>
      <c r="N469" s="918" t="s">
        <v>1696</v>
      </c>
      <c r="O469" s="608"/>
      <c r="P469" s="608"/>
    </row>
    <row r="470" spans="1:16" ht="15" customHeight="1" thickBot="1">
      <c r="A470" s="164" t="s">
        <v>181</v>
      </c>
      <c r="B470" s="165"/>
      <c r="C470" s="74">
        <f>+D435</f>
        <v>1965625</v>
      </c>
      <c r="D470" s="196">
        <f>+B470+C470</f>
        <v>1965625</v>
      </c>
      <c r="F470" s="52"/>
      <c r="I470" s="164" t="s">
        <v>181</v>
      </c>
      <c r="J470" s="165"/>
      <c r="K470" s="74">
        <f>+L435</f>
        <v>0</v>
      </c>
      <c r="L470" s="196">
        <f>+J470+K470</f>
        <v>0</v>
      </c>
      <c r="N470" s="52"/>
    </row>
    <row r="471" spans="1:16" ht="15" customHeight="1" thickBot="1">
      <c r="A471" s="169"/>
      <c r="B471" s="170" t="e">
        <f>SUM(B466:B470)</f>
        <v>#REF!</v>
      </c>
      <c r="C471" s="171" t="e">
        <f>SUM(C466:C470)</f>
        <v>#REF!</v>
      </c>
      <c r="D471" s="172" t="e">
        <f>SUM(D466:D470)</f>
        <v>#REF!</v>
      </c>
      <c r="I471" s="169"/>
      <c r="J471" s="197">
        <f>SUM(J466:J470)</f>
        <v>19814500</v>
      </c>
      <c r="K471" s="197">
        <f>SUM(K466:K470)</f>
        <v>349027722</v>
      </c>
      <c r="L471" s="198">
        <f>SUM(L466:L470)</f>
        <v>368842222</v>
      </c>
    </row>
    <row r="472" spans="1:16" ht="16.5">
      <c r="A472" s="49" t="s">
        <v>88</v>
      </c>
      <c r="B472" s="50"/>
      <c r="I472" s="49" t="s">
        <v>88</v>
      </c>
      <c r="J472" s="50"/>
    </row>
    <row r="473" spans="1:16" ht="13.5" customHeight="1">
      <c r="A473" s="51" t="s">
        <v>89</v>
      </c>
      <c r="I473" s="51" t="s">
        <v>89</v>
      </c>
    </row>
    <row r="474" spans="1:16">
      <c r="A474" s="51" t="s">
        <v>90</v>
      </c>
      <c r="I474" s="51" t="s">
        <v>90</v>
      </c>
    </row>
    <row r="475" spans="1:16">
      <c r="A475" s="51" t="s">
        <v>91</v>
      </c>
      <c r="I475" s="51" t="s">
        <v>91</v>
      </c>
    </row>
    <row r="476" spans="1:16" ht="5.25" customHeight="1">
      <c r="A476" s="50"/>
      <c r="B476" s="50"/>
      <c r="I476" s="50"/>
      <c r="J476" s="50"/>
    </row>
    <row r="477" spans="1:16" ht="16.5">
      <c r="A477" s="52" t="s">
        <v>307</v>
      </c>
      <c r="G477" s="52"/>
      <c r="I477" s="52" t="s">
        <v>637</v>
      </c>
      <c r="O477" s="52"/>
    </row>
    <row r="478" spans="1:16" ht="15.75">
      <c r="A478" s="53" t="s">
        <v>92</v>
      </c>
      <c r="G478" s="53"/>
      <c r="I478" s="53" t="s">
        <v>1702</v>
      </c>
      <c r="O478" s="53"/>
    </row>
    <row r="479" spans="1:16" ht="16.5">
      <c r="A479" s="894" t="s">
        <v>261</v>
      </c>
      <c r="B479" s="894"/>
      <c r="C479" s="894"/>
      <c r="D479" s="894"/>
      <c r="E479" s="894"/>
      <c r="F479" s="894"/>
      <c r="G479" s="894"/>
      <c r="H479" s="894"/>
      <c r="I479" s="894" t="s">
        <v>212</v>
      </c>
      <c r="J479" s="894"/>
      <c r="K479" s="894"/>
      <c r="L479" s="894"/>
      <c r="M479" s="894"/>
      <c r="N479" s="894"/>
      <c r="O479" s="894"/>
      <c r="P479" s="894"/>
    </row>
    <row r="480" spans="1:16" ht="12.75" customHeight="1" thickBot="1"/>
    <row r="481" spans="1:16">
      <c r="A481" s="895" t="s">
        <v>94</v>
      </c>
      <c r="B481" s="897" t="s">
        <v>95</v>
      </c>
      <c r="C481" s="897" t="s">
        <v>96</v>
      </c>
      <c r="D481" s="897" t="s">
        <v>3</v>
      </c>
      <c r="E481" s="897" t="s">
        <v>97</v>
      </c>
      <c r="F481" s="897" t="s">
        <v>98</v>
      </c>
      <c r="G481" s="897" t="s">
        <v>99</v>
      </c>
      <c r="H481" s="899"/>
      <c r="I481" s="895" t="s">
        <v>94</v>
      </c>
      <c r="J481" s="897" t="s">
        <v>95</v>
      </c>
      <c r="K481" s="897" t="s">
        <v>96</v>
      </c>
      <c r="L481" s="897" t="s">
        <v>3</v>
      </c>
      <c r="M481" s="897" t="s">
        <v>97</v>
      </c>
      <c r="N481" s="897" t="s">
        <v>98</v>
      </c>
      <c r="O481" s="897" t="s">
        <v>99</v>
      </c>
      <c r="P481" s="899"/>
    </row>
    <row r="482" spans="1:16" ht="15.75" thickBot="1">
      <c r="A482" s="896"/>
      <c r="B482" s="898"/>
      <c r="C482" s="898"/>
      <c r="D482" s="898"/>
      <c r="E482" s="898"/>
      <c r="F482" s="898"/>
      <c r="G482" s="240" t="s">
        <v>100</v>
      </c>
      <c r="H482" s="182" t="s">
        <v>101</v>
      </c>
      <c r="I482" s="896"/>
      <c r="J482" s="898"/>
      <c r="K482" s="898"/>
      <c r="L482" s="898"/>
      <c r="M482" s="898"/>
      <c r="N482" s="898"/>
      <c r="O482" s="240" t="s">
        <v>100</v>
      </c>
      <c r="P482" s="182" t="s">
        <v>101</v>
      </c>
    </row>
    <row r="483" spans="1:16" ht="13.5" customHeight="1">
      <c r="A483" s="881" t="e">
        <f>+#REF!+1</f>
        <v>#REF!</v>
      </c>
      <c r="B483" s="875">
        <v>42278</v>
      </c>
      <c r="C483" s="877" t="s">
        <v>272</v>
      </c>
      <c r="D483" s="881" t="s">
        <v>305</v>
      </c>
      <c r="E483" s="881" t="s">
        <v>148</v>
      </c>
      <c r="F483" s="883">
        <v>100000</v>
      </c>
      <c r="G483" s="55">
        <v>719</v>
      </c>
      <c r="H483" s="78">
        <v>100000</v>
      </c>
      <c r="I483" s="873" t="s">
        <v>1435</v>
      </c>
      <c r="J483" s="875">
        <v>43546</v>
      </c>
      <c r="K483" s="877" t="s">
        <v>1768</v>
      </c>
      <c r="L483" s="881" t="s">
        <v>1765</v>
      </c>
      <c r="M483" s="881" t="s">
        <v>775</v>
      </c>
      <c r="N483" s="883">
        <v>1008000</v>
      </c>
      <c r="O483" s="55">
        <v>719</v>
      </c>
      <c r="P483" s="78"/>
    </row>
    <row r="484" spans="1:16" ht="12.75" customHeight="1" thickBot="1">
      <c r="A484" s="882"/>
      <c r="B484" s="934"/>
      <c r="C484" s="878"/>
      <c r="D484" s="882"/>
      <c r="E484" s="882"/>
      <c r="F484" s="884"/>
      <c r="G484" s="56">
        <v>721</v>
      </c>
      <c r="H484" s="79">
        <f>+F483-H483</f>
        <v>0</v>
      </c>
      <c r="I484" s="882"/>
      <c r="J484" s="876"/>
      <c r="K484" s="878"/>
      <c r="L484" s="882"/>
      <c r="M484" s="882"/>
      <c r="N484" s="884"/>
      <c r="O484" s="461">
        <v>723</v>
      </c>
      <c r="P484" s="79">
        <f>+N483-P483</f>
        <v>1008000</v>
      </c>
    </row>
    <row r="485" spans="1:16" ht="12" customHeight="1">
      <c r="A485" s="881" t="e">
        <f>+A483+1</f>
        <v>#REF!</v>
      </c>
      <c r="B485" s="875">
        <v>42278</v>
      </c>
      <c r="C485" s="881" t="s">
        <v>28</v>
      </c>
      <c r="D485" s="881" t="s">
        <v>304</v>
      </c>
      <c r="E485" s="881" t="s">
        <v>115</v>
      </c>
      <c r="F485" s="883">
        <v>80000</v>
      </c>
      <c r="G485" s="55">
        <v>719</v>
      </c>
      <c r="H485" s="78">
        <v>80000</v>
      </c>
      <c r="I485" s="873" t="s">
        <v>1443</v>
      </c>
      <c r="J485" s="875">
        <v>43546</v>
      </c>
      <c r="K485" s="877" t="s">
        <v>117</v>
      </c>
      <c r="L485" s="881" t="s">
        <v>1765</v>
      </c>
      <c r="M485" s="881" t="s">
        <v>775</v>
      </c>
      <c r="N485" s="883">
        <v>870000</v>
      </c>
      <c r="O485" s="55">
        <v>719</v>
      </c>
      <c r="P485" s="78"/>
    </row>
    <row r="486" spans="1:16" ht="14.25" customHeight="1" thickBot="1">
      <c r="A486" s="882"/>
      <c r="B486" s="934"/>
      <c r="C486" s="882"/>
      <c r="D486" s="882"/>
      <c r="E486" s="882"/>
      <c r="F486" s="884"/>
      <c r="G486" s="56">
        <v>721</v>
      </c>
      <c r="H486" s="79">
        <f>+F485-H485</f>
        <v>0</v>
      </c>
      <c r="I486" s="882"/>
      <c r="J486" s="876"/>
      <c r="K486" s="878"/>
      <c r="L486" s="882"/>
      <c r="M486" s="882"/>
      <c r="N486" s="884"/>
      <c r="O486" s="461">
        <v>723</v>
      </c>
      <c r="P486" s="79">
        <f>+N485-P485</f>
        <v>870000</v>
      </c>
    </row>
    <row r="487" spans="1:16" ht="14.25" customHeight="1">
      <c r="A487" s="881" t="e">
        <f>+A485+1</f>
        <v>#REF!</v>
      </c>
      <c r="B487" s="875">
        <v>42278</v>
      </c>
      <c r="C487" s="877" t="s">
        <v>120</v>
      </c>
      <c r="D487" s="881" t="s">
        <v>304</v>
      </c>
      <c r="E487" s="881" t="s">
        <v>115</v>
      </c>
      <c r="F487" s="883">
        <v>80000</v>
      </c>
      <c r="G487" s="55">
        <v>719</v>
      </c>
      <c r="H487" s="78">
        <v>80000</v>
      </c>
      <c r="I487" s="873" t="s">
        <v>1444</v>
      </c>
      <c r="J487" s="875">
        <v>43546</v>
      </c>
      <c r="K487" s="877" t="s">
        <v>779</v>
      </c>
      <c r="L487" s="881" t="s">
        <v>1765</v>
      </c>
      <c r="M487" s="881" t="s">
        <v>775</v>
      </c>
      <c r="N487" s="883">
        <v>702500</v>
      </c>
      <c r="O487" s="55">
        <v>719</v>
      </c>
      <c r="P487" s="78"/>
    </row>
    <row r="488" spans="1:16" ht="13.5" customHeight="1" thickBot="1">
      <c r="A488" s="882"/>
      <c r="B488" s="934"/>
      <c r="C488" s="878"/>
      <c r="D488" s="882"/>
      <c r="E488" s="882"/>
      <c r="F488" s="884"/>
      <c r="G488" s="56">
        <v>721</v>
      </c>
      <c r="H488" s="79">
        <f>+F487-H487</f>
        <v>0</v>
      </c>
      <c r="I488" s="882"/>
      <c r="J488" s="876"/>
      <c r="K488" s="878"/>
      <c r="L488" s="882"/>
      <c r="M488" s="882"/>
      <c r="N488" s="884"/>
      <c r="O488" s="461">
        <v>723</v>
      </c>
      <c r="P488" s="79">
        <f>+N487-P487</f>
        <v>702500</v>
      </c>
    </row>
    <row r="489" spans="1:16" ht="12.75" customHeight="1">
      <c r="A489" s="881"/>
      <c r="B489" s="875"/>
      <c r="C489" s="877"/>
      <c r="D489" s="881"/>
      <c r="E489" s="881"/>
      <c r="F489" s="883"/>
      <c r="G489" s="55">
        <v>719</v>
      </c>
      <c r="H489" s="78"/>
      <c r="I489" s="873" t="s">
        <v>1445</v>
      </c>
      <c r="J489" s="875">
        <v>43546</v>
      </c>
      <c r="K489" s="877" t="s">
        <v>28</v>
      </c>
      <c r="L489" s="881" t="s">
        <v>1765</v>
      </c>
      <c r="M489" s="881" t="s">
        <v>775</v>
      </c>
      <c r="N489" s="883">
        <v>546672</v>
      </c>
      <c r="O489" s="55">
        <v>719</v>
      </c>
      <c r="P489" s="78"/>
    </row>
    <row r="490" spans="1:16" ht="12.75" customHeight="1" thickBot="1">
      <c r="A490" s="882"/>
      <c r="B490" s="934"/>
      <c r="C490" s="878"/>
      <c r="D490" s="882"/>
      <c r="E490" s="882"/>
      <c r="F490" s="884"/>
      <c r="G490" s="56">
        <v>721</v>
      </c>
      <c r="H490" s="79">
        <f>+F489-H489</f>
        <v>0</v>
      </c>
      <c r="I490" s="882"/>
      <c r="J490" s="876"/>
      <c r="K490" s="878"/>
      <c r="L490" s="882"/>
      <c r="M490" s="882"/>
      <c r="N490" s="884"/>
      <c r="O490" s="461">
        <v>723</v>
      </c>
      <c r="P490" s="79">
        <f>+N489-P489</f>
        <v>546672</v>
      </c>
    </row>
    <row r="491" spans="1:16" ht="12.75" customHeight="1">
      <c r="A491" s="881"/>
      <c r="B491" s="875"/>
      <c r="C491" s="877"/>
      <c r="D491" s="881"/>
      <c r="E491" s="881"/>
      <c r="F491" s="883"/>
      <c r="G491" s="55">
        <v>719</v>
      </c>
      <c r="H491" s="78"/>
      <c r="I491" s="873" t="s">
        <v>1446</v>
      </c>
      <c r="J491" s="875">
        <v>43546</v>
      </c>
      <c r="K491" s="877" t="s">
        <v>1767</v>
      </c>
      <c r="L491" s="881" t="s">
        <v>1765</v>
      </c>
      <c r="M491" s="881" t="s">
        <v>775</v>
      </c>
      <c r="N491" s="883">
        <v>441000</v>
      </c>
      <c r="O491" s="55">
        <v>719</v>
      </c>
      <c r="P491" s="78"/>
    </row>
    <row r="492" spans="1:16" ht="14.25" customHeight="1" thickBot="1">
      <c r="A492" s="882"/>
      <c r="B492" s="934"/>
      <c r="C492" s="878"/>
      <c r="D492" s="882"/>
      <c r="E492" s="882"/>
      <c r="F492" s="884"/>
      <c r="G492" s="56">
        <v>721</v>
      </c>
      <c r="H492" s="79">
        <f>+F491-H491</f>
        <v>0</v>
      </c>
      <c r="I492" s="882"/>
      <c r="J492" s="876"/>
      <c r="K492" s="878"/>
      <c r="L492" s="882"/>
      <c r="M492" s="882"/>
      <c r="N492" s="884"/>
      <c r="O492" s="461">
        <v>723</v>
      </c>
      <c r="P492" s="79">
        <f>+N491</f>
        <v>441000</v>
      </c>
    </row>
    <row r="493" spans="1:16" ht="16.5" thickBot="1">
      <c r="A493" s="901" t="s">
        <v>102</v>
      </c>
      <c r="B493" s="902"/>
      <c r="C493" s="902"/>
      <c r="D493" s="902"/>
      <c r="E493" s="903"/>
      <c r="F493" s="81">
        <f>SUM(F483:F492)</f>
        <v>260000</v>
      </c>
      <c r="I493" s="901" t="s">
        <v>102</v>
      </c>
      <c r="J493" s="902"/>
      <c r="K493" s="902"/>
      <c r="L493" s="902"/>
      <c r="M493" s="903"/>
      <c r="N493" s="81">
        <f>SUM(N483:N492)</f>
        <v>3568172</v>
      </c>
    </row>
    <row r="494" spans="1:16" ht="16.5" thickBot="1">
      <c r="A494" s="885" t="s">
        <v>103</v>
      </c>
      <c r="B494" s="886"/>
      <c r="C494" s="886"/>
      <c r="D494" s="886"/>
      <c r="E494" s="887"/>
      <c r="F494" s="69">
        <f>+F458</f>
        <v>627256225</v>
      </c>
      <c r="I494" s="885" t="s">
        <v>103</v>
      </c>
      <c r="J494" s="886"/>
      <c r="K494" s="886"/>
      <c r="L494" s="886"/>
      <c r="M494" s="887"/>
      <c r="N494" s="239">
        <f>+N458</f>
        <v>368842222</v>
      </c>
      <c r="O494" s="241" t="s">
        <v>561</v>
      </c>
      <c r="P494" s="242"/>
    </row>
    <row r="495" spans="1:16" ht="16.5" thickBot="1">
      <c r="A495" s="888" t="s">
        <v>104</v>
      </c>
      <c r="B495" s="889"/>
      <c r="C495" s="889"/>
      <c r="D495" s="889"/>
      <c r="E495" s="890"/>
      <c r="F495" s="183">
        <f>SUM(F493:F494)</f>
        <v>627516225</v>
      </c>
      <c r="I495" s="888" t="s">
        <v>104</v>
      </c>
      <c r="J495" s="889"/>
      <c r="K495" s="889"/>
      <c r="L495" s="889"/>
      <c r="M495" s="890"/>
      <c r="N495" s="183">
        <f>SUM(N493:N494)</f>
        <v>372410394</v>
      </c>
    </row>
    <row r="496" spans="1:16" ht="9.75" customHeight="1">
      <c r="A496" s="61"/>
      <c r="B496" s="61"/>
      <c r="C496" s="61"/>
      <c r="D496" s="61"/>
      <c r="E496" s="61"/>
      <c r="I496" s="61"/>
      <c r="J496" s="61"/>
      <c r="K496" s="61"/>
      <c r="L496" s="61"/>
      <c r="M496" s="61"/>
    </row>
    <row r="497" spans="1:16">
      <c r="A497" s="51" t="s">
        <v>306</v>
      </c>
      <c r="I497" s="51" t="s">
        <v>1769</v>
      </c>
    </row>
    <row r="498" spans="1:16" ht="9.75" customHeight="1">
      <c r="F498" s="139"/>
      <c r="N498" s="139"/>
    </row>
    <row r="499" spans="1:16">
      <c r="A499" s="50" t="s">
        <v>105</v>
      </c>
      <c r="D499" s="146"/>
      <c r="F499" s="139"/>
      <c r="I499" s="50" t="s">
        <v>105</v>
      </c>
      <c r="L499" s="146"/>
      <c r="N499" s="139"/>
    </row>
    <row r="500" spans="1:16" ht="9" customHeight="1" thickBot="1"/>
    <row r="501" spans="1:16" ht="16.5" customHeight="1" thickBot="1">
      <c r="A501" s="891" t="s">
        <v>106</v>
      </c>
      <c r="B501" s="892"/>
      <c r="C501" s="892"/>
      <c r="D501" s="893"/>
      <c r="F501" s="50" t="s">
        <v>288</v>
      </c>
      <c r="I501" s="891" t="s">
        <v>106</v>
      </c>
      <c r="J501" s="892"/>
      <c r="K501" s="892"/>
      <c r="L501" s="893"/>
      <c r="N501" s="605" t="s">
        <v>288</v>
      </c>
      <c r="O501" s="605"/>
      <c r="P501" s="605"/>
    </row>
    <row r="502" spans="1:16" ht="27" customHeight="1" thickBot="1">
      <c r="A502" s="57" t="s">
        <v>100</v>
      </c>
      <c r="B502" s="58" t="s">
        <v>108</v>
      </c>
      <c r="C502" s="59" t="s">
        <v>109</v>
      </c>
      <c r="D502" s="60" t="s">
        <v>110</v>
      </c>
      <c r="I502" s="57" t="s">
        <v>100</v>
      </c>
      <c r="J502" s="58" t="s">
        <v>108</v>
      </c>
      <c r="K502" s="59" t="s">
        <v>109</v>
      </c>
      <c r="L502" s="60" t="s">
        <v>110</v>
      </c>
      <c r="N502" s="202"/>
      <c r="O502" s="202"/>
      <c r="P502" s="202"/>
    </row>
    <row r="503" spans="1:16" ht="12" customHeight="1">
      <c r="A503" s="71">
        <v>719</v>
      </c>
      <c r="B503" s="73">
        <f>+H483+H485+H487+H489+H491</f>
        <v>260000</v>
      </c>
      <c r="C503" s="74" t="e">
        <f>+D466</f>
        <v>#REF!</v>
      </c>
      <c r="D503" s="195" t="e">
        <f>+B503+C503</f>
        <v>#REF!</v>
      </c>
      <c r="I503" s="71">
        <v>719</v>
      </c>
      <c r="J503" s="73"/>
      <c r="K503" s="74">
        <f>+L466</f>
        <v>1890000</v>
      </c>
      <c r="L503" s="195">
        <f>+J503+K503</f>
        <v>1890000</v>
      </c>
      <c r="N503" s="202"/>
      <c r="O503" s="202"/>
      <c r="P503" s="202"/>
    </row>
    <row r="504" spans="1:16" ht="12" customHeight="1">
      <c r="A504" s="72">
        <v>721</v>
      </c>
      <c r="B504" s="80">
        <f>+H484+H486+H488+H490+H492</f>
        <v>0</v>
      </c>
      <c r="C504" s="74" t="e">
        <f>+D467</f>
        <v>#REF!</v>
      </c>
      <c r="D504" s="195" t="e">
        <f>+B504+C504</f>
        <v>#REF!</v>
      </c>
      <c r="I504" s="72">
        <v>721</v>
      </c>
      <c r="J504" s="80"/>
      <c r="K504" s="74">
        <f>+L467</f>
        <v>0</v>
      </c>
      <c r="L504" s="195">
        <f>+J504+K504</f>
        <v>0</v>
      </c>
      <c r="N504" s="202"/>
      <c r="O504" s="202"/>
      <c r="P504" s="202"/>
    </row>
    <row r="505" spans="1:16" ht="14.25" customHeight="1">
      <c r="A505" s="72">
        <v>722</v>
      </c>
      <c r="B505" s="80"/>
      <c r="C505" s="74">
        <f>+D468</f>
        <v>231207671</v>
      </c>
      <c r="D505" s="195">
        <f>+B505+C505</f>
        <v>231207671</v>
      </c>
      <c r="I505" s="72">
        <v>722</v>
      </c>
      <c r="J505" s="80"/>
      <c r="K505" s="74">
        <f>+L468</f>
        <v>0</v>
      </c>
      <c r="L505" s="195">
        <f>+J505+K505</f>
        <v>0</v>
      </c>
      <c r="N505" s="202"/>
      <c r="O505" s="202"/>
      <c r="P505" s="202"/>
    </row>
    <row r="506" spans="1:16" ht="13.5" customHeight="1" thickBot="1">
      <c r="A506" s="72">
        <v>723</v>
      </c>
      <c r="B506" s="80"/>
      <c r="C506" s="74">
        <f>+D469</f>
        <v>321228837</v>
      </c>
      <c r="D506" s="195">
        <f>+B506+C506</f>
        <v>321228837</v>
      </c>
      <c r="F506" s="193" t="s">
        <v>289</v>
      </c>
      <c r="G506" s="175"/>
      <c r="I506" s="72">
        <v>723</v>
      </c>
      <c r="J506" s="80">
        <f>+P484+P486+P488+P490+P492</f>
        <v>3568172</v>
      </c>
      <c r="K506" s="74">
        <f>+L469</f>
        <v>366952222</v>
      </c>
      <c r="L506" s="195">
        <f>+J506+K506</f>
        <v>370520394</v>
      </c>
      <c r="N506" s="918" t="s">
        <v>1696</v>
      </c>
      <c r="O506" s="608"/>
      <c r="P506" s="608"/>
    </row>
    <row r="507" spans="1:16" ht="13.5" hidden="1" customHeight="1" thickBot="1">
      <c r="A507" s="164" t="s">
        <v>181</v>
      </c>
      <c r="B507" s="165"/>
      <c r="C507" s="74">
        <f>+D470</f>
        <v>1965625</v>
      </c>
      <c r="D507" s="196">
        <f>+B507+C507</f>
        <v>1965625</v>
      </c>
      <c r="F507" s="52"/>
      <c r="I507" s="164" t="s">
        <v>181</v>
      </c>
      <c r="J507" s="165"/>
      <c r="K507" s="74">
        <f>+L470</f>
        <v>0</v>
      </c>
      <c r="L507" s="196">
        <f>+J507+K507</f>
        <v>0</v>
      </c>
      <c r="N507" s="52"/>
    </row>
    <row r="508" spans="1:16" ht="15.75" customHeight="1" thickBot="1">
      <c r="A508" s="169"/>
      <c r="B508" s="170">
        <f>SUM(B503:B507)</f>
        <v>260000</v>
      </c>
      <c r="C508" s="171" t="e">
        <f>SUM(C503:C507)</f>
        <v>#REF!</v>
      </c>
      <c r="D508" s="172" t="e">
        <f>SUM(D503:D507)</f>
        <v>#REF!</v>
      </c>
      <c r="I508" s="169"/>
      <c r="J508" s="197">
        <f>SUM(J503:J507)</f>
        <v>3568172</v>
      </c>
      <c r="K508" s="197">
        <f>SUM(K503:K507)</f>
        <v>368842222</v>
      </c>
      <c r="L508" s="198">
        <f>SUM(L503:L507)</f>
        <v>372410394</v>
      </c>
    </row>
    <row r="509" spans="1:16" ht="16.5">
      <c r="A509" s="49" t="s">
        <v>88</v>
      </c>
      <c r="B509" s="50"/>
      <c r="I509" s="49" t="s">
        <v>88</v>
      </c>
      <c r="J509" s="50"/>
    </row>
    <row r="510" spans="1:16">
      <c r="A510" s="51" t="s">
        <v>89</v>
      </c>
      <c r="I510" s="51" t="s">
        <v>89</v>
      </c>
    </row>
    <row r="511" spans="1:16">
      <c r="A511" s="51" t="s">
        <v>90</v>
      </c>
      <c r="I511" s="51" t="s">
        <v>90</v>
      </c>
    </row>
    <row r="512" spans="1:16">
      <c r="A512" s="51" t="s">
        <v>91</v>
      </c>
      <c r="I512" s="51" t="s">
        <v>91</v>
      </c>
    </row>
    <row r="513" spans="1:16" ht="11.25" customHeight="1">
      <c r="A513" s="50"/>
      <c r="B513" s="50"/>
      <c r="I513" s="50"/>
      <c r="J513" s="50"/>
    </row>
    <row r="514" spans="1:16" ht="16.5">
      <c r="A514" s="52" t="s">
        <v>308</v>
      </c>
      <c r="G514" s="52"/>
      <c r="I514" s="52" t="s">
        <v>638</v>
      </c>
      <c r="O514" s="52"/>
    </row>
    <row r="515" spans="1:16" ht="15.75">
      <c r="A515" s="53" t="s">
        <v>92</v>
      </c>
      <c r="G515" s="53"/>
      <c r="I515" s="53" t="s">
        <v>1702</v>
      </c>
      <c r="O515" s="53"/>
    </row>
    <row r="516" spans="1:16" ht="16.5">
      <c r="A516" s="894" t="s">
        <v>261</v>
      </c>
      <c r="B516" s="894"/>
      <c r="C516" s="894"/>
      <c r="D516" s="894"/>
      <c r="E516" s="894"/>
      <c r="F516" s="894"/>
      <c r="G516" s="894"/>
      <c r="H516" s="894"/>
      <c r="I516" s="894" t="s">
        <v>1795</v>
      </c>
      <c r="J516" s="894"/>
      <c r="K516" s="894"/>
      <c r="L516" s="894"/>
      <c r="M516" s="894"/>
      <c r="N516" s="894"/>
      <c r="O516" s="894"/>
      <c r="P516" s="894"/>
    </row>
    <row r="517" spans="1:16" ht="15.75" thickBot="1"/>
    <row r="518" spans="1:16">
      <c r="A518" s="895" t="s">
        <v>94</v>
      </c>
      <c r="B518" s="897" t="s">
        <v>95</v>
      </c>
      <c r="C518" s="897" t="s">
        <v>96</v>
      </c>
      <c r="D518" s="897" t="s">
        <v>3</v>
      </c>
      <c r="E518" s="897" t="s">
        <v>97</v>
      </c>
      <c r="F518" s="897" t="s">
        <v>98</v>
      </c>
      <c r="G518" s="897" t="s">
        <v>99</v>
      </c>
      <c r="H518" s="899"/>
      <c r="I518" s="895" t="s">
        <v>94</v>
      </c>
      <c r="J518" s="897" t="s">
        <v>95</v>
      </c>
      <c r="K518" s="897" t="s">
        <v>96</v>
      </c>
      <c r="L518" s="897" t="s">
        <v>3</v>
      </c>
      <c r="M518" s="897" t="s">
        <v>97</v>
      </c>
      <c r="N518" s="897" t="s">
        <v>98</v>
      </c>
      <c r="O518" s="897" t="s">
        <v>99</v>
      </c>
      <c r="P518" s="899"/>
    </row>
    <row r="519" spans="1:16" ht="15.75" thickBot="1">
      <c r="A519" s="896"/>
      <c r="B519" s="898"/>
      <c r="C519" s="898"/>
      <c r="D519" s="898"/>
      <c r="E519" s="898"/>
      <c r="F519" s="898"/>
      <c r="G519" s="240" t="s">
        <v>100</v>
      </c>
      <c r="H519" s="182" t="s">
        <v>101</v>
      </c>
      <c r="I519" s="896"/>
      <c r="J519" s="898"/>
      <c r="K519" s="898"/>
      <c r="L519" s="898"/>
      <c r="M519" s="898"/>
      <c r="N519" s="898"/>
      <c r="O519" s="240" t="s">
        <v>100</v>
      </c>
      <c r="P519" s="182" t="s">
        <v>101</v>
      </c>
    </row>
    <row r="520" spans="1:16" ht="12" customHeight="1">
      <c r="A520" s="881" t="e">
        <f>+A487+1</f>
        <v>#REF!</v>
      </c>
      <c r="B520" s="875">
        <v>42286</v>
      </c>
      <c r="C520" s="877" t="s">
        <v>267</v>
      </c>
      <c r="D520" s="881" t="s">
        <v>310</v>
      </c>
      <c r="E520" s="881" t="s">
        <v>148</v>
      </c>
      <c r="F520" s="883">
        <v>224000</v>
      </c>
      <c r="G520" s="55">
        <v>719</v>
      </c>
      <c r="H520" s="78">
        <v>160000</v>
      </c>
      <c r="I520" s="873" t="s">
        <v>656</v>
      </c>
      <c r="J520" s="875">
        <v>43550</v>
      </c>
      <c r="K520" s="881" t="s">
        <v>1782</v>
      </c>
      <c r="L520" s="881" t="s">
        <v>1765</v>
      </c>
      <c r="M520" s="881" t="s">
        <v>775</v>
      </c>
      <c r="N520" s="883">
        <v>5000000</v>
      </c>
      <c r="O520" s="55">
        <v>719</v>
      </c>
      <c r="P520" s="78">
        <v>0</v>
      </c>
    </row>
    <row r="521" spans="1:16" ht="13.5" customHeight="1" thickBot="1">
      <c r="A521" s="882"/>
      <c r="B521" s="934"/>
      <c r="C521" s="878"/>
      <c r="D521" s="882"/>
      <c r="E521" s="882"/>
      <c r="F521" s="884"/>
      <c r="G521" s="56">
        <v>721</v>
      </c>
      <c r="H521" s="79">
        <f>+F520-H520</f>
        <v>64000</v>
      </c>
      <c r="I521" s="882"/>
      <c r="J521" s="876"/>
      <c r="K521" s="882"/>
      <c r="L521" s="882"/>
      <c r="M521" s="882"/>
      <c r="N521" s="884"/>
      <c r="O521" s="56">
        <v>723</v>
      </c>
      <c r="P521" s="79">
        <f>+N520-P520</f>
        <v>5000000</v>
      </c>
    </row>
    <row r="522" spans="1:16" ht="13.5" customHeight="1">
      <c r="A522" s="881" t="e">
        <f>+A520+1</f>
        <v>#REF!</v>
      </c>
      <c r="B522" s="875">
        <v>42286</v>
      </c>
      <c r="C522" s="881" t="s">
        <v>28</v>
      </c>
      <c r="D522" s="881" t="s">
        <v>310</v>
      </c>
      <c r="E522" s="881" t="s">
        <v>148</v>
      </c>
      <c r="F522" s="883">
        <v>392000</v>
      </c>
      <c r="G522" s="55">
        <v>719</v>
      </c>
      <c r="H522" s="78">
        <v>280000</v>
      </c>
      <c r="I522" s="873"/>
      <c r="J522" s="875"/>
      <c r="K522" s="881"/>
      <c r="L522" s="881"/>
      <c r="M522" s="881"/>
      <c r="N522" s="883"/>
      <c r="O522" s="55">
        <v>719</v>
      </c>
      <c r="P522" s="78">
        <v>0</v>
      </c>
    </row>
    <row r="523" spans="1:16" ht="13.5" customHeight="1" thickBot="1">
      <c r="A523" s="882"/>
      <c r="B523" s="934"/>
      <c r="C523" s="882"/>
      <c r="D523" s="882"/>
      <c r="E523" s="882"/>
      <c r="F523" s="884"/>
      <c r="G523" s="56">
        <v>721</v>
      </c>
      <c r="H523" s="79">
        <f>+F522-H522</f>
        <v>112000</v>
      </c>
      <c r="I523" s="882"/>
      <c r="J523" s="876"/>
      <c r="K523" s="882"/>
      <c r="L523" s="882"/>
      <c r="M523" s="882"/>
      <c r="N523" s="884"/>
      <c r="O523" s="56">
        <v>721</v>
      </c>
      <c r="P523" s="79">
        <f>+N522-P522</f>
        <v>0</v>
      </c>
    </row>
    <row r="524" spans="1:16" ht="11.25" customHeight="1">
      <c r="A524" s="881" t="e">
        <f>+#REF!+1</f>
        <v>#REF!</v>
      </c>
      <c r="B524" s="875">
        <v>42286</v>
      </c>
      <c r="C524" s="877" t="s">
        <v>111</v>
      </c>
      <c r="D524" s="881" t="s">
        <v>311</v>
      </c>
      <c r="E524" s="881" t="s">
        <v>148</v>
      </c>
      <c r="F524" s="883">
        <v>84000</v>
      </c>
      <c r="G524" s="55">
        <v>719</v>
      </c>
      <c r="H524" s="78">
        <v>60000</v>
      </c>
      <c r="I524" s="873"/>
      <c r="J524" s="875"/>
      <c r="K524" s="881"/>
      <c r="L524" s="881"/>
      <c r="M524" s="881"/>
      <c r="N524" s="883"/>
      <c r="O524" s="55">
        <v>723</v>
      </c>
      <c r="P524" s="78"/>
    </row>
    <row r="525" spans="1:16" ht="14.25" customHeight="1" thickBot="1">
      <c r="A525" s="882"/>
      <c r="B525" s="934"/>
      <c r="C525" s="878"/>
      <c r="D525" s="882"/>
      <c r="E525" s="882"/>
      <c r="F525" s="884"/>
      <c r="G525" s="56">
        <v>721</v>
      </c>
      <c r="H525" s="79">
        <f>+F524-H524</f>
        <v>24000</v>
      </c>
      <c r="I525" s="882"/>
      <c r="J525" s="876"/>
      <c r="K525" s="882"/>
      <c r="L525" s="882"/>
      <c r="M525" s="882"/>
      <c r="N525" s="884"/>
      <c r="O525" s="56">
        <v>721</v>
      </c>
      <c r="P525" s="79">
        <f>+N524-P524</f>
        <v>0</v>
      </c>
    </row>
    <row r="526" spans="1:16" ht="11.25" customHeight="1">
      <c r="A526" s="881" t="e">
        <f>+A524+1</f>
        <v>#REF!</v>
      </c>
      <c r="B526" s="875">
        <v>42286</v>
      </c>
      <c r="C526" s="877" t="s">
        <v>272</v>
      </c>
      <c r="D526" s="881" t="s">
        <v>310</v>
      </c>
      <c r="E526" s="881" t="s">
        <v>148</v>
      </c>
      <c r="F526" s="883">
        <v>868000</v>
      </c>
      <c r="G526" s="55">
        <v>719</v>
      </c>
      <c r="H526" s="78">
        <v>620000</v>
      </c>
      <c r="I526" s="873"/>
      <c r="J526" s="875"/>
      <c r="K526" s="877"/>
      <c r="L526" s="881"/>
      <c r="M526" s="881"/>
      <c r="N526" s="883"/>
      <c r="O526" s="55">
        <v>723</v>
      </c>
      <c r="P526" s="78"/>
    </row>
    <row r="527" spans="1:16" ht="12.75" customHeight="1" thickBot="1">
      <c r="A527" s="882"/>
      <c r="B527" s="934"/>
      <c r="C527" s="878"/>
      <c r="D527" s="882"/>
      <c r="E527" s="882"/>
      <c r="F527" s="884"/>
      <c r="G527" s="56">
        <v>721</v>
      </c>
      <c r="H527" s="79">
        <f>+F526-H526</f>
        <v>248000</v>
      </c>
      <c r="I527" s="882"/>
      <c r="J527" s="876"/>
      <c r="K527" s="878"/>
      <c r="L527" s="882"/>
      <c r="M527" s="882"/>
      <c r="N527" s="884"/>
      <c r="O527" s="56">
        <v>721</v>
      </c>
      <c r="P527" s="79">
        <f>+N526-P526</f>
        <v>0</v>
      </c>
    </row>
    <row r="528" spans="1:16" ht="16.5" thickBot="1">
      <c r="A528" s="901" t="s">
        <v>102</v>
      </c>
      <c r="B528" s="902"/>
      <c r="C528" s="902"/>
      <c r="D528" s="902"/>
      <c r="E528" s="903"/>
      <c r="F528" s="81">
        <f>SUM(F520:F527)</f>
        <v>1568000</v>
      </c>
      <c r="I528" s="901" t="s">
        <v>102</v>
      </c>
      <c r="J528" s="902"/>
      <c r="K528" s="902"/>
      <c r="L528" s="902"/>
      <c r="M528" s="903"/>
      <c r="N528" s="81">
        <f>SUM(N520:N527)</f>
        <v>5000000</v>
      </c>
    </row>
    <row r="529" spans="1:16" ht="16.5" thickBot="1">
      <c r="A529" s="885" t="s">
        <v>103</v>
      </c>
      <c r="B529" s="886"/>
      <c r="C529" s="886"/>
      <c r="D529" s="886"/>
      <c r="E529" s="887"/>
      <c r="F529" s="69">
        <f>+F495</f>
        <v>627516225</v>
      </c>
      <c r="I529" s="885" t="s">
        <v>103</v>
      </c>
      <c r="J529" s="886"/>
      <c r="K529" s="886"/>
      <c r="L529" s="886"/>
      <c r="M529" s="887"/>
      <c r="N529" s="239">
        <f>+N495</f>
        <v>372410394</v>
      </c>
      <c r="O529" s="241" t="s">
        <v>561</v>
      </c>
      <c r="P529" s="242">
        <f>542+280</f>
        <v>822</v>
      </c>
    </row>
    <row r="530" spans="1:16" ht="16.5" thickBot="1">
      <c r="A530" s="888" t="s">
        <v>104</v>
      </c>
      <c r="B530" s="889"/>
      <c r="C530" s="889"/>
      <c r="D530" s="889"/>
      <c r="E530" s="890"/>
      <c r="F530" s="183">
        <f>SUM(F528:F529)</f>
        <v>629084225</v>
      </c>
      <c r="I530" s="888" t="s">
        <v>104</v>
      </c>
      <c r="J530" s="889"/>
      <c r="K530" s="889"/>
      <c r="L530" s="889"/>
      <c r="M530" s="890"/>
      <c r="N530" s="183">
        <f>SUM(N528:N529)</f>
        <v>377410394</v>
      </c>
    </row>
    <row r="531" spans="1:16" ht="6.75" customHeight="1">
      <c r="A531" s="61"/>
      <c r="B531" s="61"/>
      <c r="C531" s="61"/>
      <c r="D531" s="61"/>
      <c r="E531" s="61"/>
      <c r="I531" s="61"/>
      <c r="J531" s="61"/>
      <c r="K531" s="61"/>
      <c r="L531" s="61"/>
      <c r="M531" s="61"/>
    </row>
    <row r="532" spans="1:16">
      <c r="A532" s="51" t="s">
        <v>312</v>
      </c>
      <c r="I532" s="51" t="s">
        <v>1787</v>
      </c>
    </row>
    <row r="533" spans="1:16" ht="5.25" customHeight="1">
      <c r="F533" s="139"/>
      <c r="N533" s="139"/>
    </row>
    <row r="534" spans="1:16">
      <c r="A534" s="50" t="s">
        <v>105</v>
      </c>
      <c r="D534" s="146"/>
      <c r="F534" s="139"/>
      <c r="I534" s="50" t="s">
        <v>105</v>
      </c>
      <c r="L534" s="146"/>
      <c r="N534" s="139"/>
    </row>
    <row r="535" spans="1:16" ht="12.75" customHeight="1" thickBot="1"/>
    <row r="536" spans="1:16" ht="17.25" thickBot="1">
      <c r="A536" s="891" t="s">
        <v>106</v>
      </c>
      <c r="B536" s="892"/>
      <c r="C536" s="892"/>
      <c r="D536" s="893"/>
      <c r="F536" s="50" t="s">
        <v>288</v>
      </c>
      <c r="I536" s="891" t="s">
        <v>106</v>
      </c>
      <c r="J536" s="892"/>
      <c r="K536" s="892"/>
      <c r="L536" s="893"/>
      <c r="N536" s="605" t="s">
        <v>288</v>
      </c>
      <c r="O536" s="605"/>
      <c r="P536" s="605"/>
    </row>
    <row r="537" spans="1:16" ht="30.75" thickBot="1">
      <c r="A537" s="57" t="s">
        <v>100</v>
      </c>
      <c r="B537" s="58" t="s">
        <v>108</v>
      </c>
      <c r="C537" s="59" t="s">
        <v>109</v>
      </c>
      <c r="D537" s="60" t="s">
        <v>110</v>
      </c>
      <c r="I537" s="57" t="s">
        <v>100</v>
      </c>
      <c r="J537" s="58" t="s">
        <v>108</v>
      </c>
      <c r="K537" s="59" t="s">
        <v>109</v>
      </c>
      <c r="L537" s="60" t="s">
        <v>110</v>
      </c>
      <c r="N537" s="202"/>
      <c r="O537" s="202"/>
      <c r="P537" s="202"/>
    </row>
    <row r="538" spans="1:16" ht="14.25" customHeight="1">
      <c r="A538" s="71">
        <v>719</v>
      </c>
      <c r="B538" s="73" t="e">
        <f>+H520+H522+#REF!+H524+H526</f>
        <v>#REF!</v>
      </c>
      <c r="C538" s="74" t="e">
        <f>+D503</f>
        <v>#REF!</v>
      </c>
      <c r="D538" s="195" t="e">
        <f>+B538+C538</f>
        <v>#REF!</v>
      </c>
      <c r="I538" s="71">
        <v>719</v>
      </c>
      <c r="J538" s="73">
        <f>+P520+P522</f>
        <v>0</v>
      </c>
      <c r="K538" s="74">
        <f>+L503</f>
        <v>1890000</v>
      </c>
      <c r="L538" s="195">
        <f>+J538+K538</f>
        <v>1890000</v>
      </c>
      <c r="N538" s="202"/>
      <c r="O538" s="202"/>
      <c r="P538" s="202"/>
    </row>
    <row r="539" spans="1:16" ht="16.5">
      <c r="A539" s="72">
        <v>721</v>
      </c>
      <c r="B539" s="80" t="e">
        <f>+H521+H523+#REF!+H525+H527</f>
        <v>#REF!</v>
      </c>
      <c r="C539" s="74" t="e">
        <f>+D504</f>
        <v>#REF!</v>
      </c>
      <c r="D539" s="195" t="e">
        <f>+B539+C539</f>
        <v>#REF!</v>
      </c>
      <c r="I539" s="72">
        <v>721</v>
      </c>
      <c r="J539" s="80"/>
      <c r="K539" s="74">
        <f>+L504</f>
        <v>0</v>
      </c>
      <c r="L539" s="195">
        <f>+J539+K539</f>
        <v>0</v>
      </c>
      <c r="N539" s="202"/>
      <c r="O539" s="202"/>
      <c r="P539" s="202"/>
    </row>
    <row r="540" spans="1:16" ht="12" customHeight="1">
      <c r="A540" s="72">
        <v>722</v>
      </c>
      <c r="B540" s="80"/>
      <c r="C540" s="74">
        <f>+D505</f>
        <v>231207671</v>
      </c>
      <c r="D540" s="195">
        <f>+B540+C540</f>
        <v>231207671</v>
      </c>
      <c r="I540" s="72">
        <v>722</v>
      </c>
      <c r="J540" s="80"/>
      <c r="K540" s="74">
        <f>+L505</f>
        <v>0</v>
      </c>
      <c r="L540" s="195">
        <f>+J540+K540</f>
        <v>0</v>
      </c>
      <c r="N540" s="202"/>
      <c r="O540" s="202"/>
      <c r="P540" s="202"/>
    </row>
    <row r="541" spans="1:16" ht="16.5" thickBot="1">
      <c r="A541" s="72">
        <v>723</v>
      </c>
      <c r="B541" s="80"/>
      <c r="C541" s="74">
        <f>+D506</f>
        <v>321228837</v>
      </c>
      <c r="D541" s="195">
        <f>+B541+C541</f>
        <v>321228837</v>
      </c>
      <c r="F541" s="193" t="s">
        <v>289</v>
      </c>
      <c r="G541" s="175"/>
      <c r="I541" s="72">
        <v>723</v>
      </c>
      <c r="J541" s="80">
        <f>+P521</f>
        <v>5000000</v>
      </c>
      <c r="K541" s="74">
        <f>+L506</f>
        <v>370520394</v>
      </c>
      <c r="L541" s="195">
        <f>+J541+K541</f>
        <v>375520394</v>
      </c>
      <c r="N541" s="918" t="s">
        <v>1696</v>
      </c>
      <c r="O541" s="608"/>
      <c r="P541" s="608"/>
    </row>
    <row r="542" spans="1:16" ht="18" customHeight="1" thickBot="1">
      <c r="A542" s="169"/>
      <c r="B542" s="170" t="e">
        <f>SUM(B538:B541)</f>
        <v>#REF!</v>
      </c>
      <c r="C542" s="171" t="e">
        <f>SUM(C538:C541)</f>
        <v>#REF!</v>
      </c>
      <c r="D542" s="172" t="e">
        <f>SUM(D538:D541)</f>
        <v>#REF!</v>
      </c>
      <c r="I542" s="169"/>
      <c r="J542" s="470">
        <f>SUM(J538:J541)</f>
        <v>5000000</v>
      </c>
      <c r="K542" s="470">
        <f>SUM(K538:K541)</f>
        <v>372410394</v>
      </c>
      <c r="L542" s="198">
        <f>SUM(L538:L541)</f>
        <v>377410394</v>
      </c>
    </row>
    <row r="543" spans="1:16" ht="16.5">
      <c r="A543" s="49" t="s">
        <v>88</v>
      </c>
      <c r="B543" s="50"/>
      <c r="I543" s="49" t="s">
        <v>88</v>
      </c>
      <c r="J543" s="50"/>
    </row>
    <row r="544" spans="1:16">
      <c r="A544" s="51" t="s">
        <v>89</v>
      </c>
      <c r="I544" s="51" t="s">
        <v>89</v>
      </c>
    </row>
    <row r="545" spans="1:16">
      <c r="A545" s="51" t="s">
        <v>90</v>
      </c>
      <c r="I545" s="51" t="s">
        <v>90</v>
      </c>
    </row>
    <row r="546" spans="1:16">
      <c r="A546" s="51" t="s">
        <v>91</v>
      </c>
      <c r="I546" s="51" t="s">
        <v>91</v>
      </c>
    </row>
    <row r="547" spans="1:16" ht="4.5" customHeight="1">
      <c r="A547" s="50"/>
      <c r="B547" s="50"/>
      <c r="I547" s="50"/>
      <c r="J547" s="50"/>
    </row>
    <row r="548" spans="1:16" ht="16.5">
      <c r="A548" s="52" t="s">
        <v>309</v>
      </c>
      <c r="G548" s="52"/>
      <c r="I548" s="52" t="s">
        <v>639</v>
      </c>
      <c r="O548" s="52"/>
    </row>
    <row r="549" spans="1:16" ht="15.75">
      <c r="A549" s="53" t="s">
        <v>92</v>
      </c>
      <c r="G549" s="53"/>
      <c r="I549" s="53" t="s">
        <v>1702</v>
      </c>
      <c r="O549" s="53"/>
    </row>
    <row r="550" spans="1:16" ht="15" customHeight="1">
      <c r="A550" s="894" t="s">
        <v>261</v>
      </c>
      <c r="B550" s="894"/>
      <c r="C550" s="894"/>
      <c r="D550" s="894"/>
      <c r="E550" s="894"/>
      <c r="F550" s="894"/>
      <c r="G550" s="894"/>
      <c r="H550" s="894"/>
      <c r="I550" s="894" t="s">
        <v>228</v>
      </c>
      <c r="J550" s="894"/>
      <c r="K550" s="894"/>
      <c r="L550" s="894"/>
      <c r="M550" s="894"/>
      <c r="N550" s="894"/>
      <c r="O550" s="894"/>
      <c r="P550" s="894"/>
    </row>
    <row r="551" spans="1:16" ht="9.75" customHeight="1" thickBot="1"/>
    <row r="552" spans="1:16">
      <c r="A552" s="895" t="s">
        <v>94</v>
      </c>
      <c r="B552" s="897" t="s">
        <v>95</v>
      </c>
      <c r="C552" s="897" t="s">
        <v>96</v>
      </c>
      <c r="D552" s="897" t="s">
        <v>3</v>
      </c>
      <c r="E552" s="897" t="s">
        <v>97</v>
      </c>
      <c r="F552" s="897" t="s">
        <v>98</v>
      </c>
      <c r="G552" s="897" t="s">
        <v>99</v>
      </c>
      <c r="H552" s="899"/>
      <c r="I552" s="895" t="s">
        <v>94</v>
      </c>
      <c r="J552" s="897" t="s">
        <v>95</v>
      </c>
      <c r="K552" s="897" t="s">
        <v>96</v>
      </c>
      <c r="L552" s="897" t="s">
        <v>3</v>
      </c>
      <c r="M552" s="897" t="s">
        <v>97</v>
      </c>
      <c r="N552" s="897" t="s">
        <v>98</v>
      </c>
      <c r="O552" s="897" t="s">
        <v>99</v>
      </c>
      <c r="P552" s="899"/>
    </row>
    <row r="553" spans="1:16" ht="15.75" thickBot="1">
      <c r="A553" s="896"/>
      <c r="B553" s="898"/>
      <c r="C553" s="898"/>
      <c r="D553" s="898"/>
      <c r="E553" s="898"/>
      <c r="F553" s="898"/>
      <c r="G553" s="240" t="s">
        <v>100</v>
      </c>
      <c r="H553" s="182" t="s">
        <v>101</v>
      </c>
      <c r="I553" s="896"/>
      <c r="J553" s="898"/>
      <c r="K553" s="898"/>
      <c r="L553" s="898"/>
      <c r="M553" s="898"/>
      <c r="N553" s="898"/>
      <c r="O553" s="240" t="s">
        <v>100</v>
      </c>
      <c r="P553" s="182" t="s">
        <v>101</v>
      </c>
    </row>
    <row r="554" spans="1:16" ht="13.5" customHeight="1">
      <c r="A554" s="881" t="e">
        <f>+A526+1</f>
        <v>#REF!</v>
      </c>
      <c r="B554" s="875">
        <v>42286</v>
      </c>
      <c r="C554" s="877" t="s">
        <v>272</v>
      </c>
      <c r="D554" s="881" t="s">
        <v>313</v>
      </c>
      <c r="E554" s="881" t="s">
        <v>115</v>
      </c>
      <c r="F554" s="883">
        <v>50000</v>
      </c>
      <c r="G554" s="55">
        <v>719</v>
      </c>
      <c r="H554" s="78">
        <v>50000</v>
      </c>
      <c r="I554" s="873" t="s">
        <v>657</v>
      </c>
      <c r="J554" s="875">
        <v>43578</v>
      </c>
      <c r="K554" s="877" t="s">
        <v>111</v>
      </c>
      <c r="L554" s="881" t="s">
        <v>1706</v>
      </c>
      <c r="M554" s="881" t="s">
        <v>148</v>
      </c>
      <c r="N554" s="883">
        <v>200000</v>
      </c>
      <c r="O554" s="55">
        <v>719</v>
      </c>
      <c r="P554" s="78">
        <f>+N554</f>
        <v>200000</v>
      </c>
    </row>
    <row r="555" spans="1:16" ht="12.75" customHeight="1" thickBot="1">
      <c r="A555" s="882"/>
      <c r="B555" s="876"/>
      <c r="C555" s="878"/>
      <c r="D555" s="882"/>
      <c r="E555" s="882"/>
      <c r="F555" s="884"/>
      <c r="G555" s="56">
        <v>721</v>
      </c>
      <c r="H555" s="79">
        <f>+F554-H554</f>
        <v>0</v>
      </c>
      <c r="I555" s="882"/>
      <c r="J555" s="876"/>
      <c r="K555" s="878"/>
      <c r="L555" s="882"/>
      <c r="M555" s="882"/>
      <c r="N555" s="884"/>
      <c r="O555" s="56">
        <v>721</v>
      </c>
      <c r="P555" s="79">
        <f>+N554-P554</f>
        <v>0</v>
      </c>
    </row>
    <row r="556" spans="1:16" ht="12.75" customHeight="1">
      <c r="A556" s="881" t="e">
        <f>+A554+1</f>
        <v>#REF!</v>
      </c>
      <c r="B556" s="875">
        <v>42286</v>
      </c>
      <c r="C556" s="881" t="s">
        <v>28</v>
      </c>
      <c r="D556" s="881" t="s">
        <v>314</v>
      </c>
      <c r="E556" s="881" t="s">
        <v>115</v>
      </c>
      <c r="F556" s="883">
        <v>20000</v>
      </c>
      <c r="G556" s="55">
        <v>719</v>
      </c>
      <c r="H556" s="78">
        <v>20000</v>
      </c>
      <c r="I556" s="873" t="s">
        <v>658</v>
      </c>
      <c r="J556" s="875">
        <v>43578</v>
      </c>
      <c r="K556" s="881" t="s">
        <v>267</v>
      </c>
      <c r="L556" s="881" t="s">
        <v>1707</v>
      </c>
      <c r="M556" s="881" t="s">
        <v>148</v>
      </c>
      <c r="N556" s="883">
        <v>120000</v>
      </c>
      <c r="O556" s="55">
        <v>719</v>
      </c>
      <c r="P556" s="78">
        <f>+N556</f>
        <v>120000</v>
      </c>
    </row>
    <row r="557" spans="1:16" ht="12.75" customHeight="1" thickBot="1">
      <c r="A557" s="882"/>
      <c r="B557" s="876"/>
      <c r="C557" s="882"/>
      <c r="D557" s="882"/>
      <c r="E557" s="882"/>
      <c r="F557" s="884"/>
      <c r="G557" s="56">
        <v>721</v>
      </c>
      <c r="H557" s="79">
        <f>+F556-H556</f>
        <v>0</v>
      </c>
      <c r="I557" s="882"/>
      <c r="J557" s="876"/>
      <c r="K557" s="882"/>
      <c r="L557" s="882"/>
      <c r="M557" s="882"/>
      <c r="N557" s="884"/>
      <c r="O557" s="56">
        <v>721</v>
      </c>
      <c r="P557" s="79"/>
    </row>
    <row r="558" spans="1:16" ht="15" customHeight="1">
      <c r="A558" s="881" t="e">
        <f>+A556+1</f>
        <v>#REF!</v>
      </c>
      <c r="B558" s="875">
        <v>42286</v>
      </c>
      <c r="C558" s="877" t="s">
        <v>32</v>
      </c>
      <c r="D558" s="881" t="s">
        <v>315</v>
      </c>
      <c r="E558" s="881" t="s">
        <v>115</v>
      </c>
      <c r="F558" s="883">
        <v>60000</v>
      </c>
      <c r="G558" s="55">
        <v>719</v>
      </c>
      <c r="H558" s="78">
        <v>60000</v>
      </c>
      <c r="I558" s="873" t="s">
        <v>659</v>
      </c>
      <c r="J558" s="875">
        <v>43578</v>
      </c>
      <c r="K558" s="877" t="s">
        <v>1079</v>
      </c>
      <c r="L558" s="881" t="s">
        <v>1788</v>
      </c>
      <c r="M558" s="881" t="s">
        <v>148</v>
      </c>
      <c r="N558" s="883">
        <v>1080000</v>
      </c>
      <c r="O558" s="55">
        <v>719</v>
      </c>
      <c r="P558" s="78">
        <f>+N558</f>
        <v>1080000</v>
      </c>
    </row>
    <row r="559" spans="1:16" ht="15.75" customHeight="1" thickBot="1">
      <c r="A559" s="882"/>
      <c r="B559" s="876"/>
      <c r="C559" s="878"/>
      <c r="D559" s="882"/>
      <c r="E559" s="882"/>
      <c r="F559" s="884"/>
      <c r="G559" s="56">
        <v>721</v>
      </c>
      <c r="H559" s="79">
        <f>+F558-H558</f>
        <v>0</v>
      </c>
      <c r="I559" s="882"/>
      <c r="J559" s="876"/>
      <c r="K559" s="878"/>
      <c r="L559" s="882"/>
      <c r="M559" s="882"/>
      <c r="N559" s="884"/>
      <c r="O559" s="56">
        <v>721</v>
      </c>
      <c r="P559" s="79">
        <f>+N558-P558</f>
        <v>0</v>
      </c>
    </row>
    <row r="560" spans="1:16" ht="15" customHeight="1">
      <c r="A560" s="881" t="e">
        <f>+A558+1</f>
        <v>#REF!</v>
      </c>
      <c r="B560" s="875">
        <v>42286</v>
      </c>
      <c r="C560" s="877" t="s">
        <v>120</v>
      </c>
      <c r="D560" s="881" t="s">
        <v>316</v>
      </c>
      <c r="E560" s="881" t="s">
        <v>115</v>
      </c>
      <c r="F560" s="883">
        <v>10000</v>
      </c>
      <c r="G560" s="55">
        <v>719</v>
      </c>
      <c r="H560" s="78">
        <v>10000</v>
      </c>
      <c r="I560" s="873" t="s">
        <v>660</v>
      </c>
      <c r="J560" s="875">
        <v>43578</v>
      </c>
      <c r="K560" s="877" t="s">
        <v>815</v>
      </c>
      <c r="L560" s="881" t="s">
        <v>1711</v>
      </c>
      <c r="M560" s="881" t="s">
        <v>148</v>
      </c>
      <c r="N560" s="883">
        <v>880000</v>
      </c>
      <c r="O560" s="55">
        <v>723</v>
      </c>
      <c r="P560" s="78">
        <f>+N560</f>
        <v>880000</v>
      </c>
    </row>
    <row r="561" spans="1:16" ht="12.75" customHeight="1" thickBot="1">
      <c r="A561" s="882"/>
      <c r="B561" s="876"/>
      <c r="C561" s="878"/>
      <c r="D561" s="882"/>
      <c r="E561" s="882"/>
      <c r="F561" s="884"/>
      <c r="G561" s="56">
        <v>721</v>
      </c>
      <c r="H561" s="79">
        <f>+F560-H560</f>
        <v>0</v>
      </c>
      <c r="I561" s="882"/>
      <c r="J561" s="876"/>
      <c r="K561" s="878"/>
      <c r="L561" s="882"/>
      <c r="M561" s="882"/>
      <c r="N561" s="884"/>
      <c r="O561" s="56">
        <v>721</v>
      </c>
      <c r="P561" s="79">
        <f>+N560-P560</f>
        <v>0</v>
      </c>
    </row>
    <row r="562" spans="1:16" ht="12.75" customHeight="1">
      <c r="A562" s="881"/>
      <c r="B562" s="875"/>
      <c r="C562" s="877"/>
      <c r="D562" s="881"/>
      <c r="E562" s="881"/>
      <c r="F562" s="883"/>
      <c r="G562" s="55">
        <v>719</v>
      </c>
      <c r="H562" s="78"/>
      <c r="I562" s="873" t="s">
        <v>661</v>
      </c>
      <c r="J562" s="875">
        <v>43578</v>
      </c>
      <c r="K562" s="877" t="s">
        <v>1789</v>
      </c>
      <c r="L562" s="881" t="s">
        <v>1790</v>
      </c>
      <c r="M562" s="881" t="s">
        <v>148</v>
      </c>
      <c r="N562" s="883">
        <v>1000000</v>
      </c>
      <c r="O562" s="55">
        <v>719</v>
      </c>
      <c r="P562" s="78">
        <v>1000000</v>
      </c>
    </row>
    <row r="563" spans="1:16" ht="13.5" customHeight="1" thickBot="1">
      <c r="A563" s="882"/>
      <c r="B563" s="876"/>
      <c r="C563" s="878"/>
      <c r="D563" s="882"/>
      <c r="E563" s="882"/>
      <c r="F563" s="884"/>
      <c r="G563" s="56">
        <v>721</v>
      </c>
      <c r="H563" s="79">
        <f>+F562-H562</f>
        <v>0</v>
      </c>
      <c r="I563" s="882"/>
      <c r="J563" s="876"/>
      <c r="K563" s="878"/>
      <c r="L563" s="882"/>
      <c r="M563" s="882"/>
      <c r="N563" s="884"/>
      <c r="O563" s="56">
        <v>721</v>
      </c>
      <c r="P563" s="79">
        <f>+N562-P562</f>
        <v>0</v>
      </c>
    </row>
    <row r="564" spans="1:16" ht="16.5" thickBot="1">
      <c r="A564" s="901" t="s">
        <v>102</v>
      </c>
      <c r="B564" s="902"/>
      <c r="C564" s="902"/>
      <c r="D564" s="902"/>
      <c r="E564" s="903"/>
      <c r="F564" s="81">
        <f>SUM(F554:F563)</f>
        <v>140000</v>
      </c>
      <c r="I564" s="901" t="s">
        <v>102</v>
      </c>
      <c r="J564" s="902"/>
      <c r="K564" s="902"/>
      <c r="L564" s="902"/>
      <c r="M564" s="903"/>
      <c r="N564" s="81">
        <f>SUM(N554:N563)</f>
        <v>3280000</v>
      </c>
    </row>
    <row r="565" spans="1:16" ht="16.5" thickBot="1">
      <c r="A565" s="885" t="s">
        <v>103</v>
      </c>
      <c r="B565" s="886"/>
      <c r="C565" s="886"/>
      <c r="D565" s="886"/>
      <c r="E565" s="887"/>
      <c r="F565" s="69">
        <f>+F530</f>
        <v>629084225</v>
      </c>
      <c r="I565" s="885" t="s">
        <v>103</v>
      </c>
      <c r="J565" s="886"/>
      <c r="K565" s="886"/>
      <c r="L565" s="886"/>
      <c r="M565" s="887"/>
      <c r="N565" s="239">
        <f>+N530</f>
        <v>377410394</v>
      </c>
      <c r="O565" s="241" t="s">
        <v>561</v>
      </c>
      <c r="P565" s="242">
        <f>1904+267</f>
        <v>2171</v>
      </c>
    </row>
    <row r="566" spans="1:16" ht="14.25" customHeight="1" thickBot="1">
      <c r="A566" s="888" t="s">
        <v>104</v>
      </c>
      <c r="B566" s="889"/>
      <c r="C566" s="889"/>
      <c r="D566" s="889"/>
      <c r="E566" s="890"/>
      <c r="F566" s="183">
        <f>SUM(F564:F565)</f>
        <v>629224225</v>
      </c>
      <c r="I566" s="888" t="s">
        <v>104</v>
      </c>
      <c r="J566" s="889"/>
      <c r="K566" s="889"/>
      <c r="L566" s="889"/>
      <c r="M566" s="890"/>
      <c r="N566" s="183">
        <f>SUM(N564:N565)</f>
        <v>380690394</v>
      </c>
    </row>
    <row r="567" spans="1:16" ht="9.75" customHeight="1">
      <c r="A567" s="61"/>
      <c r="B567" s="61"/>
      <c r="C567" s="61"/>
      <c r="D567" s="61"/>
      <c r="E567" s="61"/>
      <c r="I567" s="61"/>
      <c r="J567" s="61"/>
      <c r="K567" s="61"/>
      <c r="L567" s="61"/>
      <c r="M567" s="61"/>
    </row>
    <row r="568" spans="1:16">
      <c r="A568" s="51" t="s">
        <v>317</v>
      </c>
      <c r="I568" s="51" t="s">
        <v>1793</v>
      </c>
    </row>
    <row r="569" spans="1:16" ht="8.25" customHeight="1">
      <c r="F569" s="139"/>
      <c r="N569" s="139"/>
    </row>
    <row r="570" spans="1:16">
      <c r="A570" s="50" t="s">
        <v>105</v>
      </c>
      <c r="D570" s="146"/>
      <c r="F570" s="139"/>
      <c r="I570" s="50" t="s">
        <v>105</v>
      </c>
      <c r="L570" s="146"/>
      <c r="N570" s="139"/>
    </row>
    <row r="571" spans="1:16" ht="8.25" customHeight="1" thickBot="1"/>
    <row r="572" spans="1:16" ht="17.25" thickBot="1">
      <c r="A572" s="891" t="s">
        <v>106</v>
      </c>
      <c r="B572" s="892"/>
      <c r="C572" s="892"/>
      <c r="D572" s="893"/>
      <c r="F572" s="50" t="s">
        <v>288</v>
      </c>
      <c r="I572" s="891" t="s">
        <v>106</v>
      </c>
      <c r="J572" s="892"/>
      <c r="K572" s="892"/>
      <c r="L572" s="893"/>
      <c r="N572" s="605" t="s">
        <v>288</v>
      </c>
      <c r="O572" s="605"/>
      <c r="P572" s="605"/>
    </row>
    <row r="573" spans="1:16" ht="29.25" customHeight="1" thickBot="1">
      <c r="A573" s="57" t="s">
        <v>100</v>
      </c>
      <c r="B573" s="58" t="s">
        <v>108</v>
      </c>
      <c r="C573" s="59" t="s">
        <v>109</v>
      </c>
      <c r="D573" s="60" t="s">
        <v>110</v>
      </c>
      <c r="I573" s="57" t="s">
        <v>100</v>
      </c>
      <c r="J573" s="58" t="s">
        <v>108</v>
      </c>
      <c r="K573" s="59" t="s">
        <v>109</v>
      </c>
      <c r="L573" s="60" t="s">
        <v>110</v>
      </c>
      <c r="N573" s="202"/>
      <c r="O573" s="202"/>
      <c r="P573" s="202"/>
    </row>
    <row r="574" spans="1:16" ht="16.5">
      <c r="A574" s="71">
        <v>719</v>
      </c>
      <c r="B574" s="73">
        <f>+H554+H556+H558+H560+H562</f>
        <v>140000</v>
      </c>
      <c r="C574" s="74" t="e">
        <f>+D538</f>
        <v>#REF!</v>
      </c>
      <c r="D574" s="195" t="e">
        <f>+B574+C574</f>
        <v>#REF!</v>
      </c>
      <c r="I574" s="71">
        <v>719</v>
      </c>
      <c r="J574" s="73">
        <f>+P562+P560+P558+P556+P554</f>
        <v>3280000</v>
      </c>
      <c r="K574" s="74">
        <f>+L538</f>
        <v>1890000</v>
      </c>
      <c r="L574" s="195">
        <f>+J574+K574</f>
        <v>5170000</v>
      </c>
      <c r="N574" s="202"/>
      <c r="O574" s="202"/>
      <c r="P574" s="202"/>
    </row>
    <row r="575" spans="1:16" ht="12.75" customHeight="1">
      <c r="A575" s="72">
        <v>721</v>
      </c>
      <c r="B575" s="80">
        <f>+H555+H557+H559+H561+H563</f>
        <v>0</v>
      </c>
      <c r="C575" s="74" t="e">
        <f>+D539</f>
        <v>#REF!</v>
      </c>
      <c r="D575" s="195" t="e">
        <f>+B575+C575</f>
        <v>#REF!</v>
      </c>
      <c r="I575" s="72">
        <v>721</v>
      </c>
      <c r="J575" s="80"/>
      <c r="K575" s="74">
        <f>+L539</f>
        <v>0</v>
      </c>
      <c r="L575" s="195">
        <f>+J575+K575</f>
        <v>0</v>
      </c>
      <c r="N575" s="202"/>
      <c r="O575" s="202"/>
      <c r="P575" s="202"/>
    </row>
    <row r="576" spans="1:16" ht="12.75" customHeight="1">
      <c r="A576" s="72">
        <v>722</v>
      </c>
      <c r="B576" s="80"/>
      <c r="C576" s="74">
        <f>+D540</f>
        <v>231207671</v>
      </c>
      <c r="D576" s="195">
        <f>+B576+C576</f>
        <v>231207671</v>
      </c>
      <c r="I576" s="72">
        <v>722</v>
      </c>
      <c r="J576" s="80"/>
      <c r="K576" s="74">
        <f>+L540</f>
        <v>0</v>
      </c>
      <c r="L576" s="195">
        <f>+J576+K576</f>
        <v>0</v>
      </c>
      <c r="N576" s="202"/>
      <c r="O576" s="202"/>
      <c r="P576" s="202"/>
    </row>
    <row r="577" spans="1:16" ht="14.25" customHeight="1" thickBot="1">
      <c r="A577" s="72">
        <v>723</v>
      </c>
      <c r="B577" s="80"/>
      <c r="C577" s="74">
        <f>+D541</f>
        <v>321228837</v>
      </c>
      <c r="D577" s="195">
        <f>+B577+C577</f>
        <v>321228837</v>
      </c>
      <c r="F577" s="193" t="s">
        <v>289</v>
      </c>
      <c r="G577" s="175"/>
      <c r="I577" s="72">
        <v>723</v>
      </c>
      <c r="J577" s="80"/>
      <c r="K577" s="74">
        <f>+L541</f>
        <v>375520394</v>
      </c>
      <c r="L577" s="195">
        <f>+J577+K577</f>
        <v>375520394</v>
      </c>
      <c r="N577" s="918" t="s">
        <v>1696</v>
      </c>
      <c r="O577" s="608"/>
      <c r="P577" s="608"/>
    </row>
    <row r="578" spans="1:16" ht="14.25" customHeight="1" thickBot="1">
      <c r="A578" s="169"/>
      <c r="B578" s="197">
        <f>SUM(B574:B577)</f>
        <v>140000</v>
      </c>
      <c r="C578" s="200" t="e">
        <f>+D542</f>
        <v>#REF!</v>
      </c>
      <c r="D578" s="198" t="e">
        <f>SUM(D574:D577)</f>
        <v>#REF!</v>
      </c>
      <c r="I578" s="169"/>
      <c r="J578" s="470">
        <f>SUM(J574:J577)</f>
        <v>3280000</v>
      </c>
      <c r="K578" s="470">
        <f>SUM(K574:K577)</f>
        <v>377410394</v>
      </c>
      <c r="L578" s="198">
        <f>SUM(L574:L577)</f>
        <v>380690394</v>
      </c>
    </row>
    <row r="579" spans="1:16" ht="16.5">
      <c r="A579" s="49" t="s">
        <v>88</v>
      </c>
      <c r="B579" s="50"/>
      <c r="I579" s="49" t="s">
        <v>88</v>
      </c>
      <c r="J579" s="50"/>
    </row>
    <row r="580" spans="1:16">
      <c r="A580" s="51" t="s">
        <v>89</v>
      </c>
      <c r="I580" s="51" t="s">
        <v>89</v>
      </c>
    </row>
    <row r="581" spans="1:16">
      <c r="A581" s="51" t="s">
        <v>90</v>
      </c>
      <c r="I581" s="51" t="s">
        <v>90</v>
      </c>
    </row>
    <row r="582" spans="1:16">
      <c r="A582" s="51" t="s">
        <v>91</v>
      </c>
      <c r="I582" s="51" t="s">
        <v>91</v>
      </c>
    </row>
    <row r="583" spans="1:16" ht="6.75" customHeight="1">
      <c r="A583" s="50"/>
      <c r="B583" s="50"/>
      <c r="I583" s="50"/>
      <c r="J583" s="50"/>
    </row>
    <row r="584" spans="1:16" ht="14.25" customHeight="1">
      <c r="A584" s="52" t="s">
        <v>318</v>
      </c>
      <c r="G584" s="52"/>
      <c r="I584" s="52" t="s">
        <v>640</v>
      </c>
      <c r="O584" s="52"/>
    </row>
    <row r="585" spans="1:16" ht="15.75">
      <c r="A585" s="53" t="s">
        <v>92</v>
      </c>
      <c r="G585" s="53"/>
      <c r="I585" s="53" t="s">
        <v>1702</v>
      </c>
      <c r="O585" s="53"/>
    </row>
    <row r="586" spans="1:16" ht="16.5">
      <c r="A586" s="894" t="s">
        <v>261</v>
      </c>
      <c r="B586" s="894"/>
      <c r="C586" s="894"/>
      <c r="D586" s="894"/>
      <c r="E586" s="894"/>
      <c r="F586" s="894"/>
      <c r="G586" s="894"/>
      <c r="H586" s="894"/>
      <c r="I586" s="894" t="s">
        <v>228</v>
      </c>
      <c r="J586" s="894"/>
      <c r="K586" s="894"/>
      <c r="L586" s="894"/>
      <c r="M586" s="894"/>
      <c r="N586" s="894"/>
      <c r="O586" s="894"/>
      <c r="P586" s="894"/>
    </row>
    <row r="587" spans="1:16" ht="9.75" customHeight="1" thickBot="1"/>
    <row r="588" spans="1:16">
      <c r="A588" s="895" t="s">
        <v>94</v>
      </c>
      <c r="B588" s="897" t="s">
        <v>95</v>
      </c>
      <c r="C588" s="897" t="s">
        <v>96</v>
      </c>
      <c r="D588" s="897" t="s">
        <v>3</v>
      </c>
      <c r="E588" s="897" t="s">
        <v>97</v>
      </c>
      <c r="F588" s="897" t="s">
        <v>98</v>
      </c>
      <c r="G588" s="897" t="s">
        <v>99</v>
      </c>
      <c r="H588" s="899"/>
      <c r="I588" s="895" t="s">
        <v>94</v>
      </c>
      <c r="J588" s="897" t="s">
        <v>95</v>
      </c>
      <c r="K588" s="897" t="s">
        <v>96</v>
      </c>
      <c r="L588" s="897" t="s">
        <v>3</v>
      </c>
      <c r="M588" s="897" t="s">
        <v>97</v>
      </c>
      <c r="N588" s="897" t="s">
        <v>98</v>
      </c>
      <c r="O588" s="897" t="s">
        <v>99</v>
      </c>
      <c r="P588" s="899"/>
    </row>
    <row r="589" spans="1:16" ht="15.75" thickBot="1">
      <c r="A589" s="896"/>
      <c r="B589" s="898"/>
      <c r="C589" s="898"/>
      <c r="D589" s="898"/>
      <c r="E589" s="898"/>
      <c r="F589" s="898"/>
      <c r="G589" s="240" t="s">
        <v>100</v>
      </c>
      <c r="H589" s="182" t="s">
        <v>101</v>
      </c>
      <c r="I589" s="896"/>
      <c r="J589" s="898"/>
      <c r="K589" s="898"/>
      <c r="L589" s="898"/>
      <c r="M589" s="898"/>
      <c r="N589" s="898"/>
      <c r="O589" s="240" t="s">
        <v>100</v>
      </c>
      <c r="P589" s="182" t="s">
        <v>101</v>
      </c>
    </row>
    <row r="590" spans="1:16" ht="14.25" customHeight="1">
      <c r="A590" s="881" t="e">
        <f>+A560+1</f>
        <v>#REF!</v>
      </c>
      <c r="B590" s="875">
        <v>42286</v>
      </c>
      <c r="C590" s="877" t="s">
        <v>267</v>
      </c>
      <c r="D590" s="881" t="s">
        <v>320</v>
      </c>
      <c r="E590" s="881" t="s">
        <v>148</v>
      </c>
      <c r="F590" s="883">
        <v>70000</v>
      </c>
      <c r="G590" s="55">
        <v>719</v>
      </c>
      <c r="H590" s="78">
        <v>50000</v>
      </c>
      <c r="I590" s="873" t="s">
        <v>662</v>
      </c>
      <c r="J590" s="875">
        <v>43578</v>
      </c>
      <c r="K590" s="877" t="s">
        <v>111</v>
      </c>
      <c r="L590" s="881" t="s">
        <v>1791</v>
      </c>
      <c r="M590" s="881" t="s">
        <v>148</v>
      </c>
      <c r="N590" s="883">
        <v>230000</v>
      </c>
      <c r="O590" s="55">
        <v>719</v>
      </c>
      <c r="P590" s="78">
        <v>230000</v>
      </c>
    </row>
    <row r="591" spans="1:16" ht="13.5" customHeight="1" thickBot="1">
      <c r="A591" s="882"/>
      <c r="B591" s="934"/>
      <c r="C591" s="878"/>
      <c r="D591" s="882"/>
      <c r="E591" s="882"/>
      <c r="F591" s="884"/>
      <c r="G591" s="56">
        <v>721</v>
      </c>
      <c r="H591" s="79">
        <f>+F590-H590</f>
        <v>20000</v>
      </c>
      <c r="I591" s="882"/>
      <c r="J591" s="876"/>
      <c r="K591" s="878"/>
      <c r="L591" s="882"/>
      <c r="M591" s="882"/>
      <c r="N591" s="884"/>
      <c r="O591" s="56">
        <v>721</v>
      </c>
      <c r="P591" s="79">
        <f>+N590-P590</f>
        <v>0</v>
      </c>
    </row>
    <row r="592" spans="1:16" ht="13.5" customHeight="1">
      <c r="A592" s="881" t="e">
        <f>+A590+1</f>
        <v>#REF!</v>
      </c>
      <c r="B592" s="875">
        <v>42286</v>
      </c>
      <c r="C592" s="881" t="s">
        <v>28</v>
      </c>
      <c r="D592" s="881" t="s">
        <v>321</v>
      </c>
      <c r="E592" s="881" t="s">
        <v>148</v>
      </c>
      <c r="F592" s="883">
        <v>182000</v>
      </c>
      <c r="G592" s="55">
        <v>719</v>
      </c>
      <c r="H592" s="78">
        <v>130000</v>
      </c>
      <c r="I592" s="873" t="s">
        <v>663</v>
      </c>
      <c r="J592" s="875">
        <v>43578</v>
      </c>
      <c r="K592" s="881" t="s">
        <v>267</v>
      </c>
      <c r="L592" s="881" t="s">
        <v>1792</v>
      </c>
      <c r="M592" s="881" t="s">
        <v>148</v>
      </c>
      <c r="N592" s="883">
        <v>160000</v>
      </c>
      <c r="O592" s="55">
        <v>719</v>
      </c>
      <c r="P592" s="78">
        <v>160000</v>
      </c>
    </row>
    <row r="593" spans="1:16" ht="12" customHeight="1" thickBot="1">
      <c r="A593" s="882"/>
      <c r="B593" s="934"/>
      <c r="C593" s="882"/>
      <c r="D593" s="882"/>
      <c r="E593" s="882"/>
      <c r="F593" s="884"/>
      <c r="G593" s="56">
        <v>721</v>
      </c>
      <c r="H593" s="79">
        <f>+F592-H592</f>
        <v>52000</v>
      </c>
      <c r="I593" s="882"/>
      <c r="J593" s="876"/>
      <c r="K593" s="882"/>
      <c r="L593" s="882"/>
      <c r="M593" s="882"/>
      <c r="N593" s="884"/>
      <c r="O593" s="56">
        <v>721</v>
      </c>
      <c r="P593" s="79">
        <f>+N592-P592</f>
        <v>0</v>
      </c>
    </row>
    <row r="594" spans="1:16" ht="13.5" customHeight="1">
      <c r="A594" s="881" t="e">
        <f>+A592+1</f>
        <v>#REF!</v>
      </c>
      <c r="B594" s="875">
        <v>42286</v>
      </c>
      <c r="C594" s="877" t="s">
        <v>32</v>
      </c>
      <c r="D594" s="881" t="s">
        <v>322</v>
      </c>
      <c r="E594" s="881" t="s">
        <v>148</v>
      </c>
      <c r="F594" s="883">
        <v>70000</v>
      </c>
      <c r="G594" s="55">
        <v>719</v>
      </c>
      <c r="H594" s="78">
        <v>50000</v>
      </c>
      <c r="I594" s="873" t="s">
        <v>664</v>
      </c>
      <c r="J594" s="875">
        <v>43578</v>
      </c>
      <c r="K594" s="877" t="s">
        <v>1079</v>
      </c>
      <c r="L594" s="881" t="s">
        <v>1791</v>
      </c>
      <c r="M594" s="881" t="s">
        <v>148</v>
      </c>
      <c r="N594" s="883">
        <v>480000</v>
      </c>
      <c r="O594" s="55">
        <v>719</v>
      </c>
      <c r="P594" s="78">
        <v>480000</v>
      </c>
    </row>
    <row r="595" spans="1:16" ht="12.75" customHeight="1" thickBot="1">
      <c r="A595" s="882"/>
      <c r="B595" s="934"/>
      <c r="C595" s="878"/>
      <c r="D595" s="882"/>
      <c r="E595" s="882"/>
      <c r="F595" s="884"/>
      <c r="G595" s="56">
        <v>721</v>
      </c>
      <c r="H595" s="79">
        <f>+F594-H594</f>
        <v>20000</v>
      </c>
      <c r="I595" s="882"/>
      <c r="J595" s="876"/>
      <c r="K595" s="878"/>
      <c r="L595" s="882"/>
      <c r="M595" s="882"/>
      <c r="N595" s="884"/>
      <c r="O595" s="56">
        <v>721</v>
      </c>
      <c r="P595" s="79">
        <f>+N594-P594</f>
        <v>0</v>
      </c>
    </row>
    <row r="596" spans="1:16" ht="12" customHeight="1">
      <c r="A596" s="881" t="e">
        <f>+A594+1</f>
        <v>#REF!</v>
      </c>
      <c r="B596" s="875">
        <v>42286</v>
      </c>
      <c r="C596" s="877" t="s">
        <v>111</v>
      </c>
      <c r="D596" s="881" t="s">
        <v>319</v>
      </c>
      <c r="E596" s="881" t="s">
        <v>148</v>
      </c>
      <c r="F596" s="883">
        <v>28000</v>
      </c>
      <c r="G596" s="55">
        <v>719</v>
      </c>
      <c r="H596" s="78">
        <v>20000</v>
      </c>
      <c r="I596" s="873" t="s">
        <v>665</v>
      </c>
      <c r="J596" s="875">
        <v>43578</v>
      </c>
      <c r="K596" s="877" t="s">
        <v>815</v>
      </c>
      <c r="L596" s="881" t="s">
        <v>1794</v>
      </c>
      <c r="M596" s="881" t="s">
        <v>115</v>
      </c>
      <c r="N596" s="883">
        <v>2497500</v>
      </c>
      <c r="O596" s="55">
        <v>719</v>
      </c>
      <c r="P596" s="78">
        <v>1850000</v>
      </c>
    </row>
    <row r="597" spans="1:16" ht="12.75" customHeight="1" thickBot="1">
      <c r="A597" s="882"/>
      <c r="B597" s="934"/>
      <c r="C597" s="878"/>
      <c r="D597" s="882"/>
      <c r="E597" s="882"/>
      <c r="F597" s="884"/>
      <c r="G597" s="56">
        <v>721</v>
      </c>
      <c r="H597" s="79">
        <f>+F596-H596</f>
        <v>8000</v>
      </c>
      <c r="I597" s="882"/>
      <c r="J597" s="876"/>
      <c r="K597" s="878"/>
      <c r="L597" s="882"/>
      <c r="M597" s="882"/>
      <c r="N597" s="884"/>
      <c r="O597" s="56">
        <v>721</v>
      </c>
      <c r="P597" s="79">
        <f>+N596-P596</f>
        <v>647500</v>
      </c>
    </row>
    <row r="598" spans="1:16" ht="12.75" customHeight="1">
      <c r="A598" s="881" t="e">
        <f>+A596+1</f>
        <v>#REF!</v>
      </c>
      <c r="B598" s="875">
        <v>42286</v>
      </c>
      <c r="C598" s="877" t="s">
        <v>272</v>
      </c>
      <c r="D598" s="881" t="s">
        <v>322</v>
      </c>
      <c r="E598" s="881" t="s">
        <v>148</v>
      </c>
      <c r="F598" s="883">
        <v>322000</v>
      </c>
      <c r="G598" s="55">
        <v>719</v>
      </c>
      <c r="H598" s="78">
        <v>230000</v>
      </c>
      <c r="I598" s="873" t="s">
        <v>666</v>
      </c>
      <c r="J598" s="875">
        <v>43578</v>
      </c>
      <c r="K598" s="877" t="s">
        <v>267</v>
      </c>
      <c r="L598" s="881" t="s">
        <v>1791</v>
      </c>
      <c r="M598" s="881" t="s">
        <v>115</v>
      </c>
      <c r="N598" s="883">
        <v>67500</v>
      </c>
      <c r="O598" s="55">
        <v>719</v>
      </c>
      <c r="P598" s="78">
        <v>50000</v>
      </c>
    </row>
    <row r="599" spans="1:16" ht="13.5" customHeight="1" thickBot="1">
      <c r="A599" s="882"/>
      <c r="B599" s="934"/>
      <c r="C599" s="878"/>
      <c r="D599" s="882"/>
      <c r="E599" s="882"/>
      <c r="F599" s="884"/>
      <c r="G599" s="56">
        <v>721</v>
      </c>
      <c r="H599" s="79">
        <f>+F598-H598</f>
        <v>92000</v>
      </c>
      <c r="I599" s="882"/>
      <c r="J599" s="876"/>
      <c r="K599" s="878"/>
      <c r="L599" s="882"/>
      <c r="M599" s="882"/>
      <c r="N599" s="884"/>
      <c r="O599" s="56">
        <v>721</v>
      </c>
      <c r="P599" s="79">
        <f>+N598-P598</f>
        <v>17500</v>
      </c>
    </row>
    <row r="600" spans="1:16" ht="16.5" thickBot="1">
      <c r="A600" s="901" t="s">
        <v>102</v>
      </c>
      <c r="B600" s="902"/>
      <c r="C600" s="902"/>
      <c r="D600" s="902"/>
      <c r="E600" s="903"/>
      <c r="F600" s="81">
        <f>SUM(F590:F599)</f>
        <v>672000</v>
      </c>
      <c r="I600" s="901" t="s">
        <v>102</v>
      </c>
      <c r="J600" s="902"/>
      <c r="K600" s="902"/>
      <c r="L600" s="902"/>
      <c r="M600" s="903"/>
      <c r="N600" s="81">
        <f>SUM(N590:N599)</f>
        <v>3435000</v>
      </c>
    </row>
    <row r="601" spans="1:16" ht="16.5" thickBot="1">
      <c r="A601" s="885" t="s">
        <v>103</v>
      </c>
      <c r="B601" s="886"/>
      <c r="C601" s="886"/>
      <c r="D601" s="886"/>
      <c r="E601" s="887"/>
      <c r="F601" s="69">
        <f>+F566</f>
        <v>629224225</v>
      </c>
      <c r="I601" s="885" t="s">
        <v>103</v>
      </c>
      <c r="J601" s="886"/>
      <c r="K601" s="886"/>
      <c r="L601" s="886"/>
      <c r="M601" s="887"/>
      <c r="N601" s="239">
        <f>+N566</f>
        <v>380690394</v>
      </c>
      <c r="O601" s="241" t="s">
        <v>561</v>
      </c>
      <c r="P601" s="242"/>
    </row>
    <row r="602" spans="1:16" ht="16.5" thickBot="1">
      <c r="A602" s="888" t="s">
        <v>104</v>
      </c>
      <c r="B602" s="889"/>
      <c r="C602" s="889"/>
      <c r="D602" s="889"/>
      <c r="E602" s="890"/>
      <c r="F602" s="183">
        <f>SUM(F600:F601)</f>
        <v>629896225</v>
      </c>
      <c r="I602" s="888" t="s">
        <v>104</v>
      </c>
      <c r="J602" s="889"/>
      <c r="K602" s="889"/>
      <c r="L602" s="889"/>
      <c r="M602" s="890"/>
      <c r="N602" s="183">
        <f>SUM(N600:N601)</f>
        <v>384125394</v>
      </c>
    </row>
    <row r="603" spans="1:16" ht="11.25" customHeight="1">
      <c r="A603" s="61"/>
      <c r="B603" s="61"/>
      <c r="C603" s="61"/>
      <c r="D603" s="61"/>
      <c r="E603" s="61"/>
      <c r="I603" s="61"/>
      <c r="J603" s="61"/>
      <c r="K603" s="61"/>
      <c r="L603" s="61"/>
      <c r="M603" s="61"/>
    </row>
    <row r="604" spans="1:16">
      <c r="A604" s="51" t="s">
        <v>323</v>
      </c>
      <c r="I604" s="51" t="s">
        <v>702</v>
      </c>
    </row>
    <row r="605" spans="1:16" ht="6" customHeight="1">
      <c r="F605" s="139"/>
      <c r="N605" s="139"/>
    </row>
    <row r="606" spans="1:16">
      <c r="A606" s="50" t="s">
        <v>105</v>
      </c>
      <c r="D606" s="146"/>
      <c r="F606" s="139"/>
      <c r="I606" s="50" t="s">
        <v>105</v>
      </c>
      <c r="L606" s="146"/>
      <c r="N606" s="139"/>
    </row>
    <row r="607" spans="1:16" ht="10.5" customHeight="1" thickBot="1"/>
    <row r="608" spans="1:16" ht="17.25" thickBot="1">
      <c r="A608" s="891" t="s">
        <v>106</v>
      </c>
      <c r="B608" s="892"/>
      <c r="C608" s="892"/>
      <c r="D608" s="893"/>
      <c r="F608" s="50" t="s">
        <v>288</v>
      </c>
      <c r="I608" s="891" t="s">
        <v>106</v>
      </c>
      <c r="J608" s="892"/>
      <c r="K608" s="892"/>
      <c r="L608" s="893"/>
      <c r="N608" s="605" t="s">
        <v>288</v>
      </c>
      <c r="O608" s="605"/>
      <c r="P608" s="605"/>
    </row>
    <row r="609" spans="1:16" ht="28.5" customHeight="1" thickBot="1">
      <c r="A609" s="57" t="s">
        <v>100</v>
      </c>
      <c r="B609" s="58" t="s">
        <v>108</v>
      </c>
      <c r="C609" s="59" t="s">
        <v>109</v>
      </c>
      <c r="D609" s="60" t="s">
        <v>110</v>
      </c>
      <c r="I609" s="57" t="s">
        <v>100</v>
      </c>
      <c r="J609" s="58" t="s">
        <v>108</v>
      </c>
      <c r="K609" s="59" t="s">
        <v>109</v>
      </c>
      <c r="L609" s="60" t="s">
        <v>110</v>
      </c>
      <c r="N609" s="202"/>
      <c r="O609" s="202"/>
      <c r="P609" s="202"/>
    </row>
    <row r="610" spans="1:16" ht="12.75" customHeight="1">
      <c r="A610" s="71">
        <v>719</v>
      </c>
      <c r="B610" s="73">
        <f>+H590+H592+H594+H596+H598</f>
        <v>480000</v>
      </c>
      <c r="C610" s="74" t="e">
        <f>+D574</f>
        <v>#REF!</v>
      </c>
      <c r="D610" s="195" t="e">
        <f>+B610+C610</f>
        <v>#REF!</v>
      </c>
      <c r="I610" s="71">
        <v>719</v>
      </c>
      <c r="J610" s="73">
        <f>+P590+P592+P594+P596+P598</f>
        <v>2770000</v>
      </c>
      <c r="K610" s="74">
        <f>+L574</f>
        <v>5170000</v>
      </c>
      <c r="L610" s="195">
        <f>+J610+K610</f>
        <v>7940000</v>
      </c>
      <c r="N610" s="202"/>
      <c r="O610" s="202"/>
      <c r="P610" s="202"/>
    </row>
    <row r="611" spans="1:16" ht="12.75" customHeight="1">
      <c r="A611" s="72">
        <v>721</v>
      </c>
      <c r="B611" s="80">
        <f>+H591+H593+H595+H597+H599</f>
        <v>192000</v>
      </c>
      <c r="C611" s="74" t="e">
        <f>+D575</f>
        <v>#REF!</v>
      </c>
      <c r="D611" s="195" t="e">
        <f>+B611+C611</f>
        <v>#REF!</v>
      </c>
      <c r="I611" s="72">
        <v>721</v>
      </c>
      <c r="J611" s="80">
        <f>+P599+P597</f>
        <v>665000</v>
      </c>
      <c r="K611" s="74">
        <f>+L575</f>
        <v>0</v>
      </c>
      <c r="L611" s="195">
        <f>+J611+K611</f>
        <v>665000</v>
      </c>
      <c r="N611" s="202"/>
      <c r="O611" s="202"/>
      <c r="P611" s="202"/>
    </row>
    <row r="612" spans="1:16" ht="12.75" customHeight="1">
      <c r="A612" s="72">
        <v>722</v>
      </c>
      <c r="B612" s="80"/>
      <c r="C612" s="74">
        <f>+D576</f>
        <v>231207671</v>
      </c>
      <c r="D612" s="195">
        <f>+B612+C612</f>
        <v>231207671</v>
      </c>
      <c r="I612" s="72">
        <v>722</v>
      </c>
      <c r="J612" s="80"/>
      <c r="K612" s="74">
        <f>+L576</f>
        <v>0</v>
      </c>
      <c r="L612" s="195">
        <f>+J612+K612</f>
        <v>0</v>
      </c>
      <c r="N612" s="202"/>
      <c r="O612" s="202"/>
      <c r="P612" s="202"/>
    </row>
    <row r="613" spans="1:16" ht="16.5" thickBot="1">
      <c r="A613" s="72">
        <v>723</v>
      </c>
      <c r="B613" s="80"/>
      <c r="C613" s="74">
        <f>+D577</f>
        <v>321228837</v>
      </c>
      <c r="D613" s="195">
        <f>+B613+C613</f>
        <v>321228837</v>
      </c>
      <c r="F613" s="193" t="s">
        <v>289</v>
      </c>
      <c r="G613" s="175"/>
      <c r="I613" s="72">
        <v>723</v>
      </c>
      <c r="J613" s="80">
        <f>+P591</f>
        <v>0</v>
      </c>
      <c r="K613" s="74">
        <f>+L577</f>
        <v>375520394</v>
      </c>
      <c r="L613" s="195">
        <f>+J613+K613</f>
        <v>375520394</v>
      </c>
      <c r="N613" s="918" t="s">
        <v>1696</v>
      </c>
      <c r="O613" s="608"/>
      <c r="P613" s="608"/>
    </row>
    <row r="614" spans="1:16" ht="16.5" thickBot="1">
      <c r="A614" s="169"/>
      <c r="B614" s="170">
        <f>SUM(B610:B613)</f>
        <v>672000</v>
      </c>
      <c r="C614" s="171" t="e">
        <f>SUM(C610:C613)</f>
        <v>#REF!</v>
      </c>
      <c r="D614" s="172" t="e">
        <f>SUM(D610:D613)</f>
        <v>#REF!</v>
      </c>
      <c r="I614" s="169"/>
      <c r="J614" s="197">
        <f>SUM(J610:J613)</f>
        <v>3435000</v>
      </c>
      <c r="K614" s="197">
        <f>SUM(K610:K613)</f>
        <v>380690394</v>
      </c>
      <c r="L614" s="198">
        <f>SUM(L610:L613)</f>
        <v>384125394</v>
      </c>
    </row>
    <row r="615" spans="1:16" ht="16.5">
      <c r="A615" s="49" t="s">
        <v>88</v>
      </c>
      <c r="B615" s="50"/>
      <c r="I615" s="49" t="s">
        <v>88</v>
      </c>
      <c r="J615" s="50"/>
    </row>
    <row r="616" spans="1:16">
      <c r="A616" s="51" t="s">
        <v>89</v>
      </c>
      <c r="I616" s="51" t="s">
        <v>89</v>
      </c>
    </row>
    <row r="617" spans="1:16">
      <c r="A617" s="51" t="s">
        <v>90</v>
      </c>
      <c r="I617" s="51" t="s">
        <v>90</v>
      </c>
    </row>
    <row r="618" spans="1:16">
      <c r="A618" s="51" t="s">
        <v>91</v>
      </c>
      <c r="I618" s="51" t="s">
        <v>91</v>
      </c>
    </row>
    <row r="619" spans="1:16" ht="13.5" customHeight="1">
      <c r="A619" s="50"/>
      <c r="B619" s="50"/>
      <c r="I619" s="50"/>
      <c r="J619" s="50"/>
    </row>
    <row r="620" spans="1:16" ht="16.5">
      <c r="A620" s="52" t="s">
        <v>344</v>
      </c>
      <c r="G620" s="52"/>
      <c r="I620" s="52" t="s">
        <v>725</v>
      </c>
      <c r="O620" s="52"/>
    </row>
    <row r="621" spans="1:16" ht="15.75">
      <c r="A621" s="53" t="s">
        <v>92</v>
      </c>
      <c r="G621" s="53"/>
      <c r="I621" s="53" t="s">
        <v>1702</v>
      </c>
      <c r="O621" s="53"/>
    </row>
    <row r="622" spans="1:16" ht="16.5">
      <c r="A622" s="894" t="s">
        <v>347</v>
      </c>
      <c r="B622" s="894"/>
      <c r="C622" s="894"/>
      <c r="D622" s="894"/>
      <c r="E622" s="894"/>
      <c r="F622" s="894"/>
      <c r="G622" s="894"/>
      <c r="H622" s="894"/>
      <c r="I622" s="894" t="s">
        <v>1798</v>
      </c>
      <c r="J622" s="894"/>
      <c r="K622" s="894"/>
      <c r="L622" s="894"/>
      <c r="M622" s="894"/>
      <c r="N622" s="894"/>
      <c r="O622" s="894"/>
      <c r="P622" s="894"/>
    </row>
    <row r="623" spans="1:16" ht="13.5" customHeight="1" thickBot="1"/>
    <row r="624" spans="1:16">
      <c r="A624" s="895" t="s">
        <v>94</v>
      </c>
      <c r="B624" s="897" t="s">
        <v>95</v>
      </c>
      <c r="C624" s="897" t="s">
        <v>96</v>
      </c>
      <c r="D624" s="897" t="s">
        <v>3</v>
      </c>
      <c r="E624" s="897" t="s">
        <v>97</v>
      </c>
      <c r="F624" s="897" t="s">
        <v>98</v>
      </c>
      <c r="G624" s="897" t="s">
        <v>99</v>
      </c>
      <c r="H624" s="899"/>
      <c r="I624" s="895" t="s">
        <v>94</v>
      </c>
      <c r="J624" s="897" t="s">
        <v>95</v>
      </c>
      <c r="K624" s="897" t="s">
        <v>96</v>
      </c>
      <c r="L624" s="897" t="s">
        <v>3</v>
      </c>
      <c r="M624" s="897" t="s">
        <v>97</v>
      </c>
      <c r="N624" s="897" t="s">
        <v>98</v>
      </c>
      <c r="O624" s="897" t="s">
        <v>99</v>
      </c>
      <c r="P624" s="899"/>
    </row>
    <row r="625" spans="1:16" ht="15.75" thickBot="1">
      <c r="A625" s="896"/>
      <c r="B625" s="898"/>
      <c r="C625" s="898"/>
      <c r="D625" s="898"/>
      <c r="E625" s="898"/>
      <c r="F625" s="898"/>
      <c r="G625" s="240" t="s">
        <v>100</v>
      </c>
      <c r="H625" s="182" t="s">
        <v>101</v>
      </c>
      <c r="I625" s="896"/>
      <c r="J625" s="898"/>
      <c r="K625" s="898"/>
      <c r="L625" s="898"/>
      <c r="M625" s="898"/>
      <c r="N625" s="898"/>
      <c r="O625" s="240" t="s">
        <v>100</v>
      </c>
      <c r="P625" s="182" t="s">
        <v>101</v>
      </c>
    </row>
    <row r="626" spans="1:16" ht="12.75" customHeight="1">
      <c r="A626" s="881" t="e">
        <f>+A598+1</f>
        <v>#REF!</v>
      </c>
      <c r="B626" s="875">
        <v>42293</v>
      </c>
      <c r="C626" s="877" t="s">
        <v>325</v>
      </c>
      <c r="D626" s="877" t="s">
        <v>324</v>
      </c>
      <c r="E626" s="881" t="s">
        <v>145</v>
      </c>
      <c r="F626" s="883">
        <v>20276705</v>
      </c>
      <c r="G626" s="55">
        <v>719</v>
      </c>
      <c r="H626" s="78"/>
      <c r="I626" s="873" t="s">
        <v>667</v>
      </c>
      <c r="J626" s="875">
        <v>43584</v>
      </c>
      <c r="K626" s="877" t="s">
        <v>1315</v>
      </c>
      <c r="L626" s="881" t="s">
        <v>1796</v>
      </c>
      <c r="M626" s="881" t="s">
        <v>148</v>
      </c>
      <c r="N626" s="883">
        <v>1553650</v>
      </c>
      <c r="O626" s="55">
        <v>723</v>
      </c>
      <c r="P626" s="258">
        <v>1553650</v>
      </c>
    </row>
    <row r="627" spans="1:16" ht="14.25" customHeight="1" thickBot="1">
      <c r="A627" s="882"/>
      <c r="B627" s="876"/>
      <c r="C627" s="878"/>
      <c r="D627" s="878"/>
      <c r="E627" s="882"/>
      <c r="F627" s="884"/>
      <c r="G627" s="56">
        <v>721</v>
      </c>
      <c r="H627" s="79">
        <f>+F626-H626</f>
        <v>20276705</v>
      </c>
      <c r="I627" s="882"/>
      <c r="J627" s="876"/>
      <c r="K627" s="878"/>
      <c r="L627" s="882"/>
      <c r="M627" s="882"/>
      <c r="N627" s="884"/>
      <c r="O627" s="56">
        <v>723</v>
      </c>
      <c r="P627" s="79">
        <f>+N626-P626</f>
        <v>0</v>
      </c>
    </row>
    <row r="628" spans="1:16" ht="12.75" customHeight="1">
      <c r="A628" s="881" t="e">
        <f>+A626+1</f>
        <v>#REF!</v>
      </c>
      <c r="B628" s="875">
        <v>42293</v>
      </c>
      <c r="C628" s="877" t="s">
        <v>345</v>
      </c>
      <c r="D628" s="877" t="s">
        <v>346</v>
      </c>
      <c r="E628" s="881" t="s">
        <v>165</v>
      </c>
      <c r="F628" s="883">
        <v>200000</v>
      </c>
      <c r="G628" s="55">
        <v>719</v>
      </c>
      <c r="H628" s="78"/>
      <c r="I628" s="873" t="s">
        <v>668</v>
      </c>
      <c r="J628" s="875">
        <v>43584</v>
      </c>
      <c r="K628" s="877" t="s">
        <v>31</v>
      </c>
      <c r="L628" s="881" t="s">
        <v>1439</v>
      </c>
      <c r="M628" s="881" t="s">
        <v>148</v>
      </c>
      <c r="N628" s="883">
        <v>931500</v>
      </c>
      <c r="O628" s="55">
        <v>719</v>
      </c>
      <c r="P628" s="78">
        <v>690000</v>
      </c>
    </row>
    <row r="629" spans="1:16" ht="13.5" customHeight="1" thickBot="1">
      <c r="A629" s="882"/>
      <c r="B629" s="876"/>
      <c r="C629" s="878"/>
      <c r="D629" s="878"/>
      <c r="E629" s="882"/>
      <c r="F629" s="884"/>
      <c r="G629" s="56">
        <v>723</v>
      </c>
      <c r="H629" s="79">
        <f>+F628-H628</f>
        <v>200000</v>
      </c>
      <c r="I629" s="882"/>
      <c r="J629" s="876"/>
      <c r="K629" s="878"/>
      <c r="L629" s="882"/>
      <c r="M629" s="882"/>
      <c r="N629" s="884"/>
      <c r="O629" s="56">
        <v>721</v>
      </c>
      <c r="P629" s="79">
        <f>+N628-P628</f>
        <v>241500</v>
      </c>
    </row>
    <row r="630" spans="1:16" ht="12.75" customHeight="1">
      <c r="A630" s="881"/>
      <c r="B630" s="875"/>
      <c r="C630" s="877"/>
      <c r="D630" s="881"/>
      <c r="E630" s="881"/>
      <c r="F630" s="883"/>
      <c r="G630" s="55">
        <v>719</v>
      </c>
      <c r="H630" s="78"/>
      <c r="I630" s="873"/>
      <c r="J630" s="875"/>
      <c r="K630" s="877"/>
      <c r="L630" s="881"/>
      <c r="M630" s="881"/>
      <c r="N630" s="883"/>
      <c r="O630" s="55"/>
      <c r="P630" s="78"/>
    </row>
    <row r="631" spans="1:16" ht="12.75" customHeight="1" thickBot="1">
      <c r="A631" s="882"/>
      <c r="B631" s="876"/>
      <c r="C631" s="878"/>
      <c r="D631" s="882"/>
      <c r="E631" s="882"/>
      <c r="F631" s="884"/>
      <c r="G631" s="56">
        <v>721</v>
      </c>
      <c r="H631" s="79">
        <f>+F630-H630</f>
        <v>0</v>
      </c>
      <c r="I631" s="882"/>
      <c r="J631" s="876"/>
      <c r="K631" s="878"/>
      <c r="L631" s="882"/>
      <c r="M631" s="882"/>
      <c r="N631" s="884"/>
      <c r="O631" s="56"/>
      <c r="P631" s="79"/>
    </row>
    <row r="632" spans="1:16" ht="12.75" customHeight="1">
      <c r="A632" s="881"/>
      <c r="B632" s="875"/>
      <c r="C632" s="877"/>
      <c r="D632" s="881"/>
      <c r="E632" s="881"/>
      <c r="F632" s="883"/>
      <c r="G632" s="55">
        <v>719</v>
      </c>
      <c r="H632" s="78"/>
      <c r="I632" s="873"/>
      <c r="J632" s="875"/>
      <c r="K632" s="877"/>
      <c r="L632" s="881"/>
      <c r="M632" s="881"/>
      <c r="N632" s="883"/>
      <c r="O632" s="55"/>
      <c r="P632" s="78"/>
    </row>
    <row r="633" spans="1:16" ht="12.75" customHeight="1" thickBot="1">
      <c r="A633" s="882"/>
      <c r="B633" s="876"/>
      <c r="C633" s="878"/>
      <c r="D633" s="882"/>
      <c r="E633" s="882"/>
      <c r="F633" s="884"/>
      <c r="G633" s="56">
        <v>721</v>
      </c>
      <c r="H633" s="79">
        <f>+F632-H632</f>
        <v>0</v>
      </c>
      <c r="I633" s="882"/>
      <c r="J633" s="876"/>
      <c r="K633" s="878"/>
      <c r="L633" s="882"/>
      <c r="M633" s="882"/>
      <c r="N633" s="884"/>
      <c r="O633" s="56"/>
      <c r="P633" s="79"/>
    </row>
    <row r="634" spans="1:16" ht="16.5" thickBot="1">
      <c r="A634" s="901" t="s">
        <v>102</v>
      </c>
      <c r="B634" s="902"/>
      <c r="C634" s="902"/>
      <c r="D634" s="902"/>
      <c r="E634" s="903"/>
      <c r="F634" s="81">
        <f>SUM(F626:F633)</f>
        <v>20476705</v>
      </c>
      <c r="I634" s="901" t="s">
        <v>102</v>
      </c>
      <c r="J634" s="902"/>
      <c r="K634" s="902"/>
      <c r="L634" s="902"/>
      <c r="M634" s="903"/>
      <c r="N634" s="81">
        <f>SUM(N626:N633)</f>
        <v>2485150</v>
      </c>
    </row>
    <row r="635" spans="1:16" ht="16.5" thickBot="1">
      <c r="A635" s="885" t="s">
        <v>103</v>
      </c>
      <c r="B635" s="886"/>
      <c r="C635" s="886"/>
      <c r="D635" s="886"/>
      <c r="E635" s="887"/>
      <c r="F635" s="69">
        <f>+F602</f>
        <v>629896225</v>
      </c>
      <c r="I635" s="885" t="s">
        <v>103</v>
      </c>
      <c r="J635" s="886"/>
      <c r="K635" s="886"/>
      <c r="L635" s="886"/>
      <c r="M635" s="887"/>
      <c r="N635" s="239">
        <f>+N602</f>
        <v>384125394</v>
      </c>
      <c r="O635" s="241" t="s">
        <v>561</v>
      </c>
      <c r="P635" s="242"/>
    </row>
    <row r="636" spans="1:16" ht="16.5" thickBot="1">
      <c r="A636" s="888" t="s">
        <v>104</v>
      </c>
      <c r="B636" s="889"/>
      <c r="C636" s="889"/>
      <c r="D636" s="889"/>
      <c r="E636" s="890"/>
      <c r="F636" s="183">
        <f>SUM(F634:F635)</f>
        <v>650372930</v>
      </c>
      <c r="I636" s="888" t="s">
        <v>104</v>
      </c>
      <c r="J636" s="889"/>
      <c r="K636" s="889"/>
      <c r="L636" s="889"/>
      <c r="M636" s="890"/>
      <c r="N636" s="183">
        <f>SUM(N634:N635)</f>
        <v>386610544</v>
      </c>
    </row>
    <row r="637" spans="1:16" ht="10.5" customHeight="1">
      <c r="A637" s="61"/>
      <c r="B637" s="61"/>
      <c r="C637" s="61"/>
      <c r="D637" s="61"/>
      <c r="E637" s="61"/>
      <c r="I637" s="61"/>
      <c r="J637" s="61"/>
      <c r="K637" s="61"/>
      <c r="L637" s="61"/>
      <c r="M637" s="61"/>
    </row>
    <row r="638" spans="1:16">
      <c r="A638" s="51" t="s">
        <v>349</v>
      </c>
      <c r="I638" s="51" t="s">
        <v>1797</v>
      </c>
    </row>
    <row r="639" spans="1:16" ht="5.25" customHeight="1">
      <c r="F639" s="139"/>
      <c r="N639" s="139"/>
    </row>
    <row r="640" spans="1:16">
      <c r="A640" s="50" t="s">
        <v>105</v>
      </c>
      <c r="D640" s="146"/>
      <c r="F640" s="139"/>
      <c r="I640" s="50" t="s">
        <v>105</v>
      </c>
      <c r="L640" s="146"/>
      <c r="N640" s="139"/>
    </row>
    <row r="641" spans="1:16" ht="10.5" customHeight="1" thickBot="1"/>
    <row r="642" spans="1:16" ht="15.75" thickBot="1">
      <c r="A642" s="891" t="s">
        <v>106</v>
      </c>
      <c r="B642" s="892"/>
      <c r="C642" s="892"/>
      <c r="D642" s="893"/>
      <c r="F642" s="50" t="s">
        <v>270</v>
      </c>
      <c r="I642" s="891" t="s">
        <v>106</v>
      </c>
      <c r="J642" s="892"/>
      <c r="K642" s="892"/>
      <c r="L642" s="893"/>
    </row>
    <row r="643" spans="1:16" ht="30.75" thickBot="1">
      <c r="A643" s="57" t="s">
        <v>100</v>
      </c>
      <c r="B643" s="58" t="s">
        <v>108</v>
      </c>
      <c r="C643" s="59" t="s">
        <v>109</v>
      </c>
      <c r="D643" s="60" t="s">
        <v>110</v>
      </c>
      <c r="I643" s="57" t="s">
        <v>100</v>
      </c>
      <c r="J643" s="58" t="s">
        <v>108</v>
      </c>
      <c r="K643" s="59" t="s">
        <v>109</v>
      </c>
      <c r="L643" s="60" t="s">
        <v>110</v>
      </c>
      <c r="N643" s="605" t="s">
        <v>288</v>
      </c>
      <c r="O643" s="605"/>
      <c r="P643" s="605"/>
    </row>
    <row r="644" spans="1:16" ht="13.5" customHeight="1">
      <c r="A644" s="71">
        <v>719</v>
      </c>
      <c r="B644" s="73" t="e">
        <f>+H626+H628+H630+#REF!+H632</f>
        <v>#REF!</v>
      </c>
      <c r="C644" s="74" t="e">
        <f>+D610</f>
        <v>#REF!</v>
      </c>
      <c r="D644" s="195" t="e">
        <f>+B644+C644</f>
        <v>#REF!</v>
      </c>
      <c r="I644" s="71">
        <v>719</v>
      </c>
      <c r="J644" s="73">
        <f>+P628</f>
        <v>690000</v>
      </c>
      <c r="K644" s="74">
        <f>+L610</f>
        <v>7940000</v>
      </c>
      <c r="L644" s="195">
        <f>+J644+K644</f>
        <v>8630000</v>
      </c>
      <c r="N644" s="202"/>
      <c r="O644" s="202"/>
      <c r="P644" s="202"/>
    </row>
    <row r="645" spans="1:16" ht="12.75" customHeight="1">
      <c r="A645" s="72">
        <v>721</v>
      </c>
      <c r="B645" s="80">
        <f>+H627</f>
        <v>20276705</v>
      </c>
      <c r="C645" s="74" t="e">
        <f>+D611</f>
        <v>#REF!</v>
      </c>
      <c r="D645" s="195" t="e">
        <f>+B645+C645</f>
        <v>#REF!</v>
      </c>
      <c r="I645" s="72">
        <v>721</v>
      </c>
      <c r="J645" s="80">
        <f>+P629</f>
        <v>241500</v>
      </c>
      <c r="K645" s="74">
        <f>+L611</f>
        <v>665000</v>
      </c>
      <c r="L645" s="195">
        <f>+J645+K645</f>
        <v>906500</v>
      </c>
      <c r="N645" s="202"/>
      <c r="O645" s="202"/>
      <c r="P645" s="202"/>
    </row>
    <row r="646" spans="1:16" ht="14.25" customHeight="1">
      <c r="A646" s="72">
        <v>722</v>
      </c>
      <c r="B646" s="80"/>
      <c r="C646" s="74">
        <f>+D612</f>
        <v>231207671</v>
      </c>
      <c r="D646" s="195">
        <f>+B646+C646</f>
        <v>231207671</v>
      </c>
      <c r="I646" s="72">
        <v>722</v>
      </c>
      <c r="J646" s="80"/>
      <c r="K646" s="74">
        <f>+L612</f>
        <v>0</v>
      </c>
      <c r="L646" s="195">
        <f>+J646+K646</f>
        <v>0</v>
      </c>
      <c r="N646" s="202"/>
      <c r="O646" s="202"/>
      <c r="P646" s="202"/>
    </row>
    <row r="647" spans="1:16" ht="17.25" thickBot="1">
      <c r="A647" s="72">
        <v>723</v>
      </c>
      <c r="B647" s="80">
        <f>+H629</f>
        <v>200000</v>
      </c>
      <c r="C647" s="74">
        <f>+D613</f>
        <v>321228837</v>
      </c>
      <c r="D647" s="195">
        <f>+B647+C647</f>
        <v>321428837</v>
      </c>
      <c r="F647" s="193" t="s">
        <v>348</v>
      </c>
      <c r="G647" s="175"/>
      <c r="I647" s="72">
        <v>723</v>
      </c>
      <c r="J647" s="80">
        <f>+P626</f>
        <v>1553650</v>
      </c>
      <c r="K647" s="74">
        <f>+L613</f>
        <v>375520394</v>
      </c>
      <c r="L647" s="195">
        <f>+J647+K647</f>
        <v>377074044</v>
      </c>
      <c r="N647" s="202"/>
      <c r="O647" s="202"/>
      <c r="P647" s="202"/>
    </row>
    <row r="648" spans="1:16" ht="16.5" hidden="1" thickBot="1">
      <c r="A648" s="164" t="s">
        <v>181</v>
      </c>
      <c r="B648" s="165"/>
      <c r="C648" s="74" t="e">
        <f>+#REF!</f>
        <v>#REF!</v>
      </c>
      <c r="D648" s="196" t="e">
        <f>+B648+C648</f>
        <v>#REF!</v>
      </c>
      <c r="F648" s="52"/>
      <c r="I648" s="164" t="s">
        <v>181</v>
      </c>
      <c r="J648" s="165"/>
      <c r="K648" s="74"/>
      <c r="L648" s="196"/>
      <c r="N648" s="918" t="s">
        <v>1696</v>
      </c>
      <c r="O648" s="608"/>
      <c r="P648" s="608"/>
    </row>
    <row r="649" spans="1:16" ht="16.5" thickBot="1">
      <c r="A649" s="169"/>
      <c r="B649" s="170" t="e">
        <f>SUM(B644:B648)</f>
        <v>#REF!</v>
      </c>
      <c r="C649" s="171" t="e">
        <f>SUM(C644:C648)</f>
        <v>#REF!</v>
      </c>
      <c r="D649" s="172" t="e">
        <f>SUM(D644:D648)</f>
        <v>#REF!</v>
      </c>
      <c r="I649" s="169"/>
      <c r="J649" s="197">
        <f>SUM(J644:J648)</f>
        <v>2485150</v>
      </c>
      <c r="K649" s="197">
        <f>SUM(K644:K648)</f>
        <v>384125394</v>
      </c>
      <c r="L649" s="198">
        <f>SUM(L644:L648)</f>
        <v>386610544</v>
      </c>
    </row>
    <row r="650" spans="1:16" ht="16.5">
      <c r="A650" s="49" t="s">
        <v>88</v>
      </c>
      <c r="B650" s="50"/>
      <c r="I650" s="49" t="s">
        <v>88</v>
      </c>
      <c r="J650" s="50"/>
    </row>
    <row r="651" spans="1:16" ht="13.5" customHeight="1">
      <c r="A651" s="51" t="s">
        <v>89</v>
      </c>
      <c r="I651" s="51" t="s">
        <v>89</v>
      </c>
    </row>
    <row r="652" spans="1:16" ht="13.5" customHeight="1">
      <c r="A652" s="51" t="s">
        <v>90</v>
      </c>
      <c r="I652" s="51" t="s">
        <v>90</v>
      </c>
    </row>
    <row r="653" spans="1:16" ht="14.25" customHeight="1">
      <c r="A653" s="51" t="s">
        <v>91</v>
      </c>
      <c r="I653" s="51" t="s">
        <v>91</v>
      </c>
    </row>
    <row r="654" spans="1:16" ht="11.25" customHeight="1">
      <c r="A654" s="50"/>
      <c r="B654" s="50"/>
      <c r="I654" s="50"/>
      <c r="J654" s="50"/>
    </row>
    <row r="655" spans="1:16" ht="16.5">
      <c r="A655" s="52" t="s">
        <v>351</v>
      </c>
      <c r="G655" s="52"/>
      <c r="I655" s="52" t="s">
        <v>731</v>
      </c>
      <c r="O655" s="52"/>
    </row>
    <row r="656" spans="1:16" ht="15.75">
      <c r="A656" s="53" t="s">
        <v>92</v>
      </c>
      <c r="G656" s="53"/>
      <c r="I656" s="53" t="s">
        <v>1702</v>
      </c>
      <c r="O656" s="53"/>
    </row>
    <row r="657" spans="1:16" ht="15" customHeight="1">
      <c r="A657" s="894" t="s">
        <v>93</v>
      </c>
      <c r="B657" s="894"/>
      <c r="C657" s="894"/>
      <c r="D657" s="894"/>
      <c r="E657" s="894"/>
      <c r="F657" s="894"/>
      <c r="G657" s="894"/>
      <c r="H657" s="894"/>
      <c r="I657" s="894" t="s">
        <v>1798</v>
      </c>
      <c r="J657" s="894"/>
      <c r="K657" s="894"/>
      <c r="L657" s="894"/>
      <c r="M657" s="894"/>
      <c r="N657" s="894"/>
      <c r="O657" s="894"/>
      <c r="P657" s="894"/>
    </row>
    <row r="658" spans="1:16" ht="11.25" customHeight="1" thickBot="1"/>
    <row r="659" spans="1:16">
      <c r="A659" s="895" t="s">
        <v>94</v>
      </c>
      <c r="B659" s="897" t="s">
        <v>95</v>
      </c>
      <c r="C659" s="897" t="s">
        <v>96</v>
      </c>
      <c r="D659" s="897" t="s">
        <v>3</v>
      </c>
      <c r="E659" s="897" t="s">
        <v>97</v>
      </c>
      <c r="F659" s="897" t="s">
        <v>98</v>
      </c>
      <c r="G659" s="897" t="s">
        <v>99</v>
      </c>
      <c r="H659" s="899"/>
      <c r="I659" s="895" t="s">
        <v>94</v>
      </c>
      <c r="J659" s="897" t="s">
        <v>95</v>
      </c>
      <c r="K659" s="897" t="s">
        <v>96</v>
      </c>
      <c r="L659" s="897" t="s">
        <v>3</v>
      </c>
      <c r="M659" s="897" t="s">
        <v>97</v>
      </c>
      <c r="N659" s="897" t="s">
        <v>98</v>
      </c>
      <c r="O659" s="897" t="s">
        <v>99</v>
      </c>
      <c r="P659" s="899"/>
    </row>
    <row r="660" spans="1:16" ht="15.75" thickBot="1">
      <c r="A660" s="896"/>
      <c r="B660" s="898"/>
      <c r="C660" s="898"/>
      <c r="D660" s="898"/>
      <c r="E660" s="898"/>
      <c r="F660" s="898"/>
      <c r="G660" s="240" t="s">
        <v>100</v>
      </c>
      <c r="H660" s="182" t="s">
        <v>101</v>
      </c>
      <c r="I660" s="896"/>
      <c r="J660" s="898"/>
      <c r="K660" s="898"/>
      <c r="L660" s="898"/>
      <c r="M660" s="898"/>
      <c r="N660" s="898"/>
      <c r="O660" s="240" t="s">
        <v>100</v>
      </c>
      <c r="P660" s="182" t="s">
        <v>101</v>
      </c>
    </row>
    <row r="661" spans="1:16" ht="14.25" customHeight="1">
      <c r="A661" s="881" t="e">
        <f>+A628+1</f>
        <v>#REF!</v>
      </c>
      <c r="B661" s="875">
        <v>42296</v>
      </c>
      <c r="C661" s="877" t="s">
        <v>267</v>
      </c>
      <c r="D661" s="881" t="s">
        <v>359</v>
      </c>
      <c r="E661" s="881" t="s">
        <v>148</v>
      </c>
      <c r="F661" s="883">
        <v>154000</v>
      </c>
      <c r="G661" s="55">
        <v>719</v>
      </c>
      <c r="H661" s="78">
        <v>110000</v>
      </c>
      <c r="I661" s="873" t="s">
        <v>669</v>
      </c>
      <c r="J661" s="875">
        <v>43606</v>
      </c>
      <c r="K661" s="877" t="s">
        <v>815</v>
      </c>
      <c r="L661" s="881" t="s">
        <v>1799</v>
      </c>
      <c r="M661" s="881" t="s">
        <v>115</v>
      </c>
      <c r="N661" s="883">
        <v>675000</v>
      </c>
      <c r="O661" s="55">
        <v>719</v>
      </c>
      <c r="P661" s="78">
        <v>500000</v>
      </c>
    </row>
    <row r="662" spans="1:16" ht="13.5" customHeight="1" thickBot="1">
      <c r="A662" s="882"/>
      <c r="B662" s="876"/>
      <c r="C662" s="878"/>
      <c r="D662" s="882"/>
      <c r="E662" s="882"/>
      <c r="F662" s="884"/>
      <c r="G662" s="56">
        <v>721</v>
      </c>
      <c r="H662" s="79">
        <f>+F661-H661</f>
        <v>44000</v>
      </c>
      <c r="I662" s="882"/>
      <c r="J662" s="876"/>
      <c r="K662" s="878"/>
      <c r="L662" s="882"/>
      <c r="M662" s="882"/>
      <c r="N662" s="884"/>
      <c r="O662" s="56">
        <v>721</v>
      </c>
      <c r="P662" s="79">
        <f>+N661-P661</f>
        <v>175000</v>
      </c>
    </row>
    <row r="663" spans="1:16" ht="12.75" customHeight="1">
      <c r="A663" s="881" t="e">
        <f>+A661+1</f>
        <v>#REF!</v>
      </c>
      <c r="B663" s="875">
        <v>42296</v>
      </c>
      <c r="C663" s="881" t="s">
        <v>28</v>
      </c>
      <c r="D663" s="881" t="s">
        <v>357</v>
      </c>
      <c r="E663" s="881" t="s">
        <v>148</v>
      </c>
      <c r="F663" s="883">
        <v>280000</v>
      </c>
      <c r="G663" s="55">
        <v>719</v>
      </c>
      <c r="H663" s="78">
        <v>200000</v>
      </c>
      <c r="I663" s="873" t="s">
        <v>670</v>
      </c>
      <c r="J663" s="875">
        <v>43606</v>
      </c>
      <c r="K663" s="877" t="s">
        <v>1091</v>
      </c>
      <c r="L663" s="881" t="s">
        <v>1800</v>
      </c>
      <c r="M663" s="881" t="s">
        <v>148</v>
      </c>
      <c r="N663" s="883">
        <v>1010000</v>
      </c>
      <c r="O663" s="55">
        <v>719</v>
      </c>
      <c r="P663" s="78">
        <v>1010000</v>
      </c>
    </row>
    <row r="664" spans="1:16" ht="12.75" customHeight="1" thickBot="1">
      <c r="A664" s="882"/>
      <c r="B664" s="876"/>
      <c r="C664" s="882"/>
      <c r="D664" s="882"/>
      <c r="E664" s="882"/>
      <c r="F664" s="884"/>
      <c r="G664" s="56">
        <v>721</v>
      </c>
      <c r="H664" s="79">
        <f>+F663-H663</f>
        <v>80000</v>
      </c>
      <c r="I664" s="882"/>
      <c r="J664" s="876"/>
      <c r="K664" s="878"/>
      <c r="L664" s="882"/>
      <c r="M664" s="882"/>
      <c r="N664" s="884"/>
      <c r="O664" s="56">
        <v>721</v>
      </c>
      <c r="P664" s="79">
        <f>+N663-P663</f>
        <v>0</v>
      </c>
    </row>
    <row r="665" spans="1:16" ht="12.75" customHeight="1">
      <c r="A665" s="251"/>
      <c r="B665" s="252"/>
      <c r="C665" s="251"/>
      <c r="D665" s="251"/>
      <c r="E665" s="251"/>
      <c r="F665" s="254"/>
      <c r="G665" s="255"/>
      <c r="H665" s="256"/>
      <c r="I665" s="873" t="s">
        <v>717</v>
      </c>
      <c r="J665" s="875">
        <v>43606</v>
      </c>
      <c r="K665" s="877" t="s">
        <v>111</v>
      </c>
      <c r="L665" s="881" t="s">
        <v>1802</v>
      </c>
      <c r="M665" s="881" t="s">
        <v>148</v>
      </c>
      <c r="N665" s="883">
        <v>120000</v>
      </c>
      <c r="O665" s="55">
        <v>719</v>
      </c>
      <c r="P665" s="78">
        <v>120000</v>
      </c>
    </row>
    <row r="666" spans="1:16" ht="12.75" customHeight="1" thickBot="1">
      <c r="A666" s="251"/>
      <c r="B666" s="252"/>
      <c r="C666" s="251"/>
      <c r="D666" s="251"/>
      <c r="E666" s="251"/>
      <c r="F666" s="254"/>
      <c r="G666" s="255"/>
      <c r="H666" s="256"/>
      <c r="I666" s="882"/>
      <c r="J666" s="876"/>
      <c r="K666" s="878"/>
      <c r="L666" s="882"/>
      <c r="M666" s="882"/>
      <c r="N666" s="884"/>
      <c r="O666" s="56">
        <v>721</v>
      </c>
      <c r="P666" s="79">
        <f>+N665-P665</f>
        <v>0</v>
      </c>
    </row>
    <row r="667" spans="1:16" ht="12" customHeight="1">
      <c r="A667" s="881" t="e">
        <f>+A663+1</f>
        <v>#REF!</v>
      </c>
      <c r="B667" s="875">
        <v>42296</v>
      </c>
      <c r="C667" s="877" t="s">
        <v>32</v>
      </c>
      <c r="D667" s="881" t="s">
        <v>357</v>
      </c>
      <c r="E667" s="881" t="s">
        <v>148</v>
      </c>
      <c r="F667" s="883">
        <v>98000</v>
      </c>
      <c r="G667" s="55">
        <v>719</v>
      </c>
      <c r="H667" s="78">
        <v>70000</v>
      </c>
      <c r="I667" s="873" t="s">
        <v>718</v>
      </c>
      <c r="J667" s="875">
        <v>43606</v>
      </c>
      <c r="K667" s="881" t="s">
        <v>267</v>
      </c>
      <c r="L667" s="881" t="s">
        <v>1803</v>
      </c>
      <c r="M667" s="881" t="s">
        <v>148</v>
      </c>
      <c r="N667" s="883">
        <v>160000</v>
      </c>
      <c r="O667" s="55">
        <v>719</v>
      </c>
      <c r="P667" s="78">
        <v>160000</v>
      </c>
    </row>
    <row r="668" spans="1:16" ht="14.25" customHeight="1" thickBot="1">
      <c r="A668" s="882"/>
      <c r="B668" s="876"/>
      <c r="C668" s="878"/>
      <c r="D668" s="882"/>
      <c r="E668" s="882"/>
      <c r="F668" s="884"/>
      <c r="G668" s="56">
        <v>721</v>
      </c>
      <c r="H668" s="79">
        <f>+F667-H667</f>
        <v>28000</v>
      </c>
      <c r="I668" s="882"/>
      <c r="J668" s="876"/>
      <c r="K668" s="882"/>
      <c r="L668" s="882"/>
      <c r="M668" s="882"/>
      <c r="N668" s="884"/>
      <c r="O668" s="56">
        <v>723</v>
      </c>
      <c r="P668" s="79">
        <f>+N667-P667</f>
        <v>0</v>
      </c>
    </row>
    <row r="669" spans="1:16" ht="12.75" customHeight="1">
      <c r="A669" s="881" t="e">
        <f>+#REF!+1</f>
        <v>#REF!</v>
      </c>
      <c r="B669" s="875">
        <v>42296</v>
      </c>
      <c r="C669" s="877" t="s">
        <v>272</v>
      </c>
      <c r="D669" s="881" t="s">
        <v>357</v>
      </c>
      <c r="E669" s="881" t="s">
        <v>148</v>
      </c>
      <c r="F669" s="883">
        <v>616000</v>
      </c>
      <c r="G669" s="55">
        <v>719</v>
      </c>
      <c r="H669" s="78">
        <v>440000</v>
      </c>
      <c r="I669" s="873" t="s">
        <v>719</v>
      </c>
      <c r="J669" s="875">
        <v>43606</v>
      </c>
      <c r="K669" s="877" t="s">
        <v>1315</v>
      </c>
      <c r="L669" s="881" t="s">
        <v>1801</v>
      </c>
      <c r="M669" s="881" t="s">
        <v>148</v>
      </c>
      <c r="N669" s="883">
        <v>1605250</v>
      </c>
      <c r="O669" s="55">
        <v>719</v>
      </c>
      <c r="P669" s="78">
        <v>0</v>
      </c>
    </row>
    <row r="670" spans="1:16" ht="12.75" customHeight="1" thickBot="1">
      <c r="A670" s="882"/>
      <c r="B670" s="876"/>
      <c r="C670" s="878"/>
      <c r="D670" s="882"/>
      <c r="E670" s="882"/>
      <c r="F670" s="884"/>
      <c r="G670" s="56">
        <v>721</v>
      </c>
      <c r="H670" s="79">
        <f>+F669-H669</f>
        <v>176000</v>
      </c>
      <c r="I670" s="882"/>
      <c r="J670" s="876"/>
      <c r="K670" s="878"/>
      <c r="L670" s="882"/>
      <c r="M670" s="882"/>
      <c r="N670" s="884"/>
      <c r="O670" s="56">
        <v>723</v>
      </c>
      <c r="P670" s="79">
        <f>+N669-P669</f>
        <v>1605250</v>
      </c>
    </row>
    <row r="671" spans="1:16" ht="16.5" thickBot="1">
      <c r="A671" s="901" t="s">
        <v>102</v>
      </c>
      <c r="B671" s="902"/>
      <c r="C671" s="902"/>
      <c r="D671" s="902"/>
      <c r="E671" s="903"/>
      <c r="F671" s="81">
        <f>SUM(F661:F670)</f>
        <v>1148000</v>
      </c>
      <c r="I671" s="901" t="s">
        <v>102</v>
      </c>
      <c r="J671" s="902"/>
      <c r="K671" s="902"/>
      <c r="L671" s="902"/>
      <c r="M671" s="903"/>
      <c r="N671" s="81">
        <f>SUM(N661:N670)</f>
        <v>3570250</v>
      </c>
    </row>
    <row r="672" spans="1:16" ht="16.5" thickBot="1">
      <c r="A672" s="885" t="s">
        <v>103</v>
      </c>
      <c r="B672" s="886"/>
      <c r="C672" s="886"/>
      <c r="D672" s="886"/>
      <c r="E672" s="887"/>
      <c r="F672" s="69">
        <f>+F636</f>
        <v>650372930</v>
      </c>
      <c r="I672" s="885" t="s">
        <v>103</v>
      </c>
      <c r="J672" s="886"/>
      <c r="K672" s="886"/>
      <c r="L672" s="886"/>
      <c r="M672" s="887"/>
      <c r="N672" s="239">
        <f>+N636</f>
        <v>386610544</v>
      </c>
      <c r="O672" s="241" t="s">
        <v>561</v>
      </c>
      <c r="P672" s="242">
        <f>301+244+1036+36</f>
        <v>1617</v>
      </c>
    </row>
    <row r="673" spans="1:16" ht="16.5" thickBot="1">
      <c r="A673" s="888" t="s">
        <v>104</v>
      </c>
      <c r="B673" s="889"/>
      <c r="C673" s="889"/>
      <c r="D673" s="889"/>
      <c r="E673" s="890"/>
      <c r="F673" s="183">
        <f>SUM(F671:F672)</f>
        <v>651520930</v>
      </c>
      <c r="I673" s="888" t="s">
        <v>104</v>
      </c>
      <c r="J673" s="889"/>
      <c r="K673" s="889"/>
      <c r="L673" s="889"/>
      <c r="M673" s="890"/>
      <c r="N673" s="183">
        <f>SUM(N671:N672)</f>
        <v>390180794</v>
      </c>
    </row>
    <row r="674" spans="1:16" ht="9" customHeight="1">
      <c r="A674" s="61"/>
      <c r="B674" s="61"/>
      <c r="C674" s="61"/>
      <c r="D674" s="61"/>
      <c r="E674" s="61"/>
      <c r="I674" s="61"/>
      <c r="J674" s="61"/>
      <c r="K674" s="61"/>
      <c r="L674" s="61"/>
      <c r="M674" s="61"/>
    </row>
    <row r="675" spans="1:16">
      <c r="A675" s="51" t="s">
        <v>353</v>
      </c>
      <c r="I675" s="51" t="s">
        <v>1804</v>
      </c>
    </row>
    <row r="676" spans="1:16" ht="8.25" customHeight="1">
      <c r="F676" s="139"/>
      <c r="N676" s="139"/>
    </row>
    <row r="677" spans="1:16">
      <c r="A677" s="50" t="s">
        <v>105</v>
      </c>
      <c r="D677" s="146"/>
      <c r="F677" s="139"/>
      <c r="I677" s="50" t="s">
        <v>105</v>
      </c>
      <c r="L677" s="146"/>
      <c r="N677" s="139"/>
    </row>
    <row r="678" spans="1:16" ht="9" customHeight="1" thickBot="1"/>
    <row r="679" spans="1:16" ht="15.75" customHeight="1" thickBot="1">
      <c r="A679" s="891" t="s">
        <v>106</v>
      </c>
      <c r="B679" s="892"/>
      <c r="C679" s="892"/>
      <c r="D679" s="893"/>
      <c r="F679" s="50" t="s">
        <v>270</v>
      </c>
      <c r="I679" s="891" t="s">
        <v>106</v>
      </c>
      <c r="J679" s="892"/>
      <c r="K679" s="892"/>
      <c r="L679" s="893"/>
      <c r="N679" s="605" t="s">
        <v>288</v>
      </c>
      <c r="O679" s="605"/>
      <c r="P679" s="605"/>
    </row>
    <row r="680" spans="1:16" ht="28.5" customHeight="1" thickBot="1">
      <c r="A680" s="57" t="s">
        <v>100</v>
      </c>
      <c r="B680" s="58" t="s">
        <v>108</v>
      </c>
      <c r="C680" s="59" t="s">
        <v>109</v>
      </c>
      <c r="D680" s="60" t="s">
        <v>110</v>
      </c>
      <c r="I680" s="57" t="s">
        <v>100</v>
      </c>
      <c r="J680" s="58" t="s">
        <v>108</v>
      </c>
      <c r="K680" s="59" t="s">
        <v>109</v>
      </c>
      <c r="L680" s="60" t="s">
        <v>110</v>
      </c>
      <c r="N680" s="202"/>
      <c r="O680" s="202"/>
      <c r="P680" s="202"/>
    </row>
    <row r="681" spans="1:16" ht="14.25" customHeight="1">
      <c r="A681" s="71">
        <v>719</v>
      </c>
      <c r="B681" s="73" t="e">
        <f>+H661+H663+H667+#REF!+H669</f>
        <v>#REF!</v>
      </c>
      <c r="C681" s="74" t="e">
        <f>+D644</f>
        <v>#REF!</v>
      </c>
      <c r="D681" s="195" t="e">
        <f>+B681+C681</f>
        <v>#REF!</v>
      </c>
      <c r="I681" s="71">
        <v>719</v>
      </c>
      <c r="J681" s="73">
        <f>+P661+P663+P665+P667</f>
        <v>1790000</v>
      </c>
      <c r="K681" s="74">
        <f>+L644</f>
        <v>8630000</v>
      </c>
      <c r="L681" s="195">
        <f>+J681+K681</f>
        <v>10420000</v>
      </c>
      <c r="N681" s="202"/>
      <c r="O681" s="202"/>
      <c r="P681" s="202"/>
    </row>
    <row r="682" spans="1:16" ht="12.75" customHeight="1">
      <c r="A682" s="72">
        <v>721</v>
      </c>
      <c r="B682" s="80" t="e">
        <f>+H662+H664+H668+#REF!+H670</f>
        <v>#REF!</v>
      </c>
      <c r="C682" s="74" t="e">
        <f>+D645</f>
        <v>#REF!</v>
      </c>
      <c r="D682" s="195" t="e">
        <f>+B682+C682</f>
        <v>#REF!</v>
      </c>
      <c r="I682" s="72">
        <v>721</v>
      </c>
      <c r="J682" s="80">
        <f>+P662</f>
        <v>175000</v>
      </c>
      <c r="K682" s="74">
        <f>+L645</f>
        <v>906500</v>
      </c>
      <c r="L682" s="195">
        <f>+J682+K682</f>
        <v>1081500</v>
      </c>
      <c r="N682" s="202"/>
      <c r="O682" s="202"/>
      <c r="P682" s="202"/>
    </row>
    <row r="683" spans="1:16" ht="12.75" customHeight="1">
      <c r="A683" s="72">
        <v>722</v>
      </c>
      <c r="B683" s="80"/>
      <c r="C683" s="74">
        <f>+D646</f>
        <v>231207671</v>
      </c>
      <c r="D683" s="195">
        <f>+B683+C683</f>
        <v>231207671</v>
      </c>
      <c r="I683" s="72">
        <v>722</v>
      </c>
      <c r="J683" s="80"/>
      <c r="K683" s="74">
        <f>+L646</f>
        <v>0</v>
      </c>
      <c r="L683" s="195">
        <f>+J683+K683</f>
        <v>0</v>
      </c>
      <c r="N683" s="202"/>
      <c r="O683" s="202"/>
      <c r="P683" s="202"/>
    </row>
    <row r="684" spans="1:16" ht="13.5" customHeight="1" thickBot="1">
      <c r="A684" s="72">
        <v>723</v>
      </c>
      <c r="B684" s="80"/>
      <c r="C684" s="74">
        <f>+D647</f>
        <v>321428837</v>
      </c>
      <c r="D684" s="195">
        <f>+B684+C684</f>
        <v>321428837</v>
      </c>
      <c r="F684" s="193" t="s">
        <v>348</v>
      </c>
      <c r="G684" s="175"/>
      <c r="I684" s="72">
        <v>723</v>
      </c>
      <c r="J684" s="80">
        <f>+P670</f>
        <v>1605250</v>
      </c>
      <c r="K684" s="74">
        <f>+L647</f>
        <v>377074044</v>
      </c>
      <c r="L684" s="195">
        <f>+J684+K684</f>
        <v>378679294</v>
      </c>
      <c r="N684" s="918" t="s">
        <v>1696</v>
      </c>
      <c r="O684" s="608"/>
      <c r="P684" s="608"/>
    </row>
    <row r="685" spans="1:16" ht="12.75" hidden="1" customHeight="1" thickBot="1">
      <c r="A685" s="164" t="s">
        <v>181</v>
      </c>
      <c r="B685" s="165"/>
      <c r="C685" s="74" t="e">
        <f>+D648</f>
        <v>#REF!</v>
      </c>
      <c r="D685" s="196" t="e">
        <f>+B685+C685</f>
        <v>#REF!</v>
      </c>
      <c r="F685" s="52"/>
      <c r="I685" s="164" t="s">
        <v>181</v>
      </c>
      <c r="J685" s="165"/>
      <c r="K685" s="74">
        <f>+L648</f>
        <v>0</v>
      </c>
      <c r="L685" s="196">
        <f>+J685+K685</f>
        <v>0</v>
      </c>
      <c r="N685" s="52"/>
    </row>
    <row r="686" spans="1:16" ht="16.5" thickBot="1">
      <c r="A686" s="169"/>
      <c r="B686" s="170" t="e">
        <f>SUM(B681:B685)</f>
        <v>#REF!</v>
      </c>
      <c r="C686" s="171" t="e">
        <f>SUM(C681:C685)</f>
        <v>#REF!</v>
      </c>
      <c r="D686" s="172" t="e">
        <f>SUM(D681:D685)</f>
        <v>#REF!</v>
      </c>
      <c r="I686" s="169"/>
      <c r="J686" s="197">
        <f>SUM(J681:J685)</f>
        <v>3570250</v>
      </c>
      <c r="K686" s="197">
        <f>SUM(K681:K685)</f>
        <v>386610544</v>
      </c>
      <c r="L686" s="198">
        <f>SUM(L681:L685)</f>
        <v>390180794</v>
      </c>
    </row>
    <row r="687" spans="1:16" ht="16.5">
      <c r="A687" s="49" t="s">
        <v>88</v>
      </c>
      <c r="B687" s="50"/>
      <c r="I687" s="49" t="s">
        <v>88</v>
      </c>
      <c r="J687" s="50"/>
    </row>
    <row r="688" spans="1:16">
      <c r="A688" s="51" t="s">
        <v>89</v>
      </c>
      <c r="I688" s="51" t="s">
        <v>89</v>
      </c>
    </row>
    <row r="689" spans="1:16">
      <c r="A689" s="51" t="s">
        <v>90</v>
      </c>
      <c r="I689" s="51" t="s">
        <v>90</v>
      </c>
    </row>
    <row r="690" spans="1:16">
      <c r="A690" s="51" t="s">
        <v>91</v>
      </c>
      <c r="I690" s="51" t="s">
        <v>91</v>
      </c>
    </row>
    <row r="691" spans="1:16" ht="12" customHeight="1">
      <c r="A691" s="50"/>
      <c r="B691" s="50"/>
      <c r="I691" s="50"/>
      <c r="J691" s="50"/>
    </row>
    <row r="692" spans="1:16" ht="16.5">
      <c r="A692" s="52" t="s">
        <v>352</v>
      </c>
      <c r="G692" s="52"/>
      <c r="I692" s="260" t="s">
        <v>743</v>
      </c>
      <c r="J692" s="262"/>
      <c r="O692" s="52"/>
    </row>
    <row r="693" spans="1:16" ht="15.75">
      <c r="A693" s="53" t="s">
        <v>92</v>
      </c>
      <c r="G693" s="53"/>
      <c r="I693" s="261" t="s">
        <v>1702</v>
      </c>
      <c r="J693" s="262"/>
      <c r="O693" s="53"/>
    </row>
    <row r="694" spans="1:16" ht="17.25" customHeight="1">
      <c r="A694" s="894" t="s">
        <v>93</v>
      </c>
      <c r="B694" s="894"/>
      <c r="C694" s="894"/>
      <c r="D694" s="894"/>
      <c r="E694" s="894"/>
      <c r="F694" s="894"/>
      <c r="G694" s="894"/>
      <c r="H694" s="894"/>
      <c r="I694" s="894" t="s">
        <v>749</v>
      </c>
      <c r="J694" s="894"/>
      <c r="K694" s="894"/>
      <c r="L694" s="894"/>
      <c r="M694" s="894"/>
      <c r="N694" s="894"/>
      <c r="O694" s="894"/>
      <c r="P694" s="894"/>
    </row>
    <row r="695" spans="1:16" ht="12.75" customHeight="1" thickBot="1"/>
    <row r="696" spans="1:16">
      <c r="A696" s="895" t="s">
        <v>94</v>
      </c>
      <c r="B696" s="897" t="s">
        <v>95</v>
      </c>
      <c r="C696" s="897" t="s">
        <v>96</v>
      </c>
      <c r="D696" s="897" t="s">
        <v>3</v>
      </c>
      <c r="E696" s="897" t="s">
        <v>97</v>
      </c>
      <c r="F696" s="897" t="s">
        <v>98</v>
      </c>
      <c r="G696" s="897" t="s">
        <v>99</v>
      </c>
      <c r="H696" s="899"/>
      <c r="I696" s="895" t="s">
        <v>94</v>
      </c>
      <c r="J696" s="897" t="s">
        <v>95</v>
      </c>
      <c r="K696" s="897" t="s">
        <v>96</v>
      </c>
      <c r="L696" s="897" t="s">
        <v>3</v>
      </c>
      <c r="M696" s="897" t="s">
        <v>97</v>
      </c>
      <c r="N696" s="897" t="s">
        <v>98</v>
      </c>
      <c r="O696" s="897" t="s">
        <v>99</v>
      </c>
      <c r="P696" s="899"/>
    </row>
    <row r="697" spans="1:16" ht="15.75" thickBot="1">
      <c r="A697" s="896"/>
      <c r="B697" s="898"/>
      <c r="C697" s="898"/>
      <c r="D697" s="898"/>
      <c r="E697" s="898"/>
      <c r="F697" s="898"/>
      <c r="G697" s="240" t="s">
        <v>100</v>
      </c>
      <c r="H697" s="182" t="s">
        <v>101</v>
      </c>
      <c r="I697" s="896"/>
      <c r="J697" s="898"/>
      <c r="K697" s="898"/>
      <c r="L697" s="898"/>
      <c r="M697" s="898"/>
      <c r="N697" s="898"/>
      <c r="O697" s="240" t="s">
        <v>100</v>
      </c>
      <c r="P697" s="182" t="s">
        <v>101</v>
      </c>
    </row>
    <row r="698" spans="1:16" ht="15" customHeight="1">
      <c r="A698" s="881" t="e">
        <f>+A669+1</f>
        <v>#REF!</v>
      </c>
      <c r="B698" s="875">
        <v>42296</v>
      </c>
      <c r="C698" s="877" t="s">
        <v>272</v>
      </c>
      <c r="D698" s="881" t="s">
        <v>356</v>
      </c>
      <c r="E698" s="881" t="s">
        <v>115</v>
      </c>
      <c r="F698" s="883">
        <v>100000</v>
      </c>
      <c r="G698" s="55">
        <v>719</v>
      </c>
      <c r="H698" s="78">
        <v>100000</v>
      </c>
      <c r="I698" s="873" t="s">
        <v>720</v>
      </c>
      <c r="J698" s="875">
        <v>43612</v>
      </c>
      <c r="K698" s="877" t="s">
        <v>1805</v>
      </c>
      <c r="L698" s="881" t="s">
        <v>1806</v>
      </c>
      <c r="M698" s="881" t="s">
        <v>148</v>
      </c>
      <c r="N698" s="883">
        <v>200000</v>
      </c>
      <c r="O698" s="55">
        <v>723</v>
      </c>
      <c r="P698" s="78">
        <v>200000</v>
      </c>
    </row>
    <row r="699" spans="1:16" ht="13.5" customHeight="1" thickBot="1">
      <c r="A699" s="882"/>
      <c r="B699" s="876"/>
      <c r="C699" s="878"/>
      <c r="D699" s="882"/>
      <c r="E699" s="882"/>
      <c r="F699" s="884"/>
      <c r="G699" s="56">
        <v>721</v>
      </c>
      <c r="H699" s="79">
        <f>+F698-H698</f>
        <v>0</v>
      </c>
      <c r="I699" s="882"/>
      <c r="J699" s="876"/>
      <c r="K699" s="878"/>
      <c r="L699" s="882"/>
      <c r="M699" s="882"/>
      <c r="N699" s="884"/>
      <c r="O699" s="56">
        <v>721</v>
      </c>
      <c r="P699" s="79">
        <f>+N698-P698</f>
        <v>0</v>
      </c>
    </row>
    <row r="700" spans="1:16" ht="13.5" customHeight="1">
      <c r="A700" s="881" t="e">
        <f>+A698+1</f>
        <v>#REF!</v>
      </c>
      <c r="B700" s="875">
        <v>42296</v>
      </c>
      <c r="C700" s="881" t="s">
        <v>28</v>
      </c>
      <c r="D700" s="881" t="s">
        <v>355</v>
      </c>
      <c r="E700" s="881" t="s">
        <v>115</v>
      </c>
      <c r="F700" s="883">
        <v>50000</v>
      </c>
      <c r="G700" s="55">
        <v>719</v>
      </c>
      <c r="H700" s="78">
        <v>50000</v>
      </c>
      <c r="I700" s="873"/>
      <c r="J700" s="875"/>
      <c r="K700" s="959"/>
      <c r="L700" s="881"/>
      <c r="M700" s="881"/>
      <c r="N700" s="883"/>
      <c r="O700" s="55">
        <v>723</v>
      </c>
      <c r="P700" s="78"/>
    </row>
    <row r="701" spans="1:16" ht="12.75" customHeight="1" thickBot="1">
      <c r="A701" s="882"/>
      <c r="B701" s="876"/>
      <c r="C701" s="882"/>
      <c r="D701" s="882"/>
      <c r="E701" s="882"/>
      <c r="F701" s="884"/>
      <c r="G701" s="56">
        <v>721</v>
      </c>
      <c r="H701" s="79">
        <f>+F700-H700</f>
        <v>0</v>
      </c>
      <c r="I701" s="882"/>
      <c r="J701" s="876"/>
      <c r="K701" s="960"/>
      <c r="L701" s="882"/>
      <c r="M701" s="882"/>
      <c r="N701" s="884"/>
      <c r="O701" s="56">
        <v>721</v>
      </c>
      <c r="P701" s="79">
        <f>+N700-P700</f>
        <v>0</v>
      </c>
    </row>
    <row r="702" spans="1:16" ht="13.5" customHeight="1">
      <c r="A702" s="881" t="e">
        <f>+#REF!+1</f>
        <v>#REF!</v>
      </c>
      <c r="B702" s="875">
        <v>42296</v>
      </c>
      <c r="C702" s="877" t="s">
        <v>120</v>
      </c>
      <c r="D702" s="881" t="s">
        <v>354</v>
      </c>
      <c r="E702" s="881" t="s">
        <v>115</v>
      </c>
      <c r="F702" s="883">
        <v>20000</v>
      </c>
      <c r="G702" s="55">
        <v>719</v>
      </c>
      <c r="H702" s="78">
        <v>20000</v>
      </c>
      <c r="I702" s="873"/>
      <c r="J702" s="875"/>
      <c r="K702" s="877"/>
      <c r="L702" s="881"/>
      <c r="M702" s="881"/>
      <c r="N702" s="883"/>
      <c r="O702" s="55">
        <v>719</v>
      </c>
      <c r="P702" s="78"/>
    </row>
    <row r="703" spans="1:16" ht="12.75" customHeight="1" thickBot="1">
      <c r="A703" s="882"/>
      <c r="B703" s="876"/>
      <c r="C703" s="878"/>
      <c r="D703" s="882"/>
      <c r="E703" s="882"/>
      <c r="F703" s="884"/>
      <c r="G703" s="56">
        <v>721</v>
      </c>
      <c r="H703" s="79">
        <f>+F702-H702</f>
        <v>0</v>
      </c>
      <c r="I703" s="882"/>
      <c r="J703" s="876"/>
      <c r="K703" s="878"/>
      <c r="L703" s="882"/>
      <c r="M703" s="882"/>
      <c r="N703" s="884"/>
      <c r="O703" s="56">
        <v>721</v>
      </c>
      <c r="P703" s="79">
        <f>+N702-P702</f>
        <v>0</v>
      </c>
    </row>
    <row r="704" spans="1:16" ht="15" customHeight="1">
      <c r="A704" s="881" t="e">
        <f>+A702+1</f>
        <v>#REF!</v>
      </c>
      <c r="B704" s="875">
        <v>42296</v>
      </c>
      <c r="C704" s="877" t="s">
        <v>272</v>
      </c>
      <c r="D704" s="881" t="s">
        <v>427</v>
      </c>
      <c r="E704" s="881" t="s">
        <v>115</v>
      </c>
      <c r="F704" s="883">
        <v>90000</v>
      </c>
      <c r="G704" s="55">
        <v>719</v>
      </c>
      <c r="H704" s="78">
        <f>+F704</f>
        <v>90000</v>
      </c>
      <c r="I704" s="873"/>
      <c r="J704" s="875"/>
      <c r="K704" s="877"/>
      <c r="L704" s="881"/>
      <c r="M704" s="881"/>
      <c r="N704" s="883"/>
      <c r="O704" s="55">
        <v>719</v>
      </c>
      <c r="P704" s="78"/>
    </row>
    <row r="705" spans="1:16" ht="12.75" customHeight="1" thickBot="1">
      <c r="A705" s="882"/>
      <c r="B705" s="876"/>
      <c r="C705" s="878"/>
      <c r="D705" s="882"/>
      <c r="E705" s="882"/>
      <c r="F705" s="884"/>
      <c r="G705" s="56">
        <v>721</v>
      </c>
      <c r="H705" s="79"/>
      <c r="I705" s="882"/>
      <c r="J705" s="876"/>
      <c r="K705" s="878"/>
      <c r="L705" s="882"/>
      <c r="M705" s="882"/>
      <c r="N705" s="884"/>
      <c r="O705" s="56">
        <v>721</v>
      </c>
      <c r="P705" s="79">
        <f>+N704-P704</f>
        <v>0</v>
      </c>
    </row>
    <row r="706" spans="1:16" ht="15" customHeight="1" thickBot="1">
      <c r="A706" s="881" t="e">
        <f>+A704+1</f>
        <v>#REF!</v>
      </c>
      <c r="B706" s="875">
        <v>42296</v>
      </c>
      <c r="C706" s="881" t="s">
        <v>28</v>
      </c>
      <c r="D706" s="881" t="s">
        <v>355</v>
      </c>
      <c r="E706" s="881" t="s">
        <v>115</v>
      </c>
      <c r="F706" s="883">
        <v>50000</v>
      </c>
      <c r="G706" s="55">
        <v>719</v>
      </c>
      <c r="H706" s="78">
        <v>50000</v>
      </c>
      <c r="I706" s="901" t="s">
        <v>102</v>
      </c>
      <c r="J706" s="902"/>
      <c r="K706" s="902"/>
      <c r="L706" s="902"/>
      <c r="M706" s="903"/>
      <c r="N706" s="81">
        <f>SUM(N698:N705)</f>
        <v>200000</v>
      </c>
    </row>
    <row r="707" spans="1:16" ht="12.75" customHeight="1" thickBot="1">
      <c r="A707" s="882"/>
      <c r="B707" s="876"/>
      <c r="C707" s="882"/>
      <c r="D707" s="882"/>
      <c r="E707" s="882"/>
      <c r="F707" s="884"/>
      <c r="G707" s="56">
        <v>721</v>
      </c>
      <c r="H707" s="79">
        <f>+F706-H706</f>
        <v>0</v>
      </c>
      <c r="I707" s="885" t="s">
        <v>103</v>
      </c>
      <c r="J707" s="886"/>
      <c r="K707" s="886"/>
      <c r="L707" s="886"/>
      <c r="M707" s="887"/>
      <c r="N707" s="239">
        <f>+N673</f>
        <v>390180794</v>
      </c>
      <c r="O707" s="241" t="s">
        <v>561</v>
      </c>
      <c r="P707" s="242">
        <v>156</v>
      </c>
    </row>
    <row r="708" spans="1:16" ht="16.5" thickBot="1">
      <c r="A708" s="901" t="s">
        <v>102</v>
      </c>
      <c r="B708" s="902"/>
      <c r="C708" s="902"/>
      <c r="D708" s="902"/>
      <c r="E708" s="903"/>
      <c r="F708" s="81">
        <f>SUM(F698:F707)</f>
        <v>310000</v>
      </c>
      <c r="I708" s="888" t="s">
        <v>104</v>
      </c>
      <c r="J708" s="889"/>
      <c r="K708" s="889"/>
      <c r="L708" s="889"/>
      <c r="M708" s="890"/>
      <c r="N708" s="183">
        <f>SUM(N706:N707)</f>
        <v>390380794</v>
      </c>
    </row>
    <row r="709" spans="1:16" ht="16.5" thickBot="1">
      <c r="A709" s="885" t="s">
        <v>103</v>
      </c>
      <c r="B709" s="886"/>
      <c r="C709" s="886"/>
      <c r="D709" s="886"/>
      <c r="E709" s="887"/>
      <c r="F709" s="69">
        <f>+F673</f>
        <v>651520930</v>
      </c>
      <c r="I709" s="61"/>
      <c r="J709" s="61"/>
      <c r="K709" s="61"/>
      <c r="L709" s="61"/>
      <c r="M709" s="61"/>
    </row>
    <row r="710" spans="1:16" ht="18" customHeight="1" thickBot="1">
      <c r="A710" s="888" t="s">
        <v>104</v>
      </c>
      <c r="B710" s="889"/>
      <c r="C710" s="889"/>
      <c r="D710" s="889"/>
      <c r="E710" s="890"/>
      <c r="F710" s="183">
        <f>SUM(F708:F709)</f>
        <v>651830930</v>
      </c>
      <c r="I710" s="51" t="s">
        <v>1807</v>
      </c>
    </row>
    <row r="711" spans="1:16" ht="12.75" customHeight="1">
      <c r="A711" s="61"/>
      <c r="B711" s="61"/>
      <c r="C711" s="61"/>
      <c r="D711" s="61"/>
      <c r="E711" s="61"/>
      <c r="N711" s="139"/>
    </row>
    <row r="712" spans="1:16">
      <c r="A712" s="51" t="s">
        <v>428</v>
      </c>
      <c r="I712" s="50" t="s">
        <v>105</v>
      </c>
      <c r="L712" s="146"/>
      <c r="N712" s="139"/>
    </row>
    <row r="713" spans="1:16" ht="11.25" customHeight="1" thickBot="1">
      <c r="F713" s="139"/>
    </row>
    <row r="714" spans="1:16" ht="17.25" thickBot="1">
      <c r="A714" s="50" t="s">
        <v>105</v>
      </c>
      <c r="D714" s="146"/>
      <c r="F714" s="139"/>
      <c r="I714" s="891" t="s">
        <v>106</v>
      </c>
      <c r="J714" s="892"/>
      <c r="K714" s="892"/>
      <c r="L714" s="893"/>
      <c r="N714" s="605" t="s">
        <v>288</v>
      </c>
      <c r="O714" s="605"/>
      <c r="P714" s="605"/>
    </row>
    <row r="715" spans="1:16" ht="26.25" customHeight="1" thickBot="1">
      <c r="I715" s="57" t="s">
        <v>100</v>
      </c>
      <c r="J715" s="58" t="s">
        <v>108</v>
      </c>
      <c r="K715" s="59" t="s">
        <v>109</v>
      </c>
      <c r="L715" s="60" t="s">
        <v>110</v>
      </c>
      <c r="N715" s="202"/>
      <c r="O715" s="202"/>
      <c r="P715" s="202"/>
    </row>
    <row r="716" spans="1:16" ht="15" customHeight="1" thickBot="1">
      <c r="A716" s="891" t="s">
        <v>106</v>
      </c>
      <c r="B716" s="892"/>
      <c r="C716" s="892"/>
      <c r="D716" s="893"/>
      <c r="F716" s="50" t="s">
        <v>288</v>
      </c>
      <c r="I716" s="71">
        <v>719</v>
      </c>
      <c r="J716" s="73"/>
      <c r="K716" s="74">
        <f>+L681</f>
        <v>10420000</v>
      </c>
      <c r="L716" s="195">
        <f>+J716+K716</f>
        <v>10420000</v>
      </c>
      <c r="N716" s="202"/>
      <c r="O716" s="202"/>
      <c r="P716" s="202"/>
    </row>
    <row r="717" spans="1:16" ht="14.25" customHeight="1" thickBot="1">
      <c r="A717" s="57" t="s">
        <v>100</v>
      </c>
      <c r="B717" s="58" t="s">
        <v>108</v>
      </c>
      <c r="C717" s="59" t="s">
        <v>109</v>
      </c>
      <c r="D717" s="60" t="s">
        <v>110</v>
      </c>
      <c r="I717" s="72">
        <v>721</v>
      </c>
      <c r="J717" s="257">
        <f>+P699</f>
        <v>0</v>
      </c>
      <c r="K717" s="74">
        <f>+L682</f>
        <v>1081500</v>
      </c>
      <c r="L717" s="195">
        <f>+J717+K717</f>
        <v>1081500</v>
      </c>
      <c r="N717" s="202"/>
      <c r="O717" s="202"/>
      <c r="P717" s="202"/>
    </row>
    <row r="718" spans="1:16" ht="13.5" customHeight="1">
      <c r="A718" s="71">
        <v>719</v>
      </c>
      <c r="B718" s="73" t="e">
        <f>+H698+H700+#REF!+H702+H706+H704</f>
        <v>#REF!</v>
      </c>
      <c r="C718" s="74" t="e">
        <f>+D681</f>
        <v>#REF!</v>
      </c>
      <c r="D718" s="195" t="e">
        <f>+B718+C718</f>
        <v>#REF!</v>
      </c>
      <c r="I718" s="72">
        <v>722</v>
      </c>
      <c r="J718" s="257"/>
      <c r="K718" s="74">
        <f>+L683</f>
        <v>0</v>
      </c>
      <c r="L718" s="195">
        <f>+J718+K718</f>
        <v>0</v>
      </c>
      <c r="N718" s="202"/>
      <c r="O718" s="202"/>
      <c r="P718" s="202"/>
    </row>
    <row r="719" spans="1:16" ht="14.25" customHeight="1" thickBot="1">
      <c r="A719" s="72">
        <v>721</v>
      </c>
      <c r="B719" s="80">
        <f>+H699</f>
        <v>0</v>
      </c>
      <c r="C719" s="74" t="e">
        <f>+D682</f>
        <v>#REF!</v>
      </c>
      <c r="D719" s="195" t="e">
        <f>+B719+C719</f>
        <v>#REF!</v>
      </c>
      <c r="I719" s="72">
        <v>723</v>
      </c>
      <c r="J719" s="257">
        <f>+P698</f>
        <v>200000</v>
      </c>
      <c r="K719" s="74">
        <f>+L684</f>
        <v>378679294</v>
      </c>
      <c r="L719" s="195">
        <f>+J719+K719</f>
        <v>378879294</v>
      </c>
      <c r="N719" s="918" t="s">
        <v>1696</v>
      </c>
      <c r="O719" s="608"/>
      <c r="P719" s="608"/>
    </row>
    <row r="720" spans="1:16" ht="15" hidden="1" customHeight="1" thickBot="1">
      <c r="A720" s="72">
        <v>722</v>
      </c>
      <c r="B720" s="80"/>
      <c r="C720" s="74">
        <f>+D683</f>
        <v>231207671</v>
      </c>
      <c r="D720" s="195">
        <f>+B720+C720</f>
        <v>231207671</v>
      </c>
      <c r="I720" s="164" t="s">
        <v>181</v>
      </c>
      <c r="J720" s="165"/>
      <c r="K720" s="74">
        <f>+L685</f>
        <v>0</v>
      </c>
      <c r="L720" s="196">
        <f>+J720+K720</f>
        <v>0</v>
      </c>
      <c r="N720" s="52"/>
    </row>
    <row r="721" spans="1:16" ht="16.5" thickBot="1">
      <c r="A721" s="72">
        <v>723</v>
      </c>
      <c r="B721" s="80">
        <f>+H701</f>
        <v>0</v>
      </c>
      <c r="C721" s="74">
        <f>+D684</f>
        <v>321428837</v>
      </c>
      <c r="D721" s="195">
        <f>+B721+C721</f>
        <v>321428837</v>
      </c>
      <c r="F721" s="193" t="s">
        <v>23</v>
      </c>
      <c r="G721" s="175"/>
      <c r="I721" s="169"/>
      <c r="J721" s="197">
        <f>SUM(J716:J720)</f>
        <v>200000</v>
      </c>
      <c r="K721" s="197">
        <f>SUM(K716:K720)</f>
        <v>390180794</v>
      </c>
      <c r="L721" s="198">
        <f>SUM(L716:L720)</f>
        <v>390380794</v>
      </c>
    </row>
    <row r="722" spans="1:16" ht="17.25" thickBot="1">
      <c r="A722" s="164" t="s">
        <v>181</v>
      </c>
      <c r="B722" s="165"/>
      <c r="C722" s="74" t="e">
        <f>+D685</f>
        <v>#REF!</v>
      </c>
      <c r="D722" s="196" t="e">
        <f>+B722+C722</f>
        <v>#REF!</v>
      </c>
      <c r="F722" s="52"/>
      <c r="I722" s="49" t="s">
        <v>88</v>
      </c>
      <c r="J722" s="50"/>
    </row>
    <row r="723" spans="1:16" ht="15" customHeight="1" thickBot="1">
      <c r="A723" s="169"/>
      <c r="B723" s="170" t="e">
        <f>SUM(B718:B722)</f>
        <v>#REF!</v>
      </c>
      <c r="C723" s="171" t="e">
        <f>SUM(C718:C722)</f>
        <v>#REF!</v>
      </c>
      <c r="D723" s="172" t="e">
        <f>SUM(D718:D722)</f>
        <v>#REF!</v>
      </c>
      <c r="I723" s="51" t="s">
        <v>89</v>
      </c>
    </row>
    <row r="724" spans="1:16" ht="13.5" customHeight="1">
      <c r="A724" s="49" t="s">
        <v>88</v>
      </c>
      <c r="B724" s="50"/>
      <c r="I724" s="51" t="s">
        <v>90</v>
      </c>
    </row>
    <row r="725" spans="1:16" ht="13.5" customHeight="1">
      <c r="A725" s="51" t="s">
        <v>89</v>
      </c>
      <c r="I725" s="51" t="s">
        <v>91</v>
      </c>
    </row>
    <row r="726" spans="1:16" ht="12.75" customHeight="1">
      <c r="A726" s="51" t="s">
        <v>90</v>
      </c>
      <c r="I726" s="50"/>
      <c r="J726" s="50"/>
    </row>
    <row r="727" spans="1:16" ht="16.5">
      <c r="A727" s="51" t="s">
        <v>91</v>
      </c>
      <c r="I727" s="260" t="s">
        <v>761</v>
      </c>
      <c r="J727" s="262"/>
      <c r="O727" s="52"/>
    </row>
    <row r="728" spans="1:16" ht="15.75" customHeight="1">
      <c r="A728" s="50"/>
      <c r="B728" s="50"/>
      <c r="I728" s="261" t="s">
        <v>1702</v>
      </c>
      <c r="J728" s="262"/>
      <c r="O728" s="53"/>
    </row>
    <row r="729" spans="1:16" ht="16.5">
      <c r="A729" s="52" t="s">
        <v>431</v>
      </c>
      <c r="G729" s="52"/>
      <c r="I729" s="894" t="s">
        <v>1811</v>
      </c>
      <c r="J729" s="894"/>
      <c r="K729" s="894"/>
      <c r="L729" s="894"/>
      <c r="M729" s="894"/>
      <c r="N729" s="894"/>
      <c r="O729" s="894"/>
      <c r="P729" s="894"/>
    </row>
    <row r="730" spans="1:16" ht="14.25" customHeight="1" thickBot="1">
      <c r="A730" s="53" t="s">
        <v>92</v>
      </c>
      <c r="G730" s="53"/>
    </row>
    <row r="731" spans="1:16" ht="16.5">
      <c r="A731" s="894" t="s">
        <v>93</v>
      </c>
      <c r="B731" s="894"/>
      <c r="C731" s="894"/>
      <c r="D731" s="894"/>
      <c r="E731" s="894"/>
      <c r="F731" s="894"/>
      <c r="G731" s="894"/>
      <c r="H731" s="894"/>
      <c r="I731" s="895" t="s">
        <v>94</v>
      </c>
      <c r="J731" s="897" t="s">
        <v>95</v>
      </c>
      <c r="K731" s="897" t="s">
        <v>96</v>
      </c>
      <c r="L731" s="897" t="s">
        <v>3</v>
      </c>
      <c r="M731" s="897" t="s">
        <v>97</v>
      </c>
      <c r="N731" s="897" t="s">
        <v>98</v>
      </c>
      <c r="O731" s="897" t="s">
        <v>99</v>
      </c>
      <c r="P731" s="899"/>
    </row>
    <row r="732" spans="1:16" ht="13.5" customHeight="1" thickBot="1">
      <c r="I732" s="896"/>
      <c r="J732" s="898"/>
      <c r="K732" s="898"/>
      <c r="L732" s="898"/>
      <c r="M732" s="898"/>
      <c r="N732" s="898"/>
      <c r="O732" s="240" t="s">
        <v>100</v>
      </c>
      <c r="P732" s="182" t="s">
        <v>101</v>
      </c>
    </row>
    <row r="733" spans="1:16" ht="13.5" customHeight="1">
      <c r="A733" s="895" t="s">
        <v>94</v>
      </c>
      <c r="B733" s="897" t="s">
        <v>95</v>
      </c>
      <c r="C733" s="897" t="s">
        <v>96</v>
      </c>
      <c r="D733" s="897" t="s">
        <v>3</v>
      </c>
      <c r="E733" s="897" t="s">
        <v>97</v>
      </c>
      <c r="F733" s="897" t="s">
        <v>98</v>
      </c>
      <c r="G733" s="897" t="s">
        <v>99</v>
      </c>
      <c r="H733" s="899"/>
      <c r="I733" s="873" t="s">
        <v>721</v>
      </c>
      <c r="J733" s="875">
        <v>43621</v>
      </c>
      <c r="K733" s="877" t="s">
        <v>1805</v>
      </c>
      <c r="L733" s="881" t="s">
        <v>1808</v>
      </c>
      <c r="M733" s="881" t="s">
        <v>148</v>
      </c>
      <c r="N733" s="883">
        <v>100000</v>
      </c>
      <c r="O733" s="55">
        <v>719</v>
      </c>
      <c r="P733" s="78">
        <v>0</v>
      </c>
    </row>
    <row r="734" spans="1:16" ht="13.5" customHeight="1" thickBot="1">
      <c r="A734" s="896"/>
      <c r="B734" s="898"/>
      <c r="C734" s="898"/>
      <c r="D734" s="898"/>
      <c r="E734" s="898"/>
      <c r="F734" s="898"/>
      <c r="G734" s="240" t="s">
        <v>100</v>
      </c>
      <c r="H734" s="182" t="s">
        <v>101</v>
      </c>
      <c r="I734" s="882"/>
      <c r="J734" s="876"/>
      <c r="K734" s="878"/>
      <c r="L734" s="882"/>
      <c r="M734" s="882"/>
      <c r="N734" s="884"/>
      <c r="O734" s="56">
        <v>723</v>
      </c>
      <c r="P734" s="79">
        <f>+N733-P733</f>
        <v>100000</v>
      </c>
    </row>
    <row r="735" spans="1:16" ht="12.75" customHeight="1">
      <c r="A735" s="881" t="e">
        <f>+A706+1</f>
        <v>#REF!</v>
      </c>
      <c r="B735" s="875">
        <v>42306</v>
      </c>
      <c r="C735" s="877" t="s">
        <v>267</v>
      </c>
      <c r="D735" s="881" t="s">
        <v>436</v>
      </c>
      <c r="E735" s="881" t="s">
        <v>148</v>
      </c>
      <c r="F735" s="883">
        <v>112000</v>
      </c>
      <c r="G735" s="55">
        <v>719</v>
      </c>
      <c r="H735" s="78">
        <v>80000</v>
      </c>
      <c r="I735" s="873" t="s">
        <v>732</v>
      </c>
      <c r="J735" s="875">
        <v>43621</v>
      </c>
      <c r="K735" s="877" t="s">
        <v>1809</v>
      </c>
      <c r="L735" s="881" t="s">
        <v>1812</v>
      </c>
      <c r="M735" s="881" t="s">
        <v>148</v>
      </c>
      <c r="N735" s="883">
        <v>6177780</v>
      </c>
      <c r="O735" s="55">
        <v>719</v>
      </c>
      <c r="P735" s="78">
        <v>0</v>
      </c>
    </row>
    <row r="736" spans="1:16" ht="13.5" customHeight="1" thickBot="1">
      <c r="A736" s="882"/>
      <c r="B736" s="876"/>
      <c r="C736" s="878"/>
      <c r="D736" s="882"/>
      <c r="E736" s="882"/>
      <c r="F736" s="884"/>
      <c r="G736" s="56">
        <v>721</v>
      </c>
      <c r="H736" s="79">
        <f>+F735-H735</f>
        <v>32000</v>
      </c>
      <c r="I736" s="882"/>
      <c r="J736" s="876"/>
      <c r="K736" s="878"/>
      <c r="L736" s="882"/>
      <c r="M736" s="882"/>
      <c r="N736" s="884"/>
      <c r="O736" s="56">
        <v>723</v>
      </c>
      <c r="P736" s="79">
        <f>+N735-P735</f>
        <v>6177780</v>
      </c>
    </row>
    <row r="737" spans="1:16" ht="13.5" customHeight="1">
      <c r="A737" s="881" t="e">
        <f>+A735+1</f>
        <v>#REF!</v>
      </c>
      <c r="B737" s="875">
        <v>42306</v>
      </c>
      <c r="C737" s="881" t="s">
        <v>28</v>
      </c>
      <c r="D737" s="881" t="s">
        <v>437</v>
      </c>
      <c r="E737" s="881" t="s">
        <v>148</v>
      </c>
      <c r="F737" s="883">
        <v>210000</v>
      </c>
      <c r="G737" s="55">
        <v>719</v>
      </c>
      <c r="H737" s="78">
        <v>150000</v>
      </c>
      <c r="I737" s="873"/>
      <c r="J737" s="875"/>
      <c r="K737" s="877"/>
      <c r="L737" s="881"/>
      <c r="M737" s="881"/>
      <c r="N737" s="883"/>
      <c r="O737" s="55"/>
      <c r="P737" s="78"/>
    </row>
    <row r="738" spans="1:16" ht="13.5" customHeight="1" thickBot="1">
      <c r="A738" s="882"/>
      <c r="B738" s="876"/>
      <c r="C738" s="882"/>
      <c r="D738" s="882"/>
      <c r="E738" s="882"/>
      <c r="F738" s="884"/>
      <c r="G738" s="56">
        <v>721</v>
      </c>
      <c r="H738" s="79">
        <f>+F737-H737</f>
        <v>60000</v>
      </c>
      <c r="I738" s="882"/>
      <c r="J738" s="876"/>
      <c r="K738" s="878"/>
      <c r="L738" s="882"/>
      <c r="M738" s="882"/>
      <c r="N738" s="884"/>
      <c r="O738" s="56"/>
      <c r="P738" s="79"/>
    </row>
    <row r="739" spans="1:16" ht="15" customHeight="1">
      <c r="A739" s="881" t="e">
        <f>+#REF!+1</f>
        <v>#REF!</v>
      </c>
      <c r="B739" s="875">
        <v>42306</v>
      </c>
      <c r="C739" s="877" t="s">
        <v>111</v>
      </c>
      <c r="D739" s="881" t="s">
        <v>439</v>
      </c>
      <c r="E739" s="881" t="s">
        <v>148</v>
      </c>
      <c r="F739" s="883">
        <v>56000</v>
      </c>
      <c r="G739" s="55">
        <v>719</v>
      </c>
      <c r="H739" s="78">
        <v>40000</v>
      </c>
      <c r="I739" s="873"/>
      <c r="J739" s="875"/>
      <c r="K739" s="877"/>
      <c r="L739" s="881"/>
      <c r="M739" s="881"/>
      <c r="N739" s="883"/>
      <c r="O739" s="55">
        <v>723</v>
      </c>
      <c r="P739" s="78"/>
    </row>
    <row r="740" spans="1:16" ht="15.75" customHeight="1" thickBot="1">
      <c r="A740" s="882"/>
      <c r="B740" s="876"/>
      <c r="C740" s="878"/>
      <c r="D740" s="882"/>
      <c r="E740" s="882"/>
      <c r="F740" s="884"/>
      <c r="G740" s="56">
        <v>721</v>
      </c>
      <c r="H740" s="79">
        <f>+F739-H739</f>
        <v>16000</v>
      </c>
      <c r="I740" s="882"/>
      <c r="J740" s="876"/>
      <c r="K740" s="878"/>
      <c r="L740" s="882"/>
      <c r="M740" s="882"/>
      <c r="N740" s="884"/>
      <c r="O740" s="56">
        <v>721</v>
      </c>
      <c r="P740" s="79">
        <f>+N739-P739</f>
        <v>0</v>
      </c>
    </row>
    <row r="741" spans="1:16" ht="15" customHeight="1" thickBot="1">
      <c r="A741" s="881" t="e">
        <f>+A739+1</f>
        <v>#REF!</v>
      </c>
      <c r="B741" s="875">
        <v>42306</v>
      </c>
      <c r="C741" s="877" t="s">
        <v>272</v>
      </c>
      <c r="D741" s="881" t="s">
        <v>437</v>
      </c>
      <c r="E741" s="881" t="s">
        <v>115</v>
      </c>
      <c r="F741" s="931">
        <v>714000</v>
      </c>
      <c r="G741" s="55">
        <v>719</v>
      </c>
      <c r="H741" s="78">
        <v>510000</v>
      </c>
      <c r="I741" s="901" t="s">
        <v>102</v>
      </c>
      <c r="J741" s="902"/>
      <c r="K741" s="902"/>
      <c r="L741" s="902"/>
      <c r="M741" s="903"/>
      <c r="N741" s="81">
        <f>SUM(N733:N740)</f>
        <v>6277780</v>
      </c>
    </row>
    <row r="742" spans="1:16" ht="15.75" customHeight="1" thickBot="1">
      <c r="A742" s="882"/>
      <c r="B742" s="876"/>
      <c r="C742" s="878"/>
      <c r="D742" s="882"/>
      <c r="E742" s="882"/>
      <c r="F742" s="932"/>
      <c r="G742" s="56">
        <v>721</v>
      </c>
      <c r="H742" s="79">
        <f>+F741-H741</f>
        <v>204000</v>
      </c>
      <c r="I742" s="885" t="s">
        <v>103</v>
      </c>
      <c r="J742" s="886"/>
      <c r="K742" s="886"/>
      <c r="L742" s="886"/>
      <c r="M742" s="887"/>
      <c r="N742" s="239">
        <f>+N708</f>
        <v>390380794</v>
      </c>
      <c r="O742" s="241" t="s">
        <v>561</v>
      </c>
      <c r="P742" s="242">
        <f>195+274+546</f>
        <v>1015</v>
      </c>
    </row>
    <row r="743" spans="1:16" ht="16.5" thickBot="1">
      <c r="A743" s="901" t="s">
        <v>102</v>
      </c>
      <c r="B743" s="902"/>
      <c r="C743" s="902"/>
      <c r="D743" s="902"/>
      <c r="E743" s="903"/>
      <c r="F743" s="81">
        <f>SUM(F735:F742)</f>
        <v>1092000</v>
      </c>
      <c r="I743" s="888" t="s">
        <v>104</v>
      </c>
      <c r="J743" s="889"/>
      <c r="K743" s="889"/>
      <c r="L743" s="889"/>
      <c r="M743" s="890"/>
      <c r="N743" s="183">
        <f>SUM(N741:N742)</f>
        <v>396658574</v>
      </c>
    </row>
    <row r="744" spans="1:16" ht="13.5" customHeight="1" thickBot="1">
      <c r="A744" s="885" t="s">
        <v>103</v>
      </c>
      <c r="B744" s="886"/>
      <c r="C744" s="886"/>
      <c r="D744" s="886"/>
      <c r="E744" s="887"/>
      <c r="F744" s="69">
        <f>+F710</f>
        <v>651830930</v>
      </c>
      <c r="I744" s="61"/>
      <c r="J744" s="61"/>
      <c r="K744" s="61"/>
      <c r="L744" s="61"/>
      <c r="M744" s="61"/>
    </row>
    <row r="745" spans="1:16" ht="16.5" thickBot="1">
      <c r="A745" s="888" t="s">
        <v>104</v>
      </c>
      <c r="B745" s="889"/>
      <c r="C745" s="889"/>
      <c r="D745" s="889"/>
      <c r="E745" s="890"/>
      <c r="F745" s="183">
        <f>SUM(F743:F744)</f>
        <v>652922930</v>
      </c>
      <c r="I745" s="51" t="s">
        <v>1810</v>
      </c>
    </row>
    <row r="746" spans="1:16" ht="12" customHeight="1">
      <c r="A746" s="61"/>
      <c r="B746" s="61"/>
      <c r="C746" s="61"/>
      <c r="D746" s="61"/>
      <c r="E746" s="61"/>
      <c r="N746" s="139"/>
    </row>
    <row r="747" spans="1:16">
      <c r="A747" s="51" t="s">
        <v>440</v>
      </c>
      <c r="I747" s="50" t="s">
        <v>105</v>
      </c>
      <c r="L747" s="146"/>
      <c r="N747" s="139"/>
    </row>
    <row r="748" spans="1:16" ht="12.75" customHeight="1" thickBot="1">
      <c r="F748" s="139"/>
    </row>
    <row r="749" spans="1:16" ht="17.25" thickBot="1">
      <c r="A749" s="50" t="s">
        <v>105</v>
      </c>
      <c r="D749" s="146"/>
      <c r="F749" s="139"/>
      <c r="I749" s="891" t="s">
        <v>106</v>
      </c>
      <c r="J749" s="892"/>
      <c r="K749" s="892"/>
      <c r="L749" s="893"/>
      <c r="N749" s="605" t="s">
        <v>288</v>
      </c>
      <c r="O749" s="605"/>
      <c r="P749" s="605"/>
    </row>
    <row r="750" spans="1:16" ht="29.25" customHeight="1" thickBot="1">
      <c r="I750" s="57" t="s">
        <v>100</v>
      </c>
      <c r="J750" s="58" t="s">
        <v>108</v>
      </c>
      <c r="K750" s="263" t="s">
        <v>109</v>
      </c>
      <c r="L750" s="60" t="s">
        <v>110</v>
      </c>
      <c r="N750" s="202"/>
      <c r="O750" s="202"/>
      <c r="P750" s="202"/>
    </row>
    <row r="751" spans="1:16" ht="13.5" customHeight="1" thickBot="1">
      <c r="A751" s="891" t="s">
        <v>106</v>
      </c>
      <c r="B751" s="892"/>
      <c r="C751" s="892"/>
      <c r="D751" s="893"/>
      <c r="F751" s="50" t="s">
        <v>288</v>
      </c>
      <c r="I751" s="71">
        <v>719</v>
      </c>
      <c r="J751" s="73">
        <f>+P733+P735+P737</f>
        <v>0</v>
      </c>
      <c r="K751" s="74">
        <f>+L716</f>
        <v>10420000</v>
      </c>
      <c r="L751" s="195">
        <f>+J751+K751</f>
        <v>10420000</v>
      </c>
      <c r="N751" s="202"/>
      <c r="O751" s="202"/>
      <c r="P751" s="202"/>
    </row>
    <row r="752" spans="1:16" ht="13.5" customHeight="1" thickBot="1">
      <c r="A752" s="57" t="s">
        <v>100</v>
      </c>
      <c r="B752" s="58" t="s">
        <v>108</v>
      </c>
      <c r="C752" s="59" t="s">
        <v>109</v>
      </c>
      <c r="D752" s="60" t="s">
        <v>110</v>
      </c>
      <c r="I752" s="72">
        <v>721</v>
      </c>
      <c r="J752" s="257"/>
      <c r="K752" s="74">
        <f>+L717</f>
        <v>1081500</v>
      </c>
      <c r="L752" s="195">
        <f>+J752+K752</f>
        <v>1081500</v>
      </c>
      <c r="N752" s="202"/>
      <c r="O752" s="202"/>
      <c r="P752" s="202"/>
    </row>
    <row r="753" spans="1:16" ht="12" customHeight="1">
      <c r="A753" s="71">
        <v>719</v>
      </c>
      <c r="B753" s="73" t="e">
        <f>+H735+H737+#REF!+H739+H741</f>
        <v>#REF!</v>
      </c>
      <c r="C753" s="74" t="e">
        <f>+D718</f>
        <v>#REF!</v>
      </c>
      <c r="D753" s="195" t="e">
        <f>+B753+C753</f>
        <v>#REF!</v>
      </c>
      <c r="I753" s="72">
        <v>722</v>
      </c>
      <c r="J753" s="257"/>
      <c r="K753" s="74">
        <f>+L718</f>
        <v>0</v>
      </c>
      <c r="L753" s="195">
        <f>+J753+K753</f>
        <v>0</v>
      </c>
      <c r="N753" s="202"/>
      <c r="O753" s="202"/>
      <c r="P753" s="202"/>
    </row>
    <row r="754" spans="1:16" ht="12.75" customHeight="1" thickBot="1">
      <c r="A754" s="72">
        <v>721</v>
      </c>
      <c r="B754" s="80" t="e">
        <f>+H736+H738+#REF!+H740+H742</f>
        <v>#REF!</v>
      </c>
      <c r="C754" s="74" t="e">
        <f>+D719</f>
        <v>#REF!</v>
      </c>
      <c r="D754" s="195" t="e">
        <f>+B754+C754</f>
        <v>#REF!</v>
      </c>
      <c r="I754" s="72">
        <v>723</v>
      </c>
      <c r="J754" s="257">
        <f>+P736+P734</f>
        <v>6277780</v>
      </c>
      <c r="K754" s="74">
        <f>+L719</f>
        <v>378879294</v>
      </c>
      <c r="L754" s="195">
        <f>+J754+K754</f>
        <v>385157074</v>
      </c>
      <c r="N754" s="918" t="s">
        <v>1696</v>
      </c>
      <c r="O754" s="608"/>
      <c r="P754" s="608"/>
    </row>
    <row r="755" spans="1:16" ht="12.75" hidden="1" customHeight="1" thickBot="1">
      <c r="A755" s="72">
        <v>722</v>
      </c>
      <c r="B755" s="80"/>
      <c r="C755" s="74">
        <f>+D720</f>
        <v>231207671</v>
      </c>
      <c r="D755" s="195">
        <f>+B755+C755</f>
        <v>231207671</v>
      </c>
      <c r="I755" s="164" t="s">
        <v>181</v>
      </c>
      <c r="J755" s="165"/>
      <c r="K755" s="74">
        <f>+L720</f>
        <v>0</v>
      </c>
      <c r="L755" s="196">
        <f>+J755+K755</f>
        <v>0</v>
      </c>
      <c r="N755" s="52"/>
    </row>
    <row r="756" spans="1:16" ht="16.5" thickBot="1">
      <c r="A756" s="72">
        <v>723</v>
      </c>
      <c r="B756" s="80"/>
      <c r="C756" s="74">
        <f>+D721</f>
        <v>321428837</v>
      </c>
      <c r="D756" s="195">
        <f>+B756+C756</f>
        <v>321428837</v>
      </c>
      <c r="F756" s="174" t="s">
        <v>23</v>
      </c>
      <c r="G756" s="175"/>
      <c r="I756" s="169"/>
      <c r="J756" s="197">
        <f>SUM(J751:J755)</f>
        <v>6277780</v>
      </c>
      <c r="K756" s="197">
        <f>SUM(K751:K755)</f>
        <v>390380794</v>
      </c>
      <c r="L756" s="198">
        <f>SUM(L751:L755)</f>
        <v>396658574</v>
      </c>
    </row>
    <row r="757" spans="1:16" ht="17.25" thickBot="1">
      <c r="A757" s="164" t="s">
        <v>181</v>
      </c>
      <c r="B757" s="165"/>
      <c r="C757" s="74" t="e">
        <f>+D722</f>
        <v>#REF!</v>
      </c>
      <c r="D757" s="196" t="e">
        <f>+B757+C757</f>
        <v>#REF!</v>
      </c>
      <c r="F757" s="52"/>
      <c r="I757" s="49" t="s">
        <v>88</v>
      </c>
      <c r="J757" s="50"/>
    </row>
    <row r="758" spans="1:16" ht="16.5" thickBot="1">
      <c r="A758" s="169"/>
      <c r="B758" s="170" t="e">
        <f>SUM(B753:B757)</f>
        <v>#REF!</v>
      </c>
      <c r="C758" s="171" t="e">
        <f>SUM(C753:C757)</f>
        <v>#REF!</v>
      </c>
      <c r="D758" s="172" t="e">
        <f>SUM(D753:D757)</f>
        <v>#REF!</v>
      </c>
      <c r="I758" s="51" t="s">
        <v>89</v>
      </c>
    </row>
    <row r="759" spans="1:16" ht="16.5">
      <c r="A759" s="49" t="s">
        <v>88</v>
      </c>
      <c r="B759" s="50"/>
      <c r="I759" s="51" t="s">
        <v>90</v>
      </c>
    </row>
    <row r="760" spans="1:16">
      <c r="A760" s="51" t="s">
        <v>89</v>
      </c>
      <c r="I760" s="51" t="s">
        <v>91</v>
      </c>
    </row>
    <row r="761" spans="1:16" ht="10.5" customHeight="1">
      <c r="A761" s="51" t="s">
        <v>90</v>
      </c>
      <c r="I761" s="50"/>
      <c r="J761" s="50"/>
    </row>
    <row r="762" spans="1:16" ht="16.5">
      <c r="A762" s="51" t="s">
        <v>91</v>
      </c>
      <c r="I762" s="260" t="s">
        <v>762</v>
      </c>
      <c r="J762" s="262"/>
      <c r="O762" s="52"/>
    </row>
    <row r="763" spans="1:16" ht="15" customHeight="1">
      <c r="A763" s="50"/>
      <c r="B763" s="50"/>
      <c r="I763" s="261" t="s">
        <v>1702</v>
      </c>
      <c r="J763" s="262"/>
      <c r="O763" s="53"/>
    </row>
    <row r="764" spans="1:16" ht="16.5">
      <c r="A764" s="52" t="s">
        <v>432</v>
      </c>
      <c r="G764" s="52"/>
      <c r="I764" s="894" t="s">
        <v>1815</v>
      </c>
      <c r="J764" s="894"/>
      <c r="K764" s="894"/>
      <c r="L764" s="894"/>
      <c r="M764" s="894"/>
      <c r="N764" s="894"/>
      <c r="O764" s="894"/>
      <c r="P764" s="894"/>
    </row>
    <row r="765" spans="1:16" ht="13.5" customHeight="1" thickBot="1">
      <c r="A765" s="53" t="s">
        <v>92</v>
      </c>
      <c r="G765" s="53"/>
    </row>
    <row r="766" spans="1:16" ht="16.5">
      <c r="A766" s="894" t="s">
        <v>93</v>
      </c>
      <c r="B766" s="894"/>
      <c r="C766" s="894"/>
      <c r="D766" s="894"/>
      <c r="E766" s="894"/>
      <c r="F766" s="894"/>
      <c r="G766" s="894"/>
      <c r="H766" s="894"/>
      <c r="I766" s="895" t="s">
        <v>94</v>
      </c>
      <c r="J766" s="897" t="s">
        <v>95</v>
      </c>
      <c r="K766" s="897" t="s">
        <v>96</v>
      </c>
      <c r="L766" s="897" t="s">
        <v>3</v>
      </c>
      <c r="M766" s="897" t="s">
        <v>97</v>
      </c>
      <c r="N766" s="897" t="s">
        <v>98</v>
      </c>
      <c r="O766" s="897" t="s">
        <v>99</v>
      </c>
      <c r="P766" s="899"/>
    </row>
    <row r="767" spans="1:16" ht="13.5" customHeight="1" thickBot="1">
      <c r="I767" s="896"/>
      <c r="J767" s="898"/>
      <c r="K767" s="898"/>
      <c r="L767" s="898"/>
      <c r="M767" s="898"/>
      <c r="N767" s="898"/>
      <c r="O767" s="240" t="s">
        <v>100</v>
      </c>
      <c r="P767" s="182" t="s">
        <v>101</v>
      </c>
    </row>
    <row r="768" spans="1:16" ht="13.5" customHeight="1">
      <c r="A768" s="895" t="s">
        <v>94</v>
      </c>
      <c r="B768" s="897" t="s">
        <v>95</v>
      </c>
      <c r="C768" s="897" t="s">
        <v>96</v>
      </c>
      <c r="D768" s="897" t="s">
        <v>3</v>
      </c>
      <c r="E768" s="897" t="s">
        <v>97</v>
      </c>
      <c r="F768" s="897" t="s">
        <v>98</v>
      </c>
      <c r="G768" s="897" t="s">
        <v>99</v>
      </c>
      <c r="H768" s="899"/>
      <c r="I768" s="873" t="s">
        <v>733</v>
      </c>
      <c r="J768" s="875">
        <v>43621</v>
      </c>
      <c r="K768" s="877" t="s">
        <v>1805</v>
      </c>
      <c r="L768" s="881" t="s">
        <v>1801</v>
      </c>
      <c r="M768" s="881" t="s">
        <v>148</v>
      </c>
      <c r="N768" s="883">
        <v>200000</v>
      </c>
      <c r="O768" s="55">
        <v>723</v>
      </c>
      <c r="P768" s="78">
        <f>+N768</f>
        <v>200000</v>
      </c>
    </row>
    <row r="769" spans="1:16" ht="14.25" customHeight="1" thickBot="1">
      <c r="A769" s="896"/>
      <c r="B769" s="898"/>
      <c r="C769" s="898"/>
      <c r="D769" s="898"/>
      <c r="E769" s="898"/>
      <c r="F769" s="898"/>
      <c r="G769" s="240" t="s">
        <v>100</v>
      </c>
      <c r="H769" s="182" t="s">
        <v>101</v>
      </c>
      <c r="I769" s="882"/>
      <c r="J769" s="876"/>
      <c r="K769" s="878"/>
      <c r="L769" s="882"/>
      <c r="M769" s="882"/>
      <c r="N769" s="884"/>
      <c r="O769" s="56">
        <v>721</v>
      </c>
      <c r="P769" s="79">
        <f>+N768-P768</f>
        <v>0</v>
      </c>
    </row>
    <row r="770" spans="1:16" ht="12.75" customHeight="1">
      <c r="A770" s="881" t="e">
        <f>+A741+1</f>
        <v>#REF!</v>
      </c>
      <c r="B770" s="875">
        <v>42306</v>
      </c>
      <c r="C770" s="877" t="s">
        <v>272</v>
      </c>
      <c r="D770" s="881" t="s">
        <v>433</v>
      </c>
      <c r="E770" s="881" t="s">
        <v>115</v>
      </c>
      <c r="F770" s="883">
        <v>40000</v>
      </c>
      <c r="G770" s="55">
        <v>719</v>
      </c>
      <c r="H770" s="78">
        <v>40000</v>
      </c>
      <c r="I770" s="873" t="s">
        <v>734</v>
      </c>
      <c r="J770" s="875">
        <v>43621</v>
      </c>
      <c r="K770" s="877" t="s">
        <v>1315</v>
      </c>
      <c r="L770" s="881" t="s">
        <v>1813</v>
      </c>
      <c r="M770" s="881" t="s">
        <v>148</v>
      </c>
      <c r="N770" s="883">
        <v>1908850</v>
      </c>
      <c r="O770" s="55">
        <v>723</v>
      </c>
      <c r="P770" s="78">
        <v>1908850</v>
      </c>
    </row>
    <row r="771" spans="1:16" ht="14.25" customHeight="1" thickBot="1">
      <c r="A771" s="882"/>
      <c r="B771" s="876"/>
      <c r="C771" s="878"/>
      <c r="D771" s="882"/>
      <c r="E771" s="882"/>
      <c r="F771" s="884"/>
      <c r="G771" s="56">
        <v>721</v>
      </c>
      <c r="H771" s="79">
        <f>+F770-H770</f>
        <v>0</v>
      </c>
      <c r="I771" s="882"/>
      <c r="J771" s="876"/>
      <c r="K771" s="878"/>
      <c r="L771" s="882"/>
      <c r="M771" s="882"/>
      <c r="N771" s="884"/>
      <c r="O771" s="56">
        <v>721</v>
      </c>
      <c r="P771" s="79">
        <f>+N770-P770</f>
        <v>0</v>
      </c>
    </row>
    <row r="772" spans="1:16" ht="12.75" customHeight="1">
      <c r="A772" s="881" t="e">
        <f>+A770+1</f>
        <v>#REF!</v>
      </c>
      <c r="B772" s="875">
        <v>42306</v>
      </c>
      <c r="C772" s="881" t="s">
        <v>28</v>
      </c>
      <c r="D772" s="881" t="s">
        <v>434</v>
      </c>
      <c r="E772" s="881" t="s">
        <v>115</v>
      </c>
      <c r="F772" s="883">
        <v>80000</v>
      </c>
      <c r="G772" s="55">
        <v>719</v>
      </c>
      <c r="H772" s="78">
        <v>80000</v>
      </c>
      <c r="I772" s="873"/>
      <c r="J772" s="875"/>
      <c r="K772" s="877"/>
      <c r="L772" s="881"/>
      <c r="M772" s="881"/>
      <c r="N772" s="883"/>
      <c r="O772" s="55">
        <v>723</v>
      </c>
      <c r="P772" s="78"/>
    </row>
    <row r="773" spans="1:16" ht="14.25" customHeight="1" thickBot="1">
      <c r="A773" s="882"/>
      <c r="B773" s="876"/>
      <c r="C773" s="882"/>
      <c r="D773" s="882"/>
      <c r="E773" s="882"/>
      <c r="F773" s="884"/>
      <c r="G773" s="56">
        <v>721</v>
      </c>
      <c r="H773" s="79">
        <f>+F772-H772</f>
        <v>0</v>
      </c>
      <c r="I773" s="882"/>
      <c r="J773" s="876"/>
      <c r="K773" s="878"/>
      <c r="L773" s="882"/>
      <c r="M773" s="882"/>
      <c r="N773" s="884"/>
      <c r="O773" s="56">
        <v>721</v>
      </c>
      <c r="P773" s="79">
        <f>+N772-P772</f>
        <v>0</v>
      </c>
    </row>
    <row r="774" spans="1:16" ht="12" customHeight="1">
      <c r="A774" s="881"/>
      <c r="B774" s="875"/>
      <c r="C774" s="877"/>
      <c r="D774" s="881"/>
      <c r="E774" s="881"/>
      <c r="F774" s="883"/>
      <c r="G774" s="55">
        <v>719</v>
      </c>
      <c r="H774" s="78"/>
      <c r="I774" s="873"/>
      <c r="J774" s="875"/>
      <c r="K774" s="877"/>
      <c r="L774" s="881"/>
      <c r="M774" s="881"/>
      <c r="N774" s="883"/>
      <c r="O774" s="55">
        <v>723</v>
      </c>
      <c r="P774" s="78"/>
    </row>
    <row r="775" spans="1:16" ht="12.75" customHeight="1" thickBot="1">
      <c r="A775" s="882"/>
      <c r="B775" s="876"/>
      <c r="C775" s="878"/>
      <c r="D775" s="882"/>
      <c r="E775" s="882"/>
      <c r="F775" s="884"/>
      <c r="G775" s="56">
        <v>721</v>
      </c>
      <c r="H775" s="79">
        <f>+F774-H774</f>
        <v>0</v>
      </c>
      <c r="I775" s="882"/>
      <c r="J775" s="876"/>
      <c r="K775" s="878"/>
      <c r="L775" s="882"/>
      <c r="M775" s="882"/>
      <c r="N775" s="884"/>
      <c r="O775" s="56">
        <v>721</v>
      </c>
      <c r="P775" s="79">
        <f>+N774-P774</f>
        <v>0</v>
      </c>
    </row>
    <row r="776" spans="1:16" ht="15" customHeight="1" thickBot="1">
      <c r="A776" s="881"/>
      <c r="B776" s="875"/>
      <c r="C776" s="881"/>
      <c r="D776" s="881"/>
      <c r="E776" s="881"/>
      <c r="F776" s="883"/>
      <c r="G776" s="55">
        <v>719</v>
      </c>
      <c r="H776" s="78"/>
      <c r="I776" s="901" t="s">
        <v>102</v>
      </c>
      <c r="J776" s="902"/>
      <c r="K776" s="902"/>
      <c r="L776" s="902"/>
      <c r="M776" s="903"/>
      <c r="N776" s="81">
        <f>SUM(N768:N775)</f>
        <v>2108850</v>
      </c>
    </row>
    <row r="777" spans="1:16" ht="15.75" customHeight="1" thickBot="1">
      <c r="A777" s="882"/>
      <c r="B777" s="876"/>
      <c r="C777" s="882"/>
      <c r="D777" s="882"/>
      <c r="E777" s="882"/>
      <c r="F777" s="884"/>
      <c r="G777" s="56">
        <v>721</v>
      </c>
      <c r="H777" s="79">
        <f>+F776-H776</f>
        <v>0</v>
      </c>
      <c r="I777" s="885" t="s">
        <v>103</v>
      </c>
      <c r="J777" s="886"/>
      <c r="K777" s="886"/>
      <c r="L777" s="886"/>
      <c r="M777" s="887"/>
      <c r="N777" s="239">
        <f>+N743</f>
        <v>396658574</v>
      </c>
      <c r="O777" s="241" t="s">
        <v>561</v>
      </c>
      <c r="P777" s="242"/>
    </row>
    <row r="778" spans="1:16" ht="16.5" thickBot="1">
      <c r="A778" s="901" t="s">
        <v>102</v>
      </c>
      <c r="B778" s="902"/>
      <c r="C778" s="902"/>
      <c r="D778" s="902"/>
      <c r="E778" s="903"/>
      <c r="F778" s="81">
        <f>SUM(F770:F777)</f>
        <v>120000</v>
      </c>
      <c r="I778" s="888" t="s">
        <v>104</v>
      </c>
      <c r="J778" s="889"/>
      <c r="K778" s="889"/>
      <c r="L778" s="889"/>
      <c r="M778" s="890"/>
      <c r="N778" s="183">
        <f>SUM(N776:N777)</f>
        <v>398767424</v>
      </c>
    </row>
    <row r="779" spans="1:16" ht="13.5" customHeight="1" thickBot="1">
      <c r="A779" s="885" t="s">
        <v>103</v>
      </c>
      <c r="B779" s="886"/>
      <c r="C779" s="886"/>
      <c r="D779" s="886"/>
      <c r="E779" s="887"/>
      <c r="F779" s="69">
        <f>+F745</f>
        <v>652922930</v>
      </c>
      <c r="I779" s="61"/>
      <c r="J779" s="61"/>
      <c r="K779" s="61"/>
      <c r="L779" s="61"/>
      <c r="M779" s="61"/>
    </row>
    <row r="780" spans="1:16" ht="16.5" thickBot="1">
      <c r="A780" s="888" t="s">
        <v>104</v>
      </c>
      <c r="B780" s="889"/>
      <c r="C780" s="889"/>
      <c r="D780" s="889"/>
      <c r="E780" s="890"/>
      <c r="F780" s="183">
        <f>SUM(F778:F779)</f>
        <v>653042930</v>
      </c>
      <c r="I780" s="51" t="s">
        <v>1814</v>
      </c>
    </row>
    <row r="781" spans="1:16" ht="12.75" customHeight="1">
      <c r="A781" s="61"/>
      <c r="B781" s="61"/>
      <c r="C781" s="61"/>
      <c r="D781" s="61"/>
      <c r="E781" s="61"/>
      <c r="N781" s="139"/>
    </row>
    <row r="782" spans="1:16">
      <c r="A782" s="51" t="s">
        <v>441</v>
      </c>
      <c r="I782" s="50" t="s">
        <v>105</v>
      </c>
      <c r="L782" s="146"/>
      <c r="N782" s="139"/>
    </row>
    <row r="783" spans="1:16" ht="12.75" customHeight="1" thickBot="1">
      <c r="F783" s="139"/>
    </row>
    <row r="784" spans="1:16" ht="17.25" thickBot="1">
      <c r="A784" s="50" t="s">
        <v>105</v>
      </c>
      <c r="D784" s="146"/>
      <c r="F784" s="139"/>
      <c r="I784" s="891" t="s">
        <v>106</v>
      </c>
      <c r="J784" s="892"/>
      <c r="K784" s="892"/>
      <c r="L784" s="893"/>
      <c r="N784" s="605" t="s">
        <v>288</v>
      </c>
      <c r="O784" s="605"/>
      <c r="P784" s="605"/>
    </row>
    <row r="785" spans="1:16" ht="27" customHeight="1" thickBot="1">
      <c r="I785" s="57" t="s">
        <v>100</v>
      </c>
      <c r="J785" s="58" t="s">
        <v>108</v>
      </c>
      <c r="K785" s="264" t="s">
        <v>109</v>
      </c>
      <c r="L785" s="60" t="s">
        <v>110</v>
      </c>
      <c r="N785" s="202"/>
      <c r="O785" s="202"/>
      <c r="P785" s="202"/>
    </row>
    <row r="786" spans="1:16" ht="13.5" customHeight="1" thickBot="1">
      <c r="A786" s="891" t="s">
        <v>106</v>
      </c>
      <c r="B786" s="892"/>
      <c r="C786" s="892"/>
      <c r="D786" s="893"/>
      <c r="F786" s="50" t="s">
        <v>288</v>
      </c>
      <c r="I786" s="71">
        <v>719</v>
      </c>
      <c r="J786" s="73">
        <f>0</f>
        <v>0</v>
      </c>
      <c r="K786" s="74">
        <f>+L751</f>
        <v>10420000</v>
      </c>
      <c r="L786" s="195">
        <f>+J786+K786</f>
        <v>10420000</v>
      </c>
      <c r="N786" s="202"/>
      <c r="O786" s="202"/>
      <c r="P786" s="202"/>
    </row>
    <row r="787" spans="1:16" ht="15" customHeight="1" thickBot="1">
      <c r="A787" s="57" t="s">
        <v>100</v>
      </c>
      <c r="B787" s="58" t="s">
        <v>108</v>
      </c>
      <c r="C787" s="59" t="s">
        <v>109</v>
      </c>
      <c r="D787" s="60" t="s">
        <v>110</v>
      </c>
      <c r="I787" s="72">
        <v>721</v>
      </c>
      <c r="J787" s="257"/>
      <c r="K787" s="74">
        <f>+L752</f>
        <v>1081500</v>
      </c>
      <c r="L787" s="195">
        <f>+J787+K787</f>
        <v>1081500</v>
      </c>
      <c r="N787" s="202"/>
      <c r="O787" s="202"/>
      <c r="P787" s="202"/>
    </row>
    <row r="788" spans="1:16" ht="12" customHeight="1">
      <c r="A788" s="71">
        <v>719</v>
      </c>
      <c r="B788" s="73" t="e">
        <f>+H770+H772+#REF!+H774+H776</f>
        <v>#REF!</v>
      </c>
      <c r="C788" s="74" t="e">
        <f>+D753</f>
        <v>#REF!</v>
      </c>
      <c r="D788" s="195" t="e">
        <f>+B788+C788</f>
        <v>#REF!</v>
      </c>
      <c r="I788" s="72">
        <v>722</v>
      </c>
      <c r="J788" s="257"/>
      <c r="K788" s="74">
        <f>+L753</f>
        <v>0</v>
      </c>
      <c r="L788" s="195">
        <f>+J788+K788</f>
        <v>0</v>
      </c>
      <c r="N788" s="202"/>
      <c r="O788" s="202"/>
      <c r="P788" s="202"/>
    </row>
    <row r="789" spans="1:16" ht="13.5" customHeight="1" thickBot="1">
      <c r="A789" s="72">
        <v>721</v>
      </c>
      <c r="B789" s="80">
        <f>+H771</f>
        <v>0</v>
      </c>
      <c r="C789" s="74" t="e">
        <f>+D754</f>
        <v>#REF!</v>
      </c>
      <c r="D789" s="195" t="e">
        <f>+B789+C789</f>
        <v>#REF!</v>
      </c>
      <c r="I789" s="72">
        <v>723</v>
      </c>
      <c r="J789" s="257">
        <f>+P768+P770+P772+P774</f>
        <v>2108850</v>
      </c>
      <c r="K789" s="74">
        <f>+L754</f>
        <v>385157074</v>
      </c>
      <c r="L789" s="195">
        <f>+J789+K789</f>
        <v>387265924</v>
      </c>
      <c r="N789" s="918" t="s">
        <v>1481</v>
      </c>
      <c r="O789" s="918"/>
      <c r="P789" s="918"/>
    </row>
    <row r="790" spans="1:16" ht="13.5" hidden="1" customHeight="1" thickBot="1">
      <c r="A790" s="72">
        <v>722</v>
      </c>
      <c r="B790" s="80"/>
      <c r="C790" s="74">
        <f>+D755</f>
        <v>231207671</v>
      </c>
      <c r="D790" s="195">
        <f>+B790+C790</f>
        <v>231207671</v>
      </c>
      <c r="I790" s="164" t="s">
        <v>181</v>
      </c>
      <c r="J790" s="165"/>
      <c r="K790" s="74">
        <f>+L755</f>
        <v>0</v>
      </c>
      <c r="L790" s="196">
        <f>+J790+K790</f>
        <v>0</v>
      </c>
      <c r="N790" s="52"/>
    </row>
    <row r="791" spans="1:16" ht="16.5" thickBot="1">
      <c r="A791" s="72">
        <v>723</v>
      </c>
      <c r="B791" s="80">
        <f>+H773</f>
        <v>0</v>
      </c>
      <c r="C791" s="74">
        <f>+D756</f>
        <v>321428837</v>
      </c>
      <c r="D791" s="195">
        <f>+B791+C791</f>
        <v>321428837</v>
      </c>
      <c r="F791" s="174" t="s">
        <v>23</v>
      </c>
      <c r="G791" s="175"/>
      <c r="I791" s="169"/>
      <c r="J791" s="197">
        <f>SUM(J786:J790)</f>
        <v>2108850</v>
      </c>
      <c r="K791" s="197">
        <f>SUM(K786:K790)</f>
        <v>396658574</v>
      </c>
      <c r="L791" s="198">
        <f>SUM(L786:L790)</f>
        <v>398767424</v>
      </c>
    </row>
    <row r="792" spans="1:16" ht="17.25" thickBot="1">
      <c r="A792" s="164" t="s">
        <v>181</v>
      </c>
      <c r="B792" s="165"/>
      <c r="C792" s="74" t="e">
        <f>+D757</f>
        <v>#REF!</v>
      </c>
      <c r="D792" s="196" t="e">
        <f>+B792+C792</f>
        <v>#REF!</v>
      </c>
      <c r="F792" s="52"/>
      <c r="I792" s="49" t="s">
        <v>88</v>
      </c>
      <c r="J792" s="50"/>
    </row>
    <row r="793" spans="1:16" ht="15" customHeight="1" thickBot="1">
      <c r="A793" s="169"/>
      <c r="B793" s="170" t="e">
        <f>SUM(B788:B792)</f>
        <v>#REF!</v>
      </c>
      <c r="C793" s="171" t="e">
        <f>SUM(C788:C792)</f>
        <v>#REF!</v>
      </c>
      <c r="D793" s="172" t="e">
        <f>SUM(D788:D792)</f>
        <v>#REF!</v>
      </c>
      <c r="I793" s="51" t="s">
        <v>89</v>
      </c>
    </row>
    <row r="794" spans="1:16" ht="15" customHeight="1">
      <c r="A794" s="49" t="s">
        <v>88</v>
      </c>
      <c r="B794" s="50"/>
      <c r="I794" s="51" t="s">
        <v>90</v>
      </c>
    </row>
    <row r="795" spans="1:16">
      <c r="A795" s="51" t="s">
        <v>89</v>
      </c>
      <c r="I795" s="51" t="s">
        <v>91</v>
      </c>
    </row>
    <row r="796" spans="1:16" ht="9" customHeight="1">
      <c r="A796" s="51" t="s">
        <v>90</v>
      </c>
      <c r="I796" s="50"/>
      <c r="J796" s="50"/>
    </row>
    <row r="797" spans="1:16" ht="16.5">
      <c r="A797" s="51" t="s">
        <v>91</v>
      </c>
      <c r="I797" s="260" t="s">
        <v>763</v>
      </c>
      <c r="J797" s="262"/>
      <c r="O797" s="52"/>
    </row>
    <row r="798" spans="1:16" ht="14.25" customHeight="1">
      <c r="A798" s="50"/>
      <c r="B798" s="50"/>
      <c r="I798" s="261" t="s">
        <v>1702</v>
      </c>
      <c r="J798" s="262"/>
      <c r="O798" s="53"/>
    </row>
    <row r="799" spans="1:16" ht="16.5">
      <c r="A799" s="52" t="s">
        <v>442</v>
      </c>
      <c r="G799" s="52"/>
      <c r="I799" s="894" t="s">
        <v>1817</v>
      </c>
      <c r="J799" s="894"/>
      <c r="K799" s="894"/>
      <c r="L799" s="894"/>
      <c r="M799" s="894"/>
      <c r="N799" s="894"/>
      <c r="O799" s="894"/>
      <c r="P799" s="894"/>
    </row>
    <row r="800" spans="1:16" ht="9" customHeight="1" thickBot="1">
      <c r="A800" s="53" t="s">
        <v>92</v>
      </c>
      <c r="G800" s="53"/>
    </row>
    <row r="801" spans="1:16" ht="16.5">
      <c r="A801" s="894" t="s">
        <v>93</v>
      </c>
      <c r="B801" s="894"/>
      <c r="C801" s="894"/>
      <c r="D801" s="894"/>
      <c r="E801" s="894"/>
      <c r="F801" s="894"/>
      <c r="G801" s="894"/>
      <c r="H801" s="894"/>
      <c r="I801" s="895" t="s">
        <v>94</v>
      </c>
      <c r="J801" s="897" t="s">
        <v>95</v>
      </c>
      <c r="K801" s="897" t="s">
        <v>96</v>
      </c>
      <c r="L801" s="897" t="s">
        <v>3</v>
      </c>
      <c r="M801" s="897" t="s">
        <v>97</v>
      </c>
      <c r="N801" s="897" t="s">
        <v>98</v>
      </c>
      <c r="O801" s="897" t="s">
        <v>99</v>
      </c>
      <c r="P801" s="899"/>
    </row>
    <row r="802" spans="1:16" ht="15.75" thickBot="1">
      <c r="I802" s="896"/>
      <c r="J802" s="898"/>
      <c r="K802" s="898"/>
      <c r="L802" s="898"/>
      <c r="M802" s="898"/>
      <c r="N802" s="898"/>
      <c r="O802" s="240" t="s">
        <v>100</v>
      </c>
      <c r="P802" s="182" t="s">
        <v>101</v>
      </c>
    </row>
    <row r="803" spans="1:16" ht="13.5" customHeight="1">
      <c r="A803" s="895" t="s">
        <v>94</v>
      </c>
      <c r="B803" s="897" t="s">
        <v>95</v>
      </c>
      <c r="C803" s="897" t="s">
        <v>96</v>
      </c>
      <c r="D803" s="897" t="s">
        <v>3</v>
      </c>
      <c r="E803" s="897" t="s">
        <v>97</v>
      </c>
      <c r="F803" s="897" t="s">
        <v>98</v>
      </c>
      <c r="G803" s="897" t="s">
        <v>99</v>
      </c>
      <c r="H803" s="899"/>
      <c r="I803" s="928">
        <v>86</v>
      </c>
      <c r="J803" s="875">
        <v>43646</v>
      </c>
      <c r="K803" s="877" t="s">
        <v>815</v>
      </c>
      <c r="L803" s="881" t="s">
        <v>1816</v>
      </c>
      <c r="M803" s="881" t="s">
        <v>115</v>
      </c>
      <c r="N803" s="883">
        <v>999000</v>
      </c>
      <c r="O803" s="471">
        <v>719</v>
      </c>
      <c r="P803" s="78">
        <f>+N803-P804</f>
        <v>740000</v>
      </c>
    </row>
    <row r="804" spans="1:16" ht="12.75" customHeight="1" thickBot="1">
      <c r="A804" s="896"/>
      <c r="B804" s="898"/>
      <c r="C804" s="898"/>
      <c r="D804" s="898"/>
      <c r="E804" s="898"/>
      <c r="F804" s="898"/>
      <c r="G804" s="240" t="s">
        <v>100</v>
      </c>
      <c r="H804" s="182" t="s">
        <v>101</v>
      </c>
      <c r="I804" s="929"/>
      <c r="J804" s="876"/>
      <c r="K804" s="878"/>
      <c r="L804" s="882"/>
      <c r="M804" s="882"/>
      <c r="N804" s="884"/>
      <c r="O804" s="461">
        <v>721</v>
      </c>
      <c r="P804" s="79">
        <v>259000</v>
      </c>
    </row>
    <row r="805" spans="1:16" ht="14.25" customHeight="1">
      <c r="A805" s="881" t="e">
        <f>+#REF!+1</f>
        <v>#REF!</v>
      </c>
      <c r="B805" s="875">
        <v>42317</v>
      </c>
      <c r="C805" s="877" t="s">
        <v>267</v>
      </c>
      <c r="D805" s="881" t="s">
        <v>444</v>
      </c>
      <c r="E805" s="881" t="s">
        <v>148</v>
      </c>
      <c r="F805" s="883">
        <v>252000</v>
      </c>
      <c r="G805" s="55">
        <v>719</v>
      </c>
      <c r="H805" s="78">
        <v>180000</v>
      </c>
      <c r="I805" s="928">
        <f>+I803+1</f>
        <v>87</v>
      </c>
      <c r="J805" s="875">
        <v>43646</v>
      </c>
      <c r="K805" s="877" t="s">
        <v>267</v>
      </c>
      <c r="L805" s="881" t="s">
        <v>1818</v>
      </c>
      <c r="M805" s="881" t="s">
        <v>148</v>
      </c>
      <c r="N805" s="883">
        <v>81000</v>
      </c>
      <c r="O805" s="471">
        <v>719</v>
      </c>
      <c r="P805" s="78">
        <v>60000</v>
      </c>
    </row>
    <row r="806" spans="1:16" ht="12.75" customHeight="1" thickBot="1">
      <c r="A806" s="882"/>
      <c r="B806" s="876"/>
      <c r="C806" s="878"/>
      <c r="D806" s="882"/>
      <c r="E806" s="882"/>
      <c r="F806" s="884"/>
      <c r="G806" s="56">
        <v>721</v>
      </c>
      <c r="H806" s="79">
        <f>+F805-H805</f>
        <v>72000</v>
      </c>
      <c r="I806" s="929"/>
      <c r="J806" s="876"/>
      <c r="K806" s="878"/>
      <c r="L806" s="882"/>
      <c r="M806" s="882"/>
      <c r="N806" s="884"/>
      <c r="O806" s="461">
        <v>721</v>
      </c>
      <c r="P806" s="79">
        <f>+N805-P805</f>
        <v>21000</v>
      </c>
    </row>
    <row r="807" spans="1:16" ht="12.75" customHeight="1">
      <c r="A807" s="881" t="e">
        <f>+A805+1</f>
        <v>#REF!</v>
      </c>
      <c r="B807" s="875">
        <v>42317</v>
      </c>
      <c r="C807" s="881" t="s">
        <v>28</v>
      </c>
      <c r="D807" s="881" t="s">
        <v>445</v>
      </c>
      <c r="E807" s="881" t="s">
        <v>148</v>
      </c>
      <c r="F807" s="883">
        <v>574000</v>
      </c>
      <c r="G807" s="55">
        <v>719</v>
      </c>
      <c r="H807" s="78">
        <v>410000</v>
      </c>
      <c r="I807" s="928">
        <f>+I805+1</f>
        <v>88</v>
      </c>
      <c r="J807" s="875">
        <v>43646</v>
      </c>
      <c r="K807" s="905" t="s">
        <v>555</v>
      </c>
      <c r="L807" s="881" t="s">
        <v>1819</v>
      </c>
      <c r="M807" s="881" t="s">
        <v>148</v>
      </c>
      <c r="N807" s="883">
        <v>1750000</v>
      </c>
      <c r="O807" s="471">
        <v>719</v>
      </c>
      <c r="P807" s="78"/>
    </row>
    <row r="808" spans="1:16" ht="12.75" customHeight="1" thickBot="1">
      <c r="A808" s="882"/>
      <c r="B808" s="876"/>
      <c r="C808" s="882"/>
      <c r="D808" s="882"/>
      <c r="E808" s="882"/>
      <c r="F808" s="884"/>
      <c r="G808" s="56">
        <v>721</v>
      </c>
      <c r="H808" s="79">
        <f>+F807-H807</f>
        <v>164000</v>
      </c>
      <c r="I808" s="929"/>
      <c r="J808" s="876"/>
      <c r="K808" s="906"/>
      <c r="L808" s="882"/>
      <c r="M808" s="882"/>
      <c r="N808" s="884"/>
      <c r="O808" s="461">
        <v>723</v>
      </c>
      <c r="P808" s="79">
        <f>+N807-P807</f>
        <v>1750000</v>
      </c>
    </row>
    <row r="809" spans="1:16" ht="12.75" customHeight="1">
      <c r="A809" s="881" t="e">
        <f>+A807+1</f>
        <v>#REF!</v>
      </c>
      <c r="B809" s="875">
        <v>42317</v>
      </c>
      <c r="C809" s="877" t="s">
        <v>32</v>
      </c>
      <c r="D809" s="881" t="s">
        <v>446</v>
      </c>
      <c r="E809" s="881" t="s">
        <v>148</v>
      </c>
      <c r="F809" s="883">
        <v>28000</v>
      </c>
      <c r="G809" s="55">
        <v>719</v>
      </c>
      <c r="H809" s="78">
        <v>20000</v>
      </c>
      <c r="I809" s="928">
        <f>+I807+1</f>
        <v>89</v>
      </c>
      <c r="J809" s="875">
        <v>43646</v>
      </c>
      <c r="K809" s="877" t="s">
        <v>1820</v>
      </c>
      <c r="L809" s="881" t="s">
        <v>1489</v>
      </c>
      <c r="M809" s="881" t="s">
        <v>148</v>
      </c>
      <c r="N809" s="883">
        <v>350000</v>
      </c>
      <c r="O809" s="471">
        <v>719</v>
      </c>
      <c r="P809" s="78"/>
    </row>
    <row r="810" spans="1:16" ht="13.5" customHeight="1" thickBot="1">
      <c r="A810" s="882"/>
      <c r="B810" s="876"/>
      <c r="C810" s="878"/>
      <c r="D810" s="882"/>
      <c r="E810" s="882"/>
      <c r="F810" s="884"/>
      <c r="G810" s="56">
        <v>721</v>
      </c>
      <c r="H810" s="79">
        <f>+F809-H809</f>
        <v>8000</v>
      </c>
      <c r="I810" s="929"/>
      <c r="J810" s="876"/>
      <c r="K810" s="878"/>
      <c r="L810" s="882"/>
      <c r="M810" s="882"/>
      <c r="N810" s="884"/>
      <c r="O810" s="461">
        <v>723</v>
      </c>
      <c r="P810" s="79">
        <f>+N809-P809</f>
        <v>350000</v>
      </c>
    </row>
    <row r="811" spans="1:16" ht="12" customHeight="1">
      <c r="A811" s="881" t="e">
        <f>+A809+1</f>
        <v>#REF!</v>
      </c>
      <c r="B811" s="875">
        <v>42317</v>
      </c>
      <c r="C811" s="877" t="s">
        <v>111</v>
      </c>
      <c r="D811" s="881" t="s">
        <v>447</v>
      </c>
      <c r="E811" s="881" t="s">
        <v>148</v>
      </c>
      <c r="F811" s="883">
        <v>140000</v>
      </c>
      <c r="G811" s="55">
        <v>719</v>
      </c>
      <c r="H811" s="78">
        <v>100000</v>
      </c>
      <c r="I811" s="928">
        <f>+I809+1</f>
        <v>90</v>
      </c>
      <c r="J811" s="875">
        <v>43646</v>
      </c>
      <c r="K811" s="877" t="s">
        <v>1821</v>
      </c>
      <c r="L811" s="881" t="s">
        <v>1492</v>
      </c>
      <c r="M811" s="881" t="s">
        <v>148</v>
      </c>
      <c r="N811" s="883">
        <v>4000000</v>
      </c>
      <c r="O811" s="471">
        <v>719</v>
      </c>
      <c r="P811" s="78"/>
    </row>
    <row r="812" spans="1:16" ht="12.75" customHeight="1" thickBot="1">
      <c r="A812" s="882"/>
      <c r="B812" s="876"/>
      <c r="C812" s="878"/>
      <c r="D812" s="882"/>
      <c r="E812" s="882"/>
      <c r="F812" s="884"/>
      <c r="G812" s="56">
        <v>721</v>
      </c>
      <c r="H812" s="79">
        <f>+F811-H811</f>
        <v>40000</v>
      </c>
      <c r="I812" s="929"/>
      <c r="J812" s="876"/>
      <c r="K812" s="878"/>
      <c r="L812" s="882"/>
      <c r="M812" s="882"/>
      <c r="N812" s="884"/>
      <c r="O812" s="461">
        <v>723</v>
      </c>
      <c r="P812" s="79">
        <f>+N811-P811</f>
        <v>4000000</v>
      </c>
    </row>
    <row r="813" spans="1:16" ht="15" customHeight="1" thickBot="1">
      <c r="A813" s="881" t="e">
        <f>+A811+1</f>
        <v>#REF!</v>
      </c>
      <c r="B813" s="875">
        <v>42317</v>
      </c>
      <c r="C813" s="877" t="s">
        <v>272</v>
      </c>
      <c r="D813" s="881" t="s">
        <v>444</v>
      </c>
      <c r="E813" s="881" t="s">
        <v>148</v>
      </c>
      <c r="F813" s="883">
        <v>756000</v>
      </c>
      <c r="G813" s="55">
        <v>719</v>
      </c>
      <c r="H813" s="78">
        <v>540000</v>
      </c>
      <c r="I813" s="901" t="s">
        <v>102</v>
      </c>
      <c r="J813" s="902"/>
      <c r="K813" s="902"/>
      <c r="L813" s="902"/>
      <c r="M813" s="903"/>
      <c r="N813" s="81">
        <f>SUM(N803:N812)</f>
        <v>7180000</v>
      </c>
    </row>
    <row r="814" spans="1:16" ht="15.75" customHeight="1" thickBot="1">
      <c r="A814" s="882"/>
      <c r="B814" s="876"/>
      <c r="C814" s="878"/>
      <c r="D814" s="882"/>
      <c r="E814" s="882"/>
      <c r="F814" s="884"/>
      <c r="G814" s="56">
        <v>721</v>
      </c>
      <c r="H814" s="79">
        <f>+F813-H813</f>
        <v>216000</v>
      </c>
      <c r="I814" s="885" t="s">
        <v>103</v>
      </c>
      <c r="J814" s="886"/>
      <c r="K814" s="886"/>
      <c r="L814" s="886"/>
      <c r="M814" s="887"/>
      <c r="N814" s="239">
        <f>+N778</f>
        <v>398767424</v>
      </c>
      <c r="O814" s="241" t="s">
        <v>561</v>
      </c>
      <c r="P814" s="242">
        <f>90+1522</f>
        <v>1612</v>
      </c>
    </row>
    <row r="815" spans="1:16" ht="16.5" thickBot="1">
      <c r="A815" s="901" t="s">
        <v>102</v>
      </c>
      <c r="B815" s="902"/>
      <c r="C815" s="902"/>
      <c r="D815" s="902"/>
      <c r="E815" s="903"/>
      <c r="F815" s="81">
        <f>SUM(F805:F814)</f>
        <v>1750000</v>
      </c>
      <c r="I815" s="888" t="s">
        <v>104</v>
      </c>
      <c r="J815" s="889"/>
      <c r="K815" s="889"/>
      <c r="L815" s="889"/>
      <c r="M815" s="890"/>
      <c r="N815" s="183">
        <f>SUM(N813:N814)</f>
        <v>405947424</v>
      </c>
    </row>
    <row r="816" spans="1:16" ht="11.25" customHeight="1" thickBot="1">
      <c r="A816" s="885" t="s">
        <v>103</v>
      </c>
      <c r="B816" s="886"/>
      <c r="C816" s="886"/>
      <c r="D816" s="886"/>
      <c r="E816" s="887"/>
      <c r="F816" s="69">
        <f>+F780</f>
        <v>653042930</v>
      </c>
      <c r="I816" s="61"/>
      <c r="J816" s="61"/>
      <c r="K816" s="61"/>
      <c r="L816" s="61"/>
      <c r="M816" s="61"/>
    </row>
    <row r="817" spans="1:16" ht="16.5" thickBot="1">
      <c r="A817" s="888" t="s">
        <v>104</v>
      </c>
      <c r="B817" s="889"/>
      <c r="C817" s="889"/>
      <c r="D817" s="889"/>
      <c r="E817" s="890"/>
      <c r="F817" s="183">
        <f>SUM(F815:F816)</f>
        <v>654792930</v>
      </c>
      <c r="I817" s="51" t="s">
        <v>1822</v>
      </c>
    </row>
    <row r="818" spans="1:16" ht="6" customHeight="1">
      <c r="A818" s="61"/>
      <c r="B818" s="61"/>
      <c r="C818" s="61"/>
      <c r="D818" s="61"/>
      <c r="E818" s="61"/>
      <c r="N818" s="139"/>
    </row>
    <row r="819" spans="1:16">
      <c r="A819" s="51" t="s">
        <v>448</v>
      </c>
      <c r="I819" s="50" t="s">
        <v>105</v>
      </c>
      <c r="L819" s="146"/>
      <c r="N819" s="139"/>
    </row>
    <row r="820" spans="1:16" ht="6.75" customHeight="1" thickBot="1">
      <c r="F820" s="139"/>
    </row>
    <row r="821" spans="1:16" ht="15.75" thickBot="1">
      <c r="A821" s="50" t="s">
        <v>105</v>
      </c>
      <c r="D821" s="146"/>
      <c r="F821" s="139"/>
      <c r="I821" s="891" t="s">
        <v>106</v>
      </c>
      <c r="J821" s="892"/>
      <c r="K821" s="892"/>
      <c r="L821" s="893"/>
    </row>
    <row r="822" spans="1:16" ht="28.5" customHeight="1" thickBot="1">
      <c r="I822" s="57" t="s">
        <v>100</v>
      </c>
      <c r="J822" s="58" t="s">
        <v>108</v>
      </c>
      <c r="K822" s="263" t="s">
        <v>109</v>
      </c>
      <c r="L822" s="60" t="s">
        <v>110</v>
      </c>
      <c r="N822" s="202"/>
      <c r="O822" s="202"/>
      <c r="P822" s="202"/>
    </row>
    <row r="823" spans="1:16" ht="15" customHeight="1" thickBot="1">
      <c r="A823" s="891" t="s">
        <v>106</v>
      </c>
      <c r="B823" s="892"/>
      <c r="C823" s="892"/>
      <c r="D823" s="893"/>
      <c r="F823" s="50" t="s">
        <v>288</v>
      </c>
      <c r="I823" s="71">
        <v>719</v>
      </c>
      <c r="J823" s="73">
        <f>+P803+P805</f>
        <v>800000</v>
      </c>
      <c r="K823" s="74">
        <f>+L786</f>
        <v>10420000</v>
      </c>
      <c r="L823" s="195">
        <f>+J823+K823</f>
        <v>11220000</v>
      </c>
      <c r="N823" s="605" t="s">
        <v>288</v>
      </c>
      <c r="O823" s="605"/>
      <c r="P823" s="605"/>
    </row>
    <row r="824" spans="1:16" ht="14.25" customHeight="1" thickBot="1">
      <c r="A824" s="57" t="s">
        <v>100</v>
      </c>
      <c r="B824" s="58" t="s">
        <v>108</v>
      </c>
      <c r="C824" s="59" t="s">
        <v>109</v>
      </c>
      <c r="D824" s="60" t="s">
        <v>110</v>
      </c>
      <c r="I824" s="72">
        <v>721</v>
      </c>
      <c r="J824" s="257">
        <f>+P804+P806</f>
        <v>280000</v>
      </c>
      <c r="K824" s="74">
        <f>+L787</f>
        <v>1081500</v>
      </c>
      <c r="L824" s="195">
        <f>+J824+K824</f>
        <v>1361500</v>
      </c>
      <c r="N824" s="202"/>
      <c r="O824" s="202"/>
      <c r="P824" s="202"/>
    </row>
    <row r="825" spans="1:16" ht="14.25" customHeight="1">
      <c r="A825" s="71">
        <v>719</v>
      </c>
      <c r="B825" s="73">
        <f>+H805+H807+H809+H811+H813</f>
        <v>1250000</v>
      </c>
      <c r="C825" s="74" t="e">
        <f>+D788</f>
        <v>#REF!</v>
      </c>
      <c r="D825" s="195" t="e">
        <f>+B825+C825</f>
        <v>#REF!</v>
      </c>
      <c r="I825" s="72">
        <v>722</v>
      </c>
      <c r="J825" s="257"/>
      <c r="K825" s="74">
        <f>+L788</f>
        <v>0</v>
      </c>
      <c r="L825" s="195">
        <f>+J825+K825</f>
        <v>0</v>
      </c>
      <c r="N825" s="288"/>
      <c r="O825" s="288"/>
      <c r="P825" s="288"/>
    </row>
    <row r="826" spans="1:16" ht="14.25" customHeight="1" thickBot="1">
      <c r="A826" s="72">
        <v>721</v>
      </c>
      <c r="B826" s="80">
        <f>+H806+H808+H810+H812+H814</f>
        <v>500000</v>
      </c>
      <c r="C826" s="74" t="e">
        <f>+D789</f>
        <v>#REF!</v>
      </c>
      <c r="D826" s="195" t="e">
        <f>+B826+C826</f>
        <v>#REF!</v>
      </c>
      <c r="I826" s="72">
        <v>723</v>
      </c>
      <c r="J826" s="257">
        <f>+P812+P810+P808</f>
        <v>6100000</v>
      </c>
      <c r="K826" s="74">
        <f>+L789</f>
        <v>387265924</v>
      </c>
      <c r="L826" s="195">
        <f>+J826+K826</f>
        <v>393365924</v>
      </c>
      <c r="N826" s="288"/>
      <c r="O826" s="288"/>
      <c r="P826" s="288"/>
    </row>
    <row r="827" spans="1:16" ht="15" hidden="1" customHeight="1" thickBot="1">
      <c r="A827" s="72">
        <v>722</v>
      </c>
      <c r="B827" s="80"/>
      <c r="C827" s="74">
        <f>+D790</f>
        <v>231207671</v>
      </c>
      <c r="D827" s="195">
        <f>+B827+C827</f>
        <v>231207671</v>
      </c>
      <c r="I827" s="164" t="s">
        <v>181</v>
      </c>
      <c r="J827" s="165"/>
      <c r="K827" s="74">
        <f>+L790</f>
        <v>0</v>
      </c>
      <c r="L827" s="196">
        <f>+J827+K827</f>
        <v>0</v>
      </c>
      <c r="N827" s="918"/>
      <c r="O827" s="918"/>
      <c r="P827" s="918"/>
    </row>
    <row r="828" spans="1:16" ht="16.5" thickBot="1">
      <c r="A828" s="72">
        <v>723</v>
      </c>
      <c r="B828" s="80"/>
      <c r="C828" s="74">
        <f>+D791</f>
        <v>321428837</v>
      </c>
      <c r="D828" s="195">
        <f>+B828+C828</f>
        <v>321428837</v>
      </c>
      <c r="F828" s="174" t="s">
        <v>23</v>
      </c>
      <c r="G828" s="175"/>
      <c r="I828" s="169"/>
      <c r="J828" s="197">
        <f>SUM(J823:J827)</f>
        <v>7180000</v>
      </c>
      <c r="K828" s="197">
        <f>SUM(K823:K827)</f>
        <v>398767424</v>
      </c>
      <c r="L828" s="198">
        <f>SUM(L823:L827)</f>
        <v>405947424</v>
      </c>
      <c r="N828" s="918" t="s">
        <v>1696</v>
      </c>
      <c r="O828" s="918"/>
      <c r="P828" s="918"/>
    </row>
    <row r="829" spans="1:16" ht="17.25" thickBot="1">
      <c r="A829" s="164" t="s">
        <v>181</v>
      </c>
      <c r="B829" s="165"/>
      <c r="C829" s="74" t="e">
        <f>+D792</f>
        <v>#REF!</v>
      </c>
      <c r="D829" s="196" t="e">
        <f>+B829+C829</f>
        <v>#REF!</v>
      </c>
      <c r="F829" s="52"/>
      <c r="I829" s="49" t="s">
        <v>88</v>
      </c>
      <c r="J829" s="50"/>
    </row>
    <row r="830" spans="1:16" ht="16.5" thickBot="1">
      <c r="A830" s="169"/>
      <c r="B830" s="170">
        <f>SUM(B825:B829)</f>
        <v>1750000</v>
      </c>
      <c r="C830" s="171" t="e">
        <f>SUM(C825:C829)</f>
        <v>#REF!</v>
      </c>
      <c r="D830" s="172" t="e">
        <f>SUM(D825:D829)</f>
        <v>#REF!</v>
      </c>
      <c r="I830" s="51" t="s">
        <v>89</v>
      </c>
    </row>
    <row r="831" spans="1:16" ht="16.5">
      <c r="A831" s="49" t="s">
        <v>88</v>
      </c>
      <c r="B831" s="50"/>
      <c r="I831" s="51" t="s">
        <v>90</v>
      </c>
    </row>
    <row r="832" spans="1:16">
      <c r="A832" s="51" t="s">
        <v>89</v>
      </c>
      <c r="I832" s="51" t="s">
        <v>91</v>
      </c>
    </row>
    <row r="833" spans="1:16" ht="8.25" customHeight="1">
      <c r="A833" s="51" t="s">
        <v>90</v>
      </c>
      <c r="I833" s="50"/>
      <c r="J833" s="50"/>
    </row>
    <row r="834" spans="1:16" ht="16.5">
      <c r="A834" s="51" t="s">
        <v>91</v>
      </c>
      <c r="I834" s="260" t="s">
        <v>789</v>
      </c>
      <c r="J834" s="262"/>
      <c r="O834" s="52"/>
    </row>
    <row r="835" spans="1:16" ht="14.25" customHeight="1">
      <c r="A835" s="50"/>
      <c r="B835" s="50"/>
      <c r="I835" s="261" t="s">
        <v>1702</v>
      </c>
      <c r="J835" s="262"/>
      <c r="O835" s="53"/>
    </row>
    <row r="836" spans="1:16" ht="16.5">
      <c r="A836" s="52" t="s">
        <v>443</v>
      </c>
      <c r="G836" s="52"/>
      <c r="I836" s="894" t="s">
        <v>1823</v>
      </c>
      <c r="J836" s="894"/>
      <c r="K836" s="894"/>
      <c r="L836" s="894"/>
      <c r="M836" s="894"/>
      <c r="N836" s="894"/>
      <c r="O836" s="894"/>
      <c r="P836" s="894"/>
    </row>
    <row r="837" spans="1:16" ht="9.75" customHeight="1" thickBot="1">
      <c r="A837" s="53" t="s">
        <v>92</v>
      </c>
      <c r="G837" s="53"/>
    </row>
    <row r="838" spans="1:16" ht="16.5">
      <c r="A838" s="894" t="s">
        <v>93</v>
      </c>
      <c r="B838" s="894"/>
      <c r="C838" s="894"/>
      <c r="D838" s="894"/>
      <c r="E838" s="894"/>
      <c r="F838" s="894"/>
      <c r="G838" s="894"/>
      <c r="H838" s="894"/>
      <c r="I838" s="895" t="s">
        <v>94</v>
      </c>
      <c r="J838" s="897" t="s">
        <v>95</v>
      </c>
      <c r="K838" s="897" t="s">
        <v>96</v>
      </c>
      <c r="L838" s="897" t="s">
        <v>3</v>
      </c>
      <c r="M838" s="897" t="s">
        <v>97</v>
      </c>
      <c r="N838" s="897" t="s">
        <v>98</v>
      </c>
      <c r="O838" s="897" t="s">
        <v>99</v>
      </c>
      <c r="P838" s="899"/>
    </row>
    <row r="839" spans="1:16" ht="12.75" customHeight="1" thickBot="1">
      <c r="I839" s="896"/>
      <c r="J839" s="898"/>
      <c r="K839" s="898"/>
      <c r="L839" s="898"/>
      <c r="M839" s="898"/>
      <c r="N839" s="898"/>
      <c r="O839" s="240" t="s">
        <v>100</v>
      </c>
      <c r="P839" s="182" t="s">
        <v>101</v>
      </c>
    </row>
    <row r="840" spans="1:16" ht="14.25" customHeight="1">
      <c r="A840" s="895" t="s">
        <v>94</v>
      </c>
      <c r="B840" s="897" t="s">
        <v>95</v>
      </c>
      <c r="C840" s="897" t="s">
        <v>96</v>
      </c>
      <c r="D840" s="897" t="s">
        <v>3</v>
      </c>
      <c r="E840" s="897" t="s">
        <v>97</v>
      </c>
      <c r="F840" s="897" t="s">
        <v>98</v>
      </c>
      <c r="G840" s="897" t="s">
        <v>99</v>
      </c>
      <c r="H840" s="899"/>
      <c r="I840" s="928">
        <f>+I811+1</f>
        <v>91</v>
      </c>
      <c r="J840" s="875">
        <v>43669</v>
      </c>
      <c r="K840" s="877" t="s">
        <v>1079</v>
      </c>
      <c r="L840" s="881" t="s">
        <v>1825</v>
      </c>
      <c r="M840" s="881" t="s">
        <v>148</v>
      </c>
      <c r="N840" s="883">
        <v>860000</v>
      </c>
      <c r="O840" s="55">
        <v>719</v>
      </c>
      <c r="P840" s="78">
        <v>860000</v>
      </c>
    </row>
    <row r="841" spans="1:16" ht="13.5" customHeight="1" thickBot="1">
      <c r="A841" s="896"/>
      <c r="B841" s="898"/>
      <c r="C841" s="898"/>
      <c r="D841" s="898"/>
      <c r="E841" s="898"/>
      <c r="F841" s="898"/>
      <c r="G841" s="240" t="s">
        <v>100</v>
      </c>
      <c r="H841" s="182" t="s">
        <v>101</v>
      </c>
      <c r="I841" s="929"/>
      <c r="J841" s="876"/>
      <c r="K841" s="878"/>
      <c r="L841" s="882"/>
      <c r="M841" s="882"/>
      <c r="N841" s="884"/>
      <c r="O841" s="56">
        <v>721</v>
      </c>
      <c r="P841" s="79">
        <f>+N840-P840</f>
        <v>0</v>
      </c>
    </row>
    <row r="842" spans="1:16" ht="13.5" customHeight="1">
      <c r="A842" s="881" t="e">
        <f>+A813+1</f>
        <v>#REF!</v>
      </c>
      <c r="B842" s="875">
        <v>42317</v>
      </c>
      <c r="C842" s="877" t="s">
        <v>272</v>
      </c>
      <c r="D842" s="881" t="s">
        <v>449</v>
      </c>
      <c r="E842" s="881" t="s">
        <v>115</v>
      </c>
      <c r="F842" s="883">
        <v>210000</v>
      </c>
      <c r="G842" s="55">
        <v>719</v>
      </c>
      <c r="H842" s="78">
        <v>210000</v>
      </c>
      <c r="I842" s="928">
        <f>+I840+1</f>
        <v>92</v>
      </c>
      <c r="J842" s="875">
        <v>43669</v>
      </c>
      <c r="K842" s="877" t="s">
        <v>111</v>
      </c>
      <c r="L842" s="881" t="s">
        <v>1827</v>
      </c>
      <c r="M842" s="881" t="s">
        <v>148</v>
      </c>
      <c r="N842" s="883">
        <v>240000</v>
      </c>
      <c r="O842" s="55">
        <v>719</v>
      </c>
      <c r="P842" s="78">
        <v>240000</v>
      </c>
    </row>
    <row r="843" spans="1:16" ht="13.5" customHeight="1" thickBot="1">
      <c r="A843" s="882"/>
      <c r="B843" s="876"/>
      <c r="C843" s="878"/>
      <c r="D843" s="882"/>
      <c r="E843" s="882"/>
      <c r="F843" s="884"/>
      <c r="G843" s="56">
        <v>721</v>
      </c>
      <c r="H843" s="79">
        <f>+F842-H842</f>
        <v>0</v>
      </c>
      <c r="I843" s="929"/>
      <c r="J843" s="876"/>
      <c r="K843" s="878"/>
      <c r="L843" s="882"/>
      <c r="M843" s="882"/>
      <c r="N843" s="884"/>
      <c r="O843" s="56">
        <v>721</v>
      </c>
      <c r="P843" s="79">
        <f>+N842-P842</f>
        <v>0</v>
      </c>
    </row>
    <row r="844" spans="1:16" ht="13.5" customHeight="1">
      <c r="A844" s="881" t="e">
        <f>+A842+1</f>
        <v>#REF!</v>
      </c>
      <c r="B844" s="875">
        <v>42317</v>
      </c>
      <c r="C844" s="881" t="s">
        <v>28</v>
      </c>
      <c r="D844" s="881" t="s">
        <v>450</v>
      </c>
      <c r="E844" s="881" t="s">
        <v>115</v>
      </c>
      <c r="F844" s="883">
        <v>20000</v>
      </c>
      <c r="G844" s="55">
        <v>719</v>
      </c>
      <c r="H844" s="78">
        <v>20000</v>
      </c>
      <c r="I844" s="928">
        <f>+I842+1</f>
        <v>93</v>
      </c>
      <c r="J844" s="875">
        <v>43669</v>
      </c>
      <c r="K844" s="877" t="s">
        <v>267</v>
      </c>
      <c r="L844" s="881" t="s">
        <v>1826</v>
      </c>
      <c r="M844" s="881" t="s">
        <v>148</v>
      </c>
      <c r="N844" s="883">
        <v>340000</v>
      </c>
      <c r="O844" s="55">
        <v>719</v>
      </c>
      <c r="P844" s="78">
        <v>340000</v>
      </c>
    </row>
    <row r="845" spans="1:16" ht="12.75" customHeight="1" thickBot="1">
      <c r="A845" s="882"/>
      <c r="B845" s="876"/>
      <c r="C845" s="882"/>
      <c r="D845" s="882"/>
      <c r="E845" s="882"/>
      <c r="F845" s="884"/>
      <c r="G845" s="56">
        <v>721</v>
      </c>
      <c r="H845" s="79">
        <f>+F844-H844</f>
        <v>0</v>
      </c>
      <c r="I845" s="929"/>
      <c r="J845" s="876"/>
      <c r="K845" s="878"/>
      <c r="L845" s="882"/>
      <c r="M845" s="882"/>
      <c r="N845" s="884"/>
      <c r="O845" s="56">
        <v>721</v>
      </c>
      <c r="P845" s="79">
        <f>+N844-P844</f>
        <v>0</v>
      </c>
    </row>
    <row r="846" spans="1:16" ht="13.5" customHeight="1">
      <c r="A846" s="881" t="e">
        <f>+A844+1</f>
        <v>#REF!</v>
      </c>
      <c r="B846" s="875">
        <v>42317</v>
      </c>
      <c r="C846" s="877" t="s">
        <v>32</v>
      </c>
      <c r="D846" s="881" t="s">
        <v>451</v>
      </c>
      <c r="E846" s="881" t="s">
        <v>115</v>
      </c>
      <c r="F846" s="883">
        <v>30000</v>
      </c>
      <c r="G846" s="55">
        <v>719</v>
      </c>
      <c r="H846" s="78">
        <v>30000</v>
      </c>
      <c r="I846" s="928">
        <f>+I844+1</f>
        <v>94</v>
      </c>
      <c r="J846" s="875">
        <v>43669</v>
      </c>
      <c r="K846" s="877" t="s">
        <v>267</v>
      </c>
      <c r="L846" s="881" t="s">
        <v>1824</v>
      </c>
      <c r="M846" s="881" t="s">
        <v>115</v>
      </c>
      <c r="N846" s="883">
        <v>108000</v>
      </c>
      <c r="O846" s="55">
        <v>719</v>
      </c>
      <c r="P846" s="78">
        <v>80000</v>
      </c>
    </row>
    <row r="847" spans="1:16" ht="13.5" customHeight="1" thickBot="1">
      <c r="A847" s="882"/>
      <c r="B847" s="876"/>
      <c r="C847" s="878"/>
      <c r="D847" s="882"/>
      <c r="E847" s="882"/>
      <c r="F847" s="884"/>
      <c r="G847" s="56">
        <v>721</v>
      </c>
      <c r="H847" s="79">
        <f>+F846-H846</f>
        <v>0</v>
      </c>
      <c r="I847" s="929"/>
      <c r="J847" s="876"/>
      <c r="K847" s="878"/>
      <c r="L847" s="882"/>
      <c r="M847" s="882"/>
      <c r="N847" s="884"/>
      <c r="O847" s="56">
        <v>721</v>
      </c>
      <c r="P847" s="79">
        <f>+N846-P846</f>
        <v>28000</v>
      </c>
    </row>
    <row r="848" spans="1:16" ht="13.5" customHeight="1">
      <c r="A848" s="251"/>
      <c r="B848" s="252"/>
      <c r="C848" s="253"/>
      <c r="D848" s="251"/>
      <c r="E848" s="251"/>
      <c r="F848" s="254"/>
      <c r="G848" s="255"/>
      <c r="H848" s="256"/>
      <c r="I848" s="928">
        <f>+I846+1</f>
        <v>95</v>
      </c>
      <c r="J848" s="875">
        <v>43669</v>
      </c>
      <c r="K848" s="877" t="s">
        <v>815</v>
      </c>
      <c r="L848" s="881" t="s">
        <v>1828</v>
      </c>
      <c r="M848" s="881" t="s">
        <v>148</v>
      </c>
      <c r="N848" s="883">
        <v>459000</v>
      </c>
      <c r="O848" s="55">
        <v>719</v>
      </c>
      <c r="P848" s="78">
        <f>+N848-P849</f>
        <v>340000</v>
      </c>
    </row>
    <row r="849" spans="1:16" ht="13.5" customHeight="1" thickBot="1">
      <c r="A849" s="251"/>
      <c r="B849" s="252"/>
      <c r="C849" s="253"/>
      <c r="D849" s="251"/>
      <c r="E849" s="251"/>
      <c r="F849" s="254"/>
      <c r="G849" s="255"/>
      <c r="H849" s="256"/>
      <c r="I849" s="929"/>
      <c r="J849" s="876"/>
      <c r="K849" s="878"/>
      <c r="L849" s="882"/>
      <c r="M849" s="882"/>
      <c r="N849" s="884"/>
      <c r="O849" s="56">
        <v>721</v>
      </c>
      <c r="P849" s="79">
        <v>119000</v>
      </c>
    </row>
    <row r="850" spans="1:16" ht="13.5" customHeight="1">
      <c r="A850" s="881" t="e">
        <f>+A846+1</f>
        <v>#REF!</v>
      </c>
      <c r="B850" s="875">
        <v>42317</v>
      </c>
      <c r="C850" s="881" t="s">
        <v>28</v>
      </c>
      <c r="D850" s="881" t="s">
        <v>452</v>
      </c>
      <c r="E850" s="881" t="s">
        <v>115</v>
      </c>
      <c r="F850" s="883">
        <v>30000</v>
      </c>
      <c r="G850" s="55">
        <v>719</v>
      </c>
      <c r="H850" s="78">
        <v>30000</v>
      </c>
      <c r="I850" s="928">
        <f>+I848+1</f>
        <v>96</v>
      </c>
      <c r="J850" s="875">
        <v>43669</v>
      </c>
      <c r="K850" s="877" t="s">
        <v>1315</v>
      </c>
      <c r="L850" s="881" t="s">
        <v>1829</v>
      </c>
      <c r="M850" s="881" t="s">
        <v>148</v>
      </c>
      <c r="N850" s="883">
        <v>1787750</v>
      </c>
      <c r="O850" s="55">
        <v>723</v>
      </c>
      <c r="P850" s="78">
        <v>1787750</v>
      </c>
    </row>
    <row r="851" spans="1:16" ht="14.25" customHeight="1" thickBot="1">
      <c r="A851" s="882"/>
      <c r="B851" s="876"/>
      <c r="C851" s="882"/>
      <c r="D851" s="882"/>
      <c r="E851" s="882"/>
      <c r="F851" s="884"/>
      <c r="G851" s="56">
        <v>721</v>
      </c>
      <c r="H851" s="79">
        <f>+F850-H850</f>
        <v>0</v>
      </c>
      <c r="I851" s="929"/>
      <c r="J851" s="876"/>
      <c r="K851" s="878"/>
      <c r="L851" s="882"/>
      <c r="M851" s="882"/>
      <c r="N851" s="884"/>
      <c r="O851" s="56">
        <v>721</v>
      </c>
      <c r="P851" s="79">
        <f>+N850-P850</f>
        <v>0</v>
      </c>
    </row>
    <row r="852" spans="1:16" ht="15" customHeight="1" thickBot="1">
      <c r="A852" s="881" t="e">
        <f>+A850+1</f>
        <v>#REF!</v>
      </c>
      <c r="B852" s="875">
        <v>42317</v>
      </c>
      <c r="C852" s="877" t="s">
        <v>272</v>
      </c>
      <c r="D852" s="881" t="s">
        <v>453</v>
      </c>
      <c r="E852" s="881" t="s">
        <v>115</v>
      </c>
      <c r="F852" s="883">
        <v>50000</v>
      </c>
      <c r="G852" s="55">
        <v>719</v>
      </c>
      <c r="H852" s="78">
        <v>50000</v>
      </c>
      <c r="I852" s="901" t="s">
        <v>102</v>
      </c>
      <c r="J852" s="902"/>
      <c r="K852" s="902"/>
      <c r="L852" s="902"/>
      <c r="M852" s="903"/>
      <c r="N852" s="81">
        <f>SUM(N840:N851)</f>
        <v>3794750</v>
      </c>
    </row>
    <row r="853" spans="1:16" ht="15.75" customHeight="1" thickBot="1">
      <c r="A853" s="882"/>
      <c r="B853" s="876"/>
      <c r="C853" s="878"/>
      <c r="D853" s="882"/>
      <c r="E853" s="882"/>
      <c r="F853" s="884"/>
      <c r="G853" s="56">
        <v>721</v>
      </c>
      <c r="H853" s="79">
        <f>+F852-H852</f>
        <v>0</v>
      </c>
      <c r="I853" s="885" t="s">
        <v>103</v>
      </c>
      <c r="J853" s="886"/>
      <c r="K853" s="886"/>
      <c r="L853" s="886"/>
      <c r="M853" s="887"/>
      <c r="N853" s="239">
        <f>+N815</f>
        <v>405947424</v>
      </c>
      <c r="O853" s="241" t="s">
        <v>561</v>
      </c>
      <c r="P853" s="242">
        <f>99+240+722+586+170</f>
        <v>1817</v>
      </c>
    </row>
    <row r="854" spans="1:16" ht="16.5" thickBot="1">
      <c r="A854" s="901" t="s">
        <v>102</v>
      </c>
      <c r="B854" s="902"/>
      <c r="C854" s="902"/>
      <c r="D854" s="902"/>
      <c r="E854" s="903"/>
      <c r="F854" s="81">
        <f>SUM(F842:F853)</f>
        <v>340000</v>
      </c>
      <c r="I854" s="888" t="s">
        <v>104</v>
      </c>
      <c r="J854" s="889"/>
      <c r="K854" s="889"/>
      <c r="L854" s="889"/>
      <c r="M854" s="890"/>
      <c r="N854" s="183">
        <f>SUM(N852:N853)</f>
        <v>409742174</v>
      </c>
    </row>
    <row r="855" spans="1:16" ht="9.75" customHeight="1" thickBot="1">
      <c r="A855" s="885" t="s">
        <v>103</v>
      </c>
      <c r="B855" s="886"/>
      <c r="C855" s="886"/>
      <c r="D855" s="886"/>
      <c r="E855" s="887"/>
      <c r="F855" s="69">
        <f>+F817</f>
        <v>654792930</v>
      </c>
      <c r="I855" s="61"/>
      <c r="J855" s="61"/>
      <c r="K855" s="61"/>
      <c r="L855" s="61"/>
      <c r="M855" s="61"/>
    </row>
    <row r="856" spans="1:16" ht="16.5" thickBot="1">
      <c r="A856" s="888" t="s">
        <v>104</v>
      </c>
      <c r="B856" s="889"/>
      <c r="C856" s="889"/>
      <c r="D856" s="889"/>
      <c r="E856" s="890"/>
      <c r="F856" s="183">
        <f>SUM(F854:F855)</f>
        <v>655132930</v>
      </c>
      <c r="I856" s="51" t="s">
        <v>1502</v>
      </c>
    </row>
    <row r="857" spans="1:16" ht="8.25" customHeight="1">
      <c r="A857" s="61"/>
      <c r="B857" s="61"/>
      <c r="C857" s="61"/>
      <c r="D857" s="61"/>
      <c r="E857" s="61"/>
      <c r="N857" s="139"/>
    </row>
    <row r="858" spans="1:16">
      <c r="A858" s="51" t="s">
        <v>454</v>
      </c>
      <c r="I858" s="50" t="s">
        <v>105</v>
      </c>
      <c r="L858" s="146"/>
      <c r="N858" s="139"/>
    </row>
    <row r="859" spans="1:16" ht="11.25" customHeight="1" thickBot="1">
      <c r="F859" s="139"/>
    </row>
    <row r="860" spans="1:16" ht="17.25" thickBot="1">
      <c r="A860" s="50" t="s">
        <v>105</v>
      </c>
      <c r="D860" s="146"/>
      <c r="F860" s="139"/>
      <c r="I860" s="891" t="s">
        <v>106</v>
      </c>
      <c r="J860" s="892"/>
      <c r="K860" s="892"/>
      <c r="L860" s="893"/>
      <c r="N860" s="605" t="s">
        <v>288</v>
      </c>
      <c r="O860" s="605"/>
      <c r="P860" s="605"/>
    </row>
    <row r="861" spans="1:16" ht="30.75" thickBot="1">
      <c r="I861" s="57" t="s">
        <v>100</v>
      </c>
      <c r="J861" s="58" t="s">
        <v>108</v>
      </c>
      <c r="K861" s="59" t="s">
        <v>109</v>
      </c>
      <c r="L861" s="60" t="s">
        <v>110</v>
      </c>
      <c r="N861" s="202"/>
      <c r="O861" s="202"/>
      <c r="P861" s="202"/>
    </row>
    <row r="862" spans="1:16" ht="15.75" customHeight="1" thickBot="1">
      <c r="A862" s="891" t="s">
        <v>106</v>
      </c>
      <c r="B862" s="892"/>
      <c r="C862" s="892"/>
      <c r="D862" s="893"/>
      <c r="F862" s="50" t="s">
        <v>288</v>
      </c>
      <c r="I862" s="71">
        <v>719</v>
      </c>
      <c r="J862" s="73">
        <f>+P840+P842+P844+P846+P848</f>
        <v>1860000</v>
      </c>
      <c r="K862" s="74">
        <f>+L823</f>
        <v>11220000</v>
      </c>
      <c r="L862" s="195">
        <f>+J862+K862</f>
        <v>13080000</v>
      </c>
      <c r="N862" s="918"/>
      <c r="O862" s="918"/>
      <c r="P862" s="918"/>
    </row>
    <row r="863" spans="1:16" ht="12.75" customHeight="1" thickBot="1">
      <c r="A863" s="57" t="s">
        <v>100</v>
      </c>
      <c r="B863" s="58" t="s">
        <v>108</v>
      </c>
      <c r="C863" s="59" t="s">
        <v>109</v>
      </c>
      <c r="D863" s="60" t="s">
        <v>110</v>
      </c>
      <c r="I863" s="72">
        <v>721</v>
      </c>
      <c r="J863" s="257">
        <f>+P847+P849</f>
        <v>147000</v>
      </c>
      <c r="K863" s="74">
        <f>+L824</f>
        <v>1361500</v>
      </c>
      <c r="L863" s="195">
        <f>+J863+K863</f>
        <v>1508500</v>
      </c>
      <c r="N863" s="918"/>
      <c r="O863" s="918"/>
      <c r="P863" s="918"/>
    </row>
    <row r="864" spans="1:16" ht="14.25" customHeight="1">
      <c r="A864" s="71">
        <v>719</v>
      </c>
      <c r="B864" s="73">
        <f>+H842+H844+H846+H850+H852</f>
        <v>340000</v>
      </c>
      <c r="C864" s="74" t="e">
        <f>+D825</f>
        <v>#REF!</v>
      </c>
      <c r="D864" s="195" t="e">
        <f>+B864+C864</f>
        <v>#REF!</v>
      </c>
      <c r="I864" s="72">
        <v>722</v>
      </c>
      <c r="J864" s="257"/>
      <c r="K864" s="74">
        <f>+L825</f>
        <v>0</v>
      </c>
      <c r="L864" s="195">
        <f>+J864+K864</f>
        <v>0</v>
      </c>
      <c r="N864" s="918" t="s">
        <v>1696</v>
      </c>
      <c r="O864" s="918"/>
      <c r="P864" s="918"/>
    </row>
    <row r="865" spans="1:16" ht="13.5" customHeight="1" thickBot="1">
      <c r="A865" s="72">
        <v>721</v>
      </c>
      <c r="B865" s="80">
        <f>+H843</f>
        <v>0</v>
      </c>
      <c r="C865" s="74" t="e">
        <f>+D826</f>
        <v>#REF!</v>
      </c>
      <c r="D865" s="195" t="e">
        <f>+B865+C865</f>
        <v>#REF!</v>
      </c>
      <c r="I865" s="72">
        <v>723</v>
      </c>
      <c r="J865" s="257">
        <f>+P850</f>
        <v>1787750</v>
      </c>
      <c r="K865" s="74">
        <f>+L826</f>
        <v>393365924</v>
      </c>
      <c r="L865" s="195">
        <f>+J865+K865</f>
        <v>395153674</v>
      </c>
      <c r="N865" s="930"/>
      <c r="O865" s="930"/>
      <c r="P865" s="930"/>
    </row>
    <row r="866" spans="1:16" ht="15" hidden="1" customHeight="1" thickBot="1">
      <c r="A866" s="72">
        <v>722</v>
      </c>
      <c r="B866" s="80"/>
      <c r="C866" s="74">
        <f>+D827</f>
        <v>231207671</v>
      </c>
      <c r="D866" s="195">
        <f>+B866+C866</f>
        <v>231207671</v>
      </c>
      <c r="I866" s="164" t="s">
        <v>181</v>
      </c>
      <c r="J866" s="165"/>
      <c r="K866" s="74">
        <f>+L827</f>
        <v>0</v>
      </c>
      <c r="L866" s="196">
        <f>+J866+K866</f>
        <v>0</v>
      </c>
      <c r="N866" s="52"/>
    </row>
    <row r="867" spans="1:16" ht="16.5" thickBot="1">
      <c r="A867" s="72">
        <v>723</v>
      </c>
      <c r="B867" s="80">
        <f>+H845</f>
        <v>0</v>
      </c>
      <c r="C867" s="74">
        <f>+D828</f>
        <v>321428837</v>
      </c>
      <c r="D867" s="195">
        <f>+B867+C867</f>
        <v>321428837</v>
      </c>
      <c r="F867" s="174" t="s">
        <v>23</v>
      </c>
      <c r="G867" s="175"/>
      <c r="I867" s="169"/>
      <c r="J867" s="197">
        <f>SUM(J862:J866)</f>
        <v>3794750</v>
      </c>
      <c r="K867" s="197">
        <f>SUM(K862:K866)</f>
        <v>405947424</v>
      </c>
      <c r="L867" s="198">
        <f>SUM(L862:L866)</f>
        <v>409742174</v>
      </c>
    </row>
    <row r="868" spans="1:16" ht="17.25" thickBot="1">
      <c r="A868" s="164" t="s">
        <v>181</v>
      </c>
      <c r="B868" s="165"/>
      <c r="C868" s="74" t="e">
        <f>+D829</f>
        <v>#REF!</v>
      </c>
      <c r="D868" s="196" t="e">
        <f>+B868+C868</f>
        <v>#REF!</v>
      </c>
      <c r="F868" s="52"/>
      <c r="I868" s="49" t="s">
        <v>88</v>
      </c>
      <c r="J868" s="50"/>
    </row>
    <row r="869" spans="1:16" ht="14.25" customHeight="1" thickBot="1">
      <c r="A869" s="169"/>
      <c r="B869" s="170">
        <f>SUM(B864:B868)</f>
        <v>340000</v>
      </c>
      <c r="C869" s="171" t="e">
        <f>SUM(C864:C868)</f>
        <v>#REF!</v>
      </c>
      <c r="D869" s="172" t="e">
        <f>SUM(D864:D868)</f>
        <v>#REF!</v>
      </c>
      <c r="I869" s="51" t="s">
        <v>89</v>
      </c>
    </row>
    <row r="870" spans="1:16" ht="14.25" customHeight="1">
      <c r="A870" s="49" t="s">
        <v>88</v>
      </c>
      <c r="B870" s="50"/>
      <c r="I870" s="51" t="s">
        <v>90</v>
      </c>
    </row>
    <row r="871" spans="1:16">
      <c r="A871" s="51" t="s">
        <v>89</v>
      </c>
      <c r="I871" s="51" t="s">
        <v>91</v>
      </c>
    </row>
    <row r="872" spans="1:16" ht="6" customHeight="1">
      <c r="A872" s="51" t="s">
        <v>90</v>
      </c>
      <c r="I872" s="50"/>
      <c r="J872" s="50"/>
    </row>
    <row r="873" spans="1:16" ht="16.5">
      <c r="A873" s="51" t="s">
        <v>91</v>
      </c>
      <c r="I873" s="260" t="s">
        <v>795</v>
      </c>
      <c r="O873" s="52"/>
    </row>
    <row r="874" spans="1:16" ht="15" customHeight="1">
      <c r="A874" s="50"/>
      <c r="B874" s="50"/>
      <c r="I874" s="261" t="s">
        <v>1702</v>
      </c>
      <c r="O874" s="53"/>
    </row>
    <row r="875" spans="1:16" ht="15" customHeight="1">
      <c r="A875" s="52" t="s">
        <v>455</v>
      </c>
      <c r="G875" s="52"/>
      <c r="I875" s="894" t="s">
        <v>1278</v>
      </c>
      <c r="J875" s="894"/>
      <c r="K875" s="894"/>
      <c r="L875" s="894"/>
      <c r="M875" s="894"/>
      <c r="N875" s="894"/>
      <c r="O875" s="894"/>
      <c r="P875" s="894"/>
    </row>
    <row r="876" spans="1:16" ht="14.25" customHeight="1" thickBot="1">
      <c r="A876" s="53" t="s">
        <v>92</v>
      </c>
      <c r="G876" s="53"/>
    </row>
    <row r="877" spans="1:16" ht="16.5">
      <c r="A877" s="894" t="s">
        <v>93</v>
      </c>
      <c r="B877" s="894"/>
      <c r="C877" s="894"/>
      <c r="D877" s="894"/>
      <c r="E877" s="894"/>
      <c r="F877" s="894"/>
      <c r="G877" s="894"/>
      <c r="H877" s="894"/>
      <c r="I877" s="895" t="s">
        <v>94</v>
      </c>
      <c r="J877" s="897" t="s">
        <v>95</v>
      </c>
      <c r="K877" s="897" t="s">
        <v>96</v>
      </c>
      <c r="L877" s="897" t="s">
        <v>3</v>
      </c>
      <c r="M877" s="897" t="s">
        <v>97</v>
      </c>
      <c r="N877" s="897" t="s">
        <v>98</v>
      </c>
      <c r="O877" s="897" t="s">
        <v>99</v>
      </c>
      <c r="P877" s="899"/>
    </row>
    <row r="878" spans="1:16" ht="15.75" thickBot="1">
      <c r="I878" s="896"/>
      <c r="J878" s="898"/>
      <c r="K878" s="898"/>
      <c r="L878" s="898"/>
      <c r="M878" s="898"/>
      <c r="N878" s="898"/>
      <c r="O878" s="240" t="s">
        <v>100</v>
      </c>
      <c r="P878" s="182" t="s">
        <v>101</v>
      </c>
    </row>
    <row r="879" spans="1:16" ht="15" customHeight="1">
      <c r="A879" s="895" t="s">
        <v>94</v>
      </c>
      <c r="B879" s="897" t="s">
        <v>95</v>
      </c>
      <c r="C879" s="897" t="s">
        <v>96</v>
      </c>
      <c r="D879" s="897" t="s">
        <v>3</v>
      </c>
      <c r="E879" s="897" t="s">
        <v>97</v>
      </c>
      <c r="F879" s="897" t="s">
        <v>98</v>
      </c>
      <c r="G879" s="897" t="s">
        <v>99</v>
      </c>
      <c r="H879" s="899"/>
      <c r="I879" s="928">
        <f>+I850+1</f>
        <v>97</v>
      </c>
      <c r="J879" s="875">
        <v>43711</v>
      </c>
      <c r="K879" s="877" t="s">
        <v>1315</v>
      </c>
      <c r="L879" s="881" t="s">
        <v>1830</v>
      </c>
      <c r="M879" s="881" t="s">
        <v>148</v>
      </c>
      <c r="N879" s="883">
        <v>1884800</v>
      </c>
      <c r="O879" s="55">
        <v>719</v>
      </c>
      <c r="P879" s="78"/>
    </row>
    <row r="880" spans="1:16" ht="15.75" customHeight="1" thickBot="1">
      <c r="A880" s="896"/>
      <c r="B880" s="898"/>
      <c r="C880" s="898"/>
      <c r="D880" s="898"/>
      <c r="E880" s="898"/>
      <c r="F880" s="898"/>
      <c r="G880" s="240" t="s">
        <v>100</v>
      </c>
      <c r="H880" s="182" t="s">
        <v>101</v>
      </c>
      <c r="I880" s="929"/>
      <c r="J880" s="876"/>
      <c r="K880" s="878"/>
      <c r="L880" s="882"/>
      <c r="M880" s="882"/>
      <c r="N880" s="884"/>
      <c r="O880" s="56">
        <v>723</v>
      </c>
      <c r="P880" s="79">
        <f>+N879-P879</f>
        <v>1884800</v>
      </c>
    </row>
    <row r="881" spans="1:16" ht="15" customHeight="1">
      <c r="A881" s="881" t="e">
        <f>+A852+1</f>
        <v>#REF!</v>
      </c>
      <c r="B881" s="875">
        <v>42320</v>
      </c>
      <c r="C881" s="877" t="s">
        <v>272</v>
      </c>
      <c r="D881" s="881" t="s">
        <v>456</v>
      </c>
      <c r="E881" s="881" t="s">
        <v>115</v>
      </c>
      <c r="F881" s="883">
        <v>60000</v>
      </c>
      <c r="G881" s="55">
        <v>719</v>
      </c>
      <c r="H881" s="78">
        <v>60000</v>
      </c>
      <c r="I881" s="928">
        <f>+I879+1</f>
        <v>98</v>
      </c>
      <c r="J881" s="875">
        <v>43005</v>
      </c>
      <c r="K881" s="877" t="s">
        <v>350</v>
      </c>
      <c r="L881" s="881" t="s">
        <v>1832</v>
      </c>
      <c r="M881" s="881" t="s">
        <v>115</v>
      </c>
      <c r="N881" s="883">
        <v>783000</v>
      </c>
      <c r="O881" s="55">
        <v>719</v>
      </c>
      <c r="P881" s="78">
        <v>580000</v>
      </c>
    </row>
    <row r="882" spans="1:16" ht="15.75" customHeight="1" thickBot="1">
      <c r="A882" s="882"/>
      <c r="B882" s="876"/>
      <c r="C882" s="878"/>
      <c r="D882" s="882"/>
      <c r="E882" s="882"/>
      <c r="F882" s="884"/>
      <c r="G882" s="56">
        <v>721</v>
      </c>
      <c r="H882" s="79">
        <f>+F881-H881</f>
        <v>0</v>
      </c>
      <c r="I882" s="929"/>
      <c r="J882" s="876"/>
      <c r="K882" s="878"/>
      <c r="L882" s="882"/>
      <c r="M882" s="882"/>
      <c r="N882" s="884"/>
      <c r="O882" s="56">
        <v>721</v>
      </c>
      <c r="P882" s="79">
        <f>+N881-P881</f>
        <v>203000</v>
      </c>
    </row>
    <row r="883" spans="1:16" ht="15" customHeight="1">
      <c r="A883" s="881" t="e">
        <f>+A881+1</f>
        <v>#REF!</v>
      </c>
      <c r="B883" s="875">
        <v>42320</v>
      </c>
      <c r="C883" s="881" t="s">
        <v>28</v>
      </c>
      <c r="D883" s="881" t="s">
        <v>456</v>
      </c>
      <c r="E883" s="881" t="s">
        <v>115</v>
      </c>
      <c r="F883" s="883">
        <v>30000</v>
      </c>
      <c r="G883" s="55">
        <v>719</v>
      </c>
      <c r="H883" s="78">
        <v>30000</v>
      </c>
      <c r="I883" s="928">
        <f>+I881+1</f>
        <v>99</v>
      </c>
      <c r="J883" s="875">
        <v>43005</v>
      </c>
      <c r="K883" s="877" t="s">
        <v>267</v>
      </c>
      <c r="L883" s="881" t="s">
        <v>1831</v>
      </c>
      <c r="M883" s="881" t="s">
        <v>115</v>
      </c>
      <c r="N883" s="883">
        <v>54000</v>
      </c>
      <c r="O883" s="55">
        <v>719</v>
      </c>
      <c r="P883" s="78">
        <v>40000</v>
      </c>
    </row>
    <row r="884" spans="1:16" ht="15.75" customHeight="1" thickBot="1">
      <c r="A884" s="882"/>
      <c r="B884" s="876"/>
      <c r="C884" s="882"/>
      <c r="D884" s="882"/>
      <c r="E884" s="882"/>
      <c r="F884" s="884"/>
      <c r="G884" s="56">
        <v>721</v>
      </c>
      <c r="H884" s="79">
        <f>+F883-H883</f>
        <v>0</v>
      </c>
      <c r="I884" s="929"/>
      <c r="J884" s="876"/>
      <c r="K884" s="878"/>
      <c r="L884" s="882"/>
      <c r="M884" s="882"/>
      <c r="N884" s="884"/>
      <c r="O884" s="56">
        <v>721</v>
      </c>
      <c r="P884" s="79">
        <f>+N883-P883</f>
        <v>14000</v>
      </c>
    </row>
    <row r="885" spans="1:16" ht="15" customHeight="1">
      <c r="A885" s="881" t="e">
        <f>+A883+1</f>
        <v>#REF!</v>
      </c>
      <c r="B885" s="875">
        <v>42320</v>
      </c>
      <c r="C885" s="877" t="s">
        <v>32</v>
      </c>
      <c r="D885" s="881" t="s">
        <v>457</v>
      </c>
      <c r="E885" s="881" t="s">
        <v>115</v>
      </c>
      <c r="F885" s="883">
        <v>20000</v>
      </c>
      <c r="G885" s="55">
        <v>719</v>
      </c>
      <c r="H885" s="78">
        <v>20000</v>
      </c>
      <c r="I885" s="928"/>
      <c r="J885" s="875"/>
      <c r="K885" s="877"/>
      <c r="L885" s="881"/>
      <c r="M885" s="881"/>
      <c r="N885" s="883"/>
      <c r="O885" s="55">
        <v>719</v>
      </c>
      <c r="P885" s="78"/>
    </row>
    <row r="886" spans="1:16" ht="13.5" customHeight="1" thickBot="1">
      <c r="A886" s="882"/>
      <c r="B886" s="876"/>
      <c r="C886" s="878"/>
      <c r="D886" s="882"/>
      <c r="E886" s="882"/>
      <c r="F886" s="884"/>
      <c r="G886" s="56">
        <v>721</v>
      </c>
      <c r="H886" s="79">
        <f>+F885-H885</f>
        <v>0</v>
      </c>
      <c r="I886" s="929"/>
      <c r="J886" s="876"/>
      <c r="K886" s="878"/>
      <c r="L886" s="882"/>
      <c r="M886" s="882"/>
      <c r="N886" s="884"/>
      <c r="O886" s="56">
        <v>721</v>
      </c>
      <c r="P886" s="79">
        <f>+N885-P885</f>
        <v>0</v>
      </c>
    </row>
    <row r="887" spans="1:16" ht="12" customHeight="1">
      <c r="A887" s="881"/>
      <c r="B887" s="875"/>
      <c r="C887" s="881"/>
      <c r="D887" s="881"/>
      <c r="E887" s="881"/>
      <c r="F887" s="883"/>
      <c r="G887" s="55">
        <v>719</v>
      </c>
      <c r="H887" s="78"/>
      <c r="I887" s="928"/>
      <c r="J887" s="875"/>
      <c r="K887" s="877"/>
      <c r="L887" s="881"/>
      <c r="M887" s="881"/>
      <c r="N887" s="883"/>
      <c r="O887" s="55">
        <v>719</v>
      </c>
      <c r="P887" s="78"/>
    </row>
    <row r="888" spans="1:16" ht="12" customHeight="1" thickBot="1">
      <c r="A888" s="882"/>
      <c r="B888" s="876"/>
      <c r="C888" s="882"/>
      <c r="D888" s="882"/>
      <c r="E888" s="882"/>
      <c r="F888" s="884"/>
      <c r="G888" s="56">
        <v>721</v>
      </c>
      <c r="H888" s="79">
        <f>+F887-H887</f>
        <v>0</v>
      </c>
      <c r="I888" s="929"/>
      <c r="J888" s="876"/>
      <c r="K888" s="878"/>
      <c r="L888" s="882"/>
      <c r="M888" s="882"/>
      <c r="N888" s="884"/>
      <c r="O888" s="56">
        <v>721</v>
      </c>
      <c r="P888" s="79">
        <f>+N887-P887</f>
        <v>0</v>
      </c>
    </row>
    <row r="889" spans="1:16" ht="16.5" thickBot="1">
      <c r="A889" s="881"/>
      <c r="B889" s="875"/>
      <c r="C889" s="877"/>
      <c r="D889" s="881"/>
      <c r="E889" s="881"/>
      <c r="F889" s="883"/>
      <c r="G889" s="55">
        <v>719</v>
      </c>
      <c r="H889" s="78"/>
      <c r="I889" s="901" t="s">
        <v>102</v>
      </c>
      <c r="J889" s="902"/>
      <c r="K889" s="902"/>
      <c r="L889" s="902"/>
      <c r="M889" s="903"/>
      <c r="N889" s="81">
        <f>SUM(N879:N888)</f>
        <v>2721800</v>
      </c>
    </row>
    <row r="890" spans="1:16" ht="16.5" thickBot="1">
      <c r="A890" s="882"/>
      <c r="B890" s="876"/>
      <c r="C890" s="878"/>
      <c r="D890" s="882"/>
      <c r="E890" s="882"/>
      <c r="F890" s="884"/>
      <c r="G890" s="56">
        <v>721</v>
      </c>
      <c r="H890" s="79">
        <f>+F889-H889</f>
        <v>0</v>
      </c>
      <c r="I890" s="885" t="s">
        <v>103</v>
      </c>
      <c r="J890" s="886"/>
      <c r="K890" s="886"/>
      <c r="L890" s="886"/>
      <c r="M890" s="887"/>
      <c r="N890" s="239">
        <f>+N854</f>
        <v>409742174</v>
      </c>
      <c r="O890" s="241" t="s">
        <v>561</v>
      </c>
      <c r="P890" s="242">
        <f>1327+136</f>
        <v>1463</v>
      </c>
    </row>
    <row r="891" spans="1:16" ht="15" customHeight="1" thickBot="1">
      <c r="A891" s="901" t="s">
        <v>102</v>
      </c>
      <c r="B891" s="902"/>
      <c r="C891" s="902"/>
      <c r="D891" s="902"/>
      <c r="E891" s="903"/>
      <c r="F891" s="81">
        <f>SUM(F881:F890)</f>
        <v>110000</v>
      </c>
      <c r="I891" s="888" t="s">
        <v>104</v>
      </c>
      <c r="J891" s="889"/>
      <c r="K891" s="889"/>
      <c r="L891" s="889"/>
      <c r="M891" s="890"/>
      <c r="N891" s="183">
        <f>SUM(N889:N890)</f>
        <v>412463974</v>
      </c>
    </row>
    <row r="892" spans="1:16" ht="13.5" customHeight="1" thickBot="1">
      <c r="A892" s="885" t="s">
        <v>103</v>
      </c>
      <c r="B892" s="886"/>
      <c r="C892" s="886"/>
      <c r="D892" s="886"/>
      <c r="E892" s="887"/>
      <c r="F892" s="69">
        <f>+F856</f>
        <v>655132930</v>
      </c>
      <c r="I892" s="61"/>
      <c r="J892" s="61"/>
      <c r="K892" s="61"/>
      <c r="L892" s="61"/>
      <c r="M892" s="61"/>
    </row>
    <row r="893" spans="1:16" ht="16.5" thickBot="1">
      <c r="A893" s="888" t="s">
        <v>104</v>
      </c>
      <c r="B893" s="889"/>
      <c r="C893" s="889"/>
      <c r="D893" s="889"/>
      <c r="E893" s="890"/>
      <c r="F893" s="183">
        <f>SUM(F891:F892)</f>
        <v>655242930</v>
      </c>
      <c r="I893" s="51" t="s">
        <v>1833</v>
      </c>
    </row>
    <row r="894" spans="1:16" ht="6.75" customHeight="1">
      <c r="A894" s="61"/>
      <c r="B894" s="61"/>
      <c r="C894" s="61"/>
      <c r="D894" s="61"/>
      <c r="E894" s="61"/>
      <c r="N894" s="139"/>
    </row>
    <row r="895" spans="1:16">
      <c r="A895" s="51" t="s">
        <v>458</v>
      </c>
      <c r="I895" s="50" t="s">
        <v>105</v>
      </c>
      <c r="L895" s="146"/>
      <c r="N895" s="139"/>
    </row>
    <row r="896" spans="1:16" ht="8.25" customHeight="1" thickBot="1">
      <c r="F896" s="139"/>
    </row>
    <row r="897" spans="1:16" ht="15.75" thickBot="1">
      <c r="A897" s="50" t="s">
        <v>105</v>
      </c>
      <c r="D897" s="146"/>
      <c r="F897" s="139"/>
      <c r="I897" s="891" t="s">
        <v>106</v>
      </c>
      <c r="J897" s="892"/>
      <c r="K897" s="892"/>
      <c r="L897" s="893"/>
      <c r="N897" s="925" t="s">
        <v>288</v>
      </c>
      <c r="O897" s="925"/>
      <c r="P897" s="925"/>
    </row>
    <row r="898" spans="1:16" ht="28.5" customHeight="1" thickBot="1">
      <c r="I898" s="57" t="s">
        <v>100</v>
      </c>
      <c r="J898" s="58" t="s">
        <v>108</v>
      </c>
      <c r="K898" s="59" t="s">
        <v>109</v>
      </c>
      <c r="L898" s="60" t="s">
        <v>110</v>
      </c>
    </row>
    <row r="899" spans="1:16" ht="14.25" customHeight="1" thickBot="1">
      <c r="A899" s="891" t="s">
        <v>106</v>
      </c>
      <c r="B899" s="892"/>
      <c r="C899" s="892"/>
      <c r="D899" s="893"/>
      <c r="F899" s="50" t="s">
        <v>288</v>
      </c>
      <c r="I899" s="71">
        <v>719</v>
      </c>
      <c r="J899" s="73">
        <f>+P879+P881+P883+P885+P887</f>
        <v>620000</v>
      </c>
      <c r="K899" s="74">
        <f>+L862</f>
        <v>13080000</v>
      </c>
      <c r="L899" s="195">
        <f>+J899+K899</f>
        <v>13700000</v>
      </c>
    </row>
    <row r="900" spans="1:16" ht="16.5" customHeight="1" thickBot="1">
      <c r="A900" s="57" t="s">
        <v>100</v>
      </c>
      <c r="B900" s="58" t="s">
        <v>108</v>
      </c>
      <c r="C900" s="59" t="s">
        <v>109</v>
      </c>
      <c r="D900" s="60" t="s">
        <v>110</v>
      </c>
      <c r="I900" s="72">
        <v>721</v>
      </c>
      <c r="J900" s="257">
        <f>+P882+P884</f>
        <v>217000</v>
      </c>
      <c r="K900" s="74">
        <f>+L863</f>
        <v>1508500</v>
      </c>
      <c r="L900" s="195">
        <f>+J900+K900</f>
        <v>1725500</v>
      </c>
    </row>
    <row r="901" spans="1:16" ht="13.5" customHeight="1">
      <c r="A901" s="71">
        <v>719</v>
      </c>
      <c r="B901" s="73">
        <f>+H881+H883+H885+H887+H889</f>
        <v>110000</v>
      </c>
      <c r="C901" s="74" t="e">
        <f>+D864</f>
        <v>#REF!</v>
      </c>
      <c r="D901" s="195" t="e">
        <f>+B901+C901</f>
        <v>#REF!</v>
      </c>
      <c r="I901" s="72">
        <v>722</v>
      </c>
      <c r="J901" s="257"/>
      <c r="K901" s="74">
        <f>+L864</f>
        <v>0</v>
      </c>
      <c r="L901" s="195">
        <f>+J901+K901</f>
        <v>0</v>
      </c>
    </row>
    <row r="902" spans="1:16" ht="15.75">
      <c r="A902" s="72">
        <v>721</v>
      </c>
      <c r="B902" s="80">
        <f>+H882</f>
        <v>0</v>
      </c>
      <c r="C902" s="74" t="e">
        <f>+D865</f>
        <v>#REF!</v>
      </c>
      <c r="D902" s="195" t="e">
        <f>+B902+C902</f>
        <v>#REF!</v>
      </c>
      <c r="I902" s="72">
        <v>723</v>
      </c>
      <c r="J902" s="257">
        <f>+P880</f>
        <v>1884800</v>
      </c>
      <c r="K902" s="74">
        <f>+L865</f>
        <v>395153674</v>
      </c>
      <c r="L902" s="195">
        <f>+J902+K902</f>
        <v>397038474</v>
      </c>
      <c r="N902" s="918" t="s">
        <v>1696</v>
      </c>
      <c r="O902" s="918"/>
      <c r="P902" s="918"/>
    </row>
    <row r="903" spans="1:16" ht="14.25" customHeight="1" thickBot="1">
      <c r="A903" s="72">
        <v>722</v>
      </c>
      <c r="B903" s="80"/>
      <c r="C903" s="74">
        <f>+D866</f>
        <v>231207671</v>
      </c>
      <c r="D903" s="195">
        <f>+B903+C903</f>
        <v>231207671</v>
      </c>
      <c r="I903" s="164" t="s">
        <v>181</v>
      </c>
      <c r="J903" s="165"/>
      <c r="K903" s="74">
        <f>+L866</f>
        <v>0</v>
      </c>
      <c r="L903" s="196">
        <f>+J903+K903</f>
        <v>0</v>
      </c>
      <c r="N903" s="52"/>
    </row>
    <row r="904" spans="1:16" ht="16.5" thickBot="1">
      <c r="A904" s="72">
        <v>723</v>
      </c>
      <c r="B904" s="80">
        <f>+H884</f>
        <v>0</v>
      </c>
      <c r="C904" s="74">
        <f>+D867</f>
        <v>321428837</v>
      </c>
      <c r="D904" s="195">
        <f>+B904+C904</f>
        <v>321428837</v>
      </c>
      <c r="F904" s="174" t="s">
        <v>23</v>
      </c>
      <c r="G904" s="175"/>
      <c r="I904" s="169"/>
      <c r="J904" s="197">
        <f>SUM(J899:J903)</f>
        <v>2721800</v>
      </c>
      <c r="K904" s="197">
        <f>SUM(K899:K903)</f>
        <v>409742174</v>
      </c>
      <c r="L904" s="198">
        <f>SUM(L899:L903)</f>
        <v>412463974</v>
      </c>
    </row>
    <row r="905" spans="1:16" ht="17.25" thickBot="1">
      <c r="A905" s="164" t="s">
        <v>181</v>
      </c>
      <c r="B905" s="165"/>
      <c r="C905" s="74" t="e">
        <f>+D868</f>
        <v>#REF!</v>
      </c>
      <c r="D905" s="196" t="e">
        <f>+B905+C905</f>
        <v>#REF!</v>
      </c>
      <c r="F905" s="52"/>
      <c r="I905" s="49" t="s">
        <v>88</v>
      </c>
      <c r="J905" s="50"/>
    </row>
    <row r="906" spans="1:16" ht="15" customHeight="1" thickBot="1">
      <c r="A906" s="169"/>
      <c r="B906" s="170">
        <f>SUM(B901:B905)</f>
        <v>110000</v>
      </c>
      <c r="C906" s="171" t="e">
        <f>SUM(C901:C905)</f>
        <v>#REF!</v>
      </c>
      <c r="D906" s="172" t="e">
        <f>SUM(D901:D905)</f>
        <v>#REF!</v>
      </c>
      <c r="I906" s="51" t="s">
        <v>89</v>
      </c>
    </row>
    <row r="907" spans="1:16" ht="15" customHeight="1">
      <c r="A907" s="49" t="s">
        <v>88</v>
      </c>
      <c r="B907" s="50"/>
      <c r="I907" s="51" t="s">
        <v>90</v>
      </c>
    </row>
    <row r="908" spans="1:16" ht="12.75" customHeight="1">
      <c r="A908" s="51" t="s">
        <v>89</v>
      </c>
      <c r="I908" s="51" t="s">
        <v>91</v>
      </c>
    </row>
    <row r="909" spans="1:16" ht="12.75" customHeight="1">
      <c r="A909" s="51" t="s">
        <v>90</v>
      </c>
      <c r="I909" s="50"/>
      <c r="J909" s="50"/>
    </row>
    <row r="910" spans="1:16" ht="16.5">
      <c r="A910" s="51" t="s">
        <v>91</v>
      </c>
      <c r="I910" s="52" t="s">
        <v>813</v>
      </c>
      <c r="O910" s="52"/>
    </row>
    <row r="911" spans="1:16" ht="13.5" customHeight="1">
      <c r="A911" s="50"/>
      <c r="B911" s="50"/>
      <c r="I911" s="53" t="s">
        <v>1702</v>
      </c>
      <c r="O911" s="53"/>
    </row>
    <row r="912" spans="1:16" ht="16.5">
      <c r="A912" s="52" t="s">
        <v>460</v>
      </c>
      <c r="G912" s="52"/>
      <c r="I912" s="894" t="s">
        <v>261</v>
      </c>
      <c r="J912" s="894"/>
      <c r="K912" s="894"/>
      <c r="L912" s="894"/>
      <c r="M912" s="894"/>
      <c r="N912" s="894"/>
      <c r="O912" s="894"/>
      <c r="P912" s="894"/>
    </row>
    <row r="913" spans="1:16" ht="13.5" customHeight="1" thickBot="1">
      <c r="A913" s="53" t="s">
        <v>92</v>
      </c>
      <c r="G913" s="53"/>
    </row>
    <row r="914" spans="1:16" ht="16.5">
      <c r="A914" s="894" t="s">
        <v>462</v>
      </c>
      <c r="B914" s="894"/>
      <c r="C914" s="894"/>
      <c r="D914" s="894"/>
      <c r="E914" s="894"/>
      <c r="F914" s="894"/>
      <c r="G914" s="894"/>
      <c r="H914" s="894"/>
      <c r="I914" s="895" t="s">
        <v>94</v>
      </c>
      <c r="J914" s="897" t="s">
        <v>95</v>
      </c>
      <c r="K914" s="897" t="s">
        <v>96</v>
      </c>
      <c r="L914" s="897" t="s">
        <v>3</v>
      </c>
      <c r="M914" s="897" t="s">
        <v>97</v>
      </c>
      <c r="N914" s="897" t="s">
        <v>98</v>
      </c>
      <c r="O914" s="897" t="s">
        <v>99</v>
      </c>
      <c r="P914" s="899"/>
    </row>
    <row r="915" spans="1:16" ht="15.75" thickBot="1">
      <c r="I915" s="896"/>
      <c r="J915" s="898"/>
      <c r="K915" s="898"/>
      <c r="L915" s="898"/>
      <c r="M915" s="898"/>
      <c r="N915" s="898"/>
      <c r="O915" s="240" t="s">
        <v>100</v>
      </c>
      <c r="P915" s="182" t="s">
        <v>101</v>
      </c>
    </row>
    <row r="916" spans="1:16" ht="12.75" customHeight="1">
      <c r="A916" s="895" t="s">
        <v>94</v>
      </c>
      <c r="B916" s="897" t="s">
        <v>95</v>
      </c>
      <c r="C916" s="897" t="s">
        <v>96</v>
      </c>
      <c r="D916" s="897" t="s">
        <v>3</v>
      </c>
      <c r="E916" s="897" t="s">
        <v>97</v>
      </c>
      <c r="F916" s="897" t="s">
        <v>98</v>
      </c>
      <c r="G916" s="897" t="s">
        <v>99</v>
      </c>
      <c r="H916" s="899"/>
      <c r="I916" s="873" t="s">
        <v>770</v>
      </c>
      <c r="J916" s="875">
        <v>43713</v>
      </c>
      <c r="K916" s="877" t="s">
        <v>120</v>
      </c>
      <c r="L916" s="881" t="s">
        <v>1834</v>
      </c>
      <c r="M916" s="881" t="s">
        <v>115</v>
      </c>
      <c r="N916" s="883">
        <v>1215000</v>
      </c>
      <c r="O916" s="55">
        <v>719</v>
      </c>
      <c r="P916" s="78">
        <v>900000</v>
      </c>
    </row>
    <row r="917" spans="1:16" ht="13.5" customHeight="1" thickBot="1">
      <c r="A917" s="896"/>
      <c r="B917" s="898"/>
      <c r="C917" s="898"/>
      <c r="D917" s="898"/>
      <c r="E917" s="898"/>
      <c r="F917" s="898"/>
      <c r="G917" s="240" t="s">
        <v>100</v>
      </c>
      <c r="H917" s="182" t="s">
        <v>101</v>
      </c>
      <c r="I917" s="882"/>
      <c r="J917" s="876"/>
      <c r="K917" s="878"/>
      <c r="L917" s="882"/>
      <c r="M917" s="882"/>
      <c r="N917" s="884"/>
      <c r="O917" s="56">
        <v>721</v>
      </c>
      <c r="P917" s="79">
        <f>+N916-P916</f>
        <v>315000</v>
      </c>
    </row>
    <row r="918" spans="1:16" ht="12" customHeight="1">
      <c r="A918" s="881" t="e">
        <f>+A885+1</f>
        <v>#REF!</v>
      </c>
      <c r="B918" s="875">
        <v>42328</v>
      </c>
      <c r="C918" s="877" t="s">
        <v>469</v>
      </c>
      <c r="D918" s="881" t="s">
        <v>459</v>
      </c>
      <c r="E918" s="881" t="s">
        <v>148</v>
      </c>
      <c r="F918" s="883">
        <v>1764708</v>
      </c>
      <c r="G918" s="55">
        <v>723</v>
      </c>
      <c r="H918" s="78">
        <f>+F918</f>
        <v>1764708</v>
      </c>
      <c r="I918" s="881">
        <f>+I916+1</f>
        <v>101</v>
      </c>
      <c r="J918" s="875">
        <v>43713</v>
      </c>
      <c r="K918" s="881" t="s">
        <v>1315</v>
      </c>
      <c r="L918" s="881" t="s">
        <v>1835</v>
      </c>
      <c r="M918" s="881" t="s">
        <v>148</v>
      </c>
      <c r="N918" s="883">
        <v>1180850</v>
      </c>
      <c r="O918" s="55">
        <v>723</v>
      </c>
      <c r="P918" s="78">
        <v>1180850</v>
      </c>
    </row>
    <row r="919" spans="1:16" ht="13.5" customHeight="1" thickBot="1">
      <c r="A919" s="882"/>
      <c r="B919" s="876"/>
      <c r="C919" s="878"/>
      <c r="D919" s="882"/>
      <c r="E919" s="882"/>
      <c r="F919" s="884"/>
      <c r="G919" s="56">
        <v>721</v>
      </c>
      <c r="H919" s="79">
        <f>+F918-H918</f>
        <v>0</v>
      </c>
      <c r="I919" s="882"/>
      <c r="J919" s="876"/>
      <c r="K919" s="882"/>
      <c r="L919" s="882"/>
      <c r="M919" s="882"/>
      <c r="N919" s="884"/>
      <c r="O919" s="56">
        <v>721</v>
      </c>
      <c r="P919" s="79">
        <f>+N918-P918</f>
        <v>0</v>
      </c>
    </row>
    <row r="920" spans="1:16" ht="15" customHeight="1">
      <c r="A920" s="881"/>
      <c r="B920" s="875"/>
      <c r="C920" s="881"/>
      <c r="D920" s="881"/>
      <c r="E920" s="881"/>
      <c r="F920" s="883"/>
      <c r="G920" s="55">
        <v>719</v>
      </c>
      <c r="H920" s="78"/>
      <c r="I920" s="881"/>
      <c r="J920" s="875"/>
      <c r="K920" s="881"/>
      <c r="L920" s="881"/>
      <c r="M920" s="881"/>
      <c r="N920" s="883"/>
      <c r="O920" s="55"/>
      <c r="P920" s="78"/>
    </row>
    <row r="921" spans="1:16" ht="13.5" customHeight="1" thickBot="1">
      <c r="A921" s="882"/>
      <c r="B921" s="876"/>
      <c r="C921" s="882"/>
      <c r="D921" s="882"/>
      <c r="E921" s="882"/>
      <c r="F921" s="884"/>
      <c r="G921" s="56">
        <v>721</v>
      </c>
      <c r="H921" s="79">
        <f>+F920-H920</f>
        <v>0</v>
      </c>
      <c r="I921" s="882"/>
      <c r="J921" s="876"/>
      <c r="K921" s="882"/>
      <c r="L921" s="882"/>
      <c r="M921" s="882"/>
      <c r="N921" s="884"/>
      <c r="O921" s="56"/>
      <c r="P921" s="79"/>
    </row>
    <row r="922" spans="1:16" ht="14.25" customHeight="1">
      <c r="A922" s="251"/>
      <c r="B922" s="252"/>
      <c r="C922" s="251"/>
      <c r="D922" s="251"/>
      <c r="E922" s="251"/>
      <c r="F922" s="254"/>
      <c r="G922" s="255"/>
      <c r="H922" s="256"/>
      <c r="I922" s="881"/>
      <c r="J922" s="875"/>
      <c r="K922" s="881"/>
      <c r="L922" s="881"/>
      <c r="M922" s="881"/>
      <c r="N922" s="883"/>
      <c r="O922" s="55"/>
      <c r="P922" s="78"/>
    </row>
    <row r="923" spans="1:16" ht="14.25" customHeight="1" thickBot="1">
      <c r="A923" s="251"/>
      <c r="B923" s="252"/>
      <c r="C923" s="251"/>
      <c r="D923" s="251"/>
      <c r="E923" s="251"/>
      <c r="F923" s="254"/>
      <c r="G923" s="255"/>
      <c r="H923" s="256"/>
      <c r="I923" s="882"/>
      <c r="J923" s="876"/>
      <c r="K923" s="882"/>
      <c r="L923" s="882"/>
      <c r="M923" s="882"/>
      <c r="N923" s="884"/>
      <c r="O923" s="56"/>
      <c r="P923" s="79"/>
    </row>
    <row r="924" spans="1:16" ht="15" customHeight="1">
      <c r="A924" s="881"/>
      <c r="B924" s="875"/>
      <c r="C924" s="877"/>
      <c r="D924" s="881"/>
      <c r="E924" s="881"/>
      <c r="F924" s="883"/>
      <c r="G924" s="55">
        <v>719</v>
      </c>
      <c r="H924" s="78"/>
      <c r="I924" s="881"/>
      <c r="J924" s="875"/>
      <c r="K924" s="881"/>
      <c r="L924" s="881"/>
      <c r="M924" s="881"/>
      <c r="N924" s="883"/>
      <c r="O924" s="55"/>
      <c r="P924" s="78"/>
    </row>
    <row r="925" spans="1:16" ht="12" customHeight="1" thickBot="1">
      <c r="A925" s="882"/>
      <c r="B925" s="876"/>
      <c r="C925" s="878"/>
      <c r="D925" s="882"/>
      <c r="E925" s="882"/>
      <c r="F925" s="884"/>
      <c r="G925" s="56">
        <v>721</v>
      </c>
      <c r="H925" s="79">
        <f>+F924-H924</f>
        <v>0</v>
      </c>
      <c r="I925" s="882"/>
      <c r="J925" s="876"/>
      <c r="K925" s="882"/>
      <c r="L925" s="882"/>
      <c r="M925" s="882"/>
      <c r="N925" s="884"/>
      <c r="O925" s="56"/>
      <c r="P925" s="79"/>
    </row>
    <row r="926" spans="1:16" ht="12" customHeight="1">
      <c r="A926" s="881"/>
      <c r="B926" s="875"/>
      <c r="C926" s="881"/>
      <c r="D926" s="881"/>
      <c r="E926" s="881"/>
      <c r="F926" s="883"/>
      <c r="G926" s="55">
        <v>719</v>
      </c>
      <c r="H926" s="78"/>
      <c r="I926" s="881"/>
      <c r="J926" s="875"/>
      <c r="K926" s="881"/>
      <c r="L926" s="881"/>
      <c r="M926" s="881"/>
      <c r="N926" s="883"/>
      <c r="O926" s="55"/>
      <c r="P926" s="78"/>
    </row>
    <row r="927" spans="1:16" ht="13.5" customHeight="1" thickBot="1">
      <c r="A927" s="882"/>
      <c r="B927" s="876"/>
      <c r="C927" s="882"/>
      <c r="D927" s="882"/>
      <c r="E927" s="882"/>
      <c r="F927" s="884"/>
      <c r="G927" s="56">
        <v>721</v>
      </c>
      <c r="H927" s="79">
        <f>+F926-H926</f>
        <v>0</v>
      </c>
      <c r="I927" s="882"/>
      <c r="J927" s="876"/>
      <c r="K927" s="882"/>
      <c r="L927" s="882"/>
      <c r="M927" s="882"/>
      <c r="N927" s="884"/>
      <c r="O927" s="56"/>
      <c r="P927" s="79"/>
    </row>
    <row r="928" spans="1:16" ht="16.5" thickBot="1">
      <c r="A928" s="881"/>
      <c r="B928" s="875"/>
      <c r="C928" s="877"/>
      <c r="D928" s="881"/>
      <c r="E928" s="881"/>
      <c r="F928" s="883"/>
      <c r="G928" s="55">
        <v>719</v>
      </c>
      <c r="H928" s="78"/>
      <c r="I928" s="901" t="s">
        <v>102</v>
      </c>
      <c r="J928" s="902"/>
      <c r="K928" s="902"/>
      <c r="L928" s="902"/>
      <c r="M928" s="903"/>
      <c r="N928" s="81">
        <f>SUM(N916:N927)</f>
        <v>2395850</v>
      </c>
    </row>
    <row r="929" spans="1:16" ht="16.5" thickBot="1">
      <c r="A929" s="882"/>
      <c r="B929" s="876"/>
      <c r="C929" s="878"/>
      <c r="D929" s="882"/>
      <c r="E929" s="882"/>
      <c r="F929" s="884"/>
      <c r="G929" s="56">
        <v>721</v>
      </c>
      <c r="H929" s="79">
        <f>+F928-H928</f>
        <v>0</v>
      </c>
      <c r="I929" s="885" t="s">
        <v>103</v>
      </c>
      <c r="J929" s="886"/>
      <c r="K929" s="886"/>
      <c r="L929" s="886"/>
      <c r="M929" s="887"/>
      <c r="N929" s="239">
        <f>+N891</f>
        <v>412463974</v>
      </c>
      <c r="O929" s="241" t="s">
        <v>561</v>
      </c>
      <c r="P929" s="242">
        <f>426+85+72+16+624</f>
        <v>1223</v>
      </c>
    </row>
    <row r="930" spans="1:16" ht="16.5" thickBot="1">
      <c r="A930" s="901" t="s">
        <v>102</v>
      </c>
      <c r="B930" s="902"/>
      <c r="C930" s="902"/>
      <c r="D930" s="902"/>
      <c r="E930" s="903"/>
      <c r="F930" s="81">
        <f>SUM(F918:F929)</f>
        <v>1764708</v>
      </c>
      <c r="I930" s="888" t="s">
        <v>104</v>
      </c>
      <c r="J930" s="889"/>
      <c r="K930" s="889"/>
      <c r="L930" s="889"/>
      <c r="M930" s="890"/>
      <c r="N930" s="183">
        <f>SUM(N928:N929)</f>
        <v>414859824</v>
      </c>
    </row>
    <row r="931" spans="1:16" ht="12" customHeight="1" thickBot="1">
      <c r="A931" s="885" t="s">
        <v>103</v>
      </c>
      <c r="B931" s="886"/>
      <c r="C931" s="886"/>
      <c r="D931" s="886"/>
      <c r="E931" s="887"/>
      <c r="F931" s="69">
        <f>+F893</f>
        <v>655242930</v>
      </c>
      <c r="I931" s="61"/>
      <c r="J931" s="61"/>
      <c r="K931" s="61"/>
      <c r="L931" s="61"/>
      <c r="M931" s="61"/>
    </row>
    <row r="932" spans="1:16" ht="16.5" thickBot="1">
      <c r="A932" s="888" t="s">
        <v>104</v>
      </c>
      <c r="B932" s="889"/>
      <c r="C932" s="889"/>
      <c r="D932" s="889"/>
      <c r="E932" s="890"/>
      <c r="F932" s="183">
        <f>SUM(F930:F931)</f>
        <v>657007638</v>
      </c>
      <c r="I932" s="51" t="s">
        <v>1518</v>
      </c>
    </row>
    <row r="933" spans="1:16" ht="9" customHeight="1">
      <c r="A933" s="61"/>
      <c r="B933" s="61"/>
      <c r="C933" s="61"/>
      <c r="D933" s="61"/>
      <c r="E933" s="61"/>
      <c r="N933" s="139"/>
    </row>
    <row r="934" spans="1:16">
      <c r="A934" s="51" t="s">
        <v>461</v>
      </c>
      <c r="I934" s="50" t="s">
        <v>105</v>
      </c>
      <c r="L934" s="146"/>
      <c r="N934" s="139"/>
    </row>
    <row r="935" spans="1:16" ht="12.75" customHeight="1" thickBot="1">
      <c r="F935" s="139"/>
    </row>
    <row r="936" spans="1:16" ht="15.75" thickBot="1">
      <c r="A936" s="50" t="s">
        <v>105</v>
      </c>
      <c r="D936" s="146"/>
      <c r="F936" s="139"/>
      <c r="I936" s="891" t="s">
        <v>106</v>
      </c>
      <c r="J936" s="892"/>
      <c r="K936" s="892"/>
      <c r="L936" s="893"/>
      <c r="N936" s="50" t="s">
        <v>288</v>
      </c>
    </row>
    <row r="937" spans="1:16" ht="12.75" customHeight="1" thickBot="1">
      <c r="I937" s="57" t="s">
        <v>100</v>
      </c>
      <c r="J937" s="58" t="s">
        <v>108</v>
      </c>
      <c r="K937" s="59" t="s">
        <v>109</v>
      </c>
      <c r="L937" s="60" t="s">
        <v>110</v>
      </c>
    </row>
    <row r="938" spans="1:16" ht="13.5" customHeight="1" thickBot="1">
      <c r="A938" s="891" t="s">
        <v>106</v>
      </c>
      <c r="B938" s="892"/>
      <c r="C938" s="892"/>
      <c r="D938" s="893"/>
      <c r="F938" s="50" t="s">
        <v>288</v>
      </c>
      <c r="I938" s="71">
        <v>719</v>
      </c>
      <c r="J938" s="73">
        <f>+P916+P920+P924+P926+P922</f>
        <v>900000</v>
      </c>
      <c r="K938" s="74">
        <f>+L899</f>
        <v>13700000</v>
      </c>
      <c r="L938" s="195">
        <f>+J938+K938</f>
        <v>14600000</v>
      </c>
    </row>
    <row r="939" spans="1:16" ht="13.5" customHeight="1" thickBot="1">
      <c r="A939" s="57" t="s">
        <v>100</v>
      </c>
      <c r="B939" s="58" t="s">
        <v>108</v>
      </c>
      <c r="C939" s="59" t="s">
        <v>109</v>
      </c>
      <c r="D939" s="60" t="s">
        <v>110</v>
      </c>
      <c r="I939" s="72">
        <v>721</v>
      </c>
      <c r="J939" s="80">
        <f>+P917+P919+P921+P925+P927+P923</f>
        <v>315000</v>
      </c>
      <c r="K939" s="74">
        <f>+L900</f>
        <v>1725500</v>
      </c>
      <c r="L939" s="195">
        <f>+J939+K939</f>
        <v>2040500</v>
      </c>
    </row>
    <row r="940" spans="1:16" ht="12.75" customHeight="1">
      <c r="A940" s="71">
        <v>719</v>
      </c>
      <c r="B940" s="73">
        <f>0</f>
        <v>0</v>
      </c>
      <c r="C940" s="74" t="e">
        <f>+D901</f>
        <v>#REF!</v>
      </c>
      <c r="D940" s="195" t="e">
        <f>+B940+C940</f>
        <v>#REF!</v>
      </c>
      <c r="I940" s="72">
        <v>722</v>
      </c>
      <c r="J940" s="80"/>
      <c r="K940" s="74">
        <f>+L901</f>
        <v>0</v>
      </c>
      <c r="L940" s="195">
        <f>+J940+K940</f>
        <v>0</v>
      </c>
    </row>
    <row r="941" spans="1:16" ht="14.25" customHeight="1">
      <c r="A941" s="72">
        <v>721</v>
      </c>
      <c r="B941" s="80">
        <f>+H919</f>
        <v>0</v>
      </c>
      <c r="C941" s="74" t="e">
        <f>+D902</f>
        <v>#REF!</v>
      </c>
      <c r="D941" s="195" t="e">
        <f>+B941+C941</f>
        <v>#REF!</v>
      </c>
      <c r="I941" s="72">
        <v>723</v>
      </c>
      <c r="J941" s="80">
        <f>+P918</f>
        <v>1180850</v>
      </c>
      <c r="K941" s="74">
        <f>+L902</f>
        <v>397038474</v>
      </c>
      <c r="L941" s="195">
        <f>+J941+K941</f>
        <v>398219324</v>
      </c>
      <c r="N941" s="918" t="s">
        <v>1481</v>
      </c>
      <c r="O941" s="918"/>
      <c r="P941" s="918"/>
    </row>
    <row r="942" spans="1:16" ht="13.5" customHeight="1" thickBot="1">
      <c r="A942" s="72">
        <v>722</v>
      </c>
      <c r="B942" s="80"/>
      <c r="C942" s="74">
        <f>+D903</f>
        <v>231207671</v>
      </c>
      <c r="D942" s="195">
        <f>+B942+C942</f>
        <v>231207671</v>
      </c>
      <c r="I942" s="164" t="s">
        <v>181</v>
      </c>
      <c r="J942" s="165"/>
      <c r="K942" s="74">
        <f>+L903</f>
        <v>0</v>
      </c>
      <c r="L942" s="196">
        <f>+J942+K942</f>
        <v>0</v>
      </c>
      <c r="N942" s="52"/>
    </row>
    <row r="943" spans="1:16" ht="16.5" thickBot="1">
      <c r="A943" s="72">
        <v>723</v>
      </c>
      <c r="B943" s="80">
        <f>+H918</f>
        <v>1764708</v>
      </c>
      <c r="C943" s="74">
        <f>+D904</f>
        <v>321428837</v>
      </c>
      <c r="D943" s="195">
        <f>+B943+C943</f>
        <v>323193545</v>
      </c>
      <c r="F943" s="174" t="s">
        <v>23</v>
      </c>
      <c r="G943" s="175"/>
      <c r="I943" s="169"/>
      <c r="J943" s="197">
        <f>SUM(J938:J942)</f>
        <v>2395850</v>
      </c>
      <c r="K943" s="197">
        <f>SUM(K938:K942)</f>
        <v>412463974</v>
      </c>
      <c r="L943" s="198">
        <f>SUM(L938:L942)</f>
        <v>414859824</v>
      </c>
    </row>
    <row r="944" spans="1:16" ht="17.25" thickBot="1">
      <c r="A944" s="164" t="s">
        <v>181</v>
      </c>
      <c r="B944" s="165"/>
      <c r="C944" s="74" t="e">
        <f>+D905</f>
        <v>#REF!</v>
      </c>
      <c r="D944" s="196" t="e">
        <f>+B944+C944</f>
        <v>#REF!</v>
      </c>
      <c r="F944" s="52"/>
      <c r="I944" s="49" t="s">
        <v>88</v>
      </c>
      <c r="J944" s="50"/>
    </row>
    <row r="945" spans="1:16" ht="16.5" thickBot="1">
      <c r="A945" s="169"/>
      <c r="B945" s="170">
        <f>SUM(B940:B944)</f>
        <v>1764708</v>
      </c>
      <c r="C945" s="171" t="e">
        <f>SUM(C940:C944)</f>
        <v>#REF!</v>
      </c>
      <c r="D945" s="172" t="e">
        <f>SUM(D940:D944)</f>
        <v>#REF!</v>
      </c>
      <c r="I945" s="51" t="s">
        <v>89</v>
      </c>
    </row>
    <row r="946" spans="1:16" ht="16.5">
      <c r="A946" s="49" t="s">
        <v>88</v>
      </c>
      <c r="B946" s="50"/>
      <c r="I946" s="51" t="s">
        <v>90</v>
      </c>
    </row>
    <row r="947" spans="1:16">
      <c r="A947" s="51" t="s">
        <v>89</v>
      </c>
      <c r="I947" s="51" t="s">
        <v>91</v>
      </c>
    </row>
    <row r="948" spans="1:16" ht="13.5" customHeight="1">
      <c r="A948" s="51" t="s">
        <v>90</v>
      </c>
      <c r="I948" s="50"/>
      <c r="J948" s="50"/>
    </row>
    <row r="949" spans="1:16" ht="16.5">
      <c r="A949" s="51" t="s">
        <v>91</v>
      </c>
      <c r="I949" s="52" t="s">
        <v>814</v>
      </c>
      <c r="O949" s="52"/>
    </row>
    <row r="950" spans="1:16" ht="13.5" customHeight="1">
      <c r="A950" s="50"/>
      <c r="B950" s="50"/>
      <c r="I950" s="53" t="s">
        <v>1702</v>
      </c>
      <c r="O950" s="53"/>
    </row>
    <row r="951" spans="1:16" ht="16.5">
      <c r="A951" s="52" t="s">
        <v>463</v>
      </c>
      <c r="G951" s="52"/>
      <c r="I951" s="894" t="s">
        <v>903</v>
      </c>
      <c r="J951" s="894"/>
      <c r="K951" s="894"/>
      <c r="L951" s="894"/>
      <c r="M951" s="894"/>
      <c r="N951" s="894"/>
      <c r="O951" s="894"/>
      <c r="P951" s="894"/>
    </row>
    <row r="952" spans="1:16" ht="13.5" customHeight="1" thickBot="1">
      <c r="A952" s="53" t="s">
        <v>92</v>
      </c>
      <c r="G952" s="53"/>
    </row>
    <row r="953" spans="1:16" ht="16.5">
      <c r="A953" s="894" t="s">
        <v>462</v>
      </c>
      <c r="B953" s="894"/>
      <c r="C953" s="894"/>
      <c r="D953" s="894"/>
      <c r="E953" s="894"/>
      <c r="F953" s="894"/>
      <c r="G953" s="894"/>
      <c r="H953" s="894"/>
      <c r="I953" s="895" t="s">
        <v>94</v>
      </c>
      <c r="J953" s="897" t="s">
        <v>95</v>
      </c>
      <c r="K953" s="897" t="s">
        <v>96</v>
      </c>
      <c r="L953" s="897" t="s">
        <v>3</v>
      </c>
      <c r="M953" s="897" t="s">
        <v>97</v>
      </c>
      <c r="N953" s="897" t="s">
        <v>98</v>
      </c>
      <c r="O953" s="897" t="s">
        <v>99</v>
      </c>
      <c r="P953" s="899"/>
    </row>
    <row r="954" spans="1:16" ht="15.75" thickBot="1">
      <c r="I954" s="896"/>
      <c r="J954" s="898"/>
      <c r="K954" s="898"/>
      <c r="L954" s="898"/>
      <c r="M954" s="898"/>
      <c r="N954" s="898"/>
      <c r="O954" s="240" t="s">
        <v>100</v>
      </c>
      <c r="P954" s="182" t="s">
        <v>101</v>
      </c>
    </row>
    <row r="955" spans="1:16" ht="12.75" customHeight="1">
      <c r="A955" s="895" t="s">
        <v>94</v>
      </c>
      <c r="B955" s="897" t="s">
        <v>95</v>
      </c>
      <c r="C955" s="897" t="s">
        <v>96</v>
      </c>
      <c r="D955" s="897" t="s">
        <v>3</v>
      </c>
      <c r="E955" s="897" t="s">
        <v>97</v>
      </c>
      <c r="F955" s="897" t="s">
        <v>98</v>
      </c>
      <c r="G955" s="897" t="s">
        <v>99</v>
      </c>
      <c r="H955" s="899"/>
      <c r="I955" s="873" t="s">
        <v>772</v>
      </c>
      <c r="J955" s="875">
        <v>43742</v>
      </c>
      <c r="K955" s="881" t="s">
        <v>1836</v>
      </c>
      <c r="L955" s="881" t="s">
        <v>1837</v>
      </c>
      <c r="M955" s="881" t="s">
        <v>148</v>
      </c>
      <c r="N955" s="883">
        <v>800000</v>
      </c>
      <c r="O955" s="55">
        <v>723</v>
      </c>
      <c r="P955" s="78">
        <v>800000</v>
      </c>
    </row>
    <row r="956" spans="1:16" ht="12.75" customHeight="1" thickBot="1">
      <c r="A956" s="896"/>
      <c r="B956" s="898"/>
      <c r="C956" s="898"/>
      <c r="D956" s="898"/>
      <c r="E956" s="898"/>
      <c r="F956" s="898"/>
      <c r="G956" s="240" t="s">
        <v>100</v>
      </c>
      <c r="H956" s="182" t="s">
        <v>101</v>
      </c>
      <c r="I956" s="874"/>
      <c r="J956" s="876"/>
      <c r="K956" s="882"/>
      <c r="L956" s="882"/>
      <c r="M956" s="882"/>
      <c r="N956" s="884"/>
      <c r="O956" s="56">
        <v>721</v>
      </c>
      <c r="P956" s="79">
        <f>+N955-P955</f>
        <v>0</v>
      </c>
    </row>
    <row r="957" spans="1:16" ht="13.5" customHeight="1">
      <c r="A957" s="881" t="e">
        <f>+A918+1</f>
        <v>#REF!</v>
      </c>
      <c r="B957" s="875">
        <v>42332</v>
      </c>
      <c r="C957" s="877" t="s">
        <v>272</v>
      </c>
      <c r="D957" s="881" t="s">
        <v>467</v>
      </c>
      <c r="E957" s="881" t="s">
        <v>115</v>
      </c>
      <c r="F957" s="883">
        <v>120000</v>
      </c>
      <c r="G957" s="55">
        <v>719</v>
      </c>
      <c r="H957" s="78">
        <f>+F957</f>
        <v>120000</v>
      </c>
      <c r="I957" s="881">
        <f>+I955+1</f>
        <v>103</v>
      </c>
      <c r="J957" s="875">
        <v>43742</v>
      </c>
      <c r="K957" s="910" t="s">
        <v>555</v>
      </c>
      <c r="L957" s="881" t="s">
        <v>1819</v>
      </c>
      <c r="M957" s="881" t="s">
        <v>148</v>
      </c>
      <c r="N957" s="883">
        <v>1750000</v>
      </c>
      <c r="O957" s="55">
        <v>723</v>
      </c>
      <c r="P957" s="78">
        <v>1750000</v>
      </c>
    </row>
    <row r="958" spans="1:16" ht="13.5" customHeight="1" thickBot="1">
      <c r="A958" s="882"/>
      <c r="B958" s="876"/>
      <c r="C958" s="878"/>
      <c r="D958" s="882"/>
      <c r="E958" s="882"/>
      <c r="F958" s="884"/>
      <c r="G958" s="56">
        <v>721</v>
      </c>
      <c r="H958" s="79">
        <f>+F957-H957</f>
        <v>0</v>
      </c>
      <c r="I958" s="882"/>
      <c r="J958" s="876"/>
      <c r="K958" s="911"/>
      <c r="L958" s="882"/>
      <c r="M958" s="882"/>
      <c r="N958" s="884"/>
      <c r="O958" s="56">
        <v>721</v>
      </c>
      <c r="P958" s="79">
        <f>+N957-P957</f>
        <v>0</v>
      </c>
    </row>
    <row r="959" spans="1:16" ht="12.75" customHeight="1">
      <c r="A959" s="881" t="e">
        <f>+A957+1</f>
        <v>#REF!</v>
      </c>
      <c r="B959" s="875">
        <v>42332</v>
      </c>
      <c r="C959" s="881" t="s">
        <v>28</v>
      </c>
      <c r="D959" s="881" t="s">
        <v>466</v>
      </c>
      <c r="E959" s="881" t="s">
        <v>115</v>
      </c>
      <c r="F959" s="883">
        <v>50000</v>
      </c>
      <c r="G959" s="55">
        <v>719</v>
      </c>
      <c r="H959" s="78">
        <v>50000</v>
      </c>
      <c r="I959" s="881">
        <f>+I957+1</f>
        <v>104</v>
      </c>
      <c r="J959" s="875">
        <v>43742</v>
      </c>
      <c r="K959" s="910" t="s">
        <v>1838</v>
      </c>
      <c r="L959" s="881" t="s">
        <v>1716</v>
      </c>
      <c r="M959" s="881" t="s">
        <v>148</v>
      </c>
      <c r="N959" s="883">
        <v>552000</v>
      </c>
      <c r="O959" s="55">
        <v>723</v>
      </c>
      <c r="P959" s="78">
        <v>552000</v>
      </c>
    </row>
    <row r="960" spans="1:16" ht="10.5" customHeight="1" thickBot="1">
      <c r="A960" s="882"/>
      <c r="B960" s="876"/>
      <c r="C960" s="882"/>
      <c r="D960" s="882"/>
      <c r="E960" s="882"/>
      <c r="F960" s="884"/>
      <c r="G960" s="56">
        <v>721</v>
      </c>
      <c r="H960" s="79">
        <f>+F959-H959</f>
        <v>0</v>
      </c>
      <c r="I960" s="882"/>
      <c r="J960" s="876"/>
      <c r="K960" s="911"/>
      <c r="L960" s="882"/>
      <c r="M960" s="882"/>
      <c r="N960" s="884"/>
      <c r="O960" s="56">
        <v>721</v>
      </c>
      <c r="P960" s="79">
        <f>+N959-P959</f>
        <v>0</v>
      </c>
    </row>
    <row r="961" spans="1:16" ht="11.25" customHeight="1">
      <c r="A961" s="251"/>
      <c r="B961" s="252"/>
      <c r="C961" s="251"/>
      <c r="D961" s="251"/>
      <c r="E961" s="251"/>
      <c r="F961" s="254"/>
      <c r="G961" s="255"/>
      <c r="H961" s="256"/>
      <c r="I961" s="881">
        <f>+I959+1</f>
        <v>105</v>
      </c>
      <c r="J961" s="875">
        <v>43742</v>
      </c>
      <c r="K961" s="910" t="s">
        <v>677</v>
      </c>
      <c r="L961" s="881" t="s">
        <v>1716</v>
      </c>
      <c r="M961" s="881" t="s">
        <v>148</v>
      </c>
      <c r="N961" s="883">
        <v>369410</v>
      </c>
      <c r="O961" s="55">
        <v>723</v>
      </c>
      <c r="P961" s="78">
        <v>369410</v>
      </c>
    </row>
    <row r="962" spans="1:16" ht="12" customHeight="1" thickBot="1">
      <c r="A962" s="251"/>
      <c r="B962" s="252"/>
      <c r="C962" s="251"/>
      <c r="D962" s="251"/>
      <c r="E962" s="251"/>
      <c r="F962" s="254"/>
      <c r="G962" s="255"/>
      <c r="H962" s="256"/>
      <c r="I962" s="882"/>
      <c r="J962" s="876"/>
      <c r="K962" s="911"/>
      <c r="L962" s="882"/>
      <c r="M962" s="882"/>
      <c r="N962" s="884"/>
      <c r="O962" s="56">
        <v>721</v>
      </c>
      <c r="P962" s="79">
        <f>+N961-P961</f>
        <v>0</v>
      </c>
    </row>
    <row r="963" spans="1:16" ht="11.25" customHeight="1">
      <c r="A963" s="881" t="e">
        <f>+A959+1</f>
        <v>#REF!</v>
      </c>
      <c r="B963" s="875">
        <v>42332</v>
      </c>
      <c r="C963" s="877" t="s">
        <v>32</v>
      </c>
      <c r="D963" s="881" t="s">
        <v>465</v>
      </c>
      <c r="E963" s="881" t="s">
        <v>115</v>
      </c>
      <c r="F963" s="883">
        <v>20000</v>
      </c>
      <c r="G963" s="55">
        <v>719</v>
      </c>
      <c r="H963" s="78">
        <v>20000</v>
      </c>
      <c r="I963" s="881"/>
      <c r="J963" s="875"/>
      <c r="K963" s="881"/>
      <c r="L963" s="881"/>
      <c r="M963" s="881"/>
      <c r="N963" s="883"/>
      <c r="O963" s="55">
        <v>719</v>
      </c>
      <c r="P963" s="78"/>
    </row>
    <row r="964" spans="1:16" ht="12.75" customHeight="1" thickBot="1">
      <c r="A964" s="882"/>
      <c r="B964" s="876"/>
      <c r="C964" s="878"/>
      <c r="D964" s="882"/>
      <c r="E964" s="882"/>
      <c r="F964" s="884"/>
      <c r="G964" s="56">
        <v>721</v>
      </c>
      <c r="H964" s="79">
        <f>+F963-H963</f>
        <v>0</v>
      </c>
      <c r="I964" s="882"/>
      <c r="J964" s="876"/>
      <c r="K964" s="882"/>
      <c r="L964" s="882"/>
      <c r="M964" s="882"/>
      <c r="N964" s="884"/>
      <c r="O964" s="56">
        <v>721</v>
      </c>
      <c r="P964" s="79"/>
    </row>
    <row r="965" spans="1:16" ht="13.5" customHeight="1">
      <c r="A965" s="881" t="e">
        <f>+A963+1</f>
        <v>#REF!</v>
      </c>
      <c r="B965" s="875">
        <v>42332</v>
      </c>
      <c r="C965" s="877" t="s">
        <v>120</v>
      </c>
      <c r="D965" s="881" t="s">
        <v>464</v>
      </c>
      <c r="E965" s="881" t="s">
        <v>115</v>
      </c>
      <c r="F965" s="883">
        <v>120000</v>
      </c>
      <c r="G965" s="55">
        <v>719</v>
      </c>
      <c r="H965" s="78">
        <v>120000</v>
      </c>
      <c r="I965" s="881"/>
      <c r="J965" s="875"/>
      <c r="K965" s="881"/>
      <c r="L965" s="881"/>
      <c r="M965" s="881"/>
      <c r="N965" s="883"/>
      <c r="O965" s="55">
        <v>719</v>
      </c>
      <c r="P965" s="78">
        <v>0</v>
      </c>
    </row>
    <row r="966" spans="1:16" ht="13.5" customHeight="1" thickBot="1">
      <c r="A966" s="882"/>
      <c r="B966" s="876"/>
      <c r="C966" s="878"/>
      <c r="D966" s="882"/>
      <c r="E966" s="882"/>
      <c r="F966" s="884"/>
      <c r="G966" s="56">
        <v>721</v>
      </c>
      <c r="H966" s="79">
        <f>+F965-H965</f>
        <v>0</v>
      </c>
      <c r="I966" s="882"/>
      <c r="J966" s="876"/>
      <c r="K966" s="882"/>
      <c r="L966" s="882"/>
      <c r="M966" s="882"/>
      <c r="N966" s="884"/>
      <c r="O966" s="56">
        <v>721</v>
      </c>
      <c r="P966" s="79">
        <f>+N965-P965</f>
        <v>0</v>
      </c>
    </row>
    <row r="967" spans="1:16" ht="16.5" thickBot="1">
      <c r="A967" s="881"/>
      <c r="B967" s="875"/>
      <c r="C967" s="877"/>
      <c r="D967" s="881"/>
      <c r="E967" s="881"/>
      <c r="F967" s="883"/>
      <c r="G967" s="55">
        <v>719</v>
      </c>
      <c r="H967" s="78"/>
      <c r="I967" s="901" t="s">
        <v>102</v>
      </c>
      <c r="J967" s="902"/>
      <c r="K967" s="902"/>
      <c r="L967" s="902"/>
      <c r="M967" s="903"/>
      <c r="N967" s="81">
        <f>SUM(N955:N966)</f>
        <v>3471410</v>
      </c>
    </row>
    <row r="968" spans="1:16" ht="16.5" thickBot="1">
      <c r="A968" s="882"/>
      <c r="B968" s="876"/>
      <c r="C968" s="878"/>
      <c r="D968" s="882"/>
      <c r="E968" s="882"/>
      <c r="F968" s="884"/>
      <c r="G968" s="56">
        <v>721</v>
      </c>
      <c r="H968" s="79">
        <f>+F967-H967</f>
        <v>0</v>
      </c>
      <c r="I968" s="885" t="s">
        <v>103</v>
      </c>
      <c r="J968" s="886"/>
      <c r="K968" s="886"/>
      <c r="L968" s="886"/>
      <c r="M968" s="887"/>
      <c r="N968" s="239">
        <f>+N930</f>
        <v>414859824</v>
      </c>
      <c r="O968" s="241" t="s">
        <v>561</v>
      </c>
      <c r="P968" s="242">
        <f>701+647+663+279+406+423</f>
        <v>3119</v>
      </c>
    </row>
    <row r="969" spans="1:16" ht="16.5" thickBot="1">
      <c r="A969" s="901" t="s">
        <v>102</v>
      </c>
      <c r="B969" s="902"/>
      <c r="C969" s="902"/>
      <c r="D969" s="902"/>
      <c r="E969" s="903"/>
      <c r="F969" s="81">
        <f>SUM(F957:F968)</f>
        <v>310000</v>
      </c>
      <c r="I969" s="888" t="s">
        <v>104</v>
      </c>
      <c r="J969" s="889"/>
      <c r="K969" s="889"/>
      <c r="L969" s="889"/>
      <c r="M969" s="890"/>
      <c r="N969" s="183">
        <f>SUM(N967:N968)</f>
        <v>418331234</v>
      </c>
    </row>
    <row r="970" spans="1:16" ht="12.75" customHeight="1" thickBot="1">
      <c r="A970" s="885" t="s">
        <v>103</v>
      </c>
      <c r="B970" s="886"/>
      <c r="C970" s="886"/>
      <c r="D970" s="886"/>
      <c r="E970" s="887"/>
      <c r="F970" s="69">
        <f>+F932</f>
        <v>657007638</v>
      </c>
      <c r="I970" s="61"/>
      <c r="J970" s="61"/>
      <c r="K970" s="61"/>
      <c r="L970" s="61"/>
      <c r="M970" s="61"/>
    </row>
    <row r="971" spans="1:16" ht="16.5" thickBot="1">
      <c r="A971" s="888" t="s">
        <v>104</v>
      </c>
      <c r="B971" s="889"/>
      <c r="C971" s="889"/>
      <c r="D971" s="889"/>
      <c r="E971" s="890"/>
      <c r="F971" s="183">
        <f>SUM(F969:F970)</f>
        <v>657317638</v>
      </c>
      <c r="I971" s="51" t="s">
        <v>1525</v>
      </c>
    </row>
    <row r="972" spans="1:16" ht="7.5" customHeight="1">
      <c r="A972" s="61"/>
      <c r="B972" s="61"/>
      <c r="C972" s="61"/>
      <c r="D972" s="61"/>
      <c r="E972" s="61"/>
      <c r="N972" s="139"/>
    </row>
    <row r="973" spans="1:16">
      <c r="A973" s="51" t="s">
        <v>468</v>
      </c>
      <c r="I973" s="50" t="s">
        <v>105</v>
      </c>
      <c r="L973" s="146"/>
      <c r="N973" s="139"/>
    </row>
    <row r="974" spans="1:16" ht="12" customHeight="1" thickBot="1">
      <c r="F974" s="139"/>
    </row>
    <row r="975" spans="1:16" ht="15.75" customHeight="1" thickBot="1">
      <c r="A975" s="50" t="s">
        <v>105</v>
      </c>
      <c r="D975" s="146"/>
      <c r="F975" s="139"/>
      <c r="I975" s="891" t="s">
        <v>106</v>
      </c>
      <c r="J975" s="892"/>
      <c r="K975" s="892"/>
      <c r="L975" s="893"/>
      <c r="N975" s="50" t="s">
        <v>288</v>
      </c>
    </row>
    <row r="976" spans="1:16" ht="12" customHeight="1" thickBot="1">
      <c r="I976" s="57" t="s">
        <v>100</v>
      </c>
      <c r="J976" s="58" t="s">
        <v>108</v>
      </c>
      <c r="K976" s="59" t="s">
        <v>109</v>
      </c>
      <c r="L976" s="60" t="s">
        <v>110</v>
      </c>
    </row>
    <row r="977" spans="1:16" ht="14.25" customHeight="1" thickBot="1">
      <c r="A977" s="891" t="s">
        <v>106</v>
      </c>
      <c r="B977" s="892"/>
      <c r="C977" s="892"/>
      <c r="D977" s="893"/>
      <c r="F977" s="50" t="s">
        <v>288</v>
      </c>
      <c r="I977" s="71">
        <v>719</v>
      </c>
      <c r="J977" s="73"/>
      <c r="K977" s="74">
        <f>+L938</f>
        <v>14600000</v>
      </c>
      <c r="L977" s="195">
        <f>+J977+K977</f>
        <v>14600000</v>
      </c>
    </row>
    <row r="978" spans="1:16" ht="14.25" customHeight="1" thickBot="1">
      <c r="A978" s="57" t="s">
        <v>100</v>
      </c>
      <c r="B978" s="58" t="s">
        <v>108</v>
      </c>
      <c r="C978" s="59" t="s">
        <v>109</v>
      </c>
      <c r="D978" s="60" t="s">
        <v>110</v>
      </c>
      <c r="I978" s="72">
        <v>721</v>
      </c>
      <c r="J978" s="80">
        <f>+P956+P958+P960+P964+P966</f>
        <v>0</v>
      </c>
      <c r="K978" s="74">
        <f>+L939</f>
        <v>2040500</v>
      </c>
      <c r="L978" s="195">
        <f>+J978+K978</f>
        <v>2040500</v>
      </c>
    </row>
    <row r="979" spans="1:16" ht="15.75" customHeight="1">
      <c r="A979" s="71">
        <v>719</v>
      </c>
      <c r="B979" s="73">
        <f>+H957+H959+H963+H965</f>
        <v>310000</v>
      </c>
      <c r="C979" s="74" t="e">
        <f>+D940</f>
        <v>#REF!</v>
      </c>
      <c r="D979" s="195" t="e">
        <f>+B979+C979</f>
        <v>#REF!</v>
      </c>
      <c r="I979" s="72">
        <v>722</v>
      </c>
      <c r="J979" s="80"/>
      <c r="K979" s="74">
        <f>+L940</f>
        <v>0</v>
      </c>
      <c r="L979" s="195">
        <f>+J979+K979</f>
        <v>0</v>
      </c>
    </row>
    <row r="980" spans="1:16" ht="15.75" customHeight="1" thickBot="1">
      <c r="A980" s="72">
        <v>721</v>
      </c>
      <c r="B980" s="80">
        <f>+H958</f>
        <v>0</v>
      </c>
      <c r="C980" s="74" t="e">
        <f>+D941</f>
        <v>#REF!</v>
      </c>
      <c r="D980" s="195" t="e">
        <f>+B980+C980</f>
        <v>#REF!</v>
      </c>
      <c r="I980" s="72">
        <v>723</v>
      </c>
      <c r="J980" s="80">
        <f>+P955+P957+P959+P961</f>
        <v>3471410</v>
      </c>
      <c r="K980" s="74">
        <f>+L941</f>
        <v>398219324</v>
      </c>
      <c r="L980" s="195">
        <f>+J980+K980</f>
        <v>401690734</v>
      </c>
      <c r="N980" s="918" t="s">
        <v>1696</v>
      </c>
      <c r="O980" s="918"/>
      <c r="P980" s="918"/>
    </row>
    <row r="981" spans="1:16" ht="14.25" hidden="1" customHeight="1" thickBot="1">
      <c r="A981" s="72">
        <v>722</v>
      </c>
      <c r="B981" s="80"/>
      <c r="C981" s="74">
        <f>+D942</f>
        <v>231207671</v>
      </c>
      <c r="D981" s="195">
        <f>+B981+C981</f>
        <v>231207671</v>
      </c>
      <c r="I981" s="164" t="s">
        <v>181</v>
      </c>
      <c r="J981" s="165"/>
      <c r="K981" s="74">
        <f>+L942</f>
        <v>0</v>
      </c>
      <c r="L981" s="196">
        <f>+J981+K981</f>
        <v>0</v>
      </c>
      <c r="N981" s="52"/>
    </row>
    <row r="982" spans="1:16" ht="16.5" customHeight="1" thickBot="1">
      <c r="A982" s="72">
        <v>723</v>
      </c>
      <c r="B982" s="80"/>
      <c r="C982" s="74">
        <f>+D943</f>
        <v>323193545</v>
      </c>
      <c r="D982" s="195">
        <f>+B982+C982</f>
        <v>323193545</v>
      </c>
      <c r="F982" s="174" t="s">
        <v>23</v>
      </c>
      <c r="G982" s="175"/>
      <c r="I982" s="169"/>
      <c r="J982" s="197">
        <f>SUM(J977:J981)</f>
        <v>3471410</v>
      </c>
      <c r="K982" s="197">
        <f>SUM(K977:K981)</f>
        <v>414859824</v>
      </c>
      <c r="L982" s="198">
        <f>SUM(L977:L981)</f>
        <v>418331234</v>
      </c>
    </row>
    <row r="983" spans="1:16" ht="16.5" customHeight="1" thickBot="1">
      <c r="A983" s="164" t="s">
        <v>181</v>
      </c>
      <c r="B983" s="165"/>
      <c r="C983" s="74" t="e">
        <f>+D944</f>
        <v>#REF!</v>
      </c>
      <c r="D983" s="196" t="e">
        <f>+B983+C983</f>
        <v>#REF!</v>
      </c>
      <c r="F983" s="52"/>
      <c r="I983" s="49" t="s">
        <v>88</v>
      </c>
      <c r="J983" s="50"/>
    </row>
    <row r="984" spans="1:16" ht="16.5" thickBot="1">
      <c r="A984" s="169"/>
      <c r="B984" s="170">
        <f>SUM(B979:B983)</f>
        <v>310000</v>
      </c>
      <c r="C984" s="171" t="e">
        <f>SUM(C979:C983)</f>
        <v>#REF!</v>
      </c>
      <c r="D984" s="172" t="e">
        <f>SUM(D979:D983)</f>
        <v>#REF!</v>
      </c>
      <c r="I984" s="51" t="s">
        <v>89</v>
      </c>
    </row>
    <row r="985" spans="1:16" ht="16.5">
      <c r="A985" s="49" t="s">
        <v>88</v>
      </c>
      <c r="B985" s="50"/>
      <c r="I985" s="51" t="s">
        <v>90</v>
      </c>
    </row>
    <row r="986" spans="1:16">
      <c r="A986" s="51" t="s">
        <v>89</v>
      </c>
      <c r="I986" s="51" t="s">
        <v>91</v>
      </c>
    </row>
    <row r="987" spans="1:16" ht="6" customHeight="1">
      <c r="A987" s="51" t="s">
        <v>90</v>
      </c>
      <c r="I987" s="50"/>
      <c r="J987" s="50"/>
    </row>
    <row r="988" spans="1:16" ht="16.5">
      <c r="A988" s="51" t="s">
        <v>91</v>
      </c>
      <c r="I988" s="52" t="s">
        <v>836</v>
      </c>
      <c r="O988" s="52"/>
    </row>
    <row r="989" spans="1:16" ht="14.25" customHeight="1">
      <c r="A989" s="50"/>
      <c r="B989" s="50"/>
      <c r="I989" s="53" t="s">
        <v>1702</v>
      </c>
      <c r="O989" s="53"/>
    </row>
    <row r="990" spans="1:16" ht="16.5">
      <c r="A990" s="52" t="s">
        <v>470</v>
      </c>
      <c r="G990" s="52"/>
      <c r="I990" s="894" t="s">
        <v>1842</v>
      </c>
      <c r="J990" s="894"/>
      <c r="K990" s="894"/>
      <c r="L990" s="894"/>
      <c r="M990" s="894"/>
      <c r="N990" s="894"/>
      <c r="O990" s="894"/>
      <c r="P990" s="894"/>
    </row>
    <row r="991" spans="1:16" ht="17.25" customHeight="1" thickBot="1">
      <c r="A991" s="53" t="s">
        <v>92</v>
      </c>
      <c r="G991" s="53"/>
    </row>
    <row r="992" spans="1:16" ht="16.5">
      <c r="A992" s="894" t="s">
        <v>462</v>
      </c>
      <c r="B992" s="894"/>
      <c r="C992" s="894"/>
      <c r="D992" s="894"/>
      <c r="E992" s="894"/>
      <c r="F992" s="894"/>
      <c r="G992" s="894"/>
      <c r="H992" s="894"/>
      <c r="I992" s="895" t="s">
        <v>94</v>
      </c>
      <c r="J992" s="897" t="s">
        <v>95</v>
      </c>
      <c r="K992" s="897" t="s">
        <v>96</v>
      </c>
      <c r="L992" s="897" t="s">
        <v>3</v>
      </c>
      <c r="M992" s="897" t="s">
        <v>97</v>
      </c>
      <c r="N992" s="897" t="s">
        <v>98</v>
      </c>
      <c r="O992" s="897" t="s">
        <v>99</v>
      </c>
      <c r="P992" s="899"/>
    </row>
    <row r="993" spans="1:16" ht="15.75" thickBot="1">
      <c r="I993" s="896"/>
      <c r="J993" s="898"/>
      <c r="K993" s="898"/>
      <c r="L993" s="898"/>
      <c r="M993" s="898"/>
      <c r="N993" s="898"/>
      <c r="O993" s="240" t="s">
        <v>100</v>
      </c>
      <c r="P993" s="182" t="s">
        <v>101</v>
      </c>
    </row>
    <row r="994" spans="1:16" ht="14.25" customHeight="1">
      <c r="A994" s="895" t="s">
        <v>94</v>
      </c>
      <c r="B994" s="897" t="s">
        <v>95</v>
      </c>
      <c r="C994" s="897" t="s">
        <v>96</v>
      </c>
      <c r="D994" s="897" t="s">
        <v>3</v>
      </c>
      <c r="E994" s="897" t="s">
        <v>97</v>
      </c>
      <c r="F994" s="897" t="s">
        <v>98</v>
      </c>
      <c r="G994" s="897" t="s">
        <v>99</v>
      </c>
      <c r="H994" s="899"/>
      <c r="I994" s="873" t="s">
        <v>545</v>
      </c>
      <c r="J994" s="875">
        <v>43749</v>
      </c>
      <c r="K994" s="910" t="s">
        <v>555</v>
      </c>
      <c r="L994" s="881" t="s">
        <v>1819</v>
      </c>
      <c r="M994" s="881" t="s">
        <v>148</v>
      </c>
      <c r="N994" s="883">
        <v>-1750000</v>
      </c>
      <c r="O994" s="55">
        <v>723</v>
      </c>
      <c r="P994" s="78">
        <f>N994</f>
        <v>-1750000</v>
      </c>
    </row>
    <row r="995" spans="1:16" ht="12" customHeight="1" thickBot="1">
      <c r="A995" s="896"/>
      <c r="B995" s="898"/>
      <c r="C995" s="898"/>
      <c r="D995" s="898"/>
      <c r="E995" s="898"/>
      <c r="F995" s="898"/>
      <c r="G995" s="240" t="s">
        <v>100</v>
      </c>
      <c r="H995" s="182" t="s">
        <v>101</v>
      </c>
      <c r="I995" s="874"/>
      <c r="J995" s="876"/>
      <c r="K995" s="911"/>
      <c r="L995" s="882"/>
      <c r="M995" s="882"/>
      <c r="N995" s="884"/>
      <c r="O995" s="56">
        <v>721</v>
      </c>
      <c r="P995" s="79">
        <v>0</v>
      </c>
    </row>
    <row r="996" spans="1:16" ht="12.75" customHeight="1">
      <c r="A996" s="881" t="e">
        <f>+A957+1</f>
        <v>#REF!</v>
      </c>
      <c r="B996" s="875">
        <v>42345</v>
      </c>
      <c r="C996" s="877" t="s">
        <v>267</v>
      </c>
      <c r="D996" s="881" t="s">
        <v>475</v>
      </c>
      <c r="E996" s="881" t="s">
        <v>148</v>
      </c>
      <c r="F996" s="883">
        <v>420000</v>
      </c>
      <c r="G996" s="55">
        <v>719</v>
      </c>
      <c r="H996" s="78">
        <f>+F996-H997</f>
        <v>300000</v>
      </c>
      <c r="I996" s="873" t="s">
        <v>1843</v>
      </c>
      <c r="J996" s="875">
        <v>43749</v>
      </c>
      <c r="K996" s="881" t="s">
        <v>1091</v>
      </c>
      <c r="L996" s="881" t="s">
        <v>1844</v>
      </c>
      <c r="M996" s="881" t="s">
        <v>148</v>
      </c>
      <c r="N996" s="883">
        <v>1020000</v>
      </c>
      <c r="O996" s="55">
        <v>719</v>
      </c>
      <c r="P996" s="78">
        <v>1020000</v>
      </c>
    </row>
    <row r="997" spans="1:16" ht="13.5" customHeight="1" thickBot="1">
      <c r="A997" s="882"/>
      <c r="B997" s="876"/>
      <c r="C997" s="878"/>
      <c r="D997" s="882"/>
      <c r="E997" s="882"/>
      <c r="F997" s="884"/>
      <c r="G997" s="56">
        <v>721</v>
      </c>
      <c r="H997" s="79">
        <v>120000</v>
      </c>
      <c r="I997" s="874"/>
      <c r="J997" s="876"/>
      <c r="K997" s="882"/>
      <c r="L997" s="882"/>
      <c r="M997" s="882"/>
      <c r="N997" s="884"/>
      <c r="O997" s="56">
        <v>721</v>
      </c>
      <c r="P997" s="79">
        <f>+N996-P996</f>
        <v>0</v>
      </c>
    </row>
    <row r="998" spans="1:16" ht="13.5" customHeight="1">
      <c r="A998" s="881" t="e">
        <f>+A996+1</f>
        <v>#REF!</v>
      </c>
      <c r="B998" s="875">
        <v>42345</v>
      </c>
      <c r="C998" s="881" t="s">
        <v>28</v>
      </c>
      <c r="D998" s="881" t="s">
        <v>476</v>
      </c>
      <c r="E998" s="881" t="s">
        <v>148</v>
      </c>
      <c r="F998" s="883">
        <v>714000</v>
      </c>
      <c r="G998" s="55">
        <v>719</v>
      </c>
      <c r="H998" s="78">
        <v>510000</v>
      </c>
      <c r="I998" s="881">
        <f>+I996+1</f>
        <v>107</v>
      </c>
      <c r="J998" s="875">
        <v>43749</v>
      </c>
      <c r="K998" s="881" t="s">
        <v>1091</v>
      </c>
      <c r="L998" s="881" t="s">
        <v>1845</v>
      </c>
      <c r="M998" s="881" t="s">
        <v>148</v>
      </c>
      <c r="N998" s="883">
        <v>2430000</v>
      </c>
      <c r="O998" s="55">
        <v>719</v>
      </c>
      <c r="P998" s="78">
        <v>2430000</v>
      </c>
    </row>
    <row r="999" spans="1:16" ht="13.5" customHeight="1" thickBot="1">
      <c r="A999" s="882"/>
      <c r="B999" s="876"/>
      <c r="C999" s="882"/>
      <c r="D999" s="882"/>
      <c r="E999" s="882"/>
      <c r="F999" s="884"/>
      <c r="G999" s="56">
        <v>721</v>
      </c>
      <c r="H999" s="79">
        <f>+F998-H998</f>
        <v>204000</v>
      </c>
      <c r="I999" s="882"/>
      <c r="J999" s="876"/>
      <c r="K999" s="882"/>
      <c r="L999" s="882"/>
      <c r="M999" s="882"/>
      <c r="N999" s="884"/>
      <c r="O999" s="56">
        <v>721</v>
      </c>
      <c r="P999" s="79">
        <f>+N998-P998</f>
        <v>0</v>
      </c>
    </row>
    <row r="1000" spans="1:16" ht="13.5" customHeight="1">
      <c r="A1000" s="881" t="e">
        <f>+A998+1</f>
        <v>#REF!</v>
      </c>
      <c r="B1000" s="875">
        <v>42345</v>
      </c>
      <c r="C1000" s="877" t="s">
        <v>32</v>
      </c>
      <c r="D1000" s="881" t="s">
        <v>476</v>
      </c>
      <c r="E1000" s="881" t="s">
        <v>148</v>
      </c>
      <c r="F1000" s="883">
        <v>140000</v>
      </c>
      <c r="G1000" s="55">
        <v>719</v>
      </c>
      <c r="H1000" s="78">
        <v>100000</v>
      </c>
      <c r="I1000" s="881">
        <f>+I998+1</f>
        <v>108</v>
      </c>
      <c r="J1000" s="875">
        <v>43749</v>
      </c>
      <c r="K1000" s="881" t="s">
        <v>1091</v>
      </c>
      <c r="L1000" s="881" t="s">
        <v>1846</v>
      </c>
      <c r="M1000" s="881" t="s">
        <v>148</v>
      </c>
      <c r="N1000" s="883">
        <v>370000</v>
      </c>
      <c r="O1000" s="55">
        <v>719</v>
      </c>
      <c r="P1000" s="78">
        <v>370000</v>
      </c>
    </row>
    <row r="1001" spans="1:16" ht="12.75" customHeight="1" thickBot="1">
      <c r="A1001" s="882"/>
      <c r="B1001" s="876"/>
      <c r="C1001" s="878"/>
      <c r="D1001" s="882"/>
      <c r="E1001" s="882"/>
      <c r="F1001" s="884"/>
      <c r="G1001" s="56">
        <v>721</v>
      </c>
      <c r="H1001" s="79">
        <f>+F1000-H1000</f>
        <v>40000</v>
      </c>
      <c r="I1001" s="882"/>
      <c r="J1001" s="876"/>
      <c r="K1001" s="882"/>
      <c r="L1001" s="882"/>
      <c r="M1001" s="882"/>
      <c r="N1001" s="884"/>
      <c r="O1001" s="56">
        <v>721</v>
      </c>
      <c r="P1001" s="79">
        <f>+N1000-P1000</f>
        <v>0</v>
      </c>
    </row>
    <row r="1002" spans="1:16" ht="13.5" customHeight="1">
      <c r="A1002" s="881" t="e">
        <f>+A1000+1</f>
        <v>#REF!</v>
      </c>
      <c r="B1002" s="875">
        <v>42345</v>
      </c>
      <c r="C1002" s="877" t="s">
        <v>111</v>
      </c>
      <c r="D1002" s="881" t="s">
        <v>474</v>
      </c>
      <c r="E1002" s="881" t="s">
        <v>148</v>
      </c>
      <c r="F1002" s="883">
        <v>336000</v>
      </c>
      <c r="G1002" s="55">
        <v>719</v>
      </c>
      <c r="H1002" s="78">
        <v>240000</v>
      </c>
      <c r="I1002" s="881">
        <f>+I1000+1</f>
        <v>109</v>
      </c>
      <c r="J1002" s="875">
        <v>43749</v>
      </c>
      <c r="K1002" s="881" t="s">
        <v>815</v>
      </c>
      <c r="L1002" s="881" t="s">
        <v>1851</v>
      </c>
      <c r="M1002" s="881" t="s">
        <v>148</v>
      </c>
      <c r="N1002" s="883">
        <v>1039500</v>
      </c>
      <c r="O1002" s="55">
        <v>719</v>
      </c>
      <c r="P1002" s="78">
        <v>770000</v>
      </c>
    </row>
    <row r="1003" spans="1:16" ht="14.25" customHeight="1" thickBot="1">
      <c r="A1003" s="882"/>
      <c r="B1003" s="876"/>
      <c r="C1003" s="878"/>
      <c r="D1003" s="882"/>
      <c r="E1003" s="882"/>
      <c r="F1003" s="884"/>
      <c r="G1003" s="56">
        <v>721</v>
      </c>
      <c r="H1003" s="79">
        <f>+F1002-H1002</f>
        <v>96000</v>
      </c>
      <c r="I1003" s="882"/>
      <c r="J1003" s="876"/>
      <c r="K1003" s="882"/>
      <c r="L1003" s="882"/>
      <c r="M1003" s="882"/>
      <c r="N1003" s="884"/>
      <c r="O1003" s="56">
        <v>721</v>
      </c>
      <c r="P1003" s="79">
        <f>+N1002-P1002</f>
        <v>269500</v>
      </c>
    </row>
    <row r="1004" spans="1:16" ht="16.5" customHeight="1" thickBot="1">
      <c r="A1004" s="881" t="e">
        <f>+A1002+1</f>
        <v>#REF!</v>
      </c>
      <c r="B1004" s="875">
        <v>42345</v>
      </c>
      <c r="C1004" s="877" t="s">
        <v>272</v>
      </c>
      <c r="D1004" s="881" t="s">
        <v>474</v>
      </c>
      <c r="E1004" s="881" t="s">
        <v>148</v>
      </c>
      <c r="F1004" s="883">
        <v>2058000</v>
      </c>
      <c r="G1004" s="55">
        <v>719</v>
      </c>
      <c r="H1004" s="78">
        <v>1470000</v>
      </c>
      <c r="I1004" s="901" t="s">
        <v>102</v>
      </c>
      <c r="J1004" s="902"/>
      <c r="K1004" s="902"/>
      <c r="L1004" s="902"/>
      <c r="M1004" s="903"/>
      <c r="N1004" s="81">
        <f>SUM(N994:N1003)</f>
        <v>3109500</v>
      </c>
    </row>
    <row r="1005" spans="1:16" ht="16.5" customHeight="1" thickBot="1">
      <c r="A1005" s="882"/>
      <c r="B1005" s="876"/>
      <c r="C1005" s="878"/>
      <c r="D1005" s="882"/>
      <c r="E1005" s="882"/>
      <c r="F1005" s="884"/>
      <c r="G1005" s="56">
        <v>721</v>
      </c>
      <c r="H1005" s="79">
        <f>+F1004-H1004</f>
        <v>588000</v>
      </c>
      <c r="I1005" s="885" t="s">
        <v>103</v>
      </c>
      <c r="J1005" s="886"/>
      <c r="K1005" s="886"/>
      <c r="L1005" s="886"/>
      <c r="M1005" s="887"/>
      <c r="N1005" s="69">
        <f>+N969</f>
        <v>418331234</v>
      </c>
      <c r="O1005" s="241" t="s">
        <v>561</v>
      </c>
      <c r="P1005" s="242">
        <f>211+326+266+410+2+7+113</f>
        <v>1335</v>
      </c>
    </row>
    <row r="1006" spans="1:16" ht="16.5" thickBot="1">
      <c r="A1006" s="901" t="s">
        <v>102</v>
      </c>
      <c r="B1006" s="902"/>
      <c r="C1006" s="902"/>
      <c r="D1006" s="902"/>
      <c r="E1006" s="903"/>
      <c r="F1006" s="81">
        <f>SUM(F996:F1005)</f>
        <v>3668000</v>
      </c>
      <c r="I1006" s="888" t="s">
        <v>104</v>
      </c>
      <c r="J1006" s="889"/>
      <c r="K1006" s="889"/>
      <c r="L1006" s="889"/>
      <c r="M1006" s="890"/>
      <c r="N1006" s="183">
        <f>SUM(N1004:N1005)</f>
        <v>421440734</v>
      </c>
    </row>
    <row r="1007" spans="1:16" ht="16.5" thickBot="1">
      <c r="A1007" s="885" t="s">
        <v>103</v>
      </c>
      <c r="B1007" s="886"/>
      <c r="C1007" s="886"/>
      <c r="D1007" s="886"/>
      <c r="E1007" s="887"/>
      <c r="F1007" s="69">
        <f>+F971</f>
        <v>657317638</v>
      </c>
      <c r="I1007" s="61"/>
      <c r="J1007" s="61"/>
      <c r="K1007" s="61"/>
      <c r="L1007" s="61"/>
      <c r="M1007" s="61"/>
    </row>
    <row r="1008" spans="1:16" ht="16.5" thickBot="1">
      <c r="A1008" s="888" t="s">
        <v>104</v>
      </c>
      <c r="B1008" s="889"/>
      <c r="C1008" s="889"/>
      <c r="D1008" s="889"/>
      <c r="E1008" s="890"/>
      <c r="F1008" s="183">
        <f>SUM(F1006:F1007)</f>
        <v>660985638</v>
      </c>
      <c r="I1008" s="51" t="s">
        <v>1849</v>
      </c>
    </row>
    <row r="1009" spans="1:16" ht="8.25" customHeight="1">
      <c r="A1009" s="61"/>
      <c r="B1009" s="61"/>
      <c r="C1009" s="61"/>
      <c r="D1009" s="61"/>
      <c r="E1009" s="61"/>
      <c r="N1009" s="139"/>
    </row>
    <row r="1010" spans="1:16" ht="18" customHeight="1">
      <c r="A1010" s="51" t="s">
        <v>477</v>
      </c>
      <c r="I1010" s="50" t="s">
        <v>105</v>
      </c>
      <c r="L1010" s="146"/>
      <c r="N1010" s="139"/>
    </row>
    <row r="1011" spans="1:16" ht="9.75" customHeight="1" thickBot="1">
      <c r="F1011" s="139"/>
    </row>
    <row r="1012" spans="1:16" ht="16.5" customHeight="1" thickBot="1">
      <c r="A1012" s="50" t="s">
        <v>105</v>
      </c>
      <c r="D1012" s="146"/>
      <c r="F1012" s="139"/>
      <c r="I1012" s="891" t="s">
        <v>106</v>
      </c>
      <c r="J1012" s="892"/>
      <c r="K1012" s="892"/>
      <c r="L1012" s="893"/>
      <c r="N1012" s="30" t="s">
        <v>1126</v>
      </c>
    </row>
    <row r="1013" spans="1:16" ht="11.25" customHeight="1" thickBot="1">
      <c r="I1013" s="57" t="s">
        <v>100</v>
      </c>
      <c r="J1013" s="58" t="s">
        <v>108</v>
      </c>
      <c r="K1013" s="59" t="s">
        <v>109</v>
      </c>
      <c r="L1013" s="60" t="s">
        <v>110</v>
      </c>
    </row>
    <row r="1014" spans="1:16" ht="15.75" thickBot="1">
      <c r="A1014" s="891" t="s">
        <v>106</v>
      </c>
      <c r="B1014" s="892"/>
      <c r="C1014" s="892"/>
      <c r="D1014" s="893"/>
      <c r="F1014" s="50" t="s">
        <v>288</v>
      </c>
      <c r="I1014" s="71">
        <v>719</v>
      </c>
      <c r="J1014" s="73">
        <f>+P996+P998+P1000+P1002</f>
        <v>4590000</v>
      </c>
      <c r="K1014" s="74">
        <f>+L977</f>
        <v>14600000</v>
      </c>
      <c r="L1014" s="195">
        <f>+J1014+K1014</f>
        <v>19190000</v>
      </c>
    </row>
    <row r="1015" spans="1:16" ht="15.75" customHeight="1" thickBot="1">
      <c r="A1015" s="57" t="s">
        <v>100</v>
      </c>
      <c r="B1015" s="58" t="s">
        <v>108</v>
      </c>
      <c r="C1015" s="59" t="s">
        <v>109</v>
      </c>
      <c r="D1015" s="60" t="s">
        <v>110</v>
      </c>
      <c r="I1015" s="72">
        <v>721</v>
      </c>
      <c r="J1015" s="80">
        <f>+P995+P997+P999+P1001+P1003</f>
        <v>269500</v>
      </c>
      <c r="K1015" s="74">
        <f>+L978</f>
        <v>2040500</v>
      </c>
      <c r="L1015" s="195">
        <f>+J1015+K1015</f>
        <v>2310000</v>
      </c>
    </row>
    <row r="1016" spans="1:16">
      <c r="A1016" s="71">
        <v>719</v>
      </c>
      <c r="B1016" s="73">
        <f>+H996+H998+H1000+H1002+H1004</f>
        <v>2620000</v>
      </c>
      <c r="C1016" s="74" t="e">
        <f>+D979</f>
        <v>#REF!</v>
      </c>
      <c r="D1016" s="195" t="e">
        <f>+B1016+C1016</f>
        <v>#REF!</v>
      </c>
      <c r="I1016" s="72">
        <v>722</v>
      </c>
      <c r="J1016" s="80"/>
      <c r="K1016" s="74">
        <f>+L979</f>
        <v>0</v>
      </c>
      <c r="L1016" s="195">
        <f>+J1016+K1016</f>
        <v>0</v>
      </c>
    </row>
    <row r="1017" spans="1:16" ht="15.75">
      <c r="A1017" s="72">
        <v>721</v>
      </c>
      <c r="B1017" s="80">
        <f>+H1005+H1003+H1001+H999+H997</f>
        <v>1048000</v>
      </c>
      <c r="C1017" s="74" t="e">
        <f>+D980</f>
        <v>#REF!</v>
      </c>
      <c r="D1017" s="195" t="e">
        <f>+B1017+C1017</f>
        <v>#REF!</v>
      </c>
      <c r="I1017" s="72">
        <v>723</v>
      </c>
      <c r="J1017" s="80">
        <f>+P994</f>
        <v>-1750000</v>
      </c>
      <c r="K1017" s="74">
        <f>+L980</f>
        <v>401690734</v>
      </c>
      <c r="L1017" s="195">
        <f>+J1017+K1017</f>
        <v>399940734</v>
      </c>
      <c r="N1017" s="918" t="s">
        <v>1850</v>
      </c>
      <c r="O1017" s="918"/>
      <c r="P1017" s="918"/>
    </row>
    <row r="1018" spans="1:16" ht="16.5" thickBot="1">
      <c r="A1018" s="72">
        <v>722</v>
      </c>
      <c r="B1018" s="80"/>
      <c r="C1018" s="74">
        <f>+D981</f>
        <v>231207671</v>
      </c>
      <c r="D1018" s="195">
        <f>+B1018+C1018</f>
        <v>231207671</v>
      </c>
      <c r="I1018" s="164" t="s">
        <v>181</v>
      </c>
      <c r="J1018" s="165"/>
      <c r="K1018" s="74">
        <f>+L981</f>
        <v>0</v>
      </c>
      <c r="L1018" s="196">
        <f>+J1018+K1018</f>
        <v>0</v>
      </c>
      <c r="N1018" s="52"/>
    </row>
    <row r="1019" spans="1:16" ht="16.5" thickBot="1">
      <c r="A1019" s="72">
        <v>723</v>
      </c>
      <c r="B1019" s="80"/>
      <c r="C1019" s="74">
        <f>+D982</f>
        <v>323193545</v>
      </c>
      <c r="D1019" s="195">
        <f>+B1019+C1019</f>
        <v>323193545</v>
      </c>
      <c r="F1019" s="174" t="s">
        <v>23</v>
      </c>
      <c r="G1019" s="175"/>
      <c r="I1019" s="169"/>
      <c r="J1019" s="197">
        <f>SUM(J1014:J1018)</f>
        <v>3109500</v>
      </c>
      <c r="K1019" s="197">
        <f>SUM(K1014:K1018)</f>
        <v>418331234</v>
      </c>
      <c r="L1019" s="198">
        <f>SUM(L1014:L1018)</f>
        <v>421440734</v>
      </c>
    </row>
    <row r="1020" spans="1:16" ht="16.5">
      <c r="A1020" s="49" t="s">
        <v>88</v>
      </c>
      <c r="B1020" s="50"/>
      <c r="I1020" s="49" t="s">
        <v>88</v>
      </c>
      <c r="J1020" s="50"/>
    </row>
    <row r="1021" spans="1:16">
      <c r="A1021" s="51" t="s">
        <v>89</v>
      </c>
      <c r="I1021" s="51" t="s">
        <v>89</v>
      </c>
    </row>
    <row r="1022" spans="1:16">
      <c r="A1022" s="51" t="s">
        <v>90</v>
      </c>
      <c r="I1022" s="51" t="s">
        <v>90</v>
      </c>
    </row>
    <row r="1023" spans="1:16">
      <c r="A1023" s="51" t="s">
        <v>91</v>
      </c>
      <c r="I1023" s="51" t="s">
        <v>91</v>
      </c>
    </row>
    <row r="1024" spans="1:16" ht="12" customHeight="1">
      <c r="A1024" s="50"/>
      <c r="B1024" s="50"/>
      <c r="I1024" s="50"/>
      <c r="J1024" s="50"/>
    </row>
    <row r="1025" spans="1:16" ht="16.5">
      <c r="A1025" s="52" t="s">
        <v>471</v>
      </c>
      <c r="G1025" s="52"/>
      <c r="I1025" s="260" t="s">
        <v>840</v>
      </c>
      <c r="O1025" s="52"/>
    </row>
    <row r="1026" spans="1:16" ht="15.75">
      <c r="A1026" s="53" t="s">
        <v>92</v>
      </c>
      <c r="G1026" s="53"/>
      <c r="I1026" s="53" t="s">
        <v>1702</v>
      </c>
      <c r="O1026" s="53"/>
    </row>
    <row r="1027" spans="1:16" ht="16.5">
      <c r="A1027" s="894" t="s">
        <v>462</v>
      </c>
      <c r="B1027" s="894"/>
      <c r="C1027" s="894"/>
      <c r="D1027" s="894"/>
      <c r="E1027" s="894"/>
      <c r="F1027" s="894"/>
      <c r="G1027" s="894"/>
      <c r="H1027" s="894"/>
      <c r="I1027" s="894" t="s">
        <v>1852</v>
      </c>
      <c r="J1027" s="894"/>
      <c r="K1027" s="894"/>
      <c r="L1027" s="894"/>
      <c r="M1027" s="894"/>
      <c r="N1027" s="894"/>
      <c r="O1027" s="894"/>
      <c r="P1027" s="894"/>
    </row>
    <row r="1028" spans="1:16" ht="11.25" customHeight="1" thickBot="1"/>
    <row r="1029" spans="1:16">
      <c r="A1029" s="895" t="s">
        <v>94</v>
      </c>
      <c r="B1029" s="897" t="s">
        <v>95</v>
      </c>
      <c r="C1029" s="897" t="s">
        <v>96</v>
      </c>
      <c r="D1029" s="897" t="s">
        <v>3</v>
      </c>
      <c r="E1029" s="897" t="s">
        <v>97</v>
      </c>
      <c r="F1029" s="897" t="s">
        <v>98</v>
      </c>
      <c r="G1029" s="897" t="s">
        <v>99</v>
      </c>
      <c r="H1029" s="899"/>
      <c r="I1029" s="895" t="s">
        <v>94</v>
      </c>
      <c r="J1029" s="897" t="s">
        <v>95</v>
      </c>
      <c r="K1029" s="897" t="s">
        <v>96</v>
      </c>
      <c r="L1029" s="897" t="s">
        <v>3</v>
      </c>
      <c r="M1029" s="897" t="s">
        <v>97</v>
      </c>
      <c r="N1029" s="897" t="s">
        <v>98</v>
      </c>
      <c r="O1029" s="897" t="s">
        <v>99</v>
      </c>
      <c r="P1029" s="899"/>
    </row>
    <row r="1030" spans="1:16" ht="15.75" thickBot="1">
      <c r="A1030" s="896"/>
      <c r="B1030" s="898"/>
      <c r="C1030" s="898"/>
      <c r="D1030" s="898"/>
      <c r="E1030" s="898"/>
      <c r="F1030" s="898"/>
      <c r="G1030" s="240" t="s">
        <v>100</v>
      </c>
      <c r="H1030" s="182" t="s">
        <v>101</v>
      </c>
      <c r="I1030" s="896"/>
      <c r="J1030" s="898"/>
      <c r="K1030" s="898"/>
      <c r="L1030" s="898"/>
      <c r="M1030" s="898"/>
      <c r="N1030" s="898"/>
      <c r="O1030" s="240" t="s">
        <v>100</v>
      </c>
      <c r="P1030" s="182" t="s">
        <v>101</v>
      </c>
    </row>
    <row r="1031" spans="1:16" ht="15" customHeight="1">
      <c r="A1031" s="881" t="e">
        <f>+A1004+1</f>
        <v>#REF!</v>
      </c>
      <c r="B1031" s="875">
        <v>42345</v>
      </c>
      <c r="C1031" s="877" t="s">
        <v>31</v>
      </c>
      <c r="D1031" s="881" t="s">
        <v>478</v>
      </c>
      <c r="E1031" s="881" t="s">
        <v>115</v>
      </c>
      <c r="F1031" s="883">
        <v>110000</v>
      </c>
      <c r="G1031" s="55">
        <v>719</v>
      </c>
      <c r="H1031" s="78">
        <f>+F1031</f>
        <v>110000</v>
      </c>
      <c r="I1031" s="873" t="s">
        <v>1856</v>
      </c>
      <c r="J1031" s="875">
        <v>43007</v>
      </c>
      <c r="K1031" s="877" t="s">
        <v>1315</v>
      </c>
      <c r="L1031" s="881" t="s">
        <v>1854</v>
      </c>
      <c r="M1031" s="881" t="s">
        <v>148</v>
      </c>
      <c r="N1031" s="883">
        <v>4005550</v>
      </c>
      <c r="O1031" s="55">
        <v>723</v>
      </c>
      <c r="P1031" s="78">
        <v>4005550</v>
      </c>
    </row>
    <row r="1032" spans="1:16" ht="15.75" customHeight="1" thickBot="1">
      <c r="A1032" s="882"/>
      <c r="B1032" s="876"/>
      <c r="C1032" s="878"/>
      <c r="D1032" s="882"/>
      <c r="E1032" s="882"/>
      <c r="F1032" s="884"/>
      <c r="G1032" s="56">
        <v>721</v>
      </c>
      <c r="H1032" s="79">
        <f>+F1031-H1031</f>
        <v>0</v>
      </c>
      <c r="I1032" s="874"/>
      <c r="J1032" s="876"/>
      <c r="K1032" s="878"/>
      <c r="L1032" s="882"/>
      <c r="M1032" s="882"/>
      <c r="N1032" s="884"/>
      <c r="O1032" s="56">
        <v>721</v>
      </c>
      <c r="P1032" s="79">
        <f>+N1031-P1031</f>
        <v>0</v>
      </c>
    </row>
    <row r="1033" spans="1:16" ht="12.75" customHeight="1">
      <c r="A1033" s="881" t="e">
        <f>+A1031+1</f>
        <v>#REF!</v>
      </c>
      <c r="B1033" s="875">
        <v>42345</v>
      </c>
      <c r="C1033" s="881" t="s">
        <v>472</v>
      </c>
      <c r="D1033" s="881" t="s">
        <v>479</v>
      </c>
      <c r="E1033" s="881" t="s">
        <v>115</v>
      </c>
      <c r="F1033" s="883">
        <v>60000</v>
      </c>
      <c r="G1033" s="55">
        <v>719</v>
      </c>
      <c r="H1033" s="78">
        <v>60000</v>
      </c>
      <c r="I1033" s="881">
        <f>+I1031+1</f>
        <v>111</v>
      </c>
      <c r="J1033" s="875">
        <v>43007</v>
      </c>
      <c r="K1033" s="877" t="s">
        <v>1853</v>
      </c>
      <c r="L1033" s="881" t="s">
        <v>1660</v>
      </c>
      <c r="M1033" s="881" t="s">
        <v>145</v>
      </c>
      <c r="N1033" s="883">
        <v>42881706</v>
      </c>
      <c r="O1033" s="55">
        <v>722</v>
      </c>
      <c r="P1033" s="78">
        <v>42881706</v>
      </c>
    </row>
    <row r="1034" spans="1:16" ht="15.75" customHeight="1" thickBot="1">
      <c r="A1034" s="882"/>
      <c r="B1034" s="876"/>
      <c r="C1034" s="882"/>
      <c r="D1034" s="882"/>
      <c r="E1034" s="882"/>
      <c r="F1034" s="884"/>
      <c r="G1034" s="56">
        <v>721</v>
      </c>
      <c r="H1034" s="79">
        <f>+F1033-H1033</f>
        <v>0</v>
      </c>
      <c r="I1034" s="882"/>
      <c r="J1034" s="876"/>
      <c r="K1034" s="878"/>
      <c r="L1034" s="882"/>
      <c r="M1034" s="882"/>
      <c r="N1034" s="884"/>
      <c r="O1034" s="56">
        <v>721</v>
      </c>
      <c r="P1034" s="79">
        <f>+N1033-P1033</f>
        <v>0</v>
      </c>
    </row>
    <row r="1035" spans="1:16" ht="15" customHeight="1">
      <c r="A1035" s="881"/>
      <c r="B1035" s="875"/>
      <c r="C1035" s="877"/>
      <c r="D1035" s="881"/>
      <c r="E1035" s="881"/>
      <c r="F1035" s="883"/>
      <c r="G1035" s="55">
        <v>719</v>
      </c>
      <c r="H1035" s="78"/>
      <c r="I1035" s="881">
        <f>+I1033+1</f>
        <v>112</v>
      </c>
      <c r="J1035" s="875">
        <v>43007</v>
      </c>
      <c r="K1035" s="877" t="s">
        <v>815</v>
      </c>
      <c r="L1035" s="881" t="s">
        <v>1855</v>
      </c>
      <c r="M1035" s="881" t="s">
        <v>775</v>
      </c>
      <c r="N1035" s="883">
        <v>1012500</v>
      </c>
      <c r="O1035" s="55">
        <v>719</v>
      </c>
      <c r="P1035" s="78">
        <v>750000</v>
      </c>
    </row>
    <row r="1036" spans="1:16" ht="15" customHeight="1" thickBot="1">
      <c r="A1036" s="882"/>
      <c r="B1036" s="876"/>
      <c r="C1036" s="878"/>
      <c r="D1036" s="882"/>
      <c r="E1036" s="882"/>
      <c r="F1036" s="884"/>
      <c r="G1036" s="56">
        <v>721</v>
      </c>
      <c r="H1036" s="79">
        <f>+F1035-H1035</f>
        <v>0</v>
      </c>
      <c r="I1036" s="882"/>
      <c r="J1036" s="876"/>
      <c r="K1036" s="878"/>
      <c r="L1036" s="882"/>
      <c r="M1036" s="882"/>
      <c r="N1036" s="884"/>
      <c r="O1036" s="56">
        <v>721</v>
      </c>
      <c r="P1036" s="79">
        <f>+N1035-P1035</f>
        <v>262500</v>
      </c>
    </row>
    <row r="1037" spans="1:16" ht="13.5" customHeight="1">
      <c r="A1037" s="881"/>
      <c r="B1037" s="875"/>
      <c r="C1037" s="877"/>
      <c r="D1037" s="881"/>
      <c r="E1037" s="881"/>
      <c r="F1037" s="883"/>
      <c r="G1037" s="55">
        <v>719</v>
      </c>
      <c r="H1037" s="78"/>
      <c r="I1037" s="881">
        <f>+I1035+1</f>
        <v>113</v>
      </c>
      <c r="J1037" s="875">
        <v>43007</v>
      </c>
      <c r="K1037" s="877" t="s">
        <v>899</v>
      </c>
      <c r="L1037" s="881" t="s">
        <v>1495</v>
      </c>
      <c r="M1037" s="881" t="s">
        <v>165</v>
      </c>
      <c r="N1037" s="883"/>
      <c r="O1037" s="55">
        <v>723</v>
      </c>
      <c r="P1037" s="78"/>
    </row>
    <row r="1038" spans="1:16" ht="14.25" customHeight="1" thickBot="1">
      <c r="A1038" s="882"/>
      <c r="B1038" s="876"/>
      <c r="C1038" s="878"/>
      <c r="D1038" s="882"/>
      <c r="E1038" s="882"/>
      <c r="F1038" s="884"/>
      <c r="G1038" s="56">
        <v>721</v>
      </c>
      <c r="H1038" s="79">
        <f>+F1037-H1037</f>
        <v>0</v>
      </c>
      <c r="I1038" s="882"/>
      <c r="J1038" s="876"/>
      <c r="K1038" s="878"/>
      <c r="L1038" s="882"/>
      <c r="M1038" s="882"/>
      <c r="N1038" s="884"/>
      <c r="O1038" s="56">
        <v>721</v>
      </c>
      <c r="P1038" s="79">
        <f>+N1037-P1037</f>
        <v>0</v>
      </c>
    </row>
    <row r="1039" spans="1:16" ht="16.5" thickBot="1">
      <c r="A1039" s="901" t="s">
        <v>102</v>
      </c>
      <c r="B1039" s="902"/>
      <c r="C1039" s="902"/>
      <c r="D1039" s="902"/>
      <c r="E1039" s="903"/>
      <c r="F1039" s="81">
        <f>SUM(F1031:F1038)</f>
        <v>170000</v>
      </c>
      <c r="I1039" s="901" t="s">
        <v>102</v>
      </c>
      <c r="J1039" s="902"/>
      <c r="K1039" s="902"/>
      <c r="L1039" s="902"/>
      <c r="M1039" s="903"/>
      <c r="N1039" s="81">
        <f>SUM(N1031:N1038)</f>
        <v>47899756</v>
      </c>
    </row>
    <row r="1040" spans="1:16" ht="16.5" thickBot="1">
      <c r="A1040" s="885" t="s">
        <v>103</v>
      </c>
      <c r="B1040" s="886"/>
      <c r="C1040" s="886"/>
      <c r="D1040" s="886"/>
      <c r="E1040" s="887"/>
      <c r="F1040" s="69">
        <f>+F1008</f>
        <v>660985638</v>
      </c>
      <c r="I1040" s="885" t="s">
        <v>103</v>
      </c>
      <c r="J1040" s="886"/>
      <c r="K1040" s="886"/>
      <c r="L1040" s="886"/>
      <c r="M1040" s="887"/>
      <c r="N1040" s="69">
        <f>+N1006</f>
        <v>421440734</v>
      </c>
      <c r="O1040" s="241" t="s">
        <v>561</v>
      </c>
      <c r="P1040" s="242"/>
    </row>
    <row r="1041" spans="1:16" ht="16.5" thickBot="1">
      <c r="A1041" s="888" t="s">
        <v>104</v>
      </c>
      <c r="B1041" s="889"/>
      <c r="C1041" s="889"/>
      <c r="D1041" s="889"/>
      <c r="E1041" s="890"/>
      <c r="F1041" s="183">
        <f>SUM(F1039:F1040)</f>
        <v>661155638</v>
      </c>
      <c r="I1041" s="888" t="s">
        <v>104</v>
      </c>
      <c r="J1041" s="889"/>
      <c r="K1041" s="889"/>
      <c r="L1041" s="889"/>
      <c r="M1041" s="890"/>
      <c r="N1041" s="183">
        <f>SUM(N1039:N1040)</f>
        <v>469340490</v>
      </c>
    </row>
    <row r="1042" spans="1:16" ht="11.25" customHeight="1">
      <c r="A1042" s="61"/>
      <c r="B1042" s="61"/>
      <c r="C1042" s="61"/>
      <c r="D1042" s="61"/>
      <c r="E1042" s="61"/>
      <c r="I1042" s="61"/>
      <c r="J1042" s="61"/>
      <c r="K1042" s="61"/>
      <c r="L1042" s="61"/>
      <c r="M1042" s="61"/>
    </row>
    <row r="1043" spans="1:16">
      <c r="A1043" s="51" t="s">
        <v>480</v>
      </c>
      <c r="I1043" s="51" t="s">
        <v>849</v>
      </c>
    </row>
    <row r="1044" spans="1:16" ht="9.75" customHeight="1">
      <c r="F1044" s="139"/>
      <c r="N1044" s="139"/>
    </row>
    <row r="1045" spans="1:16">
      <c r="A1045" s="50" t="s">
        <v>105</v>
      </c>
      <c r="D1045" s="146"/>
      <c r="F1045" s="139"/>
      <c r="I1045" s="50" t="s">
        <v>105</v>
      </c>
      <c r="L1045" s="146"/>
      <c r="N1045" s="139"/>
    </row>
    <row r="1046" spans="1:16" ht="12" customHeight="1" thickBot="1"/>
    <row r="1047" spans="1:16" ht="15.75" thickBot="1">
      <c r="A1047" s="891" t="s">
        <v>106</v>
      </c>
      <c r="B1047" s="892"/>
      <c r="C1047" s="892"/>
      <c r="D1047" s="893"/>
      <c r="F1047" s="50" t="s">
        <v>288</v>
      </c>
      <c r="I1047" s="891" t="s">
        <v>106</v>
      </c>
      <c r="J1047" s="892"/>
      <c r="K1047" s="892"/>
      <c r="L1047" s="893"/>
      <c r="N1047" s="50" t="s">
        <v>1126</v>
      </c>
    </row>
    <row r="1048" spans="1:16" ht="30.75" thickBot="1">
      <c r="A1048" s="57" t="s">
        <v>100</v>
      </c>
      <c r="B1048" s="58" t="s">
        <v>108</v>
      </c>
      <c r="C1048" s="59" t="s">
        <v>109</v>
      </c>
      <c r="D1048" s="60" t="s">
        <v>110</v>
      </c>
      <c r="I1048" s="57" t="s">
        <v>100</v>
      </c>
      <c r="J1048" s="58" t="s">
        <v>108</v>
      </c>
      <c r="K1048" s="59" t="s">
        <v>109</v>
      </c>
      <c r="L1048" s="60" t="s">
        <v>110</v>
      </c>
    </row>
    <row r="1049" spans="1:16" ht="13.5" customHeight="1">
      <c r="A1049" s="71">
        <v>719</v>
      </c>
      <c r="B1049" s="73" t="e">
        <f>+H1031+H1033+H1035+#REF!</f>
        <v>#REF!</v>
      </c>
      <c r="C1049" s="74" t="e">
        <f>+D1016</f>
        <v>#REF!</v>
      </c>
      <c r="D1049" s="195" t="e">
        <f>+B1049+C1049</f>
        <v>#REF!</v>
      </c>
      <c r="I1049" s="71">
        <v>719</v>
      </c>
      <c r="J1049" s="73">
        <f>+P1035</f>
        <v>750000</v>
      </c>
      <c r="K1049" s="74">
        <f>+L1014</f>
        <v>19190000</v>
      </c>
      <c r="L1049" s="195">
        <f>+J1049+K1049</f>
        <v>19940000</v>
      </c>
    </row>
    <row r="1050" spans="1:16" ht="13.5" customHeight="1">
      <c r="A1050" s="72">
        <v>721</v>
      </c>
      <c r="B1050" s="80">
        <f>+H1032</f>
        <v>0</v>
      </c>
      <c r="C1050" s="74" t="e">
        <f>+D1017</f>
        <v>#REF!</v>
      </c>
      <c r="D1050" s="195" t="e">
        <f>+B1050+C1050</f>
        <v>#REF!</v>
      </c>
      <c r="I1050" s="72">
        <v>721</v>
      </c>
      <c r="J1050" s="80">
        <f>+P1036</f>
        <v>262500</v>
      </c>
      <c r="K1050" s="74">
        <f>+L1015</f>
        <v>2310000</v>
      </c>
      <c r="L1050" s="195">
        <f>+J1050+K1050</f>
        <v>2572500</v>
      </c>
    </row>
    <row r="1051" spans="1:16">
      <c r="A1051" s="72">
        <v>722</v>
      </c>
      <c r="B1051" s="80"/>
      <c r="C1051" s="74">
        <f>+D1018</f>
        <v>231207671</v>
      </c>
      <c r="D1051" s="195">
        <f>+B1051+C1051</f>
        <v>231207671</v>
      </c>
      <c r="I1051" s="72">
        <v>722</v>
      </c>
      <c r="J1051" s="80">
        <f>+P1033</f>
        <v>42881706</v>
      </c>
      <c r="K1051" s="74">
        <f>+L1016</f>
        <v>0</v>
      </c>
      <c r="L1051" s="195">
        <f>+J1051+K1051</f>
        <v>42881706</v>
      </c>
    </row>
    <row r="1052" spans="1:16" ht="14.25" customHeight="1">
      <c r="A1052" s="72">
        <v>723</v>
      </c>
      <c r="B1052" s="80"/>
      <c r="C1052" s="74">
        <f>+D1019</f>
        <v>323193545</v>
      </c>
      <c r="D1052" s="195">
        <f>+B1052+C1052</f>
        <v>323193545</v>
      </c>
      <c r="F1052" s="174" t="s">
        <v>23</v>
      </c>
      <c r="G1052" s="175"/>
      <c r="I1052" s="72">
        <v>723</v>
      </c>
      <c r="J1052" s="80">
        <f>+P1031</f>
        <v>4005550</v>
      </c>
      <c r="K1052" s="74">
        <f>+L1017</f>
        <v>399940734</v>
      </c>
      <c r="L1052" s="195">
        <f>+J1052+K1052</f>
        <v>403946284</v>
      </c>
      <c r="N1052" s="918" t="s">
        <v>1857</v>
      </c>
      <c r="O1052" s="918"/>
      <c r="P1052" s="918"/>
    </row>
    <row r="1053" spans="1:16" ht="13.5" customHeight="1" thickBot="1">
      <c r="A1053" s="164" t="s">
        <v>181</v>
      </c>
      <c r="B1053" s="165"/>
      <c r="C1053" s="74" t="e">
        <f>+#REF!</f>
        <v>#REF!</v>
      </c>
      <c r="D1053" s="196" t="e">
        <f>+B1053+C1053</f>
        <v>#REF!</v>
      </c>
      <c r="F1053" s="52"/>
      <c r="I1053" s="164" t="s">
        <v>181</v>
      </c>
      <c r="J1053" s="165"/>
      <c r="K1053" s="74">
        <f>+L1018</f>
        <v>0</v>
      </c>
      <c r="L1053" s="196">
        <f>+J1053+K1053</f>
        <v>0</v>
      </c>
      <c r="N1053" s="52"/>
    </row>
    <row r="1054" spans="1:16" ht="16.5" thickBot="1">
      <c r="A1054" s="169"/>
      <c r="B1054" s="170" t="e">
        <f>SUM(B1049:B1053)</f>
        <v>#REF!</v>
      </c>
      <c r="C1054" s="171" t="e">
        <f>SUM(C1049:C1053)</f>
        <v>#REF!</v>
      </c>
      <c r="D1054" s="172" t="e">
        <f>SUM(D1049:D1053)</f>
        <v>#REF!</v>
      </c>
      <c r="I1054" s="169"/>
      <c r="J1054" s="197">
        <f>SUM(J1049:J1053)</f>
        <v>47899756</v>
      </c>
      <c r="K1054" s="197">
        <f>SUM(K1049:K1053)</f>
        <v>421440734</v>
      </c>
      <c r="L1054" s="198">
        <f>SUM(L1049:L1053)</f>
        <v>469340490</v>
      </c>
    </row>
    <row r="1055" spans="1:16" ht="16.5">
      <c r="A1055" s="49" t="s">
        <v>88</v>
      </c>
      <c r="B1055" s="50"/>
      <c r="I1055" s="49" t="s">
        <v>88</v>
      </c>
      <c r="J1055" s="50"/>
    </row>
    <row r="1056" spans="1:16">
      <c r="A1056" s="51" t="s">
        <v>89</v>
      </c>
      <c r="I1056" s="51" t="s">
        <v>89</v>
      </c>
    </row>
    <row r="1057" spans="1:16">
      <c r="A1057" s="51" t="s">
        <v>90</v>
      </c>
      <c r="I1057" s="51" t="s">
        <v>90</v>
      </c>
    </row>
    <row r="1058" spans="1:16">
      <c r="A1058" s="51" t="s">
        <v>91</v>
      </c>
      <c r="I1058" s="51" t="s">
        <v>91</v>
      </c>
    </row>
    <row r="1059" spans="1:16" ht="12.75" customHeight="1">
      <c r="A1059" s="50"/>
      <c r="B1059" s="50"/>
      <c r="I1059" s="50"/>
      <c r="J1059" s="50"/>
    </row>
    <row r="1060" spans="1:16" ht="16.5">
      <c r="A1060" s="52" t="s">
        <v>473</v>
      </c>
      <c r="G1060" s="52"/>
      <c r="I1060" s="260" t="s">
        <v>841</v>
      </c>
      <c r="O1060" s="52"/>
    </row>
    <row r="1061" spans="1:16" ht="15.75">
      <c r="A1061" s="53" t="s">
        <v>92</v>
      </c>
      <c r="G1061" s="53"/>
      <c r="I1061" s="53" t="s">
        <v>1702</v>
      </c>
      <c r="O1061" s="53"/>
    </row>
    <row r="1062" spans="1:16" ht="16.5">
      <c r="A1062" s="894" t="s">
        <v>462</v>
      </c>
      <c r="B1062" s="894"/>
      <c r="C1062" s="894"/>
      <c r="D1062" s="894"/>
      <c r="E1062" s="894"/>
      <c r="F1062" s="894"/>
      <c r="G1062" s="894"/>
      <c r="H1062" s="894"/>
      <c r="I1062" s="894" t="s">
        <v>261</v>
      </c>
      <c r="J1062" s="894"/>
      <c r="K1062" s="894"/>
      <c r="L1062" s="894"/>
      <c r="M1062" s="894"/>
      <c r="N1062" s="894"/>
      <c r="O1062" s="894"/>
      <c r="P1062" s="894"/>
    </row>
    <row r="1063" spans="1:16" ht="15.75" thickBot="1"/>
    <row r="1064" spans="1:16">
      <c r="A1064" s="895" t="s">
        <v>94</v>
      </c>
      <c r="B1064" s="897" t="s">
        <v>95</v>
      </c>
      <c r="C1064" s="897" t="s">
        <v>96</v>
      </c>
      <c r="D1064" s="897" t="s">
        <v>3</v>
      </c>
      <c r="E1064" s="897" t="s">
        <v>97</v>
      </c>
      <c r="F1064" s="897" t="s">
        <v>98</v>
      </c>
      <c r="G1064" s="897" t="s">
        <v>99</v>
      </c>
      <c r="H1064" s="899"/>
      <c r="I1064" s="895" t="s">
        <v>94</v>
      </c>
      <c r="J1064" s="897" t="s">
        <v>95</v>
      </c>
      <c r="K1064" s="897" t="s">
        <v>96</v>
      </c>
      <c r="L1064" s="897" t="s">
        <v>3</v>
      </c>
      <c r="M1064" s="897" t="s">
        <v>97</v>
      </c>
      <c r="N1064" s="897" t="s">
        <v>98</v>
      </c>
      <c r="O1064" s="897" t="s">
        <v>99</v>
      </c>
      <c r="P1064" s="899"/>
    </row>
    <row r="1065" spans="1:16" ht="15.75" thickBot="1">
      <c r="A1065" s="896"/>
      <c r="B1065" s="898"/>
      <c r="C1065" s="898"/>
      <c r="D1065" s="898"/>
      <c r="E1065" s="898"/>
      <c r="F1065" s="898"/>
      <c r="G1065" s="240" t="s">
        <v>100</v>
      </c>
      <c r="H1065" s="182" t="s">
        <v>101</v>
      </c>
      <c r="I1065" s="896"/>
      <c r="J1065" s="898"/>
      <c r="K1065" s="898"/>
      <c r="L1065" s="898"/>
      <c r="M1065" s="898"/>
      <c r="N1065" s="898"/>
      <c r="O1065" s="240" t="s">
        <v>100</v>
      </c>
      <c r="P1065" s="182" t="s">
        <v>101</v>
      </c>
    </row>
    <row r="1066" spans="1:16" ht="15" customHeight="1">
      <c r="A1066" s="881" t="e">
        <f>+A1033+1</f>
        <v>#REF!</v>
      </c>
      <c r="B1066" s="875">
        <v>42345</v>
      </c>
      <c r="C1066" s="877" t="s">
        <v>267</v>
      </c>
      <c r="D1066" s="881" t="s">
        <v>481</v>
      </c>
      <c r="E1066" s="881" t="s">
        <v>148</v>
      </c>
      <c r="F1066" s="883">
        <v>182000</v>
      </c>
      <c r="G1066" s="55">
        <v>719</v>
      </c>
      <c r="H1066" s="78">
        <v>130000</v>
      </c>
      <c r="I1066" s="873" t="s">
        <v>1604</v>
      </c>
      <c r="J1066" s="875">
        <v>43817</v>
      </c>
      <c r="K1066" s="881" t="s">
        <v>815</v>
      </c>
      <c r="L1066" s="881" t="s">
        <v>1858</v>
      </c>
      <c r="M1066" s="881" t="s">
        <v>115</v>
      </c>
      <c r="N1066" s="883">
        <v>945000</v>
      </c>
      <c r="O1066" s="55">
        <v>719</v>
      </c>
      <c r="P1066" s="78">
        <v>700000</v>
      </c>
    </row>
    <row r="1067" spans="1:16" ht="13.5" customHeight="1" thickBot="1">
      <c r="A1067" s="882"/>
      <c r="B1067" s="876"/>
      <c r="C1067" s="878"/>
      <c r="D1067" s="882"/>
      <c r="E1067" s="882"/>
      <c r="F1067" s="884"/>
      <c r="G1067" s="56">
        <v>721</v>
      </c>
      <c r="H1067" s="79">
        <f>+F1066-H1066</f>
        <v>52000</v>
      </c>
      <c r="I1067" s="874"/>
      <c r="J1067" s="876"/>
      <c r="K1067" s="882"/>
      <c r="L1067" s="882"/>
      <c r="M1067" s="882"/>
      <c r="N1067" s="884"/>
      <c r="O1067" s="56">
        <v>721</v>
      </c>
      <c r="P1067" s="79">
        <f>+N1066-P1066</f>
        <v>245000</v>
      </c>
    </row>
    <row r="1068" spans="1:16" ht="12.75" customHeight="1">
      <c r="A1068" s="881" t="e">
        <f>+A1066+1</f>
        <v>#REF!</v>
      </c>
      <c r="B1068" s="875">
        <v>42345</v>
      </c>
      <c r="C1068" s="881" t="s">
        <v>28</v>
      </c>
      <c r="D1068" s="881" t="s">
        <v>482</v>
      </c>
      <c r="E1068" s="881" t="s">
        <v>148</v>
      </c>
      <c r="F1068" s="883">
        <v>266000</v>
      </c>
      <c r="G1068" s="55">
        <v>719</v>
      </c>
      <c r="H1068" s="78">
        <v>190000</v>
      </c>
      <c r="I1068" s="881">
        <f>+I1066+1</f>
        <v>115</v>
      </c>
      <c r="J1068" s="875">
        <v>43817</v>
      </c>
      <c r="K1068" s="910" t="s">
        <v>1864</v>
      </c>
      <c r="L1068" s="881" t="s">
        <v>1859</v>
      </c>
      <c r="M1068" s="881" t="s">
        <v>148</v>
      </c>
      <c r="N1068" s="883">
        <v>500000</v>
      </c>
      <c r="O1068" s="55">
        <v>719</v>
      </c>
      <c r="P1068" s="78">
        <v>500000</v>
      </c>
    </row>
    <row r="1069" spans="1:16" ht="13.5" customHeight="1" thickBot="1">
      <c r="A1069" s="882"/>
      <c r="B1069" s="876"/>
      <c r="C1069" s="882"/>
      <c r="D1069" s="882"/>
      <c r="E1069" s="882"/>
      <c r="F1069" s="884"/>
      <c r="G1069" s="56">
        <v>721</v>
      </c>
      <c r="H1069" s="79">
        <f>+F1068-H1068</f>
        <v>76000</v>
      </c>
      <c r="I1069" s="882"/>
      <c r="J1069" s="876"/>
      <c r="K1069" s="911"/>
      <c r="L1069" s="882"/>
      <c r="M1069" s="882"/>
      <c r="N1069" s="884"/>
      <c r="O1069" s="56">
        <v>721</v>
      </c>
      <c r="P1069" s="79">
        <f>+N1068-P1068</f>
        <v>0</v>
      </c>
    </row>
    <row r="1070" spans="1:16" ht="13.5" customHeight="1">
      <c r="A1070" s="881" t="e">
        <f>+A1068+1</f>
        <v>#REF!</v>
      </c>
      <c r="B1070" s="875">
        <v>42345</v>
      </c>
      <c r="C1070" s="877" t="s">
        <v>32</v>
      </c>
      <c r="D1070" s="881" t="s">
        <v>481</v>
      </c>
      <c r="E1070" s="881" t="s">
        <v>148</v>
      </c>
      <c r="F1070" s="883">
        <v>70000</v>
      </c>
      <c r="G1070" s="55">
        <v>719</v>
      </c>
      <c r="H1070" s="78">
        <v>50000</v>
      </c>
      <c r="I1070" s="881">
        <f>+I1068+1</f>
        <v>116</v>
      </c>
      <c r="J1070" s="875">
        <v>43817</v>
      </c>
      <c r="K1070" s="877" t="s">
        <v>111</v>
      </c>
      <c r="L1070" s="881" t="s">
        <v>1860</v>
      </c>
      <c r="M1070" s="881" t="s">
        <v>148</v>
      </c>
      <c r="N1070" s="883">
        <v>580000</v>
      </c>
      <c r="O1070" s="55">
        <v>719</v>
      </c>
      <c r="P1070" s="78">
        <v>580000</v>
      </c>
    </row>
    <row r="1071" spans="1:16" ht="12.75" customHeight="1" thickBot="1">
      <c r="A1071" s="882"/>
      <c r="B1071" s="876"/>
      <c r="C1071" s="878"/>
      <c r="D1071" s="882"/>
      <c r="E1071" s="882"/>
      <c r="F1071" s="884"/>
      <c r="G1071" s="56">
        <v>721</v>
      </c>
      <c r="H1071" s="79">
        <f>+F1070-H1070</f>
        <v>20000</v>
      </c>
      <c r="I1071" s="882"/>
      <c r="J1071" s="876"/>
      <c r="K1071" s="878"/>
      <c r="L1071" s="882"/>
      <c r="M1071" s="882"/>
      <c r="N1071" s="884"/>
      <c r="O1071" s="56">
        <v>721</v>
      </c>
      <c r="P1071" s="79">
        <f>+N1070-P1070</f>
        <v>0</v>
      </c>
    </row>
    <row r="1072" spans="1:16" ht="12.75" customHeight="1">
      <c r="A1072" s="251"/>
      <c r="B1072" s="252"/>
      <c r="C1072" s="253"/>
      <c r="D1072" s="251"/>
      <c r="E1072" s="251"/>
      <c r="F1072" s="254"/>
      <c r="G1072" s="255"/>
      <c r="H1072" s="256"/>
      <c r="I1072" s="881">
        <f>+I1070+1</f>
        <v>117</v>
      </c>
      <c r="J1072" s="875">
        <v>43817</v>
      </c>
      <c r="K1072" s="877" t="s">
        <v>267</v>
      </c>
      <c r="L1072" s="881" t="s">
        <v>1861</v>
      </c>
      <c r="M1072" s="881" t="s">
        <v>148</v>
      </c>
      <c r="N1072" s="883">
        <v>440000</v>
      </c>
      <c r="O1072" s="55">
        <v>719</v>
      </c>
      <c r="P1072" s="78">
        <v>440000</v>
      </c>
    </row>
    <row r="1073" spans="1:16" ht="12.75" customHeight="1" thickBot="1">
      <c r="A1073" s="251"/>
      <c r="B1073" s="252"/>
      <c r="C1073" s="253"/>
      <c r="D1073" s="251"/>
      <c r="E1073" s="251"/>
      <c r="F1073" s="254"/>
      <c r="G1073" s="255"/>
      <c r="H1073" s="256"/>
      <c r="I1073" s="882"/>
      <c r="J1073" s="876"/>
      <c r="K1073" s="878"/>
      <c r="L1073" s="882"/>
      <c r="M1073" s="882"/>
      <c r="N1073" s="884"/>
      <c r="O1073" s="56">
        <v>721</v>
      </c>
      <c r="P1073" s="79">
        <f>+N1072-P1072</f>
        <v>0</v>
      </c>
    </row>
    <row r="1074" spans="1:16" ht="12.75" customHeight="1">
      <c r="A1074" s="251"/>
      <c r="B1074" s="252"/>
      <c r="C1074" s="253"/>
      <c r="D1074" s="251"/>
      <c r="E1074" s="251"/>
      <c r="F1074" s="254"/>
      <c r="G1074" s="255"/>
      <c r="H1074" s="256"/>
      <c r="I1074" s="881">
        <f>+I1072+1</f>
        <v>118</v>
      </c>
      <c r="J1074" s="875">
        <v>43817</v>
      </c>
      <c r="K1074" s="877" t="s">
        <v>1079</v>
      </c>
      <c r="L1074" s="881" t="s">
        <v>1863</v>
      </c>
      <c r="M1074" s="881" t="s">
        <v>148</v>
      </c>
      <c r="N1074" s="883">
        <v>3280000</v>
      </c>
      <c r="O1074" s="55">
        <v>719</v>
      </c>
      <c r="P1074" s="78">
        <v>3280000</v>
      </c>
    </row>
    <row r="1075" spans="1:16" ht="12.75" customHeight="1" thickBot="1">
      <c r="A1075" s="251"/>
      <c r="B1075" s="252"/>
      <c r="C1075" s="253"/>
      <c r="D1075" s="251"/>
      <c r="E1075" s="251"/>
      <c r="F1075" s="254"/>
      <c r="G1075" s="255"/>
      <c r="H1075" s="256"/>
      <c r="I1075" s="882"/>
      <c r="J1075" s="876"/>
      <c r="K1075" s="878"/>
      <c r="L1075" s="882"/>
      <c r="M1075" s="882"/>
      <c r="N1075" s="884"/>
      <c r="O1075" s="56">
        <v>721</v>
      </c>
      <c r="P1075" s="79">
        <f>+N1074-P1074</f>
        <v>0</v>
      </c>
    </row>
    <row r="1076" spans="1:16" ht="12.75" customHeight="1">
      <c r="A1076" s="251"/>
      <c r="B1076" s="252"/>
      <c r="C1076" s="253"/>
      <c r="D1076" s="251"/>
      <c r="E1076" s="251"/>
      <c r="F1076" s="254"/>
      <c r="G1076" s="255"/>
      <c r="H1076" s="256"/>
      <c r="I1076" s="881">
        <f>+I1074+1</f>
        <v>119</v>
      </c>
      <c r="J1076" s="875">
        <v>43817</v>
      </c>
      <c r="K1076" s="877" t="s">
        <v>1315</v>
      </c>
      <c r="L1076" s="881" t="s">
        <v>1858</v>
      </c>
      <c r="M1076" s="881" t="s">
        <v>148</v>
      </c>
      <c r="N1076" s="883">
        <v>1803150</v>
      </c>
      <c r="O1076" s="55">
        <v>723</v>
      </c>
      <c r="P1076" s="78">
        <v>1803150</v>
      </c>
    </row>
    <row r="1077" spans="1:16" ht="12.75" customHeight="1" thickBot="1">
      <c r="A1077" s="251"/>
      <c r="B1077" s="252"/>
      <c r="C1077" s="253"/>
      <c r="D1077" s="251"/>
      <c r="E1077" s="251"/>
      <c r="F1077" s="254"/>
      <c r="G1077" s="255"/>
      <c r="H1077" s="256"/>
      <c r="I1077" s="882"/>
      <c r="J1077" s="876"/>
      <c r="K1077" s="878"/>
      <c r="L1077" s="882"/>
      <c r="M1077" s="882"/>
      <c r="N1077" s="884"/>
      <c r="O1077" s="56">
        <v>721</v>
      </c>
      <c r="P1077" s="79">
        <f>+N1076-P1076</f>
        <v>0</v>
      </c>
    </row>
    <row r="1078" spans="1:16" ht="16.5" thickBot="1">
      <c r="A1078" s="901" t="s">
        <v>102</v>
      </c>
      <c r="B1078" s="902"/>
      <c r="C1078" s="902"/>
      <c r="D1078" s="902"/>
      <c r="E1078" s="903"/>
      <c r="F1078" s="81">
        <f>SUM(F1066:F1077)</f>
        <v>518000</v>
      </c>
      <c r="I1078" s="901" t="s">
        <v>102</v>
      </c>
      <c r="J1078" s="902"/>
      <c r="K1078" s="902"/>
      <c r="L1078" s="902"/>
      <c r="M1078" s="903"/>
      <c r="N1078" s="81">
        <f>SUM(N1066:N1077)</f>
        <v>7548150</v>
      </c>
    </row>
    <row r="1079" spans="1:16" ht="16.5" thickBot="1">
      <c r="A1079" s="885" t="s">
        <v>103</v>
      </c>
      <c r="B1079" s="886"/>
      <c r="C1079" s="886"/>
      <c r="D1079" s="886"/>
      <c r="E1079" s="887"/>
      <c r="F1079" s="69">
        <f>+F1041</f>
        <v>661155638</v>
      </c>
      <c r="I1079" s="885" t="s">
        <v>103</v>
      </c>
      <c r="J1079" s="886"/>
      <c r="K1079" s="886"/>
      <c r="L1079" s="886"/>
      <c r="M1079" s="887"/>
      <c r="N1079" s="69">
        <f>+N1041</f>
        <v>469340490</v>
      </c>
      <c r="O1079" s="241" t="s">
        <v>561</v>
      </c>
      <c r="P1079" s="242"/>
    </row>
    <row r="1080" spans="1:16" ht="16.5" thickBot="1">
      <c r="A1080" s="888" t="s">
        <v>104</v>
      </c>
      <c r="B1080" s="889"/>
      <c r="C1080" s="889"/>
      <c r="D1080" s="889"/>
      <c r="E1080" s="890"/>
      <c r="F1080" s="183">
        <f>SUM(F1078:F1079)</f>
        <v>661673638</v>
      </c>
      <c r="I1080" s="888" t="s">
        <v>104</v>
      </c>
      <c r="J1080" s="889"/>
      <c r="K1080" s="889"/>
      <c r="L1080" s="889"/>
      <c r="M1080" s="890"/>
      <c r="N1080" s="183">
        <f>SUM(N1078:N1079)</f>
        <v>476888640</v>
      </c>
    </row>
    <row r="1081" spans="1:16" ht="12.75" customHeight="1">
      <c r="A1081" s="61"/>
      <c r="B1081" s="61"/>
      <c r="C1081" s="61"/>
      <c r="D1081" s="61"/>
      <c r="E1081" s="61"/>
      <c r="I1081" s="61"/>
      <c r="J1081" s="61"/>
      <c r="K1081" s="61"/>
      <c r="L1081" s="61"/>
      <c r="M1081" s="61"/>
    </row>
    <row r="1082" spans="1:16">
      <c r="A1082" s="51" t="s">
        <v>484</v>
      </c>
      <c r="I1082" s="51" t="s">
        <v>1865</v>
      </c>
    </row>
    <row r="1083" spans="1:16" ht="7.5" customHeight="1">
      <c r="F1083" s="139"/>
      <c r="N1083" s="139"/>
    </row>
    <row r="1084" spans="1:16">
      <c r="A1084" s="50" t="s">
        <v>105</v>
      </c>
      <c r="D1084" s="146"/>
      <c r="F1084" s="139"/>
      <c r="I1084" s="50" t="s">
        <v>105</v>
      </c>
      <c r="L1084" s="146"/>
      <c r="N1084" s="139"/>
    </row>
    <row r="1085" spans="1:16" ht="13.5" customHeight="1" thickBot="1"/>
    <row r="1086" spans="1:16" ht="15.75" thickBot="1">
      <c r="A1086" s="891" t="s">
        <v>106</v>
      </c>
      <c r="B1086" s="892"/>
      <c r="C1086" s="892"/>
      <c r="D1086" s="893"/>
      <c r="F1086" s="50" t="s">
        <v>288</v>
      </c>
      <c r="I1086" s="891" t="s">
        <v>106</v>
      </c>
      <c r="J1086" s="892"/>
      <c r="K1086" s="892"/>
      <c r="L1086" s="893"/>
      <c r="N1086" s="925" t="s">
        <v>288</v>
      </c>
      <c r="O1086" s="925"/>
      <c r="P1086" s="925"/>
    </row>
    <row r="1087" spans="1:16" ht="30.75" thickBot="1">
      <c r="A1087" s="57" t="s">
        <v>100</v>
      </c>
      <c r="B1087" s="58" t="s">
        <v>108</v>
      </c>
      <c r="C1087" s="59" t="s">
        <v>109</v>
      </c>
      <c r="D1087" s="60" t="s">
        <v>110</v>
      </c>
      <c r="I1087" s="57" t="s">
        <v>100</v>
      </c>
      <c r="J1087" s="58" t="s">
        <v>108</v>
      </c>
      <c r="K1087" s="59" t="s">
        <v>109</v>
      </c>
      <c r="L1087" s="60" t="s">
        <v>110</v>
      </c>
    </row>
    <row r="1088" spans="1:16">
      <c r="A1088" s="71">
        <v>719</v>
      </c>
      <c r="B1088" s="73" t="e">
        <f>+H1066+H1068+H1070+#REF!+#REF!</f>
        <v>#REF!</v>
      </c>
      <c r="C1088" s="74" t="e">
        <f>+D1049</f>
        <v>#REF!</v>
      </c>
      <c r="D1088" s="195" t="e">
        <f>+B1088+C1088</f>
        <v>#REF!</v>
      </c>
      <c r="I1088" s="71">
        <v>719</v>
      </c>
      <c r="J1088" s="73">
        <f>+P1066+P1070+P1072+P1068+P1074</f>
        <v>5500000</v>
      </c>
      <c r="K1088" s="74">
        <f>+L1049</f>
        <v>19940000</v>
      </c>
      <c r="L1088" s="195">
        <f>+J1088+K1088</f>
        <v>25440000</v>
      </c>
    </row>
    <row r="1089" spans="1:16" ht="12.75" customHeight="1">
      <c r="A1089" s="72">
        <v>721</v>
      </c>
      <c r="B1089" s="80" t="e">
        <f>+#REF!+#REF!+H1071+H1069+H1067</f>
        <v>#REF!</v>
      </c>
      <c r="C1089" s="74" t="e">
        <f>+D1050</f>
        <v>#REF!</v>
      </c>
      <c r="D1089" s="195" t="e">
        <f>+B1089+C1089</f>
        <v>#REF!</v>
      </c>
      <c r="I1089" s="72">
        <v>721</v>
      </c>
      <c r="J1089" s="80">
        <f>+P1067+P1069+P1071</f>
        <v>245000</v>
      </c>
      <c r="K1089" s="74">
        <f>+L1050</f>
        <v>2572500</v>
      </c>
      <c r="L1089" s="195">
        <f>+J1089+K1089</f>
        <v>2817500</v>
      </c>
    </row>
    <row r="1090" spans="1:16" ht="13.5" customHeight="1">
      <c r="A1090" s="72">
        <v>722</v>
      </c>
      <c r="B1090" s="80"/>
      <c r="C1090" s="74">
        <f>+D1051</f>
        <v>231207671</v>
      </c>
      <c r="D1090" s="195">
        <f>+B1090+C1090</f>
        <v>231207671</v>
      </c>
      <c r="I1090" s="72">
        <v>722</v>
      </c>
      <c r="J1090" s="80"/>
      <c r="K1090" s="74">
        <f>+L1051</f>
        <v>42881706</v>
      </c>
      <c r="L1090" s="195">
        <f>+J1090+K1090</f>
        <v>42881706</v>
      </c>
    </row>
    <row r="1091" spans="1:16" ht="13.5" customHeight="1">
      <c r="A1091" s="72">
        <v>723</v>
      </c>
      <c r="B1091" s="80"/>
      <c r="C1091" s="74">
        <f>+D1052</f>
        <v>323193545</v>
      </c>
      <c r="D1091" s="195">
        <f>+B1091+C1091</f>
        <v>323193545</v>
      </c>
      <c r="F1091" s="174" t="s">
        <v>23</v>
      </c>
      <c r="G1091" s="175"/>
      <c r="I1091" s="72">
        <v>723</v>
      </c>
      <c r="J1091" s="80">
        <f>+P1076</f>
        <v>1803150</v>
      </c>
      <c r="K1091" s="74">
        <f>+L1052</f>
        <v>403946284</v>
      </c>
      <c r="L1091" s="195">
        <f>+J1091+K1091</f>
        <v>405749434</v>
      </c>
      <c r="N1091" s="918" t="s">
        <v>1862</v>
      </c>
      <c r="O1091" s="918"/>
      <c r="P1091" s="918"/>
    </row>
    <row r="1092" spans="1:16" ht="14.25" customHeight="1" thickBot="1">
      <c r="A1092" s="164" t="s">
        <v>181</v>
      </c>
      <c r="B1092" s="165"/>
      <c r="C1092" s="74" t="e">
        <f>+D1053</f>
        <v>#REF!</v>
      </c>
      <c r="D1092" s="196" t="e">
        <f>+B1092+C1092</f>
        <v>#REF!</v>
      </c>
      <c r="F1092" s="52"/>
      <c r="I1092" s="164" t="s">
        <v>181</v>
      </c>
      <c r="J1092" s="165"/>
      <c r="K1092" s="74">
        <f>+L1053</f>
        <v>0</v>
      </c>
      <c r="L1092" s="196">
        <f>+J1092+K1092</f>
        <v>0</v>
      </c>
      <c r="N1092" s="52"/>
    </row>
    <row r="1093" spans="1:16" ht="16.5" thickBot="1">
      <c r="A1093" s="169"/>
      <c r="B1093" s="170" t="e">
        <f>SUM(B1088:B1092)</f>
        <v>#REF!</v>
      </c>
      <c r="C1093" s="171" t="e">
        <f>SUM(C1088:C1092)</f>
        <v>#REF!</v>
      </c>
      <c r="D1093" s="172" t="e">
        <f>SUM(D1088:D1092)</f>
        <v>#REF!</v>
      </c>
      <c r="I1093" s="169"/>
      <c r="J1093" s="197">
        <f>SUM(J1088:J1092)</f>
        <v>7548150</v>
      </c>
      <c r="K1093" s="197">
        <f>SUM(K1088:K1092)</f>
        <v>469340490</v>
      </c>
      <c r="L1093" s="198">
        <f>SUM(L1088:L1092)</f>
        <v>476888640</v>
      </c>
    </row>
    <row r="1094" spans="1:16" ht="16.5">
      <c r="A1094" s="49" t="s">
        <v>88</v>
      </c>
      <c r="B1094" s="50"/>
      <c r="I1094" s="49" t="s">
        <v>88</v>
      </c>
      <c r="J1094" s="50"/>
    </row>
    <row r="1095" spans="1:16">
      <c r="A1095" s="51" t="s">
        <v>89</v>
      </c>
      <c r="I1095" s="51" t="s">
        <v>89</v>
      </c>
    </row>
    <row r="1096" spans="1:16">
      <c r="A1096" s="51" t="s">
        <v>90</v>
      </c>
      <c r="I1096" s="51" t="s">
        <v>90</v>
      </c>
    </row>
    <row r="1097" spans="1:16">
      <c r="A1097" s="51" t="s">
        <v>91</v>
      </c>
      <c r="I1097" s="51" t="s">
        <v>91</v>
      </c>
    </row>
    <row r="1098" spans="1:16" ht="10.5" customHeight="1">
      <c r="A1098" s="50"/>
      <c r="B1098" s="50"/>
      <c r="I1098" s="50"/>
      <c r="J1098" s="50"/>
    </row>
    <row r="1099" spans="1:16" ht="16.5">
      <c r="A1099" s="52" t="s">
        <v>486</v>
      </c>
      <c r="G1099" s="52"/>
      <c r="I1099" s="260" t="s">
        <v>855</v>
      </c>
      <c r="O1099" s="52"/>
    </row>
    <row r="1100" spans="1:16" ht="15.75">
      <c r="A1100" s="53" t="s">
        <v>92</v>
      </c>
      <c r="G1100" s="53"/>
      <c r="I1100" s="53" t="s">
        <v>1333</v>
      </c>
      <c r="O1100" s="53"/>
    </row>
    <row r="1101" spans="1:16" ht="16.5">
      <c r="A1101" s="894" t="s">
        <v>485</v>
      </c>
      <c r="B1101" s="894"/>
      <c r="C1101" s="894"/>
      <c r="D1101" s="894"/>
      <c r="E1101" s="894"/>
      <c r="F1101" s="894"/>
      <c r="G1101" s="894"/>
      <c r="H1101" s="894"/>
      <c r="I1101" s="894" t="s">
        <v>1546</v>
      </c>
      <c r="J1101" s="894"/>
      <c r="K1101" s="894"/>
      <c r="L1101" s="894"/>
      <c r="M1101" s="894"/>
      <c r="N1101" s="894"/>
      <c r="O1101" s="894"/>
      <c r="P1101" s="894"/>
    </row>
    <row r="1102" spans="1:16" ht="15.75" thickBot="1"/>
    <row r="1103" spans="1:16">
      <c r="A1103" s="895" t="s">
        <v>94</v>
      </c>
      <c r="B1103" s="897" t="s">
        <v>95</v>
      </c>
      <c r="C1103" s="897" t="s">
        <v>96</v>
      </c>
      <c r="D1103" s="897" t="s">
        <v>3</v>
      </c>
      <c r="E1103" s="897" t="s">
        <v>97</v>
      </c>
      <c r="F1103" s="897" t="s">
        <v>98</v>
      </c>
      <c r="G1103" s="897" t="s">
        <v>99</v>
      </c>
      <c r="H1103" s="899"/>
      <c r="I1103" s="895" t="s">
        <v>94</v>
      </c>
      <c r="J1103" s="897" t="s">
        <v>95</v>
      </c>
      <c r="K1103" s="897" t="s">
        <v>96</v>
      </c>
      <c r="L1103" s="897" t="s">
        <v>3</v>
      </c>
      <c r="M1103" s="897" t="s">
        <v>97</v>
      </c>
      <c r="N1103" s="897" t="s">
        <v>98</v>
      </c>
      <c r="O1103" s="897" t="s">
        <v>99</v>
      </c>
      <c r="P1103" s="899"/>
    </row>
    <row r="1104" spans="1:16" ht="15.75" thickBot="1">
      <c r="A1104" s="896"/>
      <c r="B1104" s="898"/>
      <c r="C1104" s="898"/>
      <c r="D1104" s="898"/>
      <c r="E1104" s="898"/>
      <c r="F1104" s="898"/>
      <c r="G1104" s="240" t="s">
        <v>100</v>
      </c>
      <c r="H1104" s="182" t="s">
        <v>101</v>
      </c>
      <c r="I1104" s="896"/>
      <c r="J1104" s="898"/>
      <c r="K1104" s="898"/>
      <c r="L1104" s="898"/>
      <c r="M1104" s="898"/>
      <c r="N1104" s="898"/>
      <c r="O1104" s="240" t="s">
        <v>100</v>
      </c>
      <c r="P1104" s="182" t="s">
        <v>101</v>
      </c>
    </row>
    <row r="1105" spans="1:16" ht="13.5" customHeight="1">
      <c r="A1105" s="919">
        <v>1</v>
      </c>
      <c r="B1105" s="875">
        <v>42345</v>
      </c>
      <c r="C1105" s="877" t="s">
        <v>487</v>
      </c>
      <c r="D1105" s="877" t="s">
        <v>251</v>
      </c>
      <c r="E1105" s="881" t="s">
        <v>145</v>
      </c>
      <c r="F1105" s="883">
        <v>-4280256</v>
      </c>
      <c r="G1105" s="55">
        <v>719</v>
      </c>
      <c r="H1105" s="78"/>
      <c r="I1105" s="873" t="s">
        <v>1542</v>
      </c>
      <c r="J1105" s="875">
        <v>43062</v>
      </c>
      <c r="K1105" s="881" t="s">
        <v>1544</v>
      </c>
      <c r="L1105" s="881" t="s">
        <v>1548</v>
      </c>
      <c r="M1105" s="881" t="s">
        <v>115</v>
      </c>
      <c r="N1105" s="883">
        <v>250000</v>
      </c>
      <c r="O1105" s="55">
        <v>719</v>
      </c>
      <c r="P1105" s="78">
        <f>+N1105</f>
        <v>250000</v>
      </c>
    </row>
    <row r="1106" spans="1:16" ht="12.75" customHeight="1" thickBot="1">
      <c r="A1106" s="920"/>
      <c r="B1106" s="876"/>
      <c r="C1106" s="878"/>
      <c r="D1106" s="878"/>
      <c r="E1106" s="882"/>
      <c r="F1106" s="884"/>
      <c r="G1106" s="56">
        <v>721</v>
      </c>
      <c r="H1106" s="79">
        <f>+F1105-H1105</f>
        <v>-4280256</v>
      </c>
      <c r="I1106" s="874"/>
      <c r="J1106" s="876"/>
      <c r="K1106" s="882"/>
      <c r="L1106" s="882"/>
      <c r="M1106" s="882"/>
      <c r="N1106" s="884"/>
      <c r="O1106" s="56">
        <v>721</v>
      </c>
      <c r="P1106" s="79">
        <f>+N1105-P1105</f>
        <v>0</v>
      </c>
    </row>
    <row r="1107" spans="1:16" ht="13.5" customHeight="1">
      <c r="A1107" s="919">
        <v>2</v>
      </c>
      <c r="B1107" s="875">
        <v>42345</v>
      </c>
      <c r="C1107" s="877" t="s">
        <v>249</v>
      </c>
      <c r="D1107" s="877" t="s">
        <v>251</v>
      </c>
      <c r="E1107" s="881" t="s">
        <v>145</v>
      </c>
      <c r="F1107" s="883">
        <v>-2140128</v>
      </c>
      <c r="G1107" s="55">
        <v>719</v>
      </c>
      <c r="H1107" s="78"/>
      <c r="I1107" s="881">
        <f>+I1105+1</f>
        <v>141</v>
      </c>
      <c r="J1107" s="875">
        <v>43062</v>
      </c>
      <c r="K1107" s="881" t="s">
        <v>1544</v>
      </c>
      <c r="L1107" s="879" t="s">
        <v>1549</v>
      </c>
      <c r="M1107" s="881" t="s">
        <v>115</v>
      </c>
      <c r="N1107" s="883">
        <v>100000</v>
      </c>
      <c r="O1107" s="55">
        <v>719</v>
      </c>
      <c r="P1107" s="78">
        <v>100000</v>
      </c>
    </row>
    <row r="1108" spans="1:16" ht="12.75" customHeight="1" thickBot="1">
      <c r="A1108" s="920"/>
      <c r="B1108" s="876"/>
      <c r="C1108" s="878"/>
      <c r="D1108" s="878"/>
      <c r="E1108" s="882"/>
      <c r="F1108" s="884"/>
      <c r="G1108" s="56">
        <v>721</v>
      </c>
      <c r="H1108" s="79">
        <f>+F1107-H1107</f>
        <v>-2140128</v>
      </c>
      <c r="I1108" s="882"/>
      <c r="J1108" s="876"/>
      <c r="K1108" s="882"/>
      <c r="L1108" s="880"/>
      <c r="M1108" s="882"/>
      <c r="N1108" s="884"/>
      <c r="O1108" s="56">
        <v>721</v>
      </c>
      <c r="P1108" s="79">
        <v>0</v>
      </c>
    </row>
    <row r="1109" spans="1:16" ht="13.5" customHeight="1">
      <c r="A1109" s="881"/>
      <c r="B1109" s="875"/>
      <c r="C1109" s="877"/>
      <c r="D1109" s="881"/>
      <c r="E1109" s="881"/>
      <c r="F1109" s="883"/>
      <c r="G1109" s="55">
        <v>719</v>
      </c>
      <c r="H1109" s="78"/>
      <c r="I1109" s="881">
        <f>+I1107+1</f>
        <v>142</v>
      </c>
      <c r="J1109" s="875">
        <v>43062</v>
      </c>
      <c r="K1109" s="877" t="s">
        <v>28</v>
      </c>
      <c r="L1109" s="879" t="s">
        <v>1543</v>
      </c>
      <c r="M1109" s="881" t="s">
        <v>115</v>
      </c>
      <c r="N1109" s="883">
        <v>80000</v>
      </c>
      <c r="O1109" s="55">
        <v>719</v>
      </c>
      <c r="P1109" s="78">
        <v>80000</v>
      </c>
    </row>
    <row r="1110" spans="1:16" ht="13.5" customHeight="1" thickBot="1">
      <c r="A1110" s="882"/>
      <c r="B1110" s="876"/>
      <c r="C1110" s="878"/>
      <c r="D1110" s="882"/>
      <c r="E1110" s="882"/>
      <c r="F1110" s="884"/>
      <c r="G1110" s="56">
        <v>721</v>
      </c>
      <c r="H1110" s="79"/>
      <c r="I1110" s="882"/>
      <c r="J1110" s="876"/>
      <c r="K1110" s="878"/>
      <c r="L1110" s="880"/>
      <c r="M1110" s="882"/>
      <c r="N1110" s="884"/>
      <c r="O1110" s="56">
        <v>721</v>
      </c>
      <c r="P1110" s="79">
        <f>+N1109-P1109</f>
        <v>0</v>
      </c>
    </row>
    <row r="1111" spans="1:16" ht="12.75" customHeight="1">
      <c r="A1111" s="881"/>
      <c r="B1111" s="875"/>
      <c r="C1111" s="877"/>
      <c r="D1111" s="881"/>
      <c r="E1111" s="881"/>
      <c r="F1111" s="883"/>
      <c r="G1111" s="55">
        <v>719</v>
      </c>
      <c r="H1111" s="78"/>
      <c r="I1111" s="881">
        <f>+I1109+1</f>
        <v>143</v>
      </c>
      <c r="J1111" s="875">
        <v>43062</v>
      </c>
      <c r="K1111" s="877" t="s">
        <v>28</v>
      </c>
      <c r="L1111" s="879" t="s">
        <v>1550</v>
      </c>
      <c r="M1111" s="881" t="s">
        <v>115</v>
      </c>
      <c r="N1111" s="883">
        <v>200000</v>
      </c>
      <c r="O1111" s="55">
        <v>719</v>
      </c>
      <c r="P1111" s="78">
        <v>200000</v>
      </c>
    </row>
    <row r="1112" spans="1:16" ht="12.75" customHeight="1" thickBot="1">
      <c r="A1112" s="882"/>
      <c r="B1112" s="876"/>
      <c r="C1112" s="878"/>
      <c r="D1112" s="882"/>
      <c r="E1112" s="882"/>
      <c r="F1112" s="884"/>
      <c r="G1112" s="56">
        <v>721</v>
      </c>
      <c r="H1112" s="79">
        <f>+F1111-H1111</f>
        <v>0</v>
      </c>
      <c r="I1112" s="882"/>
      <c r="J1112" s="876"/>
      <c r="K1112" s="878"/>
      <c r="L1112" s="880"/>
      <c r="M1112" s="882"/>
      <c r="N1112" s="884"/>
      <c r="O1112" s="56">
        <v>721</v>
      </c>
      <c r="P1112" s="79">
        <f>+N1111-P1111</f>
        <v>0</v>
      </c>
    </row>
    <row r="1113" spans="1:16" ht="14.25" customHeight="1">
      <c r="A1113" s="881"/>
      <c r="B1113" s="875"/>
      <c r="C1113" s="877"/>
      <c r="D1113" s="881"/>
      <c r="E1113" s="881"/>
      <c r="F1113" s="883"/>
      <c r="G1113" s="55">
        <v>719</v>
      </c>
      <c r="H1113" s="78"/>
      <c r="I1113" s="881">
        <f>+I1111+1</f>
        <v>144</v>
      </c>
      <c r="J1113" s="875">
        <v>43062</v>
      </c>
      <c r="K1113" s="877" t="s">
        <v>28</v>
      </c>
      <c r="L1113" s="879" t="s">
        <v>1552</v>
      </c>
      <c r="M1113" s="881" t="s">
        <v>115</v>
      </c>
      <c r="N1113" s="883">
        <v>290000</v>
      </c>
      <c r="O1113" s="55">
        <v>719</v>
      </c>
      <c r="P1113" s="78">
        <v>290000</v>
      </c>
    </row>
    <row r="1114" spans="1:16" ht="13.5" customHeight="1" thickBot="1">
      <c r="A1114" s="882"/>
      <c r="B1114" s="876"/>
      <c r="C1114" s="878"/>
      <c r="D1114" s="882"/>
      <c r="E1114" s="882"/>
      <c r="F1114" s="884"/>
      <c r="G1114" s="56">
        <v>721</v>
      </c>
      <c r="H1114" s="79">
        <f>+F1113-H1113</f>
        <v>0</v>
      </c>
      <c r="I1114" s="882"/>
      <c r="J1114" s="876"/>
      <c r="K1114" s="878"/>
      <c r="L1114" s="880"/>
      <c r="M1114" s="882"/>
      <c r="N1114" s="884"/>
      <c r="O1114" s="56">
        <v>721</v>
      </c>
      <c r="P1114" s="79">
        <f>+N1113-P1113</f>
        <v>0</v>
      </c>
    </row>
    <row r="1115" spans="1:16" ht="16.5" thickBot="1">
      <c r="A1115" s="901" t="s">
        <v>102</v>
      </c>
      <c r="B1115" s="902"/>
      <c r="C1115" s="902"/>
      <c r="D1115" s="902"/>
      <c r="E1115" s="903"/>
      <c r="F1115" s="81">
        <f>SUM(F1105:F1114)</f>
        <v>-6420384</v>
      </c>
      <c r="I1115" s="901" t="s">
        <v>102</v>
      </c>
      <c r="J1115" s="902"/>
      <c r="K1115" s="902"/>
      <c r="L1115" s="902"/>
      <c r="M1115" s="903"/>
      <c r="N1115" s="81">
        <f>SUM(N1105:N1114)</f>
        <v>920000</v>
      </c>
    </row>
    <row r="1116" spans="1:16" ht="16.5" thickBot="1">
      <c r="A1116" s="885" t="s">
        <v>103</v>
      </c>
      <c r="B1116" s="886"/>
      <c r="C1116" s="886"/>
      <c r="D1116" s="886"/>
      <c r="E1116" s="887"/>
      <c r="F1116" s="69">
        <f>+F1080</f>
        <v>661673638</v>
      </c>
      <c r="I1116" s="885" t="s">
        <v>103</v>
      </c>
      <c r="J1116" s="886"/>
      <c r="K1116" s="886"/>
      <c r="L1116" s="886"/>
      <c r="M1116" s="887"/>
      <c r="N1116" s="69">
        <f>+N1080</f>
        <v>476888640</v>
      </c>
      <c r="O1116" s="241" t="s">
        <v>561</v>
      </c>
      <c r="P1116" s="242"/>
    </row>
    <row r="1117" spans="1:16" ht="16.5" thickBot="1">
      <c r="A1117" s="888" t="s">
        <v>104</v>
      </c>
      <c r="B1117" s="889"/>
      <c r="C1117" s="889"/>
      <c r="D1117" s="889"/>
      <c r="E1117" s="890"/>
      <c r="F1117" s="183">
        <f>SUM(F1115:F1116)</f>
        <v>655253254</v>
      </c>
      <c r="I1117" s="888" t="s">
        <v>104</v>
      </c>
      <c r="J1117" s="889"/>
      <c r="K1117" s="889"/>
      <c r="L1117" s="889"/>
      <c r="M1117" s="890"/>
      <c r="N1117" s="183">
        <f>SUM(N1115:N1116)</f>
        <v>477808640</v>
      </c>
    </row>
    <row r="1118" spans="1:16" ht="12.75" customHeight="1">
      <c r="A1118" s="61"/>
      <c r="B1118" s="61"/>
      <c r="C1118" s="61"/>
      <c r="D1118" s="61"/>
      <c r="E1118" s="61"/>
      <c r="I1118" s="61"/>
      <c r="J1118" s="61"/>
      <c r="K1118" s="61"/>
      <c r="L1118" s="61"/>
      <c r="M1118" s="61"/>
    </row>
    <row r="1119" spans="1:16">
      <c r="A1119" s="51" t="s">
        <v>488</v>
      </c>
      <c r="I1119" s="51" t="s">
        <v>1551</v>
      </c>
    </row>
    <row r="1120" spans="1:16" ht="12" customHeight="1">
      <c r="F1120" s="139"/>
      <c r="N1120" s="139"/>
    </row>
    <row r="1121" spans="1:16">
      <c r="A1121" s="50" t="s">
        <v>105</v>
      </c>
      <c r="D1121" s="146"/>
      <c r="F1121" s="139"/>
      <c r="I1121" s="50" t="s">
        <v>105</v>
      </c>
      <c r="L1121" s="146"/>
      <c r="N1121" s="139"/>
    </row>
    <row r="1122" spans="1:16" ht="12.75" customHeight="1" thickBot="1"/>
    <row r="1123" spans="1:16" ht="15.75" thickBot="1">
      <c r="A1123" s="891" t="s">
        <v>106</v>
      </c>
      <c r="B1123" s="892"/>
      <c r="C1123" s="892"/>
      <c r="D1123" s="893"/>
      <c r="F1123" s="50" t="s">
        <v>288</v>
      </c>
      <c r="I1123" s="891" t="s">
        <v>106</v>
      </c>
      <c r="J1123" s="892"/>
      <c r="K1123" s="892"/>
      <c r="L1123" s="893"/>
      <c r="N1123" s="925" t="s">
        <v>288</v>
      </c>
      <c r="O1123" s="925"/>
      <c r="P1123" s="925"/>
    </row>
    <row r="1124" spans="1:16" ht="30.75" thickBot="1">
      <c r="A1124" s="57" t="s">
        <v>100</v>
      </c>
      <c r="B1124" s="58" t="s">
        <v>108</v>
      </c>
      <c r="C1124" s="59" t="s">
        <v>109</v>
      </c>
      <c r="D1124" s="60" t="s">
        <v>110</v>
      </c>
      <c r="I1124" s="57" t="s">
        <v>100</v>
      </c>
      <c r="J1124" s="58" t="s">
        <v>108</v>
      </c>
      <c r="K1124" s="59" t="s">
        <v>109</v>
      </c>
      <c r="L1124" s="60" t="s">
        <v>110</v>
      </c>
    </row>
    <row r="1125" spans="1:16">
      <c r="A1125" s="71">
        <v>719</v>
      </c>
      <c r="B1125" s="73">
        <f>+H1105+H1107+H1109+H1111+H1113</f>
        <v>0</v>
      </c>
      <c r="C1125" s="74" t="e">
        <f>+D1088</f>
        <v>#REF!</v>
      </c>
      <c r="D1125" s="195" t="e">
        <f>+B1125+C1125</f>
        <v>#REF!</v>
      </c>
      <c r="I1125" s="71">
        <v>719</v>
      </c>
      <c r="J1125" s="73">
        <f>+P1105+P1107+P1109+P1113+P1111</f>
        <v>920000</v>
      </c>
      <c r="K1125" s="74">
        <f>+L1088</f>
        <v>25440000</v>
      </c>
      <c r="L1125" s="195">
        <f>+J1125+K1125</f>
        <v>26360000</v>
      </c>
    </row>
    <row r="1126" spans="1:16">
      <c r="A1126" s="72">
        <v>721</v>
      </c>
      <c r="B1126" s="80">
        <f>(+H1114+H1112+H1110+H1108+H1106)</f>
        <v>-6420384</v>
      </c>
      <c r="C1126" s="74" t="e">
        <f>+D1089</f>
        <v>#REF!</v>
      </c>
      <c r="D1126" s="195" t="e">
        <f>+B1126+C1126</f>
        <v>#REF!</v>
      </c>
      <c r="I1126" s="72">
        <v>721</v>
      </c>
      <c r="J1126" s="80">
        <f>+P1106+P1108+P1110+P1112+P1114</f>
        <v>0</v>
      </c>
      <c r="K1126" s="74">
        <f>+L1089</f>
        <v>2817500</v>
      </c>
      <c r="L1126" s="195">
        <f>+J1126+K1126</f>
        <v>2817500</v>
      </c>
    </row>
    <row r="1127" spans="1:16" ht="15.75">
      <c r="A1127" s="72">
        <v>722</v>
      </c>
      <c r="B1127" s="80"/>
      <c r="C1127" s="74">
        <f>+D1090</f>
        <v>231207671</v>
      </c>
      <c r="D1127" s="195">
        <f>+B1127+C1127</f>
        <v>231207671</v>
      </c>
      <c r="I1127" s="72">
        <v>722</v>
      </c>
      <c r="J1127" s="80"/>
      <c r="K1127" s="74">
        <f>+L1090</f>
        <v>42881706</v>
      </c>
      <c r="L1127" s="195">
        <f>+J1127+K1127</f>
        <v>42881706</v>
      </c>
      <c r="N1127" s="918" t="s">
        <v>1481</v>
      </c>
      <c r="O1127" s="918"/>
      <c r="P1127" s="918"/>
    </row>
    <row r="1128" spans="1:16" ht="14.25" customHeight="1">
      <c r="A1128" s="72">
        <v>723</v>
      </c>
      <c r="B1128" s="80"/>
      <c r="C1128" s="74">
        <f>+D1091</f>
        <v>323193545</v>
      </c>
      <c r="D1128" s="195">
        <f>+B1128+C1128</f>
        <v>323193545</v>
      </c>
      <c r="F1128" s="174" t="s">
        <v>23</v>
      </c>
      <c r="G1128" s="175"/>
      <c r="I1128" s="72">
        <v>723</v>
      </c>
      <c r="J1128" s="80"/>
      <c r="K1128" s="74">
        <f>+L1091</f>
        <v>405749434</v>
      </c>
      <c r="L1128" s="195">
        <f>+J1128+K1128</f>
        <v>405749434</v>
      </c>
      <c r="N1128" s="193"/>
      <c r="O1128" s="175"/>
    </row>
    <row r="1129" spans="1:16" ht="13.5" customHeight="1" thickBot="1">
      <c r="A1129" s="164" t="s">
        <v>181</v>
      </c>
      <c r="B1129" s="165"/>
      <c r="C1129" s="74" t="e">
        <f>+D1092</f>
        <v>#REF!</v>
      </c>
      <c r="D1129" s="196" t="e">
        <f>+B1129+C1129</f>
        <v>#REF!</v>
      </c>
      <c r="F1129" s="52"/>
      <c r="I1129" s="164" t="s">
        <v>181</v>
      </c>
      <c r="J1129" s="165"/>
      <c r="K1129" s="74">
        <f>+L1092</f>
        <v>0</v>
      </c>
      <c r="L1129" s="196">
        <f>+J1129+K1129</f>
        <v>0</v>
      </c>
      <c r="N1129" s="52"/>
    </row>
    <row r="1130" spans="1:16" ht="16.5" thickBot="1">
      <c r="A1130" s="169"/>
      <c r="B1130" s="170">
        <f>SUM(B1125:B1129)</f>
        <v>-6420384</v>
      </c>
      <c r="C1130" s="171" t="e">
        <f>SUM(C1125:C1129)</f>
        <v>#REF!</v>
      </c>
      <c r="D1130" s="172" t="e">
        <f>SUM(D1125:D1129)</f>
        <v>#REF!</v>
      </c>
      <c r="I1130" s="169"/>
      <c r="J1130" s="197">
        <f>SUM(J1125:J1129)</f>
        <v>920000</v>
      </c>
      <c r="K1130" s="197">
        <f>SUM(K1125:K1129)</f>
        <v>476888640</v>
      </c>
      <c r="L1130" s="198">
        <f>SUM(L1125:L1129)</f>
        <v>477808640</v>
      </c>
    </row>
    <row r="1131" spans="1:16" ht="16.5">
      <c r="A1131" s="49" t="s">
        <v>88</v>
      </c>
      <c r="B1131" s="50"/>
      <c r="I1131" s="49" t="s">
        <v>88</v>
      </c>
      <c r="J1131" s="50"/>
    </row>
    <row r="1132" spans="1:16" ht="14.25" customHeight="1">
      <c r="A1132" s="51" t="s">
        <v>89</v>
      </c>
      <c r="I1132" s="51" t="s">
        <v>89</v>
      </c>
    </row>
    <row r="1133" spans="1:16" ht="12.75" customHeight="1">
      <c r="A1133" s="51" t="s">
        <v>90</v>
      </c>
      <c r="I1133" s="51" t="s">
        <v>90</v>
      </c>
    </row>
    <row r="1134" spans="1:16">
      <c r="A1134" s="51" t="s">
        <v>91</v>
      </c>
      <c r="I1134" s="51" t="s">
        <v>91</v>
      </c>
    </row>
    <row r="1135" spans="1:16" ht="11.25" customHeight="1">
      <c r="A1135" s="50"/>
      <c r="B1135" s="50"/>
      <c r="I1135" s="50"/>
      <c r="J1135" s="50"/>
    </row>
    <row r="1136" spans="1:16" ht="16.5">
      <c r="A1136" s="52" t="s">
        <v>489</v>
      </c>
      <c r="G1136" s="52"/>
      <c r="I1136" s="260" t="s">
        <v>185</v>
      </c>
      <c r="O1136" s="52"/>
    </row>
    <row r="1137" spans="1:16" ht="15.75">
      <c r="A1137" s="53" t="s">
        <v>92</v>
      </c>
      <c r="G1137" s="53"/>
      <c r="I1137" s="53" t="s">
        <v>1333</v>
      </c>
      <c r="O1137" s="53"/>
    </row>
    <row r="1138" spans="1:16" ht="16.5">
      <c r="A1138" s="894" t="s">
        <v>462</v>
      </c>
      <c r="B1138" s="894"/>
      <c r="C1138" s="894"/>
      <c r="D1138" s="894"/>
      <c r="E1138" s="894"/>
      <c r="F1138" s="894"/>
      <c r="G1138" s="894"/>
      <c r="H1138" s="894"/>
      <c r="I1138" s="894" t="s">
        <v>1547</v>
      </c>
      <c r="J1138" s="894"/>
      <c r="K1138" s="894"/>
      <c r="L1138" s="894"/>
      <c r="M1138" s="894"/>
      <c r="N1138" s="894"/>
      <c r="O1138" s="894"/>
      <c r="P1138" s="894"/>
    </row>
    <row r="1139" spans="1:16" ht="15.75" thickBot="1"/>
    <row r="1140" spans="1:16">
      <c r="A1140" s="895" t="s">
        <v>94</v>
      </c>
      <c r="B1140" s="897" t="s">
        <v>95</v>
      </c>
      <c r="C1140" s="897" t="s">
        <v>96</v>
      </c>
      <c r="D1140" s="897" t="s">
        <v>3</v>
      </c>
      <c r="E1140" s="897" t="s">
        <v>97</v>
      </c>
      <c r="F1140" s="897" t="s">
        <v>98</v>
      </c>
      <c r="G1140" s="897" t="s">
        <v>99</v>
      </c>
      <c r="H1140" s="899"/>
      <c r="I1140" s="895" t="s">
        <v>94</v>
      </c>
      <c r="J1140" s="897" t="s">
        <v>95</v>
      </c>
      <c r="K1140" s="897" t="s">
        <v>96</v>
      </c>
      <c r="L1140" s="897" t="s">
        <v>3</v>
      </c>
      <c r="M1140" s="897" t="s">
        <v>97</v>
      </c>
      <c r="N1140" s="897" t="s">
        <v>98</v>
      </c>
      <c r="O1140" s="897" t="s">
        <v>99</v>
      </c>
      <c r="P1140" s="899"/>
    </row>
    <row r="1141" spans="1:16" ht="15.75" thickBot="1">
      <c r="A1141" s="896"/>
      <c r="B1141" s="898"/>
      <c r="C1141" s="898"/>
      <c r="D1141" s="898"/>
      <c r="E1141" s="898"/>
      <c r="F1141" s="898"/>
      <c r="G1141" s="240" t="s">
        <v>100</v>
      </c>
      <c r="H1141" s="182" t="s">
        <v>101</v>
      </c>
      <c r="I1141" s="896"/>
      <c r="J1141" s="898"/>
      <c r="K1141" s="898"/>
      <c r="L1141" s="898"/>
      <c r="M1141" s="898"/>
      <c r="N1141" s="898"/>
      <c r="O1141" s="240" t="s">
        <v>100</v>
      </c>
      <c r="P1141" s="182" t="s">
        <v>101</v>
      </c>
    </row>
    <row r="1142" spans="1:16" ht="12" customHeight="1">
      <c r="A1142" s="919" t="e">
        <f>+#REF!+1</f>
        <v>#REF!</v>
      </c>
      <c r="B1142" s="875">
        <v>42355</v>
      </c>
      <c r="C1142" s="877" t="s">
        <v>31</v>
      </c>
      <c r="D1142" s="877" t="s">
        <v>490</v>
      </c>
      <c r="E1142" s="881" t="s">
        <v>115</v>
      </c>
      <c r="F1142" s="883">
        <v>50000</v>
      </c>
      <c r="G1142" s="55">
        <v>719</v>
      </c>
      <c r="H1142" s="78">
        <v>50000</v>
      </c>
      <c r="I1142" s="873" t="s">
        <v>856</v>
      </c>
      <c r="J1142" s="875">
        <v>43062</v>
      </c>
      <c r="K1142" s="881" t="s">
        <v>472</v>
      </c>
      <c r="L1142" s="879" t="s">
        <v>1553</v>
      </c>
      <c r="M1142" s="881" t="s">
        <v>148</v>
      </c>
      <c r="N1142" s="883">
        <v>364000</v>
      </c>
      <c r="O1142" s="55">
        <v>719</v>
      </c>
      <c r="P1142" s="78">
        <f>+N1142-P1143</f>
        <v>280000</v>
      </c>
    </row>
    <row r="1143" spans="1:16" ht="14.25" customHeight="1" thickBot="1">
      <c r="A1143" s="920"/>
      <c r="B1143" s="876"/>
      <c r="C1143" s="878"/>
      <c r="D1143" s="878"/>
      <c r="E1143" s="882"/>
      <c r="F1143" s="884"/>
      <c r="G1143" s="56">
        <v>721</v>
      </c>
      <c r="H1143" s="79">
        <f>+F1142-H1142</f>
        <v>0</v>
      </c>
      <c r="I1143" s="874"/>
      <c r="J1143" s="876"/>
      <c r="K1143" s="882"/>
      <c r="L1143" s="880"/>
      <c r="M1143" s="882"/>
      <c r="N1143" s="884"/>
      <c r="O1143" s="56">
        <v>721</v>
      </c>
      <c r="P1143" s="79">
        <v>84000</v>
      </c>
    </row>
    <row r="1144" spans="1:16" ht="11.25" customHeight="1">
      <c r="A1144" s="919" t="e">
        <f>+A1142+1</f>
        <v>#REF!</v>
      </c>
      <c r="B1144" s="875">
        <v>42355</v>
      </c>
      <c r="C1144" s="877" t="s">
        <v>32</v>
      </c>
      <c r="D1144" s="877" t="s">
        <v>491</v>
      </c>
      <c r="E1144" s="881" t="s">
        <v>115</v>
      </c>
      <c r="F1144" s="883">
        <v>20000</v>
      </c>
      <c r="G1144" s="55">
        <v>719</v>
      </c>
      <c r="H1144" s="78">
        <v>20000</v>
      </c>
      <c r="I1144" s="881">
        <f>+I1142+1</f>
        <v>146</v>
      </c>
      <c r="J1144" s="875">
        <v>43062</v>
      </c>
      <c r="K1144" s="877" t="s">
        <v>40</v>
      </c>
      <c r="L1144" s="881" t="s">
        <v>1439</v>
      </c>
      <c r="M1144" s="881" t="s">
        <v>148</v>
      </c>
      <c r="N1144" s="883">
        <v>-7821240</v>
      </c>
      <c r="O1144" s="55">
        <v>719</v>
      </c>
      <c r="P1144" s="78"/>
    </row>
    <row r="1145" spans="1:16" ht="15.75" customHeight="1" thickBot="1">
      <c r="A1145" s="920"/>
      <c r="B1145" s="876"/>
      <c r="C1145" s="878"/>
      <c r="D1145" s="878"/>
      <c r="E1145" s="882"/>
      <c r="F1145" s="884"/>
      <c r="G1145" s="56">
        <v>721</v>
      </c>
      <c r="H1145" s="79">
        <f>+F1144-H1144</f>
        <v>0</v>
      </c>
      <c r="I1145" s="882"/>
      <c r="J1145" s="876"/>
      <c r="K1145" s="878"/>
      <c r="L1145" s="882"/>
      <c r="M1145" s="882"/>
      <c r="N1145" s="884"/>
      <c r="O1145" s="56">
        <v>723</v>
      </c>
      <c r="P1145" s="79">
        <f>+N1144-P1144</f>
        <v>-7821240</v>
      </c>
    </row>
    <row r="1146" spans="1:16" ht="12.75" customHeight="1">
      <c r="A1146" s="919"/>
      <c r="B1146" s="875"/>
      <c r="C1146" s="877"/>
      <c r="D1146" s="881"/>
      <c r="E1146" s="881"/>
      <c r="F1146" s="883"/>
      <c r="G1146" s="55">
        <v>719</v>
      </c>
      <c r="H1146" s="78"/>
      <c r="I1146" s="881">
        <f>+I1144+1</f>
        <v>147</v>
      </c>
      <c r="J1146" s="875">
        <v>43062</v>
      </c>
      <c r="K1146" s="881" t="s">
        <v>472</v>
      </c>
      <c r="L1146" s="879" t="s">
        <v>1554</v>
      </c>
      <c r="M1146" s="881" t="s">
        <v>148</v>
      </c>
      <c r="N1146" s="883">
        <v>299000</v>
      </c>
      <c r="O1146" s="55">
        <v>719</v>
      </c>
      <c r="P1146" s="78">
        <f>+N1146-P1147</f>
        <v>230000</v>
      </c>
    </row>
    <row r="1147" spans="1:16" ht="13.5" customHeight="1" thickBot="1">
      <c r="A1147" s="920"/>
      <c r="B1147" s="876"/>
      <c r="C1147" s="878"/>
      <c r="D1147" s="882"/>
      <c r="E1147" s="882"/>
      <c r="F1147" s="884"/>
      <c r="G1147" s="56">
        <v>721</v>
      </c>
      <c r="H1147" s="79"/>
      <c r="I1147" s="882"/>
      <c r="J1147" s="876"/>
      <c r="K1147" s="882"/>
      <c r="L1147" s="880"/>
      <c r="M1147" s="882"/>
      <c r="N1147" s="884"/>
      <c r="O1147" s="56">
        <v>721</v>
      </c>
      <c r="P1147" s="79">
        <v>69000</v>
      </c>
    </row>
    <row r="1148" spans="1:16" ht="12" customHeight="1">
      <c r="A1148" s="881"/>
      <c r="B1148" s="875"/>
      <c r="C1148" s="877"/>
      <c r="D1148" s="881"/>
      <c r="E1148" s="881"/>
      <c r="F1148" s="883"/>
      <c r="G1148" s="55">
        <v>719</v>
      </c>
      <c r="H1148" s="78"/>
      <c r="I1148" s="881">
        <f>+I1146+1</f>
        <v>148</v>
      </c>
      <c r="J1148" s="875">
        <v>43062</v>
      </c>
      <c r="K1148" s="881" t="s">
        <v>472</v>
      </c>
      <c r="L1148" s="879" t="s">
        <v>1555</v>
      </c>
      <c r="M1148" s="881" t="s">
        <v>148</v>
      </c>
      <c r="N1148" s="883">
        <v>559000</v>
      </c>
      <c r="O1148" s="55">
        <v>719</v>
      </c>
      <c r="P1148" s="78">
        <f>+N1148-P1149</f>
        <v>430000</v>
      </c>
    </row>
    <row r="1149" spans="1:16" ht="12.75" customHeight="1" thickBot="1">
      <c r="A1149" s="882"/>
      <c r="B1149" s="876"/>
      <c r="C1149" s="878"/>
      <c r="D1149" s="882"/>
      <c r="E1149" s="882"/>
      <c r="F1149" s="884"/>
      <c r="G1149" s="56">
        <v>721</v>
      </c>
      <c r="H1149" s="79">
        <f>+F1148-H1148</f>
        <v>0</v>
      </c>
      <c r="I1149" s="882"/>
      <c r="J1149" s="876"/>
      <c r="K1149" s="882"/>
      <c r="L1149" s="880"/>
      <c r="M1149" s="882"/>
      <c r="N1149" s="884"/>
      <c r="O1149" s="56">
        <v>721</v>
      </c>
      <c r="P1149" s="79">
        <v>129000</v>
      </c>
    </row>
    <row r="1150" spans="1:16" ht="12.75" customHeight="1">
      <c r="A1150" s="881"/>
      <c r="B1150" s="875"/>
      <c r="C1150" s="877"/>
      <c r="D1150" s="881"/>
      <c r="E1150" s="881"/>
      <c r="F1150" s="883"/>
      <c r="G1150" s="55">
        <v>719</v>
      </c>
      <c r="H1150" s="78"/>
      <c r="I1150" s="881">
        <f>+I1148+1</f>
        <v>149</v>
      </c>
      <c r="J1150" s="875">
        <v>43062</v>
      </c>
      <c r="K1150" s="881" t="s">
        <v>472</v>
      </c>
      <c r="L1150" s="879" t="s">
        <v>1556</v>
      </c>
      <c r="M1150" s="881" t="s">
        <v>148</v>
      </c>
      <c r="N1150" s="883">
        <v>637000</v>
      </c>
      <c r="O1150" s="55">
        <v>719</v>
      </c>
      <c r="P1150" s="78">
        <f>+N1150-P1151</f>
        <v>490000</v>
      </c>
    </row>
    <row r="1151" spans="1:16" ht="13.5" customHeight="1" thickBot="1">
      <c r="A1151" s="882"/>
      <c r="B1151" s="876"/>
      <c r="C1151" s="878"/>
      <c r="D1151" s="882"/>
      <c r="E1151" s="882"/>
      <c r="F1151" s="884"/>
      <c r="G1151" s="56">
        <v>721</v>
      </c>
      <c r="H1151" s="79">
        <f>+F1150-H1150</f>
        <v>0</v>
      </c>
      <c r="I1151" s="882"/>
      <c r="J1151" s="876"/>
      <c r="K1151" s="882"/>
      <c r="L1151" s="880"/>
      <c r="M1151" s="882"/>
      <c r="N1151" s="884"/>
      <c r="O1151" s="56">
        <v>721</v>
      </c>
      <c r="P1151" s="79">
        <v>147000</v>
      </c>
    </row>
    <row r="1152" spans="1:16" ht="16.5" thickBot="1">
      <c r="A1152" s="901" t="s">
        <v>102</v>
      </c>
      <c r="B1152" s="902"/>
      <c r="C1152" s="902"/>
      <c r="D1152" s="902"/>
      <c r="E1152" s="903"/>
      <c r="F1152" s="81">
        <f>SUM(F1142:F1151)</f>
        <v>70000</v>
      </c>
      <c r="I1152" s="901" t="s">
        <v>102</v>
      </c>
      <c r="J1152" s="902"/>
      <c r="K1152" s="902"/>
      <c r="L1152" s="902"/>
      <c r="M1152" s="903"/>
      <c r="N1152" s="81">
        <f>SUM(N1142:N1151)</f>
        <v>-5962240</v>
      </c>
    </row>
    <row r="1153" spans="1:16" ht="16.5" thickBot="1">
      <c r="A1153" s="885" t="s">
        <v>103</v>
      </c>
      <c r="B1153" s="886"/>
      <c r="C1153" s="886"/>
      <c r="D1153" s="886"/>
      <c r="E1153" s="887"/>
      <c r="F1153" s="69">
        <f>+F1117</f>
        <v>655253254</v>
      </c>
      <c r="I1153" s="885" t="s">
        <v>103</v>
      </c>
      <c r="J1153" s="886"/>
      <c r="K1153" s="886"/>
      <c r="L1153" s="886"/>
      <c r="M1153" s="887"/>
      <c r="N1153" s="69">
        <f>+N1117</f>
        <v>477808640</v>
      </c>
      <c r="O1153" s="241" t="s">
        <v>561</v>
      </c>
      <c r="P1153" s="242"/>
    </row>
    <row r="1154" spans="1:16" ht="16.5" thickBot="1">
      <c r="A1154" s="888" t="s">
        <v>104</v>
      </c>
      <c r="B1154" s="889"/>
      <c r="C1154" s="889"/>
      <c r="D1154" s="889"/>
      <c r="E1154" s="890"/>
      <c r="F1154" s="183">
        <f>SUM(F1152:F1153)</f>
        <v>655323254</v>
      </c>
      <c r="I1154" s="888" t="s">
        <v>104</v>
      </c>
      <c r="J1154" s="889"/>
      <c r="K1154" s="889"/>
      <c r="L1154" s="889"/>
      <c r="M1154" s="890"/>
      <c r="N1154" s="183">
        <f>SUM(N1152:N1153)</f>
        <v>471846400</v>
      </c>
    </row>
    <row r="1155" spans="1:16" ht="13.5" customHeight="1">
      <c r="A1155" s="61"/>
      <c r="B1155" s="61"/>
      <c r="C1155" s="61"/>
      <c r="D1155" s="61"/>
      <c r="E1155" s="61"/>
      <c r="I1155" s="61"/>
      <c r="J1155" s="61"/>
      <c r="K1155" s="61"/>
      <c r="L1155" s="61"/>
      <c r="M1155" s="61"/>
    </row>
    <row r="1156" spans="1:16">
      <c r="A1156" s="51" t="s">
        <v>492</v>
      </c>
      <c r="I1156" s="51" t="s">
        <v>1557</v>
      </c>
    </row>
    <row r="1157" spans="1:16" ht="11.25" customHeight="1">
      <c r="F1157" s="139"/>
      <c r="N1157" s="139"/>
    </row>
    <row r="1158" spans="1:16">
      <c r="A1158" s="50" t="s">
        <v>105</v>
      </c>
      <c r="D1158" s="146"/>
      <c r="F1158" s="139"/>
      <c r="I1158" s="50" t="s">
        <v>105</v>
      </c>
      <c r="L1158" s="146"/>
      <c r="N1158" s="139"/>
    </row>
    <row r="1159" spans="1:16" ht="13.5" customHeight="1" thickBot="1"/>
    <row r="1160" spans="1:16" ht="15.75" thickBot="1">
      <c r="A1160" s="891" t="s">
        <v>106</v>
      </c>
      <c r="B1160" s="892"/>
      <c r="C1160" s="892"/>
      <c r="D1160" s="893"/>
      <c r="F1160" s="50" t="s">
        <v>288</v>
      </c>
      <c r="I1160" s="891" t="s">
        <v>106</v>
      </c>
      <c r="J1160" s="892"/>
      <c r="K1160" s="892"/>
      <c r="L1160" s="893"/>
      <c r="N1160" s="925" t="s">
        <v>288</v>
      </c>
      <c r="O1160" s="925"/>
      <c r="P1160" s="925"/>
    </row>
    <row r="1161" spans="1:16" ht="30.75" thickBot="1">
      <c r="A1161" s="57" t="s">
        <v>100</v>
      </c>
      <c r="B1161" s="58" t="s">
        <v>108</v>
      </c>
      <c r="C1161" s="59" t="s">
        <v>109</v>
      </c>
      <c r="D1161" s="60" t="s">
        <v>110</v>
      </c>
      <c r="I1161" s="57" t="s">
        <v>100</v>
      </c>
      <c r="J1161" s="58" t="s">
        <v>108</v>
      </c>
      <c r="K1161" s="59" t="s">
        <v>109</v>
      </c>
      <c r="L1161" s="60" t="s">
        <v>110</v>
      </c>
    </row>
    <row r="1162" spans="1:16" ht="13.5" customHeight="1">
      <c r="A1162" s="71">
        <v>719</v>
      </c>
      <c r="B1162" s="73">
        <f>+H1142+H1144+H1146+H1148+H1150</f>
        <v>70000</v>
      </c>
      <c r="C1162" s="74" t="e">
        <f>+D1125</f>
        <v>#REF!</v>
      </c>
      <c r="D1162" s="195" t="e">
        <f>+B1162+C1162</f>
        <v>#REF!</v>
      </c>
      <c r="I1162" s="71">
        <v>719</v>
      </c>
      <c r="J1162" s="73">
        <f>+P1142+P1144+P1146+P1148+P1150</f>
        <v>1430000</v>
      </c>
      <c r="K1162" s="74">
        <f>+L1125</f>
        <v>26360000</v>
      </c>
      <c r="L1162" s="195">
        <f>+J1162+K1162</f>
        <v>27790000</v>
      </c>
    </row>
    <row r="1163" spans="1:16">
      <c r="A1163" s="72">
        <v>721</v>
      </c>
      <c r="B1163" s="80">
        <f>(+H1151+H1149+H1147+H1145+H1143)</f>
        <v>0</v>
      </c>
      <c r="C1163" s="74" t="e">
        <f>+D1126</f>
        <v>#REF!</v>
      </c>
      <c r="D1163" s="195" t="e">
        <f>+B1163+C1163</f>
        <v>#REF!</v>
      </c>
      <c r="I1163" s="72">
        <v>721</v>
      </c>
      <c r="J1163" s="80">
        <f>+P1143+P1147+P1149+P1151</f>
        <v>429000</v>
      </c>
      <c r="K1163" s="74">
        <f>+L1126</f>
        <v>2817500</v>
      </c>
      <c r="L1163" s="195">
        <f>+J1163+K1163</f>
        <v>3246500</v>
      </c>
    </row>
    <row r="1164" spans="1:16" ht="13.5" customHeight="1">
      <c r="A1164" s="72">
        <v>722</v>
      </c>
      <c r="B1164" s="80"/>
      <c r="C1164" s="74">
        <f>+D1127</f>
        <v>231207671</v>
      </c>
      <c r="D1164" s="195">
        <f>+B1164+C1164</f>
        <v>231207671</v>
      </c>
      <c r="I1164" s="72">
        <v>722</v>
      </c>
      <c r="J1164" s="80"/>
      <c r="K1164" s="74">
        <f>+L1127</f>
        <v>42881706</v>
      </c>
      <c r="L1164" s="195">
        <f>+J1164+K1164</f>
        <v>42881706</v>
      </c>
      <c r="N1164" s="918" t="s">
        <v>1481</v>
      </c>
      <c r="O1164" s="918"/>
      <c r="P1164" s="918"/>
    </row>
    <row r="1165" spans="1:16" ht="15.75">
      <c r="A1165" s="72">
        <v>723</v>
      </c>
      <c r="B1165" s="80"/>
      <c r="C1165" s="74">
        <f>+D1128</f>
        <v>323193545</v>
      </c>
      <c r="D1165" s="195">
        <f>+B1165+C1165</f>
        <v>323193545</v>
      </c>
      <c r="F1165" s="174" t="s">
        <v>23</v>
      </c>
      <c r="G1165" s="175"/>
      <c r="I1165" s="72">
        <v>723</v>
      </c>
      <c r="J1165" s="80">
        <f>+P1145</f>
        <v>-7821240</v>
      </c>
      <c r="K1165" s="74">
        <f>+L1128</f>
        <v>405749434</v>
      </c>
      <c r="L1165" s="195">
        <f>+J1165+K1165</f>
        <v>397928194</v>
      </c>
      <c r="N1165" s="193"/>
      <c r="O1165" s="175"/>
    </row>
    <row r="1166" spans="1:16" ht="14.25" customHeight="1" thickBot="1">
      <c r="A1166" s="164" t="s">
        <v>181</v>
      </c>
      <c r="B1166" s="165"/>
      <c r="C1166" s="74" t="e">
        <f>+D1129</f>
        <v>#REF!</v>
      </c>
      <c r="D1166" s="196" t="e">
        <f>+B1166+C1166</f>
        <v>#REF!</v>
      </c>
      <c r="F1166" s="52"/>
      <c r="I1166" s="164" t="s">
        <v>181</v>
      </c>
      <c r="J1166" s="165"/>
      <c r="K1166" s="74">
        <f>+L1129</f>
        <v>0</v>
      </c>
      <c r="L1166" s="196">
        <f>+J1166+K1166</f>
        <v>0</v>
      </c>
      <c r="N1166" s="52"/>
    </row>
    <row r="1167" spans="1:16" ht="16.5" thickBot="1">
      <c r="A1167" s="169"/>
      <c r="B1167" s="170">
        <f>SUM(B1162:B1166)</f>
        <v>70000</v>
      </c>
      <c r="C1167" s="171" t="e">
        <f>SUM(C1162:C1166)</f>
        <v>#REF!</v>
      </c>
      <c r="D1167" s="172" t="e">
        <f>SUM(D1162:D1166)</f>
        <v>#REF!</v>
      </c>
      <c r="I1167" s="169"/>
      <c r="J1167" s="197">
        <f>SUM(J1162:J1166)</f>
        <v>-5962240</v>
      </c>
      <c r="K1167" s="197">
        <f>SUM(K1162:K1166)</f>
        <v>477808640</v>
      </c>
      <c r="L1167" s="198">
        <f>SUM(L1162:L1166)</f>
        <v>471846400</v>
      </c>
    </row>
    <row r="1168" spans="1:16" ht="16.5">
      <c r="A1168" s="49" t="s">
        <v>88</v>
      </c>
      <c r="B1168" s="50"/>
      <c r="I1168" s="49" t="s">
        <v>88</v>
      </c>
      <c r="J1168" s="50"/>
    </row>
    <row r="1169" spans="1:16">
      <c r="A1169" s="51" t="s">
        <v>89</v>
      </c>
      <c r="I1169" s="51" t="s">
        <v>89</v>
      </c>
    </row>
    <row r="1170" spans="1:16">
      <c r="A1170" s="51" t="s">
        <v>90</v>
      </c>
      <c r="I1170" s="51" t="s">
        <v>90</v>
      </c>
    </row>
    <row r="1171" spans="1:16" ht="14.25" customHeight="1">
      <c r="A1171" s="51" t="s">
        <v>91</v>
      </c>
      <c r="I1171" s="51" t="s">
        <v>91</v>
      </c>
    </row>
    <row r="1172" spans="1:16" ht="10.5" customHeight="1">
      <c r="A1172" s="50"/>
      <c r="B1172" s="50"/>
      <c r="I1172" s="50"/>
      <c r="J1172" s="50"/>
    </row>
    <row r="1173" spans="1:16" ht="16.5">
      <c r="A1173" s="52" t="s">
        <v>493</v>
      </c>
      <c r="G1173" s="52"/>
      <c r="I1173" s="260" t="s">
        <v>870</v>
      </c>
      <c r="O1173" s="52"/>
    </row>
    <row r="1174" spans="1:16" ht="15.75">
      <c r="A1174" s="53" t="s">
        <v>92</v>
      </c>
      <c r="G1174" s="53"/>
      <c r="I1174" s="53" t="s">
        <v>1333</v>
      </c>
      <c r="O1174" s="53"/>
    </row>
    <row r="1175" spans="1:16" ht="16.5">
      <c r="A1175" s="894" t="s">
        <v>261</v>
      </c>
      <c r="B1175" s="894"/>
      <c r="C1175" s="894"/>
      <c r="D1175" s="894"/>
      <c r="E1175" s="894"/>
      <c r="F1175" s="894"/>
      <c r="G1175" s="894"/>
      <c r="H1175" s="894"/>
      <c r="I1175" s="894" t="s">
        <v>261</v>
      </c>
      <c r="J1175" s="894"/>
      <c r="K1175" s="894"/>
      <c r="L1175" s="894"/>
      <c r="M1175" s="894"/>
      <c r="N1175" s="894"/>
      <c r="O1175" s="894"/>
      <c r="P1175" s="894"/>
    </row>
    <row r="1176" spans="1:16" ht="15.75" thickBot="1"/>
    <row r="1177" spans="1:16">
      <c r="A1177" s="895" t="s">
        <v>94</v>
      </c>
      <c r="B1177" s="897" t="s">
        <v>95</v>
      </c>
      <c r="C1177" s="897" t="s">
        <v>96</v>
      </c>
      <c r="D1177" s="897" t="s">
        <v>3</v>
      </c>
      <c r="E1177" s="897" t="s">
        <v>97</v>
      </c>
      <c r="F1177" s="897" t="s">
        <v>98</v>
      </c>
      <c r="G1177" s="897" t="s">
        <v>99</v>
      </c>
      <c r="H1177" s="899"/>
      <c r="I1177" s="895" t="s">
        <v>94</v>
      </c>
      <c r="J1177" s="897" t="s">
        <v>95</v>
      </c>
      <c r="K1177" s="897" t="s">
        <v>96</v>
      </c>
      <c r="L1177" s="897" t="s">
        <v>3</v>
      </c>
      <c r="M1177" s="897" t="s">
        <v>97</v>
      </c>
      <c r="N1177" s="897" t="s">
        <v>98</v>
      </c>
      <c r="O1177" s="897" t="s">
        <v>99</v>
      </c>
      <c r="P1177" s="899"/>
    </row>
    <row r="1178" spans="1:16" ht="15.75" thickBot="1">
      <c r="A1178" s="896"/>
      <c r="B1178" s="898"/>
      <c r="C1178" s="898"/>
      <c r="D1178" s="898"/>
      <c r="E1178" s="898"/>
      <c r="F1178" s="898"/>
      <c r="G1178" s="240" t="s">
        <v>100</v>
      </c>
      <c r="H1178" s="182" t="s">
        <v>101</v>
      </c>
      <c r="I1178" s="896"/>
      <c r="J1178" s="898"/>
      <c r="K1178" s="898"/>
      <c r="L1178" s="898"/>
      <c r="M1178" s="898"/>
      <c r="N1178" s="898"/>
      <c r="O1178" s="240" t="s">
        <v>100</v>
      </c>
      <c r="P1178" s="182" t="s">
        <v>101</v>
      </c>
    </row>
    <row r="1179" spans="1:16" ht="12.75" customHeight="1">
      <c r="A1179" s="919" t="e">
        <f>+A1144+1</f>
        <v>#REF!</v>
      </c>
      <c r="B1179" s="875">
        <v>42360</v>
      </c>
      <c r="C1179" s="877" t="s">
        <v>31</v>
      </c>
      <c r="D1179" s="877" t="s">
        <v>494</v>
      </c>
      <c r="E1179" s="881" t="s">
        <v>115</v>
      </c>
      <c r="F1179" s="883">
        <v>70000</v>
      </c>
      <c r="G1179" s="55">
        <v>719</v>
      </c>
      <c r="H1179" s="78">
        <v>70000</v>
      </c>
      <c r="I1179" s="873" t="s">
        <v>863</v>
      </c>
      <c r="J1179" s="875">
        <v>43062</v>
      </c>
      <c r="K1179" s="881" t="s">
        <v>28</v>
      </c>
      <c r="L1179" s="881" t="s">
        <v>1558</v>
      </c>
      <c r="M1179" s="881" t="s">
        <v>148</v>
      </c>
      <c r="N1179" s="883">
        <v>741000</v>
      </c>
      <c r="O1179" s="55">
        <v>719</v>
      </c>
      <c r="P1179" s="78">
        <f>+N1179-P1180</f>
        <v>570000</v>
      </c>
    </row>
    <row r="1180" spans="1:16" ht="12.75" customHeight="1" thickBot="1">
      <c r="A1180" s="920"/>
      <c r="B1180" s="876"/>
      <c r="C1180" s="878"/>
      <c r="D1180" s="878"/>
      <c r="E1180" s="882"/>
      <c r="F1180" s="884"/>
      <c r="G1180" s="56">
        <v>721</v>
      </c>
      <c r="H1180" s="79">
        <f>+F1179-H1179</f>
        <v>0</v>
      </c>
      <c r="I1180" s="874"/>
      <c r="J1180" s="876"/>
      <c r="K1180" s="882"/>
      <c r="L1180" s="882"/>
      <c r="M1180" s="882"/>
      <c r="N1180" s="884"/>
      <c r="O1180" s="56">
        <v>721</v>
      </c>
      <c r="P1180" s="79">
        <v>171000</v>
      </c>
    </row>
    <row r="1181" spans="1:16" ht="12" customHeight="1">
      <c r="A1181" s="919" t="e">
        <f>+A1179+1</f>
        <v>#REF!</v>
      </c>
      <c r="B1181" s="875">
        <v>42360</v>
      </c>
      <c r="C1181" s="877" t="s">
        <v>472</v>
      </c>
      <c r="D1181" s="877" t="s">
        <v>495</v>
      </c>
      <c r="E1181" s="881" t="s">
        <v>115</v>
      </c>
      <c r="F1181" s="883">
        <v>60000</v>
      </c>
      <c r="G1181" s="55">
        <v>719</v>
      </c>
      <c r="H1181" s="78">
        <v>60000</v>
      </c>
      <c r="I1181" s="873">
        <f>+I1179+1</f>
        <v>151</v>
      </c>
      <c r="J1181" s="875">
        <v>43062</v>
      </c>
      <c r="K1181" s="881" t="s">
        <v>28</v>
      </c>
      <c r="L1181" s="881" t="s">
        <v>1559</v>
      </c>
      <c r="M1181" s="881" t="s">
        <v>148</v>
      </c>
      <c r="N1181" s="883">
        <v>299000</v>
      </c>
      <c r="O1181" s="55">
        <v>719</v>
      </c>
      <c r="P1181" s="78">
        <f>+N1181-P1182</f>
        <v>230000</v>
      </c>
    </row>
    <row r="1182" spans="1:16" ht="12" customHeight="1" thickBot="1">
      <c r="A1182" s="920"/>
      <c r="B1182" s="876"/>
      <c r="C1182" s="878"/>
      <c r="D1182" s="878"/>
      <c r="E1182" s="882"/>
      <c r="F1182" s="884"/>
      <c r="G1182" s="56">
        <v>721</v>
      </c>
      <c r="H1182" s="79">
        <f>+F1181-H1181</f>
        <v>0</v>
      </c>
      <c r="I1182" s="882"/>
      <c r="J1182" s="876"/>
      <c r="K1182" s="882"/>
      <c r="L1182" s="882"/>
      <c r="M1182" s="882"/>
      <c r="N1182" s="884"/>
      <c r="O1182" s="56">
        <v>721</v>
      </c>
      <c r="P1182" s="79">
        <v>69000</v>
      </c>
    </row>
    <row r="1183" spans="1:16" ht="12" customHeight="1">
      <c r="A1183" s="919" t="e">
        <f>+A1181+1</f>
        <v>#REF!</v>
      </c>
      <c r="B1183" s="875">
        <v>42360</v>
      </c>
      <c r="C1183" s="877" t="s">
        <v>32</v>
      </c>
      <c r="D1183" s="877" t="s">
        <v>496</v>
      </c>
      <c r="E1183" s="881" t="s">
        <v>115</v>
      </c>
      <c r="F1183" s="883">
        <v>50000</v>
      </c>
      <c r="G1183" s="55">
        <v>719</v>
      </c>
      <c r="H1183" s="78">
        <v>50000</v>
      </c>
      <c r="I1183" s="873">
        <f>+I1181+1</f>
        <v>152</v>
      </c>
      <c r="J1183" s="875">
        <v>43062</v>
      </c>
      <c r="K1183" s="881" t="s">
        <v>120</v>
      </c>
      <c r="L1183" s="881" t="s">
        <v>1560</v>
      </c>
      <c r="M1183" s="881" t="s">
        <v>115</v>
      </c>
      <c r="N1183" s="883">
        <v>320000</v>
      </c>
      <c r="O1183" s="55">
        <v>719</v>
      </c>
      <c r="P1183" s="78">
        <v>320000</v>
      </c>
    </row>
    <row r="1184" spans="1:16" ht="10.5" customHeight="1" thickBot="1">
      <c r="A1184" s="920"/>
      <c r="B1184" s="876"/>
      <c r="C1184" s="878"/>
      <c r="D1184" s="878"/>
      <c r="E1184" s="882"/>
      <c r="F1184" s="884"/>
      <c r="G1184" s="56">
        <v>721</v>
      </c>
      <c r="H1184" s="79">
        <f>+F1183-H1183</f>
        <v>0</v>
      </c>
      <c r="I1184" s="882"/>
      <c r="J1184" s="876"/>
      <c r="K1184" s="882"/>
      <c r="L1184" s="882"/>
      <c r="M1184" s="882"/>
      <c r="N1184" s="884"/>
      <c r="O1184" s="56">
        <v>721</v>
      </c>
      <c r="P1184" s="79">
        <v>0</v>
      </c>
    </row>
    <row r="1185" spans="1:16" ht="12" customHeight="1">
      <c r="A1185" s="919"/>
      <c r="B1185" s="875"/>
      <c r="C1185" s="877"/>
      <c r="D1185" s="881"/>
      <c r="E1185" s="881"/>
      <c r="F1185" s="883"/>
      <c r="G1185" s="55">
        <v>719</v>
      </c>
      <c r="H1185" s="78"/>
      <c r="I1185" s="873">
        <f>+I1183+1</f>
        <v>153</v>
      </c>
      <c r="J1185" s="875">
        <v>43062</v>
      </c>
      <c r="K1185" s="881" t="s">
        <v>120</v>
      </c>
      <c r="L1185" s="881" t="s">
        <v>1561</v>
      </c>
      <c r="M1185" s="881" t="s">
        <v>115</v>
      </c>
      <c r="N1185" s="883">
        <v>230000</v>
      </c>
      <c r="O1185" s="55">
        <v>719</v>
      </c>
      <c r="P1185" s="78">
        <v>230000</v>
      </c>
    </row>
    <row r="1186" spans="1:16" ht="11.25" customHeight="1" thickBot="1">
      <c r="A1186" s="920"/>
      <c r="B1186" s="876"/>
      <c r="C1186" s="878"/>
      <c r="D1186" s="882"/>
      <c r="E1186" s="882"/>
      <c r="F1186" s="884"/>
      <c r="G1186" s="56">
        <v>721</v>
      </c>
      <c r="H1186" s="79">
        <f>+F1185-H1185</f>
        <v>0</v>
      </c>
      <c r="I1186" s="882"/>
      <c r="J1186" s="876"/>
      <c r="K1186" s="882"/>
      <c r="L1186" s="882"/>
      <c r="M1186" s="882"/>
      <c r="N1186" s="884"/>
      <c r="O1186" s="56">
        <v>721</v>
      </c>
      <c r="P1186" s="79">
        <v>0</v>
      </c>
    </row>
    <row r="1187" spans="1:16" ht="13.5" customHeight="1">
      <c r="A1187" s="439"/>
      <c r="B1187" s="252"/>
      <c r="C1187" s="253"/>
      <c r="D1187" s="251"/>
      <c r="E1187" s="251"/>
      <c r="F1187" s="254"/>
      <c r="G1187" s="255"/>
      <c r="H1187" s="256"/>
      <c r="I1187" s="873">
        <f>+I1183+1</f>
        <v>153</v>
      </c>
      <c r="J1187" s="875">
        <v>43062</v>
      </c>
      <c r="K1187" s="881" t="s">
        <v>120</v>
      </c>
      <c r="L1187" s="879" t="s">
        <v>1562</v>
      </c>
      <c r="M1187" s="881" t="s">
        <v>115</v>
      </c>
      <c r="N1187" s="883">
        <v>320000</v>
      </c>
      <c r="O1187" s="55">
        <v>719</v>
      </c>
      <c r="P1187" s="78">
        <v>320000</v>
      </c>
    </row>
    <row r="1188" spans="1:16" ht="13.5" customHeight="1" thickBot="1">
      <c r="A1188" s="439"/>
      <c r="B1188" s="252"/>
      <c r="C1188" s="253"/>
      <c r="D1188" s="251"/>
      <c r="E1188" s="251"/>
      <c r="F1188" s="254"/>
      <c r="G1188" s="255"/>
      <c r="H1188" s="256"/>
      <c r="I1188" s="882"/>
      <c r="J1188" s="876"/>
      <c r="K1188" s="882"/>
      <c r="L1188" s="880"/>
      <c r="M1188" s="882"/>
      <c r="N1188" s="884"/>
      <c r="O1188" s="56">
        <v>721</v>
      </c>
      <c r="P1188" s="79">
        <f>+N1187-P1187</f>
        <v>0</v>
      </c>
    </row>
    <row r="1189" spans="1:16" ht="12" customHeight="1">
      <c r="A1189" s="881"/>
      <c r="B1189" s="875"/>
      <c r="C1189" s="877"/>
      <c r="D1189" s="881"/>
      <c r="E1189" s="881"/>
      <c r="F1189" s="883"/>
      <c r="G1189" s="55">
        <v>719</v>
      </c>
      <c r="H1189" s="78"/>
      <c r="I1189" s="873" t="s">
        <v>872</v>
      </c>
      <c r="J1189" s="875">
        <v>43062</v>
      </c>
      <c r="K1189" s="881" t="s">
        <v>120</v>
      </c>
      <c r="L1189" s="881" t="s">
        <v>1545</v>
      </c>
      <c r="M1189" s="881" t="s">
        <v>115</v>
      </c>
      <c r="N1189" s="883">
        <v>160000</v>
      </c>
      <c r="O1189" s="55">
        <v>719</v>
      </c>
      <c r="P1189" s="78">
        <v>160000</v>
      </c>
    </row>
    <row r="1190" spans="1:16" ht="12" customHeight="1" thickBot="1">
      <c r="A1190" s="882"/>
      <c r="B1190" s="876"/>
      <c r="C1190" s="878"/>
      <c r="D1190" s="882"/>
      <c r="E1190" s="882"/>
      <c r="F1190" s="884"/>
      <c r="G1190" s="56">
        <v>721</v>
      </c>
      <c r="H1190" s="79">
        <f>+F1189-H1189</f>
        <v>0</v>
      </c>
      <c r="I1190" s="874"/>
      <c r="J1190" s="876"/>
      <c r="K1190" s="882"/>
      <c r="L1190" s="882"/>
      <c r="M1190" s="882"/>
      <c r="N1190" s="884"/>
      <c r="O1190" s="56">
        <v>721</v>
      </c>
      <c r="P1190" s="79">
        <v>0</v>
      </c>
    </row>
    <row r="1191" spans="1:16" ht="15" customHeight="1" thickBot="1">
      <c r="A1191" s="901" t="s">
        <v>102</v>
      </c>
      <c r="B1191" s="902"/>
      <c r="C1191" s="902"/>
      <c r="D1191" s="902"/>
      <c r="E1191" s="903"/>
      <c r="F1191" s="81">
        <f>SUM(F1179:F1190)</f>
        <v>180000</v>
      </c>
      <c r="I1191" s="901" t="s">
        <v>102</v>
      </c>
      <c r="J1191" s="902"/>
      <c r="K1191" s="902"/>
      <c r="L1191" s="902"/>
      <c r="M1191" s="903"/>
      <c r="N1191" s="81">
        <f>SUM(N1179:N1190)</f>
        <v>2070000</v>
      </c>
    </row>
    <row r="1192" spans="1:16" ht="16.5" thickBot="1">
      <c r="A1192" s="885" t="s">
        <v>103</v>
      </c>
      <c r="B1192" s="886"/>
      <c r="C1192" s="886"/>
      <c r="D1192" s="886"/>
      <c r="E1192" s="887"/>
      <c r="F1192" s="69">
        <f>+F1154</f>
        <v>655323254</v>
      </c>
      <c r="I1192" s="885" t="s">
        <v>103</v>
      </c>
      <c r="J1192" s="886"/>
      <c r="K1192" s="886"/>
      <c r="L1192" s="886"/>
      <c r="M1192" s="887"/>
      <c r="N1192" s="69">
        <f>+N1154</f>
        <v>471846400</v>
      </c>
      <c r="O1192" s="241" t="s">
        <v>561</v>
      </c>
      <c r="P1192" s="242">
        <f>557+418+511+644</f>
        <v>2130</v>
      </c>
    </row>
    <row r="1193" spans="1:16" ht="16.5" thickBot="1">
      <c r="A1193" s="888" t="s">
        <v>104</v>
      </c>
      <c r="B1193" s="889"/>
      <c r="C1193" s="889"/>
      <c r="D1193" s="889"/>
      <c r="E1193" s="890"/>
      <c r="F1193" s="183">
        <f>SUM(F1191:F1192)</f>
        <v>655503254</v>
      </c>
      <c r="I1193" s="888" t="s">
        <v>104</v>
      </c>
      <c r="J1193" s="889"/>
      <c r="K1193" s="889"/>
      <c r="L1193" s="889"/>
      <c r="M1193" s="890"/>
      <c r="N1193" s="183">
        <f>SUM(N1191:N1192)</f>
        <v>473916400</v>
      </c>
    </row>
    <row r="1194" spans="1:16" ht="11.25" customHeight="1">
      <c r="A1194" s="61"/>
      <c r="B1194" s="61"/>
      <c r="C1194" s="61"/>
      <c r="D1194" s="61"/>
      <c r="E1194" s="61"/>
      <c r="I1194" s="61"/>
      <c r="J1194" s="61"/>
      <c r="K1194" s="61"/>
      <c r="L1194" s="61"/>
      <c r="M1194" s="61"/>
    </row>
    <row r="1195" spans="1:16">
      <c r="A1195" s="51" t="s">
        <v>497</v>
      </c>
      <c r="I1195" s="51" t="s">
        <v>1577</v>
      </c>
    </row>
    <row r="1196" spans="1:16" ht="9.75" customHeight="1">
      <c r="F1196" s="139"/>
      <c r="N1196" s="139"/>
    </row>
    <row r="1197" spans="1:16">
      <c r="A1197" s="50" t="s">
        <v>105</v>
      </c>
      <c r="D1197" s="146"/>
      <c r="F1197" s="139"/>
      <c r="I1197" s="50" t="s">
        <v>105</v>
      </c>
      <c r="L1197" s="146"/>
      <c r="N1197" s="139"/>
    </row>
    <row r="1198" spans="1:16" ht="9.75" customHeight="1" thickBot="1"/>
    <row r="1199" spans="1:16" ht="17.25" thickBot="1">
      <c r="A1199" s="891" t="s">
        <v>106</v>
      </c>
      <c r="B1199" s="892"/>
      <c r="C1199" s="892"/>
      <c r="D1199" s="893"/>
      <c r="F1199" s="50" t="s">
        <v>288</v>
      </c>
      <c r="I1199" s="891" t="s">
        <v>106</v>
      </c>
      <c r="J1199" s="892"/>
      <c r="K1199" s="892"/>
      <c r="L1199" s="893"/>
      <c r="N1199" s="604" t="s">
        <v>288</v>
      </c>
      <c r="O1199" s="604"/>
      <c r="P1199" s="604"/>
    </row>
    <row r="1200" spans="1:16" ht="30.75" thickBot="1">
      <c r="A1200" s="57" t="s">
        <v>100</v>
      </c>
      <c r="B1200" s="58" t="s">
        <v>108</v>
      </c>
      <c r="C1200" s="59" t="s">
        <v>109</v>
      </c>
      <c r="D1200" s="60" t="s">
        <v>110</v>
      </c>
      <c r="I1200" s="57" t="s">
        <v>100</v>
      </c>
      <c r="J1200" s="58" t="s">
        <v>108</v>
      </c>
      <c r="K1200" s="59" t="s">
        <v>109</v>
      </c>
      <c r="L1200" s="60" t="s">
        <v>110</v>
      </c>
    </row>
    <row r="1201" spans="1:16" ht="14.25" customHeight="1">
      <c r="A1201" s="71">
        <v>719</v>
      </c>
      <c r="B1201" s="73">
        <f>+H1179+H1181+H1183+H1185+H1189</f>
        <v>180000</v>
      </c>
      <c r="C1201" s="74" t="e">
        <f>+D1162</f>
        <v>#REF!</v>
      </c>
      <c r="D1201" s="195" t="e">
        <f>+B1201+C1201</f>
        <v>#REF!</v>
      </c>
      <c r="I1201" s="71">
        <v>719</v>
      </c>
      <c r="J1201" s="73">
        <f>+P1179+P1181+P1183+P1185+P1189+P1187</f>
        <v>1830000</v>
      </c>
      <c r="K1201" s="74">
        <f>+L1162</f>
        <v>27790000</v>
      </c>
      <c r="L1201" s="195">
        <f>+J1201+K1201</f>
        <v>29620000</v>
      </c>
    </row>
    <row r="1202" spans="1:16" ht="13.5" customHeight="1">
      <c r="A1202" s="72">
        <v>721</v>
      </c>
      <c r="B1202" s="80">
        <f>(+H1190+H1186+H1184+H1182+H1180)</f>
        <v>0</v>
      </c>
      <c r="C1202" s="74" t="e">
        <f>+D1163</f>
        <v>#REF!</v>
      </c>
      <c r="D1202" s="195" t="e">
        <f>+B1202+C1202</f>
        <v>#REF!</v>
      </c>
      <c r="I1202" s="72">
        <v>721</v>
      </c>
      <c r="J1202" s="80">
        <f>+P1190+P1186+P1184+P1182+P1180</f>
        <v>240000</v>
      </c>
      <c r="K1202" s="74">
        <f>+L1163</f>
        <v>3246500</v>
      </c>
      <c r="L1202" s="195">
        <f>+J1202+K1202</f>
        <v>3486500</v>
      </c>
    </row>
    <row r="1203" spans="1:16" ht="12.75" customHeight="1">
      <c r="A1203" s="72">
        <v>722</v>
      </c>
      <c r="B1203" s="80"/>
      <c r="C1203" s="74">
        <f>+D1164</f>
        <v>231207671</v>
      </c>
      <c r="D1203" s="195">
        <f>+B1203+C1203</f>
        <v>231207671</v>
      </c>
      <c r="I1203" s="72">
        <v>722</v>
      </c>
      <c r="J1203" s="80"/>
      <c r="K1203" s="74">
        <f>+L1164</f>
        <v>42881706</v>
      </c>
      <c r="L1203" s="195">
        <f>+J1203+K1203</f>
        <v>42881706</v>
      </c>
    </row>
    <row r="1204" spans="1:16" ht="14.25" customHeight="1">
      <c r="A1204" s="72">
        <v>723</v>
      </c>
      <c r="B1204" s="80"/>
      <c r="C1204" s="74">
        <f>+D1165</f>
        <v>323193545</v>
      </c>
      <c r="D1204" s="195">
        <f>+B1204+C1204</f>
        <v>323193545</v>
      </c>
      <c r="F1204" s="174" t="s">
        <v>23</v>
      </c>
      <c r="G1204" s="175"/>
      <c r="I1204" s="72">
        <v>723</v>
      </c>
      <c r="J1204" s="80"/>
      <c r="K1204" s="74">
        <f>+L1165</f>
        <v>397928194</v>
      </c>
      <c r="L1204" s="195">
        <f>+J1204+K1204</f>
        <v>397928194</v>
      </c>
      <c r="N1204" s="918" t="s">
        <v>1481</v>
      </c>
      <c r="O1204" s="918"/>
      <c r="P1204" s="918"/>
    </row>
    <row r="1205" spans="1:16" ht="14.25" customHeight="1" thickBot="1">
      <c r="A1205" s="164" t="s">
        <v>181</v>
      </c>
      <c r="B1205" s="165"/>
      <c r="C1205" s="74" t="e">
        <f>+D1166</f>
        <v>#REF!</v>
      </c>
      <c r="D1205" s="196" t="e">
        <f>+B1205+C1205</f>
        <v>#REF!</v>
      </c>
      <c r="F1205" s="52"/>
      <c r="I1205" s="164" t="s">
        <v>181</v>
      </c>
      <c r="J1205" s="165"/>
      <c r="K1205" s="74">
        <f>+L1166</f>
        <v>0</v>
      </c>
      <c r="L1205" s="196">
        <f>+J1205+K1205</f>
        <v>0</v>
      </c>
      <c r="N1205" s="52"/>
    </row>
    <row r="1206" spans="1:16" ht="15" customHeight="1" thickBot="1">
      <c r="A1206" s="169"/>
      <c r="B1206" s="170">
        <f>SUM(B1201:B1205)</f>
        <v>180000</v>
      </c>
      <c r="C1206" s="171" t="e">
        <f>SUM(C1201:C1205)</f>
        <v>#REF!</v>
      </c>
      <c r="D1206" s="172" t="e">
        <f>SUM(D1201:D1205)</f>
        <v>#REF!</v>
      </c>
      <c r="I1206" s="169"/>
      <c r="J1206" s="197">
        <f>SUM(J1201:J1205)</f>
        <v>2070000</v>
      </c>
      <c r="K1206" s="197">
        <f>SUM(K1201:K1205)</f>
        <v>471846400</v>
      </c>
      <c r="L1206" s="198">
        <f>SUM(L1201:L1205)</f>
        <v>473916400</v>
      </c>
    </row>
    <row r="1207" spans="1:16" ht="16.5">
      <c r="A1207" s="49" t="s">
        <v>88</v>
      </c>
      <c r="B1207" s="50"/>
      <c r="I1207" s="49" t="s">
        <v>88</v>
      </c>
      <c r="J1207" s="50"/>
    </row>
    <row r="1208" spans="1:16">
      <c r="A1208" s="51" t="s">
        <v>89</v>
      </c>
      <c r="I1208" s="51" t="s">
        <v>89</v>
      </c>
    </row>
    <row r="1209" spans="1:16">
      <c r="A1209" s="51" t="s">
        <v>90</v>
      </c>
      <c r="I1209" s="51" t="s">
        <v>90</v>
      </c>
    </row>
    <row r="1210" spans="1:16">
      <c r="A1210" s="51" t="s">
        <v>91</v>
      </c>
      <c r="I1210" s="51" t="s">
        <v>91</v>
      </c>
    </row>
    <row r="1211" spans="1:16" ht="12" customHeight="1">
      <c r="A1211" s="50"/>
      <c r="B1211" s="50"/>
      <c r="I1211" s="50"/>
      <c r="J1211" s="50"/>
    </row>
    <row r="1212" spans="1:16" ht="16.5">
      <c r="A1212" s="52" t="s">
        <v>498</v>
      </c>
      <c r="G1212" s="52"/>
      <c r="I1212" s="260" t="s">
        <v>200</v>
      </c>
      <c r="O1212" s="52"/>
    </row>
    <row r="1213" spans="1:16" ht="15.75">
      <c r="A1213" s="53" t="s">
        <v>92</v>
      </c>
      <c r="G1213" s="53"/>
      <c r="I1213" s="53" t="s">
        <v>1333</v>
      </c>
      <c r="O1213" s="53"/>
    </row>
    <row r="1214" spans="1:16" ht="16.5">
      <c r="A1214" s="894" t="s">
        <v>261</v>
      </c>
      <c r="B1214" s="894"/>
      <c r="C1214" s="894"/>
      <c r="D1214" s="894"/>
      <c r="E1214" s="894"/>
      <c r="F1214" s="894"/>
      <c r="G1214" s="894"/>
      <c r="H1214" s="894"/>
      <c r="I1214" s="894" t="s">
        <v>1564</v>
      </c>
      <c r="J1214" s="894"/>
      <c r="K1214" s="894"/>
      <c r="L1214" s="894"/>
      <c r="M1214" s="894"/>
      <c r="N1214" s="894"/>
      <c r="O1214" s="894"/>
      <c r="P1214" s="894"/>
    </row>
    <row r="1215" spans="1:16" ht="15.75" thickBot="1"/>
    <row r="1216" spans="1:16">
      <c r="A1216" s="895" t="s">
        <v>94</v>
      </c>
      <c r="B1216" s="897" t="s">
        <v>95</v>
      </c>
      <c r="C1216" s="897" t="s">
        <v>96</v>
      </c>
      <c r="D1216" s="897" t="s">
        <v>3</v>
      </c>
      <c r="E1216" s="897" t="s">
        <v>97</v>
      </c>
      <c r="F1216" s="897" t="s">
        <v>98</v>
      </c>
      <c r="G1216" s="897" t="s">
        <v>99</v>
      </c>
      <c r="H1216" s="899"/>
      <c r="I1216" s="895" t="s">
        <v>94</v>
      </c>
      <c r="J1216" s="897" t="s">
        <v>95</v>
      </c>
      <c r="K1216" s="897" t="s">
        <v>96</v>
      </c>
      <c r="L1216" s="897" t="s">
        <v>3</v>
      </c>
      <c r="M1216" s="897" t="s">
        <v>97</v>
      </c>
      <c r="N1216" s="897" t="s">
        <v>98</v>
      </c>
      <c r="O1216" s="897" t="s">
        <v>99</v>
      </c>
      <c r="P1216" s="899"/>
    </row>
    <row r="1217" spans="1:16" ht="15.75" thickBot="1">
      <c r="A1217" s="896"/>
      <c r="B1217" s="898"/>
      <c r="C1217" s="898"/>
      <c r="D1217" s="898"/>
      <c r="E1217" s="898"/>
      <c r="F1217" s="898"/>
      <c r="G1217" s="240" t="s">
        <v>100</v>
      </c>
      <c r="H1217" s="182" t="s">
        <v>101</v>
      </c>
      <c r="I1217" s="896"/>
      <c r="J1217" s="898"/>
      <c r="K1217" s="898"/>
      <c r="L1217" s="898"/>
      <c r="M1217" s="898"/>
      <c r="N1217" s="898"/>
      <c r="O1217" s="240" t="s">
        <v>100</v>
      </c>
      <c r="P1217" s="182" t="s">
        <v>101</v>
      </c>
    </row>
    <row r="1218" spans="1:16" ht="12" customHeight="1">
      <c r="A1218" s="919" t="e">
        <f>+A1183+1</f>
        <v>#REF!</v>
      </c>
      <c r="B1218" s="875">
        <v>42361</v>
      </c>
      <c r="C1218" s="877" t="s">
        <v>267</v>
      </c>
      <c r="D1218" s="877" t="s">
        <v>499</v>
      </c>
      <c r="E1218" s="881" t="s">
        <v>148</v>
      </c>
      <c r="F1218" s="883">
        <v>126000</v>
      </c>
      <c r="G1218" s="55">
        <v>719</v>
      </c>
      <c r="H1218" s="78">
        <v>90000</v>
      </c>
      <c r="I1218" s="873" t="s">
        <v>1569</v>
      </c>
      <c r="J1218" s="875">
        <v>43062</v>
      </c>
      <c r="K1218" s="881" t="s">
        <v>28</v>
      </c>
      <c r="L1218" s="879" t="s">
        <v>1566</v>
      </c>
      <c r="M1218" s="881" t="s">
        <v>115</v>
      </c>
      <c r="N1218" s="883">
        <v>50000</v>
      </c>
      <c r="O1218" s="55">
        <v>719</v>
      </c>
      <c r="P1218" s="78">
        <f>+N1218</f>
        <v>50000</v>
      </c>
    </row>
    <row r="1219" spans="1:16" ht="14.25" customHeight="1" thickBot="1">
      <c r="A1219" s="920"/>
      <c r="B1219" s="876"/>
      <c r="C1219" s="878"/>
      <c r="D1219" s="878"/>
      <c r="E1219" s="882"/>
      <c r="F1219" s="884"/>
      <c r="G1219" s="56">
        <v>721</v>
      </c>
      <c r="H1219" s="79">
        <f>+F1218-H1218</f>
        <v>36000</v>
      </c>
      <c r="I1219" s="874"/>
      <c r="J1219" s="876"/>
      <c r="K1219" s="882"/>
      <c r="L1219" s="880"/>
      <c r="M1219" s="882"/>
      <c r="N1219" s="884"/>
      <c r="O1219" s="56">
        <v>721</v>
      </c>
      <c r="P1219" s="79"/>
    </row>
    <row r="1220" spans="1:16" ht="15" customHeight="1">
      <c r="A1220" s="919" t="e">
        <f>+A1218+1</f>
        <v>#REF!</v>
      </c>
      <c r="B1220" s="875">
        <v>42361</v>
      </c>
      <c r="C1220" s="881" t="s">
        <v>28</v>
      </c>
      <c r="D1220" s="877" t="s">
        <v>500</v>
      </c>
      <c r="E1220" s="881" t="s">
        <v>148</v>
      </c>
      <c r="F1220" s="883">
        <v>196000</v>
      </c>
      <c r="G1220" s="55">
        <v>719</v>
      </c>
      <c r="H1220" s="78">
        <v>140000</v>
      </c>
      <c r="I1220" s="873" t="s">
        <v>1570</v>
      </c>
      <c r="J1220" s="875">
        <v>43062</v>
      </c>
      <c r="K1220" s="881" t="s">
        <v>120</v>
      </c>
      <c r="L1220" s="879" t="s">
        <v>1567</v>
      </c>
      <c r="M1220" s="881" t="s">
        <v>115</v>
      </c>
      <c r="N1220" s="883">
        <v>190000</v>
      </c>
      <c r="O1220" s="55">
        <v>719</v>
      </c>
      <c r="P1220" s="78">
        <f>+N1220</f>
        <v>190000</v>
      </c>
    </row>
    <row r="1221" spans="1:16" ht="13.5" customHeight="1" thickBot="1">
      <c r="A1221" s="920"/>
      <c r="B1221" s="876"/>
      <c r="C1221" s="882"/>
      <c r="D1221" s="878"/>
      <c r="E1221" s="882"/>
      <c r="F1221" s="884"/>
      <c r="G1221" s="56">
        <v>721</v>
      </c>
      <c r="H1221" s="79">
        <f>+F1220-H1220</f>
        <v>56000</v>
      </c>
      <c r="I1221" s="882"/>
      <c r="J1221" s="876"/>
      <c r="K1221" s="882"/>
      <c r="L1221" s="880"/>
      <c r="M1221" s="882"/>
      <c r="N1221" s="884"/>
      <c r="O1221" s="56">
        <v>721</v>
      </c>
      <c r="P1221" s="79"/>
    </row>
    <row r="1222" spans="1:16" ht="12.75" customHeight="1">
      <c r="A1222" s="919" t="e">
        <f>+A1220+1</f>
        <v>#REF!</v>
      </c>
      <c r="B1222" s="875">
        <v>42361</v>
      </c>
      <c r="C1222" s="877" t="s">
        <v>32</v>
      </c>
      <c r="D1222" s="877" t="s">
        <v>500</v>
      </c>
      <c r="E1222" s="881" t="s">
        <v>148</v>
      </c>
      <c r="F1222" s="883">
        <v>42000</v>
      </c>
      <c r="G1222" s="55">
        <v>719</v>
      </c>
      <c r="H1222" s="78">
        <v>30000</v>
      </c>
      <c r="I1222" s="873" t="s">
        <v>1568</v>
      </c>
      <c r="J1222" s="875">
        <v>43062</v>
      </c>
      <c r="K1222" s="877" t="s">
        <v>1571</v>
      </c>
      <c r="L1222" s="879" t="s">
        <v>1225</v>
      </c>
      <c r="M1222" s="881" t="s">
        <v>115</v>
      </c>
      <c r="N1222" s="883">
        <v>3980000</v>
      </c>
      <c r="O1222" s="55">
        <v>719</v>
      </c>
      <c r="P1222" s="78"/>
    </row>
    <row r="1223" spans="1:16" ht="15.75" customHeight="1" thickBot="1">
      <c r="A1223" s="920"/>
      <c r="B1223" s="876"/>
      <c r="C1223" s="878"/>
      <c r="D1223" s="878"/>
      <c r="E1223" s="882"/>
      <c r="F1223" s="884"/>
      <c r="G1223" s="56">
        <v>721</v>
      </c>
      <c r="H1223" s="79">
        <f>+F1222-H1222</f>
        <v>12000</v>
      </c>
      <c r="I1223" s="882"/>
      <c r="J1223" s="876"/>
      <c r="K1223" s="878"/>
      <c r="L1223" s="880"/>
      <c r="M1223" s="882"/>
      <c r="N1223" s="884"/>
      <c r="O1223" s="56">
        <v>723</v>
      </c>
      <c r="P1223" s="79">
        <f>+N1222</f>
        <v>3980000</v>
      </c>
    </row>
    <row r="1224" spans="1:16" ht="12" customHeight="1">
      <c r="A1224" s="919" t="e">
        <f>+A1222+1</f>
        <v>#REF!</v>
      </c>
      <c r="B1224" s="875">
        <v>42361</v>
      </c>
      <c r="C1224" s="877" t="s">
        <v>111</v>
      </c>
      <c r="D1224" s="877" t="s">
        <v>499</v>
      </c>
      <c r="E1224" s="881" t="s">
        <v>148</v>
      </c>
      <c r="F1224" s="883">
        <v>112000</v>
      </c>
      <c r="G1224" s="55">
        <v>719</v>
      </c>
      <c r="H1224" s="78">
        <v>80000</v>
      </c>
      <c r="I1224" s="873" t="s">
        <v>1563</v>
      </c>
      <c r="J1224" s="875">
        <v>43062</v>
      </c>
      <c r="K1224" s="881" t="s">
        <v>385</v>
      </c>
      <c r="L1224" s="879" t="s">
        <v>1188</v>
      </c>
      <c r="M1224" s="881" t="s">
        <v>148</v>
      </c>
      <c r="N1224" s="883">
        <v>22479749</v>
      </c>
      <c r="O1224" s="55">
        <v>719</v>
      </c>
      <c r="P1224" s="78"/>
    </row>
    <row r="1225" spans="1:16" ht="14.25" customHeight="1" thickBot="1">
      <c r="A1225" s="920"/>
      <c r="B1225" s="876"/>
      <c r="C1225" s="878"/>
      <c r="D1225" s="878"/>
      <c r="E1225" s="882"/>
      <c r="F1225" s="884"/>
      <c r="G1225" s="56">
        <v>721</v>
      </c>
      <c r="H1225" s="79">
        <f>+F1224-H1224</f>
        <v>32000</v>
      </c>
      <c r="I1225" s="882"/>
      <c r="J1225" s="876"/>
      <c r="K1225" s="882"/>
      <c r="L1225" s="880"/>
      <c r="M1225" s="882"/>
      <c r="N1225" s="884"/>
      <c r="O1225" s="56">
        <v>721</v>
      </c>
      <c r="P1225" s="79">
        <f>+N1224</f>
        <v>22479749</v>
      </c>
    </row>
    <row r="1226" spans="1:16" ht="12" customHeight="1">
      <c r="A1226" s="919" t="e">
        <f>+A1224+1</f>
        <v>#REF!</v>
      </c>
      <c r="B1226" s="875">
        <v>42361</v>
      </c>
      <c r="C1226" s="877" t="s">
        <v>272</v>
      </c>
      <c r="D1226" s="877" t="s">
        <v>500</v>
      </c>
      <c r="E1226" s="881" t="s">
        <v>148</v>
      </c>
      <c r="F1226" s="883">
        <v>588000</v>
      </c>
      <c r="G1226" s="55">
        <v>719</v>
      </c>
      <c r="H1226" s="78">
        <v>420000</v>
      </c>
      <c r="I1226" s="873" t="s">
        <v>873</v>
      </c>
      <c r="J1226" s="875">
        <v>43062</v>
      </c>
      <c r="K1226" s="881" t="s">
        <v>385</v>
      </c>
      <c r="L1226" s="879" t="s">
        <v>1245</v>
      </c>
      <c r="M1226" s="881" t="s">
        <v>148</v>
      </c>
      <c r="N1226" s="883">
        <v>55554732</v>
      </c>
      <c r="O1226" s="55">
        <v>719</v>
      </c>
      <c r="P1226" s="78"/>
    </row>
    <row r="1227" spans="1:16" ht="13.5" customHeight="1" thickBot="1">
      <c r="A1227" s="920"/>
      <c r="B1227" s="876"/>
      <c r="C1227" s="878"/>
      <c r="D1227" s="878"/>
      <c r="E1227" s="882"/>
      <c r="F1227" s="884"/>
      <c r="G1227" s="56">
        <v>721</v>
      </c>
      <c r="H1227" s="79">
        <f>+F1226-H1226</f>
        <v>168000</v>
      </c>
      <c r="I1227" s="882"/>
      <c r="J1227" s="876"/>
      <c r="K1227" s="882"/>
      <c r="L1227" s="880"/>
      <c r="M1227" s="882"/>
      <c r="N1227" s="884"/>
      <c r="O1227" s="56">
        <v>721</v>
      </c>
      <c r="P1227" s="79">
        <f>+N1226-P1226</f>
        <v>55554732</v>
      </c>
    </row>
    <row r="1228" spans="1:16" ht="16.5" thickBot="1">
      <c r="A1228" s="901" t="s">
        <v>102</v>
      </c>
      <c r="B1228" s="902"/>
      <c r="C1228" s="902"/>
      <c r="D1228" s="902"/>
      <c r="E1228" s="903"/>
      <c r="F1228" s="81">
        <f>SUM(F1218:F1227)</f>
        <v>1064000</v>
      </c>
      <c r="I1228" s="901" t="s">
        <v>102</v>
      </c>
      <c r="J1228" s="902"/>
      <c r="K1228" s="902"/>
      <c r="L1228" s="902"/>
      <c r="M1228" s="903"/>
      <c r="N1228" s="81">
        <f>SUM(N1218:N1227)</f>
        <v>82254481</v>
      </c>
    </row>
    <row r="1229" spans="1:16" ht="16.5" thickBot="1">
      <c r="A1229" s="885" t="s">
        <v>103</v>
      </c>
      <c r="B1229" s="886"/>
      <c r="C1229" s="886"/>
      <c r="D1229" s="886"/>
      <c r="E1229" s="887"/>
      <c r="F1229" s="69">
        <f>+F1193</f>
        <v>655503254</v>
      </c>
      <c r="I1229" s="885" t="s">
        <v>103</v>
      </c>
      <c r="J1229" s="886"/>
      <c r="K1229" s="886"/>
      <c r="L1229" s="886"/>
      <c r="M1229" s="887"/>
      <c r="N1229" s="69">
        <f>+N1193</f>
        <v>473916400</v>
      </c>
      <c r="O1229" s="241" t="s">
        <v>561</v>
      </c>
      <c r="P1229" s="242"/>
    </row>
    <row r="1230" spans="1:16" ht="16.5" thickBot="1">
      <c r="A1230" s="888" t="s">
        <v>104</v>
      </c>
      <c r="B1230" s="889"/>
      <c r="C1230" s="889"/>
      <c r="D1230" s="889"/>
      <c r="E1230" s="890"/>
      <c r="F1230" s="183">
        <f>SUM(F1228:F1229)</f>
        <v>656567254</v>
      </c>
      <c r="I1230" s="888" t="s">
        <v>104</v>
      </c>
      <c r="J1230" s="889"/>
      <c r="K1230" s="889"/>
      <c r="L1230" s="889"/>
      <c r="M1230" s="890"/>
      <c r="N1230" s="183">
        <f>SUM(N1228:N1229)</f>
        <v>556170881</v>
      </c>
    </row>
    <row r="1231" spans="1:16">
      <c r="A1231" s="61"/>
      <c r="B1231" s="61"/>
      <c r="C1231" s="61"/>
      <c r="D1231" s="61"/>
      <c r="E1231" s="61"/>
      <c r="I1231" s="61"/>
      <c r="J1231" s="61"/>
      <c r="K1231" s="61"/>
      <c r="L1231" s="61"/>
      <c r="M1231" s="61"/>
    </row>
    <row r="1232" spans="1:16">
      <c r="A1232" s="51" t="s">
        <v>501</v>
      </c>
      <c r="I1232" s="51" t="s">
        <v>1565</v>
      </c>
    </row>
    <row r="1233" spans="1:16" ht="11.25" customHeight="1">
      <c r="F1233" s="139"/>
      <c r="N1233" s="139"/>
    </row>
    <row r="1234" spans="1:16">
      <c r="A1234" s="50" t="s">
        <v>105</v>
      </c>
      <c r="D1234" s="146"/>
      <c r="F1234" s="139"/>
      <c r="I1234" s="50" t="s">
        <v>105</v>
      </c>
      <c r="L1234" s="146"/>
      <c r="N1234" s="139"/>
    </row>
    <row r="1235" spans="1:16" ht="13.5" customHeight="1" thickBot="1"/>
    <row r="1236" spans="1:16" ht="17.25" thickBot="1">
      <c r="A1236" s="891" t="s">
        <v>106</v>
      </c>
      <c r="B1236" s="892"/>
      <c r="C1236" s="892"/>
      <c r="D1236" s="893"/>
      <c r="F1236" s="50" t="s">
        <v>288</v>
      </c>
      <c r="I1236" s="891" t="s">
        <v>106</v>
      </c>
      <c r="J1236" s="892"/>
      <c r="K1236" s="892"/>
      <c r="L1236" s="893"/>
      <c r="N1236" s="604" t="s">
        <v>288</v>
      </c>
      <c r="O1236" s="604"/>
      <c r="P1236" s="604"/>
    </row>
    <row r="1237" spans="1:16" ht="26.25" customHeight="1" thickBot="1">
      <c r="A1237" s="57" t="s">
        <v>100</v>
      </c>
      <c r="B1237" s="58" t="s">
        <v>108</v>
      </c>
      <c r="C1237" s="59" t="s">
        <v>109</v>
      </c>
      <c r="D1237" s="60" t="s">
        <v>110</v>
      </c>
      <c r="I1237" s="57" t="s">
        <v>100</v>
      </c>
      <c r="J1237" s="58" t="s">
        <v>108</v>
      </c>
      <c r="K1237" s="59" t="s">
        <v>109</v>
      </c>
      <c r="L1237" s="60" t="s">
        <v>110</v>
      </c>
    </row>
    <row r="1238" spans="1:16">
      <c r="A1238" s="71">
        <v>719</v>
      </c>
      <c r="B1238" s="73">
        <f>+H1218+H1220+H1222+H1224+H1226</f>
        <v>760000</v>
      </c>
      <c r="C1238" s="74" t="e">
        <f>+D1201</f>
        <v>#REF!</v>
      </c>
      <c r="D1238" s="195" t="e">
        <f>+B1238+C1238</f>
        <v>#REF!</v>
      </c>
      <c r="I1238" s="71">
        <v>719</v>
      </c>
      <c r="J1238" s="73">
        <f>+P1218+P1220+P1222+P1224+P1226</f>
        <v>240000</v>
      </c>
      <c r="K1238" s="74">
        <f>+L1201</f>
        <v>29620000</v>
      </c>
      <c r="L1238" s="195">
        <f>+J1238+K1238</f>
        <v>29860000</v>
      </c>
    </row>
    <row r="1239" spans="1:16" ht="14.25" customHeight="1">
      <c r="A1239" s="72">
        <v>721</v>
      </c>
      <c r="B1239" s="80">
        <f>(+H1227+H1225+H1223+H1221+H1219)</f>
        <v>304000</v>
      </c>
      <c r="C1239" s="74" t="e">
        <f>+D1202</f>
        <v>#REF!</v>
      </c>
      <c r="D1239" s="195" t="e">
        <f>+B1239+C1239</f>
        <v>#REF!</v>
      </c>
      <c r="I1239" s="72">
        <v>721</v>
      </c>
      <c r="J1239" s="80">
        <f>+P1219+P1221++P1225+P1227</f>
        <v>78034481</v>
      </c>
      <c r="K1239" s="74">
        <f>+L1202</f>
        <v>3486500</v>
      </c>
      <c r="L1239" s="195">
        <f>+J1239+K1239</f>
        <v>81520981</v>
      </c>
    </row>
    <row r="1240" spans="1:16" ht="12.75" customHeight="1">
      <c r="A1240" s="72">
        <v>722</v>
      </c>
      <c r="B1240" s="80"/>
      <c r="C1240" s="74">
        <f>+D1203</f>
        <v>231207671</v>
      </c>
      <c r="D1240" s="195">
        <f>+B1240+C1240</f>
        <v>231207671</v>
      </c>
      <c r="I1240" s="72">
        <v>722</v>
      </c>
      <c r="J1240" s="80"/>
      <c r="K1240" s="74">
        <f>+L1203</f>
        <v>42881706</v>
      </c>
      <c r="L1240" s="195">
        <f>+J1240+K1240</f>
        <v>42881706</v>
      </c>
      <c r="N1240" s="918" t="s">
        <v>1481</v>
      </c>
      <c r="O1240" s="918"/>
      <c r="P1240" s="918"/>
    </row>
    <row r="1241" spans="1:16" ht="14.25" customHeight="1">
      <c r="A1241" s="72">
        <v>723</v>
      </c>
      <c r="B1241" s="80"/>
      <c r="C1241" s="74">
        <f>+D1204</f>
        <v>323193545</v>
      </c>
      <c r="D1241" s="195">
        <f>+B1241+C1241</f>
        <v>323193545</v>
      </c>
      <c r="F1241" s="174" t="s">
        <v>23</v>
      </c>
      <c r="G1241" s="175"/>
      <c r="I1241" s="72">
        <v>723</v>
      </c>
      <c r="J1241" s="80">
        <f>+P1223</f>
        <v>3980000</v>
      </c>
      <c r="K1241" s="74">
        <f>+L1204</f>
        <v>397928194</v>
      </c>
      <c r="L1241" s="195">
        <f>+J1241+K1241</f>
        <v>401908194</v>
      </c>
      <c r="N1241" s="918"/>
      <c r="O1241" s="918"/>
      <c r="P1241" s="918"/>
    </row>
    <row r="1242" spans="1:16" ht="14.25" customHeight="1" thickBot="1">
      <c r="A1242" s="164" t="s">
        <v>181</v>
      </c>
      <c r="B1242" s="165"/>
      <c r="C1242" s="74" t="e">
        <f>+D1205</f>
        <v>#REF!</v>
      </c>
      <c r="D1242" s="196" t="e">
        <f>+B1242+C1242</f>
        <v>#REF!</v>
      </c>
      <c r="F1242" s="52"/>
      <c r="I1242" s="164" t="s">
        <v>181</v>
      </c>
      <c r="J1242" s="165"/>
      <c r="K1242" s="74">
        <f>+L1205</f>
        <v>0</v>
      </c>
      <c r="L1242" s="196">
        <f>+J1242+K1242</f>
        <v>0</v>
      </c>
      <c r="N1242" s="52"/>
    </row>
    <row r="1243" spans="1:16" ht="16.5" thickBot="1">
      <c r="A1243" s="169"/>
      <c r="B1243" s="170">
        <f>SUM(B1238:B1242)</f>
        <v>1064000</v>
      </c>
      <c r="C1243" s="171" t="e">
        <f>SUM(C1238:C1242)</f>
        <v>#REF!</v>
      </c>
      <c r="D1243" s="172" t="e">
        <f>SUM(D1238:D1242)</f>
        <v>#REF!</v>
      </c>
      <c r="I1243" s="169"/>
      <c r="J1243" s="197">
        <f>SUM(J1238:J1242)</f>
        <v>82254481</v>
      </c>
      <c r="K1243" s="197">
        <f>SUM(K1238:K1242)</f>
        <v>473916400</v>
      </c>
      <c r="L1243" s="198">
        <f>SUM(L1238:L1242)</f>
        <v>556170881</v>
      </c>
    </row>
    <row r="1244" spans="1:16" ht="16.5">
      <c r="A1244" s="49" t="s">
        <v>88</v>
      </c>
      <c r="B1244" s="50"/>
      <c r="I1244" s="49" t="s">
        <v>88</v>
      </c>
      <c r="J1244" s="50"/>
    </row>
    <row r="1245" spans="1:16">
      <c r="A1245" s="51" t="s">
        <v>89</v>
      </c>
      <c r="I1245" s="51" t="s">
        <v>89</v>
      </c>
    </row>
    <row r="1246" spans="1:16">
      <c r="A1246" s="51" t="s">
        <v>90</v>
      </c>
      <c r="I1246" s="51" t="s">
        <v>90</v>
      </c>
    </row>
    <row r="1247" spans="1:16">
      <c r="A1247" s="51" t="s">
        <v>91</v>
      </c>
      <c r="I1247" s="51" t="s">
        <v>91</v>
      </c>
    </row>
    <row r="1248" spans="1:16" ht="12" customHeight="1">
      <c r="A1248" s="50"/>
      <c r="B1248" s="50"/>
      <c r="I1248" s="50"/>
      <c r="J1248" s="50"/>
    </row>
    <row r="1249" spans="1:16" ht="16.5">
      <c r="A1249" s="52" t="s">
        <v>502</v>
      </c>
      <c r="G1249" s="52"/>
      <c r="I1249" s="260" t="s">
        <v>871</v>
      </c>
      <c r="O1249" s="52"/>
    </row>
    <row r="1250" spans="1:16" ht="15.75">
      <c r="A1250" s="53" t="s">
        <v>92</v>
      </c>
      <c r="G1250" s="53"/>
      <c r="I1250" s="53" t="s">
        <v>1333</v>
      </c>
      <c r="O1250" s="53"/>
    </row>
    <row r="1251" spans="1:16" ht="16.5">
      <c r="A1251" s="894" t="s">
        <v>261</v>
      </c>
      <c r="B1251" s="894"/>
      <c r="C1251" s="894"/>
      <c r="D1251" s="894"/>
      <c r="E1251" s="894"/>
      <c r="F1251" s="894"/>
      <c r="G1251" s="894"/>
      <c r="H1251" s="894"/>
      <c r="I1251" s="894" t="s">
        <v>903</v>
      </c>
      <c r="J1251" s="894"/>
      <c r="K1251" s="894"/>
      <c r="L1251" s="894"/>
      <c r="M1251" s="894"/>
      <c r="N1251" s="894"/>
      <c r="O1251" s="894"/>
      <c r="P1251" s="894"/>
    </row>
    <row r="1252" spans="1:16" ht="12.75" customHeight="1" thickBot="1"/>
    <row r="1253" spans="1:16">
      <c r="A1253" s="895" t="s">
        <v>94</v>
      </c>
      <c r="B1253" s="897" t="s">
        <v>95</v>
      </c>
      <c r="C1253" s="897" t="s">
        <v>96</v>
      </c>
      <c r="D1253" s="897" t="s">
        <v>3</v>
      </c>
      <c r="E1253" s="897" t="s">
        <v>97</v>
      </c>
      <c r="F1253" s="897" t="s">
        <v>98</v>
      </c>
      <c r="G1253" s="897" t="s">
        <v>99</v>
      </c>
      <c r="H1253" s="899"/>
      <c r="I1253" s="895" t="s">
        <v>94</v>
      </c>
      <c r="J1253" s="897" t="s">
        <v>95</v>
      </c>
      <c r="K1253" s="897" t="s">
        <v>96</v>
      </c>
      <c r="L1253" s="897" t="s">
        <v>3</v>
      </c>
      <c r="M1253" s="897" t="s">
        <v>97</v>
      </c>
      <c r="N1253" s="897" t="s">
        <v>98</v>
      </c>
      <c r="O1253" s="897" t="s">
        <v>99</v>
      </c>
      <c r="P1253" s="899"/>
    </row>
    <row r="1254" spans="1:16" ht="15.75" thickBot="1">
      <c r="A1254" s="896"/>
      <c r="B1254" s="898"/>
      <c r="C1254" s="898"/>
      <c r="D1254" s="898"/>
      <c r="E1254" s="898"/>
      <c r="F1254" s="898"/>
      <c r="G1254" s="240" t="s">
        <v>100</v>
      </c>
      <c r="H1254" s="182" t="s">
        <v>101</v>
      </c>
      <c r="I1254" s="896"/>
      <c r="J1254" s="898"/>
      <c r="K1254" s="898"/>
      <c r="L1254" s="898"/>
      <c r="M1254" s="898"/>
      <c r="N1254" s="898"/>
      <c r="O1254" s="240" t="s">
        <v>100</v>
      </c>
      <c r="P1254" s="182" t="s">
        <v>101</v>
      </c>
    </row>
    <row r="1255" spans="1:16" ht="15" customHeight="1">
      <c r="A1255" s="919" t="e">
        <f>+A1226+1</f>
        <v>#REF!</v>
      </c>
      <c r="B1255" s="875">
        <v>42361</v>
      </c>
      <c r="C1255" s="877" t="s">
        <v>267</v>
      </c>
      <c r="D1255" s="877" t="s">
        <v>490</v>
      </c>
      <c r="E1255" s="881" t="s">
        <v>148</v>
      </c>
      <c r="F1255" s="883">
        <v>168000</v>
      </c>
      <c r="G1255" s="55">
        <v>719</v>
      </c>
      <c r="H1255" s="78">
        <v>120000</v>
      </c>
      <c r="I1255" s="873" t="s">
        <v>1578</v>
      </c>
      <c r="J1255" s="875">
        <v>43062</v>
      </c>
      <c r="K1255" s="877" t="s">
        <v>28</v>
      </c>
      <c r="L1255" s="881" t="s">
        <v>1582</v>
      </c>
      <c r="M1255" s="881" t="s">
        <v>115</v>
      </c>
      <c r="N1255" s="883">
        <v>80000</v>
      </c>
      <c r="O1255" s="55">
        <v>719</v>
      </c>
      <c r="P1255" s="78">
        <f>+N1255</f>
        <v>80000</v>
      </c>
    </row>
    <row r="1256" spans="1:16" ht="15.75" customHeight="1" thickBot="1">
      <c r="A1256" s="920"/>
      <c r="B1256" s="876"/>
      <c r="C1256" s="878"/>
      <c r="D1256" s="878"/>
      <c r="E1256" s="882"/>
      <c r="F1256" s="884"/>
      <c r="G1256" s="56">
        <v>721</v>
      </c>
      <c r="H1256" s="79">
        <f>+F1255-H1255</f>
        <v>48000</v>
      </c>
      <c r="I1256" s="874"/>
      <c r="J1256" s="876"/>
      <c r="K1256" s="878"/>
      <c r="L1256" s="882"/>
      <c r="M1256" s="882"/>
      <c r="N1256" s="884"/>
      <c r="O1256" s="56">
        <v>723</v>
      </c>
      <c r="P1256" s="79"/>
    </row>
    <row r="1257" spans="1:16" ht="15" customHeight="1">
      <c r="A1257" s="919" t="e">
        <f>+A1255+1</f>
        <v>#REF!</v>
      </c>
      <c r="B1257" s="875">
        <v>42361</v>
      </c>
      <c r="C1257" s="881" t="s">
        <v>28</v>
      </c>
      <c r="D1257" s="877" t="s">
        <v>503</v>
      </c>
      <c r="E1257" s="881" t="s">
        <v>148</v>
      </c>
      <c r="F1257" s="883">
        <v>182000</v>
      </c>
      <c r="G1257" s="55">
        <v>719</v>
      </c>
      <c r="H1257" s="78">
        <v>130000</v>
      </c>
      <c r="I1257" s="873" t="s">
        <v>1579</v>
      </c>
      <c r="J1257" s="875">
        <v>43062</v>
      </c>
      <c r="K1257" s="881" t="s">
        <v>120</v>
      </c>
      <c r="L1257" s="881" t="s">
        <v>1581</v>
      </c>
      <c r="M1257" s="881" t="s">
        <v>115</v>
      </c>
      <c r="N1257" s="883">
        <v>300000</v>
      </c>
      <c r="O1257" s="55">
        <v>719</v>
      </c>
      <c r="P1257" s="78">
        <f>+N1257</f>
        <v>300000</v>
      </c>
    </row>
    <row r="1258" spans="1:16" ht="15.75" customHeight="1" thickBot="1">
      <c r="A1258" s="920"/>
      <c r="B1258" s="876"/>
      <c r="C1258" s="882"/>
      <c r="D1258" s="878"/>
      <c r="E1258" s="882"/>
      <c r="F1258" s="884"/>
      <c r="G1258" s="56">
        <v>721</v>
      </c>
      <c r="H1258" s="79">
        <f>+F1257-H1257</f>
        <v>52000</v>
      </c>
      <c r="I1258" s="874"/>
      <c r="J1258" s="876"/>
      <c r="K1258" s="882"/>
      <c r="L1258" s="882"/>
      <c r="M1258" s="882"/>
      <c r="N1258" s="884"/>
      <c r="O1258" s="56">
        <v>723</v>
      </c>
      <c r="P1258" s="79">
        <v>0</v>
      </c>
    </row>
    <row r="1259" spans="1:16" ht="12.75" customHeight="1">
      <c r="A1259" s="919" t="e">
        <f>+A1257+1</f>
        <v>#REF!</v>
      </c>
      <c r="B1259" s="875">
        <v>42361</v>
      </c>
      <c r="C1259" s="877" t="s">
        <v>32</v>
      </c>
      <c r="D1259" s="877" t="s">
        <v>504</v>
      </c>
      <c r="E1259" s="881" t="s">
        <v>148</v>
      </c>
      <c r="F1259" s="883">
        <v>98000</v>
      </c>
      <c r="G1259" s="55">
        <v>719</v>
      </c>
      <c r="H1259" s="78">
        <v>70000</v>
      </c>
      <c r="I1259" s="881"/>
      <c r="J1259" s="875"/>
      <c r="K1259" s="877"/>
      <c r="L1259" s="881"/>
      <c r="M1259" s="881"/>
      <c r="N1259" s="883"/>
      <c r="O1259" s="55"/>
      <c r="P1259" s="78"/>
    </row>
    <row r="1260" spans="1:16" ht="12" customHeight="1" thickBot="1">
      <c r="A1260" s="920"/>
      <c r="B1260" s="876"/>
      <c r="C1260" s="878"/>
      <c r="D1260" s="878"/>
      <c r="E1260" s="882"/>
      <c r="F1260" s="884"/>
      <c r="G1260" s="56">
        <v>721</v>
      </c>
      <c r="H1260" s="79">
        <f>+F1259-H1259</f>
        <v>28000</v>
      </c>
      <c r="I1260" s="882"/>
      <c r="J1260" s="876"/>
      <c r="K1260" s="878"/>
      <c r="L1260" s="882"/>
      <c r="M1260" s="882"/>
      <c r="N1260" s="884"/>
      <c r="O1260" s="56"/>
      <c r="P1260" s="79"/>
    </row>
    <row r="1261" spans="1:16" ht="12.75" customHeight="1">
      <c r="A1261" s="919" t="e">
        <f>+A1259+1</f>
        <v>#REF!</v>
      </c>
      <c r="B1261" s="875">
        <v>42361</v>
      </c>
      <c r="C1261" s="877" t="s">
        <v>111</v>
      </c>
      <c r="D1261" s="877" t="s">
        <v>505</v>
      </c>
      <c r="E1261" s="881" t="s">
        <v>148</v>
      </c>
      <c r="F1261" s="883">
        <v>168000</v>
      </c>
      <c r="G1261" s="55">
        <v>719</v>
      </c>
      <c r="H1261" s="78">
        <v>120000</v>
      </c>
      <c r="I1261" s="881"/>
      <c r="J1261" s="875"/>
      <c r="K1261" s="877"/>
      <c r="L1261" s="881"/>
      <c r="M1261" s="881"/>
      <c r="N1261" s="883"/>
      <c r="O1261" s="55"/>
      <c r="P1261" s="78"/>
    </row>
    <row r="1262" spans="1:16" ht="12" customHeight="1" thickBot="1">
      <c r="A1262" s="920"/>
      <c r="B1262" s="876"/>
      <c r="C1262" s="878"/>
      <c r="D1262" s="878"/>
      <c r="E1262" s="882"/>
      <c r="F1262" s="884"/>
      <c r="G1262" s="56">
        <v>721</v>
      </c>
      <c r="H1262" s="79">
        <f>+F1261-H1261</f>
        <v>48000</v>
      </c>
      <c r="I1262" s="882"/>
      <c r="J1262" s="876"/>
      <c r="K1262" s="878"/>
      <c r="L1262" s="882"/>
      <c r="M1262" s="882"/>
      <c r="N1262" s="884"/>
      <c r="O1262" s="56"/>
      <c r="P1262" s="79"/>
    </row>
    <row r="1263" spans="1:16" ht="12" customHeight="1">
      <c r="A1263" s="919" t="e">
        <f>+A1261+1</f>
        <v>#REF!</v>
      </c>
      <c r="B1263" s="875">
        <v>42361</v>
      </c>
      <c r="C1263" s="877" t="s">
        <v>272</v>
      </c>
      <c r="D1263" s="877" t="s">
        <v>504</v>
      </c>
      <c r="E1263" s="881" t="s">
        <v>148</v>
      </c>
      <c r="F1263" s="883">
        <v>700000</v>
      </c>
      <c r="G1263" s="55">
        <v>719</v>
      </c>
      <c r="H1263" s="78">
        <v>500000</v>
      </c>
      <c r="I1263" s="881"/>
      <c r="J1263" s="875"/>
      <c r="K1263" s="877"/>
      <c r="L1263" s="881"/>
      <c r="M1263" s="881"/>
      <c r="N1263" s="883"/>
      <c r="O1263" s="55"/>
      <c r="P1263" s="78"/>
    </row>
    <row r="1264" spans="1:16" ht="13.5" customHeight="1" thickBot="1">
      <c r="A1264" s="920"/>
      <c r="B1264" s="876"/>
      <c r="C1264" s="878"/>
      <c r="D1264" s="878"/>
      <c r="E1264" s="882"/>
      <c r="F1264" s="884"/>
      <c r="G1264" s="56">
        <v>721</v>
      </c>
      <c r="H1264" s="79">
        <f>+F1263-H1263</f>
        <v>200000</v>
      </c>
      <c r="I1264" s="882"/>
      <c r="J1264" s="876"/>
      <c r="K1264" s="878"/>
      <c r="L1264" s="882"/>
      <c r="M1264" s="882"/>
      <c r="N1264" s="884"/>
      <c r="O1264" s="56"/>
      <c r="P1264" s="79"/>
    </row>
    <row r="1265" spans="1:16" ht="16.5" thickBot="1">
      <c r="A1265" s="901" t="s">
        <v>102</v>
      </c>
      <c r="B1265" s="902"/>
      <c r="C1265" s="902"/>
      <c r="D1265" s="902"/>
      <c r="E1265" s="903"/>
      <c r="F1265" s="81">
        <f>SUM(F1255:F1264)</f>
        <v>1316000</v>
      </c>
      <c r="I1265" s="901" t="s">
        <v>102</v>
      </c>
      <c r="J1265" s="902"/>
      <c r="K1265" s="902"/>
      <c r="L1265" s="902"/>
      <c r="M1265" s="903"/>
      <c r="N1265" s="81">
        <f>SUM(N1255:N1264)</f>
        <v>380000</v>
      </c>
    </row>
    <row r="1266" spans="1:16" ht="16.5" thickBot="1">
      <c r="A1266" s="885" t="s">
        <v>103</v>
      </c>
      <c r="B1266" s="886"/>
      <c r="C1266" s="886"/>
      <c r="D1266" s="886"/>
      <c r="E1266" s="887"/>
      <c r="F1266" s="69">
        <f>+F1230</f>
        <v>656567254</v>
      </c>
      <c r="I1266" s="885" t="s">
        <v>103</v>
      </c>
      <c r="J1266" s="886"/>
      <c r="K1266" s="886"/>
      <c r="L1266" s="886"/>
      <c r="M1266" s="887"/>
      <c r="N1266" s="69">
        <f>+N1230</f>
        <v>556170881</v>
      </c>
      <c r="O1266" s="241" t="s">
        <v>561</v>
      </c>
      <c r="P1266" s="242"/>
    </row>
    <row r="1267" spans="1:16" ht="16.5" thickBot="1">
      <c r="A1267" s="888" t="s">
        <v>104</v>
      </c>
      <c r="B1267" s="889"/>
      <c r="C1267" s="889"/>
      <c r="D1267" s="889"/>
      <c r="E1267" s="890"/>
      <c r="F1267" s="183">
        <f>SUM(F1265:F1266)</f>
        <v>657883254</v>
      </c>
      <c r="I1267" s="888" t="s">
        <v>104</v>
      </c>
      <c r="J1267" s="889"/>
      <c r="K1267" s="889"/>
      <c r="L1267" s="889"/>
      <c r="M1267" s="890"/>
      <c r="N1267" s="183">
        <f>SUM(N1265:N1266)</f>
        <v>556550881</v>
      </c>
    </row>
    <row r="1268" spans="1:16">
      <c r="A1268" s="61"/>
      <c r="B1268" s="61"/>
      <c r="C1268" s="61"/>
      <c r="D1268" s="61"/>
      <c r="E1268" s="61"/>
      <c r="I1268" s="61"/>
      <c r="J1268" s="61"/>
      <c r="K1268" s="61"/>
      <c r="L1268" s="61"/>
      <c r="M1268" s="61"/>
    </row>
    <row r="1269" spans="1:16">
      <c r="A1269" s="51" t="s">
        <v>506</v>
      </c>
      <c r="I1269" s="51" t="s">
        <v>1580</v>
      </c>
    </row>
    <row r="1270" spans="1:16" ht="12" customHeight="1">
      <c r="F1270" s="139"/>
      <c r="N1270" s="139"/>
    </row>
    <row r="1271" spans="1:16">
      <c r="A1271" s="50" t="s">
        <v>105</v>
      </c>
      <c r="D1271" s="146"/>
      <c r="F1271" s="139"/>
      <c r="I1271" s="50" t="s">
        <v>105</v>
      </c>
      <c r="L1271" s="146"/>
      <c r="N1271" s="139"/>
    </row>
    <row r="1272" spans="1:16" ht="12" customHeight="1" thickBot="1"/>
    <row r="1273" spans="1:16" ht="15.75" thickBot="1">
      <c r="A1273" s="891" t="s">
        <v>106</v>
      </c>
      <c r="B1273" s="892"/>
      <c r="C1273" s="892"/>
      <c r="D1273" s="893"/>
      <c r="F1273" s="50" t="s">
        <v>288</v>
      </c>
      <c r="I1273" s="891" t="s">
        <v>106</v>
      </c>
      <c r="J1273" s="892"/>
      <c r="K1273" s="892"/>
      <c r="L1273" s="893"/>
      <c r="N1273" s="50" t="s">
        <v>288</v>
      </c>
    </row>
    <row r="1274" spans="1:16" ht="30.75" thickBot="1">
      <c r="A1274" s="57" t="s">
        <v>100</v>
      </c>
      <c r="B1274" s="58" t="s">
        <v>108</v>
      </c>
      <c r="C1274" s="59" t="s">
        <v>109</v>
      </c>
      <c r="D1274" s="60" t="s">
        <v>110</v>
      </c>
      <c r="I1274" s="57" t="s">
        <v>100</v>
      </c>
      <c r="J1274" s="58" t="s">
        <v>108</v>
      </c>
      <c r="K1274" s="59" t="s">
        <v>109</v>
      </c>
      <c r="L1274" s="60" t="s">
        <v>110</v>
      </c>
    </row>
    <row r="1275" spans="1:16" ht="12.75" customHeight="1">
      <c r="A1275" s="71">
        <v>719</v>
      </c>
      <c r="B1275" s="73">
        <f>+H1255+H1257+H1259+H1261+H1263</f>
        <v>940000</v>
      </c>
      <c r="C1275" s="74" t="e">
        <f>+D1238</f>
        <v>#REF!</v>
      </c>
      <c r="D1275" s="195" t="e">
        <f>+B1275+C1275</f>
        <v>#REF!</v>
      </c>
      <c r="I1275" s="71">
        <v>719</v>
      </c>
      <c r="J1275" s="73">
        <f>+P1255+P1257+P1259+P1261+P1263</f>
        <v>380000</v>
      </c>
      <c r="K1275" s="74">
        <f>+L1238</f>
        <v>29860000</v>
      </c>
      <c r="L1275" s="195">
        <f>+J1275+K1275</f>
        <v>30240000</v>
      </c>
    </row>
    <row r="1276" spans="1:16" ht="13.5" customHeight="1">
      <c r="A1276" s="72">
        <v>721</v>
      </c>
      <c r="B1276" s="80">
        <f>(+H1264+H1262+H1260+H1258+H1256)</f>
        <v>376000</v>
      </c>
      <c r="C1276" s="74" t="e">
        <f>+D1239</f>
        <v>#REF!</v>
      </c>
      <c r="D1276" s="195" t="e">
        <f>+B1276+C1276</f>
        <v>#REF!</v>
      </c>
      <c r="I1276" s="72">
        <v>721</v>
      </c>
      <c r="J1276" s="80">
        <v>0</v>
      </c>
      <c r="K1276" s="74">
        <f>+L1239</f>
        <v>81520981</v>
      </c>
      <c r="L1276" s="195">
        <f>+J1276+K1276</f>
        <v>81520981</v>
      </c>
    </row>
    <row r="1277" spans="1:16" ht="14.25" customHeight="1">
      <c r="A1277" s="72">
        <v>722</v>
      </c>
      <c r="B1277" s="80"/>
      <c r="C1277" s="74">
        <f>+D1240</f>
        <v>231207671</v>
      </c>
      <c r="D1277" s="195">
        <f>+B1277+C1277</f>
        <v>231207671</v>
      </c>
      <c r="I1277" s="72">
        <v>722</v>
      </c>
      <c r="J1277" s="80"/>
      <c r="K1277" s="74">
        <f>+L1240</f>
        <v>42881706</v>
      </c>
      <c r="L1277" s="195">
        <f>+J1277+K1277</f>
        <v>42881706</v>
      </c>
    </row>
    <row r="1278" spans="1:16" ht="15.75">
      <c r="A1278" s="72">
        <v>723</v>
      </c>
      <c r="B1278" s="80"/>
      <c r="C1278" s="74">
        <f>+D1241</f>
        <v>323193545</v>
      </c>
      <c r="D1278" s="195">
        <f>+B1278+C1278</f>
        <v>323193545</v>
      </c>
      <c r="F1278" s="174" t="s">
        <v>23</v>
      </c>
      <c r="G1278" s="175"/>
      <c r="I1278" s="72">
        <v>723</v>
      </c>
      <c r="J1278" s="80">
        <f>+P1264+P1262+P1260+P1258+P1256</f>
        <v>0</v>
      </c>
      <c r="K1278" s="74">
        <f>+L1241</f>
        <v>401908194</v>
      </c>
      <c r="L1278" s="195">
        <f>+J1278+K1278</f>
        <v>401908194</v>
      </c>
      <c r="N1278" s="918" t="s">
        <v>1481</v>
      </c>
      <c r="O1278" s="918"/>
      <c r="P1278" s="918"/>
    </row>
    <row r="1279" spans="1:16" ht="13.5" customHeight="1" thickBot="1">
      <c r="A1279" s="164" t="s">
        <v>181</v>
      </c>
      <c r="B1279" s="165"/>
      <c r="C1279" s="74" t="e">
        <f>+D1242</f>
        <v>#REF!</v>
      </c>
      <c r="D1279" s="196" t="e">
        <f>+B1279+C1279</f>
        <v>#REF!</v>
      </c>
      <c r="F1279" s="52"/>
      <c r="I1279" s="164" t="s">
        <v>181</v>
      </c>
      <c r="J1279" s="165"/>
      <c r="K1279" s="74">
        <f>+L1242</f>
        <v>0</v>
      </c>
      <c r="L1279" s="196">
        <f>+J1279+K1279</f>
        <v>0</v>
      </c>
      <c r="N1279" s="52"/>
    </row>
    <row r="1280" spans="1:16" ht="16.5" thickBot="1">
      <c r="A1280" s="169"/>
      <c r="B1280" s="170">
        <f>SUM(B1275:B1279)</f>
        <v>1316000</v>
      </c>
      <c r="C1280" s="171" t="e">
        <f>SUM(C1275:C1279)</f>
        <v>#REF!</v>
      </c>
      <c r="D1280" s="172" t="e">
        <f>SUM(D1275:D1279)</f>
        <v>#REF!</v>
      </c>
      <c r="I1280" s="169"/>
      <c r="J1280" s="197">
        <f>SUM(J1275:J1279)</f>
        <v>380000</v>
      </c>
      <c r="K1280" s="197">
        <f>SUM(K1275:K1279)</f>
        <v>556170881</v>
      </c>
      <c r="L1280" s="198">
        <f>SUM(L1275:L1279)</f>
        <v>556550881</v>
      </c>
    </row>
    <row r="1281" spans="1:16" ht="16.5">
      <c r="A1281" s="49" t="s">
        <v>88</v>
      </c>
      <c r="B1281" s="50"/>
      <c r="I1281" s="49" t="s">
        <v>88</v>
      </c>
      <c r="J1281" s="50"/>
    </row>
    <row r="1282" spans="1:16">
      <c r="A1282" s="51" t="s">
        <v>89</v>
      </c>
      <c r="I1282" s="51" t="s">
        <v>89</v>
      </c>
    </row>
    <row r="1283" spans="1:16">
      <c r="A1283" s="51" t="s">
        <v>90</v>
      </c>
      <c r="I1283" s="51" t="s">
        <v>90</v>
      </c>
    </row>
    <row r="1284" spans="1:16">
      <c r="A1284" s="51" t="s">
        <v>91</v>
      </c>
      <c r="I1284" s="51" t="s">
        <v>91</v>
      </c>
    </row>
    <row r="1285" spans="1:16" ht="12" customHeight="1">
      <c r="A1285" s="50"/>
      <c r="B1285" s="50"/>
      <c r="I1285" s="50"/>
      <c r="J1285" s="50"/>
    </row>
    <row r="1286" spans="1:16" ht="16.5">
      <c r="A1286" s="52" t="s">
        <v>507</v>
      </c>
      <c r="G1286" s="52"/>
      <c r="I1286" s="260" t="s">
        <v>209</v>
      </c>
      <c r="O1286" s="52"/>
    </row>
    <row r="1287" spans="1:16" ht="15.75">
      <c r="A1287" s="53" t="s">
        <v>92</v>
      </c>
      <c r="G1287" s="53"/>
      <c r="I1287" s="53" t="s">
        <v>1333</v>
      </c>
      <c r="O1287" s="53"/>
    </row>
    <row r="1288" spans="1:16" ht="16.5">
      <c r="A1288" s="894" t="s">
        <v>261</v>
      </c>
      <c r="B1288" s="894"/>
      <c r="C1288" s="894"/>
      <c r="D1288" s="894"/>
      <c r="E1288" s="894"/>
      <c r="F1288" s="894"/>
      <c r="G1288" s="894"/>
      <c r="H1288" s="894"/>
      <c r="I1288" s="894" t="s">
        <v>903</v>
      </c>
      <c r="J1288" s="894"/>
      <c r="K1288" s="894"/>
      <c r="L1288" s="894"/>
      <c r="M1288" s="894"/>
      <c r="N1288" s="894"/>
      <c r="O1288" s="894"/>
      <c r="P1288" s="894"/>
    </row>
    <row r="1289" spans="1:16" ht="15.75" thickBot="1"/>
    <row r="1290" spans="1:16">
      <c r="A1290" s="895" t="s">
        <v>94</v>
      </c>
      <c r="B1290" s="897" t="s">
        <v>95</v>
      </c>
      <c r="C1290" s="897" t="s">
        <v>96</v>
      </c>
      <c r="D1290" s="897" t="s">
        <v>3</v>
      </c>
      <c r="E1290" s="897" t="s">
        <v>97</v>
      </c>
      <c r="F1290" s="897" t="s">
        <v>98</v>
      </c>
      <c r="G1290" s="897" t="s">
        <v>99</v>
      </c>
      <c r="H1290" s="899"/>
      <c r="I1290" s="895" t="s">
        <v>94</v>
      </c>
      <c r="J1290" s="897" t="s">
        <v>95</v>
      </c>
      <c r="K1290" s="897" t="s">
        <v>96</v>
      </c>
      <c r="L1290" s="897" t="s">
        <v>3</v>
      </c>
      <c r="M1290" s="897" t="s">
        <v>97</v>
      </c>
      <c r="N1290" s="897" t="s">
        <v>98</v>
      </c>
      <c r="O1290" s="897" t="s">
        <v>99</v>
      </c>
      <c r="P1290" s="899"/>
    </row>
    <row r="1291" spans="1:16" ht="15.75" thickBot="1">
      <c r="A1291" s="896"/>
      <c r="B1291" s="898"/>
      <c r="C1291" s="898"/>
      <c r="D1291" s="898"/>
      <c r="E1291" s="898"/>
      <c r="F1291" s="898"/>
      <c r="G1291" s="240" t="s">
        <v>100</v>
      </c>
      <c r="H1291" s="182" t="s">
        <v>101</v>
      </c>
      <c r="I1291" s="896"/>
      <c r="J1291" s="898"/>
      <c r="K1291" s="898"/>
      <c r="L1291" s="898"/>
      <c r="M1291" s="898"/>
      <c r="N1291" s="898"/>
      <c r="O1291" s="240" t="s">
        <v>100</v>
      </c>
      <c r="P1291" s="182" t="s">
        <v>101</v>
      </c>
    </row>
    <row r="1292" spans="1:16" ht="13.5" customHeight="1">
      <c r="A1292" s="919" t="e">
        <f>+A1263+1</f>
        <v>#REF!</v>
      </c>
      <c r="B1292" s="875">
        <v>42364</v>
      </c>
      <c r="C1292" s="877" t="s">
        <v>267</v>
      </c>
      <c r="D1292" s="877" t="s">
        <v>509</v>
      </c>
      <c r="E1292" s="881" t="s">
        <v>148</v>
      </c>
      <c r="F1292" s="883">
        <v>112000</v>
      </c>
      <c r="G1292" s="55">
        <v>719</v>
      </c>
      <c r="H1292" s="78">
        <v>80000</v>
      </c>
      <c r="I1292" s="873" t="s">
        <v>1589</v>
      </c>
      <c r="J1292" s="875">
        <v>43088</v>
      </c>
      <c r="K1292" s="877" t="s">
        <v>472</v>
      </c>
      <c r="L1292" s="881" t="s">
        <v>1522</v>
      </c>
      <c r="M1292" s="881" t="s">
        <v>148</v>
      </c>
      <c r="N1292" s="883">
        <v>325000</v>
      </c>
      <c r="O1292" s="55">
        <v>719</v>
      </c>
      <c r="P1292" s="78">
        <v>250000</v>
      </c>
    </row>
    <row r="1293" spans="1:16" ht="12.75" customHeight="1" thickBot="1">
      <c r="A1293" s="920"/>
      <c r="B1293" s="876"/>
      <c r="C1293" s="878"/>
      <c r="D1293" s="878"/>
      <c r="E1293" s="882"/>
      <c r="F1293" s="884"/>
      <c r="G1293" s="56">
        <v>721</v>
      </c>
      <c r="H1293" s="79">
        <f>+F1292-H1292</f>
        <v>32000</v>
      </c>
      <c r="I1293" s="874"/>
      <c r="J1293" s="876"/>
      <c r="K1293" s="878"/>
      <c r="L1293" s="882"/>
      <c r="M1293" s="882"/>
      <c r="N1293" s="884"/>
      <c r="O1293" s="56">
        <v>723</v>
      </c>
      <c r="P1293" s="79">
        <f>+N1292-P1292</f>
        <v>75000</v>
      </c>
    </row>
    <row r="1294" spans="1:16" ht="12" customHeight="1">
      <c r="A1294" s="919" t="e">
        <f>+A1292+1</f>
        <v>#REF!</v>
      </c>
      <c r="B1294" s="875">
        <v>42364</v>
      </c>
      <c r="C1294" s="881" t="s">
        <v>28</v>
      </c>
      <c r="D1294" s="877" t="s">
        <v>510</v>
      </c>
      <c r="E1294" s="881" t="s">
        <v>148</v>
      </c>
      <c r="F1294" s="883">
        <v>238000</v>
      </c>
      <c r="G1294" s="55">
        <v>719</v>
      </c>
      <c r="H1294" s="78">
        <v>170000</v>
      </c>
      <c r="I1294" s="881">
        <f>+I1292+1</f>
        <v>164</v>
      </c>
      <c r="J1294" s="875">
        <v>43088</v>
      </c>
      <c r="K1294" s="877" t="s">
        <v>472</v>
      </c>
      <c r="L1294" s="881" t="s">
        <v>1590</v>
      </c>
      <c r="M1294" s="881" t="s">
        <v>148</v>
      </c>
      <c r="N1294" s="883">
        <v>312000</v>
      </c>
      <c r="O1294" s="55">
        <v>719</v>
      </c>
      <c r="P1294" s="78">
        <v>240000</v>
      </c>
    </row>
    <row r="1295" spans="1:16" ht="13.5" customHeight="1" thickBot="1">
      <c r="A1295" s="920"/>
      <c r="B1295" s="876"/>
      <c r="C1295" s="882"/>
      <c r="D1295" s="878"/>
      <c r="E1295" s="882"/>
      <c r="F1295" s="884"/>
      <c r="G1295" s="56">
        <v>721</v>
      </c>
      <c r="H1295" s="79">
        <f>+F1294-H1294</f>
        <v>68000</v>
      </c>
      <c r="I1295" s="882"/>
      <c r="J1295" s="876"/>
      <c r="K1295" s="878"/>
      <c r="L1295" s="882"/>
      <c r="M1295" s="882"/>
      <c r="N1295" s="884"/>
      <c r="O1295" s="56">
        <v>723</v>
      </c>
      <c r="P1295" s="79">
        <f>+N1294-P1294</f>
        <v>72000</v>
      </c>
    </row>
    <row r="1296" spans="1:16" ht="12.75" customHeight="1">
      <c r="A1296" s="919" t="e">
        <f>+A1294+1</f>
        <v>#REF!</v>
      </c>
      <c r="B1296" s="875">
        <v>42364</v>
      </c>
      <c r="C1296" s="877" t="s">
        <v>32</v>
      </c>
      <c r="D1296" s="877" t="s">
        <v>510</v>
      </c>
      <c r="E1296" s="881" t="s">
        <v>148</v>
      </c>
      <c r="F1296" s="883">
        <v>112000</v>
      </c>
      <c r="G1296" s="55">
        <v>719</v>
      </c>
      <c r="H1296" s="78">
        <v>80000</v>
      </c>
      <c r="I1296" s="881">
        <f>+I1294+1</f>
        <v>165</v>
      </c>
      <c r="J1296" s="875">
        <v>43088</v>
      </c>
      <c r="K1296" s="877" t="s">
        <v>472</v>
      </c>
      <c r="L1296" s="881" t="s">
        <v>1507</v>
      </c>
      <c r="M1296" s="881" t="s">
        <v>148</v>
      </c>
      <c r="N1296" s="883">
        <v>247000</v>
      </c>
      <c r="O1296" s="55">
        <v>719</v>
      </c>
      <c r="P1296" s="78">
        <v>190000</v>
      </c>
    </row>
    <row r="1297" spans="1:16" ht="12.75" customHeight="1" thickBot="1">
      <c r="A1297" s="920"/>
      <c r="B1297" s="876"/>
      <c r="C1297" s="878"/>
      <c r="D1297" s="878"/>
      <c r="E1297" s="882"/>
      <c r="F1297" s="884"/>
      <c r="G1297" s="56">
        <v>721</v>
      </c>
      <c r="H1297" s="79">
        <f>+F1296-H1296</f>
        <v>32000</v>
      </c>
      <c r="I1297" s="882"/>
      <c r="J1297" s="876"/>
      <c r="K1297" s="878"/>
      <c r="L1297" s="882"/>
      <c r="M1297" s="882"/>
      <c r="N1297" s="884"/>
      <c r="O1297" s="56">
        <v>723</v>
      </c>
      <c r="P1297" s="79">
        <f>+N1296-P1296</f>
        <v>57000</v>
      </c>
    </row>
    <row r="1298" spans="1:16" ht="13.5" customHeight="1">
      <c r="A1298" s="919" t="e">
        <f>+A1296+1</f>
        <v>#REF!</v>
      </c>
      <c r="B1298" s="875">
        <v>42364</v>
      </c>
      <c r="C1298" s="877" t="s">
        <v>111</v>
      </c>
      <c r="D1298" s="877" t="s">
        <v>511</v>
      </c>
      <c r="E1298" s="881" t="s">
        <v>148</v>
      </c>
      <c r="F1298" s="883">
        <v>112000</v>
      </c>
      <c r="G1298" s="55">
        <v>719</v>
      </c>
      <c r="H1298" s="78">
        <v>80000</v>
      </c>
      <c r="I1298" s="881">
        <f>+I1296+1</f>
        <v>166</v>
      </c>
      <c r="J1298" s="875">
        <v>43088</v>
      </c>
      <c r="K1298" s="877" t="s">
        <v>472</v>
      </c>
      <c r="L1298" s="881" t="s">
        <v>1506</v>
      </c>
      <c r="M1298" s="881" t="s">
        <v>148</v>
      </c>
      <c r="N1298" s="883">
        <v>208000</v>
      </c>
      <c r="O1298" s="55">
        <v>719</v>
      </c>
      <c r="P1298" s="78">
        <v>160000</v>
      </c>
    </row>
    <row r="1299" spans="1:16" ht="13.5" customHeight="1" thickBot="1">
      <c r="A1299" s="920"/>
      <c r="B1299" s="876"/>
      <c r="C1299" s="878"/>
      <c r="D1299" s="878"/>
      <c r="E1299" s="882"/>
      <c r="F1299" s="884"/>
      <c r="G1299" s="56">
        <v>721</v>
      </c>
      <c r="H1299" s="79">
        <f>+F1298-H1298</f>
        <v>32000</v>
      </c>
      <c r="I1299" s="882"/>
      <c r="J1299" s="876"/>
      <c r="K1299" s="878"/>
      <c r="L1299" s="882"/>
      <c r="M1299" s="882"/>
      <c r="N1299" s="884"/>
      <c r="O1299" s="56">
        <v>723</v>
      </c>
      <c r="P1299" s="79">
        <f>+N1298-P1298</f>
        <v>48000</v>
      </c>
    </row>
    <row r="1300" spans="1:16" ht="12.75" customHeight="1">
      <c r="A1300" s="919" t="e">
        <f>+A1298+1</f>
        <v>#REF!</v>
      </c>
      <c r="B1300" s="875">
        <v>42364</v>
      </c>
      <c r="C1300" s="877" t="s">
        <v>272</v>
      </c>
      <c r="D1300" s="877" t="s">
        <v>510</v>
      </c>
      <c r="E1300" s="881" t="s">
        <v>148</v>
      </c>
      <c r="F1300" s="883">
        <v>616000</v>
      </c>
      <c r="G1300" s="55">
        <v>719</v>
      </c>
      <c r="H1300" s="78">
        <v>440000</v>
      </c>
      <c r="I1300" s="881">
        <f>+I1298+1</f>
        <v>167</v>
      </c>
      <c r="J1300" s="875">
        <v>43088</v>
      </c>
      <c r="K1300" s="877" t="s">
        <v>472</v>
      </c>
      <c r="L1300" s="881" t="s">
        <v>1510</v>
      </c>
      <c r="M1300" s="881" t="s">
        <v>148</v>
      </c>
      <c r="N1300" s="883">
        <v>234000</v>
      </c>
      <c r="O1300" s="55">
        <v>719</v>
      </c>
      <c r="P1300" s="78">
        <v>180000</v>
      </c>
    </row>
    <row r="1301" spans="1:16" ht="12.75" customHeight="1" thickBot="1">
      <c r="A1301" s="920"/>
      <c r="B1301" s="876"/>
      <c r="C1301" s="878"/>
      <c r="D1301" s="878"/>
      <c r="E1301" s="882"/>
      <c r="F1301" s="884"/>
      <c r="G1301" s="56">
        <v>721</v>
      </c>
      <c r="H1301" s="79">
        <f>+F1300-H1300</f>
        <v>176000</v>
      </c>
      <c r="I1301" s="882"/>
      <c r="J1301" s="876"/>
      <c r="K1301" s="878"/>
      <c r="L1301" s="882"/>
      <c r="M1301" s="882"/>
      <c r="N1301" s="884"/>
      <c r="O1301" s="56">
        <v>723</v>
      </c>
      <c r="P1301" s="79">
        <f>+N1300-P1300</f>
        <v>54000</v>
      </c>
    </row>
    <row r="1302" spans="1:16" ht="16.5" thickBot="1">
      <c r="A1302" s="901" t="s">
        <v>102</v>
      </c>
      <c r="B1302" s="902"/>
      <c r="C1302" s="902"/>
      <c r="D1302" s="902"/>
      <c r="E1302" s="903"/>
      <c r="F1302" s="81">
        <f>SUM(F1292:F1301)</f>
        <v>1190000</v>
      </c>
      <c r="I1302" s="901" t="s">
        <v>102</v>
      </c>
      <c r="J1302" s="902"/>
      <c r="K1302" s="902"/>
      <c r="L1302" s="902"/>
      <c r="M1302" s="903"/>
      <c r="N1302" s="81">
        <f>SUM(N1292:N1301)</f>
        <v>1326000</v>
      </c>
    </row>
    <row r="1303" spans="1:16" ht="16.5" thickBot="1">
      <c r="A1303" s="885" t="s">
        <v>103</v>
      </c>
      <c r="B1303" s="886"/>
      <c r="C1303" s="886"/>
      <c r="D1303" s="886"/>
      <c r="E1303" s="887"/>
      <c r="F1303" s="69">
        <f>+F1267</f>
        <v>657883254</v>
      </c>
      <c r="I1303" s="885" t="s">
        <v>103</v>
      </c>
      <c r="J1303" s="886"/>
      <c r="K1303" s="886"/>
      <c r="L1303" s="886"/>
      <c r="M1303" s="887"/>
      <c r="N1303" s="69">
        <f>+N1267</f>
        <v>556550881</v>
      </c>
      <c r="O1303" s="241" t="s">
        <v>561</v>
      </c>
      <c r="P1303" s="242">
        <f>426+320+398+660+676</f>
        <v>2480</v>
      </c>
    </row>
    <row r="1304" spans="1:16" ht="16.5" thickBot="1">
      <c r="A1304" s="888" t="s">
        <v>104</v>
      </c>
      <c r="B1304" s="889"/>
      <c r="C1304" s="889"/>
      <c r="D1304" s="889"/>
      <c r="E1304" s="890"/>
      <c r="F1304" s="183">
        <f>SUM(F1302:F1303)</f>
        <v>659073254</v>
      </c>
      <c r="I1304" s="888" t="s">
        <v>104</v>
      </c>
      <c r="J1304" s="889"/>
      <c r="K1304" s="889"/>
      <c r="L1304" s="889"/>
      <c r="M1304" s="890"/>
      <c r="N1304" s="183">
        <f>SUM(N1302:N1303)</f>
        <v>557876881</v>
      </c>
    </row>
    <row r="1305" spans="1:16">
      <c r="A1305" s="61"/>
      <c r="B1305" s="61"/>
      <c r="C1305" s="61"/>
      <c r="D1305" s="61"/>
      <c r="E1305" s="61"/>
      <c r="I1305" s="61"/>
      <c r="J1305" s="61"/>
      <c r="K1305" s="61"/>
      <c r="L1305" s="61"/>
      <c r="M1305" s="61"/>
    </row>
    <row r="1306" spans="1:16">
      <c r="A1306" s="51" t="s">
        <v>512</v>
      </c>
      <c r="I1306" s="51" t="s">
        <v>1598</v>
      </c>
    </row>
    <row r="1307" spans="1:16" ht="9.75" customHeight="1">
      <c r="F1307" s="139"/>
      <c r="N1307" s="139"/>
    </row>
    <row r="1308" spans="1:16">
      <c r="A1308" s="50" t="s">
        <v>105</v>
      </c>
      <c r="D1308" s="146"/>
      <c r="F1308" s="139"/>
      <c r="I1308" s="50" t="s">
        <v>105</v>
      </c>
      <c r="L1308" s="146"/>
      <c r="N1308" s="139"/>
    </row>
    <row r="1309" spans="1:16" ht="10.5" customHeight="1" thickBot="1"/>
    <row r="1310" spans="1:16" ht="15.75" thickBot="1">
      <c r="A1310" s="891" t="s">
        <v>106</v>
      </c>
      <c r="B1310" s="892"/>
      <c r="C1310" s="892"/>
      <c r="D1310" s="893"/>
      <c r="F1310" s="50" t="s">
        <v>288</v>
      </c>
      <c r="I1310" s="891" t="s">
        <v>106</v>
      </c>
      <c r="J1310" s="892"/>
      <c r="K1310" s="892"/>
      <c r="L1310" s="893"/>
      <c r="N1310" s="50" t="s">
        <v>288</v>
      </c>
    </row>
    <row r="1311" spans="1:16" ht="30.75" thickBot="1">
      <c r="A1311" s="57" t="s">
        <v>100</v>
      </c>
      <c r="B1311" s="58" t="s">
        <v>108</v>
      </c>
      <c r="C1311" s="59" t="s">
        <v>109</v>
      </c>
      <c r="D1311" s="60" t="s">
        <v>110</v>
      </c>
      <c r="I1311" s="57" t="s">
        <v>100</v>
      </c>
      <c r="J1311" s="58" t="s">
        <v>108</v>
      </c>
      <c r="K1311" s="59" t="s">
        <v>109</v>
      </c>
      <c r="L1311" s="60" t="s">
        <v>110</v>
      </c>
    </row>
    <row r="1312" spans="1:16">
      <c r="A1312" s="71">
        <v>719</v>
      </c>
      <c r="B1312" s="73">
        <f>+H1292+H1294+H1296+H1298+H1300</f>
        <v>850000</v>
      </c>
      <c r="C1312" s="74" t="e">
        <f>+D1275</f>
        <v>#REF!</v>
      </c>
      <c r="D1312" s="195" t="e">
        <f>+B1312+C1312</f>
        <v>#REF!</v>
      </c>
      <c r="I1312" s="71">
        <v>719</v>
      </c>
      <c r="J1312" s="73">
        <f>+P1292+P1294+P1296+P1298+P1300</f>
        <v>1020000</v>
      </c>
      <c r="K1312" s="74">
        <f>+L1275</f>
        <v>30240000</v>
      </c>
      <c r="L1312" s="195">
        <f>+J1312+K1312</f>
        <v>31260000</v>
      </c>
    </row>
    <row r="1313" spans="1:16">
      <c r="A1313" s="72">
        <v>721</v>
      </c>
      <c r="B1313" s="80">
        <f>(+H1301+H1299+H1297+H1295+H1293)</f>
        <v>340000</v>
      </c>
      <c r="C1313" s="74" t="e">
        <f>+D1276</f>
        <v>#REF!</v>
      </c>
      <c r="D1313" s="195" t="e">
        <f>+B1313+C1313</f>
        <v>#REF!</v>
      </c>
      <c r="I1313" s="72">
        <v>721</v>
      </c>
      <c r="J1313" s="80">
        <f>+P1293+P1295+P1297+P1299+P1301</f>
        <v>306000</v>
      </c>
      <c r="K1313" s="74">
        <f>+L1276</f>
        <v>81520981</v>
      </c>
      <c r="L1313" s="195">
        <f>+J1313+K1313</f>
        <v>81826981</v>
      </c>
    </row>
    <row r="1314" spans="1:16" ht="13.5" customHeight="1">
      <c r="A1314" s="72">
        <v>722</v>
      </c>
      <c r="B1314" s="80"/>
      <c r="C1314" s="74">
        <f>+D1277</f>
        <v>231207671</v>
      </c>
      <c r="D1314" s="195">
        <f>+B1314+C1314</f>
        <v>231207671</v>
      </c>
      <c r="I1314" s="72">
        <v>722</v>
      </c>
      <c r="J1314" s="80"/>
      <c r="K1314" s="74">
        <f>+L1277</f>
        <v>42881706</v>
      </c>
      <c r="L1314" s="195">
        <f>+J1314+K1314</f>
        <v>42881706</v>
      </c>
    </row>
    <row r="1315" spans="1:16" ht="15.75">
      <c r="A1315" s="72">
        <v>723</v>
      </c>
      <c r="B1315" s="80"/>
      <c r="C1315" s="74">
        <f>+D1278</f>
        <v>323193545</v>
      </c>
      <c r="D1315" s="195">
        <f>+B1315+C1315</f>
        <v>323193545</v>
      </c>
      <c r="F1315" s="174" t="s">
        <v>23</v>
      </c>
      <c r="G1315" s="175"/>
      <c r="I1315" s="72">
        <v>723</v>
      </c>
      <c r="J1315" s="80"/>
      <c r="K1315" s="74">
        <f>+L1278</f>
        <v>401908194</v>
      </c>
      <c r="L1315" s="195">
        <f>+J1315+K1315</f>
        <v>401908194</v>
      </c>
      <c r="N1315" s="918" t="s">
        <v>1481</v>
      </c>
      <c r="O1315" s="918"/>
      <c r="P1315" s="918"/>
    </row>
    <row r="1316" spans="1:16" ht="15" customHeight="1" thickBot="1">
      <c r="A1316" s="164" t="s">
        <v>181</v>
      </c>
      <c r="B1316" s="165"/>
      <c r="C1316" s="74" t="e">
        <f>+D1279</f>
        <v>#REF!</v>
      </c>
      <c r="D1316" s="196" t="e">
        <f>+B1316+C1316</f>
        <v>#REF!</v>
      </c>
      <c r="F1316" s="52"/>
      <c r="I1316" s="164" t="s">
        <v>181</v>
      </c>
      <c r="J1316" s="165"/>
      <c r="K1316" s="74">
        <f>+L1279</f>
        <v>0</v>
      </c>
      <c r="L1316" s="196">
        <f>+J1316+K1316</f>
        <v>0</v>
      </c>
      <c r="N1316" s="52"/>
    </row>
    <row r="1317" spans="1:16" ht="16.5" thickBot="1">
      <c r="A1317" s="169"/>
      <c r="B1317" s="170">
        <f>SUM(B1312:B1316)</f>
        <v>1190000</v>
      </c>
      <c r="C1317" s="171" t="e">
        <f>SUM(C1312:C1316)</f>
        <v>#REF!</v>
      </c>
      <c r="D1317" s="172" t="e">
        <f>SUM(D1312:D1316)</f>
        <v>#REF!</v>
      </c>
      <c r="I1317" s="169"/>
      <c r="J1317" s="197">
        <f>SUM(J1312:J1316)</f>
        <v>1326000</v>
      </c>
      <c r="K1317" s="197">
        <f>SUM(K1312:K1316)</f>
        <v>556550881</v>
      </c>
      <c r="L1317" s="198">
        <f>SUM(L1312:L1316)</f>
        <v>557876881</v>
      </c>
    </row>
    <row r="1318" spans="1:16" ht="16.5">
      <c r="A1318" s="49" t="s">
        <v>88</v>
      </c>
      <c r="B1318" s="50"/>
      <c r="I1318" s="49" t="s">
        <v>88</v>
      </c>
      <c r="J1318" s="50"/>
    </row>
    <row r="1319" spans="1:16">
      <c r="A1319" s="51" t="s">
        <v>89</v>
      </c>
      <c r="I1319" s="51" t="s">
        <v>89</v>
      </c>
    </row>
    <row r="1320" spans="1:16">
      <c r="A1320" s="51" t="s">
        <v>90</v>
      </c>
      <c r="I1320" s="51" t="s">
        <v>90</v>
      </c>
    </row>
    <row r="1321" spans="1:16">
      <c r="A1321" s="51" t="s">
        <v>91</v>
      </c>
      <c r="I1321" s="51" t="s">
        <v>91</v>
      </c>
    </row>
    <row r="1322" spans="1:16" ht="9.75" customHeight="1">
      <c r="A1322" s="50"/>
      <c r="B1322" s="50"/>
      <c r="I1322" s="50"/>
      <c r="J1322" s="50"/>
    </row>
    <row r="1323" spans="1:16" ht="16.5">
      <c r="A1323" s="52" t="s">
        <v>508</v>
      </c>
      <c r="G1323" s="52"/>
      <c r="I1323" s="260" t="s">
        <v>898</v>
      </c>
      <c r="O1323" s="52"/>
    </row>
    <row r="1324" spans="1:16" ht="14.25" customHeight="1">
      <c r="A1324" s="53" t="s">
        <v>92</v>
      </c>
      <c r="G1324" s="53"/>
      <c r="I1324" s="53" t="s">
        <v>1333</v>
      </c>
      <c r="O1324" s="53"/>
    </row>
    <row r="1325" spans="1:16" ht="16.5">
      <c r="A1325" s="894" t="s">
        <v>261</v>
      </c>
      <c r="B1325" s="894"/>
      <c r="C1325" s="894"/>
      <c r="D1325" s="894"/>
      <c r="E1325" s="894"/>
      <c r="F1325" s="894"/>
      <c r="G1325" s="894"/>
      <c r="H1325" s="894"/>
      <c r="I1325" s="894" t="s">
        <v>903</v>
      </c>
      <c r="J1325" s="894"/>
      <c r="K1325" s="894"/>
      <c r="L1325" s="894"/>
      <c r="M1325" s="894"/>
      <c r="N1325" s="894"/>
      <c r="O1325" s="894"/>
      <c r="P1325" s="894"/>
    </row>
    <row r="1326" spans="1:16" ht="13.5" customHeight="1" thickBot="1"/>
    <row r="1327" spans="1:16">
      <c r="A1327" s="895" t="s">
        <v>94</v>
      </c>
      <c r="B1327" s="897" t="s">
        <v>95</v>
      </c>
      <c r="C1327" s="897" t="s">
        <v>96</v>
      </c>
      <c r="D1327" s="897" t="s">
        <v>3</v>
      </c>
      <c r="E1327" s="897" t="s">
        <v>97</v>
      </c>
      <c r="F1327" s="897" t="s">
        <v>98</v>
      </c>
      <c r="G1327" s="897" t="s">
        <v>99</v>
      </c>
      <c r="H1327" s="899"/>
      <c r="I1327" s="895" t="s">
        <v>94</v>
      </c>
      <c r="J1327" s="897" t="s">
        <v>95</v>
      </c>
      <c r="K1327" s="897" t="s">
        <v>96</v>
      </c>
      <c r="L1327" s="897" t="s">
        <v>3</v>
      </c>
      <c r="M1327" s="897" t="s">
        <v>97</v>
      </c>
      <c r="N1327" s="897" t="s">
        <v>98</v>
      </c>
      <c r="O1327" s="897" t="s">
        <v>99</v>
      </c>
      <c r="P1327" s="899"/>
    </row>
    <row r="1328" spans="1:16" ht="15.75" thickBot="1">
      <c r="A1328" s="896"/>
      <c r="B1328" s="898"/>
      <c r="C1328" s="898"/>
      <c r="D1328" s="898"/>
      <c r="E1328" s="898"/>
      <c r="F1328" s="898"/>
      <c r="G1328" s="240" t="s">
        <v>100</v>
      </c>
      <c r="H1328" s="182" t="s">
        <v>101</v>
      </c>
      <c r="I1328" s="896"/>
      <c r="J1328" s="898"/>
      <c r="K1328" s="898"/>
      <c r="L1328" s="898"/>
      <c r="M1328" s="898"/>
      <c r="N1328" s="898"/>
      <c r="O1328" s="240" t="s">
        <v>100</v>
      </c>
      <c r="P1328" s="182" t="s">
        <v>101</v>
      </c>
    </row>
    <row r="1329" spans="1:16" ht="12.75" customHeight="1">
      <c r="A1329" s="919" t="e">
        <f>+A1300+1</f>
        <v>#REF!</v>
      </c>
      <c r="B1329" s="875">
        <v>42364</v>
      </c>
      <c r="C1329" s="877" t="s">
        <v>31</v>
      </c>
      <c r="D1329" s="877" t="s">
        <v>513</v>
      </c>
      <c r="E1329" s="881" t="s">
        <v>115</v>
      </c>
      <c r="F1329" s="883">
        <v>100000</v>
      </c>
      <c r="G1329" s="55">
        <v>719</v>
      </c>
      <c r="H1329" s="78">
        <v>100000</v>
      </c>
      <c r="I1329" s="873" t="s">
        <v>1591</v>
      </c>
      <c r="J1329" s="875">
        <v>42723</v>
      </c>
      <c r="K1329" s="877" t="s">
        <v>28</v>
      </c>
      <c r="L1329" s="881" t="s">
        <v>1592</v>
      </c>
      <c r="M1329" s="881" t="s">
        <v>775</v>
      </c>
      <c r="N1329" s="883">
        <v>230000</v>
      </c>
      <c r="O1329" s="55">
        <v>719</v>
      </c>
      <c r="P1329" s="78">
        <v>230000</v>
      </c>
    </row>
    <row r="1330" spans="1:16" ht="13.5" customHeight="1" thickBot="1">
      <c r="A1330" s="920"/>
      <c r="B1330" s="876"/>
      <c r="C1330" s="878"/>
      <c r="D1330" s="878"/>
      <c r="E1330" s="882"/>
      <c r="F1330" s="884"/>
      <c r="G1330" s="56">
        <v>721</v>
      </c>
      <c r="H1330" s="79">
        <f>+F1329-H1329</f>
        <v>0</v>
      </c>
      <c r="I1330" s="874"/>
      <c r="J1330" s="876"/>
      <c r="K1330" s="878"/>
      <c r="L1330" s="882"/>
      <c r="M1330" s="882"/>
      <c r="N1330" s="884"/>
      <c r="O1330" s="56">
        <v>723</v>
      </c>
      <c r="P1330" s="79">
        <f>+N1329-P1329</f>
        <v>0</v>
      </c>
    </row>
    <row r="1331" spans="1:16" ht="15" customHeight="1">
      <c r="A1331" s="919" t="e">
        <f>+A1329+1</f>
        <v>#REF!</v>
      </c>
      <c r="B1331" s="875">
        <v>42364</v>
      </c>
      <c r="C1331" s="877" t="s">
        <v>472</v>
      </c>
      <c r="D1331" s="877" t="s">
        <v>517</v>
      </c>
      <c r="E1331" s="881" t="s">
        <v>115</v>
      </c>
      <c r="F1331" s="883">
        <v>40000</v>
      </c>
      <c r="G1331" s="55">
        <v>719</v>
      </c>
      <c r="H1331" s="78">
        <v>40000</v>
      </c>
      <c r="I1331" s="881">
        <f>+I1329+1</f>
        <v>169</v>
      </c>
      <c r="J1331" s="875">
        <v>42723</v>
      </c>
      <c r="K1331" s="877" t="s">
        <v>28</v>
      </c>
      <c r="L1331" s="881" t="s">
        <v>1516</v>
      </c>
      <c r="M1331" s="881" t="s">
        <v>775</v>
      </c>
      <c r="N1331" s="883">
        <v>90000</v>
      </c>
      <c r="O1331" s="55">
        <v>719</v>
      </c>
      <c r="P1331" s="78">
        <v>90000</v>
      </c>
    </row>
    <row r="1332" spans="1:16" ht="13.5" customHeight="1" thickBot="1">
      <c r="A1332" s="920"/>
      <c r="B1332" s="876"/>
      <c r="C1332" s="878"/>
      <c r="D1332" s="878"/>
      <c r="E1332" s="882"/>
      <c r="F1332" s="884"/>
      <c r="G1332" s="56">
        <v>721</v>
      </c>
      <c r="H1332" s="79">
        <f>+F1331-H1331</f>
        <v>0</v>
      </c>
      <c r="I1332" s="882"/>
      <c r="J1332" s="876"/>
      <c r="K1332" s="878"/>
      <c r="L1332" s="882"/>
      <c r="M1332" s="882"/>
      <c r="N1332" s="884"/>
      <c r="O1332" s="56">
        <v>723</v>
      </c>
      <c r="P1332" s="79">
        <f>+N1331-P1331</f>
        <v>0</v>
      </c>
    </row>
    <row r="1333" spans="1:16" ht="14.25" customHeight="1">
      <c r="A1333" s="919" t="e">
        <f>+A1331+1</f>
        <v>#REF!</v>
      </c>
      <c r="B1333" s="875">
        <v>42364</v>
      </c>
      <c r="C1333" s="877" t="s">
        <v>32</v>
      </c>
      <c r="D1333" s="877" t="s">
        <v>518</v>
      </c>
      <c r="E1333" s="881" t="s">
        <v>115</v>
      </c>
      <c r="F1333" s="883">
        <v>40000</v>
      </c>
      <c r="G1333" s="55">
        <v>719</v>
      </c>
      <c r="H1333" s="78">
        <v>40000</v>
      </c>
      <c r="I1333" s="881">
        <f>+I1331+1</f>
        <v>170</v>
      </c>
      <c r="J1333" s="875">
        <v>42723</v>
      </c>
      <c r="K1333" s="877" t="s">
        <v>28</v>
      </c>
      <c r="L1333" s="881" t="s">
        <v>1517</v>
      </c>
      <c r="M1333" s="881" t="s">
        <v>775</v>
      </c>
      <c r="N1333" s="883">
        <v>220000</v>
      </c>
      <c r="O1333" s="55">
        <v>719</v>
      </c>
      <c r="P1333" s="78">
        <v>220000</v>
      </c>
    </row>
    <row r="1334" spans="1:16" ht="13.5" customHeight="1" thickBot="1">
      <c r="A1334" s="920"/>
      <c r="B1334" s="876"/>
      <c r="C1334" s="878"/>
      <c r="D1334" s="878"/>
      <c r="E1334" s="882"/>
      <c r="F1334" s="884"/>
      <c r="G1334" s="56">
        <v>721</v>
      </c>
      <c r="H1334" s="79">
        <f>+F1333-H1333</f>
        <v>0</v>
      </c>
      <c r="I1334" s="882"/>
      <c r="J1334" s="876"/>
      <c r="K1334" s="878"/>
      <c r="L1334" s="882"/>
      <c r="M1334" s="882"/>
      <c r="N1334" s="884"/>
      <c r="O1334" s="56">
        <v>723</v>
      </c>
      <c r="P1334" s="79">
        <f>+N1333-P1333</f>
        <v>0</v>
      </c>
    </row>
    <row r="1335" spans="1:16" ht="15" customHeight="1">
      <c r="A1335" s="919" t="e">
        <f>+A1333+1</f>
        <v>#REF!</v>
      </c>
      <c r="B1335" s="875">
        <v>42364</v>
      </c>
      <c r="C1335" s="877" t="s">
        <v>120</v>
      </c>
      <c r="D1335" s="877" t="s">
        <v>519</v>
      </c>
      <c r="E1335" s="881" t="s">
        <v>115</v>
      </c>
      <c r="F1335" s="883">
        <v>20000</v>
      </c>
      <c r="G1335" s="55">
        <v>719</v>
      </c>
      <c r="H1335" s="78">
        <v>20000</v>
      </c>
      <c r="I1335" s="881">
        <f>+I1333+1</f>
        <v>171</v>
      </c>
      <c r="J1335" s="875">
        <v>42723</v>
      </c>
      <c r="K1335" s="877" t="s">
        <v>28</v>
      </c>
      <c r="L1335" s="881" t="s">
        <v>1593</v>
      </c>
      <c r="M1335" s="881" t="s">
        <v>775</v>
      </c>
      <c r="N1335" s="883">
        <v>80000</v>
      </c>
      <c r="O1335" s="55">
        <v>719</v>
      </c>
      <c r="P1335" s="78">
        <v>80000</v>
      </c>
    </row>
    <row r="1336" spans="1:16" ht="12" customHeight="1" thickBot="1">
      <c r="A1336" s="920"/>
      <c r="B1336" s="876"/>
      <c r="C1336" s="878"/>
      <c r="D1336" s="878"/>
      <c r="E1336" s="882"/>
      <c r="F1336" s="884"/>
      <c r="G1336" s="56">
        <v>721</v>
      </c>
      <c r="H1336" s="79">
        <f>+F1335-H1335</f>
        <v>0</v>
      </c>
      <c r="I1336" s="882"/>
      <c r="J1336" s="876"/>
      <c r="K1336" s="878"/>
      <c r="L1336" s="882"/>
      <c r="M1336" s="882"/>
      <c r="N1336" s="884"/>
      <c r="O1336" s="56">
        <v>723</v>
      </c>
      <c r="P1336" s="79">
        <f>+N1335-P1335</f>
        <v>0</v>
      </c>
    </row>
    <row r="1337" spans="1:16" ht="14.25" customHeight="1">
      <c r="A1337" s="919" t="e">
        <f>+A1335+1</f>
        <v>#REF!</v>
      </c>
      <c r="B1337" s="875">
        <v>42364</v>
      </c>
      <c r="C1337" s="877" t="s">
        <v>31</v>
      </c>
      <c r="D1337" s="877" t="s">
        <v>514</v>
      </c>
      <c r="E1337" s="881" t="s">
        <v>115</v>
      </c>
      <c r="F1337" s="883">
        <v>50000</v>
      </c>
      <c r="G1337" s="55">
        <v>719</v>
      </c>
      <c r="H1337" s="78">
        <v>50000</v>
      </c>
      <c r="I1337" s="881">
        <f>+I1335+1</f>
        <v>172</v>
      </c>
      <c r="J1337" s="875">
        <v>42723</v>
      </c>
      <c r="K1337" s="877" t="s">
        <v>120</v>
      </c>
      <c r="L1337" s="881" t="s">
        <v>1594</v>
      </c>
      <c r="M1337" s="881" t="s">
        <v>775</v>
      </c>
      <c r="N1337" s="883">
        <v>370000</v>
      </c>
      <c r="O1337" s="55">
        <v>719</v>
      </c>
      <c r="P1337" s="78">
        <v>370000</v>
      </c>
    </row>
    <row r="1338" spans="1:16" ht="12.75" customHeight="1" thickBot="1">
      <c r="A1338" s="920"/>
      <c r="B1338" s="876"/>
      <c r="C1338" s="878"/>
      <c r="D1338" s="878"/>
      <c r="E1338" s="882"/>
      <c r="F1338" s="884"/>
      <c r="G1338" s="56">
        <v>721</v>
      </c>
      <c r="H1338" s="79">
        <f>+F1337-H1337</f>
        <v>0</v>
      </c>
      <c r="I1338" s="882"/>
      <c r="J1338" s="876"/>
      <c r="K1338" s="878"/>
      <c r="L1338" s="882"/>
      <c r="M1338" s="882"/>
      <c r="N1338" s="884"/>
      <c r="O1338" s="56">
        <v>723</v>
      </c>
      <c r="P1338" s="79">
        <f>+N1337-P1337</f>
        <v>0</v>
      </c>
    </row>
    <row r="1339" spans="1:16" ht="14.25" customHeight="1" thickBot="1">
      <c r="A1339" s="919" t="e">
        <f>+A1337+1</f>
        <v>#REF!</v>
      </c>
      <c r="B1339" s="875">
        <v>42364</v>
      </c>
      <c r="C1339" s="877" t="s">
        <v>472</v>
      </c>
      <c r="D1339" s="877" t="s">
        <v>515</v>
      </c>
      <c r="E1339" s="881" t="s">
        <v>115</v>
      </c>
      <c r="F1339" s="883">
        <v>20000</v>
      </c>
      <c r="G1339" s="55">
        <v>719</v>
      </c>
      <c r="H1339" s="78">
        <v>20000</v>
      </c>
      <c r="I1339" s="901" t="s">
        <v>102</v>
      </c>
      <c r="J1339" s="902"/>
      <c r="K1339" s="902"/>
      <c r="L1339" s="902"/>
      <c r="M1339" s="903"/>
      <c r="N1339" s="81">
        <f>SUM(N1329:N1338)</f>
        <v>990000</v>
      </c>
    </row>
    <row r="1340" spans="1:16" ht="14.25" customHeight="1" thickBot="1">
      <c r="A1340" s="920"/>
      <c r="B1340" s="876"/>
      <c r="C1340" s="878"/>
      <c r="D1340" s="878"/>
      <c r="E1340" s="882"/>
      <c r="F1340" s="884"/>
      <c r="G1340" s="56">
        <v>721</v>
      </c>
      <c r="H1340" s="79">
        <f>+F1339-H1339</f>
        <v>0</v>
      </c>
      <c r="I1340" s="885" t="s">
        <v>103</v>
      </c>
      <c r="J1340" s="886"/>
      <c r="K1340" s="886"/>
      <c r="L1340" s="886"/>
      <c r="M1340" s="887"/>
      <c r="N1340" s="69">
        <f>+N1304</f>
        <v>557876881</v>
      </c>
      <c r="O1340" s="241" t="s">
        <v>561</v>
      </c>
      <c r="P1340" s="242">
        <f>754+171+406+173+423</f>
        <v>1927</v>
      </c>
    </row>
    <row r="1341" spans="1:16" ht="16.5" thickBot="1">
      <c r="A1341" s="901" t="s">
        <v>102</v>
      </c>
      <c r="B1341" s="902"/>
      <c r="C1341" s="902"/>
      <c r="D1341" s="902"/>
      <c r="E1341" s="903"/>
      <c r="F1341" s="81">
        <f>SUM(F1329:F1340)</f>
        <v>270000</v>
      </c>
      <c r="I1341" s="888" t="s">
        <v>104</v>
      </c>
      <c r="J1341" s="889"/>
      <c r="K1341" s="889"/>
      <c r="L1341" s="889"/>
      <c r="M1341" s="890"/>
      <c r="N1341" s="183">
        <f>SUM(N1339:N1340)</f>
        <v>558866881</v>
      </c>
    </row>
    <row r="1342" spans="1:16" ht="12.75" customHeight="1" thickBot="1">
      <c r="A1342" s="885" t="s">
        <v>103</v>
      </c>
      <c r="B1342" s="886"/>
      <c r="C1342" s="886"/>
      <c r="D1342" s="886"/>
      <c r="E1342" s="887"/>
      <c r="F1342" s="69">
        <f>+F1304</f>
        <v>659073254</v>
      </c>
      <c r="I1342" s="61"/>
      <c r="J1342" s="61"/>
      <c r="K1342" s="61"/>
      <c r="L1342" s="61"/>
      <c r="M1342" s="61"/>
    </row>
    <row r="1343" spans="1:16" ht="16.5" thickBot="1">
      <c r="A1343" s="888" t="s">
        <v>104</v>
      </c>
      <c r="B1343" s="889"/>
      <c r="C1343" s="889"/>
      <c r="D1343" s="889"/>
      <c r="E1343" s="890"/>
      <c r="F1343" s="183">
        <f>SUM(F1341:F1342)</f>
        <v>659343254</v>
      </c>
      <c r="I1343" s="51" t="s">
        <v>1599</v>
      </c>
    </row>
    <row r="1344" spans="1:16" ht="13.5" customHeight="1">
      <c r="A1344" s="61"/>
      <c r="B1344" s="61"/>
      <c r="C1344" s="61"/>
      <c r="D1344" s="61"/>
      <c r="E1344" s="61"/>
      <c r="N1344" s="139"/>
    </row>
    <row r="1345" spans="1:16">
      <c r="A1345" s="51" t="s">
        <v>516</v>
      </c>
      <c r="I1345" s="50" t="s">
        <v>105</v>
      </c>
      <c r="L1345" s="146"/>
      <c r="N1345" s="139"/>
    </row>
    <row r="1346" spans="1:16" ht="14.25" customHeight="1" thickBot="1">
      <c r="F1346" s="139"/>
    </row>
    <row r="1347" spans="1:16" ht="15.75" thickBot="1">
      <c r="A1347" s="50" t="s">
        <v>105</v>
      </c>
      <c r="D1347" s="146"/>
      <c r="F1347" s="139"/>
      <c r="I1347" s="891" t="s">
        <v>106</v>
      </c>
      <c r="J1347" s="892"/>
      <c r="K1347" s="892"/>
      <c r="L1347" s="893"/>
      <c r="N1347" s="50" t="s">
        <v>288</v>
      </c>
    </row>
    <row r="1348" spans="1:16" ht="28.5" customHeight="1" thickBot="1">
      <c r="I1348" s="57" t="s">
        <v>100</v>
      </c>
      <c r="J1348" s="58" t="s">
        <v>108</v>
      </c>
      <c r="K1348" s="287" t="s">
        <v>109</v>
      </c>
      <c r="L1348" s="60" t="s">
        <v>110</v>
      </c>
    </row>
    <row r="1349" spans="1:16" ht="15.75" thickBot="1">
      <c r="A1349" s="891" t="s">
        <v>106</v>
      </c>
      <c r="B1349" s="892"/>
      <c r="C1349" s="892"/>
      <c r="D1349" s="893"/>
      <c r="F1349" s="50" t="s">
        <v>288</v>
      </c>
      <c r="I1349" s="71">
        <v>719</v>
      </c>
      <c r="J1349" s="73">
        <f>+P1329+P1331+P1333+P1335+P1337</f>
        <v>990000</v>
      </c>
      <c r="K1349" s="74">
        <f>+L1312</f>
        <v>31260000</v>
      </c>
      <c r="L1349" s="195">
        <f>+J1349+K1349</f>
        <v>32250000</v>
      </c>
    </row>
    <row r="1350" spans="1:16" ht="14.25" customHeight="1" thickBot="1">
      <c r="A1350" s="57" t="s">
        <v>100</v>
      </c>
      <c r="B1350" s="58" t="s">
        <v>108</v>
      </c>
      <c r="C1350" s="59" t="s">
        <v>109</v>
      </c>
      <c r="D1350" s="60" t="s">
        <v>110</v>
      </c>
      <c r="I1350" s="72">
        <v>721</v>
      </c>
      <c r="J1350" s="80">
        <v>0</v>
      </c>
      <c r="K1350" s="74">
        <f>+L1313</f>
        <v>81826981</v>
      </c>
      <c r="L1350" s="195">
        <f>+J1350+K1350</f>
        <v>81826981</v>
      </c>
    </row>
    <row r="1351" spans="1:16" ht="13.5" customHeight="1">
      <c r="A1351" s="71">
        <v>719</v>
      </c>
      <c r="B1351" s="73">
        <f>+H1329+H1331+H13+H1333+H135345+H1335+H1339+H1337</f>
        <v>270000</v>
      </c>
      <c r="C1351" s="74" t="e">
        <f>+D1312</f>
        <v>#REF!</v>
      </c>
      <c r="D1351" s="195" t="e">
        <f>+B1351+C1351</f>
        <v>#REF!</v>
      </c>
      <c r="I1351" s="72">
        <v>722</v>
      </c>
      <c r="J1351" s="80"/>
      <c r="K1351" s="74">
        <f>+L1314</f>
        <v>42881706</v>
      </c>
      <c r="L1351" s="195">
        <f>+J1351+K1351</f>
        <v>42881706</v>
      </c>
    </row>
    <row r="1352" spans="1:16" ht="15.75">
      <c r="A1352" s="72">
        <v>721</v>
      </c>
      <c r="B1352" s="80">
        <f>(+H1340+H1336+H1334+H1332+H1330)</f>
        <v>0</v>
      </c>
      <c r="C1352" s="74" t="e">
        <f>+D1313</f>
        <v>#REF!</v>
      </c>
      <c r="D1352" s="195" t="e">
        <f>+B1352+C1352</f>
        <v>#REF!</v>
      </c>
      <c r="I1352" s="72">
        <v>723</v>
      </c>
      <c r="J1352" s="80"/>
      <c r="K1352" s="74">
        <f>+L1315</f>
        <v>401908194</v>
      </c>
      <c r="L1352" s="195">
        <f>+J1352+K1352</f>
        <v>401908194</v>
      </c>
      <c r="N1352" s="918" t="s">
        <v>1481</v>
      </c>
      <c r="O1352" s="918"/>
      <c r="P1352" s="918"/>
    </row>
    <row r="1353" spans="1:16" ht="16.5" thickBot="1">
      <c r="A1353" s="72">
        <v>722</v>
      </c>
      <c r="B1353" s="80"/>
      <c r="C1353" s="74">
        <f>+D1314</f>
        <v>231207671</v>
      </c>
      <c r="D1353" s="195">
        <f>+B1353+C1353</f>
        <v>231207671</v>
      </c>
      <c r="I1353" s="164" t="s">
        <v>181</v>
      </c>
      <c r="J1353" s="165"/>
      <c r="K1353" s="74">
        <f>+L1316</f>
        <v>0</v>
      </c>
      <c r="L1353" s="196">
        <f>+J1353+K1353</f>
        <v>0</v>
      </c>
      <c r="N1353" s="52"/>
    </row>
    <row r="1354" spans="1:16" ht="16.5" thickBot="1">
      <c r="A1354" s="72">
        <v>723</v>
      </c>
      <c r="B1354" s="80"/>
      <c r="C1354" s="74">
        <f>+D1315</f>
        <v>323193545</v>
      </c>
      <c r="D1354" s="195">
        <f>+B1354+C1354</f>
        <v>323193545</v>
      </c>
      <c r="F1354" s="174" t="s">
        <v>23</v>
      </c>
      <c r="G1354" s="175"/>
      <c r="I1354" s="169"/>
      <c r="J1354" s="197">
        <f>SUM(J1349:J1353)</f>
        <v>990000</v>
      </c>
      <c r="K1354" s="197">
        <f>SUM(K1349:K1353)</f>
        <v>557876881</v>
      </c>
      <c r="L1354" s="198">
        <f>SUM(L1349:L1353)</f>
        <v>558866881</v>
      </c>
    </row>
    <row r="1355" spans="1:16" ht="17.25" thickBot="1">
      <c r="A1355" s="164" t="s">
        <v>181</v>
      </c>
      <c r="B1355" s="165"/>
      <c r="C1355" s="74" t="e">
        <f>+D1316</f>
        <v>#REF!</v>
      </c>
      <c r="D1355" s="196" t="e">
        <f>+B1355+C1355</f>
        <v>#REF!</v>
      </c>
      <c r="F1355" s="52"/>
      <c r="I1355" s="49" t="s">
        <v>88</v>
      </c>
      <c r="J1355" s="50"/>
    </row>
    <row r="1356" spans="1:16" ht="16.5" thickBot="1">
      <c r="A1356" s="169"/>
      <c r="B1356" s="170">
        <f>SUM(B1351:B1355)</f>
        <v>270000</v>
      </c>
      <c r="C1356" s="171" t="e">
        <f>SUM(C1351:C1355)</f>
        <v>#REF!</v>
      </c>
      <c r="D1356" s="172" t="e">
        <f>SUM(D1351:D1355)</f>
        <v>#REF!</v>
      </c>
      <c r="I1356" s="51" t="s">
        <v>89</v>
      </c>
    </row>
    <row r="1357" spans="1:16" ht="16.5">
      <c r="A1357" s="49" t="s">
        <v>88</v>
      </c>
      <c r="B1357" s="50"/>
      <c r="I1357" s="51" t="s">
        <v>90</v>
      </c>
    </row>
    <row r="1358" spans="1:16">
      <c r="A1358" s="51" t="s">
        <v>89</v>
      </c>
      <c r="I1358" s="51" t="s">
        <v>91</v>
      </c>
    </row>
    <row r="1359" spans="1:16" ht="11.25" customHeight="1">
      <c r="A1359" s="51" t="s">
        <v>90</v>
      </c>
      <c r="I1359" s="50"/>
      <c r="J1359" s="50"/>
    </row>
    <row r="1360" spans="1:16" ht="16.5">
      <c r="A1360" s="51" t="s">
        <v>91</v>
      </c>
      <c r="I1360" s="260" t="s">
        <v>908</v>
      </c>
      <c r="O1360" s="52"/>
    </row>
    <row r="1361" spans="1:16" ht="12.75" customHeight="1">
      <c r="A1361" s="50"/>
      <c r="B1361" s="50"/>
      <c r="I1361" s="53" t="s">
        <v>1333</v>
      </c>
      <c r="O1361" s="53"/>
    </row>
    <row r="1362" spans="1:16" ht="16.5">
      <c r="A1362" s="52" t="s">
        <v>520</v>
      </c>
      <c r="G1362" s="52"/>
      <c r="I1362" s="894" t="s">
        <v>909</v>
      </c>
      <c r="J1362" s="894"/>
      <c r="K1362" s="894"/>
      <c r="L1362" s="894"/>
      <c r="M1362" s="894"/>
      <c r="N1362" s="894"/>
      <c r="O1362" s="894"/>
      <c r="P1362" s="894"/>
    </row>
    <row r="1363" spans="1:16" ht="16.5" thickBot="1">
      <c r="A1363" s="53" t="s">
        <v>92</v>
      </c>
      <c r="G1363" s="53"/>
    </row>
    <row r="1364" spans="1:16" ht="16.5">
      <c r="A1364" s="894" t="s">
        <v>261</v>
      </c>
      <c r="B1364" s="894"/>
      <c r="C1364" s="894"/>
      <c r="D1364" s="894"/>
      <c r="E1364" s="894"/>
      <c r="F1364" s="894"/>
      <c r="G1364" s="894"/>
      <c r="H1364" s="894"/>
      <c r="I1364" s="895" t="s">
        <v>94</v>
      </c>
      <c r="J1364" s="897" t="s">
        <v>95</v>
      </c>
      <c r="K1364" s="897" t="s">
        <v>96</v>
      </c>
      <c r="L1364" s="897" t="s">
        <v>3</v>
      </c>
      <c r="M1364" s="897" t="s">
        <v>97</v>
      </c>
      <c r="N1364" s="897" t="s">
        <v>98</v>
      </c>
      <c r="O1364" s="897" t="s">
        <v>99</v>
      </c>
      <c r="P1364" s="899"/>
    </row>
    <row r="1365" spans="1:16" ht="15.75" thickBot="1">
      <c r="I1365" s="896"/>
      <c r="J1365" s="898"/>
      <c r="K1365" s="898"/>
      <c r="L1365" s="898"/>
      <c r="M1365" s="898"/>
      <c r="N1365" s="898"/>
      <c r="O1365" s="240" t="s">
        <v>100</v>
      </c>
      <c r="P1365" s="182" t="s">
        <v>101</v>
      </c>
    </row>
    <row r="1366" spans="1:16" ht="15" customHeight="1">
      <c r="A1366" s="895" t="s">
        <v>94</v>
      </c>
      <c r="B1366" s="897" t="s">
        <v>95</v>
      </c>
      <c r="C1366" s="897" t="s">
        <v>96</v>
      </c>
      <c r="D1366" s="897" t="s">
        <v>3</v>
      </c>
      <c r="E1366" s="897" t="s">
        <v>97</v>
      </c>
      <c r="F1366" s="897" t="s">
        <v>98</v>
      </c>
      <c r="G1366" s="897" t="s">
        <v>99</v>
      </c>
      <c r="H1366" s="899"/>
      <c r="I1366" s="873" t="s">
        <v>1595</v>
      </c>
      <c r="J1366" s="875">
        <v>42723</v>
      </c>
      <c r="K1366" s="877" t="s">
        <v>472</v>
      </c>
      <c r="L1366" s="881" t="s">
        <v>1524</v>
      </c>
      <c r="M1366" s="881" t="s">
        <v>148</v>
      </c>
      <c r="N1366" s="883">
        <v>507000</v>
      </c>
      <c r="O1366" s="55">
        <v>719</v>
      </c>
      <c r="P1366" s="78">
        <v>390000</v>
      </c>
    </row>
    <row r="1367" spans="1:16" ht="15.75" customHeight="1" thickBot="1">
      <c r="A1367" s="896"/>
      <c r="B1367" s="898"/>
      <c r="C1367" s="898"/>
      <c r="D1367" s="898"/>
      <c r="E1367" s="898"/>
      <c r="F1367" s="898"/>
      <c r="G1367" s="240" t="s">
        <v>100</v>
      </c>
      <c r="H1367" s="182" t="s">
        <v>101</v>
      </c>
      <c r="I1367" s="874"/>
      <c r="J1367" s="876"/>
      <c r="K1367" s="878"/>
      <c r="L1367" s="882"/>
      <c r="M1367" s="882"/>
      <c r="N1367" s="884"/>
      <c r="O1367" s="56">
        <v>721</v>
      </c>
      <c r="P1367" s="79">
        <f>+N1366-P1366</f>
        <v>117000</v>
      </c>
    </row>
    <row r="1368" spans="1:16" ht="15" customHeight="1">
      <c r="A1368" s="919" t="e">
        <f>+A1339+1</f>
        <v>#REF!</v>
      </c>
      <c r="B1368" s="875">
        <v>42369</v>
      </c>
      <c r="C1368" s="877" t="s">
        <v>31</v>
      </c>
      <c r="D1368" s="877" t="s">
        <v>523</v>
      </c>
      <c r="E1368" s="881" t="s">
        <v>115</v>
      </c>
      <c r="F1368" s="883">
        <v>180000</v>
      </c>
      <c r="G1368" s="55">
        <v>719</v>
      </c>
      <c r="H1368" s="78">
        <v>180000</v>
      </c>
      <c r="I1368" s="881">
        <f>+I1366+1</f>
        <v>174</v>
      </c>
      <c r="J1368" s="875">
        <v>42723</v>
      </c>
      <c r="K1368" s="877" t="s">
        <v>472</v>
      </c>
      <c r="L1368" s="881" t="s">
        <v>913</v>
      </c>
      <c r="M1368" s="881" t="s">
        <v>148</v>
      </c>
      <c r="N1368" s="883">
        <v>312000</v>
      </c>
      <c r="O1368" s="55">
        <v>719</v>
      </c>
      <c r="P1368" s="78">
        <v>240000</v>
      </c>
    </row>
    <row r="1369" spans="1:16" ht="15.75" customHeight="1" thickBot="1">
      <c r="A1369" s="920"/>
      <c r="B1369" s="876"/>
      <c r="C1369" s="878"/>
      <c r="D1369" s="878"/>
      <c r="E1369" s="882"/>
      <c r="F1369" s="884"/>
      <c r="G1369" s="56">
        <v>721</v>
      </c>
      <c r="H1369" s="79">
        <f>+F1368-H1368</f>
        <v>0</v>
      </c>
      <c r="I1369" s="882"/>
      <c r="J1369" s="876"/>
      <c r="K1369" s="878"/>
      <c r="L1369" s="882"/>
      <c r="M1369" s="882"/>
      <c r="N1369" s="884"/>
      <c r="O1369" s="56">
        <v>721</v>
      </c>
      <c r="P1369" s="79">
        <f>+N1368-P1368</f>
        <v>72000</v>
      </c>
    </row>
    <row r="1370" spans="1:16" ht="15" customHeight="1">
      <c r="A1370" s="919" t="e">
        <f>+A1368+1</f>
        <v>#REF!</v>
      </c>
      <c r="B1370" s="875">
        <v>42369</v>
      </c>
      <c r="C1370" s="877" t="s">
        <v>472</v>
      </c>
      <c r="D1370" s="877" t="s">
        <v>524</v>
      </c>
      <c r="E1370" s="881" t="s">
        <v>115</v>
      </c>
      <c r="F1370" s="883">
        <v>40000</v>
      </c>
      <c r="G1370" s="55">
        <v>719</v>
      </c>
      <c r="H1370" s="78">
        <v>40000</v>
      </c>
      <c r="I1370" s="881">
        <f>+I1368+1</f>
        <v>175</v>
      </c>
      <c r="J1370" s="875">
        <v>42723</v>
      </c>
      <c r="K1370" s="877" t="s">
        <v>472</v>
      </c>
      <c r="L1370" s="881" t="s">
        <v>914</v>
      </c>
      <c r="M1370" s="881" t="s">
        <v>148</v>
      </c>
      <c r="N1370" s="883">
        <v>338000</v>
      </c>
      <c r="O1370" s="55">
        <v>719</v>
      </c>
      <c r="P1370" s="78">
        <v>260000</v>
      </c>
    </row>
    <row r="1371" spans="1:16" ht="15.75" customHeight="1" thickBot="1">
      <c r="A1371" s="920"/>
      <c r="B1371" s="876"/>
      <c r="C1371" s="878"/>
      <c r="D1371" s="878"/>
      <c r="E1371" s="882"/>
      <c r="F1371" s="884"/>
      <c r="G1371" s="56">
        <v>721</v>
      </c>
      <c r="H1371" s="79">
        <f>+F1370-H1370</f>
        <v>0</v>
      </c>
      <c r="I1371" s="882"/>
      <c r="J1371" s="876"/>
      <c r="K1371" s="878"/>
      <c r="L1371" s="882"/>
      <c r="M1371" s="882"/>
      <c r="N1371" s="884"/>
      <c r="O1371" s="56">
        <v>721</v>
      </c>
      <c r="P1371" s="79">
        <f>+N1370-P1370</f>
        <v>78000</v>
      </c>
    </row>
    <row r="1372" spans="1:16" ht="11.25" customHeight="1">
      <c r="A1372" s="919" t="e">
        <f>+A1370+1</f>
        <v>#REF!</v>
      </c>
      <c r="B1372" s="875">
        <v>42369</v>
      </c>
      <c r="C1372" s="877" t="s">
        <v>32</v>
      </c>
      <c r="D1372" s="877" t="s">
        <v>521</v>
      </c>
      <c r="E1372" s="881" t="s">
        <v>115</v>
      </c>
      <c r="F1372" s="883">
        <v>40000</v>
      </c>
      <c r="G1372" s="55">
        <v>719</v>
      </c>
      <c r="H1372" s="78">
        <v>40000</v>
      </c>
      <c r="I1372" s="881"/>
      <c r="J1372" s="875"/>
      <c r="K1372" s="877"/>
      <c r="L1372" s="881"/>
      <c r="M1372" s="881"/>
      <c r="N1372" s="883"/>
      <c r="O1372" s="55">
        <v>719</v>
      </c>
      <c r="P1372" s="78"/>
    </row>
    <row r="1373" spans="1:16" ht="13.5" customHeight="1" thickBot="1">
      <c r="A1373" s="920"/>
      <c r="B1373" s="876"/>
      <c r="C1373" s="878"/>
      <c r="D1373" s="878"/>
      <c r="E1373" s="882"/>
      <c r="F1373" s="884"/>
      <c r="G1373" s="56">
        <v>721</v>
      </c>
      <c r="H1373" s="79">
        <f>+F1372-H1372</f>
        <v>0</v>
      </c>
      <c r="I1373" s="882"/>
      <c r="J1373" s="876"/>
      <c r="K1373" s="878"/>
      <c r="L1373" s="882"/>
      <c r="M1373" s="882"/>
      <c r="N1373" s="884"/>
      <c r="O1373" s="56">
        <v>721</v>
      </c>
      <c r="P1373" s="79">
        <f>+N1372-P1372</f>
        <v>0</v>
      </c>
    </row>
    <row r="1374" spans="1:16" ht="12.75" customHeight="1">
      <c r="A1374" s="919" t="e">
        <f>+A1372+1</f>
        <v>#REF!</v>
      </c>
      <c r="B1374" s="875">
        <v>42369</v>
      </c>
      <c r="C1374" s="877" t="s">
        <v>120</v>
      </c>
      <c r="D1374" s="877" t="s">
        <v>522</v>
      </c>
      <c r="E1374" s="881" t="s">
        <v>115</v>
      </c>
      <c r="F1374" s="883">
        <v>20000</v>
      </c>
      <c r="G1374" s="55">
        <v>719</v>
      </c>
      <c r="H1374" s="78">
        <v>20000</v>
      </c>
      <c r="I1374" s="881"/>
      <c r="J1374" s="875"/>
      <c r="K1374" s="877"/>
      <c r="L1374" s="881"/>
      <c r="M1374" s="881"/>
      <c r="N1374" s="883"/>
      <c r="O1374" s="55">
        <v>719</v>
      </c>
      <c r="P1374" s="78"/>
    </row>
    <row r="1375" spans="1:16" ht="12.75" customHeight="1" thickBot="1">
      <c r="A1375" s="920"/>
      <c r="B1375" s="876"/>
      <c r="C1375" s="878"/>
      <c r="D1375" s="878"/>
      <c r="E1375" s="882"/>
      <c r="F1375" s="884"/>
      <c r="G1375" s="56">
        <v>721</v>
      </c>
      <c r="H1375" s="79">
        <f>+F1374-H1374</f>
        <v>0</v>
      </c>
      <c r="I1375" s="882"/>
      <c r="J1375" s="876"/>
      <c r="K1375" s="878"/>
      <c r="L1375" s="882"/>
      <c r="M1375" s="882"/>
      <c r="N1375" s="884"/>
      <c r="O1375" s="56">
        <v>721</v>
      </c>
      <c r="P1375" s="79">
        <f>+N1374-P1374</f>
        <v>0</v>
      </c>
    </row>
    <row r="1376" spans="1:16" ht="15" customHeight="1" thickBot="1">
      <c r="A1376" s="919"/>
      <c r="B1376" s="875"/>
      <c r="C1376" s="877"/>
      <c r="D1376" s="877"/>
      <c r="E1376" s="881"/>
      <c r="F1376" s="883"/>
      <c r="G1376" s="55">
        <v>719</v>
      </c>
      <c r="H1376" s="78"/>
      <c r="I1376" s="901" t="s">
        <v>102</v>
      </c>
      <c r="J1376" s="902"/>
      <c r="K1376" s="902"/>
      <c r="L1376" s="902"/>
      <c r="M1376" s="903"/>
      <c r="N1376" s="81">
        <f>SUM(N1366:N1375)</f>
        <v>1157000</v>
      </c>
    </row>
    <row r="1377" spans="1:16" ht="15.75" customHeight="1" thickBot="1">
      <c r="A1377" s="920"/>
      <c r="B1377" s="876"/>
      <c r="C1377" s="878"/>
      <c r="D1377" s="878"/>
      <c r="E1377" s="882"/>
      <c r="F1377" s="884"/>
      <c r="G1377" s="56">
        <v>721</v>
      </c>
      <c r="H1377" s="79">
        <f>+F1376-H1376</f>
        <v>0</v>
      </c>
      <c r="I1377" s="885" t="s">
        <v>103</v>
      </c>
      <c r="J1377" s="886"/>
      <c r="K1377" s="886"/>
      <c r="L1377" s="886"/>
      <c r="M1377" s="887"/>
      <c r="N1377" s="69">
        <f>+N1341</f>
        <v>558866881</v>
      </c>
      <c r="O1377" s="241" t="s">
        <v>561</v>
      </c>
      <c r="P1377" s="242">
        <f>753+65+288</f>
        <v>1106</v>
      </c>
    </row>
    <row r="1378" spans="1:16" ht="15" customHeight="1" thickBot="1">
      <c r="A1378" s="901" t="s">
        <v>102</v>
      </c>
      <c r="B1378" s="902"/>
      <c r="C1378" s="902"/>
      <c r="D1378" s="902"/>
      <c r="E1378" s="903"/>
      <c r="F1378" s="81">
        <f>SUM(F1368:F1377)</f>
        <v>280000</v>
      </c>
      <c r="I1378" s="888" t="s">
        <v>104</v>
      </c>
      <c r="J1378" s="889"/>
      <c r="K1378" s="889"/>
      <c r="L1378" s="889"/>
      <c r="M1378" s="890"/>
      <c r="N1378" s="183">
        <f>SUM(N1376:N1377)</f>
        <v>560023881</v>
      </c>
    </row>
    <row r="1379" spans="1:16" ht="15.75" customHeight="1" thickBot="1">
      <c r="A1379" s="885" t="s">
        <v>103</v>
      </c>
      <c r="B1379" s="886"/>
      <c r="C1379" s="886"/>
      <c r="D1379" s="886"/>
      <c r="E1379" s="887"/>
      <c r="F1379" s="69">
        <f>+F1343</f>
        <v>659343254</v>
      </c>
      <c r="I1379" s="61"/>
      <c r="J1379" s="61"/>
      <c r="K1379" s="61"/>
      <c r="L1379" s="61"/>
      <c r="M1379" s="61"/>
    </row>
    <row r="1380" spans="1:16" ht="16.5" thickBot="1">
      <c r="A1380" s="888" t="s">
        <v>104</v>
      </c>
      <c r="B1380" s="889"/>
      <c r="C1380" s="889"/>
      <c r="D1380" s="889"/>
      <c r="E1380" s="890"/>
      <c r="F1380" s="183">
        <f>SUM(F1378:F1379)</f>
        <v>659623254</v>
      </c>
      <c r="I1380" s="51" t="s">
        <v>1596</v>
      </c>
    </row>
    <row r="1381" spans="1:16" ht="12" customHeight="1">
      <c r="A1381" s="61"/>
      <c r="B1381" s="61"/>
      <c r="C1381" s="61"/>
      <c r="D1381" s="61"/>
      <c r="E1381" s="61"/>
      <c r="N1381" s="139"/>
    </row>
    <row r="1382" spans="1:16">
      <c r="A1382" s="51" t="s">
        <v>525</v>
      </c>
      <c r="I1382" s="50" t="s">
        <v>105</v>
      </c>
      <c r="L1382" s="146"/>
      <c r="N1382" s="139"/>
    </row>
    <row r="1383" spans="1:16" ht="14.25" customHeight="1" thickBot="1">
      <c r="F1383" s="139"/>
    </row>
    <row r="1384" spans="1:16" ht="15.75" thickBot="1">
      <c r="A1384" s="50" t="s">
        <v>105</v>
      </c>
      <c r="D1384" s="146"/>
      <c r="F1384" s="139"/>
      <c r="I1384" s="891" t="s">
        <v>106</v>
      </c>
      <c r="J1384" s="892"/>
      <c r="K1384" s="892"/>
      <c r="L1384" s="893"/>
      <c r="N1384" s="50" t="s">
        <v>288</v>
      </c>
    </row>
    <row r="1385" spans="1:16" ht="11.25" customHeight="1" thickBot="1">
      <c r="I1385" s="57" t="s">
        <v>100</v>
      </c>
      <c r="J1385" s="58" t="s">
        <v>108</v>
      </c>
      <c r="K1385" s="287" t="s">
        <v>109</v>
      </c>
      <c r="L1385" s="60" t="s">
        <v>110</v>
      </c>
    </row>
    <row r="1386" spans="1:16" ht="15.75" thickBot="1">
      <c r="A1386" s="891" t="s">
        <v>106</v>
      </c>
      <c r="B1386" s="892"/>
      <c r="C1386" s="892"/>
      <c r="D1386" s="893"/>
      <c r="F1386" s="50" t="s">
        <v>288</v>
      </c>
      <c r="I1386" s="71">
        <v>719</v>
      </c>
      <c r="J1386" s="73">
        <f>+P1366+P1368+P1370+P1372+P1374</f>
        <v>890000</v>
      </c>
      <c r="K1386" s="74">
        <f>+L1349</f>
        <v>32250000</v>
      </c>
      <c r="L1386" s="195">
        <f>+J1386+K1386</f>
        <v>33140000</v>
      </c>
    </row>
    <row r="1387" spans="1:16" ht="12.75" customHeight="1" thickBot="1">
      <c r="A1387" s="57" t="s">
        <v>100</v>
      </c>
      <c r="B1387" s="58" t="s">
        <v>108</v>
      </c>
      <c r="C1387" s="59" t="s">
        <v>109</v>
      </c>
      <c r="D1387" s="60" t="s">
        <v>110</v>
      </c>
      <c r="I1387" s="72">
        <v>721</v>
      </c>
      <c r="J1387" s="80">
        <f>+P1367+P1369+P1371</f>
        <v>267000</v>
      </c>
      <c r="K1387" s="74">
        <f>+L1350</f>
        <v>81826981</v>
      </c>
      <c r="L1387" s="195">
        <f>+J1387+K1387</f>
        <v>82093981</v>
      </c>
    </row>
    <row r="1388" spans="1:16">
      <c r="A1388" s="71">
        <v>719</v>
      </c>
      <c r="B1388" s="73">
        <f>+H1368+H1370+H1372+H1374+H1376</f>
        <v>280000</v>
      </c>
      <c r="C1388" s="74" t="e">
        <f>+D1351</f>
        <v>#REF!</v>
      </c>
      <c r="D1388" s="195" t="e">
        <f>+B1388+C1388</f>
        <v>#REF!</v>
      </c>
      <c r="I1388" s="72">
        <v>722</v>
      </c>
      <c r="J1388" s="80"/>
      <c r="K1388" s="74">
        <f>+L1351</f>
        <v>42881706</v>
      </c>
      <c r="L1388" s="195">
        <f>+J1388+K1388</f>
        <v>42881706</v>
      </c>
    </row>
    <row r="1389" spans="1:16" ht="15.75">
      <c r="A1389" s="72">
        <v>721</v>
      </c>
      <c r="B1389" s="80">
        <f>(+H1377+H1375+H1373+H1371+H1369)</f>
        <v>0</v>
      </c>
      <c r="C1389" s="74" t="e">
        <f>+D1352</f>
        <v>#REF!</v>
      </c>
      <c r="D1389" s="195" t="e">
        <f>+B1389+C1389</f>
        <v>#REF!</v>
      </c>
      <c r="I1389" s="72">
        <v>723</v>
      </c>
      <c r="J1389" s="80"/>
      <c r="K1389" s="74">
        <f>+L1352</f>
        <v>401908194</v>
      </c>
      <c r="L1389" s="195">
        <f>+J1389+K1389</f>
        <v>401908194</v>
      </c>
      <c r="N1389" s="918" t="s">
        <v>1481</v>
      </c>
      <c r="O1389" s="918"/>
      <c r="P1389" s="918"/>
    </row>
    <row r="1390" spans="1:16" ht="16.5" thickBot="1">
      <c r="A1390" s="72">
        <v>722</v>
      </c>
      <c r="B1390" s="80"/>
      <c r="C1390" s="74">
        <f>+D1353</f>
        <v>231207671</v>
      </c>
      <c r="D1390" s="195">
        <f>+B1390+C1390</f>
        <v>231207671</v>
      </c>
      <c r="I1390" s="164" t="s">
        <v>181</v>
      </c>
      <c r="J1390" s="165"/>
      <c r="K1390" s="74">
        <f>+L1353</f>
        <v>0</v>
      </c>
      <c r="L1390" s="196">
        <f>+J1390+K1390</f>
        <v>0</v>
      </c>
      <c r="N1390" s="52"/>
    </row>
    <row r="1391" spans="1:16" ht="16.5" thickBot="1">
      <c r="A1391" s="72">
        <v>723</v>
      </c>
      <c r="B1391" s="80"/>
      <c r="C1391" s="74">
        <f>+D1354</f>
        <v>323193545</v>
      </c>
      <c r="D1391" s="195">
        <f>+B1391+C1391</f>
        <v>323193545</v>
      </c>
      <c r="F1391" s="174" t="s">
        <v>23</v>
      </c>
      <c r="G1391" s="175"/>
      <c r="I1391" s="169"/>
      <c r="J1391" s="197">
        <f>SUM(J1386:J1390)</f>
        <v>1157000</v>
      </c>
      <c r="K1391" s="197">
        <f>SUM(K1386:K1390)</f>
        <v>558866881</v>
      </c>
      <c r="L1391" s="198">
        <f>SUM(L1386:L1390)</f>
        <v>560023881</v>
      </c>
    </row>
    <row r="1392" spans="1:16" ht="17.25" thickBot="1">
      <c r="A1392" s="164" t="s">
        <v>181</v>
      </c>
      <c r="B1392" s="165"/>
      <c r="C1392" s="74" t="e">
        <f>+D1355</f>
        <v>#REF!</v>
      </c>
      <c r="D1392" s="196" t="e">
        <f>+B1392+C1392</f>
        <v>#REF!</v>
      </c>
      <c r="F1392" s="52"/>
      <c r="I1392" s="49" t="s">
        <v>88</v>
      </c>
      <c r="J1392" s="50"/>
    </row>
    <row r="1393" spans="1:16" ht="16.5" thickBot="1">
      <c r="A1393" s="169"/>
      <c r="B1393" s="170">
        <f>SUM(B1388:B1392)</f>
        <v>280000</v>
      </c>
      <c r="C1393" s="171" t="e">
        <f>SUM(C1388:C1392)</f>
        <v>#REF!</v>
      </c>
      <c r="D1393" s="172" t="e">
        <f>SUM(D1388:D1392)</f>
        <v>#REF!</v>
      </c>
      <c r="I1393" s="51" t="s">
        <v>89</v>
      </c>
    </row>
    <row r="1394" spans="1:16" ht="16.5">
      <c r="A1394" s="49" t="s">
        <v>88</v>
      </c>
      <c r="B1394" s="50"/>
      <c r="I1394" s="51" t="s">
        <v>90</v>
      </c>
    </row>
    <row r="1395" spans="1:16">
      <c r="A1395" s="51" t="s">
        <v>89</v>
      </c>
      <c r="I1395" s="51" t="s">
        <v>91</v>
      </c>
    </row>
    <row r="1396" spans="1:16">
      <c r="A1396" s="51" t="s">
        <v>90</v>
      </c>
      <c r="I1396" s="50"/>
      <c r="J1396" s="50"/>
    </row>
    <row r="1397" spans="1:16" ht="16.5">
      <c r="A1397" s="51" t="s">
        <v>91</v>
      </c>
      <c r="I1397" s="260" t="s">
        <v>917</v>
      </c>
      <c r="O1397" s="52"/>
    </row>
    <row r="1398" spans="1:16" ht="15" customHeight="1">
      <c r="A1398" s="50"/>
      <c r="B1398" s="50"/>
      <c r="I1398" s="53" t="s">
        <v>1333</v>
      </c>
      <c r="O1398" s="53"/>
    </row>
    <row r="1399" spans="1:16" ht="16.5">
      <c r="A1399" s="52" t="s">
        <v>528</v>
      </c>
      <c r="G1399" s="52"/>
      <c r="I1399" s="894" t="s">
        <v>1600</v>
      </c>
      <c r="J1399" s="894"/>
      <c r="K1399" s="894"/>
      <c r="L1399" s="894"/>
      <c r="M1399" s="894"/>
      <c r="N1399" s="894"/>
      <c r="O1399" s="894"/>
      <c r="P1399" s="894"/>
    </row>
    <row r="1400" spans="1:16" ht="12" customHeight="1" thickBot="1">
      <c r="A1400" s="53" t="s">
        <v>92</v>
      </c>
      <c r="G1400" s="53"/>
    </row>
    <row r="1401" spans="1:16" ht="16.5">
      <c r="A1401" s="894" t="s">
        <v>261</v>
      </c>
      <c r="B1401" s="894"/>
      <c r="C1401" s="894"/>
      <c r="D1401" s="894"/>
      <c r="E1401" s="894"/>
      <c r="F1401" s="894"/>
      <c r="G1401" s="894"/>
      <c r="H1401" s="894"/>
      <c r="I1401" s="895" t="s">
        <v>94</v>
      </c>
      <c r="J1401" s="897" t="s">
        <v>95</v>
      </c>
      <c r="K1401" s="897" t="s">
        <v>96</v>
      </c>
      <c r="L1401" s="897" t="s">
        <v>3</v>
      </c>
      <c r="M1401" s="897" t="s">
        <v>97</v>
      </c>
      <c r="N1401" s="897" t="s">
        <v>98</v>
      </c>
      <c r="O1401" s="897" t="s">
        <v>99</v>
      </c>
      <c r="P1401" s="899"/>
    </row>
    <row r="1402" spans="1:16" ht="15.75" thickBot="1">
      <c r="I1402" s="896"/>
      <c r="J1402" s="898"/>
      <c r="K1402" s="898"/>
      <c r="L1402" s="898"/>
      <c r="M1402" s="898"/>
      <c r="N1402" s="898"/>
      <c r="O1402" s="240" t="s">
        <v>100</v>
      </c>
      <c r="P1402" s="182" t="s">
        <v>101</v>
      </c>
    </row>
    <row r="1403" spans="1:16" ht="13.5" customHeight="1">
      <c r="A1403" s="895" t="s">
        <v>94</v>
      </c>
      <c r="B1403" s="897" t="s">
        <v>95</v>
      </c>
      <c r="C1403" s="897" t="s">
        <v>96</v>
      </c>
      <c r="D1403" s="897" t="s">
        <v>3</v>
      </c>
      <c r="E1403" s="897" t="s">
        <v>97</v>
      </c>
      <c r="F1403" s="897" t="s">
        <v>98</v>
      </c>
      <c r="G1403" s="897" t="s">
        <v>99</v>
      </c>
      <c r="H1403" s="899"/>
      <c r="I1403" s="873" t="s">
        <v>1526</v>
      </c>
      <c r="J1403" s="875">
        <v>43088</v>
      </c>
      <c r="K1403" s="877" t="s">
        <v>472</v>
      </c>
      <c r="L1403" s="881" t="s">
        <v>1522</v>
      </c>
      <c r="M1403" s="881" t="s">
        <v>148</v>
      </c>
      <c r="N1403" s="883">
        <v>-637000</v>
      </c>
      <c r="O1403" s="55">
        <v>719</v>
      </c>
      <c r="P1403" s="78">
        <v>-490000</v>
      </c>
    </row>
    <row r="1404" spans="1:16" ht="12.75" customHeight="1" thickBot="1">
      <c r="A1404" s="896"/>
      <c r="B1404" s="898"/>
      <c r="C1404" s="898"/>
      <c r="D1404" s="898"/>
      <c r="E1404" s="898"/>
      <c r="F1404" s="898"/>
      <c r="G1404" s="240" t="s">
        <v>100</v>
      </c>
      <c r="H1404" s="182" t="s">
        <v>101</v>
      </c>
      <c r="I1404" s="874"/>
      <c r="J1404" s="876"/>
      <c r="K1404" s="878"/>
      <c r="L1404" s="882"/>
      <c r="M1404" s="882"/>
      <c r="N1404" s="884"/>
      <c r="O1404" s="56">
        <v>721</v>
      </c>
      <c r="P1404" s="79">
        <f>+N1403-P1403</f>
        <v>-147000</v>
      </c>
    </row>
    <row r="1405" spans="1:16" ht="13.5" customHeight="1">
      <c r="A1405" s="919" t="e">
        <f>+A1374+1</f>
        <v>#REF!</v>
      </c>
      <c r="B1405" s="875">
        <v>42369</v>
      </c>
      <c r="C1405" s="877" t="s">
        <v>267</v>
      </c>
      <c r="D1405" s="877" t="s">
        <v>526</v>
      </c>
      <c r="E1405" s="881" t="s">
        <v>148</v>
      </c>
      <c r="F1405" s="883">
        <v>224000</v>
      </c>
      <c r="G1405" s="55">
        <v>719</v>
      </c>
      <c r="H1405" s="78">
        <v>160000</v>
      </c>
      <c r="I1405" s="873" t="s">
        <v>1603</v>
      </c>
      <c r="J1405" s="875">
        <v>43088</v>
      </c>
      <c r="K1405" s="877" t="s">
        <v>472</v>
      </c>
      <c r="L1405" s="881" t="s">
        <v>1590</v>
      </c>
      <c r="M1405" s="881" t="s">
        <v>148</v>
      </c>
      <c r="N1405" s="883">
        <v>-572000</v>
      </c>
      <c r="O1405" s="55">
        <v>719</v>
      </c>
      <c r="P1405" s="78">
        <v>-440000</v>
      </c>
    </row>
    <row r="1406" spans="1:16" ht="13.5" customHeight="1" thickBot="1">
      <c r="A1406" s="920"/>
      <c r="B1406" s="876"/>
      <c r="C1406" s="878"/>
      <c r="D1406" s="878"/>
      <c r="E1406" s="882"/>
      <c r="F1406" s="884"/>
      <c r="G1406" s="56">
        <v>721</v>
      </c>
      <c r="H1406" s="79">
        <f>+F1405-H1405</f>
        <v>64000</v>
      </c>
      <c r="I1406" s="874"/>
      <c r="J1406" s="876"/>
      <c r="K1406" s="878"/>
      <c r="L1406" s="882"/>
      <c r="M1406" s="882"/>
      <c r="N1406" s="884"/>
      <c r="O1406" s="56">
        <v>723</v>
      </c>
      <c r="P1406" s="79">
        <f>+N1405-P1405</f>
        <v>-132000</v>
      </c>
    </row>
    <row r="1407" spans="1:16" ht="12.75" customHeight="1">
      <c r="A1407" s="919" t="e">
        <f>+A1405+1</f>
        <v>#REF!</v>
      </c>
      <c r="B1407" s="875">
        <v>42369</v>
      </c>
      <c r="C1407" s="881" t="s">
        <v>28</v>
      </c>
      <c r="D1407" s="877" t="s">
        <v>526</v>
      </c>
      <c r="E1407" s="881" t="s">
        <v>148</v>
      </c>
      <c r="F1407" s="883">
        <v>224000</v>
      </c>
      <c r="G1407" s="55">
        <v>719</v>
      </c>
      <c r="H1407" s="78">
        <v>160000</v>
      </c>
      <c r="I1407" s="873" t="s">
        <v>1604</v>
      </c>
      <c r="J1407" s="875">
        <v>43088</v>
      </c>
      <c r="K1407" s="877" t="s">
        <v>472</v>
      </c>
      <c r="L1407" s="881" t="s">
        <v>1507</v>
      </c>
      <c r="M1407" s="881" t="s">
        <v>148</v>
      </c>
      <c r="N1407" s="883">
        <v>-481000</v>
      </c>
      <c r="O1407" s="55">
        <v>719</v>
      </c>
      <c r="P1407" s="78">
        <v>-370000</v>
      </c>
    </row>
    <row r="1408" spans="1:16" ht="14.25" customHeight="1" thickBot="1">
      <c r="A1408" s="920"/>
      <c r="B1408" s="876"/>
      <c r="C1408" s="882"/>
      <c r="D1408" s="878"/>
      <c r="E1408" s="882"/>
      <c r="F1408" s="884"/>
      <c r="G1408" s="56">
        <v>721</v>
      </c>
      <c r="H1408" s="79">
        <f>+F1407-H1407</f>
        <v>64000</v>
      </c>
      <c r="I1408" s="874"/>
      <c r="J1408" s="876"/>
      <c r="K1408" s="878"/>
      <c r="L1408" s="882"/>
      <c r="M1408" s="882"/>
      <c r="N1408" s="884"/>
      <c r="O1408" s="56">
        <v>723</v>
      </c>
      <c r="P1408" s="79">
        <f>+N1407-P1407</f>
        <v>-111000</v>
      </c>
    </row>
    <row r="1409" spans="1:16" ht="12.75" customHeight="1">
      <c r="A1409" s="919" t="e">
        <f>+A1407+1</f>
        <v>#REF!</v>
      </c>
      <c r="B1409" s="875">
        <v>42369</v>
      </c>
      <c r="C1409" s="877" t="s">
        <v>32</v>
      </c>
      <c r="D1409" s="877" t="s">
        <v>521</v>
      </c>
      <c r="E1409" s="881" t="s">
        <v>148</v>
      </c>
      <c r="F1409" s="883">
        <v>154000</v>
      </c>
      <c r="G1409" s="55">
        <v>719</v>
      </c>
      <c r="H1409" s="78">
        <v>110000</v>
      </c>
      <c r="I1409" s="873" t="s">
        <v>1605</v>
      </c>
      <c r="J1409" s="875">
        <v>43088</v>
      </c>
      <c r="K1409" s="877" t="s">
        <v>472</v>
      </c>
      <c r="L1409" s="881" t="s">
        <v>1506</v>
      </c>
      <c r="M1409" s="881" t="s">
        <v>148</v>
      </c>
      <c r="N1409" s="883">
        <v>-403000</v>
      </c>
      <c r="O1409" s="55">
        <v>719</v>
      </c>
      <c r="P1409" s="78">
        <v>-310000</v>
      </c>
    </row>
    <row r="1410" spans="1:16" ht="12.75" customHeight="1" thickBot="1">
      <c r="A1410" s="920"/>
      <c r="B1410" s="876"/>
      <c r="C1410" s="878"/>
      <c r="D1410" s="878"/>
      <c r="E1410" s="882"/>
      <c r="F1410" s="884"/>
      <c r="G1410" s="56">
        <v>721</v>
      </c>
      <c r="H1410" s="79">
        <f>+F1409-H1409</f>
        <v>44000</v>
      </c>
      <c r="I1410" s="874"/>
      <c r="J1410" s="876"/>
      <c r="K1410" s="878"/>
      <c r="L1410" s="882"/>
      <c r="M1410" s="882"/>
      <c r="N1410" s="884"/>
      <c r="O1410" s="56">
        <v>722</v>
      </c>
      <c r="P1410" s="79">
        <f>+N1409-P1409</f>
        <v>-93000</v>
      </c>
    </row>
    <row r="1411" spans="1:16" ht="12.75" customHeight="1">
      <c r="A1411" s="919" t="e">
        <f>+A1409+1</f>
        <v>#REF!</v>
      </c>
      <c r="B1411" s="875">
        <v>42369</v>
      </c>
      <c r="C1411" s="877" t="s">
        <v>272</v>
      </c>
      <c r="D1411" s="877" t="s">
        <v>526</v>
      </c>
      <c r="E1411" s="881" t="s">
        <v>148</v>
      </c>
      <c r="F1411" s="883">
        <v>644000</v>
      </c>
      <c r="G1411" s="55">
        <v>719</v>
      </c>
      <c r="H1411" s="78">
        <v>460000</v>
      </c>
      <c r="I1411" s="873" t="s">
        <v>1509</v>
      </c>
      <c r="J1411" s="875">
        <v>43088</v>
      </c>
      <c r="K1411" s="877" t="s">
        <v>472</v>
      </c>
      <c r="L1411" s="881" t="s">
        <v>1510</v>
      </c>
      <c r="M1411" s="881" t="s">
        <v>148</v>
      </c>
      <c r="N1411" s="883">
        <v>-429000</v>
      </c>
      <c r="O1411" s="55">
        <v>719</v>
      </c>
      <c r="P1411" s="78">
        <v>-330000</v>
      </c>
    </row>
    <row r="1412" spans="1:16" ht="14.25" customHeight="1" thickBot="1">
      <c r="A1412" s="920"/>
      <c r="B1412" s="876"/>
      <c r="C1412" s="878"/>
      <c r="D1412" s="878"/>
      <c r="E1412" s="882"/>
      <c r="F1412" s="884"/>
      <c r="G1412" s="56">
        <v>721</v>
      </c>
      <c r="H1412" s="79">
        <f>+F1411-H1411</f>
        <v>184000</v>
      </c>
      <c r="I1412" s="874"/>
      <c r="J1412" s="876"/>
      <c r="K1412" s="878"/>
      <c r="L1412" s="882"/>
      <c r="M1412" s="882"/>
      <c r="N1412" s="884"/>
      <c r="O1412" s="56">
        <v>721</v>
      </c>
      <c r="P1412" s="79">
        <f>+N1411-P1411</f>
        <v>-99000</v>
      </c>
    </row>
    <row r="1413" spans="1:16" ht="15" customHeight="1" thickBot="1">
      <c r="A1413" s="919"/>
      <c r="B1413" s="875"/>
      <c r="C1413" s="877"/>
      <c r="D1413" s="877"/>
      <c r="E1413" s="881"/>
      <c r="F1413" s="883"/>
      <c r="G1413" s="55">
        <v>719</v>
      </c>
      <c r="H1413" s="78"/>
      <c r="I1413" s="901" t="s">
        <v>102</v>
      </c>
      <c r="J1413" s="902"/>
      <c r="K1413" s="902"/>
      <c r="L1413" s="902"/>
      <c r="M1413" s="903"/>
      <c r="N1413" s="81">
        <f>SUM(N1403:N1412)</f>
        <v>-2522000</v>
      </c>
    </row>
    <row r="1414" spans="1:16" ht="15.75" customHeight="1" thickBot="1">
      <c r="A1414" s="920"/>
      <c r="B1414" s="876"/>
      <c r="C1414" s="878"/>
      <c r="D1414" s="878"/>
      <c r="E1414" s="882"/>
      <c r="F1414" s="884"/>
      <c r="G1414" s="56">
        <v>721</v>
      </c>
      <c r="H1414" s="79">
        <f>+F1413-H1413</f>
        <v>0</v>
      </c>
      <c r="I1414" s="885" t="s">
        <v>103</v>
      </c>
      <c r="J1414" s="886"/>
      <c r="K1414" s="886"/>
      <c r="L1414" s="886"/>
      <c r="M1414" s="887"/>
      <c r="N1414" s="69">
        <f>+N1378</f>
        <v>560023881</v>
      </c>
      <c r="O1414" s="241" t="s">
        <v>561</v>
      </c>
      <c r="P1414" s="242">
        <v>124</v>
      </c>
    </row>
    <row r="1415" spans="1:16" ht="16.5" thickBot="1">
      <c r="A1415" s="901" t="s">
        <v>102</v>
      </c>
      <c r="B1415" s="902"/>
      <c r="C1415" s="902"/>
      <c r="D1415" s="902"/>
      <c r="E1415" s="903"/>
      <c r="F1415" s="81">
        <f>SUM(F1405:F1414)</f>
        <v>1246000</v>
      </c>
      <c r="I1415" s="888" t="s">
        <v>104</v>
      </c>
      <c r="J1415" s="889"/>
      <c r="K1415" s="889"/>
      <c r="L1415" s="889"/>
      <c r="M1415" s="890"/>
      <c r="N1415" s="183">
        <f>SUM(N1413:N1414)</f>
        <v>557501881</v>
      </c>
    </row>
    <row r="1416" spans="1:16" ht="12.75" customHeight="1" thickBot="1">
      <c r="A1416" s="885" t="s">
        <v>103</v>
      </c>
      <c r="B1416" s="886"/>
      <c r="C1416" s="886"/>
      <c r="D1416" s="886"/>
      <c r="E1416" s="887"/>
      <c r="F1416" s="69">
        <f>+F1380</f>
        <v>659623254</v>
      </c>
      <c r="I1416" s="61"/>
      <c r="J1416" s="61"/>
      <c r="K1416" s="61"/>
      <c r="L1416" s="61"/>
      <c r="M1416" s="61"/>
    </row>
    <row r="1417" spans="1:16" ht="16.5" thickBot="1">
      <c r="A1417" s="888" t="s">
        <v>104</v>
      </c>
      <c r="B1417" s="889"/>
      <c r="C1417" s="889"/>
      <c r="D1417" s="889"/>
      <c r="E1417" s="890"/>
      <c r="F1417" s="183">
        <f>SUM(F1415:F1416)</f>
        <v>660869254</v>
      </c>
      <c r="I1417" s="51" t="s">
        <v>1601</v>
      </c>
    </row>
    <row r="1418" spans="1:16" ht="9.75" customHeight="1">
      <c r="A1418" s="61"/>
      <c r="B1418" s="61"/>
      <c r="C1418" s="61"/>
      <c r="D1418" s="61"/>
      <c r="E1418" s="61"/>
      <c r="N1418" s="139"/>
    </row>
    <row r="1419" spans="1:16">
      <c r="A1419" s="51" t="s">
        <v>527</v>
      </c>
      <c r="I1419" s="50" t="s">
        <v>105</v>
      </c>
      <c r="L1419" s="146"/>
      <c r="N1419" s="139"/>
    </row>
    <row r="1420" spans="1:16" ht="12.75" customHeight="1" thickBot="1">
      <c r="F1420" s="139"/>
    </row>
    <row r="1421" spans="1:16" ht="15.75" thickBot="1">
      <c r="A1421" s="50" t="s">
        <v>105</v>
      </c>
      <c r="D1421" s="146"/>
      <c r="F1421" s="139"/>
      <c r="I1421" s="891" t="s">
        <v>106</v>
      </c>
      <c r="J1421" s="892"/>
      <c r="K1421" s="892"/>
      <c r="L1421" s="893"/>
      <c r="N1421" s="50" t="s">
        <v>288</v>
      </c>
    </row>
    <row r="1422" spans="1:16" ht="30.75" thickBot="1">
      <c r="I1422" s="57" t="s">
        <v>100</v>
      </c>
      <c r="J1422" s="58" t="s">
        <v>108</v>
      </c>
      <c r="K1422" s="287" t="s">
        <v>109</v>
      </c>
      <c r="L1422" s="60" t="s">
        <v>110</v>
      </c>
    </row>
    <row r="1423" spans="1:16" ht="15.75" thickBot="1">
      <c r="A1423" s="891" t="s">
        <v>106</v>
      </c>
      <c r="B1423" s="892"/>
      <c r="C1423" s="892"/>
      <c r="D1423" s="893"/>
      <c r="F1423" s="50" t="s">
        <v>288</v>
      </c>
      <c r="I1423" s="71">
        <v>719</v>
      </c>
      <c r="J1423" s="73">
        <f>+P1403+P1405+P1407+P1409+P1411</f>
        <v>-1940000</v>
      </c>
      <c r="K1423" s="74">
        <f>+L1386</f>
        <v>33140000</v>
      </c>
      <c r="L1423" s="195">
        <f>+J1423+K1423</f>
        <v>31200000</v>
      </c>
    </row>
    <row r="1424" spans="1:16" ht="17.25" customHeight="1" thickBot="1">
      <c r="A1424" s="57" t="s">
        <v>100</v>
      </c>
      <c r="B1424" s="58" t="s">
        <v>108</v>
      </c>
      <c r="C1424" s="59" t="s">
        <v>109</v>
      </c>
      <c r="D1424" s="60" t="s">
        <v>110</v>
      </c>
      <c r="I1424" s="72">
        <v>721</v>
      </c>
      <c r="J1424" s="80">
        <v>0</v>
      </c>
      <c r="K1424" s="74">
        <f>+L1387</f>
        <v>82093981</v>
      </c>
      <c r="L1424" s="195">
        <f>+J1424+K1424</f>
        <v>82093981</v>
      </c>
    </row>
    <row r="1425" spans="1:16" ht="11.25" customHeight="1">
      <c r="A1425" s="71">
        <v>719</v>
      </c>
      <c r="B1425" s="73">
        <f>+H1405+H1407+H1409+H1411</f>
        <v>890000</v>
      </c>
      <c r="C1425" s="74" t="e">
        <f>+D1388</f>
        <v>#REF!</v>
      </c>
      <c r="D1425" s="195" t="e">
        <f>+B1425+C1425</f>
        <v>#REF!</v>
      </c>
      <c r="I1425" s="72">
        <v>722</v>
      </c>
      <c r="J1425" s="80"/>
      <c r="K1425" s="74">
        <f>+L1388</f>
        <v>42881706</v>
      </c>
      <c r="L1425" s="195">
        <f>+J1425+K1425</f>
        <v>42881706</v>
      </c>
    </row>
    <row r="1426" spans="1:16" ht="15.75">
      <c r="A1426" s="72">
        <v>721</v>
      </c>
      <c r="B1426" s="80">
        <f>+H1406+H1408+H1410+H1412</f>
        <v>356000</v>
      </c>
      <c r="C1426" s="74" t="e">
        <f>+D1389</f>
        <v>#REF!</v>
      </c>
      <c r="D1426" s="195" t="e">
        <f>+B1426+C1426</f>
        <v>#REF!</v>
      </c>
      <c r="I1426" s="72">
        <v>723</v>
      </c>
      <c r="J1426" s="80">
        <f>+P1406+P1408+P1410+P1412+P1404</f>
        <v>-582000</v>
      </c>
      <c r="K1426" s="74">
        <f>+L1389</f>
        <v>401908194</v>
      </c>
      <c r="L1426" s="195">
        <f>+J1426+K1426</f>
        <v>401326194</v>
      </c>
      <c r="N1426" s="918" t="s">
        <v>1481</v>
      </c>
      <c r="O1426" s="918"/>
      <c r="P1426" s="918"/>
    </row>
    <row r="1427" spans="1:16" ht="12" customHeight="1" thickBot="1">
      <c r="A1427" s="72">
        <v>722</v>
      </c>
      <c r="B1427" s="80"/>
      <c r="C1427" s="74">
        <f>+D1390</f>
        <v>231207671</v>
      </c>
      <c r="D1427" s="195">
        <f>+B1427+C1427</f>
        <v>231207671</v>
      </c>
      <c r="I1427" s="164" t="s">
        <v>181</v>
      </c>
      <c r="J1427" s="165"/>
      <c r="K1427" s="74">
        <f>+L1390</f>
        <v>0</v>
      </c>
      <c r="L1427" s="196">
        <f>+J1427+K1427</f>
        <v>0</v>
      </c>
      <c r="N1427" s="52"/>
    </row>
    <row r="1428" spans="1:16" ht="14.25" customHeight="1" thickBot="1">
      <c r="A1428" s="72">
        <v>723</v>
      </c>
      <c r="B1428" s="80"/>
      <c r="C1428" s="74">
        <f>+D1391</f>
        <v>323193545</v>
      </c>
      <c r="D1428" s="195">
        <f>+B1428+C1428</f>
        <v>323193545</v>
      </c>
      <c r="F1428" s="174" t="s">
        <v>23</v>
      </c>
      <c r="G1428" s="175"/>
      <c r="I1428" s="169"/>
      <c r="J1428" s="197">
        <f>SUM(J1423:J1427)</f>
        <v>-2522000</v>
      </c>
      <c r="K1428" s="197">
        <f>SUM(K1423:K1427)</f>
        <v>560023881</v>
      </c>
      <c r="L1428" s="198">
        <f>SUM(L1423:L1427)</f>
        <v>557501881</v>
      </c>
    </row>
    <row r="1429" spans="1:16" ht="15.75" customHeight="1" thickBot="1">
      <c r="A1429" s="169"/>
      <c r="B1429" s="170" t="e">
        <f>SUM(#REF!)</f>
        <v>#REF!</v>
      </c>
      <c r="C1429" s="171" t="e">
        <f>SUM(#REF!)</f>
        <v>#REF!</v>
      </c>
      <c r="D1429" s="172" t="e">
        <f>SUM(#REF!)</f>
        <v>#REF!</v>
      </c>
      <c r="I1429" s="49" t="s">
        <v>88</v>
      </c>
      <c r="J1429" s="50"/>
    </row>
    <row r="1430" spans="1:16" ht="13.5" customHeight="1">
      <c r="A1430" s="49" t="s">
        <v>88</v>
      </c>
      <c r="B1430" s="50"/>
      <c r="I1430" s="51" t="s">
        <v>89</v>
      </c>
    </row>
    <row r="1431" spans="1:16" ht="14.25" customHeight="1">
      <c r="A1431" s="51" t="s">
        <v>89</v>
      </c>
      <c r="I1431" s="51" t="s">
        <v>90</v>
      </c>
    </row>
    <row r="1432" spans="1:16" ht="12" customHeight="1">
      <c r="A1432" s="51" t="s">
        <v>90</v>
      </c>
      <c r="I1432" s="51" t="s">
        <v>91</v>
      </c>
    </row>
    <row r="1433" spans="1:16" ht="8.25" customHeight="1">
      <c r="A1433" s="51" t="s">
        <v>91</v>
      </c>
      <c r="I1433" s="50"/>
      <c r="J1433" s="50"/>
    </row>
    <row r="1434" spans="1:16" ht="12" customHeight="1">
      <c r="A1434" s="50"/>
      <c r="B1434" s="50"/>
      <c r="I1434" s="260" t="s">
        <v>927</v>
      </c>
      <c r="O1434" s="52"/>
    </row>
    <row r="1435" spans="1:16" ht="16.5">
      <c r="A1435" s="52" t="s">
        <v>544</v>
      </c>
      <c r="G1435" s="52"/>
      <c r="I1435" s="53" t="s">
        <v>535</v>
      </c>
      <c r="O1435" s="53"/>
    </row>
    <row r="1436" spans="1:16" ht="16.5">
      <c r="A1436" s="53" t="s">
        <v>92</v>
      </c>
      <c r="G1436" s="53"/>
      <c r="I1436" s="894" t="s">
        <v>1600</v>
      </c>
      <c r="J1436" s="894"/>
      <c r="K1436" s="894"/>
      <c r="L1436" s="894"/>
      <c r="M1436" s="894"/>
      <c r="N1436" s="894"/>
      <c r="O1436" s="894"/>
      <c r="P1436" s="894"/>
    </row>
    <row r="1437" spans="1:16" ht="7.5" customHeight="1" thickBot="1">
      <c r="A1437" s="894" t="s">
        <v>261</v>
      </c>
      <c r="B1437" s="894"/>
      <c r="C1437" s="894"/>
      <c r="D1437" s="894"/>
      <c r="E1437" s="894"/>
      <c r="F1437" s="894"/>
      <c r="G1437" s="894"/>
      <c r="H1437" s="894"/>
    </row>
    <row r="1438" spans="1:16" ht="15.75" thickBot="1">
      <c r="I1438" s="895" t="s">
        <v>94</v>
      </c>
      <c r="J1438" s="897" t="s">
        <v>95</v>
      </c>
      <c r="K1438" s="897" t="s">
        <v>96</v>
      </c>
      <c r="L1438" s="897" t="s">
        <v>3</v>
      </c>
      <c r="M1438" s="897" t="s">
        <v>97</v>
      </c>
      <c r="N1438" s="897" t="s">
        <v>98</v>
      </c>
      <c r="O1438" s="897" t="s">
        <v>99</v>
      </c>
      <c r="P1438" s="899"/>
    </row>
    <row r="1439" spans="1:16" ht="15.75" thickBot="1">
      <c r="A1439" s="895" t="s">
        <v>94</v>
      </c>
      <c r="B1439" s="897" t="s">
        <v>95</v>
      </c>
      <c r="C1439" s="897" t="s">
        <v>96</v>
      </c>
      <c r="D1439" s="897" t="s">
        <v>3</v>
      </c>
      <c r="E1439" s="897" t="s">
        <v>97</v>
      </c>
      <c r="F1439" s="897" t="s">
        <v>98</v>
      </c>
      <c r="G1439" s="897" t="s">
        <v>99</v>
      </c>
      <c r="H1439" s="899"/>
      <c r="I1439" s="896"/>
      <c r="J1439" s="898"/>
      <c r="K1439" s="898"/>
      <c r="L1439" s="898"/>
      <c r="M1439" s="898"/>
      <c r="N1439" s="898"/>
      <c r="O1439" s="240" t="s">
        <v>100</v>
      </c>
      <c r="P1439" s="182" t="s">
        <v>101</v>
      </c>
    </row>
    <row r="1440" spans="1:16" ht="14.25" customHeight="1" thickBot="1">
      <c r="A1440" s="896"/>
      <c r="B1440" s="898"/>
      <c r="C1440" s="898"/>
      <c r="D1440" s="898"/>
      <c r="E1440" s="898"/>
      <c r="F1440" s="898"/>
      <c r="G1440" s="240" t="s">
        <v>100</v>
      </c>
      <c r="H1440" s="182" t="s">
        <v>101</v>
      </c>
      <c r="I1440" s="873" t="s">
        <v>1519</v>
      </c>
      <c r="J1440" s="875">
        <v>42723</v>
      </c>
      <c r="K1440" s="877" t="s">
        <v>28</v>
      </c>
      <c r="L1440" s="881" t="s">
        <v>1592</v>
      </c>
      <c r="M1440" s="881" t="s">
        <v>775</v>
      </c>
      <c r="N1440" s="883">
        <v>-170000</v>
      </c>
      <c r="O1440" s="55">
        <v>719</v>
      </c>
      <c r="P1440" s="78">
        <v>-170000</v>
      </c>
    </row>
    <row r="1441" spans="1:16" ht="12" customHeight="1" thickBot="1">
      <c r="A1441" s="919" t="e">
        <f>+#REF!+1</f>
        <v>#REF!</v>
      </c>
      <c r="B1441" s="875">
        <v>42369</v>
      </c>
      <c r="C1441" s="877" t="s">
        <v>267</v>
      </c>
      <c r="D1441" s="881" t="s">
        <v>530</v>
      </c>
      <c r="E1441" s="881" t="s">
        <v>148</v>
      </c>
      <c r="F1441" s="883">
        <v>70000</v>
      </c>
      <c r="G1441" s="55">
        <v>719</v>
      </c>
      <c r="H1441" s="78">
        <v>50000</v>
      </c>
      <c r="I1441" s="874"/>
      <c r="J1441" s="876"/>
      <c r="K1441" s="878"/>
      <c r="L1441" s="882"/>
      <c r="M1441" s="882"/>
      <c r="N1441" s="884"/>
      <c r="O1441" s="56">
        <v>721</v>
      </c>
      <c r="P1441" s="79">
        <f>+N1440-P1440</f>
        <v>0</v>
      </c>
    </row>
    <row r="1442" spans="1:16" ht="14.25" customHeight="1" thickBot="1">
      <c r="A1442" s="920"/>
      <c r="B1442" s="876"/>
      <c r="C1442" s="878"/>
      <c r="D1442" s="882"/>
      <c r="E1442" s="882"/>
      <c r="F1442" s="884"/>
      <c r="G1442" s="56">
        <v>721</v>
      </c>
      <c r="H1442" s="79">
        <f>+F1441-H1441</f>
        <v>20000</v>
      </c>
      <c r="I1442" s="873" t="s">
        <v>1606</v>
      </c>
      <c r="J1442" s="875">
        <v>42723</v>
      </c>
      <c r="K1442" s="877" t="s">
        <v>28</v>
      </c>
      <c r="L1442" s="881" t="s">
        <v>1516</v>
      </c>
      <c r="M1442" s="881" t="s">
        <v>775</v>
      </c>
      <c r="N1442" s="883">
        <v>-70000</v>
      </c>
      <c r="O1442" s="55">
        <v>719</v>
      </c>
      <c r="P1442" s="78">
        <v>-70000</v>
      </c>
    </row>
    <row r="1443" spans="1:16" ht="12.75" customHeight="1" thickBot="1">
      <c r="A1443" s="919" t="e">
        <f>+A1441+1</f>
        <v>#REF!</v>
      </c>
      <c r="B1443" s="875">
        <v>42369</v>
      </c>
      <c r="C1443" s="881" t="s">
        <v>28</v>
      </c>
      <c r="D1443" s="881" t="s">
        <v>530</v>
      </c>
      <c r="E1443" s="881" t="s">
        <v>148</v>
      </c>
      <c r="F1443" s="883">
        <v>70000</v>
      </c>
      <c r="G1443" s="55">
        <v>719</v>
      </c>
      <c r="H1443" s="78">
        <v>50000</v>
      </c>
      <c r="I1443" s="874"/>
      <c r="J1443" s="876"/>
      <c r="K1443" s="878"/>
      <c r="L1443" s="882"/>
      <c r="M1443" s="882"/>
      <c r="N1443" s="884"/>
      <c r="O1443" s="56">
        <v>721</v>
      </c>
      <c r="P1443" s="79">
        <f>+N1442-P1442</f>
        <v>0</v>
      </c>
    </row>
    <row r="1444" spans="1:16" ht="14.25" customHeight="1" thickBot="1">
      <c r="A1444" s="920"/>
      <c r="B1444" s="876"/>
      <c r="C1444" s="882"/>
      <c r="D1444" s="882"/>
      <c r="E1444" s="882"/>
      <c r="F1444" s="884"/>
      <c r="G1444" s="56">
        <v>721</v>
      </c>
      <c r="H1444" s="79">
        <f>+F1443-H1443</f>
        <v>20000</v>
      </c>
      <c r="I1444" s="873" t="s">
        <v>1607</v>
      </c>
      <c r="J1444" s="875">
        <v>42723</v>
      </c>
      <c r="K1444" s="877" t="s">
        <v>28</v>
      </c>
      <c r="L1444" s="881" t="s">
        <v>1517</v>
      </c>
      <c r="M1444" s="881" t="s">
        <v>775</v>
      </c>
      <c r="N1444" s="883">
        <v>-160000</v>
      </c>
      <c r="O1444" s="55">
        <v>719</v>
      </c>
      <c r="P1444" s="78">
        <v>-160000</v>
      </c>
    </row>
    <row r="1445" spans="1:16" ht="11.25" customHeight="1" thickBot="1">
      <c r="A1445" s="919" t="e">
        <f>+A1443+1</f>
        <v>#REF!</v>
      </c>
      <c r="B1445" s="875">
        <v>42369</v>
      </c>
      <c r="C1445" s="877" t="s">
        <v>32</v>
      </c>
      <c r="D1445" s="881" t="s">
        <v>530</v>
      </c>
      <c r="E1445" s="881" t="s">
        <v>148</v>
      </c>
      <c r="F1445" s="883">
        <v>84000</v>
      </c>
      <c r="G1445" s="55">
        <v>719</v>
      </c>
      <c r="H1445" s="78">
        <v>60000</v>
      </c>
      <c r="I1445" s="874"/>
      <c r="J1445" s="876"/>
      <c r="K1445" s="878"/>
      <c r="L1445" s="882"/>
      <c r="M1445" s="882"/>
      <c r="N1445" s="884"/>
      <c r="O1445" s="56">
        <v>721</v>
      </c>
      <c r="P1445" s="79"/>
    </row>
    <row r="1446" spans="1:16" ht="13.5" customHeight="1">
      <c r="A1446" s="921"/>
      <c r="B1446" s="922"/>
      <c r="C1446" s="900"/>
      <c r="D1446" s="923"/>
      <c r="E1446" s="923"/>
      <c r="F1446" s="924"/>
      <c r="G1446" s="255"/>
      <c r="H1446" s="256"/>
      <c r="I1446" s="873" t="s">
        <v>1608</v>
      </c>
      <c r="J1446" s="875">
        <v>42723</v>
      </c>
      <c r="K1446" s="877" t="s">
        <v>28</v>
      </c>
      <c r="L1446" s="881" t="s">
        <v>1524</v>
      </c>
      <c r="M1446" s="881" t="s">
        <v>148</v>
      </c>
      <c r="N1446" s="883">
        <v>-1001000</v>
      </c>
      <c r="O1446" s="55">
        <v>719</v>
      </c>
      <c r="P1446" s="78">
        <v>-770000</v>
      </c>
    </row>
    <row r="1447" spans="1:16" ht="13.5" customHeight="1" thickBot="1">
      <c r="A1447" s="921"/>
      <c r="B1447" s="922"/>
      <c r="C1447" s="900"/>
      <c r="D1447" s="923"/>
      <c r="E1447" s="923"/>
      <c r="F1447" s="924"/>
      <c r="G1447" s="255"/>
      <c r="H1447" s="256"/>
      <c r="I1447" s="874"/>
      <c r="J1447" s="876"/>
      <c r="K1447" s="878"/>
      <c r="L1447" s="882"/>
      <c r="M1447" s="882"/>
      <c r="N1447" s="884"/>
      <c r="O1447" s="56">
        <v>721</v>
      </c>
      <c r="P1447" s="79">
        <v>-231000</v>
      </c>
    </row>
    <row r="1448" spans="1:16" ht="14.25" customHeight="1" thickBot="1">
      <c r="A1448" s="920"/>
      <c r="B1448" s="876"/>
      <c r="C1448" s="878"/>
      <c r="D1448" s="882"/>
      <c r="E1448" s="882"/>
      <c r="F1448" s="884"/>
      <c r="G1448" s="56">
        <v>721</v>
      </c>
      <c r="H1448" s="79">
        <f>+F1445-H1445</f>
        <v>24000</v>
      </c>
      <c r="I1448" s="873" t="s">
        <v>1609</v>
      </c>
      <c r="J1448" s="875">
        <v>42723</v>
      </c>
      <c r="K1448" s="877" t="s">
        <v>28</v>
      </c>
      <c r="L1448" s="881" t="s">
        <v>1527</v>
      </c>
      <c r="M1448" s="881" t="s">
        <v>148</v>
      </c>
      <c r="N1448" s="883">
        <v>-559000</v>
      </c>
      <c r="O1448" s="55">
        <v>719</v>
      </c>
      <c r="P1448" s="78">
        <v>-430000</v>
      </c>
    </row>
    <row r="1449" spans="1:16" ht="15" customHeight="1" thickBot="1">
      <c r="A1449" s="919" t="e">
        <f>+A1445+1</f>
        <v>#REF!</v>
      </c>
      <c r="B1449" s="875">
        <v>42369</v>
      </c>
      <c r="C1449" s="877" t="s">
        <v>272</v>
      </c>
      <c r="D1449" s="881" t="s">
        <v>530</v>
      </c>
      <c r="E1449" s="881" t="s">
        <v>148</v>
      </c>
      <c r="F1449" s="883">
        <v>294000</v>
      </c>
      <c r="G1449" s="55">
        <v>719</v>
      </c>
      <c r="H1449" s="78">
        <v>210000</v>
      </c>
      <c r="I1449" s="874"/>
      <c r="J1449" s="876"/>
      <c r="K1449" s="878"/>
      <c r="L1449" s="882"/>
      <c r="M1449" s="882"/>
      <c r="N1449" s="884"/>
      <c r="O1449" s="56">
        <v>721</v>
      </c>
      <c r="P1449" s="79">
        <f>+N1448-P1448</f>
        <v>-129000</v>
      </c>
    </row>
    <row r="1450" spans="1:16" ht="13.5" customHeight="1" thickBot="1">
      <c r="A1450" s="920"/>
      <c r="B1450" s="876"/>
      <c r="C1450" s="878"/>
      <c r="D1450" s="882"/>
      <c r="E1450" s="882"/>
      <c r="F1450" s="884"/>
      <c r="G1450" s="56">
        <v>721</v>
      </c>
      <c r="H1450" s="79">
        <f>+F1449-H1449</f>
        <v>84000</v>
      </c>
      <c r="I1450" s="873" t="s">
        <v>1610</v>
      </c>
      <c r="J1450" s="875">
        <v>42723</v>
      </c>
      <c r="K1450" s="877" t="s">
        <v>28</v>
      </c>
      <c r="L1450" s="881" t="s">
        <v>1529</v>
      </c>
      <c r="M1450" s="881" t="s">
        <v>148</v>
      </c>
      <c r="N1450" s="883">
        <v>-624000</v>
      </c>
      <c r="O1450" s="55">
        <v>719</v>
      </c>
      <c r="P1450" s="78">
        <v>-480000</v>
      </c>
    </row>
    <row r="1451" spans="1:16" ht="14.25" customHeight="1" thickBot="1">
      <c r="A1451" s="919"/>
      <c r="B1451" s="875"/>
      <c r="C1451" s="877"/>
      <c r="D1451" s="877"/>
      <c r="E1451" s="881"/>
      <c r="F1451" s="883"/>
      <c r="G1451" s="55">
        <v>719</v>
      </c>
      <c r="H1451" s="78"/>
      <c r="I1451" s="874"/>
      <c r="J1451" s="876"/>
      <c r="K1451" s="878"/>
      <c r="L1451" s="882"/>
      <c r="M1451" s="882"/>
      <c r="N1451" s="884"/>
      <c r="O1451" s="56">
        <v>721</v>
      </c>
      <c r="P1451" s="79">
        <f>+N1450-P1450</f>
        <v>-144000</v>
      </c>
    </row>
    <row r="1452" spans="1:16" ht="16.5" thickBot="1">
      <c r="A1452" s="920"/>
      <c r="B1452" s="876"/>
      <c r="C1452" s="878"/>
      <c r="D1452" s="878"/>
      <c r="E1452" s="882"/>
      <c r="F1452" s="884"/>
      <c r="G1452" s="56">
        <v>721</v>
      </c>
      <c r="H1452" s="79">
        <f>+F1451-H1451</f>
        <v>0</v>
      </c>
      <c r="I1452" s="901" t="s">
        <v>102</v>
      </c>
      <c r="J1452" s="902"/>
      <c r="K1452" s="902"/>
      <c r="L1452" s="902"/>
      <c r="M1452" s="903"/>
      <c r="N1452" s="81">
        <f>SUM(N1440:N1451)</f>
        <v>-2584000</v>
      </c>
    </row>
    <row r="1453" spans="1:16" ht="16.5" thickBot="1">
      <c r="A1453" s="901" t="s">
        <v>102</v>
      </c>
      <c r="B1453" s="902"/>
      <c r="C1453" s="902"/>
      <c r="D1453" s="902"/>
      <c r="E1453" s="903"/>
      <c r="F1453" s="81">
        <f>SUM(F1441:F1452)</f>
        <v>518000</v>
      </c>
      <c r="I1453" s="885" t="s">
        <v>103</v>
      </c>
      <c r="J1453" s="886"/>
      <c r="K1453" s="886"/>
      <c r="L1453" s="886"/>
      <c r="M1453" s="887"/>
      <c r="N1453" s="69">
        <f>+N1415</f>
        <v>557501881</v>
      </c>
      <c r="O1453" s="241" t="s">
        <v>561</v>
      </c>
      <c r="P1453" s="242"/>
    </row>
    <row r="1454" spans="1:16" ht="16.5" thickBot="1">
      <c r="A1454" s="885" t="s">
        <v>103</v>
      </c>
      <c r="B1454" s="886"/>
      <c r="C1454" s="886"/>
      <c r="D1454" s="886"/>
      <c r="E1454" s="887"/>
      <c r="F1454" s="69" t="e">
        <f>+#REF!</f>
        <v>#REF!</v>
      </c>
      <c r="I1454" s="888" t="s">
        <v>104</v>
      </c>
      <c r="J1454" s="889"/>
      <c r="K1454" s="889"/>
      <c r="L1454" s="889"/>
      <c r="M1454" s="890"/>
      <c r="N1454" s="183">
        <f>SUM(N1452:N1453)</f>
        <v>554917881</v>
      </c>
    </row>
    <row r="1455" spans="1:16" ht="14.25" customHeight="1" thickBot="1">
      <c r="A1455" s="888" t="s">
        <v>104</v>
      </c>
      <c r="B1455" s="889"/>
      <c r="C1455" s="889"/>
      <c r="D1455" s="889"/>
      <c r="E1455" s="890"/>
      <c r="F1455" s="183" t="e">
        <f>SUM(F1453:F1454)</f>
        <v>#REF!</v>
      </c>
      <c r="I1455" s="61"/>
      <c r="J1455" s="61"/>
      <c r="K1455" s="61"/>
      <c r="L1455" s="61"/>
      <c r="M1455" s="61"/>
    </row>
    <row r="1456" spans="1:16">
      <c r="A1456" s="61"/>
      <c r="B1456" s="61"/>
      <c r="C1456" s="61"/>
      <c r="D1456" s="61"/>
      <c r="E1456" s="61"/>
      <c r="I1456" s="51" t="s">
        <v>1602</v>
      </c>
    </row>
    <row r="1457" spans="1:16" ht="9" customHeight="1">
      <c r="A1457" s="51" t="s">
        <v>546</v>
      </c>
      <c r="N1457" s="139"/>
    </row>
    <row r="1458" spans="1:16" ht="12.75" customHeight="1">
      <c r="F1458" s="139"/>
      <c r="I1458" s="50" t="s">
        <v>105</v>
      </c>
      <c r="L1458" s="146"/>
      <c r="N1458" s="139"/>
    </row>
    <row r="1459" spans="1:16" ht="12" customHeight="1" thickBot="1">
      <c r="A1459" s="50" t="s">
        <v>105</v>
      </c>
      <c r="D1459" s="146"/>
      <c r="F1459" s="139"/>
    </row>
    <row r="1460" spans="1:16" ht="12" customHeight="1" thickBot="1">
      <c r="I1460" s="891" t="s">
        <v>106</v>
      </c>
      <c r="J1460" s="892"/>
      <c r="K1460" s="892"/>
      <c r="L1460" s="893"/>
      <c r="N1460" s="50" t="s">
        <v>288</v>
      </c>
    </row>
    <row r="1461" spans="1:16" ht="28.5" customHeight="1" thickBot="1">
      <c r="A1461" s="891" t="s">
        <v>106</v>
      </c>
      <c r="B1461" s="892"/>
      <c r="C1461" s="892"/>
      <c r="D1461" s="893"/>
      <c r="F1461" s="50" t="s">
        <v>288</v>
      </c>
      <c r="I1461" s="57" t="s">
        <v>100</v>
      </c>
      <c r="J1461" s="58" t="s">
        <v>108</v>
      </c>
      <c r="K1461" s="59" t="s">
        <v>109</v>
      </c>
      <c r="L1461" s="60" t="s">
        <v>110</v>
      </c>
    </row>
    <row r="1462" spans="1:16" ht="14.25" customHeight="1" thickBot="1">
      <c r="A1462" s="57" t="s">
        <v>100</v>
      </c>
      <c r="B1462" s="58" t="s">
        <v>108</v>
      </c>
      <c r="C1462" s="59" t="s">
        <v>109</v>
      </c>
      <c r="D1462" s="60" t="s">
        <v>110</v>
      </c>
      <c r="I1462" s="71">
        <v>719</v>
      </c>
      <c r="J1462" s="73">
        <f>+P1440+P1442+P1444+P1446+P1448+P1450</f>
        <v>-2080000</v>
      </c>
      <c r="K1462" s="74">
        <f>+L1423</f>
        <v>31200000</v>
      </c>
      <c r="L1462" s="195">
        <f>+J1462+K1462</f>
        <v>29120000</v>
      </c>
    </row>
    <row r="1463" spans="1:16" ht="13.5" customHeight="1">
      <c r="A1463" s="71">
        <v>719</v>
      </c>
      <c r="B1463" s="73">
        <f>+H1441+H1443+H1445+H1449</f>
        <v>370000</v>
      </c>
      <c r="C1463" s="74" t="e">
        <f>+#REF!</f>
        <v>#REF!</v>
      </c>
      <c r="D1463" s="195" t="e">
        <f>+B1463+C1463</f>
        <v>#REF!</v>
      </c>
      <c r="I1463" s="72">
        <v>721</v>
      </c>
      <c r="J1463" s="80">
        <f>+P1451+P1449+P1447</f>
        <v>-504000</v>
      </c>
      <c r="K1463" s="74">
        <f>+L1424</f>
        <v>82093981</v>
      </c>
      <c r="L1463" s="195">
        <f>+J1463+K1463</f>
        <v>81589981</v>
      </c>
    </row>
    <row r="1464" spans="1:16" ht="13.5" customHeight="1">
      <c r="A1464" s="72">
        <v>721</v>
      </c>
      <c r="B1464" s="80">
        <f>+H1442+H1444+H1448+H1450+H1452</f>
        <v>148000</v>
      </c>
      <c r="C1464" s="74" t="e">
        <f>+#REF!</f>
        <v>#REF!</v>
      </c>
      <c r="D1464" s="195" t="e">
        <f>+B1464+C1464</f>
        <v>#REF!</v>
      </c>
      <c r="I1464" s="72">
        <v>722</v>
      </c>
      <c r="J1464" s="80"/>
      <c r="K1464" s="74">
        <f>+L1425</f>
        <v>42881706</v>
      </c>
      <c r="L1464" s="195">
        <f>+J1464+K1464</f>
        <v>42881706</v>
      </c>
    </row>
    <row r="1465" spans="1:16" ht="15" customHeight="1">
      <c r="A1465" s="72">
        <v>722</v>
      </c>
      <c r="B1465" s="80"/>
      <c r="C1465" s="74" t="e">
        <f>+#REF!</f>
        <v>#REF!</v>
      </c>
      <c r="D1465" s="195" t="e">
        <f>+B1465+C1465</f>
        <v>#REF!</v>
      </c>
      <c r="I1465" s="72">
        <v>723</v>
      </c>
      <c r="J1465" s="80"/>
      <c r="K1465" s="74">
        <f>+L1426</f>
        <v>401326194</v>
      </c>
      <c r="L1465" s="195">
        <f>+J1465+K1465</f>
        <v>401326194</v>
      </c>
      <c r="N1465" s="918" t="s">
        <v>1481</v>
      </c>
      <c r="O1465" s="918"/>
      <c r="P1465" s="918"/>
    </row>
    <row r="1466" spans="1:16" ht="16.5" thickBot="1">
      <c r="A1466" s="72">
        <v>723</v>
      </c>
      <c r="B1466" s="80"/>
      <c r="C1466" s="74" t="e">
        <f>+#REF!</f>
        <v>#REF!</v>
      </c>
      <c r="D1466" s="195" t="e">
        <f>+B1466+C1466</f>
        <v>#REF!</v>
      </c>
      <c r="F1466" s="174" t="s">
        <v>23</v>
      </c>
      <c r="G1466" s="175"/>
      <c r="I1466" s="164" t="s">
        <v>181</v>
      </c>
      <c r="J1466" s="165"/>
      <c r="K1466" s="74">
        <f>+L1427</f>
        <v>0</v>
      </c>
      <c r="L1466" s="196">
        <f>+J1466+K1466</f>
        <v>0</v>
      </c>
      <c r="N1466" s="52"/>
    </row>
    <row r="1467" spans="1:16" ht="16.5" thickBot="1">
      <c r="A1467" s="164" t="s">
        <v>181</v>
      </c>
      <c r="B1467" s="165"/>
      <c r="C1467" s="74" t="e">
        <f>+#REF!</f>
        <v>#REF!</v>
      </c>
      <c r="D1467" s="196" t="e">
        <f>+B1467+C1467</f>
        <v>#REF!</v>
      </c>
      <c r="F1467" s="52"/>
      <c r="I1467" s="169"/>
      <c r="J1467" s="197">
        <f>SUM(J1462:J1466)</f>
        <v>-2584000</v>
      </c>
      <c r="K1467" s="197">
        <f>SUM(K1462:K1466)</f>
        <v>557501881</v>
      </c>
      <c r="L1467" s="198">
        <f>SUM(L1462:L1466)</f>
        <v>554917881</v>
      </c>
    </row>
    <row r="1468" spans="1:16" ht="17.25" thickBot="1">
      <c r="A1468" s="169"/>
      <c r="B1468" s="170">
        <f>SUM(B1463:B1467)</f>
        <v>518000</v>
      </c>
      <c r="C1468" s="171" t="e">
        <f>SUM(C1463:C1467)</f>
        <v>#REF!</v>
      </c>
      <c r="D1468" s="172" t="e">
        <f>SUM(D1463:D1467)</f>
        <v>#REF!</v>
      </c>
      <c r="I1468" s="49" t="s">
        <v>88</v>
      </c>
      <c r="J1468" s="50"/>
    </row>
    <row r="1469" spans="1:16">
      <c r="I1469" s="51" t="s">
        <v>89</v>
      </c>
    </row>
    <row r="1470" spans="1:16">
      <c r="I1470" s="51" t="s">
        <v>90</v>
      </c>
    </row>
    <row r="1471" spans="1:16">
      <c r="I1471" s="51" t="s">
        <v>91</v>
      </c>
    </row>
    <row r="1472" spans="1:16">
      <c r="I1472" s="50"/>
      <c r="J1472" s="50"/>
    </row>
    <row r="1473" spans="9:16" ht="15.75">
      <c r="I1473" s="260" t="s">
        <v>928</v>
      </c>
      <c r="O1473" s="52"/>
    </row>
    <row r="1474" spans="9:16" ht="15.75">
      <c r="I1474" s="53" t="s">
        <v>1333</v>
      </c>
      <c r="O1474" s="53"/>
    </row>
    <row r="1475" spans="9:16" ht="16.5">
      <c r="I1475" s="894" t="s">
        <v>909</v>
      </c>
      <c r="J1475" s="894"/>
      <c r="K1475" s="894"/>
      <c r="L1475" s="894"/>
      <c r="M1475" s="894"/>
      <c r="N1475" s="894"/>
      <c r="O1475" s="894"/>
      <c r="P1475" s="894"/>
    </row>
    <row r="1476" spans="9:16" ht="15.75" thickBot="1"/>
    <row r="1477" spans="9:16">
      <c r="I1477" s="895" t="s">
        <v>94</v>
      </c>
      <c r="J1477" s="897" t="s">
        <v>95</v>
      </c>
      <c r="K1477" s="897" t="s">
        <v>96</v>
      </c>
      <c r="L1477" s="897" t="s">
        <v>3</v>
      </c>
      <c r="M1477" s="897" t="s">
        <v>97</v>
      </c>
      <c r="N1477" s="897" t="s">
        <v>98</v>
      </c>
      <c r="O1477" s="897" t="s">
        <v>99</v>
      </c>
      <c r="P1477" s="899"/>
    </row>
    <row r="1478" spans="9:16" ht="15.75" thickBot="1">
      <c r="I1478" s="896"/>
      <c r="J1478" s="898"/>
      <c r="K1478" s="898"/>
      <c r="L1478" s="898"/>
      <c r="M1478" s="898"/>
      <c r="N1478" s="898"/>
      <c r="O1478" s="240" t="s">
        <v>100</v>
      </c>
      <c r="P1478" s="182" t="s">
        <v>101</v>
      </c>
    </row>
    <row r="1479" spans="9:16" ht="12" customHeight="1">
      <c r="I1479" s="873" t="s">
        <v>1611</v>
      </c>
      <c r="J1479" s="875">
        <v>43096</v>
      </c>
      <c r="K1479" s="881" t="s">
        <v>28</v>
      </c>
      <c r="L1479" s="881" t="s">
        <v>1615</v>
      </c>
      <c r="M1479" s="881" t="s">
        <v>148</v>
      </c>
      <c r="N1479" s="883">
        <v>650000</v>
      </c>
      <c r="O1479" s="55">
        <v>719</v>
      </c>
      <c r="P1479" s="78">
        <v>500000</v>
      </c>
    </row>
    <row r="1480" spans="9:16" ht="13.5" customHeight="1" thickBot="1">
      <c r="I1480" s="874"/>
      <c r="J1480" s="876"/>
      <c r="K1480" s="882"/>
      <c r="L1480" s="882"/>
      <c r="M1480" s="882"/>
      <c r="N1480" s="884"/>
      <c r="O1480" s="56">
        <v>721</v>
      </c>
      <c r="P1480" s="79">
        <f>+N1479-P1479</f>
        <v>150000</v>
      </c>
    </row>
    <row r="1481" spans="9:16" ht="12" customHeight="1">
      <c r="I1481" s="881">
        <f>+I1479+1</f>
        <v>177</v>
      </c>
      <c r="J1481" s="875">
        <v>43096</v>
      </c>
      <c r="K1481" s="881" t="s">
        <v>28</v>
      </c>
      <c r="L1481" s="879" t="s">
        <v>1614</v>
      </c>
      <c r="M1481" s="881" t="s">
        <v>148</v>
      </c>
      <c r="N1481" s="883">
        <v>650000</v>
      </c>
      <c r="O1481" s="55">
        <v>719</v>
      </c>
      <c r="P1481" s="78">
        <v>500000</v>
      </c>
    </row>
    <row r="1482" spans="9:16" ht="12.75" customHeight="1" thickBot="1">
      <c r="I1482" s="882"/>
      <c r="J1482" s="876"/>
      <c r="K1482" s="882"/>
      <c r="L1482" s="880"/>
      <c r="M1482" s="882"/>
      <c r="N1482" s="884"/>
      <c r="O1482" s="56">
        <v>721</v>
      </c>
      <c r="P1482" s="79">
        <f>+N1481-P1481</f>
        <v>150000</v>
      </c>
    </row>
    <row r="1483" spans="9:16" ht="12.75" customHeight="1">
      <c r="I1483" s="881">
        <f>+I1481+1</f>
        <v>178</v>
      </c>
      <c r="J1483" s="875">
        <v>43096</v>
      </c>
      <c r="K1483" s="877" t="s">
        <v>1079</v>
      </c>
      <c r="L1483" s="881" t="s">
        <v>1613</v>
      </c>
      <c r="M1483" s="881" t="s">
        <v>148</v>
      </c>
      <c r="N1483" s="883">
        <v>650000</v>
      </c>
      <c r="O1483" s="55">
        <v>719</v>
      </c>
      <c r="P1483" s="78">
        <v>500000</v>
      </c>
    </row>
    <row r="1484" spans="9:16" ht="12.75" customHeight="1" thickBot="1">
      <c r="I1484" s="882"/>
      <c r="J1484" s="876"/>
      <c r="K1484" s="878"/>
      <c r="L1484" s="882"/>
      <c r="M1484" s="882"/>
      <c r="N1484" s="884"/>
      <c r="O1484" s="56">
        <v>721</v>
      </c>
      <c r="P1484" s="79">
        <f>+N1483-P1483</f>
        <v>150000</v>
      </c>
    </row>
    <row r="1485" spans="9:16" ht="12" customHeight="1">
      <c r="I1485" s="881">
        <f>+I1483+1</f>
        <v>179</v>
      </c>
      <c r="J1485" s="875">
        <v>43096</v>
      </c>
      <c r="K1485" s="877" t="s">
        <v>1079</v>
      </c>
      <c r="L1485" s="879" t="s">
        <v>1612</v>
      </c>
      <c r="M1485" s="881" t="s">
        <v>148</v>
      </c>
      <c r="N1485" s="883">
        <v>650000</v>
      </c>
      <c r="O1485" s="55">
        <v>719</v>
      </c>
      <c r="P1485" s="78">
        <v>500000</v>
      </c>
    </row>
    <row r="1486" spans="9:16" ht="13.5" customHeight="1" thickBot="1">
      <c r="I1486" s="882"/>
      <c r="J1486" s="876"/>
      <c r="K1486" s="878"/>
      <c r="L1486" s="880"/>
      <c r="M1486" s="882"/>
      <c r="N1486" s="884"/>
      <c r="O1486" s="56">
        <v>721</v>
      </c>
      <c r="P1486" s="79">
        <f>+N1485-P1485</f>
        <v>150000</v>
      </c>
    </row>
    <row r="1487" spans="9:16" ht="13.5" customHeight="1">
      <c r="I1487" s="881">
        <f>+I1485+1</f>
        <v>180</v>
      </c>
      <c r="J1487" s="875">
        <v>43096</v>
      </c>
      <c r="K1487" s="881" t="s">
        <v>28</v>
      </c>
      <c r="L1487" s="879" t="s">
        <v>1616</v>
      </c>
      <c r="M1487" s="881" t="s">
        <v>115</v>
      </c>
      <c r="N1487" s="883">
        <v>70000</v>
      </c>
      <c r="O1487" s="55">
        <v>719</v>
      </c>
      <c r="P1487" s="78">
        <v>70000</v>
      </c>
    </row>
    <row r="1488" spans="9:16" ht="12.75" customHeight="1" thickBot="1">
      <c r="I1488" s="882"/>
      <c r="J1488" s="876"/>
      <c r="K1488" s="882"/>
      <c r="L1488" s="880"/>
      <c r="M1488" s="882"/>
      <c r="N1488" s="884"/>
      <c r="O1488" s="56">
        <v>721</v>
      </c>
      <c r="P1488" s="79">
        <f>+N1487-P1487</f>
        <v>0</v>
      </c>
    </row>
    <row r="1489" spans="9:16" ht="15" customHeight="1">
      <c r="I1489" s="881">
        <f>+I1487+1</f>
        <v>181</v>
      </c>
      <c r="J1489" s="875">
        <v>43096</v>
      </c>
      <c r="K1489" s="877" t="s">
        <v>120</v>
      </c>
      <c r="L1489" s="879" t="s">
        <v>1616</v>
      </c>
      <c r="M1489" s="881" t="s">
        <v>115</v>
      </c>
      <c r="N1489" s="883">
        <v>250000</v>
      </c>
      <c r="O1489" s="55">
        <v>719</v>
      </c>
      <c r="P1489" s="78">
        <v>250000</v>
      </c>
    </row>
    <row r="1490" spans="9:16" ht="12.75" customHeight="1" thickBot="1">
      <c r="I1490" s="882"/>
      <c r="J1490" s="876"/>
      <c r="K1490" s="878"/>
      <c r="L1490" s="880"/>
      <c r="M1490" s="882"/>
      <c r="N1490" s="884"/>
      <c r="O1490" s="56">
        <v>721</v>
      </c>
      <c r="P1490" s="79">
        <f>+N1489-P1489</f>
        <v>0</v>
      </c>
    </row>
    <row r="1491" spans="9:16" ht="16.5" thickBot="1">
      <c r="I1491" s="901" t="s">
        <v>102</v>
      </c>
      <c r="J1491" s="902"/>
      <c r="K1491" s="902"/>
      <c r="L1491" s="902"/>
      <c r="M1491" s="903"/>
      <c r="N1491" s="81">
        <f>SUM(N1479:N1490)</f>
        <v>2920000</v>
      </c>
    </row>
    <row r="1492" spans="9:16" ht="16.5" thickBot="1">
      <c r="I1492" s="885" t="s">
        <v>103</v>
      </c>
      <c r="J1492" s="886"/>
      <c r="K1492" s="886"/>
      <c r="L1492" s="886"/>
      <c r="M1492" s="887"/>
      <c r="N1492" s="69">
        <f>+N1454</f>
        <v>554917881</v>
      </c>
      <c r="O1492" s="241" t="s">
        <v>561</v>
      </c>
      <c r="P1492" s="242">
        <f>1207+1207+235+235+162+310</f>
        <v>3356</v>
      </c>
    </row>
    <row r="1493" spans="9:16" ht="16.5" thickBot="1">
      <c r="I1493" s="888" t="s">
        <v>104</v>
      </c>
      <c r="J1493" s="889"/>
      <c r="K1493" s="889"/>
      <c r="L1493" s="889"/>
      <c r="M1493" s="890"/>
      <c r="N1493" s="183">
        <f>SUM(N1491:N1492)</f>
        <v>557837881</v>
      </c>
    </row>
    <row r="1494" spans="9:16">
      <c r="I1494" s="61"/>
      <c r="J1494" s="61"/>
      <c r="K1494" s="61"/>
      <c r="L1494" s="61"/>
      <c r="M1494" s="61"/>
    </row>
    <row r="1495" spans="9:16">
      <c r="I1495" s="51" t="s">
        <v>1617</v>
      </c>
    </row>
    <row r="1496" spans="9:16" ht="9.75" customHeight="1">
      <c r="N1496" s="139"/>
    </row>
    <row r="1497" spans="9:16">
      <c r="I1497" s="50" t="s">
        <v>105</v>
      </c>
      <c r="L1497" s="146"/>
      <c r="N1497" s="139"/>
    </row>
    <row r="1498" spans="9:16" ht="13.5" customHeight="1" thickBot="1"/>
    <row r="1499" spans="9:16" ht="15.75" thickBot="1">
      <c r="I1499" s="891" t="s">
        <v>106</v>
      </c>
      <c r="J1499" s="892"/>
      <c r="K1499" s="892"/>
      <c r="L1499" s="893"/>
      <c r="N1499" s="50" t="s">
        <v>288</v>
      </c>
    </row>
    <row r="1500" spans="9:16" ht="30.75" thickBot="1">
      <c r="I1500" s="57" t="s">
        <v>100</v>
      </c>
      <c r="J1500" s="58" t="s">
        <v>108</v>
      </c>
      <c r="K1500" s="287" t="s">
        <v>109</v>
      </c>
      <c r="L1500" s="60" t="s">
        <v>110</v>
      </c>
    </row>
    <row r="1501" spans="9:16" ht="13.5" customHeight="1">
      <c r="I1501" s="71">
        <v>719</v>
      </c>
      <c r="J1501" s="73">
        <f>+P1479+P1481+P1483+P1485+P1489</f>
        <v>2250000</v>
      </c>
      <c r="K1501" s="74">
        <f>+L1462</f>
        <v>29120000</v>
      </c>
      <c r="L1501" s="195">
        <f>+J1501+K1501</f>
        <v>31370000</v>
      </c>
    </row>
    <row r="1502" spans="9:16" ht="12.75" customHeight="1">
      <c r="I1502" s="72">
        <v>721</v>
      </c>
      <c r="J1502" s="80">
        <f>+P1490+P1486+P1484+P1482+P1480</f>
        <v>600000</v>
      </c>
      <c r="K1502" s="74">
        <f>+L1463</f>
        <v>81589981</v>
      </c>
      <c r="L1502" s="195">
        <f>+J1502+K1502</f>
        <v>82189981</v>
      </c>
    </row>
    <row r="1503" spans="9:16" ht="12.75" customHeight="1">
      <c r="I1503" s="72">
        <v>722</v>
      </c>
      <c r="J1503" s="80"/>
      <c r="K1503" s="74">
        <f>+L1464</f>
        <v>42881706</v>
      </c>
      <c r="L1503" s="195">
        <f>+J1503+K1503</f>
        <v>42881706</v>
      </c>
    </row>
    <row r="1504" spans="9:16" ht="15.75">
      <c r="I1504" s="72">
        <v>723</v>
      </c>
      <c r="J1504" s="80"/>
      <c r="K1504" s="74">
        <f>+L1465</f>
        <v>401326194</v>
      </c>
      <c r="L1504" s="195">
        <f>+J1504+K1504</f>
        <v>401326194</v>
      </c>
      <c r="N1504" s="918" t="s">
        <v>1481</v>
      </c>
      <c r="O1504" s="918"/>
      <c r="P1504" s="918"/>
    </row>
    <row r="1505" spans="9:16" ht="13.5" customHeight="1" thickBot="1">
      <c r="I1505" s="164" t="s">
        <v>181</v>
      </c>
      <c r="J1505" s="165"/>
      <c r="K1505" s="74">
        <f>+L1466</f>
        <v>0</v>
      </c>
      <c r="L1505" s="196">
        <f>+J1505+K1505</f>
        <v>0</v>
      </c>
      <c r="N1505" s="52"/>
    </row>
    <row r="1506" spans="9:16" ht="16.5" thickBot="1">
      <c r="I1506" s="169"/>
      <c r="J1506" s="197">
        <f>SUM(J1501:J1505)</f>
        <v>2850000</v>
      </c>
      <c r="K1506" s="197">
        <f>SUM(K1501:K1505)</f>
        <v>554917881</v>
      </c>
      <c r="L1506" s="198">
        <f>SUM(L1501:L1505)</f>
        <v>557767881</v>
      </c>
    </row>
    <row r="1507" spans="9:16" ht="16.5">
      <c r="I1507" s="49" t="s">
        <v>88</v>
      </c>
      <c r="J1507" s="50"/>
    </row>
    <row r="1508" spans="9:16">
      <c r="I1508" s="51" t="s">
        <v>89</v>
      </c>
    </row>
    <row r="1509" spans="9:16">
      <c r="I1509" s="51" t="s">
        <v>90</v>
      </c>
    </row>
    <row r="1510" spans="9:16">
      <c r="I1510" s="51" t="s">
        <v>91</v>
      </c>
    </row>
    <row r="1511" spans="9:16" ht="10.5" customHeight="1">
      <c r="I1511" s="50"/>
      <c r="J1511" s="50"/>
    </row>
    <row r="1512" spans="9:16" ht="15.75">
      <c r="I1512" s="260" t="s">
        <v>929</v>
      </c>
      <c r="O1512" s="52"/>
    </row>
    <row r="1513" spans="9:16" ht="15.75">
      <c r="I1513" s="53" t="s">
        <v>1333</v>
      </c>
      <c r="O1513" s="53"/>
    </row>
    <row r="1514" spans="9:16" ht="16.5">
      <c r="I1514" s="894" t="s">
        <v>909</v>
      </c>
      <c r="J1514" s="894"/>
      <c r="K1514" s="894"/>
      <c r="L1514" s="894"/>
      <c r="M1514" s="894"/>
      <c r="N1514" s="894"/>
      <c r="O1514" s="894"/>
      <c r="P1514" s="894"/>
    </row>
    <row r="1515" spans="9:16" ht="13.5" customHeight="1" thickBot="1"/>
    <row r="1516" spans="9:16">
      <c r="I1516" s="895" t="s">
        <v>94</v>
      </c>
      <c r="J1516" s="897" t="s">
        <v>95</v>
      </c>
      <c r="K1516" s="897" t="s">
        <v>96</v>
      </c>
      <c r="L1516" s="897" t="s">
        <v>3</v>
      </c>
      <c r="M1516" s="897" t="s">
        <v>97</v>
      </c>
      <c r="N1516" s="897" t="s">
        <v>98</v>
      </c>
      <c r="O1516" s="897" t="s">
        <v>99</v>
      </c>
      <c r="P1516" s="899"/>
    </row>
    <row r="1517" spans="9:16" ht="15.75" thickBot="1">
      <c r="I1517" s="896"/>
      <c r="J1517" s="898"/>
      <c r="K1517" s="898"/>
      <c r="L1517" s="898"/>
      <c r="M1517" s="898"/>
      <c r="N1517" s="898"/>
      <c r="O1517" s="240" t="s">
        <v>100</v>
      </c>
      <c r="P1517" s="182" t="s">
        <v>101</v>
      </c>
    </row>
    <row r="1518" spans="9:16" ht="15" customHeight="1">
      <c r="I1518" s="881">
        <v>182</v>
      </c>
      <c r="J1518" s="875">
        <v>43097</v>
      </c>
      <c r="K1518" s="881" t="s">
        <v>28</v>
      </c>
      <c r="L1518" s="879" t="s">
        <v>1618</v>
      </c>
      <c r="M1518" s="881" t="s">
        <v>115</v>
      </c>
      <c r="N1518" s="883">
        <v>110000</v>
      </c>
      <c r="O1518" s="55">
        <v>719</v>
      </c>
      <c r="P1518" s="78">
        <v>110000</v>
      </c>
    </row>
    <row r="1519" spans="9:16" ht="15.75" customHeight="1" thickBot="1">
      <c r="I1519" s="882"/>
      <c r="J1519" s="876"/>
      <c r="K1519" s="882"/>
      <c r="L1519" s="880"/>
      <c r="M1519" s="882"/>
      <c r="N1519" s="884"/>
      <c r="O1519" s="56">
        <v>721</v>
      </c>
      <c r="P1519" s="79"/>
    </row>
    <row r="1520" spans="9:16" ht="15" customHeight="1">
      <c r="I1520" s="881">
        <v>183</v>
      </c>
      <c r="J1520" s="875">
        <v>43097</v>
      </c>
      <c r="K1520" s="881" t="s">
        <v>120</v>
      </c>
      <c r="L1520" s="879" t="s">
        <v>1618</v>
      </c>
      <c r="M1520" s="881" t="s">
        <v>115</v>
      </c>
      <c r="N1520" s="883">
        <v>440000</v>
      </c>
      <c r="O1520" s="55">
        <v>719</v>
      </c>
      <c r="P1520" s="78">
        <v>440000</v>
      </c>
    </row>
    <row r="1521" spans="9:16" ht="15.75" customHeight="1" thickBot="1">
      <c r="I1521" s="882"/>
      <c r="J1521" s="876"/>
      <c r="K1521" s="882"/>
      <c r="L1521" s="880"/>
      <c r="M1521" s="882"/>
      <c r="N1521" s="884"/>
      <c r="O1521" s="56">
        <v>721</v>
      </c>
      <c r="P1521" s="79">
        <f>+N1520-P1520</f>
        <v>0</v>
      </c>
    </row>
    <row r="1522" spans="9:16" ht="15" customHeight="1">
      <c r="I1522" s="881">
        <v>184</v>
      </c>
      <c r="J1522" s="875">
        <v>43097</v>
      </c>
      <c r="K1522" s="877" t="s">
        <v>385</v>
      </c>
      <c r="L1522" s="879" t="s">
        <v>1619</v>
      </c>
      <c r="M1522" s="881" t="s">
        <v>148</v>
      </c>
      <c r="N1522" s="883">
        <v>4500000</v>
      </c>
      <c r="O1522" s="55">
        <v>719</v>
      </c>
      <c r="P1522" s="78"/>
    </row>
    <row r="1523" spans="9:16" ht="15.75" customHeight="1" thickBot="1">
      <c r="I1523" s="882"/>
      <c r="J1523" s="876"/>
      <c r="K1523" s="878"/>
      <c r="L1523" s="880"/>
      <c r="M1523" s="882"/>
      <c r="N1523" s="884"/>
      <c r="O1523" s="56">
        <v>721</v>
      </c>
      <c r="P1523" s="79">
        <f>+N1522-P1522</f>
        <v>4500000</v>
      </c>
    </row>
    <row r="1524" spans="9:16">
      <c r="I1524" s="881">
        <v>185</v>
      </c>
      <c r="J1524" s="875"/>
      <c r="K1524" s="877"/>
      <c r="L1524" s="879"/>
      <c r="M1524" s="881"/>
      <c r="N1524" s="883"/>
      <c r="O1524" s="55">
        <v>719</v>
      </c>
      <c r="P1524" s="78"/>
    </row>
    <row r="1525" spans="9:16" ht="15.75" thickBot="1">
      <c r="I1525" s="882"/>
      <c r="J1525" s="876"/>
      <c r="K1525" s="878"/>
      <c r="L1525" s="880"/>
      <c r="M1525" s="882"/>
      <c r="N1525" s="884"/>
      <c r="O1525" s="56">
        <v>721</v>
      </c>
      <c r="P1525" s="79">
        <f>+N1524-P1524</f>
        <v>0</v>
      </c>
    </row>
    <row r="1526" spans="9:16">
      <c r="I1526" s="881"/>
      <c r="J1526" s="875"/>
      <c r="K1526" s="877"/>
      <c r="L1526" s="881"/>
      <c r="M1526" s="881"/>
      <c r="N1526" s="883"/>
      <c r="O1526" s="55">
        <v>719</v>
      </c>
      <c r="P1526" s="78"/>
    </row>
    <row r="1527" spans="9:16" ht="15.75" thickBot="1">
      <c r="I1527" s="882"/>
      <c r="J1527" s="876"/>
      <c r="K1527" s="878"/>
      <c r="L1527" s="882"/>
      <c r="M1527" s="882"/>
      <c r="N1527" s="884"/>
      <c r="O1527" s="56">
        <v>721</v>
      </c>
      <c r="P1527" s="79">
        <f>+N1526-P1526</f>
        <v>0</v>
      </c>
    </row>
    <row r="1528" spans="9:16" ht="16.5" thickBot="1">
      <c r="I1528" s="901" t="s">
        <v>102</v>
      </c>
      <c r="J1528" s="902"/>
      <c r="K1528" s="902"/>
      <c r="L1528" s="902"/>
      <c r="M1528" s="903"/>
      <c r="N1528" s="81">
        <f>SUM(N1518:N1527)</f>
        <v>5050000</v>
      </c>
    </row>
    <row r="1529" spans="9:16" ht="16.5" thickBot="1">
      <c r="I1529" s="885" t="s">
        <v>103</v>
      </c>
      <c r="J1529" s="886"/>
      <c r="K1529" s="886"/>
      <c r="L1529" s="886"/>
      <c r="M1529" s="887"/>
      <c r="N1529" s="69">
        <f>+N1493</f>
        <v>557837881</v>
      </c>
      <c r="O1529" s="241" t="s">
        <v>561</v>
      </c>
      <c r="P1529" s="242">
        <f>246+617</f>
        <v>863</v>
      </c>
    </row>
    <row r="1530" spans="9:16" ht="16.5" thickBot="1">
      <c r="I1530" s="888" t="s">
        <v>104</v>
      </c>
      <c r="J1530" s="889"/>
      <c r="K1530" s="889"/>
      <c r="L1530" s="889"/>
      <c r="M1530" s="890"/>
      <c r="N1530" s="183">
        <f>SUM(N1528:N1529)</f>
        <v>562887881</v>
      </c>
    </row>
    <row r="1531" spans="9:16">
      <c r="I1531" s="61"/>
      <c r="J1531" s="61"/>
      <c r="K1531" s="61"/>
      <c r="L1531" s="61"/>
      <c r="M1531" s="61"/>
    </row>
    <row r="1532" spans="9:16">
      <c r="I1532" s="51" t="s">
        <v>1620</v>
      </c>
    </row>
    <row r="1533" spans="9:16">
      <c r="N1533" s="139"/>
    </row>
    <row r="1534" spans="9:16">
      <c r="I1534" s="50" t="s">
        <v>105</v>
      </c>
      <c r="L1534" s="146"/>
      <c r="N1534" s="139"/>
    </row>
    <row r="1535" spans="9:16" ht="13.5" customHeight="1" thickBot="1"/>
    <row r="1536" spans="9:16" ht="15.75" thickBot="1">
      <c r="I1536" s="891" t="s">
        <v>106</v>
      </c>
      <c r="J1536" s="892"/>
      <c r="K1536" s="892"/>
      <c r="L1536" s="893"/>
      <c r="N1536" s="50" t="s">
        <v>288</v>
      </c>
    </row>
    <row r="1537" spans="9:16" ht="30.75" thickBot="1">
      <c r="I1537" s="57" t="s">
        <v>100</v>
      </c>
      <c r="J1537" s="58" t="s">
        <v>108</v>
      </c>
      <c r="K1537" s="287" t="s">
        <v>109</v>
      </c>
      <c r="L1537" s="60" t="s">
        <v>110</v>
      </c>
    </row>
    <row r="1538" spans="9:16">
      <c r="I1538" s="71">
        <v>719</v>
      </c>
      <c r="J1538" s="73">
        <f>+P1518+P1520+P1522+P1524+P1526</f>
        <v>550000</v>
      </c>
      <c r="K1538" s="74">
        <f>+L1501</f>
        <v>31370000</v>
      </c>
      <c r="L1538" s="195">
        <f>+J1538+K1538</f>
        <v>31920000</v>
      </c>
    </row>
    <row r="1539" spans="9:16">
      <c r="I1539" s="72">
        <v>721</v>
      </c>
      <c r="J1539" s="80">
        <v>0</v>
      </c>
      <c r="K1539" s="74">
        <f>+L1502</f>
        <v>82189981</v>
      </c>
      <c r="L1539" s="195">
        <f>+J1539+K1539</f>
        <v>82189981</v>
      </c>
    </row>
    <row r="1540" spans="9:16">
      <c r="I1540" s="72">
        <v>722</v>
      </c>
      <c r="J1540" s="80"/>
      <c r="K1540" s="74">
        <f>+L1503</f>
        <v>42881706</v>
      </c>
      <c r="L1540" s="195">
        <f>+J1540+K1540</f>
        <v>42881706</v>
      </c>
    </row>
    <row r="1541" spans="9:16" ht="15.75">
      <c r="I1541" s="72">
        <v>723</v>
      </c>
      <c r="J1541" s="80">
        <f>+P1527+P1525+P1523+P1521+P1519</f>
        <v>4500000</v>
      </c>
      <c r="K1541" s="74">
        <f>+L1504</f>
        <v>401326194</v>
      </c>
      <c r="L1541" s="195">
        <f>+J1541+K1541</f>
        <v>405826194</v>
      </c>
      <c r="N1541" s="193" t="s">
        <v>289</v>
      </c>
      <c r="O1541" s="175"/>
    </row>
    <row r="1542" spans="9:16" ht="16.5" thickBot="1">
      <c r="I1542" s="164" t="s">
        <v>181</v>
      </c>
      <c r="J1542" s="165"/>
      <c r="K1542" s="74">
        <f>+L1505</f>
        <v>0</v>
      </c>
      <c r="L1542" s="196">
        <f>+J1542+K1542</f>
        <v>0</v>
      </c>
      <c r="N1542" s="52"/>
    </row>
    <row r="1543" spans="9:16" ht="16.5" thickBot="1">
      <c r="I1543" s="169"/>
      <c r="J1543" s="197">
        <f>SUM(J1538:J1542)</f>
        <v>5050000</v>
      </c>
      <c r="K1543" s="197">
        <f>SUM(K1538:K1542)</f>
        <v>557767881</v>
      </c>
      <c r="L1543" s="198">
        <f>SUM(L1538:L1542)</f>
        <v>562817881</v>
      </c>
    </row>
    <row r="1544" spans="9:16" ht="16.5">
      <c r="I1544" s="49" t="s">
        <v>88</v>
      </c>
      <c r="J1544" s="50"/>
    </row>
    <row r="1545" spans="9:16">
      <c r="I1545" s="51" t="s">
        <v>89</v>
      </c>
    </row>
    <row r="1546" spans="9:16">
      <c r="I1546" s="51" t="s">
        <v>90</v>
      </c>
    </row>
    <row r="1547" spans="9:16">
      <c r="I1547" s="51" t="s">
        <v>91</v>
      </c>
    </row>
    <row r="1548" spans="9:16" ht="12" customHeight="1">
      <c r="I1548" s="50"/>
      <c r="J1548" s="50"/>
    </row>
    <row r="1549" spans="9:16" ht="15.75">
      <c r="I1549" s="260" t="s">
        <v>944</v>
      </c>
      <c r="O1549" s="52"/>
    </row>
    <row r="1550" spans="9:16" ht="15.75">
      <c r="I1550" s="53" t="s">
        <v>535</v>
      </c>
      <c r="O1550" s="53"/>
    </row>
    <row r="1551" spans="9:16" ht="16.5">
      <c r="I1551" s="894" t="s">
        <v>909</v>
      </c>
      <c r="J1551" s="894"/>
      <c r="K1551" s="894"/>
      <c r="L1551" s="894"/>
      <c r="M1551" s="894"/>
      <c r="N1551" s="894"/>
      <c r="O1551" s="894"/>
      <c r="P1551" s="894"/>
    </row>
    <row r="1552" spans="9:16" ht="15.75" thickBot="1"/>
    <row r="1553" spans="9:16">
      <c r="I1553" s="895" t="s">
        <v>94</v>
      </c>
      <c r="J1553" s="897" t="s">
        <v>95</v>
      </c>
      <c r="K1553" s="897" t="s">
        <v>96</v>
      </c>
      <c r="L1553" s="897" t="s">
        <v>3</v>
      </c>
      <c r="M1553" s="897" t="s">
        <v>97</v>
      </c>
      <c r="N1553" s="897" t="s">
        <v>98</v>
      </c>
      <c r="O1553" s="897" t="s">
        <v>99</v>
      </c>
      <c r="P1553" s="899"/>
    </row>
    <row r="1554" spans="9:16" ht="15.75" thickBot="1">
      <c r="I1554" s="896"/>
      <c r="J1554" s="898"/>
      <c r="K1554" s="898"/>
      <c r="L1554" s="898"/>
      <c r="M1554" s="898"/>
      <c r="N1554" s="898"/>
      <c r="O1554" s="240" t="s">
        <v>100</v>
      </c>
      <c r="P1554" s="182" t="s">
        <v>101</v>
      </c>
    </row>
    <row r="1555" spans="9:16">
      <c r="I1555" s="881">
        <v>194</v>
      </c>
      <c r="J1555" s="875">
        <v>42515</v>
      </c>
      <c r="K1555" s="877" t="s">
        <v>272</v>
      </c>
      <c r="L1555" s="879" t="s">
        <v>945</v>
      </c>
      <c r="M1555" s="881" t="s">
        <v>115</v>
      </c>
      <c r="N1555" s="883">
        <v>100000</v>
      </c>
      <c r="O1555" s="55">
        <v>719</v>
      </c>
      <c r="P1555" s="78">
        <v>100000</v>
      </c>
    </row>
    <row r="1556" spans="9:16" ht="15.75" thickBot="1">
      <c r="I1556" s="882"/>
      <c r="J1556" s="876"/>
      <c r="K1556" s="878"/>
      <c r="L1556" s="880"/>
      <c r="M1556" s="882"/>
      <c r="N1556" s="884"/>
      <c r="O1556" s="56">
        <v>721</v>
      </c>
      <c r="P1556" s="79">
        <f>+N1555-P1555</f>
        <v>0</v>
      </c>
    </row>
    <row r="1557" spans="9:16" ht="15" customHeight="1">
      <c r="I1557" s="881">
        <v>195</v>
      </c>
      <c r="J1557" s="875">
        <v>42515</v>
      </c>
      <c r="K1557" s="877" t="s">
        <v>28</v>
      </c>
      <c r="L1557" s="879" t="s">
        <v>946</v>
      </c>
      <c r="M1557" s="881" t="s">
        <v>115</v>
      </c>
      <c r="N1557" s="883">
        <v>70000</v>
      </c>
      <c r="O1557" s="55">
        <v>719</v>
      </c>
      <c r="P1557" s="78">
        <v>70000</v>
      </c>
    </row>
    <row r="1558" spans="9:16" ht="15.75" customHeight="1" thickBot="1">
      <c r="I1558" s="882"/>
      <c r="J1558" s="876"/>
      <c r="K1558" s="878"/>
      <c r="L1558" s="880"/>
      <c r="M1558" s="882"/>
      <c r="N1558" s="884"/>
      <c r="O1558" s="56">
        <v>721</v>
      </c>
      <c r="P1558" s="79">
        <f>+N1557-P1557</f>
        <v>0</v>
      </c>
    </row>
    <row r="1559" spans="9:16">
      <c r="I1559" s="881"/>
      <c r="J1559" s="875"/>
      <c r="K1559" s="877"/>
      <c r="L1559" s="881"/>
      <c r="M1559" s="881"/>
      <c r="N1559" s="883"/>
      <c r="O1559" s="55">
        <v>719</v>
      </c>
      <c r="P1559" s="78"/>
    </row>
    <row r="1560" spans="9:16" ht="15.75" thickBot="1">
      <c r="I1560" s="882"/>
      <c r="J1560" s="876"/>
      <c r="K1560" s="878"/>
      <c r="L1560" s="882"/>
      <c r="M1560" s="882"/>
      <c r="N1560" s="884"/>
      <c r="O1560" s="56">
        <v>721</v>
      </c>
      <c r="P1560" s="79">
        <f>+N1559-P1559</f>
        <v>0</v>
      </c>
    </row>
    <row r="1561" spans="9:16">
      <c r="I1561" s="881"/>
      <c r="J1561" s="875"/>
      <c r="K1561" s="877"/>
      <c r="L1561" s="879"/>
      <c r="M1561" s="881"/>
      <c r="N1561" s="883"/>
      <c r="O1561" s="55">
        <v>719</v>
      </c>
      <c r="P1561" s="78"/>
    </row>
    <row r="1562" spans="9:16" ht="15.75" thickBot="1">
      <c r="I1562" s="882"/>
      <c r="J1562" s="876"/>
      <c r="K1562" s="878"/>
      <c r="L1562" s="880"/>
      <c r="M1562" s="882"/>
      <c r="N1562" s="884"/>
      <c r="O1562" s="56">
        <v>721</v>
      </c>
      <c r="P1562" s="79">
        <f>+N1561-P1561</f>
        <v>0</v>
      </c>
    </row>
    <row r="1563" spans="9:16">
      <c r="I1563" s="881"/>
      <c r="J1563" s="875"/>
      <c r="K1563" s="877"/>
      <c r="L1563" s="881"/>
      <c r="M1563" s="881"/>
      <c r="N1563" s="883"/>
      <c r="O1563" s="55">
        <v>719</v>
      </c>
      <c r="P1563" s="78"/>
    </row>
    <row r="1564" spans="9:16" ht="15.75" thickBot="1">
      <c r="I1564" s="882"/>
      <c r="J1564" s="876"/>
      <c r="K1564" s="878"/>
      <c r="L1564" s="882"/>
      <c r="M1564" s="882"/>
      <c r="N1564" s="884"/>
      <c r="O1564" s="56">
        <v>721</v>
      </c>
      <c r="P1564" s="79">
        <f>+N1563-P1563</f>
        <v>0</v>
      </c>
    </row>
    <row r="1565" spans="9:16" ht="16.5" thickBot="1">
      <c r="I1565" s="901" t="s">
        <v>102</v>
      </c>
      <c r="J1565" s="902"/>
      <c r="K1565" s="902"/>
      <c r="L1565" s="902"/>
      <c r="M1565" s="903"/>
      <c r="N1565" s="81">
        <f>SUM(N1555:N1564)</f>
        <v>170000</v>
      </c>
    </row>
    <row r="1566" spans="9:16" ht="16.5" thickBot="1">
      <c r="I1566" s="885" t="s">
        <v>103</v>
      </c>
      <c r="J1566" s="886"/>
      <c r="K1566" s="886"/>
      <c r="L1566" s="886"/>
      <c r="M1566" s="887"/>
      <c r="N1566" s="69">
        <f>+N1530</f>
        <v>562887881</v>
      </c>
      <c r="O1566" s="241" t="s">
        <v>561</v>
      </c>
      <c r="P1566" s="242">
        <f>108+281</f>
        <v>389</v>
      </c>
    </row>
    <row r="1567" spans="9:16" ht="16.5" thickBot="1">
      <c r="I1567" s="888" t="s">
        <v>104</v>
      </c>
      <c r="J1567" s="889"/>
      <c r="K1567" s="889"/>
      <c r="L1567" s="889"/>
      <c r="M1567" s="890"/>
      <c r="N1567" s="183">
        <f>SUM(N1565:N1566)</f>
        <v>563057881</v>
      </c>
    </row>
    <row r="1568" spans="9:16">
      <c r="I1568" s="61"/>
      <c r="J1568" s="61"/>
      <c r="K1568" s="61"/>
      <c r="L1568" s="61"/>
      <c r="M1568" s="61"/>
    </row>
    <row r="1569" spans="9:15">
      <c r="I1569" s="51" t="s">
        <v>947</v>
      </c>
    </row>
    <row r="1570" spans="9:15" ht="12.75" customHeight="1">
      <c r="N1570" s="139"/>
    </row>
    <row r="1571" spans="9:15">
      <c r="I1571" s="50" t="s">
        <v>105</v>
      </c>
      <c r="L1571" s="146"/>
      <c r="N1571" s="139"/>
    </row>
    <row r="1572" spans="9:15" ht="10.5" customHeight="1" thickBot="1"/>
    <row r="1573" spans="9:15" ht="15.75" thickBot="1">
      <c r="I1573" s="891" t="s">
        <v>106</v>
      </c>
      <c r="J1573" s="892"/>
      <c r="K1573" s="892"/>
      <c r="L1573" s="893"/>
      <c r="N1573" s="50" t="s">
        <v>288</v>
      </c>
    </row>
    <row r="1574" spans="9:15" ht="30.75" thickBot="1">
      <c r="I1574" s="57" t="s">
        <v>100</v>
      </c>
      <c r="J1574" s="58" t="s">
        <v>108</v>
      </c>
      <c r="K1574" s="287" t="s">
        <v>109</v>
      </c>
      <c r="L1574" s="60" t="s">
        <v>110</v>
      </c>
    </row>
    <row r="1575" spans="9:15">
      <c r="I1575" s="71">
        <v>719</v>
      </c>
      <c r="J1575" s="73">
        <f>+P1555+P1557+P1559+P1561+P1563</f>
        <v>170000</v>
      </c>
      <c r="K1575" s="74">
        <f>+L1538</f>
        <v>31920000</v>
      </c>
      <c r="L1575" s="195">
        <f>+J1575+K1575</f>
        <v>32090000</v>
      </c>
    </row>
    <row r="1576" spans="9:15">
      <c r="I1576" s="72">
        <v>721</v>
      </c>
      <c r="J1576" s="80">
        <v>0</v>
      </c>
      <c r="K1576" s="74">
        <f>+L1539</f>
        <v>82189981</v>
      </c>
      <c r="L1576" s="195">
        <f>+J1576+K1576</f>
        <v>82189981</v>
      </c>
    </row>
    <row r="1577" spans="9:15">
      <c r="I1577" s="72">
        <v>722</v>
      </c>
      <c r="J1577" s="80"/>
      <c r="K1577" s="74">
        <f>+L1540</f>
        <v>42881706</v>
      </c>
      <c r="L1577" s="195">
        <f>+J1577+K1577</f>
        <v>42881706</v>
      </c>
    </row>
    <row r="1578" spans="9:15" ht="15.75">
      <c r="I1578" s="72">
        <v>723</v>
      </c>
      <c r="J1578" s="80">
        <f>+P1564+P1562+P1560+P1558+P1556</f>
        <v>0</v>
      </c>
      <c r="K1578" s="74">
        <f>+L1541</f>
        <v>405826194</v>
      </c>
      <c r="L1578" s="195">
        <f>+J1578+K1578</f>
        <v>405826194</v>
      </c>
      <c r="N1578" s="193" t="s">
        <v>289</v>
      </c>
      <c r="O1578" s="175"/>
    </row>
    <row r="1579" spans="9:15" ht="16.5" thickBot="1">
      <c r="I1579" s="164" t="s">
        <v>181</v>
      </c>
      <c r="J1579" s="165"/>
      <c r="K1579" s="74">
        <f>+L1542</f>
        <v>0</v>
      </c>
      <c r="L1579" s="196">
        <f>+J1579+K1579</f>
        <v>0</v>
      </c>
      <c r="N1579" s="52"/>
    </row>
    <row r="1580" spans="9:15" ht="16.5" thickBot="1">
      <c r="I1580" s="169"/>
      <c r="J1580" s="197">
        <f>SUM(J1575:J1579)</f>
        <v>170000</v>
      </c>
      <c r="K1580" s="197">
        <f>SUM(K1575:K1579)</f>
        <v>562817881</v>
      </c>
      <c r="L1580" s="198">
        <f>SUM(L1575:L1579)</f>
        <v>562987881</v>
      </c>
    </row>
    <row r="1581" spans="9:15" ht="16.5">
      <c r="I1581" s="49" t="s">
        <v>88</v>
      </c>
      <c r="J1581" s="50"/>
    </row>
    <row r="1582" spans="9:15">
      <c r="I1582" s="51" t="s">
        <v>89</v>
      </c>
    </row>
    <row r="1583" spans="9:15">
      <c r="I1583" s="51" t="s">
        <v>90</v>
      </c>
    </row>
    <row r="1584" spans="9:15">
      <c r="I1584" s="51" t="s">
        <v>91</v>
      </c>
    </row>
    <row r="1585" spans="9:16" ht="12" customHeight="1">
      <c r="I1585" s="50"/>
      <c r="J1585" s="50"/>
    </row>
    <row r="1586" spans="9:16" ht="15.75">
      <c r="I1586" s="260" t="s">
        <v>948</v>
      </c>
      <c r="O1586" s="52"/>
    </row>
    <row r="1587" spans="9:16" ht="15.75">
      <c r="I1587" s="53" t="s">
        <v>535</v>
      </c>
      <c r="O1587" s="53"/>
    </row>
    <row r="1588" spans="9:16" ht="16.5">
      <c r="I1588" s="894" t="s">
        <v>909</v>
      </c>
      <c r="J1588" s="894"/>
      <c r="K1588" s="894"/>
      <c r="L1588" s="894"/>
      <c r="M1588" s="894"/>
      <c r="N1588" s="894"/>
      <c r="O1588" s="894"/>
      <c r="P1588" s="894"/>
    </row>
    <row r="1589" spans="9:16" ht="15.75" thickBot="1"/>
    <row r="1590" spans="9:16">
      <c r="I1590" s="895" t="s">
        <v>94</v>
      </c>
      <c r="J1590" s="897" t="s">
        <v>95</v>
      </c>
      <c r="K1590" s="897" t="s">
        <v>96</v>
      </c>
      <c r="L1590" s="897" t="s">
        <v>3</v>
      </c>
      <c r="M1590" s="897" t="s">
        <v>97</v>
      </c>
      <c r="N1590" s="897" t="s">
        <v>98</v>
      </c>
      <c r="O1590" s="897" t="s">
        <v>99</v>
      </c>
      <c r="P1590" s="899"/>
    </row>
    <row r="1591" spans="9:16" ht="15.75" thickBot="1">
      <c r="I1591" s="896"/>
      <c r="J1591" s="898"/>
      <c r="K1591" s="898"/>
      <c r="L1591" s="898"/>
      <c r="M1591" s="898"/>
      <c r="N1591" s="898"/>
      <c r="O1591" s="240" t="s">
        <v>100</v>
      </c>
      <c r="P1591" s="182" t="s">
        <v>101</v>
      </c>
    </row>
    <row r="1592" spans="9:16">
      <c r="I1592" s="881">
        <v>196</v>
      </c>
      <c r="J1592" s="875">
        <v>42520</v>
      </c>
      <c r="K1592" s="877" t="s">
        <v>272</v>
      </c>
      <c r="L1592" s="879" t="s">
        <v>951</v>
      </c>
      <c r="M1592" s="881" t="s">
        <v>115</v>
      </c>
      <c r="N1592" s="883">
        <v>140000</v>
      </c>
      <c r="O1592" s="55">
        <v>719</v>
      </c>
      <c r="P1592" s="78">
        <v>140000</v>
      </c>
    </row>
    <row r="1593" spans="9:16" ht="15.75" thickBot="1">
      <c r="I1593" s="882"/>
      <c r="J1593" s="876"/>
      <c r="K1593" s="878"/>
      <c r="L1593" s="880"/>
      <c r="M1593" s="882"/>
      <c r="N1593" s="884"/>
      <c r="O1593" s="56">
        <v>721</v>
      </c>
      <c r="P1593" s="79">
        <f>+N1592-P1592</f>
        <v>0</v>
      </c>
    </row>
    <row r="1594" spans="9:16">
      <c r="I1594" s="881">
        <v>197</v>
      </c>
      <c r="J1594" s="875">
        <v>42520</v>
      </c>
      <c r="K1594" s="877" t="s">
        <v>28</v>
      </c>
      <c r="L1594" s="879" t="s">
        <v>952</v>
      </c>
      <c r="M1594" s="881" t="s">
        <v>115</v>
      </c>
      <c r="N1594" s="883">
        <v>60000</v>
      </c>
      <c r="O1594" s="55">
        <v>719</v>
      </c>
      <c r="P1594" s="78">
        <v>60000</v>
      </c>
    </row>
    <row r="1595" spans="9:16" ht="15.75" thickBot="1">
      <c r="I1595" s="882"/>
      <c r="J1595" s="876"/>
      <c r="K1595" s="878"/>
      <c r="L1595" s="880"/>
      <c r="M1595" s="882"/>
      <c r="N1595" s="884"/>
      <c r="O1595" s="56">
        <v>721</v>
      </c>
      <c r="P1595" s="79">
        <f>+N1594-P1594</f>
        <v>0</v>
      </c>
    </row>
    <row r="1596" spans="9:16" ht="15" customHeight="1">
      <c r="I1596" s="881">
        <v>198</v>
      </c>
      <c r="J1596" s="875">
        <v>42520</v>
      </c>
      <c r="K1596" s="877" t="s">
        <v>120</v>
      </c>
      <c r="L1596" s="879" t="s">
        <v>953</v>
      </c>
      <c r="M1596" s="881" t="s">
        <v>115</v>
      </c>
      <c r="N1596" s="883">
        <v>60000</v>
      </c>
      <c r="O1596" s="55">
        <v>719</v>
      </c>
      <c r="P1596" s="78">
        <v>60000</v>
      </c>
    </row>
    <row r="1597" spans="9:16" ht="15.75" customHeight="1" thickBot="1">
      <c r="I1597" s="882"/>
      <c r="J1597" s="876"/>
      <c r="K1597" s="878"/>
      <c r="L1597" s="880"/>
      <c r="M1597" s="882"/>
      <c r="N1597" s="884"/>
      <c r="O1597" s="56">
        <v>721</v>
      </c>
      <c r="P1597" s="79">
        <f>+N1596-P1596</f>
        <v>0</v>
      </c>
    </row>
    <row r="1598" spans="9:16">
      <c r="I1598" s="881"/>
      <c r="J1598" s="875"/>
      <c r="K1598" s="877"/>
      <c r="L1598" s="879"/>
      <c r="M1598" s="881"/>
      <c r="N1598" s="883"/>
      <c r="O1598" s="55">
        <v>719</v>
      </c>
      <c r="P1598" s="78"/>
    </row>
    <row r="1599" spans="9:16" ht="15.75" thickBot="1">
      <c r="I1599" s="882"/>
      <c r="J1599" s="876"/>
      <c r="K1599" s="878"/>
      <c r="L1599" s="880"/>
      <c r="M1599" s="882"/>
      <c r="N1599" s="884"/>
      <c r="O1599" s="56">
        <v>721</v>
      </c>
      <c r="P1599" s="79">
        <f>+N1598-P1598</f>
        <v>0</v>
      </c>
    </row>
    <row r="1600" spans="9:16">
      <c r="I1600" s="881"/>
      <c r="J1600" s="875"/>
      <c r="K1600" s="877"/>
      <c r="L1600" s="881"/>
      <c r="M1600" s="881"/>
      <c r="N1600" s="883"/>
      <c r="O1600" s="55">
        <v>719</v>
      </c>
      <c r="P1600" s="78"/>
    </row>
    <row r="1601" spans="9:16" ht="15.75" thickBot="1">
      <c r="I1601" s="882"/>
      <c r="J1601" s="876"/>
      <c r="K1601" s="878"/>
      <c r="L1601" s="882"/>
      <c r="M1601" s="882"/>
      <c r="N1601" s="884"/>
      <c r="O1601" s="56">
        <v>721</v>
      </c>
      <c r="P1601" s="79">
        <f>+N1600-P1600</f>
        <v>0</v>
      </c>
    </row>
    <row r="1602" spans="9:16" ht="16.5" thickBot="1">
      <c r="I1602" s="901" t="s">
        <v>102</v>
      </c>
      <c r="J1602" s="902"/>
      <c r="K1602" s="902"/>
      <c r="L1602" s="902"/>
      <c r="M1602" s="903"/>
      <c r="N1602" s="81">
        <f>SUM(N1592:N1601)</f>
        <v>260000</v>
      </c>
    </row>
    <row r="1603" spans="9:16" ht="16.5" thickBot="1">
      <c r="I1603" s="885" t="s">
        <v>103</v>
      </c>
      <c r="J1603" s="886"/>
      <c r="K1603" s="886"/>
      <c r="L1603" s="886"/>
      <c r="M1603" s="887"/>
      <c r="N1603" s="69">
        <f>+N1567</f>
        <v>563057881</v>
      </c>
      <c r="O1603" s="241" t="s">
        <v>561</v>
      </c>
      <c r="P1603" s="242">
        <f>108+281</f>
        <v>389</v>
      </c>
    </row>
    <row r="1604" spans="9:16" ht="16.5" thickBot="1">
      <c r="I1604" s="888" t="s">
        <v>104</v>
      </c>
      <c r="J1604" s="889"/>
      <c r="K1604" s="889"/>
      <c r="L1604" s="889"/>
      <c r="M1604" s="890"/>
      <c r="N1604" s="183">
        <f>SUM(N1602:N1603)</f>
        <v>563317881</v>
      </c>
    </row>
    <row r="1605" spans="9:16">
      <c r="I1605" s="61"/>
      <c r="J1605" s="61"/>
      <c r="K1605" s="61"/>
      <c r="L1605" s="61"/>
      <c r="M1605" s="61"/>
    </row>
    <row r="1606" spans="9:16">
      <c r="I1606" s="51" t="s">
        <v>954</v>
      </c>
    </row>
    <row r="1607" spans="9:16" ht="12.75" customHeight="1">
      <c r="N1607" s="139"/>
    </row>
    <row r="1608" spans="9:16">
      <c r="I1608" s="50" t="s">
        <v>105</v>
      </c>
      <c r="L1608" s="146"/>
      <c r="N1608" s="139"/>
    </row>
    <row r="1609" spans="9:16" ht="11.25" customHeight="1" thickBot="1"/>
    <row r="1610" spans="9:16" ht="15.75" thickBot="1">
      <c r="I1610" s="891" t="s">
        <v>106</v>
      </c>
      <c r="J1610" s="892"/>
      <c r="K1610" s="892"/>
      <c r="L1610" s="893"/>
      <c r="N1610" s="50" t="s">
        <v>288</v>
      </c>
    </row>
    <row r="1611" spans="9:16" ht="30.75" thickBot="1">
      <c r="I1611" s="57" t="s">
        <v>100</v>
      </c>
      <c r="J1611" s="58" t="s">
        <v>108</v>
      </c>
      <c r="K1611" s="287" t="s">
        <v>109</v>
      </c>
      <c r="L1611" s="60" t="s">
        <v>110</v>
      </c>
    </row>
    <row r="1612" spans="9:16">
      <c r="I1612" s="71">
        <v>719</v>
      </c>
      <c r="J1612" s="73">
        <f>+P1592+P1594+P1596+P1598+P1600</f>
        <v>260000</v>
      </c>
      <c r="K1612" s="74">
        <f>+L1575</f>
        <v>32090000</v>
      </c>
      <c r="L1612" s="195">
        <f>+J1612+K1612</f>
        <v>32350000</v>
      </c>
    </row>
    <row r="1613" spans="9:16">
      <c r="I1613" s="72">
        <v>721</v>
      </c>
      <c r="J1613" s="80">
        <v>0</v>
      </c>
      <c r="K1613" s="74">
        <f>+L1576</f>
        <v>82189981</v>
      </c>
      <c r="L1613" s="195">
        <f>+J1613+K1613</f>
        <v>82189981</v>
      </c>
    </row>
    <row r="1614" spans="9:16">
      <c r="I1614" s="72">
        <v>722</v>
      </c>
      <c r="J1614" s="80"/>
      <c r="K1614" s="74">
        <f>+L1577</f>
        <v>42881706</v>
      </c>
      <c r="L1614" s="195">
        <f>+J1614+K1614</f>
        <v>42881706</v>
      </c>
    </row>
    <row r="1615" spans="9:16" ht="15.75">
      <c r="I1615" s="72">
        <v>723</v>
      </c>
      <c r="J1615" s="80">
        <f>+P1601+P1599+P1597+P1595+P1593</f>
        <v>0</v>
      </c>
      <c r="K1615" s="74">
        <f>+L1578</f>
        <v>405826194</v>
      </c>
      <c r="L1615" s="195">
        <f>+J1615+K1615</f>
        <v>405826194</v>
      </c>
      <c r="N1615" s="193" t="s">
        <v>289</v>
      </c>
      <c r="O1615" s="175"/>
    </row>
    <row r="1616" spans="9:16" ht="16.5" thickBot="1">
      <c r="I1616" s="164" t="s">
        <v>181</v>
      </c>
      <c r="J1616" s="165"/>
      <c r="K1616" s="74">
        <f>+L1579</f>
        <v>0</v>
      </c>
      <c r="L1616" s="196">
        <f>+J1616+K1616</f>
        <v>0</v>
      </c>
      <c r="N1616" s="52"/>
    </row>
    <row r="1617" spans="9:16" ht="16.5" thickBot="1">
      <c r="I1617" s="169"/>
      <c r="J1617" s="197">
        <f>SUM(J1612:J1616)</f>
        <v>260000</v>
      </c>
      <c r="K1617" s="197">
        <f>SUM(K1612:K1616)</f>
        <v>562987881</v>
      </c>
      <c r="L1617" s="198">
        <f>SUM(L1612:L1616)</f>
        <v>563247881</v>
      </c>
    </row>
    <row r="1618" spans="9:16" ht="16.5">
      <c r="I1618" s="49" t="s">
        <v>88</v>
      </c>
      <c r="J1618" s="50"/>
    </row>
    <row r="1619" spans="9:16">
      <c r="I1619" s="51" t="s">
        <v>89</v>
      </c>
    </row>
    <row r="1620" spans="9:16">
      <c r="I1620" s="51" t="s">
        <v>90</v>
      </c>
    </row>
    <row r="1621" spans="9:16">
      <c r="I1621" s="51" t="s">
        <v>91</v>
      </c>
    </row>
    <row r="1622" spans="9:16" ht="12" customHeight="1">
      <c r="I1622" s="50"/>
      <c r="J1622" s="50"/>
    </row>
    <row r="1623" spans="9:16" ht="15.75">
      <c r="I1623" s="260" t="s">
        <v>949</v>
      </c>
      <c r="O1623" s="52"/>
    </row>
    <row r="1624" spans="9:16" ht="15.75">
      <c r="I1624" s="53" t="s">
        <v>535</v>
      </c>
      <c r="O1624" s="53"/>
    </row>
    <row r="1625" spans="9:16" ht="16.5">
      <c r="I1625" s="894" t="s">
        <v>909</v>
      </c>
      <c r="J1625" s="894"/>
      <c r="K1625" s="894"/>
      <c r="L1625" s="894"/>
      <c r="M1625" s="894"/>
      <c r="N1625" s="894"/>
      <c r="O1625" s="894"/>
      <c r="P1625" s="894"/>
    </row>
    <row r="1626" spans="9:16" ht="15.75" thickBot="1"/>
    <row r="1627" spans="9:16">
      <c r="I1627" s="895" t="s">
        <v>94</v>
      </c>
      <c r="J1627" s="897" t="s">
        <v>95</v>
      </c>
      <c r="K1627" s="897" t="s">
        <v>96</v>
      </c>
      <c r="L1627" s="897" t="s">
        <v>3</v>
      </c>
      <c r="M1627" s="897" t="s">
        <v>97</v>
      </c>
      <c r="N1627" s="897" t="s">
        <v>98</v>
      </c>
      <c r="O1627" s="897" t="s">
        <v>99</v>
      </c>
      <c r="P1627" s="899"/>
    </row>
    <row r="1628" spans="9:16" ht="15.75" thickBot="1">
      <c r="I1628" s="896"/>
      <c r="J1628" s="898"/>
      <c r="K1628" s="898"/>
      <c r="L1628" s="898"/>
      <c r="M1628" s="898"/>
      <c r="N1628" s="898"/>
      <c r="O1628" s="240" t="s">
        <v>100</v>
      </c>
      <c r="P1628" s="182" t="s">
        <v>101</v>
      </c>
    </row>
    <row r="1629" spans="9:16" ht="15" customHeight="1">
      <c r="I1629" s="881">
        <v>199</v>
      </c>
      <c r="J1629" s="875">
        <v>42520</v>
      </c>
      <c r="K1629" s="877" t="s">
        <v>267</v>
      </c>
      <c r="L1629" s="879" t="s">
        <v>955</v>
      </c>
      <c r="M1629" s="881" t="s">
        <v>148</v>
      </c>
      <c r="N1629" s="883">
        <v>42000</v>
      </c>
      <c r="O1629" s="55">
        <v>719</v>
      </c>
      <c r="P1629" s="78">
        <v>30000</v>
      </c>
    </row>
    <row r="1630" spans="9:16" ht="15.75" customHeight="1" thickBot="1">
      <c r="I1630" s="882"/>
      <c r="J1630" s="876"/>
      <c r="K1630" s="878"/>
      <c r="L1630" s="880"/>
      <c r="M1630" s="882"/>
      <c r="N1630" s="884"/>
      <c r="O1630" s="56">
        <v>721</v>
      </c>
      <c r="P1630" s="79">
        <f>+N1629-P1629</f>
        <v>12000</v>
      </c>
    </row>
    <row r="1631" spans="9:16" ht="15" customHeight="1">
      <c r="I1631" s="881">
        <v>200</v>
      </c>
      <c r="J1631" s="875">
        <v>42520</v>
      </c>
      <c r="K1631" s="877" t="s">
        <v>28</v>
      </c>
      <c r="L1631" s="879" t="s">
        <v>956</v>
      </c>
      <c r="M1631" s="881" t="s">
        <v>148</v>
      </c>
      <c r="N1631" s="883">
        <v>224000</v>
      </c>
      <c r="O1631" s="55">
        <v>719</v>
      </c>
      <c r="P1631" s="78">
        <v>160000</v>
      </c>
    </row>
    <row r="1632" spans="9:16" ht="15.75" customHeight="1" thickBot="1">
      <c r="I1632" s="882"/>
      <c r="J1632" s="876"/>
      <c r="K1632" s="878"/>
      <c r="L1632" s="880"/>
      <c r="M1632" s="882"/>
      <c r="N1632" s="884"/>
      <c r="O1632" s="56">
        <v>721</v>
      </c>
      <c r="P1632" s="79">
        <f>+N1631-P1631</f>
        <v>64000</v>
      </c>
    </row>
    <row r="1633" spans="9:16" ht="15" customHeight="1">
      <c r="I1633" s="881">
        <v>201</v>
      </c>
      <c r="J1633" s="875">
        <v>42520</v>
      </c>
      <c r="K1633" s="877" t="s">
        <v>111</v>
      </c>
      <c r="L1633" s="879" t="s">
        <v>957</v>
      </c>
      <c r="M1633" s="881" t="s">
        <v>148</v>
      </c>
      <c r="N1633" s="883">
        <v>56000</v>
      </c>
      <c r="O1633" s="55">
        <v>719</v>
      </c>
      <c r="P1633" s="78">
        <v>40000</v>
      </c>
    </row>
    <row r="1634" spans="9:16" ht="15.75" customHeight="1" thickBot="1">
      <c r="I1634" s="882"/>
      <c r="J1634" s="876"/>
      <c r="K1634" s="878"/>
      <c r="L1634" s="880"/>
      <c r="M1634" s="882"/>
      <c r="N1634" s="884"/>
      <c r="O1634" s="56">
        <v>721</v>
      </c>
      <c r="P1634" s="79">
        <f>+N1633-P1633</f>
        <v>16000</v>
      </c>
    </row>
    <row r="1635" spans="9:16" ht="15" customHeight="1">
      <c r="I1635" s="881">
        <v>202</v>
      </c>
      <c r="J1635" s="875">
        <v>42520</v>
      </c>
      <c r="K1635" s="877" t="s">
        <v>272</v>
      </c>
      <c r="L1635" s="879" t="s">
        <v>956</v>
      </c>
      <c r="M1635" s="881" t="s">
        <v>148</v>
      </c>
      <c r="N1635" s="883">
        <v>546000</v>
      </c>
      <c r="O1635" s="55">
        <v>719</v>
      </c>
      <c r="P1635" s="78">
        <v>390000</v>
      </c>
    </row>
    <row r="1636" spans="9:16" ht="15.75" customHeight="1" thickBot="1">
      <c r="I1636" s="882"/>
      <c r="J1636" s="876"/>
      <c r="K1636" s="878"/>
      <c r="L1636" s="880"/>
      <c r="M1636" s="882"/>
      <c r="N1636" s="884"/>
      <c r="O1636" s="56">
        <v>721</v>
      </c>
      <c r="P1636" s="79">
        <f>+N1635-P1635</f>
        <v>156000</v>
      </c>
    </row>
    <row r="1637" spans="9:16">
      <c r="I1637" s="881"/>
      <c r="J1637" s="875"/>
      <c r="K1637" s="877"/>
      <c r="L1637" s="881"/>
      <c r="M1637" s="881"/>
      <c r="N1637" s="883"/>
      <c r="O1637" s="55">
        <v>719</v>
      </c>
      <c r="P1637" s="78"/>
    </row>
    <row r="1638" spans="9:16" ht="15.75" thickBot="1">
      <c r="I1638" s="882"/>
      <c r="J1638" s="876"/>
      <c r="K1638" s="878"/>
      <c r="L1638" s="882"/>
      <c r="M1638" s="882"/>
      <c r="N1638" s="884"/>
      <c r="O1638" s="56">
        <v>721</v>
      </c>
      <c r="P1638" s="79">
        <f>+N1637-P1637</f>
        <v>0</v>
      </c>
    </row>
    <row r="1639" spans="9:16" ht="16.5" thickBot="1">
      <c r="I1639" s="901" t="s">
        <v>102</v>
      </c>
      <c r="J1639" s="902"/>
      <c r="K1639" s="902"/>
      <c r="L1639" s="902"/>
      <c r="M1639" s="903"/>
      <c r="N1639" s="81">
        <f>SUM(N1629:N1638)</f>
        <v>868000</v>
      </c>
    </row>
    <row r="1640" spans="9:16" ht="16.5" thickBot="1">
      <c r="I1640" s="885" t="s">
        <v>103</v>
      </c>
      <c r="J1640" s="886"/>
      <c r="K1640" s="886"/>
      <c r="L1640" s="886"/>
      <c r="M1640" s="887"/>
      <c r="N1640" s="69">
        <f>+N1604</f>
        <v>563317881</v>
      </c>
      <c r="O1640" s="241" t="s">
        <v>561</v>
      </c>
      <c r="P1640" s="242">
        <f>941+20+470+17</f>
        <v>1448</v>
      </c>
    </row>
    <row r="1641" spans="9:16" ht="16.5" thickBot="1">
      <c r="I1641" s="888" t="s">
        <v>104</v>
      </c>
      <c r="J1641" s="889"/>
      <c r="K1641" s="889"/>
      <c r="L1641" s="889"/>
      <c r="M1641" s="890"/>
      <c r="N1641" s="183">
        <f>SUM(N1639:N1640)</f>
        <v>564185881</v>
      </c>
    </row>
    <row r="1642" spans="9:16">
      <c r="I1642" s="61"/>
      <c r="J1642" s="61"/>
      <c r="K1642" s="61"/>
      <c r="L1642" s="61"/>
      <c r="M1642" s="61"/>
    </row>
    <row r="1643" spans="9:16">
      <c r="I1643" s="51" t="s">
        <v>962</v>
      </c>
    </row>
    <row r="1644" spans="9:16" ht="11.25" customHeight="1">
      <c r="N1644" s="139"/>
    </row>
    <row r="1645" spans="9:16">
      <c r="I1645" s="50" t="s">
        <v>105</v>
      </c>
      <c r="L1645" s="146"/>
      <c r="N1645" s="139"/>
    </row>
    <row r="1646" spans="9:16" ht="13.5" customHeight="1" thickBot="1"/>
    <row r="1647" spans="9:16" ht="15.75" thickBot="1">
      <c r="I1647" s="891" t="s">
        <v>106</v>
      </c>
      <c r="J1647" s="892"/>
      <c r="K1647" s="892"/>
      <c r="L1647" s="893"/>
      <c r="N1647" s="50" t="s">
        <v>288</v>
      </c>
    </row>
    <row r="1648" spans="9:16" ht="30.75" thickBot="1">
      <c r="I1648" s="57" t="s">
        <v>100</v>
      </c>
      <c r="J1648" s="58" t="s">
        <v>108</v>
      </c>
      <c r="K1648" s="287" t="s">
        <v>109</v>
      </c>
      <c r="L1648" s="60" t="s">
        <v>110</v>
      </c>
    </row>
    <row r="1649" spans="9:16">
      <c r="I1649" s="71">
        <v>719</v>
      </c>
      <c r="J1649" s="73">
        <f>+P1629+P1631+P1633+P1635+P1637</f>
        <v>620000</v>
      </c>
      <c r="K1649" s="74">
        <f>+L1612</f>
        <v>32350000</v>
      </c>
      <c r="L1649" s="195">
        <f>+J1649+K1649</f>
        <v>32970000</v>
      </c>
    </row>
    <row r="1650" spans="9:16">
      <c r="I1650" s="72">
        <v>721</v>
      </c>
      <c r="J1650" s="80">
        <f>+P1630+P1632+P1634+P1636</f>
        <v>248000</v>
      </c>
      <c r="K1650" s="74">
        <f>+L1613</f>
        <v>82189981</v>
      </c>
      <c r="L1650" s="195">
        <f>+J1650+K1650</f>
        <v>82437981</v>
      </c>
    </row>
    <row r="1651" spans="9:16">
      <c r="I1651" s="72">
        <v>722</v>
      </c>
      <c r="J1651" s="80"/>
      <c r="K1651" s="74">
        <f>+L1614</f>
        <v>42881706</v>
      </c>
      <c r="L1651" s="195">
        <f>+J1651+K1651</f>
        <v>42881706</v>
      </c>
    </row>
    <row r="1652" spans="9:16" ht="15.75">
      <c r="I1652" s="72">
        <v>723</v>
      </c>
      <c r="J1652" s="80"/>
      <c r="K1652" s="74">
        <f>+L1615</f>
        <v>405826194</v>
      </c>
      <c r="L1652" s="195">
        <f>+J1652+K1652</f>
        <v>405826194</v>
      </c>
      <c r="N1652" s="193" t="s">
        <v>289</v>
      </c>
      <c r="O1652" s="175"/>
    </row>
    <row r="1653" spans="9:16" ht="16.5" thickBot="1">
      <c r="I1653" s="164" t="s">
        <v>181</v>
      </c>
      <c r="J1653" s="165"/>
      <c r="K1653" s="74">
        <f>+L1616</f>
        <v>0</v>
      </c>
      <c r="L1653" s="196">
        <f>+J1653+K1653</f>
        <v>0</v>
      </c>
      <c r="N1653" s="52"/>
    </row>
    <row r="1654" spans="9:16" ht="16.5" thickBot="1">
      <c r="I1654" s="169"/>
      <c r="J1654" s="197">
        <f>SUM(J1649:J1653)</f>
        <v>868000</v>
      </c>
      <c r="K1654" s="197">
        <f>SUM(K1649:K1653)</f>
        <v>563247881</v>
      </c>
      <c r="L1654" s="198">
        <f>SUM(L1649:L1653)</f>
        <v>564115881</v>
      </c>
    </row>
    <row r="1655" spans="9:16" ht="16.5">
      <c r="I1655" s="49" t="s">
        <v>88</v>
      </c>
      <c r="J1655" s="50"/>
    </row>
    <row r="1656" spans="9:16">
      <c r="I1656" s="51" t="s">
        <v>89</v>
      </c>
    </row>
    <row r="1657" spans="9:16">
      <c r="I1657" s="51" t="s">
        <v>90</v>
      </c>
    </row>
    <row r="1658" spans="9:16">
      <c r="I1658" s="51" t="s">
        <v>91</v>
      </c>
    </row>
    <row r="1659" spans="9:16" ht="12.75" customHeight="1">
      <c r="I1659" s="50"/>
      <c r="J1659" s="50"/>
    </row>
    <row r="1660" spans="9:16" ht="15.75">
      <c r="I1660" s="260" t="s">
        <v>950</v>
      </c>
      <c r="O1660" s="52"/>
    </row>
    <row r="1661" spans="9:16" ht="15.75">
      <c r="I1661" s="53" t="s">
        <v>535</v>
      </c>
      <c r="O1661" s="53"/>
    </row>
    <row r="1662" spans="9:16" ht="16.5">
      <c r="I1662" s="894" t="s">
        <v>909</v>
      </c>
      <c r="J1662" s="894"/>
      <c r="K1662" s="894"/>
      <c r="L1662" s="894"/>
      <c r="M1662" s="894"/>
      <c r="N1662" s="894"/>
      <c r="O1662" s="894"/>
      <c r="P1662" s="894"/>
    </row>
    <row r="1663" spans="9:16" ht="15.75" thickBot="1"/>
    <row r="1664" spans="9:16">
      <c r="I1664" s="895" t="s">
        <v>94</v>
      </c>
      <c r="J1664" s="897" t="s">
        <v>95</v>
      </c>
      <c r="K1664" s="897" t="s">
        <v>96</v>
      </c>
      <c r="L1664" s="897" t="s">
        <v>3</v>
      </c>
      <c r="M1664" s="897" t="s">
        <v>97</v>
      </c>
      <c r="N1664" s="897" t="s">
        <v>98</v>
      </c>
      <c r="O1664" s="897" t="s">
        <v>99</v>
      </c>
      <c r="P1664" s="899"/>
    </row>
    <row r="1665" spans="9:16" ht="15.75" thickBot="1">
      <c r="I1665" s="896"/>
      <c r="J1665" s="898"/>
      <c r="K1665" s="898"/>
      <c r="L1665" s="898"/>
      <c r="M1665" s="898"/>
      <c r="N1665" s="898"/>
      <c r="O1665" s="240" t="s">
        <v>100</v>
      </c>
      <c r="P1665" s="182" t="s">
        <v>101</v>
      </c>
    </row>
    <row r="1666" spans="9:16" ht="15" customHeight="1">
      <c r="I1666" s="881">
        <v>203</v>
      </c>
      <c r="J1666" s="875">
        <v>42520</v>
      </c>
      <c r="K1666" s="877" t="s">
        <v>267</v>
      </c>
      <c r="L1666" s="879" t="s">
        <v>958</v>
      </c>
      <c r="M1666" s="881" t="s">
        <v>148</v>
      </c>
      <c r="N1666" s="883">
        <v>28000</v>
      </c>
      <c r="O1666" s="55">
        <v>719</v>
      </c>
      <c r="P1666" s="78">
        <v>20000</v>
      </c>
    </row>
    <row r="1667" spans="9:16" ht="15.75" customHeight="1" thickBot="1">
      <c r="I1667" s="882"/>
      <c r="J1667" s="876"/>
      <c r="K1667" s="878"/>
      <c r="L1667" s="880"/>
      <c r="M1667" s="882"/>
      <c r="N1667" s="884"/>
      <c r="O1667" s="56">
        <v>721</v>
      </c>
      <c r="P1667" s="79">
        <f>+N1666-P1666</f>
        <v>8000</v>
      </c>
    </row>
    <row r="1668" spans="9:16" ht="15" customHeight="1">
      <c r="I1668" s="881">
        <v>204</v>
      </c>
      <c r="J1668" s="875">
        <v>42520</v>
      </c>
      <c r="K1668" s="877" t="s">
        <v>28</v>
      </c>
      <c r="L1668" s="879" t="s">
        <v>959</v>
      </c>
      <c r="M1668" s="881" t="s">
        <v>148</v>
      </c>
      <c r="N1668" s="883">
        <v>238000</v>
      </c>
      <c r="O1668" s="55">
        <v>719</v>
      </c>
      <c r="P1668" s="78">
        <v>170000</v>
      </c>
    </row>
    <row r="1669" spans="9:16" ht="15.75" customHeight="1" thickBot="1">
      <c r="I1669" s="882"/>
      <c r="J1669" s="876"/>
      <c r="K1669" s="878"/>
      <c r="L1669" s="880"/>
      <c r="M1669" s="882"/>
      <c r="N1669" s="884"/>
      <c r="O1669" s="56">
        <v>721</v>
      </c>
      <c r="P1669" s="79">
        <f>+N1668-P1668</f>
        <v>68000</v>
      </c>
    </row>
    <row r="1670" spans="9:16" ht="15" customHeight="1">
      <c r="I1670" s="881">
        <v>205</v>
      </c>
      <c r="J1670" s="875">
        <v>42520</v>
      </c>
      <c r="K1670" s="877" t="s">
        <v>111</v>
      </c>
      <c r="L1670" s="879" t="s">
        <v>960</v>
      </c>
      <c r="M1670" s="881" t="s">
        <v>148</v>
      </c>
      <c r="N1670" s="883">
        <v>84000</v>
      </c>
      <c r="O1670" s="55">
        <v>719</v>
      </c>
      <c r="P1670" s="78">
        <v>60000</v>
      </c>
    </row>
    <row r="1671" spans="9:16" ht="15.75" customHeight="1" thickBot="1">
      <c r="I1671" s="882"/>
      <c r="J1671" s="876"/>
      <c r="K1671" s="878"/>
      <c r="L1671" s="880"/>
      <c r="M1671" s="882"/>
      <c r="N1671" s="884"/>
      <c r="O1671" s="56">
        <v>721</v>
      </c>
      <c r="P1671" s="79">
        <f>+N1670-P1670</f>
        <v>24000</v>
      </c>
    </row>
    <row r="1672" spans="9:16" ht="15" customHeight="1">
      <c r="I1672" s="881">
        <v>206</v>
      </c>
      <c r="J1672" s="875">
        <v>42520</v>
      </c>
      <c r="K1672" s="877" t="s">
        <v>272</v>
      </c>
      <c r="L1672" s="879" t="s">
        <v>959</v>
      </c>
      <c r="M1672" s="881" t="s">
        <v>148</v>
      </c>
      <c r="N1672" s="883">
        <v>504000</v>
      </c>
      <c r="O1672" s="55">
        <v>719</v>
      </c>
      <c r="P1672" s="78">
        <v>360000</v>
      </c>
    </row>
    <row r="1673" spans="9:16" ht="15.75" customHeight="1" thickBot="1">
      <c r="I1673" s="882"/>
      <c r="J1673" s="876"/>
      <c r="K1673" s="878"/>
      <c r="L1673" s="880"/>
      <c r="M1673" s="882"/>
      <c r="N1673" s="884"/>
      <c r="O1673" s="56">
        <v>721</v>
      </c>
      <c r="P1673" s="79">
        <f>+N1672-P1672</f>
        <v>144000</v>
      </c>
    </row>
    <row r="1674" spans="9:16">
      <c r="I1674" s="881"/>
      <c r="J1674" s="875"/>
      <c r="K1674" s="877"/>
      <c r="L1674" s="881"/>
      <c r="M1674" s="881"/>
      <c r="N1674" s="883"/>
      <c r="O1674" s="55">
        <v>719</v>
      </c>
      <c r="P1674" s="78"/>
    </row>
    <row r="1675" spans="9:16" ht="15.75" thickBot="1">
      <c r="I1675" s="882"/>
      <c r="J1675" s="876"/>
      <c r="K1675" s="878"/>
      <c r="L1675" s="882"/>
      <c r="M1675" s="882"/>
      <c r="N1675" s="884"/>
      <c r="O1675" s="56">
        <v>721</v>
      </c>
      <c r="P1675" s="79">
        <f>+N1674-P1674</f>
        <v>0</v>
      </c>
    </row>
    <row r="1676" spans="9:16" ht="16.5" thickBot="1">
      <c r="I1676" s="901" t="s">
        <v>102</v>
      </c>
      <c r="J1676" s="902"/>
      <c r="K1676" s="902"/>
      <c r="L1676" s="902"/>
      <c r="M1676" s="903"/>
      <c r="N1676" s="81">
        <f>SUM(N1666:N1675)</f>
        <v>854000</v>
      </c>
    </row>
    <row r="1677" spans="9:16" ht="16.5" thickBot="1">
      <c r="I1677" s="885" t="s">
        <v>103</v>
      </c>
      <c r="J1677" s="886"/>
      <c r="K1677" s="886"/>
      <c r="L1677" s="886"/>
      <c r="M1677" s="887"/>
      <c r="N1677" s="69">
        <f>+N1641</f>
        <v>564185881</v>
      </c>
      <c r="O1677" s="241" t="s">
        <v>561</v>
      </c>
      <c r="P1677" s="242">
        <f>746+26+428+20</f>
        <v>1220</v>
      </c>
    </row>
    <row r="1678" spans="9:16" ht="16.5" thickBot="1">
      <c r="I1678" s="888" t="s">
        <v>104</v>
      </c>
      <c r="J1678" s="889"/>
      <c r="K1678" s="889"/>
      <c r="L1678" s="889"/>
      <c r="M1678" s="890"/>
      <c r="N1678" s="183">
        <f>SUM(N1676:N1677)</f>
        <v>565039881</v>
      </c>
    </row>
    <row r="1679" spans="9:16">
      <c r="I1679" s="61"/>
      <c r="J1679" s="61"/>
      <c r="K1679" s="61"/>
      <c r="L1679" s="61"/>
      <c r="M1679" s="61"/>
    </row>
    <row r="1680" spans="9:16">
      <c r="I1680" s="51" t="s">
        <v>961</v>
      </c>
    </row>
    <row r="1681" spans="9:15" ht="12" customHeight="1">
      <c r="N1681" s="139"/>
    </row>
    <row r="1682" spans="9:15">
      <c r="I1682" s="50" t="s">
        <v>105</v>
      </c>
      <c r="L1682" s="146"/>
      <c r="N1682" s="139"/>
    </row>
    <row r="1683" spans="9:15" ht="11.25" customHeight="1" thickBot="1"/>
    <row r="1684" spans="9:15" ht="15.75" thickBot="1">
      <c r="I1684" s="891" t="s">
        <v>106</v>
      </c>
      <c r="J1684" s="892"/>
      <c r="K1684" s="892"/>
      <c r="L1684" s="893"/>
      <c r="N1684" s="50" t="s">
        <v>288</v>
      </c>
    </row>
    <row r="1685" spans="9:15" ht="30.75" thickBot="1">
      <c r="I1685" s="57" t="s">
        <v>100</v>
      </c>
      <c r="J1685" s="58" t="s">
        <v>108</v>
      </c>
      <c r="K1685" s="287" t="s">
        <v>109</v>
      </c>
      <c r="L1685" s="60" t="s">
        <v>110</v>
      </c>
    </row>
    <row r="1686" spans="9:15">
      <c r="I1686" s="71">
        <v>719</v>
      </c>
      <c r="J1686" s="73">
        <f>+P1666+P1668+P1670+P1672+P1674</f>
        <v>610000</v>
      </c>
      <c r="K1686" s="74">
        <f>+L1649</f>
        <v>32970000</v>
      </c>
      <c r="L1686" s="195">
        <f>+J1686+K1686</f>
        <v>33580000</v>
      </c>
    </row>
    <row r="1687" spans="9:15">
      <c r="I1687" s="72">
        <v>721</v>
      </c>
      <c r="J1687" s="80">
        <f>+P1667+P1669+P1671+P1673</f>
        <v>244000</v>
      </c>
      <c r="K1687" s="74">
        <f>+L1650</f>
        <v>82437981</v>
      </c>
      <c r="L1687" s="195">
        <f>+J1687+K1687</f>
        <v>82681981</v>
      </c>
    </row>
    <row r="1688" spans="9:15">
      <c r="I1688" s="72">
        <v>722</v>
      </c>
      <c r="J1688" s="80"/>
      <c r="K1688" s="74">
        <f>+L1651</f>
        <v>42881706</v>
      </c>
      <c r="L1688" s="195">
        <f>+J1688+K1688</f>
        <v>42881706</v>
      </c>
    </row>
    <row r="1689" spans="9:15" ht="15.75">
      <c r="I1689" s="72">
        <v>723</v>
      </c>
      <c r="J1689" s="80"/>
      <c r="K1689" s="74">
        <f>+L1652</f>
        <v>405826194</v>
      </c>
      <c r="L1689" s="195">
        <f>+J1689+K1689</f>
        <v>405826194</v>
      </c>
      <c r="N1689" s="193" t="s">
        <v>289</v>
      </c>
      <c r="O1689" s="175"/>
    </row>
    <row r="1690" spans="9:15" ht="16.5" thickBot="1">
      <c r="I1690" s="164" t="s">
        <v>181</v>
      </c>
      <c r="J1690" s="165"/>
      <c r="K1690" s="74">
        <f>+L1653</f>
        <v>0</v>
      </c>
      <c r="L1690" s="196">
        <f>+J1690+K1690</f>
        <v>0</v>
      </c>
      <c r="N1690" s="52"/>
    </row>
    <row r="1691" spans="9:15" ht="16.5" thickBot="1">
      <c r="I1691" s="169"/>
      <c r="J1691" s="197">
        <f>SUM(J1686:J1690)</f>
        <v>854000</v>
      </c>
      <c r="K1691" s="197">
        <f>SUM(K1686:K1690)</f>
        <v>564115881</v>
      </c>
      <c r="L1691" s="198">
        <f>SUM(L1686:L1690)</f>
        <v>564969881</v>
      </c>
    </row>
    <row r="1692" spans="9:15" ht="16.5">
      <c r="I1692" s="49" t="s">
        <v>88</v>
      </c>
      <c r="J1692" s="50"/>
    </row>
    <row r="1693" spans="9:15">
      <c r="I1693" s="51" t="s">
        <v>89</v>
      </c>
    </row>
    <row r="1694" spans="9:15">
      <c r="I1694" s="51" t="s">
        <v>90</v>
      </c>
    </row>
    <row r="1695" spans="9:15">
      <c r="I1695" s="51" t="s">
        <v>91</v>
      </c>
    </row>
    <row r="1696" spans="9:15" ht="12.75" customHeight="1">
      <c r="I1696" s="50"/>
      <c r="J1696" s="50"/>
    </row>
    <row r="1697" spans="9:16" ht="15.75">
      <c r="I1697" s="260" t="s">
        <v>976</v>
      </c>
      <c r="O1697" s="52"/>
    </row>
    <row r="1698" spans="9:16" ht="15.75">
      <c r="I1698" s="53" t="s">
        <v>535</v>
      </c>
      <c r="O1698" s="53"/>
    </row>
    <row r="1699" spans="9:16" ht="16.5">
      <c r="I1699" s="894" t="s">
        <v>967</v>
      </c>
      <c r="J1699" s="894"/>
      <c r="K1699" s="894"/>
      <c r="L1699" s="894"/>
      <c r="M1699" s="894"/>
      <c r="N1699" s="894"/>
      <c r="O1699" s="894"/>
      <c r="P1699" s="894"/>
    </row>
    <row r="1700" spans="9:16" ht="15.75" thickBot="1"/>
    <row r="1701" spans="9:16">
      <c r="I1701" s="916" t="s">
        <v>968</v>
      </c>
      <c r="J1701" s="912" t="s">
        <v>95</v>
      </c>
      <c r="K1701" s="912" t="s">
        <v>96</v>
      </c>
      <c r="L1701" s="912" t="s">
        <v>3</v>
      </c>
      <c r="M1701" s="912" t="s">
        <v>97</v>
      </c>
      <c r="N1701" s="912" t="s">
        <v>98</v>
      </c>
      <c r="O1701" s="914" t="s">
        <v>99</v>
      </c>
      <c r="P1701" s="915"/>
    </row>
    <row r="1702" spans="9:16" ht="15.75" thickBot="1">
      <c r="I1702" s="917"/>
      <c r="J1702" s="913"/>
      <c r="K1702" s="913"/>
      <c r="L1702" s="913"/>
      <c r="M1702" s="913"/>
      <c r="N1702" s="913"/>
      <c r="O1702" s="240" t="s">
        <v>100</v>
      </c>
      <c r="P1702" s="182" t="s">
        <v>101</v>
      </c>
    </row>
    <row r="1703" spans="9:16" ht="12" customHeight="1">
      <c r="I1703" s="873" t="s">
        <v>545</v>
      </c>
      <c r="J1703" s="875">
        <v>42520</v>
      </c>
      <c r="K1703" s="910" t="s">
        <v>695</v>
      </c>
      <c r="L1703" s="879" t="s">
        <v>556</v>
      </c>
      <c r="M1703" s="881" t="s">
        <v>148</v>
      </c>
      <c r="N1703" s="883"/>
      <c r="O1703" s="55">
        <v>719</v>
      </c>
      <c r="P1703" s="78"/>
    </row>
    <row r="1704" spans="9:16" ht="12.75" customHeight="1" thickBot="1">
      <c r="I1704" s="874"/>
      <c r="J1704" s="876"/>
      <c r="K1704" s="911"/>
      <c r="L1704" s="880"/>
      <c r="M1704" s="882"/>
      <c r="N1704" s="884"/>
      <c r="O1704" s="56">
        <v>723</v>
      </c>
      <c r="P1704" s="79">
        <f>+N1703-P1703</f>
        <v>0</v>
      </c>
    </row>
    <row r="1705" spans="9:16" ht="12.75" customHeight="1">
      <c r="I1705" s="873" t="s">
        <v>547</v>
      </c>
      <c r="J1705" s="875">
        <v>42520</v>
      </c>
      <c r="K1705" s="910" t="s">
        <v>695</v>
      </c>
      <c r="L1705" s="879" t="s">
        <v>556</v>
      </c>
      <c r="M1705" s="881" t="s">
        <v>115</v>
      </c>
      <c r="N1705" s="883"/>
      <c r="O1705" s="55">
        <v>719</v>
      </c>
      <c r="P1705" s="78"/>
    </row>
    <row r="1706" spans="9:16" ht="13.5" customHeight="1" thickBot="1">
      <c r="I1706" s="874"/>
      <c r="J1706" s="876"/>
      <c r="K1706" s="911"/>
      <c r="L1706" s="880"/>
      <c r="M1706" s="882"/>
      <c r="N1706" s="884"/>
      <c r="O1706" s="56">
        <v>723</v>
      </c>
      <c r="P1706" s="79">
        <f>+N1705-P1705</f>
        <v>0</v>
      </c>
    </row>
    <row r="1707" spans="9:16" ht="11.25" customHeight="1">
      <c r="I1707" s="873" t="s">
        <v>548</v>
      </c>
      <c r="J1707" s="875">
        <v>42520</v>
      </c>
      <c r="K1707" s="877" t="s">
        <v>701</v>
      </c>
      <c r="L1707" s="879" t="s">
        <v>556</v>
      </c>
      <c r="M1707" s="881" t="s">
        <v>148</v>
      </c>
      <c r="N1707" s="883"/>
      <c r="O1707" s="55">
        <v>719</v>
      </c>
      <c r="P1707" s="78"/>
    </row>
    <row r="1708" spans="9:16" ht="13.5" customHeight="1" thickBot="1">
      <c r="I1708" s="874"/>
      <c r="J1708" s="876"/>
      <c r="K1708" s="878"/>
      <c r="L1708" s="880"/>
      <c r="M1708" s="882"/>
      <c r="N1708" s="884"/>
      <c r="O1708" s="56">
        <v>723</v>
      </c>
      <c r="P1708" s="79">
        <f>+N1707-P1707</f>
        <v>0</v>
      </c>
    </row>
    <row r="1709" spans="9:16" ht="12.75" customHeight="1">
      <c r="I1709" s="873" t="s">
        <v>549</v>
      </c>
      <c r="J1709" s="875">
        <v>42520</v>
      </c>
      <c r="K1709" s="877" t="s">
        <v>673</v>
      </c>
      <c r="L1709" s="879" t="s">
        <v>556</v>
      </c>
      <c r="M1709" s="881" t="s">
        <v>148</v>
      </c>
      <c r="N1709" s="883"/>
      <c r="O1709" s="55">
        <v>719</v>
      </c>
      <c r="P1709" s="78"/>
    </row>
    <row r="1710" spans="9:16" ht="14.25" customHeight="1" thickBot="1">
      <c r="I1710" s="874"/>
      <c r="J1710" s="876"/>
      <c r="K1710" s="878"/>
      <c r="L1710" s="880"/>
      <c r="M1710" s="882"/>
      <c r="N1710" s="884"/>
      <c r="O1710" s="56">
        <v>723</v>
      </c>
      <c r="P1710" s="79">
        <f>+N1709-P1709</f>
        <v>0</v>
      </c>
    </row>
    <row r="1711" spans="9:16" ht="12" customHeight="1">
      <c r="I1711" s="873" t="s">
        <v>550</v>
      </c>
      <c r="J1711" s="875">
        <v>42520</v>
      </c>
      <c r="K1711" s="877" t="s">
        <v>729</v>
      </c>
      <c r="L1711" s="879" t="s">
        <v>556</v>
      </c>
      <c r="M1711" s="881" t="s">
        <v>148</v>
      </c>
      <c r="N1711" s="883"/>
      <c r="O1711" s="55">
        <v>719</v>
      </c>
      <c r="P1711" s="78"/>
    </row>
    <row r="1712" spans="9:16" ht="12.75" customHeight="1" thickBot="1">
      <c r="I1712" s="874"/>
      <c r="J1712" s="876"/>
      <c r="K1712" s="878"/>
      <c r="L1712" s="880"/>
      <c r="M1712" s="882"/>
      <c r="N1712" s="884"/>
      <c r="O1712" s="56">
        <v>723</v>
      </c>
      <c r="P1712" s="79">
        <f>+N1711-P1711</f>
        <v>0</v>
      </c>
    </row>
    <row r="1713" spans="9:19" ht="12.75" customHeight="1">
      <c r="I1713" s="873" t="s">
        <v>551</v>
      </c>
      <c r="J1713" s="875">
        <v>42520</v>
      </c>
      <c r="K1713" s="877" t="s">
        <v>694</v>
      </c>
      <c r="L1713" s="879" t="s">
        <v>556</v>
      </c>
      <c r="M1713" s="881" t="s">
        <v>148</v>
      </c>
      <c r="N1713" s="883"/>
      <c r="O1713" s="55">
        <v>719</v>
      </c>
      <c r="P1713" s="78"/>
    </row>
    <row r="1714" spans="9:19" ht="13.5" customHeight="1" thickBot="1">
      <c r="I1714" s="874"/>
      <c r="J1714" s="876"/>
      <c r="K1714" s="878"/>
      <c r="L1714" s="880"/>
      <c r="M1714" s="882"/>
      <c r="N1714" s="884"/>
      <c r="O1714" s="56">
        <v>723</v>
      </c>
      <c r="P1714" s="79">
        <f>+N1713-P1713</f>
        <v>0</v>
      </c>
    </row>
    <row r="1715" spans="9:19" ht="16.5" thickBot="1">
      <c r="I1715" s="888" t="s">
        <v>102</v>
      </c>
      <c r="J1715" s="889"/>
      <c r="K1715" s="889"/>
      <c r="L1715" s="889"/>
      <c r="M1715" s="890"/>
      <c r="N1715" s="81">
        <f>SUM(N1703:N1714)</f>
        <v>0</v>
      </c>
    </row>
    <row r="1716" spans="9:19" ht="16.5" thickBot="1">
      <c r="I1716" s="885" t="s">
        <v>103</v>
      </c>
      <c r="J1716" s="886"/>
      <c r="K1716" s="886"/>
      <c r="L1716" s="886"/>
      <c r="M1716" s="887"/>
      <c r="N1716" s="69">
        <f>+N1678</f>
        <v>565039881</v>
      </c>
      <c r="O1716" s="241" t="s">
        <v>561</v>
      </c>
      <c r="P1716" s="242"/>
    </row>
    <row r="1717" spans="9:19" ht="16.5" thickBot="1">
      <c r="I1717" s="888" t="s">
        <v>104</v>
      </c>
      <c r="J1717" s="889"/>
      <c r="K1717" s="889"/>
      <c r="L1717" s="889"/>
      <c r="M1717" s="890"/>
      <c r="N1717" s="183">
        <f>SUM(N1715:N1716)</f>
        <v>565039881</v>
      </c>
      <c r="S1717" s="51">
        <f>1945*1.05^4.5</f>
        <v>2422.5427600461721</v>
      </c>
    </row>
    <row r="1718" spans="9:19" ht="13.5" customHeight="1">
      <c r="I1718" s="61"/>
      <c r="J1718" s="61"/>
      <c r="K1718" s="61"/>
      <c r="L1718" s="61"/>
      <c r="M1718" s="61"/>
    </row>
    <row r="1719" spans="9:19">
      <c r="I1719" s="51" t="s">
        <v>966</v>
      </c>
    </row>
    <row r="1720" spans="9:19" ht="12.75" customHeight="1">
      <c r="N1720" s="139"/>
    </row>
    <row r="1721" spans="9:19">
      <c r="I1721" s="50" t="s">
        <v>105</v>
      </c>
      <c r="L1721" s="146"/>
      <c r="N1721" s="139"/>
    </row>
    <row r="1722" spans="9:19" ht="13.5" customHeight="1" thickBot="1"/>
    <row r="1723" spans="9:19" ht="15.75" thickBot="1">
      <c r="I1723" s="891" t="s">
        <v>106</v>
      </c>
      <c r="J1723" s="892"/>
      <c r="K1723" s="892"/>
      <c r="L1723" s="893"/>
      <c r="N1723" s="50" t="s">
        <v>288</v>
      </c>
    </row>
    <row r="1724" spans="9:19" ht="30.75" thickBot="1">
      <c r="I1724" s="57" t="s">
        <v>100</v>
      </c>
      <c r="J1724" s="58" t="s">
        <v>108</v>
      </c>
      <c r="K1724" s="287" t="s">
        <v>109</v>
      </c>
      <c r="L1724" s="60" t="s">
        <v>110</v>
      </c>
    </row>
    <row r="1725" spans="9:19">
      <c r="I1725" s="71">
        <v>719</v>
      </c>
      <c r="J1725" s="73">
        <f>+P1703+P1705+P1709+P1711+P1713</f>
        <v>0</v>
      </c>
      <c r="K1725" s="74">
        <f>+L1686</f>
        <v>33580000</v>
      </c>
      <c r="L1725" s="195">
        <f>+J1725+K1725</f>
        <v>33580000</v>
      </c>
    </row>
    <row r="1726" spans="9:19">
      <c r="I1726" s="72">
        <v>721</v>
      </c>
      <c r="J1726" s="80">
        <v>0</v>
      </c>
      <c r="K1726" s="74">
        <f>+L1687</f>
        <v>82681981</v>
      </c>
      <c r="L1726" s="195">
        <f>+J1726+K1726</f>
        <v>82681981</v>
      </c>
    </row>
    <row r="1727" spans="9:19">
      <c r="I1727" s="72">
        <v>722</v>
      </c>
      <c r="J1727" s="80"/>
      <c r="K1727" s="74">
        <f>+L1688</f>
        <v>42881706</v>
      </c>
      <c r="L1727" s="195">
        <f>+J1727+K1727</f>
        <v>42881706</v>
      </c>
    </row>
    <row r="1728" spans="9:19" ht="15.75">
      <c r="I1728" s="72">
        <v>723</v>
      </c>
      <c r="J1728" s="80">
        <f>+P1714+P1712+P1710+P1706+P1704+P1708</f>
        <v>0</v>
      </c>
      <c r="K1728" s="74">
        <f>+L1689</f>
        <v>405826194</v>
      </c>
      <c r="L1728" s="195">
        <f>+J1728+K1728</f>
        <v>405826194</v>
      </c>
      <c r="N1728" s="193" t="s">
        <v>289</v>
      </c>
      <c r="O1728" s="175"/>
    </row>
    <row r="1729" spans="9:16" ht="16.5" thickBot="1">
      <c r="I1729" s="164" t="s">
        <v>181</v>
      </c>
      <c r="J1729" s="165"/>
      <c r="K1729" s="74">
        <f>+L1690</f>
        <v>0</v>
      </c>
      <c r="L1729" s="196">
        <f>+J1729+K1729</f>
        <v>0</v>
      </c>
      <c r="N1729" s="52"/>
    </row>
    <row r="1730" spans="9:16" ht="16.5" thickBot="1">
      <c r="I1730" s="169"/>
      <c r="J1730" s="197">
        <f>SUM(J1725:J1729)</f>
        <v>0</v>
      </c>
      <c r="K1730" s="197">
        <f>SUM(K1725:K1729)</f>
        <v>564969881</v>
      </c>
      <c r="L1730" s="198">
        <f>SUM(L1725:L1729)</f>
        <v>564969881</v>
      </c>
    </row>
    <row r="1731" spans="9:16" ht="16.5">
      <c r="I1731" s="49" t="s">
        <v>88</v>
      </c>
      <c r="J1731" s="50"/>
    </row>
    <row r="1732" spans="9:16">
      <c r="I1732" s="51" t="s">
        <v>89</v>
      </c>
    </row>
    <row r="1733" spans="9:16">
      <c r="I1733" s="51" t="s">
        <v>90</v>
      </c>
    </row>
    <row r="1734" spans="9:16">
      <c r="I1734" s="51" t="s">
        <v>91</v>
      </c>
    </row>
    <row r="1735" spans="9:16" ht="9" customHeight="1">
      <c r="I1735" s="50"/>
      <c r="J1735" s="50"/>
    </row>
    <row r="1736" spans="9:16" ht="15.75">
      <c r="I1736" s="260" t="s">
        <v>964</v>
      </c>
      <c r="O1736" s="52"/>
    </row>
    <row r="1737" spans="9:16" ht="15.75">
      <c r="I1737" s="53" t="s">
        <v>535</v>
      </c>
      <c r="O1737" s="53"/>
    </row>
    <row r="1738" spans="9:16" ht="16.5">
      <c r="I1738" s="894" t="s">
        <v>909</v>
      </c>
      <c r="J1738" s="894"/>
      <c r="K1738" s="894"/>
      <c r="L1738" s="894"/>
      <c r="M1738" s="894"/>
      <c r="N1738" s="894"/>
      <c r="O1738" s="894"/>
      <c r="P1738" s="894"/>
    </row>
    <row r="1739" spans="9:16" ht="15.75" thickBot="1"/>
    <row r="1740" spans="9:16">
      <c r="I1740" s="895" t="s">
        <v>94</v>
      </c>
      <c r="J1740" s="897" t="s">
        <v>95</v>
      </c>
      <c r="K1740" s="897" t="s">
        <v>96</v>
      </c>
      <c r="L1740" s="897" t="s">
        <v>3</v>
      </c>
      <c r="M1740" s="897" t="s">
        <v>97</v>
      </c>
      <c r="N1740" s="897" t="s">
        <v>98</v>
      </c>
      <c r="O1740" s="897" t="s">
        <v>99</v>
      </c>
      <c r="P1740" s="899"/>
    </row>
    <row r="1741" spans="9:16" ht="15.75" thickBot="1">
      <c r="I1741" s="896"/>
      <c r="J1741" s="898"/>
      <c r="K1741" s="898"/>
      <c r="L1741" s="898"/>
      <c r="M1741" s="898"/>
      <c r="N1741" s="898"/>
      <c r="O1741" s="240" t="s">
        <v>100</v>
      </c>
      <c r="P1741" s="182" t="s">
        <v>101</v>
      </c>
    </row>
    <row r="1742" spans="9:16">
      <c r="I1742" s="881">
        <v>207</v>
      </c>
      <c r="J1742" s="875">
        <v>42521</v>
      </c>
      <c r="K1742" s="877" t="s">
        <v>267</v>
      </c>
      <c r="L1742" s="879" t="s">
        <v>971</v>
      </c>
      <c r="M1742" s="881" t="s">
        <v>148</v>
      </c>
      <c r="N1742" s="883">
        <v>28000</v>
      </c>
      <c r="O1742" s="55">
        <v>719</v>
      </c>
      <c r="P1742" s="78">
        <v>20000</v>
      </c>
    </row>
    <row r="1743" spans="9:16" ht="15.75" thickBot="1">
      <c r="I1743" s="882"/>
      <c r="J1743" s="876"/>
      <c r="K1743" s="878"/>
      <c r="L1743" s="880"/>
      <c r="M1743" s="882"/>
      <c r="N1743" s="884"/>
      <c r="O1743" s="56">
        <v>721</v>
      </c>
      <c r="P1743" s="79">
        <f>+N1742-P1742</f>
        <v>8000</v>
      </c>
    </row>
    <row r="1744" spans="9:16">
      <c r="I1744" s="881">
        <v>208</v>
      </c>
      <c r="J1744" s="875">
        <v>42521</v>
      </c>
      <c r="K1744" s="877" t="s">
        <v>28</v>
      </c>
      <c r="L1744" s="879" t="s">
        <v>970</v>
      </c>
      <c r="M1744" s="881" t="s">
        <v>148</v>
      </c>
      <c r="N1744" s="883">
        <v>294000</v>
      </c>
      <c r="O1744" s="55">
        <v>719</v>
      </c>
      <c r="P1744" s="78">
        <v>210000</v>
      </c>
    </row>
    <row r="1745" spans="9:16" ht="15.75" thickBot="1">
      <c r="I1745" s="882"/>
      <c r="J1745" s="876"/>
      <c r="K1745" s="878"/>
      <c r="L1745" s="880"/>
      <c r="M1745" s="882"/>
      <c r="N1745" s="884"/>
      <c r="O1745" s="56">
        <v>721</v>
      </c>
      <c r="P1745" s="79">
        <f>+N1744-P1744</f>
        <v>84000</v>
      </c>
    </row>
    <row r="1746" spans="9:16">
      <c r="I1746" s="881">
        <v>209</v>
      </c>
      <c r="J1746" s="875">
        <v>42521</v>
      </c>
      <c r="K1746" s="877" t="s">
        <v>111</v>
      </c>
      <c r="L1746" s="879" t="s">
        <v>951</v>
      </c>
      <c r="M1746" s="881" t="s">
        <v>148</v>
      </c>
      <c r="N1746" s="883">
        <v>56000</v>
      </c>
      <c r="O1746" s="55">
        <v>719</v>
      </c>
      <c r="P1746" s="78">
        <v>40000</v>
      </c>
    </row>
    <row r="1747" spans="9:16" ht="15.75" thickBot="1">
      <c r="I1747" s="882"/>
      <c r="J1747" s="876"/>
      <c r="K1747" s="878"/>
      <c r="L1747" s="880"/>
      <c r="M1747" s="882"/>
      <c r="N1747" s="884"/>
      <c r="O1747" s="56">
        <v>721</v>
      </c>
      <c r="P1747" s="79">
        <f>+N1746-P1746</f>
        <v>16000</v>
      </c>
    </row>
    <row r="1748" spans="9:16">
      <c r="I1748" s="881">
        <v>210</v>
      </c>
      <c r="J1748" s="875">
        <v>42521</v>
      </c>
      <c r="K1748" s="877" t="s">
        <v>272</v>
      </c>
      <c r="L1748" s="879" t="s">
        <v>970</v>
      </c>
      <c r="M1748" s="881" t="s">
        <v>148</v>
      </c>
      <c r="N1748" s="883">
        <v>672000</v>
      </c>
      <c r="O1748" s="55">
        <v>719</v>
      </c>
      <c r="P1748" s="78">
        <v>480000</v>
      </c>
    </row>
    <row r="1749" spans="9:16" ht="15.75" thickBot="1">
      <c r="I1749" s="882"/>
      <c r="J1749" s="876"/>
      <c r="K1749" s="878"/>
      <c r="L1749" s="880"/>
      <c r="M1749" s="882"/>
      <c r="N1749" s="884"/>
      <c r="O1749" s="56">
        <v>721</v>
      </c>
      <c r="P1749" s="79">
        <f>+N1748-P1748</f>
        <v>192000</v>
      </c>
    </row>
    <row r="1750" spans="9:16" ht="12.75" customHeight="1">
      <c r="I1750" s="881"/>
      <c r="J1750" s="875"/>
      <c r="K1750" s="877"/>
      <c r="L1750" s="881"/>
      <c r="M1750" s="881"/>
      <c r="N1750" s="883"/>
      <c r="O1750" s="55">
        <v>719</v>
      </c>
      <c r="P1750" s="78"/>
    </row>
    <row r="1751" spans="9:16" ht="13.5" customHeight="1" thickBot="1">
      <c r="I1751" s="882"/>
      <c r="J1751" s="876"/>
      <c r="K1751" s="878"/>
      <c r="L1751" s="882"/>
      <c r="M1751" s="882"/>
      <c r="N1751" s="884"/>
      <c r="O1751" s="56">
        <v>721</v>
      </c>
      <c r="P1751" s="79">
        <f>+N1750-P1750</f>
        <v>0</v>
      </c>
    </row>
    <row r="1752" spans="9:16" ht="16.5" thickBot="1">
      <c r="I1752" s="901" t="s">
        <v>102</v>
      </c>
      <c r="J1752" s="902"/>
      <c r="K1752" s="902"/>
      <c r="L1752" s="902"/>
      <c r="M1752" s="903"/>
      <c r="N1752" s="81">
        <f>SUM(N1742:N1751)</f>
        <v>1050000</v>
      </c>
    </row>
    <row r="1753" spans="9:16" ht="16.5" thickBot="1">
      <c r="I1753" s="885" t="s">
        <v>103</v>
      </c>
      <c r="J1753" s="886"/>
      <c r="K1753" s="886"/>
      <c r="L1753" s="886"/>
      <c r="M1753" s="887"/>
      <c r="N1753" s="69">
        <f>+N1717</f>
        <v>565039881</v>
      </c>
      <c r="O1753" s="241" t="s">
        <v>561</v>
      </c>
      <c r="P1753" s="242">
        <f>22+651+13+1233</f>
        <v>1919</v>
      </c>
    </row>
    <row r="1754" spans="9:16" ht="16.5" thickBot="1">
      <c r="I1754" s="888" t="s">
        <v>104</v>
      </c>
      <c r="J1754" s="889"/>
      <c r="K1754" s="889"/>
      <c r="L1754" s="889"/>
      <c r="M1754" s="890"/>
      <c r="N1754" s="183">
        <f>SUM(N1752:N1753)</f>
        <v>566089881</v>
      </c>
    </row>
    <row r="1755" spans="9:16">
      <c r="I1755" s="61"/>
      <c r="J1755" s="61"/>
      <c r="K1755" s="61"/>
      <c r="L1755" s="61"/>
      <c r="M1755" s="61"/>
    </row>
    <row r="1756" spans="9:16">
      <c r="I1756" s="51" t="s">
        <v>972</v>
      </c>
    </row>
    <row r="1757" spans="9:16" ht="12" customHeight="1">
      <c r="N1757" s="139"/>
    </row>
    <row r="1758" spans="9:16">
      <c r="I1758" s="50" t="s">
        <v>105</v>
      </c>
      <c r="L1758" s="146"/>
      <c r="N1758" s="139"/>
    </row>
    <row r="1759" spans="9:16" ht="15.75" thickBot="1"/>
    <row r="1760" spans="9:16" ht="15.75" thickBot="1">
      <c r="I1760" s="891" t="s">
        <v>106</v>
      </c>
      <c r="J1760" s="892"/>
      <c r="K1760" s="892"/>
      <c r="L1760" s="893"/>
      <c r="N1760" s="50" t="s">
        <v>288</v>
      </c>
    </row>
    <row r="1761" spans="9:16" ht="30.75" thickBot="1">
      <c r="I1761" s="57" t="s">
        <v>100</v>
      </c>
      <c r="J1761" s="58" t="s">
        <v>108</v>
      </c>
      <c r="K1761" s="287" t="s">
        <v>109</v>
      </c>
      <c r="L1761" s="60" t="s">
        <v>110</v>
      </c>
    </row>
    <row r="1762" spans="9:16">
      <c r="I1762" s="71">
        <v>719</v>
      </c>
      <c r="J1762" s="73">
        <f>+P1742+P1744+P1746+P1748+P1750</f>
        <v>750000</v>
      </c>
      <c r="K1762" s="74">
        <f>+L1725</f>
        <v>33580000</v>
      </c>
      <c r="L1762" s="195">
        <f>+J1762+K1762</f>
        <v>34330000</v>
      </c>
    </row>
    <row r="1763" spans="9:16">
      <c r="I1763" s="72">
        <v>721</v>
      </c>
      <c r="J1763" s="80">
        <f>+P1743+P1745+P1747+P1749</f>
        <v>300000</v>
      </c>
      <c r="K1763" s="74">
        <f>+L1726</f>
        <v>82681981</v>
      </c>
      <c r="L1763" s="195">
        <f>+J1763+K1763</f>
        <v>82981981</v>
      </c>
    </row>
    <row r="1764" spans="9:16">
      <c r="I1764" s="72">
        <v>722</v>
      </c>
      <c r="J1764" s="80"/>
      <c r="K1764" s="74">
        <f>+L1727</f>
        <v>42881706</v>
      </c>
      <c r="L1764" s="195">
        <f>+J1764+K1764</f>
        <v>42881706</v>
      </c>
    </row>
    <row r="1765" spans="9:16" ht="15.75">
      <c r="I1765" s="72">
        <v>723</v>
      </c>
      <c r="J1765" s="80"/>
      <c r="K1765" s="74">
        <f>+L1728</f>
        <v>405826194</v>
      </c>
      <c r="L1765" s="195">
        <f>+J1765+K1765</f>
        <v>405826194</v>
      </c>
      <c r="N1765" s="193" t="s">
        <v>289</v>
      </c>
      <c r="O1765" s="175"/>
    </row>
    <row r="1766" spans="9:16" ht="16.5" thickBot="1">
      <c r="I1766" s="164" t="s">
        <v>181</v>
      </c>
      <c r="J1766" s="165"/>
      <c r="K1766" s="74">
        <f>+L1729</f>
        <v>0</v>
      </c>
      <c r="L1766" s="196">
        <f>+J1766+K1766</f>
        <v>0</v>
      </c>
      <c r="N1766" s="52"/>
    </row>
    <row r="1767" spans="9:16" ht="16.5" thickBot="1">
      <c r="I1767" s="169"/>
      <c r="J1767" s="197">
        <f>SUM(J1762:J1766)</f>
        <v>1050000</v>
      </c>
      <c r="K1767" s="197">
        <f>SUM(K1762:K1766)</f>
        <v>564969881</v>
      </c>
      <c r="L1767" s="198">
        <f>SUM(L1762:L1766)</f>
        <v>566019881</v>
      </c>
    </row>
    <row r="1768" spans="9:16" ht="16.5">
      <c r="I1768" s="49" t="s">
        <v>88</v>
      </c>
      <c r="J1768" s="50"/>
    </row>
    <row r="1769" spans="9:16">
      <c r="I1769" s="51" t="s">
        <v>89</v>
      </c>
    </row>
    <row r="1770" spans="9:16">
      <c r="I1770" s="51" t="s">
        <v>90</v>
      </c>
    </row>
    <row r="1771" spans="9:16">
      <c r="I1771" s="51" t="s">
        <v>91</v>
      </c>
    </row>
    <row r="1772" spans="9:16" ht="12" customHeight="1">
      <c r="I1772" s="50"/>
      <c r="J1772" s="50"/>
    </row>
    <row r="1773" spans="9:16" ht="15.75">
      <c r="I1773" s="260" t="s">
        <v>969</v>
      </c>
      <c r="O1773" s="52"/>
    </row>
    <row r="1774" spans="9:16" ht="15.75">
      <c r="I1774" s="53" t="s">
        <v>535</v>
      </c>
      <c r="O1774" s="53"/>
    </row>
    <row r="1775" spans="9:16" ht="16.5">
      <c r="I1775" s="894" t="s">
        <v>979</v>
      </c>
      <c r="J1775" s="894"/>
      <c r="K1775" s="894"/>
      <c r="L1775" s="894"/>
      <c r="M1775" s="894"/>
      <c r="N1775" s="894"/>
      <c r="O1775" s="894"/>
      <c r="P1775" s="894"/>
    </row>
    <row r="1776" spans="9:16" ht="15.75" thickBot="1"/>
    <row r="1777" spans="9:16">
      <c r="I1777" s="895" t="s">
        <v>94</v>
      </c>
      <c r="J1777" s="897" t="s">
        <v>95</v>
      </c>
      <c r="K1777" s="897" t="s">
        <v>96</v>
      </c>
      <c r="L1777" s="897" t="s">
        <v>3</v>
      </c>
      <c r="M1777" s="897" t="s">
        <v>97</v>
      </c>
      <c r="N1777" s="897" t="s">
        <v>98</v>
      </c>
      <c r="O1777" s="897" t="s">
        <v>99</v>
      </c>
      <c r="P1777" s="899"/>
    </row>
    <row r="1778" spans="9:16" ht="15.75" thickBot="1">
      <c r="I1778" s="896"/>
      <c r="J1778" s="898"/>
      <c r="K1778" s="898"/>
      <c r="L1778" s="898"/>
      <c r="M1778" s="898"/>
      <c r="N1778" s="898"/>
      <c r="O1778" s="240" t="s">
        <v>100</v>
      </c>
      <c r="P1778" s="182" t="s">
        <v>101</v>
      </c>
    </row>
    <row r="1779" spans="9:16">
      <c r="I1779" s="881">
        <v>211</v>
      </c>
      <c r="J1779" s="875">
        <v>42521</v>
      </c>
      <c r="K1779" s="910" t="s">
        <v>974</v>
      </c>
      <c r="L1779" s="879" t="s">
        <v>556</v>
      </c>
      <c r="M1779" s="881" t="s">
        <v>145</v>
      </c>
      <c r="N1779" s="883">
        <v>2941578</v>
      </c>
      <c r="O1779" s="55">
        <v>719</v>
      </c>
      <c r="P1779" s="78">
        <v>0</v>
      </c>
    </row>
    <row r="1780" spans="9:16" ht="15.75" thickBot="1">
      <c r="I1780" s="882"/>
      <c r="J1780" s="876"/>
      <c r="K1780" s="911"/>
      <c r="L1780" s="880"/>
      <c r="M1780" s="882"/>
      <c r="N1780" s="884"/>
      <c r="O1780" s="56">
        <v>721</v>
      </c>
      <c r="P1780" s="79">
        <f>+N1779-P1779</f>
        <v>2941578</v>
      </c>
    </row>
    <row r="1781" spans="9:16">
      <c r="I1781" s="881"/>
      <c r="J1781" s="875"/>
      <c r="K1781" s="910"/>
      <c r="L1781" s="879"/>
      <c r="M1781" s="881"/>
      <c r="N1781" s="883"/>
      <c r="O1781" s="55">
        <v>719</v>
      </c>
      <c r="P1781" s="78">
        <v>0</v>
      </c>
    </row>
    <row r="1782" spans="9:16" ht="15.75" thickBot="1">
      <c r="I1782" s="882"/>
      <c r="J1782" s="876"/>
      <c r="K1782" s="911"/>
      <c r="L1782" s="880"/>
      <c r="M1782" s="882"/>
      <c r="N1782" s="884"/>
      <c r="O1782" s="56">
        <v>723</v>
      </c>
      <c r="P1782" s="79">
        <f>+N1781-P1781</f>
        <v>0</v>
      </c>
    </row>
    <row r="1783" spans="9:16">
      <c r="I1783" s="881"/>
      <c r="J1783" s="875"/>
      <c r="K1783" s="877"/>
      <c r="L1783" s="879"/>
      <c r="M1783" s="881"/>
      <c r="N1783" s="883"/>
      <c r="O1783" s="55">
        <v>719</v>
      </c>
      <c r="P1783" s="78"/>
    </row>
    <row r="1784" spans="9:16" ht="15.75" thickBot="1">
      <c r="I1784" s="882"/>
      <c r="J1784" s="876"/>
      <c r="K1784" s="878"/>
      <c r="L1784" s="880"/>
      <c r="M1784" s="882"/>
      <c r="N1784" s="884"/>
      <c r="O1784" s="56">
        <v>721</v>
      </c>
      <c r="P1784" s="79">
        <f>+N1783-P1783</f>
        <v>0</v>
      </c>
    </row>
    <row r="1785" spans="9:16" ht="12.75" customHeight="1">
      <c r="I1785" s="881"/>
      <c r="J1785" s="875"/>
      <c r="K1785" s="877"/>
      <c r="L1785" s="879"/>
      <c r="M1785" s="881"/>
      <c r="N1785" s="883"/>
      <c r="O1785" s="55">
        <v>719</v>
      </c>
      <c r="P1785" s="78"/>
    </row>
    <row r="1786" spans="9:16" ht="15.75" thickBot="1">
      <c r="I1786" s="882"/>
      <c r="J1786" s="876"/>
      <c r="K1786" s="878"/>
      <c r="L1786" s="880"/>
      <c r="M1786" s="882"/>
      <c r="N1786" s="884"/>
      <c r="O1786" s="56">
        <v>721</v>
      </c>
      <c r="P1786" s="79">
        <f>+N1785-P1785</f>
        <v>0</v>
      </c>
    </row>
    <row r="1787" spans="9:16">
      <c r="I1787" s="881"/>
      <c r="J1787" s="875"/>
      <c r="K1787" s="877"/>
      <c r="L1787" s="881"/>
      <c r="M1787" s="881"/>
      <c r="N1787" s="883"/>
      <c r="O1787" s="55">
        <v>719</v>
      </c>
      <c r="P1787" s="78"/>
    </row>
    <row r="1788" spans="9:16" ht="14.25" customHeight="1" thickBot="1">
      <c r="I1788" s="882"/>
      <c r="J1788" s="876"/>
      <c r="K1788" s="878"/>
      <c r="L1788" s="882"/>
      <c r="M1788" s="882"/>
      <c r="N1788" s="884"/>
      <c r="O1788" s="56">
        <v>721</v>
      </c>
      <c r="P1788" s="79">
        <f>+N1787-P1787</f>
        <v>0</v>
      </c>
    </row>
    <row r="1789" spans="9:16" ht="16.5" thickBot="1">
      <c r="I1789" s="901" t="s">
        <v>102</v>
      </c>
      <c r="J1789" s="902"/>
      <c r="K1789" s="902"/>
      <c r="L1789" s="902"/>
      <c r="M1789" s="903"/>
      <c r="N1789" s="81">
        <f>SUM(N1779:N1788)</f>
        <v>2941578</v>
      </c>
    </row>
    <row r="1790" spans="9:16" ht="16.5" thickBot="1">
      <c r="I1790" s="885" t="s">
        <v>103</v>
      </c>
      <c r="J1790" s="886"/>
      <c r="K1790" s="886"/>
      <c r="L1790" s="886"/>
      <c r="M1790" s="887"/>
      <c r="N1790" s="69">
        <f>+N1754</f>
        <v>566089881</v>
      </c>
      <c r="O1790" s="241" t="s">
        <v>561</v>
      </c>
      <c r="P1790" s="242"/>
    </row>
    <row r="1791" spans="9:16" ht="16.5" thickBot="1">
      <c r="I1791" s="888" t="s">
        <v>104</v>
      </c>
      <c r="J1791" s="889"/>
      <c r="K1791" s="889"/>
      <c r="L1791" s="889"/>
      <c r="M1791" s="890"/>
      <c r="N1791" s="183">
        <f>SUM(N1789:N1790)</f>
        <v>569031459</v>
      </c>
    </row>
    <row r="1792" spans="9:16">
      <c r="I1792" s="61"/>
      <c r="J1792" s="61"/>
      <c r="K1792" s="61"/>
      <c r="L1792" s="61"/>
      <c r="M1792" s="61"/>
    </row>
    <row r="1793" spans="9:15">
      <c r="I1793" s="51" t="s">
        <v>975</v>
      </c>
    </row>
    <row r="1794" spans="9:15">
      <c r="N1794" s="139"/>
    </row>
    <row r="1795" spans="9:15">
      <c r="I1795" s="50" t="s">
        <v>105</v>
      </c>
      <c r="L1795" s="146"/>
      <c r="N1795" s="139"/>
    </row>
    <row r="1796" spans="9:15" ht="12" customHeight="1" thickBot="1"/>
    <row r="1797" spans="9:15" ht="15.75" thickBot="1">
      <c r="I1797" s="891" t="s">
        <v>106</v>
      </c>
      <c r="J1797" s="892"/>
      <c r="K1797" s="892"/>
      <c r="L1797" s="893"/>
      <c r="N1797" s="50" t="s">
        <v>288</v>
      </c>
    </row>
    <row r="1798" spans="9:15" ht="30.75" thickBot="1">
      <c r="I1798" s="57" t="s">
        <v>100</v>
      </c>
      <c r="J1798" s="58" t="s">
        <v>108</v>
      </c>
      <c r="K1798" s="287" t="s">
        <v>109</v>
      </c>
      <c r="L1798" s="60" t="s">
        <v>110</v>
      </c>
    </row>
    <row r="1799" spans="9:15">
      <c r="I1799" s="71">
        <v>719</v>
      </c>
      <c r="J1799" s="73">
        <f>+P1779+P1781+P1783+P1785+P1787</f>
        <v>0</v>
      </c>
      <c r="K1799" s="74">
        <f>+L1762</f>
        <v>34330000</v>
      </c>
      <c r="L1799" s="195">
        <f>+J1799+K1799</f>
        <v>34330000</v>
      </c>
    </row>
    <row r="1800" spans="9:15">
      <c r="I1800" s="72">
        <v>721</v>
      </c>
      <c r="J1800" s="80">
        <f>+P1780</f>
        <v>2941578</v>
      </c>
      <c r="K1800" s="74">
        <f>+L1763</f>
        <v>82981981</v>
      </c>
      <c r="L1800" s="195">
        <f>+J1800+K1800</f>
        <v>85923559</v>
      </c>
    </row>
    <row r="1801" spans="9:15">
      <c r="I1801" s="72">
        <v>722</v>
      </c>
      <c r="J1801" s="80"/>
      <c r="K1801" s="74">
        <f>+L1764</f>
        <v>42881706</v>
      </c>
      <c r="L1801" s="195">
        <f>+J1801+K1801</f>
        <v>42881706</v>
      </c>
    </row>
    <row r="1802" spans="9:15" ht="15.75">
      <c r="I1802" s="72">
        <v>723</v>
      </c>
      <c r="J1802" s="80"/>
      <c r="K1802" s="74">
        <f>+L1765</f>
        <v>405826194</v>
      </c>
      <c r="L1802" s="195">
        <f>+J1802+K1802</f>
        <v>405826194</v>
      </c>
      <c r="N1802" s="193" t="s">
        <v>289</v>
      </c>
      <c r="O1802" s="175"/>
    </row>
    <row r="1803" spans="9:15" ht="16.5" thickBot="1">
      <c r="I1803" s="164" t="s">
        <v>181</v>
      </c>
      <c r="J1803" s="165"/>
      <c r="K1803" s="74">
        <f>+L1766</f>
        <v>0</v>
      </c>
      <c r="L1803" s="196">
        <f>+J1803+K1803</f>
        <v>0</v>
      </c>
      <c r="N1803" s="52"/>
    </row>
    <row r="1804" spans="9:15" ht="16.5" thickBot="1">
      <c r="I1804" s="169"/>
      <c r="J1804" s="197">
        <f>SUM(J1799:J1803)</f>
        <v>2941578</v>
      </c>
      <c r="K1804" s="197">
        <f>SUM(K1799:K1803)</f>
        <v>566019881</v>
      </c>
      <c r="L1804" s="198">
        <f>SUM(L1799:L1803)</f>
        <v>568961459</v>
      </c>
    </row>
    <row r="1805" spans="9:15" ht="16.5">
      <c r="I1805" s="49" t="s">
        <v>88</v>
      </c>
      <c r="J1805" s="50"/>
    </row>
    <row r="1806" spans="9:15">
      <c r="I1806" s="51" t="s">
        <v>89</v>
      </c>
    </row>
    <row r="1807" spans="9:15">
      <c r="I1807" s="51" t="s">
        <v>90</v>
      </c>
    </row>
    <row r="1808" spans="9:15">
      <c r="I1808" s="51" t="s">
        <v>91</v>
      </c>
    </row>
    <row r="1809" spans="9:16" ht="12" customHeight="1">
      <c r="I1809" s="50"/>
      <c r="J1809" s="50"/>
    </row>
    <row r="1810" spans="9:16" ht="15.75">
      <c r="I1810" s="260" t="s">
        <v>973</v>
      </c>
      <c r="O1810" s="52"/>
    </row>
    <row r="1811" spans="9:16" ht="15.75">
      <c r="I1811" s="53" t="s">
        <v>535</v>
      </c>
      <c r="O1811" s="53"/>
    </row>
    <row r="1812" spans="9:16" ht="16.5">
      <c r="I1812" s="894" t="s">
        <v>967</v>
      </c>
      <c r="J1812" s="894"/>
      <c r="K1812" s="894"/>
      <c r="L1812" s="894"/>
      <c r="M1812" s="894"/>
      <c r="N1812" s="894"/>
      <c r="O1812" s="894"/>
      <c r="P1812" s="894"/>
    </row>
    <row r="1813" spans="9:16" ht="15.75" thickBot="1"/>
    <row r="1814" spans="9:16">
      <c r="I1814" s="895" t="s">
        <v>968</v>
      </c>
      <c r="J1814" s="897" t="s">
        <v>95</v>
      </c>
      <c r="K1814" s="897" t="s">
        <v>96</v>
      </c>
      <c r="L1814" s="897" t="s">
        <v>3</v>
      </c>
      <c r="M1814" s="897" t="s">
        <v>97</v>
      </c>
      <c r="N1814" s="897" t="s">
        <v>98</v>
      </c>
      <c r="O1814" s="897" t="s">
        <v>99</v>
      </c>
      <c r="P1814" s="899"/>
    </row>
    <row r="1815" spans="9:16" ht="15.75" thickBot="1">
      <c r="I1815" s="896"/>
      <c r="J1815" s="898"/>
      <c r="K1815" s="898"/>
      <c r="L1815" s="898"/>
      <c r="M1815" s="898"/>
      <c r="N1815" s="898"/>
      <c r="O1815" s="240" t="s">
        <v>100</v>
      </c>
      <c r="P1815" s="182" t="s">
        <v>101</v>
      </c>
    </row>
    <row r="1816" spans="9:16">
      <c r="I1816" s="873" t="s">
        <v>545</v>
      </c>
      <c r="J1816" s="875">
        <v>42520</v>
      </c>
      <c r="K1816" s="910" t="s">
        <v>695</v>
      </c>
      <c r="L1816" s="879" t="s">
        <v>556</v>
      </c>
      <c r="M1816" s="881" t="s">
        <v>148</v>
      </c>
      <c r="N1816" s="883">
        <v>-241240</v>
      </c>
      <c r="O1816" s="55">
        <v>719</v>
      </c>
      <c r="P1816" s="78"/>
    </row>
    <row r="1817" spans="9:16" ht="15.75" thickBot="1">
      <c r="I1817" s="874"/>
      <c r="J1817" s="876"/>
      <c r="K1817" s="911"/>
      <c r="L1817" s="880"/>
      <c r="M1817" s="882"/>
      <c r="N1817" s="884"/>
      <c r="O1817" s="56">
        <v>723</v>
      </c>
      <c r="P1817" s="79">
        <f>+N1816-P1816</f>
        <v>-241240</v>
      </c>
    </row>
    <row r="1818" spans="9:16">
      <c r="I1818" s="873" t="s">
        <v>547</v>
      </c>
      <c r="J1818" s="875">
        <v>42520</v>
      </c>
      <c r="K1818" s="910" t="s">
        <v>695</v>
      </c>
      <c r="L1818" s="879" t="s">
        <v>556</v>
      </c>
      <c r="M1818" s="881" t="s">
        <v>115</v>
      </c>
      <c r="N1818" s="883">
        <v>-525000</v>
      </c>
      <c r="O1818" s="55">
        <v>719</v>
      </c>
      <c r="P1818" s="78"/>
    </row>
    <row r="1819" spans="9:16" ht="15.75" thickBot="1">
      <c r="I1819" s="874"/>
      <c r="J1819" s="876"/>
      <c r="K1819" s="911"/>
      <c r="L1819" s="880"/>
      <c r="M1819" s="882"/>
      <c r="N1819" s="884"/>
      <c r="O1819" s="56">
        <v>723</v>
      </c>
      <c r="P1819" s="79">
        <f>+N1818-P1818</f>
        <v>-525000</v>
      </c>
    </row>
    <row r="1820" spans="9:16" ht="12.75" customHeight="1">
      <c r="I1820" s="873"/>
      <c r="J1820" s="875"/>
      <c r="K1820" s="877"/>
      <c r="L1820" s="879"/>
      <c r="M1820" s="881"/>
      <c r="N1820" s="883"/>
      <c r="O1820" s="55">
        <v>719</v>
      </c>
      <c r="P1820" s="78"/>
    </row>
    <row r="1821" spans="9:16" ht="14.25" customHeight="1" thickBot="1">
      <c r="I1821" s="874"/>
      <c r="J1821" s="876"/>
      <c r="K1821" s="878"/>
      <c r="L1821" s="880"/>
      <c r="M1821" s="882"/>
      <c r="N1821" s="884"/>
      <c r="O1821" s="56">
        <v>723</v>
      </c>
      <c r="P1821" s="79">
        <f>+N1820-P1820</f>
        <v>0</v>
      </c>
    </row>
    <row r="1822" spans="9:16">
      <c r="I1822" s="873"/>
      <c r="J1822" s="875"/>
      <c r="K1822" s="877"/>
      <c r="L1822" s="879"/>
      <c r="M1822" s="881"/>
      <c r="N1822" s="883"/>
      <c r="O1822" s="55">
        <v>719</v>
      </c>
      <c r="P1822" s="78"/>
    </row>
    <row r="1823" spans="9:16" ht="15.75" thickBot="1">
      <c r="I1823" s="874"/>
      <c r="J1823" s="876"/>
      <c r="K1823" s="878"/>
      <c r="L1823" s="880"/>
      <c r="M1823" s="882"/>
      <c r="N1823" s="884"/>
      <c r="O1823" s="56">
        <v>723</v>
      </c>
      <c r="P1823" s="79">
        <f>+N1822-P1822</f>
        <v>0</v>
      </c>
    </row>
    <row r="1824" spans="9:16" ht="12.75" customHeight="1">
      <c r="I1824" s="873"/>
      <c r="J1824" s="875"/>
      <c r="K1824" s="877"/>
      <c r="L1824" s="879"/>
      <c r="M1824" s="881"/>
      <c r="N1824" s="883"/>
      <c r="O1824" s="55">
        <v>719</v>
      </c>
      <c r="P1824" s="78"/>
    </row>
    <row r="1825" spans="9:16" ht="15.75" thickBot="1">
      <c r="I1825" s="874"/>
      <c r="J1825" s="876"/>
      <c r="K1825" s="878"/>
      <c r="L1825" s="880"/>
      <c r="M1825" s="882"/>
      <c r="N1825" s="884"/>
      <c r="O1825" s="56">
        <v>723</v>
      </c>
      <c r="P1825" s="79">
        <f>+N1824-P1824</f>
        <v>0</v>
      </c>
    </row>
    <row r="1826" spans="9:16" ht="16.5" thickBot="1">
      <c r="I1826" s="901" t="s">
        <v>102</v>
      </c>
      <c r="J1826" s="902"/>
      <c r="K1826" s="902"/>
      <c r="L1826" s="902"/>
      <c r="M1826" s="903"/>
      <c r="N1826" s="81">
        <f>SUM(N1816:N1825)</f>
        <v>-766240</v>
      </c>
    </row>
    <row r="1827" spans="9:16" ht="16.5" thickBot="1">
      <c r="I1827" s="885" t="s">
        <v>103</v>
      </c>
      <c r="J1827" s="886"/>
      <c r="K1827" s="886"/>
      <c r="L1827" s="886"/>
      <c r="M1827" s="887"/>
      <c r="N1827" s="69">
        <f>+N1791</f>
        <v>569031459</v>
      </c>
      <c r="O1827" s="241" t="s">
        <v>561</v>
      </c>
      <c r="P1827" s="242"/>
    </row>
    <row r="1828" spans="9:16" ht="16.5" thickBot="1">
      <c r="I1828" s="888" t="s">
        <v>104</v>
      </c>
      <c r="J1828" s="889"/>
      <c r="K1828" s="889"/>
      <c r="L1828" s="889"/>
      <c r="M1828" s="890"/>
      <c r="N1828" s="183">
        <f>SUM(N1826:N1827)</f>
        <v>568265219</v>
      </c>
    </row>
    <row r="1829" spans="9:16">
      <c r="I1829" s="61"/>
      <c r="J1829" s="61"/>
      <c r="K1829" s="61"/>
      <c r="L1829" s="61"/>
      <c r="M1829" s="61"/>
    </row>
    <row r="1830" spans="9:16">
      <c r="I1830" s="51" t="s">
        <v>978</v>
      </c>
    </row>
    <row r="1831" spans="9:16" ht="12" customHeight="1">
      <c r="N1831" s="139"/>
    </row>
    <row r="1832" spans="9:16">
      <c r="I1832" s="50" t="s">
        <v>105</v>
      </c>
      <c r="L1832" s="146"/>
      <c r="N1832" s="139"/>
    </row>
    <row r="1833" spans="9:16" ht="12" customHeight="1" thickBot="1"/>
    <row r="1834" spans="9:16" ht="15.75" thickBot="1">
      <c r="I1834" s="891" t="s">
        <v>106</v>
      </c>
      <c r="J1834" s="892"/>
      <c r="K1834" s="892"/>
      <c r="L1834" s="893"/>
      <c r="N1834" s="50" t="s">
        <v>288</v>
      </c>
    </row>
    <row r="1835" spans="9:16" ht="30.75" thickBot="1">
      <c r="I1835" s="57" t="s">
        <v>100</v>
      </c>
      <c r="J1835" s="58" t="s">
        <v>108</v>
      </c>
      <c r="K1835" s="287" t="s">
        <v>109</v>
      </c>
      <c r="L1835" s="60" t="s">
        <v>110</v>
      </c>
    </row>
    <row r="1836" spans="9:16">
      <c r="I1836" s="71">
        <v>719</v>
      </c>
      <c r="J1836" s="73">
        <f>+P1816+P1818+P1820+P1822+P1824</f>
        <v>0</v>
      </c>
      <c r="K1836" s="74">
        <f>+L1799</f>
        <v>34330000</v>
      </c>
      <c r="L1836" s="195">
        <f>+J1836+K1836</f>
        <v>34330000</v>
      </c>
    </row>
    <row r="1837" spans="9:16">
      <c r="I1837" s="72">
        <v>721</v>
      </c>
      <c r="J1837" s="80">
        <v>0</v>
      </c>
      <c r="K1837" s="74">
        <f>+L1800</f>
        <v>85923559</v>
      </c>
      <c r="L1837" s="195">
        <f>+J1837+K1837</f>
        <v>85923559</v>
      </c>
    </row>
    <row r="1838" spans="9:16">
      <c r="I1838" s="72">
        <v>722</v>
      </c>
      <c r="J1838" s="80"/>
      <c r="K1838" s="74">
        <f>+L1801</f>
        <v>42881706</v>
      </c>
      <c r="L1838" s="195">
        <f>+J1838+K1838</f>
        <v>42881706</v>
      </c>
    </row>
    <row r="1839" spans="9:16" ht="15.75">
      <c r="I1839" s="72">
        <v>723</v>
      </c>
      <c r="J1839" s="80">
        <f>+P1825+P1823+P1821+P1819+P1817</f>
        <v>-766240</v>
      </c>
      <c r="K1839" s="74">
        <f>+L1802</f>
        <v>405826194</v>
      </c>
      <c r="L1839" s="195">
        <f>+J1839+K1839</f>
        <v>405059954</v>
      </c>
      <c r="N1839" s="193" t="s">
        <v>289</v>
      </c>
      <c r="O1839" s="175"/>
    </row>
    <row r="1840" spans="9:16" ht="16.5" thickBot="1">
      <c r="I1840" s="164" t="s">
        <v>181</v>
      </c>
      <c r="J1840" s="165"/>
      <c r="K1840" s="74">
        <f>+L1803</f>
        <v>0</v>
      </c>
      <c r="L1840" s="196">
        <f>+J1840+K1840</f>
        <v>0</v>
      </c>
      <c r="N1840" s="52"/>
    </row>
    <row r="1841" spans="9:16" ht="16.5" thickBot="1">
      <c r="I1841" s="169"/>
      <c r="J1841" s="197">
        <f>SUM(J1836:J1840)</f>
        <v>-766240</v>
      </c>
      <c r="K1841" s="197">
        <f>SUM(K1836:K1840)</f>
        <v>568961459</v>
      </c>
      <c r="L1841" s="198">
        <f>SUM(L1836:L1840)</f>
        <v>568195219</v>
      </c>
    </row>
    <row r="1842" spans="9:16" ht="16.5">
      <c r="I1842" s="49" t="s">
        <v>88</v>
      </c>
      <c r="J1842" s="50"/>
    </row>
    <row r="1843" spans="9:16">
      <c r="I1843" s="51" t="s">
        <v>89</v>
      </c>
    </row>
    <row r="1844" spans="9:16">
      <c r="I1844" s="51" t="s">
        <v>90</v>
      </c>
    </row>
    <row r="1845" spans="9:16">
      <c r="I1845" s="51" t="s">
        <v>91</v>
      </c>
    </row>
    <row r="1846" spans="9:16">
      <c r="I1846" s="50"/>
      <c r="J1846" s="50"/>
    </row>
    <row r="1847" spans="9:16" ht="15.75">
      <c r="I1847" s="260" t="s">
        <v>977</v>
      </c>
      <c r="O1847" s="52"/>
    </row>
    <row r="1848" spans="9:16" ht="15.75">
      <c r="I1848" s="53" t="s">
        <v>535</v>
      </c>
      <c r="O1848" s="53"/>
    </row>
    <row r="1849" spans="9:16" ht="16.5">
      <c r="I1849" s="894" t="s">
        <v>967</v>
      </c>
      <c r="J1849" s="894"/>
      <c r="K1849" s="894"/>
      <c r="L1849" s="894"/>
      <c r="M1849" s="894"/>
      <c r="N1849" s="894"/>
      <c r="O1849" s="894"/>
      <c r="P1849" s="894"/>
    </row>
    <row r="1850" spans="9:16" ht="15.75" thickBot="1"/>
    <row r="1851" spans="9:16">
      <c r="I1851" s="895" t="s">
        <v>968</v>
      </c>
      <c r="J1851" s="897" t="s">
        <v>95</v>
      </c>
      <c r="K1851" s="897" t="s">
        <v>96</v>
      </c>
      <c r="L1851" s="897" t="s">
        <v>3</v>
      </c>
      <c r="M1851" s="897" t="s">
        <v>97</v>
      </c>
      <c r="N1851" s="897" t="s">
        <v>98</v>
      </c>
      <c r="O1851" s="897" t="s">
        <v>99</v>
      </c>
      <c r="P1851" s="899"/>
    </row>
    <row r="1852" spans="9:16" ht="15.75" thickBot="1">
      <c r="I1852" s="896"/>
      <c r="J1852" s="898"/>
      <c r="K1852" s="898"/>
      <c r="L1852" s="898"/>
      <c r="M1852" s="898"/>
      <c r="N1852" s="898"/>
      <c r="O1852" s="240" t="s">
        <v>100</v>
      </c>
      <c r="P1852" s="182" t="s">
        <v>101</v>
      </c>
    </row>
    <row r="1853" spans="9:16" ht="13.5" customHeight="1">
      <c r="I1853" s="873" t="s">
        <v>548</v>
      </c>
      <c r="J1853" s="875">
        <v>42520</v>
      </c>
      <c r="K1853" s="877" t="s">
        <v>701</v>
      </c>
      <c r="L1853" s="879" t="s">
        <v>556</v>
      </c>
      <c r="M1853" s="881" t="s">
        <v>148</v>
      </c>
      <c r="N1853" s="883">
        <v>-630000</v>
      </c>
      <c r="O1853" s="55">
        <v>719</v>
      </c>
      <c r="P1853" s="78"/>
    </row>
    <row r="1854" spans="9:16" ht="15.75" customHeight="1" thickBot="1">
      <c r="I1854" s="874"/>
      <c r="J1854" s="876"/>
      <c r="K1854" s="878"/>
      <c r="L1854" s="880"/>
      <c r="M1854" s="882"/>
      <c r="N1854" s="884"/>
      <c r="O1854" s="56">
        <v>723</v>
      </c>
      <c r="P1854" s="79">
        <f>+N1853-P1853</f>
        <v>-630000</v>
      </c>
    </row>
    <row r="1855" spans="9:16" ht="15" customHeight="1">
      <c r="I1855" s="873" t="s">
        <v>549</v>
      </c>
      <c r="J1855" s="875">
        <v>42520</v>
      </c>
      <c r="K1855" s="877" t="s">
        <v>673</v>
      </c>
      <c r="L1855" s="879" t="s">
        <v>556</v>
      </c>
      <c r="M1855" s="881" t="s">
        <v>148</v>
      </c>
      <c r="N1855" s="883">
        <v>-630000</v>
      </c>
      <c r="O1855" s="55">
        <v>719</v>
      </c>
      <c r="P1855" s="78"/>
    </row>
    <row r="1856" spans="9:16" ht="13.5" customHeight="1" thickBot="1">
      <c r="I1856" s="874"/>
      <c r="J1856" s="876"/>
      <c r="K1856" s="878"/>
      <c r="L1856" s="880"/>
      <c r="M1856" s="882"/>
      <c r="N1856" s="884"/>
      <c r="O1856" s="56">
        <v>723</v>
      </c>
      <c r="P1856" s="79">
        <f>+N1855-P1855</f>
        <v>-630000</v>
      </c>
    </row>
    <row r="1857" spans="9:16" ht="15" customHeight="1">
      <c r="I1857" s="873" t="s">
        <v>550</v>
      </c>
      <c r="J1857" s="875">
        <v>42520</v>
      </c>
      <c r="K1857" s="877" t="s">
        <v>729</v>
      </c>
      <c r="L1857" s="879" t="s">
        <v>556</v>
      </c>
      <c r="M1857" s="881" t="s">
        <v>148</v>
      </c>
      <c r="N1857" s="883">
        <v>-945000</v>
      </c>
      <c r="O1857" s="55">
        <v>719</v>
      </c>
      <c r="P1857" s="78"/>
    </row>
    <row r="1858" spans="9:16" ht="15.75" customHeight="1" thickBot="1">
      <c r="I1858" s="874"/>
      <c r="J1858" s="876"/>
      <c r="K1858" s="878"/>
      <c r="L1858" s="880"/>
      <c r="M1858" s="882"/>
      <c r="N1858" s="884"/>
      <c r="O1858" s="56">
        <v>723</v>
      </c>
      <c r="P1858" s="79">
        <f>+N1857-P1857</f>
        <v>-945000</v>
      </c>
    </row>
    <row r="1859" spans="9:16" ht="15" customHeight="1">
      <c r="I1859" s="873" t="s">
        <v>551</v>
      </c>
      <c r="J1859" s="875">
        <v>42520</v>
      </c>
      <c r="K1859" s="877" t="s">
        <v>694</v>
      </c>
      <c r="L1859" s="879" t="s">
        <v>556</v>
      </c>
      <c r="M1859" s="881" t="s">
        <v>148</v>
      </c>
      <c r="N1859" s="883">
        <v>-25611697</v>
      </c>
      <c r="O1859" s="55">
        <v>719</v>
      </c>
      <c r="P1859" s="78"/>
    </row>
    <row r="1860" spans="9:16" ht="15.75" customHeight="1" thickBot="1">
      <c r="I1860" s="874"/>
      <c r="J1860" s="876"/>
      <c r="K1860" s="878"/>
      <c r="L1860" s="880"/>
      <c r="M1860" s="882"/>
      <c r="N1860" s="884"/>
      <c r="O1860" s="56">
        <v>723</v>
      </c>
      <c r="P1860" s="79">
        <f>+N1859-P1859</f>
        <v>-25611697</v>
      </c>
    </row>
    <row r="1861" spans="9:16" ht="12" customHeight="1">
      <c r="I1861" s="873"/>
      <c r="J1861" s="875"/>
      <c r="K1861" s="877"/>
      <c r="L1861" s="879"/>
      <c r="M1861" s="881"/>
      <c r="N1861" s="883"/>
      <c r="O1861" s="55">
        <v>719</v>
      </c>
      <c r="P1861" s="78"/>
    </row>
    <row r="1862" spans="9:16" ht="12" customHeight="1" thickBot="1">
      <c r="I1862" s="874"/>
      <c r="J1862" s="876"/>
      <c r="K1862" s="878"/>
      <c r="L1862" s="880"/>
      <c r="M1862" s="882"/>
      <c r="N1862" s="884"/>
      <c r="O1862" s="56">
        <v>723</v>
      </c>
      <c r="P1862" s="79">
        <f>+N1861-P1861</f>
        <v>0</v>
      </c>
    </row>
    <row r="1863" spans="9:16" ht="16.5" thickBot="1">
      <c r="I1863" s="901" t="s">
        <v>102</v>
      </c>
      <c r="J1863" s="902"/>
      <c r="K1863" s="902"/>
      <c r="L1863" s="902"/>
      <c r="M1863" s="903"/>
      <c r="N1863" s="81">
        <f>SUM(N1853:N1862)</f>
        <v>-27816697</v>
      </c>
    </row>
    <row r="1864" spans="9:16" ht="16.5" thickBot="1">
      <c r="I1864" s="885" t="s">
        <v>103</v>
      </c>
      <c r="J1864" s="886"/>
      <c r="K1864" s="886"/>
      <c r="L1864" s="886"/>
      <c r="M1864" s="887"/>
      <c r="N1864" s="69">
        <f>+N1828</f>
        <v>568265219</v>
      </c>
      <c r="O1864" s="241" t="s">
        <v>561</v>
      </c>
      <c r="P1864" s="242"/>
    </row>
    <row r="1865" spans="9:16" ht="16.5" thickBot="1">
      <c r="I1865" s="888" t="s">
        <v>104</v>
      </c>
      <c r="J1865" s="889"/>
      <c r="K1865" s="889"/>
      <c r="L1865" s="889"/>
      <c r="M1865" s="890"/>
      <c r="N1865" s="183">
        <f>SUM(N1863:N1864)</f>
        <v>540448522</v>
      </c>
    </row>
    <row r="1866" spans="9:16">
      <c r="I1866" s="61"/>
      <c r="J1866" s="61"/>
      <c r="K1866" s="61"/>
      <c r="L1866" s="61"/>
      <c r="M1866" s="61"/>
    </row>
    <row r="1867" spans="9:16">
      <c r="I1867" s="51" t="s">
        <v>989</v>
      </c>
    </row>
    <row r="1868" spans="9:16">
      <c r="N1868" s="139"/>
    </row>
    <row r="1869" spans="9:16">
      <c r="I1869" s="50" t="s">
        <v>105</v>
      </c>
      <c r="L1869" s="146"/>
      <c r="N1869" s="139"/>
    </row>
    <row r="1870" spans="9:16" ht="15.75" thickBot="1"/>
    <row r="1871" spans="9:16" ht="15.75" thickBot="1">
      <c r="I1871" s="891" t="s">
        <v>106</v>
      </c>
      <c r="J1871" s="892"/>
      <c r="K1871" s="892"/>
      <c r="L1871" s="893"/>
      <c r="N1871" s="50" t="s">
        <v>288</v>
      </c>
    </row>
    <row r="1872" spans="9:16" ht="30.75" thickBot="1">
      <c r="I1872" s="57" t="s">
        <v>100</v>
      </c>
      <c r="J1872" s="58" t="s">
        <v>108</v>
      </c>
      <c r="K1872" s="287" t="s">
        <v>109</v>
      </c>
      <c r="L1872" s="60" t="s">
        <v>110</v>
      </c>
    </row>
    <row r="1873" spans="9:16">
      <c r="I1873" s="71">
        <v>719</v>
      </c>
      <c r="J1873" s="73">
        <f>+P1853+P1855+P1859</f>
        <v>0</v>
      </c>
      <c r="K1873" s="74">
        <f>+L1836</f>
        <v>34330000</v>
      </c>
      <c r="L1873" s="195">
        <f>+J1873+K1873</f>
        <v>34330000</v>
      </c>
    </row>
    <row r="1874" spans="9:16">
      <c r="I1874" s="72">
        <v>721</v>
      </c>
      <c r="J1874" s="80">
        <v>0</v>
      </c>
      <c r="K1874" s="74">
        <f>+L1837</f>
        <v>85923559</v>
      </c>
      <c r="L1874" s="195">
        <f>+J1874+K1874</f>
        <v>85923559</v>
      </c>
    </row>
    <row r="1875" spans="9:16">
      <c r="I1875" s="72">
        <v>722</v>
      </c>
      <c r="J1875" s="80"/>
      <c r="K1875" s="74">
        <f>+L1838</f>
        <v>42881706</v>
      </c>
      <c r="L1875" s="195">
        <f>+J1875+K1875</f>
        <v>42881706</v>
      </c>
    </row>
    <row r="1876" spans="9:16" ht="15.75">
      <c r="I1876" s="72">
        <v>723</v>
      </c>
      <c r="J1876" s="80">
        <f>+P1860+P1856+P1854+P1858</f>
        <v>-27816697</v>
      </c>
      <c r="K1876" s="74">
        <f>+L1839</f>
        <v>405059954</v>
      </c>
      <c r="L1876" s="195">
        <f>+J1876+K1876</f>
        <v>377243257</v>
      </c>
      <c r="N1876" s="193" t="s">
        <v>289</v>
      </c>
      <c r="O1876" s="175"/>
    </row>
    <row r="1877" spans="9:16" ht="16.5" thickBot="1">
      <c r="I1877" s="164" t="s">
        <v>181</v>
      </c>
      <c r="J1877" s="165"/>
      <c r="K1877" s="74">
        <f>+L1840</f>
        <v>0</v>
      </c>
      <c r="L1877" s="196">
        <f>+J1877+K1877</f>
        <v>0</v>
      </c>
      <c r="N1877" s="52"/>
    </row>
    <row r="1878" spans="9:16" ht="16.5" thickBot="1">
      <c r="I1878" s="169"/>
      <c r="J1878" s="197">
        <f>SUM(J1873:J1877)</f>
        <v>-27816697</v>
      </c>
      <c r="K1878" s="197">
        <f>SUM(K1873:K1877)</f>
        <v>568195219</v>
      </c>
      <c r="L1878" s="198">
        <f>SUM(L1873:L1877)</f>
        <v>540378522</v>
      </c>
    </row>
    <row r="1879" spans="9:16" ht="16.5">
      <c r="I1879" s="49" t="s">
        <v>88</v>
      </c>
      <c r="J1879" s="50"/>
    </row>
    <row r="1880" spans="9:16">
      <c r="I1880" s="51" t="s">
        <v>89</v>
      </c>
    </row>
    <row r="1881" spans="9:16">
      <c r="I1881" s="51" t="s">
        <v>90</v>
      </c>
    </row>
    <row r="1882" spans="9:16">
      <c r="I1882" s="51" t="s">
        <v>91</v>
      </c>
    </row>
    <row r="1883" spans="9:16">
      <c r="I1883" s="50"/>
      <c r="J1883" s="50"/>
    </row>
    <row r="1884" spans="9:16" ht="15.75">
      <c r="I1884" s="260" t="s">
        <v>980</v>
      </c>
      <c r="O1884" s="52"/>
    </row>
    <row r="1885" spans="9:16" ht="15.75">
      <c r="I1885" s="53" t="s">
        <v>535</v>
      </c>
      <c r="O1885" s="53"/>
    </row>
    <row r="1886" spans="9:16" ht="16.5">
      <c r="I1886" s="894" t="s">
        <v>909</v>
      </c>
      <c r="J1886" s="894"/>
      <c r="K1886" s="894"/>
      <c r="L1886" s="894"/>
      <c r="M1886" s="894"/>
      <c r="N1886" s="894"/>
      <c r="O1886" s="894"/>
      <c r="P1886" s="894"/>
    </row>
    <row r="1887" spans="9:16" ht="15.75" thickBot="1"/>
    <row r="1888" spans="9:16">
      <c r="I1888" s="895" t="s">
        <v>94</v>
      </c>
      <c r="J1888" s="897" t="s">
        <v>95</v>
      </c>
      <c r="K1888" s="897" t="s">
        <v>96</v>
      </c>
      <c r="L1888" s="897" t="s">
        <v>3</v>
      </c>
      <c r="M1888" s="897" t="s">
        <v>97</v>
      </c>
      <c r="N1888" s="897" t="s">
        <v>98</v>
      </c>
      <c r="O1888" s="897" t="s">
        <v>99</v>
      </c>
      <c r="P1888" s="899"/>
    </row>
    <row r="1889" spans="9:16" ht="15.75" thickBot="1">
      <c r="I1889" s="896"/>
      <c r="J1889" s="898"/>
      <c r="K1889" s="898"/>
      <c r="L1889" s="898"/>
      <c r="M1889" s="898"/>
      <c r="N1889" s="898"/>
      <c r="O1889" s="240" t="s">
        <v>100</v>
      </c>
      <c r="P1889" s="182" t="s">
        <v>101</v>
      </c>
    </row>
    <row r="1890" spans="9:16">
      <c r="I1890" s="881">
        <v>212</v>
      </c>
      <c r="J1890" s="875">
        <v>42549</v>
      </c>
      <c r="K1890" s="877" t="s">
        <v>272</v>
      </c>
      <c r="L1890" s="879" t="s">
        <v>983</v>
      </c>
      <c r="M1890" s="881" t="s">
        <v>115</v>
      </c>
      <c r="N1890" s="883">
        <v>140000</v>
      </c>
      <c r="O1890" s="55">
        <v>719</v>
      </c>
      <c r="P1890" s="78">
        <v>140000</v>
      </c>
    </row>
    <row r="1891" spans="9:16" ht="15.75" thickBot="1">
      <c r="I1891" s="882"/>
      <c r="J1891" s="876"/>
      <c r="K1891" s="878"/>
      <c r="L1891" s="880"/>
      <c r="M1891" s="882"/>
      <c r="N1891" s="884"/>
      <c r="O1891" s="56">
        <v>721</v>
      </c>
      <c r="P1891" s="79">
        <f>+N1890-P1890</f>
        <v>0</v>
      </c>
    </row>
    <row r="1892" spans="9:16" ht="15" customHeight="1">
      <c r="I1892" s="881">
        <v>213</v>
      </c>
      <c r="J1892" s="875">
        <v>42549</v>
      </c>
      <c r="K1892" s="877" t="s">
        <v>28</v>
      </c>
      <c r="L1892" s="879" t="s">
        <v>982</v>
      </c>
      <c r="M1892" s="881" t="s">
        <v>115</v>
      </c>
      <c r="N1892" s="883">
        <v>40000</v>
      </c>
      <c r="O1892" s="55">
        <v>719</v>
      </c>
      <c r="P1892" s="78">
        <v>40000</v>
      </c>
    </row>
    <row r="1893" spans="9:16" ht="15.75" customHeight="1" thickBot="1">
      <c r="I1893" s="882"/>
      <c r="J1893" s="876"/>
      <c r="K1893" s="878"/>
      <c r="L1893" s="880"/>
      <c r="M1893" s="882"/>
      <c r="N1893" s="884"/>
      <c r="O1893" s="56">
        <v>721</v>
      </c>
      <c r="P1893" s="79">
        <f>+N1892-P1892</f>
        <v>0</v>
      </c>
    </row>
    <row r="1894" spans="9:16" ht="15" customHeight="1">
      <c r="I1894" s="881">
        <v>214</v>
      </c>
      <c r="J1894" s="875">
        <v>42549</v>
      </c>
      <c r="K1894" s="877" t="s">
        <v>120</v>
      </c>
      <c r="L1894" s="879" t="s">
        <v>984</v>
      </c>
      <c r="M1894" s="881" t="s">
        <v>115</v>
      </c>
      <c r="N1894" s="883">
        <v>30000</v>
      </c>
      <c r="O1894" s="55">
        <v>719</v>
      </c>
      <c r="P1894" s="78">
        <v>30000</v>
      </c>
    </row>
    <row r="1895" spans="9:16" ht="15.75" customHeight="1" thickBot="1">
      <c r="I1895" s="882"/>
      <c r="J1895" s="876"/>
      <c r="K1895" s="878"/>
      <c r="L1895" s="880"/>
      <c r="M1895" s="882"/>
      <c r="N1895" s="884"/>
      <c r="O1895" s="56">
        <v>721</v>
      </c>
      <c r="P1895" s="79">
        <f>+N1894-P1894</f>
        <v>0</v>
      </c>
    </row>
    <row r="1896" spans="9:16" ht="15" customHeight="1">
      <c r="I1896" s="881">
        <v>215</v>
      </c>
      <c r="J1896" s="875">
        <v>42549</v>
      </c>
      <c r="K1896" s="877" t="s">
        <v>272</v>
      </c>
      <c r="L1896" s="879" t="s">
        <v>985</v>
      </c>
      <c r="M1896" s="881" t="s">
        <v>115</v>
      </c>
      <c r="N1896" s="883">
        <v>200000</v>
      </c>
      <c r="O1896" s="55">
        <v>719</v>
      </c>
      <c r="P1896" s="78">
        <v>200000</v>
      </c>
    </row>
    <row r="1897" spans="9:16" ht="15.75" customHeight="1" thickBot="1">
      <c r="I1897" s="882"/>
      <c r="J1897" s="876"/>
      <c r="K1897" s="878"/>
      <c r="L1897" s="880"/>
      <c r="M1897" s="882"/>
      <c r="N1897" s="884"/>
      <c r="O1897" s="56">
        <v>721</v>
      </c>
      <c r="P1897" s="79">
        <f>+N1896-P1896</f>
        <v>0</v>
      </c>
    </row>
    <row r="1898" spans="9:16" ht="15" customHeight="1">
      <c r="I1898" s="881"/>
      <c r="J1898" s="875"/>
      <c r="K1898" s="877"/>
      <c r="L1898" s="881"/>
      <c r="M1898" s="881"/>
      <c r="N1898" s="883"/>
      <c r="O1898" s="55">
        <v>719</v>
      </c>
      <c r="P1898" s="78"/>
    </row>
    <row r="1899" spans="9:16" ht="12" customHeight="1" thickBot="1">
      <c r="I1899" s="882"/>
      <c r="J1899" s="876"/>
      <c r="K1899" s="878"/>
      <c r="L1899" s="882"/>
      <c r="M1899" s="882"/>
      <c r="N1899" s="884"/>
      <c r="O1899" s="56">
        <v>721</v>
      </c>
      <c r="P1899" s="79">
        <f>+N1898-P1898</f>
        <v>0</v>
      </c>
    </row>
    <row r="1900" spans="9:16" ht="16.5" thickBot="1">
      <c r="I1900" s="901" t="s">
        <v>102</v>
      </c>
      <c r="J1900" s="902"/>
      <c r="K1900" s="902"/>
      <c r="L1900" s="902"/>
      <c r="M1900" s="903"/>
      <c r="N1900" s="81">
        <f>SUM(N1890:N1899)</f>
        <v>410000</v>
      </c>
    </row>
    <row r="1901" spans="9:16" ht="16.5" thickBot="1">
      <c r="I1901" s="885" t="s">
        <v>103</v>
      </c>
      <c r="J1901" s="886"/>
      <c r="K1901" s="886"/>
      <c r="L1901" s="886"/>
      <c r="M1901" s="887"/>
      <c r="N1901" s="69">
        <f>+N1865</f>
        <v>540448522</v>
      </c>
      <c r="O1901" s="241" t="s">
        <v>561</v>
      </c>
      <c r="P1901" s="242">
        <f>649+441+67+12</f>
        <v>1169</v>
      </c>
    </row>
    <row r="1902" spans="9:16" ht="16.5" thickBot="1">
      <c r="I1902" s="888" t="s">
        <v>104</v>
      </c>
      <c r="J1902" s="889"/>
      <c r="K1902" s="889"/>
      <c r="L1902" s="889"/>
      <c r="M1902" s="890"/>
      <c r="N1902" s="183">
        <f>SUM(N1900:N1901)</f>
        <v>540858522</v>
      </c>
    </row>
    <row r="1903" spans="9:16">
      <c r="I1903" s="61"/>
      <c r="J1903" s="61"/>
      <c r="K1903" s="61"/>
      <c r="L1903" s="61"/>
      <c r="M1903" s="61"/>
    </row>
    <row r="1904" spans="9:16">
      <c r="I1904" s="51" t="s">
        <v>990</v>
      </c>
    </row>
    <row r="1905" spans="9:15" ht="12" customHeight="1">
      <c r="N1905" s="139"/>
    </row>
    <row r="1906" spans="9:15">
      <c r="I1906" s="50" t="s">
        <v>105</v>
      </c>
      <c r="L1906" s="146"/>
      <c r="N1906" s="139"/>
    </row>
    <row r="1907" spans="9:15" ht="12.75" customHeight="1" thickBot="1"/>
    <row r="1908" spans="9:15" ht="15.75" thickBot="1">
      <c r="I1908" s="891" t="s">
        <v>106</v>
      </c>
      <c r="J1908" s="892"/>
      <c r="K1908" s="892"/>
      <c r="L1908" s="893"/>
      <c r="N1908" s="50" t="s">
        <v>288</v>
      </c>
    </row>
    <row r="1909" spans="9:15" ht="30.75" thickBot="1">
      <c r="I1909" s="57" t="s">
        <v>100</v>
      </c>
      <c r="J1909" s="58" t="s">
        <v>108</v>
      </c>
      <c r="K1909" s="287" t="s">
        <v>109</v>
      </c>
      <c r="L1909" s="60" t="s">
        <v>110</v>
      </c>
    </row>
    <row r="1910" spans="9:15">
      <c r="I1910" s="71">
        <v>719</v>
      </c>
      <c r="J1910" s="73">
        <f>+P1890+P1892+P1894+P1896+P1898</f>
        <v>410000</v>
      </c>
      <c r="K1910" s="74">
        <f>+L1873</f>
        <v>34330000</v>
      </c>
      <c r="L1910" s="195">
        <f>+J1910+K1910</f>
        <v>34740000</v>
      </c>
    </row>
    <row r="1911" spans="9:15">
      <c r="I1911" s="72">
        <v>721</v>
      </c>
      <c r="J1911" s="80">
        <f>+P1891+P1893+P1895+P1897</f>
        <v>0</v>
      </c>
      <c r="K1911" s="74">
        <f>+L1874</f>
        <v>85923559</v>
      </c>
      <c r="L1911" s="195">
        <f>+J1911+K1911</f>
        <v>85923559</v>
      </c>
    </row>
    <row r="1912" spans="9:15">
      <c r="I1912" s="72">
        <v>722</v>
      </c>
      <c r="J1912" s="80"/>
      <c r="K1912" s="74">
        <f>+L1875</f>
        <v>42881706</v>
      </c>
      <c r="L1912" s="195">
        <f>+J1912+K1912</f>
        <v>42881706</v>
      </c>
    </row>
    <row r="1913" spans="9:15" ht="15.75">
      <c r="I1913" s="72">
        <v>723</v>
      </c>
      <c r="J1913" s="80"/>
      <c r="K1913" s="74">
        <f>+L1876</f>
        <v>377243257</v>
      </c>
      <c r="L1913" s="195">
        <f>+J1913+K1913</f>
        <v>377243257</v>
      </c>
      <c r="N1913" s="193" t="s">
        <v>289</v>
      </c>
      <c r="O1913" s="175"/>
    </row>
    <row r="1914" spans="9:15" ht="16.5" thickBot="1">
      <c r="I1914" s="164" t="s">
        <v>181</v>
      </c>
      <c r="J1914" s="165"/>
      <c r="K1914" s="74">
        <f>+L1877</f>
        <v>0</v>
      </c>
      <c r="L1914" s="196">
        <f>+J1914+K1914</f>
        <v>0</v>
      </c>
      <c r="N1914" s="52"/>
    </row>
    <row r="1915" spans="9:15" ht="16.5" thickBot="1">
      <c r="I1915" s="169"/>
      <c r="J1915" s="197">
        <f>SUM(J1910:J1914)</f>
        <v>410000</v>
      </c>
      <c r="K1915" s="197">
        <f>SUM(K1910:K1914)</f>
        <v>540378522</v>
      </c>
      <c r="L1915" s="198">
        <f>SUM(L1910:L1914)</f>
        <v>540788522</v>
      </c>
    </row>
    <row r="1916" spans="9:15" ht="16.5">
      <c r="I1916" s="49" t="s">
        <v>88</v>
      </c>
      <c r="J1916" s="50"/>
    </row>
    <row r="1917" spans="9:15">
      <c r="I1917" s="51" t="s">
        <v>89</v>
      </c>
    </row>
    <row r="1918" spans="9:15">
      <c r="I1918" s="51" t="s">
        <v>90</v>
      </c>
    </row>
    <row r="1919" spans="9:15">
      <c r="I1919" s="51" t="s">
        <v>91</v>
      </c>
    </row>
    <row r="1920" spans="9:15" ht="11.25" customHeight="1">
      <c r="I1920" s="50"/>
      <c r="J1920" s="50"/>
    </row>
    <row r="1921" spans="9:16" ht="15.75">
      <c r="I1921" s="260" t="s">
        <v>981</v>
      </c>
      <c r="O1921" s="52"/>
    </row>
    <row r="1922" spans="9:16" ht="15.75">
      <c r="I1922" s="53" t="s">
        <v>535</v>
      </c>
      <c r="O1922" s="53"/>
    </row>
    <row r="1923" spans="9:16" ht="16.5">
      <c r="I1923" s="894" t="s">
        <v>909</v>
      </c>
      <c r="J1923" s="894"/>
      <c r="K1923" s="894"/>
      <c r="L1923" s="894"/>
      <c r="M1923" s="894"/>
      <c r="N1923" s="894"/>
      <c r="O1923" s="894"/>
      <c r="P1923" s="894"/>
    </row>
    <row r="1924" spans="9:16" ht="15.75" thickBot="1"/>
    <row r="1925" spans="9:16">
      <c r="I1925" s="895" t="s">
        <v>94</v>
      </c>
      <c r="J1925" s="897" t="s">
        <v>95</v>
      </c>
      <c r="K1925" s="897" t="s">
        <v>96</v>
      </c>
      <c r="L1925" s="897" t="s">
        <v>3</v>
      </c>
      <c r="M1925" s="897" t="s">
        <v>97</v>
      </c>
      <c r="N1925" s="897" t="s">
        <v>98</v>
      </c>
      <c r="O1925" s="897" t="s">
        <v>99</v>
      </c>
      <c r="P1925" s="899"/>
    </row>
    <row r="1926" spans="9:16" ht="15.75" thickBot="1">
      <c r="I1926" s="896"/>
      <c r="J1926" s="898"/>
      <c r="K1926" s="898"/>
      <c r="L1926" s="898"/>
      <c r="M1926" s="898"/>
      <c r="N1926" s="898"/>
      <c r="O1926" s="240" t="s">
        <v>100</v>
      </c>
      <c r="P1926" s="182" t="s">
        <v>101</v>
      </c>
    </row>
    <row r="1927" spans="9:16" ht="15" customHeight="1">
      <c r="I1927" s="881">
        <v>216</v>
      </c>
      <c r="J1927" s="875">
        <v>42549</v>
      </c>
      <c r="K1927" s="877" t="s">
        <v>272</v>
      </c>
      <c r="L1927" s="879" t="s">
        <v>986</v>
      </c>
      <c r="M1927" s="881" t="s">
        <v>115</v>
      </c>
      <c r="N1927" s="883">
        <v>60000</v>
      </c>
      <c r="O1927" s="55">
        <v>719</v>
      </c>
      <c r="P1927" s="78">
        <v>60000</v>
      </c>
    </row>
    <row r="1928" spans="9:16" ht="15.75" customHeight="1" thickBot="1">
      <c r="I1928" s="882"/>
      <c r="J1928" s="876"/>
      <c r="K1928" s="878"/>
      <c r="L1928" s="880"/>
      <c r="M1928" s="882"/>
      <c r="N1928" s="884"/>
      <c r="O1928" s="56">
        <v>721</v>
      </c>
      <c r="P1928" s="79">
        <f>+N1927-P1927</f>
        <v>0</v>
      </c>
    </row>
    <row r="1929" spans="9:16" ht="15" customHeight="1">
      <c r="I1929" s="881">
        <v>217</v>
      </c>
      <c r="J1929" s="875">
        <v>42549</v>
      </c>
      <c r="K1929" s="877" t="s">
        <v>28</v>
      </c>
      <c r="L1929" s="879" t="s">
        <v>987</v>
      </c>
      <c r="M1929" s="881" t="s">
        <v>115</v>
      </c>
      <c r="N1929" s="883">
        <v>50000</v>
      </c>
      <c r="O1929" s="55">
        <v>719</v>
      </c>
      <c r="P1929" s="78">
        <v>50000</v>
      </c>
    </row>
    <row r="1930" spans="9:16" ht="15.75" customHeight="1" thickBot="1">
      <c r="I1930" s="882"/>
      <c r="J1930" s="876"/>
      <c r="K1930" s="878"/>
      <c r="L1930" s="880"/>
      <c r="M1930" s="882"/>
      <c r="N1930" s="884"/>
      <c r="O1930" s="56">
        <v>721</v>
      </c>
      <c r="P1930" s="79">
        <f>+N1929-P1929</f>
        <v>0</v>
      </c>
    </row>
    <row r="1931" spans="9:16" ht="15" customHeight="1">
      <c r="I1931" s="881">
        <v>218</v>
      </c>
      <c r="J1931" s="875">
        <v>42549</v>
      </c>
      <c r="K1931" s="877" t="s">
        <v>28</v>
      </c>
      <c r="L1931" s="879" t="s">
        <v>988</v>
      </c>
      <c r="M1931" s="881" t="s">
        <v>115</v>
      </c>
      <c r="N1931" s="883">
        <v>40000</v>
      </c>
      <c r="O1931" s="55">
        <v>719</v>
      </c>
      <c r="P1931" s="78">
        <v>40000</v>
      </c>
    </row>
    <row r="1932" spans="9:16" ht="15.75" customHeight="1" thickBot="1">
      <c r="I1932" s="882"/>
      <c r="J1932" s="876"/>
      <c r="K1932" s="878"/>
      <c r="L1932" s="880"/>
      <c r="M1932" s="882"/>
      <c r="N1932" s="884"/>
      <c r="O1932" s="56">
        <v>721</v>
      </c>
      <c r="P1932" s="79">
        <f>+N1931-P1931</f>
        <v>0</v>
      </c>
    </row>
    <row r="1933" spans="9:16" ht="15" customHeight="1">
      <c r="I1933" s="881"/>
      <c r="J1933" s="875"/>
      <c r="K1933" s="877"/>
      <c r="L1933" s="879"/>
      <c r="M1933" s="881"/>
      <c r="N1933" s="883"/>
      <c r="O1933" s="55">
        <v>719</v>
      </c>
      <c r="P1933" s="78">
        <v>0</v>
      </c>
    </row>
    <row r="1934" spans="9:16" ht="15.75" customHeight="1" thickBot="1">
      <c r="I1934" s="882"/>
      <c r="J1934" s="876"/>
      <c r="K1934" s="878"/>
      <c r="L1934" s="880"/>
      <c r="M1934" s="882"/>
      <c r="N1934" s="884"/>
      <c r="O1934" s="56">
        <v>721</v>
      </c>
      <c r="P1934" s="79">
        <f>+N1933-P1933</f>
        <v>0</v>
      </c>
    </row>
    <row r="1935" spans="9:16">
      <c r="I1935" s="881"/>
      <c r="J1935" s="875"/>
      <c r="K1935" s="877"/>
      <c r="L1935" s="881"/>
      <c r="M1935" s="881"/>
      <c r="N1935" s="883"/>
      <c r="O1935" s="55">
        <v>719</v>
      </c>
      <c r="P1935" s="78"/>
    </row>
    <row r="1936" spans="9:16" ht="15.75" thickBot="1">
      <c r="I1936" s="882"/>
      <c r="J1936" s="876"/>
      <c r="K1936" s="878"/>
      <c r="L1936" s="882"/>
      <c r="M1936" s="882"/>
      <c r="N1936" s="884"/>
      <c r="O1936" s="56">
        <v>721</v>
      </c>
      <c r="P1936" s="79">
        <f>+N1935-P1935</f>
        <v>0</v>
      </c>
    </row>
    <row r="1937" spans="9:16" ht="16.5" thickBot="1">
      <c r="I1937" s="901" t="s">
        <v>102</v>
      </c>
      <c r="J1937" s="902"/>
      <c r="K1937" s="902"/>
      <c r="L1937" s="902"/>
      <c r="M1937" s="903"/>
      <c r="N1937" s="81">
        <f>SUM(N1927:N1936)</f>
        <v>150000</v>
      </c>
    </row>
    <row r="1938" spans="9:16" ht="16.5" thickBot="1">
      <c r="I1938" s="885" t="s">
        <v>103</v>
      </c>
      <c r="J1938" s="886"/>
      <c r="K1938" s="886"/>
      <c r="L1938" s="886"/>
      <c r="M1938" s="887"/>
      <c r="N1938" s="69">
        <f>+N1902</f>
        <v>540858522</v>
      </c>
      <c r="O1938" s="241" t="s">
        <v>561</v>
      </c>
      <c r="P1938" s="242">
        <f>314+120+93</f>
        <v>527</v>
      </c>
    </row>
    <row r="1939" spans="9:16" ht="16.5" thickBot="1">
      <c r="I1939" s="888" t="s">
        <v>104</v>
      </c>
      <c r="J1939" s="889"/>
      <c r="K1939" s="889"/>
      <c r="L1939" s="889"/>
      <c r="M1939" s="890"/>
      <c r="N1939" s="183">
        <f>SUM(N1937:N1938)</f>
        <v>541008522</v>
      </c>
    </row>
    <row r="1940" spans="9:16" ht="14.25" customHeight="1">
      <c r="I1940" s="61"/>
      <c r="J1940" s="61"/>
      <c r="K1940" s="61"/>
      <c r="L1940" s="61"/>
      <c r="M1940" s="61"/>
    </row>
    <row r="1941" spans="9:16">
      <c r="I1941" s="51" t="s">
        <v>991</v>
      </c>
    </row>
    <row r="1942" spans="9:16" ht="11.25" customHeight="1">
      <c r="N1942" s="139"/>
    </row>
    <row r="1943" spans="9:16">
      <c r="I1943" s="50" t="s">
        <v>105</v>
      </c>
      <c r="L1943" s="146"/>
      <c r="N1943" s="139"/>
    </row>
    <row r="1944" spans="9:16" ht="12" customHeight="1" thickBot="1"/>
    <row r="1945" spans="9:16" ht="15.75" thickBot="1">
      <c r="I1945" s="891" t="s">
        <v>106</v>
      </c>
      <c r="J1945" s="892"/>
      <c r="K1945" s="892"/>
      <c r="L1945" s="893"/>
      <c r="N1945" s="50" t="s">
        <v>288</v>
      </c>
    </row>
    <row r="1946" spans="9:16" ht="30.75" thickBot="1">
      <c r="I1946" s="57" t="s">
        <v>100</v>
      </c>
      <c r="J1946" s="58" t="s">
        <v>108</v>
      </c>
      <c r="K1946" s="287" t="s">
        <v>109</v>
      </c>
      <c r="L1946" s="60" t="s">
        <v>110</v>
      </c>
    </row>
    <row r="1947" spans="9:16">
      <c r="I1947" s="71">
        <v>719</v>
      </c>
      <c r="J1947" s="73">
        <f>+P1927+P1929+P1931+P1933+P1935</f>
        <v>150000</v>
      </c>
      <c r="K1947" s="74">
        <f>+L1910</f>
        <v>34740000</v>
      </c>
      <c r="L1947" s="195">
        <f>+J1947+K1947</f>
        <v>34890000</v>
      </c>
    </row>
    <row r="1948" spans="9:16">
      <c r="I1948" s="72">
        <v>721</v>
      </c>
      <c r="J1948" s="80">
        <f>+P1928+P1930+P1932+P1934</f>
        <v>0</v>
      </c>
      <c r="K1948" s="74">
        <f>+L1911</f>
        <v>85923559</v>
      </c>
      <c r="L1948" s="195">
        <f>+J1948+K1948</f>
        <v>85923559</v>
      </c>
    </row>
    <row r="1949" spans="9:16">
      <c r="I1949" s="72">
        <v>722</v>
      </c>
      <c r="J1949" s="80"/>
      <c r="K1949" s="74">
        <f>+L1912</f>
        <v>42881706</v>
      </c>
      <c r="L1949" s="195">
        <f>+J1949+K1949</f>
        <v>42881706</v>
      </c>
    </row>
    <row r="1950" spans="9:16" ht="15.75">
      <c r="I1950" s="72">
        <v>723</v>
      </c>
      <c r="J1950" s="80"/>
      <c r="K1950" s="74">
        <f>+L1913</f>
        <v>377243257</v>
      </c>
      <c r="L1950" s="195">
        <f>+J1950+K1950</f>
        <v>377243257</v>
      </c>
      <c r="N1950" s="193" t="s">
        <v>289</v>
      </c>
      <c r="O1950" s="175"/>
    </row>
    <row r="1951" spans="9:16" ht="16.5" thickBot="1">
      <c r="I1951" s="164" t="s">
        <v>181</v>
      </c>
      <c r="J1951" s="165"/>
      <c r="K1951" s="74">
        <f>+L1914</f>
        <v>0</v>
      </c>
      <c r="L1951" s="196">
        <f>+J1951+K1951</f>
        <v>0</v>
      </c>
      <c r="N1951" s="52"/>
    </row>
    <row r="1952" spans="9:16" ht="16.5" thickBot="1">
      <c r="I1952" s="169"/>
      <c r="J1952" s="197">
        <f>SUM(J1947:J1951)</f>
        <v>150000</v>
      </c>
      <c r="K1952" s="197">
        <f>SUM(K1947:K1951)</f>
        <v>540788522</v>
      </c>
      <c r="L1952" s="198">
        <f>SUM(L1947:L1951)</f>
        <v>540938522</v>
      </c>
    </row>
    <row r="1953" spans="9:16" ht="16.5">
      <c r="I1953" s="49" t="s">
        <v>88</v>
      </c>
      <c r="J1953" s="50"/>
    </row>
    <row r="1954" spans="9:16">
      <c r="I1954" s="51" t="s">
        <v>89</v>
      </c>
    </row>
    <row r="1955" spans="9:16">
      <c r="I1955" s="51" t="s">
        <v>90</v>
      </c>
    </row>
    <row r="1956" spans="9:16">
      <c r="I1956" s="51" t="s">
        <v>91</v>
      </c>
    </row>
    <row r="1957" spans="9:16" ht="11.25" customHeight="1">
      <c r="I1957" s="50"/>
      <c r="J1957" s="50"/>
    </row>
    <row r="1958" spans="9:16" ht="15.75">
      <c r="I1958" s="260" t="s">
        <v>992</v>
      </c>
      <c r="O1958" s="52"/>
    </row>
    <row r="1959" spans="9:16" ht="15.75">
      <c r="I1959" s="53" t="s">
        <v>535</v>
      </c>
      <c r="O1959" s="53"/>
    </row>
    <row r="1960" spans="9:16" ht="16.5">
      <c r="I1960" s="894" t="s">
        <v>909</v>
      </c>
      <c r="J1960" s="894"/>
      <c r="K1960" s="894"/>
      <c r="L1960" s="894"/>
      <c r="M1960" s="894"/>
      <c r="N1960" s="894"/>
      <c r="O1960" s="894"/>
      <c r="P1960" s="894"/>
    </row>
    <row r="1961" spans="9:16" ht="15.75" thickBot="1"/>
    <row r="1962" spans="9:16">
      <c r="I1962" s="895" t="s">
        <v>94</v>
      </c>
      <c r="J1962" s="897" t="s">
        <v>95</v>
      </c>
      <c r="K1962" s="897" t="s">
        <v>96</v>
      </c>
      <c r="L1962" s="897" t="s">
        <v>3</v>
      </c>
      <c r="M1962" s="897" t="s">
        <v>97</v>
      </c>
      <c r="N1962" s="897" t="s">
        <v>98</v>
      </c>
      <c r="O1962" s="897" t="s">
        <v>99</v>
      </c>
      <c r="P1962" s="899"/>
    </row>
    <row r="1963" spans="9:16" ht="15.75" thickBot="1">
      <c r="I1963" s="896"/>
      <c r="J1963" s="898"/>
      <c r="K1963" s="898"/>
      <c r="L1963" s="898"/>
      <c r="M1963" s="898"/>
      <c r="N1963" s="898"/>
      <c r="O1963" s="240" t="s">
        <v>100</v>
      </c>
      <c r="P1963" s="182" t="s">
        <v>101</v>
      </c>
    </row>
    <row r="1964" spans="9:16">
      <c r="I1964" s="881">
        <v>219</v>
      </c>
      <c r="J1964" s="875">
        <v>42549</v>
      </c>
      <c r="K1964" s="877" t="s">
        <v>272</v>
      </c>
      <c r="L1964" s="879" t="s">
        <v>996</v>
      </c>
      <c r="M1964" s="881" t="s">
        <v>115</v>
      </c>
      <c r="N1964" s="883">
        <v>190000</v>
      </c>
      <c r="O1964" s="55">
        <v>719</v>
      </c>
      <c r="P1964" s="78">
        <v>190000</v>
      </c>
    </row>
    <row r="1965" spans="9:16" ht="15.75" thickBot="1">
      <c r="I1965" s="882"/>
      <c r="J1965" s="876"/>
      <c r="K1965" s="878"/>
      <c r="L1965" s="880"/>
      <c r="M1965" s="882"/>
      <c r="N1965" s="884"/>
      <c r="O1965" s="56">
        <v>721</v>
      </c>
      <c r="P1965" s="79">
        <f>+N1964-P1964</f>
        <v>0</v>
      </c>
    </row>
    <row r="1966" spans="9:16">
      <c r="I1966" s="881">
        <v>220</v>
      </c>
      <c r="J1966" s="875">
        <v>42549</v>
      </c>
      <c r="K1966" s="877" t="s">
        <v>28</v>
      </c>
      <c r="L1966" s="879" t="s">
        <v>993</v>
      </c>
      <c r="M1966" s="881" t="s">
        <v>115</v>
      </c>
      <c r="N1966" s="883">
        <v>60000</v>
      </c>
      <c r="O1966" s="55">
        <v>719</v>
      </c>
      <c r="P1966" s="78">
        <v>60000</v>
      </c>
    </row>
    <row r="1967" spans="9:16" ht="15.75" thickBot="1">
      <c r="I1967" s="882"/>
      <c r="J1967" s="876"/>
      <c r="K1967" s="878"/>
      <c r="L1967" s="880"/>
      <c r="M1967" s="882"/>
      <c r="N1967" s="884"/>
      <c r="O1967" s="56">
        <v>721</v>
      </c>
      <c r="P1967" s="79">
        <f>+N1966-P1966</f>
        <v>0</v>
      </c>
    </row>
    <row r="1968" spans="9:16">
      <c r="I1968" s="881">
        <v>221</v>
      </c>
      <c r="J1968" s="875">
        <v>42549</v>
      </c>
      <c r="K1968" s="877" t="s">
        <v>120</v>
      </c>
      <c r="L1968" s="879" t="s">
        <v>994</v>
      </c>
      <c r="M1968" s="881" t="s">
        <v>115</v>
      </c>
      <c r="N1968" s="883">
        <v>50000</v>
      </c>
      <c r="O1968" s="55">
        <v>719</v>
      </c>
      <c r="P1968" s="78">
        <v>50000</v>
      </c>
    </row>
    <row r="1969" spans="9:16" ht="15.75" thickBot="1">
      <c r="I1969" s="882"/>
      <c r="J1969" s="876"/>
      <c r="K1969" s="878"/>
      <c r="L1969" s="880"/>
      <c r="M1969" s="882"/>
      <c r="N1969" s="884"/>
      <c r="O1969" s="56">
        <v>721</v>
      </c>
      <c r="P1969" s="79">
        <f>+N1968-P1968</f>
        <v>0</v>
      </c>
    </row>
    <row r="1970" spans="9:16">
      <c r="I1970" s="881"/>
      <c r="J1970" s="875"/>
      <c r="K1970" s="877"/>
      <c r="L1970" s="879"/>
      <c r="M1970" s="881"/>
      <c r="N1970" s="883"/>
      <c r="O1970" s="55">
        <v>719</v>
      </c>
      <c r="P1970" s="78">
        <v>0</v>
      </c>
    </row>
    <row r="1971" spans="9:16" ht="13.5" customHeight="1" thickBot="1">
      <c r="I1971" s="882"/>
      <c r="J1971" s="876"/>
      <c r="K1971" s="878"/>
      <c r="L1971" s="880"/>
      <c r="M1971" s="882"/>
      <c r="N1971" s="884"/>
      <c r="O1971" s="56">
        <v>721</v>
      </c>
      <c r="P1971" s="79">
        <f>+N1970-P1970</f>
        <v>0</v>
      </c>
    </row>
    <row r="1972" spans="9:16">
      <c r="I1972" s="881"/>
      <c r="J1972" s="875"/>
      <c r="K1972" s="877"/>
      <c r="L1972" s="881"/>
      <c r="M1972" s="881"/>
      <c r="N1972" s="883"/>
      <c r="O1972" s="55">
        <v>719</v>
      </c>
      <c r="P1972" s="78"/>
    </row>
    <row r="1973" spans="9:16" ht="12" customHeight="1" thickBot="1">
      <c r="I1973" s="882"/>
      <c r="J1973" s="876"/>
      <c r="K1973" s="878"/>
      <c r="L1973" s="882"/>
      <c r="M1973" s="882"/>
      <c r="N1973" s="884"/>
      <c r="O1973" s="56">
        <v>721</v>
      </c>
      <c r="P1973" s="79">
        <f>+N1972-P1972</f>
        <v>0</v>
      </c>
    </row>
    <row r="1974" spans="9:16" ht="16.5" thickBot="1">
      <c r="I1974" s="901" t="s">
        <v>102</v>
      </c>
      <c r="J1974" s="902"/>
      <c r="K1974" s="902"/>
      <c r="L1974" s="902"/>
      <c r="M1974" s="903"/>
      <c r="N1974" s="81">
        <f>SUM(N1964:N1973)</f>
        <v>300000</v>
      </c>
    </row>
    <row r="1975" spans="9:16" ht="16.5" thickBot="1">
      <c r="I1975" s="885" t="s">
        <v>103</v>
      </c>
      <c r="J1975" s="886"/>
      <c r="K1975" s="886"/>
      <c r="L1975" s="886"/>
      <c r="M1975" s="887"/>
      <c r="N1975" s="69">
        <f>+N1939</f>
        <v>541008522</v>
      </c>
      <c r="O1975" s="241" t="s">
        <v>561</v>
      </c>
      <c r="P1975" s="242">
        <f>50+174+606</f>
        <v>830</v>
      </c>
    </row>
    <row r="1976" spans="9:16" ht="16.5" thickBot="1">
      <c r="I1976" s="888" t="s">
        <v>104</v>
      </c>
      <c r="J1976" s="889"/>
      <c r="K1976" s="889"/>
      <c r="L1976" s="889"/>
      <c r="M1976" s="890"/>
      <c r="N1976" s="183">
        <f>SUM(N1974:N1975)</f>
        <v>541308522</v>
      </c>
    </row>
    <row r="1977" spans="9:16">
      <c r="I1977" s="61"/>
      <c r="J1977" s="61"/>
      <c r="K1977" s="61"/>
      <c r="L1977" s="61"/>
      <c r="M1977" s="61"/>
    </row>
    <row r="1978" spans="9:16">
      <c r="I1978" s="51" t="s">
        <v>995</v>
      </c>
    </row>
    <row r="1979" spans="9:16">
      <c r="N1979" s="139"/>
    </row>
    <row r="1980" spans="9:16">
      <c r="I1980" s="50" t="s">
        <v>105</v>
      </c>
      <c r="L1980" s="146"/>
      <c r="N1980" s="139"/>
    </row>
    <row r="1981" spans="9:16" ht="12.75" customHeight="1" thickBot="1"/>
    <row r="1982" spans="9:16" ht="15.75" thickBot="1">
      <c r="I1982" s="891" t="s">
        <v>106</v>
      </c>
      <c r="J1982" s="892"/>
      <c r="K1982" s="892"/>
      <c r="L1982" s="893"/>
      <c r="N1982" s="50" t="s">
        <v>288</v>
      </c>
    </row>
    <row r="1983" spans="9:16" ht="30.75" thickBot="1">
      <c r="I1983" s="57" t="s">
        <v>100</v>
      </c>
      <c r="J1983" s="58" t="s">
        <v>108</v>
      </c>
      <c r="K1983" s="287" t="s">
        <v>109</v>
      </c>
      <c r="L1983" s="60" t="s">
        <v>110</v>
      </c>
    </row>
    <row r="1984" spans="9:16">
      <c r="I1984" s="71">
        <v>719</v>
      </c>
      <c r="J1984" s="73">
        <f>+P1964+P1966+P1968+P1970+P1972</f>
        <v>300000</v>
      </c>
      <c r="K1984" s="74">
        <f>+L1947</f>
        <v>34890000</v>
      </c>
      <c r="L1984" s="195">
        <f>+J1984+K1984</f>
        <v>35190000</v>
      </c>
    </row>
    <row r="1985" spans="9:16">
      <c r="I1985" s="72">
        <v>721</v>
      </c>
      <c r="J1985" s="80">
        <f>+P1965+P1967+P1969+P1971</f>
        <v>0</v>
      </c>
      <c r="K1985" s="74">
        <f>+L1948</f>
        <v>85923559</v>
      </c>
      <c r="L1985" s="195">
        <f>+J1985+K1985</f>
        <v>85923559</v>
      </c>
    </row>
    <row r="1986" spans="9:16">
      <c r="I1986" s="72">
        <v>722</v>
      </c>
      <c r="J1986" s="80"/>
      <c r="K1986" s="74">
        <f>+L1949</f>
        <v>42881706</v>
      </c>
      <c r="L1986" s="195">
        <f>+J1986+K1986</f>
        <v>42881706</v>
      </c>
    </row>
    <row r="1987" spans="9:16" ht="15.75">
      <c r="I1987" s="72">
        <v>723</v>
      </c>
      <c r="J1987" s="80"/>
      <c r="K1987" s="74">
        <f>+L1950</f>
        <v>377243257</v>
      </c>
      <c r="L1987" s="195">
        <f>+J1987+K1987</f>
        <v>377243257</v>
      </c>
      <c r="N1987" s="193" t="s">
        <v>289</v>
      </c>
      <c r="O1987" s="175"/>
    </row>
    <row r="1988" spans="9:16" ht="16.5" thickBot="1">
      <c r="I1988" s="164" t="s">
        <v>181</v>
      </c>
      <c r="J1988" s="165"/>
      <c r="K1988" s="74">
        <f>+L1951</f>
        <v>0</v>
      </c>
      <c r="L1988" s="196">
        <f>+J1988+K1988</f>
        <v>0</v>
      </c>
      <c r="N1988" s="52"/>
    </row>
    <row r="1989" spans="9:16" ht="16.5" thickBot="1">
      <c r="I1989" s="169"/>
      <c r="J1989" s="197">
        <f>SUM(J1984:J1988)</f>
        <v>300000</v>
      </c>
      <c r="K1989" s="197">
        <f>SUM(K1984:K1988)</f>
        <v>540938522</v>
      </c>
      <c r="L1989" s="198">
        <f>SUM(L1984:L1988)</f>
        <v>541238522</v>
      </c>
    </row>
    <row r="1990" spans="9:16" ht="16.5">
      <c r="I1990" s="49" t="s">
        <v>88</v>
      </c>
      <c r="J1990" s="50"/>
    </row>
    <row r="1991" spans="9:16">
      <c r="I1991" s="51" t="s">
        <v>89</v>
      </c>
    </row>
    <row r="1992" spans="9:16">
      <c r="I1992" s="51" t="s">
        <v>90</v>
      </c>
    </row>
    <row r="1993" spans="9:16">
      <c r="I1993" s="51" t="s">
        <v>91</v>
      </c>
    </row>
    <row r="1994" spans="9:16" ht="12.75" customHeight="1">
      <c r="I1994" s="50"/>
      <c r="J1994" s="50"/>
    </row>
    <row r="1995" spans="9:16" ht="15.75">
      <c r="I1995" s="260" t="s">
        <v>997</v>
      </c>
      <c r="O1995" s="52"/>
    </row>
    <row r="1996" spans="9:16" ht="15.75">
      <c r="I1996" s="53" t="s">
        <v>535</v>
      </c>
      <c r="O1996" s="53"/>
    </row>
    <row r="1997" spans="9:16" ht="16.5">
      <c r="I1997" s="894" t="s">
        <v>909</v>
      </c>
      <c r="J1997" s="894"/>
      <c r="K1997" s="894"/>
      <c r="L1997" s="894"/>
      <c r="M1997" s="894"/>
      <c r="N1997" s="894"/>
      <c r="O1997" s="894"/>
      <c r="P1997" s="894"/>
    </row>
    <row r="1998" spans="9:16" ht="15.75" thickBot="1"/>
    <row r="1999" spans="9:16">
      <c r="I1999" s="895" t="s">
        <v>94</v>
      </c>
      <c r="J1999" s="897" t="s">
        <v>95</v>
      </c>
      <c r="K1999" s="897" t="s">
        <v>96</v>
      </c>
      <c r="L1999" s="897" t="s">
        <v>3</v>
      </c>
      <c r="M1999" s="897" t="s">
        <v>97</v>
      </c>
      <c r="N1999" s="897" t="s">
        <v>98</v>
      </c>
      <c r="O1999" s="897" t="s">
        <v>99</v>
      </c>
      <c r="P1999" s="899"/>
    </row>
    <row r="2000" spans="9:16" ht="15.75" thickBot="1">
      <c r="I2000" s="896"/>
      <c r="J2000" s="898"/>
      <c r="K2000" s="898"/>
      <c r="L2000" s="898"/>
      <c r="M2000" s="898"/>
      <c r="N2000" s="898"/>
      <c r="O2000" s="240" t="s">
        <v>100</v>
      </c>
      <c r="P2000" s="182" t="s">
        <v>101</v>
      </c>
    </row>
    <row r="2001" spans="9:16">
      <c r="I2001" s="881">
        <v>222</v>
      </c>
      <c r="J2001" s="875">
        <v>42551</v>
      </c>
      <c r="K2001" s="877" t="s">
        <v>40</v>
      </c>
      <c r="L2001" s="879" t="s">
        <v>999</v>
      </c>
      <c r="M2001" s="881" t="s">
        <v>148</v>
      </c>
      <c r="N2001" s="883">
        <v>28000</v>
      </c>
      <c r="O2001" s="55">
        <v>719</v>
      </c>
      <c r="P2001" s="78">
        <v>20000</v>
      </c>
    </row>
    <row r="2002" spans="9:16" ht="15.75" thickBot="1">
      <c r="I2002" s="882"/>
      <c r="J2002" s="876"/>
      <c r="K2002" s="878"/>
      <c r="L2002" s="880"/>
      <c r="M2002" s="882"/>
      <c r="N2002" s="884"/>
      <c r="O2002" s="56">
        <v>721</v>
      </c>
      <c r="P2002" s="79">
        <f>+N2001-P2001</f>
        <v>8000</v>
      </c>
    </row>
    <row r="2003" spans="9:16" ht="15" customHeight="1">
      <c r="I2003" s="881">
        <v>223</v>
      </c>
      <c r="J2003" s="875">
        <v>42551</v>
      </c>
      <c r="K2003" s="877" t="s">
        <v>28</v>
      </c>
      <c r="L2003" s="879" t="s">
        <v>983</v>
      </c>
      <c r="M2003" s="881" t="s">
        <v>148</v>
      </c>
      <c r="N2003" s="883">
        <v>294000</v>
      </c>
      <c r="O2003" s="55">
        <v>719</v>
      </c>
      <c r="P2003" s="78">
        <v>210000</v>
      </c>
    </row>
    <row r="2004" spans="9:16" ht="15.75" customHeight="1" thickBot="1">
      <c r="I2004" s="882"/>
      <c r="J2004" s="876"/>
      <c r="K2004" s="878"/>
      <c r="L2004" s="880"/>
      <c r="M2004" s="882"/>
      <c r="N2004" s="884"/>
      <c r="O2004" s="56">
        <v>721</v>
      </c>
      <c r="P2004" s="79">
        <f>+N2003-P2003</f>
        <v>84000</v>
      </c>
    </row>
    <row r="2005" spans="9:16" ht="15" customHeight="1">
      <c r="I2005" s="881">
        <v>224</v>
      </c>
      <c r="J2005" s="875">
        <v>42551</v>
      </c>
      <c r="K2005" s="877" t="s">
        <v>111</v>
      </c>
      <c r="L2005" s="879" t="s">
        <v>1000</v>
      </c>
      <c r="M2005" s="881" t="s">
        <v>148</v>
      </c>
      <c r="N2005" s="883">
        <v>84000</v>
      </c>
      <c r="O2005" s="55">
        <v>719</v>
      </c>
      <c r="P2005" s="78">
        <v>60000</v>
      </c>
    </row>
    <row r="2006" spans="9:16" ht="15.75" customHeight="1" thickBot="1">
      <c r="I2006" s="882"/>
      <c r="J2006" s="876"/>
      <c r="K2006" s="878"/>
      <c r="L2006" s="880"/>
      <c r="M2006" s="882"/>
      <c r="N2006" s="884"/>
      <c r="O2006" s="56">
        <v>721</v>
      </c>
      <c r="P2006" s="79">
        <f>+N2005-P2005</f>
        <v>24000</v>
      </c>
    </row>
    <row r="2007" spans="9:16" ht="15" customHeight="1">
      <c r="I2007" s="881">
        <v>225</v>
      </c>
      <c r="J2007" s="875">
        <v>42551</v>
      </c>
      <c r="K2007" s="877" t="s">
        <v>272</v>
      </c>
      <c r="L2007" s="879" t="s">
        <v>983</v>
      </c>
      <c r="M2007" s="881" t="s">
        <v>148</v>
      </c>
      <c r="N2007" s="883">
        <v>672000</v>
      </c>
      <c r="O2007" s="55">
        <v>719</v>
      </c>
      <c r="P2007" s="78">
        <v>480000</v>
      </c>
    </row>
    <row r="2008" spans="9:16" ht="15.75" customHeight="1" thickBot="1">
      <c r="I2008" s="882"/>
      <c r="J2008" s="876"/>
      <c r="K2008" s="878"/>
      <c r="L2008" s="880"/>
      <c r="M2008" s="882"/>
      <c r="N2008" s="884"/>
      <c r="O2008" s="56">
        <v>721</v>
      </c>
      <c r="P2008" s="79">
        <f>+N2007-P2007</f>
        <v>192000</v>
      </c>
    </row>
    <row r="2009" spans="9:16" ht="14.25" customHeight="1">
      <c r="I2009" s="881"/>
      <c r="J2009" s="875"/>
      <c r="K2009" s="877"/>
      <c r="L2009" s="881"/>
      <c r="M2009" s="881"/>
      <c r="N2009" s="883"/>
      <c r="O2009" s="55">
        <v>719</v>
      </c>
      <c r="P2009" s="78"/>
    </row>
    <row r="2010" spans="9:16" ht="12.75" customHeight="1" thickBot="1">
      <c r="I2010" s="882"/>
      <c r="J2010" s="876"/>
      <c r="K2010" s="878"/>
      <c r="L2010" s="882"/>
      <c r="M2010" s="882"/>
      <c r="N2010" s="884"/>
      <c r="O2010" s="56">
        <v>721</v>
      </c>
      <c r="P2010" s="79">
        <f>+N2009-P2009</f>
        <v>0</v>
      </c>
    </row>
    <row r="2011" spans="9:16" ht="16.5" thickBot="1">
      <c r="I2011" s="901" t="s">
        <v>102</v>
      </c>
      <c r="J2011" s="902"/>
      <c r="K2011" s="902"/>
      <c r="L2011" s="902"/>
      <c r="M2011" s="903"/>
      <c r="N2011" s="81">
        <f>SUM(N2001:N2010)</f>
        <v>1078000</v>
      </c>
    </row>
    <row r="2012" spans="9:16" ht="16.5" thickBot="1">
      <c r="I2012" s="885" t="s">
        <v>103</v>
      </c>
      <c r="J2012" s="886"/>
      <c r="K2012" s="886"/>
      <c r="L2012" s="886"/>
      <c r="M2012" s="887"/>
      <c r="N2012" s="69">
        <f>+N1976</f>
        <v>541308522</v>
      </c>
      <c r="O2012" s="241" t="s">
        <v>561</v>
      </c>
      <c r="P2012" s="242">
        <f>22+571+21+917</f>
        <v>1531</v>
      </c>
    </row>
    <row r="2013" spans="9:16" ht="16.5" thickBot="1">
      <c r="I2013" s="888" t="s">
        <v>104</v>
      </c>
      <c r="J2013" s="889"/>
      <c r="K2013" s="889"/>
      <c r="L2013" s="889"/>
      <c r="M2013" s="890"/>
      <c r="N2013" s="183">
        <f>SUM(N2011:N2012)</f>
        <v>542386522</v>
      </c>
    </row>
    <row r="2014" spans="9:16">
      <c r="I2014" s="61"/>
      <c r="J2014" s="61"/>
      <c r="K2014" s="61"/>
      <c r="L2014" s="61"/>
      <c r="M2014" s="61"/>
    </row>
    <row r="2015" spans="9:16">
      <c r="I2015" s="51" t="s">
        <v>1006</v>
      </c>
    </row>
    <row r="2016" spans="9:16" ht="12.75" customHeight="1">
      <c r="N2016" s="139"/>
    </row>
    <row r="2017" spans="9:15">
      <c r="I2017" s="50" t="s">
        <v>105</v>
      </c>
      <c r="L2017" s="146"/>
      <c r="N2017" s="139"/>
    </row>
    <row r="2018" spans="9:15" ht="15.75" thickBot="1"/>
    <row r="2019" spans="9:15" ht="15.75" thickBot="1">
      <c r="I2019" s="891" t="s">
        <v>106</v>
      </c>
      <c r="J2019" s="892"/>
      <c r="K2019" s="892"/>
      <c r="L2019" s="893"/>
      <c r="N2019" s="50" t="s">
        <v>288</v>
      </c>
    </row>
    <row r="2020" spans="9:15" ht="30.75" thickBot="1">
      <c r="I2020" s="57" t="s">
        <v>100</v>
      </c>
      <c r="J2020" s="58" t="s">
        <v>108</v>
      </c>
      <c r="K2020" s="287" t="s">
        <v>109</v>
      </c>
      <c r="L2020" s="60" t="s">
        <v>110</v>
      </c>
    </row>
    <row r="2021" spans="9:15">
      <c r="I2021" s="71">
        <v>719</v>
      </c>
      <c r="J2021" s="73">
        <f>+P2001+P2003+P2005+P2007+P2009</f>
        <v>770000</v>
      </c>
      <c r="K2021" s="74">
        <f>+L1984</f>
        <v>35190000</v>
      </c>
      <c r="L2021" s="195">
        <f>+J2021+K2021</f>
        <v>35960000</v>
      </c>
    </row>
    <row r="2022" spans="9:15">
      <c r="I2022" s="72">
        <v>721</v>
      </c>
      <c r="J2022" s="80">
        <f>+P2002+P2004+P2006+P2008</f>
        <v>308000</v>
      </c>
      <c r="K2022" s="74">
        <f>+L1985</f>
        <v>85923559</v>
      </c>
      <c r="L2022" s="195">
        <f>+J2022+K2022</f>
        <v>86231559</v>
      </c>
    </row>
    <row r="2023" spans="9:15">
      <c r="I2023" s="72">
        <v>722</v>
      </c>
      <c r="J2023" s="80"/>
      <c r="K2023" s="74">
        <f>+L1986</f>
        <v>42881706</v>
      </c>
      <c r="L2023" s="195">
        <f>+J2023+K2023</f>
        <v>42881706</v>
      </c>
    </row>
    <row r="2024" spans="9:15" ht="15.75">
      <c r="I2024" s="72">
        <v>723</v>
      </c>
      <c r="J2024" s="80"/>
      <c r="K2024" s="74">
        <f>+L1987</f>
        <v>377243257</v>
      </c>
      <c r="L2024" s="195">
        <f>+J2024+K2024</f>
        <v>377243257</v>
      </c>
      <c r="N2024" s="193" t="s">
        <v>289</v>
      </c>
      <c r="O2024" s="175"/>
    </row>
    <row r="2025" spans="9:15" ht="16.5" thickBot="1">
      <c r="I2025" s="164" t="s">
        <v>181</v>
      </c>
      <c r="J2025" s="165"/>
      <c r="K2025" s="74">
        <f>+L1988</f>
        <v>0</v>
      </c>
      <c r="L2025" s="196">
        <f>+J2025+K2025</f>
        <v>0</v>
      </c>
      <c r="N2025" s="52"/>
    </row>
    <row r="2026" spans="9:15" ht="16.5" thickBot="1">
      <c r="I2026" s="169"/>
      <c r="J2026" s="197">
        <f>SUM(J2021:J2025)</f>
        <v>1078000</v>
      </c>
      <c r="K2026" s="197">
        <f>SUM(K2021:K2025)</f>
        <v>541238522</v>
      </c>
      <c r="L2026" s="198">
        <f>SUM(L2021:L2025)</f>
        <v>542316522</v>
      </c>
    </row>
    <row r="2027" spans="9:15" ht="16.5">
      <c r="I2027" s="49" t="s">
        <v>88</v>
      </c>
      <c r="J2027" s="50"/>
    </row>
    <row r="2028" spans="9:15">
      <c r="I2028" s="51" t="s">
        <v>89</v>
      </c>
    </row>
    <row r="2029" spans="9:15">
      <c r="I2029" s="51" t="s">
        <v>90</v>
      </c>
    </row>
    <row r="2030" spans="9:15">
      <c r="I2030" s="51" t="s">
        <v>91</v>
      </c>
    </row>
    <row r="2031" spans="9:15" ht="12.75" customHeight="1">
      <c r="I2031" s="50"/>
      <c r="J2031" s="50"/>
    </row>
    <row r="2032" spans="9:15" ht="15.75">
      <c r="I2032" s="260" t="s">
        <v>998</v>
      </c>
      <c r="O2032" s="52"/>
    </row>
    <row r="2033" spans="9:16" ht="15.75">
      <c r="I2033" s="53" t="s">
        <v>535</v>
      </c>
      <c r="O2033" s="53"/>
    </row>
    <row r="2034" spans="9:16" ht="16.5">
      <c r="I2034" s="894" t="s">
        <v>909</v>
      </c>
      <c r="J2034" s="894"/>
      <c r="K2034" s="894"/>
      <c r="L2034" s="894"/>
      <c r="M2034" s="894"/>
      <c r="N2034" s="894"/>
      <c r="O2034" s="894"/>
      <c r="P2034" s="894"/>
    </row>
    <row r="2035" spans="9:16" ht="15.75" thickBot="1"/>
    <row r="2036" spans="9:16">
      <c r="I2036" s="895" t="s">
        <v>94</v>
      </c>
      <c r="J2036" s="897" t="s">
        <v>95</v>
      </c>
      <c r="K2036" s="897" t="s">
        <v>96</v>
      </c>
      <c r="L2036" s="897" t="s">
        <v>3</v>
      </c>
      <c r="M2036" s="897" t="s">
        <v>97</v>
      </c>
      <c r="N2036" s="897" t="s">
        <v>98</v>
      </c>
      <c r="O2036" s="897" t="s">
        <v>99</v>
      </c>
      <c r="P2036" s="899"/>
    </row>
    <row r="2037" spans="9:16" ht="15.75" thickBot="1">
      <c r="I2037" s="896"/>
      <c r="J2037" s="898"/>
      <c r="K2037" s="898"/>
      <c r="L2037" s="898"/>
      <c r="M2037" s="898"/>
      <c r="N2037" s="898"/>
      <c r="O2037" s="240" t="s">
        <v>100</v>
      </c>
      <c r="P2037" s="182" t="s">
        <v>101</v>
      </c>
    </row>
    <row r="2038" spans="9:16" ht="15" customHeight="1">
      <c r="I2038" s="881">
        <v>226</v>
      </c>
      <c r="J2038" s="875">
        <v>42551</v>
      </c>
      <c r="K2038" s="877" t="s">
        <v>40</v>
      </c>
      <c r="L2038" s="879" t="s">
        <v>1001</v>
      </c>
      <c r="M2038" s="881" t="s">
        <v>148</v>
      </c>
      <c r="N2038" s="883">
        <v>140000</v>
      </c>
      <c r="O2038" s="55">
        <v>719</v>
      </c>
      <c r="P2038" s="78">
        <v>100000</v>
      </c>
    </row>
    <row r="2039" spans="9:16" ht="15.75" customHeight="1" thickBot="1">
      <c r="I2039" s="882"/>
      <c r="J2039" s="876"/>
      <c r="K2039" s="878"/>
      <c r="L2039" s="880"/>
      <c r="M2039" s="882"/>
      <c r="N2039" s="884"/>
      <c r="O2039" s="56">
        <v>721</v>
      </c>
      <c r="P2039" s="79">
        <f>+N2038-P2038</f>
        <v>40000</v>
      </c>
    </row>
    <row r="2040" spans="9:16" ht="15" customHeight="1">
      <c r="I2040" s="881">
        <v>227</v>
      </c>
      <c r="J2040" s="875">
        <v>42551</v>
      </c>
      <c r="K2040" s="877" t="s">
        <v>28</v>
      </c>
      <c r="L2040" s="879" t="s">
        <v>1002</v>
      </c>
      <c r="M2040" s="881" t="s">
        <v>148</v>
      </c>
      <c r="N2040" s="883">
        <v>966000</v>
      </c>
      <c r="O2040" s="55">
        <v>719</v>
      </c>
      <c r="P2040" s="78">
        <v>690000</v>
      </c>
    </row>
    <row r="2041" spans="9:16" ht="15.75" customHeight="1" thickBot="1">
      <c r="I2041" s="882"/>
      <c r="J2041" s="876"/>
      <c r="K2041" s="878"/>
      <c r="L2041" s="880"/>
      <c r="M2041" s="882"/>
      <c r="N2041" s="884"/>
      <c r="O2041" s="56">
        <v>721</v>
      </c>
      <c r="P2041" s="79">
        <f>+N2040-P2040</f>
        <v>276000</v>
      </c>
    </row>
    <row r="2042" spans="9:16" ht="15" customHeight="1">
      <c r="I2042" s="881">
        <v>228</v>
      </c>
      <c r="J2042" s="875">
        <v>42551</v>
      </c>
      <c r="K2042" s="877" t="s">
        <v>111</v>
      </c>
      <c r="L2042" s="879" t="s">
        <v>1003</v>
      </c>
      <c r="M2042" s="881" t="s">
        <v>148</v>
      </c>
      <c r="N2042" s="883">
        <v>252000</v>
      </c>
      <c r="O2042" s="55">
        <v>719</v>
      </c>
      <c r="P2042" s="78">
        <v>180000</v>
      </c>
    </row>
    <row r="2043" spans="9:16" ht="15.75" customHeight="1" thickBot="1">
      <c r="I2043" s="882"/>
      <c r="J2043" s="876"/>
      <c r="K2043" s="878"/>
      <c r="L2043" s="880"/>
      <c r="M2043" s="882"/>
      <c r="N2043" s="884"/>
      <c r="O2043" s="56">
        <v>721</v>
      </c>
      <c r="P2043" s="79">
        <f>+N2042-P2042</f>
        <v>72000</v>
      </c>
    </row>
    <row r="2044" spans="9:16" ht="15" customHeight="1">
      <c r="I2044" s="881">
        <v>229</v>
      </c>
      <c r="J2044" s="875">
        <v>42551</v>
      </c>
      <c r="K2044" s="877" t="s">
        <v>272</v>
      </c>
      <c r="L2044" s="879" t="s">
        <v>1004</v>
      </c>
      <c r="M2044" s="881" t="s">
        <v>148</v>
      </c>
      <c r="N2044" s="883">
        <v>1946000</v>
      </c>
      <c r="O2044" s="55">
        <v>719</v>
      </c>
      <c r="P2044" s="78">
        <v>1390000</v>
      </c>
    </row>
    <row r="2045" spans="9:16" ht="15.75" customHeight="1" thickBot="1">
      <c r="I2045" s="882"/>
      <c r="J2045" s="876"/>
      <c r="K2045" s="878"/>
      <c r="L2045" s="880"/>
      <c r="M2045" s="882"/>
      <c r="N2045" s="884"/>
      <c r="O2045" s="56">
        <v>721</v>
      </c>
      <c r="P2045" s="79">
        <f>+N2044-P2044</f>
        <v>556000</v>
      </c>
    </row>
    <row r="2046" spans="9:16">
      <c r="I2046" s="881"/>
      <c r="J2046" s="875"/>
      <c r="K2046" s="877"/>
      <c r="L2046" s="881"/>
      <c r="M2046" s="881"/>
      <c r="N2046" s="883"/>
      <c r="O2046" s="55">
        <v>719</v>
      </c>
      <c r="P2046" s="78"/>
    </row>
    <row r="2047" spans="9:16" ht="12" customHeight="1" thickBot="1">
      <c r="I2047" s="882"/>
      <c r="J2047" s="876"/>
      <c r="K2047" s="878"/>
      <c r="L2047" s="882"/>
      <c r="M2047" s="882"/>
      <c r="N2047" s="884"/>
      <c r="O2047" s="56">
        <v>721</v>
      </c>
      <c r="P2047" s="79">
        <f>+N2046-P2046</f>
        <v>0</v>
      </c>
    </row>
    <row r="2048" spans="9:16" ht="16.5" thickBot="1">
      <c r="I2048" s="901" t="s">
        <v>102</v>
      </c>
      <c r="J2048" s="902"/>
      <c r="K2048" s="902"/>
      <c r="L2048" s="902"/>
      <c r="M2048" s="903"/>
      <c r="N2048" s="81">
        <f>SUM(N2038:N2047)</f>
        <v>3304000</v>
      </c>
    </row>
    <row r="2049" spans="9:16" ht="16.5" thickBot="1">
      <c r="I2049" s="885" t="s">
        <v>103</v>
      </c>
      <c r="J2049" s="886"/>
      <c r="K2049" s="886"/>
      <c r="L2049" s="886"/>
      <c r="M2049" s="887"/>
      <c r="N2049" s="69">
        <f>+N2013</f>
        <v>542386522</v>
      </c>
      <c r="O2049" s="241" t="s">
        <v>561</v>
      </c>
      <c r="P2049" s="242">
        <f>89+1849+70+3374</f>
        <v>5382</v>
      </c>
    </row>
    <row r="2050" spans="9:16" ht="16.5" thickBot="1">
      <c r="I2050" s="888" t="s">
        <v>104</v>
      </c>
      <c r="J2050" s="889"/>
      <c r="K2050" s="889"/>
      <c r="L2050" s="889"/>
      <c r="M2050" s="890"/>
      <c r="N2050" s="183">
        <f>SUM(N2048:N2049)</f>
        <v>545690522</v>
      </c>
    </row>
    <row r="2051" spans="9:16">
      <c r="I2051" s="61"/>
      <c r="J2051" s="61"/>
      <c r="K2051" s="61"/>
      <c r="L2051" s="61"/>
      <c r="M2051" s="61"/>
    </row>
    <row r="2052" spans="9:16">
      <c r="I2052" s="51" t="s">
        <v>1005</v>
      </c>
    </row>
    <row r="2053" spans="9:16" ht="12.75" customHeight="1">
      <c r="N2053" s="139"/>
    </row>
    <row r="2054" spans="9:16">
      <c r="I2054" s="50" t="s">
        <v>105</v>
      </c>
      <c r="L2054" s="146"/>
      <c r="N2054" s="139"/>
    </row>
    <row r="2055" spans="9:16" ht="15.75" thickBot="1"/>
    <row r="2056" spans="9:16" ht="15.75" thickBot="1">
      <c r="I2056" s="891" t="s">
        <v>106</v>
      </c>
      <c r="J2056" s="892"/>
      <c r="K2056" s="892"/>
      <c r="L2056" s="893"/>
      <c r="N2056" s="50" t="s">
        <v>288</v>
      </c>
    </row>
    <row r="2057" spans="9:16" ht="30.75" thickBot="1">
      <c r="I2057" s="57" t="s">
        <v>100</v>
      </c>
      <c r="J2057" s="58" t="s">
        <v>108</v>
      </c>
      <c r="K2057" s="287" t="s">
        <v>109</v>
      </c>
      <c r="L2057" s="60" t="s">
        <v>110</v>
      </c>
    </row>
    <row r="2058" spans="9:16">
      <c r="I2058" s="71">
        <v>719</v>
      </c>
      <c r="J2058" s="73">
        <f>+P2038+P2040+P2042+P2044+P2046</f>
        <v>2360000</v>
      </c>
      <c r="K2058" s="74">
        <f>+L2021</f>
        <v>35960000</v>
      </c>
      <c r="L2058" s="195">
        <f>+J2058+K2058</f>
        <v>38320000</v>
      </c>
    </row>
    <row r="2059" spans="9:16">
      <c r="I2059" s="72">
        <v>721</v>
      </c>
      <c r="J2059" s="80">
        <f>+P2039+P2041+P2043+P2045</f>
        <v>944000</v>
      </c>
      <c r="K2059" s="74">
        <f>+L2022</f>
        <v>86231559</v>
      </c>
      <c r="L2059" s="195">
        <f>+J2059+K2059</f>
        <v>87175559</v>
      </c>
    </row>
    <row r="2060" spans="9:16">
      <c r="I2060" s="72">
        <v>722</v>
      </c>
      <c r="J2060" s="80"/>
      <c r="K2060" s="74">
        <f>+L2023</f>
        <v>42881706</v>
      </c>
      <c r="L2060" s="195">
        <f>+J2060+K2060</f>
        <v>42881706</v>
      </c>
    </row>
    <row r="2061" spans="9:16" ht="15.75">
      <c r="I2061" s="72">
        <v>723</v>
      </c>
      <c r="J2061" s="80"/>
      <c r="K2061" s="74">
        <f>+L2024</f>
        <v>377243257</v>
      </c>
      <c r="L2061" s="195">
        <f>+J2061+K2061</f>
        <v>377243257</v>
      </c>
      <c r="N2061" s="193" t="s">
        <v>289</v>
      </c>
      <c r="O2061" s="175"/>
    </row>
    <row r="2062" spans="9:16" ht="16.5" thickBot="1">
      <c r="I2062" s="164" t="s">
        <v>181</v>
      </c>
      <c r="J2062" s="165"/>
      <c r="K2062" s="74">
        <f>+L2025</f>
        <v>0</v>
      </c>
      <c r="L2062" s="196">
        <f>+J2062+K2062</f>
        <v>0</v>
      </c>
      <c r="N2062" s="52"/>
    </row>
    <row r="2063" spans="9:16" ht="16.5" thickBot="1">
      <c r="I2063" s="169"/>
      <c r="J2063" s="197">
        <f>SUM(J2058:J2062)</f>
        <v>3304000</v>
      </c>
      <c r="K2063" s="197">
        <f>SUM(K2058:K2062)</f>
        <v>542316522</v>
      </c>
      <c r="L2063" s="198">
        <f>SUM(L2058:L2062)</f>
        <v>545620522</v>
      </c>
    </row>
    <row r="2064" spans="9:16" ht="16.5">
      <c r="I2064" s="49" t="s">
        <v>88</v>
      </c>
      <c r="J2064" s="50"/>
    </row>
    <row r="2065" spans="9:16">
      <c r="I2065" s="51" t="s">
        <v>89</v>
      </c>
    </row>
    <row r="2066" spans="9:16">
      <c r="I2066" s="51" t="s">
        <v>90</v>
      </c>
    </row>
    <row r="2067" spans="9:16">
      <c r="I2067" s="51" t="s">
        <v>91</v>
      </c>
    </row>
    <row r="2068" spans="9:16" ht="12.75" customHeight="1">
      <c r="I2068" s="50"/>
      <c r="J2068" s="50"/>
    </row>
    <row r="2069" spans="9:16" ht="15.75">
      <c r="I2069" s="260" t="s">
        <v>1007</v>
      </c>
      <c r="O2069" s="52"/>
    </row>
    <row r="2070" spans="9:16" ht="15.75">
      <c r="I2070" s="53" t="s">
        <v>535</v>
      </c>
      <c r="O2070" s="53"/>
    </row>
    <row r="2071" spans="9:16" ht="16.5">
      <c r="I2071" s="894" t="s">
        <v>1011</v>
      </c>
      <c r="J2071" s="894"/>
      <c r="K2071" s="894"/>
      <c r="L2071" s="894"/>
      <c r="M2071" s="894"/>
      <c r="N2071" s="894"/>
      <c r="O2071" s="894"/>
      <c r="P2071" s="894"/>
    </row>
    <row r="2072" spans="9:16" ht="15.75" thickBot="1"/>
    <row r="2073" spans="9:16">
      <c r="I2073" s="895" t="s">
        <v>94</v>
      </c>
      <c r="J2073" s="897" t="s">
        <v>95</v>
      </c>
      <c r="K2073" s="897" t="s">
        <v>96</v>
      </c>
      <c r="L2073" s="897" t="s">
        <v>3</v>
      </c>
      <c r="M2073" s="897" t="s">
        <v>97</v>
      </c>
      <c r="N2073" s="897" t="s">
        <v>98</v>
      </c>
      <c r="O2073" s="897" t="s">
        <v>99</v>
      </c>
      <c r="P2073" s="899"/>
    </row>
    <row r="2074" spans="9:16" ht="15.75" thickBot="1">
      <c r="I2074" s="896"/>
      <c r="J2074" s="898"/>
      <c r="K2074" s="898"/>
      <c r="L2074" s="898"/>
      <c r="M2074" s="898"/>
      <c r="N2074" s="898"/>
      <c r="O2074" s="240" t="s">
        <v>100</v>
      </c>
      <c r="P2074" s="182" t="s">
        <v>101</v>
      </c>
    </row>
    <row r="2075" spans="9:16">
      <c r="I2075" s="881">
        <v>230</v>
      </c>
      <c r="J2075" s="875">
        <v>42551</v>
      </c>
      <c r="K2075" s="877" t="s">
        <v>1008</v>
      </c>
      <c r="L2075" s="879" t="s">
        <v>1010</v>
      </c>
      <c r="M2075" s="881" t="s">
        <v>145</v>
      </c>
      <c r="N2075" s="883">
        <v>100000</v>
      </c>
      <c r="O2075" s="55">
        <v>719</v>
      </c>
      <c r="P2075" s="78">
        <v>0</v>
      </c>
    </row>
    <row r="2076" spans="9:16" ht="15.75" thickBot="1">
      <c r="I2076" s="882"/>
      <c r="J2076" s="876"/>
      <c r="K2076" s="878"/>
      <c r="L2076" s="880"/>
      <c r="M2076" s="882"/>
      <c r="N2076" s="884"/>
      <c r="O2076" s="56">
        <v>721</v>
      </c>
      <c r="P2076" s="79">
        <v>100000</v>
      </c>
    </row>
    <row r="2077" spans="9:16" ht="15" customHeight="1">
      <c r="I2077" s="881">
        <v>231</v>
      </c>
      <c r="J2077" s="875">
        <v>42551</v>
      </c>
      <c r="K2077" s="877" t="s">
        <v>1009</v>
      </c>
      <c r="L2077" s="879" t="s">
        <v>1010</v>
      </c>
      <c r="M2077" s="881" t="s">
        <v>145</v>
      </c>
      <c r="N2077" s="883">
        <v>100000</v>
      </c>
      <c r="O2077" s="55">
        <v>719</v>
      </c>
      <c r="P2077" s="78">
        <v>0</v>
      </c>
    </row>
    <row r="2078" spans="9:16" ht="15.75" customHeight="1" thickBot="1">
      <c r="I2078" s="882"/>
      <c r="J2078" s="876"/>
      <c r="K2078" s="878"/>
      <c r="L2078" s="880"/>
      <c r="M2078" s="882"/>
      <c r="N2078" s="884"/>
      <c r="O2078" s="56">
        <v>721</v>
      </c>
      <c r="P2078" s="79">
        <v>100000</v>
      </c>
    </row>
    <row r="2079" spans="9:16">
      <c r="I2079" s="881"/>
      <c r="J2079" s="875"/>
      <c r="K2079" s="877"/>
      <c r="L2079" s="879"/>
      <c r="M2079" s="881"/>
      <c r="N2079" s="883"/>
      <c r="O2079" s="55">
        <v>719</v>
      </c>
      <c r="P2079" s="78">
        <v>0</v>
      </c>
    </row>
    <row r="2080" spans="9:16" ht="14.25" customHeight="1" thickBot="1">
      <c r="I2080" s="882"/>
      <c r="J2080" s="876"/>
      <c r="K2080" s="878"/>
      <c r="L2080" s="880"/>
      <c r="M2080" s="882"/>
      <c r="N2080" s="884"/>
      <c r="O2080" s="56">
        <v>721</v>
      </c>
      <c r="P2080" s="79">
        <f>+N2079-P2079</f>
        <v>0</v>
      </c>
    </row>
    <row r="2081" spans="9:16" ht="15" customHeight="1">
      <c r="I2081" s="881"/>
      <c r="J2081" s="875"/>
      <c r="K2081" s="877"/>
      <c r="L2081" s="879"/>
      <c r="M2081" s="881"/>
      <c r="N2081" s="883"/>
      <c r="O2081" s="55">
        <v>719</v>
      </c>
      <c r="P2081" s="78">
        <v>0</v>
      </c>
    </row>
    <row r="2082" spans="9:16" ht="15.75" customHeight="1" thickBot="1">
      <c r="I2082" s="882"/>
      <c r="J2082" s="876"/>
      <c r="K2082" s="878"/>
      <c r="L2082" s="880"/>
      <c r="M2082" s="882"/>
      <c r="N2082" s="884"/>
      <c r="O2082" s="56">
        <v>721</v>
      </c>
      <c r="P2082" s="79">
        <f>+N2081-P2081</f>
        <v>0</v>
      </c>
    </row>
    <row r="2083" spans="9:16" ht="10.5" customHeight="1">
      <c r="I2083" s="881"/>
      <c r="J2083" s="875"/>
      <c r="K2083" s="877"/>
      <c r="L2083" s="881"/>
      <c r="M2083" s="881"/>
      <c r="N2083" s="883"/>
      <c r="O2083" s="55">
        <v>719</v>
      </c>
      <c r="P2083" s="78"/>
    </row>
    <row r="2084" spans="9:16" ht="14.25" customHeight="1" thickBot="1">
      <c r="I2084" s="882"/>
      <c r="J2084" s="876"/>
      <c r="K2084" s="878"/>
      <c r="L2084" s="882"/>
      <c r="M2084" s="882"/>
      <c r="N2084" s="884"/>
      <c r="O2084" s="56">
        <v>721</v>
      </c>
      <c r="P2084" s="79">
        <f>+N2083-P2083</f>
        <v>0</v>
      </c>
    </row>
    <row r="2085" spans="9:16" ht="16.5" customHeight="1" thickBot="1">
      <c r="I2085" s="901" t="s">
        <v>102</v>
      </c>
      <c r="J2085" s="902"/>
      <c r="K2085" s="902"/>
      <c r="L2085" s="902"/>
      <c r="M2085" s="903"/>
      <c r="N2085" s="81">
        <f>SUM(N2075:N2084)</f>
        <v>200000</v>
      </c>
    </row>
    <row r="2086" spans="9:16" ht="16.5" customHeight="1" thickBot="1">
      <c r="I2086" s="885" t="s">
        <v>103</v>
      </c>
      <c r="J2086" s="886"/>
      <c r="K2086" s="886"/>
      <c r="L2086" s="886"/>
      <c r="M2086" s="887"/>
      <c r="N2086" s="69">
        <f>+N2050</f>
        <v>545690522</v>
      </c>
      <c r="O2086" s="241" t="s">
        <v>561</v>
      </c>
      <c r="P2086" s="242"/>
    </row>
    <row r="2087" spans="9:16" ht="16.5" customHeight="1" thickBot="1">
      <c r="I2087" s="888" t="s">
        <v>104</v>
      </c>
      <c r="J2087" s="889"/>
      <c r="K2087" s="889"/>
      <c r="L2087" s="889"/>
      <c r="M2087" s="890"/>
      <c r="N2087" s="183">
        <f>SUM(N2085:N2086)</f>
        <v>545890522</v>
      </c>
    </row>
    <row r="2088" spans="9:16" ht="15.75" customHeight="1">
      <c r="I2088" s="61"/>
      <c r="J2088" s="61"/>
      <c r="K2088" s="61"/>
      <c r="L2088" s="61"/>
      <c r="M2088" s="61"/>
    </row>
    <row r="2089" spans="9:16" ht="15" customHeight="1">
      <c r="I2089" s="51" t="s">
        <v>1012</v>
      </c>
    </row>
    <row r="2090" spans="9:16" ht="14.25" customHeight="1">
      <c r="N2090" s="139"/>
    </row>
    <row r="2091" spans="9:16">
      <c r="I2091" s="50" t="s">
        <v>105</v>
      </c>
      <c r="L2091" s="146"/>
      <c r="N2091" s="139"/>
    </row>
    <row r="2092" spans="9:16" ht="14.25" customHeight="1" thickBot="1"/>
    <row r="2093" spans="9:16" ht="15.75" thickBot="1">
      <c r="I2093" s="891" t="s">
        <v>106</v>
      </c>
      <c r="J2093" s="892"/>
      <c r="K2093" s="892"/>
      <c r="L2093" s="893"/>
      <c r="N2093" s="50" t="s">
        <v>288</v>
      </c>
    </row>
    <row r="2094" spans="9:16" ht="30.75" thickBot="1">
      <c r="I2094" s="57" t="s">
        <v>100</v>
      </c>
      <c r="J2094" s="58" t="s">
        <v>108</v>
      </c>
      <c r="K2094" s="287" t="s">
        <v>109</v>
      </c>
      <c r="L2094" s="60" t="s">
        <v>110</v>
      </c>
    </row>
    <row r="2095" spans="9:16">
      <c r="I2095" s="71">
        <v>719</v>
      </c>
      <c r="J2095" s="73">
        <f>+P2075+P2077+P2079+P2081+P2083</f>
        <v>0</v>
      </c>
      <c r="K2095" s="74">
        <f>+L2058</f>
        <v>38320000</v>
      </c>
      <c r="L2095" s="195">
        <f>+J2095+K2095</f>
        <v>38320000</v>
      </c>
    </row>
    <row r="2096" spans="9:16">
      <c r="I2096" s="72">
        <v>721</v>
      </c>
      <c r="J2096" s="80">
        <f>+P2076+P2078+P2080+P2082</f>
        <v>200000</v>
      </c>
      <c r="K2096" s="74">
        <f>+L2059</f>
        <v>87175559</v>
      </c>
      <c r="L2096" s="195">
        <f>+J2096+K2096</f>
        <v>87375559</v>
      </c>
    </row>
    <row r="2097" spans="9:18">
      <c r="I2097" s="72">
        <v>722</v>
      </c>
      <c r="J2097" s="80"/>
      <c r="K2097" s="74">
        <f>+L2060</f>
        <v>42881706</v>
      </c>
      <c r="L2097" s="195">
        <f>+J2097+K2097</f>
        <v>42881706</v>
      </c>
    </row>
    <row r="2098" spans="9:18" ht="15.75">
      <c r="I2098" s="72">
        <v>723</v>
      </c>
      <c r="J2098" s="80"/>
      <c r="K2098" s="74">
        <f>+L2061</f>
        <v>377243257</v>
      </c>
      <c r="L2098" s="195">
        <f>+J2098+K2098</f>
        <v>377243257</v>
      </c>
      <c r="N2098" s="193" t="s">
        <v>289</v>
      </c>
      <c r="O2098" s="175"/>
    </row>
    <row r="2099" spans="9:18" ht="16.5" thickBot="1">
      <c r="I2099" s="164" t="s">
        <v>181</v>
      </c>
      <c r="J2099" s="165"/>
      <c r="K2099" s="74">
        <f>+L2062</f>
        <v>0</v>
      </c>
      <c r="L2099" s="196">
        <f>+J2099+K2099</f>
        <v>0</v>
      </c>
      <c r="N2099" s="52"/>
    </row>
    <row r="2100" spans="9:18" ht="16.5" thickBot="1">
      <c r="I2100" s="169"/>
      <c r="J2100" s="197">
        <f>SUM(J2095:J2099)</f>
        <v>200000</v>
      </c>
      <c r="K2100" s="197">
        <f>SUM(K2095:K2099)</f>
        <v>545620522</v>
      </c>
      <c r="L2100" s="198">
        <f>SUM(L2095:L2099)</f>
        <v>545820522</v>
      </c>
    </row>
    <row r="2101" spans="9:18" ht="16.5">
      <c r="I2101" s="49" t="s">
        <v>88</v>
      </c>
      <c r="J2101" s="50"/>
    </row>
    <row r="2102" spans="9:18">
      <c r="I2102" s="51" t="s">
        <v>89</v>
      </c>
    </row>
    <row r="2103" spans="9:18">
      <c r="I2103" s="51" t="s">
        <v>90</v>
      </c>
    </row>
    <row r="2104" spans="9:18">
      <c r="I2104" s="51" t="s">
        <v>91</v>
      </c>
    </row>
    <row r="2105" spans="9:18">
      <c r="I2105" s="50"/>
      <c r="J2105" s="50"/>
    </row>
    <row r="2106" spans="9:18" ht="15.75">
      <c r="I2106" s="260" t="s">
        <v>1013</v>
      </c>
      <c r="O2106" s="52"/>
    </row>
    <row r="2107" spans="9:18" ht="15.75">
      <c r="I2107" s="53" t="s">
        <v>535</v>
      </c>
      <c r="O2107" s="53"/>
    </row>
    <row r="2108" spans="9:18" ht="16.5">
      <c r="I2108" s="894" t="s">
        <v>1011</v>
      </c>
      <c r="J2108" s="894"/>
      <c r="K2108" s="894"/>
      <c r="L2108" s="894"/>
      <c r="M2108" s="894"/>
      <c r="N2108" s="894"/>
      <c r="O2108" s="894"/>
      <c r="P2108" s="894"/>
    </row>
    <row r="2109" spans="9:18" ht="15.75" thickBot="1"/>
    <row r="2110" spans="9:18">
      <c r="I2110" s="895" t="s">
        <v>94</v>
      </c>
      <c r="J2110" s="897" t="s">
        <v>95</v>
      </c>
      <c r="K2110" s="897" t="s">
        <v>96</v>
      </c>
      <c r="L2110" s="897" t="s">
        <v>3</v>
      </c>
      <c r="M2110" s="897" t="s">
        <v>97</v>
      </c>
      <c r="N2110" s="897" t="s">
        <v>98</v>
      </c>
      <c r="O2110" s="897" t="s">
        <v>99</v>
      </c>
      <c r="P2110" s="899"/>
    </row>
    <row r="2111" spans="9:18" ht="15.75" thickBot="1">
      <c r="I2111" s="896"/>
      <c r="J2111" s="898"/>
      <c r="K2111" s="898"/>
      <c r="L2111" s="898"/>
      <c r="M2111" s="898"/>
      <c r="N2111" s="898"/>
      <c r="O2111" s="240" t="s">
        <v>100</v>
      </c>
      <c r="P2111" s="182" t="s">
        <v>101</v>
      </c>
      <c r="R2111" s="51" t="s">
        <v>631</v>
      </c>
    </row>
    <row r="2112" spans="9:18">
      <c r="I2112" s="881">
        <v>232</v>
      </c>
      <c r="J2112" s="875">
        <v>42556</v>
      </c>
      <c r="K2112" s="877" t="s">
        <v>1014</v>
      </c>
      <c r="L2112" s="879" t="s">
        <v>1010</v>
      </c>
      <c r="M2112" s="881" t="s">
        <v>115</v>
      </c>
      <c r="N2112" s="883">
        <v>50000</v>
      </c>
      <c r="O2112" s="55">
        <v>719</v>
      </c>
      <c r="P2112" s="78">
        <v>50000</v>
      </c>
    </row>
    <row r="2113" spans="9:16" ht="15.75" thickBot="1">
      <c r="I2113" s="882"/>
      <c r="J2113" s="876"/>
      <c r="K2113" s="878"/>
      <c r="L2113" s="880"/>
      <c r="M2113" s="882"/>
      <c r="N2113" s="884"/>
      <c r="O2113" s="56">
        <v>721</v>
      </c>
      <c r="P2113" s="79"/>
    </row>
    <row r="2114" spans="9:16">
      <c r="I2114" s="881">
        <v>233</v>
      </c>
      <c r="J2114" s="875">
        <v>42556</v>
      </c>
      <c r="K2114" s="877" t="s">
        <v>120</v>
      </c>
      <c r="L2114" s="879" t="s">
        <v>1015</v>
      </c>
      <c r="M2114" s="881" t="s">
        <v>115</v>
      </c>
      <c r="N2114" s="883">
        <v>10000</v>
      </c>
      <c r="O2114" s="55">
        <v>719</v>
      </c>
      <c r="P2114" s="78">
        <v>10000</v>
      </c>
    </row>
    <row r="2115" spans="9:16" ht="15.75" thickBot="1">
      <c r="I2115" s="882"/>
      <c r="J2115" s="876"/>
      <c r="K2115" s="878"/>
      <c r="L2115" s="880"/>
      <c r="M2115" s="882"/>
      <c r="N2115" s="884"/>
      <c r="O2115" s="56">
        <v>721</v>
      </c>
      <c r="P2115" s="79"/>
    </row>
    <row r="2116" spans="9:16">
      <c r="I2116" s="881"/>
      <c r="J2116" s="875"/>
      <c r="K2116" s="877"/>
      <c r="L2116" s="879"/>
      <c r="M2116" s="881"/>
      <c r="N2116" s="883"/>
      <c r="O2116" s="55">
        <v>719</v>
      </c>
      <c r="P2116" s="78">
        <v>0</v>
      </c>
    </row>
    <row r="2117" spans="9:16" ht="12.75" customHeight="1" thickBot="1">
      <c r="I2117" s="882"/>
      <c r="J2117" s="876"/>
      <c r="K2117" s="878"/>
      <c r="L2117" s="880"/>
      <c r="M2117" s="882"/>
      <c r="N2117" s="884"/>
      <c r="O2117" s="56">
        <v>721</v>
      </c>
      <c r="P2117" s="79">
        <f>+N2116-P2116</f>
        <v>0</v>
      </c>
    </row>
    <row r="2118" spans="9:16">
      <c r="I2118" s="881"/>
      <c r="J2118" s="875"/>
      <c r="K2118" s="877"/>
      <c r="L2118" s="879"/>
      <c r="M2118" s="881"/>
      <c r="N2118" s="883"/>
      <c r="O2118" s="55">
        <v>719</v>
      </c>
      <c r="P2118" s="78">
        <v>0</v>
      </c>
    </row>
    <row r="2119" spans="9:16" ht="12.75" customHeight="1" thickBot="1">
      <c r="I2119" s="882"/>
      <c r="J2119" s="876"/>
      <c r="K2119" s="878"/>
      <c r="L2119" s="880"/>
      <c r="M2119" s="882"/>
      <c r="N2119" s="884"/>
      <c r="O2119" s="56">
        <v>721</v>
      </c>
      <c r="P2119" s="79">
        <f>+N2118-P2118</f>
        <v>0</v>
      </c>
    </row>
    <row r="2120" spans="9:16">
      <c r="I2120" s="881"/>
      <c r="J2120" s="875"/>
      <c r="K2120" s="877"/>
      <c r="L2120" s="881"/>
      <c r="M2120" s="881"/>
      <c r="N2120" s="883"/>
      <c r="O2120" s="55">
        <v>719</v>
      </c>
      <c r="P2120" s="78"/>
    </row>
    <row r="2121" spans="9:16" ht="12.75" customHeight="1" thickBot="1">
      <c r="I2121" s="882"/>
      <c r="J2121" s="876"/>
      <c r="K2121" s="878"/>
      <c r="L2121" s="882"/>
      <c r="M2121" s="882"/>
      <c r="N2121" s="884"/>
      <c r="O2121" s="56">
        <v>721</v>
      </c>
      <c r="P2121" s="79">
        <f>+N2120-P2120</f>
        <v>0</v>
      </c>
    </row>
    <row r="2122" spans="9:16" ht="16.5" thickBot="1">
      <c r="I2122" s="901" t="s">
        <v>102</v>
      </c>
      <c r="J2122" s="902"/>
      <c r="K2122" s="902"/>
      <c r="L2122" s="902"/>
      <c r="M2122" s="903"/>
      <c r="N2122" s="81">
        <f>SUM(N2112:N2121)</f>
        <v>60000</v>
      </c>
    </row>
    <row r="2123" spans="9:16" ht="16.5" thickBot="1">
      <c r="I2123" s="885" t="s">
        <v>103</v>
      </c>
      <c r="J2123" s="886"/>
      <c r="K2123" s="886"/>
      <c r="L2123" s="886"/>
      <c r="M2123" s="887"/>
      <c r="N2123" s="69">
        <f>+N2087</f>
        <v>545890522</v>
      </c>
      <c r="O2123" s="241" t="s">
        <v>561</v>
      </c>
      <c r="P2123" s="242">
        <v>161</v>
      </c>
    </row>
    <row r="2124" spans="9:16" ht="16.5" thickBot="1">
      <c r="I2124" s="888" t="s">
        <v>104</v>
      </c>
      <c r="J2124" s="889"/>
      <c r="K2124" s="889"/>
      <c r="L2124" s="889"/>
      <c r="M2124" s="890"/>
      <c r="N2124" s="183">
        <f>SUM(N2122:N2123)</f>
        <v>545950522</v>
      </c>
    </row>
    <row r="2125" spans="9:16">
      <c r="I2125" s="61"/>
      <c r="J2125" s="61"/>
      <c r="K2125" s="61"/>
      <c r="L2125" s="61"/>
      <c r="M2125" s="61"/>
    </row>
    <row r="2126" spans="9:16">
      <c r="I2126" s="51" t="s">
        <v>1016</v>
      </c>
    </row>
    <row r="2127" spans="9:16">
      <c r="N2127" s="139"/>
    </row>
    <row r="2128" spans="9:16">
      <c r="I2128" s="50" t="s">
        <v>105</v>
      </c>
      <c r="L2128" s="146"/>
      <c r="N2128" s="139"/>
    </row>
    <row r="2129" spans="9:15" ht="15.75" thickBot="1"/>
    <row r="2130" spans="9:15" ht="15.75" thickBot="1">
      <c r="I2130" s="891" t="s">
        <v>106</v>
      </c>
      <c r="J2130" s="892"/>
      <c r="K2130" s="892"/>
      <c r="L2130" s="893"/>
      <c r="N2130" s="50" t="s">
        <v>288</v>
      </c>
    </row>
    <row r="2131" spans="9:15" ht="30.75" thickBot="1">
      <c r="I2131" s="57" t="s">
        <v>100</v>
      </c>
      <c r="J2131" s="58" t="s">
        <v>108</v>
      </c>
      <c r="K2131" s="287" t="s">
        <v>109</v>
      </c>
      <c r="L2131" s="60" t="s">
        <v>110</v>
      </c>
    </row>
    <row r="2132" spans="9:15">
      <c r="I2132" s="71">
        <v>719</v>
      </c>
      <c r="J2132" s="73">
        <f>+P2112+P2114+P2116+P2118+P2120</f>
        <v>60000</v>
      </c>
      <c r="K2132" s="74">
        <f>+L2095</f>
        <v>38320000</v>
      </c>
      <c r="L2132" s="195">
        <f>+J2132+K2132</f>
        <v>38380000</v>
      </c>
    </row>
    <row r="2133" spans="9:15">
      <c r="I2133" s="72">
        <v>721</v>
      </c>
      <c r="J2133" s="80">
        <f>+P2113+P2115+P2117+P2119</f>
        <v>0</v>
      </c>
      <c r="K2133" s="74">
        <f>+L2096</f>
        <v>87375559</v>
      </c>
      <c r="L2133" s="195">
        <f>+J2133+K2133</f>
        <v>87375559</v>
      </c>
    </row>
    <row r="2134" spans="9:15">
      <c r="I2134" s="72">
        <v>722</v>
      </c>
      <c r="J2134" s="80"/>
      <c r="K2134" s="74">
        <f>+L2097</f>
        <v>42881706</v>
      </c>
      <c r="L2134" s="195">
        <f>+J2134+K2134</f>
        <v>42881706</v>
      </c>
    </row>
    <row r="2135" spans="9:15" ht="15.75">
      <c r="I2135" s="72">
        <v>723</v>
      </c>
      <c r="J2135" s="80"/>
      <c r="K2135" s="74">
        <f>+L2098</f>
        <v>377243257</v>
      </c>
      <c r="L2135" s="195">
        <f>+J2135+K2135</f>
        <v>377243257</v>
      </c>
      <c r="N2135" s="193" t="s">
        <v>289</v>
      </c>
      <c r="O2135" s="175"/>
    </row>
    <row r="2136" spans="9:15" ht="16.5" thickBot="1">
      <c r="I2136" s="164" t="s">
        <v>181</v>
      </c>
      <c r="J2136" s="165"/>
      <c r="K2136" s="74">
        <f>+L2099</f>
        <v>0</v>
      </c>
      <c r="L2136" s="196">
        <f>+J2136+K2136</f>
        <v>0</v>
      </c>
      <c r="N2136" s="52"/>
    </row>
    <row r="2137" spans="9:15" ht="16.5" thickBot="1">
      <c r="I2137" s="169"/>
      <c r="J2137" s="197">
        <f>SUM(J2132:J2136)</f>
        <v>60000</v>
      </c>
      <c r="K2137" s="197">
        <f>SUM(K2132:K2136)</f>
        <v>545820522</v>
      </c>
      <c r="L2137" s="198">
        <f>SUM(L2132:L2136)</f>
        <v>545880522</v>
      </c>
    </row>
    <row r="2138" spans="9:15" ht="16.5">
      <c r="I2138" s="49" t="s">
        <v>88</v>
      </c>
      <c r="J2138" s="50"/>
    </row>
    <row r="2139" spans="9:15">
      <c r="I2139" s="51" t="s">
        <v>89</v>
      </c>
    </row>
    <row r="2140" spans="9:15">
      <c r="I2140" s="51" t="s">
        <v>90</v>
      </c>
    </row>
    <row r="2141" spans="9:15">
      <c r="I2141" s="51" t="s">
        <v>91</v>
      </c>
    </row>
    <row r="2142" spans="9:15" ht="10.5" customHeight="1">
      <c r="I2142" s="50"/>
      <c r="J2142" s="50"/>
    </row>
    <row r="2143" spans="9:15" ht="15.75">
      <c r="I2143" s="260" t="s">
        <v>1017</v>
      </c>
      <c r="O2143" s="52"/>
    </row>
    <row r="2144" spans="9:15" ht="15.75">
      <c r="I2144" s="53" t="s">
        <v>535</v>
      </c>
      <c r="O2144" s="53"/>
    </row>
    <row r="2145" spans="9:16" ht="15.75" customHeight="1">
      <c r="I2145" s="894" t="s">
        <v>909</v>
      </c>
      <c r="J2145" s="894"/>
      <c r="K2145" s="894"/>
      <c r="L2145" s="894"/>
      <c r="M2145" s="894"/>
      <c r="N2145" s="894"/>
      <c r="O2145" s="894"/>
      <c r="P2145" s="894"/>
    </row>
    <row r="2146" spans="9:16" ht="12.75" customHeight="1" thickBot="1"/>
    <row r="2147" spans="9:16">
      <c r="I2147" s="895" t="s">
        <v>94</v>
      </c>
      <c r="J2147" s="897" t="s">
        <v>95</v>
      </c>
      <c r="K2147" s="897" t="s">
        <v>96</v>
      </c>
      <c r="L2147" s="897" t="s">
        <v>3</v>
      </c>
      <c r="M2147" s="897" t="s">
        <v>97</v>
      </c>
      <c r="N2147" s="897" t="s">
        <v>98</v>
      </c>
      <c r="O2147" s="897" t="s">
        <v>99</v>
      </c>
      <c r="P2147" s="899"/>
    </row>
    <row r="2148" spans="9:16" ht="15.75" thickBot="1">
      <c r="I2148" s="896"/>
      <c r="J2148" s="898"/>
      <c r="K2148" s="898"/>
      <c r="L2148" s="898"/>
      <c r="M2148" s="898"/>
      <c r="N2148" s="898"/>
      <c r="O2148" s="240" t="s">
        <v>100</v>
      </c>
      <c r="P2148" s="182" t="s">
        <v>101</v>
      </c>
    </row>
    <row r="2149" spans="9:16">
      <c r="I2149" s="881">
        <v>234</v>
      </c>
      <c r="J2149" s="875">
        <v>42573</v>
      </c>
      <c r="K2149" s="877" t="s">
        <v>1014</v>
      </c>
      <c r="L2149" s="879" t="s">
        <v>1018</v>
      </c>
      <c r="M2149" s="881" t="s">
        <v>115</v>
      </c>
      <c r="N2149" s="883">
        <v>100000</v>
      </c>
      <c r="O2149" s="55">
        <v>719</v>
      </c>
      <c r="P2149" s="78">
        <v>100000</v>
      </c>
    </row>
    <row r="2150" spans="9:16" ht="11.25" customHeight="1" thickBot="1">
      <c r="I2150" s="882"/>
      <c r="J2150" s="876"/>
      <c r="K2150" s="878"/>
      <c r="L2150" s="880"/>
      <c r="M2150" s="882"/>
      <c r="N2150" s="884"/>
      <c r="O2150" s="56">
        <v>721</v>
      </c>
      <c r="P2150" s="79"/>
    </row>
    <row r="2151" spans="9:16" ht="15" customHeight="1">
      <c r="I2151" s="881">
        <v>235</v>
      </c>
      <c r="J2151" s="875">
        <v>42573</v>
      </c>
      <c r="K2151" s="877" t="s">
        <v>28</v>
      </c>
      <c r="L2151" s="879" t="s">
        <v>1019</v>
      </c>
      <c r="M2151" s="881" t="s">
        <v>115</v>
      </c>
      <c r="N2151" s="883">
        <v>10000</v>
      </c>
      <c r="O2151" s="55">
        <v>719</v>
      </c>
      <c r="P2151" s="78">
        <v>10000</v>
      </c>
    </row>
    <row r="2152" spans="9:16" ht="12.75" customHeight="1" thickBot="1">
      <c r="I2152" s="882"/>
      <c r="J2152" s="876"/>
      <c r="K2152" s="878"/>
      <c r="L2152" s="880"/>
      <c r="M2152" s="882"/>
      <c r="N2152" s="884"/>
      <c r="O2152" s="56">
        <v>721</v>
      </c>
      <c r="P2152" s="79"/>
    </row>
    <row r="2153" spans="9:16" ht="15" customHeight="1">
      <c r="I2153" s="881">
        <v>236</v>
      </c>
      <c r="J2153" s="875">
        <v>42573</v>
      </c>
      <c r="K2153" s="877" t="s">
        <v>1014</v>
      </c>
      <c r="L2153" s="879" t="s">
        <v>1020</v>
      </c>
      <c r="M2153" s="881" t="s">
        <v>115</v>
      </c>
      <c r="N2153" s="883">
        <v>140000</v>
      </c>
      <c r="O2153" s="55">
        <v>719</v>
      </c>
      <c r="P2153" s="78">
        <v>140000</v>
      </c>
    </row>
    <row r="2154" spans="9:16" ht="12.75" customHeight="1" thickBot="1">
      <c r="I2154" s="882"/>
      <c r="J2154" s="876"/>
      <c r="K2154" s="878"/>
      <c r="L2154" s="880"/>
      <c r="M2154" s="882"/>
      <c r="N2154" s="884"/>
      <c r="O2154" s="56">
        <v>721</v>
      </c>
      <c r="P2154" s="79">
        <f>+N2153-P2153</f>
        <v>0</v>
      </c>
    </row>
    <row r="2155" spans="9:16">
      <c r="I2155" s="881">
        <v>237</v>
      </c>
      <c r="J2155" s="875">
        <v>42573</v>
      </c>
      <c r="K2155" s="877" t="s">
        <v>28</v>
      </c>
      <c r="L2155" s="879" t="s">
        <v>1022</v>
      </c>
      <c r="M2155" s="881" t="s">
        <v>115</v>
      </c>
      <c r="N2155" s="883">
        <v>60000</v>
      </c>
      <c r="O2155" s="55">
        <v>719</v>
      </c>
      <c r="P2155" s="78">
        <v>60000</v>
      </c>
    </row>
    <row r="2156" spans="9:16" ht="13.5" customHeight="1" thickBot="1">
      <c r="I2156" s="882"/>
      <c r="J2156" s="876"/>
      <c r="K2156" s="878"/>
      <c r="L2156" s="880"/>
      <c r="M2156" s="882"/>
      <c r="N2156" s="884"/>
      <c r="O2156" s="56">
        <v>721</v>
      </c>
      <c r="P2156" s="79">
        <f>+N2155-P2155</f>
        <v>0</v>
      </c>
    </row>
    <row r="2157" spans="9:16" ht="15" customHeight="1">
      <c r="I2157" s="881">
        <v>238</v>
      </c>
      <c r="J2157" s="875">
        <v>42573</v>
      </c>
      <c r="K2157" s="877" t="s">
        <v>28</v>
      </c>
      <c r="L2157" s="879" t="s">
        <v>1021</v>
      </c>
      <c r="M2157" s="881" t="s">
        <v>115</v>
      </c>
      <c r="N2157" s="883">
        <v>40000</v>
      </c>
      <c r="O2157" s="55">
        <v>719</v>
      </c>
      <c r="P2157" s="78">
        <v>40000</v>
      </c>
    </row>
    <row r="2158" spans="9:16" ht="12" customHeight="1" thickBot="1">
      <c r="I2158" s="882"/>
      <c r="J2158" s="876"/>
      <c r="K2158" s="878"/>
      <c r="L2158" s="880"/>
      <c r="M2158" s="882"/>
      <c r="N2158" s="884"/>
      <c r="O2158" s="56">
        <v>721</v>
      </c>
      <c r="P2158" s="79">
        <f>+N2157-P2157</f>
        <v>0</v>
      </c>
    </row>
    <row r="2159" spans="9:16" ht="15" customHeight="1">
      <c r="I2159" s="881">
        <v>239</v>
      </c>
      <c r="J2159" s="875">
        <v>42573</v>
      </c>
      <c r="K2159" s="877" t="s">
        <v>120</v>
      </c>
      <c r="L2159" s="879" t="s">
        <v>1010</v>
      </c>
      <c r="M2159" s="881" t="s">
        <v>115</v>
      </c>
      <c r="N2159" s="883">
        <v>1259900</v>
      </c>
      <c r="O2159" s="55">
        <v>719</v>
      </c>
      <c r="P2159" s="78"/>
    </row>
    <row r="2160" spans="9:16" ht="12.75" customHeight="1" thickBot="1">
      <c r="I2160" s="882"/>
      <c r="J2160" s="876"/>
      <c r="K2160" s="878"/>
      <c r="L2160" s="880"/>
      <c r="M2160" s="882"/>
      <c r="N2160" s="884"/>
      <c r="O2160" s="56">
        <v>723</v>
      </c>
      <c r="P2160" s="79">
        <f>+N2159-P2159</f>
        <v>1259900</v>
      </c>
    </row>
    <row r="2161" spans="9:16" ht="16.5" thickBot="1">
      <c r="I2161" s="901" t="s">
        <v>102</v>
      </c>
      <c r="J2161" s="902"/>
      <c r="K2161" s="902"/>
      <c r="L2161" s="902"/>
      <c r="M2161" s="903"/>
      <c r="N2161" s="81">
        <f>SUM(N2149:N2160)</f>
        <v>1609900</v>
      </c>
    </row>
    <row r="2162" spans="9:16" ht="16.5" thickBot="1">
      <c r="I2162" s="885" t="s">
        <v>103</v>
      </c>
      <c r="J2162" s="886"/>
      <c r="K2162" s="886"/>
      <c r="L2162" s="886"/>
      <c r="M2162" s="887"/>
      <c r="N2162" s="69">
        <f>+N2124</f>
        <v>545950522</v>
      </c>
      <c r="O2162" s="241" t="s">
        <v>561</v>
      </c>
      <c r="P2162" s="242">
        <f>28+324+91+533+198</f>
        <v>1174</v>
      </c>
    </row>
    <row r="2163" spans="9:16" ht="16.5" thickBot="1">
      <c r="I2163" s="888" t="s">
        <v>104</v>
      </c>
      <c r="J2163" s="889"/>
      <c r="K2163" s="889"/>
      <c r="L2163" s="889"/>
      <c r="M2163" s="890"/>
      <c r="N2163" s="183">
        <f>SUM(N2161:N2162)</f>
        <v>547560422</v>
      </c>
    </row>
    <row r="2164" spans="9:16" ht="12.75" customHeight="1">
      <c r="I2164" s="61"/>
      <c r="J2164" s="61"/>
      <c r="K2164" s="61"/>
      <c r="L2164" s="61"/>
      <c r="M2164" s="61"/>
    </row>
    <row r="2165" spans="9:16">
      <c r="I2165" s="51" t="s">
        <v>1023</v>
      </c>
    </row>
    <row r="2166" spans="9:16" ht="12" customHeight="1">
      <c r="N2166" s="139"/>
    </row>
    <row r="2167" spans="9:16">
      <c r="I2167" s="50" t="s">
        <v>105</v>
      </c>
      <c r="L2167" s="146"/>
      <c r="N2167" s="139"/>
    </row>
    <row r="2168" spans="9:16" ht="12.75" customHeight="1" thickBot="1"/>
    <row r="2169" spans="9:16" ht="15.75" thickBot="1">
      <c r="I2169" s="891" t="s">
        <v>106</v>
      </c>
      <c r="J2169" s="892"/>
      <c r="K2169" s="892"/>
      <c r="L2169" s="893"/>
      <c r="N2169" s="50" t="s">
        <v>288</v>
      </c>
    </row>
    <row r="2170" spans="9:16" ht="30.75" thickBot="1">
      <c r="I2170" s="57" t="s">
        <v>100</v>
      </c>
      <c r="J2170" s="58" t="s">
        <v>108</v>
      </c>
      <c r="K2170" s="287" t="s">
        <v>109</v>
      </c>
      <c r="L2170" s="60" t="s">
        <v>110</v>
      </c>
    </row>
    <row r="2171" spans="9:16">
      <c r="I2171" s="71">
        <v>719</v>
      </c>
      <c r="J2171" s="73">
        <f>+P2149+P2151+P2153+P2157+P2159+P2155</f>
        <v>350000</v>
      </c>
      <c r="K2171" s="74">
        <f>+L2132</f>
        <v>38380000</v>
      </c>
      <c r="L2171" s="195">
        <f>+J2171+K2171</f>
        <v>38730000</v>
      </c>
    </row>
    <row r="2172" spans="9:16" ht="13.5" customHeight="1">
      <c r="I2172" s="72">
        <v>721</v>
      </c>
      <c r="J2172" s="80">
        <f>+P2150+P2152+P2154+P2158+P2156</f>
        <v>0</v>
      </c>
      <c r="K2172" s="74">
        <f>+L2133</f>
        <v>87375559</v>
      </c>
      <c r="L2172" s="195">
        <f>+J2172+K2172</f>
        <v>87375559</v>
      </c>
    </row>
    <row r="2173" spans="9:16">
      <c r="I2173" s="72">
        <v>722</v>
      </c>
      <c r="J2173" s="80"/>
      <c r="K2173" s="74">
        <f>+L2134</f>
        <v>42881706</v>
      </c>
      <c r="L2173" s="195">
        <f>+J2173+K2173</f>
        <v>42881706</v>
      </c>
    </row>
    <row r="2174" spans="9:16" ht="15" customHeight="1">
      <c r="I2174" s="72">
        <v>723</v>
      </c>
      <c r="J2174" s="80">
        <f>+P2160</f>
        <v>1259900</v>
      </c>
      <c r="K2174" s="74">
        <f>+L2135</f>
        <v>377243257</v>
      </c>
      <c r="L2174" s="195">
        <f>+J2174+K2174</f>
        <v>378503157</v>
      </c>
      <c r="N2174" s="193" t="s">
        <v>289</v>
      </c>
      <c r="O2174" s="175"/>
    </row>
    <row r="2175" spans="9:16" ht="13.5" customHeight="1" thickBot="1">
      <c r="I2175" s="164" t="s">
        <v>181</v>
      </c>
      <c r="J2175" s="165"/>
      <c r="K2175" s="74">
        <f>+L2136</f>
        <v>0</v>
      </c>
      <c r="L2175" s="196">
        <f>+J2175+K2175</f>
        <v>0</v>
      </c>
      <c r="N2175" s="52"/>
    </row>
    <row r="2176" spans="9:16" ht="16.5" thickBot="1">
      <c r="I2176" s="169"/>
      <c r="J2176" s="197">
        <f>SUM(J2171:J2175)</f>
        <v>1609900</v>
      </c>
      <c r="K2176" s="197">
        <f>SUM(K2171:K2175)</f>
        <v>545880522</v>
      </c>
      <c r="L2176" s="198">
        <f>SUM(L2171:L2175)</f>
        <v>547490422</v>
      </c>
    </row>
    <row r="2177" spans="9:16" ht="16.5">
      <c r="I2177" s="49" t="s">
        <v>88</v>
      </c>
      <c r="J2177" s="50"/>
    </row>
    <row r="2178" spans="9:16">
      <c r="I2178" s="51" t="s">
        <v>89</v>
      </c>
    </row>
    <row r="2179" spans="9:16">
      <c r="I2179" s="51" t="s">
        <v>90</v>
      </c>
    </row>
    <row r="2180" spans="9:16">
      <c r="I2180" s="51" t="s">
        <v>91</v>
      </c>
    </row>
    <row r="2181" spans="9:16" ht="10.5" customHeight="1">
      <c r="I2181" s="50"/>
      <c r="J2181" s="50"/>
    </row>
    <row r="2182" spans="9:16" ht="15.75">
      <c r="I2182" s="260" t="s">
        <v>1024</v>
      </c>
      <c r="O2182" s="52"/>
    </row>
    <row r="2183" spans="9:16" ht="15.75">
      <c r="I2183" s="53" t="s">
        <v>535</v>
      </c>
      <c r="O2183" s="53"/>
    </row>
    <row r="2184" spans="9:16" ht="16.5">
      <c r="I2184" s="894" t="s">
        <v>909</v>
      </c>
      <c r="J2184" s="894"/>
      <c r="K2184" s="894"/>
      <c r="L2184" s="894"/>
      <c r="M2184" s="894"/>
      <c r="N2184" s="894"/>
      <c r="O2184" s="894"/>
      <c r="P2184" s="894"/>
    </row>
    <row r="2185" spans="9:16" ht="15.75" thickBot="1"/>
    <row r="2186" spans="9:16">
      <c r="I2186" s="895" t="s">
        <v>94</v>
      </c>
      <c r="J2186" s="897" t="s">
        <v>95</v>
      </c>
      <c r="K2186" s="897" t="s">
        <v>96</v>
      </c>
      <c r="L2186" s="897" t="s">
        <v>3</v>
      </c>
      <c r="M2186" s="897" t="s">
        <v>97</v>
      </c>
      <c r="N2186" s="897" t="s">
        <v>98</v>
      </c>
      <c r="O2186" s="897" t="s">
        <v>99</v>
      </c>
      <c r="P2186" s="899"/>
    </row>
    <row r="2187" spans="9:16" ht="15.75" thickBot="1">
      <c r="I2187" s="896"/>
      <c r="J2187" s="898"/>
      <c r="K2187" s="898"/>
      <c r="L2187" s="898"/>
      <c r="M2187" s="898"/>
      <c r="N2187" s="898"/>
      <c r="O2187" s="240" t="s">
        <v>100</v>
      </c>
      <c r="P2187" s="182" t="s">
        <v>101</v>
      </c>
    </row>
    <row r="2188" spans="9:16">
      <c r="I2188" s="881">
        <v>240</v>
      </c>
      <c r="J2188" s="875">
        <v>42592</v>
      </c>
      <c r="K2188" s="877" t="s">
        <v>1014</v>
      </c>
      <c r="L2188" s="879" t="s">
        <v>1025</v>
      </c>
      <c r="M2188" s="881" t="s">
        <v>115</v>
      </c>
      <c r="N2188" s="883">
        <v>110000</v>
      </c>
      <c r="O2188" s="55">
        <v>719</v>
      </c>
      <c r="P2188" s="78">
        <f>+N2188</f>
        <v>110000</v>
      </c>
    </row>
    <row r="2189" spans="9:16" ht="15.75" thickBot="1">
      <c r="I2189" s="882"/>
      <c r="J2189" s="876"/>
      <c r="K2189" s="878"/>
      <c r="L2189" s="880"/>
      <c r="M2189" s="882"/>
      <c r="N2189" s="884"/>
      <c r="O2189" s="56">
        <v>721</v>
      </c>
      <c r="P2189" s="79"/>
    </row>
    <row r="2190" spans="9:16" ht="15" customHeight="1">
      <c r="I2190" s="881">
        <v>241</v>
      </c>
      <c r="J2190" s="875">
        <v>42592</v>
      </c>
      <c r="K2190" s="877" t="s">
        <v>28</v>
      </c>
      <c r="L2190" s="879" t="s">
        <v>1026</v>
      </c>
      <c r="M2190" s="881" t="s">
        <v>115</v>
      </c>
      <c r="N2190" s="883">
        <v>70000</v>
      </c>
      <c r="O2190" s="55">
        <v>719</v>
      </c>
      <c r="P2190" s="78">
        <f>+N2190</f>
        <v>70000</v>
      </c>
    </row>
    <row r="2191" spans="9:16" ht="15.75" customHeight="1" thickBot="1">
      <c r="I2191" s="882"/>
      <c r="J2191" s="876"/>
      <c r="K2191" s="878"/>
      <c r="L2191" s="880"/>
      <c r="M2191" s="882"/>
      <c r="N2191" s="884"/>
      <c r="O2191" s="56">
        <v>721</v>
      </c>
      <c r="P2191" s="79"/>
    </row>
    <row r="2192" spans="9:16" ht="15" customHeight="1">
      <c r="I2192" s="881">
        <v>242</v>
      </c>
      <c r="J2192" s="875">
        <v>42592</v>
      </c>
      <c r="K2192" s="877" t="s">
        <v>1014</v>
      </c>
      <c r="L2192" s="879" t="s">
        <v>1027</v>
      </c>
      <c r="M2192" s="881" t="s">
        <v>115</v>
      </c>
      <c r="N2192" s="883">
        <v>260000</v>
      </c>
      <c r="O2192" s="55">
        <v>719</v>
      </c>
      <c r="P2192" s="78">
        <v>260000</v>
      </c>
    </row>
    <row r="2193" spans="9:16" ht="15.75" customHeight="1" thickBot="1">
      <c r="I2193" s="882"/>
      <c r="J2193" s="876"/>
      <c r="K2193" s="878"/>
      <c r="L2193" s="880"/>
      <c r="M2193" s="882"/>
      <c r="N2193" s="884"/>
      <c r="O2193" s="56">
        <v>721</v>
      </c>
      <c r="P2193" s="79">
        <f>+N2192-P2192</f>
        <v>0</v>
      </c>
    </row>
    <row r="2194" spans="9:16" ht="15" customHeight="1">
      <c r="I2194" s="881"/>
      <c r="J2194" s="875"/>
      <c r="K2194" s="877"/>
      <c r="L2194" s="879"/>
      <c r="M2194" s="881"/>
      <c r="N2194" s="883"/>
      <c r="O2194" s="55">
        <v>719</v>
      </c>
      <c r="P2194" s="78">
        <v>0</v>
      </c>
    </row>
    <row r="2195" spans="9:16" ht="15.75" customHeight="1" thickBot="1">
      <c r="I2195" s="882"/>
      <c r="J2195" s="876"/>
      <c r="K2195" s="878"/>
      <c r="L2195" s="880"/>
      <c r="M2195" s="882"/>
      <c r="N2195" s="884"/>
      <c r="O2195" s="56">
        <v>721</v>
      </c>
      <c r="P2195" s="79">
        <f>+N2194-P2194</f>
        <v>0</v>
      </c>
    </row>
    <row r="2196" spans="9:16">
      <c r="I2196" s="881"/>
      <c r="J2196" s="875"/>
      <c r="K2196" s="877"/>
      <c r="L2196" s="879"/>
      <c r="M2196" s="881"/>
      <c r="N2196" s="883"/>
      <c r="O2196" s="55">
        <v>719</v>
      </c>
      <c r="P2196" s="78"/>
    </row>
    <row r="2197" spans="9:16" ht="15.75" thickBot="1">
      <c r="I2197" s="882"/>
      <c r="J2197" s="876"/>
      <c r="K2197" s="878"/>
      <c r="L2197" s="880"/>
      <c r="M2197" s="882"/>
      <c r="N2197" s="884"/>
      <c r="O2197" s="56">
        <v>723</v>
      </c>
      <c r="P2197" s="79">
        <f>+N2196-P2196</f>
        <v>0</v>
      </c>
    </row>
    <row r="2198" spans="9:16" ht="16.5" thickBot="1">
      <c r="I2198" s="901" t="s">
        <v>102</v>
      </c>
      <c r="J2198" s="902"/>
      <c r="K2198" s="902"/>
      <c r="L2198" s="902"/>
      <c r="M2198" s="903"/>
      <c r="N2198" s="81">
        <f>SUM(N2188:N2197)</f>
        <v>440000</v>
      </c>
    </row>
    <row r="2199" spans="9:16" ht="16.5" thickBot="1">
      <c r="I2199" s="885" t="s">
        <v>103</v>
      </c>
      <c r="J2199" s="886"/>
      <c r="K2199" s="886"/>
      <c r="L2199" s="886"/>
      <c r="M2199" s="887"/>
      <c r="N2199" s="69">
        <f>+N2163</f>
        <v>547560422</v>
      </c>
      <c r="O2199" s="241" t="s">
        <v>561</v>
      </c>
      <c r="P2199" s="242">
        <f>742+165+273</f>
        <v>1180</v>
      </c>
    </row>
    <row r="2200" spans="9:16" ht="16.5" thickBot="1">
      <c r="I2200" s="888" t="s">
        <v>104</v>
      </c>
      <c r="J2200" s="889"/>
      <c r="K2200" s="889"/>
      <c r="L2200" s="889"/>
      <c r="M2200" s="890"/>
      <c r="N2200" s="183">
        <f>SUM(N2198:N2199)</f>
        <v>548000422</v>
      </c>
    </row>
    <row r="2201" spans="9:16">
      <c r="I2201" s="61"/>
      <c r="J2201" s="61"/>
      <c r="K2201" s="61"/>
      <c r="L2201" s="61"/>
      <c r="M2201" s="61"/>
    </row>
    <row r="2202" spans="9:16">
      <c r="I2202" s="51" t="s">
        <v>1029</v>
      </c>
    </row>
    <row r="2203" spans="9:16" ht="12.75" customHeight="1">
      <c r="N2203" s="139"/>
    </row>
    <row r="2204" spans="9:16">
      <c r="I2204" s="50" t="s">
        <v>105</v>
      </c>
      <c r="L2204" s="146"/>
      <c r="N2204" s="139"/>
    </row>
    <row r="2205" spans="9:16" ht="12.75" customHeight="1" thickBot="1"/>
    <row r="2206" spans="9:16" ht="15.75" thickBot="1">
      <c r="I2206" s="891" t="s">
        <v>106</v>
      </c>
      <c r="J2206" s="892"/>
      <c r="K2206" s="892"/>
      <c r="L2206" s="893"/>
      <c r="N2206" s="50" t="s">
        <v>270</v>
      </c>
    </row>
    <row r="2207" spans="9:16" ht="30.75" thickBot="1">
      <c r="I2207" s="57" t="s">
        <v>100</v>
      </c>
      <c r="J2207" s="58" t="s">
        <v>108</v>
      </c>
      <c r="K2207" s="287" t="s">
        <v>109</v>
      </c>
      <c r="L2207" s="60" t="s">
        <v>110</v>
      </c>
    </row>
    <row r="2208" spans="9:16">
      <c r="I2208" s="71">
        <v>719</v>
      </c>
      <c r="J2208" s="73">
        <f>+P2188+P2190+P2192+P2194+P2196</f>
        <v>440000</v>
      </c>
      <c r="K2208" s="74">
        <f>+L2171</f>
        <v>38730000</v>
      </c>
      <c r="L2208" s="195">
        <f>+J2208+K2208</f>
        <v>39170000</v>
      </c>
    </row>
    <row r="2209" spans="9:16">
      <c r="I2209" s="72">
        <v>721</v>
      </c>
      <c r="J2209" s="80">
        <f>+P2189+P2191+P2193+P2195</f>
        <v>0</v>
      </c>
      <c r="K2209" s="74">
        <f>+L2172</f>
        <v>87375559</v>
      </c>
      <c r="L2209" s="195">
        <f>+J2209+K2209</f>
        <v>87375559</v>
      </c>
    </row>
    <row r="2210" spans="9:16">
      <c r="I2210" s="72">
        <v>722</v>
      </c>
      <c r="J2210" s="80"/>
      <c r="K2210" s="74">
        <f>+L2173</f>
        <v>42881706</v>
      </c>
      <c r="L2210" s="195">
        <f>+J2210+K2210</f>
        <v>42881706</v>
      </c>
    </row>
    <row r="2211" spans="9:16" ht="15.75">
      <c r="I2211" s="72">
        <v>723</v>
      </c>
      <c r="J2211" s="80">
        <f>+P2197</f>
        <v>0</v>
      </c>
      <c r="K2211" s="74">
        <f>+L2174</f>
        <v>378503157</v>
      </c>
      <c r="L2211" s="195">
        <f>+J2211+K2211</f>
        <v>378503157</v>
      </c>
      <c r="N2211" s="193" t="s">
        <v>1028</v>
      </c>
      <c r="O2211" s="175"/>
    </row>
    <row r="2212" spans="9:16" ht="16.5" thickBot="1">
      <c r="I2212" s="164" t="s">
        <v>181</v>
      </c>
      <c r="J2212" s="165"/>
      <c r="K2212" s="74">
        <f>+L2175</f>
        <v>0</v>
      </c>
      <c r="L2212" s="196">
        <f>+J2212+K2212</f>
        <v>0</v>
      </c>
      <c r="N2212" s="52"/>
    </row>
    <row r="2213" spans="9:16" ht="16.5" thickBot="1">
      <c r="I2213" s="169"/>
      <c r="J2213" s="197">
        <f>SUM(J2208:J2212)</f>
        <v>440000</v>
      </c>
      <c r="K2213" s="197">
        <f>SUM(K2208:K2212)</f>
        <v>547490422</v>
      </c>
      <c r="L2213" s="198">
        <f>SUM(L2208:L2212)</f>
        <v>547930422</v>
      </c>
    </row>
    <row r="2214" spans="9:16" ht="16.5">
      <c r="I2214" s="49" t="s">
        <v>88</v>
      </c>
      <c r="J2214" s="50"/>
    </row>
    <row r="2215" spans="9:16">
      <c r="I2215" s="51" t="s">
        <v>89</v>
      </c>
    </row>
    <row r="2216" spans="9:16">
      <c r="I2216" s="51" t="s">
        <v>90</v>
      </c>
    </row>
    <row r="2217" spans="9:16">
      <c r="I2217" s="51" t="s">
        <v>91</v>
      </c>
    </row>
    <row r="2218" spans="9:16" ht="10.5" customHeight="1">
      <c r="I2218" s="50"/>
      <c r="J2218" s="50"/>
    </row>
    <row r="2219" spans="9:16" ht="15.75">
      <c r="I2219" s="260" t="s">
        <v>1030</v>
      </c>
      <c r="O2219" s="52"/>
    </row>
    <row r="2220" spans="9:16" ht="15.75">
      <c r="I2220" s="53" t="s">
        <v>535</v>
      </c>
      <c r="O2220" s="53"/>
    </row>
    <row r="2221" spans="9:16" ht="16.5">
      <c r="I2221" s="894" t="s">
        <v>909</v>
      </c>
      <c r="J2221" s="894"/>
      <c r="K2221" s="894"/>
      <c r="L2221" s="894"/>
      <c r="M2221" s="894"/>
      <c r="N2221" s="894"/>
      <c r="O2221" s="894"/>
      <c r="P2221" s="894"/>
    </row>
    <row r="2222" spans="9:16" ht="12" customHeight="1" thickBot="1"/>
    <row r="2223" spans="9:16">
      <c r="I2223" s="895" t="s">
        <v>94</v>
      </c>
      <c r="J2223" s="897" t="s">
        <v>95</v>
      </c>
      <c r="K2223" s="897" t="s">
        <v>96</v>
      </c>
      <c r="L2223" s="897" t="s">
        <v>3</v>
      </c>
      <c r="M2223" s="897" t="s">
        <v>97</v>
      </c>
      <c r="N2223" s="897" t="s">
        <v>98</v>
      </c>
      <c r="O2223" s="897" t="s">
        <v>99</v>
      </c>
      <c r="P2223" s="899"/>
    </row>
    <row r="2224" spans="9:16" ht="15.75" thickBot="1">
      <c r="I2224" s="896"/>
      <c r="J2224" s="898"/>
      <c r="K2224" s="898"/>
      <c r="L2224" s="898"/>
      <c r="M2224" s="898"/>
      <c r="N2224" s="898"/>
      <c r="O2224" s="240" t="s">
        <v>100</v>
      </c>
      <c r="P2224" s="182" t="s">
        <v>101</v>
      </c>
    </row>
    <row r="2225" spans="9:16">
      <c r="I2225" s="881">
        <v>243</v>
      </c>
      <c r="J2225" s="875">
        <v>42621</v>
      </c>
      <c r="K2225" s="877" t="s">
        <v>1014</v>
      </c>
      <c r="L2225" s="879" t="s">
        <v>1033</v>
      </c>
      <c r="M2225" s="881" t="s">
        <v>115</v>
      </c>
      <c r="N2225" s="883">
        <v>190000</v>
      </c>
      <c r="O2225" s="55">
        <v>719</v>
      </c>
      <c r="P2225" s="78">
        <f>+N2225</f>
        <v>190000</v>
      </c>
    </row>
    <row r="2226" spans="9:16" ht="15.75" thickBot="1">
      <c r="I2226" s="882"/>
      <c r="J2226" s="876"/>
      <c r="K2226" s="878"/>
      <c r="L2226" s="880"/>
      <c r="M2226" s="882"/>
      <c r="N2226" s="884"/>
      <c r="O2226" s="56">
        <v>721</v>
      </c>
      <c r="P2226" s="79"/>
    </row>
    <row r="2227" spans="9:16" ht="15" customHeight="1">
      <c r="I2227" s="881">
        <v>244</v>
      </c>
      <c r="J2227" s="875">
        <v>42621</v>
      </c>
      <c r="K2227" s="877" t="s">
        <v>28</v>
      </c>
      <c r="L2227" s="879" t="s">
        <v>1033</v>
      </c>
      <c r="M2227" s="881" t="s">
        <v>115</v>
      </c>
      <c r="N2227" s="883">
        <v>60000</v>
      </c>
      <c r="O2227" s="55">
        <v>719</v>
      </c>
      <c r="P2227" s="78">
        <f>+N2227</f>
        <v>60000</v>
      </c>
    </row>
    <row r="2228" spans="9:16" ht="15.75" customHeight="1" thickBot="1">
      <c r="I2228" s="882"/>
      <c r="J2228" s="876"/>
      <c r="K2228" s="878"/>
      <c r="L2228" s="880"/>
      <c r="M2228" s="882"/>
      <c r="N2228" s="884"/>
      <c r="O2228" s="56">
        <v>721</v>
      </c>
      <c r="P2228" s="79"/>
    </row>
    <row r="2229" spans="9:16" ht="15" customHeight="1">
      <c r="I2229" s="881">
        <v>245</v>
      </c>
      <c r="J2229" s="875">
        <v>42621</v>
      </c>
      <c r="K2229" s="877" t="s">
        <v>1014</v>
      </c>
      <c r="L2229" s="879" t="s">
        <v>1034</v>
      </c>
      <c r="M2229" s="881" t="s">
        <v>115</v>
      </c>
      <c r="N2229" s="883">
        <v>560000</v>
      </c>
      <c r="O2229" s="55">
        <v>719</v>
      </c>
      <c r="P2229" s="78">
        <v>560000</v>
      </c>
    </row>
    <row r="2230" spans="9:16" ht="15.75" customHeight="1" thickBot="1">
      <c r="I2230" s="882"/>
      <c r="J2230" s="876"/>
      <c r="K2230" s="878"/>
      <c r="L2230" s="880"/>
      <c r="M2230" s="882"/>
      <c r="N2230" s="884"/>
      <c r="O2230" s="56">
        <v>721</v>
      </c>
      <c r="P2230" s="79">
        <f>+N2229-P2229</f>
        <v>0</v>
      </c>
    </row>
    <row r="2231" spans="9:16" ht="15" customHeight="1">
      <c r="I2231" s="881">
        <v>246</v>
      </c>
      <c r="J2231" s="875">
        <v>42621</v>
      </c>
      <c r="K2231" s="877" t="s">
        <v>28</v>
      </c>
      <c r="L2231" s="879" t="s">
        <v>1035</v>
      </c>
      <c r="M2231" s="881" t="s">
        <v>115</v>
      </c>
      <c r="N2231" s="883">
        <v>70000</v>
      </c>
      <c r="O2231" s="55">
        <v>719</v>
      </c>
      <c r="P2231" s="78">
        <v>70000</v>
      </c>
    </row>
    <row r="2232" spans="9:16" ht="15.75" customHeight="1" thickBot="1">
      <c r="I2232" s="882"/>
      <c r="J2232" s="876"/>
      <c r="K2232" s="878"/>
      <c r="L2232" s="880"/>
      <c r="M2232" s="882"/>
      <c r="N2232" s="884"/>
      <c r="O2232" s="56">
        <v>721</v>
      </c>
      <c r="P2232" s="79">
        <f>+N2231-P2231</f>
        <v>0</v>
      </c>
    </row>
    <row r="2233" spans="9:16" ht="15" customHeight="1">
      <c r="I2233" s="881"/>
      <c r="J2233" s="875"/>
      <c r="K2233" s="877"/>
      <c r="L2233" s="879"/>
      <c r="M2233" s="881"/>
      <c r="N2233" s="883"/>
      <c r="O2233" s="55">
        <v>719</v>
      </c>
      <c r="P2233" s="78"/>
    </row>
    <row r="2234" spans="9:16" ht="15.75" customHeight="1" thickBot="1">
      <c r="I2234" s="882"/>
      <c r="J2234" s="876"/>
      <c r="K2234" s="878"/>
      <c r="L2234" s="880"/>
      <c r="M2234" s="882"/>
      <c r="N2234" s="884"/>
      <c r="O2234" s="56">
        <v>723</v>
      </c>
      <c r="P2234" s="79">
        <f>+N2233-P2233</f>
        <v>0</v>
      </c>
    </row>
    <row r="2235" spans="9:16" ht="16.5" thickBot="1">
      <c r="I2235" s="901" t="s">
        <v>102</v>
      </c>
      <c r="J2235" s="902"/>
      <c r="K2235" s="902"/>
      <c r="L2235" s="902"/>
      <c r="M2235" s="903"/>
      <c r="N2235" s="81">
        <f>SUM(N2225:N2234)</f>
        <v>880000</v>
      </c>
    </row>
    <row r="2236" spans="9:16" ht="16.5" thickBot="1">
      <c r="I2236" s="885" t="s">
        <v>103</v>
      </c>
      <c r="J2236" s="886"/>
      <c r="K2236" s="886"/>
      <c r="L2236" s="886"/>
      <c r="M2236" s="887"/>
      <c r="N2236" s="69">
        <f>+N2200</f>
        <v>548000422</v>
      </c>
      <c r="O2236" s="241" t="s">
        <v>561</v>
      </c>
      <c r="P2236" s="242">
        <f>86+1021+143+512</f>
        <v>1762</v>
      </c>
    </row>
    <row r="2237" spans="9:16" ht="16.5" thickBot="1">
      <c r="I2237" s="888" t="s">
        <v>104</v>
      </c>
      <c r="J2237" s="889"/>
      <c r="K2237" s="889"/>
      <c r="L2237" s="889"/>
      <c r="M2237" s="890"/>
      <c r="N2237" s="183">
        <f>SUM(N2235:N2236)</f>
        <v>548880422</v>
      </c>
    </row>
    <row r="2238" spans="9:16">
      <c r="I2238" s="61"/>
      <c r="J2238" s="61"/>
      <c r="K2238" s="61"/>
      <c r="L2238" s="61"/>
      <c r="M2238" s="61"/>
    </row>
    <row r="2239" spans="9:16">
      <c r="I2239" s="51" t="s">
        <v>1036</v>
      </c>
    </row>
    <row r="2240" spans="9:16" ht="12.75" customHeight="1">
      <c r="N2240" s="139"/>
    </row>
    <row r="2241" spans="9:15">
      <c r="I2241" s="50" t="s">
        <v>105</v>
      </c>
      <c r="L2241" s="146"/>
      <c r="N2241" s="139"/>
    </row>
    <row r="2242" spans="9:15" ht="13.5" customHeight="1" thickBot="1"/>
    <row r="2243" spans="9:15" ht="15.75" thickBot="1">
      <c r="I2243" s="891" t="s">
        <v>106</v>
      </c>
      <c r="J2243" s="892"/>
      <c r="K2243" s="892"/>
      <c r="L2243" s="893"/>
      <c r="N2243" s="50" t="s">
        <v>288</v>
      </c>
    </row>
    <row r="2244" spans="9:15" ht="30.75" thickBot="1">
      <c r="I2244" s="57" t="s">
        <v>100</v>
      </c>
      <c r="J2244" s="58" t="s">
        <v>108</v>
      </c>
      <c r="K2244" s="287" t="s">
        <v>109</v>
      </c>
      <c r="L2244" s="60" t="s">
        <v>110</v>
      </c>
    </row>
    <row r="2245" spans="9:15">
      <c r="I2245" s="71">
        <v>719</v>
      </c>
      <c r="J2245" s="73">
        <f>+P2225+P2227+P2229+P2231+P2233</f>
        <v>880000</v>
      </c>
      <c r="K2245" s="74">
        <f>+L2208</f>
        <v>39170000</v>
      </c>
      <c r="L2245" s="195">
        <f>+J2245+K2245</f>
        <v>40050000</v>
      </c>
    </row>
    <row r="2246" spans="9:15">
      <c r="I2246" s="72">
        <v>721</v>
      </c>
      <c r="J2246" s="80">
        <f>+P2226+P2228+P2230+P2232</f>
        <v>0</v>
      </c>
      <c r="K2246" s="74">
        <f>+L2209</f>
        <v>87375559</v>
      </c>
      <c r="L2246" s="195">
        <f>+J2246+K2246</f>
        <v>87375559</v>
      </c>
    </row>
    <row r="2247" spans="9:15">
      <c r="I2247" s="72">
        <v>722</v>
      </c>
      <c r="J2247" s="80"/>
      <c r="K2247" s="74">
        <f>+L2210</f>
        <v>42881706</v>
      </c>
      <c r="L2247" s="195">
        <f>+J2247+K2247</f>
        <v>42881706</v>
      </c>
    </row>
    <row r="2248" spans="9:15" ht="15.75">
      <c r="I2248" s="72">
        <v>723</v>
      </c>
      <c r="J2248" s="80">
        <f>+P2234</f>
        <v>0</v>
      </c>
      <c r="K2248" s="74">
        <f>+L2211</f>
        <v>378503157</v>
      </c>
      <c r="L2248" s="195">
        <f>+J2248+K2248</f>
        <v>378503157</v>
      </c>
      <c r="N2248" s="193" t="s">
        <v>289</v>
      </c>
      <c r="O2248" s="175"/>
    </row>
    <row r="2249" spans="9:15" ht="16.5" thickBot="1">
      <c r="I2249" s="164" t="s">
        <v>181</v>
      </c>
      <c r="J2249" s="165"/>
      <c r="K2249" s="74">
        <f>+L2212</f>
        <v>0</v>
      </c>
      <c r="L2249" s="196">
        <f>+J2249+K2249</f>
        <v>0</v>
      </c>
      <c r="N2249" s="52"/>
    </row>
    <row r="2250" spans="9:15" ht="16.5" thickBot="1">
      <c r="I2250" s="169"/>
      <c r="J2250" s="197">
        <f>SUM(J2245:J2249)</f>
        <v>880000</v>
      </c>
      <c r="K2250" s="197">
        <f>SUM(K2245:K2249)</f>
        <v>547930422</v>
      </c>
      <c r="L2250" s="198">
        <f>SUM(L2245:L2249)</f>
        <v>548810422</v>
      </c>
    </row>
    <row r="2251" spans="9:15" ht="16.5">
      <c r="I2251" s="49" t="s">
        <v>88</v>
      </c>
      <c r="J2251" s="50"/>
    </row>
    <row r="2252" spans="9:15">
      <c r="I2252" s="51" t="s">
        <v>89</v>
      </c>
    </row>
    <row r="2253" spans="9:15">
      <c r="I2253" s="51" t="s">
        <v>90</v>
      </c>
    </row>
    <row r="2254" spans="9:15">
      <c r="I2254" s="51" t="s">
        <v>91</v>
      </c>
    </row>
    <row r="2255" spans="9:15" ht="11.25" customHeight="1">
      <c r="I2255" s="50"/>
      <c r="J2255" s="50"/>
    </row>
    <row r="2256" spans="9:15" ht="15.75">
      <c r="I2256" s="260" t="s">
        <v>1031</v>
      </c>
      <c r="O2256" s="52"/>
    </row>
    <row r="2257" spans="9:16" ht="15.75">
      <c r="I2257" s="53" t="s">
        <v>535</v>
      </c>
      <c r="O2257" s="53"/>
    </row>
    <row r="2258" spans="9:16" ht="16.5">
      <c r="I2258" s="894" t="s">
        <v>909</v>
      </c>
      <c r="J2258" s="894"/>
      <c r="K2258" s="894"/>
      <c r="L2258" s="894"/>
      <c r="M2258" s="894"/>
      <c r="N2258" s="894"/>
      <c r="O2258" s="894"/>
      <c r="P2258" s="894"/>
    </row>
    <row r="2259" spans="9:16" ht="15.75" thickBot="1"/>
    <row r="2260" spans="9:16">
      <c r="I2260" s="895" t="s">
        <v>94</v>
      </c>
      <c r="J2260" s="897" t="s">
        <v>95</v>
      </c>
      <c r="K2260" s="897" t="s">
        <v>96</v>
      </c>
      <c r="L2260" s="897" t="s">
        <v>3</v>
      </c>
      <c r="M2260" s="897" t="s">
        <v>97</v>
      </c>
      <c r="N2260" s="897" t="s">
        <v>98</v>
      </c>
      <c r="O2260" s="897" t="s">
        <v>99</v>
      </c>
      <c r="P2260" s="899"/>
    </row>
    <row r="2261" spans="9:16" ht="15.75" thickBot="1">
      <c r="I2261" s="896"/>
      <c r="J2261" s="898"/>
      <c r="K2261" s="898"/>
      <c r="L2261" s="898"/>
      <c r="M2261" s="898"/>
      <c r="N2261" s="898"/>
      <c r="O2261" s="240" t="s">
        <v>100</v>
      </c>
      <c r="P2261" s="182" t="s">
        <v>101</v>
      </c>
    </row>
    <row r="2262" spans="9:16">
      <c r="I2262" s="881">
        <v>247</v>
      </c>
      <c r="J2262" s="875">
        <v>42623</v>
      </c>
      <c r="K2262" s="877" t="s">
        <v>40</v>
      </c>
      <c r="L2262" s="879" t="s">
        <v>1037</v>
      </c>
      <c r="M2262" s="881" t="s">
        <v>148</v>
      </c>
      <c r="N2262" s="883">
        <v>140000</v>
      </c>
      <c r="O2262" s="55">
        <v>719</v>
      </c>
      <c r="P2262" s="78">
        <v>100000</v>
      </c>
    </row>
    <row r="2263" spans="9:16" ht="15.75" thickBot="1">
      <c r="I2263" s="882"/>
      <c r="J2263" s="876"/>
      <c r="K2263" s="878"/>
      <c r="L2263" s="880"/>
      <c r="M2263" s="882"/>
      <c r="N2263" s="884"/>
      <c r="O2263" s="56">
        <v>721</v>
      </c>
      <c r="P2263" s="79">
        <f>+N2262-P2262</f>
        <v>40000</v>
      </c>
    </row>
    <row r="2264" spans="9:16">
      <c r="I2264" s="881">
        <v>248</v>
      </c>
      <c r="J2264" s="875">
        <v>42623</v>
      </c>
      <c r="K2264" s="877" t="s">
        <v>28</v>
      </c>
      <c r="L2264" s="879" t="s">
        <v>1038</v>
      </c>
      <c r="M2264" s="881" t="s">
        <v>148</v>
      </c>
      <c r="N2264" s="883">
        <v>714000</v>
      </c>
      <c r="O2264" s="55">
        <v>719</v>
      </c>
      <c r="P2264" s="78">
        <f>+N2264-P2265</f>
        <v>510000</v>
      </c>
    </row>
    <row r="2265" spans="9:16" ht="15.75" thickBot="1">
      <c r="I2265" s="882"/>
      <c r="J2265" s="876"/>
      <c r="K2265" s="878"/>
      <c r="L2265" s="880"/>
      <c r="M2265" s="882"/>
      <c r="N2265" s="884"/>
      <c r="O2265" s="56">
        <v>721</v>
      </c>
      <c r="P2265" s="79">
        <v>204000</v>
      </c>
    </row>
    <row r="2266" spans="9:16">
      <c r="I2266" s="881">
        <v>249</v>
      </c>
      <c r="J2266" s="875">
        <v>42623</v>
      </c>
      <c r="K2266" s="877" t="s">
        <v>111</v>
      </c>
      <c r="L2266" s="879" t="s">
        <v>1039</v>
      </c>
      <c r="M2266" s="881" t="s">
        <v>148</v>
      </c>
      <c r="N2266" s="883">
        <v>252000</v>
      </c>
      <c r="O2266" s="55">
        <v>719</v>
      </c>
      <c r="P2266" s="78">
        <v>180000</v>
      </c>
    </row>
    <row r="2267" spans="9:16" ht="15.75" thickBot="1">
      <c r="I2267" s="882"/>
      <c r="J2267" s="876"/>
      <c r="K2267" s="878"/>
      <c r="L2267" s="880"/>
      <c r="M2267" s="882"/>
      <c r="N2267" s="884"/>
      <c r="O2267" s="56">
        <v>721</v>
      </c>
      <c r="P2267" s="79">
        <f>+N2266-P2266</f>
        <v>72000</v>
      </c>
    </row>
    <row r="2268" spans="9:16">
      <c r="I2268" s="881">
        <v>250</v>
      </c>
      <c r="J2268" s="875">
        <v>42623</v>
      </c>
      <c r="K2268" s="877" t="s">
        <v>40</v>
      </c>
      <c r="L2268" s="879" t="s">
        <v>1040</v>
      </c>
      <c r="M2268" s="881" t="s">
        <v>148</v>
      </c>
      <c r="N2268" s="883">
        <v>112000</v>
      </c>
      <c r="O2268" s="55">
        <v>719</v>
      </c>
      <c r="P2268" s="78">
        <v>80000</v>
      </c>
    </row>
    <row r="2269" spans="9:16" ht="15.75" thickBot="1">
      <c r="I2269" s="882"/>
      <c r="J2269" s="876"/>
      <c r="K2269" s="878"/>
      <c r="L2269" s="880"/>
      <c r="M2269" s="882"/>
      <c r="N2269" s="884"/>
      <c r="O2269" s="56">
        <v>721</v>
      </c>
      <c r="P2269" s="79">
        <f>+N2268-P2268</f>
        <v>32000</v>
      </c>
    </row>
    <row r="2270" spans="9:16">
      <c r="I2270" s="881">
        <v>251</v>
      </c>
      <c r="J2270" s="875">
        <v>42623</v>
      </c>
      <c r="K2270" s="877" t="s">
        <v>28</v>
      </c>
      <c r="L2270" s="879" t="s">
        <v>1041</v>
      </c>
      <c r="M2270" s="881" t="s">
        <v>148</v>
      </c>
      <c r="N2270" s="883">
        <v>504000</v>
      </c>
      <c r="O2270" s="55">
        <v>719</v>
      </c>
      <c r="P2270" s="78">
        <v>360000</v>
      </c>
    </row>
    <row r="2271" spans="9:16" ht="15.75" thickBot="1">
      <c r="I2271" s="882"/>
      <c r="J2271" s="876"/>
      <c r="K2271" s="878"/>
      <c r="L2271" s="880"/>
      <c r="M2271" s="882"/>
      <c r="N2271" s="884"/>
      <c r="O2271" s="56">
        <v>723</v>
      </c>
      <c r="P2271" s="79">
        <f>+N2270-P2270</f>
        <v>144000</v>
      </c>
    </row>
    <row r="2272" spans="9:16" ht="16.5" thickBot="1">
      <c r="I2272" s="901" t="s">
        <v>102</v>
      </c>
      <c r="J2272" s="902"/>
      <c r="K2272" s="902"/>
      <c r="L2272" s="902"/>
      <c r="M2272" s="903"/>
      <c r="N2272" s="81">
        <f>SUM(N2262:N2271)</f>
        <v>1722000</v>
      </c>
    </row>
    <row r="2273" spans="9:16" ht="16.5" thickBot="1">
      <c r="I2273" s="885" t="s">
        <v>103</v>
      </c>
      <c r="J2273" s="886"/>
      <c r="K2273" s="886"/>
      <c r="L2273" s="886"/>
      <c r="M2273" s="887"/>
      <c r="N2273" s="69">
        <f>+N2237</f>
        <v>548880422</v>
      </c>
      <c r="O2273" s="241" t="s">
        <v>561</v>
      </c>
      <c r="P2273" s="242">
        <f>875+40+72+1421+61</f>
        <v>2469</v>
      </c>
    </row>
    <row r="2274" spans="9:16" ht="16.5" thickBot="1">
      <c r="I2274" s="888" t="s">
        <v>104</v>
      </c>
      <c r="J2274" s="889"/>
      <c r="K2274" s="889"/>
      <c r="L2274" s="889"/>
      <c r="M2274" s="890"/>
      <c r="N2274" s="183">
        <f>SUM(N2272:N2273)</f>
        <v>550602422</v>
      </c>
    </row>
    <row r="2275" spans="9:16">
      <c r="I2275" s="61"/>
      <c r="J2275" s="61"/>
      <c r="K2275" s="61"/>
      <c r="L2275" s="61"/>
      <c r="M2275" s="61"/>
    </row>
    <row r="2276" spans="9:16">
      <c r="I2276" s="51" t="s">
        <v>1042</v>
      </c>
    </row>
    <row r="2277" spans="9:16" ht="12.75" customHeight="1">
      <c r="N2277" s="139"/>
    </row>
    <row r="2278" spans="9:16">
      <c r="I2278" s="50" t="s">
        <v>105</v>
      </c>
      <c r="L2278" s="146"/>
      <c r="N2278" s="139"/>
    </row>
    <row r="2279" spans="9:16" ht="13.5" customHeight="1" thickBot="1"/>
    <row r="2280" spans="9:16" ht="15.75" thickBot="1">
      <c r="I2280" s="891" t="s">
        <v>106</v>
      </c>
      <c r="J2280" s="892"/>
      <c r="K2280" s="892"/>
      <c r="L2280" s="893"/>
      <c r="N2280" s="50" t="s">
        <v>288</v>
      </c>
    </row>
    <row r="2281" spans="9:16" ht="30.75" thickBot="1">
      <c r="I2281" s="57" t="s">
        <v>100</v>
      </c>
      <c r="J2281" s="58" t="s">
        <v>108</v>
      </c>
      <c r="K2281" s="287" t="s">
        <v>109</v>
      </c>
      <c r="L2281" s="60" t="s">
        <v>110</v>
      </c>
    </row>
    <row r="2282" spans="9:16">
      <c r="I2282" s="71">
        <v>719</v>
      </c>
      <c r="J2282" s="73">
        <f>+P2262+P2264+P2266+P2268+P2270</f>
        <v>1230000</v>
      </c>
      <c r="K2282" s="74">
        <f>+L2245</f>
        <v>40050000</v>
      </c>
      <c r="L2282" s="195">
        <f>+J2282+K2282</f>
        <v>41280000</v>
      </c>
    </row>
    <row r="2283" spans="9:16">
      <c r="I2283" s="72">
        <v>721</v>
      </c>
      <c r="J2283" s="80">
        <f>+P2263+P2265+P2267+P2269+P2271</f>
        <v>492000</v>
      </c>
      <c r="K2283" s="74">
        <f>+L2246</f>
        <v>87375559</v>
      </c>
      <c r="L2283" s="195">
        <f>+J2283+K2283</f>
        <v>87867559</v>
      </c>
    </row>
    <row r="2284" spans="9:16">
      <c r="I2284" s="72">
        <v>722</v>
      </c>
      <c r="J2284" s="80"/>
      <c r="K2284" s="74">
        <f>+L2247</f>
        <v>42881706</v>
      </c>
      <c r="L2284" s="195">
        <f>+J2284+K2284</f>
        <v>42881706</v>
      </c>
    </row>
    <row r="2285" spans="9:16" ht="15.75">
      <c r="I2285" s="72">
        <v>723</v>
      </c>
      <c r="J2285" s="80"/>
      <c r="K2285" s="74">
        <f>+L2248</f>
        <v>378503157</v>
      </c>
      <c r="L2285" s="195">
        <f>+J2285+K2285</f>
        <v>378503157</v>
      </c>
      <c r="N2285" s="193" t="s">
        <v>289</v>
      </c>
      <c r="O2285" s="175"/>
    </row>
    <row r="2286" spans="9:16" ht="16.5" thickBot="1">
      <c r="I2286" s="164" t="s">
        <v>181</v>
      </c>
      <c r="J2286" s="165"/>
      <c r="K2286" s="74">
        <f>+L2249</f>
        <v>0</v>
      </c>
      <c r="L2286" s="196">
        <f>+J2286+K2286</f>
        <v>0</v>
      </c>
      <c r="N2286" s="52"/>
    </row>
    <row r="2287" spans="9:16" ht="16.5" thickBot="1">
      <c r="I2287" s="169"/>
      <c r="J2287" s="197">
        <f>SUM(J2282:J2286)</f>
        <v>1722000</v>
      </c>
      <c r="K2287" s="197">
        <f>SUM(K2282:K2286)</f>
        <v>548810422</v>
      </c>
      <c r="L2287" s="198">
        <f>SUM(L2282:L2286)</f>
        <v>550532422</v>
      </c>
    </row>
    <row r="2288" spans="9:16" ht="16.5">
      <c r="I2288" s="49" t="s">
        <v>88</v>
      </c>
      <c r="J2288" s="50"/>
    </row>
    <row r="2289" spans="9:16">
      <c r="I2289" s="51" t="s">
        <v>89</v>
      </c>
    </row>
    <row r="2290" spans="9:16">
      <c r="I2290" s="51" t="s">
        <v>90</v>
      </c>
    </row>
    <row r="2291" spans="9:16">
      <c r="I2291" s="51" t="s">
        <v>91</v>
      </c>
    </row>
    <row r="2292" spans="9:16" ht="12.75" customHeight="1">
      <c r="I2292" s="50"/>
      <c r="J2292" s="50"/>
    </row>
    <row r="2293" spans="9:16" ht="15.75">
      <c r="I2293" s="260" t="s">
        <v>1032</v>
      </c>
      <c r="O2293" s="52"/>
    </row>
    <row r="2294" spans="9:16" ht="15.75">
      <c r="I2294" s="53" t="s">
        <v>535</v>
      </c>
      <c r="O2294" s="53"/>
    </row>
    <row r="2295" spans="9:16" ht="16.5">
      <c r="I2295" s="894" t="s">
        <v>909</v>
      </c>
      <c r="J2295" s="894"/>
      <c r="K2295" s="894"/>
      <c r="L2295" s="894"/>
      <c r="M2295" s="894"/>
      <c r="N2295" s="894"/>
      <c r="O2295" s="894"/>
      <c r="P2295" s="894"/>
    </row>
    <row r="2296" spans="9:16" ht="15.75" thickBot="1"/>
    <row r="2297" spans="9:16">
      <c r="I2297" s="895" t="s">
        <v>94</v>
      </c>
      <c r="J2297" s="897" t="s">
        <v>95</v>
      </c>
      <c r="K2297" s="897" t="s">
        <v>96</v>
      </c>
      <c r="L2297" s="897" t="s">
        <v>3</v>
      </c>
      <c r="M2297" s="897" t="s">
        <v>97</v>
      </c>
      <c r="N2297" s="897" t="s">
        <v>98</v>
      </c>
      <c r="O2297" s="897" t="s">
        <v>99</v>
      </c>
      <c r="P2297" s="899"/>
    </row>
    <row r="2298" spans="9:16" ht="15.75" thickBot="1">
      <c r="I2298" s="896"/>
      <c r="J2298" s="898"/>
      <c r="K2298" s="898"/>
      <c r="L2298" s="898"/>
      <c r="M2298" s="898"/>
      <c r="N2298" s="898"/>
      <c r="O2298" s="240" t="s">
        <v>100</v>
      </c>
      <c r="P2298" s="182" t="s">
        <v>101</v>
      </c>
    </row>
    <row r="2299" spans="9:16" ht="15" customHeight="1">
      <c r="I2299" s="881">
        <v>252</v>
      </c>
      <c r="J2299" s="875">
        <v>42621</v>
      </c>
      <c r="K2299" s="877" t="s">
        <v>40</v>
      </c>
      <c r="L2299" s="879" t="s">
        <v>1043</v>
      </c>
      <c r="M2299" s="881" t="s">
        <v>148</v>
      </c>
      <c r="N2299" s="883">
        <v>56000</v>
      </c>
      <c r="O2299" s="55">
        <v>719</v>
      </c>
      <c r="P2299" s="78">
        <v>40000</v>
      </c>
    </row>
    <row r="2300" spans="9:16" ht="15.75" customHeight="1" thickBot="1">
      <c r="I2300" s="882"/>
      <c r="J2300" s="876"/>
      <c r="K2300" s="878"/>
      <c r="L2300" s="880"/>
      <c r="M2300" s="882"/>
      <c r="N2300" s="884"/>
      <c r="O2300" s="56">
        <v>721</v>
      </c>
      <c r="P2300" s="79">
        <f>+N2299-P2299</f>
        <v>16000</v>
      </c>
    </row>
    <row r="2301" spans="9:16" ht="15" customHeight="1">
      <c r="I2301" s="881">
        <v>253</v>
      </c>
      <c r="J2301" s="875">
        <v>42621</v>
      </c>
      <c r="K2301" s="877" t="s">
        <v>28</v>
      </c>
      <c r="L2301" s="879" t="s">
        <v>1044</v>
      </c>
      <c r="M2301" s="881" t="s">
        <v>148</v>
      </c>
      <c r="N2301" s="883">
        <v>252000</v>
      </c>
      <c r="O2301" s="55">
        <v>719</v>
      </c>
      <c r="P2301" s="78">
        <v>180000</v>
      </c>
    </row>
    <row r="2302" spans="9:16" ht="15.75" customHeight="1" thickBot="1">
      <c r="I2302" s="882"/>
      <c r="J2302" s="876"/>
      <c r="K2302" s="878"/>
      <c r="L2302" s="880"/>
      <c r="M2302" s="882"/>
      <c r="N2302" s="884"/>
      <c r="O2302" s="56">
        <v>721</v>
      </c>
      <c r="P2302" s="79">
        <f>+N2301-P2301</f>
        <v>72000</v>
      </c>
    </row>
    <row r="2303" spans="9:16" ht="15" customHeight="1">
      <c r="I2303" s="881">
        <v>254</v>
      </c>
      <c r="J2303" s="875">
        <v>42621</v>
      </c>
      <c r="K2303" s="877" t="s">
        <v>111</v>
      </c>
      <c r="L2303" s="879" t="s">
        <v>1045</v>
      </c>
      <c r="M2303" s="881" t="s">
        <v>148</v>
      </c>
      <c r="N2303" s="883">
        <v>112000</v>
      </c>
      <c r="O2303" s="55">
        <v>719</v>
      </c>
      <c r="P2303" s="78">
        <v>80000</v>
      </c>
    </row>
    <row r="2304" spans="9:16" ht="15.75" customHeight="1" thickBot="1">
      <c r="I2304" s="882"/>
      <c r="J2304" s="876"/>
      <c r="K2304" s="878"/>
      <c r="L2304" s="880"/>
      <c r="M2304" s="882"/>
      <c r="N2304" s="884"/>
      <c r="O2304" s="56">
        <v>721</v>
      </c>
      <c r="P2304" s="79">
        <f>+N2303-P2303</f>
        <v>32000</v>
      </c>
    </row>
    <row r="2305" spans="9:16" ht="15" customHeight="1">
      <c r="I2305" s="881">
        <v>255</v>
      </c>
      <c r="J2305" s="875">
        <v>42621</v>
      </c>
      <c r="K2305" s="877" t="s">
        <v>111</v>
      </c>
      <c r="L2305" s="879" t="s">
        <v>1044</v>
      </c>
      <c r="M2305" s="881" t="s">
        <v>148</v>
      </c>
      <c r="N2305" s="883">
        <v>56000</v>
      </c>
      <c r="O2305" s="55">
        <v>719</v>
      </c>
      <c r="P2305" s="78">
        <v>40000</v>
      </c>
    </row>
    <row r="2306" spans="9:16" ht="15.75" customHeight="1" thickBot="1">
      <c r="I2306" s="882"/>
      <c r="J2306" s="876"/>
      <c r="K2306" s="878"/>
      <c r="L2306" s="880"/>
      <c r="M2306" s="882"/>
      <c r="N2306" s="884"/>
      <c r="O2306" s="56">
        <v>721</v>
      </c>
      <c r="P2306" s="79">
        <f>+N2305-P2305</f>
        <v>16000</v>
      </c>
    </row>
    <row r="2307" spans="9:16">
      <c r="I2307" s="881"/>
      <c r="J2307" s="875"/>
      <c r="K2307" s="877"/>
      <c r="L2307" s="879"/>
      <c r="M2307" s="881"/>
      <c r="N2307" s="883"/>
      <c r="O2307" s="55">
        <v>719</v>
      </c>
      <c r="P2307" s="78"/>
    </row>
    <row r="2308" spans="9:16" ht="15.75" thickBot="1">
      <c r="I2308" s="882"/>
      <c r="J2308" s="876"/>
      <c r="K2308" s="878"/>
      <c r="L2308" s="880"/>
      <c r="M2308" s="882"/>
      <c r="N2308" s="884"/>
      <c r="O2308" s="56">
        <v>723</v>
      </c>
      <c r="P2308" s="79">
        <f>+N2307-P2307</f>
        <v>0</v>
      </c>
    </row>
    <row r="2309" spans="9:16" ht="16.5" thickBot="1">
      <c r="I2309" s="901" t="s">
        <v>102</v>
      </c>
      <c r="J2309" s="902"/>
      <c r="K2309" s="902"/>
      <c r="L2309" s="902"/>
      <c r="M2309" s="903"/>
      <c r="N2309" s="81">
        <f>SUM(N2299:N2308)</f>
        <v>476000</v>
      </c>
    </row>
    <row r="2310" spans="9:16" ht="16.5" thickBot="1">
      <c r="I2310" s="885" t="s">
        <v>103</v>
      </c>
      <c r="J2310" s="886"/>
      <c r="K2310" s="886"/>
      <c r="L2310" s="886"/>
      <c r="M2310" s="887"/>
      <c r="N2310" s="69">
        <f>+N2274</f>
        <v>550602422</v>
      </c>
      <c r="O2310" s="241" t="s">
        <v>561</v>
      </c>
      <c r="P2310" s="242">
        <f>451+25+37+18</f>
        <v>531</v>
      </c>
    </row>
    <row r="2311" spans="9:16" ht="16.5" thickBot="1">
      <c r="I2311" s="888" t="s">
        <v>104</v>
      </c>
      <c r="J2311" s="889"/>
      <c r="K2311" s="889"/>
      <c r="L2311" s="889"/>
      <c r="M2311" s="890"/>
      <c r="N2311" s="183">
        <f>SUM(N2309:N2310)</f>
        <v>551078422</v>
      </c>
    </row>
    <row r="2312" spans="9:16">
      <c r="I2312" s="61"/>
      <c r="J2312" s="61"/>
      <c r="K2312" s="61"/>
      <c r="L2312" s="61"/>
      <c r="M2312" s="61"/>
    </row>
    <row r="2313" spans="9:16">
      <c r="I2313" s="51" t="s">
        <v>1065</v>
      </c>
    </row>
    <row r="2314" spans="9:16" ht="12" customHeight="1">
      <c r="N2314" s="139"/>
    </row>
    <row r="2315" spans="9:16">
      <c r="I2315" s="50" t="s">
        <v>105</v>
      </c>
      <c r="L2315" s="146"/>
      <c r="N2315" s="139"/>
    </row>
    <row r="2316" spans="9:16" ht="12.75" customHeight="1" thickBot="1"/>
    <row r="2317" spans="9:16" ht="15.75" thickBot="1">
      <c r="I2317" s="891" t="s">
        <v>106</v>
      </c>
      <c r="J2317" s="892"/>
      <c r="K2317" s="892"/>
      <c r="L2317" s="893"/>
      <c r="N2317" s="50" t="s">
        <v>288</v>
      </c>
    </row>
    <row r="2318" spans="9:16" ht="30.75" thickBot="1">
      <c r="I2318" s="57" t="s">
        <v>100</v>
      </c>
      <c r="J2318" s="58" t="s">
        <v>108</v>
      </c>
      <c r="K2318" s="287" t="s">
        <v>109</v>
      </c>
      <c r="L2318" s="60" t="s">
        <v>110</v>
      </c>
    </row>
    <row r="2319" spans="9:16">
      <c r="I2319" s="71">
        <v>719</v>
      </c>
      <c r="J2319" s="73">
        <f>+P2299+P2301+P2303+P2305+P2307</f>
        <v>340000</v>
      </c>
      <c r="K2319" s="74">
        <f>+L2282</f>
        <v>41280000</v>
      </c>
      <c r="L2319" s="195">
        <f>+J2319+K2319</f>
        <v>41620000</v>
      </c>
    </row>
    <row r="2320" spans="9:16">
      <c r="I2320" s="72">
        <v>721</v>
      </c>
      <c r="J2320" s="80">
        <f>+P2300+P2302+P2304+P2306+P2308</f>
        <v>136000</v>
      </c>
      <c r="K2320" s="74">
        <f>+L2283</f>
        <v>87867559</v>
      </c>
      <c r="L2320" s="195">
        <f>+J2320+K2320</f>
        <v>88003559</v>
      </c>
    </row>
    <row r="2321" spans="9:16">
      <c r="I2321" s="72">
        <v>722</v>
      </c>
      <c r="J2321" s="80"/>
      <c r="K2321" s="74">
        <f>+L2284</f>
        <v>42881706</v>
      </c>
      <c r="L2321" s="195">
        <f>+J2321+K2321</f>
        <v>42881706</v>
      </c>
    </row>
    <row r="2322" spans="9:16" ht="15.75">
      <c r="I2322" s="72">
        <v>723</v>
      </c>
      <c r="J2322" s="80"/>
      <c r="K2322" s="74">
        <f>+L2285</f>
        <v>378503157</v>
      </c>
      <c r="L2322" s="195">
        <f>+J2322+K2322</f>
        <v>378503157</v>
      </c>
      <c r="N2322" s="193" t="s">
        <v>289</v>
      </c>
      <c r="O2322" s="175"/>
    </row>
    <row r="2323" spans="9:16" ht="16.5" thickBot="1">
      <c r="I2323" s="164" t="s">
        <v>181</v>
      </c>
      <c r="J2323" s="165"/>
      <c r="K2323" s="74">
        <f>+L2286</f>
        <v>0</v>
      </c>
      <c r="L2323" s="196">
        <f>+J2323+K2323</f>
        <v>0</v>
      </c>
      <c r="N2323" s="52"/>
    </row>
    <row r="2324" spans="9:16" ht="16.5" thickBot="1">
      <c r="I2324" s="169"/>
      <c r="J2324" s="197">
        <f>SUM(J2319:J2323)</f>
        <v>476000</v>
      </c>
      <c r="K2324" s="197">
        <f>SUM(K2319:K2323)</f>
        <v>550532422</v>
      </c>
      <c r="L2324" s="198">
        <f>SUM(L2319:L2323)</f>
        <v>551008422</v>
      </c>
    </row>
    <row r="2325" spans="9:16" ht="16.5">
      <c r="I2325" s="49" t="s">
        <v>88</v>
      </c>
      <c r="J2325" s="50"/>
    </row>
    <row r="2326" spans="9:16">
      <c r="I2326" s="51" t="s">
        <v>89</v>
      </c>
    </row>
    <row r="2327" spans="9:16">
      <c r="I2327" s="51" t="s">
        <v>90</v>
      </c>
    </row>
    <row r="2328" spans="9:16">
      <c r="I2328" s="51" t="s">
        <v>91</v>
      </c>
    </row>
    <row r="2329" spans="9:16" ht="12" customHeight="1">
      <c r="I2329" s="50"/>
      <c r="J2329" s="50"/>
    </row>
    <row r="2330" spans="9:16" ht="15.75">
      <c r="I2330" s="260" t="s">
        <v>1059</v>
      </c>
      <c r="O2330" s="52"/>
    </row>
    <row r="2331" spans="9:16" ht="15.75">
      <c r="I2331" s="53" t="s">
        <v>535</v>
      </c>
      <c r="O2331" s="53"/>
    </row>
    <row r="2332" spans="9:16" ht="16.5">
      <c r="I2332" s="894" t="s">
        <v>1063</v>
      </c>
      <c r="J2332" s="894"/>
      <c r="K2332" s="894"/>
      <c r="L2332" s="894"/>
      <c r="M2332" s="894"/>
      <c r="N2332" s="894"/>
      <c r="O2332" s="894"/>
      <c r="P2332" s="894"/>
    </row>
    <row r="2333" spans="9:16" ht="15.75" thickBot="1"/>
    <row r="2334" spans="9:16">
      <c r="I2334" s="895" t="s">
        <v>94</v>
      </c>
      <c r="J2334" s="897" t="s">
        <v>95</v>
      </c>
      <c r="K2334" s="897" t="s">
        <v>96</v>
      </c>
      <c r="L2334" s="897" t="s">
        <v>3</v>
      </c>
      <c r="M2334" s="897" t="s">
        <v>97</v>
      </c>
      <c r="N2334" s="897" t="s">
        <v>98</v>
      </c>
      <c r="O2334" s="897" t="s">
        <v>99</v>
      </c>
      <c r="P2334" s="899"/>
    </row>
    <row r="2335" spans="9:16" ht="15.75" thickBot="1">
      <c r="I2335" s="896"/>
      <c r="J2335" s="898"/>
      <c r="K2335" s="898"/>
      <c r="L2335" s="898"/>
      <c r="M2335" s="898"/>
      <c r="N2335" s="898"/>
      <c r="O2335" s="240" t="s">
        <v>100</v>
      </c>
      <c r="P2335" s="182" t="s">
        <v>101</v>
      </c>
    </row>
    <row r="2336" spans="9:16">
      <c r="I2336" s="881">
        <v>256</v>
      </c>
      <c r="J2336" s="875">
        <v>42622</v>
      </c>
      <c r="K2336" s="877" t="s">
        <v>1060</v>
      </c>
      <c r="L2336" s="879" t="s">
        <v>1061</v>
      </c>
      <c r="M2336" s="881" t="s">
        <v>148</v>
      </c>
      <c r="N2336" s="883">
        <v>2000000</v>
      </c>
      <c r="O2336" s="55">
        <v>722</v>
      </c>
      <c r="P2336" s="78">
        <v>2000000</v>
      </c>
    </row>
    <row r="2337" spans="9:16" ht="15.75" thickBot="1">
      <c r="I2337" s="882"/>
      <c r="J2337" s="876"/>
      <c r="K2337" s="878"/>
      <c r="L2337" s="880"/>
      <c r="M2337" s="882"/>
      <c r="N2337" s="884"/>
      <c r="O2337" s="56">
        <v>721</v>
      </c>
      <c r="P2337" s="79">
        <f>+N2336-P2336</f>
        <v>0</v>
      </c>
    </row>
    <row r="2338" spans="9:16">
      <c r="I2338" s="881"/>
      <c r="J2338" s="875"/>
      <c r="K2338" s="877"/>
      <c r="L2338" s="879"/>
      <c r="M2338" s="881"/>
      <c r="N2338" s="883"/>
      <c r="O2338" s="55">
        <v>719</v>
      </c>
      <c r="P2338" s="78"/>
    </row>
    <row r="2339" spans="9:16" ht="15.75" thickBot="1">
      <c r="I2339" s="882"/>
      <c r="J2339" s="876"/>
      <c r="K2339" s="878"/>
      <c r="L2339" s="880"/>
      <c r="M2339" s="882"/>
      <c r="N2339" s="884"/>
      <c r="O2339" s="56">
        <v>721</v>
      </c>
      <c r="P2339" s="79">
        <f>+N2338-P2338</f>
        <v>0</v>
      </c>
    </row>
    <row r="2340" spans="9:16">
      <c r="I2340" s="881"/>
      <c r="J2340" s="875"/>
      <c r="K2340" s="877"/>
      <c r="L2340" s="879"/>
      <c r="M2340" s="881"/>
      <c r="N2340" s="883"/>
      <c r="O2340" s="55">
        <v>719</v>
      </c>
      <c r="P2340" s="78"/>
    </row>
    <row r="2341" spans="9:16" ht="13.5" customHeight="1" thickBot="1">
      <c r="I2341" s="882"/>
      <c r="J2341" s="876"/>
      <c r="K2341" s="878"/>
      <c r="L2341" s="880"/>
      <c r="M2341" s="882"/>
      <c r="N2341" s="884"/>
      <c r="O2341" s="56">
        <v>721</v>
      </c>
      <c r="P2341" s="79">
        <f>+N2340-P2340</f>
        <v>0</v>
      </c>
    </row>
    <row r="2342" spans="9:16">
      <c r="I2342" s="881"/>
      <c r="J2342" s="875"/>
      <c r="K2342" s="877"/>
      <c r="L2342" s="879"/>
      <c r="M2342" s="881"/>
      <c r="N2342" s="883"/>
      <c r="O2342" s="55">
        <v>719</v>
      </c>
      <c r="P2342" s="78"/>
    </row>
    <row r="2343" spans="9:16" ht="15.75" thickBot="1">
      <c r="I2343" s="882"/>
      <c r="J2343" s="876"/>
      <c r="K2343" s="878"/>
      <c r="L2343" s="880"/>
      <c r="M2343" s="882"/>
      <c r="N2343" s="884"/>
      <c r="O2343" s="56">
        <v>721</v>
      </c>
      <c r="P2343" s="79">
        <f>+N2342-P2342</f>
        <v>0</v>
      </c>
    </row>
    <row r="2344" spans="9:16">
      <c r="I2344" s="881"/>
      <c r="J2344" s="875"/>
      <c r="K2344" s="877"/>
      <c r="L2344" s="879"/>
      <c r="M2344" s="881"/>
      <c r="N2344" s="883"/>
      <c r="O2344" s="55">
        <v>719</v>
      </c>
      <c r="P2344" s="78"/>
    </row>
    <row r="2345" spans="9:16" ht="12" customHeight="1" thickBot="1">
      <c r="I2345" s="882"/>
      <c r="J2345" s="876"/>
      <c r="K2345" s="878"/>
      <c r="L2345" s="880"/>
      <c r="M2345" s="882"/>
      <c r="N2345" s="884"/>
      <c r="O2345" s="56">
        <v>723</v>
      </c>
      <c r="P2345" s="79">
        <f>+N2344-P2344</f>
        <v>0</v>
      </c>
    </row>
    <row r="2346" spans="9:16" ht="16.5" thickBot="1">
      <c r="I2346" s="901" t="s">
        <v>102</v>
      </c>
      <c r="J2346" s="902"/>
      <c r="K2346" s="902"/>
      <c r="L2346" s="902"/>
      <c r="M2346" s="903"/>
      <c r="N2346" s="81">
        <f>SUM(N2336:N2345)</f>
        <v>2000000</v>
      </c>
    </row>
    <row r="2347" spans="9:16" ht="16.5" thickBot="1">
      <c r="I2347" s="885" t="s">
        <v>103</v>
      </c>
      <c r="J2347" s="886"/>
      <c r="K2347" s="886"/>
      <c r="L2347" s="886"/>
      <c r="M2347" s="887"/>
      <c r="N2347" s="69">
        <f>+N2311</f>
        <v>551078422</v>
      </c>
      <c r="O2347" s="241" t="s">
        <v>561</v>
      </c>
      <c r="P2347" s="242">
        <v>0</v>
      </c>
    </row>
    <row r="2348" spans="9:16" ht="16.5" thickBot="1">
      <c r="I2348" s="888" t="s">
        <v>104</v>
      </c>
      <c r="J2348" s="889"/>
      <c r="K2348" s="889"/>
      <c r="L2348" s="889"/>
      <c r="M2348" s="890"/>
      <c r="N2348" s="183">
        <f>SUM(N2346:N2347)</f>
        <v>553078422</v>
      </c>
    </row>
    <row r="2349" spans="9:16">
      <c r="I2349" s="61"/>
      <c r="J2349" s="61"/>
      <c r="K2349" s="61"/>
      <c r="L2349" s="61"/>
      <c r="M2349" s="61"/>
    </row>
    <row r="2350" spans="9:16">
      <c r="I2350" s="51" t="s">
        <v>1062</v>
      </c>
    </row>
    <row r="2351" spans="9:16" ht="12" customHeight="1">
      <c r="N2351" s="139"/>
    </row>
    <row r="2352" spans="9:16">
      <c r="I2352" s="50" t="s">
        <v>105</v>
      </c>
      <c r="L2352" s="146"/>
      <c r="N2352" s="139"/>
    </row>
    <row r="2353" spans="9:15" ht="15.75" thickBot="1"/>
    <row r="2354" spans="9:15" ht="15.75" thickBot="1">
      <c r="I2354" s="891" t="s">
        <v>106</v>
      </c>
      <c r="J2354" s="892"/>
      <c r="K2354" s="892"/>
      <c r="L2354" s="893"/>
      <c r="N2354" s="50" t="s">
        <v>288</v>
      </c>
    </row>
    <row r="2355" spans="9:15" ht="30.75" thickBot="1">
      <c r="I2355" s="57" t="s">
        <v>100</v>
      </c>
      <c r="J2355" s="58" t="s">
        <v>108</v>
      </c>
      <c r="K2355" s="287" t="s">
        <v>109</v>
      </c>
      <c r="L2355" s="60" t="s">
        <v>110</v>
      </c>
    </row>
    <row r="2356" spans="9:15">
      <c r="I2356" s="71">
        <v>719</v>
      </c>
      <c r="J2356" s="73"/>
      <c r="K2356" s="74">
        <f>+L2319</f>
        <v>41620000</v>
      </c>
      <c r="L2356" s="195">
        <f>+J2356+K2356</f>
        <v>41620000</v>
      </c>
    </row>
    <row r="2357" spans="9:15">
      <c r="I2357" s="72">
        <v>721</v>
      </c>
      <c r="J2357" s="80">
        <f>+P2337+P2339+P2341+P2343+P2345</f>
        <v>0</v>
      </c>
      <c r="K2357" s="74">
        <f>+L2320</f>
        <v>88003559</v>
      </c>
      <c r="L2357" s="195">
        <f>+J2357+K2357</f>
        <v>88003559</v>
      </c>
    </row>
    <row r="2358" spans="9:15">
      <c r="I2358" s="72">
        <v>722</v>
      </c>
      <c r="J2358" s="80">
        <f>+P2336</f>
        <v>2000000</v>
      </c>
      <c r="K2358" s="74">
        <f>+L2321</f>
        <v>42881706</v>
      </c>
      <c r="L2358" s="195">
        <f>+J2358+K2358</f>
        <v>44881706</v>
      </c>
    </row>
    <row r="2359" spans="9:15" ht="15.75">
      <c r="I2359" s="72">
        <v>723</v>
      </c>
      <c r="J2359" s="80"/>
      <c r="K2359" s="74">
        <f>+L2322</f>
        <v>378503157</v>
      </c>
      <c r="L2359" s="195">
        <f>+J2359+K2359</f>
        <v>378503157</v>
      </c>
      <c r="N2359" s="193" t="s">
        <v>289</v>
      </c>
      <c r="O2359" s="175"/>
    </row>
    <row r="2360" spans="9:15" ht="16.5" thickBot="1">
      <c r="I2360" s="164" t="s">
        <v>181</v>
      </c>
      <c r="J2360" s="165"/>
      <c r="K2360" s="74">
        <f>+L2323</f>
        <v>0</v>
      </c>
      <c r="L2360" s="196">
        <f>+J2360+K2360</f>
        <v>0</v>
      </c>
      <c r="N2360" s="52"/>
    </row>
    <row r="2361" spans="9:15" ht="16.5" thickBot="1">
      <c r="I2361" s="169"/>
      <c r="J2361" s="197">
        <f>SUM(J2356:J2360)</f>
        <v>2000000</v>
      </c>
      <c r="K2361" s="197">
        <f>SUM(K2356:K2360)</f>
        <v>551008422</v>
      </c>
      <c r="L2361" s="198">
        <f>SUM(L2356:L2360)</f>
        <v>553008422</v>
      </c>
    </row>
    <row r="2362" spans="9:15" ht="16.5">
      <c r="I2362" s="49" t="s">
        <v>88</v>
      </c>
      <c r="J2362" s="50"/>
    </row>
    <row r="2363" spans="9:15">
      <c r="I2363" s="51" t="s">
        <v>89</v>
      </c>
    </row>
    <row r="2364" spans="9:15">
      <c r="I2364" s="51" t="s">
        <v>90</v>
      </c>
    </row>
    <row r="2365" spans="9:15">
      <c r="I2365" s="51" t="s">
        <v>91</v>
      </c>
    </row>
    <row r="2366" spans="9:15" ht="12" customHeight="1">
      <c r="I2366" s="50"/>
      <c r="J2366" s="50"/>
    </row>
    <row r="2367" spans="9:15" ht="15.75">
      <c r="I2367" s="260" t="s">
        <v>1066</v>
      </c>
      <c r="O2367" s="52"/>
    </row>
    <row r="2368" spans="9:15" ht="15.75">
      <c r="I2368" s="53" t="s">
        <v>535</v>
      </c>
      <c r="O2368" s="53"/>
    </row>
    <row r="2369" spans="9:16" ht="16.5">
      <c r="I2369" s="894" t="s">
        <v>909</v>
      </c>
      <c r="J2369" s="894"/>
      <c r="K2369" s="894"/>
      <c r="L2369" s="894"/>
      <c r="M2369" s="894"/>
      <c r="N2369" s="894"/>
      <c r="O2369" s="894"/>
      <c r="P2369" s="894"/>
    </row>
    <row r="2370" spans="9:16" ht="15.75" thickBot="1"/>
    <row r="2371" spans="9:16">
      <c r="I2371" s="895" t="s">
        <v>94</v>
      </c>
      <c r="J2371" s="897" t="s">
        <v>95</v>
      </c>
      <c r="K2371" s="897" t="s">
        <v>96</v>
      </c>
      <c r="L2371" s="897" t="s">
        <v>3</v>
      </c>
      <c r="M2371" s="897" t="s">
        <v>97</v>
      </c>
      <c r="N2371" s="897" t="s">
        <v>98</v>
      </c>
      <c r="O2371" s="897" t="s">
        <v>99</v>
      </c>
      <c r="P2371" s="899"/>
    </row>
    <row r="2372" spans="9:16" ht="15.75" thickBot="1">
      <c r="I2372" s="896"/>
      <c r="J2372" s="898"/>
      <c r="K2372" s="898"/>
      <c r="L2372" s="898"/>
      <c r="M2372" s="898"/>
      <c r="N2372" s="898"/>
      <c r="O2372" s="240" t="s">
        <v>100</v>
      </c>
      <c r="P2372" s="182" t="s">
        <v>101</v>
      </c>
    </row>
    <row r="2373" spans="9:16" ht="15" customHeight="1">
      <c r="I2373" s="881">
        <v>257</v>
      </c>
      <c r="J2373" s="875">
        <v>42622</v>
      </c>
      <c r="K2373" s="877" t="s">
        <v>1014</v>
      </c>
      <c r="L2373" s="879" t="s">
        <v>1067</v>
      </c>
      <c r="M2373" s="881" t="s">
        <v>115</v>
      </c>
      <c r="N2373" s="883">
        <v>60000</v>
      </c>
      <c r="O2373" s="55">
        <v>719</v>
      </c>
      <c r="P2373" s="78">
        <v>60000</v>
      </c>
    </row>
    <row r="2374" spans="9:16" ht="15.75" customHeight="1" thickBot="1">
      <c r="I2374" s="882"/>
      <c r="J2374" s="876"/>
      <c r="K2374" s="878"/>
      <c r="L2374" s="880"/>
      <c r="M2374" s="882"/>
      <c r="N2374" s="884"/>
      <c r="O2374" s="56">
        <v>721</v>
      </c>
      <c r="P2374" s="79">
        <f>+N2373-P2373</f>
        <v>0</v>
      </c>
    </row>
    <row r="2375" spans="9:16" ht="15" customHeight="1">
      <c r="I2375" s="881">
        <v>258</v>
      </c>
      <c r="J2375" s="875">
        <v>42622</v>
      </c>
      <c r="K2375" s="877" t="s">
        <v>28</v>
      </c>
      <c r="L2375" s="879" t="s">
        <v>1069</v>
      </c>
      <c r="M2375" s="881" t="s">
        <v>115</v>
      </c>
      <c r="N2375" s="883">
        <v>50000</v>
      </c>
      <c r="O2375" s="55">
        <v>719</v>
      </c>
      <c r="P2375" s="78">
        <v>50000</v>
      </c>
    </row>
    <row r="2376" spans="9:16" ht="15.75" customHeight="1" thickBot="1">
      <c r="I2376" s="882"/>
      <c r="J2376" s="876"/>
      <c r="K2376" s="878"/>
      <c r="L2376" s="880"/>
      <c r="M2376" s="882"/>
      <c r="N2376" s="884"/>
      <c r="O2376" s="56">
        <v>721</v>
      </c>
      <c r="P2376" s="79">
        <f>+N2375-P2375</f>
        <v>0</v>
      </c>
    </row>
    <row r="2377" spans="9:16">
      <c r="I2377" s="881"/>
      <c r="J2377" s="875"/>
      <c r="K2377" s="877"/>
      <c r="L2377" s="879"/>
      <c r="M2377" s="881"/>
      <c r="N2377" s="883"/>
      <c r="O2377" s="55">
        <v>719</v>
      </c>
      <c r="P2377" s="78"/>
    </row>
    <row r="2378" spans="9:16" ht="15.75" thickBot="1">
      <c r="I2378" s="882"/>
      <c r="J2378" s="876"/>
      <c r="K2378" s="878"/>
      <c r="L2378" s="880"/>
      <c r="M2378" s="882"/>
      <c r="N2378" s="884"/>
      <c r="O2378" s="56">
        <v>721</v>
      </c>
      <c r="P2378" s="79">
        <f>+N2377-P2377</f>
        <v>0</v>
      </c>
    </row>
    <row r="2379" spans="9:16">
      <c r="I2379" s="881"/>
      <c r="J2379" s="875"/>
      <c r="K2379" s="877"/>
      <c r="L2379" s="879"/>
      <c r="M2379" s="881"/>
      <c r="N2379" s="883"/>
      <c r="O2379" s="55">
        <v>719</v>
      </c>
      <c r="P2379" s="78"/>
    </row>
    <row r="2380" spans="9:16" ht="15.75" thickBot="1">
      <c r="I2380" s="882"/>
      <c r="J2380" s="876"/>
      <c r="K2380" s="878"/>
      <c r="L2380" s="880"/>
      <c r="M2380" s="882"/>
      <c r="N2380" s="884"/>
      <c r="O2380" s="56">
        <v>721</v>
      </c>
      <c r="P2380" s="79">
        <f>+N2379-P2379</f>
        <v>0</v>
      </c>
    </row>
    <row r="2381" spans="9:16">
      <c r="I2381" s="881"/>
      <c r="J2381" s="875"/>
      <c r="K2381" s="877"/>
      <c r="L2381" s="879"/>
      <c r="M2381" s="881"/>
      <c r="N2381" s="883"/>
      <c r="O2381" s="55">
        <v>719</v>
      </c>
      <c r="P2381" s="78"/>
    </row>
    <row r="2382" spans="9:16" ht="15.75" thickBot="1">
      <c r="I2382" s="882"/>
      <c r="J2382" s="876"/>
      <c r="K2382" s="878"/>
      <c r="L2382" s="880"/>
      <c r="M2382" s="882"/>
      <c r="N2382" s="884"/>
      <c r="O2382" s="56">
        <v>723</v>
      </c>
      <c r="P2382" s="79">
        <f>+N2381-P2381</f>
        <v>0</v>
      </c>
    </row>
    <row r="2383" spans="9:16" ht="16.5" thickBot="1">
      <c r="I2383" s="901" t="s">
        <v>102</v>
      </c>
      <c r="J2383" s="902"/>
      <c r="K2383" s="902"/>
      <c r="L2383" s="902"/>
      <c r="M2383" s="903"/>
      <c r="N2383" s="81">
        <f>SUM(N2373:N2382)</f>
        <v>110000</v>
      </c>
    </row>
    <row r="2384" spans="9:16" ht="16.5" thickBot="1">
      <c r="I2384" s="885" t="s">
        <v>103</v>
      </c>
      <c r="J2384" s="886"/>
      <c r="K2384" s="886"/>
      <c r="L2384" s="886"/>
      <c r="M2384" s="887"/>
      <c r="N2384" s="69">
        <f>+N2348</f>
        <v>553078422</v>
      </c>
      <c r="O2384" s="241" t="s">
        <v>561</v>
      </c>
      <c r="P2384" s="242">
        <f>123+195</f>
        <v>318</v>
      </c>
    </row>
    <row r="2385" spans="9:15" ht="16.5" thickBot="1">
      <c r="I2385" s="888" t="s">
        <v>104</v>
      </c>
      <c r="J2385" s="889"/>
      <c r="K2385" s="889"/>
      <c r="L2385" s="889"/>
      <c r="M2385" s="890"/>
      <c r="N2385" s="183">
        <f>SUM(N2383:N2384)</f>
        <v>553188422</v>
      </c>
    </row>
    <row r="2386" spans="9:15">
      <c r="I2386" s="61"/>
      <c r="J2386" s="61"/>
      <c r="K2386" s="61"/>
      <c r="L2386" s="61"/>
      <c r="M2386" s="61"/>
    </row>
    <row r="2387" spans="9:15">
      <c r="I2387" s="51" t="s">
        <v>1068</v>
      </c>
    </row>
    <row r="2388" spans="9:15" ht="12" customHeight="1">
      <c r="N2388" s="139"/>
    </row>
    <row r="2389" spans="9:15">
      <c r="I2389" s="50" t="s">
        <v>105</v>
      </c>
      <c r="L2389" s="146"/>
      <c r="N2389" s="139"/>
    </row>
    <row r="2390" spans="9:15" ht="12.75" customHeight="1" thickBot="1"/>
    <row r="2391" spans="9:15" ht="15.75" thickBot="1">
      <c r="I2391" s="891" t="s">
        <v>106</v>
      </c>
      <c r="J2391" s="892"/>
      <c r="K2391" s="892"/>
      <c r="L2391" s="893"/>
      <c r="N2391" s="50" t="s">
        <v>288</v>
      </c>
    </row>
    <row r="2392" spans="9:15" ht="30.75" thickBot="1">
      <c r="I2392" s="57" t="s">
        <v>100</v>
      </c>
      <c r="J2392" s="58" t="s">
        <v>108</v>
      </c>
      <c r="K2392" s="287" t="s">
        <v>109</v>
      </c>
      <c r="L2392" s="60" t="s">
        <v>110</v>
      </c>
    </row>
    <row r="2393" spans="9:15">
      <c r="I2393" s="71">
        <v>719</v>
      </c>
      <c r="J2393" s="73">
        <f>+P2373+P2375</f>
        <v>110000</v>
      </c>
      <c r="K2393" s="74">
        <f>+L2356</f>
        <v>41620000</v>
      </c>
      <c r="L2393" s="195">
        <f>+J2393+K2393</f>
        <v>41730000</v>
      </c>
    </row>
    <row r="2394" spans="9:15">
      <c r="I2394" s="72">
        <v>721</v>
      </c>
      <c r="J2394" s="80">
        <f>+P2374+P2376+P2378+P2380+P2382</f>
        <v>0</v>
      </c>
      <c r="K2394" s="74">
        <f>+L2357</f>
        <v>88003559</v>
      </c>
      <c r="L2394" s="195">
        <f>+J2394+K2394</f>
        <v>88003559</v>
      </c>
    </row>
    <row r="2395" spans="9:15">
      <c r="I2395" s="72">
        <v>722</v>
      </c>
      <c r="J2395" s="80"/>
      <c r="K2395" s="74">
        <f>+L2358</f>
        <v>44881706</v>
      </c>
      <c r="L2395" s="195">
        <f>+J2395+K2395</f>
        <v>44881706</v>
      </c>
    </row>
    <row r="2396" spans="9:15" ht="15.75">
      <c r="I2396" s="72">
        <v>723</v>
      </c>
      <c r="J2396" s="80"/>
      <c r="K2396" s="74">
        <f>+L2359</f>
        <v>378503157</v>
      </c>
      <c r="L2396" s="195">
        <f>+J2396+K2396</f>
        <v>378503157</v>
      </c>
      <c r="N2396" s="193" t="s">
        <v>289</v>
      </c>
      <c r="O2396" s="175"/>
    </row>
    <row r="2397" spans="9:15" ht="16.5" thickBot="1">
      <c r="I2397" s="164" t="s">
        <v>181</v>
      </c>
      <c r="J2397" s="165"/>
      <c r="K2397" s="74">
        <f>+L2360</f>
        <v>0</v>
      </c>
      <c r="L2397" s="196">
        <f>+J2397+K2397</f>
        <v>0</v>
      </c>
      <c r="N2397" s="52"/>
    </row>
    <row r="2398" spans="9:15" ht="16.5" thickBot="1">
      <c r="I2398" s="169"/>
      <c r="J2398" s="197">
        <f>SUM(J2393:J2397)</f>
        <v>110000</v>
      </c>
      <c r="K2398" s="197">
        <f>SUM(K2393:K2397)</f>
        <v>553008422</v>
      </c>
      <c r="L2398" s="198">
        <f>SUM(L2393:L2397)</f>
        <v>553118422</v>
      </c>
    </row>
    <row r="2399" spans="9:15" ht="16.5">
      <c r="I2399" s="49" t="s">
        <v>88</v>
      </c>
      <c r="J2399" s="50"/>
    </row>
    <row r="2400" spans="9:15">
      <c r="I2400" s="51" t="s">
        <v>89</v>
      </c>
    </row>
    <row r="2401" spans="9:16">
      <c r="I2401" s="51" t="s">
        <v>90</v>
      </c>
    </row>
    <row r="2402" spans="9:16">
      <c r="I2402" s="51" t="s">
        <v>91</v>
      </c>
    </row>
    <row r="2403" spans="9:16" ht="11.25" customHeight="1">
      <c r="I2403" s="50"/>
      <c r="J2403" s="50"/>
    </row>
    <row r="2404" spans="9:16" ht="15.75">
      <c r="I2404" s="260" t="s">
        <v>1070</v>
      </c>
      <c r="O2404" s="52"/>
    </row>
    <row r="2405" spans="9:16" ht="15.75">
      <c r="I2405" s="53" t="s">
        <v>535</v>
      </c>
      <c r="O2405" s="53"/>
    </row>
    <row r="2406" spans="9:16" ht="16.5">
      <c r="I2406" s="894" t="s">
        <v>909</v>
      </c>
      <c r="J2406" s="894"/>
      <c r="K2406" s="894"/>
      <c r="L2406" s="894"/>
      <c r="M2406" s="894"/>
      <c r="N2406" s="894"/>
      <c r="O2406" s="894"/>
      <c r="P2406" s="894"/>
    </row>
    <row r="2407" spans="9:16" ht="15.75" thickBot="1"/>
    <row r="2408" spans="9:16">
      <c r="I2408" s="895" t="s">
        <v>94</v>
      </c>
      <c r="J2408" s="897" t="s">
        <v>95</v>
      </c>
      <c r="K2408" s="897" t="s">
        <v>96</v>
      </c>
      <c r="L2408" s="897" t="s">
        <v>3</v>
      </c>
      <c r="M2408" s="897" t="s">
        <v>97</v>
      </c>
      <c r="N2408" s="897" t="s">
        <v>98</v>
      </c>
      <c r="O2408" s="897" t="s">
        <v>99</v>
      </c>
      <c r="P2408" s="899"/>
    </row>
    <row r="2409" spans="9:16" ht="15.75" thickBot="1">
      <c r="I2409" s="896"/>
      <c r="J2409" s="898"/>
      <c r="K2409" s="898"/>
      <c r="L2409" s="898"/>
      <c r="M2409" s="898"/>
      <c r="N2409" s="898"/>
      <c r="O2409" s="240" t="s">
        <v>100</v>
      </c>
      <c r="P2409" s="182" t="s">
        <v>101</v>
      </c>
    </row>
    <row r="2410" spans="9:16">
      <c r="I2410" s="881">
        <v>259</v>
      </c>
      <c r="J2410" s="875">
        <v>42632</v>
      </c>
      <c r="K2410" s="877" t="s">
        <v>1014</v>
      </c>
      <c r="L2410" s="879" t="s">
        <v>1072</v>
      </c>
      <c r="M2410" s="881" t="s">
        <v>115</v>
      </c>
      <c r="N2410" s="883">
        <v>150000</v>
      </c>
      <c r="O2410" s="55">
        <v>719</v>
      </c>
      <c r="P2410" s="78">
        <v>150000</v>
      </c>
    </row>
    <row r="2411" spans="9:16" ht="15.75" thickBot="1">
      <c r="I2411" s="882"/>
      <c r="J2411" s="876"/>
      <c r="K2411" s="878"/>
      <c r="L2411" s="880"/>
      <c r="M2411" s="882"/>
      <c r="N2411" s="884"/>
      <c r="O2411" s="56">
        <v>721</v>
      </c>
      <c r="P2411" s="79">
        <f>+N2410-P2410</f>
        <v>0</v>
      </c>
    </row>
    <row r="2412" spans="9:16">
      <c r="I2412" s="881">
        <v>260</v>
      </c>
      <c r="J2412" s="875">
        <v>42632</v>
      </c>
      <c r="K2412" s="877" t="s">
        <v>120</v>
      </c>
      <c r="L2412" s="879" t="s">
        <v>1071</v>
      </c>
      <c r="M2412" s="881" t="s">
        <v>115</v>
      </c>
      <c r="N2412" s="883">
        <v>110000</v>
      </c>
      <c r="O2412" s="55">
        <v>719</v>
      </c>
      <c r="P2412" s="78">
        <v>110000</v>
      </c>
    </row>
    <row r="2413" spans="9:16" ht="15.75" thickBot="1">
      <c r="I2413" s="882"/>
      <c r="J2413" s="876"/>
      <c r="K2413" s="878"/>
      <c r="L2413" s="880"/>
      <c r="M2413" s="882"/>
      <c r="N2413" s="884"/>
      <c r="O2413" s="56">
        <v>721</v>
      </c>
      <c r="P2413" s="79">
        <f>+N2412-P2412</f>
        <v>0</v>
      </c>
    </row>
    <row r="2414" spans="9:16">
      <c r="I2414" s="881"/>
      <c r="J2414" s="875"/>
      <c r="K2414" s="877"/>
      <c r="L2414" s="879"/>
      <c r="M2414" s="881"/>
      <c r="N2414" s="883"/>
      <c r="O2414" s="55">
        <v>719</v>
      </c>
      <c r="P2414" s="78"/>
    </row>
    <row r="2415" spans="9:16" ht="14.25" customHeight="1" thickBot="1">
      <c r="I2415" s="882"/>
      <c r="J2415" s="876"/>
      <c r="K2415" s="878"/>
      <c r="L2415" s="880"/>
      <c r="M2415" s="882"/>
      <c r="N2415" s="884"/>
      <c r="O2415" s="56">
        <v>721</v>
      </c>
      <c r="P2415" s="79">
        <f>+N2414-P2414</f>
        <v>0</v>
      </c>
    </row>
    <row r="2416" spans="9:16">
      <c r="I2416" s="881"/>
      <c r="J2416" s="875"/>
      <c r="K2416" s="877"/>
      <c r="L2416" s="879"/>
      <c r="M2416" s="881"/>
      <c r="N2416" s="883"/>
      <c r="O2416" s="55">
        <v>719</v>
      </c>
      <c r="P2416" s="78"/>
    </row>
    <row r="2417" spans="9:16" ht="13.5" customHeight="1" thickBot="1">
      <c r="I2417" s="882"/>
      <c r="J2417" s="876"/>
      <c r="K2417" s="878"/>
      <c r="L2417" s="880"/>
      <c r="M2417" s="882"/>
      <c r="N2417" s="884"/>
      <c r="O2417" s="56">
        <v>721</v>
      </c>
      <c r="P2417" s="79">
        <f>+N2416-P2416</f>
        <v>0</v>
      </c>
    </row>
    <row r="2418" spans="9:16">
      <c r="I2418" s="881"/>
      <c r="J2418" s="875"/>
      <c r="K2418" s="877"/>
      <c r="L2418" s="879"/>
      <c r="M2418" s="881"/>
      <c r="N2418" s="883"/>
      <c r="O2418" s="55">
        <v>719</v>
      </c>
      <c r="P2418" s="78"/>
    </row>
    <row r="2419" spans="9:16" ht="14.25" customHeight="1" thickBot="1">
      <c r="I2419" s="882"/>
      <c r="J2419" s="876"/>
      <c r="K2419" s="878"/>
      <c r="L2419" s="880"/>
      <c r="M2419" s="882"/>
      <c r="N2419" s="884"/>
      <c r="O2419" s="56">
        <v>723</v>
      </c>
      <c r="P2419" s="79">
        <f>+N2418-P2418</f>
        <v>0</v>
      </c>
    </row>
    <row r="2420" spans="9:16" ht="16.5" thickBot="1">
      <c r="I2420" s="901" t="s">
        <v>102</v>
      </c>
      <c r="J2420" s="902"/>
      <c r="K2420" s="902"/>
      <c r="L2420" s="902"/>
      <c r="M2420" s="903"/>
      <c r="N2420" s="81">
        <f>SUM(N2410:N2419)</f>
        <v>260000</v>
      </c>
    </row>
    <row r="2421" spans="9:16" ht="16.5" thickBot="1">
      <c r="I2421" s="885" t="s">
        <v>103</v>
      </c>
      <c r="J2421" s="886"/>
      <c r="K2421" s="886"/>
      <c r="L2421" s="886"/>
      <c r="M2421" s="887"/>
      <c r="N2421" s="69">
        <f>+N2385</f>
        <v>553188422</v>
      </c>
      <c r="O2421" s="241" t="s">
        <v>561</v>
      </c>
      <c r="P2421" s="242">
        <f>528+24</f>
        <v>552</v>
      </c>
    </row>
    <row r="2422" spans="9:16" ht="16.5" thickBot="1">
      <c r="I2422" s="888" t="s">
        <v>104</v>
      </c>
      <c r="J2422" s="889"/>
      <c r="K2422" s="889"/>
      <c r="L2422" s="889"/>
      <c r="M2422" s="890"/>
      <c r="N2422" s="183">
        <f>SUM(N2420:N2421)</f>
        <v>553448422</v>
      </c>
    </row>
    <row r="2423" spans="9:16">
      <c r="I2423" s="61"/>
      <c r="J2423" s="61"/>
      <c r="K2423" s="61"/>
      <c r="L2423" s="61"/>
      <c r="M2423" s="61"/>
    </row>
    <row r="2424" spans="9:16">
      <c r="I2424" s="51" t="s">
        <v>1073</v>
      </c>
    </row>
    <row r="2425" spans="9:16">
      <c r="N2425" s="139"/>
    </row>
    <row r="2426" spans="9:16">
      <c r="I2426" s="50" t="s">
        <v>105</v>
      </c>
      <c r="L2426" s="146"/>
      <c r="N2426" s="139"/>
    </row>
    <row r="2427" spans="9:16" ht="15.75" thickBot="1"/>
    <row r="2428" spans="9:16" ht="15.75" thickBot="1">
      <c r="I2428" s="891" t="s">
        <v>106</v>
      </c>
      <c r="J2428" s="892"/>
      <c r="K2428" s="892"/>
      <c r="L2428" s="893"/>
      <c r="N2428" s="50" t="s">
        <v>288</v>
      </c>
    </row>
    <row r="2429" spans="9:16" ht="30.75" thickBot="1">
      <c r="I2429" s="57" t="s">
        <v>100</v>
      </c>
      <c r="J2429" s="58" t="s">
        <v>108</v>
      </c>
      <c r="K2429" s="287" t="s">
        <v>109</v>
      </c>
      <c r="L2429" s="60" t="s">
        <v>110</v>
      </c>
    </row>
    <row r="2430" spans="9:16">
      <c r="I2430" s="71">
        <v>719</v>
      </c>
      <c r="J2430" s="73">
        <f>+P2410+P2412</f>
        <v>260000</v>
      </c>
      <c r="K2430" s="74">
        <f>+L2393</f>
        <v>41730000</v>
      </c>
      <c r="L2430" s="195">
        <f>+J2430+K2430</f>
        <v>41990000</v>
      </c>
    </row>
    <row r="2431" spans="9:16">
      <c r="I2431" s="72">
        <v>721</v>
      </c>
      <c r="J2431" s="80">
        <f>+P2411+P2413+P2415+P2417+P2419</f>
        <v>0</v>
      </c>
      <c r="K2431" s="74">
        <f>+L2394</f>
        <v>88003559</v>
      </c>
      <c r="L2431" s="195">
        <f>+J2431+K2431</f>
        <v>88003559</v>
      </c>
    </row>
    <row r="2432" spans="9:16">
      <c r="I2432" s="72">
        <v>722</v>
      </c>
      <c r="J2432" s="80"/>
      <c r="K2432" s="74">
        <f>+L2395</f>
        <v>44881706</v>
      </c>
      <c r="L2432" s="195">
        <f>+J2432+K2432</f>
        <v>44881706</v>
      </c>
    </row>
    <row r="2433" spans="9:16" ht="15.75">
      <c r="I2433" s="72">
        <v>723</v>
      </c>
      <c r="J2433" s="80"/>
      <c r="K2433" s="74">
        <f>+L2396</f>
        <v>378503157</v>
      </c>
      <c r="L2433" s="195">
        <f>+J2433+K2433</f>
        <v>378503157</v>
      </c>
      <c r="N2433" s="193" t="s">
        <v>289</v>
      </c>
      <c r="O2433" s="175"/>
    </row>
    <row r="2434" spans="9:16" ht="16.5" thickBot="1">
      <c r="I2434" s="164" t="s">
        <v>181</v>
      </c>
      <c r="J2434" s="165"/>
      <c r="K2434" s="74">
        <f>+L2397</f>
        <v>0</v>
      </c>
      <c r="L2434" s="196">
        <f>+J2434+K2434</f>
        <v>0</v>
      </c>
      <c r="N2434" s="52"/>
    </row>
    <row r="2435" spans="9:16" ht="16.5" thickBot="1">
      <c r="I2435" s="169"/>
      <c r="J2435" s="197">
        <f>SUM(J2430:J2434)</f>
        <v>260000</v>
      </c>
      <c r="K2435" s="197">
        <f>SUM(K2430:K2434)</f>
        <v>553118422</v>
      </c>
      <c r="L2435" s="198">
        <f>SUM(L2430:L2434)</f>
        <v>553378422</v>
      </c>
    </row>
    <row r="2436" spans="9:16" ht="16.5">
      <c r="I2436" s="49" t="s">
        <v>88</v>
      </c>
      <c r="J2436" s="50"/>
    </row>
    <row r="2437" spans="9:16">
      <c r="I2437" s="51" t="s">
        <v>89</v>
      </c>
    </row>
    <row r="2438" spans="9:16">
      <c r="I2438" s="51" t="s">
        <v>90</v>
      </c>
    </row>
    <row r="2439" spans="9:16">
      <c r="I2439" s="51" t="s">
        <v>91</v>
      </c>
    </row>
    <row r="2440" spans="9:16" ht="6.75" customHeight="1">
      <c r="I2440" s="50"/>
      <c r="J2440" s="50"/>
    </row>
    <row r="2441" spans="9:16" ht="15.75">
      <c r="I2441" s="260" t="s">
        <v>1074</v>
      </c>
      <c r="O2441" s="52"/>
    </row>
    <row r="2442" spans="9:16" ht="15.75">
      <c r="I2442" s="53" t="s">
        <v>535</v>
      </c>
      <c r="O2442" s="53"/>
    </row>
    <row r="2443" spans="9:16" ht="15.75" customHeight="1">
      <c r="I2443" s="894" t="s">
        <v>1078</v>
      </c>
      <c r="J2443" s="894"/>
      <c r="K2443" s="894"/>
      <c r="L2443" s="894"/>
      <c r="M2443" s="894"/>
      <c r="N2443" s="894"/>
      <c r="O2443" s="894"/>
      <c r="P2443" s="894"/>
    </row>
    <row r="2444" spans="9:16" ht="15.75" thickBot="1"/>
    <row r="2445" spans="9:16">
      <c r="I2445" s="895" t="s">
        <v>94</v>
      </c>
      <c r="J2445" s="897" t="s">
        <v>95</v>
      </c>
      <c r="K2445" s="897" t="s">
        <v>96</v>
      </c>
      <c r="L2445" s="897" t="s">
        <v>3</v>
      </c>
      <c r="M2445" s="897" t="s">
        <v>97</v>
      </c>
      <c r="N2445" s="897" t="s">
        <v>98</v>
      </c>
      <c r="O2445" s="897" t="s">
        <v>99</v>
      </c>
      <c r="P2445" s="899"/>
    </row>
    <row r="2446" spans="9:16" ht="15.75" thickBot="1">
      <c r="I2446" s="896"/>
      <c r="J2446" s="898"/>
      <c r="K2446" s="898"/>
      <c r="L2446" s="898"/>
      <c r="M2446" s="898"/>
      <c r="N2446" s="898"/>
      <c r="O2446" s="240" t="s">
        <v>100</v>
      </c>
      <c r="P2446" s="182" t="s">
        <v>101</v>
      </c>
    </row>
    <row r="2447" spans="9:16" ht="15" customHeight="1">
      <c r="I2447" s="881">
        <v>261</v>
      </c>
      <c r="J2447" s="875">
        <v>42641</v>
      </c>
      <c r="K2447" s="877" t="s">
        <v>1079</v>
      </c>
      <c r="L2447" s="879" t="s">
        <v>1080</v>
      </c>
      <c r="M2447" s="881" t="s">
        <v>783</v>
      </c>
      <c r="N2447" s="883">
        <v>145000</v>
      </c>
      <c r="O2447" s="55">
        <v>719</v>
      </c>
      <c r="P2447" s="78">
        <v>145000</v>
      </c>
    </row>
    <row r="2448" spans="9:16" ht="12.75" customHeight="1" thickBot="1">
      <c r="I2448" s="882"/>
      <c r="J2448" s="876"/>
      <c r="K2448" s="878"/>
      <c r="L2448" s="880"/>
      <c r="M2448" s="882"/>
      <c r="N2448" s="884"/>
      <c r="O2448" s="56">
        <v>721</v>
      </c>
      <c r="P2448" s="79">
        <f>+N2447-P2447</f>
        <v>0</v>
      </c>
    </row>
    <row r="2449" spans="9:16" ht="15" customHeight="1">
      <c r="I2449" s="881">
        <v>262</v>
      </c>
      <c r="J2449" s="875">
        <v>42641</v>
      </c>
      <c r="K2449" s="877" t="s">
        <v>1079</v>
      </c>
      <c r="L2449" s="879" t="s">
        <v>1081</v>
      </c>
      <c r="M2449" s="881" t="s">
        <v>783</v>
      </c>
      <c r="N2449" s="883">
        <v>72500</v>
      </c>
      <c r="O2449" s="55">
        <v>719</v>
      </c>
      <c r="P2449" s="78">
        <v>72500</v>
      </c>
    </row>
    <row r="2450" spans="9:16" ht="13.5" customHeight="1" thickBot="1">
      <c r="I2450" s="882"/>
      <c r="J2450" s="876"/>
      <c r="K2450" s="878"/>
      <c r="L2450" s="880"/>
      <c r="M2450" s="882"/>
      <c r="N2450" s="884"/>
      <c r="O2450" s="56">
        <v>721</v>
      </c>
      <c r="P2450" s="79">
        <f>+N2449-P2449</f>
        <v>0</v>
      </c>
    </row>
    <row r="2451" spans="9:16" ht="15" customHeight="1">
      <c r="I2451" s="881">
        <v>263</v>
      </c>
      <c r="J2451" s="875">
        <v>42641</v>
      </c>
      <c r="K2451" s="877" t="s">
        <v>1079</v>
      </c>
      <c r="L2451" s="879" t="s">
        <v>1082</v>
      </c>
      <c r="M2451" s="881" t="s">
        <v>783</v>
      </c>
      <c r="N2451" s="883">
        <v>72500</v>
      </c>
      <c r="O2451" s="55">
        <v>719</v>
      </c>
      <c r="P2451" s="78">
        <v>72500</v>
      </c>
    </row>
    <row r="2452" spans="9:16" ht="14.25" customHeight="1" thickBot="1">
      <c r="I2452" s="882"/>
      <c r="J2452" s="876"/>
      <c r="K2452" s="878"/>
      <c r="L2452" s="880"/>
      <c r="M2452" s="882"/>
      <c r="N2452" s="884"/>
      <c r="O2452" s="56">
        <v>721</v>
      </c>
      <c r="P2452" s="79">
        <f>+N2451-P2451</f>
        <v>0</v>
      </c>
    </row>
    <row r="2453" spans="9:16" ht="15" customHeight="1">
      <c r="I2453" s="881">
        <v>264</v>
      </c>
      <c r="J2453" s="875">
        <v>42641</v>
      </c>
      <c r="K2453" s="877" t="s">
        <v>1079</v>
      </c>
      <c r="L2453" s="879" t="s">
        <v>1084</v>
      </c>
      <c r="M2453" s="881" t="s">
        <v>783</v>
      </c>
      <c r="N2453" s="883">
        <v>217500</v>
      </c>
      <c r="O2453" s="55">
        <v>719</v>
      </c>
      <c r="P2453" s="78">
        <v>217500</v>
      </c>
    </row>
    <row r="2454" spans="9:16" ht="13.5" customHeight="1" thickBot="1">
      <c r="I2454" s="882"/>
      <c r="J2454" s="876"/>
      <c r="K2454" s="878"/>
      <c r="L2454" s="880"/>
      <c r="M2454" s="882"/>
      <c r="N2454" s="884"/>
      <c r="O2454" s="56">
        <v>721</v>
      </c>
      <c r="P2454" s="79">
        <f>+N2453-P2453</f>
        <v>0</v>
      </c>
    </row>
    <row r="2455" spans="9:16" ht="15.75" customHeight="1">
      <c r="I2455" s="881">
        <v>265</v>
      </c>
      <c r="J2455" s="875">
        <v>42641</v>
      </c>
      <c r="K2455" s="877" t="s">
        <v>1079</v>
      </c>
      <c r="L2455" s="879" t="s">
        <v>1095</v>
      </c>
      <c r="M2455" s="881" t="s">
        <v>783</v>
      </c>
      <c r="N2455" s="883">
        <f>72500*2</f>
        <v>145000</v>
      </c>
      <c r="O2455" s="55">
        <v>719</v>
      </c>
      <c r="P2455" s="78">
        <v>145000</v>
      </c>
    </row>
    <row r="2456" spans="9:16" ht="13.5" customHeight="1" thickBot="1">
      <c r="I2456" s="882"/>
      <c r="J2456" s="876"/>
      <c r="K2456" s="878"/>
      <c r="L2456" s="880"/>
      <c r="M2456" s="882"/>
      <c r="N2456" s="884"/>
      <c r="O2456" s="56">
        <v>721</v>
      </c>
      <c r="P2456" s="79">
        <f>+N2455-P2455</f>
        <v>0</v>
      </c>
    </row>
    <row r="2457" spans="9:16" ht="15" customHeight="1">
      <c r="I2457" s="881">
        <v>266</v>
      </c>
      <c r="J2457" s="875">
        <v>42641</v>
      </c>
      <c r="K2457" s="877" t="s">
        <v>1079</v>
      </c>
      <c r="L2457" s="879" t="s">
        <v>1086</v>
      </c>
      <c r="M2457" s="881" t="s">
        <v>783</v>
      </c>
      <c r="N2457" s="883">
        <v>145000</v>
      </c>
      <c r="O2457" s="55">
        <v>719</v>
      </c>
      <c r="P2457" s="78">
        <v>145000</v>
      </c>
    </row>
    <row r="2458" spans="9:16" ht="13.5" customHeight="1" thickBot="1">
      <c r="I2458" s="882"/>
      <c r="J2458" s="876"/>
      <c r="K2458" s="878"/>
      <c r="L2458" s="880"/>
      <c r="M2458" s="882"/>
      <c r="N2458" s="884"/>
      <c r="O2458" s="56">
        <v>721</v>
      </c>
      <c r="P2458" s="79">
        <f>+N2457-P2457</f>
        <v>0</v>
      </c>
    </row>
    <row r="2459" spans="9:16" ht="16.5" thickBot="1">
      <c r="I2459" s="901" t="s">
        <v>102</v>
      </c>
      <c r="J2459" s="902"/>
      <c r="K2459" s="902"/>
      <c r="L2459" s="902"/>
      <c r="M2459" s="903"/>
      <c r="N2459" s="81">
        <f>SUM(N2447:N2458)</f>
        <v>797500</v>
      </c>
    </row>
    <row r="2460" spans="9:16" ht="16.5" thickBot="1">
      <c r="I2460" s="885" t="s">
        <v>103</v>
      </c>
      <c r="J2460" s="886"/>
      <c r="K2460" s="886"/>
      <c r="L2460" s="886"/>
      <c r="M2460" s="887"/>
      <c r="N2460" s="69">
        <f>+N2422</f>
        <v>553448422</v>
      </c>
      <c r="O2460" s="241" t="s">
        <v>561</v>
      </c>
      <c r="P2460" s="242"/>
    </row>
    <row r="2461" spans="9:16" ht="16.5" thickBot="1">
      <c r="I2461" s="888" t="s">
        <v>104</v>
      </c>
      <c r="J2461" s="889"/>
      <c r="K2461" s="889"/>
      <c r="L2461" s="889"/>
      <c r="M2461" s="890"/>
      <c r="N2461" s="183">
        <f>SUM(N2459:N2460)</f>
        <v>554245922</v>
      </c>
    </row>
    <row r="2462" spans="9:16" ht="9.75" customHeight="1">
      <c r="I2462" s="61"/>
      <c r="J2462" s="61"/>
      <c r="K2462" s="61"/>
      <c r="L2462" s="61"/>
      <c r="M2462" s="61"/>
    </row>
    <row r="2463" spans="9:16">
      <c r="I2463" s="51" t="s">
        <v>1101</v>
      </c>
    </row>
    <row r="2464" spans="9:16" ht="9.75" customHeight="1">
      <c r="N2464" s="139"/>
    </row>
    <row r="2465" spans="9:15">
      <c r="I2465" s="50" t="s">
        <v>105</v>
      </c>
      <c r="L2465" s="146"/>
      <c r="N2465" s="139"/>
    </row>
    <row r="2466" spans="9:15" ht="12" customHeight="1" thickBot="1"/>
    <row r="2467" spans="9:15" ht="15.75" thickBot="1">
      <c r="I2467" s="891" t="s">
        <v>106</v>
      </c>
      <c r="J2467" s="892"/>
      <c r="K2467" s="892"/>
      <c r="L2467" s="893"/>
      <c r="N2467" s="50" t="s">
        <v>288</v>
      </c>
    </row>
    <row r="2468" spans="9:15" ht="28.5" customHeight="1" thickBot="1">
      <c r="I2468" s="57" t="s">
        <v>100</v>
      </c>
      <c r="J2468" s="58" t="s">
        <v>108</v>
      </c>
      <c r="K2468" s="287" t="s">
        <v>109</v>
      </c>
      <c r="L2468" s="60" t="s">
        <v>110</v>
      </c>
    </row>
    <row r="2469" spans="9:15">
      <c r="I2469" s="71">
        <v>719</v>
      </c>
      <c r="J2469" s="73"/>
      <c r="K2469" s="74">
        <f>+L2430</f>
        <v>41990000</v>
      </c>
      <c r="L2469" s="195">
        <f>+J2469+K2469</f>
        <v>41990000</v>
      </c>
    </row>
    <row r="2470" spans="9:15">
      <c r="I2470" s="72">
        <v>721</v>
      </c>
      <c r="J2470" s="80"/>
      <c r="K2470" s="74">
        <f>+L2431</f>
        <v>88003559</v>
      </c>
      <c r="L2470" s="195">
        <f>+J2470+K2470</f>
        <v>88003559</v>
      </c>
    </row>
    <row r="2471" spans="9:15">
      <c r="I2471" s="72">
        <v>722</v>
      </c>
      <c r="J2471" s="80"/>
      <c r="K2471" s="74">
        <f>+L2432</f>
        <v>44881706</v>
      </c>
      <c r="L2471" s="195">
        <f>+J2471+K2471</f>
        <v>44881706</v>
      </c>
    </row>
    <row r="2472" spans="9:15" ht="15" customHeight="1">
      <c r="I2472" s="72">
        <v>723</v>
      </c>
      <c r="J2472" s="80"/>
      <c r="K2472" s="74">
        <f>+L2433</f>
        <v>378503157</v>
      </c>
      <c r="L2472" s="195">
        <f>+J2472+K2472</f>
        <v>378503157</v>
      </c>
      <c r="N2472" s="193" t="s">
        <v>289</v>
      </c>
      <c r="O2472" s="175"/>
    </row>
    <row r="2473" spans="9:15" ht="16.5" thickBot="1">
      <c r="I2473" s="164" t="s">
        <v>1077</v>
      </c>
      <c r="J2473" s="165">
        <f>+P2447+P2449+P2451+P2453+P2457+P2455</f>
        <v>797500</v>
      </c>
      <c r="K2473" s="74">
        <f>+L2434</f>
        <v>0</v>
      </c>
      <c r="L2473" s="196">
        <f>+J2473+K2473</f>
        <v>797500</v>
      </c>
      <c r="N2473" s="52"/>
    </row>
    <row r="2474" spans="9:15" ht="16.5" thickBot="1">
      <c r="I2474" s="316" t="s">
        <v>147</v>
      </c>
      <c r="J2474" s="197">
        <f>SUM(J2469:J2473)</f>
        <v>797500</v>
      </c>
      <c r="K2474" s="197">
        <f>SUM(K2469:K2473)</f>
        <v>553378422</v>
      </c>
      <c r="L2474" s="198">
        <f>SUM(L2469:L2473)</f>
        <v>554175922</v>
      </c>
    </row>
    <row r="2475" spans="9:15" ht="16.5">
      <c r="I2475" s="49" t="s">
        <v>88</v>
      </c>
      <c r="J2475" s="50"/>
    </row>
    <row r="2476" spans="9:15">
      <c r="I2476" s="51" t="s">
        <v>89</v>
      </c>
    </row>
    <row r="2477" spans="9:15">
      <c r="I2477" s="51" t="s">
        <v>90</v>
      </c>
    </row>
    <row r="2478" spans="9:15">
      <c r="I2478" s="51" t="s">
        <v>91</v>
      </c>
    </row>
    <row r="2479" spans="9:15" ht="12.75" customHeight="1">
      <c r="I2479" s="50"/>
      <c r="J2479" s="50"/>
    </row>
    <row r="2480" spans="9:15" ht="15.75">
      <c r="I2480" s="260" t="s">
        <v>1075</v>
      </c>
      <c r="O2480" s="52"/>
    </row>
    <row r="2481" spans="9:16" ht="15.75">
      <c r="I2481" s="53" t="s">
        <v>535</v>
      </c>
      <c r="O2481" s="53"/>
    </row>
    <row r="2482" spans="9:16" ht="16.5">
      <c r="I2482" s="894" t="s">
        <v>1098</v>
      </c>
      <c r="J2482" s="894"/>
      <c r="K2482" s="894"/>
      <c r="L2482" s="894"/>
      <c r="M2482" s="894"/>
      <c r="N2482" s="894"/>
      <c r="O2482" s="894"/>
      <c r="P2482" s="894"/>
    </row>
    <row r="2483" spans="9:16" ht="15.75" thickBot="1"/>
    <row r="2484" spans="9:16">
      <c r="I2484" s="895" t="s">
        <v>94</v>
      </c>
      <c r="J2484" s="897" t="s">
        <v>95</v>
      </c>
      <c r="K2484" s="897" t="s">
        <v>96</v>
      </c>
      <c r="L2484" s="897" t="s">
        <v>3</v>
      </c>
      <c r="M2484" s="897" t="s">
        <v>97</v>
      </c>
      <c r="N2484" s="897" t="s">
        <v>98</v>
      </c>
      <c r="O2484" s="897" t="s">
        <v>99</v>
      </c>
      <c r="P2484" s="899"/>
    </row>
    <row r="2485" spans="9:16" ht="15.75" thickBot="1">
      <c r="I2485" s="896"/>
      <c r="J2485" s="898"/>
      <c r="K2485" s="898"/>
      <c r="L2485" s="898"/>
      <c r="M2485" s="898"/>
      <c r="N2485" s="898"/>
      <c r="O2485" s="240" t="s">
        <v>100</v>
      </c>
      <c r="P2485" s="182" t="s">
        <v>101</v>
      </c>
    </row>
    <row r="2486" spans="9:16" ht="15" customHeight="1">
      <c r="I2486" s="881">
        <v>267</v>
      </c>
      <c r="J2486" s="875">
        <v>42641</v>
      </c>
      <c r="K2486" s="877" t="s">
        <v>738</v>
      </c>
      <c r="L2486" s="879" t="s">
        <v>1097</v>
      </c>
      <c r="M2486" s="881" t="s">
        <v>148</v>
      </c>
      <c r="N2486" s="883">
        <v>2672700</v>
      </c>
      <c r="O2486" s="55">
        <v>719</v>
      </c>
      <c r="P2486" s="78"/>
    </row>
    <row r="2487" spans="9:16" ht="15.75" customHeight="1" thickBot="1">
      <c r="I2487" s="882"/>
      <c r="J2487" s="876"/>
      <c r="K2487" s="878"/>
      <c r="L2487" s="880"/>
      <c r="M2487" s="882"/>
      <c r="N2487" s="884"/>
      <c r="O2487" s="56">
        <v>721</v>
      </c>
      <c r="P2487" s="79">
        <f>+N2486</f>
        <v>2672700</v>
      </c>
    </row>
    <row r="2488" spans="9:16" ht="15" customHeight="1">
      <c r="I2488" s="881">
        <v>268</v>
      </c>
      <c r="J2488" s="875">
        <v>42641</v>
      </c>
      <c r="K2488" s="877" t="s">
        <v>738</v>
      </c>
      <c r="L2488" s="879" t="s">
        <v>1099</v>
      </c>
      <c r="M2488" s="881" t="s">
        <v>148</v>
      </c>
      <c r="N2488" s="883">
        <v>773675</v>
      </c>
      <c r="O2488" s="55">
        <v>719</v>
      </c>
      <c r="P2488" s="78"/>
    </row>
    <row r="2489" spans="9:16" ht="15.75" customHeight="1" thickBot="1">
      <c r="I2489" s="882"/>
      <c r="J2489" s="876"/>
      <c r="K2489" s="878"/>
      <c r="L2489" s="880"/>
      <c r="M2489" s="882"/>
      <c r="N2489" s="884"/>
      <c r="O2489" s="56">
        <v>721</v>
      </c>
      <c r="P2489" s="79">
        <f>+N2488-P2488</f>
        <v>773675</v>
      </c>
    </row>
    <row r="2490" spans="9:16" ht="15" customHeight="1">
      <c r="I2490" s="881">
        <v>269</v>
      </c>
      <c r="J2490" s="875">
        <v>42641</v>
      </c>
      <c r="K2490" s="877" t="s">
        <v>738</v>
      </c>
      <c r="L2490" s="879" t="s">
        <v>1100</v>
      </c>
      <c r="M2490" s="881" t="s">
        <v>148</v>
      </c>
      <c r="N2490" s="883">
        <v>2672700</v>
      </c>
      <c r="O2490" s="55">
        <v>719</v>
      </c>
      <c r="P2490" s="78"/>
    </row>
    <row r="2491" spans="9:16" ht="14.25" customHeight="1" thickBot="1">
      <c r="I2491" s="882"/>
      <c r="J2491" s="876"/>
      <c r="K2491" s="878"/>
      <c r="L2491" s="880"/>
      <c r="M2491" s="882"/>
      <c r="N2491" s="884"/>
      <c r="O2491" s="56">
        <v>721</v>
      </c>
      <c r="P2491" s="79">
        <f>+N2490-P2490</f>
        <v>2672700</v>
      </c>
    </row>
    <row r="2492" spans="9:16" ht="14.25" customHeight="1">
      <c r="I2492" s="881"/>
      <c r="J2492" s="875"/>
      <c r="K2492" s="877"/>
      <c r="L2492" s="879"/>
      <c r="M2492" s="881"/>
      <c r="N2492" s="883"/>
      <c r="O2492" s="55">
        <v>719</v>
      </c>
      <c r="P2492" s="78"/>
    </row>
    <row r="2493" spans="9:16" ht="14.25" customHeight="1" thickBot="1">
      <c r="I2493" s="882"/>
      <c r="J2493" s="876"/>
      <c r="K2493" s="878"/>
      <c r="L2493" s="880"/>
      <c r="M2493" s="882"/>
      <c r="N2493" s="884"/>
      <c r="O2493" s="56">
        <v>721</v>
      </c>
      <c r="P2493" s="79">
        <f>+N2492-P2492</f>
        <v>0</v>
      </c>
    </row>
    <row r="2494" spans="9:16" ht="15" customHeight="1">
      <c r="I2494" s="881"/>
      <c r="J2494" s="875"/>
      <c r="K2494" s="877"/>
      <c r="L2494" s="879"/>
      <c r="M2494" s="881"/>
      <c r="N2494" s="883"/>
      <c r="O2494" s="55">
        <v>719</v>
      </c>
      <c r="P2494" s="78"/>
    </row>
    <row r="2495" spans="9:16" ht="11.25" customHeight="1" thickBot="1">
      <c r="I2495" s="882"/>
      <c r="J2495" s="876"/>
      <c r="K2495" s="878"/>
      <c r="L2495" s="880"/>
      <c r="M2495" s="882"/>
      <c r="N2495" s="884"/>
      <c r="O2495" s="56">
        <v>723</v>
      </c>
      <c r="P2495" s="79">
        <f>+N2494-P2494</f>
        <v>0</v>
      </c>
    </row>
    <row r="2496" spans="9:16" ht="16.5" thickBot="1">
      <c r="I2496" s="901" t="s">
        <v>102</v>
      </c>
      <c r="J2496" s="902"/>
      <c r="K2496" s="902"/>
      <c r="L2496" s="902"/>
      <c r="M2496" s="903"/>
      <c r="N2496" s="81">
        <f>SUM(N2486:N2495)</f>
        <v>6119075</v>
      </c>
    </row>
    <row r="2497" spans="9:16" ht="16.5" thickBot="1">
      <c r="I2497" s="885" t="s">
        <v>103</v>
      </c>
      <c r="J2497" s="886"/>
      <c r="K2497" s="886"/>
      <c r="L2497" s="886"/>
      <c r="M2497" s="887"/>
      <c r="N2497" s="69">
        <f>+N2461</f>
        <v>554245922</v>
      </c>
      <c r="O2497" s="241" t="s">
        <v>561</v>
      </c>
      <c r="P2497" s="242"/>
    </row>
    <row r="2498" spans="9:16" ht="16.5" thickBot="1">
      <c r="I2498" s="888" t="s">
        <v>104</v>
      </c>
      <c r="J2498" s="889"/>
      <c r="K2498" s="889"/>
      <c r="L2498" s="889"/>
      <c r="M2498" s="890"/>
      <c r="N2498" s="183">
        <f>SUM(N2496:N2497)</f>
        <v>560364997</v>
      </c>
    </row>
    <row r="2499" spans="9:16">
      <c r="I2499" s="61"/>
      <c r="J2499" s="61"/>
      <c r="K2499" s="61"/>
      <c r="L2499" s="61"/>
      <c r="M2499" s="61"/>
    </row>
    <row r="2500" spans="9:16">
      <c r="I2500" s="51" t="s">
        <v>1110</v>
      </c>
    </row>
    <row r="2501" spans="9:16" ht="12.75" customHeight="1">
      <c r="N2501" s="139"/>
    </row>
    <row r="2502" spans="9:16">
      <c r="I2502" s="50" t="s">
        <v>105</v>
      </c>
      <c r="L2502" s="146"/>
      <c r="N2502" s="139"/>
    </row>
    <row r="2503" spans="9:16" ht="14.25" customHeight="1" thickBot="1"/>
    <row r="2504" spans="9:16" ht="15.75" thickBot="1">
      <c r="I2504" s="891" t="s">
        <v>106</v>
      </c>
      <c r="J2504" s="892"/>
      <c r="K2504" s="892"/>
      <c r="L2504" s="893"/>
      <c r="N2504" s="50" t="s">
        <v>288</v>
      </c>
    </row>
    <row r="2505" spans="9:16" ht="30.75" thickBot="1">
      <c r="I2505" s="57" t="s">
        <v>100</v>
      </c>
      <c r="J2505" s="58" t="s">
        <v>108</v>
      </c>
      <c r="K2505" s="287" t="s">
        <v>109</v>
      </c>
      <c r="L2505" s="60" t="s">
        <v>110</v>
      </c>
    </row>
    <row r="2506" spans="9:16">
      <c r="I2506" s="71">
        <v>719</v>
      </c>
      <c r="J2506" s="73">
        <v>0</v>
      </c>
      <c r="K2506" s="74">
        <f>+L2469</f>
        <v>41990000</v>
      </c>
      <c r="L2506" s="195">
        <f>+J2506+K2506</f>
        <v>41990000</v>
      </c>
    </row>
    <row r="2507" spans="9:16">
      <c r="I2507" s="72">
        <v>721</v>
      </c>
      <c r="J2507" s="80">
        <f>+P2487+P2489+P2491+P2493+P2495</f>
        <v>6119075</v>
      </c>
      <c r="K2507" s="74">
        <f>+L2470</f>
        <v>88003559</v>
      </c>
      <c r="L2507" s="195">
        <f>+J2507+K2507</f>
        <v>94122634</v>
      </c>
    </row>
    <row r="2508" spans="9:16">
      <c r="I2508" s="72">
        <v>722</v>
      </c>
      <c r="J2508" s="80"/>
      <c r="K2508" s="74">
        <f>+L2471</f>
        <v>44881706</v>
      </c>
      <c r="L2508" s="195">
        <f>+J2508+K2508</f>
        <v>44881706</v>
      </c>
    </row>
    <row r="2509" spans="9:16" ht="15.75">
      <c r="I2509" s="72">
        <v>723</v>
      </c>
      <c r="J2509" s="80"/>
      <c r="K2509" s="74">
        <f>+L2472</f>
        <v>378503157</v>
      </c>
      <c r="L2509" s="195">
        <f>+J2509+K2509</f>
        <v>378503157</v>
      </c>
      <c r="N2509" s="193" t="s">
        <v>289</v>
      </c>
      <c r="O2509" s="175"/>
    </row>
    <row r="2510" spans="9:16" ht="16.5" thickBot="1">
      <c r="I2510" s="164" t="s">
        <v>1077</v>
      </c>
      <c r="J2510" s="165">
        <f>+P2486+P2488+P2490</f>
        <v>0</v>
      </c>
      <c r="K2510" s="74">
        <f>+L2473</f>
        <v>797500</v>
      </c>
      <c r="L2510" s="196">
        <f>+J2510+K2510</f>
        <v>797500</v>
      </c>
      <c r="N2510" s="52"/>
    </row>
    <row r="2511" spans="9:16" ht="16.5" thickBot="1">
      <c r="I2511" s="169"/>
      <c r="J2511" s="197">
        <f>SUM(J2506:J2510)</f>
        <v>6119075</v>
      </c>
      <c r="K2511" s="197">
        <f>SUM(K2506:K2510)</f>
        <v>554175922</v>
      </c>
      <c r="L2511" s="198">
        <f>SUM(L2506:L2510)</f>
        <v>560294997</v>
      </c>
    </row>
    <row r="2512" spans="9:16" ht="16.5">
      <c r="I2512" s="49" t="s">
        <v>88</v>
      </c>
      <c r="J2512" s="50"/>
    </row>
    <row r="2513" spans="9:16">
      <c r="I2513" s="51" t="s">
        <v>89</v>
      </c>
    </row>
    <row r="2514" spans="9:16">
      <c r="I2514" s="51" t="s">
        <v>90</v>
      </c>
    </row>
    <row r="2515" spans="9:16">
      <c r="I2515" s="51" t="s">
        <v>91</v>
      </c>
    </row>
    <row r="2516" spans="9:16" ht="11.25" customHeight="1">
      <c r="I2516" s="50"/>
      <c r="J2516" s="50"/>
    </row>
    <row r="2517" spans="9:16" ht="15.75">
      <c r="I2517" s="260" t="s">
        <v>1076</v>
      </c>
      <c r="O2517" s="52"/>
    </row>
    <row r="2518" spans="9:16" ht="15.75">
      <c r="I2518" s="53" t="s">
        <v>535</v>
      </c>
      <c r="O2518" s="53"/>
    </row>
    <row r="2519" spans="9:16" ht="16.5">
      <c r="I2519" s="894" t="s">
        <v>1121</v>
      </c>
      <c r="J2519" s="894"/>
      <c r="K2519" s="894"/>
      <c r="L2519" s="894"/>
      <c r="M2519" s="894"/>
      <c r="N2519" s="894"/>
      <c r="O2519" s="894"/>
      <c r="P2519" s="894"/>
    </row>
    <row r="2520" spans="9:16" ht="15.75" thickBot="1"/>
    <row r="2521" spans="9:16">
      <c r="I2521" s="895" t="s">
        <v>94</v>
      </c>
      <c r="J2521" s="897" t="s">
        <v>95</v>
      </c>
      <c r="K2521" s="897" t="s">
        <v>96</v>
      </c>
      <c r="L2521" s="897" t="s">
        <v>3</v>
      </c>
      <c r="M2521" s="897" t="s">
        <v>97</v>
      </c>
      <c r="N2521" s="897" t="s">
        <v>98</v>
      </c>
      <c r="O2521" s="897" t="s">
        <v>99</v>
      </c>
      <c r="P2521" s="899"/>
    </row>
    <row r="2522" spans="9:16" ht="15.75" thickBot="1">
      <c r="I2522" s="896"/>
      <c r="J2522" s="898"/>
      <c r="K2522" s="898"/>
      <c r="L2522" s="898"/>
      <c r="M2522" s="898"/>
      <c r="N2522" s="898"/>
      <c r="O2522" s="240" t="s">
        <v>100</v>
      </c>
      <c r="P2522" s="182" t="s">
        <v>101</v>
      </c>
    </row>
    <row r="2523" spans="9:16" ht="15" customHeight="1">
      <c r="I2523" s="881">
        <v>270</v>
      </c>
      <c r="J2523" s="875">
        <v>42641</v>
      </c>
      <c r="K2523" s="877" t="s">
        <v>1014</v>
      </c>
      <c r="L2523" s="879" t="s">
        <v>1120</v>
      </c>
      <c r="M2523" s="881" t="s">
        <v>115</v>
      </c>
      <c r="N2523" s="883">
        <v>90000</v>
      </c>
      <c r="O2523" s="55">
        <v>719</v>
      </c>
      <c r="P2523" s="78">
        <v>90000</v>
      </c>
    </row>
    <row r="2524" spans="9:16" ht="15.75" customHeight="1" thickBot="1">
      <c r="I2524" s="882"/>
      <c r="J2524" s="876"/>
      <c r="K2524" s="878"/>
      <c r="L2524" s="880"/>
      <c r="M2524" s="882"/>
      <c r="N2524" s="884"/>
      <c r="O2524" s="56">
        <v>721</v>
      </c>
      <c r="P2524" s="79">
        <f>+N2523-P2523</f>
        <v>0</v>
      </c>
    </row>
    <row r="2525" spans="9:16" ht="15" customHeight="1">
      <c r="I2525" s="881">
        <v>271</v>
      </c>
      <c r="J2525" s="875">
        <v>42641</v>
      </c>
      <c r="K2525" s="877" t="s">
        <v>28</v>
      </c>
      <c r="L2525" s="879" t="s">
        <v>1119</v>
      </c>
      <c r="M2525" s="881" t="s">
        <v>115</v>
      </c>
      <c r="N2525" s="883">
        <v>80000</v>
      </c>
      <c r="O2525" s="55">
        <v>719</v>
      </c>
      <c r="P2525" s="78">
        <v>80000</v>
      </c>
    </row>
    <row r="2526" spans="9:16" ht="15.75" customHeight="1" thickBot="1">
      <c r="I2526" s="882"/>
      <c r="J2526" s="876"/>
      <c r="K2526" s="878"/>
      <c r="L2526" s="880"/>
      <c r="M2526" s="882"/>
      <c r="N2526" s="884"/>
      <c r="O2526" s="56">
        <v>721</v>
      </c>
      <c r="P2526" s="79">
        <f>+N2525-P2525</f>
        <v>0</v>
      </c>
    </row>
    <row r="2527" spans="9:16" ht="13.5" customHeight="1">
      <c r="I2527" s="881">
        <v>272</v>
      </c>
      <c r="J2527" s="875">
        <v>42641</v>
      </c>
      <c r="K2527" s="877" t="s">
        <v>1116</v>
      </c>
      <c r="L2527" s="879" t="s">
        <v>1118</v>
      </c>
      <c r="M2527" s="881" t="s">
        <v>115</v>
      </c>
      <c r="N2527" s="883">
        <v>80000</v>
      </c>
      <c r="O2527" s="55">
        <v>719</v>
      </c>
      <c r="P2527" s="78">
        <v>80000</v>
      </c>
    </row>
    <row r="2528" spans="9:16" ht="14.25" customHeight="1" thickBot="1">
      <c r="I2528" s="882"/>
      <c r="J2528" s="876"/>
      <c r="K2528" s="878"/>
      <c r="L2528" s="880"/>
      <c r="M2528" s="882"/>
      <c r="N2528" s="884"/>
      <c r="O2528" s="56">
        <v>721</v>
      </c>
      <c r="P2528" s="79">
        <f>+N2527-P2527</f>
        <v>0</v>
      </c>
    </row>
    <row r="2529" spans="9:16" ht="14.25" customHeight="1">
      <c r="I2529" s="881"/>
      <c r="J2529" s="875"/>
      <c r="K2529" s="875"/>
      <c r="L2529" s="877"/>
      <c r="M2529" s="879"/>
      <c r="N2529" s="883"/>
      <c r="O2529" s="55">
        <v>719</v>
      </c>
      <c r="P2529" s="78"/>
    </row>
    <row r="2530" spans="9:16" ht="13.5" customHeight="1" thickBot="1">
      <c r="I2530" s="882"/>
      <c r="J2530" s="876"/>
      <c r="K2530" s="876"/>
      <c r="L2530" s="878"/>
      <c r="M2530" s="880"/>
      <c r="N2530" s="884"/>
      <c r="O2530" s="56">
        <v>721</v>
      </c>
      <c r="P2530" s="79">
        <f>+N2529-P2529</f>
        <v>0</v>
      </c>
    </row>
    <row r="2531" spans="9:16" ht="14.25" customHeight="1">
      <c r="I2531" s="881"/>
      <c r="J2531" s="875"/>
      <c r="K2531" s="877"/>
      <c r="L2531" s="879"/>
      <c r="M2531" s="881"/>
      <c r="N2531" s="883"/>
      <c r="O2531" s="55">
        <v>719</v>
      </c>
      <c r="P2531" s="78"/>
    </row>
    <row r="2532" spans="9:16" ht="13.5" customHeight="1" thickBot="1">
      <c r="I2532" s="882"/>
      <c r="J2532" s="876"/>
      <c r="K2532" s="878"/>
      <c r="L2532" s="880"/>
      <c r="M2532" s="882"/>
      <c r="N2532" s="884"/>
      <c r="O2532" s="56">
        <v>723</v>
      </c>
      <c r="P2532" s="79">
        <f>+N2531-P2531</f>
        <v>0</v>
      </c>
    </row>
    <row r="2533" spans="9:16" ht="16.5" thickBot="1">
      <c r="I2533" s="901" t="s">
        <v>102</v>
      </c>
      <c r="J2533" s="902"/>
      <c r="K2533" s="902"/>
      <c r="L2533" s="902"/>
      <c r="M2533" s="903"/>
      <c r="N2533" s="81">
        <f>SUM(N2523:N2532)</f>
        <v>250000</v>
      </c>
    </row>
    <row r="2534" spans="9:16" ht="16.5" thickBot="1">
      <c r="I2534" s="885" t="s">
        <v>103</v>
      </c>
      <c r="J2534" s="886"/>
      <c r="K2534" s="886"/>
      <c r="L2534" s="886"/>
      <c r="M2534" s="887"/>
      <c r="N2534" s="69">
        <f>+N2498</f>
        <v>560364997</v>
      </c>
      <c r="O2534" s="241" t="s">
        <v>561</v>
      </c>
      <c r="P2534" s="242">
        <f>325+46+159</f>
        <v>530</v>
      </c>
    </row>
    <row r="2535" spans="9:16" ht="16.5" thickBot="1">
      <c r="I2535" s="888" t="s">
        <v>104</v>
      </c>
      <c r="J2535" s="889"/>
      <c r="K2535" s="889"/>
      <c r="L2535" s="889"/>
      <c r="M2535" s="890"/>
      <c r="N2535" s="183">
        <f>SUM(N2533:N2534)</f>
        <v>560614997</v>
      </c>
    </row>
    <row r="2536" spans="9:16">
      <c r="I2536" s="61"/>
      <c r="J2536" s="61"/>
      <c r="K2536" s="61"/>
      <c r="L2536" s="61"/>
      <c r="M2536" s="61"/>
    </row>
    <row r="2537" spans="9:16">
      <c r="I2537" s="51" t="s">
        <v>1117</v>
      </c>
    </row>
    <row r="2538" spans="9:16" ht="12.75" customHeight="1">
      <c r="N2538" s="139"/>
    </row>
    <row r="2539" spans="9:16">
      <c r="I2539" s="50" t="s">
        <v>105</v>
      </c>
      <c r="L2539" s="146"/>
      <c r="N2539" s="139"/>
    </row>
    <row r="2540" spans="9:16" ht="14.25" customHeight="1" thickBot="1"/>
    <row r="2541" spans="9:16" ht="15.75" thickBot="1">
      <c r="I2541" s="891" t="s">
        <v>106</v>
      </c>
      <c r="J2541" s="892"/>
      <c r="K2541" s="892"/>
      <c r="L2541" s="893"/>
      <c r="N2541" s="50" t="s">
        <v>288</v>
      </c>
    </row>
    <row r="2542" spans="9:16" ht="30.75" thickBot="1">
      <c r="I2542" s="57" t="s">
        <v>100</v>
      </c>
      <c r="J2542" s="58" t="s">
        <v>108</v>
      </c>
      <c r="K2542" s="287" t="s">
        <v>109</v>
      </c>
      <c r="L2542" s="60" t="s">
        <v>110</v>
      </c>
    </row>
    <row r="2543" spans="9:16">
      <c r="I2543" s="71">
        <v>719</v>
      </c>
      <c r="J2543" s="73">
        <f>+P2523+P2525+P2527</f>
        <v>250000</v>
      </c>
      <c r="K2543" s="74">
        <f>+L2506</f>
        <v>41990000</v>
      </c>
      <c r="L2543" s="195">
        <f>+J2543+K2543</f>
        <v>42240000</v>
      </c>
    </row>
    <row r="2544" spans="9:16">
      <c r="I2544" s="72">
        <v>721</v>
      </c>
      <c r="J2544" s="80">
        <f>+P2524+P2526+P2528+P2530+P2532</f>
        <v>0</v>
      </c>
      <c r="K2544" s="74">
        <f>+L2507</f>
        <v>94122634</v>
      </c>
      <c r="L2544" s="195">
        <f>+J2544+K2544</f>
        <v>94122634</v>
      </c>
    </row>
    <row r="2545" spans="9:16">
      <c r="I2545" s="72">
        <v>722</v>
      </c>
      <c r="J2545" s="80"/>
      <c r="K2545" s="74">
        <f>+L2508</f>
        <v>44881706</v>
      </c>
      <c r="L2545" s="195">
        <f>+J2545+K2545</f>
        <v>44881706</v>
      </c>
    </row>
    <row r="2546" spans="9:16" ht="15.75">
      <c r="I2546" s="72">
        <v>723</v>
      </c>
      <c r="J2546" s="80"/>
      <c r="K2546" s="74">
        <f>+L2509</f>
        <v>378503157</v>
      </c>
      <c r="L2546" s="195">
        <f>+J2546+K2546</f>
        <v>378503157</v>
      </c>
      <c r="N2546" s="193" t="s">
        <v>289</v>
      </c>
      <c r="O2546" s="175"/>
    </row>
    <row r="2547" spans="9:16" ht="16.5" thickBot="1">
      <c r="I2547" s="164" t="s">
        <v>1077</v>
      </c>
      <c r="J2547" s="165"/>
      <c r="K2547" s="74">
        <f>+L2510</f>
        <v>797500</v>
      </c>
      <c r="L2547" s="196">
        <f>+J2547+K2547</f>
        <v>797500</v>
      </c>
      <c r="N2547" s="52"/>
    </row>
    <row r="2548" spans="9:16" ht="16.5" thickBot="1">
      <c r="I2548" s="169"/>
      <c r="J2548" s="197">
        <f>SUM(J2543:J2547)</f>
        <v>250000</v>
      </c>
      <c r="K2548" s="197">
        <f>SUM(K2543:K2547)</f>
        <v>560294997</v>
      </c>
      <c r="L2548" s="198">
        <f>SUM(L2543:L2547)</f>
        <v>560544997</v>
      </c>
    </row>
    <row r="2549" spans="9:16" ht="16.5">
      <c r="I2549" s="49" t="s">
        <v>88</v>
      </c>
      <c r="J2549" s="50"/>
    </row>
    <row r="2550" spans="9:16">
      <c r="I2550" s="51" t="s">
        <v>89</v>
      </c>
    </row>
    <row r="2551" spans="9:16">
      <c r="I2551" s="51" t="s">
        <v>90</v>
      </c>
    </row>
    <row r="2552" spans="9:16">
      <c r="I2552" s="51" t="s">
        <v>91</v>
      </c>
    </row>
    <row r="2553" spans="9:16" ht="14.25" customHeight="1">
      <c r="I2553" s="50"/>
      <c r="J2553" s="50"/>
    </row>
    <row r="2554" spans="9:16" ht="15.75">
      <c r="I2554" s="260" t="s">
        <v>1083</v>
      </c>
      <c r="O2554" s="52"/>
    </row>
    <row r="2555" spans="9:16" ht="15.75">
      <c r="I2555" s="53" t="s">
        <v>535</v>
      </c>
      <c r="O2555" s="53"/>
    </row>
    <row r="2556" spans="9:16" ht="16.5">
      <c r="I2556" s="894" t="s">
        <v>1121</v>
      </c>
      <c r="J2556" s="894"/>
      <c r="K2556" s="894"/>
      <c r="L2556" s="894"/>
      <c r="M2556" s="894"/>
      <c r="N2556" s="894"/>
      <c r="O2556" s="894"/>
      <c r="P2556" s="894"/>
    </row>
    <row r="2557" spans="9:16" ht="12.75" customHeight="1" thickBot="1"/>
    <row r="2558" spans="9:16">
      <c r="I2558" s="895" t="s">
        <v>94</v>
      </c>
      <c r="J2558" s="897" t="s">
        <v>95</v>
      </c>
      <c r="K2558" s="897" t="s">
        <v>96</v>
      </c>
      <c r="L2558" s="897" t="s">
        <v>3</v>
      </c>
      <c r="M2558" s="897" t="s">
        <v>97</v>
      </c>
      <c r="N2558" s="897" t="s">
        <v>98</v>
      </c>
      <c r="O2558" s="897" t="s">
        <v>99</v>
      </c>
      <c r="P2558" s="899"/>
    </row>
    <row r="2559" spans="9:16" ht="15.75" thickBot="1">
      <c r="I2559" s="896"/>
      <c r="J2559" s="898"/>
      <c r="K2559" s="898"/>
      <c r="L2559" s="898"/>
      <c r="M2559" s="898"/>
      <c r="N2559" s="898"/>
      <c r="O2559" s="240" t="s">
        <v>100</v>
      </c>
      <c r="P2559" s="182" t="s">
        <v>101</v>
      </c>
    </row>
    <row r="2560" spans="9:16" ht="15" customHeight="1">
      <c r="I2560" s="881">
        <v>273</v>
      </c>
      <c r="J2560" s="875">
        <v>42648</v>
      </c>
      <c r="K2560" s="877" t="s">
        <v>1014</v>
      </c>
      <c r="L2560" s="879" t="s">
        <v>1122</v>
      </c>
      <c r="M2560" s="881" t="s">
        <v>115</v>
      </c>
      <c r="N2560" s="883">
        <v>60000</v>
      </c>
      <c r="O2560" s="55">
        <v>719</v>
      </c>
      <c r="P2560" s="78">
        <v>60000</v>
      </c>
    </row>
    <row r="2561" spans="9:16" ht="15.75" customHeight="1" thickBot="1">
      <c r="I2561" s="882"/>
      <c r="J2561" s="876"/>
      <c r="K2561" s="878"/>
      <c r="L2561" s="880"/>
      <c r="M2561" s="882"/>
      <c r="N2561" s="884"/>
      <c r="O2561" s="56">
        <v>721</v>
      </c>
      <c r="P2561" s="79">
        <f>+N2560-P2560</f>
        <v>0</v>
      </c>
    </row>
    <row r="2562" spans="9:16" ht="15" customHeight="1">
      <c r="I2562" s="881">
        <v>274</v>
      </c>
      <c r="J2562" s="875">
        <v>42648</v>
      </c>
      <c r="K2562" s="877" t="s">
        <v>28</v>
      </c>
      <c r="L2562" s="879" t="s">
        <v>1123</v>
      </c>
      <c r="M2562" s="881" t="s">
        <v>115</v>
      </c>
      <c r="N2562" s="883">
        <v>40000</v>
      </c>
      <c r="O2562" s="55">
        <v>719</v>
      </c>
      <c r="P2562" s="78">
        <v>40000</v>
      </c>
    </row>
    <row r="2563" spans="9:16" ht="15.75" customHeight="1" thickBot="1">
      <c r="I2563" s="882"/>
      <c r="J2563" s="876"/>
      <c r="K2563" s="878"/>
      <c r="L2563" s="880"/>
      <c r="M2563" s="882"/>
      <c r="N2563" s="884"/>
      <c r="O2563" s="56">
        <v>721</v>
      </c>
      <c r="P2563" s="79">
        <f>+N2562-P2562</f>
        <v>0</v>
      </c>
    </row>
    <row r="2564" spans="9:16" ht="15" customHeight="1">
      <c r="I2564" s="881">
        <v>275</v>
      </c>
      <c r="J2564" s="875">
        <v>42648</v>
      </c>
      <c r="K2564" s="877" t="s">
        <v>120</v>
      </c>
      <c r="L2564" s="879" t="s">
        <v>1122</v>
      </c>
      <c r="M2564" s="881" t="s">
        <v>115</v>
      </c>
      <c r="N2564" s="883">
        <v>100000</v>
      </c>
      <c r="O2564" s="55">
        <v>719</v>
      </c>
      <c r="P2564" s="78">
        <v>100000</v>
      </c>
    </row>
    <row r="2565" spans="9:16" ht="15.75" customHeight="1" thickBot="1">
      <c r="I2565" s="882"/>
      <c r="J2565" s="876"/>
      <c r="K2565" s="878"/>
      <c r="L2565" s="880"/>
      <c r="M2565" s="882"/>
      <c r="N2565" s="884"/>
      <c r="O2565" s="56">
        <v>721</v>
      </c>
      <c r="P2565" s="79">
        <f>+N2564-P2564</f>
        <v>0</v>
      </c>
    </row>
    <row r="2566" spans="9:16" ht="15" customHeight="1">
      <c r="I2566" s="881"/>
      <c r="J2566" s="875"/>
      <c r="K2566" s="877"/>
      <c r="L2566" s="879"/>
      <c r="M2566" s="881"/>
      <c r="N2566" s="883"/>
      <c r="O2566" s="55">
        <v>719</v>
      </c>
      <c r="P2566" s="78">
        <v>0</v>
      </c>
    </row>
    <row r="2567" spans="9:16" ht="15.75" customHeight="1" thickBot="1">
      <c r="I2567" s="882"/>
      <c r="J2567" s="876"/>
      <c r="K2567" s="878"/>
      <c r="L2567" s="880"/>
      <c r="M2567" s="882"/>
      <c r="N2567" s="884"/>
      <c r="O2567" s="56">
        <v>721</v>
      </c>
      <c r="P2567" s="79">
        <f>+N2566-P2566</f>
        <v>0</v>
      </c>
    </row>
    <row r="2568" spans="9:16" ht="15" customHeight="1">
      <c r="I2568" s="881"/>
      <c r="J2568" s="875"/>
      <c r="K2568" s="877"/>
      <c r="L2568" s="879"/>
      <c r="M2568" s="881"/>
      <c r="N2568" s="883"/>
      <c r="O2568" s="55">
        <v>719</v>
      </c>
      <c r="P2568" s="78"/>
    </row>
    <row r="2569" spans="9:16" ht="15.75" customHeight="1" thickBot="1">
      <c r="I2569" s="882"/>
      <c r="J2569" s="876"/>
      <c r="K2569" s="878"/>
      <c r="L2569" s="880"/>
      <c r="M2569" s="882"/>
      <c r="N2569" s="884"/>
      <c r="O2569" s="56">
        <v>723</v>
      </c>
      <c r="P2569" s="79">
        <f>+N2568-P2568</f>
        <v>0</v>
      </c>
    </row>
    <row r="2570" spans="9:16" ht="16.5" thickBot="1">
      <c r="I2570" s="901" t="s">
        <v>102</v>
      </c>
      <c r="J2570" s="902"/>
      <c r="K2570" s="902"/>
      <c r="L2570" s="902"/>
      <c r="M2570" s="903"/>
      <c r="N2570" s="81">
        <f>SUM(N2560:N2569)</f>
        <v>200000</v>
      </c>
    </row>
    <row r="2571" spans="9:16" ht="16.5" thickBot="1">
      <c r="I2571" s="885" t="s">
        <v>103</v>
      </c>
      <c r="J2571" s="886"/>
      <c r="K2571" s="886"/>
      <c r="L2571" s="886"/>
      <c r="M2571" s="887"/>
      <c r="N2571" s="69">
        <f>+N2535</f>
        <v>560614997</v>
      </c>
      <c r="O2571" s="241" t="s">
        <v>561</v>
      </c>
      <c r="P2571" s="242"/>
    </row>
    <row r="2572" spans="9:16" ht="16.5" thickBot="1">
      <c r="I2572" s="888" t="s">
        <v>104</v>
      </c>
      <c r="J2572" s="889"/>
      <c r="K2572" s="889"/>
      <c r="L2572" s="889"/>
      <c r="M2572" s="890"/>
      <c r="N2572" s="183">
        <f>SUM(N2570:N2571)</f>
        <v>560814997</v>
      </c>
    </row>
    <row r="2573" spans="9:16">
      <c r="I2573" s="61"/>
      <c r="J2573" s="61"/>
      <c r="K2573" s="61"/>
      <c r="L2573" s="61"/>
      <c r="M2573" s="61"/>
    </row>
    <row r="2574" spans="9:16">
      <c r="I2574" s="51" t="s">
        <v>1124</v>
      </c>
    </row>
    <row r="2575" spans="9:16" ht="12.75" customHeight="1">
      <c r="N2575" s="139"/>
    </row>
    <row r="2576" spans="9:16">
      <c r="I2576" s="50" t="s">
        <v>105</v>
      </c>
      <c r="L2576" s="146"/>
      <c r="N2576" s="139"/>
    </row>
    <row r="2577" spans="9:16" ht="13.5" customHeight="1" thickBot="1"/>
    <row r="2578" spans="9:16" ht="15.75" thickBot="1">
      <c r="I2578" s="891" t="s">
        <v>106</v>
      </c>
      <c r="J2578" s="892"/>
      <c r="K2578" s="892"/>
      <c r="L2578" s="893"/>
      <c r="N2578" s="908" t="s">
        <v>1126</v>
      </c>
      <c r="O2578" s="908"/>
      <c r="P2578" s="908"/>
    </row>
    <row r="2579" spans="9:16" ht="30.75" thickBot="1">
      <c r="I2579" s="57" t="s">
        <v>100</v>
      </c>
      <c r="J2579" s="58" t="s">
        <v>108</v>
      </c>
      <c r="K2579" s="287" t="s">
        <v>109</v>
      </c>
      <c r="L2579" s="60" t="s">
        <v>110</v>
      </c>
    </row>
    <row r="2580" spans="9:16">
      <c r="I2580" s="71">
        <v>719</v>
      </c>
      <c r="J2580" s="73">
        <f>+P2568+P2566+P2564+P2562+P2560</f>
        <v>200000</v>
      </c>
      <c r="K2580" s="74">
        <f>+L2543</f>
        <v>42240000</v>
      </c>
      <c r="L2580" s="195">
        <f>+J2580+K2580</f>
        <v>42440000</v>
      </c>
    </row>
    <row r="2581" spans="9:16">
      <c r="I2581" s="72">
        <v>721</v>
      </c>
      <c r="J2581" s="80"/>
      <c r="K2581" s="74">
        <f>+L2544</f>
        <v>94122634</v>
      </c>
      <c r="L2581" s="195">
        <f>+J2581+K2581</f>
        <v>94122634</v>
      </c>
    </row>
    <row r="2582" spans="9:16">
      <c r="I2582" s="72">
        <v>722</v>
      </c>
      <c r="J2582" s="80"/>
      <c r="K2582" s="74">
        <f>+L2545</f>
        <v>44881706</v>
      </c>
      <c r="L2582" s="195">
        <f>+J2582+K2582</f>
        <v>44881706</v>
      </c>
    </row>
    <row r="2583" spans="9:16" ht="15.75">
      <c r="I2583" s="72">
        <v>723</v>
      </c>
      <c r="J2583" s="80"/>
      <c r="K2583" s="74">
        <f>+L2546</f>
        <v>378503157</v>
      </c>
      <c r="L2583" s="195">
        <f>+J2583+K2583</f>
        <v>378503157</v>
      </c>
      <c r="N2583" s="909" t="s">
        <v>1125</v>
      </c>
      <c r="O2583" s="909"/>
      <c r="P2583" s="909"/>
    </row>
    <row r="2584" spans="9:16" ht="16.5" thickBot="1">
      <c r="I2584" s="164" t="s">
        <v>1077</v>
      </c>
      <c r="J2584" s="165"/>
      <c r="K2584" s="74">
        <f>+L2547</f>
        <v>797500</v>
      </c>
      <c r="L2584" s="196">
        <f>+J2584+K2584</f>
        <v>797500</v>
      </c>
      <c r="N2584" s="52"/>
    </row>
    <row r="2585" spans="9:16" ht="16.5" thickBot="1">
      <c r="I2585" s="169"/>
      <c r="J2585" s="197">
        <f>SUM(J2580:J2584)</f>
        <v>200000</v>
      </c>
      <c r="K2585" s="197">
        <f>SUM(K2580:K2584)</f>
        <v>560544997</v>
      </c>
      <c r="L2585" s="198">
        <f>SUM(L2580:L2584)</f>
        <v>560744997</v>
      </c>
    </row>
    <row r="2586" spans="9:16" ht="16.5">
      <c r="I2586" s="49" t="s">
        <v>88</v>
      </c>
      <c r="J2586" s="50"/>
    </row>
    <row r="2587" spans="9:16">
      <c r="I2587" s="51" t="s">
        <v>89</v>
      </c>
    </row>
    <row r="2588" spans="9:16">
      <c r="I2588" s="51" t="s">
        <v>90</v>
      </c>
    </row>
    <row r="2589" spans="9:16">
      <c r="I2589" s="51" t="s">
        <v>91</v>
      </c>
    </row>
    <row r="2590" spans="9:16" ht="12" customHeight="1">
      <c r="I2590" s="50"/>
      <c r="J2590" s="50"/>
    </row>
    <row r="2591" spans="9:16" ht="15.75">
      <c r="I2591" s="260" t="s">
        <v>1085</v>
      </c>
      <c r="O2591" s="52"/>
    </row>
    <row r="2592" spans="9:16" ht="15.75">
      <c r="I2592" s="53" t="s">
        <v>535</v>
      </c>
      <c r="O2592" s="53"/>
    </row>
    <row r="2593" spans="9:16" ht="15" customHeight="1">
      <c r="I2593" s="894" t="s">
        <v>1078</v>
      </c>
      <c r="J2593" s="894"/>
      <c r="K2593" s="894"/>
      <c r="L2593" s="894"/>
      <c r="M2593" s="894"/>
      <c r="N2593" s="894"/>
      <c r="O2593" s="894"/>
      <c r="P2593" s="894"/>
    </row>
    <row r="2594" spans="9:16" ht="13.5" customHeight="1" thickBot="1"/>
    <row r="2595" spans="9:16">
      <c r="I2595" s="895" t="s">
        <v>94</v>
      </c>
      <c r="J2595" s="897" t="s">
        <v>95</v>
      </c>
      <c r="K2595" s="897" t="s">
        <v>96</v>
      </c>
      <c r="L2595" s="897" t="s">
        <v>3</v>
      </c>
      <c r="M2595" s="897" t="s">
        <v>97</v>
      </c>
      <c r="N2595" s="897" t="s">
        <v>98</v>
      </c>
      <c r="O2595" s="897" t="s">
        <v>99</v>
      </c>
      <c r="P2595" s="899"/>
    </row>
    <row r="2596" spans="9:16" ht="15.75" thickBot="1">
      <c r="I2596" s="896"/>
      <c r="J2596" s="898"/>
      <c r="K2596" s="898"/>
      <c r="L2596" s="898"/>
      <c r="M2596" s="898"/>
      <c r="N2596" s="898"/>
      <c r="O2596" s="240" t="s">
        <v>100</v>
      </c>
      <c r="P2596" s="182" t="s">
        <v>101</v>
      </c>
    </row>
    <row r="2597" spans="9:16" ht="12.75" customHeight="1">
      <c r="I2597" s="881">
        <v>276</v>
      </c>
      <c r="J2597" s="875">
        <v>42650</v>
      </c>
      <c r="K2597" s="877" t="s">
        <v>350</v>
      </c>
      <c r="L2597" s="879" t="s">
        <v>1127</v>
      </c>
      <c r="M2597" s="881" t="s">
        <v>148</v>
      </c>
      <c r="N2597" s="883">
        <v>598000</v>
      </c>
      <c r="O2597" s="55">
        <v>719</v>
      </c>
      <c r="P2597" s="78">
        <v>460000</v>
      </c>
    </row>
    <row r="2598" spans="9:16" ht="12" customHeight="1" thickBot="1">
      <c r="I2598" s="882"/>
      <c r="J2598" s="876"/>
      <c r="K2598" s="878"/>
      <c r="L2598" s="880"/>
      <c r="M2598" s="882"/>
      <c r="N2598" s="884"/>
      <c r="O2598" s="56">
        <v>721</v>
      </c>
      <c r="P2598" s="351">
        <f>+N2597-P2597</f>
        <v>138000</v>
      </c>
    </row>
    <row r="2599" spans="9:16" ht="12.75" customHeight="1">
      <c r="I2599" s="881">
        <v>277</v>
      </c>
      <c r="J2599" s="875">
        <v>42650</v>
      </c>
      <c r="K2599" s="877" t="s">
        <v>350</v>
      </c>
      <c r="L2599" s="879" t="s">
        <v>1038</v>
      </c>
      <c r="M2599" s="881" t="s">
        <v>148</v>
      </c>
      <c r="N2599" s="883">
        <v>1521000</v>
      </c>
      <c r="O2599" s="55">
        <v>719</v>
      </c>
      <c r="P2599" s="78">
        <v>1170000</v>
      </c>
    </row>
    <row r="2600" spans="9:16" ht="12" customHeight="1" thickBot="1">
      <c r="I2600" s="882"/>
      <c r="J2600" s="876"/>
      <c r="K2600" s="878"/>
      <c r="L2600" s="880"/>
      <c r="M2600" s="882"/>
      <c r="N2600" s="884"/>
      <c r="O2600" s="56">
        <v>721</v>
      </c>
      <c r="P2600" s="352">
        <f>+N2599-P2599</f>
        <v>351000</v>
      </c>
    </row>
    <row r="2601" spans="9:16" ht="15" customHeight="1">
      <c r="I2601" s="881">
        <v>278</v>
      </c>
      <c r="J2601" s="875">
        <v>42650</v>
      </c>
      <c r="K2601" s="877" t="s">
        <v>350</v>
      </c>
      <c r="L2601" s="879" t="s">
        <v>1122</v>
      </c>
      <c r="M2601" s="881" t="s">
        <v>148</v>
      </c>
      <c r="N2601" s="883">
        <v>923000</v>
      </c>
      <c r="O2601" s="55">
        <v>719</v>
      </c>
      <c r="P2601" s="78">
        <v>710000</v>
      </c>
    </row>
    <row r="2602" spans="9:16" ht="12" customHeight="1" thickBot="1">
      <c r="I2602" s="882"/>
      <c r="J2602" s="876"/>
      <c r="K2602" s="878"/>
      <c r="L2602" s="880"/>
      <c r="M2602" s="882"/>
      <c r="N2602" s="884"/>
      <c r="O2602" s="56">
        <v>721</v>
      </c>
      <c r="P2602" s="352">
        <f>+N2601-P2601</f>
        <v>213000</v>
      </c>
    </row>
    <row r="2603" spans="9:16" ht="15" customHeight="1">
      <c r="I2603" s="881">
        <v>279</v>
      </c>
      <c r="J2603" s="875">
        <v>42650</v>
      </c>
      <c r="K2603" s="877" t="s">
        <v>350</v>
      </c>
      <c r="L2603" s="879" t="s">
        <v>1122</v>
      </c>
      <c r="M2603" s="881" t="s">
        <v>148</v>
      </c>
      <c r="N2603" s="883">
        <v>715000</v>
      </c>
      <c r="O2603" s="55">
        <v>719</v>
      </c>
      <c r="P2603" s="78">
        <v>550000</v>
      </c>
    </row>
    <row r="2604" spans="9:16" ht="13.5" customHeight="1" thickBot="1">
      <c r="I2604" s="882"/>
      <c r="J2604" s="876"/>
      <c r="K2604" s="878"/>
      <c r="L2604" s="880"/>
      <c r="M2604" s="882"/>
      <c r="N2604" s="884"/>
      <c r="O2604" s="56">
        <v>721</v>
      </c>
      <c r="P2604" s="79">
        <f>+N2603-P2603</f>
        <v>165000</v>
      </c>
    </row>
    <row r="2605" spans="9:16" ht="15" customHeight="1">
      <c r="I2605" s="881">
        <v>280</v>
      </c>
      <c r="J2605" s="875">
        <v>42650</v>
      </c>
      <c r="K2605" s="877" t="s">
        <v>350</v>
      </c>
      <c r="L2605" s="879" t="s">
        <v>1122</v>
      </c>
      <c r="M2605" s="881" t="s">
        <v>148</v>
      </c>
      <c r="N2605" s="883">
        <v>879000</v>
      </c>
      <c r="O2605" s="55">
        <v>719</v>
      </c>
      <c r="P2605" s="78">
        <v>720000</v>
      </c>
    </row>
    <row r="2606" spans="9:16" ht="15" customHeight="1" thickBot="1">
      <c r="I2606" s="882"/>
      <c r="J2606" s="876"/>
      <c r="K2606" s="878"/>
      <c r="L2606" s="880"/>
      <c r="M2606" s="882"/>
      <c r="N2606" s="884"/>
      <c r="O2606" s="56">
        <v>721</v>
      </c>
      <c r="P2606" s="79">
        <f>+N2605-P2605</f>
        <v>159000</v>
      </c>
    </row>
    <row r="2607" spans="9:16" ht="12.75" customHeight="1">
      <c r="I2607" s="881">
        <v>281</v>
      </c>
      <c r="J2607" s="875">
        <v>42650</v>
      </c>
      <c r="K2607" s="877" t="s">
        <v>350</v>
      </c>
      <c r="L2607" s="879" t="s">
        <v>1122</v>
      </c>
      <c r="M2607" s="881" t="s">
        <v>148</v>
      </c>
      <c r="N2607" s="883">
        <v>300000</v>
      </c>
      <c r="O2607" s="55">
        <v>719</v>
      </c>
      <c r="P2607" s="78">
        <v>300000</v>
      </c>
    </row>
    <row r="2608" spans="9:16" ht="13.5" customHeight="1" thickBot="1">
      <c r="I2608" s="882"/>
      <c r="J2608" s="876"/>
      <c r="K2608" s="878"/>
      <c r="L2608" s="880"/>
      <c r="M2608" s="882"/>
      <c r="N2608" s="884"/>
      <c r="O2608" s="56">
        <v>723</v>
      </c>
      <c r="P2608" s="79">
        <f>+N2607-P2607</f>
        <v>0</v>
      </c>
    </row>
    <row r="2609" spans="9:16" ht="16.5" thickBot="1">
      <c r="I2609" s="901" t="s">
        <v>102</v>
      </c>
      <c r="J2609" s="902"/>
      <c r="K2609" s="902"/>
      <c r="L2609" s="902"/>
      <c r="M2609" s="903"/>
      <c r="N2609" s="81">
        <f>SUM(N2597:N2608)</f>
        <v>4936000</v>
      </c>
    </row>
    <row r="2610" spans="9:16" ht="16.5" thickBot="1">
      <c r="I2610" s="885" t="s">
        <v>103</v>
      </c>
      <c r="J2610" s="886"/>
      <c r="K2610" s="886"/>
      <c r="L2610" s="886"/>
      <c r="M2610" s="887"/>
      <c r="N2610" s="69">
        <f>+N2572</f>
        <v>560814997</v>
      </c>
      <c r="O2610" s="241" t="s">
        <v>561</v>
      </c>
      <c r="P2610" s="242">
        <v>6648</v>
      </c>
    </row>
    <row r="2611" spans="9:16" ht="16.5" thickBot="1">
      <c r="I2611" s="888" t="s">
        <v>104</v>
      </c>
      <c r="J2611" s="889"/>
      <c r="K2611" s="889"/>
      <c r="L2611" s="889"/>
      <c r="M2611" s="890"/>
      <c r="N2611" s="183">
        <f>SUM(N2609:N2610)</f>
        <v>565750997</v>
      </c>
    </row>
    <row r="2612" spans="9:16" ht="13.5" customHeight="1">
      <c r="I2612" s="61"/>
      <c r="J2612" s="61"/>
      <c r="K2612" s="61"/>
      <c r="L2612" s="61"/>
      <c r="M2612" s="61"/>
    </row>
    <row r="2613" spans="9:16">
      <c r="I2613" s="51" t="s">
        <v>1158</v>
      </c>
    </row>
    <row r="2614" spans="9:16" ht="10.5" customHeight="1">
      <c r="N2614" s="139"/>
    </row>
    <row r="2615" spans="9:16">
      <c r="I2615" s="50" t="s">
        <v>105</v>
      </c>
      <c r="L2615" s="146"/>
      <c r="N2615" s="139"/>
    </row>
    <row r="2616" spans="9:16" ht="10.5" customHeight="1" thickBot="1"/>
    <row r="2617" spans="9:16" ht="15.75" thickBot="1">
      <c r="I2617" s="891" t="s">
        <v>106</v>
      </c>
      <c r="J2617" s="892"/>
      <c r="K2617" s="892"/>
      <c r="L2617" s="893"/>
      <c r="N2617" s="50" t="s">
        <v>288</v>
      </c>
    </row>
    <row r="2618" spans="9:16" ht="30.75" thickBot="1">
      <c r="I2618" s="57" t="s">
        <v>100</v>
      </c>
      <c r="J2618" s="58" t="s">
        <v>108</v>
      </c>
      <c r="K2618" s="287" t="s">
        <v>109</v>
      </c>
      <c r="L2618" s="60" t="s">
        <v>110</v>
      </c>
    </row>
    <row r="2619" spans="9:16">
      <c r="I2619" s="71">
        <v>719</v>
      </c>
      <c r="J2619" s="73">
        <f>+P2597+P2599+P2601+P2603+P2605+P2607</f>
        <v>3910000</v>
      </c>
      <c r="K2619" s="74">
        <f>+L2580</f>
        <v>42440000</v>
      </c>
      <c r="L2619" s="195">
        <f>+J2619+K2619</f>
        <v>46350000</v>
      </c>
    </row>
    <row r="2620" spans="9:16">
      <c r="I2620" s="72">
        <v>721</v>
      </c>
      <c r="J2620" s="80">
        <f>+P2598+P2600+P2602+P2604+P2608+P2606</f>
        <v>1026000</v>
      </c>
      <c r="K2620" s="74">
        <f>+L2581</f>
        <v>94122634</v>
      </c>
      <c r="L2620" s="195">
        <f>+J2620+K2620</f>
        <v>95148634</v>
      </c>
    </row>
    <row r="2621" spans="9:16">
      <c r="I2621" s="72">
        <v>722</v>
      </c>
      <c r="J2621" s="80"/>
      <c r="K2621" s="74">
        <f>+L2582</f>
        <v>44881706</v>
      </c>
      <c r="L2621" s="195">
        <f>+J2621+K2621</f>
        <v>44881706</v>
      </c>
    </row>
    <row r="2622" spans="9:16" ht="15.75">
      <c r="I2622" s="72">
        <v>723</v>
      </c>
      <c r="J2622" s="80"/>
      <c r="K2622" s="74">
        <f>+L2583</f>
        <v>378503157</v>
      </c>
      <c r="L2622" s="195">
        <f>+J2622+K2622</f>
        <v>378503157</v>
      </c>
      <c r="N2622" s="193" t="s">
        <v>289</v>
      </c>
      <c r="O2622" s="175"/>
    </row>
    <row r="2623" spans="9:16" ht="16.5" thickBot="1">
      <c r="I2623" s="164" t="s">
        <v>1077</v>
      </c>
      <c r="J2623" s="165"/>
      <c r="K2623" s="74">
        <f>+L2584</f>
        <v>797500</v>
      </c>
      <c r="L2623" s="196">
        <f>+J2623+K2623</f>
        <v>797500</v>
      </c>
      <c r="N2623" s="52"/>
    </row>
    <row r="2624" spans="9:16" ht="16.5" thickBot="1">
      <c r="I2624" s="169"/>
      <c r="J2624" s="197">
        <f>SUM(J2619:J2623)</f>
        <v>4936000</v>
      </c>
      <c r="K2624" s="197">
        <f>SUM(K2619:K2623)</f>
        <v>560744997</v>
      </c>
      <c r="L2624" s="198">
        <f>SUM(L2619:L2623)</f>
        <v>565680997</v>
      </c>
    </row>
    <row r="2625" spans="9:16" ht="16.5">
      <c r="I2625" s="49" t="s">
        <v>88</v>
      </c>
      <c r="J2625" s="50"/>
    </row>
    <row r="2626" spans="9:16">
      <c r="I2626" s="51" t="s">
        <v>89</v>
      </c>
    </row>
    <row r="2627" spans="9:16">
      <c r="I2627" s="51" t="s">
        <v>90</v>
      </c>
    </row>
    <row r="2628" spans="9:16">
      <c r="I2628" s="51" t="s">
        <v>91</v>
      </c>
    </row>
    <row r="2629" spans="9:16" ht="14.25" customHeight="1">
      <c r="I2629" s="50"/>
      <c r="J2629" s="50"/>
    </row>
    <row r="2630" spans="9:16" ht="15.75">
      <c r="I2630" s="260" t="s">
        <v>1087</v>
      </c>
      <c r="O2630" s="52"/>
    </row>
    <row r="2631" spans="9:16" ht="15.75">
      <c r="I2631" s="53" t="s">
        <v>535</v>
      </c>
      <c r="O2631" s="53"/>
    </row>
    <row r="2632" spans="9:16" ht="16.5">
      <c r="I2632" s="894" t="s">
        <v>1078</v>
      </c>
      <c r="J2632" s="894"/>
      <c r="K2632" s="894"/>
      <c r="L2632" s="894"/>
      <c r="M2632" s="894"/>
      <c r="N2632" s="894"/>
      <c r="O2632" s="894"/>
      <c r="P2632" s="894"/>
    </row>
    <row r="2633" spans="9:16" ht="15.75" thickBot="1"/>
    <row r="2634" spans="9:16">
      <c r="I2634" s="895" t="s">
        <v>94</v>
      </c>
      <c r="J2634" s="897" t="s">
        <v>95</v>
      </c>
      <c r="K2634" s="897" t="s">
        <v>96</v>
      </c>
      <c r="L2634" s="897" t="s">
        <v>3</v>
      </c>
      <c r="M2634" s="897" t="s">
        <v>97</v>
      </c>
      <c r="N2634" s="897" t="s">
        <v>98</v>
      </c>
      <c r="O2634" s="897" t="s">
        <v>99</v>
      </c>
      <c r="P2634" s="899"/>
    </row>
    <row r="2635" spans="9:16" ht="15.75" thickBot="1">
      <c r="I2635" s="896"/>
      <c r="J2635" s="898"/>
      <c r="K2635" s="898"/>
      <c r="L2635" s="898"/>
      <c r="M2635" s="898"/>
      <c r="N2635" s="898"/>
      <c r="O2635" s="240" t="s">
        <v>100</v>
      </c>
      <c r="P2635" s="182" t="s">
        <v>101</v>
      </c>
    </row>
    <row r="2636" spans="9:16" ht="15" customHeight="1">
      <c r="I2636" s="881">
        <v>282</v>
      </c>
      <c r="J2636" s="875">
        <v>42655</v>
      </c>
      <c r="K2636" s="877" t="s">
        <v>267</v>
      </c>
      <c r="L2636" s="879" t="s">
        <v>1129</v>
      </c>
      <c r="M2636" s="881" t="s">
        <v>148</v>
      </c>
      <c r="N2636" s="883">
        <v>26000</v>
      </c>
      <c r="O2636" s="55">
        <v>719</v>
      </c>
      <c r="P2636" s="78">
        <v>20000</v>
      </c>
    </row>
    <row r="2637" spans="9:16" ht="15.75" customHeight="1" thickBot="1">
      <c r="I2637" s="882"/>
      <c r="J2637" s="876"/>
      <c r="K2637" s="878"/>
      <c r="L2637" s="880"/>
      <c r="M2637" s="882"/>
      <c r="N2637" s="884"/>
      <c r="O2637" s="56">
        <v>721</v>
      </c>
      <c r="P2637" s="79">
        <f>+N2636-P2636</f>
        <v>6000</v>
      </c>
    </row>
    <row r="2638" spans="9:16" ht="15" customHeight="1">
      <c r="I2638" s="881">
        <v>283</v>
      </c>
      <c r="J2638" s="875">
        <v>42655</v>
      </c>
      <c r="K2638" s="877" t="s">
        <v>267</v>
      </c>
      <c r="L2638" s="879" t="s">
        <v>1130</v>
      </c>
      <c r="M2638" s="881" t="s">
        <v>148</v>
      </c>
      <c r="N2638" s="883">
        <v>130000</v>
      </c>
      <c r="O2638" s="55">
        <v>719</v>
      </c>
      <c r="P2638" s="78">
        <v>100000</v>
      </c>
    </row>
    <row r="2639" spans="9:16" ht="15.75" customHeight="1" thickBot="1">
      <c r="I2639" s="882"/>
      <c r="J2639" s="876"/>
      <c r="K2639" s="878"/>
      <c r="L2639" s="880"/>
      <c r="M2639" s="882"/>
      <c r="N2639" s="884"/>
      <c r="O2639" s="56">
        <v>721</v>
      </c>
      <c r="P2639" s="79">
        <f>+N2638-P2638</f>
        <v>30000</v>
      </c>
    </row>
    <row r="2640" spans="9:16" ht="15" customHeight="1">
      <c r="I2640" s="881">
        <v>284</v>
      </c>
      <c r="J2640" s="875">
        <v>42655</v>
      </c>
      <c r="K2640" s="877" t="s">
        <v>267</v>
      </c>
      <c r="L2640" s="879" t="s">
        <v>1131</v>
      </c>
      <c r="M2640" s="881" t="s">
        <v>148</v>
      </c>
      <c r="N2640" s="883">
        <v>130000</v>
      </c>
      <c r="O2640" s="55">
        <v>719</v>
      </c>
      <c r="P2640" s="78">
        <v>100000</v>
      </c>
    </row>
    <row r="2641" spans="9:16" ht="15.75" customHeight="1" thickBot="1">
      <c r="I2641" s="882"/>
      <c r="J2641" s="876"/>
      <c r="K2641" s="878"/>
      <c r="L2641" s="880"/>
      <c r="M2641" s="882"/>
      <c r="N2641" s="884"/>
      <c r="O2641" s="56">
        <v>721</v>
      </c>
      <c r="P2641" s="79">
        <f>+N2640-P2640</f>
        <v>30000</v>
      </c>
    </row>
    <row r="2642" spans="9:16" ht="15" customHeight="1">
      <c r="I2642" s="881">
        <v>285</v>
      </c>
      <c r="J2642" s="875">
        <v>42655</v>
      </c>
      <c r="K2642" s="877" t="s">
        <v>267</v>
      </c>
      <c r="L2642" s="879" t="s">
        <v>1132</v>
      </c>
      <c r="M2642" s="881" t="s">
        <v>148</v>
      </c>
      <c r="N2642" s="883">
        <v>30000</v>
      </c>
      <c r="O2642" s="55">
        <v>719</v>
      </c>
      <c r="P2642" s="78">
        <v>30000</v>
      </c>
    </row>
    <row r="2643" spans="9:16" ht="15.75" customHeight="1" thickBot="1">
      <c r="I2643" s="882"/>
      <c r="J2643" s="876"/>
      <c r="K2643" s="878"/>
      <c r="L2643" s="880"/>
      <c r="M2643" s="882"/>
      <c r="N2643" s="884"/>
      <c r="O2643" s="56">
        <v>721</v>
      </c>
      <c r="P2643" s="79">
        <f>+N2642-P2642</f>
        <v>0</v>
      </c>
    </row>
    <row r="2644" spans="9:16" ht="13.5" customHeight="1">
      <c r="I2644" s="881"/>
      <c r="J2644" s="875"/>
      <c r="K2644" s="877"/>
      <c r="L2644" s="879"/>
      <c r="M2644" s="881"/>
      <c r="N2644" s="883"/>
      <c r="O2644" s="55">
        <v>719</v>
      </c>
      <c r="P2644" s="78"/>
    </row>
    <row r="2645" spans="9:16" ht="13.5" customHeight="1" thickBot="1">
      <c r="I2645" s="882"/>
      <c r="J2645" s="876"/>
      <c r="K2645" s="878"/>
      <c r="L2645" s="880"/>
      <c r="M2645" s="882"/>
      <c r="N2645" s="884"/>
      <c r="O2645" s="56">
        <v>723</v>
      </c>
      <c r="P2645" s="79">
        <f>+N2644-P2644</f>
        <v>0</v>
      </c>
    </row>
    <row r="2646" spans="9:16" ht="16.5" thickBot="1">
      <c r="I2646" s="901" t="s">
        <v>102</v>
      </c>
      <c r="J2646" s="902"/>
      <c r="K2646" s="902"/>
      <c r="L2646" s="902"/>
      <c r="M2646" s="903"/>
      <c r="N2646" s="81">
        <f>SUM(N2636:N2645)</f>
        <v>316000</v>
      </c>
    </row>
    <row r="2647" spans="9:16" ht="16.5" thickBot="1">
      <c r="I2647" s="885" t="s">
        <v>103</v>
      </c>
      <c r="J2647" s="886"/>
      <c r="K2647" s="886"/>
      <c r="L2647" s="886"/>
      <c r="M2647" s="887"/>
      <c r="N2647" s="69">
        <f>+N2611</f>
        <v>565750997</v>
      </c>
      <c r="O2647" s="241" t="s">
        <v>561</v>
      </c>
      <c r="P2647" s="242"/>
    </row>
    <row r="2648" spans="9:16" ht="16.5" thickBot="1">
      <c r="I2648" s="888" t="s">
        <v>104</v>
      </c>
      <c r="J2648" s="889"/>
      <c r="K2648" s="889"/>
      <c r="L2648" s="889"/>
      <c r="M2648" s="890"/>
      <c r="N2648" s="183">
        <f>SUM(N2646:N2647)</f>
        <v>566066997</v>
      </c>
    </row>
    <row r="2649" spans="9:16">
      <c r="I2649" s="61"/>
      <c r="J2649" s="61"/>
      <c r="K2649" s="61"/>
      <c r="L2649" s="61"/>
      <c r="M2649" s="61"/>
    </row>
    <row r="2650" spans="9:16">
      <c r="I2650" s="51" t="s">
        <v>1159</v>
      </c>
    </row>
    <row r="2651" spans="9:16" ht="12.75" customHeight="1">
      <c r="N2651" s="139"/>
    </row>
    <row r="2652" spans="9:16">
      <c r="I2652" s="50" t="s">
        <v>105</v>
      </c>
      <c r="L2652" s="146"/>
      <c r="N2652" s="139"/>
    </row>
    <row r="2653" spans="9:16" ht="13.5" customHeight="1" thickBot="1"/>
    <row r="2654" spans="9:16" ht="15.75" thickBot="1">
      <c r="I2654" s="891" t="s">
        <v>106</v>
      </c>
      <c r="J2654" s="892"/>
      <c r="K2654" s="892"/>
      <c r="L2654" s="893"/>
      <c r="N2654" s="50" t="s">
        <v>288</v>
      </c>
    </row>
    <row r="2655" spans="9:16" ht="30.75" thickBot="1">
      <c r="I2655" s="57" t="s">
        <v>100</v>
      </c>
      <c r="J2655" s="58" t="s">
        <v>108</v>
      </c>
      <c r="K2655" s="287" t="s">
        <v>109</v>
      </c>
      <c r="L2655" s="60" t="s">
        <v>110</v>
      </c>
    </row>
    <row r="2656" spans="9:16">
      <c r="I2656" s="71">
        <v>719</v>
      </c>
      <c r="J2656" s="73">
        <f>+P2636+P2638+P2640+P2642</f>
        <v>250000</v>
      </c>
      <c r="K2656" s="74">
        <f>+L2619</f>
        <v>46350000</v>
      </c>
      <c r="L2656" s="195">
        <f>+J2656+K2656</f>
        <v>46600000</v>
      </c>
    </row>
    <row r="2657" spans="9:16">
      <c r="I2657" s="72">
        <v>721</v>
      </c>
      <c r="J2657" s="80">
        <f>+P2637+P2639+P2641+P2643+P2645</f>
        <v>66000</v>
      </c>
      <c r="K2657" s="74">
        <f>+L2620</f>
        <v>95148634</v>
      </c>
      <c r="L2657" s="195">
        <f>+J2657+K2657</f>
        <v>95214634</v>
      </c>
    </row>
    <row r="2658" spans="9:16">
      <c r="I2658" s="72">
        <v>722</v>
      </c>
      <c r="J2658" s="80"/>
      <c r="K2658" s="74">
        <f>+L2621</f>
        <v>44881706</v>
      </c>
      <c r="L2658" s="195">
        <f>+J2658+K2658</f>
        <v>44881706</v>
      </c>
    </row>
    <row r="2659" spans="9:16" ht="15.75">
      <c r="I2659" s="72">
        <v>723</v>
      </c>
      <c r="J2659" s="80"/>
      <c r="K2659" s="74">
        <f>+L2622</f>
        <v>378503157</v>
      </c>
      <c r="L2659" s="195">
        <f>+J2659+K2659</f>
        <v>378503157</v>
      </c>
      <c r="N2659" s="193" t="s">
        <v>289</v>
      </c>
      <c r="O2659" s="175"/>
    </row>
    <row r="2660" spans="9:16" ht="16.5" thickBot="1">
      <c r="I2660" s="164" t="s">
        <v>1077</v>
      </c>
      <c r="J2660" s="165"/>
      <c r="K2660" s="74">
        <f>+L2623</f>
        <v>797500</v>
      </c>
      <c r="L2660" s="196">
        <f>+J2660+K2660</f>
        <v>797500</v>
      </c>
      <c r="N2660" s="52"/>
    </row>
    <row r="2661" spans="9:16" ht="16.5" thickBot="1">
      <c r="I2661" s="169"/>
      <c r="J2661" s="197">
        <f>SUM(J2656:J2660)</f>
        <v>316000</v>
      </c>
      <c r="K2661" s="197">
        <f>SUM(K2656:K2660)</f>
        <v>565680997</v>
      </c>
      <c r="L2661" s="198">
        <f>SUM(L2656:L2660)</f>
        <v>565996997</v>
      </c>
    </row>
    <row r="2662" spans="9:16" ht="16.5">
      <c r="I2662" s="49" t="s">
        <v>88</v>
      </c>
      <c r="J2662" s="50"/>
    </row>
    <row r="2663" spans="9:16">
      <c r="I2663" s="51" t="s">
        <v>89</v>
      </c>
    </row>
    <row r="2664" spans="9:16">
      <c r="I2664" s="51" t="s">
        <v>90</v>
      </c>
    </row>
    <row r="2665" spans="9:16">
      <c r="I2665" s="51" t="s">
        <v>91</v>
      </c>
    </row>
    <row r="2666" spans="9:16" ht="10.5" customHeight="1">
      <c r="I2666" s="50"/>
      <c r="J2666" s="50"/>
    </row>
    <row r="2667" spans="9:16" ht="15.75">
      <c r="I2667" s="260" t="s">
        <v>1157</v>
      </c>
      <c r="O2667" s="52"/>
    </row>
    <row r="2668" spans="9:16" ht="15.75">
      <c r="I2668" s="53" t="s">
        <v>535</v>
      </c>
      <c r="O2668" s="53"/>
    </row>
    <row r="2669" spans="9:16" ht="16.5">
      <c r="I2669" s="894" t="s">
        <v>1078</v>
      </c>
      <c r="J2669" s="894"/>
      <c r="K2669" s="894"/>
      <c r="L2669" s="894"/>
      <c r="M2669" s="894"/>
      <c r="N2669" s="894"/>
      <c r="O2669" s="894"/>
      <c r="P2669" s="894"/>
    </row>
    <row r="2670" spans="9:16" ht="15.75" thickBot="1"/>
    <row r="2671" spans="9:16">
      <c r="I2671" s="895" t="s">
        <v>94</v>
      </c>
      <c r="J2671" s="897" t="s">
        <v>95</v>
      </c>
      <c r="K2671" s="897" t="s">
        <v>96</v>
      </c>
      <c r="L2671" s="897" t="s">
        <v>3</v>
      </c>
      <c r="M2671" s="897" t="s">
        <v>97</v>
      </c>
      <c r="N2671" s="897" t="s">
        <v>98</v>
      </c>
      <c r="O2671" s="897" t="s">
        <v>99</v>
      </c>
      <c r="P2671" s="899"/>
    </row>
    <row r="2672" spans="9:16" ht="15.75" thickBot="1">
      <c r="I2672" s="896"/>
      <c r="J2672" s="898"/>
      <c r="K2672" s="898"/>
      <c r="L2672" s="898"/>
      <c r="M2672" s="898"/>
      <c r="N2672" s="898"/>
      <c r="O2672" s="240" t="s">
        <v>100</v>
      </c>
      <c r="P2672" s="182" t="s">
        <v>101</v>
      </c>
    </row>
    <row r="2673" spans="9:16">
      <c r="I2673" s="881">
        <v>286</v>
      </c>
      <c r="J2673" s="875">
        <v>42655</v>
      </c>
      <c r="K2673" s="877" t="s">
        <v>472</v>
      </c>
      <c r="L2673" s="879" t="s">
        <v>1160</v>
      </c>
      <c r="M2673" s="881" t="s">
        <v>148</v>
      </c>
      <c r="N2673" s="883">
        <v>208000</v>
      </c>
      <c r="O2673" s="55">
        <v>719</v>
      </c>
      <c r="P2673" s="78">
        <v>160000</v>
      </c>
    </row>
    <row r="2674" spans="9:16" ht="15.75" thickBot="1">
      <c r="I2674" s="882"/>
      <c r="J2674" s="876"/>
      <c r="K2674" s="878"/>
      <c r="L2674" s="880"/>
      <c r="M2674" s="882"/>
      <c r="N2674" s="884"/>
      <c r="O2674" s="56">
        <v>721</v>
      </c>
      <c r="P2674" s="79">
        <f>+N2673-P2673</f>
        <v>48000</v>
      </c>
    </row>
    <row r="2675" spans="9:16">
      <c r="I2675" s="881">
        <v>287</v>
      </c>
      <c r="J2675" s="875">
        <v>42655</v>
      </c>
      <c r="K2675" s="877" t="s">
        <v>472</v>
      </c>
      <c r="L2675" s="879" t="s">
        <v>1133</v>
      </c>
      <c r="M2675" s="881" t="s">
        <v>148</v>
      </c>
      <c r="N2675" s="883">
        <v>390000</v>
      </c>
      <c r="O2675" s="55">
        <v>719</v>
      </c>
      <c r="P2675" s="78">
        <v>300000</v>
      </c>
    </row>
    <row r="2676" spans="9:16" ht="15.75" thickBot="1">
      <c r="I2676" s="882"/>
      <c r="J2676" s="876"/>
      <c r="K2676" s="878"/>
      <c r="L2676" s="880"/>
      <c r="M2676" s="882"/>
      <c r="N2676" s="884"/>
      <c r="O2676" s="56">
        <v>721</v>
      </c>
      <c r="P2676" s="79">
        <f>+N2675-P2675</f>
        <v>90000</v>
      </c>
    </row>
    <row r="2677" spans="9:16">
      <c r="I2677" s="881">
        <v>288</v>
      </c>
      <c r="J2677" s="875">
        <v>42655</v>
      </c>
      <c r="K2677" s="877" t="s">
        <v>472</v>
      </c>
      <c r="L2677" s="879" t="s">
        <v>1135</v>
      </c>
      <c r="M2677" s="881" t="s">
        <v>148</v>
      </c>
      <c r="N2677" s="883">
        <v>286000</v>
      </c>
      <c r="O2677" s="55">
        <v>719</v>
      </c>
      <c r="P2677" s="78">
        <v>220000</v>
      </c>
    </row>
    <row r="2678" spans="9:16" ht="15.75" thickBot="1">
      <c r="I2678" s="882"/>
      <c r="J2678" s="876"/>
      <c r="K2678" s="878"/>
      <c r="L2678" s="880"/>
      <c r="M2678" s="882"/>
      <c r="N2678" s="884"/>
      <c r="O2678" s="56">
        <v>721</v>
      </c>
      <c r="P2678" s="79">
        <f>+N2677-P2677</f>
        <v>66000</v>
      </c>
    </row>
    <row r="2679" spans="9:16">
      <c r="I2679" s="881">
        <v>289</v>
      </c>
      <c r="J2679" s="875">
        <v>42655</v>
      </c>
      <c r="K2679" s="877" t="s">
        <v>472</v>
      </c>
      <c r="L2679" s="879" t="s">
        <v>1128</v>
      </c>
      <c r="M2679" s="881" t="s">
        <v>148</v>
      </c>
      <c r="N2679" s="883">
        <v>100000</v>
      </c>
      <c r="O2679" s="55">
        <v>719</v>
      </c>
      <c r="P2679" s="78">
        <v>100000</v>
      </c>
    </row>
    <row r="2680" spans="9:16" ht="15.75" thickBot="1">
      <c r="I2680" s="882"/>
      <c r="J2680" s="876"/>
      <c r="K2680" s="878"/>
      <c r="L2680" s="880"/>
      <c r="M2680" s="882"/>
      <c r="N2680" s="884"/>
      <c r="O2680" s="56">
        <v>721</v>
      </c>
      <c r="P2680" s="79">
        <f>+N2679-P2679</f>
        <v>0</v>
      </c>
    </row>
    <row r="2681" spans="9:16">
      <c r="I2681" s="881"/>
      <c r="J2681" s="875"/>
      <c r="K2681" s="877"/>
      <c r="L2681" s="879"/>
      <c r="M2681" s="881"/>
      <c r="N2681" s="883"/>
      <c r="O2681" s="55">
        <v>719</v>
      </c>
      <c r="P2681" s="78"/>
    </row>
    <row r="2682" spans="9:16" ht="15.75" thickBot="1">
      <c r="I2682" s="882"/>
      <c r="J2682" s="876"/>
      <c r="K2682" s="878"/>
      <c r="L2682" s="880"/>
      <c r="M2682" s="882"/>
      <c r="N2682" s="884"/>
      <c r="O2682" s="56">
        <v>721</v>
      </c>
      <c r="P2682" s="79">
        <f>+N2681-P2681</f>
        <v>0</v>
      </c>
    </row>
    <row r="2683" spans="9:16" ht="16.5" thickBot="1">
      <c r="I2683" s="901" t="s">
        <v>102</v>
      </c>
      <c r="J2683" s="902"/>
      <c r="K2683" s="902"/>
      <c r="L2683" s="902"/>
      <c r="M2683" s="903"/>
      <c r="N2683" s="81">
        <f>SUM(N2673:N2682)</f>
        <v>984000</v>
      </c>
    </row>
    <row r="2684" spans="9:16" ht="16.5" thickBot="1">
      <c r="I2684" s="885" t="s">
        <v>103</v>
      </c>
      <c r="J2684" s="886"/>
      <c r="K2684" s="886"/>
      <c r="L2684" s="886"/>
      <c r="M2684" s="887"/>
      <c r="N2684" s="69">
        <f>+N2648</f>
        <v>566066997</v>
      </c>
      <c r="O2684" s="241" t="s">
        <v>561</v>
      </c>
      <c r="P2684" s="242">
        <f>183+395+650+498</f>
        <v>1726</v>
      </c>
    </row>
    <row r="2685" spans="9:16" ht="16.5" thickBot="1">
      <c r="I2685" s="888" t="s">
        <v>104</v>
      </c>
      <c r="J2685" s="889"/>
      <c r="K2685" s="889"/>
      <c r="L2685" s="889"/>
      <c r="M2685" s="890"/>
      <c r="N2685" s="183">
        <f>SUM(N2683:N2684)</f>
        <v>567050997</v>
      </c>
    </row>
    <row r="2686" spans="9:16">
      <c r="I2686" s="61"/>
      <c r="J2686" s="61"/>
      <c r="K2686" s="61"/>
      <c r="L2686" s="61"/>
      <c r="M2686" s="61"/>
    </row>
    <row r="2687" spans="9:16">
      <c r="I2687" s="51" t="s">
        <v>1161</v>
      </c>
    </row>
    <row r="2688" spans="9:16" ht="12.75" customHeight="1">
      <c r="N2688" s="139"/>
    </row>
    <row r="2689" spans="9:15">
      <c r="I2689" s="50" t="s">
        <v>105</v>
      </c>
      <c r="L2689" s="146"/>
      <c r="N2689" s="139"/>
    </row>
    <row r="2690" spans="9:15" ht="14.25" customHeight="1" thickBot="1"/>
    <row r="2691" spans="9:15" ht="15.75" thickBot="1">
      <c r="I2691" s="891" t="s">
        <v>106</v>
      </c>
      <c r="J2691" s="892"/>
      <c r="K2691" s="892"/>
      <c r="L2691" s="893"/>
      <c r="N2691" s="50" t="s">
        <v>288</v>
      </c>
    </row>
    <row r="2692" spans="9:15" ht="30.75" thickBot="1">
      <c r="I2692" s="57" t="s">
        <v>100</v>
      </c>
      <c r="J2692" s="58" t="s">
        <v>108</v>
      </c>
      <c r="K2692" s="287" t="s">
        <v>109</v>
      </c>
      <c r="L2692" s="60" t="s">
        <v>110</v>
      </c>
    </row>
    <row r="2693" spans="9:15">
      <c r="I2693" s="71">
        <v>719</v>
      </c>
      <c r="J2693" s="73">
        <f>+P2673+P2675+P2677+P2679</f>
        <v>780000</v>
      </c>
      <c r="K2693" s="74">
        <f>+L2656</f>
        <v>46600000</v>
      </c>
      <c r="L2693" s="195">
        <f>+J2693+K2693</f>
        <v>47380000</v>
      </c>
    </row>
    <row r="2694" spans="9:15">
      <c r="I2694" s="72">
        <v>721</v>
      </c>
      <c r="J2694" s="80">
        <f>+P2674+P2676+P2678+P2680+P2682</f>
        <v>204000</v>
      </c>
      <c r="K2694" s="74">
        <f>+L2657</f>
        <v>95214634</v>
      </c>
      <c r="L2694" s="195">
        <f>+J2694+K2694</f>
        <v>95418634</v>
      </c>
    </row>
    <row r="2695" spans="9:15">
      <c r="I2695" s="72">
        <v>722</v>
      </c>
      <c r="J2695" s="80"/>
      <c r="K2695" s="74">
        <f>+L2658</f>
        <v>44881706</v>
      </c>
      <c r="L2695" s="195">
        <f>+J2695+K2695</f>
        <v>44881706</v>
      </c>
    </row>
    <row r="2696" spans="9:15" ht="15.75">
      <c r="I2696" s="72">
        <v>723</v>
      </c>
      <c r="J2696" s="80"/>
      <c r="K2696" s="74">
        <f>+L2659</f>
        <v>378503157</v>
      </c>
      <c r="L2696" s="195">
        <f>+J2696+K2696</f>
        <v>378503157</v>
      </c>
      <c r="N2696" s="193" t="s">
        <v>289</v>
      </c>
      <c r="O2696" s="175"/>
    </row>
    <row r="2697" spans="9:15" ht="16.5" thickBot="1">
      <c r="I2697" s="164" t="s">
        <v>1077</v>
      </c>
      <c r="J2697" s="165"/>
      <c r="K2697" s="74">
        <f>+L2660</f>
        <v>797500</v>
      </c>
      <c r="L2697" s="196">
        <f>+J2697+K2697</f>
        <v>797500</v>
      </c>
      <c r="N2697" s="52"/>
    </row>
    <row r="2698" spans="9:15" ht="16.5" thickBot="1">
      <c r="I2698" s="169"/>
      <c r="J2698" s="197">
        <f>SUM(J2693:J2697)</f>
        <v>984000</v>
      </c>
      <c r="K2698" s="197">
        <f>SUM(K2693:K2697)</f>
        <v>565996997</v>
      </c>
      <c r="L2698" s="198">
        <f>SUM(L2693:L2697)</f>
        <v>566980997</v>
      </c>
    </row>
    <row r="2699" spans="9:15" ht="16.5">
      <c r="I2699" s="49" t="s">
        <v>88</v>
      </c>
      <c r="J2699" s="50"/>
    </row>
    <row r="2700" spans="9:15">
      <c r="I2700" s="51" t="s">
        <v>89</v>
      </c>
    </row>
    <row r="2701" spans="9:15">
      <c r="I2701" s="51" t="s">
        <v>90</v>
      </c>
    </row>
    <row r="2702" spans="9:15">
      <c r="I2702" s="51" t="s">
        <v>91</v>
      </c>
    </row>
    <row r="2703" spans="9:15" ht="11.25" customHeight="1">
      <c r="I2703" s="50"/>
      <c r="J2703" s="50"/>
    </row>
    <row r="2704" spans="9:15" ht="15.75">
      <c r="I2704" s="260" t="s">
        <v>1162</v>
      </c>
      <c r="O2704" s="52"/>
    </row>
    <row r="2705" spans="9:16" ht="15.75">
      <c r="I2705" s="53" t="s">
        <v>535</v>
      </c>
      <c r="O2705" s="53"/>
    </row>
    <row r="2706" spans="9:16" ht="16.5">
      <c r="I2706" s="894" t="s">
        <v>1078</v>
      </c>
      <c r="J2706" s="894"/>
      <c r="K2706" s="894"/>
      <c r="L2706" s="894"/>
      <c r="M2706" s="894"/>
      <c r="N2706" s="894"/>
      <c r="O2706" s="894"/>
      <c r="P2706" s="894"/>
    </row>
    <row r="2707" spans="9:16" ht="13.5" customHeight="1" thickBot="1"/>
    <row r="2708" spans="9:16">
      <c r="I2708" s="895" t="s">
        <v>94</v>
      </c>
      <c r="J2708" s="897" t="s">
        <v>95</v>
      </c>
      <c r="K2708" s="897" t="s">
        <v>96</v>
      </c>
      <c r="L2708" s="897" t="s">
        <v>3</v>
      </c>
      <c r="M2708" s="897" t="s">
        <v>97</v>
      </c>
      <c r="N2708" s="897" t="s">
        <v>98</v>
      </c>
      <c r="O2708" s="897" t="s">
        <v>99</v>
      </c>
      <c r="P2708" s="899"/>
    </row>
    <row r="2709" spans="9:16" ht="15.75" thickBot="1">
      <c r="I2709" s="896"/>
      <c r="J2709" s="898"/>
      <c r="K2709" s="898"/>
      <c r="L2709" s="898"/>
      <c r="M2709" s="898"/>
      <c r="N2709" s="898"/>
      <c r="O2709" s="240" t="s">
        <v>100</v>
      </c>
      <c r="P2709" s="182" t="s">
        <v>101</v>
      </c>
    </row>
    <row r="2710" spans="9:16">
      <c r="I2710" s="881">
        <v>290</v>
      </c>
      <c r="J2710" s="875">
        <v>42655</v>
      </c>
      <c r="K2710" s="877" t="s">
        <v>1139</v>
      </c>
      <c r="L2710" s="879" t="s">
        <v>1146</v>
      </c>
      <c r="M2710" s="881" t="s">
        <v>148</v>
      </c>
      <c r="N2710" s="883">
        <v>52000</v>
      </c>
      <c r="O2710" s="55">
        <v>719</v>
      </c>
      <c r="P2710" s="78">
        <v>40000</v>
      </c>
    </row>
    <row r="2711" spans="9:16" ht="13.5" customHeight="1" thickBot="1">
      <c r="I2711" s="882"/>
      <c r="J2711" s="876"/>
      <c r="K2711" s="878"/>
      <c r="L2711" s="880"/>
      <c r="M2711" s="882"/>
      <c r="N2711" s="884"/>
      <c r="O2711" s="56">
        <v>721</v>
      </c>
      <c r="P2711" s="79">
        <f>+N2710-P2710</f>
        <v>12000</v>
      </c>
    </row>
    <row r="2712" spans="9:16">
      <c r="I2712" s="881">
        <v>291</v>
      </c>
      <c r="J2712" s="875">
        <v>42655</v>
      </c>
      <c r="K2712" s="877" t="s">
        <v>1139</v>
      </c>
      <c r="L2712" s="879" t="s">
        <v>1150</v>
      </c>
      <c r="M2712" s="881" t="s">
        <v>148</v>
      </c>
      <c r="N2712" s="883">
        <v>78000</v>
      </c>
      <c r="O2712" s="55">
        <v>719</v>
      </c>
      <c r="P2712" s="78">
        <v>60000</v>
      </c>
    </row>
    <row r="2713" spans="9:16" ht="15.75" thickBot="1">
      <c r="I2713" s="882"/>
      <c r="J2713" s="876"/>
      <c r="K2713" s="878"/>
      <c r="L2713" s="880"/>
      <c r="M2713" s="882"/>
      <c r="N2713" s="884"/>
      <c r="O2713" s="56">
        <v>721</v>
      </c>
      <c r="P2713" s="79">
        <f>+N2712-P2712</f>
        <v>18000</v>
      </c>
    </row>
    <row r="2714" spans="9:16" ht="14.25" customHeight="1">
      <c r="I2714" s="881">
        <v>292</v>
      </c>
      <c r="J2714" s="875">
        <v>42655</v>
      </c>
      <c r="K2714" s="877" t="s">
        <v>1139</v>
      </c>
      <c r="L2714" s="879" t="s">
        <v>1141</v>
      </c>
      <c r="M2714" s="881" t="s">
        <v>148</v>
      </c>
      <c r="N2714" s="883">
        <v>46000</v>
      </c>
      <c r="O2714" s="55">
        <v>719</v>
      </c>
      <c r="P2714" s="78">
        <v>40000</v>
      </c>
    </row>
    <row r="2715" spans="9:16" ht="14.25" customHeight="1" thickBot="1">
      <c r="I2715" s="882"/>
      <c r="J2715" s="876"/>
      <c r="K2715" s="878"/>
      <c r="L2715" s="880"/>
      <c r="M2715" s="882"/>
      <c r="N2715" s="884"/>
      <c r="O2715" s="56">
        <v>721</v>
      </c>
      <c r="P2715" s="79">
        <f>+N2714-P2714</f>
        <v>6000</v>
      </c>
    </row>
    <row r="2716" spans="9:16">
      <c r="I2716" s="881">
        <v>293</v>
      </c>
      <c r="J2716" s="875">
        <v>42655</v>
      </c>
      <c r="K2716" s="877" t="s">
        <v>31</v>
      </c>
      <c r="L2716" s="879" t="s">
        <v>1155</v>
      </c>
      <c r="M2716" s="881" t="s">
        <v>148</v>
      </c>
      <c r="N2716" s="883">
        <v>1326000</v>
      </c>
      <c r="O2716" s="55">
        <v>719</v>
      </c>
      <c r="P2716" s="78">
        <v>1020000</v>
      </c>
    </row>
    <row r="2717" spans="9:16" ht="15.75" thickBot="1">
      <c r="I2717" s="882"/>
      <c r="J2717" s="876"/>
      <c r="K2717" s="878"/>
      <c r="L2717" s="880"/>
      <c r="M2717" s="882"/>
      <c r="N2717" s="884"/>
      <c r="O2717" s="56">
        <v>721</v>
      </c>
      <c r="P2717" s="79">
        <f>+N2716-P2716</f>
        <v>306000</v>
      </c>
    </row>
    <row r="2718" spans="9:16" ht="13.5" customHeight="1">
      <c r="I2718" s="881"/>
      <c r="J2718" s="875"/>
      <c r="K2718" s="877"/>
      <c r="L2718" s="879"/>
      <c r="M2718" s="881"/>
      <c r="N2718" s="883"/>
      <c r="O2718" s="55">
        <v>719</v>
      </c>
      <c r="P2718" s="78"/>
    </row>
    <row r="2719" spans="9:16" ht="13.5" customHeight="1" thickBot="1">
      <c r="I2719" s="882"/>
      <c r="J2719" s="876"/>
      <c r="K2719" s="878"/>
      <c r="L2719" s="880"/>
      <c r="M2719" s="882"/>
      <c r="N2719" s="884"/>
      <c r="O2719" s="56">
        <v>721</v>
      </c>
      <c r="P2719" s="79">
        <f>+N2718-P2718</f>
        <v>0</v>
      </c>
    </row>
    <row r="2720" spans="9:16" ht="16.5" thickBot="1">
      <c r="I2720" s="901" t="s">
        <v>102</v>
      </c>
      <c r="J2720" s="902"/>
      <c r="K2720" s="902"/>
      <c r="L2720" s="902"/>
      <c r="M2720" s="903"/>
      <c r="N2720" s="81">
        <f>SUM(N2710:N2719)</f>
        <v>1502000</v>
      </c>
    </row>
    <row r="2721" spans="9:16" ht="16.5" thickBot="1">
      <c r="I2721" s="885" t="s">
        <v>103</v>
      </c>
      <c r="J2721" s="886"/>
      <c r="K2721" s="886"/>
      <c r="L2721" s="886"/>
      <c r="M2721" s="887"/>
      <c r="N2721" s="69">
        <f>+N2685</f>
        <v>567050997</v>
      </c>
      <c r="O2721" s="241" t="s">
        <v>561</v>
      </c>
      <c r="P2721" s="242">
        <v>1556</v>
      </c>
    </row>
    <row r="2722" spans="9:16" ht="16.5" thickBot="1">
      <c r="I2722" s="888" t="s">
        <v>104</v>
      </c>
      <c r="J2722" s="889"/>
      <c r="K2722" s="889"/>
      <c r="L2722" s="889"/>
      <c r="M2722" s="890"/>
      <c r="N2722" s="183">
        <f>SUM(N2720:N2721)</f>
        <v>568552997</v>
      </c>
    </row>
    <row r="2723" spans="9:16" ht="12.75" customHeight="1">
      <c r="I2723" s="61"/>
      <c r="J2723" s="61"/>
      <c r="K2723" s="61"/>
      <c r="L2723" s="61"/>
      <c r="M2723" s="61"/>
    </row>
    <row r="2724" spans="9:16">
      <c r="I2724" s="51" t="s">
        <v>1163</v>
      </c>
    </row>
    <row r="2725" spans="9:16" ht="14.25" customHeight="1">
      <c r="N2725" s="139"/>
    </row>
    <row r="2726" spans="9:16">
      <c r="I2726" s="50" t="s">
        <v>105</v>
      </c>
      <c r="L2726" s="146"/>
      <c r="N2726" s="139"/>
    </row>
    <row r="2727" spans="9:16" ht="13.5" customHeight="1" thickBot="1"/>
    <row r="2728" spans="9:16" ht="15.75" thickBot="1">
      <c r="I2728" s="891" t="s">
        <v>106</v>
      </c>
      <c r="J2728" s="892"/>
      <c r="K2728" s="892"/>
      <c r="L2728" s="893"/>
      <c r="N2728" s="50" t="s">
        <v>288</v>
      </c>
    </row>
    <row r="2729" spans="9:16" ht="30.75" thickBot="1">
      <c r="I2729" s="57" t="s">
        <v>100</v>
      </c>
      <c r="J2729" s="58" t="s">
        <v>108</v>
      </c>
      <c r="K2729" s="287" t="s">
        <v>109</v>
      </c>
      <c r="L2729" s="60" t="s">
        <v>110</v>
      </c>
    </row>
    <row r="2730" spans="9:16">
      <c r="I2730" s="71">
        <v>719</v>
      </c>
      <c r="J2730" s="73">
        <f>+P2710+P2712+P2714+P2716</f>
        <v>1160000</v>
      </c>
      <c r="K2730" s="74">
        <f>+L2693</f>
        <v>47380000</v>
      </c>
      <c r="L2730" s="195">
        <f>+J2730+K2730</f>
        <v>48540000</v>
      </c>
    </row>
    <row r="2731" spans="9:16">
      <c r="I2731" s="72">
        <v>721</v>
      </c>
      <c r="J2731" s="80">
        <f>+P2711+P2713+P2715+P2717+P2719</f>
        <v>342000</v>
      </c>
      <c r="K2731" s="74">
        <f>+L2694</f>
        <v>95418634</v>
      </c>
      <c r="L2731" s="195">
        <f>+J2731+K2731</f>
        <v>95760634</v>
      </c>
    </row>
    <row r="2732" spans="9:16">
      <c r="I2732" s="72">
        <v>722</v>
      </c>
      <c r="J2732" s="80"/>
      <c r="K2732" s="74">
        <f>+L2695</f>
        <v>44881706</v>
      </c>
      <c r="L2732" s="195">
        <f>+J2732+K2732</f>
        <v>44881706</v>
      </c>
    </row>
    <row r="2733" spans="9:16" ht="15.75">
      <c r="I2733" s="72">
        <v>723</v>
      </c>
      <c r="J2733" s="80"/>
      <c r="K2733" s="74">
        <f>+L2696</f>
        <v>378503157</v>
      </c>
      <c r="L2733" s="195">
        <f>+J2733+K2733</f>
        <v>378503157</v>
      </c>
      <c r="N2733" s="193" t="s">
        <v>289</v>
      </c>
      <c r="O2733" s="175"/>
    </row>
    <row r="2734" spans="9:16" ht="16.5" thickBot="1">
      <c r="I2734" s="164" t="s">
        <v>1077</v>
      </c>
      <c r="J2734" s="165"/>
      <c r="K2734" s="74">
        <f>+L2697</f>
        <v>797500</v>
      </c>
      <c r="L2734" s="196">
        <f>+J2734+K2734</f>
        <v>797500</v>
      </c>
      <c r="N2734" s="52"/>
    </row>
    <row r="2735" spans="9:16" ht="16.5" thickBot="1">
      <c r="I2735" s="169"/>
      <c r="J2735" s="197">
        <f>SUM(J2730:J2734)</f>
        <v>1502000</v>
      </c>
      <c r="K2735" s="197">
        <f>SUM(K2730:K2734)</f>
        <v>566980997</v>
      </c>
      <c r="L2735" s="198">
        <f>SUM(L2730:L2734)</f>
        <v>568482997</v>
      </c>
    </row>
    <row r="2736" spans="9:16" ht="16.5">
      <c r="I2736" s="49" t="s">
        <v>88</v>
      </c>
      <c r="J2736" s="50"/>
    </row>
    <row r="2737" spans="9:16">
      <c r="I2737" s="51" t="s">
        <v>89</v>
      </c>
    </row>
    <row r="2738" spans="9:16">
      <c r="I2738" s="51" t="s">
        <v>90</v>
      </c>
    </row>
    <row r="2739" spans="9:16">
      <c r="I2739" s="51" t="s">
        <v>91</v>
      </c>
    </row>
    <row r="2740" spans="9:16" ht="11.25" customHeight="1">
      <c r="I2740" s="50"/>
      <c r="J2740" s="50"/>
    </row>
    <row r="2741" spans="9:16" ht="15.75">
      <c r="I2741" s="260" t="s">
        <v>1164</v>
      </c>
      <c r="O2741" s="52"/>
    </row>
    <row r="2742" spans="9:16" ht="15.75">
      <c r="I2742" s="53" t="s">
        <v>535</v>
      </c>
      <c r="O2742" s="53"/>
    </row>
    <row r="2743" spans="9:16" ht="16.5">
      <c r="I2743" s="894" t="s">
        <v>1078</v>
      </c>
      <c r="J2743" s="894"/>
      <c r="K2743" s="894"/>
      <c r="L2743" s="894"/>
      <c r="M2743" s="894"/>
      <c r="N2743" s="894"/>
      <c r="O2743" s="894"/>
      <c r="P2743" s="894"/>
    </row>
    <row r="2744" spans="9:16" ht="15.75" thickBot="1"/>
    <row r="2745" spans="9:16">
      <c r="I2745" s="895" t="s">
        <v>94</v>
      </c>
      <c r="J2745" s="897" t="s">
        <v>95</v>
      </c>
      <c r="K2745" s="897" t="s">
        <v>96</v>
      </c>
      <c r="L2745" s="897" t="s">
        <v>3</v>
      </c>
      <c r="M2745" s="897" t="s">
        <v>97</v>
      </c>
      <c r="N2745" s="897" t="s">
        <v>98</v>
      </c>
      <c r="O2745" s="897" t="s">
        <v>99</v>
      </c>
      <c r="P2745" s="899"/>
    </row>
    <row r="2746" spans="9:16" ht="15.75" thickBot="1">
      <c r="I2746" s="896"/>
      <c r="J2746" s="898"/>
      <c r="K2746" s="898"/>
      <c r="L2746" s="898"/>
      <c r="M2746" s="898"/>
      <c r="N2746" s="898"/>
      <c r="O2746" s="240" t="s">
        <v>100</v>
      </c>
      <c r="P2746" s="182" t="s">
        <v>101</v>
      </c>
    </row>
    <row r="2747" spans="9:16">
      <c r="I2747" s="881">
        <v>294</v>
      </c>
      <c r="J2747" s="875">
        <v>42657</v>
      </c>
      <c r="K2747" s="877" t="s">
        <v>1014</v>
      </c>
      <c r="L2747" s="879" t="s">
        <v>1167</v>
      </c>
      <c r="M2747" s="881" t="s">
        <v>115</v>
      </c>
      <c r="N2747" s="883">
        <v>110000</v>
      </c>
      <c r="O2747" s="55">
        <v>719</v>
      </c>
      <c r="P2747" s="78">
        <v>110000</v>
      </c>
    </row>
    <row r="2748" spans="9:16" ht="15.75" thickBot="1">
      <c r="I2748" s="882"/>
      <c r="J2748" s="876"/>
      <c r="K2748" s="878"/>
      <c r="L2748" s="880"/>
      <c r="M2748" s="882"/>
      <c r="N2748" s="884"/>
      <c r="O2748" s="56">
        <v>721</v>
      </c>
      <c r="P2748" s="79">
        <f>+N2747-P2747</f>
        <v>0</v>
      </c>
    </row>
    <row r="2749" spans="9:16" ht="15" customHeight="1">
      <c r="I2749" s="881">
        <v>295</v>
      </c>
      <c r="J2749" s="875">
        <v>42657</v>
      </c>
      <c r="K2749" s="877" t="s">
        <v>28</v>
      </c>
      <c r="L2749" s="879" t="s">
        <v>1166</v>
      </c>
      <c r="M2749" s="881" t="s">
        <v>115</v>
      </c>
      <c r="N2749" s="883">
        <v>70000</v>
      </c>
      <c r="O2749" s="55">
        <v>719</v>
      </c>
      <c r="P2749" s="78">
        <v>70000</v>
      </c>
    </row>
    <row r="2750" spans="9:16" ht="14.25" customHeight="1" thickBot="1">
      <c r="I2750" s="882"/>
      <c r="J2750" s="876"/>
      <c r="K2750" s="878"/>
      <c r="L2750" s="880"/>
      <c r="M2750" s="882"/>
      <c r="N2750" s="884"/>
      <c r="O2750" s="56">
        <v>721</v>
      </c>
      <c r="P2750" s="79">
        <f>+N2749-P2749</f>
        <v>0</v>
      </c>
    </row>
    <row r="2751" spans="9:16" ht="14.25" customHeight="1">
      <c r="I2751" s="881">
        <v>296</v>
      </c>
      <c r="J2751" s="875">
        <v>42657</v>
      </c>
      <c r="K2751" s="877" t="s">
        <v>120</v>
      </c>
      <c r="L2751" s="879" t="s">
        <v>1165</v>
      </c>
      <c r="M2751" s="881" t="s">
        <v>115</v>
      </c>
      <c r="N2751" s="883">
        <v>200000</v>
      </c>
      <c r="O2751" s="55">
        <v>719</v>
      </c>
      <c r="P2751" s="78">
        <v>200000</v>
      </c>
    </row>
    <row r="2752" spans="9:16" ht="15.75" customHeight="1" thickBot="1">
      <c r="I2752" s="882"/>
      <c r="J2752" s="876"/>
      <c r="K2752" s="878"/>
      <c r="L2752" s="880"/>
      <c r="M2752" s="882"/>
      <c r="N2752" s="884"/>
      <c r="O2752" s="56">
        <v>721</v>
      </c>
      <c r="P2752" s="79">
        <f>+N2751-P2751</f>
        <v>0</v>
      </c>
    </row>
    <row r="2753" spans="9:16">
      <c r="I2753" s="881"/>
      <c r="J2753" s="875"/>
      <c r="K2753" s="877"/>
      <c r="L2753" s="879"/>
      <c r="M2753" s="881"/>
      <c r="N2753" s="883"/>
      <c r="O2753" s="55">
        <v>719</v>
      </c>
      <c r="P2753" s="78">
        <v>0</v>
      </c>
    </row>
    <row r="2754" spans="9:16" ht="13.5" customHeight="1" thickBot="1">
      <c r="I2754" s="882"/>
      <c r="J2754" s="876"/>
      <c r="K2754" s="878"/>
      <c r="L2754" s="880"/>
      <c r="M2754" s="882"/>
      <c r="N2754" s="884"/>
      <c r="O2754" s="56">
        <v>721</v>
      </c>
      <c r="P2754" s="79">
        <f>+N2753-P2753</f>
        <v>0</v>
      </c>
    </row>
    <row r="2755" spans="9:16">
      <c r="I2755" s="881"/>
      <c r="J2755" s="875"/>
      <c r="K2755" s="877"/>
      <c r="L2755" s="879"/>
      <c r="M2755" s="881"/>
      <c r="N2755" s="883"/>
      <c r="O2755" s="55">
        <v>719</v>
      </c>
      <c r="P2755" s="78"/>
    </row>
    <row r="2756" spans="9:16" ht="14.25" customHeight="1" thickBot="1">
      <c r="I2756" s="882"/>
      <c r="J2756" s="876"/>
      <c r="K2756" s="878"/>
      <c r="L2756" s="880"/>
      <c r="M2756" s="882"/>
      <c r="N2756" s="884"/>
      <c r="O2756" s="56">
        <v>721</v>
      </c>
      <c r="P2756" s="79">
        <f>+N2755-P2755</f>
        <v>0</v>
      </c>
    </row>
    <row r="2757" spans="9:16" ht="16.5" thickBot="1">
      <c r="I2757" s="901" t="s">
        <v>102</v>
      </c>
      <c r="J2757" s="902"/>
      <c r="K2757" s="902"/>
      <c r="L2757" s="902"/>
      <c r="M2757" s="903"/>
      <c r="N2757" s="81">
        <f>SUM(N2747:N2756)</f>
        <v>380000</v>
      </c>
    </row>
    <row r="2758" spans="9:16" ht="16.5" thickBot="1">
      <c r="I2758" s="885" t="s">
        <v>103</v>
      </c>
      <c r="J2758" s="886"/>
      <c r="K2758" s="886"/>
      <c r="L2758" s="886"/>
      <c r="M2758" s="887"/>
      <c r="N2758" s="69">
        <f>+N2722</f>
        <v>568552997</v>
      </c>
      <c r="O2758" s="241" t="s">
        <v>561</v>
      </c>
      <c r="P2758" s="242">
        <f>328+189+267</f>
        <v>784</v>
      </c>
    </row>
    <row r="2759" spans="9:16" ht="16.5" thickBot="1">
      <c r="I2759" s="888" t="s">
        <v>104</v>
      </c>
      <c r="J2759" s="889"/>
      <c r="K2759" s="889"/>
      <c r="L2759" s="889"/>
      <c r="M2759" s="890"/>
      <c r="N2759" s="183">
        <f>SUM(N2757:N2758)</f>
        <v>568932997</v>
      </c>
    </row>
    <row r="2760" spans="9:16">
      <c r="I2760" s="61"/>
      <c r="J2760" s="61"/>
      <c r="K2760" s="61"/>
      <c r="L2760" s="61"/>
      <c r="M2760" s="61"/>
    </row>
    <row r="2761" spans="9:16">
      <c r="I2761" s="51" t="s">
        <v>1168</v>
      </c>
    </row>
    <row r="2762" spans="9:16" ht="12.75" customHeight="1">
      <c r="N2762" s="139"/>
    </row>
    <row r="2763" spans="9:16">
      <c r="I2763" s="50" t="s">
        <v>105</v>
      </c>
      <c r="L2763" s="146"/>
      <c r="N2763" s="139"/>
    </row>
    <row r="2764" spans="9:16" ht="13.5" customHeight="1" thickBot="1"/>
    <row r="2765" spans="9:16" ht="15.75" thickBot="1">
      <c r="I2765" s="891" t="s">
        <v>106</v>
      </c>
      <c r="J2765" s="892"/>
      <c r="K2765" s="892"/>
      <c r="L2765" s="893"/>
      <c r="N2765" s="50" t="s">
        <v>288</v>
      </c>
    </row>
    <row r="2766" spans="9:16" ht="30.75" thickBot="1">
      <c r="I2766" s="57" t="s">
        <v>100</v>
      </c>
      <c r="J2766" s="58" t="s">
        <v>108</v>
      </c>
      <c r="K2766" s="287" t="s">
        <v>109</v>
      </c>
      <c r="L2766" s="60" t="s">
        <v>110</v>
      </c>
    </row>
    <row r="2767" spans="9:16">
      <c r="I2767" s="71">
        <v>719</v>
      </c>
      <c r="J2767" s="73">
        <f>+P2747+P2749+P2751+P2753</f>
        <v>380000</v>
      </c>
      <c r="K2767" s="74">
        <f>+L2730</f>
        <v>48540000</v>
      </c>
      <c r="L2767" s="195">
        <f>+J2767+K2767</f>
        <v>48920000</v>
      </c>
    </row>
    <row r="2768" spans="9:16">
      <c r="I2768" s="72">
        <v>721</v>
      </c>
      <c r="J2768" s="80">
        <f>+P2748+P2750+P2752+P2754+P2756</f>
        <v>0</v>
      </c>
      <c r="K2768" s="74">
        <f>+L2731</f>
        <v>95760634</v>
      </c>
      <c r="L2768" s="195">
        <f>+J2768+K2768</f>
        <v>95760634</v>
      </c>
    </row>
    <row r="2769" spans="9:16">
      <c r="I2769" s="72">
        <v>722</v>
      </c>
      <c r="J2769" s="80"/>
      <c r="K2769" s="74">
        <f>+L2732</f>
        <v>44881706</v>
      </c>
      <c r="L2769" s="195">
        <f>+J2769+K2769</f>
        <v>44881706</v>
      </c>
    </row>
    <row r="2770" spans="9:16" ht="15.75">
      <c r="I2770" s="72">
        <v>723</v>
      </c>
      <c r="J2770" s="80"/>
      <c r="K2770" s="74">
        <f>+L2733</f>
        <v>378503157</v>
      </c>
      <c r="L2770" s="195">
        <f>+J2770+K2770</f>
        <v>378503157</v>
      </c>
      <c r="N2770" s="193" t="s">
        <v>289</v>
      </c>
      <c r="O2770" s="175"/>
    </row>
    <row r="2771" spans="9:16" ht="16.5" thickBot="1">
      <c r="I2771" s="164" t="s">
        <v>1077</v>
      </c>
      <c r="J2771" s="165"/>
      <c r="K2771" s="74">
        <f>+L2734</f>
        <v>797500</v>
      </c>
      <c r="L2771" s="196">
        <f>+J2771+K2771</f>
        <v>797500</v>
      </c>
      <c r="N2771" s="52"/>
    </row>
    <row r="2772" spans="9:16" ht="16.5" thickBot="1">
      <c r="I2772" s="169"/>
      <c r="J2772" s="197">
        <f>SUM(J2767:J2771)</f>
        <v>380000</v>
      </c>
      <c r="K2772" s="197">
        <f>SUM(K2767:K2771)</f>
        <v>568482997</v>
      </c>
      <c r="L2772" s="198">
        <f>SUM(L2767:L2771)</f>
        <v>568862997</v>
      </c>
    </row>
    <row r="2773" spans="9:16" ht="16.5">
      <c r="I2773" s="49" t="s">
        <v>88</v>
      </c>
      <c r="J2773" s="50"/>
    </row>
    <row r="2774" spans="9:16">
      <c r="I2774" s="51" t="s">
        <v>89</v>
      </c>
    </row>
    <row r="2775" spans="9:16">
      <c r="I2775" s="51" t="s">
        <v>90</v>
      </c>
    </row>
    <row r="2776" spans="9:16">
      <c r="I2776" s="51" t="s">
        <v>91</v>
      </c>
    </row>
    <row r="2777" spans="9:16" ht="10.5" customHeight="1">
      <c r="I2777" s="50"/>
      <c r="J2777" s="50"/>
    </row>
    <row r="2778" spans="9:16" ht="15.75">
      <c r="I2778" s="260" t="s">
        <v>1169</v>
      </c>
      <c r="O2778" s="52"/>
    </row>
    <row r="2779" spans="9:16" ht="15.75">
      <c r="I2779" s="53" t="s">
        <v>535</v>
      </c>
      <c r="O2779" s="53"/>
    </row>
    <row r="2780" spans="9:16" ht="16.5">
      <c r="I2780" s="894" t="s">
        <v>1205</v>
      </c>
      <c r="J2780" s="894"/>
      <c r="K2780" s="894"/>
      <c r="L2780" s="894"/>
      <c r="M2780" s="894"/>
      <c r="N2780" s="894"/>
      <c r="O2780" s="894"/>
      <c r="P2780" s="894"/>
    </row>
    <row r="2781" spans="9:16" ht="15.75" thickBot="1"/>
    <row r="2782" spans="9:16">
      <c r="I2782" s="895" t="s">
        <v>94</v>
      </c>
      <c r="J2782" s="897" t="s">
        <v>95</v>
      </c>
      <c r="K2782" s="897" t="s">
        <v>96</v>
      </c>
      <c r="L2782" s="897" t="s">
        <v>3</v>
      </c>
      <c r="M2782" s="897" t="s">
        <v>97</v>
      </c>
      <c r="N2782" s="897" t="s">
        <v>98</v>
      </c>
      <c r="O2782" s="897" t="s">
        <v>99</v>
      </c>
      <c r="P2782" s="899"/>
    </row>
    <row r="2783" spans="9:16" ht="15.75" thickBot="1">
      <c r="I2783" s="896"/>
      <c r="J2783" s="898"/>
      <c r="K2783" s="898"/>
      <c r="L2783" s="898"/>
      <c r="M2783" s="898"/>
      <c r="N2783" s="898"/>
      <c r="O2783" s="240" t="s">
        <v>100</v>
      </c>
      <c r="P2783" s="182" t="s">
        <v>101</v>
      </c>
    </row>
    <row r="2784" spans="9:16" ht="14.25" customHeight="1">
      <c r="I2784" s="881">
        <v>297</v>
      </c>
      <c r="J2784" s="875">
        <v>42660</v>
      </c>
      <c r="K2784" s="877" t="s">
        <v>350</v>
      </c>
      <c r="L2784" s="879" t="s">
        <v>921</v>
      </c>
      <c r="M2784" s="881" t="s">
        <v>148</v>
      </c>
      <c r="N2784" s="883">
        <v>260000</v>
      </c>
      <c r="O2784" s="55">
        <v>722</v>
      </c>
      <c r="P2784" s="78">
        <v>260000</v>
      </c>
    </row>
    <row r="2785" spans="9:16" ht="14.25" customHeight="1" thickBot="1">
      <c r="I2785" s="882"/>
      <c r="J2785" s="876"/>
      <c r="K2785" s="878"/>
      <c r="L2785" s="880"/>
      <c r="M2785" s="882"/>
      <c r="N2785" s="884"/>
      <c r="O2785" s="56">
        <v>721</v>
      </c>
      <c r="P2785" s="351">
        <f>+N2784-P2784</f>
        <v>0</v>
      </c>
    </row>
    <row r="2786" spans="9:16" ht="14.25" customHeight="1">
      <c r="I2786" s="881">
        <v>298</v>
      </c>
      <c r="J2786" s="875">
        <v>42660</v>
      </c>
      <c r="K2786" s="877" t="s">
        <v>1091</v>
      </c>
      <c r="L2786" s="879" t="s">
        <v>921</v>
      </c>
      <c r="M2786" s="881" t="s">
        <v>148</v>
      </c>
      <c r="N2786" s="883">
        <v>600000</v>
      </c>
      <c r="O2786" s="55">
        <v>722</v>
      </c>
      <c r="P2786" s="78">
        <v>600000</v>
      </c>
    </row>
    <row r="2787" spans="9:16" ht="13.5" customHeight="1" thickBot="1">
      <c r="I2787" s="882"/>
      <c r="J2787" s="876"/>
      <c r="K2787" s="878"/>
      <c r="L2787" s="880"/>
      <c r="M2787" s="882"/>
      <c r="N2787" s="884"/>
      <c r="O2787" s="56">
        <v>721</v>
      </c>
      <c r="P2787" s="352">
        <f>+N2786-P2786</f>
        <v>0</v>
      </c>
    </row>
    <row r="2788" spans="9:16" ht="15" customHeight="1">
      <c r="I2788" s="881">
        <v>299</v>
      </c>
      <c r="J2788" s="875">
        <v>42660</v>
      </c>
      <c r="K2788" s="877" t="s">
        <v>120</v>
      </c>
      <c r="L2788" s="879" t="s">
        <v>921</v>
      </c>
      <c r="M2788" s="881" t="s">
        <v>148</v>
      </c>
      <c r="N2788" s="883">
        <v>560000</v>
      </c>
      <c r="O2788" s="55">
        <v>722</v>
      </c>
      <c r="P2788" s="78">
        <v>560000</v>
      </c>
    </row>
    <row r="2789" spans="9:16" ht="13.5" customHeight="1" thickBot="1">
      <c r="I2789" s="882"/>
      <c r="J2789" s="876"/>
      <c r="K2789" s="878"/>
      <c r="L2789" s="880"/>
      <c r="M2789" s="882"/>
      <c r="N2789" s="884"/>
      <c r="O2789" s="56">
        <v>721</v>
      </c>
      <c r="P2789" s="352">
        <f>+N2788-P2788</f>
        <v>0</v>
      </c>
    </row>
    <row r="2790" spans="9:16" ht="15" customHeight="1">
      <c r="I2790" s="881">
        <v>300</v>
      </c>
      <c r="J2790" s="875">
        <v>42660</v>
      </c>
      <c r="K2790" s="877" t="s">
        <v>1171</v>
      </c>
      <c r="L2790" s="879" t="s">
        <v>921</v>
      </c>
      <c r="M2790" s="881" t="s">
        <v>148</v>
      </c>
      <c r="N2790" s="883">
        <v>1000000</v>
      </c>
      <c r="O2790" s="55">
        <v>722</v>
      </c>
      <c r="P2790" s="78">
        <v>1000000</v>
      </c>
    </row>
    <row r="2791" spans="9:16" ht="13.5" customHeight="1" thickBot="1">
      <c r="I2791" s="882"/>
      <c r="J2791" s="876"/>
      <c r="K2791" s="878"/>
      <c r="L2791" s="880"/>
      <c r="M2791" s="882"/>
      <c r="N2791" s="884"/>
      <c r="O2791" s="56">
        <v>721</v>
      </c>
      <c r="P2791" s="79">
        <f>+N2790-P2790</f>
        <v>0</v>
      </c>
    </row>
    <row r="2792" spans="9:16" ht="15" customHeight="1">
      <c r="I2792" s="881">
        <v>301</v>
      </c>
      <c r="J2792" s="875">
        <v>42660</v>
      </c>
      <c r="K2792" s="877" t="s">
        <v>40</v>
      </c>
      <c r="L2792" s="879" t="s">
        <v>921</v>
      </c>
      <c r="M2792" s="881" t="s">
        <v>148</v>
      </c>
      <c r="N2792" s="883">
        <v>200000</v>
      </c>
      <c r="O2792" s="55">
        <v>722</v>
      </c>
      <c r="P2792" s="78">
        <v>200000</v>
      </c>
    </row>
    <row r="2793" spans="9:16" ht="13.5" customHeight="1" thickBot="1">
      <c r="I2793" s="882"/>
      <c r="J2793" s="876"/>
      <c r="K2793" s="878"/>
      <c r="L2793" s="880"/>
      <c r="M2793" s="882"/>
      <c r="N2793" s="884"/>
      <c r="O2793" s="56">
        <v>721</v>
      </c>
      <c r="P2793" s="79">
        <f>+N2792-P2792</f>
        <v>0</v>
      </c>
    </row>
    <row r="2794" spans="9:16" ht="15" customHeight="1">
      <c r="I2794" s="881">
        <v>302</v>
      </c>
      <c r="J2794" s="875">
        <v>42660</v>
      </c>
      <c r="K2794" s="877" t="s">
        <v>1172</v>
      </c>
      <c r="L2794" s="879" t="s">
        <v>921</v>
      </c>
      <c r="M2794" s="881" t="s">
        <v>148</v>
      </c>
      <c r="N2794" s="883">
        <v>220000</v>
      </c>
      <c r="O2794" s="55">
        <v>722</v>
      </c>
      <c r="P2794" s="78">
        <v>220000</v>
      </c>
    </row>
    <row r="2795" spans="9:16" ht="13.5" customHeight="1" thickBot="1">
      <c r="I2795" s="882"/>
      <c r="J2795" s="876"/>
      <c r="K2795" s="878"/>
      <c r="L2795" s="880"/>
      <c r="M2795" s="882"/>
      <c r="N2795" s="884"/>
      <c r="O2795" s="56">
        <v>721</v>
      </c>
      <c r="P2795" s="79">
        <f>+N2794-P2794</f>
        <v>0</v>
      </c>
    </row>
    <row r="2796" spans="9:16" ht="15" customHeight="1" thickBot="1">
      <c r="I2796" s="901" t="s">
        <v>102</v>
      </c>
      <c r="J2796" s="902"/>
      <c r="K2796" s="902"/>
      <c r="L2796" s="902"/>
      <c r="M2796" s="903"/>
      <c r="N2796" s="81">
        <f>SUM(N2784:N2795)</f>
        <v>2840000</v>
      </c>
    </row>
    <row r="2797" spans="9:16" ht="16.5" thickBot="1">
      <c r="I2797" s="885" t="s">
        <v>103</v>
      </c>
      <c r="J2797" s="886"/>
      <c r="K2797" s="886"/>
      <c r="L2797" s="886"/>
      <c r="M2797" s="887"/>
      <c r="N2797" s="69">
        <f>+N2759</f>
        <v>568932997</v>
      </c>
      <c r="O2797" s="241" t="s">
        <v>561</v>
      </c>
      <c r="P2797" s="242"/>
    </row>
    <row r="2798" spans="9:16" ht="16.5" thickBot="1">
      <c r="I2798" s="888" t="s">
        <v>104</v>
      </c>
      <c r="J2798" s="889"/>
      <c r="K2798" s="889"/>
      <c r="L2798" s="889"/>
      <c r="M2798" s="890"/>
      <c r="N2798" s="183">
        <f>SUM(N2796:N2797)</f>
        <v>571772997</v>
      </c>
    </row>
    <row r="2799" spans="9:16" ht="12.75" customHeight="1">
      <c r="I2799" s="61"/>
      <c r="J2799" s="61"/>
      <c r="K2799" s="61"/>
      <c r="L2799" s="61"/>
      <c r="M2799" s="61"/>
    </row>
    <row r="2800" spans="9:16">
      <c r="I2800" s="51" t="s">
        <v>1173</v>
      </c>
    </row>
    <row r="2801" spans="9:15" ht="10.5" customHeight="1">
      <c r="N2801" s="139"/>
    </row>
    <row r="2802" spans="9:15">
      <c r="I2802" s="50" t="s">
        <v>105</v>
      </c>
      <c r="L2802" s="146"/>
      <c r="N2802" s="139"/>
    </row>
    <row r="2803" spans="9:15" ht="9" customHeight="1" thickBot="1"/>
    <row r="2804" spans="9:15" ht="15.75" thickBot="1">
      <c r="I2804" s="891" t="s">
        <v>106</v>
      </c>
      <c r="J2804" s="892"/>
      <c r="K2804" s="892"/>
      <c r="L2804" s="893"/>
      <c r="N2804" s="50" t="s">
        <v>288</v>
      </c>
    </row>
    <row r="2805" spans="9:15" ht="29.25" customHeight="1" thickBot="1">
      <c r="I2805" s="57" t="s">
        <v>100</v>
      </c>
      <c r="J2805" s="58" t="s">
        <v>108</v>
      </c>
      <c r="K2805" s="287" t="s">
        <v>109</v>
      </c>
      <c r="L2805" s="60" t="s">
        <v>110</v>
      </c>
    </row>
    <row r="2806" spans="9:15" ht="14.25" customHeight="1">
      <c r="I2806" s="71">
        <v>719</v>
      </c>
      <c r="J2806" s="73"/>
      <c r="K2806" s="74">
        <f>+L2767</f>
        <v>48920000</v>
      </c>
      <c r="L2806" s="195">
        <f>+J2806+K2806</f>
        <v>48920000</v>
      </c>
    </row>
    <row r="2807" spans="9:15">
      <c r="I2807" s="72">
        <v>721</v>
      </c>
      <c r="J2807" s="80">
        <f>+P2785+P2787+P2789+P2791+P2795+P2793</f>
        <v>0</v>
      </c>
      <c r="K2807" s="74">
        <f>+L2768</f>
        <v>95760634</v>
      </c>
      <c r="L2807" s="195">
        <f>+J2807+K2807</f>
        <v>95760634</v>
      </c>
    </row>
    <row r="2808" spans="9:15">
      <c r="I2808" s="72">
        <v>722</v>
      </c>
      <c r="J2808" s="80">
        <f>+P2784+P2786+P2788+P2790+P2792+P2794</f>
        <v>2840000</v>
      </c>
      <c r="K2808" s="74">
        <f>+L2769</f>
        <v>44881706</v>
      </c>
      <c r="L2808" s="195">
        <f>+J2808+K2808</f>
        <v>47721706</v>
      </c>
    </row>
    <row r="2809" spans="9:15" ht="15" customHeight="1">
      <c r="I2809" s="72">
        <v>723</v>
      </c>
      <c r="J2809" s="80"/>
      <c r="K2809" s="74">
        <f>+L2770</f>
        <v>378503157</v>
      </c>
      <c r="L2809" s="195">
        <f>+J2809+K2809</f>
        <v>378503157</v>
      </c>
      <c r="N2809" s="193" t="s">
        <v>289</v>
      </c>
      <c r="O2809" s="175"/>
    </row>
    <row r="2810" spans="9:15" ht="14.25" customHeight="1" thickBot="1">
      <c r="I2810" s="164" t="s">
        <v>1077</v>
      </c>
      <c r="J2810" s="165"/>
      <c r="K2810" s="74">
        <f>+L2771</f>
        <v>797500</v>
      </c>
      <c r="L2810" s="196">
        <f>+J2810+K2810</f>
        <v>797500</v>
      </c>
      <c r="N2810" s="52"/>
    </row>
    <row r="2811" spans="9:15" ht="16.5" thickBot="1">
      <c r="I2811" s="169"/>
      <c r="J2811" s="197">
        <f>SUM(J2806:J2810)</f>
        <v>2840000</v>
      </c>
      <c r="K2811" s="197">
        <f>SUM(K2806:K2810)</f>
        <v>568862997</v>
      </c>
      <c r="L2811" s="198">
        <f>SUM(L2806:L2810)</f>
        <v>571702997</v>
      </c>
    </row>
    <row r="2812" spans="9:15" ht="16.5">
      <c r="I2812" s="49" t="s">
        <v>88</v>
      </c>
      <c r="J2812" s="50"/>
    </row>
    <row r="2813" spans="9:15">
      <c r="I2813" s="51" t="s">
        <v>89</v>
      </c>
    </row>
    <row r="2814" spans="9:15">
      <c r="I2814" s="51" t="s">
        <v>90</v>
      </c>
    </row>
    <row r="2815" spans="9:15">
      <c r="I2815" s="51" t="s">
        <v>91</v>
      </c>
    </row>
    <row r="2816" spans="9:15" ht="10.5" customHeight="1">
      <c r="I2816" s="50"/>
      <c r="J2816" s="50"/>
    </row>
    <row r="2817" spans="9:16" ht="15.75">
      <c r="I2817" s="260" t="s">
        <v>1170</v>
      </c>
      <c r="O2817" s="52"/>
    </row>
    <row r="2818" spans="9:16" ht="15.75">
      <c r="I2818" s="53" t="s">
        <v>535</v>
      </c>
      <c r="O2818" s="53"/>
    </row>
    <row r="2819" spans="9:16" ht="16.5">
      <c r="I2819" s="894" t="s">
        <v>1205</v>
      </c>
      <c r="J2819" s="894"/>
      <c r="K2819" s="894"/>
      <c r="L2819" s="894"/>
      <c r="M2819" s="894"/>
      <c r="N2819" s="894"/>
      <c r="O2819" s="894"/>
      <c r="P2819" s="894"/>
    </row>
    <row r="2820" spans="9:16" ht="12.75" customHeight="1" thickBot="1"/>
    <row r="2821" spans="9:16">
      <c r="I2821" s="895" t="s">
        <v>94</v>
      </c>
      <c r="J2821" s="897" t="s">
        <v>95</v>
      </c>
      <c r="K2821" s="897" t="s">
        <v>96</v>
      </c>
      <c r="L2821" s="897" t="s">
        <v>3</v>
      </c>
      <c r="M2821" s="897" t="s">
        <v>97</v>
      </c>
      <c r="N2821" s="897" t="s">
        <v>98</v>
      </c>
      <c r="O2821" s="897" t="s">
        <v>99</v>
      </c>
      <c r="P2821" s="899"/>
    </row>
    <row r="2822" spans="9:16" ht="15.75" thickBot="1">
      <c r="I2822" s="896"/>
      <c r="J2822" s="898"/>
      <c r="K2822" s="898"/>
      <c r="L2822" s="898"/>
      <c r="M2822" s="898"/>
      <c r="N2822" s="898"/>
      <c r="O2822" s="240" t="s">
        <v>100</v>
      </c>
      <c r="P2822" s="182" t="s">
        <v>101</v>
      </c>
    </row>
    <row r="2823" spans="9:16" ht="14.25" customHeight="1">
      <c r="I2823" s="881">
        <v>303</v>
      </c>
      <c r="J2823" s="875">
        <v>42660</v>
      </c>
      <c r="K2823" s="877" t="s">
        <v>1174</v>
      </c>
      <c r="L2823" s="879" t="s">
        <v>921</v>
      </c>
      <c r="M2823" s="881" t="s">
        <v>148</v>
      </c>
      <c r="N2823" s="883">
        <v>180000</v>
      </c>
      <c r="O2823" s="55">
        <v>722</v>
      </c>
      <c r="P2823" s="78">
        <v>180000</v>
      </c>
    </row>
    <row r="2824" spans="9:16" ht="12.75" customHeight="1" thickBot="1">
      <c r="I2824" s="882"/>
      <c r="J2824" s="876"/>
      <c r="K2824" s="878"/>
      <c r="L2824" s="880"/>
      <c r="M2824" s="882"/>
      <c r="N2824" s="884"/>
      <c r="O2824" s="56">
        <v>721</v>
      </c>
      <c r="P2824" s="351">
        <f>+N2823-P2823</f>
        <v>0</v>
      </c>
    </row>
    <row r="2825" spans="9:16">
      <c r="I2825" s="881">
        <v>304</v>
      </c>
      <c r="J2825" s="875">
        <v>42660</v>
      </c>
      <c r="K2825" s="877" t="s">
        <v>1175</v>
      </c>
      <c r="L2825" s="879" t="s">
        <v>921</v>
      </c>
      <c r="M2825" s="881" t="s">
        <v>148</v>
      </c>
      <c r="N2825" s="883">
        <v>160000</v>
      </c>
      <c r="O2825" s="55">
        <v>722</v>
      </c>
      <c r="P2825" s="78">
        <v>160000</v>
      </c>
    </row>
    <row r="2826" spans="9:16" ht="13.5" customHeight="1" thickBot="1">
      <c r="I2826" s="882"/>
      <c r="J2826" s="876"/>
      <c r="K2826" s="878"/>
      <c r="L2826" s="880"/>
      <c r="M2826" s="882"/>
      <c r="N2826" s="884"/>
      <c r="O2826" s="56">
        <v>721</v>
      </c>
      <c r="P2826" s="352">
        <f>+N2825-P2825</f>
        <v>0</v>
      </c>
    </row>
    <row r="2827" spans="9:16" ht="13.5" customHeight="1">
      <c r="I2827" s="881">
        <v>305</v>
      </c>
      <c r="J2827" s="875">
        <v>42660</v>
      </c>
      <c r="K2827" s="877" t="s">
        <v>1177</v>
      </c>
      <c r="L2827" s="879" t="s">
        <v>921</v>
      </c>
      <c r="M2827" s="881" t="s">
        <v>148</v>
      </c>
      <c r="N2827" s="883">
        <v>220000</v>
      </c>
      <c r="O2827" s="55">
        <v>722</v>
      </c>
      <c r="P2827" s="78">
        <v>220000</v>
      </c>
    </row>
    <row r="2828" spans="9:16" ht="12.75" customHeight="1" thickBot="1">
      <c r="I2828" s="882"/>
      <c r="J2828" s="876"/>
      <c r="K2828" s="878"/>
      <c r="L2828" s="880"/>
      <c r="M2828" s="882"/>
      <c r="N2828" s="884"/>
      <c r="O2828" s="56">
        <v>721</v>
      </c>
      <c r="P2828" s="352">
        <f>+N2827-P2827</f>
        <v>0</v>
      </c>
    </row>
    <row r="2829" spans="9:16">
      <c r="I2829" s="881">
        <v>306</v>
      </c>
      <c r="J2829" s="875">
        <v>42660</v>
      </c>
      <c r="K2829" s="877" t="s">
        <v>1176</v>
      </c>
      <c r="L2829" s="879" t="s">
        <v>921</v>
      </c>
      <c r="M2829" s="881" t="s">
        <v>148</v>
      </c>
      <c r="N2829" s="883">
        <v>40000</v>
      </c>
      <c r="O2829" s="55">
        <v>722</v>
      </c>
      <c r="P2829" s="78">
        <v>40000</v>
      </c>
    </row>
    <row r="2830" spans="9:16" ht="12" customHeight="1" thickBot="1">
      <c r="I2830" s="882"/>
      <c r="J2830" s="876"/>
      <c r="K2830" s="878"/>
      <c r="L2830" s="880"/>
      <c r="M2830" s="882"/>
      <c r="N2830" s="884"/>
      <c r="O2830" s="56">
        <v>721</v>
      </c>
      <c r="P2830" s="79">
        <f>+N2829-P2829</f>
        <v>0</v>
      </c>
    </row>
    <row r="2831" spans="9:16">
      <c r="I2831" s="881">
        <v>307</v>
      </c>
      <c r="J2831" s="875">
        <v>42660</v>
      </c>
      <c r="K2831" s="877" t="s">
        <v>738</v>
      </c>
      <c r="L2831" s="879" t="s">
        <v>921</v>
      </c>
      <c r="M2831" s="881" t="s">
        <v>148</v>
      </c>
      <c r="N2831" s="883">
        <v>20000</v>
      </c>
      <c r="O2831" s="55">
        <v>722</v>
      </c>
      <c r="P2831" s="78">
        <v>20000</v>
      </c>
    </row>
    <row r="2832" spans="9:16" ht="14.25" customHeight="1" thickBot="1">
      <c r="I2832" s="882"/>
      <c r="J2832" s="876"/>
      <c r="K2832" s="878"/>
      <c r="L2832" s="880"/>
      <c r="M2832" s="882"/>
      <c r="N2832" s="884"/>
      <c r="O2832" s="56">
        <v>721</v>
      </c>
      <c r="P2832" s="79">
        <f>+N2831-P2831</f>
        <v>0</v>
      </c>
    </row>
    <row r="2833" spans="9:16" ht="14.25" customHeight="1">
      <c r="I2833" s="881">
        <v>308</v>
      </c>
      <c r="J2833" s="875">
        <v>42660</v>
      </c>
      <c r="K2833" s="877" t="s">
        <v>1178</v>
      </c>
      <c r="L2833" s="879" t="s">
        <v>921</v>
      </c>
      <c r="M2833" s="881" t="s">
        <v>148</v>
      </c>
      <c r="N2833" s="883">
        <v>120000</v>
      </c>
      <c r="O2833" s="55">
        <v>722</v>
      </c>
      <c r="P2833" s="78">
        <v>120000</v>
      </c>
    </row>
    <row r="2834" spans="9:16" ht="13.5" customHeight="1" thickBot="1">
      <c r="I2834" s="882"/>
      <c r="J2834" s="876"/>
      <c r="K2834" s="878"/>
      <c r="L2834" s="880"/>
      <c r="M2834" s="882"/>
      <c r="N2834" s="884"/>
      <c r="O2834" s="56">
        <v>721</v>
      </c>
      <c r="P2834" s="79">
        <f>+N2833-P2833</f>
        <v>0</v>
      </c>
    </row>
    <row r="2835" spans="9:16" ht="16.5" thickBot="1">
      <c r="I2835" s="901" t="s">
        <v>102</v>
      </c>
      <c r="J2835" s="902"/>
      <c r="K2835" s="902"/>
      <c r="L2835" s="902"/>
      <c r="M2835" s="903"/>
      <c r="N2835" s="81">
        <f>SUM(N2823:N2834)</f>
        <v>740000</v>
      </c>
    </row>
    <row r="2836" spans="9:16" ht="16.5" thickBot="1">
      <c r="I2836" s="885" t="s">
        <v>103</v>
      </c>
      <c r="J2836" s="886"/>
      <c r="K2836" s="886"/>
      <c r="L2836" s="886"/>
      <c r="M2836" s="887"/>
      <c r="N2836" s="69">
        <f>+N2798</f>
        <v>571772997</v>
      </c>
      <c r="O2836" s="241" t="s">
        <v>561</v>
      </c>
      <c r="P2836" s="242"/>
    </row>
    <row r="2837" spans="9:16" ht="14.25" customHeight="1" thickBot="1">
      <c r="I2837" s="888" t="s">
        <v>104</v>
      </c>
      <c r="J2837" s="889"/>
      <c r="K2837" s="889"/>
      <c r="L2837" s="889"/>
      <c r="M2837" s="890"/>
      <c r="N2837" s="183">
        <f>SUM(N2835:N2836)</f>
        <v>572512997</v>
      </c>
    </row>
    <row r="2838" spans="9:16" ht="12.75" customHeight="1">
      <c r="I2838" s="61"/>
      <c r="J2838" s="61"/>
      <c r="K2838" s="61"/>
      <c r="L2838" s="61"/>
      <c r="M2838" s="61"/>
    </row>
    <row r="2839" spans="9:16">
      <c r="I2839" s="51" t="s">
        <v>1179</v>
      </c>
    </row>
    <row r="2840" spans="9:16" ht="10.5" customHeight="1">
      <c r="N2840" s="139"/>
    </row>
    <row r="2841" spans="9:16">
      <c r="I2841" s="50" t="s">
        <v>105</v>
      </c>
      <c r="L2841" s="146"/>
      <c r="N2841" s="139"/>
    </row>
    <row r="2842" spans="9:16" ht="12" customHeight="1" thickBot="1"/>
    <row r="2843" spans="9:16" ht="15.75" thickBot="1">
      <c r="I2843" s="891" t="s">
        <v>106</v>
      </c>
      <c r="J2843" s="892"/>
      <c r="K2843" s="892"/>
      <c r="L2843" s="893"/>
      <c r="N2843" s="50" t="s">
        <v>288</v>
      </c>
    </row>
    <row r="2844" spans="9:16" ht="30.75" thickBot="1">
      <c r="I2844" s="57" t="s">
        <v>100</v>
      </c>
      <c r="J2844" s="58" t="s">
        <v>108</v>
      </c>
      <c r="K2844" s="287" t="s">
        <v>109</v>
      </c>
      <c r="L2844" s="60" t="s">
        <v>110</v>
      </c>
    </row>
    <row r="2845" spans="9:16">
      <c r="I2845" s="71">
        <v>719</v>
      </c>
      <c r="J2845" s="73"/>
      <c r="K2845" s="74">
        <f>+L2806</f>
        <v>48920000</v>
      </c>
      <c r="L2845" s="195">
        <f>+J2845+K2845</f>
        <v>48920000</v>
      </c>
    </row>
    <row r="2846" spans="9:16">
      <c r="I2846" s="72">
        <v>721</v>
      </c>
      <c r="J2846" s="80">
        <f>+P2824+P2826+P2828+P2830+P2834+P2832</f>
        <v>0</v>
      </c>
      <c r="K2846" s="74">
        <f>+L2807</f>
        <v>95760634</v>
      </c>
      <c r="L2846" s="195">
        <f>+J2846+K2846</f>
        <v>95760634</v>
      </c>
    </row>
    <row r="2847" spans="9:16">
      <c r="I2847" s="72">
        <v>722</v>
      </c>
      <c r="J2847" s="80">
        <f>+P2823+P2825+P2827+P2829+P2831+P2833</f>
        <v>740000</v>
      </c>
      <c r="K2847" s="74">
        <f>+L2808</f>
        <v>47721706</v>
      </c>
      <c r="L2847" s="195">
        <f>+J2847+K2847</f>
        <v>48461706</v>
      </c>
    </row>
    <row r="2848" spans="9:16" ht="15.75">
      <c r="I2848" s="72">
        <v>723</v>
      </c>
      <c r="J2848" s="80"/>
      <c r="K2848" s="74">
        <f>+L2809</f>
        <v>378503157</v>
      </c>
      <c r="L2848" s="195">
        <f>+J2848+K2848</f>
        <v>378503157</v>
      </c>
      <c r="N2848" s="193" t="s">
        <v>289</v>
      </c>
      <c r="O2848" s="175"/>
    </row>
    <row r="2849" spans="9:16" ht="16.5" thickBot="1">
      <c r="I2849" s="164" t="s">
        <v>1077</v>
      </c>
      <c r="J2849" s="165"/>
      <c r="K2849" s="74">
        <f>+L2810</f>
        <v>797500</v>
      </c>
      <c r="L2849" s="196">
        <f>+J2849+K2849</f>
        <v>797500</v>
      </c>
      <c r="N2849" s="52"/>
    </row>
    <row r="2850" spans="9:16" ht="16.5" thickBot="1">
      <c r="I2850" s="169"/>
      <c r="J2850" s="197">
        <f>SUM(J2845:J2849)</f>
        <v>740000</v>
      </c>
      <c r="K2850" s="197">
        <f>SUM(K2845:K2849)</f>
        <v>571702997</v>
      </c>
      <c r="L2850" s="198">
        <f>SUM(L2845:L2849)</f>
        <v>572442997</v>
      </c>
    </row>
    <row r="2851" spans="9:16" ht="16.5">
      <c r="I2851" s="49" t="s">
        <v>88</v>
      </c>
      <c r="J2851" s="50"/>
    </row>
    <row r="2852" spans="9:16">
      <c r="I2852" s="51" t="s">
        <v>89</v>
      </c>
    </row>
    <row r="2853" spans="9:16">
      <c r="I2853" s="51" t="s">
        <v>90</v>
      </c>
    </row>
    <row r="2854" spans="9:16">
      <c r="I2854" s="51" t="s">
        <v>91</v>
      </c>
    </row>
    <row r="2855" spans="9:16" ht="9.75" customHeight="1">
      <c r="I2855" s="50"/>
      <c r="J2855" s="50"/>
    </row>
    <row r="2856" spans="9:16" ht="15.75">
      <c r="I2856" s="260" t="s">
        <v>1186</v>
      </c>
      <c r="O2856" s="52"/>
    </row>
    <row r="2857" spans="9:16" ht="15.75">
      <c r="I2857" s="53" t="s">
        <v>535</v>
      </c>
      <c r="O2857" s="53"/>
    </row>
    <row r="2858" spans="9:16" ht="16.5">
      <c r="I2858" s="894" t="s">
        <v>1190</v>
      </c>
      <c r="J2858" s="894"/>
      <c r="K2858" s="894"/>
      <c r="L2858" s="894"/>
      <c r="M2858" s="894"/>
      <c r="N2858" s="894"/>
      <c r="O2858" s="894"/>
      <c r="P2858" s="894"/>
    </row>
    <row r="2859" spans="9:16" ht="15.75" thickBot="1"/>
    <row r="2860" spans="9:16">
      <c r="I2860" s="895" t="s">
        <v>94</v>
      </c>
      <c r="J2860" s="897" t="s">
        <v>95</v>
      </c>
      <c r="K2860" s="897" t="s">
        <v>96</v>
      </c>
      <c r="L2860" s="897" t="s">
        <v>3</v>
      </c>
      <c r="M2860" s="897" t="s">
        <v>97</v>
      </c>
      <c r="N2860" s="897" t="s">
        <v>98</v>
      </c>
      <c r="O2860" s="897" t="s">
        <v>99</v>
      </c>
      <c r="P2860" s="899"/>
    </row>
    <row r="2861" spans="9:16" ht="15.75" thickBot="1">
      <c r="I2861" s="896"/>
      <c r="J2861" s="898"/>
      <c r="K2861" s="898"/>
      <c r="L2861" s="898"/>
      <c r="M2861" s="898"/>
      <c r="N2861" s="898"/>
      <c r="O2861" s="240" t="s">
        <v>100</v>
      </c>
      <c r="P2861" s="182" t="s">
        <v>101</v>
      </c>
    </row>
    <row r="2862" spans="9:16">
      <c r="I2862" s="881">
        <v>309</v>
      </c>
      <c r="J2862" s="875">
        <v>42674</v>
      </c>
      <c r="K2862" s="877" t="s">
        <v>738</v>
      </c>
      <c r="L2862" s="879" t="s">
        <v>1184</v>
      </c>
      <c r="M2862" s="881" t="s">
        <v>148</v>
      </c>
      <c r="N2862" s="883">
        <v>2672700</v>
      </c>
      <c r="O2862" s="55">
        <v>722</v>
      </c>
      <c r="P2862" s="78">
        <v>0</v>
      </c>
    </row>
    <row r="2863" spans="9:16" ht="15.75" thickBot="1">
      <c r="I2863" s="882"/>
      <c r="J2863" s="876"/>
      <c r="K2863" s="878"/>
      <c r="L2863" s="880"/>
      <c r="M2863" s="882"/>
      <c r="N2863" s="884"/>
      <c r="O2863" s="56">
        <v>721</v>
      </c>
      <c r="P2863" s="351">
        <f>+N2862-P2862</f>
        <v>2672700</v>
      </c>
    </row>
    <row r="2864" spans="9:16" ht="15" customHeight="1">
      <c r="I2864" s="881">
        <v>310</v>
      </c>
      <c r="J2864" s="875">
        <v>42674</v>
      </c>
      <c r="K2864" s="877" t="s">
        <v>738</v>
      </c>
      <c r="L2864" s="879" t="s">
        <v>1185</v>
      </c>
      <c r="M2864" s="881" t="s">
        <v>148</v>
      </c>
      <c r="N2864" s="883">
        <v>28216212</v>
      </c>
      <c r="O2864" s="55">
        <v>722</v>
      </c>
      <c r="P2864" s="78"/>
    </row>
    <row r="2865" spans="9:16" ht="15.75" customHeight="1" thickBot="1">
      <c r="I2865" s="882"/>
      <c r="J2865" s="876"/>
      <c r="K2865" s="878"/>
      <c r="L2865" s="880"/>
      <c r="M2865" s="882"/>
      <c r="N2865" s="884"/>
      <c r="O2865" s="56">
        <v>721</v>
      </c>
      <c r="P2865" s="352">
        <f>+N2864-P2864</f>
        <v>28216212</v>
      </c>
    </row>
    <row r="2866" spans="9:16" ht="15" customHeight="1">
      <c r="I2866" s="881">
        <v>311</v>
      </c>
      <c r="J2866" s="875">
        <v>42674</v>
      </c>
      <c r="K2866" s="877" t="s">
        <v>738</v>
      </c>
      <c r="L2866" s="879" t="s">
        <v>1187</v>
      </c>
      <c r="M2866" s="881" t="s">
        <v>148</v>
      </c>
      <c r="N2866" s="883">
        <v>16677173</v>
      </c>
      <c r="O2866" s="55">
        <v>722</v>
      </c>
      <c r="P2866" s="78"/>
    </row>
    <row r="2867" spans="9:16" ht="15.75" customHeight="1" thickBot="1">
      <c r="I2867" s="882"/>
      <c r="J2867" s="876"/>
      <c r="K2867" s="878"/>
      <c r="L2867" s="880"/>
      <c r="M2867" s="882"/>
      <c r="N2867" s="884"/>
      <c r="O2867" s="56">
        <v>721</v>
      </c>
      <c r="P2867" s="352">
        <f>+N2866-P2866</f>
        <v>16677173</v>
      </c>
    </row>
    <row r="2868" spans="9:16" ht="15" customHeight="1">
      <c r="I2868" s="881">
        <v>312</v>
      </c>
      <c r="J2868" s="875">
        <v>42675</v>
      </c>
      <c r="K2868" s="877" t="s">
        <v>738</v>
      </c>
      <c r="L2868" s="879" t="s">
        <v>1188</v>
      </c>
      <c r="M2868" s="881" t="s">
        <v>148</v>
      </c>
      <c r="N2868" s="883">
        <v>24662327</v>
      </c>
      <c r="O2868" s="55">
        <v>722</v>
      </c>
      <c r="P2868" s="78"/>
    </row>
    <row r="2869" spans="9:16" ht="13.5" customHeight="1" thickBot="1">
      <c r="I2869" s="882"/>
      <c r="J2869" s="876"/>
      <c r="K2869" s="878"/>
      <c r="L2869" s="880"/>
      <c r="M2869" s="882"/>
      <c r="N2869" s="884"/>
      <c r="O2869" s="56">
        <v>721</v>
      </c>
      <c r="P2869" s="79">
        <f>+N2868-P2868</f>
        <v>24662327</v>
      </c>
    </row>
    <row r="2870" spans="9:16">
      <c r="I2870" s="881"/>
      <c r="J2870" s="875"/>
      <c r="K2870" s="877"/>
      <c r="L2870" s="879"/>
      <c r="M2870" s="881"/>
      <c r="N2870" s="883"/>
      <c r="O2870" s="55">
        <v>722</v>
      </c>
      <c r="P2870" s="78"/>
    </row>
    <row r="2871" spans="9:16" ht="13.5" customHeight="1" thickBot="1">
      <c r="I2871" s="882"/>
      <c r="J2871" s="876"/>
      <c r="K2871" s="878"/>
      <c r="L2871" s="880"/>
      <c r="M2871" s="882"/>
      <c r="N2871" s="884"/>
      <c r="O2871" s="56">
        <v>721</v>
      </c>
      <c r="P2871" s="79">
        <f>+N2870-P2870</f>
        <v>0</v>
      </c>
    </row>
    <row r="2872" spans="9:16" ht="16.5" thickBot="1">
      <c r="I2872" s="901" t="s">
        <v>102</v>
      </c>
      <c r="J2872" s="902"/>
      <c r="K2872" s="902"/>
      <c r="L2872" s="902"/>
      <c r="M2872" s="903"/>
      <c r="N2872" s="81">
        <f>SUM(N2862:N2871)</f>
        <v>72228412</v>
      </c>
    </row>
    <row r="2873" spans="9:16" ht="16.5" thickBot="1">
      <c r="I2873" s="885" t="s">
        <v>103</v>
      </c>
      <c r="J2873" s="886"/>
      <c r="K2873" s="886"/>
      <c r="L2873" s="886"/>
      <c r="M2873" s="887"/>
      <c r="N2873" s="69">
        <f>+N2837</f>
        <v>572512997</v>
      </c>
      <c r="O2873" s="241" t="s">
        <v>561</v>
      </c>
      <c r="P2873" s="242"/>
    </row>
    <row r="2874" spans="9:16" ht="16.5" thickBot="1">
      <c r="I2874" s="888" t="s">
        <v>104</v>
      </c>
      <c r="J2874" s="889"/>
      <c r="K2874" s="889"/>
      <c r="L2874" s="889"/>
      <c r="M2874" s="890"/>
      <c r="N2874" s="183">
        <f>SUM(N2872:N2873)</f>
        <v>644741409</v>
      </c>
    </row>
    <row r="2875" spans="9:16">
      <c r="I2875" s="61"/>
      <c r="J2875" s="61"/>
      <c r="K2875" s="61"/>
      <c r="L2875" s="61"/>
      <c r="M2875" s="61"/>
    </row>
    <row r="2876" spans="9:16">
      <c r="I2876" s="51" t="s">
        <v>1189</v>
      </c>
    </row>
    <row r="2877" spans="9:16">
      <c r="N2877" s="139"/>
    </row>
    <row r="2878" spans="9:16">
      <c r="I2878" s="50" t="s">
        <v>105</v>
      </c>
      <c r="L2878" s="146"/>
      <c r="N2878" s="139"/>
    </row>
    <row r="2879" spans="9:16" ht="13.5" customHeight="1" thickBot="1"/>
    <row r="2880" spans="9:16" ht="15.75" thickBot="1">
      <c r="I2880" s="891" t="s">
        <v>106</v>
      </c>
      <c r="J2880" s="892"/>
      <c r="K2880" s="892"/>
      <c r="L2880" s="893"/>
      <c r="N2880" s="50" t="s">
        <v>1126</v>
      </c>
    </row>
    <row r="2881" spans="9:16" ht="30.75" thickBot="1">
      <c r="I2881" s="57" t="s">
        <v>100</v>
      </c>
      <c r="J2881" s="58" t="s">
        <v>108</v>
      </c>
      <c r="K2881" s="287" t="s">
        <v>109</v>
      </c>
      <c r="L2881" s="60" t="s">
        <v>110</v>
      </c>
    </row>
    <row r="2882" spans="9:16">
      <c r="I2882" s="71">
        <v>719</v>
      </c>
      <c r="J2882" s="73"/>
      <c r="K2882" s="74">
        <f>+L2845</f>
        <v>48920000</v>
      </c>
      <c r="L2882" s="195">
        <f>+J2882+K2882</f>
        <v>48920000</v>
      </c>
    </row>
    <row r="2883" spans="9:16">
      <c r="I2883" s="72">
        <v>721</v>
      </c>
      <c r="J2883" s="80">
        <f>+P2863+P2865+P2867+P2869+P2871</f>
        <v>72228412</v>
      </c>
      <c r="K2883" s="74">
        <f>+L2846</f>
        <v>95760634</v>
      </c>
      <c r="L2883" s="195">
        <f>+J2883+K2883</f>
        <v>167989046</v>
      </c>
    </row>
    <row r="2884" spans="9:16">
      <c r="I2884" s="72">
        <v>722</v>
      </c>
      <c r="J2884" s="80">
        <f>+P2862+P2864+P2866+P2868+P2870</f>
        <v>0</v>
      </c>
      <c r="K2884" s="74">
        <f>+L2847</f>
        <v>48461706</v>
      </c>
      <c r="L2884" s="195">
        <f>+J2884+K2884</f>
        <v>48461706</v>
      </c>
    </row>
    <row r="2885" spans="9:16" ht="15.75">
      <c r="I2885" s="72">
        <v>723</v>
      </c>
      <c r="J2885" s="80"/>
      <c r="K2885" s="74">
        <f>+L2848</f>
        <v>378503157</v>
      </c>
      <c r="L2885" s="195">
        <f>+J2885+K2885</f>
        <v>378503157</v>
      </c>
      <c r="N2885" s="193" t="s">
        <v>1028</v>
      </c>
      <c r="O2885" s="175"/>
    </row>
    <row r="2886" spans="9:16" ht="16.5" thickBot="1">
      <c r="I2886" s="164" t="s">
        <v>1077</v>
      </c>
      <c r="J2886" s="165"/>
      <c r="K2886" s="74">
        <f>+L2849</f>
        <v>797500</v>
      </c>
      <c r="L2886" s="196">
        <f>+J2886+K2886</f>
        <v>797500</v>
      </c>
      <c r="N2886" s="52"/>
    </row>
    <row r="2887" spans="9:16" ht="16.5" thickBot="1">
      <c r="I2887" s="169"/>
      <c r="J2887" s="197">
        <f>SUM(J2882:J2886)</f>
        <v>72228412</v>
      </c>
      <c r="K2887" s="197">
        <f>SUM(K2882:K2886)</f>
        <v>572442997</v>
      </c>
      <c r="L2887" s="198">
        <f>SUM(L2882:L2886)</f>
        <v>644671409</v>
      </c>
    </row>
    <row r="2888" spans="9:16" ht="16.5">
      <c r="I2888" s="49" t="s">
        <v>88</v>
      </c>
      <c r="J2888" s="50"/>
    </row>
    <row r="2889" spans="9:16">
      <c r="I2889" s="51" t="s">
        <v>89</v>
      </c>
    </row>
    <row r="2890" spans="9:16">
      <c r="I2890" s="51" t="s">
        <v>90</v>
      </c>
    </row>
    <row r="2891" spans="9:16">
      <c r="I2891" s="51" t="s">
        <v>91</v>
      </c>
    </row>
    <row r="2892" spans="9:16" ht="10.5" customHeight="1">
      <c r="I2892" s="50"/>
      <c r="J2892" s="50"/>
    </row>
    <row r="2893" spans="9:16" ht="15.75">
      <c r="I2893" s="260" t="s">
        <v>1191</v>
      </c>
      <c r="O2893" s="52"/>
    </row>
    <row r="2894" spans="9:16" ht="15.75">
      <c r="I2894" s="53" t="s">
        <v>535</v>
      </c>
      <c r="O2894" s="53"/>
    </row>
    <row r="2895" spans="9:16" ht="16.5">
      <c r="I2895" s="894" t="s">
        <v>909</v>
      </c>
      <c r="J2895" s="894"/>
      <c r="K2895" s="894"/>
      <c r="L2895" s="894"/>
      <c r="M2895" s="894"/>
      <c r="N2895" s="894"/>
      <c r="O2895" s="894"/>
      <c r="P2895" s="894"/>
    </row>
    <row r="2896" spans="9:16" ht="15.75" thickBot="1"/>
    <row r="2897" spans="9:16">
      <c r="I2897" s="895" t="s">
        <v>94</v>
      </c>
      <c r="J2897" s="897" t="s">
        <v>95</v>
      </c>
      <c r="K2897" s="897" t="s">
        <v>96</v>
      </c>
      <c r="L2897" s="897" t="s">
        <v>3</v>
      </c>
      <c r="M2897" s="897" t="s">
        <v>97</v>
      </c>
      <c r="N2897" s="897" t="s">
        <v>98</v>
      </c>
      <c r="O2897" s="897" t="s">
        <v>99</v>
      </c>
      <c r="P2897" s="899"/>
    </row>
    <row r="2898" spans="9:16" ht="15.75" thickBot="1">
      <c r="I2898" s="896"/>
      <c r="J2898" s="898"/>
      <c r="K2898" s="898"/>
      <c r="L2898" s="898"/>
      <c r="M2898" s="898"/>
      <c r="N2898" s="898"/>
      <c r="O2898" s="240" t="s">
        <v>100</v>
      </c>
      <c r="P2898" s="182" t="s">
        <v>101</v>
      </c>
    </row>
    <row r="2899" spans="9:16">
      <c r="I2899" s="881">
        <v>313</v>
      </c>
      <c r="J2899" s="875">
        <v>42657</v>
      </c>
      <c r="K2899" s="877" t="s">
        <v>1014</v>
      </c>
      <c r="L2899" s="879" t="s">
        <v>1192</v>
      </c>
      <c r="M2899" s="881" t="s">
        <v>115</v>
      </c>
      <c r="N2899" s="883">
        <v>70000</v>
      </c>
      <c r="O2899" s="55">
        <v>719</v>
      </c>
      <c r="P2899" s="78">
        <v>70000</v>
      </c>
    </row>
    <row r="2900" spans="9:16" ht="15.75" thickBot="1">
      <c r="I2900" s="882"/>
      <c r="J2900" s="876"/>
      <c r="K2900" s="878"/>
      <c r="L2900" s="880"/>
      <c r="M2900" s="882"/>
      <c r="N2900" s="884"/>
      <c r="O2900" s="56">
        <v>721</v>
      </c>
      <c r="P2900" s="79">
        <f>+N2899-P2899</f>
        <v>0</v>
      </c>
    </row>
    <row r="2901" spans="9:16">
      <c r="I2901" s="881">
        <v>314</v>
      </c>
      <c r="J2901" s="875">
        <v>42657</v>
      </c>
      <c r="K2901" s="877" t="s">
        <v>28</v>
      </c>
      <c r="L2901" s="879" t="s">
        <v>1193</v>
      </c>
      <c r="M2901" s="881" t="s">
        <v>115</v>
      </c>
      <c r="N2901" s="883">
        <v>30000</v>
      </c>
      <c r="O2901" s="55">
        <v>719</v>
      </c>
      <c r="P2901" s="78">
        <v>30000</v>
      </c>
    </row>
    <row r="2902" spans="9:16" ht="15.75" thickBot="1">
      <c r="I2902" s="882"/>
      <c r="J2902" s="876"/>
      <c r="K2902" s="878"/>
      <c r="L2902" s="880"/>
      <c r="M2902" s="882"/>
      <c r="N2902" s="884"/>
      <c r="O2902" s="56">
        <v>721</v>
      </c>
      <c r="P2902" s="79">
        <f>+N2901-P2901</f>
        <v>0</v>
      </c>
    </row>
    <row r="2903" spans="9:16">
      <c r="I2903" s="881">
        <v>315</v>
      </c>
      <c r="J2903" s="875">
        <v>42657</v>
      </c>
      <c r="K2903" s="877" t="s">
        <v>120</v>
      </c>
      <c r="L2903" s="879" t="s">
        <v>1165</v>
      </c>
      <c r="M2903" s="881" t="s">
        <v>115</v>
      </c>
      <c r="N2903" s="883">
        <v>50000</v>
      </c>
      <c r="O2903" s="55">
        <v>719</v>
      </c>
      <c r="P2903" s="78">
        <v>50000</v>
      </c>
    </row>
    <row r="2904" spans="9:16" ht="15.75" thickBot="1">
      <c r="I2904" s="882"/>
      <c r="J2904" s="876"/>
      <c r="K2904" s="878"/>
      <c r="L2904" s="880"/>
      <c r="M2904" s="882"/>
      <c r="N2904" s="884"/>
      <c r="O2904" s="56">
        <v>721</v>
      </c>
      <c r="P2904" s="79">
        <f>+N2903-P2903</f>
        <v>0</v>
      </c>
    </row>
    <row r="2905" spans="9:16">
      <c r="I2905" s="881"/>
      <c r="J2905" s="875"/>
      <c r="K2905" s="877"/>
      <c r="L2905" s="879"/>
      <c r="M2905" s="881"/>
      <c r="N2905" s="883"/>
      <c r="O2905" s="55">
        <v>719</v>
      </c>
      <c r="P2905" s="78">
        <v>0</v>
      </c>
    </row>
    <row r="2906" spans="9:16" ht="14.25" customHeight="1" thickBot="1">
      <c r="I2906" s="882"/>
      <c r="J2906" s="876"/>
      <c r="K2906" s="878"/>
      <c r="L2906" s="880"/>
      <c r="M2906" s="882"/>
      <c r="N2906" s="884"/>
      <c r="O2906" s="56">
        <v>721</v>
      </c>
      <c r="P2906" s="79">
        <f>+N2905-P2905</f>
        <v>0</v>
      </c>
    </row>
    <row r="2907" spans="9:16" ht="13.5" customHeight="1">
      <c r="I2907" s="881"/>
      <c r="J2907" s="875"/>
      <c r="K2907" s="877"/>
      <c r="L2907" s="879"/>
      <c r="M2907" s="881"/>
      <c r="N2907" s="883"/>
      <c r="O2907" s="55">
        <v>719</v>
      </c>
      <c r="P2907" s="78"/>
    </row>
    <row r="2908" spans="9:16" ht="12.75" customHeight="1" thickBot="1">
      <c r="I2908" s="882"/>
      <c r="J2908" s="876"/>
      <c r="K2908" s="878"/>
      <c r="L2908" s="880"/>
      <c r="M2908" s="882"/>
      <c r="N2908" s="884"/>
      <c r="O2908" s="56">
        <v>721</v>
      </c>
      <c r="P2908" s="79">
        <f>+N2907-P2907</f>
        <v>0</v>
      </c>
    </row>
    <row r="2909" spans="9:16" ht="16.5" thickBot="1">
      <c r="I2909" s="901" t="s">
        <v>102</v>
      </c>
      <c r="J2909" s="902"/>
      <c r="K2909" s="902"/>
      <c r="L2909" s="902"/>
      <c r="M2909" s="903"/>
      <c r="N2909" s="81">
        <f>SUM(N2899:N2908)</f>
        <v>150000</v>
      </c>
    </row>
    <row r="2910" spans="9:16" ht="16.5" thickBot="1">
      <c r="I2910" s="885" t="s">
        <v>103</v>
      </c>
      <c r="J2910" s="886"/>
      <c r="K2910" s="886"/>
      <c r="L2910" s="886"/>
      <c r="M2910" s="887"/>
      <c r="N2910" s="69">
        <f>+N2874</f>
        <v>644741409</v>
      </c>
      <c r="O2910" s="241" t="s">
        <v>561</v>
      </c>
      <c r="P2910" s="242">
        <f>76+80+291</f>
        <v>447</v>
      </c>
    </row>
    <row r="2911" spans="9:16" ht="16.5" thickBot="1">
      <c r="I2911" s="888" t="s">
        <v>104</v>
      </c>
      <c r="J2911" s="889"/>
      <c r="K2911" s="889"/>
      <c r="L2911" s="889"/>
      <c r="M2911" s="890"/>
      <c r="N2911" s="183">
        <f>SUM(N2909:N2910)</f>
        <v>644891409</v>
      </c>
    </row>
    <row r="2912" spans="9:16">
      <c r="I2912" s="61"/>
      <c r="J2912" s="61"/>
      <c r="K2912" s="61"/>
      <c r="L2912" s="61"/>
      <c r="M2912" s="61"/>
    </row>
    <row r="2913" spans="9:15">
      <c r="I2913" s="51" t="s">
        <v>1194</v>
      </c>
    </row>
    <row r="2914" spans="9:15">
      <c r="N2914" s="139"/>
    </row>
    <row r="2915" spans="9:15">
      <c r="I2915" s="50" t="s">
        <v>105</v>
      </c>
      <c r="L2915" s="146"/>
      <c r="N2915" s="139"/>
    </row>
    <row r="2916" spans="9:15" ht="12.75" customHeight="1" thickBot="1"/>
    <row r="2917" spans="9:15" ht="15.75" thickBot="1">
      <c r="I2917" s="891" t="s">
        <v>106</v>
      </c>
      <c r="J2917" s="892"/>
      <c r="K2917" s="892"/>
      <c r="L2917" s="893"/>
      <c r="N2917" s="50" t="s">
        <v>1126</v>
      </c>
    </row>
    <row r="2918" spans="9:15" ht="30.75" thickBot="1">
      <c r="I2918" s="57" t="s">
        <v>100</v>
      </c>
      <c r="J2918" s="58" t="s">
        <v>108</v>
      </c>
      <c r="K2918" s="287" t="s">
        <v>109</v>
      </c>
      <c r="L2918" s="60" t="s">
        <v>110</v>
      </c>
    </row>
    <row r="2919" spans="9:15">
      <c r="I2919" s="71">
        <v>719</v>
      </c>
      <c r="J2919" s="73">
        <f>+P2899+P2901+P2903+P2905</f>
        <v>150000</v>
      </c>
      <c r="K2919" s="74">
        <f>+L2882</f>
        <v>48920000</v>
      </c>
      <c r="L2919" s="195">
        <f>+J2919+K2919</f>
        <v>49070000</v>
      </c>
    </row>
    <row r="2920" spans="9:15">
      <c r="I2920" s="72">
        <v>721</v>
      </c>
      <c r="J2920" s="80">
        <f>+P2900+P2902+P2904+P2906+P2908</f>
        <v>0</v>
      </c>
      <c r="K2920" s="74">
        <f>+L2883</f>
        <v>167989046</v>
      </c>
      <c r="L2920" s="195">
        <f>+J2920+K2920</f>
        <v>167989046</v>
      </c>
    </row>
    <row r="2921" spans="9:15">
      <c r="I2921" s="72">
        <v>722</v>
      </c>
      <c r="J2921" s="80"/>
      <c r="K2921" s="74">
        <f>+L2884</f>
        <v>48461706</v>
      </c>
      <c r="L2921" s="195">
        <f>+J2921+K2921</f>
        <v>48461706</v>
      </c>
    </row>
    <row r="2922" spans="9:15" ht="15.75">
      <c r="I2922" s="72">
        <v>723</v>
      </c>
      <c r="J2922" s="80"/>
      <c r="K2922" s="74">
        <f>+L2885</f>
        <v>378503157</v>
      </c>
      <c r="L2922" s="195">
        <f>+J2922+K2922</f>
        <v>378503157</v>
      </c>
      <c r="N2922" s="193" t="s">
        <v>1028</v>
      </c>
      <c r="O2922" s="175"/>
    </row>
    <row r="2923" spans="9:15" ht="16.5" thickBot="1">
      <c r="I2923" s="164" t="s">
        <v>1077</v>
      </c>
      <c r="J2923" s="165"/>
      <c r="K2923" s="74">
        <f>+L2886</f>
        <v>797500</v>
      </c>
      <c r="L2923" s="196">
        <f>+J2923+K2923</f>
        <v>797500</v>
      </c>
      <c r="N2923" s="52"/>
    </row>
    <row r="2924" spans="9:15" ht="16.5" thickBot="1">
      <c r="I2924" s="169"/>
      <c r="J2924" s="197">
        <f>SUM(J2919:J2923)</f>
        <v>150000</v>
      </c>
      <c r="K2924" s="197">
        <f>SUM(K2919:K2923)</f>
        <v>644671409</v>
      </c>
      <c r="L2924" s="198">
        <f>SUM(L2919:L2923)</f>
        <v>644821409</v>
      </c>
    </row>
    <row r="2925" spans="9:15" ht="16.5">
      <c r="I2925" s="49" t="s">
        <v>88</v>
      </c>
      <c r="J2925" s="50"/>
    </row>
    <row r="2926" spans="9:15">
      <c r="I2926" s="51" t="s">
        <v>89</v>
      </c>
    </row>
    <row r="2927" spans="9:15">
      <c r="I2927" s="51" t="s">
        <v>90</v>
      </c>
    </row>
    <row r="2928" spans="9:15">
      <c r="I2928" s="51" t="s">
        <v>91</v>
      </c>
    </row>
    <row r="2929" spans="9:16" ht="9.75" customHeight="1">
      <c r="I2929" s="50"/>
      <c r="J2929" s="50"/>
    </row>
    <row r="2930" spans="9:16" ht="15.75">
      <c r="I2930" s="260" t="s">
        <v>1197</v>
      </c>
      <c r="O2930" s="52"/>
    </row>
    <row r="2931" spans="9:16" ht="15.75">
      <c r="I2931" s="53" t="s">
        <v>535</v>
      </c>
      <c r="O2931" s="53"/>
    </row>
    <row r="2932" spans="9:16" ht="16.5">
      <c r="I2932" s="894" t="s">
        <v>909</v>
      </c>
      <c r="J2932" s="894"/>
      <c r="K2932" s="894"/>
      <c r="L2932" s="894"/>
      <c r="M2932" s="894"/>
      <c r="N2932" s="894"/>
      <c r="O2932" s="894"/>
      <c r="P2932" s="894"/>
    </row>
    <row r="2933" spans="9:16" ht="15.75" thickBot="1"/>
    <row r="2934" spans="9:16">
      <c r="I2934" s="895" t="s">
        <v>94</v>
      </c>
      <c r="J2934" s="897" t="s">
        <v>95</v>
      </c>
      <c r="K2934" s="897" t="s">
        <v>96</v>
      </c>
      <c r="L2934" s="897" t="s">
        <v>3</v>
      </c>
      <c r="M2934" s="897" t="s">
        <v>97</v>
      </c>
      <c r="N2934" s="897" t="s">
        <v>98</v>
      </c>
      <c r="O2934" s="897" t="s">
        <v>99</v>
      </c>
      <c r="P2934" s="899"/>
    </row>
    <row r="2935" spans="9:16" ht="15.75" thickBot="1">
      <c r="I2935" s="896"/>
      <c r="J2935" s="898"/>
      <c r="K2935" s="898"/>
      <c r="L2935" s="898"/>
      <c r="M2935" s="898"/>
      <c r="N2935" s="898"/>
      <c r="O2935" s="240" t="s">
        <v>100</v>
      </c>
      <c r="P2935" s="182" t="s">
        <v>101</v>
      </c>
    </row>
    <row r="2936" spans="9:16">
      <c r="I2936" s="881">
        <v>316</v>
      </c>
      <c r="J2936" s="875">
        <v>42684</v>
      </c>
      <c r="K2936" s="877" t="s">
        <v>267</v>
      </c>
      <c r="L2936" s="879" t="s">
        <v>1195</v>
      </c>
      <c r="M2936" s="881" t="s">
        <v>148</v>
      </c>
      <c r="N2936" s="883">
        <v>130000</v>
      </c>
      <c r="O2936" s="55">
        <v>719</v>
      </c>
      <c r="P2936" s="78">
        <v>100000</v>
      </c>
    </row>
    <row r="2937" spans="9:16" ht="15.75" thickBot="1">
      <c r="I2937" s="882"/>
      <c r="J2937" s="876"/>
      <c r="K2937" s="878"/>
      <c r="L2937" s="880"/>
      <c r="M2937" s="882"/>
      <c r="N2937" s="884"/>
      <c r="O2937" s="56">
        <v>721</v>
      </c>
      <c r="P2937" s="79">
        <f>+N2936-P2936</f>
        <v>30000</v>
      </c>
    </row>
    <row r="2938" spans="9:16" ht="15" customHeight="1">
      <c r="I2938" s="881">
        <v>317</v>
      </c>
      <c r="J2938" s="875">
        <v>42684</v>
      </c>
      <c r="K2938" s="877" t="s">
        <v>28</v>
      </c>
      <c r="L2938" s="879" t="s">
        <v>1196</v>
      </c>
      <c r="M2938" s="881" t="s">
        <v>148</v>
      </c>
      <c r="N2938" s="883">
        <v>559000</v>
      </c>
      <c r="O2938" s="55">
        <v>719</v>
      </c>
      <c r="P2938" s="78">
        <v>430000</v>
      </c>
    </row>
    <row r="2939" spans="9:16" ht="15.75" customHeight="1" thickBot="1">
      <c r="I2939" s="882"/>
      <c r="J2939" s="876"/>
      <c r="K2939" s="878"/>
      <c r="L2939" s="880"/>
      <c r="M2939" s="882"/>
      <c r="N2939" s="884"/>
      <c r="O2939" s="56">
        <v>721</v>
      </c>
      <c r="P2939" s="79">
        <f>+N2938-P2938</f>
        <v>129000</v>
      </c>
    </row>
    <row r="2940" spans="9:16" ht="15" customHeight="1">
      <c r="I2940" s="881">
        <v>318</v>
      </c>
      <c r="J2940" s="875">
        <v>42684</v>
      </c>
      <c r="K2940" s="877" t="s">
        <v>111</v>
      </c>
      <c r="L2940" s="879" t="s">
        <v>1198</v>
      </c>
      <c r="M2940" s="881" t="s">
        <v>148</v>
      </c>
      <c r="N2940" s="883">
        <v>104000</v>
      </c>
      <c r="O2940" s="55">
        <v>719</v>
      </c>
      <c r="P2940" s="78">
        <v>80000</v>
      </c>
    </row>
    <row r="2941" spans="9:16" ht="15.75" customHeight="1" thickBot="1">
      <c r="I2941" s="882"/>
      <c r="J2941" s="876"/>
      <c r="K2941" s="878"/>
      <c r="L2941" s="880"/>
      <c r="M2941" s="882"/>
      <c r="N2941" s="884"/>
      <c r="O2941" s="56">
        <v>721</v>
      </c>
      <c r="P2941" s="79">
        <f>+N2940-P2940</f>
        <v>24000</v>
      </c>
    </row>
    <row r="2942" spans="9:16" ht="15" customHeight="1">
      <c r="I2942" s="881">
        <v>319</v>
      </c>
      <c r="J2942" s="875">
        <v>42684</v>
      </c>
      <c r="K2942" s="877" t="s">
        <v>1014</v>
      </c>
      <c r="L2942" s="879" t="s">
        <v>1196</v>
      </c>
      <c r="M2942" s="881" t="s">
        <v>148</v>
      </c>
      <c r="N2942" s="883">
        <v>1105000</v>
      </c>
      <c r="O2942" s="55">
        <v>719</v>
      </c>
      <c r="P2942" s="78">
        <v>850000</v>
      </c>
    </row>
    <row r="2943" spans="9:16" ht="15.75" customHeight="1" thickBot="1">
      <c r="I2943" s="882"/>
      <c r="J2943" s="876"/>
      <c r="K2943" s="878"/>
      <c r="L2943" s="880"/>
      <c r="M2943" s="882"/>
      <c r="N2943" s="884"/>
      <c r="O2943" s="56">
        <v>721</v>
      </c>
      <c r="P2943" s="79">
        <f>+N2942-P2942</f>
        <v>255000</v>
      </c>
    </row>
    <row r="2944" spans="9:16">
      <c r="I2944" s="881"/>
      <c r="J2944" s="875"/>
      <c r="K2944" s="877"/>
      <c r="L2944" s="879"/>
      <c r="M2944" s="881"/>
      <c r="N2944" s="883"/>
      <c r="O2944" s="55">
        <v>719</v>
      </c>
      <c r="P2944" s="78"/>
    </row>
    <row r="2945" spans="9:16" ht="15.75" thickBot="1">
      <c r="I2945" s="882"/>
      <c r="J2945" s="876"/>
      <c r="K2945" s="878"/>
      <c r="L2945" s="880"/>
      <c r="M2945" s="882"/>
      <c r="N2945" s="884"/>
      <c r="O2945" s="56">
        <v>721</v>
      </c>
      <c r="P2945" s="79">
        <f>+N2944-P2944</f>
        <v>0</v>
      </c>
    </row>
    <row r="2946" spans="9:16" ht="16.5" thickBot="1">
      <c r="I2946" s="901" t="s">
        <v>102</v>
      </c>
      <c r="J2946" s="902"/>
      <c r="K2946" s="902"/>
      <c r="L2946" s="902"/>
      <c r="M2946" s="903"/>
      <c r="N2946" s="81">
        <f>SUM(N2936:N2945)</f>
        <v>1898000</v>
      </c>
    </row>
    <row r="2947" spans="9:16" ht="16.5" thickBot="1">
      <c r="I2947" s="885" t="s">
        <v>103</v>
      </c>
      <c r="J2947" s="886"/>
      <c r="K2947" s="886"/>
      <c r="L2947" s="886"/>
      <c r="M2947" s="887"/>
      <c r="N2947" s="69">
        <f>+N2911</f>
        <v>644891409</v>
      </c>
      <c r="O2947" s="241" t="s">
        <v>561</v>
      </c>
      <c r="P2947" s="242">
        <f>1061+35+841+56</f>
        <v>1993</v>
      </c>
    </row>
    <row r="2948" spans="9:16" ht="16.5" thickBot="1">
      <c r="I2948" s="888" t="s">
        <v>104</v>
      </c>
      <c r="J2948" s="889"/>
      <c r="K2948" s="889"/>
      <c r="L2948" s="889"/>
      <c r="M2948" s="890"/>
      <c r="N2948" s="183">
        <f>SUM(N2946:N2947)</f>
        <v>646789409</v>
      </c>
    </row>
    <row r="2949" spans="9:16">
      <c r="I2949" s="61"/>
      <c r="J2949" s="61"/>
      <c r="K2949" s="61"/>
      <c r="L2949" s="61"/>
      <c r="M2949" s="61"/>
    </row>
    <row r="2950" spans="9:16">
      <c r="I2950" s="51" t="s">
        <v>1199</v>
      </c>
    </row>
    <row r="2951" spans="9:16">
      <c r="N2951" s="139"/>
    </row>
    <row r="2952" spans="9:16">
      <c r="I2952" s="50" t="s">
        <v>105</v>
      </c>
      <c r="L2952" s="146"/>
      <c r="N2952" s="139"/>
    </row>
    <row r="2953" spans="9:16" ht="10.5" customHeight="1" thickBot="1"/>
    <row r="2954" spans="9:16" ht="15.75" thickBot="1">
      <c r="I2954" s="891" t="s">
        <v>106</v>
      </c>
      <c r="J2954" s="892"/>
      <c r="K2954" s="892"/>
      <c r="L2954" s="893"/>
      <c r="N2954" s="50" t="s">
        <v>1126</v>
      </c>
    </row>
    <row r="2955" spans="9:16" ht="30.75" thickBot="1">
      <c r="I2955" s="57" t="s">
        <v>100</v>
      </c>
      <c r="J2955" s="58" t="s">
        <v>108</v>
      </c>
      <c r="K2955" s="287" t="s">
        <v>109</v>
      </c>
      <c r="L2955" s="60" t="s">
        <v>110</v>
      </c>
    </row>
    <row r="2956" spans="9:16">
      <c r="I2956" s="71">
        <v>719</v>
      </c>
      <c r="J2956" s="73">
        <f>+P2936+P2938+P2940+P2942</f>
        <v>1460000</v>
      </c>
      <c r="K2956" s="74">
        <f>+L2919</f>
        <v>49070000</v>
      </c>
      <c r="L2956" s="195">
        <f>+J2956+K2956</f>
        <v>50530000</v>
      </c>
    </row>
    <row r="2957" spans="9:16">
      <c r="I2957" s="72">
        <v>721</v>
      </c>
      <c r="J2957" s="80">
        <f>+P2937+P2939+P2941+P2943+P2945</f>
        <v>438000</v>
      </c>
      <c r="K2957" s="74">
        <f>+L2920</f>
        <v>167989046</v>
      </c>
      <c r="L2957" s="195">
        <f>+J2957+K2957</f>
        <v>168427046</v>
      </c>
    </row>
    <row r="2958" spans="9:16">
      <c r="I2958" s="72">
        <v>722</v>
      </c>
      <c r="J2958" s="80"/>
      <c r="K2958" s="74">
        <f>+L2921</f>
        <v>48461706</v>
      </c>
      <c r="L2958" s="195">
        <f>+J2958+K2958</f>
        <v>48461706</v>
      </c>
    </row>
    <row r="2959" spans="9:16" ht="15.75">
      <c r="I2959" s="72">
        <v>723</v>
      </c>
      <c r="J2959" s="80"/>
      <c r="K2959" s="74">
        <f>+L2922</f>
        <v>378503157</v>
      </c>
      <c r="L2959" s="195">
        <f>+J2959+K2959</f>
        <v>378503157</v>
      </c>
      <c r="N2959" s="193" t="s">
        <v>1028</v>
      </c>
      <c r="O2959" s="175"/>
    </row>
    <row r="2960" spans="9:16" ht="16.5" thickBot="1">
      <c r="I2960" s="164" t="s">
        <v>1077</v>
      </c>
      <c r="J2960" s="165"/>
      <c r="K2960" s="74">
        <f>+L2923</f>
        <v>797500</v>
      </c>
      <c r="L2960" s="196">
        <f>+J2960+K2960</f>
        <v>797500</v>
      </c>
      <c r="N2960" s="52"/>
    </row>
    <row r="2961" spans="9:16" ht="16.5" thickBot="1">
      <c r="I2961" s="169"/>
      <c r="J2961" s="197">
        <f>SUM(J2956:J2960)</f>
        <v>1898000</v>
      </c>
      <c r="K2961" s="197">
        <f>SUM(K2956:K2960)</f>
        <v>644821409</v>
      </c>
      <c r="L2961" s="198">
        <f>SUM(L2956:L2960)</f>
        <v>646719409</v>
      </c>
    </row>
    <row r="2962" spans="9:16" ht="16.5">
      <c r="I2962" s="49" t="s">
        <v>88</v>
      </c>
      <c r="J2962" s="50"/>
    </row>
    <row r="2963" spans="9:16">
      <c r="I2963" s="51" t="s">
        <v>89</v>
      </c>
    </row>
    <row r="2964" spans="9:16">
      <c r="I2964" s="51" t="s">
        <v>90</v>
      </c>
    </row>
    <row r="2965" spans="9:16">
      <c r="I2965" s="51" t="s">
        <v>91</v>
      </c>
    </row>
    <row r="2966" spans="9:16" ht="12" customHeight="1">
      <c r="I2966" s="50"/>
      <c r="J2966" s="50"/>
    </row>
    <row r="2967" spans="9:16" ht="15.75">
      <c r="I2967" s="260" t="s">
        <v>1200</v>
      </c>
      <c r="O2967" s="52"/>
    </row>
    <row r="2968" spans="9:16" ht="15.75">
      <c r="I2968" s="53" t="s">
        <v>535</v>
      </c>
      <c r="O2968" s="53"/>
    </row>
    <row r="2969" spans="9:16" ht="16.5">
      <c r="I2969" s="894" t="s">
        <v>909</v>
      </c>
      <c r="J2969" s="894"/>
      <c r="K2969" s="894"/>
      <c r="L2969" s="894"/>
      <c r="M2969" s="894"/>
      <c r="N2969" s="894"/>
      <c r="O2969" s="894"/>
      <c r="P2969" s="894"/>
    </row>
    <row r="2970" spans="9:16" ht="15.75" thickBot="1"/>
    <row r="2971" spans="9:16">
      <c r="I2971" s="895" t="s">
        <v>94</v>
      </c>
      <c r="J2971" s="897" t="s">
        <v>95</v>
      </c>
      <c r="K2971" s="897" t="s">
        <v>96</v>
      </c>
      <c r="L2971" s="897" t="s">
        <v>3</v>
      </c>
      <c r="M2971" s="897" t="s">
        <v>97</v>
      </c>
      <c r="N2971" s="897" t="s">
        <v>98</v>
      </c>
      <c r="O2971" s="897" t="s">
        <v>99</v>
      </c>
      <c r="P2971" s="899"/>
    </row>
    <row r="2972" spans="9:16" ht="15.75" thickBot="1">
      <c r="I2972" s="896"/>
      <c r="J2972" s="898"/>
      <c r="K2972" s="898"/>
      <c r="L2972" s="898"/>
      <c r="M2972" s="898"/>
      <c r="N2972" s="898"/>
      <c r="O2972" s="240" t="s">
        <v>100</v>
      </c>
      <c r="P2972" s="182" t="s">
        <v>101</v>
      </c>
    </row>
    <row r="2973" spans="9:16">
      <c r="I2973" s="881">
        <v>320</v>
      </c>
      <c r="J2973" s="875">
        <v>42684</v>
      </c>
      <c r="K2973" s="877" t="s">
        <v>267</v>
      </c>
      <c r="L2973" s="879" t="s">
        <v>1201</v>
      </c>
      <c r="M2973" s="881" t="s">
        <v>148</v>
      </c>
      <c r="N2973" s="883">
        <v>52000</v>
      </c>
      <c r="O2973" s="55">
        <v>719</v>
      </c>
      <c r="P2973" s="78">
        <v>40000</v>
      </c>
    </row>
    <row r="2974" spans="9:16" ht="15.75" thickBot="1">
      <c r="I2974" s="882"/>
      <c r="J2974" s="876"/>
      <c r="K2974" s="878"/>
      <c r="L2974" s="880"/>
      <c r="M2974" s="882"/>
      <c r="N2974" s="884"/>
      <c r="O2974" s="56">
        <v>721</v>
      </c>
      <c r="P2974" s="79">
        <f>+N2973-P2973</f>
        <v>12000</v>
      </c>
    </row>
    <row r="2975" spans="9:16">
      <c r="I2975" s="881">
        <v>321</v>
      </c>
      <c r="J2975" s="875">
        <v>42684</v>
      </c>
      <c r="K2975" s="877" t="s">
        <v>28</v>
      </c>
      <c r="L2975" s="879" t="s">
        <v>1202</v>
      </c>
      <c r="M2975" s="881" t="s">
        <v>148</v>
      </c>
      <c r="N2975" s="883">
        <v>442000</v>
      </c>
      <c r="O2975" s="55">
        <v>719</v>
      </c>
      <c r="P2975" s="78">
        <v>340000</v>
      </c>
    </row>
    <row r="2976" spans="9:16" ht="15.75" thickBot="1">
      <c r="I2976" s="882"/>
      <c r="J2976" s="876"/>
      <c r="K2976" s="878"/>
      <c r="L2976" s="880"/>
      <c r="M2976" s="882"/>
      <c r="N2976" s="884"/>
      <c r="O2976" s="56">
        <v>721</v>
      </c>
      <c r="P2976" s="79">
        <f>+N2975-P2975</f>
        <v>102000</v>
      </c>
    </row>
    <row r="2977" spans="9:16">
      <c r="I2977" s="881">
        <v>322</v>
      </c>
      <c r="J2977" s="875">
        <v>42684</v>
      </c>
      <c r="K2977" s="877" t="s">
        <v>111</v>
      </c>
      <c r="L2977" s="879" t="s">
        <v>1203</v>
      </c>
      <c r="M2977" s="881" t="s">
        <v>148</v>
      </c>
      <c r="N2977" s="883">
        <v>104000</v>
      </c>
      <c r="O2977" s="55">
        <v>719</v>
      </c>
      <c r="P2977" s="78">
        <v>80000</v>
      </c>
    </row>
    <row r="2978" spans="9:16" ht="15.75" thickBot="1">
      <c r="I2978" s="882"/>
      <c r="J2978" s="876"/>
      <c r="K2978" s="878"/>
      <c r="L2978" s="880"/>
      <c r="M2978" s="882"/>
      <c r="N2978" s="884"/>
      <c r="O2978" s="56">
        <v>721</v>
      </c>
      <c r="P2978" s="79">
        <f>+N2977-P2977</f>
        <v>24000</v>
      </c>
    </row>
    <row r="2979" spans="9:16">
      <c r="I2979" s="881">
        <v>323</v>
      </c>
      <c r="J2979" s="875">
        <v>42684</v>
      </c>
      <c r="K2979" s="877" t="s">
        <v>1014</v>
      </c>
      <c r="L2979" s="879" t="s">
        <v>1202</v>
      </c>
      <c r="M2979" s="881" t="s">
        <v>148</v>
      </c>
      <c r="N2979" s="883">
        <v>1053000</v>
      </c>
      <c r="O2979" s="55">
        <v>719</v>
      </c>
      <c r="P2979" s="78">
        <v>810000</v>
      </c>
    </row>
    <row r="2980" spans="9:16" ht="15.75" thickBot="1">
      <c r="I2980" s="882"/>
      <c r="J2980" s="876"/>
      <c r="K2980" s="878"/>
      <c r="L2980" s="880"/>
      <c r="M2980" s="882"/>
      <c r="N2980" s="884"/>
      <c r="O2980" s="56">
        <v>721</v>
      </c>
      <c r="P2980" s="79">
        <f>+N2979-P2979</f>
        <v>243000</v>
      </c>
    </row>
    <row r="2981" spans="9:16">
      <c r="I2981" s="881"/>
      <c r="J2981" s="875"/>
      <c r="K2981" s="877"/>
      <c r="L2981" s="879"/>
      <c r="M2981" s="881"/>
      <c r="N2981" s="883"/>
      <c r="O2981" s="55">
        <v>719</v>
      </c>
      <c r="P2981" s="78"/>
    </row>
    <row r="2982" spans="9:16" ht="15.75" thickBot="1">
      <c r="I2982" s="882"/>
      <c r="J2982" s="876"/>
      <c r="K2982" s="878"/>
      <c r="L2982" s="880"/>
      <c r="M2982" s="882"/>
      <c r="N2982" s="884"/>
      <c r="O2982" s="56">
        <v>721</v>
      </c>
      <c r="P2982" s="79">
        <f>+N2981-P2981</f>
        <v>0</v>
      </c>
    </row>
    <row r="2983" spans="9:16" ht="16.5" thickBot="1">
      <c r="I2983" s="901" t="s">
        <v>102</v>
      </c>
      <c r="J2983" s="902"/>
      <c r="K2983" s="902"/>
      <c r="L2983" s="902"/>
      <c r="M2983" s="903"/>
      <c r="N2983" s="81">
        <f>SUM(N2973:N2982)</f>
        <v>1651000</v>
      </c>
    </row>
    <row r="2984" spans="9:16" ht="16.5" thickBot="1">
      <c r="I2984" s="885" t="s">
        <v>103</v>
      </c>
      <c r="J2984" s="886"/>
      <c r="K2984" s="886"/>
      <c r="L2984" s="886"/>
      <c r="M2984" s="887"/>
      <c r="N2984" s="69">
        <f>+N2948</f>
        <v>646789409</v>
      </c>
      <c r="O2984" s="241" t="s">
        <v>561</v>
      </c>
      <c r="P2984" s="242">
        <f>1174+29+720+29</f>
        <v>1952</v>
      </c>
    </row>
    <row r="2985" spans="9:16" ht="16.5" thickBot="1">
      <c r="I2985" s="888" t="s">
        <v>104</v>
      </c>
      <c r="J2985" s="889"/>
      <c r="K2985" s="889"/>
      <c r="L2985" s="889"/>
      <c r="M2985" s="890"/>
      <c r="N2985" s="183">
        <f>SUM(N2983:N2984)</f>
        <v>648440409</v>
      </c>
    </row>
    <row r="2986" spans="9:16" ht="11.25" customHeight="1">
      <c r="I2986" s="61"/>
      <c r="J2986" s="61"/>
      <c r="K2986" s="61"/>
      <c r="L2986" s="61"/>
      <c r="M2986" s="61"/>
    </row>
    <row r="2987" spans="9:16">
      <c r="I2987" s="51" t="s">
        <v>1204</v>
      </c>
    </row>
    <row r="2988" spans="9:16">
      <c r="N2988" s="139"/>
    </row>
    <row r="2989" spans="9:16">
      <c r="I2989" s="50" t="s">
        <v>105</v>
      </c>
      <c r="L2989" s="146"/>
      <c r="N2989" s="139"/>
    </row>
    <row r="2990" spans="9:16" ht="14.25" customHeight="1" thickBot="1"/>
    <row r="2991" spans="9:16" ht="15.75" thickBot="1">
      <c r="I2991" s="891" t="s">
        <v>106</v>
      </c>
      <c r="J2991" s="892"/>
      <c r="K2991" s="892"/>
      <c r="L2991" s="893"/>
      <c r="N2991" s="50" t="s">
        <v>1126</v>
      </c>
    </row>
    <row r="2992" spans="9:16" ht="30.75" thickBot="1">
      <c r="I2992" s="57" t="s">
        <v>100</v>
      </c>
      <c r="J2992" s="58" t="s">
        <v>108</v>
      </c>
      <c r="K2992" s="287" t="s">
        <v>109</v>
      </c>
      <c r="L2992" s="60" t="s">
        <v>110</v>
      </c>
    </row>
    <row r="2993" spans="9:16">
      <c r="I2993" s="71">
        <v>719</v>
      </c>
      <c r="J2993" s="73">
        <f>+P2973+P2975+P2977+P2979</f>
        <v>1270000</v>
      </c>
      <c r="K2993" s="74">
        <f>+L2956</f>
        <v>50530000</v>
      </c>
      <c r="L2993" s="195">
        <f>+J2993+K2993</f>
        <v>51800000</v>
      </c>
    </row>
    <row r="2994" spans="9:16">
      <c r="I2994" s="72">
        <v>721</v>
      </c>
      <c r="J2994" s="80">
        <f>+P2974+P2976+P2978+P2980+P2982</f>
        <v>381000</v>
      </c>
      <c r="K2994" s="74">
        <f>+L2957</f>
        <v>168427046</v>
      </c>
      <c r="L2994" s="195">
        <f>+J2994+K2994</f>
        <v>168808046</v>
      </c>
    </row>
    <row r="2995" spans="9:16">
      <c r="I2995" s="72">
        <v>722</v>
      </c>
      <c r="J2995" s="80"/>
      <c r="K2995" s="74">
        <f>+L2958</f>
        <v>48461706</v>
      </c>
      <c r="L2995" s="195">
        <f>+J2995+K2995</f>
        <v>48461706</v>
      </c>
    </row>
    <row r="2996" spans="9:16" ht="15.75">
      <c r="I2996" s="72">
        <v>723</v>
      </c>
      <c r="J2996" s="80"/>
      <c r="K2996" s="74">
        <f>+L2959</f>
        <v>378503157</v>
      </c>
      <c r="L2996" s="195">
        <f>+J2996+K2996</f>
        <v>378503157</v>
      </c>
      <c r="N2996" s="193" t="s">
        <v>1028</v>
      </c>
      <c r="O2996" s="175"/>
    </row>
    <row r="2997" spans="9:16" ht="16.5" thickBot="1">
      <c r="I2997" s="164" t="s">
        <v>1077</v>
      </c>
      <c r="J2997" s="165"/>
      <c r="K2997" s="74">
        <f>+L2960</f>
        <v>797500</v>
      </c>
      <c r="L2997" s="196">
        <f>+J2997+K2997</f>
        <v>797500</v>
      </c>
      <c r="N2997" s="52"/>
    </row>
    <row r="2998" spans="9:16" ht="16.5" thickBot="1">
      <c r="I2998" s="169"/>
      <c r="J2998" s="197">
        <f>SUM(J2993:J2997)</f>
        <v>1651000</v>
      </c>
      <c r="K2998" s="197">
        <f>SUM(K2993:K2997)</f>
        <v>646719409</v>
      </c>
      <c r="L2998" s="198">
        <f>SUM(L2993:L2997)</f>
        <v>648370409</v>
      </c>
    </row>
    <row r="2999" spans="9:16" ht="16.5">
      <c r="I2999" s="49" t="s">
        <v>88</v>
      </c>
      <c r="J2999" s="50"/>
    </row>
    <row r="3000" spans="9:16">
      <c r="I3000" s="51" t="s">
        <v>89</v>
      </c>
    </row>
    <row r="3001" spans="9:16">
      <c r="I3001" s="51" t="s">
        <v>90</v>
      </c>
    </row>
    <row r="3002" spans="9:16">
      <c r="I3002" s="51" t="s">
        <v>91</v>
      </c>
    </row>
    <row r="3003" spans="9:16" ht="12" customHeight="1">
      <c r="I3003" s="50"/>
      <c r="J3003" s="50"/>
    </row>
    <row r="3004" spans="9:16" ht="15.75">
      <c r="I3004" s="260" t="s">
        <v>1206</v>
      </c>
      <c r="O3004" s="52"/>
    </row>
    <row r="3005" spans="9:16" ht="15.75">
      <c r="I3005" s="53" t="s">
        <v>535</v>
      </c>
      <c r="O3005" s="53"/>
    </row>
    <row r="3006" spans="9:16" ht="16.5">
      <c r="I3006" s="894" t="s">
        <v>909</v>
      </c>
      <c r="J3006" s="894"/>
      <c r="K3006" s="894"/>
      <c r="L3006" s="894"/>
      <c r="M3006" s="894"/>
      <c r="N3006" s="894"/>
      <c r="O3006" s="894"/>
      <c r="P3006" s="894"/>
    </row>
    <row r="3007" spans="9:16" ht="15.75" thickBot="1"/>
    <row r="3008" spans="9:16">
      <c r="I3008" s="895" t="s">
        <v>94</v>
      </c>
      <c r="J3008" s="897" t="s">
        <v>95</v>
      </c>
      <c r="K3008" s="897" t="s">
        <v>96</v>
      </c>
      <c r="L3008" s="897" t="s">
        <v>3</v>
      </c>
      <c r="M3008" s="897" t="s">
        <v>97</v>
      </c>
      <c r="N3008" s="897" t="s">
        <v>98</v>
      </c>
      <c r="O3008" s="897" t="s">
        <v>99</v>
      </c>
      <c r="P3008" s="899"/>
    </row>
    <row r="3009" spans="9:16" ht="15.75" thickBot="1">
      <c r="I3009" s="896"/>
      <c r="J3009" s="898"/>
      <c r="K3009" s="898"/>
      <c r="L3009" s="898"/>
      <c r="M3009" s="898"/>
      <c r="N3009" s="898"/>
      <c r="O3009" s="240" t="s">
        <v>100</v>
      </c>
      <c r="P3009" s="182" t="s">
        <v>101</v>
      </c>
    </row>
    <row r="3010" spans="9:16">
      <c r="I3010" s="881">
        <v>324</v>
      </c>
      <c r="J3010" s="875">
        <v>42692</v>
      </c>
      <c r="K3010" s="877" t="s">
        <v>1014</v>
      </c>
      <c r="L3010" s="879" t="s">
        <v>1207</v>
      </c>
      <c r="M3010" s="881" t="s">
        <v>115</v>
      </c>
      <c r="N3010" s="883">
        <v>70000</v>
      </c>
      <c r="O3010" s="55">
        <v>719</v>
      </c>
      <c r="P3010" s="78">
        <v>70000</v>
      </c>
    </row>
    <row r="3011" spans="9:16" ht="15.75" thickBot="1">
      <c r="I3011" s="882"/>
      <c r="J3011" s="876"/>
      <c r="K3011" s="878"/>
      <c r="L3011" s="880"/>
      <c r="M3011" s="882"/>
      <c r="N3011" s="884"/>
      <c r="O3011" s="56">
        <v>721</v>
      </c>
      <c r="P3011" s="79">
        <f>+N3010-P3010</f>
        <v>0</v>
      </c>
    </row>
    <row r="3012" spans="9:16" ht="15" customHeight="1">
      <c r="I3012" s="881">
        <v>325</v>
      </c>
      <c r="J3012" s="875">
        <v>42692</v>
      </c>
      <c r="K3012" s="877" t="s">
        <v>28</v>
      </c>
      <c r="L3012" s="879" t="s">
        <v>1208</v>
      </c>
      <c r="M3012" s="881" t="s">
        <v>115</v>
      </c>
      <c r="N3012" s="883">
        <v>80000</v>
      </c>
      <c r="O3012" s="55">
        <v>719</v>
      </c>
      <c r="P3012" s="78">
        <v>80000</v>
      </c>
    </row>
    <row r="3013" spans="9:16" ht="15.75" customHeight="1" thickBot="1">
      <c r="I3013" s="882"/>
      <c r="J3013" s="876"/>
      <c r="K3013" s="878"/>
      <c r="L3013" s="880"/>
      <c r="M3013" s="882"/>
      <c r="N3013" s="884"/>
      <c r="O3013" s="56">
        <v>721</v>
      </c>
      <c r="P3013" s="79">
        <f>+N3012-P3012</f>
        <v>0</v>
      </c>
    </row>
    <row r="3014" spans="9:16" ht="15" customHeight="1">
      <c r="I3014" s="881">
        <v>326</v>
      </c>
      <c r="J3014" s="875">
        <v>42692</v>
      </c>
      <c r="K3014" s="877" t="s">
        <v>120</v>
      </c>
      <c r="L3014" s="879" t="s">
        <v>1209</v>
      </c>
      <c r="M3014" s="881" t="s">
        <v>115</v>
      </c>
      <c r="N3014" s="883">
        <v>110000</v>
      </c>
      <c r="O3014" s="55">
        <v>719</v>
      </c>
      <c r="P3014" s="78">
        <v>110000</v>
      </c>
    </row>
    <row r="3015" spans="9:16" ht="15.75" customHeight="1" thickBot="1">
      <c r="I3015" s="882"/>
      <c r="J3015" s="876"/>
      <c r="K3015" s="878"/>
      <c r="L3015" s="880"/>
      <c r="M3015" s="882"/>
      <c r="N3015" s="884"/>
      <c r="O3015" s="56">
        <v>721</v>
      </c>
      <c r="P3015" s="79">
        <f>+N3014-P3014</f>
        <v>0</v>
      </c>
    </row>
    <row r="3016" spans="9:16">
      <c r="I3016" s="881"/>
      <c r="J3016" s="875"/>
      <c r="K3016" s="877"/>
      <c r="L3016" s="879"/>
      <c r="M3016" s="881"/>
      <c r="N3016" s="883"/>
      <c r="O3016" s="55">
        <v>719</v>
      </c>
      <c r="P3016" s="78">
        <v>0</v>
      </c>
    </row>
    <row r="3017" spans="9:16" ht="15.75" thickBot="1">
      <c r="I3017" s="882"/>
      <c r="J3017" s="876"/>
      <c r="K3017" s="878"/>
      <c r="L3017" s="880"/>
      <c r="M3017" s="882"/>
      <c r="N3017" s="884"/>
      <c r="O3017" s="56">
        <v>721</v>
      </c>
      <c r="P3017" s="79">
        <f>+N3016-P3016</f>
        <v>0</v>
      </c>
    </row>
    <row r="3018" spans="9:16">
      <c r="I3018" s="881"/>
      <c r="J3018" s="875"/>
      <c r="K3018" s="877"/>
      <c r="L3018" s="879"/>
      <c r="M3018" s="881"/>
      <c r="N3018" s="883"/>
      <c r="O3018" s="55">
        <v>719</v>
      </c>
      <c r="P3018" s="78"/>
    </row>
    <row r="3019" spans="9:16" ht="15.75" thickBot="1">
      <c r="I3019" s="882"/>
      <c r="J3019" s="876"/>
      <c r="K3019" s="878"/>
      <c r="L3019" s="880"/>
      <c r="M3019" s="882"/>
      <c r="N3019" s="884"/>
      <c r="O3019" s="56">
        <v>721</v>
      </c>
      <c r="P3019" s="79">
        <f>+N3018-P3018</f>
        <v>0</v>
      </c>
    </row>
    <row r="3020" spans="9:16" ht="16.5" thickBot="1">
      <c r="I3020" s="901" t="s">
        <v>102</v>
      </c>
      <c r="J3020" s="902"/>
      <c r="K3020" s="902"/>
      <c r="L3020" s="902"/>
      <c r="M3020" s="903"/>
      <c r="N3020" s="81">
        <f>SUM(N3010:N3019)</f>
        <v>260000</v>
      </c>
    </row>
    <row r="3021" spans="9:16" ht="16.5" thickBot="1">
      <c r="I3021" s="885" t="s">
        <v>103</v>
      </c>
      <c r="J3021" s="886"/>
      <c r="K3021" s="886"/>
      <c r="L3021" s="886"/>
      <c r="M3021" s="887"/>
      <c r="N3021" s="69">
        <f>+N2985</f>
        <v>648440409</v>
      </c>
      <c r="O3021" s="241" t="s">
        <v>561</v>
      </c>
      <c r="P3021" s="242">
        <f>235+115+352</f>
        <v>702</v>
      </c>
    </row>
    <row r="3022" spans="9:16" ht="16.5" thickBot="1">
      <c r="I3022" s="888" t="s">
        <v>104</v>
      </c>
      <c r="J3022" s="889"/>
      <c r="K3022" s="889"/>
      <c r="L3022" s="889"/>
      <c r="M3022" s="890"/>
      <c r="N3022" s="183">
        <f>SUM(N3020:N3021)</f>
        <v>648700409</v>
      </c>
    </row>
    <row r="3023" spans="9:16">
      <c r="I3023" s="61"/>
      <c r="J3023" s="61"/>
      <c r="K3023" s="61"/>
      <c r="L3023" s="61"/>
      <c r="M3023" s="61"/>
    </row>
    <row r="3024" spans="9:16">
      <c r="I3024" s="51" t="s">
        <v>1210</v>
      </c>
    </row>
    <row r="3025" spans="9:15" ht="11.25" customHeight="1">
      <c r="N3025" s="139"/>
    </row>
    <row r="3026" spans="9:15">
      <c r="I3026" s="50" t="s">
        <v>105</v>
      </c>
      <c r="L3026" s="146"/>
      <c r="N3026" s="139"/>
    </row>
    <row r="3027" spans="9:15" ht="13.5" customHeight="1" thickBot="1"/>
    <row r="3028" spans="9:15" ht="15.75" thickBot="1">
      <c r="I3028" s="891" t="s">
        <v>106</v>
      </c>
      <c r="J3028" s="892"/>
      <c r="K3028" s="892"/>
      <c r="L3028" s="893"/>
      <c r="N3028" s="50" t="s">
        <v>1126</v>
      </c>
    </row>
    <row r="3029" spans="9:15" ht="30.75" thickBot="1">
      <c r="I3029" s="57" t="s">
        <v>100</v>
      </c>
      <c r="J3029" s="58" t="s">
        <v>108</v>
      </c>
      <c r="K3029" s="287" t="s">
        <v>109</v>
      </c>
      <c r="L3029" s="60" t="s">
        <v>110</v>
      </c>
    </row>
    <row r="3030" spans="9:15">
      <c r="I3030" s="71">
        <v>719</v>
      </c>
      <c r="J3030" s="73">
        <f>+P3010+P3012+P3014+P3016</f>
        <v>260000</v>
      </c>
      <c r="K3030" s="74">
        <f>+L2993</f>
        <v>51800000</v>
      </c>
      <c r="L3030" s="195">
        <f>+J3030+K3030</f>
        <v>52060000</v>
      </c>
    </row>
    <row r="3031" spans="9:15">
      <c r="I3031" s="72">
        <v>721</v>
      </c>
      <c r="J3031" s="80">
        <f>+P3011+P3013+P3015+P3017+P3019</f>
        <v>0</v>
      </c>
      <c r="K3031" s="74">
        <f>+L2994</f>
        <v>168808046</v>
      </c>
      <c r="L3031" s="195">
        <f>+J3031+K3031</f>
        <v>168808046</v>
      </c>
    </row>
    <row r="3032" spans="9:15">
      <c r="I3032" s="72">
        <v>722</v>
      </c>
      <c r="J3032" s="80"/>
      <c r="K3032" s="74">
        <f>+L2995</f>
        <v>48461706</v>
      </c>
      <c r="L3032" s="195">
        <f>+J3032+K3032</f>
        <v>48461706</v>
      </c>
    </row>
    <row r="3033" spans="9:15" ht="15.75">
      <c r="I3033" s="72">
        <v>723</v>
      </c>
      <c r="J3033" s="80"/>
      <c r="K3033" s="74">
        <f>+L2996</f>
        <v>378503157</v>
      </c>
      <c r="L3033" s="195">
        <f>+J3033+K3033</f>
        <v>378503157</v>
      </c>
      <c r="N3033" s="193" t="s">
        <v>1028</v>
      </c>
      <c r="O3033" s="175"/>
    </row>
    <row r="3034" spans="9:15" ht="16.5" thickBot="1">
      <c r="I3034" s="164" t="s">
        <v>1077</v>
      </c>
      <c r="J3034" s="165"/>
      <c r="K3034" s="74">
        <f>+L2997</f>
        <v>797500</v>
      </c>
      <c r="L3034" s="196">
        <f>+J3034+K3034</f>
        <v>797500</v>
      </c>
      <c r="N3034" s="52"/>
    </row>
    <row r="3035" spans="9:15" ht="16.5" thickBot="1">
      <c r="I3035" s="169"/>
      <c r="J3035" s="197">
        <f>SUM(J3030:J3034)</f>
        <v>260000</v>
      </c>
      <c r="K3035" s="197">
        <f>SUM(K3030:K3034)</f>
        <v>648370409</v>
      </c>
      <c r="L3035" s="198">
        <f>SUM(L3030:L3034)</f>
        <v>648630409</v>
      </c>
    </row>
    <row r="3036" spans="9:15" ht="16.5">
      <c r="I3036" s="49" t="s">
        <v>88</v>
      </c>
      <c r="J3036" s="50"/>
    </row>
    <row r="3037" spans="9:15">
      <c r="I3037" s="51" t="s">
        <v>89</v>
      </c>
    </row>
    <row r="3038" spans="9:15">
      <c r="I3038" s="51" t="s">
        <v>90</v>
      </c>
    </row>
    <row r="3039" spans="9:15">
      <c r="I3039" s="51" t="s">
        <v>91</v>
      </c>
    </row>
    <row r="3040" spans="9:15" ht="11.25" customHeight="1">
      <c r="I3040" s="50"/>
      <c r="J3040" s="50"/>
    </row>
    <row r="3041" spans="9:16" ht="15.75">
      <c r="I3041" s="260" t="s">
        <v>1217</v>
      </c>
      <c r="O3041" s="52"/>
    </row>
    <row r="3042" spans="9:16" ht="15.75">
      <c r="I3042" s="53" t="s">
        <v>535</v>
      </c>
      <c r="O3042" s="53"/>
    </row>
    <row r="3043" spans="9:16" ht="16.5">
      <c r="I3043" s="894" t="s">
        <v>909</v>
      </c>
      <c r="J3043" s="894"/>
      <c r="K3043" s="894"/>
      <c r="L3043" s="894"/>
      <c r="M3043" s="894"/>
      <c r="N3043" s="894"/>
      <c r="O3043" s="894"/>
      <c r="P3043" s="894"/>
    </row>
    <row r="3044" spans="9:16" ht="15.75" thickBot="1"/>
    <row r="3045" spans="9:16">
      <c r="I3045" s="895" t="s">
        <v>94</v>
      </c>
      <c r="J3045" s="897" t="s">
        <v>95</v>
      </c>
      <c r="K3045" s="897" t="s">
        <v>96</v>
      </c>
      <c r="L3045" s="897" t="s">
        <v>3</v>
      </c>
      <c r="M3045" s="897" t="s">
        <v>97</v>
      </c>
      <c r="N3045" s="897" t="s">
        <v>98</v>
      </c>
      <c r="O3045" s="897" t="s">
        <v>99</v>
      </c>
      <c r="P3045" s="899"/>
    </row>
    <row r="3046" spans="9:16" ht="15.75" thickBot="1">
      <c r="I3046" s="896"/>
      <c r="J3046" s="898"/>
      <c r="K3046" s="898"/>
      <c r="L3046" s="898"/>
      <c r="M3046" s="898"/>
      <c r="N3046" s="898"/>
      <c r="O3046" s="240" t="s">
        <v>100</v>
      </c>
      <c r="P3046" s="182" t="s">
        <v>101</v>
      </c>
    </row>
    <row r="3047" spans="9:16">
      <c r="I3047" s="881">
        <v>327</v>
      </c>
      <c r="J3047" s="875">
        <v>42703</v>
      </c>
      <c r="K3047" s="877" t="s">
        <v>1014</v>
      </c>
      <c r="L3047" s="879" t="s">
        <v>1218</v>
      </c>
      <c r="M3047" s="881" t="s">
        <v>115</v>
      </c>
      <c r="N3047" s="883">
        <v>50000</v>
      </c>
      <c r="O3047" s="55">
        <v>719</v>
      </c>
      <c r="P3047" s="78">
        <v>50000</v>
      </c>
    </row>
    <row r="3048" spans="9:16" ht="15.75" thickBot="1">
      <c r="I3048" s="882"/>
      <c r="J3048" s="876"/>
      <c r="K3048" s="878"/>
      <c r="L3048" s="880"/>
      <c r="M3048" s="882"/>
      <c r="N3048" s="884"/>
      <c r="O3048" s="56">
        <v>721</v>
      </c>
      <c r="P3048" s="79">
        <f>+N3047-P3047</f>
        <v>0</v>
      </c>
    </row>
    <row r="3049" spans="9:16" ht="15" customHeight="1">
      <c r="I3049" s="881">
        <v>328</v>
      </c>
      <c r="J3049" s="875">
        <v>42703</v>
      </c>
      <c r="K3049" s="877" t="s">
        <v>28</v>
      </c>
      <c r="L3049" s="879" t="s">
        <v>1218</v>
      </c>
      <c r="M3049" s="881" t="s">
        <v>115</v>
      </c>
      <c r="N3049" s="883">
        <v>50000</v>
      </c>
      <c r="O3049" s="55">
        <v>719</v>
      </c>
      <c r="P3049" s="78">
        <v>50000</v>
      </c>
    </row>
    <row r="3050" spans="9:16" ht="15.75" customHeight="1" thickBot="1">
      <c r="I3050" s="882"/>
      <c r="J3050" s="876"/>
      <c r="K3050" s="878"/>
      <c r="L3050" s="880"/>
      <c r="M3050" s="882"/>
      <c r="N3050" s="884"/>
      <c r="O3050" s="56">
        <v>721</v>
      </c>
      <c r="P3050" s="79">
        <f>+N3049-P3049</f>
        <v>0</v>
      </c>
    </row>
    <row r="3051" spans="9:16" ht="15" customHeight="1">
      <c r="I3051" s="881">
        <v>329</v>
      </c>
      <c r="J3051" s="875">
        <v>42703</v>
      </c>
      <c r="K3051" s="877" t="s">
        <v>120</v>
      </c>
      <c r="L3051" s="879" t="s">
        <v>1219</v>
      </c>
      <c r="M3051" s="881" t="s">
        <v>115</v>
      </c>
      <c r="N3051" s="883">
        <v>30000</v>
      </c>
      <c r="O3051" s="55">
        <v>719</v>
      </c>
      <c r="P3051" s="78">
        <v>30000</v>
      </c>
    </row>
    <row r="3052" spans="9:16" ht="15.75" customHeight="1" thickBot="1">
      <c r="I3052" s="882"/>
      <c r="J3052" s="876"/>
      <c r="K3052" s="878"/>
      <c r="L3052" s="880"/>
      <c r="M3052" s="882"/>
      <c r="N3052" s="884"/>
      <c r="O3052" s="56">
        <v>721</v>
      </c>
      <c r="P3052" s="79">
        <f>+N3051-P3051</f>
        <v>0</v>
      </c>
    </row>
    <row r="3053" spans="9:16">
      <c r="I3053" s="881">
        <v>330</v>
      </c>
      <c r="J3053" s="875">
        <v>42703</v>
      </c>
      <c r="K3053" s="877" t="s">
        <v>674</v>
      </c>
      <c r="L3053" s="879" t="s">
        <v>1221</v>
      </c>
      <c r="M3053" s="881" t="s">
        <v>148</v>
      </c>
      <c r="N3053" s="883">
        <v>1350000</v>
      </c>
      <c r="O3053" s="55">
        <v>719</v>
      </c>
      <c r="P3053" s="78">
        <v>0</v>
      </c>
    </row>
    <row r="3054" spans="9:16" ht="15.75" thickBot="1">
      <c r="I3054" s="882"/>
      <c r="J3054" s="876"/>
      <c r="K3054" s="878"/>
      <c r="L3054" s="880"/>
      <c r="M3054" s="882"/>
      <c r="N3054" s="884"/>
      <c r="O3054" s="56">
        <v>723</v>
      </c>
      <c r="P3054" s="79">
        <f>+N3053-P3053</f>
        <v>1350000</v>
      </c>
    </row>
    <row r="3055" spans="9:16">
      <c r="I3055" s="881"/>
      <c r="J3055" s="875"/>
      <c r="K3055" s="877"/>
      <c r="L3055" s="879"/>
      <c r="M3055" s="881"/>
      <c r="N3055" s="883"/>
      <c r="O3055" s="55">
        <v>719</v>
      </c>
      <c r="P3055" s="78"/>
    </row>
    <row r="3056" spans="9:16" ht="15.75" thickBot="1">
      <c r="I3056" s="882"/>
      <c r="J3056" s="876"/>
      <c r="K3056" s="878"/>
      <c r="L3056" s="880"/>
      <c r="M3056" s="882"/>
      <c r="N3056" s="884"/>
      <c r="O3056" s="56">
        <v>721</v>
      </c>
      <c r="P3056" s="79">
        <f>+N3055-P3055</f>
        <v>0</v>
      </c>
    </row>
    <row r="3057" spans="9:16" ht="16.5" thickBot="1">
      <c r="I3057" s="901" t="s">
        <v>102</v>
      </c>
      <c r="J3057" s="902"/>
      <c r="K3057" s="902"/>
      <c r="L3057" s="902"/>
      <c r="M3057" s="903"/>
      <c r="N3057" s="81">
        <f>SUM(N3047:N3056)</f>
        <v>1480000</v>
      </c>
    </row>
    <row r="3058" spans="9:16" ht="16.5" thickBot="1">
      <c r="I3058" s="885" t="s">
        <v>103</v>
      </c>
      <c r="J3058" s="886"/>
      <c r="K3058" s="886"/>
      <c r="L3058" s="886"/>
      <c r="M3058" s="887"/>
      <c r="N3058" s="69">
        <f>+N3022</f>
        <v>648700409</v>
      </c>
      <c r="O3058" s="241" t="s">
        <v>561</v>
      </c>
      <c r="P3058" s="242">
        <f>48+92+184</f>
        <v>324</v>
      </c>
    </row>
    <row r="3059" spans="9:16" ht="16.5" thickBot="1">
      <c r="I3059" s="888" t="s">
        <v>104</v>
      </c>
      <c r="J3059" s="889"/>
      <c r="K3059" s="889"/>
      <c r="L3059" s="889"/>
      <c r="M3059" s="890"/>
      <c r="N3059" s="183">
        <f>SUM(N3057:N3058)</f>
        <v>650180409</v>
      </c>
    </row>
    <row r="3060" spans="9:16" ht="12" customHeight="1">
      <c r="I3060" s="61"/>
      <c r="J3060" s="61"/>
      <c r="K3060" s="61"/>
      <c r="L3060" s="61"/>
      <c r="M3060" s="61"/>
    </row>
    <row r="3061" spans="9:16">
      <c r="I3061" s="51" t="s">
        <v>1220</v>
      </c>
    </row>
    <row r="3062" spans="9:16" ht="12" customHeight="1">
      <c r="N3062" s="139"/>
    </row>
    <row r="3063" spans="9:16">
      <c r="I3063" s="50" t="s">
        <v>105</v>
      </c>
      <c r="L3063" s="146"/>
      <c r="N3063" s="139"/>
    </row>
    <row r="3064" spans="9:16" ht="12.75" customHeight="1" thickBot="1"/>
    <row r="3065" spans="9:16" ht="15.75" thickBot="1">
      <c r="I3065" s="891" t="s">
        <v>106</v>
      </c>
      <c r="J3065" s="892"/>
      <c r="K3065" s="892"/>
      <c r="L3065" s="893"/>
      <c r="N3065" s="50" t="s">
        <v>288</v>
      </c>
    </row>
    <row r="3066" spans="9:16" ht="30.75" thickBot="1">
      <c r="I3066" s="57" t="s">
        <v>100</v>
      </c>
      <c r="J3066" s="58" t="s">
        <v>108</v>
      </c>
      <c r="K3066" s="287" t="s">
        <v>109</v>
      </c>
      <c r="L3066" s="60" t="s">
        <v>110</v>
      </c>
    </row>
    <row r="3067" spans="9:16">
      <c r="I3067" s="71">
        <v>719</v>
      </c>
      <c r="J3067" s="73">
        <f>+P3047+P3049+P3051+P3053</f>
        <v>130000</v>
      </c>
      <c r="K3067" s="74">
        <f>+L3030</f>
        <v>52060000</v>
      </c>
      <c r="L3067" s="195">
        <f>+J3067+K3067</f>
        <v>52190000</v>
      </c>
    </row>
    <row r="3068" spans="9:16">
      <c r="I3068" s="72">
        <v>721</v>
      </c>
      <c r="J3068" s="80"/>
      <c r="K3068" s="74">
        <f>+L3031</f>
        <v>168808046</v>
      </c>
      <c r="L3068" s="195">
        <f>+J3068+K3068</f>
        <v>168808046</v>
      </c>
    </row>
    <row r="3069" spans="9:16">
      <c r="I3069" s="72">
        <v>722</v>
      </c>
      <c r="J3069" s="80"/>
      <c r="K3069" s="74">
        <f>+L3032</f>
        <v>48461706</v>
      </c>
      <c r="L3069" s="195">
        <f>+J3069+K3069</f>
        <v>48461706</v>
      </c>
    </row>
    <row r="3070" spans="9:16" ht="15.75">
      <c r="I3070" s="72">
        <v>723</v>
      </c>
      <c r="J3070" s="80">
        <f>+P3054</f>
        <v>1350000</v>
      </c>
      <c r="K3070" s="74">
        <f>+L3033</f>
        <v>378503157</v>
      </c>
      <c r="L3070" s="195">
        <f>+J3070+K3070</f>
        <v>379853157</v>
      </c>
      <c r="N3070" s="193" t="s">
        <v>289</v>
      </c>
      <c r="O3070" s="175"/>
    </row>
    <row r="3071" spans="9:16" ht="16.5" thickBot="1">
      <c r="I3071" s="164" t="s">
        <v>1077</v>
      </c>
      <c r="J3071" s="165"/>
      <c r="K3071" s="74">
        <f>+L3034</f>
        <v>797500</v>
      </c>
      <c r="L3071" s="196">
        <f>+J3071+K3071</f>
        <v>797500</v>
      </c>
      <c r="N3071" s="52"/>
    </row>
    <row r="3072" spans="9:16" ht="16.5" thickBot="1">
      <c r="I3072" s="169"/>
      <c r="J3072" s="197">
        <f>SUM(J3067:J3071)</f>
        <v>1480000</v>
      </c>
      <c r="K3072" s="197">
        <f>SUM(K3067:K3071)</f>
        <v>648630409</v>
      </c>
      <c r="L3072" s="198">
        <f>SUM(L3067:L3071)</f>
        <v>650110409</v>
      </c>
    </row>
    <row r="3073" spans="9:16" ht="16.5">
      <c r="I3073" s="49" t="s">
        <v>88</v>
      </c>
      <c r="J3073" s="50"/>
    </row>
    <row r="3074" spans="9:16">
      <c r="I3074" s="51" t="s">
        <v>89</v>
      </c>
    </row>
    <row r="3075" spans="9:16">
      <c r="I3075" s="51" t="s">
        <v>90</v>
      </c>
    </row>
    <row r="3076" spans="9:16">
      <c r="I3076" s="51" t="s">
        <v>91</v>
      </c>
    </row>
    <row r="3077" spans="9:16" ht="12" customHeight="1">
      <c r="I3077" s="50"/>
      <c r="J3077" s="50"/>
    </row>
    <row r="3078" spans="9:16" ht="15.75">
      <c r="I3078" s="260" t="s">
        <v>1222</v>
      </c>
      <c r="O3078" s="52"/>
    </row>
    <row r="3079" spans="9:16" ht="15.75">
      <c r="I3079" s="53" t="s">
        <v>535</v>
      </c>
      <c r="O3079" s="53"/>
    </row>
    <row r="3080" spans="9:16" ht="16.5">
      <c r="I3080" s="894" t="s">
        <v>170</v>
      </c>
      <c r="J3080" s="894"/>
      <c r="K3080" s="894"/>
      <c r="L3080" s="894"/>
      <c r="M3080" s="894"/>
      <c r="N3080" s="894"/>
      <c r="O3080" s="894"/>
      <c r="P3080" s="894"/>
    </row>
    <row r="3081" spans="9:16" ht="15.75" thickBot="1"/>
    <row r="3082" spans="9:16">
      <c r="I3082" s="895" t="s">
        <v>94</v>
      </c>
      <c r="J3082" s="897" t="s">
        <v>95</v>
      </c>
      <c r="K3082" s="897" t="s">
        <v>96</v>
      </c>
      <c r="L3082" s="897" t="s">
        <v>3</v>
      </c>
      <c r="M3082" s="897" t="s">
        <v>97</v>
      </c>
      <c r="N3082" s="897" t="s">
        <v>98</v>
      </c>
      <c r="O3082" s="897" t="s">
        <v>99</v>
      </c>
      <c r="P3082" s="899"/>
    </row>
    <row r="3083" spans="9:16" ht="15.75" thickBot="1">
      <c r="I3083" s="896"/>
      <c r="J3083" s="898"/>
      <c r="K3083" s="898"/>
      <c r="L3083" s="898"/>
      <c r="M3083" s="898"/>
      <c r="N3083" s="898"/>
      <c r="O3083" s="240" t="s">
        <v>100</v>
      </c>
      <c r="P3083" s="182" t="s">
        <v>101</v>
      </c>
    </row>
    <row r="3084" spans="9:16">
      <c r="I3084" s="881">
        <v>331</v>
      </c>
      <c r="J3084" s="875">
        <v>42704</v>
      </c>
      <c r="K3084" s="877" t="s">
        <v>1014</v>
      </c>
      <c r="L3084" s="879" t="s">
        <v>1224</v>
      </c>
      <c r="M3084" s="881" t="s">
        <v>115</v>
      </c>
      <c r="N3084" s="883">
        <v>70000</v>
      </c>
      <c r="O3084" s="55">
        <v>719</v>
      </c>
      <c r="P3084" s="78">
        <v>70000</v>
      </c>
    </row>
    <row r="3085" spans="9:16" ht="15.75" thickBot="1">
      <c r="I3085" s="882"/>
      <c r="J3085" s="876"/>
      <c r="K3085" s="878"/>
      <c r="L3085" s="880"/>
      <c r="M3085" s="882"/>
      <c r="N3085" s="884"/>
      <c r="O3085" s="56">
        <v>721</v>
      </c>
      <c r="P3085" s="79">
        <f>+N3084-P3084</f>
        <v>0</v>
      </c>
    </row>
    <row r="3086" spans="9:16" ht="15" customHeight="1">
      <c r="I3086" s="881">
        <v>332</v>
      </c>
      <c r="J3086" s="875">
        <v>42704</v>
      </c>
      <c r="K3086" s="877" t="s">
        <v>28</v>
      </c>
      <c r="L3086" s="879" t="s">
        <v>1224</v>
      </c>
      <c r="M3086" s="881" t="s">
        <v>115</v>
      </c>
      <c r="N3086" s="883">
        <v>70000</v>
      </c>
      <c r="O3086" s="55">
        <v>719</v>
      </c>
      <c r="P3086" s="78">
        <v>70000</v>
      </c>
    </row>
    <row r="3087" spans="9:16" ht="15.75" customHeight="1" thickBot="1">
      <c r="I3087" s="882"/>
      <c r="J3087" s="876"/>
      <c r="K3087" s="878"/>
      <c r="L3087" s="880"/>
      <c r="M3087" s="882"/>
      <c r="N3087" s="884"/>
      <c r="O3087" s="56">
        <v>721</v>
      </c>
      <c r="P3087" s="79">
        <f>+N3086-P3086</f>
        <v>0</v>
      </c>
    </row>
    <row r="3088" spans="9:16" ht="15" customHeight="1">
      <c r="I3088" s="881">
        <v>333</v>
      </c>
      <c r="J3088" s="875">
        <v>42704</v>
      </c>
      <c r="K3088" s="877" t="s">
        <v>120</v>
      </c>
      <c r="L3088" s="879" t="s">
        <v>1224</v>
      </c>
      <c r="M3088" s="881" t="s">
        <v>115</v>
      </c>
      <c r="N3088" s="883">
        <v>110000</v>
      </c>
      <c r="O3088" s="55">
        <v>719</v>
      </c>
      <c r="P3088" s="78">
        <v>110000</v>
      </c>
    </row>
    <row r="3089" spans="9:16" ht="15.75" customHeight="1" thickBot="1">
      <c r="I3089" s="882"/>
      <c r="J3089" s="876"/>
      <c r="K3089" s="878"/>
      <c r="L3089" s="880"/>
      <c r="M3089" s="882"/>
      <c r="N3089" s="884"/>
      <c r="O3089" s="56">
        <v>721</v>
      </c>
      <c r="P3089" s="79">
        <f>+N3088-P3088</f>
        <v>0</v>
      </c>
    </row>
    <row r="3090" spans="9:16" ht="15" customHeight="1">
      <c r="I3090" s="881"/>
      <c r="J3090" s="875"/>
      <c r="K3090" s="877"/>
      <c r="L3090" s="879"/>
      <c r="M3090" s="881"/>
      <c r="N3090" s="883"/>
      <c r="O3090" s="55"/>
      <c r="P3090" s="78"/>
    </row>
    <row r="3091" spans="9:16" ht="15.75" customHeight="1" thickBot="1">
      <c r="I3091" s="882"/>
      <c r="J3091" s="876"/>
      <c r="K3091" s="878"/>
      <c r="L3091" s="880"/>
      <c r="M3091" s="882"/>
      <c r="N3091" s="884"/>
      <c r="O3091" s="56"/>
      <c r="P3091" s="79"/>
    </row>
    <row r="3092" spans="9:16" ht="14.25" customHeight="1">
      <c r="I3092" s="881"/>
      <c r="J3092" s="875"/>
      <c r="K3092" s="877"/>
      <c r="L3092" s="879"/>
      <c r="M3092" s="881"/>
      <c r="N3092" s="883"/>
      <c r="O3092" s="55">
        <v>719</v>
      </c>
      <c r="P3092" s="78"/>
    </row>
    <row r="3093" spans="9:16" ht="13.5" customHeight="1" thickBot="1">
      <c r="I3093" s="882"/>
      <c r="J3093" s="876"/>
      <c r="K3093" s="878"/>
      <c r="L3093" s="880"/>
      <c r="M3093" s="882"/>
      <c r="N3093" s="884"/>
      <c r="O3093" s="56">
        <v>721</v>
      </c>
      <c r="P3093" s="79">
        <f>+N3092-P3092</f>
        <v>0</v>
      </c>
    </row>
    <row r="3094" spans="9:16" ht="16.5" thickBot="1">
      <c r="I3094" s="901" t="s">
        <v>102</v>
      </c>
      <c r="J3094" s="902"/>
      <c r="K3094" s="902"/>
      <c r="L3094" s="902"/>
      <c r="M3094" s="903"/>
      <c r="N3094" s="81">
        <f>SUM(N3084:N3093)</f>
        <v>250000</v>
      </c>
    </row>
    <row r="3095" spans="9:16" ht="16.5" thickBot="1">
      <c r="I3095" s="885" t="s">
        <v>103</v>
      </c>
      <c r="J3095" s="886"/>
      <c r="K3095" s="886"/>
      <c r="L3095" s="886"/>
      <c r="M3095" s="887"/>
      <c r="N3095" s="69">
        <f>+N3059</f>
        <v>650180409</v>
      </c>
      <c r="O3095" s="241" t="s">
        <v>561</v>
      </c>
      <c r="P3095" s="242">
        <f>158+308+108</f>
        <v>574</v>
      </c>
    </row>
    <row r="3096" spans="9:16" ht="16.5" thickBot="1">
      <c r="I3096" s="888" t="s">
        <v>104</v>
      </c>
      <c r="J3096" s="889"/>
      <c r="K3096" s="889"/>
      <c r="L3096" s="889"/>
      <c r="M3096" s="890"/>
      <c r="N3096" s="183">
        <f>SUM(N3094:N3095)</f>
        <v>650430409</v>
      </c>
    </row>
    <row r="3097" spans="9:16">
      <c r="I3097" s="61"/>
      <c r="J3097" s="61"/>
      <c r="K3097" s="61"/>
      <c r="L3097" s="61"/>
      <c r="M3097" s="61"/>
    </row>
    <row r="3098" spans="9:16">
      <c r="I3098" s="51" t="s">
        <v>1228</v>
      </c>
    </row>
    <row r="3099" spans="9:16" ht="12.75" customHeight="1">
      <c r="N3099" s="139"/>
    </row>
    <row r="3100" spans="9:16">
      <c r="I3100" s="50" t="s">
        <v>105</v>
      </c>
      <c r="L3100" s="146"/>
      <c r="N3100" s="139"/>
    </row>
    <row r="3101" spans="9:16" ht="12.75" customHeight="1" thickBot="1"/>
    <row r="3102" spans="9:16" ht="15.75" thickBot="1">
      <c r="I3102" s="891" t="s">
        <v>106</v>
      </c>
      <c r="J3102" s="892"/>
      <c r="K3102" s="892"/>
      <c r="L3102" s="893"/>
      <c r="N3102" s="50" t="s">
        <v>288</v>
      </c>
    </row>
    <row r="3103" spans="9:16" ht="30.75" thickBot="1">
      <c r="I3103" s="57" t="s">
        <v>100</v>
      </c>
      <c r="J3103" s="58" t="s">
        <v>108</v>
      </c>
      <c r="K3103" s="287" t="s">
        <v>109</v>
      </c>
      <c r="L3103" s="60" t="s">
        <v>110</v>
      </c>
    </row>
    <row r="3104" spans="9:16">
      <c r="I3104" s="71">
        <v>719</v>
      </c>
      <c r="J3104" s="73">
        <f>+P3084+P3086+P3088+P3090</f>
        <v>250000</v>
      </c>
      <c r="K3104" s="74">
        <f>+L3067</f>
        <v>52190000</v>
      </c>
      <c r="L3104" s="195">
        <f>+J3104+K3104</f>
        <v>52440000</v>
      </c>
    </row>
    <row r="3105" spans="9:16">
      <c r="I3105" s="72">
        <v>721</v>
      </c>
      <c r="J3105" s="80"/>
      <c r="K3105" s="74">
        <f>+L3068</f>
        <v>168808046</v>
      </c>
      <c r="L3105" s="195">
        <f>+J3105+K3105</f>
        <v>168808046</v>
      </c>
    </row>
    <row r="3106" spans="9:16">
      <c r="I3106" s="72">
        <v>722</v>
      </c>
      <c r="J3106" s="80"/>
      <c r="K3106" s="74">
        <f>+L3069</f>
        <v>48461706</v>
      </c>
      <c r="L3106" s="195">
        <f>+J3106+K3106</f>
        <v>48461706</v>
      </c>
    </row>
    <row r="3107" spans="9:16" ht="15.75">
      <c r="I3107" s="72">
        <v>723</v>
      </c>
      <c r="J3107" s="80">
        <f>+P3091</f>
        <v>0</v>
      </c>
      <c r="K3107" s="74">
        <f>+L3070</f>
        <v>379853157</v>
      </c>
      <c r="L3107" s="195">
        <f>+J3107+K3107</f>
        <v>379853157</v>
      </c>
      <c r="N3107" s="193" t="s">
        <v>289</v>
      </c>
      <c r="O3107" s="175"/>
    </row>
    <row r="3108" spans="9:16" ht="16.5" thickBot="1">
      <c r="I3108" s="164" t="s">
        <v>1077</v>
      </c>
      <c r="J3108" s="165"/>
      <c r="K3108" s="74">
        <f>+L3071</f>
        <v>797500</v>
      </c>
      <c r="L3108" s="196">
        <f>+J3108+K3108</f>
        <v>797500</v>
      </c>
      <c r="N3108" s="52"/>
    </row>
    <row r="3109" spans="9:16" ht="16.5" thickBot="1">
      <c r="I3109" s="169"/>
      <c r="J3109" s="197">
        <f>SUM(J3104:J3108)</f>
        <v>250000</v>
      </c>
      <c r="K3109" s="197">
        <f>SUM(K3104:K3108)</f>
        <v>650110409</v>
      </c>
      <c r="L3109" s="198">
        <f>SUM(L3104:L3108)</f>
        <v>650360409</v>
      </c>
    </row>
    <row r="3110" spans="9:16" ht="16.5">
      <c r="I3110" s="49" t="s">
        <v>88</v>
      </c>
      <c r="J3110" s="50"/>
    </row>
    <row r="3111" spans="9:16">
      <c r="I3111" s="51" t="s">
        <v>89</v>
      </c>
    </row>
    <row r="3112" spans="9:16">
      <c r="I3112" s="51" t="s">
        <v>90</v>
      </c>
    </row>
    <row r="3113" spans="9:16">
      <c r="I3113" s="51" t="s">
        <v>91</v>
      </c>
    </row>
    <row r="3114" spans="9:16" ht="12" customHeight="1">
      <c r="I3114" s="50"/>
      <c r="J3114" s="50"/>
    </row>
    <row r="3115" spans="9:16" ht="15.75">
      <c r="I3115" s="260" t="s">
        <v>1227</v>
      </c>
      <c r="O3115" s="52"/>
    </row>
    <row r="3116" spans="9:16" ht="15.75">
      <c r="I3116" s="53" t="s">
        <v>535</v>
      </c>
      <c r="O3116" s="53"/>
    </row>
    <row r="3117" spans="9:16" ht="16.5">
      <c r="I3117" s="894" t="s">
        <v>1226</v>
      </c>
      <c r="J3117" s="894"/>
      <c r="K3117" s="894"/>
      <c r="L3117" s="894"/>
      <c r="M3117" s="894"/>
      <c r="N3117" s="894"/>
      <c r="O3117" s="894"/>
      <c r="P3117" s="894"/>
    </row>
    <row r="3118" spans="9:16" ht="15.75" thickBot="1"/>
    <row r="3119" spans="9:16">
      <c r="I3119" s="895" t="s">
        <v>94</v>
      </c>
      <c r="J3119" s="897" t="s">
        <v>95</v>
      </c>
      <c r="K3119" s="897" t="s">
        <v>96</v>
      </c>
      <c r="L3119" s="897" t="s">
        <v>3</v>
      </c>
      <c r="M3119" s="897" t="s">
        <v>97</v>
      </c>
      <c r="N3119" s="897" t="s">
        <v>98</v>
      </c>
      <c r="O3119" s="897" t="s">
        <v>99</v>
      </c>
      <c r="P3119" s="899"/>
    </row>
    <row r="3120" spans="9:16" ht="15.75" thickBot="1">
      <c r="I3120" s="896"/>
      <c r="J3120" s="898"/>
      <c r="K3120" s="898"/>
      <c r="L3120" s="898"/>
      <c r="M3120" s="898"/>
      <c r="N3120" s="898"/>
      <c r="O3120" s="240" t="s">
        <v>100</v>
      </c>
      <c r="P3120" s="182" t="s">
        <v>101</v>
      </c>
    </row>
    <row r="3121" spans="9:16">
      <c r="I3121" s="881">
        <v>334</v>
      </c>
      <c r="J3121" s="875">
        <v>42704</v>
      </c>
      <c r="K3121" s="877" t="s">
        <v>267</v>
      </c>
      <c r="L3121" s="879" t="s">
        <v>1233</v>
      </c>
      <c r="M3121" s="881" t="s">
        <v>148</v>
      </c>
      <c r="N3121" s="883">
        <v>65000</v>
      </c>
      <c r="O3121" s="55">
        <v>719</v>
      </c>
      <c r="P3121" s="78">
        <v>50000</v>
      </c>
    </row>
    <row r="3122" spans="9:16" ht="15.75" thickBot="1">
      <c r="I3122" s="882"/>
      <c r="J3122" s="876"/>
      <c r="K3122" s="878"/>
      <c r="L3122" s="880"/>
      <c r="M3122" s="882"/>
      <c r="N3122" s="884"/>
      <c r="O3122" s="56">
        <v>721</v>
      </c>
      <c r="P3122" s="79">
        <f>+N3121-P3121</f>
        <v>15000</v>
      </c>
    </row>
    <row r="3123" spans="9:16" ht="15" customHeight="1">
      <c r="I3123" s="881">
        <v>335</v>
      </c>
      <c r="J3123" s="875">
        <v>42704</v>
      </c>
      <c r="K3123" s="877" t="s">
        <v>28</v>
      </c>
      <c r="L3123" s="879" t="s">
        <v>1234</v>
      </c>
      <c r="M3123" s="881" t="s">
        <v>148</v>
      </c>
      <c r="N3123" s="883">
        <v>390000</v>
      </c>
      <c r="O3123" s="55">
        <v>719</v>
      </c>
      <c r="P3123" s="78">
        <v>300000</v>
      </c>
    </row>
    <row r="3124" spans="9:16" ht="15.75" customHeight="1" thickBot="1">
      <c r="I3124" s="882"/>
      <c r="J3124" s="876"/>
      <c r="K3124" s="878"/>
      <c r="L3124" s="880"/>
      <c r="M3124" s="882"/>
      <c r="N3124" s="884"/>
      <c r="O3124" s="56">
        <v>721</v>
      </c>
      <c r="P3124" s="79">
        <f>+N3123-P3123</f>
        <v>90000</v>
      </c>
    </row>
    <row r="3125" spans="9:16" ht="15" customHeight="1">
      <c r="I3125" s="881">
        <v>336</v>
      </c>
      <c r="J3125" s="875">
        <v>42704</v>
      </c>
      <c r="K3125" s="877" t="s">
        <v>111</v>
      </c>
      <c r="L3125" s="879" t="s">
        <v>1232</v>
      </c>
      <c r="M3125" s="881" t="s">
        <v>148</v>
      </c>
      <c r="N3125" s="883">
        <v>104000</v>
      </c>
      <c r="O3125" s="55">
        <v>719</v>
      </c>
      <c r="P3125" s="78">
        <v>80000</v>
      </c>
    </row>
    <row r="3126" spans="9:16" ht="15.75" customHeight="1" thickBot="1">
      <c r="I3126" s="882"/>
      <c r="J3126" s="876"/>
      <c r="K3126" s="878"/>
      <c r="L3126" s="880"/>
      <c r="M3126" s="882"/>
      <c r="N3126" s="884"/>
      <c r="O3126" s="56">
        <v>721</v>
      </c>
      <c r="P3126" s="79">
        <f>+N3125-P3125</f>
        <v>24000</v>
      </c>
    </row>
    <row r="3127" spans="9:16" ht="15" customHeight="1">
      <c r="I3127" s="881">
        <v>337</v>
      </c>
      <c r="J3127" s="875">
        <v>42704</v>
      </c>
      <c r="K3127" s="877" t="s">
        <v>1014</v>
      </c>
      <c r="L3127" s="879" t="s">
        <v>1231</v>
      </c>
      <c r="M3127" s="881" t="s">
        <v>148</v>
      </c>
      <c r="N3127" s="883">
        <v>676000</v>
      </c>
      <c r="O3127" s="55">
        <v>719</v>
      </c>
      <c r="P3127" s="78">
        <v>520000</v>
      </c>
    </row>
    <row r="3128" spans="9:16" ht="15.75" customHeight="1" thickBot="1">
      <c r="I3128" s="882"/>
      <c r="J3128" s="876"/>
      <c r="K3128" s="878"/>
      <c r="L3128" s="880"/>
      <c r="M3128" s="882"/>
      <c r="N3128" s="884"/>
      <c r="O3128" s="56">
        <v>721</v>
      </c>
      <c r="P3128" s="79">
        <f>+N3127-P3127</f>
        <v>156000</v>
      </c>
    </row>
    <row r="3129" spans="9:16" ht="15" customHeight="1">
      <c r="I3129" s="881">
        <v>338</v>
      </c>
      <c r="J3129" s="875">
        <v>42704</v>
      </c>
      <c r="K3129" s="877" t="s">
        <v>1223</v>
      </c>
      <c r="L3129" s="879" t="s">
        <v>1225</v>
      </c>
      <c r="M3129" s="881" t="s">
        <v>148</v>
      </c>
      <c r="N3129" s="883">
        <v>6240000</v>
      </c>
      <c r="O3129" s="55">
        <v>719</v>
      </c>
      <c r="P3129" s="78">
        <v>0</v>
      </c>
    </row>
    <row r="3130" spans="9:16" ht="15.75" customHeight="1" thickBot="1">
      <c r="I3130" s="882"/>
      <c r="J3130" s="876"/>
      <c r="K3130" s="878"/>
      <c r="L3130" s="880"/>
      <c r="M3130" s="882"/>
      <c r="N3130" s="884"/>
      <c r="O3130" s="56">
        <v>723</v>
      </c>
      <c r="P3130" s="79">
        <f>+N3129-P3129</f>
        <v>6240000</v>
      </c>
    </row>
    <row r="3131" spans="9:16" ht="16.5" thickBot="1">
      <c r="I3131" s="901" t="s">
        <v>102</v>
      </c>
      <c r="J3131" s="902"/>
      <c r="K3131" s="902"/>
      <c r="L3131" s="902"/>
      <c r="M3131" s="903"/>
      <c r="N3131" s="81">
        <f>SUM(N3121:N3130)</f>
        <v>7475000</v>
      </c>
    </row>
    <row r="3132" spans="9:16" ht="16.5" thickBot="1">
      <c r="I3132" s="885" t="s">
        <v>103</v>
      </c>
      <c r="J3132" s="886"/>
      <c r="K3132" s="886"/>
      <c r="L3132" s="886"/>
      <c r="M3132" s="887"/>
      <c r="N3132" s="69">
        <f>+N3096</f>
        <v>650430409</v>
      </c>
      <c r="O3132" s="241" t="s">
        <v>561</v>
      </c>
      <c r="P3132" s="242">
        <f>33+37+514+915</f>
        <v>1499</v>
      </c>
    </row>
    <row r="3133" spans="9:16" ht="16.5" thickBot="1">
      <c r="I3133" s="888" t="s">
        <v>104</v>
      </c>
      <c r="J3133" s="889"/>
      <c r="K3133" s="889"/>
      <c r="L3133" s="889"/>
      <c r="M3133" s="890"/>
      <c r="N3133" s="183">
        <f>SUM(N3131:N3132)</f>
        <v>657905409</v>
      </c>
    </row>
    <row r="3134" spans="9:16" ht="12.75" customHeight="1">
      <c r="I3134" s="61"/>
      <c r="J3134" s="61"/>
      <c r="K3134" s="61"/>
      <c r="L3134" s="61"/>
      <c r="M3134" s="61"/>
    </row>
    <row r="3135" spans="9:16">
      <c r="I3135" s="51" t="s">
        <v>1230</v>
      </c>
    </row>
    <row r="3136" spans="9:16" ht="13.5" customHeight="1">
      <c r="N3136" s="139"/>
    </row>
    <row r="3137" spans="9:15">
      <c r="I3137" s="50" t="s">
        <v>105</v>
      </c>
      <c r="L3137" s="146"/>
      <c r="N3137" s="139"/>
    </row>
    <row r="3138" spans="9:15" ht="13.5" customHeight="1" thickBot="1"/>
    <row r="3139" spans="9:15" ht="15.75" thickBot="1">
      <c r="I3139" s="891" t="s">
        <v>106</v>
      </c>
      <c r="J3139" s="892"/>
      <c r="K3139" s="892"/>
      <c r="L3139" s="893"/>
      <c r="N3139" s="50" t="s">
        <v>288</v>
      </c>
    </row>
    <row r="3140" spans="9:15" ht="30.75" thickBot="1">
      <c r="I3140" s="57" t="s">
        <v>100</v>
      </c>
      <c r="J3140" s="58" t="s">
        <v>108</v>
      </c>
      <c r="K3140" s="287" t="s">
        <v>109</v>
      </c>
      <c r="L3140" s="60" t="s">
        <v>110</v>
      </c>
    </row>
    <row r="3141" spans="9:15">
      <c r="I3141" s="71">
        <v>719</v>
      </c>
      <c r="J3141" s="73">
        <f>+P3121+P3123+P3125+P3127</f>
        <v>950000</v>
      </c>
      <c r="K3141" s="74">
        <f>+L3104</f>
        <v>52440000</v>
      </c>
      <c r="L3141" s="195">
        <f>+J3141+K3141</f>
        <v>53390000</v>
      </c>
    </row>
    <row r="3142" spans="9:15">
      <c r="I3142" s="72">
        <v>721</v>
      </c>
      <c r="J3142" s="80">
        <f>+P3128+P3126+P3124+P3122</f>
        <v>285000</v>
      </c>
      <c r="K3142" s="74">
        <f>+L3105</f>
        <v>168808046</v>
      </c>
      <c r="L3142" s="195">
        <f>+J3142+K3142</f>
        <v>169093046</v>
      </c>
    </row>
    <row r="3143" spans="9:15">
      <c r="I3143" s="72">
        <v>722</v>
      </c>
      <c r="J3143" s="80"/>
      <c r="K3143" s="74">
        <f>+L3106</f>
        <v>48461706</v>
      </c>
      <c r="L3143" s="195">
        <f>+J3143+K3143</f>
        <v>48461706</v>
      </c>
    </row>
    <row r="3144" spans="9:15" ht="15.75">
      <c r="I3144" s="72">
        <v>723</v>
      </c>
      <c r="J3144" s="80">
        <f>+P3130</f>
        <v>6240000</v>
      </c>
      <c r="K3144" s="74">
        <f>+L3107</f>
        <v>379853157</v>
      </c>
      <c r="L3144" s="195">
        <f>+J3144+K3144</f>
        <v>386093157</v>
      </c>
      <c r="N3144" s="193" t="s">
        <v>289</v>
      </c>
      <c r="O3144" s="175"/>
    </row>
    <row r="3145" spans="9:15" ht="16.5" thickBot="1">
      <c r="I3145" s="164" t="s">
        <v>1077</v>
      </c>
      <c r="J3145" s="165"/>
      <c r="K3145" s="74">
        <f>+L3108</f>
        <v>797500</v>
      </c>
      <c r="L3145" s="196">
        <f>+J3145+K3145</f>
        <v>797500</v>
      </c>
      <c r="N3145" s="52"/>
    </row>
    <row r="3146" spans="9:15" ht="16.5" thickBot="1">
      <c r="I3146" s="169"/>
      <c r="J3146" s="197">
        <f>SUM(J3141:J3145)</f>
        <v>7475000</v>
      </c>
      <c r="K3146" s="197">
        <f>SUM(K3141:K3145)</f>
        <v>650360409</v>
      </c>
      <c r="L3146" s="198">
        <f>SUM(L3141:L3145)</f>
        <v>657835409</v>
      </c>
    </row>
    <row r="3147" spans="9:15" ht="16.5">
      <c r="I3147" s="49" t="s">
        <v>88</v>
      </c>
      <c r="J3147" s="50"/>
    </row>
    <row r="3148" spans="9:15">
      <c r="I3148" s="51" t="s">
        <v>89</v>
      </c>
      <c r="L3148" s="139"/>
    </row>
    <row r="3149" spans="9:15">
      <c r="I3149" s="51" t="s">
        <v>90</v>
      </c>
    </row>
    <row r="3150" spans="9:15">
      <c r="I3150" s="51" t="s">
        <v>91</v>
      </c>
    </row>
    <row r="3151" spans="9:15" ht="9.75" customHeight="1">
      <c r="I3151" s="50"/>
      <c r="J3151" s="50"/>
    </row>
    <row r="3152" spans="9:15" ht="15.75">
      <c r="I3152" s="260" t="s">
        <v>1238</v>
      </c>
      <c r="O3152" s="52"/>
    </row>
    <row r="3153" spans="9:16" ht="15.75">
      <c r="I3153" s="53" t="s">
        <v>535</v>
      </c>
      <c r="O3153" s="53"/>
    </row>
    <row r="3154" spans="9:16" ht="16.5">
      <c r="I3154" s="894" t="s">
        <v>1243</v>
      </c>
      <c r="J3154" s="894"/>
      <c r="K3154" s="894"/>
      <c r="L3154" s="894"/>
      <c r="M3154" s="894"/>
      <c r="N3154" s="894"/>
      <c r="O3154" s="894"/>
      <c r="P3154" s="894"/>
    </row>
    <row r="3155" spans="9:16" ht="13.5" customHeight="1" thickBot="1"/>
    <row r="3156" spans="9:16">
      <c r="I3156" s="895" t="s">
        <v>94</v>
      </c>
      <c r="J3156" s="897" t="s">
        <v>95</v>
      </c>
      <c r="K3156" s="897" t="s">
        <v>96</v>
      </c>
      <c r="L3156" s="897" t="s">
        <v>3</v>
      </c>
      <c r="M3156" s="897" t="s">
        <v>97</v>
      </c>
      <c r="N3156" s="897" t="s">
        <v>98</v>
      </c>
      <c r="O3156" s="897" t="s">
        <v>99</v>
      </c>
      <c r="P3156" s="899"/>
    </row>
    <row r="3157" spans="9:16" ht="15.75" thickBot="1">
      <c r="I3157" s="896"/>
      <c r="J3157" s="898"/>
      <c r="K3157" s="898"/>
      <c r="L3157" s="898"/>
      <c r="M3157" s="898"/>
      <c r="N3157" s="898"/>
      <c r="O3157" s="240" t="s">
        <v>100</v>
      </c>
      <c r="P3157" s="182" t="s">
        <v>101</v>
      </c>
    </row>
    <row r="3158" spans="9:16" ht="13.5" customHeight="1">
      <c r="I3158" s="881">
        <v>339</v>
      </c>
      <c r="J3158" s="875">
        <v>42712</v>
      </c>
      <c r="K3158" s="877" t="s">
        <v>1014</v>
      </c>
      <c r="L3158" s="879" t="s">
        <v>1239</v>
      </c>
      <c r="M3158" s="881" t="s">
        <v>115</v>
      </c>
      <c r="N3158" s="883">
        <v>80000</v>
      </c>
      <c r="O3158" s="55">
        <v>719</v>
      </c>
      <c r="P3158" s="78">
        <v>80000</v>
      </c>
    </row>
    <row r="3159" spans="9:16" ht="13.5" customHeight="1" thickBot="1">
      <c r="I3159" s="882"/>
      <c r="J3159" s="876"/>
      <c r="K3159" s="878"/>
      <c r="L3159" s="880"/>
      <c r="M3159" s="882"/>
      <c r="N3159" s="884"/>
      <c r="O3159" s="56">
        <v>721</v>
      </c>
      <c r="P3159" s="79">
        <f>+N3158-P3158</f>
        <v>0</v>
      </c>
    </row>
    <row r="3160" spans="9:16" ht="14.25" customHeight="1">
      <c r="I3160" s="881">
        <v>340</v>
      </c>
      <c r="J3160" s="875">
        <v>42712</v>
      </c>
      <c r="K3160" s="877" t="s">
        <v>120</v>
      </c>
      <c r="L3160" s="879" t="s">
        <v>1239</v>
      </c>
      <c r="M3160" s="881" t="s">
        <v>115</v>
      </c>
      <c r="N3160" s="883">
        <v>140000</v>
      </c>
      <c r="O3160" s="55">
        <v>719</v>
      </c>
      <c r="P3160" s="78">
        <v>140000</v>
      </c>
    </row>
    <row r="3161" spans="9:16" ht="14.25" customHeight="1" thickBot="1">
      <c r="I3161" s="882"/>
      <c r="J3161" s="876"/>
      <c r="K3161" s="878"/>
      <c r="L3161" s="880"/>
      <c r="M3161" s="882"/>
      <c r="N3161" s="884"/>
      <c r="O3161" s="56">
        <v>721</v>
      </c>
      <c r="P3161" s="79">
        <f>+N3160-P3160</f>
        <v>0</v>
      </c>
    </row>
    <row r="3162" spans="9:16" ht="12.75" customHeight="1">
      <c r="I3162" s="881">
        <v>341</v>
      </c>
      <c r="J3162" s="875">
        <v>42712</v>
      </c>
      <c r="K3162" s="877" t="s">
        <v>28</v>
      </c>
      <c r="L3162" s="879" t="s">
        <v>1239</v>
      </c>
      <c r="M3162" s="881" t="s">
        <v>115</v>
      </c>
      <c r="N3162" s="883">
        <v>60000</v>
      </c>
      <c r="O3162" s="55">
        <v>719</v>
      </c>
      <c r="P3162" s="78">
        <v>60000</v>
      </c>
    </row>
    <row r="3163" spans="9:16" ht="13.5" customHeight="1" thickBot="1">
      <c r="I3163" s="882"/>
      <c r="J3163" s="876"/>
      <c r="K3163" s="878"/>
      <c r="L3163" s="880"/>
      <c r="M3163" s="882"/>
      <c r="N3163" s="884"/>
      <c r="O3163" s="56">
        <v>721</v>
      </c>
      <c r="P3163" s="79">
        <f>+N3162-P3162</f>
        <v>0</v>
      </c>
    </row>
    <row r="3164" spans="9:16" ht="13.5" customHeight="1">
      <c r="I3164" s="881">
        <v>342</v>
      </c>
      <c r="J3164" s="875">
        <v>42712</v>
      </c>
      <c r="K3164" s="877" t="s">
        <v>1174</v>
      </c>
      <c r="L3164" s="879" t="s">
        <v>1240</v>
      </c>
      <c r="M3164" s="881" t="s">
        <v>148</v>
      </c>
      <c r="N3164" s="883">
        <v>6287553</v>
      </c>
      <c r="O3164" s="55">
        <v>719</v>
      </c>
      <c r="P3164" s="78"/>
    </row>
    <row r="3165" spans="9:16" ht="15.75" customHeight="1" thickBot="1">
      <c r="I3165" s="882"/>
      <c r="J3165" s="876"/>
      <c r="K3165" s="878"/>
      <c r="L3165" s="880"/>
      <c r="M3165" s="882"/>
      <c r="N3165" s="884"/>
      <c r="O3165" s="56">
        <v>723</v>
      </c>
      <c r="P3165" s="79">
        <f>+N3164-P3164</f>
        <v>6287553</v>
      </c>
    </row>
    <row r="3166" spans="9:16" ht="14.25" customHeight="1">
      <c r="I3166" s="881">
        <v>343</v>
      </c>
      <c r="J3166" s="875">
        <v>42712</v>
      </c>
      <c r="K3166" s="877" t="s">
        <v>738</v>
      </c>
      <c r="L3166" s="879" t="s">
        <v>1244</v>
      </c>
      <c r="M3166" s="881" t="s">
        <v>148</v>
      </c>
      <c r="N3166" s="883">
        <v>5345430</v>
      </c>
      <c r="O3166" s="55">
        <v>719</v>
      </c>
      <c r="P3166" s="78">
        <v>0</v>
      </c>
    </row>
    <row r="3167" spans="9:16" ht="14.25" customHeight="1" thickBot="1">
      <c r="I3167" s="882"/>
      <c r="J3167" s="876"/>
      <c r="K3167" s="878"/>
      <c r="L3167" s="880"/>
      <c r="M3167" s="882"/>
      <c r="N3167" s="884"/>
      <c r="O3167" s="56">
        <v>721</v>
      </c>
      <c r="P3167" s="351">
        <f>+N3166-P3166</f>
        <v>5345430</v>
      </c>
    </row>
    <row r="3168" spans="9:16" ht="13.5" customHeight="1">
      <c r="I3168" s="881">
        <v>344</v>
      </c>
      <c r="J3168" s="875">
        <v>42712</v>
      </c>
      <c r="K3168" s="877" t="s">
        <v>738</v>
      </c>
      <c r="L3168" s="879" t="s">
        <v>1245</v>
      </c>
      <c r="M3168" s="881" t="s">
        <v>148</v>
      </c>
      <c r="N3168" s="883">
        <v>64517844</v>
      </c>
      <c r="O3168" s="55">
        <v>719</v>
      </c>
      <c r="P3168" s="78">
        <v>0</v>
      </c>
    </row>
    <row r="3169" spans="9:16" ht="13.5" customHeight="1" thickBot="1">
      <c r="I3169" s="882"/>
      <c r="J3169" s="876"/>
      <c r="K3169" s="878"/>
      <c r="L3169" s="880"/>
      <c r="M3169" s="882"/>
      <c r="N3169" s="884"/>
      <c r="O3169" s="56">
        <v>721</v>
      </c>
      <c r="P3169" s="351">
        <f>+N3168-P3168</f>
        <v>64517844</v>
      </c>
    </row>
    <row r="3170" spans="9:16" ht="16.5" thickBot="1">
      <c r="I3170" s="901" t="s">
        <v>102</v>
      </c>
      <c r="J3170" s="902"/>
      <c r="K3170" s="902"/>
      <c r="L3170" s="902"/>
      <c r="M3170" s="903"/>
      <c r="N3170" s="81">
        <f>SUM(N3158:N3169)</f>
        <v>76430827</v>
      </c>
    </row>
    <row r="3171" spans="9:16" ht="16.5" thickBot="1">
      <c r="I3171" s="885" t="s">
        <v>103</v>
      </c>
      <c r="J3171" s="886"/>
      <c r="K3171" s="886"/>
      <c r="L3171" s="886"/>
      <c r="M3171" s="887"/>
      <c r="N3171" s="69">
        <f>+N3133</f>
        <v>657905409</v>
      </c>
      <c r="O3171" s="241" t="s">
        <v>561</v>
      </c>
      <c r="P3171" s="242">
        <f>95+174+227</f>
        <v>496</v>
      </c>
    </row>
    <row r="3172" spans="9:16" ht="16.5" thickBot="1">
      <c r="I3172" s="888" t="s">
        <v>104</v>
      </c>
      <c r="J3172" s="889"/>
      <c r="K3172" s="889"/>
      <c r="L3172" s="889"/>
      <c r="M3172" s="890"/>
      <c r="N3172" s="183">
        <f>SUM(N3170:N3171)</f>
        <v>734336236</v>
      </c>
    </row>
    <row r="3173" spans="9:16" ht="13.5" customHeight="1">
      <c r="I3173" s="61"/>
      <c r="J3173" s="61"/>
      <c r="K3173" s="61"/>
      <c r="L3173" s="61"/>
      <c r="M3173" s="61"/>
    </row>
    <row r="3174" spans="9:16">
      <c r="I3174" s="51" t="s">
        <v>1246</v>
      </c>
    </row>
    <row r="3175" spans="9:16" ht="11.25" customHeight="1">
      <c r="N3175" s="139"/>
    </row>
    <row r="3176" spans="9:16">
      <c r="I3176" s="50" t="s">
        <v>105</v>
      </c>
      <c r="L3176" s="146"/>
      <c r="N3176" s="139"/>
    </row>
    <row r="3177" spans="9:16" ht="11.25" customHeight="1" thickBot="1"/>
    <row r="3178" spans="9:16" ht="15.75" thickBot="1">
      <c r="I3178" s="891" t="s">
        <v>106</v>
      </c>
      <c r="J3178" s="892"/>
      <c r="K3178" s="892"/>
      <c r="L3178" s="893"/>
      <c r="N3178" s="50" t="s">
        <v>1126</v>
      </c>
    </row>
    <row r="3179" spans="9:16" ht="30.75" thickBot="1">
      <c r="I3179" s="57" t="s">
        <v>100</v>
      </c>
      <c r="J3179" s="58" t="s">
        <v>108</v>
      </c>
      <c r="K3179" s="287" t="s">
        <v>109</v>
      </c>
      <c r="L3179" s="60" t="s">
        <v>110</v>
      </c>
    </row>
    <row r="3180" spans="9:16">
      <c r="I3180" s="71">
        <v>719</v>
      </c>
      <c r="J3180" s="73">
        <f>+P3158+P3162+P3164+P3160</f>
        <v>280000</v>
      </c>
      <c r="K3180" s="74">
        <f>+L3141</f>
        <v>53390000</v>
      </c>
      <c r="L3180" s="195">
        <f>+J3180+K3180</f>
        <v>53670000</v>
      </c>
    </row>
    <row r="3181" spans="9:16">
      <c r="I3181" s="72">
        <v>721</v>
      </c>
      <c r="J3181" s="80">
        <f>+P3169</f>
        <v>64517844</v>
      </c>
      <c r="K3181" s="74">
        <f>+L3142</f>
        <v>169093046</v>
      </c>
      <c r="L3181" s="195">
        <f>+J3181+K3181</f>
        <v>233610890</v>
      </c>
    </row>
    <row r="3182" spans="9:16" ht="13.5" customHeight="1">
      <c r="I3182" s="72">
        <v>722</v>
      </c>
      <c r="J3182" s="80"/>
      <c r="K3182" s="74">
        <f>+L3143</f>
        <v>48461706</v>
      </c>
      <c r="L3182" s="195">
        <f>+J3182+K3182</f>
        <v>48461706</v>
      </c>
    </row>
    <row r="3183" spans="9:16" ht="14.25" customHeight="1">
      <c r="I3183" s="72">
        <v>723</v>
      </c>
      <c r="J3183" s="80">
        <f>+P3165+P3167</f>
        <v>11632983</v>
      </c>
      <c r="K3183" s="74">
        <f>+L3144</f>
        <v>386093157</v>
      </c>
      <c r="L3183" s="195">
        <f>+J3183+K3183</f>
        <v>397726140</v>
      </c>
      <c r="M3183" s="139"/>
      <c r="N3183" s="193" t="s">
        <v>1125</v>
      </c>
      <c r="O3183" s="175"/>
    </row>
    <row r="3184" spans="9:16" ht="15" customHeight="1" thickBot="1">
      <c r="I3184" s="164" t="s">
        <v>1077</v>
      </c>
      <c r="J3184" s="165"/>
      <c r="K3184" s="74">
        <f>+L3145</f>
        <v>797500</v>
      </c>
      <c r="L3184" s="196">
        <f>+J3184+K3184</f>
        <v>797500</v>
      </c>
      <c r="N3184" s="52"/>
    </row>
    <row r="3185" spans="9:16" ht="16.5" thickBot="1">
      <c r="I3185" s="169"/>
      <c r="J3185" s="197">
        <f>SUM(J3180:J3184)</f>
        <v>76430827</v>
      </c>
      <c r="K3185" s="197">
        <f>SUM(K3180:K3184)</f>
        <v>657835409</v>
      </c>
      <c r="L3185" s="198">
        <f>SUM(L3180:L3184)</f>
        <v>734266236</v>
      </c>
    </row>
    <row r="3186" spans="9:16" ht="16.5">
      <c r="I3186" s="49" t="s">
        <v>88</v>
      </c>
      <c r="J3186" s="50"/>
    </row>
    <row r="3187" spans="9:16">
      <c r="I3187" s="51" t="s">
        <v>89</v>
      </c>
    </row>
    <row r="3188" spans="9:16">
      <c r="I3188" s="51" t="s">
        <v>90</v>
      </c>
    </row>
    <row r="3189" spans="9:16">
      <c r="I3189" s="51" t="s">
        <v>91</v>
      </c>
    </row>
    <row r="3190" spans="9:16" ht="17.25" customHeight="1">
      <c r="I3190" s="50"/>
      <c r="J3190" s="50"/>
    </row>
    <row r="3191" spans="9:16" ht="15.75">
      <c r="I3191" s="260" t="s">
        <v>1242</v>
      </c>
      <c r="O3191" s="52"/>
    </row>
    <row r="3192" spans="9:16" ht="18" customHeight="1">
      <c r="I3192" s="53" t="s">
        <v>535</v>
      </c>
      <c r="O3192" s="53"/>
    </row>
    <row r="3193" spans="9:16" ht="16.5">
      <c r="I3193" s="894" t="s">
        <v>1278</v>
      </c>
      <c r="J3193" s="894"/>
      <c r="K3193" s="894"/>
      <c r="L3193" s="894"/>
      <c r="M3193" s="894"/>
      <c r="N3193" s="894"/>
      <c r="O3193" s="894"/>
      <c r="P3193" s="894"/>
    </row>
    <row r="3194" spans="9:16" ht="15.75" thickBot="1"/>
    <row r="3195" spans="9:16">
      <c r="I3195" s="895" t="s">
        <v>94</v>
      </c>
      <c r="J3195" s="897" t="s">
        <v>95</v>
      </c>
      <c r="K3195" s="897" t="s">
        <v>96</v>
      </c>
      <c r="L3195" s="897" t="s">
        <v>3</v>
      </c>
      <c r="M3195" s="897" t="s">
        <v>97</v>
      </c>
      <c r="N3195" s="897" t="s">
        <v>98</v>
      </c>
      <c r="O3195" s="897" t="s">
        <v>99</v>
      </c>
      <c r="P3195" s="899"/>
    </row>
    <row r="3196" spans="9:16" ht="15.75" thickBot="1">
      <c r="I3196" s="896"/>
      <c r="J3196" s="898"/>
      <c r="K3196" s="898"/>
      <c r="L3196" s="898"/>
      <c r="M3196" s="898"/>
      <c r="N3196" s="898"/>
      <c r="O3196" s="240" t="s">
        <v>100</v>
      </c>
      <c r="P3196" s="182" t="s">
        <v>101</v>
      </c>
    </row>
    <row r="3197" spans="9:16">
      <c r="I3197" s="881">
        <v>345</v>
      </c>
      <c r="J3197" s="875">
        <v>42725</v>
      </c>
      <c r="K3197" s="877" t="s">
        <v>1014</v>
      </c>
      <c r="L3197" s="879" t="s">
        <v>1260</v>
      </c>
      <c r="M3197" s="881" t="s">
        <v>115</v>
      </c>
      <c r="N3197" s="883">
        <v>160000</v>
      </c>
      <c r="O3197" s="55">
        <v>719</v>
      </c>
      <c r="P3197" s="78">
        <v>160000</v>
      </c>
    </row>
    <row r="3198" spans="9:16" ht="15.75" thickBot="1">
      <c r="I3198" s="882"/>
      <c r="J3198" s="876"/>
      <c r="K3198" s="878"/>
      <c r="L3198" s="880"/>
      <c r="M3198" s="882"/>
      <c r="N3198" s="884"/>
      <c r="O3198" s="56">
        <v>721</v>
      </c>
      <c r="P3198" s="351">
        <f>+N3197-P3197</f>
        <v>0</v>
      </c>
    </row>
    <row r="3199" spans="9:16" ht="15" customHeight="1">
      <c r="I3199" s="881">
        <f>+I3197+1</f>
        <v>346</v>
      </c>
      <c r="J3199" s="875">
        <v>42725</v>
      </c>
      <c r="K3199" s="877" t="s">
        <v>28</v>
      </c>
      <c r="L3199" s="879" t="s">
        <v>1276</v>
      </c>
      <c r="M3199" s="881" t="s">
        <v>115</v>
      </c>
      <c r="N3199" s="883">
        <v>60000</v>
      </c>
      <c r="O3199" s="55">
        <v>722</v>
      </c>
      <c r="P3199" s="78">
        <v>60000</v>
      </c>
    </row>
    <row r="3200" spans="9:16" ht="15.75" customHeight="1" thickBot="1">
      <c r="I3200" s="882"/>
      <c r="J3200" s="876"/>
      <c r="K3200" s="878"/>
      <c r="L3200" s="880"/>
      <c r="M3200" s="882"/>
      <c r="N3200" s="884"/>
      <c r="O3200" s="56">
        <v>721</v>
      </c>
      <c r="P3200" s="352">
        <f>+N3199-P3199</f>
        <v>0</v>
      </c>
    </row>
    <row r="3201" spans="9:18" ht="15" customHeight="1">
      <c r="I3201" s="881">
        <f>+I3199+1</f>
        <v>347</v>
      </c>
      <c r="J3201" s="875">
        <v>42725</v>
      </c>
      <c r="K3201" s="877" t="s">
        <v>120</v>
      </c>
      <c r="L3201" s="879" t="s">
        <v>1276</v>
      </c>
      <c r="M3201" s="881" t="s">
        <v>115</v>
      </c>
      <c r="N3201" s="883">
        <v>140000</v>
      </c>
      <c r="O3201" s="55">
        <v>722</v>
      </c>
      <c r="P3201" s="78">
        <v>140000</v>
      </c>
      <c r="R3201" s="875"/>
    </row>
    <row r="3202" spans="9:18" ht="15.75" customHeight="1" thickBot="1">
      <c r="I3202" s="882"/>
      <c r="J3202" s="876"/>
      <c r="K3202" s="878"/>
      <c r="L3202" s="880"/>
      <c r="M3202" s="882"/>
      <c r="N3202" s="884"/>
      <c r="O3202" s="56">
        <v>721</v>
      </c>
      <c r="P3202" s="352">
        <f>+N3201-P3201</f>
        <v>0</v>
      </c>
      <c r="R3202" s="876"/>
    </row>
    <row r="3203" spans="9:18" ht="15" customHeight="1">
      <c r="I3203" s="881"/>
      <c r="J3203" s="875"/>
      <c r="K3203" s="877"/>
      <c r="L3203" s="879"/>
      <c r="M3203" s="881"/>
      <c r="N3203" s="883"/>
      <c r="O3203" s="55">
        <v>722</v>
      </c>
      <c r="P3203" s="78"/>
    </row>
    <row r="3204" spans="9:18" ht="15.75" customHeight="1" thickBot="1">
      <c r="I3204" s="882"/>
      <c r="J3204" s="876"/>
      <c r="K3204" s="878"/>
      <c r="L3204" s="880"/>
      <c r="M3204" s="882"/>
      <c r="N3204" s="884"/>
      <c r="O3204" s="56">
        <v>721</v>
      </c>
      <c r="P3204" s="79">
        <f>+N3203-P3203</f>
        <v>0</v>
      </c>
    </row>
    <row r="3205" spans="9:18" ht="16.5" thickBot="1">
      <c r="I3205" s="901" t="s">
        <v>102</v>
      </c>
      <c r="J3205" s="902"/>
      <c r="K3205" s="902"/>
      <c r="L3205" s="902"/>
      <c r="M3205" s="903"/>
      <c r="N3205" s="81">
        <f>SUM(N3197:N3204)</f>
        <v>360000</v>
      </c>
    </row>
    <row r="3206" spans="9:18" ht="16.5" thickBot="1">
      <c r="I3206" s="885" t="s">
        <v>103</v>
      </c>
      <c r="J3206" s="886"/>
      <c r="K3206" s="886"/>
      <c r="L3206" s="886"/>
      <c r="M3206" s="887"/>
      <c r="N3206" s="69">
        <f>+N3172</f>
        <v>734336236</v>
      </c>
      <c r="O3206" s="241" t="s">
        <v>561</v>
      </c>
      <c r="P3206" s="242">
        <f>108+107+310</f>
        <v>525</v>
      </c>
    </row>
    <row r="3207" spans="9:18" ht="16.5" thickBot="1">
      <c r="I3207" s="888" t="s">
        <v>104</v>
      </c>
      <c r="J3207" s="889"/>
      <c r="K3207" s="889"/>
      <c r="L3207" s="889"/>
      <c r="M3207" s="890"/>
      <c r="N3207" s="183">
        <f>SUM(N3205:N3206)</f>
        <v>734696236</v>
      </c>
    </row>
    <row r="3208" spans="9:18">
      <c r="I3208" s="61"/>
      <c r="J3208" s="61"/>
      <c r="K3208" s="61"/>
      <c r="L3208" s="61"/>
      <c r="M3208" s="61"/>
    </row>
    <row r="3209" spans="9:18">
      <c r="I3209" s="51" t="s">
        <v>1261</v>
      </c>
    </row>
    <row r="3210" spans="9:18" ht="19.5" customHeight="1">
      <c r="N3210" s="139"/>
    </row>
    <row r="3211" spans="9:18">
      <c r="I3211" s="50" t="s">
        <v>105</v>
      </c>
      <c r="L3211" s="146"/>
      <c r="N3211" s="139"/>
    </row>
    <row r="3212" spans="9:18" ht="15.75" thickBot="1"/>
    <row r="3213" spans="9:18" ht="15.75" thickBot="1">
      <c r="I3213" s="891" t="s">
        <v>106</v>
      </c>
      <c r="J3213" s="892"/>
      <c r="K3213" s="892"/>
      <c r="L3213" s="893"/>
      <c r="N3213" s="50" t="s">
        <v>288</v>
      </c>
    </row>
    <row r="3214" spans="9:18" ht="30.75" thickBot="1">
      <c r="I3214" s="57" t="s">
        <v>100</v>
      </c>
      <c r="J3214" s="58" t="s">
        <v>108</v>
      </c>
      <c r="K3214" s="287" t="s">
        <v>109</v>
      </c>
      <c r="L3214" s="60" t="s">
        <v>110</v>
      </c>
    </row>
    <row r="3215" spans="9:18">
      <c r="I3215" s="71">
        <v>719</v>
      </c>
      <c r="J3215" s="73">
        <f>+P3197+P3199+P3201+P3203</f>
        <v>360000</v>
      </c>
      <c r="K3215" s="74">
        <f>+L3180</f>
        <v>53670000</v>
      </c>
      <c r="L3215" s="195">
        <f>+J3215+K3215</f>
        <v>54030000</v>
      </c>
    </row>
    <row r="3216" spans="9:18">
      <c r="I3216" s="72">
        <v>721</v>
      </c>
      <c r="J3216" s="80"/>
      <c r="K3216" s="74">
        <f>+L3181</f>
        <v>233610890</v>
      </c>
      <c r="L3216" s="195">
        <f>+J3216+K3216</f>
        <v>233610890</v>
      </c>
    </row>
    <row r="3217" spans="9:16">
      <c r="I3217" s="72">
        <v>722</v>
      </c>
      <c r="J3217" s="80"/>
      <c r="K3217" s="74">
        <f>+L3182</f>
        <v>48461706</v>
      </c>
      <c r="L3217" s="195">
        <f>+J3217+K3217</f>
        <v>48461706</v>
      </c>
    </row>
    <row r="3218" spans="9:16" ht="15.75">
      <c r="I3218" s="72">
        <v>723</v>
      </c>
      <c r="J3218" s="80"/>
      <c r="K3218" s="74">
        <f>+L3183</f>
        <v>397726140</v>
      </c>
      <c r="L3218" s="195">
        <f>+J3218+K3218</f>
        <v>397726140</v>
      </c>
      <c r="N3218" s="193" t="s">
        <v>289</v>
      </c>
      <c r="O3218" s="175"/>
    </row>
    <row r="3219" spans="9:16" ht="16.5" thickBot="1">
      <c r="I3219" s="164" t="s">
        <v>1077</v>
      </c>
      <c r="J3219" s="165"/>
      <c r="K3219" s="74">
        <f>+L3184</f>
        <v>797500</v>
      </c>
      <c r="L3219" s="196">
        <f>+J3219+K3219</f>
        <v>797500</v>
      </c>
      <c r="N3219" s="52"/>
    </row>
    <row r="3220" spans="9:16" ht="16.5" thickBot="1">
      <c r="I3220" s="169"/>
      <c r="J3220" s="197">
        <f>SUM(J3215:J3219)</f>
        <v>360000</v>
      </c>
      <c r="K3220" s="197">
        <f>SUM(K3215:K3219)</f>
        <v>734266236</v>
      </c>
      <c r="L3220" s="198">
        <f>SUM(L3215:L3219)</f>
        <v>734626236</v>
      </c>
    </row>
    <row r="3221" spans="9:16" ht="16.5">
      <c r="I3221" s="49" t="s">
        <v>88</v>
      </c>
      <c r="J3221" s="50"/>
    </row>
    <row r="3222" spans="9:16">
      <c r="I3222" s="51" t="s">
        <v>89</v>
      </c>
    </row>
    <row r="3223" spans="9:16">
      <c r="I3223" s="51" t="s">
        <v>90</v>
      </c>
    </row>
    <row r="3224" spans="9:16">
      <c r="I3224" s="51" t="s">
        <v>91</v>
      </c>
    </row>
    <row r="3225" spans="9:16" ht="14.25" customHeight="1">
      <c r="I3225" s="50"/>
      <c r="J3225" s="50"/>
    </row>
    <row r="3226" spans="9:16" ht="15.75">
      <c r="I3226" s="260" t="s">
        <v>1264</v>
      </c>
      <c r="O3226" s="52"/>
    </row>
    <row r="3227" spans="9:16" ht="15.75">
      <c r="I3227" s="53" t="s">
        <v>535</v>
      </c>
      <c r="O3227" s="53"/>
    </row>
    <row r="3228" spans="9:16" ht="16.5">
      <c r="I3228" s="894" t="s">
        <v>1278</v>
      </c>
      <c r="J3228" s="894"/>
      <c r="K3228" s="894"/>
      <c r="L3228" s="894"/>
      <c r="M3228" s="894"/>
      <c r="N3228" s="894"/>
      <c r="O3228" s="894"/>
      <c r="P3228" s="894"/>
    </row>
    <row r="3229" spans="9:16" ht="15.75" thickBot="1"/>
    <row r="3230" spans="9:16">
      <c r="I3230" s="895" t="s">
        <v>94</v>
      </c>
      <c r="J3230" s="897" t="s">
        <v>95</v>
      </c>
      <c r="K3230" s="897" t="s">
        <v>96</v>
      </c>
      <c r="L3230" s="897" t="s">
        <v>3</v>
      </c>
      <c r="M3230" s="897" t="s">
        <v>97</v>
      </c>
      <c r="N3230" s="897" t="s">
        <v>98</v>
      </c>
      <c r="O3230" s="897" t="s">
        <v>99</v>
      </c>
      <c r="P3230" s="899"/>
    </row>
    <row r="3231" spans="9:16" ht="15.75" thickBot="1">
      <c r="I3231" s="896"/>
      <c r="J3231" s="898"/>
      <c r="K3231" s="898"/>
      <c r="L3231" s="898"/>
      <c r="M3231" s="898"/>
      <c r="N3231" s="898"/>
      <c r="O3231" s="240" t="s">
        <v>100</v>
      </c>
      <c r="P3231" s="182" t="s">
        <v>101</v>
      </c>
    </row>
    <row r="3232" spans="9:16">
      <c r="I3232" s="881">
        <v>348</v>
      </c>
      <c r="J3232" s="875">
        <v>42725</v>
      </c>
      <c r="K3232" s="877" t="s">
        <v>1014</v>
      </c>
      <c r="L3232" s="879" t="s">
        <v>1263</v>
      </c>
      <c r="M3232" s="881" t="s">
        <v>115</v>
      </c>
      <c r="N3232" s="883">
        <v>140000</v>
      </c>
      <c r="O3232" s="55">
        <v>719</v>
      </c>
      <c r="P3232" s="78">
        <v>140000</v>
      </c>
    </row>
    <row r="3233" spans="9:16" ht="15.75" thickBot="1">
      <c r="I3233" s="882"/>
      <c r="J3233" s="876"/>
      <c r="K3233" s="878"/>
      <c r="L3233" s="880"/>
      <c r="M3233" s="882"/>
      <c r="N3233" s="884"/>
      <c r="O3233" s="56">
        <v>721</v>
      </c>
      <c r="P3233" s="351">
        <f>+N3232-P3232</f>
        <v>0</v>
      </c>
    </row>
    <row r="3234" spans="9:16">
      <c r="I3234" s="881">
        <f>+I3232+1</f>
        <v>349</v>
      </c>
      <c r="J3234" s="875">
        <v>42725</v>
      </c>
      <c r="K3234" s="877" t="s">
        <v>28</v>
      </c>
      <c r="L3234" s="879" t="s">
        <v>1266</v>
      </c>
      <c r="M3234" s="881" t="s">
        <v>115</v>
      </c>
      <c r="N3234" s="883">
        <v>50000</v>
      </c>
      <c r="O3234" s="55">
        <v>722</v>
      </c>
      <c r="P3234" s="78">
        <v>50000</v>
      </c>
    </row>
    <row r="3235" spans="9:16" ht="15.75" thickBot="1">
      <c r="I3235" s="882"/>
      <c r="J3235" s="876"/>
      <c r="K3235" s="878"/>
      <c r="L3235" s="880"/>
      <c r="M3235" s="882"/>
      <c r="N3235" s="884"/>
      <c r="O3235" s="56">
        <v>721</v>
      </c>
      <c r="P3235" s="352"/>
    </row>
    <row r="3236" spans="9:16">
      <c r="I3236" s="881">
        <f>+I3234+1</f>
        <v>350</v>
      </c>
      <c r="J3236" s="875">
        <v>42725</v>
      </c>
      <c r="K3236" s="877" t="s">
        <v>120</v>
      </c>
      <c r="L3236" s="879" t="s">
        <v>1262</v>
      </c>
      <c r="M3236" s="881" t="s">
        <v>115</v>
      </c>
      <c r="N3236" s="883">
        <v>140000</v>
      </c>
      <c r="O3236" s="55">
        <v>722</v>
      </c>
      <c r="P3236" s="78">
        <v>140000</v>
      </c>
    </row>
    <row r="3237" spans="9:16" ht="15.75" thickBot="1">
      <c r="I3237" s="882"/>
      <c r="J3237" s="876"/>
      <c r="K3237" s="878"/>
      <c r="L3237" s="880"/>
      <c r="M3237" s="882"/>
      <c r="N3237" s="884"/>
      <c r="O3237" s="56">
        <v>721</v>
      </c>
      <c r="P3237" s="352">
        <f>+N3236-P3236</f>
        <v>0</v>
      </c>
    </row>
    <row r="3238" spans="9:16">
      <c r="I3238" s="881"/>
      <c r="J3238" s="875"/>
      <c r="K3238" s="877"/>
      <c r="L3238" s="879"/>
      <c r="M3238" s="881"/>
      <c r="N3238" s="883"/>
      <c r="O3238" s="55">
        <v>722</v>
      </c>
      <c r="P3238" s="78"/>
    </row>
    <row r="3239" spans="9:16" ht="15.75" thickBot="1">
      <c r="I3239" s="882"/>
      <c r="J3239" s="876"/>
      <c r="K3239" s="878"/>
      <c r="L3239" s="880"/>
      <c r="M3239" s="882"/>
      <c r="N3239" s="884"/>
      <c r="O3239" s="56">
        <v>721</v>
      </c>
      <c r="P3239" s="79">
        <f>+N3238-P3238</f>
        <v>0</v>
      </c>
    </row>
    <row r="3240" spans="9:16" ht="16.5" thickBot="1">
      <c r="I3240" s="901" t="s">
        <v>102</v>
      </c>
      <c r="J3240" s="902"/>
      <c r="K3240" s="902"/>
      <c r="L3240" s="902"/>
      <c r="M3240" s="903"/>
      <c r="N3240" s="81">
        <f>SUM(N3232:N3239)</f>
        <v>330000</v>
      </c>
    </row>
    <row r="3241" spans="9:16" ht="16.5" thickBot="1">
      <c r="I3241" s="885" t="s">
        <v>103</v>
      </c>
      <c r="J3241" s="886"/>
      <c r="K3241" s="886"/>
      <c r="L3241" s="886"/>
      <c r="M3241" s="887"/>
      <c r="N3241" s="69">
        <f>+N3207</f>
        <v>734696236</v>
      </c>
      <c r="O3241" s="241" t="s">
        <v>561</v>
      </c>
      <c r="P3241" s="242">
        <f>404+83+122</f>
        <v>609</v>
      </c>
    </row>
    <row r="3242" spans="9:16" ht="16.5" thickBot="1">
      <c r="I3242" s="888" t="s">
        <v>104</v>
      </c>
      <c r="J3242" s="889"/>
      <c r="K3242" s="889"/>
      <c r="L3242" s="889"/>
      <c r="M3242" s="890"/>
      <c r="N3242" s="183">
        <f>SUM(N3240:N3241)</f>
        <v>735026236</v>
      </c>
    </row>
    <row r="3243" spans="9:16">
      <c r="I3243" s="61"/>
      <c r="J3243" s="61"/>
      <c r="K3243" s="61"/>
      <c r="L3243" s="61"/>
      <c r="M3243" s="61"/>
    </row>
    <row r="3244" spans="9:16">
      <c r="I3244" s="51" t="s">
        <v>1265</v>
      </c>
    </row>
    <row r="3245" spans="9:16">
      <c r="N3245" s="139"/>
    </row>
    <row r="3246" spans="9:16">
      <c r="I3246" s="50" t="s">
        <v>105</v>
      </c>
      <c r="L3246" s="146"/>
      <c r="N3246" s="139"/>
    </row>
    <row r="3247" spans="9:16" ht="15.75" thickBot="1"/>
    <row r="3248" spans="9:16" ht="15.75" thickBot="1">
      <c r="I3248" s="891" t="s">
        <v>106</v>
      </c>
      <c r="J3248" s="892"/>
      <c r="K3248" s="892"/>
      <c r="L3248" s="893"/>
      <c r="N3248" s="50" t="s">
        <v>288</v>
      </c>
    </row>
    <row r="3249" spans="9:16" ht="30.75" thickBot="1">
      <c r="I3249" s="57" t="s">
        <v>100</v>
      </c>
      <c r="J3249" s="58" t="s">
        <v>108</v>
      </c>
      <c r="K3249" s="287" t="s">
        <v>109</v>
      </c>
      <c r="L3249" s="60" t="s">
        <v>110</v>
      </c>
    </row>
    <row r="3250" spans="9:16">
      <c r="I3250" s="71">
        <v>719</v>
      </c>
      <c r="J3250" s="73">
        <f>+P3232+P3234+P3236+P3238</f>
        <v>330000</v>
      </c>
      <c r="K3250" s="74">
        <f>+L3215</f>
        <v>54030000</v>
      </c>
      <c r="L3250" s="195">
        <f>+J3250+K3250</f>
        <v>54360000</v>
      </c>
    </row>
    <row r="3251" spans="9:16">
      <c r="I3251" s="72">
        <v>721</v>
      </c>
      <c r="J3251" s="80"/>
      <c r="K3251" s="74">
        <f>+L3216</f>
        <v>233610890</v>
      </c>
      <c r="L3251" s="195">
        <f>+J3251+K3251</f>
        <v>233610890</v>
      </c>
    </row>
    <row r="3252" spans="9:16">
      <c r="I3252" s="72">
        <v>722</v>
      </c>
      <c r="J3252" s="80"/>
      <c r="K3252" s="74">
        <f>+L3217</f>
        <v>48461706</v>
      </c>
      <c r="L3252" s="195">
        <f>+J3252+K3252</f>
        <v>48461706</v>
      </c>
    </row>
    <row r="3253" spans="9:16" ht="15.75">
      <c r="I3253" s="72">
        <v>723</v>
      </c>
      <c r="J3253" s="80"/>
      <c r="K3253" s="74">
        <f>+L3218</f>
        <v>397726140</v>
      </c>
      <c r="L3253" s="195">
        <f>+J3253+K3253</f>
        <v>397726140</v>
      </c>
      <c r="N3253" s="193" t="s">
        <v>289</v>
      </c>
      <c r="O3253" s="175"/>
    </row>
    <row r="3254" spans="9:16" ht="16.5" thickBot="1">
      <c r="I3254" s="164" t="s">
        <v>1077</v>
      </c>
      <c r="J3254" s="165"/>
      <c r="K3254" s="74">
        <f>+L3219</f>
        <v>797500</v>
      </c>
      <c r="L3254" s="196">
        <f>+J3254+K3254</f>
        <v>797500</v>
      </c>
      <c r="N3254" s="52"/>
    </row>
    <row r="3255" spans="9:16" ht="16.5" thickBot="1">
      <c r="I3255" s="169"/>
      <c r="J3255" s="197">
        <f>SUM(J3250:J3254)</f>
        <v>330000</v>
      </c>
      <c r="K3255" s="197">
        <f>SUM(K3250:K3254)</f>
        <v>734626236</v>
      </c>
      <c r="L3255" s="198">
        <f>SUM(L3250:L3254)</f>
        <v>734956236</v>
      </c>
    </row>
    <row r="3257" spans="9:16" ht="16.5">
      <c r="I3257" s="49" t="s">
        <v>88</v>
      </c>
      <c r="J3257" s="50"/>
    </row>
    <row r="3258" spans="9:16">
      <c r="I3258" s="51" t="s">
        <v>89</v>
      </c>
    </row>
    <row r="3259" spans="9:16">
      <c r="I3259" s="51" t="s">
        <v>90</v>
      </c>
    </row>
    <row r="3260" spans="9:16">
      <c r="I3260" s="51" t="s">
        <v>91</v>
      </c>
    </row>
    <row r="3261" spans="9:16">
      <c r="I3261" s="50"/>
      <c r="J3261" s="50"/>
    </row>
    <row r="3262" spans="9:16" ht="15.75">
      <c r="I3262" s="260" t="s">
        <v>1272</v>
      </c>
      <c r="O3262" s="52"/>
    </row>
    <row r="3263" spans="9:16" ht="15.75">
      <c r="I3263" s="53" t="s">
        <v>535</v>
      </c>
      <c r="O3263" s="53"/>
    </row>
    <row r="3264" spans="9:16" ht="16.5">
      <c r="I3264" s="894" t="s">
        <v>1277</v>
      </c>
      <c r="J3264" s="894"/>
      <c r="K3264" s="894"/>
      <c r="L3264" s="894"/>
      <c r="M3264" s="894"/>
      <c r="N3264" s="894"/>
      <c r="O3264" s="894"/>
      <c r="P3264" s="894"/>
    </row>
    <row r="3265" spans="9:16" ht="15.75" thickBot="1"/>
    <row r="3266" spans="9:16">
      <c r="I3266" s="895" t="s">
        <v>94</v>
      </c>
      <c r="J3266" s="897" t="s">
        <v>95</v>
      </c>
      <c r="K3266" s="897" t="s">
        <v>96</v>
      </c>
      <c r="L3266" s="897" t="s">
        <v>3</v>
      </c>
      <c r="M3266" s="897" t="s">
        <v>97</v>
      </c>
      <c r="N3266" s="897" t="s">
        <v>98</v>
      </c>
      <c r="O3266" s="897" t="s">
        <v>99</v>
      </c>
      <c r="P3266" s="899"/>
    </row>
    <row r="3267" spans="9:16" ht="15.75" thickBot="1">
      <c r="I3267" s="896"/>
      <c r="J3267" s="898"/>
      <c r="K3267" s="898"/>
      <c r="L3267" s="898"/>
      <c r="M3267" s="898"/>
      <c r="N3267" s="898"/>
      <c r="O3267" s="240" t="s">
        <v>100</v>
      </c>
      <c r="P3267" s="182" t="s">
        <v>101</v>
      </c>
    </row>
    <row r="3268" spans="9:16" ht="15" customHeight="1">
      <c r="I3268" s="881">
        <v>351</v>
      </c>
      <c r="J3268" s="875">
        <v>42732</v>
      </c>
      <c r="K3268" s="877" t="s">
        <v>1267</v>
      </c>
      <c r="L3268" s="879" t="s">
        <v>1270</v>
      </c>
      <c r="M3268" s="881" t="s">
        <v>115</v>
      </c>
      <c r="N3268" s="883">
        <v>14718204</v>
      </c>
      <c r="O3268" s="55">
        <v>719</v>
      </c>
      <c r="P3268" s="78">
        <v>0</v>
      </c>
    </row>
    <row r="3269" spans="9:16" ht="15.75" thickBot="1">
      <c r="I3269" s="882"/>
      <c r="J3269" s="876"/>
      <c r="K3269" s="900"/>
      <c r="L3269" s="880"/>
      <c r="M3269" s="882"/>
      <c r="N3269" s="884"/>
      <c r="O3269" s="56">
        <v>721</v>
      </c>
      <c r="P3269" s="351">
        <f>+N3268-P3268</f>
        <v>14718204</v>
      </c>
    </row>
    <row r="3270" spans="9:16" ht="15" customHeight="1">
      <c r="I3270" s="881">
        <f>+I3268+1</f>
        <v>352</v>
      </c>
      <c r="J3270" s="875">
        <v>42732</v>
      </c>
      <c r="K3270" s="900"/>
      <c r="L3270" s="879" t="s">
        <v>1271</v>
      </c>
      <c r="M3270" s="881" t="s">
        <v>115</v>
      </c>
      <c r="N3270" s="883">
        <v>3962065</v>
      </c>
      <c r="O3270" s="55">
        <v>722</v>
      </c>
      <c r="P3270" s="78">
        <v>0</v>
      </c>
    </row>
    <row r="3271" spans="9:16" ht="15.75" customHeight="1" thickBot="1">
      <c r="I3271" s="882"/>
      <c r="J3271" s="876"/>
      <c r="K3271" s="878"/>
      <c r="L3271" s="880"/>
      <c r="M3271" s="882"/>
      <c r="N3271" s="884"/>
      <c r="O3271" s="56">
        <v>721</v>
      </c>
      <c r="P3271" s="352">
        <f>+N3270-P3270</f>
        <v>3962065</v>
      </c>
    </row>
    <row r="3272" spans="9:16" ht="15" customHeight="1">
      <c r="I3272" s="881">
        <f>+I3270+1</f>
        <v>353</v>
      </c>
      <c r="J3272" s="875">
        <v>42732</v>
      </c>
      <c r="K3272" s="877" t="s">
        <v>1014</v>
      </c>
      <c r="L3272" s="879" t="s">
        <v>1273</v>
      </c>
      <c r="M3272" s="881" t="s">
        <v>115</v>
      </c>
      <c r="N3272" s="883">
        <v>90000</v>
      </c>
      <c r="O3272" s="55">
        <v>722</v>
      </c>
      <c r="P3272" s="78">
        <v>90000</v>
      </c>
    </row>
    <row r="3273" spans="9:16" ht="15.75" customHeight="1" thickBot="1">
      <c r="I3273" s="882"/>
      <c r="J3273" s="876"/>
      <c r="K3273" s="878"/>
      <c r="L3273" s="880"/>
      <c r="M3273" s="882"/>
      <c r="N3273" s="884"/>
      <c r="O3273" s="56">
        <v>721</v>
      </c>
      <c r="P3273" s="352">
        <f>+N3272-P3272</f>
        <v>0</v>
      </c>
    </row>
    <row r="3274" spans="9:16" ht="15" customHeight="1">
      <c r="I3274" s="881">
        <f>+I3272+1</f>
        <v>354</v>
      </c>
      <c r="J3274" s="875">
        <v>42732</v>
      </c>
      <c r="K3274" s="877" t="s">
        <v>120</v>
      </c>
      <c r="L3274" s="879" t="s">
        <v>1274</v>
      </c>
      <c r="M3274" s="881" t="s">
        <v>115</v>
      </c>
      <c r="N3274" s="883">
        <v>60000</v>
      </c>
      <c r="O3274" s="55">
        <v>722</v>
      </c>
      <c r="P3274" s="78">
        <v>60000</v>
      </c>
    </row>
    <row r="3275" spans="9:16" ht="15.75" customHeight="1" thickBot="1">
      <c r="I3275" s="882"/>
      <c r="J3275" s="876"/>
      <c r="K3275" s="878"/>
      <c r="L3275" s="880"/>
      <c r="M3275" s="882"/>
      <c r="N3275" s="884"/>
      <c r="O3275" s="56">
        <v>721</v>
      </c>
      <c r="P3275" s="79">
        <f>+N3274-P3274</f>
        <v>0</v>
      </c>
    </row>
    <row r="3276" spans="9:16" ht="16.5" thickBot="1">
      <c r="I3276" s="901" t="s">
        <v>102</v>
      </c>
      <c r="J3276" s="902"/>
      <c r="K3276" s="902"/>
      <c r="L3276" s="902"/>
      <c r="M3276" s="903"/>
      <c r="N3276" s="81">
        <f>SUM(N3268:N3275)</f>
        <v>18830269</v>
      </c>
    </row>
    <row r="3277" spans="9:16" ht="16.5" thickBot="1">
      <c r="I3277" s="885" t="s">
        <v>103</v>
      </c>
      <c r="J3277" s="886"/>
      <c r="K3277" s="886"/>
      <c r="L3277" s="886"/>
      <c r="M3277" s="887"/>
      <c r="N3277" s="69">
        <f>+N3242</f>
        <v>735026236</v>
      </c>
      <c r="O3277" s="241" t="s">
        <v>561</v>
      </c>
      <c r="P3277" s="242">
        <f>38+294</f>
        <v>332</v>
      </c>
    </row>
    <row r="3278" spans="9:16" ht="16.5" thickBot="1">
      <c r="I3278" s="888" t="s">
        <v>104</v>
      </c>
      <c r="J3278" s="889"/>
      <c r="K3278" s="889"/>
      <c r="L3278" s="889"/>
      <c r="M3278" s="890"/>
      <c r="N3278" s="183">
        <f>SUM(N3276:N3277)</f>
        <v>753856505</v>
      </c>
    </row>
    <row r="3279" spans="9:16">
      <c r="I3279" s="61"/>
      <c r="J3279" s="61"/>
      <c r="K3279" s="61"/>
      <c r="L3279" s="61"/>
      <c r="M3279" s="61"/>
    </row>
    <row r="3280" spans="9:16">
      <c r="I3280" s="51" t="s">
        <v>1275</v>
      </c>
    </row>
    <row r="3281" spans="9:15">
      <c r="N3281" s="139"/>
    </row>
    <row r="3282" spans="9:15">
      <c r="I3282" s="50" t="s">
        <v>105</v>
      </c>
      <c r="L3282" s="146"/>
      <c r="N3282" s="139"/>
    </row>
    <row r="3283" spans="9:15" ht="15.75" thickBot="1"/>
    <row r="3284" spans="9:15" ht="15.75" thickBot="1">
      <c r="I3284" s="891" t="s">
        <v>106</v>
      </c>
      <c r="J3284" s="892"/>
      <c r="K3284" s="892"/>
      <c r="L3284" s="893"/>
      <c r="N3284" s="50" t="s">
        <v>288</v>
      </c>
    </row>
    <row r="3285" spans="9:15" ht="30.75" thickBot="1">
      <c r="I3285" s="57" t="s">
        <v>100</v>
      </c>
      <c r="J3285" s="58" t="s">
        <v>108</v>
      </c>
      <c r="K3285" s="287" t="s">
        <v>109</v>
      </c>
      <c r="L3285" s="60" t="s">
        <v>110</v>
      </c>
    </row>
    <row r="3286" spans="9:15">
      <c r="I3286" s="71">
        <v>719</v>
      </c>
      <c r="J3286" s="73">
        <f>+P3268+P3270+P3272+P3274</f>
        <v>150000</v>
      </c>
      <c r="K3286" s="74">
        <f>+L3250</f>
        <v>54360000</v>
      </c>
      <c r="L3286" s="195">
        <f>+J3286+K3286</f>
        <v>54510000</v>
      </c>
    </row>
    <row r="3287" spans="9:15">
      <c r="I3287" s="72">
        <v>721</v>
      </c>
      <c r="J3287" s="80">
        <f>+P3269+P3271</f>
        <v>18680269</v>
      </c>
      <c r="K3287" s="74">
        <f>+L3251</f>
        <v>233610890</v>
      </c>
      <c r="L3287" s="195">
        <f>+J3287+K3287</f>
        <v>252291159</v>
      </c>
    </row>
    <row r="3288" spans="9:15">
      <c r="I3288" s="72">
        <v>722</v>
      </c>
      <c r="J3288" s="80"/>
      <c r="K3288" s="74">
        <f>+L3252</f>
        <v>48461706</v>
      </c>
      <c r="L3288" s="195">
        <f>+J3288+K3288</f>
        <v>48461706</v>
      </c>
    </row>
    <row r="3289" spans="9:15" ht="15.75">
      <c r="I3289" s="72">
        <v>723</v>
      </c>
      <c r="J3289" s="80"/>
      <c r="K3289" s="74">
        <f>+L3253</f>
        <v>397726140</v>
      </c>
      <c r="L3289" s="195">
        <f>+J3289+K3289</f>
        <v>397726140</v>
      </c>
      <c r="N3289" s="193" t="s">
        <v>289</v>
      </c>
      <c r="O3289" s="175"/>
    </row>
    <row r="3290" spans="9:15" ht="16.5" thickBot="1">
      <c r="I3290" s="164" t="s">
        <v>1077</v>
      </c>
      <c r="J3290" s="165"/>
      <c r="K3290" s="74">
        <f>+L3254</f>
        <v>797500</v>
      </c>
      <c r="L3290" s="196">
        <f>+J3290+K3290</f>
        <v>797500</v>
      </c>
      <c r="N3290" s="52"/>
    </row>
    <row r="3291" spans="9:15" ht="16.5" thickBot="1">
      <c r="I3291" s="169"/>
      <c r="J3291" s="197">
        <f>SUM(J3286:J3290)</f>
        <v>18830269</v>
      </c>
      <c r="K3291" s="197">
        <f>SUM(K3286:K3290)</f>
        <v>734956236</v>
      </c>
      <c r="L3291" s="198">
        <f>SUM(L3286:L3290)</f>
        <v>753786505</v>
      </c>
    </row>
    <row r="3292" spans="9:15" ht="16.5">
      <c r="I3292" s="49" t="s">
        <v>88</v>
      </c>
      <c r="J3292" s="50"/>
    </row>
    <row r="3293" spans="9:15">
      <c r="I3293" s="51" t="s">
        <v>89</v>
      </c>
    </row>
    <row r="3294" spans="9:15">
      <c r="I3294" s="51" t="s">
        <v>90</v>
      </c>
    </row>
    <row r="3295" spans="9:15">
      <c r="I3295" s="51" t="s">
        <v>91</v>
      </c>
    </row>
    <row r="3296" spans="9:15" ht="12" customHeight="1">
      <c r="I3296" s="50"/>
      <c r="J3296" s="50"/>
    </row>
    <row r="3297" spans="9:16" ht="15.75">
      <c r="I3297" s="260" t="s">
        <v>1279</v>
      </c>
      <c r="O3297" s="52"/>
    </row>
    <row r="3298" spans="9:16" ht="15.75">
      <c r="I3298" s="53" t="s">
        <v>535</v>
      </c>
      <c r="O3298" s="53"/>
    </row>
    <row r="3299" spans="9:16" ht="14.25" customHeight="1">
      <c r="I3299" s="894" t="s">
        <v>1288</v>
      </c>
      <c r="J3299" s="894"/>
      <c r="K3299" s="894"/>
      <c r="L3299" s="894"/>
      <c r="M3299" s="894"/>
      <c r="N3299" s="894"/>
      <c r="O3299" s="894"/>
      <c r="P3299" s="894"/>
    </row>
    <row r="3300" spans="9:16" ht="12.75" customHeight="1" thickBot="1"/>
    <row r="3301" spans="9:16">
      <c r="I3301" s="895" t="s">
        <v>94</v>
      </c>
      <c r="J3301" s="897" t="s">
        <v>95</v>
      </c>
      <c r="K3301" s="897" t="s">
        <v>96</v>
      </c>
      <c r="L3301" s="897" t="s">
        <v>3</v>
      </c>
      <c r="M3301" s="897" t="s">
        <v>97</v>
      </c>
      <c r="N3301" s="897" t="s">
        <v>98</v>
      </c>
      <c r="O3301" s="897" t="s">
        <v>99</v>
      </c>
      <c r="P3301" s="899"/>
    </row>
    <row r="3302" spans="9:16" ht="15.75" thickBot="1">
      <c r="I3302" s="896"/>
      <c r="J3302" s="898"/>
      <c r="K3302" s="898"/>
      <c r="L3302" s="898"/>
      <c r="M3302" s="898"/>
      <c r="N3302" s="898"/>
      <c r="O3302" s="240" t="s">
        <v>100</v>
      </c>
      <c r="P3302" s="182" t="s">
        <v>101</v>
      </c>
    </row>
    <row r="3303" spans="9:16" ht="12.75" customHeight="1">
      <c r="I3303" s="881">
        <v>355</v>
      </c>
      <c r="J3303" s="875">
        <v>42734</v>
      </c>
      <c r="K3303" s="877" t="s">
        <v>1280</v>
      </c>
      <c r="L3303" s="904">
        <v>42569</v>
      </c>
      <c r="M3303" s="881" t="s">
        <v>148</v>
      </c>
      <c r="N3303" s="883">
        <v>100000</v>
      </c>
      <c r="O3303" s="55">
        <v>719</v>
      </c>
      <c r="P3303" s="78">
        <v>0</v>
      </c>
    </row>
    <row r="3304" spans="9:16" ht="15.75" thickBot="1">
      <c r="I3304" s="882"/>
      <c r="J3304" s="876"/>
      <c r="K3304" s="878"/>
      <c r="L3304" s="880"/>
      <c r="M3304" s="882"/>
      <c r="N3304" s="884"/>
      <c r="O3304" s="56">
        <v>722</v>
      </c>
      <c r="P3304" s="351">
        <f>+N3303-P3303</f>
        <v>100000</v>
      </c>
    </row>
    <row r="3305" spans="9:16" ht="12" customHeight="1">
      <c r="I3305" s="881">
        <f>+I3303+1</f>
        <v>356</v>
      </c>
      <c r="J3305" s="875">
        <v>42734</v>
      </c>
      <c r="K3305" s="877" t="s">
        <v>1281</v>
      </c>
      <c r="L3305" s="904">
        <v>42569</v>
      </c>
      <c r="M3305" s="881" t="s">
        <v>148</v>
      </c>
      <c r="N3305" s="883">
        <v>100000</v>
      </c>
      <c r="O3305" s="55">
        <v>719</v>
      </c>
      <c r="P3305" s="78">
        <v>0</v>
      </c>
    </row>
    <row r="3306" spans="9:16" ht="15.75" customHeight="1" thickBot="1">
      <c r="I3306" s="882"/>
      <c r="J3306" s="876"/>
      <c r="K3306" s="878"/>
      <c r="L3306" s="880"/>
      <c r="M3306" s="882"/>
      <c r="N3306" s="884"/>
      <c r="O3306" s="56">
        <v>722</v>
      </c>
      <c r="P3306" s="352">
        <f>+N3305-P3305</f>
        <v>100000</v>
      </c>
    </row>
    <row r="3307" spans="9:16" ht="12.75" customHeight="1">
      <c r="I3307" s="881">
        <f>+I3305+1</f>
        <v>357</v>
      </c>
      <c r="J3307" s="875">
        <v>42734</v>
      </c>
      <c r="K3307" s="877" t="s">
        <v>1282</v>
      </c>
      <c r="L3307" s="904">
        <v>42569</v>
      </c>
      <c r="M3307" s="881" t="s">
        <v>148</v>
      </c>
      <c r="N3307" s="883">
        <v>100000</v>
      </c>
      <c r="O3307" s="55">
        <v>719</v>
      </c>
      <c r="P3307" s="78"/>
    </row>
    <row r="3308" spans="9:16" ht="15.75" customHeight="1" thickBot="1">
      <c r="I3308" s="882"/>
      <c r="J3308" s="876"/>
      <c r="K3308" s="878"/>
      <c r="L3308" s="880"/>
      <c r="M3308" s="882"/>
      <c r="N3308" s="884"/>
      <c r="O3308" s="56">
        <v>722</v>
      </c>
      <c r="P3308" s="352">
        <f>+N3307-P3307</f>
        <v>100000</v>
      </c>
    </row>
    <row r="3309" spans="9:16" ht="16.5" customHeight="1">
      <c r="I3309" s="881">
        <f>+I3307+1</f>
        <v>358</v>
      </c>
      <c r="J3309" s="875">
        <v>42734</v>
      </c>
      <c r="K3309" s="877" t="s">
        <v>1284</v>
      </c>
      <c r="L3309" s="904">
        <v>42569</v>
      </c>
      <c r="M3309" s="881" t="s">
        <v>148</v>
      </c>
      <c r="N3309" s="883">
        <v>100000</v>
      </c>
      <c r="O3309" s="55">
        <v>719</v>
      </c>
      <c r="P3309" s="78"/>
    </row>
    <row r="3310" spans="9:16" ht="15" customHeight="1" thickBot="1">
      <c r="I3310" s="882"/>
      <c r="J3310" s="876"/>
      <c r="K3310" s="878"/>
      <c r="L3310" s="907"/>
      <c r="M3310" s="882"/>
      <c r="N3310" s="884"/>
      <c r="O3310" s="56">
        <v>722</v>
      </c>
      <c r="P3310" s="352">
        <f>+N3309-P3309</f>
        <v>100000</v>
      </c>
    </row>
    <row r="3311" spans="9:16" ht="12.75" customHeight="1">
      <c r="I3311" s="881">
        <f>+I3309+1</f>
        <v>359</v>
      </c>
      <c r="J3311" s="875">
        <v>42734</v>
      </c>
      <c r="K3311" s="905" t="s">
        <v>1285</v>
      </c>
      <c r="L3311" s="904">
        <v>42570</v>
      </c>
      <c r="M3311" s="881" t="s">
        <v>148</v>
      </c>
      <c r="N3311" s="883">
        <v>100000</v>
      </c>
      <c r="O3311" s="55">
        <v>719</v>
      </c>
      <c r="P3311" s="78"/>
    </row>
    <row r="3312" spans="9:16" ht="14.25" customHeight="1" thickBot="1">
      <c r="I3312" s="882"/>
      <c r="J3312" s="876"/>
      <c r="K3312" s="906"/>
      <c r="L3312" s="907"/>
      <c r="M3312" s="882"/>
      <c r="N3312" s="884"/>
      <c r="O3312" s="56">
        <v>722</v>
      </c>
      <c r="P3312" s="352">
        <f>+N3311-P3311</f>
        <v>100000</v>
      </c>
    </row>
    <row r="3313" spans="9:16" ht="15" customHeight="1">
      <c r="I3313" s="881">
        <f>+I3311+1</f>
        <v>360</v>
      </c>
      <c r="J3313" s="875">
        <v>42734</v>
      </c>
      <c r="K3313" s="905" t="s">
        <v>1285</v>
      </c>
      <c r="L3313" s="904">
        <v>42570</v>
      </c>
      <c r="M3313" s="881" t="s">
        <v>148</v>
      </c>
      <c r="N3313" s="883">
        <v>100000</v>
      </c>
      <c r="O3313" s="55">
        <v>719</v>
      </c>
      <c r="P3313" s="78"/>
    </row>
    <row r="3314" spans="9:16" ht="15.75" customHeight="1" thickBot="1">
      <c r="I3314" s="882"/>
      <c r="J3314" s="876"/>
      <c r="K3314" s="906"/>
      <c r="L3314" s="907"/>
      <c r="M3314" s="882"/>
      <c r="N3314" s="884"/>
      <c r="O3314" s="56">
        <v>722</v>
      </c>
      <c r="P3314" s="79">
        <f>+N3313-P3313</f>
        <v>100000</v>
      </c>
    </row>
    <row r="3315" spans="9:16" ht="16.5" thickBot="1">
      <c r="I3315" s="901" t="s">
        <v>102</v>
      </c>
      <c r="J3315" s="902"/>
      <c r="K3315" s="902"/>
      <c r="L3315" s="902"/>
      <c r="M3315" s="903"/>
      <c r="N3315" s="81">
        <f>SUM(N3303:N3314)</f>
        <v>600000</v>
      </c>
    </row>
    <row r="3316" spans="9:16" ht="16.5" thickBot="1">
      <c r="I3316" s="885" t="s">
        <v>103</v>
      </c>
      <c r="J3316" s="886"/>
      <c r="K3316" s="886"/>
      <c r="L3316" s="886"/>
      <c r="M3316" s="887"/>
      <c r="N3316" s="69">
        <f>+N3278</f>
        <v>753856505</v>
      </c>
      <c r="O3316" s="241" t="s">
        <v>561</v>
      </c>
      <c r="P3316" s="242"/>
    </row>
    <row r="3317" spans="9:16" ht="16.5" thickBot="1">
      <c r="I3317" s="888" t="s">
        <v>104</v>
      </c>
      <c r="J3317" s="889"/>
      <c r="K3317" s="889"/>
      <c r="L3317" s="889"/>
      <c r="M3317" s="890"/>
      <c r="N3317" s="183">
        <f>SUM(N3315:N3316)</f>
        <v>754456505</v>
      </c>
    </row>
    <row r="3318" spans="9:16">
      <c r="I3318" s="61"/>
      <c r="J3318" s="61"/>
      <c r="K3318" s="61"/>
      <c r="L3318" s="61"/>
      <c r="M3318" s="61"/>
    </row>
    <row r="3319" spans="9:16">
      <c r="I3319" s="51" t="s">
        <v>1286</v>
      </c>
    </row>
    <row r="3320" spans="9:16" ht="11.25" customHeight="1">
      <c r="N3320" s="139"/>
    </row>
    <row r="3321" spans="9:16">
      <c r="I3321" s="50" t="s">
        <v>105</v>
      </c>
      <c r="L3321" s="146"/>
      <c r="N3321" s="139"/>
    </row>
    <row r="3322" spans="9:16" ht="13.5" customHeight="1" thickBot="1"/>
    <row r="3323" spans="9:16" ht="15.75" thickBot="1">
      <c r="I3323" s="891" t="s">
        <v>106</v>
      </c>
      <c r="J3323" s="892"/>
      <c r="K3323" s="892"/>
      <c r="L3323" s="893"/>
      <c r="N3323" s="50" t="s">
        <v>288</v>
      </c>
    </row>
    <row r="3324" spans="9:16" ht="30.75" thickBot="1">
      <c r="I3324" s="57" t="s">
        <v>100</v>
      </c>
      <c r="J3324" s="58" t="s">
        <v>108</v>
      </c>
      <c r="K3324" s="287" t="s">
        <v>109</v>
      </c>
      <c r="L3324" s="60" t="s">
        <v>110</v>
      </c>
    </row>
    <row r="3325" spans="9:16">
      <c r="I3325" s="71">
        <v>719</v>
      </c>
      <c r="J3325" s="73">
        <f>+P3303+P3305+P3311+P3313</f>
        <v>0</v>
      </c>
      <c r="K3325" s="74">
        <f>+L3286</f>
        <v>54510000</v>
      </c>
      <c r="L3325" s="195">
        <f>+J3325+K3325</f>
        <v>54510000</v>
      </c>
    </row>
    <row r="3326" spans="9:16">
      <c r="I3326" s="72">
        <v>721</v>
      </c>
      <c r="J3326" s="80"/>
      <c r="K3326" s="74">
        <f>+L3287</f>
        <v>252291159</v>
      </c>
      <c r="L3326" s="195">
        <f>+J3326+K3326</f>
        <v>252291159</v>
      </c>
    </row>
    <row r="3327" spans="9:16">
      <c r="I3327" s="72">
        <v>722</v>
      </c>
      <c r="J3327" s="80">
        <f>+P3314+P3312+P3308+P3306+P3304+P3310</f>
        <v>600000</v>
      </c>
      <c r="K3327" s="74">
        <f>+L3288</f>
        <v>48461706</v>
      </c>
      <c r="L3327" s="195">
        <f>+J3327+K3327</f>
        <v>49061706</v>
      </c>
    </row>
    <row r="3328" spans="9:16" ht="15.75">
      <c r="I3328" s="72">
        <v>723</v>
      </c>
      <c r="J3328" s="80"/>
      <c r="K3328" s="74">
        <f>+L3289</f>
        <v>397726140</v>
      </c>
      <c r="L3328" s="195">
        <f>+J3328+K3328</f>
        <v>397726140</v>
      </c>
      <c r="N3328" s="193" t="s">
        <v>289</v>
      </c>
      <c r="O3328" s="175"/>
    </row>
    <row r="3329" spans="9:16" ht="16.5" thickBot="1">
      <c r="I3329" s="164" t="s">
        <v>1077</v>
      </c>
      <c r="J3329" s="165"/>
      <c r="K3329" s="74">
        <f>+L3290</f>
        <v>797500</v>
      </c>
      <c r="L3329" s="196">
        <f>+J3329+K3329</f>
        <v>797500</v>
      </c>
      <c r="N3329" s="52"/>
    </row>
    <row r="3330" spans="9:16" ht="16.5" thickBot="1">
      <c r="I3330" s="169"/>
      <c r="J3330" s="197">
        <f>SUM(J3325:J3329)</f>
        <v>600000</v>
      </c>
      <c r="K3330" s="197">
        <f>SUM(K3325:K3329)</f>
        <v>753786505</v>
      </c>
      <c r="L3330" s="198">
        <f>SUM(L3325:L3329)</f>
        <v>754386505</v>
      </c>
    </row>
    <row r="3331" spans="9:16" ht="16.5">
      <c r="I3331" s="49" t="s">
        <v>88</v>
      </c>
      <c r="J3331" s="50"/>
    </row>
    <row r="3332" spans="9:16">
      <c r="I3332" s="51" t="s">
        <v>89</v>
      </c>
    </row>
    <row r="3333" spans="9:16">
      <c r="I3333" s="51" t="s">
        <v>90</v>
      </c>
    </row>
    <row r="3334" spans="9:16">
      <c r="I3334" s="51" t="s">
        <v>91</v>
      </c>
    </row>
    <row r="3335" spans="9:16">
      <c r="I3335" s="50"/>
      <c r="J3335" s="50"/>
    </row>
    <row r="3336" spans="9:16" ht="15.75">
      <c r="I3336" s="260" t="s">
        <v>1283</v>
      </c>
      <c r="O3336" s="52"/>
    </row>
    <row r="3337" spans="9:16" ht="15.75">
      <c r="I3337" s="53" t="s">
        <v>535</v>
      </c>
      <c r="O3337" s="53"/>
    </row>
    <row r="3338" spans="9:16" ht="16.5">
      <c r="I3338" s="894" t="s">
        <v>1288</v>
      </c>
      <c r="J3338" s="894"/>
      <c r="K3338" s="894"/>
      <c r="L3338" s="894"/>
      <c r="M3338" s="894"/>
      <c r="N3338" s="894"/>
      <c r="O3338" s="894"/>
      <c r="P3338" s="894"/>
    </row>
    <row r="3339" spans="9:16" ht="15.75" thickBot="1"/>
    <row r="3340" spans="9:16">
      <c r="I3340" s="895" t="s">
        <v>94</v>
      </c>
      <c r="J3340" s="897" t="s">
        <v>95</v>
      </c>
      <c r="K3340" s="897" t="s">
        <v>96</v>
      </c>
      <c r="L3340" s="897" t="s">
        <v>3</v>
      </c>
      <c r="M3340" s="897" t="s">
        <v>97</v>
      </c>
      <c r="N3340" s="897" t="s">
        <v>98</v>
      </c>
      <c r="O3340" s="897" t="s">
        <v>99</v>
      </c>
      <c r="P3340" s="899"/>
    </row>
    <row r="3341" spans="9:16" ht="15.75" thickBot="1">
      <c r="I3341" s="896"/>
      <c r="J3341" s="898"/>
      <c r="K3341" s="898"/>
      <c r="L3341" s="898"/>
      <c r="M3341" s="898"/>
      <c r="N3341" s="898"/>
      <c r="O3341" s="240" t="s">
        <v>100</v>
      </c>
      <c r="P3341" s="182" t="s">
        <v>101</v>
      </c>
    </row>
    <row r="3342" spans="9:16" ht="15" customHeight="1">
      <c r="I3342" s="873" t="s">
        <v>552</v>
      </c>
      <c r="J3342" s="875">
        <v>42735</v>
      </c>
      <c r="K3342" s="877" t="s">
        <v>790</v>
      </c>
      <c r="L3342" s="879" t="s">
        <v>1293</v>
      </c>
      <c r="M3342" s="881" t="s">
        <v>165</v>
      </c>
      <c r="N3342" s="883">
        <v>-401330</v>
      </c>
      <c r="O3342" s="55">
        <v>719</v>
      </c>
      <c r="P3342" s="78"/>
    </row>
    <row r="3343" spans="9:16" ht="15.75" thickBot="1">
      <c r="I3343" s="874"/>
      <c r="J3343" s="876"/>
      <c r="K3343" s="878"/>
      <c r="L3343" s="880"/>
      <c r="M3343" s="882"/>
      <c r="N3343" s="884"/>
      <c r="O3343" s="56">
        <v>723</v>
      </c>
      <c r="P3343" s="351">
        <f>+N3342-P3342</f>
        <v>-401330</v>
      </c>
    </row>
    <row r="3344" spans="9:16" ht="15" customHeight="1">
      <c r="I3344" s="873" t="s">
        <v>553</v>
      </c>
      <c r="J3344" s="875">
        <v>42735</v>
      </c>
      <c r="K3344" s="877" t="s">
        <v>791</v>
      </c>
      <c r="L3344" s="879" t="s">
        <v>1294</v>
      </c>
      <c r="M3344" s="881" t="s">
        <v>165</v>
      </c>
      <c r="N3344" s="883">
        <v>-164000</v>
      </c>
      <c r="O3344" s="55">
        <v>719</v>
      </c>
      <c r="P3344" s="78"/>
    </row>
    <row r="3345" spans="9:16" ht="15.75" customHeight="1" thickBot="1">
      <c r="I3345" s="874"/>
      <c r="J3345" s="876"/>
      <c r="K3345" s="878"/>
      <c r="L3345" s="880"/>
      <c r="M3345" s="882"/>
      <c r="N3345" s="884"/>
      <c r="O3345" s="56">
        <v>723</v>
      </c>
      <c r="P3345" s="352">
        <f>+N3344-P3344</f>
        <v>-164000</v>
      </c>
    </row>
    <row r="3346" spans="9:16" ht="15" customHeight="1">
      <c r="I3346" s="873"/>
      <c r="J3346" s="875"/>
      <c r="K3346" s="877"/>
      <c r="L3346" s="879"/>
      <c r="M3346" s="881"/>
      <c r="N3346" s="883"/>
      <c r="O3346" s="55">
        <v>719</v>
      </c>
      <c r="P3346" s="78"/>
    </row>
    <row r="3347" spans="9:16" ht="15.75" customHeight="1" thickBot="1">
      <c r="I3347" s="874"/>
      <c r="J3347" s="876"/>
      <c r="K3347" s="878"/>
      <c r="L3347" s="880"/>
      <c r="M3347" s="882"/>
      <c r="N3347" s="884"/>
      <c r="O3347" s="56">
        <v>722</v>
      </c>
      <c r="P3347" s="352"/>
    </row>
    <row r="3348" spans="9:16" ht="15" customHeight="1">
      <c r="I3348" s="873"/>
      <c r="J3348" s="875"/>
      <c r="K3348" s="877"/>
      <c r="L3348" s="879"/>
      <c r="M3348" s="881"/>
      <c r="N3348" s="883"/>
      <c r="O3348" s="55">
        <v>719</v>
      </c>
      <c r="P3348" s="78"/>
    </row>
    <row r="3349" spans="9:16" ht="15.75" customHeight="1" thickBot="1">
      <c r="I3349" s="874"/>
      <c r="J3349" s="876"/>
      <c r="K3349" s="878"/>
      <c r="L3349" s="880"/>
      <c r="M3349" s="882"/>
      <c r="N3349" s="884"/>
      <c r="O3349" s="56">
        <v>722</v>
      </c>
      <c r="P3349" s="79">
        <f>+N3348-P3348</f>
        <v>0</v>
      </c>
    </row>
    <row r="3350" spans="9:16" ht="16.5" thickBot="1">
      <c r="I3350" s="901" t="s">
        <v>102</v>
      </c>
      <c r="J3350" s="902"/>
      <c r="K3350" s="902"/>
      <c r="L3350" s="902"/>
      <c r="M3350" s="903"/>
      <c r="N3350" s="81">
        <f>SUM(N3342:N3349)</f>
        <v>-565330</v>
      </c>
    </row>
    <row r="3351" spans="9:16" ht="16.5" thickBot="1">
      <c r="I3351" s="885" t="s">
        <v>103</v>
      </c>
      <c r="J3351" s="886"/>
      <c r="K3351" s="886"/>
      <c r="L3351" s="886"/>
      <c r="M3351" s="887"/>
      <c r="N3351" s="69">
        <f>+N3317</f>
        <v>754456505</v>
      </c>
      <c r="O3351" s="241" t="s">
        <v>561</v>
      </c>
      <c r="P3351" s="242"/>
    </row>
    <row r="3352" spans="9:16" ht="16.5" thickBot="1">
      <c r="I3352" s="888" t="s">
        <v>104</v>
      </c>
      <c r="J3352" s="889"/>
      <c r="K3352" s="889"/>
      <c r="L3352" s="889"/>
      <c r="M3352" s="890"/>
      <c r="N3352" s="183">
        <f>SUM(N3350:N3351)</f>
        <v>753891175</v>
      </c>
    </row>
    <row r="3353" spans="9:16">
      <c r="I3353" s="61"/>
      <c r="J3353" s="61"/>
      <c r="K3353" s="61"/>
      <c r="L3353" s="61"/>
      <c r="M3353" s="61"/>
    </row>
    <row r="3354" spans="9:16">
      <c r="I3354" s="51" t="s">
        <v>1287</v>
      </c>
    </row>
    <row r="3355" spans="9:16">
      <c r="N3355" s="139"/>
    </row>
    <row r="3356" spans="9:16">
      <c r="I3356" s="50" t="s">
        <v>105</v>
      </c>
      <c r="L3356" s="146"/>
      <c r="N3356" s="139"/>
    </row>
    <row r="3357" spans="9:16" ht="15.75" thickBot="1"/>
    <row r="3358" spans="9:16" ht="15.75" thickBot="1">
      <c r="I3358" s="891" t="s">
        <v>106</v>
      </c>
      <c r="J3358" s="892"/>
      <c r="K3358" s="892"/>
      <c r="L3358" s="893"/>
      <c r="N3358" s="50" t="s">
        <v>288</v>
      </c>
    </row>
    <row r="3359" spans="9:16" ht="30.75" thickBot="1">
      <c r="I3359" s="57" t="s">
        <v>100</v>
      </c>
      <c r="J3359" s="58" t="s">
        <v>108</v>
      </c>
      <c r="K3359" s="287" t="s">
        <v>109</v>
      </c>
      <c r="L3359" s="60" t="s">
        <v>110</v>
      </c>
    </row>
    <row r="3360" spans="9:16">
      <c r="I3360" s="71">
        <v>719</v>
      </c>
      <c r="J3360" s="73">
        <f>+P3342+P3344+P3348</f>
        <v>0</v>
      </c>
      <c r="K3360" s="74">
        <f>+L3325</f>
        <v>54510000</v>
      </c>
      <c r="L3360" s="195">
        <f>+J3360+K3360</f>
        <v>54510000</v>
      </c>
    </row>
    <row r="3361" spans="9:16">
      <c r="I3361" s="72">
        <v>721</v>
      </c>
      <c r="J3361" s="80"/>
      <c r="K3361" s="74">
        <f>+L3326</f>
        <v>252291159</v>
      </c>
      <c r="L3361" s="195">
        <f>+J3361+K3361</f>
        <v>252291159</v>
      </c>
    </row>
    <row r="3362" spans="9:16">
      <c r="I3362" s="72">
        <v>722</v>
      </c>
      <c r="J3362" s="80"/>
      <c r="K3362" s="74">
        <f>+L3327</f>
        <v>49061706</v>
      </c>
      <c r="L3362" s="195">
        <f>+J3362+K3362</f>
        <v>49061706</v>
      </c>
    </row>
    <row r="3363" spans="9:16" ht="15.75">
      <c r="I3363" s="72">
        <v>723</v>
      </c>
      <c r="J3363" s="80">
        <f>+P3345+P3343</f>
        <v>-565330</v>
      </c>
      <c r="K3363" s="74">
        <f>+L3328</f>
        <v>397726140</v>
      </c>
      <c r="L3363" s="195">
        <f>+J3363+K3363</f>
        <v>397160810</v>
      </c>
      <c r="N3363" s="193" t="s">
        <v>289</v>
      </c>
      <c r="O3363" s="175"/>
    </row>
    <row r="3364" spans="9:16" ht="16.5" thickBot="1">
      <c r="I3364" s="164" t="s">
        <v>1077</v>
      </c>
      <c r="J3364" s="165"/>
      <c r="K3364" s="74">
        <f>+L3329</f>
        <v>797500</v>
      </c>
      <c r="L3364" s="196">
        <f>+J3364+K3364</f>
        <v>797500</v>
      </c>
      <c r="N3364" s="52"/>
    </row>
    <row r="3365" spans="9:16" ht="16.5" thickBot="1">
      <c r="I3365" s="169"/>
      <c r="J3365" s="197">
        <f>SUM(J3360:J3364)</f>
        <v>-565330</v>
      </c>
      <c r="K3365" s="197">
        <f>SUM(K3360:K3364)</f>
        <v>754386505</v>
      </c>
      <c r="L3365" s="198">
        <f>SUM(L3360:L3364)</f>
        <v>753821175</v>
      </c>
    </row>
    <row r="3366" spans="9:16" ht="15.75">
      <c r="I3366" s="397"/>
      <c r="J3366" s="398"/>
      <c r="K3366" s="398"/>
      <c r="L3366" s="399"/>
    </row>
    <row r="3367" spans="9:16" ht="16.5">
      <c r="I3367" s="49" t="s">
        <v>88</v>
      </c>
      <c r="J3367" s="50"/>
    </row>
    <row r="3368" spans="9:16">
      <c r="I3368" s="51" t="s">
        <v>89</v>
      </c>
    </row>
    <row r="3369" spans="9:16">
      <c r="I3369" s="51" t="s">
        <v>90</v>
      </c>
    </row>
    <row r="3370" spans="9:16">
      <c r="I3370" s="51" t="s">
        <v>91</v>
      </c>
    </row>
    <row r="3371" spans="9:16" ht="14.25" customHeight="1">
      <c r="I3371" s="50"/>
      <c r="J3371" s="50"/>
    </row>
    <row r="3372" spans="9:16" ht="15.75">
      <c r="I3372" s="260" t="s">
        <v>1289</v>
      </c>
      <c r="O3372" s="52"/>
    </row>
    <row r="3373" spans="9:16" ht="15.75">
      <c r="I3373" s="53" t="s">
        <v>535</v>
      </c>
      <c r="O3373" s="53"/>
    </row>
    <row r="3374" spans="9:16" ht="16.5">
      <c r="I3374" s="894" t="s">
        <v>1278</v>
      </c>
      <c r="J3374" s="894"/>
      <c r="K3374" s="894"/>
      <c r="L3374" s="894"/>
      <c r="M3374" s="894"/>
      <c r="N3374" s="894"/>
      <c r="O3374" s="894"/>
      <c r="P3374" s="894"/>
    </row>
    <row r="3375" spans="9:16" ht="15.75" thickBot="1"/>
    <row r="3376" spans="9:16">
      <c r="I3376" s="895" t="s">
        <v>94</v>
      </c>
      <c r="J3376" s="897" t="s">
        <v>95</v>
      </c>
      <c r="K3376" s="897" t="s">
        <v>96</v>
      </c>
      <c r="L3376" s="897" t="s">
        <v>3</v>
      </c>
      <c r="M3376" s="897" t="s">
        <v>97</v>
      </c>
      <c r="N3376" s="897" t="s">
        <v>98</v>
      </c>
      <c r="O3376" s="897" t="s">
        <v>99</v>
      </c>
      <c r="P3376" s="899"/>
    </row>
    <row r="3377" spans="9:16" ht="15.75" thickBot="1">
      <c r="I3377" s="896"/>
      <c r="J3377" s="898"/>
      <c r="K3377" s="898"/>
      <c r="L3377" s="898"/>
      <c r="M3377" s="898"/>
      <c r="N3377" s="898"/>
      <c r="O3377" s="240" t="s">
        <v>100</v>
      </c>
      <c r="P3377" s="182" t="s">
        <v>101</v>
      </c>
    </row>
    <row r="3378" spans="9:16" ht="15" customHeight="1">
      <c r="I3378" s="873" t="s">
        <v>1290</v>
      </c>
      <c r="J3378" s="875">
        <v>42734</v>
      </c>
      <c r="K3378" s="877" t="s">
        <v>1014</v>
      </c>
      <c r="L3378" s="879" t="s">
        <v>1293</v>
      </c>
      <c r="M3378" s="881" t="s">
        <v>115</v>
      </c>
      <c r="N3378" s="883">
        <v>50000</v>
      </c>
      <c r="O3378" s="55">
        <v>719</v>
      </c>
      <c r="P3378" s="78">
        <v>50000</v>
      </c>
    </row>
    <row r="3379" spans="9:16" ht="15.75" customHeight="1" thickBot="1">
      <c r="I3379" s="874"/>
      <c r="J3379" s="876"/>
      <c r="K3379" s="878"/>
      <c r="L3379" s="880"/>
      <c r="M3379" s="882"/>
      <c r="N3379" s="884"/>
      <c r="O3379" s="56">
        <v>723</v>
      </c>
      <c r="P3379" s="351">
        <f>+N3378-P3378</f>
        <v>0</v>
      </c>
    </row>
    <row r="3380" spans="9:16" ht="15" customHeight="1">
      <c r="I3380" s="873" t="s">
        <v>1291</v>
      </c>
      <c r="J3380" s="875">
        <v>42734</v>
      </c>
      <c r="K3380" s="877" t="s">
        <v>28</v>
      </c>
      <c r="L3380" s="879" t="s">
        <v>1294</v>
      </c>
      <c r="M3380" s="881" t="s">
        <v>115</v>
      </c>
      <c r="N3380" s="883">
        <v>50000</v>
      </c>
      <c r="O3380" s="55">
        <v>719</v>
      </c>
      <c r="P3380" s="78">
        <v>50000</v>
      </c>
    </row>
    <row r="3381" spans="9:16" ht="15.75" customHeight="1" thickBot="1">
      <c r="I3381" s="874"/>
      <c r="J3381" s="876"/>
      <c r="K3381" s="878"/>
      <c r="L3381" s="880"/>
      <c r="M3381" s="882"/>
      <c r="N3381" s="884"/>
      <c r="O3381" s="56">
        <v>723</v>
      </c>
      <c r="P3381" s="352">
        <f>+N3380-P3380</f>
        <v>0</v>
      </c>
    </row>
    <row r="3382" spans="9:16" ht="15" customHeight="1">
      <c r="I3382" s="873" t="s">
        <v>1292</v>
      </c>
      <c r="J3382" s="875">
        <v>42734</v>
      </c>
      <c r="K3382" s="877" t="s">
        <v>120</v>
      </c>
      <c r="L3382" s="879" t="s">
        <v>1294</v>
      </c>
      <c r="M3382" s="881" t="s">
        <v>115</v>
      </c>
      <c r="N3382" s="883">
        <v>140000</v>
      </c>
      <c r="O3382" s="55">
        <v>719</v>
      </c>
      <c r="P3382" s="78">
        <v>140000</v>
      </c>
    </row>
    <row r="3383" spans="9:16" ht="15.75" customHeight="1" thickBot="1">
      <c r="I3383" s="874"/>
      <c r="J3383" s="876"/>
      <c r="K3383" s="878"/>
      <c r="L3383" s="880"/>
      <c r="M3383" s="882"/>
      <c r="N3383" s="884"/>
      <c r="O3383" s="56">
        <v>722</v>
      </c>
      <c r="P3383" s="352">
        <f>+N3382-P3382</f>
        <v>0</v>
      </c>
    </row>
    <row r="3384" spans="9:16">
      <c r="I3384" s="881"/>
      <c r="J3384" s="875"/>
      <c r="K3384" s="877"/>
      <c r="L3384" s="904"/>
      <c r="M3384" s="881"/>
      <c r="N3384" s="883"/>
      <c r="O3384" s="55">
        <v>719</v>
      </c>
      <c r="P3384" s="78"/>
    </row>
    <row r="3385" spans="9:16" ht="15.75" thickBot="1">
      <c r="I3385" s="882"/>
      <c r="J3385" s="876"/>
      <c r="K3385" s="878"/>
      <c r="L3385" s="880"/>
      <c r="M3385" s="882"/>
      <c r="N3385" s="884"/>
      <c r="O3385" s="56">
        <v>722</v>
      </c>
      <c r="P3385" s="79">
        <f>+N3384-P3384</f>
        <v>0</v>
      </c>
    </row>
    <row r="3386" spans="9:16" ht="16.5" thickBot="1">
      <c r="I3386" s="901" t="s">
        <v>102</v>
      </c>
      <c r="J3386" s="902"/>
      <c r="K3386" s="902"/>
      <c r="L3386" s="902"/>
      <c r="M3386" s="903"/>
      <c r="N3386" s="81">
        <f>SUM(N3378:N3385)</f>
        <v>240000</v>
      </c>
    </row>
    <row r="3387" spans="9:16" ht="16.5" thickBot="1">
      <c r="I3387" s="885" t="s">
        <v>103</v>
      </c>
      <c r="J3387" s="886"/>
      <c r="K3387" s="886"/>
      <c r="L3387" s="886"/>
      <c r="M3387" s="887"/>
      <c r="N3387" s="69">
        <f>+N3352</f>
        <v>753891175</v>
      </c>
      <c r="O3387" s="241" t="s">
        <v>561</v>
      </c>
      <c r="P3387" s="242">
        <v>349</v>
      </c>
    </row>
    <row r="3388" spans="9:16" ht="16.5" thickBot="1">
      <c r="I3388" s="888" t="s">
        <v>104</v>
      </c>
      <c r="J3388" s="889"/>
      <c r="K3388" s="889"/>
      <c r="L3388" s="889"/>
      <c r="M3388" s="890"/>
      <c r="N3388" s="183">
        <f>SUM(N3386:N3387)</f>
        <v>754131175</v>
      </c>
    </row>
    <row r="3389" spans="9:16">
      <c r="I3389" s="61"/>
      <c r="J3389" s="61"/>
      <c r="K3389" s="61"/>
      <c r="L3389" s="61"/>
      <c r="M3389" s="61"/>
    </row>
    <row r="3390" spans="9:16">
      <c r="I3390" s="51" t="s">
        <v>1295</v>
      </c>
    </row>
    <row r="3391" spans="9:16">
      <c r="N3391" s="139"/>
    </row>
    <row r="3392" spans="9:16" ht="19.5" customHeight="1">
      <c r="I3392" s="50" t="s">
        <v>105</v>
      </c>
      <c r="L3392" s="146"/>
      <c r="N3392" s="139"/>
    </row>
    <row r="3393" spans="9:15" ht="18" customHeight="1" thickBot="1"/>
    <row r="3394" spans="9:15" ht="15.75" thickBot="1">
      <c r="I3394" s="891" t="s">
        <v>106</v>
      </c>
      <c r="J3394" s="892"/>
      <c r="K3394" s="892"/>
      <c r="L3394" s="893"/>
      <c r="N3394" s="50" t="s">
        <v>288</v>
      </c>
    </row>
    <row r="3395" spans="9:15" ht="30.75" thickBot="1">
      <c r="I3395" s="57" t="s">
        <v>100</v>
      </c>
      <c r="J3395" s="58" t="s">
        <v>108</v>
      </c>
      <c r="K3395" s="287" t="s">
        <v>109</v>
      </c>
      <c r="L3395" s="60" t="s">
        <v>110</v>
      </c>
    </row>
    <row r="3396" spans="9:15">
      <c r="I3396" s="71">
        <v>719</v>
      </c>
      <c r="J3396" s="73">
        <f>+P3378+P3380+P3384+P3382</f>
        <v>240000</v>
      </c>
      <c r="K3396" s="74">
        <f>+L3360</f>
        <v>54510000</v>
      </c>
      <c r="L3396" s="195">
        <f>+J3396+K3396</f>
        <v>54750000</v>
      </c>
    </row>
    <row r="3397" spans="9:15">
      <c r="I3397" s="72">
        <v>721</v>
      </c>
      <c r="J3397" s="80"/>
      <c r="K3397" s="74">
        <f>+L3361</f>
        <v>252291159</v>
      </c>
      <c r="L3397" s="195">
        <f>+J3397+K3397</f>
        <v>252291159</v>
      </c>
    </row>
    <row r="3398" spans="9:15">
      <c r="I3398" s="72">
        <v>722</v>
      </c>
      <c r="J3398" s="80"/>
      <c r="K3398" s="74">
        <f>+L3362</f>
        <v>49061706</v>
      </c>
      <c r="L3398" s="195">
        <f>+J3398+K3398</f>
        <v>49061706</v>
      </c>
    </row>
    <row r="3399" spans="9:15" ht="15.75">
      <c r="I3399" s="72">
        <v>723</v>
      </c>
      <c r="J3399" s="80">
        <f>+P3381+P3379</f>
        <v>0</v>
      </c>
      <c r="K3399" s="74">
        <f>+L3363</f>
        <v>397160810</v>
      </c>
      <c r="L3399" s="195">
        <f>+J3399+K3399</f>
        <v>397160810</v>
      </c>
      <c r="N3399" s="193" t="s">
        <v>289</v>
      </c>
      <c r="O3399" s="175"/>
    </row>
    <row r="3400" spans="9:15" ht="16.5" thickBot="1">
      <c r="I3400" s="164" t="s">
        <v>1077</v>
      </c>
      <c r="J3400" s="165"/>
      <c r="K3400" s="74">
        <f>+L3364</f>
        <v>797500</v>
      </c>
      <c r="L3400" s="196">
        <f>+J3400+K3400</f>
        <v>797500</v>
      </c>
      <c r="N3400" s="52"/>
    </row>
    <row r="3401" spans="9:15" ht="16.5" thickBot="1">
      <c r="I3401" s="169"/>
      <c r="J3401" s="197">
        <f>SUM(J3396:J3400)</f>
        <v>240000</v>
      </c>
      <c r="K3401" s="197">
        <f>SUM(K3396:K3400)</f>
        <v>753821175</v>
      </c>
      <c r="L3401" s="198">
        <f>SUM(L3396:L3400)</f>
        <v>754061175</v>
      </c>
    </row>
    <row r="3402" spans="9:15" ht="15.75">
      <c r="I3402" s="397"/>
      <c r="J3402" s="398"/>
      <c r="K3402" s="398"/>
      <c r="L3402" s="399"/>
    </row>
    <row r="3403" spans="9:15" ht="16.5">
      <c r="I3403" s="49" t="s">
        <v>88</v>
      </c>
      <c r="J3403" s="50"/>
    </row>
    <row r="3404" spans="9:15">
      <c r="I3404" s="50" t="s">
        <v>89</v>
      </c>
    </row>
    <row r="3405" spans="9:15">
      <c r="I3405" s="51" t="s">
        <v>90</v>
      </c>
    </row>
    <row r="3406" spans="9:15">
      <c r="I3406" s="51" t="s">
        <v>91</v>
      </c>
    </row>
    <row r="3407" spans="9:15" ht="9" customHeight="1">
      <c r="I3407" s="50"/>
      <c r="J3407" s="50"/>
    </row>
    <row r="3408" spans="9:15" ht="15.75">
      <c r="I3408" s="260" t="s">
        <v>1296</v>
      </c>
      <c r="O3408" s="52"/>
    </row>
    <row r="3409" spans="9:16" ht="15.75">
      <c r="I3409" s="53" t="s">
        <v>535</v>
      </c>
      <c r="O3409" s="53"/>
    </row>
    <row r="3410" spans="9:16" ht="15.75" customHeight="1">
      <c r="I3410" s="894" t="s">
        <v>1302</v>
      </c>
      <c r="J3410" s="894"/>
      <c r="K3410" s="894"/>
      <c r="L3410" s="894"/>
      <c r="M3410" s="894"/>
      <c r="N3410" s="894"/>
      <c r="O3410" s="894"/>
      <c r="P3410" s="894"/>
    </row>
    <row r="3411" spans="9:16" ht="12.75" customHeight="1" thickBot="1"/>
    <row r="3412" spans="9:16">
      <c r="I3412" s="895" t="s">
        <v>94</v>
      </c>
      <c r="J3412" s="897" t="s">
        <v>95</v>
      </c>
      <c r="K3412" s="897" t="s">
        <v>96</v>
      </c>
      <c r="L3412" s="897" t="s">
        <v>3</v>
      </c>
      <c r="M3412" s="897" t="s">
        <v>97</v>
      </c>
      <c r="N3412" s="897" t="s">
        <v>98</v>
      </c>
      <c r="O3412" s="897" t="s">
        <v>99</v>
      </c>
      <c r="P3412" s="899"/>
    </row>
    <row r="3413" spans="9:16" ht="15.75" thickBot="1">
      <c r="I3413" s="896"/>
      <c r="J3413" s="898"/>
      <c r="K3413" s="898"/>
      <c r="L3413" s="898"/>
      <c r="M3413" s="898"/>
      <c r="N3413" s="898"/>
      <c r="O3413" s="240" t="s">
        <v>100</v>
      </c>
      <c r="P3413" s="182" t="s">
        <v>101</v>
      </c>
    </row>
    <row r="3414" spans="9:16" ht="13.5" customHeight="1">
      <c r="I3414" s="873" t="s">
        <v>1297</v>
      </c>
      <c r="J3414" s="875">
        <v>42734</v>
      </c>
      <c r="K3414" s="400" t="s">
        <v>1267</v>
      </c>
      <c r="L3414" s="879" t="s">
        <v>1221</v>
      </c>
      <c r="M3414" s="881" t="s">
        <v>145</v>
      </c>
      <c r="N3414" s="883">
        <v>14718204</v>
      </c>
      <c r="O3414" s="55">
        <v>719</v>
      </c>
      <c r="P3414" s="78">
        <v>0</v>
      </c>
    </row>
    <row r="3415" spans="9:16" ht="14.25" customHeight="1" thickBot="1">
      <c r="I3415" s="874"/>
      <c r="J3415" s="876"/>
      <c r="K3415" s="402"/>
      <c r="L3415" s="880"/>
      <c r="M3415" s="882"/>
      <c r="N3415" s="884"/>
      <c r="O3415" s="56">
        <v>721</v>
      </c>
      <c r="P3415" s="351">
        <f>+N3414-P3414</f>
        <v>14718204</v>
      </c>
    </row>
    <row r="3416" spans="9:16" ht="13.5" customHeight="1">
      <c r="I3416" s="873" t="s">
        <v>1298</v>
      </c>
      <c r="J3416" s="875">
        <v>42734</v>
      </c>
      <c r="K3416" s="402"/>
      <c r="L3416" s="879" t="s">
        <v>1304</v>
      </c>
      <c r="M3416" s="881" t="s">
        <v>145</v>
      </c>
      <c r="N3416" s="883">
        <v>4941638</v>
      </c>
      <c r="O3416" s="55">
        <v>719</v>
      </c>
      <c r="P3416" s="78">
        <v>0</v>
      </c>
    </row>
    <row r="3417" spans="9:16" ht="15" customHeight="1" thickBot="1">
      <c r="I3417" s="874"/>
      <c r="J3417" s="876"/>
      <c r="K3417" s="402"/>
      <c r="L3417" s="880"/>
      <c r="M3417" s="882"/>
      <c r="N3417" s="884"/>
      <c r="O3417" s="56">
        <v>721</v>
      </c>
      <c r="P3417" s="352">
        <f>+N3416-P3416</f>
        <v>4941638</v>
      </c>
    </row>
    <row r="3418" spans="9:16" ht="15" customHeight="1">
      <c r="I3418" s="873" t="s">
        <v>1299</v>
      </c>
      <c r="J3418" s="875">
        <v>42734</v>
      </c>
      <c r="K3418" s="402"/>
      <c r="L3418" s="879" t="s">
        <v>1305</v>
      </c>
      <c r="M3418" s="881" t="s">
        <v>145</v>
      </c>
      <c r="N3418" s="883">
        <v>3962065</v>
      </c>
      <c r="O3418" s="55">
        <v>719</v>
      </c>
      <c r="P3418" s="78">
        <v>0</v>
      </c>
    </row>
    <row r="3419" spans="9:16" ht="15.75" customHeight="1" thickBot="1">
      <c r="I3419" s="874"/>
      <c r="J3419" s="876"/>
      <c r="K3419" s="402"/>
      <c r="L3419" s="880"/>
      <c r="M3419" s="882"/>
      <c r="N3419" s="884"/>
      <c r="O3419" s="56">
        <v>721</v>
      </c>
      <c r="P3419" s="352">
        <f>+N3418-P3418</f>
        <v>3962065</v>
      </c>
    </row>
    <row r="3420" spans="9:16" ht="14.25" customHeight="1">
      <c r="I3420" s="873" t="s">
        <v>1300</v>
      </c>
      <c r="J3420" s="875">
        <v>42734</v>
      </c>
      <c r="K3420" s="402"/>
      <c r="L3420" s="879" t="s">
        <v>1303</v>
      </c>
      <c r="M3420" s="881" t="s">
        <v>145</v>
      </c>
      <c r="N3420" s="883">
        <v>2449488</v>
      </c>
      <c r="O3420" s="55">
        <v>719</v>
      </c>
      <c r="P3420" s="78">
        <v>0</v>
      </c>
    </row>
    <row r="3421" spans="9:16" ht="14.25" customHeight="1" thickBot="1">
      <c r="I3421" s="874"/>
      <c r="J3421" s="876"/>
      <c r="K3421" s="402"/>
      <c r="L3421" s="880"/>
      <c r="M3421" s="882"/>
      <c r="N3421" s="884"/>
      <c r="O3421" s="56">
        <v>721</v>
      </c>
      <c r="P3421" s="352">
        <f>+N3420-P3420</f>
        <v>2449488</v>
      </c>
    </row>
    <row r="3422" spans="9:16" ht="13.5" customHeight="1">
      <c r="I3422" s="873" t="s">
        <v>1308</v>
      </c>
      <c r="J3422" s="875">
        <v>42734</v>
      </c>
      <c r="K3422" s="402"/>
      <c r="L3422" s="879" t="s">
        <v>1306</v>
      </c>
      <c r="M3422" s="881" t="s">
        <v>145</v>
      </c>
      <c r="N3422" s="883">
        <v>4151192</v>
      </c>
      <c r="O3422" s="55">
        <v>719</v>
      </c>
      <c r="P3422" s="78">
        <v>0</v>
      </c>
    </row>
    <row r="3423" spans="9:16" ht="15.75" customHeight="1" thickBot="1">
      <c r="I3423" s="874"/>
      <c r="J3423" s="876"/>
      <c r="K3423" s="402"/>
      <c r="L3423" s="880"/>
      <c r="M3423" s="882"/>
      <c r="N3423" s="884"/>
      <c r="O3423" s="56">
        <v>721</v>
      </c>
      <c r="P3423" s="352">
        <f>+N3422-P3422</f>
        <v>4151192</v>
      </c>
    </row>
    <row r="3424" spans="9:16" ht="12.75" customHeight="1">
      <c r="I3424" s="873" t="s">
        <v>1309</v>
      </c>
      <c r="J3424" s="875">
        <v>42734</v>
      </c>
      <c r="K3424" s="402"/>
      <c r="L3424" s="879" t="s">
        <v>1307</v>
      </c>
      <c r="M3424" s="881" t="s">
        <v>145</v>
      </c>
      <c r="N3424" s="883">
        <v>1734563</v>
      </c>
      <c r="O3424" s="55">
        <v>719</v>
      </c>
      <c r="P3424" s="78"/>
    </row>
    <row r="3425" spans="9:16" ht="12.75" customHeight="1" thickBot="1">
      <c r="I3425" s="874"/>
      <c r="J3425" s="876"/>
      <c r="K3425" s="401"/>
      <c r="L3425" s="880"/>
      <c r="M3425" s="882"/>
      <c r="N3425" s="884"/>
      <c r="O3425" s="56">
        <v>721</v>
      </c>
      <c r="P3425" s="79">
        <f>+N3424-P3424</f>
        <v>1734563</v>
      </c>
    </row>
    <row r="3426" spans="9:16" ht="16.5" thickBot="1">
      <c r="I3426" s="901" t="s">
        <v>102</v>
      </c>
      <c r="J3426" s="902"/>
      <c r="K3426" s="902"/>
      <c r="L3426" s="902"/>
      <c r="M3426" s="903"/>
      <c r="N3426" s="81">
        <f>SUM(N3414:N3425)</f>
        <v>31957150</v>
      </c>
    </row>
    <row r="3427" spans="9:16" ht="16.5" thickBot="1">
      <c r="I3427" s="885" t="s">
        <v>103</v>
      </c>
      <c r="J3427" s="886"/>
      <c r="K3427" s="886"/>
      <c r="L3427" s="886"/>
      <c r="M3427" s="887"/>
      <c r="N3427" s="69">
        <f>+N3388</f>
        <v>754131175</v>
      </c>
      <c r="O3427" s="241" t="s">
        <v>561</v>
      </c>
      <c r="P3427" s="242"/>
    </row>
    <row r="3428" spans="9:16" ht="16.5" thickBot="1">
      <c r="I3428" s="888" t="s">
        <v>104</v>
      </c>
      <c r="J3428" s="889"/>
      <c r="K3428" s="889"/>
      <c r="L3428" s="889"/>
      <c r="M3428" s="890"/>
      <c r="N3428" s="183">
        <f>SUM(N3426:N3427)</f>
        <v>786088325</v>
      </c>
    </row>
    <row r="3429" spans="9:16" ht="12.75" customHeight="1">
      <c r="I3429" s="61"/>
      <c r="J3429" s="61"/>
      <c r="K3429" s="61"/>
      <c r="L3429" s="61"/>
      <c r="M3429" s="61"/>
    </row>
    <row r="3430" spans="9:16">
      <c r="I3430" s="51" t="s">
        <v>1310</v>
      </c>
    </row>
    <row r="3431" spans="9:16" ht="8.25" customHeight="1">
      <c r="N3431" s="139"/>
    </row>
    <row r="3432" spans="9:16">
      <c r="I3432" s="50" t="s">
        <v>105</v>
      </c>
      <c r="L3432" s="146"/>
      <c r="N3432" s="139"/>
    </row>
    <row r="3433" spans="9:16" ht="9" customHeight="1" thickBot="1"/>
    <row r="3434" spans="9:16" ht="15.75" thickBot="1">
      <c r="I3434" s="891" t="s">
        <v>106</v>
      </c>
      <c r="J3434" s="892"/>
      <c r="K3434" s="892"/>
      <c r="L3434" s="893"/>
      <c r="N3434" s="50" t="s">
        <v>1126</v>
      </c>
    </row>
    <row r="3435" spans="9:16" ht="30.75" thickBot="1">
      <c r="I3435" s="57" t="s">
        <v>100</v>
      </c>
      <c r="J3435" s="58" t="s">
        <v>108</v>
      </c>
      <c r="K3435" s="287" t="s">
        <v>109</v>
      </c>
      <c r="L3435" s="60" t="s">
        <v>110</v>
      </c>
    </row>
    <row r="3436" spans="9:16">
      <c r="I3436" s="71">
        <v>719</v>
      </c>
      <c r="J3436" s="73">
        <f>+P3418+P3420+P3424+P3422</f>
        <v>0</v>
      </c>
      <c r="K3436" s="74">
        <f>+L3396</f>
        <v>54750000</v>
      </c>
      <c r="L3436" s="195">
        <f>+J3436+K3436</f>
        <v>54750000</v>
      </c>
    </row>
    <row r="3437" spans="9:16">
      <c r="I3437" s="72">
        <v>721</v>
      </c>
      <c r="J3437" s="80">
        <f>+P3425+P3423+P3421+P3419+P3417+P3415</f>
        <v>31957150</v>
      </c>
      <c r="K3437" s="74">
        <f>+L3397</f>
        <v>252291159</v>
      </c>
      <c r="L3437" s="195">
        <f>+J3437+K3437</f>
        <v>284248309</v>
      </c>
    </row>
    <row r="3438" spans="9:16">
      <c r="I3438" s="72">
        <v>722</v>
      </c>
      <c r="J3438" s="80"/>
      <c r="K3438" s="74">
        <f>+L3398</f>
        <v>49061706</v>
      </c>
      <c r="L3438" s="195">
        <f>+J3438+K3438</f>
        <v>49061706</v>
      </c>
    </row>
    <row r="3439" spans="9:16" ht="15.75">
      <c r="I3439" s="72">
        <v>723</v>
      </c>
      <c r="J3439" s="80"/>
      <c r="K3439" s="74">
        <f>+L3399</f>
        <v>397160810</v>
      </c>
      <c r="L3439" s="195">
        <f>+J3439+K3439</f>
        <v>397160810</v>
      </c>
      <c r="N3439" s="193" t="s">
        <v>1125</v>
      </c>
      <c r="O3439" s="175"/>
    </row>
    <row r="3440" spans="9:16" ht="16.5" thickBot="1">
      <c r="I3440" s="164" t="s">
        <v>1077</v>
      </c>
      <c r="J3440" s="165"/>
      <c r="K3440" s="74">
        <f>+L3400</f>
        <v>797500</v>
      </c>
      <c r="L3440" s="196">
        <f>+J3440+K3440</f>
        <v>797500</v>
      </c>
      <c r="N3440" s="52"/>
    </row>
    <row r="3441" spans="9:16" ht="16.5" thickBot="1">
      <c r="I3441" s="169"/>
      <c r="J3441" s="197">
        <f>SUM(J3436:J3440)</f>
        <v>31957150</v>
      </c>
      <c r="K3441" s="197">
        <f>SUM(K3436:K3440)</f>
        <v>754061175</v>
      </c>
      <c r="L3441" s="198">
        <f>SUM(L3436:L3440)</f>
        <v>786018325</v>
      </c>
    </row>
    <row r="3442" spans="9:16" ht="16.5">
      <c r="I3442" s="49" t="s">
        <v>88</v>
      </c>
      <c r="J3442" s="50"/>
    </row>
    <row r="3443" spans="9:16">
      <c r="I3443" s="51" t="s">
        <v>89</v>
      </c>
    </row>
    <row r="3444" spans="9:16">
      <c r="I3444" s="51" t="s">
        <v>90</v>
      </c>
    </row>
    <row r="3445" spans="9:16">
      <c r="I3445" s="51" t="s">
        <v>91</v>
      </c>
    </row>
    <row r="3446" spans="9:16">
      <c r="I3446" s="50"/>
      <c r="J3446" s="50"/>
    </row>
    <row r="3447" spans="9:16" ht="15.75">
      <c r="I3447" s="260" t="s">
        <v>1312</v>
      </c>
      <c r="O3447" s="52"/>
    </row>
    <row r="3448" spans="9:16" ht="15.75">
      <c r="I3448" s="53" t="s">
        <v>535</v>
      </c>
      <c r="O3448" s="53"/>
    </row>
    <row r="3449" spans="9:16" ht="16.5">
      <c r="I3449" s="894" t="s">
        <v>1316</v>
      </c>
      <c r="J3449" s="894"/>
      <c r="K3449" s="894"/>
      <c r="L3449" s="894"/>
      <c r="M3449" s="894"/>
      <c r="N3449" s="894"/>
      <c r="O3449" s="894"/>
      <c r="P3449" s="894"/>
    </row>
    <row r="3450" spans="9:16" ht="15.75" thickBot="1"/>
    <row r="3451" spans="9:16">
      <c r="I3451" s="895" t="s">
        <v>94</v>
      </c>
      <c r="J3451" s="897" t="s">
        <v>95</v>
      </c>
      <c r="K3451" s="897" t="s">
        <v>96</v>
      </c>
      <c r="L3451" s="897" t="s">
        <v>3</v>
      </c>
      <c r="M3451" s="897" t="s">
        <v>97</v>
      </c>
      <c r="N3451" s="897" t="s">
        <v>98</v>
      </c>
      <c r="O3451" s="897" t="s">
        <v>99</v>
      </c>
      <c r="P3451" s="899"/>
    </row>
    <row r="3452" spans="9:16" ht="15.75" thickBot="1">
      <c r="I3452" s="896"/>
      <c r="J3452" s="898"/>
      <c r="K3452" s="898"/>
      <c r="L3452" s="898"/>
      <c r="M3452" s="898"/>
      <c r="N3452" s="898"/>
      <c r="O3452" s="240" t="s">
        <v>100</v>
      </c>
      <c r="P3452" s="182" t="s">
        <v>101</v>
      </c>
    </row>
    <row r="3453" spans="9:16">
      <c r="I3453" s="873" t="s">
        <v>1311</v>
      </c>
      <c r="J3453" s="875">
        <v>42734</v>
      </c>
      <c r="K3453" s="877" t="s">
        <v>1315</v>
      </c>
      <c r="L3453" s="879" t="s">
        <v>1301</v>
      </c>
      <c r="M3453" s="881" t="s">
        <v>148</v>
      </c>
      <c r="N3453" s="883">
        <v>1817700</v>
      </c>
      <c r="O3453" s="55">
        <v>719</v>
      </c>
      <c r="P3453" s="78"/>
    </row>
    <row r="3454" spans="9:16" ht="15.75" thickBot="1">
      <c r="I3454" s="874"/>
      <c r="J3454" s="876"/>
      <c r="K3454" s="878"/>
      <c r="L3454" s="880"/>
      <c r="M3454" s="882"/>
      <c r="N3454" s="884"/>
      <c r="O3454" s="56">
        <v>723</v>
      </c>
      <c r="P3454" s="351">
        <f>+N3453-P3453</f>
        <v>1817700</v>
      </c>
    </row>
    <row r="3455" spans="9:16">
      <c r="I3455" s="873"/>
      <c r="J3455" s="875"/>
      <c r="K3455" s="877"/>
      <c r="L3455" s="879"/>
      <c r="M3455" s="881"/>
      <c r="N3455" s="883"/>
      <c r="O3455" s="55">
        <v>719</v>
      </c>
      <c r="P3455" s="78"/>
    </row>
    <row r="3456" spans="9:16" ht="15.75" thickBot="1">
      <c r="I3456" s="874"/>
      <c r="J3456" s="876"/>
      <c r="K3456" s="878"/>
      <c r="L3456" s="880"/>
      <c r="M3456" s="882"/>
      <c r="N3456" s="884"/>
      <c r="O3456" s="56">
        <v>723</v>
      </c>
      <c r="P3456" s="352">
        <f>+N3455-P3455</f>
        <v>0</v>
      </c>
    </row>
    <row r="3457" spans="9:16">
      <c r="I3457" s="873"/>
      <c r="J3457" s="875"/>
      <c r="K3457" s="877"/>
      <c r="L3457" s="879"/>
      <c r="M3457" s="881"/>
      <c r="N3457" s="883"/>
      <c r="O3457" s="55">
        <v>719</v>
      </c>
      <c r="P3457" s="78"/>
    </row>
    <row r="3458" spans="9:16" ht="15.75" thickBot="1">
      <c r="I3458" s="874"/>
      <c r="J3458" s="876"/>
      <c r="K3458" s="878"/>
      <c r="L3458" s="880"/>
      <c r="M3458" s="882"/>
      <c r="N3458" s="884"/>
      <c r="O3458" s="56">
        <v>722</v>
      </c>
      <c r="P3458" s="352">
        <f>+N3457-P3457</f>
        <v>0</v>
      </c>
    </row>
    <row r="3459" spans="9:16">
      <c r="I3459" s="881"/>
      <c r="J3459" s="875"/>
      <c r="K3459" s="877"/>
      <c r="L3459" s="904"/>
      <c r="M3459" s="881"/>
      <c r="N3459" s="883"/>
      <c r="O3459" s="55">
        <v>719</v>
      </c>
      <c r="P3459" s="78"/>
    </row>
    <row r="3460" spans="9:16" ht="15.75" thickBot="1">
      <c r="I3460" s="882"/>
      <c r="J3460" s="876"/>
      <c r="K3460" s="878"/>
      <c r="L3460" s="880"/>
      <c r="M3460" s="882"/>
      <c r="N3460" s="884"/>
      <c r="O3460" s="56">
        <v>722</v>
      </c>
      <c r="P3460" s="79">
        <f>+N3459-P3459</f>
        <v>0</v>
      </c>
    </row>
    <row r="3461" spans="9:16" ht="16.5" thickBot="1">
      <c r="I3461" s="901" t="s">
        <v>102</v>
      </c>
      <c r="J3461" s="902"/>
      <c r="K3461" s="902"/>
      <c r="L3461" s="902"/>
      <c r="M3461" s="903"/>
      <c r="N3461" s="81">
        <f>SUM(N3453:N3460)</f>
        <v>1817700</v>
      </c>
    </row>
    <row r="3462" spans="9:16" ht="16.5" thickBot="1">
      <c r="I3462" s="885" t="s">
        <v>103</v>
      </c>
      <c r="J3462" s="886"/>
      <c r="K3462" s="886"/>
      <c r="L3462" s="886"/>
      <c r="M3462" s="887"/>
      <c r="N3462" s="69">
        <f>+N3428</f>
        <v>786088325</v>
      </c>
      <c r="O3462" s="241" t="s">
        <v>561</v>
      </c>
      <c r="P3462" s="242"/>
    </row>
    <row r="3463" spans="9:16" ht="16.5" thickBot="1">
      <c r="I3463" s="888" t="s">
        <v>104</v>
      </c>
      <c r="J3463" s="889"/>
      <c r="K3463" s="889"/>
      <c r="L3463" s="889"/>
      <c r="M3463" s="890"/>
      <c r="N3463" s="183">
        <f>SUM(N3461:N3462)</f>
        <v>787906025</v>
      </c>
    </row>
    <row r="3464" spans="9:16">
      <c r="I3464" s="61"/>
      <c r="J3464" s="61"/>
      <c r="K3464" s="61"/>
      <c r="L3464" s="61"/>
      <c r="M3464" s="61"/>
    </row>
    <row r="3465" spans="9:16">
      <c r="I3465" s="51" t="s">
        <v>1314</v>
      </c>
    </row>
    <row r="3466" spans="9:16">
      <c r="N3466" s="139"/>
    </row>
    <row r="3467" spans="9:16">
      <c r="I3467" s="50" t="s">
        <v>105</v>
      </c>
      <c r="L3467" s="146"/>
      <c r="N3467" s="139"/>
    </row>
    <row r="3468" spans="9:16" ht="15.75" thickBot="1"/>
    <row r="3469" spans="9:16" ht="15.75" thickBot="1">
      <c r="I3469" s="891" t="s">
        <v>106</v>
      </c>
      <c r="J3469" s="892"/>
      <c r="K3469" s="892"/>
      <c r="L3469" s="893"/>
      <c r="N3469" s="50" t="s">
        <v>1313</v>
      </c>
    </row>
    <row r="3470" spans="9:16" ht="30.75" thickBot="1">
      <c r="I3470" s="57" t="s">
        <v>100</v>
      </c>
      <c r="J3470" s="58" t="s">
        <v>108</v>
      </c>
      <c r="K3470" s="287" t="s">
        <v>109</v>
      </c>
      <c r="L3470" s="60" t="s">
        <v>110</v>
      </c>
    </row>
    <row r="3471" spans="9:16">
      <c r="I3471" s="71">
        <v>719</v>
      </c>
      <c r="J3471" s="73"/>
      <c r="K3471" s="74">
        <f>+L3436</f>
        <v>54750000</v>
      </c>
      <c r="L3471" s="195">
        <f>+J3471+K3471</f>
        <v>54750000</v>
      </c>
    </row>
    <row r="3472" spans="9:16">
      <c r="I3472" s="72">
        <v>721</v>
      </c>
      <c r="J3472" s="80"/>
      <c r="K3472" s="74">
        <f>+L3437</f>
        <v>284248309</v>
      </c>
      <c r="L3472" s="195">
        <f>+J3472+K3472</f>
        <v>284248309</v>
      </c>
    </row>
    <row r="3473" spans="9:16">
      <c r="I3473" s="72">
        <v>722</v>
      </c>
      <c r="J3473" s="80"/>
      <c r="K3473" s="74">
        <f>+L3438</f>
        <v>49061706</v>
      </c>
      <c r="L3473" s="195">
        <f>+J3473+K3473</f>
        <v>49061706</v>
      </c>
    </row>
    <row r="3474" spans="9:16" ht="15.75">
      <c r="I3474" s="72">
        <v>723</v>
      </c>
      <c r="J3474" s="80">
        <f>+P3454</f>
        <v>1817700</v>
      </c>
      <c r="K3474" s="74">
        <f>+L3439</f>
        <v>397160810</v>
      </c>
      <c r="L3474" s="195">
        <f>+J3474+K3474</f>
        <v>398978510</v>
      </c>
      <c r="N3474" s="193" t="s">
        <v>1125</v>
      </c>
      <c r="O3474" s="175"/>
    </row>
    <row r="3475" spans="9:16" ht="16.5" thickBot="1">
      <c r="I3475" s="164" t="s">
        <v>1077</v>
      </c>
      <c r="J3475" s="165"/>
      <c r="K3475" s="74">
        <f>+L3440</f>
        <v>797500</v>
      </c>
      <c r="L3475" s="196">
        <f>+J3475+K3475</f>
        <v>797500</v>
      </c>
      <c r="N3475" s="52"/>
    </row>
    <row r="3476" spans="9:16" ht="16.5" thickBot="1">
      <c r="I3476" s="169"/>
      <c r="J3476" s="197">
        <f>SUM(J3471:J3475)</f>
        <v>1817700</v>
      </c>
      <c r="K3476" s="197">
        <f>SUM(K3471:K3475)</f>
        <v>786018325</v>
      </c>
      <c r="L3476" s="198">
        <f>SUM(L3471:L3475)</f>
        <v>787836025</v>
      </c>
    </row>
    <row r="3477" spans="9:16" ht="15.75">
      <c r="I3477" s="397"/>
      <c r="J3477" s="398"/>
      <c r="K3477" s="398"/>
      <c r="L3477" s="399"/>
    </row>
    <row r="3478" spans="9:16" ht="16.5">
      <c r="I3478" s="49" t="s">
        <v>88</v>
      </c>
      <c r="J3478" s="50"/>
    </row>
    <row r="3479" spans="9:16">
      <c r="I3479" s="51" t="s">
        <v>89</v>
      </c>
    </row>
    <row r="3480" spans="9:16">
      <c r="I3480" s="51" t="s">
        <v>90</v>
      </c>
    </row>
    <row r="3481" spans="9:16">
      <c r="I3481" s="51" t="s">
        <v>91</v>
      </c>
    </row>
    <row r="3482" spans="9:16">
      <c r="I3482" s="50"/>
      <c r="J3482" s="50"/>
    </row>
    <row r="3483" spans="9:16" ht="15.75">
      <c r="I3483" s="260" t="s">
        <v>1320</v>
      </c>
      <c r="O3483" s="52"/>
    </row>
    <row r="3484" spans="9:16" ht="15.75">
      <c r="I3484" s="53" t="s">
        <v>535</v>
      </c>
      <c r="O3484" s="53"/>
    </row>
    <row r="3485" spans="9:16" ht="16.5">
      <c r="I3485" s="894" t="s">
        <v>1317</v>
      </c>
      <c r="J3485" s="894"/>
      <c r="K3485" s="894"/>
      <c r="L3485" s="894"/>
      <c r="M3485" s="894"/>
      <c r="N3485" s="894"/>
      <c r="O3485" s="894"/>
      <c r="P3485" s="894"/>
    </row>
    <row r="3486" spans="9:16" ht="15.75" thickBot="1"/>
    <row r="3487" spans="9:16">
      <c r="I3487" s="895" t="s">
        <v>94</v>
      </c>
      <c r="J3487" s="897" t="s">
        <v>95</v>
      </c>
      <c r="K3487" s="897" t="s">
        <v>96</v>
      </c>
      <c r="L3487" s="897" t="s">
        <v>3</v>
      </c>
      <c r="M3487" s="897" t="s">
        <v>97</v>
      </c>
      <c r="N3487" s="897" t="s">
        <v>98</v>
      </c>
      <c r="O3487" s="897" t="s">
        <v>99</v>
      </c>
      <c r="P3487" s="899"/>
    </row>
    <row r="3488" spans="9:16" ht="15.75" thickBot="1">
      <c r="I3488" s="896"/>
      <c r="J3488" s="898"/>
      <c r="K3488" s="898"/>
      <c r="L3488" s="898"/>
      <c r="M3488" s="898"/>
      <c r="N3488" s="898"/>
      <c r="O3488" s="240" t="s">
        <v>100</v>
      </c>
      <c r="P3488" s="182" t="s">
        <v>101</v>
      </c>
    </row>
    <row r="3489" spans="9:16" ht="15" customHeight="1">
      <c r="I3489" s="873" t="s">
        <v>554</v>
      </c>
      <c r="J3489" s="875">
        <v>42735</v>
      </c>
      <c r="K3489" s="877" t="s">
        <v>1267</v>
      </c>
      <c r="L3489" s="879" t="s">
        <v>1221</v>
      </c>
      <c r="M3489" s="881" t="s">
        <v>145</v>
      </c>
      <c r="N3489" s="883">
        <v>-14718204</v>
      </c>
      <c r="O3489" s="55">
        <v>719</v>
      </c>
      <c r="P3489" s="78"/>
    </row>
    <row r="3490" spans="9:16" ht="15.75" customHeight="1" thickBot="1">
      <c r="I3490" s="874"/>
      <c r="J3490" s="876"/>
      <c r="K3490" s="900"/>
      <c r="L3490" s="880"/>
      <c r="M3490" s="882"/>
      <c r="N3490" s="884"/>
      <c r="O3490" s="56">
        <v>721</v>
      </c>
      <c r="P3490" s="351">
        <f>+N3489-P3489</f>
        <v>-14718204</v>
      </c>
    </row>
    <row r="3491" spans="9:16" ht="15" customHeight="1">
      <c r="I3491" s="873" t="s">
        <v>1318</v>
      </c>
      <c r="J3491" s="875">
        <v>42735</v>
      </c>
      <c r="K3491" s="900"/>
      <c r="L3491" s="879" t="s">
        <v>1305</v>
      </c>
      <c r="M3491" s="881" t="s">
        <v>145</v>
      </c>
      <c r="N3491" s="883">
        <v>-3962065</v>
      </c>
      <c r="O3491" s="55">
        <v>719</v>
      </c>
      <c r="P3491" s="78"/>
    </row>
    <row r="3492" spans="9:16" ht="15.75" customHeight="1" thickBot="1">
      <c r="I3492" s="874"/>
      <c r="J3492" s="876"/>
      <c r="K3492" s="878"/>
      <c r="L3492" s="880"/>
      <c r="M3492" s="882"/>
      <c r="N3492" s="884"/>
      <c r="O3492" s="56">
        <v>721</v>
      </c>
      <c r="P3492" s="352">
        <f>+N3491-P3491</f>
        <v>-3962065</v>
      </c>
    </row>
    <row r="3493" spans="9:16" ht="15.75" customHeight="1">
      <c r="I3493" s="462"/>
      <c r="J3493" s="252"/>
      <c r="K3493" s="253"/>
      <c r="L3493" s="463"/>
      <c r="M3493" s="251"/>
      <c r="N3493" s="254"/>
      <c r="O3493" s="255"/>
      <c r="P3493" s="464"/>
    </row>
    <row r="3494" spans="9:16" ht="15.75" customHeight="1">
      <c r="I3494" s="462"/>
      <c r="J3494" s="252"/>
      <c r="K3494" s="253"/>
      <c r="L3494" s="463"/>
      <c r="M3494" s="251"/>
      <c r="N3494" s="254"/>
      <c r="O3494" s="255"/>
      <c r="P3494" s="464"/>
    </row>
    <row r="3495" spans="9:16" ht="15.75" customHeight="1">
      <c r="I3495" s="462"/>
      <c r="J3495" s="252"/>
      <c r="K3495" s="253"/>
      <c r="L3495" s="463"/>
      <c r="M3495" s="251"/>
      <c r="N3495" s="254"/>
      <c r="O3495" s="255"/>
      <c r="P3495" s="464"/>
    </row>
    <row r="3496" spans="9:16" ht="15.75" customHeight="1" thickBot="1">
      <c r="I3496" s="462"/>
      <c r="J3496" s="252"/>
      <c r="K3496" s="253"/>
      <c r="L3496" s="463"/>
      <c r="M3496" s="251"/>
      <c r="N3496" s="254"/>
      <c r="O3496" s="255"/>
      <c r="P3496" s="464"/>
    </row>
    <row r="3497" spans="9:16" ht="15" customHeight="1">
      <c r="I3497" s="873"/>
      <c r="J3497" s="875"/>
      <c r="K3497" s="877"/>
      <c r="L3497" s="879"/>
      <c r="M3497" s="881"/>
      <c r="N3497" s="883"/>
      <c r="O3497" s="55">
        <v>719</v>
      </c>
      <c r="P3497" s="78"/>
    </row>
    <row r="3498" spans="9:16" ht="15.75" customHeight="1" thickBot="1">
      <c r="I3498" s="874"/>
      <c r="J3498" s="876"/>
      <c r="K3498" s="878"/>
      <c r="L3498" s="880"/>
      <c r="M3498" s="882"/>
      <c r="N3498" s="884"/>
      <c r="O3498" s="56">
        <v>722</v>
      </c>
      <c r="P3498" s="352"/>
    </row>
    <row r="3499" spans="9:16" ht="15" customHeight="1">
      <c r="I3499" s="873"/>
      <c r="J3499" s="875"/>
      <c r="K3499" s="877"/>
      <c r="L3499" s="879"/>
      <c r="M3499" s="881"/>
      <c r="N3499" s="883"/>
      <c r="O3499" s="55">
        <v>719</v>
      </c>
      <c r="P3499" s="78"/>
    </row>
    <row r="3500" spans="9:16" ht="15.75" customHeight="1" thickBot="1">
      <c r="I3500" s="874"/>
      <c r="J3500" s="876"/>
      <c r="K3500" s="878"/>
      <c r="L3500" s="880"/>
      <c r="M3500" s="882"/>
      <c r="N3500" s="884"/>
      <c r="O3500" s="56">
        <v>722</v>
      </c>
      <c r="P3500" s="79">
        <f>+N3499-P3499</f>
        <v>0</v>
      </c>
    </row>
    <row r="3501" spans="9:16" ht="16.5" thickBot="1">
      <c r="I3501" s="901" t="s">
        <v>102</v>
      </c>
      <c r="J3501" s="902"/>
      <c r="K3501" s="902"/>
      <c r="L3501" s="902"/>
      <c r="M3501" s="903"/>
      <c r="N3501" s="81">
        <f>SUM(N3489:N3500)</f>
        <v>-18680269</v>
      </c>
    </row>
    <row r="3502" spans="9:16" ht="16.5" thickBot="1">
      <c r="I3502" s="885" t="s">
        <v>103</v>
      </c>
      <c r="J3502" s="886"/>
      <c r="K3502" s="886"/>
      <c r="L3502" s="886"/>
      <c r="M3502" s="887"/>
      <c r="N3502" s="69">
        <f>+N3463</f>
        <v>787906025</v>
      </c>
      <c r="O3502" s="241" t="s">
        <v>561</v>
      </c>
      <c r="P3502" s="242"/>
    </row>
    <row r="3503" spans="9:16" ht="16.5" thickBot="1">
      <c r="I3503" s="888" t="s">
        <v>104</v>
      </c>
      <c r="J3503" s="889"/>
      <c r="K3503" s="889"/>
      <c r="L3503" s="889"/>
      <c r="M3503" s="890"/>
      <c r="N3503" s="183">
        <f>SUM(N3501:N3502)</f>
        <v>769225756</v>
      </c>
    </row>
    <row r="3504" spans="9:16">
      <c r="I3504" s="61"/>
      <c r="J3504" s="61"/>
      <c r="K3504" s="61"/>
      <c r="L3504" s="61"/>
      <c r="M3504" s="61"/>
    </row>
    <row r="3505" spans="9:15">
      <c r="I3505" s="51" t="s">
        <v>1319</v>
      </c>
    </row>
    <row r="3506" spans="9:15">
      <c r="N3506" s="139"/>
    </row>
    <row r="3507" spans="9:15">
      <c r="I3507" s="50" t="s">
        <v>105</v>
      </c>
      <c r="L3507" s="146"/>
      <c r="N3507" s="139"/>
    </row>
    <row r="3508" spans="9:15" ht="15.75" thickBot="1"/>
    <row r="3509" spans="9:15" ht="15.75" thickBot="1">
      <c r="I3509" s="891" t="s">
        <v>106</v>
      </c>
      <c r="J3509" s="892"/>
      <c r="K3509" s="892"/>
      <c r="L3509" s="893"/>
      <c r="N3509" s="50" t="s">
        <v>288</v>
      </c>
    </row>
    <row r="3510" spans="9:15" ht="30.75" thickBot="1">
      <c r="I3510" s="57" t="s">
        <v>100</v>
      </c>
      <c r="J3510" s="58" t="s">
        <v>108</v>
      </c>
      <c r="K3510" s="287" t="s">
        <v>109</v>
      </c>
      <c r="L3510" s="60" t="s">
        <v>110</v>
      </c>
    </row>
    <row r="3511" spans="9:15">
      <c r="I3511" s="71">
        <v>719</v>
      </c>
      <c r="J3511" s="73">
        <f>+P3489+P3491+P3499</f>
        <v>0</v>
      </c>
      <c r="K3511" s="74">
        <f>+L3471</f>
        <v>54750000</v>
      </c>
      <c r="L3511" s="195">
        <f>+J3511+K3511</f>
        <v>54750000</v>
      </c>
    </row>
    <row r="3512" spans="9:15">
      <c r="I3512" s="72">
        <v>721</v>
      </c>
      <c r="J3512" s="80">
        <f>+P3490+P3492</f>
        <v>-18680269</v>
      </c>
      <c r="K3512" s="74">
        <f>+L3472</f>
        <v>284248309</v>
      </c>
      <c r="L3512" s="195">
        <f>+J3512+K3512</f>
        <v>265568040</v>
      </c>
    </row>
    <row r="3513" spans="9:15" ht="15.75">
      <c r="I3513" s="72">
        <v>722</v>
      </c>
      <c r="J3513" s="80"/>
      <c r="K3513" s="74">
        <f>+L3473</f>
        <v>49061706</v>
      </c>
      <c r="L3513" s="195">
        <f>+J3513+K3513</f>
        <v>49061706</v>
      </c>
      <c r="N3513" s="193" t="s">
        <v>1125</v>
      </c>
    </row>
    <row r="3514" spans="9:15" ht="15.75">
      <c r="I3514" s="72">
        <v>723</v>
      </c>
      <c r="J3514" s="80"/>
      <c r="K3514" s="74">
        <f>+L3474</f>
        <v>398978510</v>
      </c>
      <c r="L3514" s="195">
        <f>+J3514+K3514</f>
        <v>398978510</v>
      </c>
      <c r="N3514" s="193"/>
      <c r="O3514" s="175"/>
    </row>
    <row r="3515" spans="9:15" ht="16.5" thickBot="1">
      <c r="I3515" s="164" t="s">
        <v>1077</v>
      </c>
      <c r="J3515" s="165"/>
      <c r="K3515" s="74">
        <f>+L3475</f>
        <v>797500</v>
      </c>
      <c r="L3515" s="196">
        <f>+J3515+K3515</f>
        <v>797500</v>
      </c>
      <c r="N3515" s="52"/>
    </row>
    <row r="3516" spans="9:15" ht="16.5" thickBot="1">
      <c r="I3516" s="169"/>
      <c r="J3516" s="197">
        <f>SUM(J3511:J3515)</f>
        <v>-18680269</v>
      </c>
      <c r="K3516" s="197">
        <f>SUM(K3511:K3515)</f>
        <v>787836025</v>
      </c>
      <c r="L3516" s="198">
        <f>SUM(L3511:L3515)</f>
        <v>769155756</v>
      </c>
    </row>
    <row r="3517" spans="9:15" ht="15.75">
      <c r="I3517" s="397"/>
      <c r="J3517" s="398"/>
      <c r="K3517" s="398"/>
      <c r="L3517" s="399"/>
    </row>
    <row r="3518" spans="9:15" ht="16.5">
      <c r="I3518" s="49" t="s">
        <v>88</v>
      </c>
      <c r="J3518" s="50"/>
    </row>
    <row r="3519" spans="9:15">
      <c r="I3519" s="51" t="s">
        <v>89</v>
      </c>
    </row>
    <row r="3520" spans="9:15">
      <c r="I3520" s="51" t="s">
        <v>90</v>
      </c>
    </row>
    <row r="3521" spans="9:16">
      <c r="I3521" s="51" t="s">
        <v>91</v>
      </c>
    </row>
    <row r="3522" spans="9:16">
      <c r="I3522" s="50"/>
      <c r="J3522" s="50"/>
    </row>
    <row r="3523" spans="9:16" ht="15.75">
      <c r="I3523" s="260" t="s">
        <v>1322</v>
      </c>
      <c r="O3523" s="52"/>
    </row>
    <row r="3524" spans="9:16" ht="15.75">
      <c r="I3524" s="53" t="s">
        <v>535</v>
      </c>
      <c r="O3524" s="53"/>
    </row>
    <row r="3525" spans="9:16" ht="16.5">
      <c r="I3525" s="894" t="s">
        <v>1328</v>
      </c>
      <c r="J3525" s="894"/>
      <c r="K3525" s="894"/>
      <c r="L3525" s="894"/>
      <c r="M3525" s="894"/>
      <c r="N3525" s="894"/>
      <c r="O3525" s="894"/>
      <c r="P3525" s="894"/>
    </row>
    <row r="3526" spans="9:16" ht="15.75" thickBot="1"/>
    <row r="3527" spans="9:16">
      <c r="I3527" s="895" t="s">
        <v>94</v>
      </c>
      <c r="J3527" s="897" t="s">
        <v>95</v>
      </c>
      <c r="K3527" s="897" t="s">
        <v>96</v>
      </c>
      <c r="L3527" s="897" t="s">
        <v>3</v>
      </c>
      <c r="M3527" s="897" t="s">
        <v>97</v>
      </c>
      <c r="N3527" s="897" t="s">
        <v>98</v>
      </c>
      <c r="O3527" s="897" t="s">
        <v>99</v>
      </c>
      <c r="P3527" s="899"/>
    </row>
    <row r="3528" spans="9:16" ht="15.75" thickBot="1">
      <c r="I3528" s="896"/>
      <c r="J3528" s="898"/>
      <c r="K3528" s="898"/>
      <c r="L3528" s="898"/>
      <c r="M3528" s="898"/>
      <c r="N3528" s="898"/>
      <c r="O3528" s="240" t="s">
        <v>100</v>
      </c>
      <c r="P3528" s="182" t="s">
        <v>101</v>
      </c>
    </row>
    <row r="3529" spans="9:16">
      <c r="I3529" s="873" t="s">
        <v>1323</v>
      </c>
      <c r="J3529" s="875">
        <v>42735</v>
      </c>
      <c r="K3529" s="877" t="s">
        <v>1267</v>
      </c>
      <c r="L3529" s="879" t="s">
        <v>1325</v>
      </c>
      <c r="M3529" s="881" t="s">
        <v>145</v>
      </c>
      <c r="N3529" s="883">
        <v>3379917</v>
      </c>
      <c r="O3529" s="55">
        <v>719</v>
      </c>
      <c r="P3529" s="78"/>
    </row>
    <row r="3530" spans="9:16" ht="15.75" thickBot="1">
      <c r="I3530" s="874"/>
      <c r="J3530" s="876"/>
      <c r="K3530" s="900"/>
      <c r="L3530" s="880"/>
      <c r="M3530" s="882"/>
      <c r="N3530" s="884"/>
      <c r="O3530" s="56">
        <v>721</v>
      </c>
      <c r="P3530" s="351">
        <f>+N3529-P3529</f>
        <v>3379917</v>
      </c>
    </row>
    <row r="3531" spans="9:16">
      <c r="I3531" s="873" t="s">
        <v>1324</v>
      </c>
      <c r="J3531" s="875">
        <v>42735</v>
      </c>
      <c r="K3531" s="900"/>
      <c r="L3531" s="879" t="s">
        <v>1326</v>
      </c>
      <c r="M3531" s="881" t="s">
        <v>145</v>
      </c>
      <c r="N3531" s="883">
        <v>1673382</v>
      </c>
      <c r="O3531" s="55">
        <v>719</v>
      </c>
      <c r="P3531" s="78"/>
    </row>
    <row r="3532" spans="9:16" ht="15.75" thickBot="1">
      <c r="I3532" s="874"/>
      <c r="J3532" s="876"/>
      <c r="K3532" s="878"/>
      <c r="L3532" s="880"/>
      <c r="M3532" s="882"/>
      <c r="N3532" s="884"/>
      <c r="O3532" s="56">
        <v>721</v>
      </c>
      <c r="P3532" s="352">
        <f>+N3531-P3531</f>
        <v>1673382</v>
      </c>
    </row>
    <row r="3533" spans="9:16" ht="16.5">
      <c r="I3533" s="462"/>
      <c r="J3533" s="252"/>
      <c r="K3533" s="253"/>
      <c r="L3533" s="463"/>
      <c r="M3533" s="251"/>
      <c r="N3533" s="254"/>
      <c r="O3533" s="255"/>
      <c r="P3533" s="464"/>
    </row>
    <row r="3534" spans="9:16" ht="16.5">
      <c r="I3534" s="462"/>
      <c r="J3534" s="252"/>
      <c r="K3534" s="253"/>
      <c r="L3534" s="463"/>
      <c r="M3534" s="251"/>
      <c r="N3534" s="254"/>
      <c r="O3534" s="255"/>
      <c r="P3534" s="464"/>
    </row>
    <row r="3535" spans="9:16" ht="16.5">
      <c r="I3535" s="462"/>
      <c r="J3535" s="252"/>
      <c r="K3535" s="253"/>
      <c r="L3535" s="463"/>
      <c r="M3535" s="251"/>
      <c r="N3535" s="254"/>
      <c r="O3535" s="255"/>
      <c r="P3535" s="464"/>
    </row>
    <row r="3536" spans="9:16" ht="16.5">
      <c r="I3536" s="462"/>
      <c r="J3536" s="252"/>
      <c r="K3536" s="253"/>
      <c r="L3536" s="463"/>
      <c r="M3536" s="251"/>
      <c r="N3536" s="254"/>
      <c r="O3536" s="255"/>
      <c r="P3536" s="464"/>
    </row>
    <row r="3537" spans="9:16" ht="16.5">
      <c r="I3537" s="462"/>
      <c r="J3537" s="252"/>
      <c r="K3537" s="253"/>
      <c r="L3537" s="463"/>
      <c r="M3537" s="251"/>
      <c r="N3537" s="254"/>
      <c r="O3537" s="255"/>
      <c r="P3537" s="464"/>
    </row>
    <row r="3538" spans="9:16" ht="16.5">
      <c r="I3538" s="462"/>
      <c r="J3538" s="252"/>
      <c r="K3538" s="253"/>
      <c r="L3538" s="463"/>
      <c r="M3538" s="251"/>
      <c r="N3538" s="254"/>
      <c r="O3538" s="255"/>
      <c r="P3538" s="464"/>
    </row>
    <row r="3539" spans="9:16" ht="16.5">
      <c r="I3539" s="462"/>
      <c r="J3539" s="252"/>
      <c r="K3539" s="253"/>
      <c r="L3539" s="463"/>
      <c r="M3539" s="251"/>
      <c r="N3539" s="254"/>
      <c r="O3539" s="255"/>
      <c r="P3539" s="464"/>
    </row>
    <row r="3540" spans="9:16" ht="16.5">
      <c r="I3540" s="462"/>
      <c r="J3540" s="252"/>
      <c r="K3540" s="253"/>
      <c r="L3540" s="463"/>
      <c r="M3540" s="251"/>
      <c r="N3540" s="254"/>
      <c r="O3540" s="255"/>
      <c r="P3540" s="464"/>
    </row>
    <row r="3541" spans="9:16" ht="16.5">
      <c r="I3541" s="462"/>
      <c r="J3541" s="252"/>
      <c r="K3541" s="253"/>
      <c r="L3541" s="463"/>
      <c r="M3541" s="251"/>
      <c r="N3541" s="254"/>
      <c r="O3541" s="255"/>
      <c r="P3541" s="464"/>
    </row>
    <row r="3542" spans="9:16" ht="16.5">
      <c r="I3542" s="462"/>
      <c r="J3542" s="252"/>
      <c r="K3542" s="253"/>
      <c r="L3542" s="463"/>
      <c r="M3542" s="251"/>
      <c r="N3542" s="254"/>
      <c r="O3542" s="255"/>
      <c r="P3542" s="464"/>
    </row>
    <row r="3543" spans="9:16" ht="16.5">
      <c r="I3543" s="462"/>
      <c r="J3543" s="252"/>
      <c r="K3543" s="253"/>
      <c r="L3543" s="463"/>
      <c r="M3543" s="251"/>
      <c r="N3543" s="254"/>
      <c r="O3543" s="255"/>
      <c r="P3543" s="464"/>
    </row>
    <row r="3544" spans="9:16" ht="17.25" thickBot="1">
      <c r="I3544" s="462"/>
      <c r="J3544" s="252"/>
      <c r="K3544" s="253"/>
      <c r="L3544" s="463"/>
      <c r="M3544" s="251"/>
      <c r="N3544" s="254"/>
      <c r="O3544" s="255"/>
      <c r="P3544" s="464"/>
    </row>
    <row r="3545" spans="9:16" ht="15" customHeight="1">
      <c r="I3545" s="873"/>
      <c r="J3545" s="875"/>
      <c r="K3545" s="877"/>
      <c r="L3545" s="879"/>
      <c r="M3545" s="881"/>
      <c r="N3545" s="883"/>
      <c r="O3545" s="55">
        <v>719</v>
      </c>
      <c r="P3545" s="78"/>
    </row>
    <row r="3546" spans="9:16" ht="15.75" customHeight="1" thickBot="1">
      <c r="I3546" s="874"/>
      <c r="J3546" s="876"/>
      <c r="K3546" s="878"/>
      <c r="L3546" s="880"/>
      <c r="M3546" s="882"/>
      <c r="N3546" s="884"/>
      <c r="O3546" s="56">
        <v>722</v>
      </c>
      <c r="P3546" s="352"/>
    </row>
    <row r="3547" spans="9:16" ht="15" customHeight="1">
      <c r="I3547" s="873"/>
      <c r="J3547" s="875"/>
      <c r="K3547" s="877"/>
      <c r="L3547" s="879"/>
      <c r="M3547" s="881"/>
      <c r="N3547" s="883"/>
      <c r="O3547" s="55">
        <v>719</v>
      </c>
      <c r="P3547" s="78"/>
    </row>
    <row r="3548" spans="9:16" ht="15.75" customHeight="1" thickBot="1">
      <c r="I3548" s="874"/>
      <c r="J3548" s="876"/>
      <c r="K3548" s="878"/>
      <c r="L3548" s="880"/>
      <c r="M3548" s="882"/>
      <c r="N3548" s="884"/>
      <c r="O3548" s="56">
        <v>722</v>
      </c>
      <c r="P3548" s="79">
        <f>+N3547-P3547</f>
        <v>0</v>
      </c>
    </row>
    <row r="3549" spans="9:16" ht="16.5" thickBot="1">
      <c r="I3549" s="901" t="s">
        <v>102</v>
      </c>
      <c r="J3549" s="902"/>
      <c r="K3549" s="902"/>
      <c r="L3549" s="902"/>
      <c r="M3549" s="903"/>
      <c r="N3549" s="81">
        <f>SUM(N3529:N3548)</f>
        <v>5053299</v>
      </c>
    </row>
    <row r="3550" spans="9:16" ht="16.5" thickBot="1">
      <c r="I3550" s="885" t="s">
        <v>103</v>
      </c>
      <c r="J3550" s="886"/>
      <c r="K3550" s="886"/>
      <c r="L3550" s="886"/>
      <c r="M3550" s="887"/>
      <c r="N3550" s="69">
        <f>+N3503</f>
        <v>769225756</v>
      </c>
      <c r="O3550" s="241" t="s">
        <v>561</v>
      </c>
      <c r="P3550" s="242"/>
    </row>
    <row r="3551" spans="9:16" ht="16.5" thickBot="1">
      <c r="I3551" s="888" t="s">
        <v>104</v>
      </c>
      <c r="J3551" s="889"/>
      <c r="K3551" s="889"/>
      <c r="L3551" s="889"/>
      <c r="M3551" s="890"/>
      <c r="N3551" s="183">
        <f>SUM(N3549:N3550)</f>
        <v>774279055</v>
      </c>
    </row>
    <row r="3552" spans="9:16">
      <c r="I3552" s="61"/>
      <c r="J3552" s="61"/>
      <c r="K3552" s="61"/>
      <c r="L3552" s="61"/>
      <c r="M3552" s="61"/>
    </row>
    <row r="3553" spans="9:15">
      <c r="I3553" s="51" t="s">
        <v>1327</v>
      </c>
    </row>
    <row r="3554" spans="9:15">
      <c r="N3554" s="139"/>
    </row>
    <row r="3555" spans="9:15">
      <c r="I3555" s="50" t="s">
        <v>105</v>
      </c>
      <c r="L3555" s="146"/>
      <c r="N3555" s="139"/>
    </row>
    <row r="3556" spans="9:15" ht="15.75" thickBot="1"/>
    <row r="3557" spans="9:15" ht="15.75" thickBot="1">
      <c r="I3557" s="891" t="s">
        <v>106</v>
      </c>
      <c r="J3557" s="892"/>
      <c r="K3557" s="892"/>
      <c r="L3557" s="893"/>
      <c r="N3557" s="50" t="s">
        <v>288</v>
      </c>
    </row>
    <row r="3558" spans="9:15" ht="30.75" thickBot="1">
      <c r="I3558" s="57" t="s">
        <v>100</v>
      </c>
      <c r="J3558" s="58" t="s">
        <v>108</v>
      </c>
      <c r="K3558" s="287" t="s">
        <v>109</v>
      </c>
      <c r="L3558" s="60" t="s">
        <v>110</v>
      </c>
    </row>
    <row r="3559" spans="9:15">
      <c r="I3559" s="71">
        <v>719</v>
      </c>
      <c r="J3559" s="73">
        <f>+P3529+P3531+P3547</f>
        <v>0</v>
      </c>
      <c r="K3559" s="74">
        <f>+L3511</f>
        <v>54750000</v>
      </c>
      <c r="L3559" s="195">
        <f>+J3559+K3559</f>
        <v>54750000</v>
      </c>
    </row>
    <row r="3560" spans="9:15">
      <c r="I3560" s="72">
        <v>721</v>
      </c>
      <c r="J3560" s="80">
        <f>+P3530+P3532</f>
        <v>5053299</v>
      </c>
      <c r="K3560" s="74">
        <f>+L3512</f>
        <v>265568040</v>
      </c>
      <c r="L3560" s="195">
        <f>+J3560+K3560</f>
        <v>270621339</v>
      </c>
    </row>
    <row r="3561" spans="9:15" ht="15.75">
      <c r="I3561" s="72">
        <v>722</v>
      </c>
      <c r="J3561" s="80"/>
      <c r="K3561" s="74">
        <f>+L3513</f>
        <v>49061706</v>
      </c>
      <c r="L3561" s="195">
        <f>+J3561+K3561</f>
        <v>49061706</v>
      </c>
      <c r="N3561" s="193" t="s">
        <v>23</v>
      </c>
    </row>
    <row r="3562" spans="9:15" ht="15.75">
      <c r="I3562" s="72">
        <v>723</v>
      </c>
      <c r="J3562" s="80"/>
      <c r="K3562" s="74">
        <f>+L3514</f>
        <v>398978510</v>
      </c>
      <c r="L3562" s="195">
        <f>+J3562+K3562</f>
        <v>398978510</v>
      </c>
      <c r="N3562" s="193"/>
      <c r="O3562" s="175"/>
    </row>
    <row r="3563" spans="9:15" ht="16.5" thickBot="1">
      <c r="I3563" s="164" t="s">
        <v>1077</v>
      </c>
      <c r="J3563" s="165"/>
      <c r="K3563" s="74">
        <f>+L3515</f>
        <v>797500</v>
      </c>
      <c r="L3563" s="196">
        <f>+J3563+K3563</f>
        <v>797500</v>
      </c>
      <c r="N3563" s="52"/>
    </row>
    <row r="3564" spans="9:15" ht="16.5" thickBot="1">
      <c r="I3564" s="169"/>
      <c r="J3564" s="197">
        <f>SUM(J3559:J3563)</f>
        <v>5053299</v>
      </c>
      <c r="K3564" s="197">
        <f>SUM(K3559:K3563)</f>
        <v>769155756</v>
      </c>
      <c r="L3564" s="198">
        <f>SUM(L3559:L3563)</f>
        <v>774209055</v>
      </c>
    </row>
    <row r="3565" spans="9:15" ht="16.5">
      <c r="I3565" s="49" t="s">
        <v>88</v>
      </c>
      <c r="J3565" s="50"/>
    </row>
    <row r="3566" spans="9:15">
      <c r="I3566" s="51" t="s">
        <v>89</v>
      </c>
    </row>
    <row r="3567" spans="9:15">
      <c r="I3567" s="51" t="s">
        <v>90</v>
      </c>
    </row>
    <row r="3568" spans="9:15">
      <c r="I3568" s="51" t="s">
        <v>91</v>
      </c>
    </row>
    <row r="3569" spans="9:16" ht="10.5" customHeight="1">
      <c r="I3569" s="50"/>
      <c r="J3569" s="50"/>
    </row>
    <row r="3570" spans="9:16" ht="15.75">
      <c r="I3570" s="260" t="s">
        <v>1699</v>
      </c>
      <c r="O3570" s="52"/>
    </row>
    <row r="3571" spans="9:16" ht="15.75">
      <c r="I3571" s="53" t="s">
        <v>1623</v>
      </c>
      <c r="O3571" s="53"/>
    </row>
    <row r="3572" spans="9:16" ht="16.5">
      <c r="I3572" s="894" t="s">
        <v>1700</v>
      </c>
      <c r="J3572" s="894"/>
      <c r="K3572" s="894"/>
      <c r="L3572" s="894"/>
      <c r="M3572" s="894"/>
      <c r="N3572" s="894"/>
      <c r="O3572" s="894"/>
      <c r="P3572" s="894"/>
    </row>
    <row r="3573" spans="9:16" ht="15.75" thickBot="1"/>
    <row r="3574" spans="9:16">
      <c r="I3574" s="895" t="s">
        <v>94</v>
      </c>
      <c r="J3574" s="897" t="s">
        <v>95</v>
      </c>
      <c r="K3574" s="897" t="s">
        <v>96</v>
      </c>
      <c r="L3574" s="897" t="s">
        <v>3</v>
      </c>
      <c r="M3574" s="897" t="s">
        <v>97</v>
      </c>
      <c r="N3574" s="897" t="s">
        <v>98</v>
      </c>
      <c r="O3574" s="897" t="s">
        <v>99</v>
      </c>
      <c r="P3574" s="899"/>
    </row>
    <row r="3575" spans="9:16" ht="15.75" thickBot="1">
      <c r="I3575" s="896"/>
      <c r="J3575" s="898"/>
      <c r="K3575" s="898"/>
      <c r="L3575" s="898"/>
      <c r="M3575" s="898"/>
      <c r="N3575" s="898"/>
      <c r="O3575" s="240" t="s">
        <v>100</v>
      </c>
      <c r="P3575" s="182" t="s">
        <v>101</v>
      </c>
    </row>
    <row r="3576" spans="9:16">
      <c r="I3576" s="873" t="s">
        <v>1698</v>
      </c>
      <c r="J3576" s="875">
        <v>43464</v>
      </c>
      <c r="K3576" s="877" t="s">
        <v>815</v>
      </c>
      <c r="L3576" s="879" t="s">
        <v>1697</v>
      </c>
      <c r="M3576" s="881" t="s">
        <v>115</v>
      </c>
      <c r="N3576" s="883">
        <v>681500</v>
      </c>
      <c r="O3576" s="55">
        <v>719</v>
      </c>
      <c r="P3576" s="78">
        <v>517000</v>
      </c>
    </row>
    <row r="3577" spans="9:16" ht="15.75" thickBot="1">
      <c r="I3577" s="874"/>
      <c r="J3577" s="876"/>
      <c r="K3577" s="900"/>
      <c r="L3577" s="880"/>
      <c r="M3577" s="882"/>
      <c r="N3577" s="884"/>
      <c r="O3577" s="56">
        <v>721</v>
      </c>
      <c r="P3577" s="351">
        <f>+N3576-P3576</f>
        <v>164500</v>
      </c>
    </row>
    <row r="3578" spans="9:16" ht="15" customHeight="1">
      <c r="I3578" s="873"/>
      <c r="J3578" s="875"/>
      <c r="K3578" s="877"/>
      <c r="L3578" s="879"/>
      <c r="M3578" s="881"/>
      <c r="N3578" s="883"/>
      <c r="O3578" s="55">
        <v>719</v>
      </c>
      <c r="P3578" s="78"/>
    </row>
    <row r="3579" spans="9:16" ht="15.75" customHeight="1" thickBot="1">
      <c r="I3579" s="874"/>
      <c r="J3579" s="876"/>
      <c r="K3579" s="878"/>
      <c r="L3579" s="880"/>
      <c r="M3579" s="882"/>
      <c r="N3579" s="884"/>
      <c r="O3579" s="56">
        <v>722</v>
      </c>
      <c r="P3579" s="352">
        <f>+N3578-P3578</f>
        <v>0</v>
      </c>
    </row>
    <row r="3580" spans="9:16">
      <c r="I3580" s="873"/>
      <c r="J3580" s="875"/>
      <c r="K3580" s="877"/>
      <c r="L3580" s="879"/>
      <c r="M3580" s="881"/>
      <c r="N3580" s="883"/>
      <c r="O3580" s="55">
        <v>719</v>
      </c>
      <c r="P3580" s="78"/>
    </row>
    <row r="3581" spans="9:16" ht="15.75" thickBot="1">
      <c r="I3581" s="874"/>
      <c r="J3581" s="876"/>
      <c r="K3581" s="878"/>
      <c r="L3581" s="880"/>
      <c r="M3581" s="882"/>
      <c r="N3581" s="884"/>
      <c r="O3581" s="56">
        <v>722</v>
      </c>
      <c r="P3581" s="79">
        <f>+N3580-P3580</f>
        <v>0</v>
      </c>
    </row>
    <row r="3582" spans="9:16" ht="16.5" thickBot="1">
      <c r="I3582" s="901" t="s">
        <v>102</v>
      </c>
      <c r="J3582" s="902"/>
      <c r="K3582" s="902"/>
      <c r="L3582" s="902"/>
      <c r="M3582" s="903"/>
      <c r="N3582" s="81">
        <f>SUM(N3576:N3581)</f>
        <v>681500</v>
      </c>
    </row>
    <row r="3583" spans="9:16" ht="16.5" thickBot="1">
      <c r="I3583" s="885" t="s">
        <v>103</v>
      </c>
      <c r="J3583" s="886"/>
      <c r="K3583" s="886"/>
      <c r="L3583" s="886"/>
      <c r="M3583" s="887"/>
      <c r="N3583" s="69">
        <v>514609750</v>
      </c>
      <c r="O3583" s="241" t="s">
        <v>561</v>
      </c>
      <c r="P3583" s="242">
        <v>904</v>
      </c>
    </row>
    <row r="3584" spans="9:16" ht="16.5" thickBot="1">
      <c r="I3584" s="888" t="s">
        <v>104</v>
      </c>
      <c r="J3584" s="889"/>
      <c r="K3584" s="889"/>
      <c r="L3584" s="889"/>
      <c r="M3584" s="890"/>
      <c r="N3584" s="183">
        <f>SUM(N3582:N3583)</f>
        <v>515291250</v>
      </c>
    </row>
    <row r="3585" spans="9:18">
      <c r="I3585" s="61"/>
      <c r="J3585" s="61"/>
      <c r="K3585" s="61"/>
      <c r="L3585" s="61"/>
      <c r="M3585" s="61"/>
    </row>
    <row r="3586" spans="9:18">
      <c r="I3586" s="51" t="s">
        <v>1701</v>
      </c>
    </row>
    <row r="3587" spans="9:18" ht="9.75" customHeight="1">
      <c r="N3587" s="139"/>
    </row>
    <row r="3588" spans="9:18">
      <c r="I3588" s="50" t="s">
        <v>105</v>
      </c>
      <c r="L3588" s="146"/>
      <c r="N3588" s="139"/>
    </row>
    <row r="3589" spans="9:18" ht="11.25" customHeight="1" thickBot="1"/>
    <row r="3590" spans="9:18" ht="15.75" thickBot="1">
      <c r="I3590" s="891" t="s">
        <v>106</v>
      </c>
      <c r="J3590" s="892"/>
      <c r="K3590" s="892"/>
      <c r="L3590" s="893"/>
      <c r="N3590" s="50" t="s">
        <v>288</v>
      </c>
    </row>
    <row r="3591" spans="9:18" ht="30.75" thickBot="1">
      <c r="I3591" s="57" t="s">
        <v>100</v>
      </c>
      <c r="J3591" s="58" t="s">
        <v>108</v>
      </c>
      <c r="K3591" s="287" t="s">
        <v>109</v>
      </c>
      <c r="L3591" s="60" t="s">
        <v>110</v>
      </c>
    </row>
    <row r="3592" spans="9:18">
      <c r="I3592" s="71">
        <v>719</v>
      </c>
      <c r="J3592" s="73">
        <f>+P3576+P3578+P3580</f>
        <v>517000</v>
      </c>
      <c r="K3592" s="74">
        <v>27970000</v>
      </c>
      <c r="L3592" s="195">
        <f>+J3592+K3592</f>
        <v>28487000</v>
      </c>
    </row>
    <row r="3593" spans="9:18">
      <c r="I3593" s="72">
        <v>721</v>
      </c>
      <c r="J3593" s="80">
        <f>+P3577</f>
        <v>164500</v>
      </c>
      <c r="K3593" s="74">
        <v>90116743</v>
      </c>
      <c r="L3593" s="195">
        <f>+J3593+K3593</f>
        <v>90281243</v>
      </c>
    </row>
    <row r="3594" spans="9:18" ht="15.75">
      <c r="I3594" s="72">
        <v>722</v>
      </c>
      <c r="J3594" s="80">
        <f>+P3579</f>
        <v>0</v>
      </c>
      <c r="K3594" s="74">
        <v>30732180</v>
      </c>
      <c r="L3594" s="195">
        <f>+J3594+K3594</f>
        <v>30732180</v>
      </c>
      <c r="N3594" s="872" t="s">
        <v>1696</v>
      </c>
      <c r="O3594" s="872"/>
    </row>
    <row r="3595" spans="9:18" ht="16.5" thickBot="1">
      <c r="I3595" s="72">
        <v>723</v>
      </c>
      <c r="J3595" s="80"/>
      <c r="K3595" s="74">
        <v>365790827</v>
      </c>
      <c r="L3595" s="195">
        <f>+J3595+K3595</f>
        <v>365790827</v>
      </c>
      <c r="N3595" s="193"/>
      <c r="O3595" s="175"/>
    </row>
    <row r="3596" spans="9:18" ht="16.5" hidden="1" thickBot="1">
      <c r="I3596" s="164" t="s">
        <v>1077</v>
      </c>
      <c r="J3596" s="165"/>
      <c r="K3596" s="74"/>
      <c r="L3596" s="196">
        <f>+J3596+K3596</f>
        <v>0</v>
      </c>
      <c r="N3596" s="52"/>
    </row>
    <row r="3597" spans="9:18" ht="16.5" thickBot="1">
      <c r="I3597" s="169"/>
      <c r="J3597" s="197">
        <f>SUM(J3592:J3596)</f>
        <v>681500</v>
      </c>
      <c r="K3597" s="197">
        <f>SUM(K3592:K3596)</f>
        <v>514609750</v>
      </c>
      <c r="L3597" s="198">
        <f>SUM(L3592:L3596)</f>
        <v>515291250</v>
      </c>
    </row>
    <row r="3598" spans="9:18">
      <c r="R3598" s="139">
        <f>+K3592+K3593+K3594+K3595</f>
        <v>514609750</v>
      </c>
    </row>
  </sheetData>
  <mergeCells count="5709">
    <mergeCell ref="O10:P10"/>
    <mergeCell ref="A8:H8"/>
    <mergeCell ref="I8:P8"/>
    <mergeCell ref="A10:A11"/>
    <mergeCell ref="B10:B11"/>
    <mergeCell ref="C10:C11"/>
    <mergeCell ref="D10:D11"/>
    <mergeCell ref="E10:E11"/>
    <mergeCell ref="F10:F11"/>
    <mergeCell ref="G10:H10"/>
    <mergeCell ref="I10:I11"/>
    <mergeCell ref="I12:I13"/>
    <mergeCell ref="J12:J13"/>
    <mergeCell ref="K12:K13"/>
    <mergeCell ref="L12:L13"/>
    <mergeCell ref="M12:M13"/>
    <mergeCell ref="N12:N13"/>
    <mergeCell ref="A12:A13"/>
    <mergeCell ref="B12:B13"/>
    <mergeCell ref="C12:C13"/>
    <mergeCell ref="D12:D13"/>
    <mergeCell ref="E12:E13"/>
    <mergeCell ref="F12:F13"/>
    <mergeCell ref="J10:J11"/>
    <mergeCell ref="K10:K11"/>
    <mergeCell ref="L10:L11"/>
    <mergeCell ref="M10:M11"/>
    <mergeCell ref="N10:N11"/>
    <mergeCell ref="I16:I17"/>
    <mergeCell ref="J16:J17"/>
    <mergeCell ref="K16:K17"/>
    <mergeCell ref="L16:L17"/>
    <mergeCell ref="M16:M17"/>
    <mergeCell ref="N16:N17"/>
    <mergeCell ref="A16:A17"/>
    <mergeCell ref="B16:B17"/>
    <mergeCell ref="C16:C17"/>
    <mergeCell ref="D16:D17"/>
    <mergeCell ref="E16:E17"/>
    <mergeCell ref="F16:F17"/>
    <mergeCell ref="I14:I15"/>
    <mergeCell ref="J14:J15"/>
    <mergeCell ref="K14:K15"/>
    <mergeCell ref="L14:L15"/>
    <mergeCell ref="M14:M15"/>
    <mergeCell ref="N14:N15"/>
    <mergeCell ref="A14:A15"/>
    <mergeCell ref="B14:B15"/>
    <mergeCell ref="C14:C15"/>
    <mergeCell ref="D14:D15"/>
    <mergeCell ref="E14:E15"/>
    <mergeCell ref="F14:F15"/>
    <mergeCell ref="A28:D28"/>
    <mergeCell ref="I28:L28"/>
    <mergeCell ref="A43:H43"/>
    <mergeCell ref="I43:P43"/>
    <mergeCell ref="A45:A46"/>
    <mergeCell ref="B45:B46"/>
    <mergeCell ref="C45:C46"/>
    <mergeCell ref="D45:D46"/>
    <mergeCell ref="E45:E46"/>
    <mergeCell ref="F45:F46"/>
    <mergeCell ref="A20:E20"/>
    <mergeCell ref="I20:M20"/>
    <mergeCell ref="A21:E21"/>
    <mergeCell ref="I21:M21"/>
    <mergeCell ref="A22:E22"/>
    <mergeCell ref="I22:M22"/>
    <mergeCell ref="I18:I19"/>
    <mergeCell ref="J18:J19"/>
    <mergeCell ref="K18:K19"/>
    <mergeCell ref="L18:L19"/>
    <mergeCell ref="M18:M19"/>
    <mergeCell ref="N18:N19"/>
    <mergeCell ref="A18:A19"/>
    <mergeCell ref="B18:B19"/>
    <mergeCell ref="C18:C19"/>
    <mergeCell ref="D18:D19"/>
    <mergeCell ref="E18:E19"/>
    <mergeCell ref="F18:F19"/>
    <mergeCell ref="N33:P33"/>
    <mergeCell ref="K47:K48"/>
    <mergeCell ref="L47:L48"/>
    <mergeCell ref="M47:M48"/>
    <mergeCell ref="N47:N48"/>
    <mergeCell ref="A49:A50"/>
    <mergeCell ref="B49:B50"/>
    <mergeCell ref="C49:C50"/>
    <mergeCell ref="D49:D50"/>
    <mergeCell ref="E49:E50"/>
    <mergeCell ref="F49:F50"/>
    <mergeCell ref="N45:N46"/>
    <mergeCell ref="O45:P45"/>
    <mergeCell ref="A47:A48"/>
    <mergeCell ref="B47:B48"/>
    <mergeCell ref="C47:C48"/>
    <mergeCell ref="D47:D48"/>
    <mergeCell ref="E47:E48"/>
    <mergeCell ref="F47:F48"/>
    <mergeCell ref="I47:I48"/>
    <mergeCell ref="J47:J48"/>
    <mergeCell ref="G45:H45"/>
    <mergeCell ref="I45:I46"/>
    <mergeCell ref="J45:J46"/>
    <mergeCell ref="K45:K46"/>
    <mergeCell ref="L45:L46"/>
    <mergeCell ref="M45:M46"/>
    <mergeCell ref="I51:I52"/>
    <mergeCell ref="J51:J52"/>
    <mergeCell ref="K51:K52"/>
    <mergeCell ref="L51:L52"/>
    <mergeCell ref="M51:M52"/>
    <mergeCell ref="N51:N52"/>
    <mergeCell ref="A51:A52"/>
    <mergeCell ref="B51:B52"/>
    <mergeCell ref="C51:C52"/>
    <mergeCell ref="D51:D52"/>
    <mergeCell ref="E51:E52"/>
    <mergeCell ref="F51:F52"/>
    <mergeCell ref="I49:I50"/>
    <mergeCell ref="J49:J50"/>
    <mergeCell ref="K49:K50"/>
    <mergeCell ref="L49:L50"/>
    <mergeCell ref="M49:M50"/>
    <mergeCell ref="N49:N50"/>
    <mergeCell ref="A55:E55"/>
    <mergeCell ref="I55:M55"/>
    <mergeCell ref="A56:E56"/>
    <mergeCell ref="I56:M56"/>
    <mergeCell ref="A57:E57"/>
    <mergeCell ref="I57:M57"/>
    <mergeCell ref="I53:I54"/>
    <mergeCell ref="J53:J54"/>
    <mergeCell ref="K53:K54"/>
    <mergeCell ref="L53:L54"/>
    <mergeCell ref="M53:M54"/>
    <mergeCell ref="N53:N54"/>
    <mergeCell ref="A53:A54"/>
    <mergeCell ref="B53:B54"/>
    <mergeCell ref="C53:C54"/>
    <mergeCell ref="D53:D54"/>
    <mergeCell ref="E53:E54"/>
    <mergeCell ref="F53:F54"/>
    <mergeCell ref="O80:P80"/>
    <mergeCell ref="A82:A83"/>
    <mergeCell ref="B82:B83"/>
    <mergeCell ref="C82:C83"/>
    <mergeCell ref="D82:D83"/>
    <mergeCell ref="E82:E83"/>
    <mergeCell ref="F82:F83"/>
    <mergeCell ref="I82:I83"/>
    <mergeCell ref="J82:J83"/>
    <mergeCell ref="G80:H80"/>
    <mergeCell ref="I80:I81"/>
    <mergeCell ref="J80:J81"/>
    <mergeCell ref="K80:K81"/>
    <mergeCell ref="L80:L81"/>
    <mergeCell ref="M80:M81"/>
    <mergeCell ref="A63:D63"/>
    <mergeCell ref="I63:L63"/>
    <mergeCell ref="A78:H78"/>
    <mergeCell ref="I78:P78"/>
    <mergeCell ref="A80:A81"/>
    <mergeCell ref="B80:B81"/>
    <mergeCell ref="C80:C81"/>
    <mergeCell ref="D80:D81"/>
    <mergeCell ref="E80:E81"/>
    <mergeCell ref="F80:F81"/>
    <mergeCell ref="N68:P68"/>
    <mergeCell ref="I84:I85"/>
    <mergeCell ref="J84:J85"/>
    <mergeCell ref="K84:K85"/>
    <mergeCell ref="L84:L85"/>
    <mergeCell ref="M84:M85"/>
    <mergeCell ref="N84:N85"/>
    <mergeCell ref="K82:K83"/>
    <mergeCell ref="L82:L83"/>
    <mergeCell ref="M82:M83"/>
    <mergeCell ref="N82:N83"/>
    <mergeCell ref="A84:A85"/>
    <mergeCell ref="B84:B85"/>
    <mergeCell ref="C84:C85"/>
    <mergeCell ref="D84:D85"/>
    <mergeCell ref="E84:E85"/>
    <mergeCell ref="F84:F85"/>
    <mergeCell ref="N80:N81"/>
    <mergeCell ref="I88:I89"/>
    <mergeCell ref="J88:J89"/>
    <mergeCell ref="K88:K89"/>
    <mergeCell ref="L88:L89"/>
    <mergeCell ref="M88:M89"/>
    <mergeCell ref="N88:N89"/>
    <mergeCell ref="I86:I87"/>
    <mergeCell ref="J86:J87"/>
    <mergeCell ref="K86:K87"/>
    <mergeCell ref="L86:L87"/>
    <mergeCell ref="M86:M87"/>
    <mergeCell ref="N86:N87"/>
    <mergeCell ref="A86:A87"/>
    <mergeCell ref="B86:B87"/>
    <mergeCell ref="C86:C87"/>
    <mergeCell ref="D86:D87"/>
    <mergeCell ref="E86:E87"/>
    <mergeCell ref="F86:F87"/>
    <mergeCell ref="A100:D100"/>
    <mergeCell ref="I100:L100"/>
    <mergeCell ref="N100:P100"/>
    <mergeCell ref="N105:P105"/>
    <mergeCell ref="A115:H115"/>
    <mergeCell ref="I115:P115"/>
    <mergeCell ref="A92:E92"/>
    <mergeCell ref="I92:M92"/>
    <mergeCell ref="A93:E93"/>
    <mergeCell ref="I93:M93"/>
    <mergeCell ref="A94:E94"/>
    <mergeCell ref="I94:M94"/>
    <mergeCell ref="I90:I91"/>
    <mergeCell ref="J90:J91"/>
    <mergeCell ref="K90:K91"/>
    <mergeCell ref="L90:L91"/>
    <mergeCell ref="M90:M91"/>
    <mergeCell ref="N90:N91"/>
    <mergeCell ref="A90:A91"/>
    <mergeCell ref="B90:B91"/>
    <mergeCell ref="C90:C91"/>
    <mergeCell ref="D90:D91"/>
    <mergeCell ref="E90:E91"/>
    <mergeCell ref="F90:F91"/>
    <mergeCell ref="K119:K120"/>
    <mergeCell ref="L119:L120"/>
    <mergeCell ref="M119:M120"/>
    <mergeCell ref="N119:N120"/>
    <mergeCell ref="A121:A122"/>
    <mergeCell ref="B121:B122"/>
    <mergeCell ref="C121:C122"/>
    <mergeCell ref="D121:D122"/>
    <mergeCell ref="E121:E122"/>
    <mergeCell ref="F121:F122"/>
    <mergeCell ref="N117:N118"/>
    <mergeCell ref="O117:P117"/>
    <mergeCell ref="A119:A120"/>
    <mergeCell ref="B119:B120"/>
    <mergeCell ref="C119:C120"/>
    <mergeCell ref="D119:D120"/>
    <mergeCell ref="E119:E120"/>
    <mergeCell ref="F119:F120"/>
    <mergeCell ref="I119:I120"/>
    <mergeCell ref="J119:J120"/>
    <mergeCell ref="G117:H117"/>
    <mergeCell ref="I117:I118"/>
    <mergeCell ref="J117:J118"/>
    <mergeCell ref="K117:K118"/>
    <mergeCell ref="L117:L118"/>
    <mergeCell ref="M117:M118"/>
    <mergeCell ref="A117:A118"/>
    <mergeCell ref="B117:B118"/>
    <mergeCell ref="C117:C118"/>
    <mergeCell ref="D117:D118"/>
    <mergeCell ref="E117:E118"/>
    <mergeCell ref="F117:F118"/>
    <mergeCell ref="I123:I124"/>
    <mergeCell ref="J123:J124"/>
    <mergeCell ref="K123:K124"/>
    <mergeCell ref="L123:L124"/>
    <mergeCell ref="M123:M124"/>
    <mergeCell ref="N123:N124"/>
    <mergeCell ref="A123:A124"/>
    <mergeCell ref="B123:B124"/>
    <mergeCell ref="C123:C124"/>
    <mergeCell ref="D123:D124"/>
    <mergeCell ref="E123:E124"/>
    <mergeCell ref="F123:F124"/>
    <mergeCell ref="I121:I122"/>
    <mergeCell ref="J121:J122"/>
    <mergeCell ref="K121:K122"/>
    <mergeCell ref="L121:L122"/>
    <mergeCell ref="M121:M122"/>
    <mergeCell ref="N121:N122"/>
    <mergeCell ref="A135:D135"/>
    <mergeCell ref="I135:L135"/>
    <mergeCell ref="N135:P135"/>
    <mergeCell ref="N140:P140"/>
    <mergeCell ref="A150:H150"/>
    <mergeCell ref="I150:P150"/>
    <mergeCell ref="A127:E127"/>
    <mergeCell ref="I127:M127"/>
    <mergeCell ref="A128:E128"/>
    <mergeCell ref="I128:M128"/>
    <mergeCell ref="A129:E129"/>
    <mergeCell ref="I129:M129"/>
    <mergeCell ref="I125:I126"/>
    <mergeCell ref="J125:J126"/>
    <mergeCell ref="K125:K126"/>
    <mergeCell ref="L125:L126"/>
    <mergeCell ref="M125:M126"/>
    <mergeCell ref="N125:N126"/>
    <mergeCell ref="A125:A126"/>
    <mergeCell ref="B125:B126"/>
    <mergeCell ref="C125:C126"/>
    <mergeCell ref="D125:D126"/>
    <mergeCell ref="E125:E126"/>
    <mergeCell ref="F125:F126"/>
    <mergeCell ref="O152:P152"/>
    <mergeCell ref="A154:A155"/>
    <mergeCell ref="B154:B155"/>
    <mergeCell ref="C154:C155"/>
    <mergeCell ref="D154:D155"/>
    <mergeCell ref="E154:E155"/>
    <mergeCell ref="F154:F155"/>
    <mergeCell ref="I154:I155"/>
    <mergeCell ref="J154:J155"/>
    <mergeCell ref="G152:H152"/>
    <mergeCell ref="I152:I153"/>
    <mergeCell ref="J152:J153"/>
    <mergeCell ref="K152:K153"/>
    <mergeCell ref="L152:L153"/>
    <mergeCell ref="M152:M153"/>
    <mergeCell ref="A152:A153"/>
    <mergeCell ref="B152:B153"/>
    <mergeCell ref="C152:C153"/>
    <mergeCell ref="D152:D153"/>
    <mergeCell ref="E152:E153"/>
    <mergeCell ref="F152:F153"/>
    <mergeCell ref="I158:I159"/>
    <mergeCell ref="J158:J159"/>
    <mergeCell ref="K158:K159"/>
    <mergeCell ref="L158:L159"/>
    <mergeCell ref="M158:M159"/>
    <mergeCell ref="N158:N159"/>
    <mergeCell ref="K154:K155"/>
    <mergeCell ref="L154:L155"/>
    <mergeCell ref="M154:M155"/>
    <mergeCell ref="N154:N155"/>
    <mergeCell ref="A158:A159"/>
    <mergeCell ref="B158:B159"/>
    <mergeCell ref="C158:C159"/>
    <mergeCell ref="D158:D159"/>
    <mergeCell ref="E158:E159"/>
    <mergeCell ref="F158:F159"/>
    <mergeCell ref="N152:N153"/>
    <mergeCell ref="I156:I157"/>
    <mergeCell ref="J156:J157"/>
    <mergeCell ref="K156:K157"/>
    <mergeCell ref="L156:L157"/>
    <mergeCell ref="M156:M157"/>
    <mergeCell ref="N156:N157"/>
    <mergeCell ref="A170:D170"/>
    <mergeCell ref="I170:L170"/>
    <mergeCell ref="N170:P170"/>
    <mergeCell ref="N174:P174"/>
    <mergeCell ref="A185:H185"/>
    <mergeCell ref="I185:P185"/>
    <mergeCell ref="A162:E162"/>
    <mergeCell ref="I162:M162"/>
    <mergeCell ref="A163:E163"/>
    <mergeCell ref="I163:M163"/>
    <mergeCell ref="A164:E164"/>
    <mergeCell ref="I164:M164"/>
    <mergeCell ref="I160:I161"/>
    <mergeCell ref="J160:J161"/>
    <mergeCell ref="K160:K161"/>
    <mergeCell ref="L160:L161"/>
    <mergeCell ref="M160:M161"/>
    <mergeCell ref="N160:N161"/>
    <mergeCell ref="A160:A161"/>
    <mergeCell ref="B160:B161"/>
    <mergeCell ref="C160:C161"/>
    <mergeCell ref="D160:D161"/>
    <mergeCell ref="E160:E161"/>
    <mergeCell ref="F160:F161"/>
    <mergeCell ref="O187:P187"/>
    <mergeCell ref="A189:A190"/>
    <mergeCell ref="B189:B190"/>
    <mergeCell ref="C189:C190"/>
    <mergeCell ref="D189:D190"/>
    <mergeCell ref="E189:E190"/>
    <mergeCell ref="F189:F190"/>
    <mergeCell ref="I189:I190"/>
    <mergeCell ref="J189:J190"/>
    <mergeCell ref="G187:H187"/>
    <mergeCell ref="I187:I188"/>
    <mergeCell ref="J187:J188"/>
    <mergeCell ref="K187:K188"/>
    <mergeCell ref="L187:L188"/>
    <mergeCell ref="M187:M188"/>
    <mergeCell ref="A187:A188"/>
    <mergeCell ref="B187:B188"/>
    <mergeCell ref="C187:C188"/>
    <mergeCell ref="D187:D188"/>
    <mergeCell ref="E187:E188"/>
    <mergeCell ref="F187:F188"/>
    <mergeCell ref="I191:I192"/>
    <mergeCell ref="J191:J192"/>
    <mergeCell ref="K191:K192"/>
    <mergeCell ref="L191:L192"/>
    <mergeCell ref="M191:M192"/>
    <mergeCell ref="N191:N192"/>
    <mergeCell ref="K189:K190"/>
    <mergeCell ref="L189:L190"/>
    <mergeCell ref="M189:M190"/>
    <mergeCell ref="N189:N190"/>
    <mergeCell ref="A191:A192"/>
    <mergeCell ref="B191:B192"/>
    <mergeCell ref="C191:C192"/>
    <mergeCell ref="D191:D192"/>
    <mergeCell ref="E191:E192"/>
    <mergeCell ref="F191:F192"/>
    <mergeCell ref="N187:N188"/>
    <mergeCell ref="I195:I196"/>
    <mergeCell ref="J195:J196"/>
    <mergeCell ref="K195:K196"/>
    <mergeCell ref="L195:L196"/>
    <mergeCell ref="M195:M196"/>
    <mergeCell ref="N195:N196"/>
    <mergeCell ref="A195:A196"/>
    <mergeCell ref="B195:B196"/>
    <mergeCell ref="C195:C196"/>
    <mergeCell ref="D195:D196"/>
    <mergeCell ref="E195:E196"/>
    <mergeCell ref="F195:F196"/>
    <mergeCell ref="I193:I194"/>
    <mergeCell ref="J193:J194"/>
    <mergeCell ref="K193:K194"/>
    <mergeCell ref="L193:L194"/>
    <mergeCell ref="M193:M194"/>
    <mergeCell ref="N193:N194"/>
    <mergeCell ref="A193:A194"/>
    <mergeCell ref="B193:B194"/>
    <mergeCell ref="C193:C194"/>
    <mergeCell ref="D193:D194"/>
    <mergeCell ref="E193:E194"/>
    <mergeCell ref="F193:F194"/>
    <mergeCell ref="A207:D207"/>
    <mergeCell ref="I207:L207"/>
    <mergeCell ref="N207:P207"/>
    <mergeCell ref="N212:P212"/>
    <mergeCell ref="A222:H222"/>
    <mergeCell ref="I222:P222"/>
    <mergeCell ref="A199:E199"/>
    <mergeCell ref="I199:M199"/>
    <mergeCell ref="A200:E200"/>
    <mergeCell ref="I200:M200"/>
    <mergeCell ref="A201:E201"/>
    <mergeCell ref="I201:M201"/>
    <mergeCell ref="I197:I198"/>
    <mergeCell ref="J197:J198"/>
    <mergeCell ref="K197:K198"/>
    <mergeCell ref="L197:L198"/>
    <mergeCell ref="M197:M198"/>
    <mergeCell ref="N197:N198"/>
    <mergeCell ref="A197:A198"/>
    <mergeCell ref="B197:B198"/>
    <mergeCell ref="C197:C198"/>
    <mergeCell ref="D197:D198"/>
    <mergeCell ref="E197:E198"/>
    <mergeCell ref="F197:F198"/>
    <mergeCell ref="O224:P224"/>
    <mergeCell ref="A226:A227"/>
    <mergeCell ref="B226:B227"/>
    <mergeCell ref="C226:C227"/>
    <mergeCell ref="D226:D227"/>
    <mergeCell ref="E226:E227"/>
    <mergeCell ref="F226:F227"/>
    <mergeCell ref="I226:I227"/>
    <mergeCell ref="J226:J227"/>
    <mergeCell ref="G224:H224"/>
    <mergeCell ref="I224:I225"/>
    <mergeCell ref="J224:J225"/>
    <mergeCell ref="K224:K225"/>
    <mergeCell ref="L224:L225"/>
    <mergeCell ref="M224:M225"/>
    <mergeCell ref="A224:A225"/>
    <mergeCell ref="B224:B225"/>
    <mergeCell ref="C224:C225"/>
    <mergeCell ref="D224:D225"/>
    <mergeCell ref="E224:E225"/>
    <mergeCell ref="F224:F225"/>
    <mergeCell ref="I228:I229"/>
    <mergeCell ref="J228:J229"/>
    <mergeCell ref="K228:K229"/>
    <mergeCell ref="L228:L229"/>
    <mergeCell ref="M228:M229"/>
    <mergeCell ref="N228:N229"/>
    <mergeCell ref="K226:K227"/>
    <mergeCell ref="L226:L227"/>
    <mergeCell ref="M226:M227"/>
    <mergeCell ref="N226:N227"/>
    <mergeCell ref="A228:A229"/>
    <mergeCell ref="B228:B229"/>
    <mergeCell ref="C228:C229"/>
    <mergeCell ref="D228:D229"/>
    <mergeCell ref="E228:E229"/>
    <mergeCell ref="F228:F229"/>
    <mergeCell ref="N224:N225"/>
    <mergeCell ref="I232:I233"/>
    <mergeCell ref="J232:J233"/>
    <mergeCell ref="K232:K233"/>
    <mergeCell ref="L232:L233"/>
    <mergeCell ref="M232:M233"/>
    <mergeCell ref="N232:N233"/>
    <mergeCell ref="A232:A233"/>
    <mergeCell ref="B232:B233"/>
    <mergeCell ref="C232:C233"/>
    <mergeCell ref="D232:D233"/>
    <mergeCell ref="E232:E233"/>
    <mergeCell ref="F232:F233"/>
    <mergeCell ref="I230:I231"/>
    <mergeCell ref="J230:J231"/>
    <mergeCell ref="K230:K231"/>
    <mergeCell ref="L230:L231"/>
    <mergeCell ref="M230:M231"/>
    <mergeCell ref="N230:N231"/>
    <mergeCell ref="A230:A231"/>
    <mergeCell ref="B230:B231"/>
    <mergeCell ref="C230:C231"/>
    <mergeCell ref="D230:D231"/>
    <mergeCell ref="E230:E231"/>
    <mergeCell ref="F230:F231"/>
    <mergeCell ref="A236:E236"/>
    <mergeCell ref="I236:M236"/>
    <mergeCell ref="A237:E237"/>
    <mergeCell ref="I237:M237"/>
    <mergeCell ref="A238:E238"/>
    <mergeCell ref="I238:M238"/>
    <mergeCell ref="I234:I235"/>
    <mergeCell ref="J234:J235"/>
    <mergeCell ref="K234:K235"/>
    <mergeCell ref="L234:L235"/>
    <mergeCell ref="M234:M235"/>
    <mergeCell ref="N234:N235"/>
    <mergeCell ref="A234:A235"/>
    <mergeCell ref="B234:B235"/>
    <mergeCell ref="C234:C235"/>
    <mergeCell ref="D234:D235"/>
    <mergeCell ref="E234:E235"/>
    <mergeCell ref="F234:F235"/>
    <mergeCell ref="O261:P261"/>
    <mergeCell ref="A263:A264"/>
    <mergeCell ref="B263:B264"/>
    <mergeCell ref="C263:C264"/>
    <mergeCell ref="D263:D264"/>
    <mergeCell ref="E263:E264"/>
    <mergeCell ref="F263:F264"/>
    <mergeCell ref="I263:I264"/>
    <mergeCell ref="J263:J264"/>
    <mergeCell ref="G261:H261"/>
    <mergeCell ref="I261:I262"/>
    <mergeCell ref="J261:J262"/>
    <mergeCell ref="K261:K262"/>
    <mergeCell ref="L261:L262"/>
    <mergeCell ref="M261:M262"/>
    <mergeCell ref="A244:D244"/>
    <mergeCell ref="I244:L244"/>
    <mergeCell ref="A259:H259"/>
    <mergeCell ref="I259:P259"/>
    <mergeCell ref="A261:A262"/>
    <mergeCell ref="B261:B262"/>
    <mergeCell ref="C261:C262"/>
    <mergeCell ref="D261:D262"/>
    <mergeCell ref="E261:E262"/>
    <mergeCell ref="F261:F262"/>
    <mergeCell ref="N249:P249"/>
    <mergeCell ref="N244:P244"/>
    <mergeCell ref="I265:I266"/>
    <mergeCell ref="J265:J266"/>
    <mergeCell ref="K265:K266"/>
    <mergeCell ref="L265:L266"/>
    <mergeCell ref="M265:M266"/>
    <mergeCell ref="N265:N266"/>
    <mergeCell ref="K263:K264"/>
    <mergeCell ref="L263:L264"/>
    <mergeCell ref="M263:M264"/>
    <mergeCell ref="N263:N264"/>
    <mergeCell ref="A265:A266"/>
    <mergeCell ref="B265:B266"/>
    <mergeCell ref="C265:C266"/>
    <mergeCell ref="D265:D266"/>
    <mergeCell ref="E265:E266"/>
    <mergeCell ref="F265:F266"/>
    <mergeCell ref="N261:N262"/>
    <mergeCell ref="I269:I270"/>
    <mergeCell ref="J269:J270"/>
    <mergeCell ref="K269:K270"/>
    <mergeCell ref="L269:L270"/>
    <mergeCell ref="M269:M270"/>
    <mergeCell ref="N269:N270"/>
    <mergeCell ref="A269:A270"/>
    <mergeCell ref="B269:B270"/>
    <mergeCell ref="C269:C270"/>
    <mergeCell ref="D269:D270"/>
    <mergeCell ref="E269:E270"/>
    <mergeCell ref="F269:F270"/>
    <mergeCell ref="I267:I268"/>
    <mergeCell ref="J267:J268"/>
    <mergeCell ref="K267:K268"/>
    <mergeCell ref="L267:L268"/>
    <mergeCell ref="M267:M268"/>
    <mergeCell ref="N267:N268"/>
    <mergeCell ref="A267:A268"/>
    <mergeCell ref="B267:B268"/>
    <mergeCell ref="C267:C268"/>
    <mergeCell ref="D267:D268"/>
    <mergeCell ref="E267:E268"/>
    <mergeCell ref="F267:F268"/>
    <mergeCell ref="A273:E273"/>
    <mergeCell ref="I273:M273"/>
    <mergeCell ref="A274:E274"/>
    <mergeCell ref="I274:M274"/>
    <mergeCell ref="A275:E275"/>
    <mergeCell ref="I275:M275"/>
    <mergeCell ref="I271:I272"/>
    <mergeCell ref="J271:J272"/>
    <mergeCell ref="K271:K272"/>
    <mergeCell ref="L271:L272"/>
    <mergeCell ref="M271:M272"/>
    <mergeCell ref="N271:N272"/>
    <mergeCell ref="A271:A272"/>
    <mergeCell ref="B271:B272"/>
    <mergeCell ref="C271:C272"/>
    <mergeCell ref="D271:D272"/>
    <mergeCell ref="E271:E272"/>
    <mergeCell ref="F271:F272"/>
    <mergeCell ref="M298:M299"/>
    <mergeCell ref="N298:N299"/>
    <mergeCell ref="O298:P298"/>
    <mergeCell ref="A300:A301"/>
    <mergeCell ref="B300:B301"/>
    <mergeCell ref="C300:C301"/>
    <mergeCell ref="D300:D301"/>
    <mergeCell ref="E300:E301"/>
    <mergeCell ref="F300:F301"/>
    <mergeCell ref="I300:I301"/>
    <mergeCell ref="F298:F299"/>
    <mergeCell ref="G298:H298"/>
    <mergeCell ref="I298:I299"/>
    <mergeCell ref="J298:J299"/>
    <mergeCell ref="K298:K299"/>
    <mergeCell ref="L298:L299"/>
    <mergeCell ref="A281:D281"/>
    <mergeCell ref="I281:L281"/>
    <mergeCell ref="A296:H296"/>
    <mergeCell ref="I296:P296"/>
    <mergeCell ref="A298:A299"/>
    <mergeCell ref="B298:B299"/>
    <mergeCell ref="C298:C299"/>
    <mergeCell ref="D298:D299"/>
    <mergeCell ref="E298:E299"/>
    <mergeCell ref="N281:P281"/>
    <mergeCell ref="N286:P286"/>
    <mergeCell ref="N302:N303"/>
    <mergeCell ref="A304:A305"/>
    <mergeCell ref="B304:B305"/>
    <mergeCell ref="C304:C305"/>
    <mergeCell ref="D304:D305"/>
    <mergeCell ref="E304:E305"/>
    <mergeCell ref="F304:F305"/>
    <mergeCell ref="I304:I305"/>
    <mergeCell ref="J304:J305"/>
    <mergeCell ref="K304:K305"/>
    <mergeCell ref="F302:F303"/>
    <mergeCell ref="I302:I303"/>
    <mergeCell ref="J302:J303"/>
    <mergeCell ref="K302:K303"/>
    <mergeCell ref="L302:L303"/>
    <mergeCell ref="M302:M303"/>
    <mergeCell ref="J300:J301"/>
    <mergeCell ref="K300:K301"/>
    <mergeCell ref="L300:L301"/>
    <mergeCell ref="M300:M301"/>
    <mergeCell ref="N300:N301"/>
    <mergeCell ref="A302:A303"/>
    <mergeCell ref="B302:B303"/>
    <mergeCell ref="C302:C303"/>
    <mergeCell ref="D302:D303"/>
    <mergeCell ref="E302:E303"/>
    <mergeCell ref="J306:J307"/>
    <mergeCell ref="K306:K307"/>
    <mergeCell ref="L306:L307"/>
    <mergeCell ref="M306:M307"/>
    <mergeCell ref="N306:N307"/>
    <mergeCell ref="A308:A309"/>
    <mergeCell ref="B308:B309"/>
    <mergeCell ref="C308:C309"/>
    <mergeCell ref="D308:D309"/>
    <mergeCell ref="E308:E309"/>
    <mergeCell ref="L304:L305"/>
    <mergeCell ref="M304:M305"/>
    <mergeCell ref="N304:N305"/>
    <mergeCell ref="A306:A307"/>
    <mergeCell ref="B306:B307"/>
    <mergeCell ref="C306:C307"/>
    <mergeCell ref="D306:D307"/>
    <mergeCell ref="E306:E307"/>
    <mergeCell ref="F306:F307"/>
    <mergeCell ref="I306:I307"/>
    <mergeCell ref="A318:D318"/>
    <mergeCell ref="I318:L318"/>
    <mergeCell ref="N318:P318"/>
    <mergeCell ref="N323:P323"/>
    <mergeCell ref="A333:H333"/>
    <mergeCell ref="I333:P333"/>
    <mergeCell ref="N308:N309"/>
    <mergeCell ref="A310:E310"/>
    <mergeCell ref="I310:M310"/>
    <mergeCell ref="A311:E311"/>
    <mergeCell ref="I311:M311"/>
    <mergeCell ref="A312:E312"/>
    <mergeCell ref="I312:M312"/>
    <mergeCell ref="F308:F309"/>
    <mergeCell ref="I308:I309"/>
    <mergeCell ref="J308:J309"/>
    <mergeCell ref="K308:K309"/>
    <mergeCell ref="L308:L309"/>
    <mergeCell ref="M308:M309"/>
    <mergeCell ref="O335:P335"/>
    <mergeCell ref="A337:A338"/>
    <mergeCell ref="B337:B338"/>
    <mergeCell ref="C337:C338"/>
    <mergeCell ref="D337:D338"/>
    <mergeCell ref="E337:E338"/>
    <mergeCell ref="F337:F338"/>
    <mergeCell ref="I337:I338"/>
    <mergeCell ref="J337:J338"/>
    <mergeCell ref="G335:H335"/>
    <mergeCell ref="I335:I336"/>
    <mergeCell ref="J335:J336"/>
    <mergeCell ref="K335:K336"/>
    <mergeCell ref="L335:L336"/>
    <mergeCell ref="M335:M336"/>
    <mergeCell ref="A335:A336"/>
    <mergeCell ref="B335:B336"/>
    <mergeCell ref="C335:C336"/>
    <mergeCell ref="D335:D336"/>
    <mergeCell ref="E335:E336"/>
    <mergeCell ref="F335:F336"/>
    <mergeCell ref="I339:I340"/>
    <mergeCell ref="J339:J340"/>
    <mergeCell ref="K339:K340"/>
    <mergeCell ref="L339:L340"/>
    <mergeCell ref="M339:M340"/>
    <mergeCell ref="N339:N340"/>
    <mergeCell ref="K337:K338"/>
    <mergeCell ref="L337:L338"/>
    <mergeCell ref="M337:M338"/>
    <mergeCell ref="N337:N338"/>
    <mergeCell ref="A339:A340"/>
    <mergeCell ref="B339:B340"/>
    <mergeCell ref="C339:C340"/>
    <mergeCell ref="D339:D340"/>
    <mergeCell ref="E339:E340"/>
    <mergeCell ref="F339:F340"/>
    <mergeCell ref="N335:N336"/>
    <mergeCell ref="I343:I344"/>
    <mergeCell ref="J343:J344"/>
    <mergeCell ref="K343:K344"/>
    <mergeCell ref="L343:L344"/>
    <mergeCell ref="M343:M344"/>
    <mergeCell ref="N343:N344"/>
    <mergeCell ref="A343:A344"/>
    <mergeCell ref="B343:B344"/>
    <mergeCell ref="C343:C344"/>
    <mergeCell ref="D343:D344"/>
    <mergeCell ref="E343:E344"/>
    <mergeCell ref="F343:F344"/>
    <mergeCell ref="I341:I342"/>
    <mergeCell ref="J341:J342"/>
    <mergeCell ref="K341:K342"/>
    <mergeCell ref="L341:L342"/>
    <mergeCell ref="M341:M342"/>
    <mergeCell ref="N341:N342"/>
    <mergeCell ref="A341:A342"/>
    <mergeCell ref="B341:B342"/>
    <mergeCell ref="C341:C342"/>
    <mergeCell ref="D341:D342"/>
    <mergeCell ref="E341:E342"/>
    <mergeCell ref="F341:F342"/>
    <mergeCell ref="A355:D355"/>
    <mergeCell ref="I355:L355"/>
    <mergeCell ref="N355:P355"/>
    <mergeCell ref="N360:P360"/>
    <mergeCell ref="A370:H370"/>
    <mergeCell ref="I370:P370"/>
    <mergeCell ref="A347:E347"/>
    <mergeCell ref="I347:M347"/>
    <mergeCell ref="A348:E348"/>
    <mergeCell ref="I348:M348"/>
    <mergeCell ref="A349:E349"/>
    <mergeCell ref="I349:M349"/>
    <mergeCell ref="I345:I346"/>
    <mergeCell ref="J345:J346"/>
    <mergeCell ref="K345:K346"/>
    <mergeCell ref="L345:L346"/>
    <mergeCell ref="M345:M346"/>
    <mergeCell ref="N345:N346"/>
    <mergeCell ref="A345:A346"/>
    <mergeCell ref="B345:B346"/>
    <mergeCell ref="C345:C346"/>
    <mergeCell ref="D345:D346"/>
    <mergeCell ref="E345:E346"/>
    <mergeCell ref="F345:F346"/>
    <mergeCell ref="O372:P372"/>
    <mergeCell ref="A374:A375"/>
    <mergeCell ref="B374:B375"/>
    <mergeCell ref="C374:C375"/>
    <mergeCell ref="D374:D375"/>
    <mergeCell ref="E374:E375"/>
    <mergeCell ref="F374:F375"/>
    <mergeCell ref="I374:I375"/>
    <mergeCell ref="J374:J375"/>
    <mergeCell ref="G372:H372"/>
    <mergeCell ref="I372:I373"/>
    <mergeCell ref="J372:J373"/>
    <mergeCell ref="K372:K373"/>
    <mergeCell ref="L372:L373"/>
    <mergeCell ref="M372:M373"/>
    <mergeCell ref="A372:A373"/>
    <mergeCell ref="B372:B373"/>
    <mergeCell ref="C372:C373"/>
    <mergeCell ref="D372:D373"/>
    <mergeCell ref="E372:E373"/>
    <mergeCell ref="F372:F373"/>
    <mergeCell ref="I376:I377"/>
    <mergeCell ref="J376:J377"/>
    <mergeCell ref="K376:K377"/>
    <mergeCell ref="L376:L377"/>
    <mergeCell ref="M376:M377"/>
    <mergeCell ref="N376:N377"/>
    <mergeCell ref="K374:K375"/>
    <mergeCell ref="L374:L375"/>
    <mergeCell ref="M374:M375"/>
    <mergeCell ref="N374:N375"/>
    <mergeCell ref="A376:A377"/>
    <mergeCell ref="B376:B377"/>
    <mergeCell ref="C376:C377"/>
    <mergeCell ref="D376:D377"/>
    <mergeCell ref="E376:E377"/>
    <mergeCell ref="F376:F377"/>
    <mergeCell ref="N372:N373"/>
    <mergeCell ref="I380:I381"/>
    <mergeCell ref="J380:J381"/>
    <mergeCell ref="K380:K381"/>
    <mergeCell ref="L380:L381"/>
    <mergeCell ref="M380:M381"/>
    <mergeCell ref="N380:N381"/>
    <mergeCell ref="A380:A381"/>
    <mergeCell ref="B380:B381"/>
    <mergeCell ref="C380:C381"/>
    <mergeCell ref="D380:D381"/>
    <mergeCell ref="E380:E381"/>
    <mergeCell ref="F380:F381"/>
    <mergeCell ref="I378:I379"/>
    <mergeCell ref="J378:J379"/>
    <mergeCell ref="K378:K379"/>
    <mergeCell ref="L378:L379"/>
    <mergeCell ref="M378:M379"/>
    <mergeCell ref="N378:N379"/>
    <mergeCell ref="A378:A379"/>
    <mergeCell ref="B378:B379"/>
    <mergeCell ref="C378:C379"/>
    <mergeCell ref="D378:D379"/>
    <mergeCell ref="E378:E379"/>
    <mergeCell ref="F378:F379"/>
    <mergeCell ref="A392:D392"/>
    <mergeCell ref="I392:L392"/>
    <mergeCell ref="N392:P392"/>
    <mergeCell ref="N397:P397"/>
    <mergeCell ref="A407:H407"/>
    <mergeCell ref="I407:P407"/>
    <mergeCell ref="A384:E384"/>
    <mergeCell ref="I384:M384"/>
    <mergeCell ref="A385:E385"/>
    <mergeCell ref="I385:M385"/>
    <mergeCell ref="A386:E386"/>
    <mergeCell ref="I386:M386"/>
    <mergeCell ref="I382:I383"/>
    <mergeCell ref="J382:J383"/>
    <mergeCell ref="K382:K383"/>
    <mergeCell ref="L382:L383"/>
    <mergeCell ref="M382:M383"/>
    <mergeCell ref="N382:N383"/>
    <mergeCell ref="A382:A383"/>
    <mergeCell ref="B382:B383"/>
    <mergeCell ref="C382:C383"/>
    <mergeCell ref="D382:D383"/>
    <mergeCell ref="E382:E383"/>
    <mergeCell ref="F382:F383"/>
    <mergeCell ref="O409:P409"/>
    <mergeCell ref="A411:A412"/>
    <mergeCell ref="B411:B412"/>
    <mergeCell ref="C411:C412"/>
    <mergeCell ref="D411:D412"/>
    <mergeCell ref="E411:E412"/>
    <mergeCell ref="F411:F412"/>
    <mergeCell ref="I411:I412"/>
    <mergeCell ref="J411:J412"/>
    <mergeCell ref="G409:H409"/>
    <mergeCell ref="I409:I410"/>
    <mergeCell ref="J409:J410"/>
    <mergeCell ref="K409:K410"/>
    <mergeCell ref="L409:L410"/>
    <mergeCell ref="M409:M410"/>
    <mergeCell ref="A409:A410"/>
    <mergeCell ref="B409:B410"/>
    <mergeCell ref="C409:C410"/>
    <mergeCell ref="D409:D410"/>
    <mergeCell ref="E409:E410"/>
    <mergeCell ref="F409:F410"/>
    <mergeCell ref="I413:I414"/>
    <mergeCell ref="J413:J414"/>
    <mergeCell ref="K413:K414"/>
    <mergeCell ref="L413:L414"/>
    <mergeCell ref="M413:M414"/>
    <mergeCell ref="N413:N414"/>
    <mergeCell ref="K411:K412"/>
    <mergeCell ref="L411:L412"/>
    <mergeCell ref="M411:M412"/>
    <mergeCell ref="N411:N412"/>
    <mergeCell ref="A413:A414"/>
    <mergeCell ref="B413:B414"/>
    <mergeCell ref="C413:C414"/>
    <mergeCell ref="D413:D414"/>
    <mergeCell ref="E413:E414"/>
    <mergeCell ref="F413:F414"/>
    <mergeCell ref="N409:N410"/>
    <mergeCell ref="I417:I418"/>
    <mergeCell ref="J417:J418"/>
    <mergeCell ref="K417:K418"/>
    <mergeCell ref="L417:L418"/>
    <mergeCell ref="M417:M418"/>
    <mergeCell ref="N417:N418"/>
    <mergeCell ref="A417:A418"/>
    <mergeCell ref="B417:B418"/>
    <mergeCell ref="C417:C418"/>
    <mergeCell ref="D417:D418"/>
    <mergeCell ref="E417:E418"/>
    <mergeCell ref="F417:F418"/>
    <mergeCell ref="I415:I416"/>
    <mergeCell ref="J415:J416"/>
    <mergeCell ref="K415:K416"/>
    <mergeCell ref="L415:L416"/>
    <mergeCell ref="M415:M416"/>
    <mergeCell ref="N415:N416"/>
    <mergeCell ref="A415:A416"/>
    <mergeCell ref="B415:B416"/>
    <mergeCell ref="C415:C416"/>
    <mergeCell ref="D415:D416"/>
    <mergeCell ref="E415:E416"/>
    <mergeCell ref="F415:F416"/>
    <mergeCell ref="A429:D429"/>
    <mergeCell ref="I429:L429"/>
    <mergeCell ref="N429:P429"/>
    <mergeCell ref="N434:P434"/>
    <mergeCell ref="A444:H444"/>
    <mergeCell ref="I444:P444"/>
    <mergeCell ref="A421:E421"/>
    <mergeCell ref="I421:M421"/>
    <mergeCell ref="A422:E422"/>
    <mergeCell ref="I422:M422"/>
    <mergeCell ref="A423:E423"/>
    <mergeCell ref="I423:M423"/>
    <mergeCell ref="I419:I420"/>
    <mergeCell ref="J419:J420"/>
    <mergeCell ref="K419:K420"/>
    <mergeCell ref="L419:L420"/>
    <mergeCell ref="M419:M420"/>
    <mergeCell ref="N419:N420"/>
    <mergeCell ref="A419:A420"/>
    <mergeCell ref="B419:B420"/>
    <mergeCell ref="C419:C420"/>
    <mergeCell ref="D419:D420"/>
    <mergeCell ref="E419:E420"/>
    <mergeCell ref="F419:F420"/>
    <mergeCell ref="K448:K449"/>
    <mergeCell ref="L448:L449"/>
    <mergeCell ref="M448:M449"/>
    <mergeCell ref="N448:N449"/>
    <mergeCell ref="A450:A451"/>
    <mergeCell ref="B450:B451"/>
    <mergeCell ref="C450:C451"/>
    <mergeCell ref="D450:D451"/>
    <mergeCell ref="E450:E451"/>
    <mergeCell ref="F450:F451"/>
    <mergeCell ref="N446:N447"/>
    <mergeCell ref="O446:P446"/>
    <mergeCell ref="A448:A449"/>
    <mergeCell ref="B448:B449"/>
    <mergeCell ref="C448:C449"/>
    <mergeCell ref="D448:D449"/>
    <mergeCell ref="E448:E449"/>
    <mergeCell ref="F448:F449"/>
    <mergeCell ref="I448:I449"/>
    <mergeCell ref="J448:J449"/>
    <mergeCell ref="G446:H446"/>
    <mergeCell ref="I446:I447"/>
    <mergeCell ref="J446:J447"/>
    <mergeCell ref="K446:K447"/>
    <mergeCell ref="L446:L447"/>
    <mergeCell ref="M446:M447"/>
    <mergeCell ref="A446:A447"/>
    <mergeCell ref="B446:B447"/>
    <mergeCell ref="C446:C447"/>
    <mergeCell ref="D446:D447"/>
    <mergeCell ref="E446:E447"/>
    <mergeCell ref="F446:F447"/>
    <mergeCell ref="I452:I453"/>
    <mergeCell ref="J452:J453"/>
    <mergeCell ref="K452:K453"/>
    <mergeCell ref="L452:L453"/>
    <mergeCell ref="M452:M453"/>
    <mergeCell ref="N452:N453"/>
    <mergeCell ref="A452:A453"/>
    <mergeCell ref="B452:B453"/>
    <mergeCell ref="C452:C453"/>
    <mergeCell ref="D452:D453"/>
    <mergeCell ref="E452:E453"/>
    <mergeCell ref="F452:F453"/>
    <mergeCell ref="I450:I451"/>
    <mergeCell ref="J450:J451"/>
    <mergeCell ref="K450:K451"/>
    <mergeCell ref="L450:L451"/>
    <mergeCell ref="M450:M451"/>
    <mergeCell ref="N450:N451"/>
    <mergeCell ref="A464:D464"/>
    <mergeCell ref="I464:L464"/>
    <mergeCell ref="N464:P464"/>
    <mergeCell ref="N469:P469"/>
    <mergeCell ref="A479:H479"/>
    <mergeCell ref="I479:P479"/>
    <mergeCell ref="A456:E456"/>
    <mergeCell ref="I456:M456"/>
    <mergeCell ref="A457:E457"/>
    <mergeCell ref="I457:M457"/>
    <mergeCell ref="A458:E458"/>
    <mergeCell ref="I458:M458"/>
    <mergeCell ref="I454:I455"/>
    <mergeCell ref="J454:J455"/>
    <mergeCell ref="K454:K455"/>
    <mergeCell ref="L454:L455"/>
    <mergeCell ref="M454:M455"/>
    <mergeCell ref="N454:N455"/>
    <mergeCell ref="A454:A455"/>
    <mergeCell ref="B454:B455"/>
    <mergeCell ref="C454:C455"/>
    <mergeCell ref="D454:D455"/>
    <mergeCell ref="E454:E455"/>
    <mergeCell ref="F454:F455"/>
    <mergeCell ref="O481:P481"/>
    <mergeCell ref="A483:A484"/>
    <mergeCell ref="B483:B484"/>
    <mergeCell ref="C483:C484"/>
    <mergeCell ref="D483:D484"/>
    <mergeCell ref="E483:E484"/>
    <mergeCell ref="F483:F484"/>
    <mergeCell ref="I483:I484"/>
    <mergeCell ref="J483:J484"/>
    <mergeCell ref="G481:H481"/>
    <mergeCell ref="I481:I482"/>
    <mergeCell ref="J481:J482"/>
    <mergeCell ref="K481:K482"/>
    <mergeCell ref="L481:L482"/>
    <mergeCell ref="M481:M482"/>
    <mergeCell ref="A481:A482"/>
    <mergeCell ref="B481:B482"/>
    <mergeCell ref="C481:C482"/>
    <mergeCell ref="D481:D482"/>
    <mergeCell ref="E481:E482"/>
    <mergeCell ref="F481:F482"/>
    <mergeCell ref="I485:I486"/>
    <mergeCell ref="J485:J486"/>
    <mergeCell ref="K485:K486"/>
    <mergeCell ref="L485:L486"/>
    <mergeCell ref="M485:M486"/>
    <mergeCell ref="N485:N486"/>
    <mergeCell ref="K483:K484"/>
    <mergeCell ref="L483:L484"/>
    <mergeCell ref="M483:M484"/>
    <mergeCell ref="N483:N484"/>
    <mergeCell ref="A485:A486"/>
    <mergeCell ref="B485:B486"/>
    <mergeCell ref="C485:C486"/>
    <mergeCell ref="D485:D486"/>
    <mergeCell ref="E485:E486"/>
    <mergeCell ref="F485:F486"/>
    <mergeCell ref="N481:N482"/>
    <mergeCell ref="I489:I490"/>
    <mergeCell ref="J489:J490"/>
    <mergeCell ref="K489:K490"/>
    <mergeCell ref="L489:L490"/>
    <mergeCell ref="M489:M490"/>
    <mergeCell ref="N489:N490"/>
    <mergeCell ref="A489:A490"/>
    <mergeCell ref="B489:B490"/>
    <mergeCell ref="C489:C490"/>
    <mergeCell ref="D489:D490"/>
    <mergeCell ref="E489:E490"/>
    <mergeCell ref="F489:F490"/>
    <mergeCell ref="I487:I488"/>
    <mergeCell ref="J487:J488"/>
    <mergeCell ref="K487:K488"/>
    <mergeCell ref="L487:L488"/>
    <mergeCell ref="M487:M488"/>
    <mergeCell ref="N487:N488"/>
    <mergeCell ref="A487:A488"/>
    <mergeCell ref="B487:B488"/>
    <mergeCell ref="C487:C488"/>
    <mergeCell ref="D487:D488"/>
    <mergeCell ref="E487:E488"/>
    <mergeCell ref="F487:F488"/>
    <mergeCell ref="A501:D501"/>
    <mergeCell ref="I501:L501"/>
    <mergeCell ref="N501:P501"/>
    <mergeCell ref="N506:P506"/>
    <mergeCell ref="A516:H516"/>
    <mergeCell ref="I516:P516"/>
    <mergeCell ref="A493:E493"/>
    <mergeCell ref="I493:M493"/>
    <mergeCell ref="A494:E494"/>
    <mergeCell ref="I494:M494"/>
    <mergeCell ref="A495:E495"/>
    <mergeCell ref="I495:M495"/>
    <mergeCell ref="I491:I492"/>
    <mergeCell ref="J491:J492"/>
    <mergeCell ref="K491:K492"/>
    <mergeCell ref="L491:L492"/>
    <mergeCell ref="M491:M492"/>
    <mergeCell ref="N491:N492"/>
    <mergeCell ref="A491:A492"/>
    <mergeCell ref="B491:B492"/>
    <mergeCell ref="C491:C492"/>
    <mergeCell ref="D491:D492"/>
    <mergeCell ref="E491:E492"/>
    <mergeCell ref="F491:F492"/>
    <mergeCell ref="N518:N519"/>
    <mergeCell ref="O518:P518"/>
    <mergeCell ref="A520:A521"/>
    <mergeCell ref="B520:B521"/>
    <mergeCell ref="C520:C521"/>
    <mergeCell ref="D520:D521"/>
    <mergeCell ref="E520:E521"/>
    <mergeCell ref="F520:F521"/>
    <mergeCell ref="I520:I521"/>
    <mergeCell ref="J520:J521"/>
    <mergeCell ref="G518:H518"/>
    <mergeCell ref="I518:I519"/>
    <mergeCell ref="J518:J519"/>
    <mergeCell ref="K518:K519"/>
    <mergeCell ref="L518:L519"/>
    <mergeCell ref="M518:M519"/>
    <mergeCell ref="A518:A519"/>
    <mergeCell ref="B518:B519"/>
    <mergeCell ref="C518:C519"/>
    <mergeCell ref="D518:D519"/>
    <mergeCell ref="E518:E519"/>
    <mergeCell ref="F518:F519"/>
    <mergeCell ref="M526:M527"/>
    <mergeCell ref="N526:N527"/>
    <mergeCell ref="A526:A527"/>
    <mergeCell ref="B526:B527"/>
    <mergeCell ref="I522:I523"/>
    <mergeCell ref="J522:J523"/>
    <mergeCell ref="K522:K523"/>
    <mergeCell ref="L522:L523"/>
    <mergeCell ref="M522:M523"/>
    <mergeCell ref="N522:N523"/>
    <mergeCell ref="K520:K521"/>
    <mergeCell ref="L520:L521"/>
    <mergeCell ref="M520:M521"/>
    <mergeCell ref="N520:N521"/>
    <mergeCell ref="A522:A523"/>
    <mergeCell ref="B522:B523"/>
    <mergeCell ref="C522:C523"/>
    <mergeCell ref="D522:D523"/>
    <mergeCell ref="E522:E523"/>
    <mergeCell ref="F522:F523"/>
    <mergeCell ref="C552:C553"/>
    <mergeCell ref="D552:D553"/>
    <mergeCell ref="E552:E553"/>
    <mergeCell ref="F552:F553"/>
    <mergeCell ref="I524:I525"/>
    <mergeCell ref="J524:J525"/>
    <mergeCell ref="K524:K525"/>
    <mergeCell ref="L524:L525"/>
    <mergeCell ref="M524:M525"/>
    <mergeCell ref="N524:N525"/>
    <mergeCell ref="A524:A525"/>
    <mergeCell ref="B524:B525"/>
    <mergeCell ref="C524:C525"/>
    <mergeCell ref="D524:D525"/>
    <mergeCell ref="E524:E525"/>
    <mergeCell ref="F524:F525"/>
    <mergeCell ref="A536:D536"/>
    <mergeCell ref="I536:L536"/>
    <mergeCell ref="N536:P536"/>
    <mergeCell ref="N541:P541"/>
    <mergeCell ref="A550:H550"/>
    <mergeCell ref="I550:P550"/>
    <mergeCell ref="A528:E528"/>
    <mergeCell ref="I528:M528"/>
    <mergeCell ref="A529:E529"/>
    <mergeCell ref="I529:M529"/>
    <mergeCell ref="A530:E530"/>
    <mergeCell ref="I530:M530"/>
    <mergeCell ref="I526:I527"/>
    <mergeCell ref="J526:J527"/>
    <mergeCell ref="K526:K527"/>
    <mergeCell ref="L526:L527"/>
    <mergeCell ref="K554:K555"/>
    <mergeCell ref="L554:L555"/>
    <mergeCell ref="M554:M555"/>
    <mergeCell ref="N554:N555"/>
    <mergeCell ref="A556:A557"/>
    <mergeCell ref="B556:B557"/>
    <mergeCell ref="C556:C557"/>
    <mergeCell ref="D556:D557"/>
    <mergeCell ref="E556:E557"/>
    <mergeCell ref="F556:F557"/>
    <mergeCell ref="N552:N553"/>
    <mergeCell ref="C526:C527"/>
    <mergeCell ref="D526:D527"/>
    <mergeCell ref="E526:E527"/>
    <mergeCell ref="F526:F527"/>
    <mergeCell ref="O552:P552"/>
    <mergeCell ref="A554:A555"/>
    <mergeCell ref="B554:B555"/>
    <mergeCell ref="C554:C555"/>
    <mergeCell ref="D554:D555"/>
    <mergeCell ref="E554:E555"/>
    <mergeCell ref="F554:F555"/>
    <mergeCell ref="I554:I555"/>
    <mergeCell ref="J554:J555"/>
    <mergeCell ref="G552:H552"/>
    <mergeCell ref="I552:I553"/>
    <mergeCell ref="J552:J553"/>
    <mergeCell ref="K552:K553"/>
    <mergeCell ref="L552:L553"/>
    <mergeCell ref="M552:M553"/>
    <mergeCell ref="A552:A553"/>
    <mergeCell ref="B552:B553"/>
    <mergeCell ref="I558:I559"/>
    <mergeCell ref="J558:J559"/>
    <mergeCell ref="K558:K559"/>
    <mergeCell ref="L558:L559"/>
    <mergeCell ref="M558:M559"/>
    <mergeCell ref="N558:N559"/>
    <mergeCell ref="A558:A559"/>
    <mergeCell ref="B558:B559"/>
    <mergeCell ref="C558:C559"/>
    <mergeCell ref="D558:D559"/>
    <mergeCell ref="E558:E559"/>
    <mergeCell ref="F558:F559"/>
    <mergeCell ref="I556:I557"/>
    <mergeCell ref="J556:J557"/>
    <mergeCell ref="K556:K557"/>
    <mergeCell ref="L556:L557"/>
    <mergeCell ref="M556:M557"/>
    <mergeCell ref="N556:N557"/>
    <mergeCell ref="I562:I563"/>
    <mergeCell ref="J562:J563"/>
    <mergeCell ref="K562:K563"/>
    <mergeCell ref="L562:L563"/>
    <mergeCell ref="M562:M563"/>
    <mergeCell ref="N562:N563"/>
    <mergeCell ref="A562:A563"/>
    <mergeCell ref="B562:B563"/>
    <mergeCell ref="C562:C563"/>
    <mergeCell ref="D562:D563"/>
    <mergeCell ref="E562:E563"/>
    <mergeCell ref="F562:F563"/>
    <mergeCell ref="I560:I561"/>
    <mergeCell ref="J560:J561"/>
    <mergeCell ref="K560:K561"/>
    <mergeCell ref="L560:L561"/>
    <mergeCell ref="M560:M561"/>
    <mergeCell ref="N560:N561"/>
    <mergeCell ref="A560:A561"/>
    <mergeCell ref="B560:B561"/>
    <mergeCell ref="C560:C561"/>
    <mergeCell ref="D560:D561"/>
    <mergeCell ref="E560:E561"/>
    <mergeCell ref="F560:F561"/>
    <mergeCell ref="A572:D572"/>
    <mergeCell ref="I572:L572"/>
    <mergeCell ref="A586:H586"/>
    <mergeCell ref="I586:P586"/>
    <mergeCell ref="A588:A589"/>
    <mergeCell ref="B588:B589"/>
    <mergeCell ref="C588:C589"/>
    <mergeCell ref="D588:D589"/>
    <mergeCell ref="E588:E589"/>
    <mergeCell ref="F588:F589"/>
    <mergeCell ref="N572:P572"/>
    <mergeCell ref="N577:P577"/>
    <mergeCell ref="A564:E564"/>
    <mergeCell ref="I564:M564"/>
    <mergeCell ref="A565:E565"/>
    <mergeCell ref="I565:M565"/>
    <mergeCell ref="A566:E566"/>
    <mergeCell ref="I566:M566"/>
    <mergeCell ref="K590:K591"/>
    <mergeCell ref="L590:L591"/>
    <mergeCell ref="M590:M591"/>
    <mergeCell ref="N590:N591"/>
    <mergeCell ref="A592:A593"/>
    <mergeCell ref="B592:B593"/>
    <mergeCell ref="C592:C593"/>
    <mergeCell ref="D592:D593"/>
    <mergeCell ref="E592:E593"/>
    <mergeCell ref="F592:F593"/>
    <mergeCell ref="N588:N589"/>
    <mergeCell ref="O588:P588"/>
    <mergeCell ref="A590:A591"/>
    <mergeCell ref="B590:B591"/>
    <mergeCell ref="C590:C591"/>
    <mergeCell ref="D590:D591"/>
    <mergeCell ref="E590:E591"/>
    <mergeCell ref="F590:F591"/>
    <mergeCell ref="I590:I591"/>
    <mergeCell ref="J590:J591"/>
    <mergeCell ref="G588:H588"/>
    <mergeCell ref="I588:I589"/>
    <mergeCell ref="J588:J589"/>
    <mergeCell ref="K588:K589"/>
    <mergeCell ref="L588:L589"/>
    <mergeCell ref="M588:M589"/>
    <mergeCell ref="I594:I595"/>
    <mergeCell ref="J594:J595"/>
    <mergeCell ref="K594:K595"/>
    <mergeCell ref="L594:L595"/>
    <mergeCell ref="M594:M595"/>
    <mergeCell ref="N594:N595"/>
    <mergeCell ref="A594:A595"/>
    <mergeCell ref="B594:B595"/>
    <mergeCell ref="C594:C595"/>
    <mergeCell ref="D594:D595"/>
    <mergeCell ref="E594:E595"/>
    <mergeCell ref="F594:F595"/>
    <mergeCell ref="I592:I593"/>
    <mergeCell ref="J592:J593"/>
    <mergeCell ref="K592:K593"/>
    <mergeCell ref="L592:L593"/>
    <mergeCell ref="M592:M593"/>
    <mergeCell ref="N592:N593"/>
    <mergeCell ref="I598:I599"/>
    <mergeCell ref="J598:J599"/>
    <mergeCell ref="K598:K599"/>
    <mergeCell ref="L598:L599"/>
    <mergeCell ref="M598:M599"/>
    <mergeCell ref="N598:N599"/>
    <mergeCell ref="A598:A599"/>
    <mergeCell ref="B598:B599"/>
    <mergeCell ref="C598:C599"/>
    <mergeCell ref="D598:D599"/>
    <mergeCell ref="E598:E599"/>
    <mergeCell ref="F598:F599"/>
    <mergeCell ref="I596:I597"/>
    <mergeCell ref="J596:J597"/>
    <mergeCell ref="K596:K597"/>
    <mergeCell ref="L596:L597"/>
    <mergeCell ref="M596:M597"/>
    <mergeCell ref="N596:N597"/>
    <mergeCell ref="A596:A597"/>
    <mergeCell ref="B596:B597"/>
    <mergeCell ref="C596:C597"/>
    <mergeCell ref="D596:D597"/>
    <mergeCell ref="E596:E597"/>
    <mergeCell ref="F596:F597"/>
    <mergeCell ref="A608:D608"/>
    <mergeCell ref="I608:L608"/>
    <mergeCell ref="A622:H622"/>
    <mergeCell ref="I622:P622"/>
    <mergeCell ref="A624:A625"/>
    <mergeCell ref="B624:B625"/>
    <mergeCell ref="C624:C625"/>
    <mergeCell ref="D624:D625"/>
    <mergeCell ref="E624:E625"/>
    <mergeCell ref="F624:F625"/>
    <mergeCell ref="N608:P608"/>
    <mergeCell ref="N613:P613"/>
    <mergeCell ref="A600:E600"/>
    <mergeCell ref="I600:M600"/>
    <mergeCell ref="A601:E601"/>
    <mergeCell ref="I601:M601"/>
    <mergeCell ref="A602:E602"/>
    <mergeCell ref="I602:M602"/>
    <mergeCell ref="K626:K627"/>
    <mergeCell ref="L626:L627"/>
    <mergeCell ref="M626:M627"/>
    <mergeCell ref="N626:N627"/>
    <mergeCell ref="A628:A629"/>
    <mergeCell ref="B628:B629"/>
    <mergeCell ref="C628:C629"/>
    <mergeCell ref="D628:D629"/>
    <mergeCell ref="E628:E629"/>
    <mergeCell ref="F628:F629"/>
    <mergeCell ref="N624:N625"/>
    <mergeCell ref="O624:P624"/>
    <mergeCell ref="A626:A627"/>
    <mergeCell ref="B626:B627"/>
    <mergeCell ref="C626:C627"/>
    <mergeCell ref="D626:D627"/>
    <mergeCell ref="E626:E627"/>
    <mergeCell ref="F626:F627"/>
    <mergeCell ref="I626:I627"/>
    <mergeCell ref="J626:J627"/>
    <mergeCell ref="G624:H624"/>
    <mergeCell ref="I624:I625"/>
    <mergeCell ref="J624:J625"/>
    <mergeCell ref="K624:K625"/>
    <mergeCell ref="L624:L625"/>
    <mergeCell ref="M624:M625"/>
    <mergeCell ref="I630:I631"/>
    <mergeCell ref="J630:J631"/>
    <mergeCell ref="K630:K631"/>
    <mergeCell ref="L630:L631"/>
    <mergeCell ref="M630:M631"/>
    <mergeCell ref="N630:N631"/>
    <mergeCell ref="A630:A631"/>
    <mergeCell ref="B630:B631"/>
    <mergeCell ref="C630:C631"/>
    <mergeCell ref="D630:D631"/>
    <mergeCell ref="E630:E631"/>
    <mergeCell ref="F630:F631"/>
    <mergeCell ref="I628:I629"/>
    <mergeCell ref="J628:J629"/>
    <mergeCell ref="K628:K629"/>
    <mergeCell ref="L628:L629"/>
    <mergeCell ref="M628:M629"/>
    <mergeCell ref="N628:N629"/>
    <mergeCell ref="A642:D642"/>
    <mergeCell ref="I642:L642"/>
    <mergeCell ref="N643:P643"/>
    <mergeCell ref="N648:P648"/>
    <mergeCell ref="A657:H657"/>
    <mergeCell ref="I657:P657"/>
    <mergeCell ref="A634:E634"/>
    <mergeCell ref="I634:M634"/>
    <mergeCell ref="A635:E635"/>
    <mergeCell ref="I635:M635"/>
    <mergeCell ref="A636:E636"/>
    <mergeCell ref="I636:M636"/>
    <mergeCell ref="I632:I633"/>
    <mergeCell ref="J632:J633"/>
    <mergeCell ref="K632:K633"/>
    <mergeCell ref="L632:L633"/>
    <mergeCell ref="M632:M633"/>
    <mergeCell ref="N632:N633"/>
    <mergeCell ref="A632:A633"/>
    <mergeCell ref="B632:B633"/>
    <mergeCell ref="C632:C633"/>
    <mergeCell ref="D632:D633"/>
    <mergeCell ref="E632:E633"/>
    <mergeCell ref="F632:F633"/>
    <mergeCell ref="K661:K662"/>
    <mergeCell ref="L661:L662"/>
    <mergeCell ref="M661:M662"/>
    <mergeCell ref="N661:N662"/>
    <mergeCell ref="A663:A664"/>
    <mergeCell ref="B663:B664"/>
    <mergeCell ref="C663:C664"/>
    <mergeCell ref="D663:D664"/>
    <mergeCell ref="E663:E664"/>
    <mergeCell ref="F663:F664"/>
    <mergeCell ref="N659:N660"/>
    <mergeCell ref="O659:P659"/>
    <mergeCell ref="A661:A662"/>
    <mergeCell ref="B661:B662"/>
    <mergeCell ref="C661:C662"/>
    <mergeCell ref="D661:D662"/>
    <mergeCell ref="E661:E662"/>
    <mergeCell ref="F661:F662"/>
    <mergeCell ref="I661:I662"/>
    <mergeCell ref="J661:J662"/>
    <mergeCell ref="G659:H659"/>
    <mergeCell ref="I659:I660"/>
    <mergeCell ref="J659:J660"/>
    <mergeCell ref="K659:K660"/>
    <mergeCell ref="L659:L660"/>
    <mergeCell ref="M659:M660"/>
    <mergeCell ref="A659:A660"/>
    <mergeCell ref="B659:B660"/>
    <mergeCell ref="C659:C660"/>
    <mergeCell ref="D659:D660"/>
    <mergeCell ref="E659:E660"/>
    <mergeCell ref="F659:F660"/>
    <mergeCell ref="I667:I668"/>
    <mergeCell ref="J667:J668"/>
    <mergeCell ref="K667:K668"/>
    <mergeCell ref="L667:L668"/>
    <mergeCell ref="M667:M668"/>
    <mergeCell ref="N667:N668"/>
    <mergeCell ref="A667:A668"/>
    <mergeCell ref="B667:B668"/>
    <mergeCell ref="C667:C668"/>
    <mergeCell ref="D667:D668"/>
    <mergeCell ref="E667:E668"/>
    <mergeCell ref="F667:F668"/>
    <mergeCell ref="I663:I664"/>
    <mergeCell ref="J663:J664"/>
    <mergeCell ref="K663:K664"/>
    <mergeCell ref="L663:L664"/>
    <mergeCell ref="M663:M664"/>
    <mergeCell ref="N663:N664"/>
    <mergeCell ref="I665:I666"/>
    <mergeCell ref="J665:J666"/>
    <mergeCell ref="K665:K666"/>
    <mergeCell ref="L665:L666"/>
    <mergeCell ref="M665:M666"/>
    <mergeCell ref="N665:N666"/>
    <mergeCell ref="I669:I670"/>
    <mergeCell ref="J669:J670"/>
    <mergeCell ref="K669:K670"/>
    <mergeCell ref="L669:L670"/>
    <mergeCell ref="M669:M670"/>
    <mergeCell ref="N669:N670"/>
    <mergeCell ref="A679:D679"/>
    <mergeCell ref="I679:L679"/>
    <mergeCell ref="N679:P679"/>
    <mergeCell ref="N684:P684"/>
    <mergeCell ref="A694:H694"/>
    <mergeCell ref="I694:P694"/>
    <mergeCell ref="A671:E671"/>
    <mergeCell ref="I671:M671"/>
    <mergeCell ref="A672:E672"/>
    <mergeCell ref="I672:M672"/>
    <mergeCell ref="A673:E673"/>
    <mergeCell ref="I673:M673"/>
    <mergeCell ref="A669:A670"/>
    <mergeCell ref="B669:B670"/>
    <mergeCell ref="C669:C670"/>
    <mergeCell ref="D669:D670"/>
    <mergeCell ref="E669:E670"/>
    <mergeCell ref="F669:F670"/>
    <mergeCell ref="O696:P696"/>
    <mergeCell ref="A698:A699"/>
    <mergeCell ref="B698:B699"/>
    <mergeCell ref="C698:C699"/>
    <mergeCell ref="D698:D699"/>
    <mergeCell ref="E698:E699"/>
    <mergeCell ref="F698:F699"/>
    <mergeCell ref="I698:I699"/>
    <mergeCell ref="J698:J699"/>
    <mergeCell ref="G696:H696"/>
    <mergeCell ref="I696:I697"/>
    <mergeCell ref="J696:J697"/>
    <mergeCell ref="K696:K697"/>
    <mergeCell ref="L696:L697"/>
    <mergeCell ref="M696:M697"/>
    <mergeCell ref="A696:A697"/>
    <mergeCell ref="B696:B697"/>
    <mergeCell ref="C696:C697"/>
    <mergeCell ref="D696:D697"/>
    <mergeCell ref="E696:E697"/>
    <mergeCell ref="F696:F697"/>
    <mergeCell ref="I700:I701"/>
    <mergeCell ref="J700:J701"/>
    <mergeCell ref="K700:K701"/>
    <mergeCell ref="L700:L701"/>
    <mergeCell ref="M700:M701"/>
    <mergeCell ref="N700:N701"/>
    <mergeCell ref="K698:K699"/>
    <mergeCell ref="L698:L699"/>
    <mergeCell ref="M698:M699"/>
    <mergeCell ref="N698:N699"/>
    <mergeCell ref="A700:A701"/>
    <mergeCell ref="B700:B701"/>
    <mergeCell ref="C700:C701"/>
    <mergeCell ref="D700:D701"/>
    <mergeCell ref="E700:E701"/>
    <mergeCell ref="F700:F701"/>
    <mergeCell ref="N696:N697"/>
    <mergeCell ref="N704:N705"/>
    <mergeCell ref="A704:A705"/>
    <mergeCell ref="B704:B705"/>
    <mergeCell ref="C704:C705"/>
    <mergeCell ref="D704:D705"/>
    <mergeCell ref="E704:E705"/>
    <mergeCell ref="F704:F705"/>
    <mergeCell ref="I702:I703"/>
    <mergeCell ref="J702:J703"/>
    <mergeCell ref="K702:K703"/>
    <mergeCell ref="L702:L703"/>
    <mergeCell ref="M702:M703"/>
    <mergeCell ref="N702:N703"/>
    <mergeCell ref="A702:A703"/>
    <mergeCell ref="B702:B703"/>
    <mergeCell ref="C702:C703"/>
    <mergeCell ref="D702:D703"/>
    <mergeCell ref="E702:E703"/>
    <mergeCell ref="F702:F703"/>
    <mergeCell ref="I706:M706"/>
    <mergeCell ref="I707:M707"/>
    <mergeCell ref="A708:E708"/>
    <mergeCell ref="I708:M708"/>
    <mergeCell ref="A709:E709"/>
    <mergeCell ref="A710:E710"/>
    <mergeCell ref="A706:A707"/>
    <mergeCell ref="B706:B707"/>
    <mergeCell ref="C706:C707"/>
    <mergeCell ref="D706:D707"/>
    <mergeCell ref="E706:E707"/>
    <mergeCell ref="F706:F707"/>
    <mergeCell ref="I704:I705"/>
    <mergeCell ref="J704:J705"/>
    <mergeCell ref="K704:K705"/>
    <mergeCell ref="L704:L705"/>
    <mergeCell ref="M704:M705"/>
    <mergeCell ref="I733:I734"/>
    <mergeCell ref="J733:J734"/>
    <mergeCell ref="K733:K734"/>
    <mergeCell ref="L733:L734"/>
    <mergeCell ref="M733:M734"/>
    <mergeCell ref="N733:N734"/>
    <mergeCell ref="M731:M732"/>
    <mergeCell ref="N731:N732"/>
    <mergeCell ref="O731:P731"/>
    <mergeCell ref="A733:A734"/>
    <mergeCell ref="B733:B734"/>
    <mergeCell ref="C733:C734"/>
    <mergeCell ref="D733:D734"/>
    <mergeCell ref="E733:E734"/>
    <mergeCell ref="F733:F734"/>
    <mergeCell ref="G733:H733"/>
    <mergeCell ref="I714:L714"/>
    <mergeCell ref="N714:P714"/>
    <mergeCell ref="A716:D716"/>
    <mergeCell ref="N719:P719"/>
    <mergeCell ref="I729:P729"/>
    <mergeCell ref="A731:H731"/>
    <mergeCell ref="I731:I732"/>
    <mergeCell ref="J731:J732"/>
    <mergeCell ref="K731:K732"/>
    <mergeCell ref="L731:L732"/>
    <mergeCell ref="I737:I738"/>
    <mergeCell ref="J737:J738"/>
    <mergeCell ref="K737:K738"/>
    <mergeCell ref="L737:L738"/>
    <mergeCell ref="M737:M738"/>
    <mergeCell ref="N737:N738"/>
    <mergeCell ref="A737:A738"/>
    <mergeCell ref="B737:B738"/>
    <mergeCell ref="C737:C738"/>
    <mergeCell ref="D737:D738"/>
    <mergeCell ref="E737:E738"/>
    <mergeCell ref="F737:F738"/>
    <mergeCell ref="I735:I736"/>
    <mergeCell ref="J735:J736"/>
    <mergeCell ref="K735:K736"/>
    <mergeCell ref="L735:L736"/>
    <mergeCell ref="M735:M736"/>
    <mergeCell ref="N735:N736"/>
    <mergeCell ref="A735:A736"/>
    <mergeCell ref="B735:B736"/>
    <mergeCell ref="C735:C736"/>
    <mergeCell ref="D735:D736"/>
    <mergeCell ref="E735:E736"/>
    <mergeCell ref="F735:F736"/>
    <mergeCell ref="N739:N740"/>
    <mergeCell ref="A739:A740"/>
    <mergeCell ref="B739:B740"/>
    <mergeCell ref="C739:C740"/>
    <mergeCell ref="D739:D740"/>
    <mergeCell ref="E739:E740"/>
    <mergeCell ref="F739:F740"/>
    <mergeCell ref="I741:M741"/>
    <mergeCell ref="I742:M742"/>
    <mergeCell ref="A743:E743"/>
    <mergeCell ref="I743:M743"/>
    <mergeCell ref="A744:E744"/>
    <mergeCell ref="A745:E745"/>
    <mergeCell ref="A741:A742"/>
    <mergeCell ref="B741:B742"/>
    <mergeCell ref="C741:C742"/>
    <mergeCell ref="D741:D742"/>
    <mergeCell ref="E741:E742"/>
    <mergeCell ref="F741:F742"/>
    <mergeCell ref="I739:I740"/>
    <mergeCell ref="J739:J740"/>
    <mergeCell ref="K739:K740"/>
    <mergeCell ref="L739:L740"/>
    <mergeCell ref="M739:M740"/>
    <mergeCell ref="M766:M767"/>
    <mergeCell ref="N766:N767"/>
    <mergeCell ref="O766:P766"/>
    <mergeCell ref="A768:A769"/>
    <mergeCell ref="B768:B769"/>
    <mergeCell ref="C768:C769"/>
    <mergeCell ref="D768:D769"/>
    <mergeCell ref="E768:E769"/>
    <mergeCell ref="F768:F769"/>
    <mergeCell ref="G768:H768"/>
    <mergeCell ref="I749:L749"/>
    <mergeCell ref="N749:P749"/>
    <mergeCell ref="A751:D751"/>
    <mergeCell ref="N754:P754"/>
    <mergeCell ref="I764:P764"/>
    <mergeCell ref="A766:H766"/>
    <mergeCell ref="I766:I767"/>
    <mergeCell ref="J766:J767"/>
    <mergeCell ref="K766:K767"/>
    <mergeCell ref="L766:L767"/>
    <mergeCell ref="I770:I771"/>
    <mergeCell ref="J770:J771"/>
    <mergeCell ref="K770:K771"/>
    <mergeCell ref="L770:L771"/>
    <mergeCell ref="M770:M771"/>
    <mergeCell ref="N770:N771"/>
    <mergeCell ref="A770:A771"/>
    <mergeCell ref="B770:B771"/>
    <mergeCell ref="C770:C771"/>
    <mergeCell ref="D770:D771"/>
    <mergeCell ref="E770:E771"/>
    <mergeCell ref="F770:F771"/>
    <mergeCell ref="I768:I769"/>
    <mergeCell ref="J768:J769"/>
    <mergeCell ref="K768:K769"/>
    <mergeCell ref="L768:L769"/>
    <mergeCell ref="M768:M769"/>
    <mergeCell ref="N768:N769"/>
    <mergeCell ref="N774:N775"/>
    <mergeCell ref="A774:A775"/>
    <mergeCell ref="B774:B775"/>
    <mergeCell ref="C774:C775"/>
    <mergeCell ref="D774:D775"/>
    <mergeCell ref="E774:E775"/>
    <mergeCell ref="F774:F775"/>
    <mergeCell ref="I772:I773"/>
    <mergeCell ref="J772:J773"/>
    <mergeCell ref="K772:K773"/>
    <mergeCell ref="L772:L773"/>
    <mergeCell ref="M772:M773"/>
    <mergeCell ref="N772:N773"/>
    <mergeCell ref="A772:A773"/>
    <mergeCell ref="B772:B773"/>
    <mergeCell ref="C772:C773"/>
    <mergeCell ref="D772:D773"/>
    <mergeCell ref="E772:E773"/>
    <mergeCell ref="F772:F773"/>
    <mergeCell ref="I776:M776"/>
    <mergeCell ref="I777:M777"/>
    <mergeCell ref="A778:E778"/>
    <mergeCell ref="I778:M778"/>
    <mergeCell ref="A779:E779"/>
    <mergeCell ref="A780:E780"/>
    <mergeCell ref="A776:A777"/>
    <mergeCell ref="B776:B777"/>
    <mergeCell ref="C776:C777"/>
    <mergeCell ref="D776:D777"/>
    <mergeCell ref="E776:E777"/>
    <mergeCell ref="F776:F777"/>
    <mergeCell ref="I774:I775"/>
    <mergeCell ref="J774:J775"/>
    <mergeCell ref="K774:K775"/>
    <mergeCell ref="L774:L775"/>
    <mergeCell ref="M774:M775"/>
    <mergeCell ref="I803:I804"/>
    <mergeCell ref="J803:J804"/>
    <mergeCell ref="K803:K804"/>
    <mergeCell ref="L803:L804"/>
    <mergeCell ref="M803:M804"/>
    <mergeCell ref="N803:N804"/>
    <mergeCell ref="M801:M802"/>
    <mergeCell ref="N801:N802"/>
    <mergeCell ref="O801:P801"/>
    <mergeCell ref="A803:A804"/>
    <mergeCell ref="B803:B804"/>
    <mergeCell ref="C803:C804"/>
    <mergeCell ref="D803:D804"/>
    <mergeCell ref="E803:E804"/>
    <mergeCell ref="F803:F804"/>
    <mergeCell ref="G803:H803"/>
    <mergeCell ref="I784:L784"/>
    <mergeCell ref="N784:P784"/>
    <mergeCell ref="A786:D786"/>
    <mergeCell ref="N789:P789"/>
    <mergeCell ref="I799:P799"/>
    <mergeCell ref="A801:H801"/>
    <mergeCell ref="I801:I802"/>
    <mergeCell ref="J801:J802"/>
    <mergeCell ref="K801:K802"/>
    <mergeCell ref="L801:L802"/>
    <mergeCell ref="I807:I808"/>
    <mergeCell ref="J807:J808"/>
    <mergeCell ref="K807:K808"/>
    <mergeCell ref="L807:L808"/>
    <mergeCell ref="M807:M808"/>
    <mergeCell ref="N807:N808"/>
    <mergeCell ref="A807:A808"/>
    <mergeCell ref="B807:B808"/>
    <mergeCell ref="C807:C808"/>
    <mergeCell ref="D807:D808"/>
    <mergeCell ref="E807:E808"/>
    <mergeCell ref="F807:F808"/>
    <mergeCell ref="I805:I806"/>
    <mergeCell ref="J805:J806"/>
    <mergeCell ref="K805:K806"/>
    <mergeCell ref="L805:L806"/>
    <mergeCell ref="M805:M806"/>
    <mergeCell ref="N805:N806"/>
    <mergeCell ref="A805:A806"/>
    <mergeCell ref="B805:B806"/>
    <mergeCell ref="C805:C806"/>
    <mergeCell ref="D805:D806"/>
    <mergeCell ref="E805:E806"/>
    <mergeCell ref="F805:F806"/>
    <mergeCell ref="I811:I812"/>
    <mergeCell ref="J811:J812"/>
    <mergeCell ref="K811:K812"/>
    <mergeCell ref="L811:L812"/>
    <mergeCell ref="M811:M812"/>
    <mergeCell ref="N811:N812"/>
    <mergeCell ref="A811:A812"/>
    <mergeCell ref="B811:B812"/>
    <mergeCell ref="C811:C812"/>
    <mergeCell ref="D811:D812"/>
    <mergeCell ref="E811:E812"/>
    <mergeCell ref="F811:F812"/>
    <mergeCell ref="I809:I810"/>
    <mergeCell ref="J809:J810"/>
    <mergeCell ref="K809:K810"/>
    <mergeCell ref="L809:L810"/>
    <mergeCell ref="M809:M810"/>
    <mergeCell ref="N809:N810"/>
    <mergeCell ref="A809:A810"/>
    <mergeCell ref="B809:B810"/>
    <mergeCell ref="C809:C810"/>
    <mergeCell ref="D809:D810"/>
    <mergeCell ref="E809:E810"/>
    <mergeCell ref="F809:F810"/>
    <mergeCell ref="I836:P836"/>
    <mergeCell ref="A838:H838"/>
    <mergeCell ref="I838:I839"/>
    <mergeCell ref="J838:J839"/>
    <mergeCell ref="K838:K839"/>
    <mergeCell ref="L838:L839"/>
    <mergeCell ref="M838:M839"/>
    <mergeCell ref="N838:N839"/>
    <mergeCell ref="O838:P838"/>
    <mergeCell ref="I821:L821"/>
    <mergeCell ref="A823:D823"/>
    <mergeCell ref="N823:P823"/>
    <mergeCell ref="N827:P827"/>
    <mergeCell ref="I813:M813"/>
    <mergeCell ref="I814:M814"/>
    <mergeCell ref="A815:E815"/>
    <mergeCell ref="I815:M815"/>
    <mergeCell ref="A816:E816"/>
    <mergeCell ref="A817:E817"/>
    <mergeCell ref="A813:A814"/>
    <mergeCell ref="B813:B814"/>
    <mergeCell ref="C813:C814"/>
    <mergeCell ref="D813:D814"/>
    <mergeCell ref="E813:E814"/>
    <mergeCell ref="F813:F814"/>
    <mergeCell ref="N828:P828"/>
    <mergeCell ref="N840:N841"/>
    <mergeCell ref="A842:A843"/>
    <mergeCell ref="B842:B843"/>
    <mergeCell ref="C842:C843"/>
    <mergeCell ref="D842:D843"/>
    <mergeCell ref="E842:E843"/>
    <mergeCell ref="F842:F843"/>
    <mergeCell ref="I842:I843"/>
    <mergeCell ref="J842:J843"/>
    <mergeCell ref="K842:K843"/>
    <mergeCell ref="G840:H840"/>
    <mergeCell ref="I840:I841"/>
    <mergeCell ref="J840:J841"/>
    <mergeCell ref="K840:K841"/>
    <mergeCell ref="L840:L841"/>
    <mergeCell ref="M840:M841"/>
    <mergeCell ref="A840:A841"/>
    <mergeCell ref="B840:B841"/>
    <mergeCell ref="C840:C841"/>
    <mergeCell ref="D840:D841"/>
    <mergeCell ref="E840:E841"/>
    <mergeCell ref="F840:F841"/>
    <mergeCell ref="J844:J845"/>
    <mergeCell ref="K844:K845"/>
    <mergeCell ref="L844:L845"/>
    <mergeCell ref="M844:M845"/>
    <mergeCell ref="N844:N845"/>
    <mergeCell ref="A846:A847"/>
    <mergeCell ref="B846:B847"/>
    <mergeCell ref="C846:C847"/>
    <mergeCell ref="D846:D847"/>
    <mergeCell ref="E846:E847"/>
    <mergeCell ref="L842:L843"/>
    <mergeCell ref="M842:M843"/>
    <mergeCell ref="N842:N843"/>
    <mergeCell ref="A844:A845"/>
    <mergeCell ref="B844:B845"/>
    <mergeCell ref="C844:C845"/>
    <mergeCell ref="D844:D845"/>
    <mergeCell ref="E844:E845"/>
    <mergeCell ref="F844:F845"/>
    <mergeCell ref="I844:I845"/>
    <mergeCell ref="L850:L851"/>
    <mergeCell ref="M850:M851"/>
    <mergeCell ref="N850:N851"/>
    <mergeCell ref="A852:A853"/>
    <mergeCell ref="B852:B853"/>
    <mergeCell ref="C852:C853"/>
    <mergeCell ref="D852:D853"/>
    <mergeCell ref="E852:E853"/>
    <mergeCell ref="F852:F853"/>
    <mergeCell ref="I852:M852"/>
    <mergeCell ref="N846:N847"/>
    <mergeCell ref="A850:A851"/>
    <mergeCell ref="B850:B851"/>
    <mergeCell ref="C850:C851"/>
    <mergeCell ref="D850:D851"/>
    <mergeCell ref="E850:E851"/>
    <mergeCell ref="F850:F851"/>
    <mergeCell ref="I850:I851"/>
    <mergeCell ref="J850:J851"/>
    <mergeCell ref="K850:K851"/>
    <mergeCell ref="F846:F847"/>
    <mergeCell ref="I846:I847"/>
    <mergeCell ref="J846:J847"/>
    <mergeCell ref="K846:K847"/>
    <mergeCell ref="L846:L847"/>
    <mergeCell ref="M846:M847"/>
    <mergeCell ref="I848:I849"/>
    <mergeCell ref="J848:J849"/>
    <mergeCell ref="K848:K849"/>
    <mergeCell ref="L848:L849"/>
    <mergeCell ref="M848:M849"/>
    <mergeCell ref="N848:N849"/>
    <mergeCell ref="I875:P875"/>
    <mergeCell ref="A877:H877"/>
    <mergeCell ref="I877:I878"/>
    <mergeCell ref="J877:J878"/>
    <mergeCell ref="K877:K878"/>
    <mergeCell ref="L877:L878"/>
    <mergeCell ref="M877:M878"/>
    <mergeCell ref="N877:N878"/>
    <mergeCell ref="O877:P877"/>
    <mergeCell ref="N860:P860"/>
    <mergeCell ref="A862:D862"/>
    <mergeCell ref="N862:P862"/>
    <mergeCell ref="N863:P863"/>
    <mergeCell ref="N864:P864"/>
    <mergeCell ref="N865:P865"/>
    <mergeCell ref="I853:M853"/>
    <mergeCell ref="A854:E854"/>
    <mergeCell ref="I854:M854"/>
    <mergeCell ref="A855:E855"/>
    <mergeCell ref="A856:E856"/>
    <mergeCell ref="I860:L860"/>
    <mergeCell ref="L881:L882"/>
    <mergeCell ref="M881:M882"/>
    <mergeCell ref="N881:N882"/>
    <mergeCell ref="A883:A884"/>
    <mergeCell ref="B883:B884"/>
    <mergeCell ref="C883:C884"/>
    <mergeCell ref="D883:D884"/>
    <mergeCell ref="E883:E884"/>
    <mergeCell ref="F883:F884"/>
    <mergeCell ref="I883:I884"/>
    <mergeCell ref="N879:N880"/>
    <mergeCell ref="A881:A882"/>
    <mergeCell ref="B881:B882"/>
    <mergeCell ref="C881:C882"/>
    <mergeCell ref="D881:D882"/>
    <mergeCell ref="E881:E882"/>
    <mergeCell ref="F881:F882"/>
    <mergeCell ref="I881:I882"/>
    <mergeCell ref="J881:J882"/>
    <mergeCell ref="K881:K882"/>
    <mergeCell ref="G879:H879"/>
    <mergeCell ref="I879:I880"/>
    <mergeCell ref="J879:J880"/>
    <mergeCell ref="K879:K880"/>
    <mergeCell ref="L879:L880"/>
    <mergeCell ref="M879:M880"/>
    <mergeCell ref="A879:A880"/>
    <mergeCell ref="B879:B880"/>
    <mergeCell ref="C879:C880"/>
    <mergeCell ref="D879:D880"/>
    <mergeCell ref="E879:E880"/>
    <mergeCell ref="F879:F880"/>
    <mergeCell ref="N885:N886"/>
    <mergeCell ref="A887:A888"/>
    <mergeCell ref="B887:B888"/>
    <mergeCell ref="C887:C888"/>
    <mergeCell ref="D887:D888"/>
    <mergeCell ref="E887:E888"/>
    <mergeCell ref="F887:F888"/>
    <mergeCell ref="I887:I888"/>
    <mergeCell ref="J887:J888"/>
    <mergeCell ref="K887:K888"/>
    <mergeCell ref="F885:F886"/>
    <mergeCell ref="I885:I886"/>
    <mergeCell ref="J885:J886"/>
    <mergeCell ref="K885:K886"/>
    <mergeCell ref="L885:L886"/>
    <mergeCell ref="M885:M886"/>
    <mergeCell ref="J883:J884"/>
    <mergeCell ref="K883:K884"/>
    <mergeCell ref="L883:L884"/>
    <mergeCell ref="M883:M884"/>
    <mergeCell ref="N883:N884"/>
    <mergeCell ref="A885:A886"/>
    <mergeCell ref="B885:B886"/>
    <mergeCell ref="C885:C886"/>
    <mergeCell ref="D885:D886"/>
    <mergeCell ref="E885:E886"/>
    <mergeCell ref="N897:P897"/>
    <mergeCell ref="A899:D899"/>
    <mergeCell ref="N902:P902"/>
    <mergeCell ref="I912:P912"/>
    <mergeCell ref="A914:H914"/>
    <mergeCell ref="I914:I915"/>
    <mergeCell ref="J914:J915"/>
    <mergeCell ref="K914:K915"/>
    <mergeCell ref="L914:L915"/>
    <mergeCell ref="M914:M915"/>
    <mergeCell ref="I890:M890"/>
    <mergeCell ref="A891:E891"/>
    <mergeCell ref="I891:M891"/>
    <mergeCell ref="A892:E892"/>
    <mergeCell ref="A893:E893"/>
    <mergeCell ref="I897:L897"/>
    <mergeCell ref="L887:L888"/>
    <mergeCell ref="M887:M888"/>
    <mergeCell ref="N887:N888"/>
    <mergeCell ref="A889:A890"/>
    <mergeCell ref="B889:B890"/>
    <mergeCell ref="C889:C890"/>
    <mergeCell ref="D889:D890"/>
    <mergeCell ref="E889:E890"/>
    <mergeCell ref="F889:F890"/>
    <mergeCell ref="I889:M889"/>
    <mergeCell ref="J916:J917"/>
    <mergeCell ref="K916:K917"/>
    <mergeCell ref="L916:L917"/>
    <mergeCell ref="M916:M917"/>
    <mergeCell ref="N916:N917"/>
    <mergeCell ref="A918:A919"/>
    <mergeCell ref="B918:B919"/>
    <mergeCell ref="C918:C919"/>
    <mergeCell ref="D918:D919"/>
    <mergeCell ref="E918:E919"/>
    <mergeCell ref="N914:N915"/>
    <mergeCell ref="O914:P914"/>
    <mergeCell ref="A916:A917"/>
    <mergeCell ref="B916:B917"/>
    <mergeCell ref="C916:C917"/>
    <mergeCell ref="D916:D917"/>
    <mergeCell ref="E916:E917"/>
    <mergeCell ref="F916:F917"/>
    <mergeCell ref="G916:H916"/>
    <mergeCell ref="I916:I917"/>
    <mergeCell ref="L920:L921"/>
    <mergeCell ref="M920:M921"/>
    <mergeCell ref="N920:N921"/>
    <mergeCell ref="I922:I923"/>
    <mergeCell ref="J922:J923"/>
    <mergeCell ref="K922:K923"/>
    <mergeCell ref="L922:L923"/>
    <mergeCell ref="M922:M923"/>
    <mergeCell ref="N922:N923"/>
    <mergeCell ref="N918:N919"/>
    <mergeCell ref="A920:A921"/>
    <mergeCell ref="B920:B921"/>
    <mergeCell ref="C920:C921"/>
    <mergeCell ref="D920:D921"/>
    <mergeCell ref="E920:E921"/>
    <mergeCell ref="F920:F921"/>
    <mergeCell ref="I920:I921"/>
    <mergeCell ref="J920:J921"/>
    <mergeCell ref="K920:K921"/>
    <mergeCell ref="F918:F919"/>
    <mergeCell ref="I918:I919"/>
    <mergeCell ref="J918:J919"/>
    <mergeCell ref="K918:K919"/>
    <mergeCell ref="L918:L919"/>
    <mergeCell ref="M918:M919"/>
    <mergeCell ref="I926:I927"/>
    <mergeCell ref="J926:J927"/>
    <mergeCell ref="K926:K927"/>
    <mergeCell ref="L926:L927"/>
    <mergeCell ref="M926:M927"/>
    <mergeCell ref="N926:N927"/>
    <mergeCell ref="A926:A927"/>
    <mergeCell ref="B926:B927"/>
    <mergeCell ref="C926:C927"/>
    <mergeCell ref="D926:D927"/>
    <mergeCell ref="E926:E927"/>
    <mergeCell ref="F926:F927"/>
    <mergeCell ref="I924:I925"/>
    <mergeCell ref="J924:J925"/>
    <mergeCell ref="K924:K925"/>
    <mergeCell ref="L924:L925"/>
    <mergeCell ref="M924:M925"/>
    <mergeCell ref="N924:N925"/>
    <mergeCell ref="A924:A925"/>
    <mergeCell ref="B924:B925"/>
    <mergeCell ref="C924:C925"/>
    <mergeCell ref="D924:D925"/>
    <mergeCell ref="E924:E925"/>
    <mergeCell ref="F924:F925"/>
    <mergeCell ref="I936:L936"/>
    <mergeCell ref="A938:D938"/>
    <mergeCell ref="N941:P941"/>
    <mergeCell ref="I951:P951"/>
    <mergeCell ref="A953:H953"/>
    <mergeCell ref="I953:I954"/>
    <mergeCell ref="J953:J954"/>
    <mergeCell ref="K953:K954"/>
    <mergeCell ref="L953:L954"/>
    <mergeCell ref="M953:M954"/>
    <mergeCell ref="I928:M928"/>
    <mergeCell ref="I929:M929"/>
    <mergeCell ref="A930:E930"/>
    <mergeCell ref="I930:M930"/>
    <mergeCell ref="A931:E931"/>
    <mergeCell ref="A932:E932"/>
    <mergeCell ref="A928:A929"/>
    <mergeCell ref="B928:B929"/>
    <mergeCell ref="C928:C929"/>
    <mergeCell ref="D928:D929"/>
    <mergeCell ref="E928:E929"/>
    <mergeCell ref="F928:F929"/>
    <mergeCell ref="J955:J956"/>
    <mergeCell ref="K955:K956"/>
    <mergeCell ref="L955:L956"/>
    <mergeCell ref="M955:M956"/>
    <mergeCell ref="N955:N956"/>
    <mergeCell ref="A957:A958"/>
    <mergeCell ref="B957:B958"/>
    <mergeCell ref="C957:C958"/>
    <mergeCell ref="D957:D958"/>
    <mergeCell ref="E957:E958"/>
    <mergeCell ref="N953:N954"/>
    <mergeCell ref="O953:P953"/>
    <mergeCell ref="A955:A956"/>
    <mergeCell ref="B955:B956"/>
    <mergeCell ref="C955:C956"/>
    <mergeCell ref="D955:D956"/>
    <mergeCell ref="E955:E956"/>
    <mergeCell ref="F955:F956"/>
    <mergeCell ref="G955:H955"/>
    <mergeCell ref="I955:I956"/>
    <mergeCell ref="L959:L960"/>
    <mergeCell ref="M959:M960"/>
    <mergeCell ref="N959:N960"/>
    <mergeCell ref="I961:I962"/>
    <mergeCell ref="J961:J962"/>
    <mergeCell ref="K961:K962"/>
    <mergeCell ref="L961:L962"/>
    <mergeCell ref="M961:M962"/>
    <mergeCell ref="N961:N962"/>
    <mergeCell ref="N957:N958"/>
    <mergeCell ref="A959:A960"/>
    <mergeCell ref="B959:B960"/>
    <mergeCell ref="C959:C960"/>
    <mergeCell ref="D959:D960"/>
    <mergeCell ref="E959:E960"/>
    <mergeCell ref="F959:F960"/>
    <mergeCell ref="I959:I960"/>
    <mergeCell ref="J959:J960"/>
    <mergeCell ref="K959:K960"/>
    <mergeCell ref="F957:F958"/>
    <mergeCell ref="I957:I958"/>
    <mergeCell ref="J957:J958"/>
    <mergeCell ref="K957:K958"/>
    <mergeCell ref="L957:L958"/>
    <mergeCell ref="M957:M958"/>
    <mergeCell ref="N965:N966"/>
    <mergeCell ref="A965:A966"/>
    <mergeCell ref="B965:B966"/>
    <mergeCell ref="C965:C966"/>
    <mergeCell ref="D965:D966"/>
    <mergeCell ref="E965:E966"/>
    <mergeCell ref="F965:F966"/>
    <mergeCell ref="I963:I964"/>
    <mergeCell ref="J963:J964"/>
    <mergeCell ref="K963:K964"/>
    <mergeCell ref="L963:L964"/>
    <mergeCell ref="M963:M964"/>
    <mergeCell ref="N963:N964"/>
    <mergeCell ref="A963:A964"/>
    <mergeCell ref="B963:B964"/>
    <mergeCell ref="C963:C964"/>
    <mergeCell ref="D963:D964"/>
    <mergeCell ref="E963:E964"/>
    <mergeCell ref="F963:F964"/>
    <mergeCell ref="I967:M967"/>
    <mergeCell ref="I968:M968"/>
    <mergeCell ref="A969:E969"/>
    <mergeCell ref="I969:M969"/>
    <mergeCell ref="A970:E970"/>
    <mergeCell ref="A971:E971"/>
    <mergeCell ref="A967:A968"/>
    <mergeCell ref="B967:B968"/>
    <mergeCell ref="C967:C968"/>
    <mergeCell ref="D967:D968"/>
    <mergeCell ref="E967:E968"/>
    <mergeCell ref="F967:F968"/>
    <mergeCell ref="I965:I966"/>
    <mergeCell ref="J965:J966"/>
    <mergeCell ref="K965:K966"/>
    <mergeCell ref="L965:L966"/>
    <mergeCell ref="M965:M966"/>
    <mergeCell ref="N992:N993"/>
    <mergeCell ref="O992:P992"/>
    <mergeCell ref="A994:A995"/>
    <mergeCell ref="B994:B995"/>
    <mergeCell ref="C994:C995"/>
    <mergeCell ref="D994:D995"/>
    <mergeCell ref="E994:E995"/>
    <mergeCell ref="F994:F995"/>
    <mergeCell ref="G994:H994"/>
    <mergeCell ref="I994:I995"/>
    <mergeCell ref="N996:N997"/>
    <mergeCell ref="I975:L975"/>
    <mergeCell ref="A977:D977"/>
    <mergeCell ref="N980:P980"/>
    <mergeCell ref="I990:P990"/>
    <mergeCell ref="A992:H992"/>
    <mergeCell ref="I992:I993"/>
    <mergeCell ref="J992:J993"/>
    <mergeCell ref="K992:K993"/>
    <mergeCell ref="L992:L993"/>
    <mergeCell ref="M992:M993"/>
    <mergeCell ref="M998:M999"/>
    <mergeCell ref="F996:F997"/>
    <mergeCell ref="I996:I997"/>
    <mergeCell ref="J996:J997"/>
    <mergeCell ref="K996:K997"/>
    <mergeCell ref="L996:L997"/>
    <mergeCell ref="M996:M997"/>
    <mergeCell ref="I998:I999"/>
    <mergeCell ref="J998:J999"/>
    <mergeCell ref="J994:J995"/>
    <mergeCell ref="K994:K995"/>
    <mergeCell ref="L994:L995"/>
    <mergeCell ref="M994:M995"/>
    <mergeCell ref="N994:N995"/>
    <mergeCell ref="A996:A997"/>
    <mergeCell ref="B996:B997"/>
    <mergeCell ref="C996:C997"/>
    <mergeCell ref="D996:D997"/>
    <mergeCell ref="E996:E997"/>
    <mergeCell ref="N1000:N1001"/>
    <mergeCell ref="A1002:A1003"/>
    <mergeCell ref="B1002:B1003"/>
    <mergeCell ref="C1002:C1003"/>
    <mergeCell ref="D1002:D1003"/>
    <mergeCell ref="E1002:E1003"/>
    <mergeCell ref="F1002:F1003"/>
    <mergeCell ref="K1002:K1003"/>
    <mergeCell ref="L1002:L1003"/>
    <mergeCell ref="M1002:M1003"/>
    <mergeCell ref="J1000:J1001"/>
    <mergeCell ref="I1000:I1001"/>
    <mergeCell ref="I1002:I1003"/>
    <mergeCell ref="J1002:J1003"/>
    <mergeCell ref="N998:N999"/>
    <mergeCell ref="A1000:A1001"/>
    <mergeCell ref="B1000:B1001"/>
    <mergeCell ref="C1000:C1001"/>
    <mergeCell ref="D1000:D1001"/>
    <mergeCell ref="E1000:E1001"/>
    <mergeCell ref="F1000:F1001"/>
    <mergeCell ref="K1000:K1001"/>
    <mergeCell ref="L1000:L1001"/>
    <mergeCell ref="M1000:M1001"/>
    <mergeCell ref="A998:A999"/>
    <mergeCell ref="B998:B999"/>
    <mergeCell ref="C998:C999"/>
    <mergeCell ref="D998:D999"/>
    <mergeCell ref="E998:E999"/>
    <mergeCell ref="F998:F999"/>
    <mergeCell ref="K998:K999"/>
    <mergeCell ref="L998:L999"/>
    <mergeCell ref="N1017:P1017"/>
    <mergeCell ref="A1027:H1027"/>
    <mergeCell ref="I1027:P1027"/>
    <mergeCell ref="A1029:A1030"/>
    <mergeCell ref="B1029:B1030"/>
    <mergeCell ref="C1029:C1030"/>
    <mergeCell ref="D1029:D1030"/>
    <mergeCell ref="E1029:E1030"/>
    <mergeCell ref="F1029:F1030"/>
    <mergeCell ref="G1029:H1029"/>
    <mergeCell ref="A1006:E1006"/>
    <mergeCell ref="I1006:M1006"/>
    <mergeCell ref="A1007:E1007"/>
    <mergeCell ref="A1008:E1008"/>
    <mergeCell ref="I1012:L1012"/>
    <mergeCell ref="A1014:D1014"/>
    <mergeCell ref="N1002:N1003"/>
    <mergeCell ref="A1004:A1005"/>
    <mergeCell ref="B1004:B1005"/>
    <mergeCell ref="C1004:C1005"/>
    <mergeCell ref="D1004:D1005"/>
    <mergeCell ref="E1004:E1005"/>
    <mergeCell ref="F1004:F1005"/>
    <mergeCell ref="I1004:M1004"/>
    <mergeCell ref="I1005:M1005"/>
    <mergeCell ref="L1031:L1032"/>
    <mergeCell ref="M1031:M1032"/>
    <mergeCell ref="N1031:N1032"/>
    <mergeCell ref="A1033:A1034"/>
    <mergeCell ref="B1033:B1034"/>
    <mergeCell ref="C1033:C1034"/>
    <mergeCell ref="D1033:D1034"/>
    <mergeCell ref="E1033:E1034"/>
    <mergeCell ref="F1033:F1034"/>
    <mergeCell ref="I1033:I1034"/>
    <mergeCell ref="O1029:P1029"/>
    <mergeCell ref="A1031:A1032"/>
    <mergeCell ref="B1031:B1032"/>
    <mergeCell ref="C1031:C1032"/>
    <mergeCell ref="D1031:D1032"/>
    <mergeCell ref="E1031:E1032"/>
    <mergeCell ref="F1031:F1032"/>
    <mergeCell ref="I1031:I1032"/>
    <mergeCell ref="J1031:J1032"/>
    <mergeCell ref="K1031:K1032"/>
    <mergeCell ref="I1029:I1030"/>
    <mergeCell ref="J1029:J1030"/>
    <mergeCell ref="K1029:K1030"/>
    <mergeCell ref="L1029:L1030"/>
    <mergeCell ref="M1029:M1030"/>
    <mergeCell ref="N1029:N1030"/>
    <mergeCell ref="N1035:N1036"/>
    <mergeCell ref="F1035:F1036"/>
    <mergeCell ref="I1035:I1036"/>
    <mergeCell ref="J1035:J1036"/>
    <mergeCell ref="K1035:K1036"/>
    <mergeCell ref="L1035:L1036"/>
    <mergeCell ref="M1035:M1036"/>
    <mergeCell ref="J1033:J1034"/>
    <mergeCell ref="K1033:K1034"/>
    <mergeCell ref="L1033:L1034"/>
    <mergeCell ref="M1033:M1034"/>
    <mergeCell ref="N1033:N1034"/>
    <mergeCell ref="A1035:A1036"/>
    <mergeCell ref="B1035:B1036"/>
    <mergeCell ref="C1035:C1036"/>
    <mergeCell ref="D1035:D1036"/>
    <mergeCell ref="E1035:E1036"/>
    <mergeCell ref="N1052:P1052"/>
    <mergeCell ref="A1062:H1062"/>
    <mergeCell ref="I1062:P1062"/>
    <mergeCell ref="A1064:A1065"/>
    <mergeCell ref="B1064:B1065"/>
    <mergeCell ref="C1064:C1065"/>
    <mergeCell ref="D1064:D1065"/>
    <mergeCell ref="E1064:E1065"/>
    <mergeCell ref="F1064:F1065"/>
    <mergeCell ref="G1064:H1064"/>
    <mergeCell ref="A1040:E1040"/>
    <mergeCell ref="I1040:M1040"/>
    <mergeCell ref="A1041:E1041"/>
    <mergeCell ref="I1041:M1041"/>
    <mergeCell ref="A1047:D1047"/>
    <mergeCell ref="I1047:L1047"/>
    <mergeCell ref="J1037:J1038"/>
    <mergeCell ref="K1037:K1038"/>
    <mergeCell ref="L1037:L1038"/>
    <mergeCell ref="M1037:M1038"/>
    <mergeCell ref="N1037:N1038"/>
    <mergeCell ref="A1039:E1039"/>
    <mergeCell ref="I1039:M1039"/>
    <mergeCell ref="A1037:A1038"/>
    <mergeCell ref="B1037:B1038"/>
    <mergeCell ref="C1037:C1038"/>
    <mergeCell ref="D1037:D1038"/>
    <mergeCell ref="E1037:E1038"/>
    <mergeCell ref="F1037:F1038"/>
    <mergeCell ref="I1037:I1038"/>
    <mergeCell ref="I1072:I1073"/>
    <mergeCell ref="J1072:J1073"/>
    <mergeCell ref="K1072:K1073"/>
    <mergeCell ref="L1072:L1073"/>
    <mergeCell ref="M1072:M1073"/>
    <mergeCell ref="N1072:N1073"/>
    <mergeCell ref="L1066:L1067"/>
    <mergeCell ref="M1066:M1067"/>
    <mergeCell ref="N1066:N1067"/>
    <mergeCell ref="A1068:A1069"/>
    <mergeCell ref="B1068:B1069"/>
    <mergeCell ref="C1068:C1069"/>
    <mergeCell ref="D1068:D1069"/>
    <mergeCell ref="E1068:E1069"/>
    <mergeCell ref="F1068:F1069"/>
    <mergeCell ref="I1068:I1069"/>
    <mergeCell ref="O1064:P1064"/>
    <mergeCell ref="A1066:A1067"/>
    <mergeCell ref="B1066:B1067"/>
    <mergeCell ref="C1066:C1067"/>
    <mergeCell ref="D1066:D1067"/>
    <mergeCell ref="E1066:E1067"/>
    <mergeCell ref="F1066:F1067"/>
    <mergeCell ref="I1066:I1067"/>
    <mergeCell ref="J1066:J1067"/>
    <mergeCell ref="K1066:K1067"/>
    <mergeCell ref="I1064:I1065"/>
    <mergeCell ref="J1064:J1065"/>
    <mergeCell ref="K1064:K1065"/>
    <mergeCell ref="L1064:L1065"/>
    <mergeCell ref="M1064:M1065"/>
    <mergeCell ref="N1064:N1065"/>
    <mergeCell ref="N1070:N1071"/>
    <mergeCell ref="F1070:F1071"/>
    <mergeCell ref="I1070:I1071"/>
    <mergeCell ref="J1070:J1071"/>
    <mergeCell ref="K1070:K1071"/>
    <mergeCell ref="L1070:L1071"/>
    <mergeCell ref="M1070:M1071"/>
    <mergeCell ref="J1068:J1069"/>
    <mergeCell ref="K1068:K1069"/>
    <mergeCell ref="L1068:L1069"/>
    <mergeCell ref="M1068:M1069"/>
    <mergeCell ref="N1068:N1069"/>
    <mergeCell ref="A1070:A1071"/>
    <mergeCell ref="B1070:B1071"/>
    <mergeCell ref="C1070:C1071"/>
    <mergeCell ref="D1070:D1071"/>
    <mergeCell ref="E1070:E1071"/>
    <mergeCell ref="A1079:E1079"/>
    <mergeCell ref="I1079:M1079"/>
    <mergeCell ref="A1080:E1080"/>
    <mergeCell ref="I1080:M1080"/>
    <mergeCell ref="A1086:D1086"/>
    <mergeCell ref="I1086:L1086"/>
    <mergeCell ref="A1078:E1078"/>
    <mergeCell ref="I1078:M1078"/>
    <mergeCell ref="O1103:P1103"/>
    <mergeCell ref="A1105:A1106"/>
    <mergeCell ref="B1105:B1106"/>
    <mergeCell ref="C1105:C1106"/>
    <mergeCell ref="D1105:D1106"/>
    <mergeCell ref="E1105:E1106"/>
    <mergeCell ref="F1105:F1106"/>
    <mergeCell ref="I1105:I1106"/>
    <mergeCell ref="J1105:J1106"/>
    <mergeCell ref="G1103:H1103"/>
    <mergeCell ref="I1103:I1104"/>
    <mergeCell ref="J1103:J1104"/>
    <mergeCell ref="K1103:K1104"/>
    <mergeCell ref="L1103:L1104"/>
    <mergeCell ref="M1103:M1104"/>
    <mergeCell ref="N1086:P1086"/>
    <mergeCell ref="N1091:P1091"/>
    <mergeCell ref="A1101:H1101"/>
    <mergeCell ref="I1101:P1101"/>
    <mergeCell ref="A1103:A1104"/>
    <mergeCell ref="B1103:B1104"/>
    <mergeCell ref="C1103:C1104"/>
    <mergeCell ref="D1103:D1104"/>
    <mergeCell ref="E1103:E1104"/>
    <mergeCell ref="F1103:F1104"/>
    <mergeCell ref="I1107:I1108"/>
    <mergeCell ref="J1107:J1108"/>
    <mergeCell ref="K1107:K1108"/>
    <mergeCell ref="L1107:L1108"/>
    <mergeCell ref="M1107:M1108"/>
    <mergeCell ref="N1107:N1108"/>
    <mergeCell ref="K1105:K1106"/>
    <mergeCell ref="L1105:L1106"/>
    <mergeCell ref="M1105:M1106"/>
    <mergeCell ref="N1105:N1106"/>
    <mergeCell ref="A1107:A1108"/>
    <mergeCell ref="B1107:B1108"/>
    <mergeCell ref="C1107:C1108"/>
    <mergeCell ref="D1107:D1108"/>
    <mergeCell ref="E1107:E1108"/>
    <mergeCell ref="F1107:F1108"/>
    <mergeCell ref="N1103:N1104"/>
    <mergeCell ref="I1111:I1112"/>
    <mergeCell ref="J1111:J1112"/>
    <mergeCell ref="K1111:K1112"/>
    <mergeCell ref="L1111:L1112"/>
    <mergeCell ref="M1111:M1112"/>
    <mergeCell ref="N1111:N1112"/>
    <mergeCell ref="A1111:A1112"/>
    <mergeCell ref="B1111:B1112"/>
    <mergeCell ref="C1111:C1112"/>
    <mergeCell ref="D1111:D1112"/>
    <mergeCell ref="E1111:E1112"/>
    <mergeCell ref="F1111:F1112"/>
    <mergeCell ref="I1109:I1110"/>
    <mergeCell ref="J1109:J1110"/>
    <mergeCell ref="K1109:K1110"/>
    <mergeCell ref="L1109:L1110"/>
    <mergeCell ref="M1109:M1110"/>
    <mergeCell ref="N1109:N1110"/>
    <mergeCell ref="A1109:A1110"/>
    <mergeCell ref="B1109:B1110"/>
    <mergeCell ref="C1109:C1110"/>
    <mergeCell ref="D1109:D1110"/>
    <mergeCell ref="E1109:E1110"/>
    <mergeCell ref="F1109:F1110"/>
    <mergeCell ref="A1123:D1123"/>
    <mergeCell ref="I1123:L1123"/>
    <mergeCell ref="N1123:P1123"/>
    <mergeCell ref="N1127:P1127"/>
    <mergeCell ref="A1138:H1138"/>
    <mergeCell ref="I1138:P1138"/>
    <mergeCell ref="A1115:E1115"/>
    <mergeCell ref="I1115:M1115"/>
    <mergeCell ref="A1116:E1116"/>
    <mergeCell ref="I1116:M1116"/>
    <mergeCell ref="A1117:E1117"/>
    <mergeCell ref="I1117:M1117"/>
    <mergeCell ref="I1113:I1114"/>
    <mergeCell ref="J1113:J1114"/>
    <mergeCell ref="K1113:K1114"/>
    <mergeCell ref="L1113:L1114"/>
    <mergeCell ref="M1113:M1114"/>
    <mergeCell ref="N1113:N1114"/>
    <mergeCell ref="A1113:A1114"/>
    <mergeCell ref="B1113:B1114"/>
    <mergeCell ref="C1113:C1114"/>
    <mergeCell ref="D1113:D1114"/>
    <mergeCell ref="E1113:E1114"/>
    <mergeCell ref="F1113:F1114"/>
    <mergeCell ref="O1140:P1140"/>
    <mergeCell ref="A1142:A1143"/>
    <mergeCell ref="B1142:B1143"/>
    <mergeCell ref="C1142:C1143"/>
    <mergeCell ref="D1142:D1143"/>
    <mergeCell ref="E1142:E1143"/>
    <mergeCell ref="F1142:F1143"/>
    <mergeCell ref="I1142:I1143"/>
    <mergeCell ref="J1142:J1143"/>
    <mergeCell ref="G1140:H1140"/>
    <mergeCell ref="I1140:I1141"/>
    <mergeCell ref="J1140:J1141"/>
    <mergeCell ref="K1140:K1141"/>
    <mergeCell ref="L1140:L1141"/>
    <mergeCell ref="M1140:M1141"/>
    <mergeCell ref="A1140:A1141"/>
    <mergeCell ref="B1140:B1141"/>
    <mergeCell ref="C1140:C1141"/>
    <mergeCell ref="D1140:D1141"/>
    <mergeCell ref="E1140:E1141"/>
    <mergeCell ref="F1140:F1141"/>
    <mergeCell ref="I1144:I1145"/>
    <mergeCell ref="J1144:J1145"/>
    <mergeCell ref="K1144:K1145"/>
    <mergeCell ref="L1144:L1145"/>
    <mergeCell ref="M1144:M1145"/>
    <mergeCell ref="N1144:N1145"/>
    <mergeCell ref="K1142:K1143"/>
    <mergeCell ref="L1142:L1143"/>
    <mergeCell ref="M1142:M1143"/>
    <mergeCell ref="N1142:N1143"/>
    <mergeCell ref="A1144:A1145"/>
    <mergeCell ref="B1144:B1145"/>
    <mergeCell ref="C1144:C1145"/>
    <mergeCell ref="D1144:D1145"/>
    <mergeCell ref="E1144:E1145"/>
    <mergeCell ref="F1144:F1145"/>
    <mergeCell ref="N1140:N1141"/>
    <mergeCell ref="I1148:I1149"/>
    <mergeCell ref="J1148:J1149"/>
    <mergeCell ref="K1148:K1149"/>
    <mergeCell ref="L1148:L1149"/>
    <mergeCell ref="M1148:M1149"/>
    <mergeCell ref="N1148:N1149"/>
    <mergeCell ref="A1148:A1149"/>
    <mergeCell ref="B1148:B1149"/>
    <mergeCell ref="C1148:C1149"/>
    <mergeCell ref="D1148:D1149"/>
    <mergeCell ref="E1148:E1149"/>
    <mergeCell ref="F1148:F1149"/>
    <mergeCell ref="I1146:I1147"/>
    <mergeCell ref="J1146:J1147"/>
    <mergeCell ref="K1146:K1147"/>
    <mergeCell ref="L1146:L1147"/>
    <mergeCell ref="M1146:M1147"/>
    <mergeCell ref="N1146:N1147"/>
    <mergeCell ref="A1146:A1147"/>
    <mergeCell ref="B1146:B1147"/>
    <mergeCell ref="C1146:C1147"/>
    <mergeCell ref="D1146:D1147"/>
    <mergeCell ref="E1146:E1147"/>
    <mergeCell ref="F1146:F1147"/>
    <mergeCell ref="A1160:D1160"/>
    <mergeCell ref="I1160:L1160"/>
    <mergeCell ref="N1160:P1160"/>
    <mergeCell ref="N1164:P1164"/>
    <mergeCell ref="A1175:H1175"/>
    <mergeCell ref="I1175:P1175"/>
    <mergeCell ref="A1152:E1152"/>
    <mergeCell ref="I1152:M1152"/>
    <mergeCell ref="A1153:E1153"/>
    <mergeCell ref="I1153:M1153"/>
    <mergeCell ref="A1154:E1154"/>
    <mergeCell ref="I1154:M1154"/>
    <mergeCell ref="I1150:I1151"/>
    <mergeCell ref="J1150:J1151"/>
    <mergeCell ref="K1150:K1151"/>
    <mergeCell ref="L1150:L1151"/>
    <mergeCell ref="M1150:M1151"/>
    <mergeCell ref="N1150:N1151"/>
    <mergeCell ref="A1150:A1151"/>
    <mergeCell ref="B1150:B1151"/>
    <mergeCell ref="C1150:C1151"/>
    <mergeCell ref="D1150:D1151"/>
    <mergeCell ref="E1150:E1151"/>
    <mergeCell ref="F1150:F1151"/>
    <mergeCell ref="K1179:K1180"/>
    <mergeCell ref="L1179:L1180"/>
    <mergeCell ref="M1179:M1180"/>
    <mergeCell ref="N1179:N1180"/>
    <mergeCell ref="A1181:A1182"/>
    <mergeCell ref="B1181:B1182"/>
    <mergeCell ref="C1181:C1182"/>
    <mergeCell ref="D1181:D1182"/>
    <mergeCell ref="E1181:E1182"/>
    <mergeCell ref="F1181:F1182"/>
    <mergeCell ref="N1177:N1178"/>
    <mergeCell ref="O1177:P1177"/>
    <mergeCell ref="A1179:A1180"/>
    <mergeCell ref="B1179:B1180"/>
    <mergeCell ref="C1179:C1180"/>
    <mergeCell ref="D1179:D1180"/>
    <mergeCell ref="E1179:E1180"/>
    <mergeCell ref="F1179:F1180"/>
    <mergeCell ref="I1179:I1180"/>
    <mergeCell ref="J1179:J1180"/>
    <mergeCell ref="G1177:H1177"/>
    <mergeCell ref="I1177:I1178"/>
    <mergeCell ref="J1177:J1178"/>
    <mergeCell ref="K1177:K1178"/>
    <mergeCell ref="L1177:L1178"/>
    <mergeCell ref="M1177:M1178"/>
    <mergeCell ref="A1177:A1178"/>
    <mergeCell ref="B1177:B1178"/>
    <mergeCell ref="C1177:C1178"/>
    <mergeCell ref="D1177:D1178"/>
    <mergeCell ref="E1177:E1178"/>
    <mergeCell ref="F1177:F1178"/>
    <mergeCell ref="I1183:I1184"/>
    <mergeCell ref="J1183:J1184"/>
    <mergeCell ref="K1183:K1184"/>
    <mergeCell ref="L1183:L1184"/>
    <mergeCell ref="M1183:M1184"/>
    <mergeCell ref="N1183:N1184"/>
    <mergeCell ref="A1183:A1184"/>
    <mergeCell ref="B1183:B1184"/>
    <mergeCell ref="C1183:C1184"/>
    <mergeCell ref="D1183:D1184"/>
    <mergeCell ref="E1183:E1184"/>
    <mergeCell ref="F1183:F1184"/>
    <mergeCell ref="I1181:I1182"/>
    <mergeCell ref="J1181:J1182"/>
    <mergeCell ref="K1181:K1182"/>
    <mergeCell ref="L1181:L1182"/>
    <mergeCell ref="M1181:M1182"/>
    <mergeCell ref="N1181:N1182"/>
    <mergeCell ref="I1187:I1188"/>
    <mergeCell ref="J1187:J1188"/>
    <mergeCell ref="K1187:K1188"/>
    <mergeCell ref="L1187:L1188"/>
    <mergeCell ref="M1187:M1188"/>
    <mergeCell ref="N1187:N1188"/>
    <mergeCell ref="I1185:I1186"/>
    <mergeCell ref="J1185:J1186"/>
    <mergeCell ref="K1185:K1186"/>
    <mergeCell ref="L1185:L1186"/>
    <mergeCell ref="M1185:M1186"/>
    <mergeCell ref="N1185:N1186"/>
    <mergeCell ref="A1185:A1186"/>
    <mergeCell ref="B1185:B1186"/>
    <mergeCell ref="C1185:C1186"/>
    <mergeCell ref="D1185:D1186"/>
    <mergeCell ref="E1185:E1186"/>
    <mergeCell ref="F1185:F1186"/>
    <mergeCell ref="A1199:D1199"/>
    <mergeCell ref="I1199:L1199"/>
    <mergeCell ref="N1199:P1199"/>
    <mergeCell ref="N1204:P1204"/>
    <mergeCell ref="A1214:H1214"/>
    <mergeCell ref="I1214:P1214"/>
    <mergeCell ref="A1191:E1191"/>
    <mergeCell ref="I1191:M1191"/>
    <mergeCell ref="A1192:E1192"/>
    <mergeCell ref="I1192:M1192"/>
    <mergeCell ref="A1193:E1193"/>
    <mergeCell ref="I1193:M1193"/>
    <mergeCell ref="I1189:I1190"/>
    <mergeCell ref="J1189:J1190"/>
    <mergeCell ref="K1189:K1190"/>
    <mergeCell ref="L1189:L1190"/>
    <mergeCell ref="M1189:M1190"/>
    <mergeCell ref="N1189:N1190"/>
    <mergeCell ref="A1189:A1190"/>
    <mergeCell ref="B1189:B1190"/>
    <mergeCell ref="C1189:C1190"/>
    <mergeCell ref="D1189:D1190"/>
    <mergeCell ref="E1189:E1190"/>
    <mergeCell ref="F1189:F1190"/>
    <mergeCell ref="O1216:P1216"/>
    <mergeCell ref="A1218:A1219"/>
    <mergeCell ref="B1218:B1219"/>
    <mergeCell ref="C1218:C1219"/>
    <mergeCell ref="D1218:D1219"/>
    <mergeCell ref="E1218:E1219"/>
    <mergeCell ref="F1218:F1219"/>
    <mergeCell ref="I1218:I1219"/>
    <mergeCell ref="J1218:J1219"/>
    <mergeCell ref="G1216:H1216"/>
    <mergeCell ref="I1216:I1217"/>
    <mergeCell ref="J1216:J1217"/>
    <mergeCell ref="K1216:K1217"/>
    <mergeCell ref="L1216:L1217"/>
    <mergeCell ref="M1216:M1217"/>
    <mergeCell ref="A1216:A1217"/>
    <mergeCell ref="B1216:B1217"/>
    <mergeCell ref="C1216:C1217"/>
    <mergeCell ref="D1216:D1217"/>
    <mergeCell ref="E1216:E1217"/>
    <mergeCell ref="F1216:F1217"/>
    <mergeCell ref="I1220:I1221"/>
    <mergeCell ref="J1220:J1221"/>
    <mergeCell ref="K1220:K1221"/>
    <mergeCell ref="L1220:L1221"/>
    <mergeCell ref="M1220:M1221"/>
    <mergeCell ref="N1220:N1221"/>
    <mergeCell ref="K1218:K1219"/>
    <mergeCell ref="L1218:L1219"/>
    <mergeCell ref="M1218:M1219"/>
    <mergeCell ref="N1218:N1219"/>
    <mergeCell ref="A1220:A1221"/>
    <mergeCell ref="B1220:B1221"/>
    <mergeCell ref="C1220:C1221"/>
    <mergeCell ref="D1220:D1221"/>
    <mergeCell ref="E1220:E1221"/>
    <mergeCell ref="F1220:F1221"/>
    <mergeCell ref="N1216:N1217"/>
    <mergeCell ref="I1224:I1225"/>
    <mergeCell ref="J1224:J1225"/>
    <mergeCell ref="K1224:K1225"/>
    <mergeCell ref="L1224:L1225"/>
    <mergeCell ref="M1224:M1225"/>
    <mergeCell ref="N1224:N1225"/>
    <mergeCell ref="A1224:A1225"/>
    <mergeCell ref="B1224:B1225"/>
    <mergeCell ref="C1224:C1225"/>
    <mergeCell ref="D1224:D1225"/>
    <mergeCell ref="E1224:E1225"/>
    <mergeCell ref="F1224:F1225"/>
    <mergeCell ref="I1222:I1223"/>
    <mergeCell ref="J1222:J1223"/>
    <mergeCell ref="K1222:K1223"/>
    <mergeCell ref="L1222:L1223"/>
    <mergeCell ref="M1222:M1223"/>
    <mergeCell ref="N1222:N1223"/>
    <mergeCell ref="A1222:A1223"/>
    <mergeCell ref="B1222:B1223"/>
    <mergeCell ref="C1222:C1223"/>
    <mergeCell ref="D1222:D1223"/>
    <mergeCell ref="E1222:E1223"/>
    <mergeCell ref="F1222:F1223"/>
    <mergeCell ref="A1236:D1236"/>
    <mergeCell ref="I1236:L1236"/>
    <mergeCell ref="N1236:P1236"/>
    <mergeCell ref="N1240:P1240"/>
    <mergeCell ref="N1241:P1241"/>
    <mergeCell ref="A1251:H1251"/>
    <mergeCell ref="I1251:P1251"/>
    <mergeCell ref="A1228:E1228"/>
    <mergeCell ref="I1228:M1228"/>
    <mergeCell ref="A1229:E1229"/>
    <mergeCell ref="I1229:M1229"/>
    <mergeCell ref="A1230:E1230"/>
    <mergeCell ref="I1230:M1230"/>
    <mergeCell ref="I1226:I1227"/>
    <mergeCell ref="J1226:J1227"/>
    <mergeCell ref="K1226:K1227"/>
    <mergeCell ref="L1226:L1227"/>
    <mergeCell ref="M1226:M1227"/>
    <mergeCell ref="N1226:N1227"/>
    <mergeCell ref="A1226:A1227"/>
    <mergeCell ref="B1226:B1227"/>
    <mergeCell ref="C1226:C1227"/>
    <mergeCell ref="D1226:D1227"/>
    <mergeCell ref="E1226:E1227"/>
    <mergeCell ref="F1226:F1227"/>
    <mergeCell ref="O1253:P1253"/>
    <mergeCell ref="A1255:A1256"/>
    <mergeCell ref="B1255:B1256"/>
    <mergeCell ref="C1255:C1256"/>
    <mergeCell ref="D1255:D1256"/>
    <mergeCell ref="E1255:E1256"/>
    <mergeCell ref="F1255:F1256"/>
    <mergeCell ref="I1255:I1256"/>
    <mergeCell ref="J1255:J1256"/>
    <mergeCell ref="G1253:H1253"/>
    <mergeCell ref="I1253:I1254"/>
    <mergeCell ref="J1253:J1254"/>
    <mergeCell ref="K1253:K1254"/>
    <mergeCell ref="L1253:L1254"/>
    <mergeCell ref="M1253:M1254"/>
    <mergeCell ref="A1253:A1254"/>
    <mergeCell ref="B1253:B1254"/>
    <mergeCell ref="C1253:C1254"/>
    <mergeCell ref="D1253:D1254"/>
    <mergeCell ref="E1253:E1254"/>
    <mergeCell ref="F1253:F1254"/>
    <mergeCell ref="I1257:I1258"/>
    <mergeCell ref="J1257:J1258"/>
    <mergeCell ref="K1257:K1258"/>
    <mergeCell ref="L1257:L1258"/>
    <mergeCell ref="M1257:M1258"/>
    <mergeCell ref="N1257:N1258"/>
    <mergeCell ref="K1255:K1256"/>
    <mergeCell ref="L1255:L1256"/>
    <mergeCell ref="M1255:M1256"/>
    <mergeCell ref="N1255:N1256"/>
    <mergeCell ref="A1257:A1258"/>
    <mergeCell ref="B1257:B1258"/>
    <mergeCell ref="C1257:C1258"/>
    <mergeCell ref="D1257:D1258"/>
    <mergeCell ref="E1257:E1258"/>
    <mergeCell ref="F1257:F1258"/>
    <mergeCell ref="N1253:N1254"/>
    <mergeCell ref="I1261:I1262"/>
    <mergeCell ref="J1261:J1262"/>
    <mergeCell ref="K1261:K1262"/>
    <mergeCell ref="L1261:L1262"/>
    <mergeCell ref="M1261:M1262"/>
    <mergeCell ref="N1261:N1262"/>
    <mergeCell ref="A1261:A1262"/>
    <mergeCell ref="B1261:B1262"/>
    <mergeCell ref="C1261:C1262"/>
    <mergeCell ref="D1261:D1262"/>
    <mergeCell ref="E1261:E1262"/>
    <mergeCell ref="F1261:F1262"/>
    <mergeCell ref="I1259:I1260"/>
    <mergeCell ref="J1259:J1260"/>
    <mergeCell ref="K1259:K1260"/>
    <mergeCell ref="L1259:L1260"/>
    <mergeCell ref="M1259:M1260"/>
    <mergeCell ref="N1259:N1260"/>
    <mergeCell ref="A1259:A1260"/>
    <mergeCell ref="B1259:B1260"/>
    <mergeCell ref="C1259:C1260"/>
    <mergeCell ref="D1259:D1260"/>
    <mergeCell ref="E1259:E1260"/>
    <mergeCell ref="F1259:F1260"/>
    <mergeCell ref="A1273:D1273"/>
    <mergeCell ref="I1273:L1273"/>
    <mergeCell ref="N1278:P1278"/>
    <mergeCell ref="A1288:H1288"/>
    <mergeCell ref="I1288:P1288"/>
    <mergeCell ref="A1290:A1291"/>
    <mergeCell ref="B1290:B1291"/>
    <mergeCell ref="C1290:C1291"/>
    <mergeCell ref="D1290:D1291"/>
    <mergeCell ref="E1290:E1291"/>
    <mergeCell ref="A1265:E1265"/>
    <mergeCell ref="I1265:M1265"/>
    <mergeCell ref="A1266:E1266"/>
    <mergeCell ref="I1266:M1266"/>
    <mergeCell ref="A1267:E1267"/>
    <mergeCell ref="I1267:M1267"/>
    <mergeCell ref="I1263:I1264"/>
    <mergeCell ref="J1263:J1264"/>
    <mergeCell ref="K1263:K1264"/>
    <mergeCell ref="L1263:L1264"/>
    <mergeCell ref="M1263:M1264"/>
    <mergeCell ref="N1263:N1264"/>
    <mergeCell ref="A1263:A1264"/>
    <mergeCell ref="B1263:B1264"/>
    <mergeCell ref="C1263:C1264"/>
    <mergeCell ref="D1263:D1264"/>
    <mergeCell ref="E1263:E1264"/>
    <mergeCell ref="F1263:F1264"/>
    <mergeCell ref="J1292:J1293"/>
    <mergeCell ref="K1292:K1293"/>
    <mergeCell ref="L1292:L1293"/>
    <mergeCell ref="M1292:M1293"/>
    <mergeCell ref="N1292:N1293"/>
    <mergeCell ref="A1294:A1295"/>
    <mergeCell ref="B1294:B1295"/>
    <mergeCell ref="C1294:C1295"/>
    <mergeCell ref="D1294:D1295"/>
    <mergeCell ref="E1294:E1295"/>
    <mergeCell ref="M1290:M1291"/>
    <mergeCell ref="N1290:N1291"/>
    <mergeCell ref="O1290:P1290"/>
    <mergeCell ref="A1292:A1293"/>
    <mergeCell ref="B1292:B1293"/>
    <mergeCell ref="C1292:C1293"/>
    <mergeCell ref="D1292:D1293"/>
    <mergeCell ref="E1292:E1293"/>
    <mergeCell ref="F1292:F1293"/>
    <mergeCell ref="I1292:I1293"/>
    <mergeCell ref="F1290:F1291"/>
    <mergeCell ref="G1290:H1290"/>
    <mergeCell ref="I1290:I1291"/>
    <mergeCell ref="J1290:J1291"/>
    <mergeCell ref="K1290:K1291"/>
    <mergeCell ref="L1290:L1291"/>
    <mergeCell ref="L1296:L1297"/>
    <mergeCell ref="M1296:M1297"/>
    <mergeCell ref="N1296:N1297"/>
    <mergeCell ref="A1298:A1299"/>
    <mergeCell ref="B1298:B1299"/>
    <mergeCell ref="C1298:C1299"/>
    <mergeCell ref="D1298:D1299"/>
    <mergeCell ref="E1298:E1299"/>
    <mergeCell ref="F1298:F1299"/>
    <mergeCell ref="I1298:I1299"/>
    <mergeCell ref="N1294:N1295"/>
    <mergeCell ref="A1296:A1297"/>
    <mergeCell ref="B1296:B1297"/>
    <mergeCell ref="C1296:C1297"/>
    <mergeCell ref="D1296:D1297"/>
    <mergeCell ref="E1296:E1297"/>
    <mergeCell ref="F1296:F1297"/>
    <mergeCell ref="I1296:I1297"/>
    <mergeCell ref="J1296:J1297"/>
    <mergeCell ref="K1296:K1297"/>
    <mergeCell ref="F1294:F1295"/>
    <mergeCell ref="I1294:I1295"/>
    <mergeCell ref="J1294:J1295"/>
    <mergeCell ref="K1294:K1295"/>
    <mergeCell ref="L1294:L1295"/>
    <mergeCell ref="M1294:M1295"/>
    <mergeCell ref="N1300:N1301"/>
    <mergeCell ref="A1302:E1302"/>
    <mergeCell ref="I1302:M1302"/>
    <mergeCell ref="A1303:E1303"/>
    <mergeCell ref="I1303:M1303"/>
    <mergeCell ref="A1304:E1304"/>
    <mergeCell ref="I1304:M1304"/>
    <mergeCell ref="F1300:F1301"/>
    <mergeCell ref="I1300:I1301"/>
    <mergeCell ref="J1300:J1301"/>
    <mergeCell ref="K1300:K1301"/>
    <mergeCell ref="L1300:L1301"/>
    <mergeCell ref="M1300:M1301"/>
    <mergeCell ref="J1298:J1299"/>
    <mergeCell ref="K1298:K1299"/>
    <mergeCell ref="L1298:L1299"/>
    <mergeCell ref="M1298:M1299"/>
    <mergeCell ref="N1298:N1299"/>
    <mergeCell ref="A1300:A1301"/>
    <mergeCell ref="B1300:B1301"/>
    <mergeCell ref="C1300:C1301"/>
    <mergeCell ref="D1300:D1301"/>
    <mergeCell ref="E1300:E1301"/>
    <mergeCell ref="M1327:M1328"/>
    <mergeCell ref="N1327:N1328"/>
    <mergeCell ref="O1327:P1327"/>
    <mergeCell ref="A1329:A1330"/>
    <mergeCell ref="B1329:B1330"/>
    <mergeCell ref="C1329:C1330"/>
    <mergeCell ref="D1329:D1330"/>
    <mergeCell ref="E1329:E1330"/>
    <mergeCell ref="F1329:F1330"/>
    <mergeCell ref="I1329:I1330"/>
    <mergeCell ref="F1327:F1328"/>
    <mergeCell ref="G1327:H1327"/>
    <mergeCell ref="I1327:I1328"/>
    <mergeCell ref="J1327:J1328"/>
    <mergeCell ref="K1327:K1328"/>
    <mergeCell ref="L1327:L1328"/>
    <mergeCell ref="A1310:D1310"/>
    <mergeCell ref="I1310:L1310"/>
    <mergeCell ref="N1315:P1315"/>
    <mergeCell ref="A1325:H1325"/>
    <mergeCell ref="I1325:P1325"/>
    <mergeCell ref="A1327:A1328"/>
    <mergeCell ref="B1327:B1328"/>
    <mergeCell ref="C1327:C1328"/>
    <mergeCell ref="D1327:D1328"/>
    <mergeCell ref="E1327:E1328"/>
    <mergeCell ref="N1331:N1332"/>
    <mergeCell ref="A1333:A1334"/>
    <mergeCell ref="B1333:B1334"/>
    <mergeCell ref="C1333:C1334"/>
    <mergeCell ref="D1333:D1334"/>
    <mergeCell ref="E1333:E1334"/>
    <mergeCell ref="F1333:F1334"/>
    <mergeCell ref="I1333:I1334"/>
    <mergeCell ref="J1333:J1334"/>
    <mergeCell ref="K1333:K1334"/>
    <mergeCell ref="F1331:F1332"/>
    <mergeCell ref="I1331:I1332"/>
    <mergeCell ref="J1331:J1332"/>
    <mergeCell ref="K1331:K1332"/>
    <mergeCell ref="L1331:L1332"/>
    <mergeCell ref="M1331:M1332"/>
    <mergeCell ref="J1329:J1330"/>
    <mergeCell ref="K1329:K1330"/>
    <mergeCell ref="L1329:L1330"/>
    <mergeCell ref="M1329:M1330"/>
    <mergeCell ref="N1329:N1330"/>
    <mergeCell ref="A1331:A1332"/>
    <mergeCell ref="B1331:B1332"/>
    <mergeCell ref="C1331:C1332"/>
    <mergeCell ref="D1331:D1332"/>
    <mergeCell ref="E1331:E1332"/>
    <mergeCell ref="J1335:J1336"/>
    <mergeCell ref="K1335:K1336"/>
    <mergeCell ref="L1335:L1336"/>
    <mergeCell ref="M1335:M1336"/>
    <mergeCell ref="N1335:N1336"/>
    <mergeCell ref="A1337:A1338"/>
    <mergeCell ref="B1337:B1338"/>
    <mergeCell ref="C1337:C1338"/>
    <mergeCell ref="D1337:D1338"/>
    <mergeCell ref="E1337:E1338"/>
    <mergeCell ref="L1333:L1334"/>
    <mergeCell ref="M1333:M1334"/>
    <mergeCell ref="N1333:N1334"/>
    <mergeCell ref="A1335:A1336"/>
    <mergeCell ref="B1335:B1336"/>
    <mergeCell ref="C1335:C1336"/>
    <mergeCell ref="D1335:D1336"/>
    <mergeCell ref="E1335:E1336"/>
    <mergeCell ref="F1335:F1336"/>
    <mergeCell ref="I1335:I1336"/>
    <mergeCell ref="N1352:P1352"/>
    <mergeCell ref="I1362:P1362"/>
    <mergeCell ref="A1364:H1364"/>
    <mergeCell ref="I1364:I1365"/>
    <mergeCell ref="J1364:J1365"/>
    <mergeCell ref="K1364:K1365"/>
    <mergeCell ref="L1364:L1365"/>
    <mergeCell ref="M1364:M1365"/>
    <mergeCell ref="N1364:N1365"/>
    <mergeCell ref="O1364:P1364"/>
    <mergeCell ref="A1341:E1341"/>
    <mergeCell ref="I1341:M1341"/>
    <mergeCell ref="A1342:E1342"/>
    <mergeCell ref="A1343:E1343"/>
    <mergeCell ref="I1347:L1347"/>
    <mergeCell ref="A1349:D1349"/>
    <mergeCell ref="N1337:N1338"/>
    <mergeCell ref="A1339:A1340"/>
    <mergeCell ref="B1339:B1340"/>
    <mergeCell ref="C1339:C1340"/>
    <mergeCell ref="D1339:D1340"/>
    <mergeCell ref="E1339:E1340"/>
    <mergeCell ref="F1339:F1340"/>
    <mergeCell ref="I1339:M1339"/>
    <mergeCell ref="I1340:M1340"/>
    <mergeCell ref="F1337:F1338"/>
    <mergeCell ref="I1337:I1338"/>
    <mergeCell ref="J1337:J1338"/>
    <mergeCell ref="K1337:K1338"/>
    <mergeCell ref="L1337:L1338"/>
    <mergeCell ref="M1337:M1338"/>
    <mergeCell ref="L1368:L1369"/>
    <mergeCell ref="M1368:M1369"/>
    <mergeCell ref="N1368:N1369"/>
    <mergeCell ref="A1370:A1371"/>
    <mergeCell ref="B1370:B1371"/>
    <mergeCell ref="C1370:C1371"/>
    <mergeCell ref="D1370:D1371"/>
    <mergeCell ref="E1370:E1371"/>
    <mergeCell ref="F1370:F1371"/>
    <mergeCell ref="I1370:I1371"/>
    <mergeCell ref="N1366:N1367"/>
    <mergeCell ref="A1368:A1369"/>
    <mergeCell ref="B1368:B1369"/>
    <mergeCell ref="C1368:C1369"/>
    <mergeCell ref="D1368:D1369"/>
    <mergeCell ref="E1368:E1369"/>
    <mergeCell ref="F1368:F1369"/>
    <mergeCell ref="I1368:I1369"/>
    <mergeCell ref="J1368:J1369"/>
    <mergeCell ref="K1368:K1369"/>
    <mergeCell ref="G1366:H1366"/>
    <mergeCell ref="I1366:I1367"/>
    <mergeCell ref="J1366:J1367"/>
    <mergeCell ref="K1366:K1367"/>
    <mergeCell ref="L1366:L1367"/>
    <mergeCell ref="M1366:M1367"/>
    <mergeCell ref="A1366:A1367"/>
    <mergeCell ref="B1366:B1367"/>
    <mergeCell ref="C1366:C1367"/>
    <mergeCell ref="D1366:D1367"/>
    <mergeCell ref="E1366:E1367"/>
    <mergeCell ref="F1366:F1367"/>
    <mergeCell ref="N1372:N1373"/>
    <mergeCell ref="A1374:A1375"/>
    <mergeCell ref="B1374:B1375"/>
    <mergeCell ref="C1374:C1375"/>
    <mergeCell ref="D1374:D1375"/>
    <mergeCell ref="E1374:E1375"/>
    <mergeCell ref="F1374:F1375"/>
    <mergeCell ref="I1374:I1375"/>
    <mergeCell ref="J1374:J1375"/>
    <mergeCell ref="K1374:K1375"/>
    <mergeCell ref="F1372:F1373"/>
    <mergeCell ref="I1372:I1373"/>
    <mergeCell ref="J1372:J1373"/>
    <mergeCell ref="K1372:K1373"/>
    <mergeCell ref="L1372:L1373"/>
    <mergeCell ref="M1372:M1373"/>
    <mergeCell ref="J1370:J1371"/>
    <mergeCell ref="K1370:K1371"/>
    <mergeCell ref="L1370:L1371"/>
    <mergeCell ref="M1370:M1371"/>
    <mergeCell ref="N1370:N1371"/>
    <mergeCell ref="A1372:A1373"/>
    <mergeCell ref="B1372:B1373"/>
    <mergeCell ref="C1372:C1373"/>
    <mergeCell ref="D1372:D1373"/>
    <mergeCell ref="E1372:E1373"/>
    <mergeCell ref="A1386:D1386"/>
    <mergeCell ref="N1389:P1389"/>
    <mergeCell ref="I1399:P1399"/>
    <mergeCell ref="A1401:H1401"/>
    <mergeCell ref="I1401:I1402"/>
    <mergeCell ref="J1401:J1402"/>
    <mergeCell ref="K1401:K1402"/>
    <mergeCell ref="L1401:L1402"/>
    <mergeCell ref="M1401:M1402"/>
    <mergeCell ref="N1401:N1402"/>
    <mergeCell ref="I1377:M1377"/>
    <mergeCell ref="A1378:E1378"/>
    <mergeCell ref="I1378:M1378"/>
    <mergeCell ref="A1379:E1379"/>
    <mergeCell ref="A1380:E1380"/>
    <mergeCell ref="I1384:L1384"/>
    <mergeCell ref="L1374:L1375"/>
    <mergeCell ref="M1374:M1375"/>
    <mergeCell ref="N1374:N1375"/>
    <mergeCell ref="A1376:A1377"/>
    <mergeCell ref="B1376:B1377"/>
    <mergeCell ref="C1376:C1377"/>
    <mergeCell ref="D1376:D1377"/>
    <mergeCell ref="E1376:E1377"/>
    <mergeCell ref="F1376:F1377"/>
    <mergeCell ref="I1376:M1376"/>
    <mergeCell ref="K1403:K1404"/>
    <mergeCell ref="L1403:L1404"/>
    <mergeCell ref="M1403:M1404"/>
    <mergeCell ref="N1403:N1404"/>
    <mergeCell ref="A1405:A1406"/>
    <mergeCell ref="B1405:B1406"/>
    <mergeCell ref="C1405:C1406"/>
    <mergeCell ref="D1405:D1406"/>
    <mergeCell ref="E1405:E1406"/>
    <mergeCell ref="F1405:F1406"/>
    <mergeCell ref="O1401:P1401"/>
    <mergeCell ref="A1403:A1404"/>
    <mergeCell ref="B1403:B1404"/>
    <mergeCell ref="C1403:C1404"/>
    <mergeCell ref="D1403:D1404"/>
    <mergeCell ref="E1403:E1404"/>
    <mergeCell ref="F1403:F1404"/>
    <mergeCell ref="G1403:H1403"/>
    <mergeCell ref="I1403:I1404"/>
    <mergeCell ref="J1403:J1404"/>
    <mergeCell ref="I1407:I1408"/>
    <mergeCell ref="J1407:J1408"/>
    <mergeCell ref="K1407:K1408"/>
    <mergeCell ref="L1407:L1408"/>
    <mergeCell ref="M1407:M1408"/>
    <mergeCell ref="N1407:N1408"/>
    <mergeCell ref="A1407:A1408"/>
    <mergeCell ref="B1407:B1408"/>
    <mergeCell ref="C1407:C1408"/>
    <mergeCell ref="D1407:D1408"/>
    <mergeCell ref="E1407:E1408"/>
    <mergeCell ref="F1407:F1408"/>
    <mergeCell ref="I1405:I1406"/>
    <mergeCell ref="J1405:J1406"/>
    <mergeCell ref="K1405:K1406"/>
    <mergeCell ref="L1405:L1406"/>
    <mergeCell ref="M1405:M1406"/>
    <mergeCell ref="N1405:N1406"/>
    <mergeCell ref="N1411:N1412"/>
    <mergeCell ref="A1411:A1412"/>
    <mergeCell ref="B1411:B1412"/>
    <mergeCell ref="C1411:C1412"/>
    <mergeCell ref="D1411:D1412"/>
    <mergeCell ref="E1411:E1412"/>
    <mergeCell ref="F1411:F1412"/>
    <mergeCell ref="I1409:I1410"/>
    <mergeCell ref="J1409:J1410"/>
    <mergeCell ref="K1409:K1410"/>
    <mergeCell ref="L1409:L1410"/>
    <mergeCell ref="M1409:M1410"/>
    <mergeCell ref="N1409:N1410"/>
    <mergeCell ref="A1409:A1410"/>
    <mergeCell ref="B1409:B1410"/>
    <mergeCell ref="C1409:C1410"/>
    <mergeCell ref="D1409:D1410"/>
    <mergeCell ref="E1409:E1410"/>
    <mergeCell ref="F1409:F1410"/>
    <mergeCell ref="I1413:M1413"/>
    <mergeCell ref="I1414:M1414"/>
    <mergeCell ref="A1415:E1415"/>
    <mergeCell ref="I1415:M1415"/>
    <mergeCell ref="A1416:E1416"/>
    <mergeCell ref="A1417:E1417"/>
    <mergeCell ref="A1413:A1414"/>
    <mergeCell ref="B1413:B1414"/>
    <mergeCell ref="C1413:C1414"/>
    <mergeCell ref="D1413:D1414"/>
    <mergeCell ref="E1413:E1414"/>
    <mergeCell ref="F1413:F1414"/>
    <mergeCell ref="I1411:I1412"/>
    <mergeCell ref="J1411:J1412"/>
    <mergeCell ref="K1411:K1412"/>
    <mergeCell ref="L1411:L1412"/>
    <mergeCell ref="M1411:M1412"/>
    <mergeCell ref="N1438:N1439"/>
    <mergeCell ref="O1438:P1438"/>
    <mergeCell ref="A1439:A1440"/>
    <mergeCell ref="B1439:B1440"/>
    <mergeCell ref="C1439:C1440"/>
    <mergeCell ref="D1439:D1440"/>
    <mergeCell ref="E1439:E1440"/>
    <mergeCell ref="F1439:F1440"/>
    <mergeCell ref="G1439:H1439"/>
    <mergeCell ref="I1440:I1441"/>
    <mergeCell ref="I1421:L1421"/>
    <mergeCell ref="A1423:D1423"/>
    <mergeCell ref="N1426:P1426"/>
    <mergeCell ref="I1436:P1436"/>
    <mergeCell ref="A1437:H1437"/>
    <mergeCell ref="I1438:I1439"/>
    <mergeCell ref="J1438:J1439"/>
    <mergeCell ref="K1438:K1439"/>
    <mergeCell ref="L1438:L1439"/>
    <mergeCell ref="M1438:M1439"/>
    <mergeCell ref="N1442:N1443"/>
    <mergeCell ref="A1443:A1444"/>
    <mergeCell ref="B1443:B1444"/>
    <mergeCell ref="C1443:C1444"/>
    <mergeCell ref="D1443:D1444"/>
    <mergeCell ref="E1443:E1444"/>
    <mergeCell ref="F1443:F1444"/>
    <mergeCell ref="I1444:I1445"/>
    <mergeCell ref="J1444:J1445"/>
    <mergeCell ref="K1444:K1445"/>
    <mergeCell ref="F1441:F1442"/>
    <mergeCell ref="I1442:I1443"/>
    <mergeCell ref="J1442:J1443"/>
    <mergeCell ref="K1442:K1443"/>
    <mergeCell ref="L1442:L1443"/>
    <mergeCell ref="M1442:M1443"/>
    <mergeCell ref="J1440:J1441"/>
    <mergeCell ref="K1440:K1441"/>
    <mergeCell ref="L1440:L1441"/>
    <mergeCell ref="M1440:M1441"/>
    <mergeCell ref="N1440:N1441"/>
    <mergeCell ref="A1441:A1442"/>
    <mergeCell ref="B1441:B1442"/>
    <mergeCell ref="C1441:C1442"/>
    <mergeCell ref="D1441:D1442"/>
    <mergeCell ref="E1441:E1442"/>
    <mergeCell ref="J1446:J1447"/>
    <mergeCell ref="K1446:K1447"/>
    <mergeCell ref="L1446:L1447"/>
    <mergeCell ref="M1446:M1447"/>
    <mergeCell ref="N1446:N1447"/>
    <mergeCell ref="I1448:I1449"/>
    <mergeCell ref="J1448:J1449"/>
    <mergeCell ref="K1448:K1449"/>
    <mergeCell ref="L1448:L1449"/>
    <mergeCell ref="M1448:M1449"/>
    <mergeCell ref="L1444:L1445"/>
    <mergeCell ref="M1444:M1445"/>
    <mergeCell ref="N1444:N1445"/>
    <mergeCell ref="A1445:A1448"/>
    <mergeCell ref="B1445:B1448"/>
    <mergeCell ref="C1445:C1448"/>
    <mergeCell ref="D1445:D1448"/>
    <mergeCell ref="E1445:E1448"/>
    <mergeCell ref="F1445:F1448"/>
    <mergeCell ref="I1446:I1447"/>
    <mergeCell ref="L1450:L1451"/>
    <mergeCell ref="M1450:M1451"/>
    <mergeCell ref="N1450:N1451"/>
    <mergeCell ref="A1451:A1452"/>
    <mergeCell ref="B1451:B1452"/>
    <mergeCell ref="C1451:C1452"/>
    <mergeCell ref="D1451:D1452"/>
    <mergeCell ref="E1451:E1452"/>
    <mergeCell ref="F1451:F1452"/>
    <mergeCell ref="I1452:M1452"/>
    <mergeCell ref="N1448:N1449"/>
    <mergeCell ref="A1449:A1450"/>
    <mergeCell ref="B1449:B1450"/>
    <mergeCell ref="C1449:C1450"/>
    <mergeCell ref="D1449:D1450"/>
    <mergeCell ref="E1449:E1450"/>
    <mergeCell ref="F1449:F1450"/>
    <mergeCell ref="I1450:I1451"/>
    <mergeCell ref="J1450:J1451"/>
    <mergeCell ref="K1450:K1451"/>
    <mergeCell ref="I1479:I1480"/>
    <mergeCell ref="J1479:J1480"/>
    <mergeCell ref="K1479:K1480"/>
    <mergeCell ref="L1479:L1480"/>
    <mergeCell ref="M1479:M1480"/>
    <mergeCell ref="N1479:N1480"/>
    <mergeCell ref="A1461:D1461"/>
    <mergeCell ref="N1465:P1465"/>
    <mergeCell ref="I1475:P1475"/>
    <mergeCell ref="I1477:I1478"/>
    <mergeCell ref="J1477:J1478"/>
    <mergeCell ref="K1477:K1478"/>
    <mergeCell ref="L1477:L1478"/>
    <mergeCell ref="M1477:M1478"/>
    <mergeCell ref="N1477:N1478"/>
    <mergeCell ref="O1477:P1477"/>
    <mergeCell ref="A1453:E1453"/>
    <mergeCell ref="I1453:M1453"/>
    <mergeCell ref="A1454:E1454"/>
    <mergeCell ref="I1454:M1454"/>
    <mergeCell ref="A1455:E1455"/>
    <mergeCell ref="I1460:L1460"/>
    <mergeCell ref="I1485:I1486"/>
    <mergeCell ref="J1485:J1486"/>
    <mergeCell ref="K1485:K1486"/>
    <mergeCell ref="L1485:L1486"/>
    <mergeCell ref="M1485:M1486"/>
    <mergeCell ref="N1485:N1486"/>
    <mergeCell ref="I1483:I1484"/>
    <mergeCell ref="J1483:J1484"/>
    <mergeCell ref="K1483:K1484"/>
    <mergeCell ref="L1483:L1484"/>
    <mergeCell ref="M1483:M1484"/>
    <mergeCell ref="N1483:N1484"/>
    <mergeCell ref="I1481:I1482"/>
    <mergeCell ref="J1481:J1482"/>
    <mergeCell ref="K1481:K1482"/>
    <mergeCell ref="L1481:L1482"/>
    <mergeCell ref="M1481:M1482"/>
    <mergeCell ref="N1481:N1482"/>
    <mergeCell ref="I1491:M1491"/>
    <mergeCell ref="I1492:M1492"/>
    <mergeCell ref="I1493:M1493"/>
    <mergeCell ref="I1499:L1499"/>
    <mergeCell ref="N1504:P1504"/>
    <mergeCell ref="I1514:P1514"/>
    <mergeCell ref="I1489:I1490"/>
    <mergeCell ref="J1489:J1490"/>
    <mergeCell ref="K1489:K1490"/>
    <mergeCell ref="L1489:L1490"/>
    <mergeCell ref="M1489:M1490"/>
    <mergeCell ref="N1489:N1490"/>
    <mergeCell ref="I1487:I1488"/>
    <mergeCell ref="J1487:J1488"/>
    <mergeCell ref="K1487:K1488"/>
    <mergeCell ref="L1487:L1488"/>
    <mergeCell ref="M1487:M1488"/>
    <mergeCell ref="N1487:N1488"/>
    <mergeCell ref="I1522:I1523"/>
    <mergeCell ref="J1522:J1523"/>
    <mergeCell ref="K1522:K1523"/>
    <mergeCell ref="L1522:L1523"/>
    <mergeCell ref="M1522:M1523"/>
    <mergeCell ref="N1522:N1523"/>
    <mergeCell ref="I1520:I1521"/>
    <mergeCell ref="J1520:J1521"/>
    <mergeCell ref="K1520:K1521"/>
    <mergeCell ref="L1520:L1521"/>
    <mergeCell ref="M1520:M1521"/>
    <mergeCell ref="N1520:N1521"/>
    <mergeCell ref="O1516:P1516"/>
    <mergeCell ref="I1518:I1519"/>
    <mergeCell ref="J1518:J1519"/>
    <mergeCell ref="K1518:K1519"/>
    <mergeCell ref="L1518:L1519"/>
    <mergeCell ref="M1518:M1519"/>
    <mergeCell ref="N1518:N1519"/>
    <mergeCell ref="I1516:I1517"/>
    <mergeCell ref="J1516:J1517"/>
    <mergeCell ref="K1516:K1517"/>
    <mergeCell ref="L1516:L1517"/>
    <mergeCell ref="M1516:M1517"/>
    <mergeCell ref="N1516:N1517"/>
    <mergeCell ref="I1528:M1528"/>
    <mergeCell ref="I1529:M1529"/>
    <mergeCell ref="I1530:M1530"/>
    <mergeCell ref="I1536:L1536"/>
    <mergeCell ref="I1551:P1551"/>
    <mergeCell ref="I1553:I1554"/>
    <mergeCell ref="J1553:J1554"/>
    <mergeCell ref="K1553:K1554"/>
    <mergeCell ref="L1553:L1554"/>
    <mergeCell ref="M1553:M1554"/>
    <mergeCell ref="I1526:I1527"/>
    <mergeCell ref="J1526:J1527"/>
    <mergeCell ref="K1526:K1527"/>
    <mergeCell ref="L1526:L1527"/>
    <mergeCell ref="M1526:M1527"/>
    <mergeCell ref="N1526:N1527"/>
    <mergeCell ref="I1524:I1525"/>
    <mergeCell ref="J1524:J1525"/>
    <mergeCell ref="K1524:K1525"/>
    <mergeCell ref="L1524:L1525"/>
    <mergeCell ref="M1524:M1525"/>
    <mergeCell ref="N1524:N1525"/>
    <mergeCell ref="I1559:I1560"/>
    <mergeCell ref="J1559:J1560"/>
    <mergeCell ref="K1559:K1560"/>
    <mergeCell ref="L1559:L1560"/>
    <mergeCell ref="M1559:M1560"/>
    <mergeCell ref="N1559:N1560"/>
    <mergeCell ref="I1557:I1558"/>
    <mergeCell ref="J1557:J1558"/>
    <mergeCell ref="K1557:K1558"/>
    <mergeCell ref="L1557:L1558"/>
    <mergeCell ref="M1557:M1558"/>
    <mergeCell ref="N1557:N1558"/>
    <mergeCell ref="N1553:N1554"/>
    <mergeCell ref="O1553:P1553"/>
    <mergeCell ref="I1555:I1556"/>
    <mergeCell ref="J1555:J1556"/>
    <mergeCell ref="K1555:K1556"/>
    <mergeCell ref="L1555:L1556"/>
    <mergeCell ref="M1555:M1556"/>
    <mergeCell ref="N1555:N1556"/>
    <mergeCell ref="I1565:M1565"/>
    <mergeCell ref="I1566:M1566"/>
    <mergeCell ref="I1567:M1567"/>
    <mergeCell ref="I1573:L1573"/>
    <mergeCell ref="I1588:P1588"/>
    <mergeCell ref="I1590:I1591"/>
    <mergeCell ref="J1590:J1591"/>
    <mergeCell ref="K1590:K1591"/>
    <mergeCell ref="L1590:L1591"/>
    <mergeCell ref="M1590:M1591"/>
    <mergeCell ref="I1563:I1564"/>
    <mergeCell ref="J1563:J1564"/>
    <mergeCell ref="K1563:K1564"/>
    <mergeCell ref="L1563:L1564"/>
    <mergeCell ref="M1563:M1564"/>
    <mergeCell ref="N1563:N1564"/>
    <mergeCell ref="I1561:I1562"/>
    <mergeCell ref="J1561:J1562"/>
    <mergeCell ref="K1561:K1562"/>
    <mergeCell ref="L1561:L1562"/>
    <mergeCell ref="M1561:M1562"/>
    <mergeCell ref="N1561:N1562"/>
    <mergeCell ref="I1596:I1597"/>
    <mergeCell ref="J1596:J1597"/>
    <mergeCell ref="K1596:K1597"/>
    <mergeCell ref="L1596:L1597"/>
    <mergeCell ref="M1596:M1597"/>
    <mergeCell ref="N1596:N1597"/>
    <mergeCell ref="I1594:I1595"/>
    <mergeCell ref="J1594:J1595"/>
    <mergeCell ref="K1594:K1595"/>
    <mergeCell ref="L1594:L1595"/>
    <mergeCell ref="M1594:M1595"/>
    <mergeCell ref="N1594:N1595"/>
    <mergeCell ref="N1590:N1591"/>
    <mergeCell ref="O1590:P1590"/>
    <mergeCell ref="I1592:I1593"/>
    <mergeCell ref="J1592:J1593"/>
    <mergeCell ref="K1592:K1593"/>
    <mergeCell ref="L1592:L1593"/>
    <mergeCell ref="M1592:M1593"/>
    <mergeCell ref="N1592:N1593"/>
    <mergeCell ref="I1602:M1602"/>
    <mergeCell ref="I1603:M1603"/>
    <mergeCell ref="I1604:M1604"/>
    <mergeCell ref="I1610:L1610"/>
    <mergeCell ref="I1625:P1625"/>
    <mergeCell ref="I1627:I1628"/>
    <mergeCell ref="J1627:J1628"/>
    <mergeCell ref="K1627:K1628"/>
    <mergeCell ref="L1627:L1628"/>
    <mergeCell ref="M1627:M1628"/>
    <mergeCell ref="I1600:I1601"/>
    <mergeCell ref="J1600:J1601"/>
    <mergeCell ref="K1600:K1601"/>
    <mergeCell ref="L1600:L1601"/>
    <mergeCell ref="M1600:M1601"/>
    <mergeCell ref="N1600:N1601"/>
    <mergeCell ref="I1598:I1599"/>
    <mergeCell ref="J1598:J1599"/>
    <mergeCell ref="K1598:K1599"/>
    <mergeCell ref="L1598:L1599"/>
    <mergeCell ref="M1598:M1599"/>
    <mergeCell ref="N1598:N1599"/>
    <mergeCell ref="I1633:I1634"/>
    <mergeCell ref="J1633:J1634"/>
    <mergeCell ref="K1633:K1634"/>
    <mergeCell ref="L1633:L1634"/>
    <mergeCell ref="M1633:M1634"/>
    <mergeCell ref="N1633:N1634"/>
    <mergeCell ref="I1631:I1632"/>
    <mergeCell ref="J1631:J1632"/>
    <mergeCell ref="K1631:K1632"/>
    <mergeCell ref="L1631:L1632"/>
    <mergeCell ref="M1631:M1632"/>
    <mergeCell ref="N1631:N1632"/>
    <mergeCell ref="N1627:N1628"/>
    <mergeCell ref="O1627:P1627"/>
    <mergeCell ref="I1629:I1630"/>
    <mergeCell ref="J1629:J1630"/>
    <mergeCell ref="K1629:K1630"/>
    <mergeCell ref="L1629:L1630"/>
    <mergeCell ref="M1629:M1630"/>
    <mergeCell ref="N1629:N1630"/>
    <mergeCell ref="I1639:M1639"/>
    <mergeCell ref="I1640:M1640"/>
    <mergeCell ref="I1641:M1641"/>
    <mergeCell ref="I1647:L1647"/>
    <mergeCell ref="I1662:P1662"/>
    <mergeCell ref="I1664:I1665"/>
    <mergeCell ref="J1664:J1665"/>
    <mergeCell ref="K1664:K1665"/>
    <mergeCell ref="L1664:L1665"/>
    <mergeCell ref="M1664:M1665"/>
    <mergeCell ref="I1637:I1638"/>
    <mergeCell ref="J1637:J1638"/>
    <mergeCell ref="K1637:K1638"/>
    <mergeCell ref="L1637:L1638"/>
    <mergeCell ref="M1637:M1638"/>
    <mergeCell ref="N1637:N1638"/>
    <mergeCell ref="I1635:I1636"/>
    <mergeCell ref="J1635:J1636"/>
    <mergeCell ref="K1635:K1636"/>
    <mergeCell ref="L1635:L1636"/>
    <mergeCell ref="M1635:M1636"/>
    <mergeCell ref="N1635:N1636"/>
    <mergeCell ref="I1670:I1671"/>
    <mergeCell ref="J1670:J1671"/>
    <mergeCell ref="K1670:K1671"/>
    <mergeCell ref="L1670:L1671"/>
    <mergeCell ref="M1670:M1671"/>
    <mergeCell ref="N1670:N1671"/>
    <mergeCell ref="I1668:I1669"/>
    <mergeCell ref="J1668:J1669"/>
    <mergeCell ref="K1668:K1669"/>
    <mergeCell ref="L1668:L1669"/>
    <mergeCell ref="M1668:M1669"/>
    <mergeCell ref="N1668:N1669"/>
    <mergeCell ref="N1664:N1665"/>
    <mergeCell ref="O1664:P1664"/>
    <mergeCell ref="I1666:I1667"/>
    <mergeCell ref="J1666:J1667"/>
    <mergeCell ref="K1666:K1667"/>
    <mergeCell ref="L1666:L1667"/>
    <mergeCell ref="M1666:M1667"/>
    <mergeCell ref="N1666:N1667"/>
    <mergeCell ref="I1676:M1676"/>
    <mergeCell ref="I1677:M1677"/>
    <mergeCell ref="I1678:M1678"/>
    <mergeCell ref="I1684:L1684"/>
    <mergeCell ref="I1699:P1699"/>
    <mergeCell ref="I1701:I1702"/>
    <mergeCell ref="J1701:J1702"/>
    <mergeCell ref="K1701:K1702"/>
    <mergeCell ref="L1701:L1702"/>
    <mergeCell ref="M1701:M1702"/>
    <mergeCell ref="I1674:I1675"/>
    <mergeCell ref="J1674:J1675"/>
    <mergeCell ref="K1674:K1675"/>
    <mergeCell ref="L1674:L1675"/>
    <mergeCell ref="M1674:M1675"/>
    <mergeCell ref="N1674:N1675"/>
    <mergeCell ref="I1672:I1673"/>
    <mergeCell ref="J1672:J1673"/>
    <mergeCell ref="K1672:K1673"/>
    <mergeCell ref="L1672:L1673"/>
    <mergeCell ref="M1672:M1673"/>
    <mergeCell ref="N1672:N1673"/>
    <mergeCell ref="I1707:I1708"/>
    <mergeCell ref="J1707:J1708"/>
    <mergeCell ref="K1707:K1708"/>
    <mergeCell ref="L1707:L1708"/>
    <mergeCell ref="M1707:M1708"/>
    <mergeCell ref="N1707:N1708"/>
    <mergeCell ref="I1705:I1706"/>
    <mergeCell ref="J1705:J1706"/>
    <mergeCell ref="K1705:K1706"/>
    <mergeCell ref="L1705:L1706"/>
    <mergeCell ref="M1705:M1706"/>
    <mergeCell ref="N1705:N1706"/>
    <mergeCell ref="N1701:N1702"/>
    <mergeCell ref="O1701:P1701"/>
    <mergeCell ref="I1703:I1704"/>
    <mergeCell ref="J1703:J1704"/>
    <mergeCell ref="K1703:K1704"/>
    <mergeCell ref="L1703:L1704"/>
    <mergeCell ref="M1703:M1704"/>
    <mergeCell ref="N1703:N1704"/>
    <mergeCell ref="I1713:I1714"/>
    <mergeCell ref="J1713:J1714"/>
    <mergeCell ref="K1713:K1714"/>
    <mergeCell ref="L1713:L1714"/>
    <mergeCell ref="M1713:M1714"/>
    <mergeCell ref="N1713:N1714"/>
    <mergeCell ref="I1711:I1712"/>
    <mergeCell ref="J1711:J1712"/>
    <mergeCell ref="K1711:K1712"/>
    <mergeCell ref="L1711:L1712"/>
    <mergeCell ref="M1711:M1712"/>
    <mergeCell ref="N1711:N1712"/>
    <mergeCell ref="I1709:I1710"/>
    <mergeCell ref="J1709:J1710"/>
    <mergeCell ref="K1709:K1710"/>
    <mergeCell ref="L1709:L1710"/>
    <mergeCell ref="M1709:M1710"/>
    <mergeCell ref="N1709:N1710"/>
    <mergeCell ref="I1744:I1745"/>
    <mergeCell ref="J1744:J1745"/>
    <mergeCell ref="K1744:K1745"/>
    <mergeCell ref="L1744:L1745"/>
    <mergeCell ref="M1744:M1745"/>
    <mergeCell ref="N1744:N1745"/>
    <mergeCell ref="N1740:N1741"/>
    <mergeCell ref="O1740:P1740"/>
    <mergeCell ref="I1742:I1743"/>
    <mergeCell ref="J1742:J1743"/>
    <mergeCell ref="K1742:K1743"/>
    <mergeCell ref="L1742:L1743"/>
    <mergeCell ref="M1742:M1743"/>
    <mergeCell ref="N1742:N1743"/>
    <mergeCell ref="I1715:M1715"/>
    <mergeCell ref="I1716:M1716"/>
    <mergeCell ref="I1717:M1717"/>
    <mergeCell ref="I1723:L1723"/>
    <mergeCell ref="I1738:P1738"/>
    <mergeCell ref="I1740:I1741"/>
    <mergeCell ref="J1740:J1741"/>
    <mergeCell ref="K1740:K1741"/>
    <mergeCell ref="L1740:L1741"/>
    <mergeCell ref="M1740:M1741"/>
    <mergeCell ref="I1750:I1751"/>
    <mergeCell ref="J1750:J1751"/>
    <mergeCell ref="K1750:K1751"/>
    <mergeCell ref="L1750:L1751"/>
    <mergeCell ref="M1750:M1751"/>
    <mergeCell ref="N1750:N1751"/>
    <mergeCell ref="I1748:I1749"/>
    <mergeCell ref="J1748:J1749"/>
    <mergeCell ref="K1748:K1749"/>
    <mergeCell ref="L1748:L1749"/>
    <mergeCell ref="M1748:M1749"/>
    <mergeCell ref="N1748:N1749"/>
    <mergeCell ref="I1746:I1747"/>
    <mergeCell ref="J1746:J1747"/>
    <mergeCell ref="K1746:K1747"/>
    <mergeCell ref="L1746:L1747"/>
    <mergeCell ref="M1746:M1747"/>
    <mergeCell ref="N1746:N1747"/>
    <mergeCell ref="I1781:I1782"/>
    <mergeCell ref="J1781:J1782"/>
    <mergeCell ref="K1781:K1782"/>
    <mergeCell ref="L1781:L1782"/>
    <mergeCell ref="M1781:M1782"/>
    <mergeCell ref="N1781:N1782"/>
    <mergeCell ref="N1777:N1778"/>
    <mergeCell ref="O1777:P1777"/>
    <mergeCell ref="I1779:I1780"/>
    <mergeCell ref="J1779:J1780"/>
    <mergeCell ref="K1779:K1780"/>
    <mergeCell ref="L1779:L1780"/>
    <mergeCell ref="M1779:M1780"/>
    <mergeCell ref="N1779:N1780"/>
    <mergeCell ref="I1752:M1752"/>
    <mergeCell ref="I1753:M1753"/>
    <mergeCell ref="I1754:M1754"/>
    <mergeCell ref="I1760:L1760"/>
    <mergeCell ref="I1775:P1775"/>
    <mergeCell ref="I1777:I1778"/>
    <mergeCell ref="J1777:J1778"/>
    <mergeCell ref="K1777:K1778"/>
    <mergeCell ref="L1777:L1778"/>
    <mergeCell ref="M1777:M1778"/>
    <mergeCell ref="I1787:I1788"/>
    <mergeCell ref="J1787:J1788"/>
    <mergeCell ref="K1787:K1788"/>
    <mergeCell ref="L1787:L1788"/>
    <mergeCell ref="M1787:M1788"/>
    <mergeCell ref="N1787:N1788"/>
    <mergeCell ref="I1785:I1786"/>
    <mergeCell ref="J1785:J1786"/>
    <mergeCell ref="K1785:K1786"/>
    <mergeCell ref="L1785:L1786"/>
    <mergeCell ref="M1785:M1786"/>
    <mergeCell ref="N1785:N1786"/>
    <mergeCell ref="I1783:I1784"/>
    <mergeCell ref="J1783:J1784"/>
    <mergeCell ref="K1783:K1784"/>
    <mergeCell ref="L1783:L1784"/>
    <mergeCell ref="M1783:M1784"/>
    <mergeCell ref="N1783:N1784"/>
    <mergeCell ref="I1818:I1819"/>
    <mergeCell ref="J1818:J1819"/>
    <mergeCell ref="K1818:K1819"/>
    <mergeCell ref="L1818:L1819"/>
    <mergeCell ref="M1818:M1819"/>
    <mergeCell ref="N1818:N1819"/>
    <mergeCell ref="N1814:N1815"/>
    <mergeCell ref="O1814:P1814"/>
    <mergeCell ref="I1816:I1817"/>
    <mergeCell ref="J1816:J1817"/>
    <mergeCell ref="K1816:K1817"/>
    <mergeCell ref="L1816:L1817"/>
    <mergeCell ref="M1816:M1817"/>
    <mergeCell ref="N1816:N1817"/>
    <mergeCell ref="I1789:M1789"/>
    <mergeCell ref="I1790:M1790"/>
    <mergeCell ref="I1791:M1791"/>
    <mergeCell ref="I1797:L1797"/>
    <mergeCell ref="I1812:P1812"/>
    <mergeCell ref="I1814:I1815"/>
    <mergeCell ref="J1814:J1815"/>
    <mergeCell ref="K1814:K1815"/>
    <mergeCell ref="L1814:L1815"/>
    <mergeCell ref="M1814:M1815"/>
    <mergeCell ref="I1824:I1825"/>
    <mergeCell ref="J1824:J1825"/>
    <mergeCell ref="K1824:K1825"/>
    <mergeCell ref="L1824:L1825"/>
    <mergeCell ref="M1824:M1825"/>
    <mergeCell ref="N1824:N1825"/>
    <mergeCell ref="I1822:I1823"/>
    <mergeCell ref="J1822:J1823"/>
    <mergeCell ref="K1822:K1823"/>
    <mergeCell ref="L1822:L1823"/>
    <mergeCell ref="M1822:M1823"/>
    <mergeCell ref="N1822:N1823"/>
    <mergeCell ref="I1820:I1821"/>
    <mergeCell ref="J1820:J1821"/>
    <mergeCell ref="K1820:K1821"/>
    <mergeCell ref="L1820:L1821"/>
    <mergeCell ref="M1820:M1821"/>
    <mergeCell ref="N1820:N1821"/>
    <mergeCell ref="I1855:I1856"/>
    <mergeCell ref="J1855:J1856"/>
    <mergeCell ref="K1855:K1856"/>
    <mergeCell ref="L1855:L1856"/>
    <mergeCell ref="M1855:M1856"/>
    <mergeCell ref="N1855:N1856"/>
    <mergeCell ref="N1851:N1852"/>
    <mergeCell ref="O1851:P1851"/>
    <mergeCell ref="I1853:I1854"/>
    <mergeCell ref="J1853:J1854"/>
    <mergeCell ref="K1853:K1854"/>
    <mergeCell ref="L1853:L1854"/>
    <mergeCell ref="M1853:M1854"/>
    <mergeCell ref="N1853:N1854"/>
    <mergeCell ref="I1826:M1826"/>
    <mergeCell ref="I1827:M1827"/>
    <mergeCell ref="I1828:M1828"/>
    <mergeCell ref="I1834:L1834"/>
    <mergeCell ref="I1849:P1849"/>
    <mergeCell ref="I1851:I1852"/>
    <mergeCell ref="J1851:J1852"/>
    <mergeCell ref="K1851:K1852"/>
    <mergeCell ref="L1851:L1852"/>
    <mergeCell ref="M1851:M1852"/>
    <mergeCell ref="I1861:I1862"/>
    <mergeCell ref="J1861:J1862"/>
    <mergeCell ref="K1861:K1862"/>
    <mergeCell ref="L1861:L1862"/>
    <mergeCell ref="M1861:M1862"/>
    <mergeCell ref="N1861:N1862"/>
    <mergeCell ref="I1859:I1860"/>
    <mergeCell ref="J1859:J1860"/>
    <mergeCell ref="K1859:K1860"/>
    <mergeCell ref="L1859:L1860"/>
    <mergeCell ref="M1859:M1860"/>
    <mergeCell ref="N1859:N1860"/>
    <mergeCell ref="I1857:I1858"/>
    <mergeCell ref="J1857:J1858"/>
    <mergeCell ref="K1857:K1858"/>
    <mergeCell ref="L1857:L1858"/>
    <mergeCell ref="M1857:M1858"/>
    <mergeCell ref="N1857:N1858"/>
    <mergeCell ref="I1892:I1893"/>
    <mergeCell ref="J1892:J1893"/>
    <mergeCell ref="K1892:K1893"/>
    <mergeCell ref="L1892:L1893"/>
    <mergeCell ref="M1892:M1893"/>
    <mergeCell ref="N1892:N1893"/>
    <mergeCell ref="N1888:N1889"/>
    <mergeCell ref="O1888:P1888"/>
    <mergeCell ref="I1890:I1891"/>
    <mergeCell ref="J1890:J1891"/>
    <mergeCell ref="K1890:K1891"/>
    <mergeCell ref="L1890:L1891"/>
    <mergeCell ref="M1890:M1891"/>
    <mergeCell ref="N1890:N1891"/>
    <mergeCell ref="I1863:M1863"/>
    <mergeCell ref="I1864:M1864"/>
    <mergeCell ref="I1865:M1865"/>
    <mergeCell ref="I1871:L1871"/>
    <mergeCell ref="I1886:P1886"/>
    <mergeCell ref="I1888:I1889"/>
    <mergeCell ref="J1888:J1889"/>
    <mergeCell ref="K1888:K1889"/>
    <mergeCell ref="L1888:L1889"/>
    <mergeCell ref="M1888:M1889"/>
    <mergeCell ref="I1898:I1899"/>
    <mergeCell ref="J1898:J1899"/>
    <mergeCell ref="K1898:K1899"/>
    <mergeCell ref="L1898:L1899"/>
    <mergeCell ref="M1898:M1899"/>
    <mergeCell ref="N1898:N1899"/>
    <mergeCell ref="I1896:I1897"/>
    <mergeCell ref="J1896:J1897"/>
    <mergeCell ref="K1896:K1897"/>
    <mergeCell ref="L1896:L1897"/>
    <mergeCell ref="M1896:M1897"/>
    <mergeCell ref="N1896:N1897"/>
    <mergeCell ref="I1894:I1895"/>
    <mergeCell ref="J1894:J1895"/>
    <mergeCell ref="K1894:K1895"/>
    <mergeCell ref="L1894:L1895"/>
    <mergeCell ref="M1894:M1895"/>
    <mergeCell ref="N1894:N1895"/>
    <mergeCell ref="I1929:I1930"/>
    <mergeCell ref="J1929:J1930"/>
    <mergeCell ref="K1929:K1930"/>
    <mergeCell ref="L1929:L1930"/>
    <mergeCell ref="M1929:M1930"/>
    <mergeCell ref="N1929:N1930"/>
    <mergeCell ref="N1925:N1926"/>
    <mergeCell ref="O1925:P1925"/>
    <mergeCell ref="I1927:I1928"/>
    <mergeCell ref="J1927:J1928"/>
    <mergeCell ref="K1927:K1928"/>
    <mergeCell ref="L1927:L1928"/>
    <mergeCell ref="M1927:M1928"/>
    <mergeCell ref="N1927:N1928"/>
    <mergeCell ref="I1900:M1900"/>
    <mergeCell ref="I1901:M1901"/>
    <mergeCell ref="I1902:M1902"/>
    <mergeCell ref="I1908:L1908"/>
    <mergeCell ref="I1923:P1923"/>
    <mergeCell ref="I1925:I1926"/>
    <mergeCell ref="J1925:J1926"/>
    <mergeCell ref="K1925:K1926"/>
    <mergeCell ref="L1925:L1926"/>
    <mergeCell ref="M1925:M1926"/>
    <mergeCell ref="I1935:I1936"/>
    <mergeCell ref="J1935:J1936"/>
    <mergeCell ref="K1935:K1936"/>
    <mergeCell ref="L1935:L1936"/>
    <mergeCell ref="M1935:M1936"/>
    <mergeCell ref="N1935:N1936"/>
    <mergeCell ref="I1933:I1934"/>
    <mergeCell ref="J1933:J1934"/>
    <mergeCell ref="K1933:K1934"/>
    <mergeCell ref="L1933:L1934"/>
    <mergeCell ref="M1933:M1934"/>
    <mergeCell ref="N1933:N1934"/>
    <mergeCell ref="I1931:I1932"/>
    <mergeCell ref="J1931:J1932"/>
    <mergeCell ref="K1931:K1932"/>
    <mergeCell ref="L1931:L1932"/>
    <mergeCell ref="M1931:M1932"/>
    <mergeCell ref="N1931:N1932"/>
    <mergeCell ref="I1966:I1967"/>
    <mergeCell ref="J1966:J1967"/>
    <mergeCell ref="K1966:K1967"/>
    <mergeCell ref="L1966:L1967"/>
    <mergeCell ref="M1966:M1967"/>
    <mergeCell ref="N1966:N1967"/>
    <mergeCell ref="N1962:N1963"/>
    <mergeCell ref="O1962:P1962"/>
    <mergeCell ref="I1964:I1965"/>
    <mergeCell ref="J1964:J1965"/>
    <mergeCell ref="K1964:K1965"/>
    <mergeCell ref="L1964:L1965"/>
    <mergeCell ref="M1964:M1965"/>
    <mergeCell ref="N1964:N1965"/>
    <mergeCell ref="I1937:M1937"/>
    <mergeCell ref="I1938:M1938"/>
    <mergeCell ref="I1939:M1939"/>
    <mergeCell ref="I1945:L1945"/>
    <mergeCell ref="I1960:P1960"/>
    <mergeCell ref="I1962:I1963"/>
    <mergeCell ref="J1962:J1963"/>
    <mergeCell ref="K1962:K1963"/>
    <mergeCell ref="L1962:L1963"/>
    <mergeCell ref="M1962:M1963"/>
    <mergeCell ref="I1972:I1973"/>
    <mergeCell ref="J1972:J1973"/>
    <mergeCell ref="K1972:K1973"/>
    <mergeCell ref="L1972:L1973"/>
    <mergeCell ref="M1972:M1973"/>
    <mergeCell ref="N1972:N1973"/>
    <mergeCell ref="I1970:I1971"/>
    <mergeCell ref="J1970:J1971"/>
    <mergeCell ref="K1970:K1971"/>
    <mergeCell ref="L1970:L1971"/>
    <mergeCell ref="M1970:M1971"/>
    <mergeCell ref="N1970:N1971"/>
    <mergeCell ref="I1968:I1969"/>
    <mergeCell ref="J1968:J1969"/>
    <mergeCell ref="K1968:K1969"/>
    <mergeCell ref="L1968:L1969"/>
    <mergeCell ref="M1968:M1969"/>
    <mergeCell ref="N1968:N1969"/>
    <mergeCell ref="I2003:I2004"/>
    <mergeCell ref="J2003:J2004"/>
    <mergeCell ref="K2003:K2004"/>
    <mergeCell ref="L2003:L2004"/>
    <mergeCell ref="M2003:M2004"/>
    <mergeCell ref="N2003:N2004"/>
    <mergeCell ref="N1999:N2000"/>
    <mergeCell ref="O1999:P1999"/>
    <mergeCell ref="I2001:I2002"/>
    <mergeCell ref="J2001:J2002"/>
    <mergeCell ref="K2001:K2002"/>
    <mergeCell ref="L2001:L2002"/>
    <mergeCell ref="M2001:M2002"/>
    <mergeCell ref="N2001:N2002"/>
    <mergeCell ref="I1974:M1974"/>
    <mergeCell ref="I1975:M1975"/>
    <mergeCell ref="I1976:M1976"/>
    <mergeCell ref="I1982:L1982"/>
    <mergeCell ref="I1997:P1997"/>
    <mergeCell ref="I1999:I2000"/>
    <mergeCell ref="J1999:J2000"/>
    <mergeCell ref="K1999:K2000"/>
    <mergeCell ref="L1999:L2000"/>
    <mergeCell ref="M1999:M2000"/>
    <mergeCell ref="I2009:I2010"/>
    <mergeCell ref="J2009:J2010"/>
    <mergeCell ref="K2009:K2010"/>
    <mergeCell ref="L2009:L2010"/>
    <mergeCell ref="M2009:M2010"/>
    <mergeCell ref="N2009:N2010"/>
    <mergeCell ref="I2007:I2008"/>
    <mergeCell ref="J2007:J2008"/>
    <mergeCell ref="K2007:K2008"/>
    <mergeCell ref="L2007:L2008"/>
    <mergeCell ref="M2007:M2008"/>
    <mergeCell ref="N2007:N2008"/>
    <mergeCell ref="I2005:I2006"/>
    <mergeCell ref="J2005:J2006"/>
    <mergeCell ref="K2005:K2006"/>
    <mergeCell ref="L2005:L2006"/>
    <mergeCell ref="M2005:M2006"/>
    <mergeCell ref="N2005:N2006"/>
    <mergeCell ref="I2040:I2041"/>
    <mergeCell ref="J2040:J2041"/>
    <mergeCell ref="K2040:K2041"/>
    <mergeCell ref="L2040:L2041"/>
    <mergeCell ref="M2040:M2041"/>
    <mergeCell ref="N2040:N2041"/>
    <mergeCell ref="N2036:N2037"/>
    <mergeCell ref="O2036:P2036"/>
    <mergeCell ref="I2038:I2039"/>
    <mergeCell ref="J2038:J2039"/>
    <mergeCell ref="K2038:K2039"/>
    <mergeCell ref="L2038:L2039"/>
    <mergeCell ref="M2038:M2039"/>
    <mergeCell ref="N2038:N2039"/>
    <mergeCell ref="I2011:M2011"/>
    <mergeCell ref="I2012:M2012"/>
    <mergeCell ref="I2013:M2013"/>
    <mergeCell ref="I2019:L2019"/>
    <mergeCell ref="I2034:P2034"/>
    <mergeCell ref="I2036:I2037"/>
    <mergeCell ref="J2036:J2037"/>
    <mergeCell ref="K2036:K2037"/>
    <mergeCell ref="L2036:L2037"/>
    <mergeCell ref="M2036:M2037"/>
    <mergeCell ref="I2046:I2047"/>
    <mergeCell ref="J2046:J2047"/>
    <mergeCell ref="K2046:K2047"/>
    <mergeCell ref="L2046:L2047"/>
    <mergeCell ref="M2046:M2047"/>
    <mergeCell ref="N2046:N2047"/>
    <mergeCell ref="I2044:I2045"/>
    <mergeCell ref="J2044:J2045"/>
    <mergeCell ref="K2044:K2045"/>
    <mergeCell ref="L2044:L2045"/>
    <mergeCell ref="M2044:M2045"/>
    <mergeCell ref="N2044:N2045"/>
    <mergeCell ref="I2042:I2043"/>
    <mergeCell ref="J2042:J2043"/>
    <mergeCell ref="K2042:K2043"/>
    <mergeCell ref="L2042:L2043"/>
    <mergeCell ref="M2042:M2043"/>
    <mergeCell ref="N2042:N2043"/>
    <mergeCell ref="I2077:I2078"/>
    <mergeCell ref="J2077:J2078"/>
    <mergeCell ref="K2077:K2078"/>
    <mergeCell ref="L2077:L2078"/>
    <mergeCell ref="M2077:M2078"/>
    <mergeCell ref="N2077:N2078"/>
    <mergeCell ref="N2073:N2074"/>
    <mergeCell ref="O2073:P2073"/>
    <mergeCell ref="I2075:I2076"/>
    <mergeCell ref="J2075:J2076"/>
    <mergeCell ref="K2075:K2076"/>
    <mergeCell ref="L2075:L2076"/>
    <mergeCell ref="M2075:M2076"/>
    <mergeCell ref="N2075:N2076"/>
    <mergeCell ref="I2048:M2048"/>
    <mergeCell ref="I2049:M2049"/>
    <mergeCell ref="I2050:M2050"/>
    <mergeCell ref="I2056:L2056"/>
    <mergeCell ref="I2071:P2071"/>
    <mergeCell ref="I2073:I2074"/>
    <mergeCell ref="J2073:J2074"/>
    <mergeCell ref="K2073:K2074"/>
    <mergeCell ref="L2073:L2074"/>
    <mergeCell ref="M2073:M2074"/>
    <mergeCell ref="I2083:I2084"/>
    <mergeCell ref="J2083:J2084"/>
    <mergeCell ref="K2083:K2084"/>
    <mergeCell ref="L2083:L2084"/>
    <mergeCell ref="M2083:M2084"/>
    <mergeCell ref="N2083:N2084"/>
    <mergeCell ref="I2081:I2082"/>
    <mergeCell ref="J2081:J2082"/>
    <mergeCell ref="K2081:K2082"/>
    <mergeCell ref="L2081:L2082"/>
    <mergeCell ref="M2081:M2082"/>
    <mergeCell ref="N2081:N2082"/>
    <mergeCell ref="I2079:I2080"/>
    <mergeCell ref="J2079:J2080"/>
    <mergeCell ref="K2079:K2080"/>
    <mergeCell ref="L2079:L2080"/>
    <mergeCell ref="M2079:M2080"/>
    <mergeCell ref="N2079:N2080"/>
    <mergeCell ref="I2114:I2115"/>
    <mergeCell ref="J2114:J2115"/>
    <mergeCell ref="K2114:K2115"/>
    <mergeCell ref="L2114:L2115"/>
    <mergeCell ref="M2114:M2115"/>
    <mergeCell ref="N2114:N2115"/>
    <mergeCell ref="N2110:N2111"/>
    <mergeCell ref="O2110:P2110"/>
    <mergeCell ref="I2112:I2113"/>
    <mergeCell ref="J2112:J2113"/>
    <mergeCell ref="K2112:K2113"/>
    <mergeCell ref="L2112:L2113"/>
    <mergeCell ref="M2112:M2113"/>
    <mergeCell ref="N2112:N2113"/>
    <mergeCell ref="I2085:M2085"/>
    <mergeCell ref="I2086:M2086"/>
    <mergeCell ref="I2087:M2087"/>
    <mergeCell ref="I2093:L2093"/>
    <mergeCell ref="I2108:P2108"/>
    <mergeCell ref="I2110:I2111"/>
    <mergeCell ref="J2110:J2111"/>
    <mergeCell ref="K2110:K2111"/>
    <mergeCell ref="L2110:L2111"/>
    <mergeCell ref="M2110:M2111"/>
    <mergeCell ref="I2120:I2121"/>
    <mergeCell ref="J2120:J2121"/>
    <mergeCell ref="K2120:K2121"/>
    <mergeCell ref="L2120:L2121"/>
    <mergeCell ref="M2120:M2121"/>
    <mergeCell ref="N2120:N2121"/>
    <mergeCell ref="I2118:I2119"/>
    <mergeCell ref="J2118:J2119"/>
    <mergeCell ref="K2118:K2119"/>
    <mergeCell ref="L2118:L2119"/>
    <mergeCell ref="M2118:M2119"/>
    <mergeCell ref="N2118:N2119"/>
    <mergeCell ref="I2116:I2117"/>
    <mergeCell ref="J2116:J2117"/>
    <mergeCell ref="K2116:K2117"/>
    <mergeCell ref="L2116:L2117"/>
    <mergeCell ref="M2116:M2117"/>
    <mergeCell ref="N2116:N2117"/>
    <mergeCell ref="N2147:N2148"/>
    <mergeCell ref="O2147:P2147"/>
    <mergeCell ref="I2149:I2150"/>
    <mergeCell ref="J2149:J2150"/>
    <mergeCell ref="K2149:K2150"/>
    <mergeCell ref="L2149:L2150"/>
    <mergeCell ref="M2149:M2150"/>
    <mergeCell ref="N2149:N2150"/>
    <mergeCell ref="I2122:M2122"/>
    <mergeCell ref="I2123:M2123"/>
    <mergeCell ref="I2124:M2124"/>
    <mergeCell ref="I2130:L2130"/>
    <mergeCell ref="I2145:P2145"/>
    <mergeCell ref="I2147:I2148"/>
    <mergeCell ref="J2147:J2148"/>
    <mergeCell ref="K2147:K2148"/>
    <mergeCell ref="L2147:L2148"/>
    <mergeCell ref="M2147:M2148"/>
    <mergeCell ref="I2155:I2156"/>
    <mergeCell ref="J2155:J2156"/>
    <mergeCell ref="K2155:K2156"/>
    <mergeCell ref="L2155:L2156"/>
    <mergeCell ref="M2155:M2156"/>
    <mergeCell ref="N2155:N2156"/>
    <mergeCell ref="I2153:I2154"/>
    <mergeCell ref="J2153:J2154"/>
    <mergeCell ref="K2153:K2154"/>
    <mergeCell ref="L2153:L2154"/>
    <mergeCell ref="M2153:M2154"/>
    <mergeCell ref="N2153:N2154"/>
    <mergeCell ref="I2151:I2152"/>
    <mergeCell ref="J2151:J2152"/>
    <mergeCell ref="K2151:K2152"/>
    <mergeCell ref="L2151:L2152"/>
    <mergeCell ref="M2151:M2152"/>
    <mergeCell ref="N2151:N2152"/>
    <mergeCell ref="I2161:M2161"/>
    <mergeCell ref="I2162:M2162"/>
    <mergeCell ref="I2163:M2163"/>
    <mergeCell ref="I2169:L2169"/>
    <mergeCell ref="I2184:P2184"/>
    <mergeCell ref="I2186:I2187"/>
    <mergeCell ref="J2186:J2187"/>
    <mergeCell ref="K2186:K2187"/>
    <mergeCell ref="L2186:L2187"/>
    <mergeCell ref="M2186:M2187"/>
    <mergeCell ref="I2159:I2160"/>
    <mergeCell ref="J2159:J2160"/>
    <mergeCell ref="K2159:K2160"/>
    <mergeCell ref="L2159:L2160"/>
    <mergeCell ref="M2159:M2160"/>
    <mergeCell ref="N2159:N2160"/>
    <mergeCell ref="I2157:I2158"/>
    <mergeCell ref="J2157:J2158"/>
    <mergeCell ref="K2157:K2158"/>
    <mergeCell ref="L2157:L2158"/>
    <mergeCell ref="M2157:M2158"/>
    <mergeCell ref="N2157:N2158"/>
    <mergeCell ref="I2192:I2193"/>
    <mergeCell ref="J2192:J2193"/>
    <mergeCell ref="K2192:K2193"/>
    <mergeCell ref="L2192:L2193"/>
    <mergeCell ref="M2192:M2193"/>
    <mergeCell ref="N2192:N2193"/>
    <mergeCell ref="I2190:I2191"/>
    <mergeCell ref="J2190:J2191"/>
    <mergeCell ref="K2190:K2191"/>
    <mergeCell ref="L2190:L2191"/>
    <mergeCell ref="M2190:M2191"/>
    <mergeCell ref="N2190:N2191"/>
    <mergeCell ref="N2186:N2187"/>
    <mergeCell ref="O2186:P2186"/>
    <mergeCell ref="I2188:I2189"/>
    <mergeCell ref="J2188:J2189"/>
    <mergeCell ref="K2188:K2189"/>
    <mergeCell ref="L2188:L2189"/>
    <mergeCell ref="M2188:M2189"/>
    <mergeCell ref="N2188:N2189"/>
    <mergeCell ref="I2198:M2198"/>
    <mergeCell ref="I2199:M2199"/>
    <mergeCell ref="I2200:M2200"/>
    <mergeCell ref="I2206:L2206"/>
    <mergeCell ref="I2221:P2221"/>
    <mergeCell ref="I2223:I2224"/>
    <mergeCell ref="J2223:J2224"/>
    <mergeCell ref="K2223:K2224"/>
    <mergeCell ref="L2223:L2224"/>
    <mergeCell ref="M2223:M2224"/>
    <mergeCell ref="I2196:I2197"/>
    <mergeCell ref="J2196:J2197"/>
    <mergeCell ref="K2196:K2197"/>
    <mergeCell ref="L2196:L2197"/>
    <mergeCell ref="M2196:M2197"/>
    <mergeCell ref="N2196:N2197"/>
    <mergeCell ref="I2194:I2195"/>
    <mergeCell ref="J2194:J2195"/>
    <mergeCell ref="K2194:K2195"/>
    <mergeCell ref="L2194:L2195"/>
    <mergeCell ref="M2194:M2195"/>
    <mergeCell ref="N2194:N2195"/>
    <mergeCell ref="I2229:I2230"/>
    <mergeCell ref="J2229:J2230"/>
    <mergeCell ref="K2229:K2230"/>
    <mergeCell ref="L2229:L2230"/>
    <mergeCell ref="M2229:M2230"/>
    <mergeCell ref="N2229:N2230"/>
    <mergeCell ref="I2227:I2228"/>
    <mergeCell ref="J2227:J2228"/>
    <mergeCell ref="K2227:K2228"/>
    <mergeCell ref="L2227:L2228"/>
    <mergeCell ref="M2227:M2228"/>
    <mergeCell ref="N2227:N2228"/>
    <mergeCell ref="N2223:N2224"/>
    <mergeCell ref="O2223:P2223"/>
    <mergeCell ref="I2225:I2226"/>
    <mergeCell ref="J2225:J2226"/>
    <mergeCell ref="K2225:K2226"/>
    <mergeCell ref="L2225:L2226"/>
    <mergeCell ref="M2225:M2226"/>
    <mergeCell ref="N2225:N2226"/>
    <mergeCell ref="I2235:M2235"/>
    <mergeCell ref="I2236:M2236"/>
    <mergeCell ref="I2237:M2237"/>
    <mergeCell ref="I2243:L2243"/>
    <mergeCell ref="I2258:P2258"/>
    <mergeCell ref="I2260:I2261"/>
    <mergeCell ref="J2260:J2261"/>
    <mergeCell ref="K2260:K2261"/>
    <mergeCell ref="L2260:L2261"/>
    <mergeCell ref="M2260:M2261"/>
    <mergeCell ref="I2233:I2234"/>
    <mergeCell ref="J2233:J2234"/>
    <mergeCell ref="K2233:K2234"/>
    <mergeCell ref="L2233:L2234"/>
    <mergeCell ref="M2233:M2234"/>
    <mergeCell ref="N2233:N2234"/>
    <mergeCell ref="I2231:I2232"/>
    <mergeCell ref="J2231:J2232"/>
    <mergeCell ref="K2231:K2232"/>
    <mergeCell ref="L2231:L2232"/>
    <mergeCell ref="M2231:M2232"/>
    <mergeCell ref="N2231:N2232"/>
    <mergeCell ref="I2266:I2267"/>
    <mergeCell ref="J2266:J2267"/>
    <mergeCell ref="K2266:K2267"/>
    <mergeCell ref="L2266:L2267"/>
    <mergeCell ref="M2266:M2267"/>
    <mergeCell ref="N2266:N2267"/>
    <mergeCell ref="I2264:I2265"/>
    <mergeCell ref="J2264:J2265"/>
    <mergeCell ref="K2264:K2265"/>
    <mergeCell ref="L2264:L2265"/>
    <mergeCell ref="M2264:M2265"/>
    <mergeCell ref="N2264:N2265"/>
    <mergeCell ref="N2260:N2261"/>
    <mergeCell ref="O2260:P2260"/>
    <mergeCell ref="I2262:I2263"/>
    <mergeCell ref="J2262:J2263"/>
    <mergeCell ref="K2262:K2263"/>
    <mergeCell ref="L2262:L2263"/>
    <mergeCell ref="M2262:M2263"/>
    <mergeCell ref="N2262:N2263"/>
    <mergeCell ref="I2272:M2272"/>
    <mergeCell ref="I2273:M2273"/>
    <mergeCell ref="I2274:M2274"/>
    <mergeCell ref="I2280:L2280"/>
    <mergeCell ref="I2295:P2295"/>
    <mergeCell ref="I2297:I2298"/>
    <mergeCell ref="J2297:J2298"/>
    <mergeCell ref="K2297:K2298"/>
    <mergeCell ref="L2297:L2298"/>
    <mergeCell ref="M2297:M2298"/>
    <mergeCell ref="I2270:I2271"/>
    <mergeCell ref="J2270:J2271"/>
    <mergeCell ref="K2270:K2271"/>
    <mergeCell ref="L2270:L2271"/>
    <mergeCell ref="M2270:M2271"/>
    <mergeCell ref="N2270:N2271"/>
    <mergeCell ref="I2268:I2269"/>
    <mergeCell ref="J2268:J2269"/>
    <mergeCell ref="K2268:K2269"/>
    <mergeCell ref="L2268:L2269"/>
    <mergeCell ref="M2268:M2269"/>
    <mergeCell ref="N2268:N2269"/>
    <mergeCell ref="I2303:I2304"/>
    <mergeCell ref="J2303:J2304"/>
    <mergeCell ref="K2303:K2304"/>
    <mergeCell ref="L2303:L2304"/>
    <mergeCell ref="M2303:M2304"/>
    <mergeCell ref="N2303:N2304"/>
    <mergeCell ref="I2301:I2302"/>
    <mergeCell ref="J2301:J2302"/>
    <mergeCell ref="K2301:K2302"/>
    <mergeCell ref="L2301:L2302"/>
    <mergeCell ref="M2301:M2302"/>
    <mergeCell ref="N2301:N2302"/>
    <mergeCell ref="N2297:N2298"/>
    <mergeCell ref="O2297:P2297"/>
    <mergeCell ref="I2299:I2300"/>
    <mergeCell ref="J2299:J2300"/>
    <mergeCell ref="K2299:K2300"/>
    <mergeCell ref="L2299:L2300"/>
    <mergeCell ref="M2299:M2300"/>
    <mergeCell ref="N2299:N2300"/>
    <mergeCell ref="I2309:M2309"/>
    <mergeCell ref="I2310:M2310"/>
    <mergeCell ref="I2311:M2311"/>
    <mergeCell ref="I2317:L2317"/>
    <mergeCell ref="I2332:P2332"/>
    <mergeCell ref="I2334:I2335"/>
    <mergeCell ref="J2334:J2335"/>
    <mergeCell ref="K2334:K2335"/>
    <mergeCell ref="L2334:L2335"/>
    <mergeCell ref="M2334:M2335"/>
    <mergeCell ref="I2307:I2308"/>
    <mergeCell ref="J2307:J2308"/>
    <mergeCell ref="K2307:K2308"/>
    <mergeCell ref="L2307:L2308"/>
    <mergeCell ref="M2307:M2308"/>
    <mergeCell ref="N2307:N2308"/>
    <mergeCell ref="I2305:I2306"/>
    <mergeCell ref="J2305:J2306"/>
    <mergeCell ref="K2305:K2306"/>
    <mergeCell ref="L2305:L2306"/>
    <mergeCell ref="M2305:M2306"/>
    <mergeCell ref="N2305:N2306"/>
    <mergeCell ref="I2340:I2341"/>
    <mergeCell ref="J2340:J2341"/>
    <mergeCell ref="K2340:K2341"/>
    <mergeCell ref="L2340:L2341"/>
    <mergeCell ref="M2340:M2341"/>
    <mergeCell ref="N2340:N2341"/>
    <mergeCell ref="I2338:I2339"/>
    <mergeCell ref="J2338:J2339"/>
    <mergeCell ref="K2338:K2339"/>
    <mergeCell ref="L2338:L2339"/>
    <mergeCell ref="M2338:M2339"/>
    <mergeCell ref="N2338:N2339"/>
    <mergeCell ref="N2334:N2335"/>
    <mergeCell ref="O2334:P2334"/>
    <mergeCell ref="I2336:I2337"/>
    <mergeCell ref="J2336:J2337"/>
    <mergeCell ref="K2336:K2337"/>
    <mergeCell ref="L2336:L2337"/>
    <mergeCell ref="M2336:M2337"/>
    <mergeCell ref="N2336:N2337"/>
    <mergeCell ref="I2346:M2346"/>
    <mergeCell ref="I2347:M2347"/>
    <mergeCell ref="I2348:M2348"/>
    <mergeCell ref="I2354:L2354"/>
    <mergeCell ref="I2369:P2369"/>
    <mergeCell ref="I2371:I2372"/>
    <mergeCell ref="J2371:J2372"/>
    <mergeCell ref="K2371:K2372"/>
    <mergeCell ref="L2371:L2372"/>
    <mergeCell ref="M2371:M2372"/>
    <mergeCell ref="I2344:I2345"/>
    <mergeCell ref="J2344:J2345"/>
    <mergeCell ref="K2344:K2345"/>
    <mergeCell ref="L2344:L2345"/>
    <mergeCell ref="M2344:M2345"/>
    <mergeCell ref="N2344:N2345"/>
    <mergeCell ref="I2342:I2343"/>
    <mergeCell ref="J2342:J2343"/>
    <mergeCell ref="K2342:K2343"/>
    <mergeCell ref="L2342:L2343"/>
    <mergeCell ref="M2342:M2343"/>
    <mergeCell ref="N2342:N2343"/>
    <mergeCell ref="I2377:I2378"/>
    <mergeCell ref="J2377:J2378"/>
    <mergeCell ref="K2377:K2378"/>
    <mergeCell ref="L2377:L2378"/>
    <mergeCell ref="M2377:M2378"/>
    <mergeCell ref="N2377:N2378"/>
    <mergeCell ref="I2375:I2376"/>
    <mergeCell ref="J2375:J2376"/>
    <mergeCell ref="K2375:K2376"/>
    <mergeCell ref="L2375:L2376"/>
    <mergeCell ref="M2375:M2376"/>
    <mergeCell ref="N2375:N2376"/>
    <mergeCell ref="N2371:N2372"/>
    <mergeCell ref="O2371:P2371"/>
    <mergeCell ref="I2373:I2374"/>
    <mergeCell ref="J2373:J2374"/>
    <mergeCell ref="K2373:K2374"/>
    <mergeCell ref="L2373:L2374"/>
    <mergeCell ref="M2373:M2374"/>
    <mergeCell ref="N2373:N2374"/>
    <mergeCell ref="I2383:M2383"/>
    <mergeCell ref="I2384:M2384"/>
    <mergeCell ref="I2385:M2385"/>
    <mergeCell ref="I2391:L2391"/>
    <mergeCell ref="I2406:P2406"/>
    <mergeCell ref="I2408:I2409"/>
    <mergeCell ref="J2408:J2409"/>
    <mergeCell ref="K2408:K2409"/>
    <mergeCell ref="L2408:L2409"/>
    <mergeCell ref="M2408:M2409"/>
    <mergeCell ref="I2381:I2382"/>
    <mergeCell ref="J2381:J2382"/>
    <mergeCell ref="K2381:K2382"/>
    <mergeCell ref="L2381:L2382"/>
    <mergeCell ref="M2381:M2382"/>
    <mergeCell ref="N2381:N2382"/>
    <mergeCell ref="I2379:I2380"/>
    <mergeCell ref="J2379:J2380"/>
    <mergeCell ref="K2379:K2380"/>
    <mergeCell ref="L2379:L2380"/>
    <mergeCell ref="M2379:M2380"/>
    <mergeCell ref="N2379:N2380"/>
    <mergeCell ref="I2414:I2415"/>
    <mergeCell ref="J2414:J2415"/>
    <mergeCell ref="K2414:K2415"/>
    <mergeCell ref="L2414:L2415"/>
    <mergeCell ref="M2414:M2415"/>
    <mergeCell ref="N2414:N2415"/>
    <mergeCell ref="I2412:I2413"/>
    <mergeCell ref="J2412:J2413"/>
    <mergeCell ref="K2412:K2413"/>
    <mergeCell ref="L2412:L2413"/>
    <mergeCell ref="M2412:M2413"/>
    <mergeCell ref="N2412:N2413"/>
    <mergeCell ref="N2408:N2409"/>
    <mergeCell ref="O2408:P2408"/>
    <mergeCell ref="I2410:I2411"/>
    <mergeCell ref="J2410:J2411"/>
    <mergeCell ref="K2410:K2411"/>
    <mergeCell ref="L2410:L2411"/>
    <mergeCell ref="M2410:M2411"/>
    <mergeCell ref="N2410:N2411"/>
    <mergeCell ref="I2420:M2420"/>
    <mergeCell ref="I2421:M2421"/>
    <mergeCell ref="I2422:M2422"/>
    <mergeCell ref="I2428:L2428"/>
    <mergeCell ref="I2443:P2443"/>
    <mergeCell ref="I2445:I2446"/>
    <mergeCell ref="J2445:J2446"/>
    <mergeCell ref="K2445:K2446"/>
    <mergeCell ref="L2445:L2446"/>
    <mergeCell ref="M2445:M2446"/>
    <mergeCell ref="I2418:I2419"/>
    <mergeCell ref="J2418:J2419"/>
    <mergeCell ref="K2418:K2419"/>
    <mergeCell ref="L2418:L2419"/>
    <mergeCell ref="M2418:M2419"/>
    <mergeCell ref="N2418:N2419"/>
    <mergeCell ref="I2416:I2417"/>
    <mergeCell ref="J2416:J2417"/>
    <mergeCell ref="K2416:K2417"/>
    <mergeCell ref="L2416:L2417"/>
    <mergeCell ref="M2416:M2417"/>
    <mergeCell ref="N2416:N2417"/>
    <mergeCell ref="I2451:I2452"/>
    <mergeCell ref="J2451:J2452"/>
    <mergeCell ref="K2451:K2452"/>
    <mergeCell ref="L2451:L2452"/>
    <mergeCell ref="M2451:M2452"/>
    <mergeCell ref="N2451:N2452"/>
    <mergeCell ref="I2449:I2450"/>
    <mergeCell ref="J2449:J2450"/>
    <mergeCell ref="K2449:K2450"/>
    <mergeCell ref="L2449:L2450"/>
    <mergeCell ref="M2449:M2450"/>
    <mergeCell ref="N2449:N2450"/>
    <mergeCell ref="N2445:N2446"/>
    <mergeCell ref="O2445:P2445"/>
    <mergeCell ref="I2447:I2448"/>
    <mergeCell ref="J2447:J2448"/>
    <mergeCell ref="K2447:K2448"/>
    <mergeCell ref="L2447:L2448"/>
    <mergeCell ref="M2447:M2448"/>
    <mergeCell ref="N2447:N2448"/>
    <mergeCell ref="I2457:I2458"/>
    <mergeCell ref="J2457:J2458"/>
    <mergeCell ref="K2457:K2458"/>
    <mergeCell ref="L2457:L2458"/>
    <mergeCell ref="M2457:M2458"/>
    <mergeCell ref="N2457:N2458"/>
    <mergeCell ref="I2455:I2456"/>
    <mergeCell ref="J2455:J2456"/>
    <mergeCell ref="K2455:K2456"/>
    <mergeCell ref="L2455:L2456"/>
    <mergeCell ref="M2455:M2456"/>
    <mergeCell ref="N2455:N2456"/>
    <mergeCell ref="I2453:I2454"/>
    <mergeCell ref="J2453:J2454"/>
    <mergeCell ref="K2453:K2454"/>
    <mergeCell ref="L2453:L2454"/>
    <mergeCell ref="M2453:M2454"/>
    <mergeCell ref="N2453:N2454"/>
    <mergeCell ref="I2488:I2489"/>
    <mergeCell ref="J2488:J2489"/>
    <mergeCell ref="K2488:K2489"/>
    <mergeCell ref="L2488:L2489"/>
    <mergeCell ref="M2488:M2489"/>
    <mergeCell ref="N2488:N2489"/>
    <mergeCell ref="N2484:N2485"/>
    <mergeCell ref="O2484:P2484"/>
    <mergeCell ref="I2486:I2487"/>
    <mergeCell ref="J2486:J2487"/>
    <mergeCell ref="K2486:K2487"/>
    <mergeCell ref="L2486:L2487"/>
    <mergeCell ref="M2486:M2487"/>
    <mergeCell ref="N2486:N2487"/>
    <mergeCell ref="I2459:M2459"/>
    <mergeCell ref="I2460:M2460"/>
    <mergeCell ref="I2461:M2461"/>
    <mergeCell ref="I2467:L2467"/>
    <mergeCell ref="I2482:P2482"/>
    <mergeCell ref="I2484:I2485"/>
    <mergeCell ref="J2484:J2485"/>
    <mergeCell ref="K2484:K2485"/>
    <mergeCell ref="L2484:L2485"/>
    <mergeCell ref="M2484:M2485"/>
    <mergeCell ref="I2494:I2495"/>
    <mergeCell ref="J2494:J2495"/>
    <mergeCell ref="K2494:K2495"/>
    <mergeCell ref="L2494:L2495"/>
    <mergeCell ref="M2494:M2495"/>
    <mergeCell ref="N2494:N2495"/>
    <mergeCell ref="I2492:I2493"/>
    <mergeCell ref="J2492:J2493"/>
    <mergeCell ref="K2492:K2493"/>
    <mergeCell ref="L2492:L2493"/>
    <mergeCell ref="M2492:M2493"/>
    <mergeCell ref="N2492:N2493"/>
    <mergeCell ref="I2490:I2491"/>
    <mergeCell ref="J2490:J2491"/>
    <mergeCell ref="K2490:K2491"/>
    <mergeCell ref="L2490:L2491"/>
    <mergeCell ref="M2490:M2491"/>
    <mergeCell ref="N2490:N2491"/>
    <mergeCell ref="I2525:I2526"/>
    <mergeCell ref="J2525:J2526"/>
    <mergeCell ref="K2525:K2526"/>
    <mergeCell ref="L2525:L2526"/>
    <mergeCell ref="M2525:M2526"/>
    <mergeCell ref="N2525:N2526"/>
    <mergeCell ref="N2521:N2522"/>
    <mergeCell ref="O2521:P2521"/>
    <mergeCell ref="I2523:I2524"/>
    <mergeCell ref="J2523:J2524"/>
    <mergeCell ref="K2523:K2524"/>
    <mergeCell ref="L2523:L2524"/>
    <mergeCell ref="M2523:M2524"/>
    <mergeCell ref="N2523:N2524"/>
    <mergeCell ref="I2496:M2496"/>
    <mergeCell ref="I2497:M2497"/>
    <mergeCell ref="I2498:M2498"/>
    <mergeCell ref="I2504:L2504"/>
    <mergeCell ref="I2519:P2519"/>
    <mergeCell ref="I2521:I2522"/>
    <mergeCell ref="J2521:J2522"/>
    <mergeCell ref="K2521:K2522"/>
    <mergeCell ref="L2521:L2522"/>
    <mergeCell ref="M2521:M2522"/>
    <mergeCell ref="I2531:I2532"/>
    <mergeCell ref="J2531:J2532"/>
    <mergeCell ref="K2531:K2532"/>
    <mergeCell ref="L2531:L2532"/>
    <mergeCell ref="M2531:M2532"/>
    <mergeCell ref="N2531:N2532"/>
    <mergeCell ref="I2529:I2530"/>
    <mergeCell ref="J2529:J2530"/>
    <mergeCell ref="K2529:K2530"/>
    <mergeCell ref="L2529:L2530"/>
    <mergeCell ref="M2529:M2530"/>
    <mergeCell ref="N2529:N2530"/>
    <mergeCell ref="I2527:I2528"/>
    <mergeCell ref="J2527:J2528"/>
    <mergeCell ref="K2527:K2528"/>
    <mergeCell ref="L2527:L2528"/>
    <mergeCell ref="M2527:M2528"/>
    <mergeCell ref="N2527:N2528"/>
    <mergeCell ref="I2562:I2563"/>
    <mergeCell ref="J2562:J2563"/>
    <mergeCell ref="K2562:K2563"/>
    <mergeCell ref="L2562:L2563"/>
    <mergeCell ref="M2562:M2563"/>
    <mergeCell ref="N2562:N2563"/>
    <mergeCell ref="N2558:N2559"/>
    <mergeCell ref="O2558:P2558"/>
    <mergeCell ref="I2560:I2561"/>
    <mergeCell ref="J2560:J2561"/>
    <mergeCell ref="K2560:K2561"/>
    <mergeCell ref="L2560:L2561"/>
    <mergeCell ref="M2560:M2561"/>
    <mergeCell ref="N2560:N2561"/>
    <mergeCell ref="I2533:M2533"/>
    <mergeCell ref="I2534:M2534"/>
    <mergeCell ref="I2535:M2535"/>
    <mergeCell ref="I2541:L2541"/>
    <mergeCell ref="I2556:P2556"/>
    <mergeCell ref="I2558:I2559"/>
    <mergeCell ref="J2558:J2559"/>
    <mergeCell ref="K2558:K2559"/>
    <mergeCell ref="L2558:L2559"/>
    <mergeCell ref="M2558:M2559"/>
    <mergeCell ref="I2568:I2569"/>
    <mergeCell ref="J2568:J2569"/>
    <mergeCell ref="K2568:K2569"/>
    <mergeCell ref="L2568:L2569"/>
    <mergeCell ref="M2568:M2569"/>
    <mergeCell ref="N2568:N2569"/>
    <mergeCell ref="I2566:I2567"/>
    <mergeCell ref="J2566:J2567"/>
    <mergeCell ref="K2566:K2567"/>
    <mergeCell ref="L2566:L2567"/>
    <mergeCell ref="M2566:M2567"/>
    <mergeCell ref="N2566:N2567"/>
    <mergeCell ref="I2564:I2565"/>
    <mergeCell ref="J2564:J2565"/>
    <mergeCell ref="K2564:K2565"/>
    <mergeCell ref="L2564:L2565"/>
    <mergeCell ref="M2564:M2565"/>
    <mergeCell ref="N2564:N2565"/>
    <mergeCell ref="I2597:I2598"/>
    <mergeCell ref="J2597:J2598"/>
    <mergeCell ref="K2597:K2598"/>
    <mergeCell ref="L2597:L2598"/>
    <mergeCell ref="M2597:M2598"/>
    <mergeCell ref="N2597:N2598"/>
    <mergeCell ref="I2593:P2593"/>
    <mergeCell ref="I2595:I2596"/>
    <mergeCell ref="J2595:J2596"/>
    <mergeCell ref="K2595:K2596"/>
    <mergeCell ref="L2595:L2596"/>
    <mergeCell ref="M2595:M2596"/>
    <mergeCell ref="N2595:N2596"/>
    <mergeCell ref="O2595:P2595"/>
    <mergeCell ref="I2570:M2570"/>
    <mergeCell ref="I2571:M2571"/>
    <mergeCell ref="I2572:M2572"/>
    <mergeCell ref="I2578:L2578"/>
    <mergeCell ref="N2578:P2578"/>
    <mergeCell ref="N2583:P2583"/>
    <mergeCell ref="I2603:I2604"/>
    <mergeCell ref="J2603:J2604"/>
    <mergeCell ref="K2603:K2604"/>
    <mergeCell ref="L2603:L2604"/>
    <mergeCell ref="M2603:M2604"/>
    <mergeCell ref="N2603:N2604"/>
    <mergeCell ref="I2601:I2602"/>
    <mergeCell ref="J2601:J2602"/>
    <mergeCell ref="K2601:K2602"/>
    <mergeCell ref="L2601:L2602"/>
    <mergeCell ref="M2601:M2602"/>
    <mergeCell ref="N2601:N2602"/>
    <mergeCell ref="I2599:I2600"/>
    <mergeCell ref="J2599:J2600"/>
    <mergeCell ref="K2599:K2600"/>
    <mergeCell ref="L2599:L2600"/>
    <mergeCell ref="M2599:M2600"/>
    <mergeCell ref="N2599:N2600"/>
    <mergeCell ref="I2609:M2609"/>
    <mergeCell ref="I2610:M2610"/>
    <mergeCell ref="I2611:M2611"/>
    <mergeCell ref="I2617:L2617"/>
    <mergeCell ref="I2632:P2632"/>
    <mergeCell ref="I2634:I2635"/>
    <mergeCell ref="J2634:J2635"/>
    <mergeCell ref="K2634:K2635"/>
    <mergeCell ref="L2634:L2635"/>
    <mergeCell ref="M2634:M2635"/>
    <mergeCell ref="I2607:I2608"/>
    <mergeCell ref="J2607:J2608"/>
    <mergeCell ref="K2607:K2608"/>
    <mergeCell ref="L2607:L2608"/>
    <mergeCell ref="M2607:M2608"/>
    <mergeCell ref="N2607:N2608"/>
    <mergeCell ref="I2605:I2606"/>
    <mergeCell ref="J2605:J2606"/>
    <mergeCell ref="K2605:K2606"/>
    <mergeCell ref="L2605:L2606"/>
    <mergeCell ref="M2605:M2606"/>
    <mergeCell ref="N2605:N2606"/>
    <mergeCell ref="I2640:I2641"/>
    <mergeCell ref="J2640:J2641"/>
    <mergeCell ref="K2640:K2641"/>
    <mergeCell ref="L2640:L2641"/>
    <mergeCell ref="M2640:M2641"/>
    <mergeCell ref="N2640:N2641"/>
    <mergeCell ref="I2638:I2639"/>
    <mergeCell ref="J2638:J2639"/>
    <mergeCell ref="K2638:K2639"/>
    <mergeCell ref="L2638:L2639"/>
    <mergeCell ref="M2638:M2639"/>
    <mergeCell ref="N2638:N2639"/>
    <mergeCell ref="N2634:N2635"/>
    <mergeCell ref="O2634:P2634"/>
    <mergeCell ref="I2636:I2637"/>
    <mergeCell ref="J2636:J2637"/>
    <mergeCell ref="K2636:K2637"/>
    <mergeCell ref="L2636:L2637"/>
    <mergeCell ref="M2636:M2637"/>
    <mergeCell ref="N2636:N2637"/>
    <mergeCell ref="I2646:M2646"/>
    <mergeCell ref="I2647:M2647"/>
    <mergeCell ref="I2648:M2648"/>
    <mergeCell ref="I2654:L2654"/>
    <mergeCell ref="I2669:P2669"/>
    <mergeCell ref="I2671:I2672"/>
    <mergeCell ref="J2671:J2672"/>
    <mergeCell ref="K2671:K2672"/>
    <mergeCell ref="L2671:L2672"/>
    <mergeCell ref="M2671:M2672"/>
    <mergeCell ref="I2644:I2645"/>
    <mergeCell ref="J2644:J2645"/>
    <mergeCell ref="K2644:K2645"/>
    <mergeCell ref="L2644:L2645"/>
    <mergeCell ref="M2644:M2645"/>
    <mergeCell ref="N2644:N2645"/>
    <mergeCell ref="I2642:I2643"/>
    <mergeCell ref="J2642:J2643"/>
    <mergeCell ref="K2642:K2643"/>
    <mergeCell ref="L2642:L2643"/>
    <mergeCell ref="M2642:M2643"/>
    <mergeCell ref="N2642:N2643"/>
    <mergeCell ref="I2677:I2678"/>
    <mergeCell ref="J2677:J2678"/>
    <mergeCell ref="K2677:K2678"/>
    <mergeCell ref="L2677:L2678"/>
    <mergeCell ref="M2677:M2678"/>
    <mergeCell ref="N2677:N2678"/>
    <mergeCell ref="I2675:I2676"/>
    <mergeCell ref="J2675:J2676"/>
    <mergeCell ref="K2675:K2676"/>
    <mergeCell ref="L2675:L2676"/>
    <mergeCell ref="M2675:M2676"/>
    <mergeCell ref="N2675:N2676"/>
    <mergeCell ref="N2671:N2672"/>
    <mergeCell ref="O2671:P2671"/>
    <mergeCell ref="I2673:I2674"/>
    <mergeCell ref="J2673:J2674"/>
    <mergeCell ref="K2673:K2674"/>
    <mergeCell ref="L2673:L2674"/>
    <mergeCell ref="M2673:M2674"/>
    <mergeCell ref="N2673:N2674"/>
    <mergeCell ref="I2683:M2683"/>
    <mergeCell ref="I2684:M2684"/>
    <mergeCell ref="I2685:M2685"/>
    <mergeCell ref="I2691:L2691"/>
    <mergeCell ref="I2706:P2706"/>
    <mergeCell ref="I2708:I2709"/>
    <mergeCell ref="J2708:J2709"/>
    <mergeCell ref="K2708:K2709"/>
    <mergeCell ref="L2708:L2709"/>
    <mergeCell ref="M2708:M2709"/>
    <mergeCell ref="I2681:I2682"/>
    <mergeCell ref="J2681:J2682"/>
    <mergeCell ref="K2681:K2682"/>
    <mergeCell ref="L2681:L2682"/>
    <mergeCell ref="M2681:M2682"/>
    <mergeCell ref="N2681:N2682"/>
    <mergeCell ref="I2679:I2680"/>
    <mergeCell ref="J2679:J2680"/>
    <mergeCell ref="K2679:K2680"/>
    <mergeCell ref="L2679:L2680"/>
    <mergeCell ref="M2679:M2680"/>
    <mergeCell ref="N2679:N2680"/>
    <mergeCell ref="I2714:I2715"/>
    <mergeCell ref="J2714:J2715"/>
    <mergeCell ref="K2714:K2715"/>
    <mergeCell ref="L2714:L2715"/>
    <mergeCell ref="M2714:M2715"/>
    <mergeCell ref="N2714:N2715"/>
    <mergeCell ref="I2712:I2713"/>
    <mergeCell ref="J2712:J2713"/>
    <mergeCell ref="K2712:K2713"/>
    <mergeCell ref="L2712:L2713"/>
    <mergeCell ref="M2712:M2713"/>
    <mergeCell ref="N2712:N2713"/>
    <mergeCell ref="N2708:N2709"/>
    <mergeCell ref="O2708:P2708"/>
    <mergeCell ref="I2710:I2711"/>
    <mergeCell ref="J2710:J2711"/>
    <mergeCell ref="K2710:K2711"/>
    <mergeCell ref="L2710:L2711"/>
    <mergeCell ref="M2710:M2711"/>
    <mergeCell ref="N2710:N2711"/>
    <mergeCell ref="I2720:M2720"/>
    <mergeCell ref="I2721:M2721"/>
    <mergeCell ref="I2722:M2722"/>
    <mergeCell ref="I2728:L2728"/>
    <mergeCell ref="I2743:P2743"/>
    <mergeCell ref="I2745:I2746"/>
    <mergeCell ref="J2745:J2746"/>
    <mergeCell ref="K2745:K2746"/>
    <mergeCell ref="L2745:L2746"/>
    <mergeCell ref="M2745:M2746"/>
    <mergeCell ref="I2718:I2719"/>
    <mergeCell ref="J2718:J2719"/>
    <mergeCell ref="K2718:K2719"/>
    <mergeCell ref="L2718:L2719"/>
    <mergeCell ref="M2718:M2719"/>
    <mergeCell ref="N2718:N2719"/>
    <mergeCell ref="I2716:I2717"/>
    <mergeCell ref="J2716:J2717"/>
    <mergeCell ref="K2716:K2717"/>
    <mergeCell ref="L2716:L2717"/>
    <mergeCell ref="M2716:M2717"/>
    <mergeCell ref="N2716:N2717"/>
    <mergeCell ref="I2751:I2752"/>
    <mergeCell ref="J2751:J2752"/>
    <mergeCell ref="K2751:K2752"/>
    <mergeCell ref="L2751:L2752"/>
    <mergeCell ref="M2751:M2752"/>
    <mergeCell ref="N2751:N2752"/>
    <mergeCell ref="I2749:I2750"/>
    <mergeCell ref="J2749:J2750"/>
    <mergeCell ref="K2749:K2750"/>
    <mergeCell ref="L2749:L2750"/>
    <mergeCell ref="M2749:M2750"/>
    <mergeCell ref="N2749:N2750"/>
    <mergeCell ref="N2745:N2746"/>
    <mergeCell ref="O2745:P2745"/>
    <mergeCell ref="I2747:I2748"/>
    <mergeCell ref="J2747:J2748"/>
    <mergeCell ref="K2747:K2748"/>
    <mergeCell ref="L2747:L2748"/>
    <mergeCell ref="M2747:M2748"/>
    <mergeCell ref="N2747:N2748"/>
    <mergeCell ref="I2757:M2757"/>
    <mergeCell ref="I2758:M2758"/>
    <mergeCell ref="I2759:M2759"/>
    <mergeCell ref="I2765:L2765"/>
    <mergeCell ref="I2780:P2780"/>
    <mergeCell ref="I2782:I2783"/>
    <mergeCell ref="J2782:J2783"/>
    <mergeCell ref="K2782:K2783"/>
    <mergeCell ref="L2782:L2783"/>
    <mergeCell ref="M2782:M2783"/>
    <mergeCell ref="I2755:I2756"/>
    <mergeCell ref="J2755:J2756"/>
    <mergeCell ref="K2755:K2756"/>
    <mergeCell ref="L2755:L2756"/>
    <mergeCell ref="M2755:M2756"/>
    <mergeCell ref="N2755:N2756"/>
    <mergeCell ref="I2753:I2754"/>
    <mergeCell ref="J2753:J2754"/>
    <mergeCell ref="K2753:K2754"/>
    <mergeCell ref="L2753:L2754"/>
    <mergeCell ref="M2753:M2754"/>
    <mergeCell ref="N2753:N2754"/>
    <mergeCell ref="I2788:I2789"/>
    <mergeCell ref="J2788:J2789"/>
    <mergeCell ref="K2788:K2789"/>
    <mergeCell ref="L2788:L2789"/>
    <mergeCell ref="M2788:M2789"/>
    <mergeCell ref="N2788:N2789"/>
    <mergeCell ref="I2786:I2787"/>
    <mergeCell ref="J2786:J2787"/>
    <mergeCell ref="K2786:K2787"/>
    <mergeCell ref="L2786:L2787"/>
    <mergeCell ref="M2786:M2787"/>
    <mergeCell ref="N2786:N2787"/>
    <mergeCell ref="N2782:N2783"/>
    <mergeCell ref="O2782:P2782"/>
    <mergeCell ref="I2784:I2785"/>
    <mergeCell ref="J2784:J2785"/>
    <mergeCell ref="K2784:K2785"/>
    <mergeCell ref="L2784:L2785"/>
    <mergeCell ref="M2784:M2785"/>
    <mergeCell ref="N2784:N2785"/>
    <mergeCell ref="I2794:I2795"/>
    <mergeCell ref="J2794:J2795"/>
    <mergeCell ref="K2794:K2795"/>
    <mergeCell ref="L2794:L2795"/>
    <mergeCell ref="M2794:M2795"/>
    <mergeCell ref="N2794:N2795"/>
    <mergeCell ref="I2792:I2793"/>
    <mergeCell ref="J2792:J2793"/>
    <mergeCell ref="K2792:K2793"/>
    <mergeCell ref="L2792:L2793"/>
    <mergeCell ref="M2792:M2793"/>
    <mergeCell ref="N2792:N2793"/>
    <mergeCell ref="I2790:I2791"/>
    <mergeCell ref="J2790:J2791"/>
    <mergeCell ref="K2790:K2791"/>
    <mergeCell ref="L2790:L2791"/>
    <mergeCell ref="M2790:M2791"/>
    <mergeCell ref="N2790:N2791"/>
    <mergeCell ref="N2821:N2822"/>
    <mergeCell ref="O2821:P2821"/>
    <mergeCell ref="I2823:I2824"/>
    <mergeCell ref="J2823:J2824"/>
    <mergeCell ref="K2823:K2824"/>
    <mergeCell ref="L2823:L2824"/>
    <mergeCell ref="M2823:M2824"/>
    <mergeCell ref="N2823:N2824"/>
    <mergeCell ref="I2796:M2796"/>
    <mergeCell ref="I2797:M2797"/>
    <mergeCell ref="I2798:M2798"/>
    <mergeCell ref="I2804:L2804"/>
    <mergeCell ref="I2819:P2819"/>
    <mergeCell ref="I2821:I2822"/>
    <mergeCell ref="J2821:J2822"/>
    <mergeCell ref="K2821:K2822"/>
    <mergeCell ref="L2821:L2822"/>
    <mergeCell ref="M2821:M2822"/>
    <mergeCell ref="I2829:I2830"/>
    <mergeCell ref="J2829:J2830"/>
    <mergeCell ref="K2829:K2830"/>
    <mergeCell ref="L2829:L2830"/>
    <mergeCell ref="M2829:M2830"/>
    <mergeCell ref="N2829:N2830"/>
    <mergeCell ref="I2827:I2828"/>
    <mergeCell ref="J2827:J2828"/>
    <mergeCell ref="K2827:K2828"/>
    <mergeCell ref="L2827:L2828"/>
    <mergeCell ref="M2827:M2828"/>
    <mergeCell ref="N2827:N2828"/>
    <mergeCell ref="I2825:I2826"/>
    <mergeCell ref="J2825:J2826"/>
    <mergeCell ref="K2825:K2826"/>
    <mergeCell ref="L2825:L2826"/>
    <mergeCell ref="M2825:M2826"/>
    <mergeCell ref="N2825:N2826"/>
    <mergeCell ref="I2835:M2835"/>
    <mergeCell ref="I2836:M2836"/>
    <mergeCell ref="I2837:M2837"/>
    <mergeCell ref="I2843:L2843"/>
    <mergeCell ref="I2858:P2858"/>
    <mergeCell ref="I2860:I2861"/>
    <mergeCell ref="J2860:J2861"/>
    <mergeCell ref="K2860:K2861"/>
    <mergeCell ref="L2860:L2861"/>
    <mergeCell ref="M2860:M2861"/>
    <mergeCell ref="I2833:I2834"/>
    <mergeCell ref="J2833:J2834"/>
    <mergeCell ref="K2833:K2834"/>
    <mergeCell ref="L2833:L2834"/>
    <mergeCell ref="M2833:M2834"/>
    <mergeCell ref="N2833:N2834"/>
    <mergeCell ref="I2831:I2832"/>
    <mergeCell ref="J2831:J2832"/>
    <mergeCell ref="K2831:K2832"/>
    <mergeCell ref="L2831:L2832"/>
    <mergeCell ref="M2831:M2832"/>
    <mergeCell ref="N2831:N2832"/>
    <mergeCell ref="I2866:I2867"/>
    <mergeCell ref="J2866:J2867"/>
    <mergeCell ref="K2866:K2867"/>
    <mergeCell ref="L2866:L2867"/>
    <mergeCell ref="M2866:M2867"/>
    <mergeCell ref="N2866:N2867"/>
    <mergeCell ref="I2864:I2865"/>
    <mergeCell ref="J2864:J2865"/>
    <mergeCell ref="K2864:K2865"/>
    <mergeCell ref="L2864:L2865"/>
    <mergeCell ref="M2864:M2865"/>
    <mergeCell ref="N2864:N2865"/>
    <mergeCell ref="N2860:N2861"/>
    <mergeCell ref="O2860:P2860"/>
    <mergeCell ref="I2862:I2863"/>
    <mergeCell ref="J2862:J2863"/>
    <mergeCell ref="K2862:K2863"/>
    <mergeCell ref="L2862:L2863"/>
    <mergeCell ref="M2862:M2863"/>
    <mergeCell ref="N2862:N2863"/>
    <mergeCell ref="I2872:M2872"/>
    <mergeCell ref="I2873:M2873"/>
    <mergeCell ref="I2874:M2874"/>
    <mergeCell ref="I2880:L2880"/>
    <mergeCell ref="I2895:P2895"/>
    <mergeCell ref="I2897:I2898"/>
    <mergeCell ref="J2897:J2898"/>
    <mergeCell ref="K2897:K2898"/>
    <mergeCell ref="L2897:L2898"/>
    <mergeCell ref="M2897:M2898"/>
    <mergeCell ref="I2870:I2871"/>
    <mergeCell ref="J2870:J2871"/>
    <mergeCell ref="K2870:K2871"/>
    <mergeCell ref="L2870:L2871"/>
    <mergeCell ref="M2870:M2871"/>
    <mergeCell ref="N2870:N2871"/>
    <mergeCell ref="I2868:I2869"/>
    <mergeCell ref="J2868:J2869"/>
    <mergeCell ref="K2868:K2869"/>
    <mergeCell ref="L2868:L2869"/>
    <mergeCell ref="M2868:M2869"/>
    <mergeCell ref="N2868:N2869"/>
    <mergeCell ref="I2903:I2904"/>
    <mergeCell ref="J2903:J2904"/>
    <mergeCell ref="K2903:K2904"/>
    <mergeCell ref="L2903:L2904"/>
    <mergeCell ref="M2903:M2904"/>
    <mergeCell ref="N2903:N2904"/>
    <mergeCell ref="I2901:I2902"/>
    <mergeCell ref="J2901:J2902"/>
    <mergeCell ref="K2901:K2902"/>
    <mergeCell ref="L2901:L2902"/>
    <mergeCell ref="M2901:M2902"/>
    <mergeCell ref="N2901:N2902"/>
    <mergeCell ref="N2897:N2898"/>
    <mergeCell ref="O2897:P2897"/>
    <mergeCell ref="I2899:I2900"/>
    <mergeCell ref="J2899:J2900"/>
    <mergeCell ref="K2899:K2900"/>
    <mergeCell ref="L2899:L2900"/>
    <mergeCell ref="M2899:M2900"/>
    <mergeCell ref="N2899:N2900"/>
    <mergeCell ref="I2909:M2909"/>
    <mergeCell ref="I2910:M2910"/>
    <mergeCell ref="I2911:M2911"/>
    <mergeCell ref="I2917:L2917"/>
    <mergeCell ref="I2932:P2932"/>
    <mergeCell ref="I2934:I2935"/>
    <mergeCell ref="J2934:J2935"/>
    <mergeCell ref="K2934:K2935"/>
    <mergeCell ref="L2934:L2935"/>
    <mergeCell ref="M2934:M2935"/>
    <mergeCell ref="I2907:I2908"/>
    <mergeCell ref="J2907:J2908"/>
    <mergeCell ref="K2907:K2908"/>
    <mergeCell ref="L2907:L2908"/>
    <mergeCell ref="M2907:M2908"/>
    <mergeCell ref="N2907:N2908"/>
    <mergeCell ref="I2905:I2906"/>
    <mergeCell ref="J2905:J2906"/>
    <mergeCell ref="K2905:K2906"/>
    <mergeCell ref="L2905:L2906"/>
    <mergeCell ref="M2905:M2906"/>
    <mergeCell ref="N2905:N2906"/>
    <mergeCell ref="I2940:I2941"/>
    <mergeCell ref="J2940:J2941"/>
    <mergeCell ref="K2940:K2941"/>
    <mergeCell ref="L2940:L2941"/>
    <mergeCell ref="M2940:M2941"/>
    <mergeCell ref="N2940:N2941"/>
    <mergeCell ref="I2938:I2939"/>
    <mergeCell ref="J2938:J2939"/>
    <mergeCell ref="K2938:K2939"/>
    <mergeCell ref="L2938:L2939"/>
    <mergeCell ref="M2938:M2939"/>
    <mergeCell ref="N2938:N2939"/>
    <mergeCell ref="N2934:N2935"/>
    <mergeCell ref="O2934:P2934"/>
    <mergeCell ref="I2936:I2937"/>
    <mergeCell ref="J2936:J2937"/>
    <mergeCell ref="K2936:K2937"/>
    <mergeCell ref="L2936:L2937"/>
    <mergeCell ref="M2936:M2937"/>
    <mergeCell ref="N2936:N2937"/>
    <mergeCell ref="I2946:M2946"/>
    <mergeCell ref="I2947:M2947"/>
    <mergeCell ref="I2948:M2948"/>
    <mergeCell ref="I2954:L2954"/>
    <mergeCell ref="I2969:P2969"/>
    <mergeCell ref="I2971:I2972"/>
    <mergeCell ref="J2971:J2972"/>
    <mergeCell ref="K2971:K2972"/>
    <mergeCell ref="L2971:L2972"/>
    <mergeCell ref="M2971:M2972"/>
    <mergeCell ref="I2944:I2945"/>
    <mergeCell ref="J2944:J2945"/>
    <mergeCell ref="K2944:K2945"/>
    <mergeCell ref="L2944:L2945"/>
    <mergeCell ref="M2944:M2945"/>
    <mergeCell ref="N2944:N2945"/>
    <mergeCell ref="I2942:I2943"/>
    <mergeCell ref="J2942:J2943"/>
    <mergeCell ref="K2942:K2943"/>
    <mergeCell ref="L2942:L2943"/>
    <mergeCell ref="M2942:M2943"/>
    <mergeCell ref="N2942:N2943"/>
    <mergeCell ref="I2977:I2978"/>
    <mergeCell ref="J2977:J2978"/>
    <mergeCell ref="K2977:K2978"/>
    <mergeCell ref="L2977:L2978"/>
    <mergeCell ref="M2977:M2978"/>
    <mergeCell ref="N2977:N2978"/>
    <mergeCell ref="I2975:I2976"/>
    <mergeCell ref="J2975:J2976"/>
    <mergeCell ref="K2975:K2976"/>
    <mergeCell ref="L2975:L2976"/>
    <mergeCell ref="M2975:M2976"/>
    <mergeCell ref="N2975:N2976"/>
    <mergeCell ref="N2971:N2972"/>
    <mergeCell ref="O2971:P2971"/>
    <mergeCell ref="I2973:I2974"/>
    <mergeCell ref="J2973:J2974"/>
    <mergeCell ref="K2973:K2974"/>
    <mergeCell ref="L2973:L2974"/>
    <mergeCell ref="M2973:M2974"/>
    <mergeCell ref="N2973:N2974"/>
    <mergeCell ref="I2983:M2983"/>
    <mergeCell ref="I2984:M2984"/>
    <mergeCell ref="I2985:M2985"/>
    <mergeCell ref="I2991:L2991"/>
    <mergeCell ref="I3006:P3006"/>
    <mergeCell ref="I3008:I3009"/>
    <mergeCell ref="J3008:J3009"/>
    <mergeCell ref="K3008:K3009"/>
    <mergeCell ref="L3008:L3009"/>
    <mergeCell ref="M3008:M3009"/>
    <mergeCell ref="I2981:I2982"/>
    <mergeCell ref="J2981:J2982"/>
    <mergeCell ref="K2981:K2982"/>
    <mergeCell ref="L2981:L2982"/>
    <mergeCell ref="M2981:M2982"/>
    <mergeCell ref="N2981:N2982"/>
    <mergeCell ref="I2979:I2980"/>
    <mergeCell ref="J2979:J2980"/>
    <mergeCell ref="K2979:K2980"/>
    <mergeCell ref="L2979:L2980"/>
    <mergeCell ref="M2979:M2980"/>
    <mergeCell ref="N2979:N2980"/>
    <mergeCell ref="I3014:I3015"/>
    <mergeCell ref="J3014:J3015"/>
    <mergeCell ref="K3014:K3015"/>
    <mergeCell ref="L3014:L3015"/>
    <mergeCell ref="M3014:M3015"/>
    <mergeCell ref="N3014:N3015"/>
    <mergeCell ref="I3012:I3013"/>
    <mergeCell ref="J3012:J3013"/>
    <mergeCell ref="K3012:K3013"/>
    <mergeCell ref="L3012:L3013"/>
    <mergeCell ref="M3012:M3013"/>
    <mergeCell ref="N3012:N3013"/>
    <mergeCell ref="N3008:N3009"/>
    <mergeCell ref="O3008:P3008"/>
    <mergeCell ref="I3010:I3011"/>
    <mergeCell ref="J3010:J3011"/>
    <mergeCell ref="K3010:K3011"/>
    <mergeCell ref="L3010:L3011"/>
    <mergeCell ref="M3010:M3011"/>
    <mergeCell ref="N3010:N3011"/>
    <mergeCell ref="I3020:M3020"/>
    <mergeCell ref="I3021:M3021"/>
    <mergeCell ref="I3022:M3022"/>
    <mergeCell ref="I3028:L3028"/>
    <mergeCell ref="I3043:P3043"/>
    <mergeCell ref="I3045:I3046"/>
    <mergeCell ref="J3045:J3046"/>
    <mergeCell ref="K3045:K3046"/>
    <mergeCell ref="L3045:L3046"/>
    <mergeCell ref="M3045:M3046"/>
    <mergeCell ref="I3018:I3019"/>
    <mergeCell ref="J3018:J3019"/>
    <mergeCell ref="K3018:K3019"/>
    <mergeCell ref="L3018:L3019"/>
    <mergeCell ref="M3018:M3019"/>
    <mergeCell ref="N3018:N3019"/>
    <mergeCell ref="I3016:I3017"/>
    <mergeCell ref="J3016:J3017"/>
    <mergeCell ref="K3016:K3017"/>
    <mergeCell ref="L3016:L3017"/>
    <mergeCell ref="M3016:M3017"/>
    <mergeCell ref="N3016:N3017"/>
    <mergeCell ref="I3051:I3052"/>
    <mergeCell ref="J3051:J3052"/>
    <mergeCell ref="K3051:K3052"/>
    <mergeCell ref="L3051:L3052"/>
    <mergeCell ref="M3051:M3052"/>
    <mergeCell ref="N3051:N3052"/>
    <mergeCell ref="I3049:I3050"/>
    <mergeCell ref="J3049:J3050"/>
    <mergeCell ref="K3049:K3050"/>
    <mergeCell ref="L3049:L3050"/>
    <mergeCell ref="M3049:M3050"/>
    <mergeCell ref="N3049:N3050"/>
    <mergeCell ref="N3045:N3046"/>
    <mergeCell ref="O3045:P3045"/>
    <mergeCell ref="I3047:I3048"/>
    <mergeCell ref="J3047:J3048"/>
    <mergeCell ref="K3047:K3048"/>
    <mergeCell ref="L3047:L3048"/>
    <mergeCell ref="M3047:M3048"/>
    <mergeCell ref="N3047:N3048"/>
    <mergeCell ref="I3057:M3057"/>
    <mergeCell ref="I3058:M3058"/>
    <mergeCell ref="I3059:M3059"/>
    <mergeCell ref="I3065:L3065"/>
    <mergeCell ref="I3080:P3080"/>
    <mergeCell ref="I3082:I3083"/>
    <mergeCell ref="J3082:J3083"/>
    <mergeCell ref="K3082:K3083"/>
    <mergeCell ref="L3082:L3083"/>
    <mergeCell ref="M3082:M3083"/>
    <mergeCell ref="I3055:I3056"/>
    <mergeCell ref="J3055:J3056"/>
    <mergeCell ref="K3055:K3056"/>
    <mergeCell ref="L3055:L3056"/>
    <mergeCell ref="M3055:M3056"/>
    <mergeCell ref="N3055:N3056"/>
    <mergeCell ref="I3053:I3054"/>
    <mergeCell ref="J3053:J3054"/>
    <mergeCell ref="K3053:K3054"/>
    <mergeCell ref="L3053:L3054"/>
    <mergeCell ref="M3053:M3054"/>
    <mergeCell ref="N3053:N3054"/>
    <mergeCell ref="I3088:I3089"/>
    <mergeCell ref="J3088:J3089"/>
    <mergeCell ref="K3088:K3089"/>
    <mergeCell ref="L3088:L3089"/>
    <mergeCell ref="M3088:M3089"/>
    <mergeCell ref="N3088:N3089"/>
    <mergeCell ref="I3086:I3087"/>
    <mergeCell ref="J3086:J3087"/>
    <mergeCell ref="K3086:K3087"/>
    <mergeCell ref="L3086:L3087"/>
    <mergeCell ref="M3086:M3087"/>
    <mergeCell ref="N3086:N3087"/>
    <mergeCell ref="N3082:N3083"/>
    <mergeCell ref="O3082:P3082"/>
    <mergeCell ref="I3084:I3085"/>
    <mergeCell ref="J3084:J3085"/>
    <mergeCell ref="K3084:K3085"/>
    <mergeCell ref="L3084:L3085"/>
    <mergeCell ref="M3084:M3085"/>
    <mergeCell ref="N3084:N3085"/>
    <mergeCell ref="I3094:M3094"/>
    <mergeCell ref="I3095:M3095"/>
    <mergeCell ref="I3096:M3096"/>
    <mergeCell ref="I3102:L3102"/>
    <mergeCell ref="I3117:P3117"/>
    <mergeCell ref="I3119:I3120"/>
    <mergeCell ref="J3119:J3120"/>
    <mergeCell ref="K3119:K3120"/>
    <mergeCell ref="L3119:L3120"/>
    <mergeCell ref="M3119:M3120"/>
    <mergeCell ref="I3092:I3093"/>
    <mergeCell ref="J3092:J3093"/>
    <mergeCell ref="K3092:K3093"/>
    <mergeCell ref="L3092:L3093"/>
    <mergeCell ref="M3092:M3093"/>
    <mergeCell ref="N3092:N3093"/>
    <mergeCell ref="I3090:I3091"/>
    <mergeCell ref="J3090:J3091"/>
    <mergeCell ref="K3090:K3091"/>
    <mergeCell ref="L3090:L3091"/>
    <mergeCell ref="M3090:M3091"/>
    <mergeCell ref="N3090:N3091"/>
    <mergeCell ref="I3125:I3126"/>
    <mergeCell ref="J3125:J3126"/>
    <mergeCell ref="K3125:K3126"/>
    <mergeCell ref="L3125:L3126"/>
    <mergeCell ref="M3125:M3126"/>
    <mergeCell ref="N3125:N3126"/>
    <mergeCell ref="I3123:I3124"/>
    <mergeCell ref="J3123:J3124"/>
    <mergeCell ref="K3123:K3124"/>
    <mergeCell ref="L3123:L3124"/>
    <mergeCell ref="M3123:M3124"/>
    <mergeCell ref="N3123:N3124"/>
    <mergeCell ref="N3119:N3120"/>
    <mergeCell ref="O3119:P3119"/>
    <mergeCell ref="I3121:I3122"/>
    <mergeCell ref="J3121:J3122"/>
    <mergeCell ref="K3121:K3122"/>
    <mergeCell ref="L3121:L3122"/>
    <mergeCell ref="M3121:M3122"/>
    <mergeCell ref="N3121:N3122"/>
    <mergeCell ref="I3131:M3131"/>
    <mergeCell ref="I3132:M3132"/>
    <mergeCell ref="I3133:M3133"/>
    <mergeCell ref="I3139:L3139"/>
    <mergeCell ref="I3154:P3154"/>
    <mergeCell ref="I3156:I3157"/>
    <mergeCell ref="J3156:J3157"/>
    <mergeCell ref="K3156:K3157"/>
    <mergeCell ref="L3156:L3157"/>
    <mergeCell ref="M3156:M3157"/>
    <mergeCell ref="I3129:I3130"/>
    <mergeCell ref="J3129:J3130"/>
    <mergeCell ref="K3129:K3130"/>
    <mergeCell ref="L3129:L3130"/>
    <mergeCell ref="M3129:M3130"/>
    <mergeCell ref="N3129:N3130"/>
    <mergeCell ref="I3127:I3128"/>
    <mergeCell ref="J3127:J3128"/>
    <mergeCell ref="K3127:K3128"/>
    <mergeCell ref="L3127:L3128"/>
    <mergeCell ref="M3127:M3128"/>
    <mergeCell ref="N3127:N3128"/>
    <mergeCell ref="I3162:I3163"/>
    <mergeCell ref="J3162:J3163"/>
    <mergeCell ref="K3162:K3163"/>
    <mergeCell ref="L3162:L3163"/>
    <mergeCell ref="M3162:M3163"/>
    <mergeCell ref="N3162:N3163"/>
    <mergeCell ref="I3160:I3161"/>
    <mergeCell ref="J3160:J3161"/>
    <mergeCell ref="K3160:K3161"/>
    <mergeCell ref="L3160:L3161"/>
    <mergeCell ref="M3160:M3161"/>
    <mergeCell ref="N3160:N3161"/>
    <mergeCell ref="N3156:N3157"/>
    <mergeCell ref="O3156:P3156"/>
    <mergeCell ref="I3158:I3159"/>
    <mergeCell ref="J3158:J3159"/>
    <mergeCell ref="K3158:K3159"/>
    <mergeCell ref="L3158:L3159"/>
    <mergeCell ref="M3158:M3159"/>
    <mergeCell ref="N3158:N3159"/>
    <mergeCell ref="I3168:I3169"/>
    <mergeCell ref="J3168:J3169"/>
    <mergeCell ref="K3168:K3169"/>
    <mergeCell ref="L3168:L3169"/>
    <mergeCell ref="M3168:M3169"/>
    <mergeCell ref="N3168:N3169"/>
    <mergeCell ref="I3166:I3167"/>
    <mergeCell ref="J3166:J3167"/>
    <mergeCell ref="K3166:K3167"/>
    <mergeCell ref="L3166:L3167"/>
    <mergeCell ref="M3166:M3167"/>
    <mergeCell ref="N3166:N3167"/>
    <mergeCell ref="I3164:I3165"/>
    <mergeCell ref="J3164:J3165"/>
    <mergeCell ref="K3164:K3165"/>
    <mergeCell ref="L3164:L3165"/>
    <mergeCell ref="M3164:M3165"/>
    <mergeCell ref="N3164:N3165"/>
    <mergeCell ref="N3195:N3196"/>
    <mergeCell ref="O3195:P3195"/>
    <mergeCell ref="I3197:I3198"/>
    <mergeCell ref="J3197:J3198"/>
    <mergeCell ref="K3197:K3198"/>
    <mergeCell ref="L3197:L3198"/>
    <mergeCell ref="M3197:M3198"/>
    <mergeCell ref="N3197:N3198"/>
    <mergeCell ref="I3170:M3170"/>
    <mergeCell ref="I3171:M3171"/>
    <mergeCell ref="I3172:M3172"/>
    <mergeCell ref="I3178:L3178"/>
    <mergeCell ref="I3193:P3193"/>
    <mergeCell ref="I3195:I3196"/>
    <mergeCell ref="J3195:J3196"/>
    <mergeCell ref="K3195:K3196"/>
    <mergeCell ref="L3195:L3196"/>
    <mergeCell ref="M3195:M3196"/>
    <mergeCell ref="R3201:R3202"/>
    <mergeCell ref="I3203:I3204"/>
    <mergeCell ref="J3203:J3204"/>
    <mergeCell ref="K3203:K3204"/>
    <mergeCell ref="L3203:L3204"/>
    <mergeCell ref="M3203:M3204"/>
    <mergeCell ref="N3203:N3204"/>
    <mergeCell ref="I3201:I3202"/>
    <mergeCell ref="J3201:J3202"/>
    <mergeCell ref="K3201:K3202"/>
    <mergeCell ref="L3201:L3202"/>
    <mergeCell ref="M3201:M3202"/>
    <mergeCell ref="N3201:N3202"/>
    <mergeCell ref="I3199:I3200"/>
    <mergeCell ref="J3199:J3200"/>
    <mergeCell ref="K3199:K3200"/>
    <mergeCell ref="L3199:L3200"/>
    <mergeCell ref="M3199:M3200"/>
    <mergeCell ref="N3199:N3200"/>
    <mergeCell ref="N3230:N3231"/>
    <mergeCell ref="O3230:P3230"/>
    <mergeCell ref="I3232:I3233"/>
    <mergeCell ref="J3232:J3233"/>
    <mergeCell ref="K3232:K3233"/>
    <mergeCell ref="L3232:L3233"/>
    <mergeCell ref="M3232:M3233"/>
    <mergeCell ref="N3232:N3233"/>
    <mergeCell ref="I3205:M3205"/>
    <mergeCell ref="I3206:M3206"/>
    <mergeCell ref="I3207:M3207"/>
    <mergeCell ref="I3213:L3213"/>
    <mergeCell ref="I3228:P3228"/>
    <mergeCell ref="I3230:I3231"/>
    <mergeCell ref="J3230:J3231"/>
    <mergeCell ref="K3230:K3231"/>
    <mergeCell ref="L3230:L3231"/>
    <mergeCell ref="M3230:M3231"/>
    <mergeCell ref="I3238:I3239"/>
    <mergeCell ref="J3238:J3239"/>
    <mergeCell ref="K3238:K3239"/>
    <mergeCell ref="L3238:L3239"/>
    <mergeCell ref="M3238:M3239"/>
    <mergeCell ref="N3238:N3239"/>
    <mergeCell ref="I3236:I3237"/>
    <mergeCell ref="J3236:J3237"/>
    <mergeCell ref="K3236:K3237"/>
    <mergeCell ref="L3236:L3237"/>
    <mergeCell ref="M3236:M3237"/>
    <mergeCell ref="N3236:N3237"/>
    <mergeCell ref="I3234:I3235"/>
    <mergeCell ref="J3234:J3235"/>
    <mergeCell ref="K3234:K3235"/>
    <mergeCell ref="L3234:L3235"/>
    <mergeCell ref="M3234:M3235"/>
    <mergeCell ref="N3234:N3235"/>
    <mergeCell ref="N3266:N3267"/>
    <mergeCell ref="O3266:P3266"/>
    <mergeCell ref="I3268:I3269"/>
    <mergeCell ref="J3268:J3269"/>
    <mergeCell ref="K3268:K3271"/>
    <mergeCell ref="L3268:L3269"/>
    <mergeCell ref="M3268:M3269"/>
    <mergeCell ref="N3268:N3269"/>
    <mergeCell ref="I3270:I3271"/>
    <mergeCell ref="J3270:J3271"/>
    <mergeCell ref="I3240:M3240"/>
    <mergeCell ref="I3241:M3241"/>
    <mergeCell ref="I3242:M3242"/>
    <mergeCell ref="I3248:L3248"/>
    <mergeCell ref="I3264:P3264"/>
    <mergeCell ref="I3266:I3267"/>
    <mergeCell ref="J3266:J3267"/>
    <mergeCell ref="K3266:K3267"/>
    <mergeCell ref="L3266:L3267"/>
    <mergeCell ref="M3266:M3267"/>
    <mergeCell ref="I3276:M3276"/>
    <mergeCell ref="I3277:M3277"/>
    <mergeCell ref="I3278:M3278"/>
    <mergeCell ref="I3284:L3284"/>
    <mergeCell ref="I3299:P3299"/>
    <mergeCell ref="I3301:I3302"/>
    <mergeCell ref="J3301:J3302"/>
    <mergeCell ref="K3301:K3302"/>
    <mergeCell ref="L3301:L3302"/>
    <mergeCell ref="M3301:M3302"/>
    <mergeCell ref="I3274:I3275"/>
    <mergeCell ref="J3274:J3275"/>
    <mergeCell ref="K3274:K3275"/>
    <mergeCell ref="L3274:L3275"/>
    <mergeCell ref="M3274:M3275"/>
    <mergeCell ref="N3274:N3275"/>
    <mergeCell ref="L3270:L3271"/>
    <mergeCell ref="M3270:M3271"/>
    <mergeCell ref="N3270:N3271"/>
    <mergeCell ref="I3272:I3273"/>
    <mergeCell ref="J3272:J3273"/>
    <mergeCell ref="K3272:K3273"/>
    <mergeCell ref="L3272:L3273"/>
    <mergeCell ref="M3272:M3273"/>
    <mergeCell ref="N3272:N3273"/>
    <mergeCell ref="I3307:I3308"/>
    <mergeCell ref="J3307:J3308"/>
    <mergeCell ref="K3307:K3308"/>
    <mergeCell ref="L3307:L3308"/>
    <mergeCell ref="M3307:M3308"/>
    <mergeCell ref="N3307:N3308"/>
    <mergeCell ref="I3305:I3306"/>
    <mergeCell ref="J3305:J3306"/>
    <mergeCell ref="K3305:K3306"/>
    <mergeCell ref="L3305:L3306"/>
    <mergeCell ref="M3305:M3306"/>
    <mergeCell ref="N3305:N3306"/>
    <mergeCell ref="N3301:N3302"/>
    <mergeCell ref="O3301:P3301"/>
    <mergeCell ref="I3303:I3304"/>
    <mergeCell ref="J3303:J3304"/>
    <mergeCell ref="K3303:K3304"/>
    <mergeCell ref="L3303:L3304"/>
    <mergeCell ref="M3303:M3304"/>
    <mergeCell ref="N3303:N3304"/>
    <mergeCell ref="I3313:I3314"/>
    <mergeCell ref="J3313:J3314"/>
    <mergeCell ref="K3313:K3314"/>
    <mergeCell ref="L3313:L3314"/>
    <mergeCell ref="M3313:M3314"/>
    <mergeCell ref="N3313:N3314"/>
    <mergeCell ref="I3311:I3312"/>
    <mergeCell ref="J3311:J3312"/>
    <mergeCell ref="K3311:K3312"/>
    <mergeCell ref="L3311:L3312"/>
    <mergeCell ref="M3311:M3312"/>
    <mergeCell ref="N3311:N3312"/>
    <mergeCell ref="I3309:I3310"/>
    <mergeCell ref="J3309:J3310"/>
    <mergeCell ref="K3309:K3310"/>
    <mergeCell ref="L3309:L3310"/>
    <mergeCell ref="M3309:M3310"/>
    <mergeCell ref="N3309:N3310"/>
    <mergeCell ref="N3340:N3341"/>
    <mergeCell ref="O3340:P3340"/>
    <mergeCell ref="I3342:I3343"/>
    <mergeCell ref="J3342:J3343"/>
    <mergeCell ref="K3342:K3343"/>
    <mergeCell ref="L3342:L3343"/>
    <mergeCell ref="M3342:M3343"/>
    <mergeCell ref="N3342:N3343"/>
    <mergeCell ref="I3315:M3315"/>
    <mergeCell ref="I3316:M3316"/>
    <mergeCell ref="I3317:M3317"/>
    <mergeCell ref="I3323:L3323"/>
    <mergeCell ref="I3338:P3338"/>
    <mergeCell ref="I3340:I3341"/>
    <mergeCell ref="J3340:J3341"/>
    <mergeCell ref="K3340:K3341"/>
    <mergeCell ref="L3340:L3341"/>
    <mergeCell ref="M3340:M3341"/>
    <mergeCell ref="I3348:I3349"/>
    <mergeCell ref="J3348:J3349"/>
    <mergeCell ref="K3348:K3349"/>
    <mergeCell ref="L3348:L3349"/>
    <mergeCell ref="M3348:M3349"/>
    <mergeCell ref="N3348:N3349"/>
    <mergeCell ref="I3346:I3347"/>
    <mergeCell ref="J3346:J3347"/>
    <mergeCell ref="K3346:K3347"/>
    <mergeCell ref="L3346:L3347"/>
    <mergeCell ref="M3346:M3347"/>
    <mergeCell ref="N3346:N3347"/>
    <mergeCell ref="I3344:I3345"/>
    <mergeCell ref="J3344:J3345"/>
    <mergeCell ref="K3344:K3345"/>
    <mergeCell ref="L3344:L3345"/>
    <mergeCell ref="M3344:M3345"/>
    <mergeCell ref="N3344:N3345"/>
    <mergeCell ref="N3376:N3377"/>
    <mergeCell ref="O3376:P3376"/>
    <mergeCell ref="I3378:I3379"/>
    <mergeCell ref="J3378:J3379"/>
    <mergeCell ref="K3378:K3379"/>
    <mergeCell ref="L3378:L3379"/>
    <mergeCell ref="M3378:M3379"/>
    <mergeCell ref="N3378:N3379"/>
    <mergeCell ref="I3350:M3350"/>
    <mergeCell ref="I3351:M3351"/>
    <mergeCell ref="I3352:M3352"/>
    <mergeCell ref="I3358:L3358"/>
    <mergeCell ref="I3374:P3374"/>
    <mergeCell ref="I3376:I3377"/>
    <mergeCell ref="J3376:J3377"/>
    <mergeCell ref="K3376:K3377"/>
    <mergeCell ref="L3376:L3377"/>
    <mergeCell ref="M3376:M3377"/>
    <mergeCell ref="I3384:I3385"/>
    <mergeCell ref="J3384:J3385"/>
    <mergeCell ref="K3384:K3385"/>
    <mergeCell ref="L3384:L3385"/>
    <mergeCell ref="M3384:M3385"/>
    <mergeCell ref="N3384:N3385"/>
    <mergeCell ref="I3382:I3383"/>
    <mergeCell ref="J3382:J3383"/>
    <mergeCell ref="K3382:K3383"/>
    <mergeCell ref="L3382:L3383"/>
    <mergeCell ref="M3382:M3383"/>
    <mergeCell ref="N3382:N3383"/>
    <mergeCell ref="I3380:I3381"/>
    <mergeCell ref="J3380:J3381"/>
    <mergeCell ref="K3380:K3381"/>
    <mergeCell ref="L3380:L3381"/>
    <mergeCell ref="M3380:M3381"/>
    <mergeCell ref="N3380:N3381"/>
    <mergeCell ref="N3412:N3413"/>
    <mergeCell ref="O3412:P3412"/>
    <mergeCell ref="I3414:I3415"/>
    <mergeCell ref="J3414:J3415"/>
    <mergeCell ref="L3414:L3415"/>
    <mergeCell ref="M3414:M3415"/>
    <mergeCell ref="N3414:N3415"/>
    <mergeCell ref="I3386:M3386"/>
    <mergeCell ref="I3387:M3387"/>
    <mergeCell ref="I3388:M3388"/>
    <mergeCell ref="I3394:L3394"/>
    <mergeCell ref="I3410:P3410"/>
    <mergeCell ref="I3412:I3413"/>
    <mergeCell ref="J3412:J3413"/>
    <mergeCell ref="K3412:K3413"/>
    <mergeCell ref="L3412:L3413"/>
    <mergeCell ref="M3412:M3413"/>
    <mergeCell ref="I3424:I3425"/>
    <mergeCell ref="J3424:J3425"/>
    <mergeCell ref="L3424:L3425"/>
    <mergeCell ref="M3424:M3425"/>
    <mergeCell ref="N3424:N3425"/>
    <mergeCell ref="I3426:M3426"/>
    <mergeCell ref="I3420:I3421"/>
    <mergeCell ref="J3420:J3421"/>
    <mergeCell ref="L3420:L3421"/>
    <mergeCell ref="M3420:M3421"/>
    <mergeCell ref="N3420:N3421"/>
    <mergeCell ref="I3422:I3423"/>
    <mergeCell ref="J3422:J3423"/>
    <mergeCell ref="L3422:L3423"/>
    <mergeCell ref="M3422:M3423"/>
    <mergeCell ref="N3422:N3423"/>
    <mergeCell ref="I3416:I3417"/>
    <mergeCell ref="J3416:J3417"/>
    <mergeCell ref="L3416:L3417"/>
    <mergeCell ref="M3416:M3417"/>
    <mergeCell ref="N3416:N3417"/>
    <mergeCell ref="I3418:I3419"/>
    <mergeCell ref="J3418:J3419"/>
    <mergeCell ref="L3418:L3419"/>
    <mergeCell ref="M3418:M3419"/>
    <mergeCell ref="N3418:N3419"/>
    <mergeCell ref="O3451:P3451"/>
    <mergeCell ref="I3453:I3454"/>
    <mergeCell ref="J3453:J3454"/>
    <mergeCell ref="K3453:K3454"/>
    <mergeCell ref="L3453:L3454"/>
    <mergeCell ref="M3453:M3454"/>
    <mergeCell ref="N3453:N3454"/>
    <mergeCell ref="I3427:M3427"/>
    <mergeCell ref="I3428:M3428"/>
    <mergeCell ref="I3434:L3434"/>
    <mergeCell ref="I3449:P3449"/>
    <mergeCell ref="I3451:I3452"/>
    <mergeCell ref="J3451:J3452"/>
    <mergeCell ref="K3451:K3452"/>
    <mergeCell ref="L3451:L3452"/>
    <mergeCell ref="M3451:M3452"/>
    <mergeCell ref="N3451:N3452"/>
    <mergeCell ref="I3459:I3460"/>
    <mergeCell ref="J3459:J3460"/>
    <mergeCell ref="K3459:K3460"/>
    <mergeCell ref="L3459:L3460"/>
    <mergeCell ref="M3459:M3460"/>
    <mergeCell ref="N3459:N3460"/>
    <mergeCell ref="I3457:I3458"/>
    <mergeCell ref="J3457:J3458"/>
    <mergeCell ref="K3457:K3458"/>
    <mergeCell ref="L3457:L3458"/>
    <mergeCell ref="M3457:M3458"/>
    <mergeCell ref="N3457:N3458"/>
    <mergeCell ref="I3455:I3456"/>
    <mergeCell ref="J3455:J3456"/>
    <mergeCell ref="K3455:K3456"/>
    <mergeCell ref="L3455:L3456"/>
    <mergeCell ref="M3455:M3456"/>
    <mergeCell ref="N3455:N3456"/>
    <mergeCell ref="M3497:M3498"/>
    <mergeCell ref="N3497:N3498"/>
    <mergeCell ref="N3487:N3488"/>
    <mergeCell ref="O3487:P3487"/>
    <mergeCell ref="I3489:I3490"/>
    <mergeCell ref="J3489:J3490"/>
    <mergeCell ref="K3489:K3492"/>
    <mergeCell ref="L3489:L3490"/>
    <mergeCell ref="M3489:M3490"/>
    <mergeCell ref="N3489:N3490"/>
    <mergeCell ref="I3491:I3492"/>
    <mergeCell ref="J3491:J3492"/>
    <mergeCell ref="I3461:M3461"/>
    <mergeCell ref="I3462:M3462"/>
    <mergeCell ref="I3463:M3463"/>
    <mergeCell ref="I3469:L3469"/>
    <mergeCell ref="I3485:P3485"/>
    <mergeCell ref="I3487:I3488"/>
    <mergeCell ref="J3487:J3488"/>
    <mergeCell ref="K3487:K3488"/>
    <mergeCell ref="L3487:L3488"/>
    <mergeCell ref="M3487:M3488"/>
    <mergeCell ref="O3574:P3574"/>
    <mergeCell ref="I3576:I3577"/>
    <mergeCell ref="J3576:J3577"/>
    <mergeCell ref="K3576:K3577"/>
    <mergeCell ref="L3576:L3577"/>
    <mergeCell ref="M3576:M3577"/>
    <mergeCell ref="N3576:N3577"/>
    <mergeCell ref="O3527:P3527"/>
    <mergeCell ref="I3529:I3530"/>
    <mergeCell ref="J3529:J3530"/>
    <mergeCell ref="K3529:K3532"/>
    <mergeCell ref="L3529:L3530"/>
    <mergeCell ref="M3529:M3530"/>
    <mergeCell ref="N3529:N3530"/>
    <mergeCell ref="I3531:I3532"/>
    <mergeCell ref="J3531:J3532"/>
    <mergeCell ref="I3501:M3501"/>
    <mergeCell ref="I3502:M3502"/>
    <mergeCell ref="I3503:M3503"/>
    <mergeCell ref="I3509:L3509"/>
    <mergeCell ref="I3525:P3525"/>
    <mergeCell ref="I3527:I3528"/>
    <mergeCell ref="J3527:J3528"/>
    <mergeCell ref="K3527:K3528"/>
    <mergeCell ref="L3527:L3528"/>
    <mergeCell ref="M3527:M3528"/>
    <mergeCell ref="J3574:J3575"/>
    <mergeCell ref="K3574:K3575"/>
    <mergeCell ref="L3574:L3575"/>
    <mergeCell ref="M3574:M3575"/>
    <mergeCell ref="I3547:I3548"/>
    <mergeCell ref="I1076:I1077"/>
    <mergeCell ref="J1076:J1077"/>
    <mergeCell ref="K1076:K1077"/>
    <mergeCell ref="L1076:L1077"/>
    <mergeCell ref="M1076:M1077"/>
    <mergeCell ref="N1076:N1077"/>
    <mergeCell ref="I3580:I3581"/>
    <mergeCell ref="J3580:J3581"/>
    <mergeCell ref="K3580:K3581"/>
    <mergeCell ref="L3580:L3581"/>
    <mergeCell ref="M3580:M3581"/>
    <mergeCell ref="N3580:N3581"/>
    <mergeCell ref="I3578:I3579"/>
    <mergeCell ref="J3578:J3579"/>
    <mergeCell ref="K3578:K3579"/>
    <mergeCell ref="L3578:L3579"/>
    <mergeCell ref="M3578:M3579"/>
    <mergeCell ref="N3578:N3579"/>
    <mergeCell ref="N3574:N3575"/>
    <mergeCell ref="I3499:I3500"/>
    <mergeCell ref="J3499:J3500"/>
    <mergeCell ref="K3499:K3500"/>
    <mergeCell ref="L3499:L3500"/>
    <mergeCell ref="M3499:M3500"/>
    <mergeCell ref="N3499:N3500"/>
    <mergeCell ref="L3491:L3492"/>
    <mergeCell ref="M3491:M3492"/>
    <mergeCell ref="N3491:N3492"/>
    <mergeCell ref="I3497:I3498"/>
    <mergeCell ref="J3497:J3498"/>
    <mergeCell ref="K3497:K3498"/>
    <mergeCell ref="L3497:L3498"/>
    <mergeCell ref="I1074:I1075"/>
    <mergeCell ref="J1074:J1075"/>
    <mergeCell ref="K1074:K1075"/>
    <mergeCell ref="L1074:L1075"/>
    <mergeCell ref="M1074:M1075"/>
    <mergeCell ref="N1074:N1075"/>
    <mergeCell ref="I3582:M3582"/>
    <mergeCell ref="I3583:M3583"/>
    <mergeCell ref="I3584:M3584"/>
    <mergeCell ref="I3590:L3590"/>
    <mergeCell ref="N3594:O3594"/>
    <mergeCell ref="J3547:J3548"/>
    <mergeCell ref="K3547:K3548"/>
    <mergeCell ref="L3547:L3548"/>
    <mergeCell ref="M3547:M3548"/>
    <mergeCell ref="N3547:N3548"/>
    <mergeCell ref="L3531:L3532"/>
    <mergeCell ref="M3531:M3532"/>
    <mergeCell ref="N3531:N3532"/>
    <mergeCell ref="I3545:I3546"/>
    <mergeCell ref="J3545:J3546"/>
    <mergeCell ref="K3545:K3546"/>
    <mergeCell ref="L3545:L3546"/>
    <mergeCell ref="M3545:M3546"/>
    <mergeCell ref="N3545:N3546"/>
    <mergeCell ref="N3527:N3528"/>
    <mergeCell ref="I3549:M3549"/>
    <mergeCell ref="I3550:M3550"/>
    <mergeCell ref="I3551:M3551"/>
    <mergeCell ref="I3557:L3557"/>
    <mergeCell ref="I3572:P3572"/>
    <mergeCell ref="I3574:I3575"/>
  </mergeCells>
  <pageMargins left="0.7" right="0.7" top="0.75" bottom="0.64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98"/>
  <sheetViews>
    <sheetView topLeftCell="I760" workbookViewId="0">
      <selection activeCell="N549" sqref="N549"/>
    </sheetView>
  </sheetViews>
  <sheetFormatPr baseColWidth="10" defaultRowHeight="15"/>
  <cols>
    <col min="1" max="1" width="13.28515625" style="51" hidden="1" customWidth="1"/>
    <col min="2" max="2" width="21.140625" style="51" hidden="1" customWidth="1"/>
    <col min="3" max="3" width="19.7109375" style="51" hidden="1" customWidth="1"/>
    <col min="4" max="4" width="19.140625" style="51" hidden="1" customWidth="1"/>
    <col min="5" max="5" width="18.28515625" style="51" hidden="1" customWidth="1"/>
    <col min="6" max="6" width="22.140625" style="51" hidden="1" customWidth="1"/>
    <col min="7" max="7" width="7.140625" style="51" hidden="1" customWidth="1"/>
    <col min="8" max="8" width="14.42578125" style="51" hidden="1" customWidth="1"/>
    <col min="9" max="9" width="13.28515625" style="51" customWidth="1"/>
    <col min="10" max="10" width="20.5703125" style="51" customWidth="1"/>
    <col min="11" max="11" width="20" style="51" customWidth="1"/>
    <col min="12" max="12" width="20.85546875" style="51" customWidth="1"/>
    <col min="13" max="13" width="13.5703125" style="51" customWidth="1"/>
    <col min="14" max="14" width="21.7109375" style="51" customWidth="1"/>
    <col min="15" max="15" width="8" style="51" customWidth="1"/>
    <col min="16" max="16" width="13" style="51" customWidth="1"/>
    <col min="17" max="17" width="11.42578125" style="51"/>
    <col min="18" max="18" width="14.140625" style="51" bestFit="1" customWidth="1"/>
    <col min="19" max="16384" width="11.42578125" style="51"/>
  </cols>
  <sheetData>
    <row r="1" spans="1:16" ht="14.25" customHeight="1">
      <c r="A1" s="49" t="s">
        <v>88</v>
      </c>
      <c r="B1" s="50"/>
      <c r="I1" s="49" t="s">
        <v>88</v>
      </c>
      <c r="J1" s="50"/>
    </row>
    <row r="2" spans="1:16">
      <c r="A2" s="51" t="s">
        <v>89</v>
      </c>
      <c r="I2" s="51" t="s">
        <v>89</v>
      </c>
    </row>
    <row r="3" spans="1:16">
      <c r="A3" s="51" t="s">
        <v>90</v>
      </c>
      <c r="I3" s="51" t="s">
        <v>90</v>
      </c>
    </row>
    <row r="4" spans="1:16">
      <c r="A4" s="51" t="s">
        <v>91</v>
      </c>
      <c r="I4" s="51" t="s">
        <v>91</v>
      </c>
    </row>
    <row r="5" spans="1:16" ht="10.5" customHeight="1">
      <c r="A5" s="50"/>
      <c r="B5" s="50"/>
      <c r="I5" s="50"/>
      <c r="J5" s="50"/>
    </row>
    <row r="6" spans="1:16" ht="16.5">
      <c r="A6" s="52" t="s">
        <v>172</v>
      </c>
      <c r="G6" s="52"/>
      <c r="I6" s="52" t="s">
        <v>534</v>
      </c>
      <c r="O6" s="52"/>
    </row>
    <row r="7" spans="1:16" ht="15.75">
      <c r="A7" s="53" t="s">
        <v>92</v>
      </c>
      <c r="G7" s="53"/>
      <c r="I7" s="53" t="s">
        <v>1623</v>
      </c>
      <c r="O7" s="53"/>
    </row>
    <row r="8" spans="1:16" ht="13.5" customHeight="1">
      <c r="A8" s="894" t="s">
        <v>93</v>
      </c>
      <c r="B8" s="894"/>
      <c r="C8" s="894"/>
      <c r="D8" s="894"/>
      <c r="E8" s="894"/>
      <c r="F8" s="894"/>
      <c r="G8" s="894"/>
      <c r="H8" s="894"/>
      <c r="I8" s="894" t="s">
        <v>1332</v>
      </c>
      <c r="J8" s="894"/>
      <c r="K8" s="894"/>
      <c r="L8" s="894"/>
      <c r="M8" s="894"/>
      <c r="N8" s="894"/>
      <c r="O8" s="894"/>
      <c r="P8" s="894"/>
    </row>
    <row r="9" spans="1:16" ht="12" customHeight="1" thickBot="1"/>
    <row r="10" spans="1:16">
      <c r="A10" s="895" t="s">
        <v>94</v>
      </c>
      <c r="B10" s="897" t="s">
        <v>95</v>
      </c>
      <c r="C10" s="897" t="s">
        <v>96</v>
      </c>
      <c r="D10" s="897" t="s">
        <v>3</v>
      </c>
      <c r="E10" s="897" t="s">
        <v>97</v>
      </c>
      <c r="F10" s="897" t="s">
        <v>98</v>
      </c>
      <c r="G10" s="897" t="s">
        <v>99</v>
      </c>
      <c r="H10" s="899"/>
      <c r="I10" s="895" t="s">
        <v>94</v>
      </c>
      <c r="J10" s="897" t="s">
        <v>95</v>
      </c>
      <c r="K10" s="897" t="s">
        <v>96</v>
      </c>
      <c r="L10" s="897" t="s">
        <v>3</v>
      </c>
      <c r="M10" s="897" t="s">
        <v>97</v>
      </c>
      <c r="N10" s="897" t="s">
        <v>98</v>
      </c>
      <c r="O10" s="897" t="s">
        <v>99</v>
      </c>
      <c r="P10" s="899"/>
    </row>
    <row r="11" spans="1:16" ht="15.75" thickBot="1">
      <c r="A11" s="896"/>
      <c r="B11" s="898"/>
      <c r="C11" s="898"/>
      <c r="D11" s="898"/>
      <c r="E11" s="898"/>
      <c r="F11" s="898"/>
      <c r="G11" s="240" t="s">
        <v>100</v>
      </c>
      <c r="H11" s="182" t="s">
        <v>101</v>
      </c>
      <c r="I11" s="896"/>
      <c r="J11" s="898"/>
      <c r="K11" s="898"/>
      <c r="L11" s="898"/>
      <c r="M11" s="898"/>
      <c r="N11" s="898"/>
      <c r="O11" s="240" t="s">
        <v>100</v>
      </c>
      <c r="P11" s="182" t="s">
        <v>101</v>
      </c>
    </row>
    <row r="12" spans="1:16" ht="12" customHeight="1">
      <c r="A12" s="881">
        <v>237</v>
      </c>
      <c r="B12" s="875">
        <v>42228</v>
      </c>
      <c r="C12" s="942" t="s">
        <v>31</v>
      </c>
      <c r="D12" s="881" t="s">
        <v>174</v>
      </c>
      <c r="E12" s="881" t="s">
        <v>115</v>
      </c>
      <c r="F12" s="883">
        <v>120000</v>
      </c>
      <c r="G12" s="55">
        <v>719</v>
      </c>
      <c r="H12" s="78">
        <v>120000</v>
      </c>
      <c r="I12" s="873" t="s">
        <v>545</v>
      </c>
      <c r="J12" s="875">
        <v>43139</v>
      </c>
      <c r="K12" s="877" t="s">
        <v>1624</v>
      </c>
      <c r="L12" s="881" t="s">
        <v>1622</v>
      </c>
      <c r="M12" s="881" t="s">
        <v>115</v>
      </c>
      <c r="N12" s="883">
        <v>1008000</v>
      </c>
      <c r="O12" s="55">
        <v>719</v>
      </c>
      <c r="P12" s="78"/>
    </row>
    <row r="13" spans="1:16" ht="14.25" customHeight="1" thickBot="1">
      <c r="A13" s="882"/>
      <c r="B13" s="934"/>
      <c r="C13" s="943"/>
      <c r="D13" s="882"/>
      <c r="E13" s="882"/>
      <c r="F13" s="884"/>
      <c r="G13" s="56">
        <v>721</v>
      </c>
      <c r="H13" s="79">
        <f>+F12-H12</f>
        <v>0</v>
      </c>
      <c r="I13" s="874"/>
      <c r="J13" s="876"/>
      <c r="K13" s="900"/>
      <c r="L13" s="882"/>
      <c r="M13" s="882"/>
      <c r="N13" s="884"/>
      <c r="O13" s="56">
        <v>723</v>
      </c>
      <c r="P13" s="79">
        <f>+N12-P12</f>
        <v>1008000</v>
      </c>
    </row>
    <row r="14" spans="1:16" ht="12.75" customHeight="1">
      <c r="A14" s="881">
        <f>+A12+1</f>
        <v>238</v>
      </c>
      <c r="B14" s="875">
        <v>42228</v>
      </c>
      <c r="C14" s="935" t="s">
        <v>28</v>
      </c>
      <c r="D14" s="881" t="s">
        <v>175</v>
      </c>
      <c r="E14" s="881" t="s">
        <v>115</v>
      </c>
      <c r="F14" s="883">
        <v>90000</v>
      </c>
      <c r="G14" s="55">
        <v>719</v>
      </c>
      <c r="H14" s="78">
        <v>90000</v>
      </c>
      <c r="I14" s="873" t="s">
        <v>547</v>
      </c>
      <c r="J14" s="875">
        <v>43139</v>
      </c>
      <c r="K14" s="877" t="s">
        <v>28</v>
      </c>
      <c r="L14" s="881" t="s">
        <v>1622</v>
      </c>
      <c r="M14" s="881" t="s">
        <v>115</v>
      </c>
      <c r="N14" s="883">
        <v>546672</v>
      </c>
      <c r="O14" s="55">
        <v>719</v>
      </c>
      <c r="P14" s="78">
        <v>0</v>
      </c>
    </row>
    <row r="15" spans="1:16" ht="14.25" customHeight="1" thickBot="1">
      <c r="A15" s="882"/>
      <c r="B15" s="876"/>
      <c r="C15" s="936"/>
      <c r="D15" s="882"/>
      <c r="E15" s="882"/>
      <c r="F15" s="884"/>
      <c r="G15" s="56">
        <v>721</v>
      </c>
      <c r="H15" s="79"/>
      <c r="I15" s="874"/>
      <c r="J15" s="876"/>
      <c r="K15" s="878"/>
      <c r="L15" s="882"/>
      <c r="M15" s="882"/>
      <c r="N15" s="884"/>
      <c r="O15" s="56">
        <v>723</v>
      </c>
      <c r="P15" s="79">
        <f>+N14-P14</f>
        <v>546672</v>
      </c>
    </row>
    <row r="16" spans="1:16" ht="11.25" customHeight="1">
      <c r="A16" s="881"/>
      <c r="B16" s="875"/>
      <c r="C16" s="935"/>
      <c r="D16" s="881"/>
      <c r="E16" s="881"/>
      <c r="F16" s="883"/>
      <c r="G16" s="55">
        <v>719</v>
      </c>
      <c r="H16" s="78"/>
      <c r="I16" s="873" t="s">
        <v>548</v>
      </c>
      <c r="J16" s="875">
        <v>43139</v>
      </c>
      <c r="K16" s="877" t="s">
        <v>693</v>
      </c>
      <c r="L16" s="881" t="s">
        <v>1622</v>
      </c>
      <c r="M16" s="881" t="s">
        <v>115</v>
      </c>
      <c r="N16" s="883">
        <v>4500000</v>
      </c>
      <c r="O16" s="55">
        <v>719</v>
      </c>
      <c r="P16" s="78">
        <v>0</v>
      </c>
    </row>
    <row r="17" spans="1:16" ht="12.75" customHeight="1" thickBot="1">
      <c r="A17" s="882"/>
      <c r="B17" s="934"/>
      <c r="C17" s="936"/>
      <c r="D17" s="882"/>
      <c r="E17" s="882"/>
      <c r="F17" s="884"/>
      <c r="G17" s="56">
        <v>721</v>
      </c>
      <c r="H17" s="79">
        <f>+F16-H16</f>
        <v>0</v>
      </c>
      <c r="I17" s="874"/>
      <c r="J17" s="876"/>
      <c r="K17" s="878"/>
      <c r="L17" s="882"/>
      <c r="M17" s="882"/>
      <c r="N17" s="884"/>
      <c r="O17" s="56">
        <v>723</v>
      </c>
      <c r="P17" s="79">
        <f>+N16-P16</f>
        <v>4500000</v>
      </c>
    </row>
    <row r="18" spans="1:16" ht="12.75" customHeight="1">
      <c r="A18" s="881"/>
      <c r="B18" s="875"/>
      <c r="C18" s="935"/>
      <c r="D18" s="877"/>
      <c r="E18" s="881"/>
      <c r="F18" s="883"/>
      <c r="G18" s="55">
        <v>719</v>
      </c>
      <c r="H18" s="78"/>
      <c r="I18" s="873" t="s">
        <v>549</v>
      </c>
      <c r="J18" s="875">
        <v>43139</v>
      </c>
      <c r="K18" s="877" t="s">
        <v>117</v>
      </c>
      <c r="L18" s="881" t="s">
        <v>1622</v>
      </c>
      <c r="M18" s="881" t="s">
        <v>115</v>
      </c>
      <c r="N18" s="883">
        <v>870000</v>
      </c>
      <c r="O18" s="55">
        <v>719</v>
      </c>
      <c r="P18" s="78">
        <v>0</v>
      </c>
    </row>
    <row r="19" spans="1:16" ht="12.75" customHeight="1" thickBot="1">
      <c r="A19" s="882"/>
      <c r="B19" s="934"/>
      <c r="C19" s="936"/>
      <c r="D19" s="878"/>
      <c r="E19" s="882"/>
      <c r="F19" s="884"/>
      <c r="G19" s="56">
        <v>721</v>
      </c>
      <c r="H19" s="79">
        <f>+F18-H18</f>
        <v>0</v>
      </c>
      <c r="I19" s="874"/>
      <c r="J19" s="876"/>
      <c r="K19" s="878"/>
      <c r="L19" s="882"/>
      <c r="M19" s="882"/>
      <c r="N19" s="884"/>
      <c r="O19" s="56">
        <v>723</v>
      </c>
      <c r="P19" s="79">
        <f>+N18-P18</f>
        <v>870000</v>
      </c>
    </row>
    <row r="20" spans="1:16" ht="15" customHeight="1" thickBot="1">
      <c r="A20" s="901" t="s">
        <v>102</v>
      </c>
      <c r="B20" s="902"/>
      <c r="C20" s="902"/>
      <c r="D20" s="902"/>
      <c r="E20" s="903"/>
      <c r="F20" s="81">
        <f>SUM(F12:F19)</f>
        <v>210000</v>
      </c>
      <c r="I20" s="901" t="s">
        <v>102</v>
      </c>
      <c r="J20" s="902"/>
      <c r="K20" s="902"/>
      <c r="L20" s="902"/>
      <c r="M20" s="903"/>
      <c r="N20" s="81">
        <f>SUM(N12:N19)</f>
        <v>6924672</v>
      </c>
    </row>
    <row r="21" spans="1:16" ht="14.25" customHeight="1" thickBot="1">
      <c r="A21" s="885" t="s">
        <v>103</v>
      </c>
      <c r="B21" s="886"/>
      <c r="C21" s="886"/>
      <c r="D21" s="886"/>
      <c r="E21" s="887"/>
      <c r="F21" s="69">
        <f>+C35</f>
        <v>610857841</v>
      </c>
      <c r="I21" s="885" t="s">
        <v>103</v>
      </c>
      <c r="J21" s="886"/>
      <c r="K21" s="886"/>
      <c r="L21" s="886"/>
      <c r="M21" s="887"/>
      <c r="N21" s="69">
        <v>0</v>
      </c>
    </row>
    <row r="22" spans="1:16" ht="16.5" thickBot="1">
      <c r="A22" s="888" t="s">
        <v>104</v>
      </c>
      <c r="B22" s="889"/>
      <c r="C22" s="889"/>
      <c r="D22" s="889"/>
      <c r="E22" s="890"/>
      <c r="F22" s="183">
        <f>SUM(F20:F21)</f>
        <v>611067841</v>
      </c>
      <c r="I22" s="888" t="s">
        <v>104</v>
      </c>
      <c r="J22" s="889"/>
      <c r="K22" s="889"/>
      <c r="L22" s="889"/>
      <c r="M22" s="890"/>
      <c r="N22" s="183">
        <f>SUM(N20:N21)</f>
        <v>6924672</v>
      </c>
    </row>
    <row r="23" spans="1:16" ht="12" customHeight="1">
      <c r="A23" s="61"/>
      <c r="B23" s="61"/>
      <c r="C23" s="61"/>
      <c r="D23" s="61"/>
      <c r="E23" s="61"/>
      <c r="I23" s="61"/>
      <c r="J23" s="61"/>
      <c r="K23" s="61"/>
      <c r="L23" s="61"/>
      <c r="M23" s="61"/>
    </row>
    <row r="24" spans="1:16" ht="16.5" customHeight="1">
      <c r="A24" s="51" t="s">
        <v>176</v>
      </c>
      <c r="I24" s="51" t="s">
        <v>1625</v>
      </c>
    </row>
    <row r="25" spans="1:16" ht="5.25" customHeight="1">
      <c r="F25" s="139"/>
      <c r="N25" s="139"/>
    </row>
    <row r="26" spans="1:16" ht="15" customHeight="1">
      <c r="A26" s="50" t="s">
        <v>105</v>
      </c>
      <c r="D26" s="146"/>
      <c r="F26" s="139"/>
      <c r="I26" s="50" t="s">
        <v>105</v>
      </c>
      <c r="L26" s="146"/>
      <c r="N26" s="139"/>
    </row>
    <row r="27" spans="1:16" ht="9.75" customHeight="1" thickBot="1"/>
    <row r="28" spans="1:16" ht="15.75" thickBot="1">
      <c r="A28" s="891" t="s">
        <v>106</v>
      </c>
      <c r="B28" s="892"/>
      <c r="C28" s="892"/>
      <c r="D28" s="893"/>
      <c r="F28" s="50" t="s">
        <v>107</v>
      </c>
      <c r="I28" s="891" t="s">
        <v>106</v>
      </c>
      <c r="J28" s="892"/>
      <c r="K28" s="892"/>
      <c r="L28" s="893"/>
      <c r="N28" s="50" t="s">
        <v>288</v>
      </c>
    </row>
    <row r="29" spans="1:16" ht="38.25" customHeight="1" thickBot="1">
      <c r="A29" s="57" t="s">
        <v>100</v>
      </c>
      <c r="B29" s="58" t="s">
        <v>108</v>
      </c>
      <c r="C29" s="59" t="s">
        <v>109</v>
      </c>
      <c r="D29" s="60" t="s">
        <v>110</v>
      </c>
      <c r="I29" s="57" t="s">
        <v>100</v>
      </c>
      <c r="J29" s="58" t="s">
        <v>108</v>
      </c>
      <c r="K29" s="59" t="s">
        <v>109</v>
      </c>
      <c r="L29" s="60" t="s">
        <v>110</v>
      </c>
    </row>
    <row r="30" spans="1:16" ht="13.5" customHeight="1">
      <c r="A30" s="71">
        <v>719</v>
      </c>
      <c r="B30" s="73">
        <v>210000</v>
      </c>
      <c r="C30" s="74">
        <v>28120000</v>
      </c>
      <c r="D30" s="76">
        <f>+B30+C30</f>
        <v>28330000</v>
      </c>
      <c r="I30" s="71">
        <v>719</v>
      </c>
      <c r="J30" s="73"/>
      <c r="K30" s="74">
        <v>0</v>
      </c>
      <c r="L30" s="195">
        <f>+J30+K30</f>
        <v>0</v>
      </c>
    </row>
    <row r="31" spans="1:16" ht="13.5" customHeight="1">
      <c r="A31" s="72">
        <v>721</v>
      </c>
      <c r="B31" s="80"/>
      <c r="C31" s="75">
        <v>36156092</v>
      </c>
      <c r="D31" s="76">
        <f>+B31+C31</f>
        <v>36156092</v>
      </c>
      <c r="I31" s="72">
        <v>721</v>
      </c>
      <c r="J31" s="80"/>
      <c r="K31" s="74">
        <v>0</v>
      </c>
      <c r="L31" s="195">
        <f>+J31+K31</f>
        <v>0</v>
      </c>
    </row>
    <row r="32" spans="1:16" ht="12.75" customHeight="1">
      <c r="A32" s="72">
        <v>722</v>
      </c>
      <c r="B32" s="80"/>
      <c r="C32" s="75">
        <v>224787287</v>
      </c>
      <c r="D32" s="76">
        <f>+B32+C32</f>
        <v>224787287</v>
      </c>
      <c r="I32" s="72">
        <v>722</v>
      </c>
      <c r="J32" s="80"/>
      <c r="K32" s="74">
        <v>0</v>
      </c>
      <c r="L32" s="195">
        <f>+J32+K32</f>
        <v>0</v>
      </c>
    </row>
    <row r="33" spans="1:22" ht="13.5" customHeight="1">
      <c r="A33" s="72">
        <v>723</v>
      </c>
      <c r="B33" s="80"/>
      <c r="C33" s="75">
        <v>319828837</v>
      </c>
      <c r="D33" s="76">
        <f>+B33+C33</f>
        <v>319828837</v>
      </c>
      <c r="F33" s="174" t="s">
        <v>23</v>
      </c>
      <c r="G33" s="175"/>
      <c r="I33" s="72">
        <v>723</v>
      </c>
      <c r="J33" s="80">
        <f>+P13+P15+P17+P19</f>
        <v>6924672</v>
      </c>
      <c r="K33" s="74">
        <v>0</v>
      </c>
      <c r="L33" s="195">
        <f>+J33+K33</f>
        <v>6924672</v>
      </c>
      <c r="N33" s="193" t="s">
        <v>289</v>
      </c>
      <c r="O33" s="175"/>
    </row>
    <row r="34" spans="1:22" ht="14.25" customHeight="1" thickBot="1">
      <c r="A34" s="164" t="s">
        <v>181</v>
      </c>
      <c r="B34" s="165"/>
      <c r="C34" s="166">
        <v>1965625</v>
      </c>
      <c r="D34" s="168">
        <f>+B34+C34</f>
        <v>1965625</v>
      </c>
      <c r="F34" s="52"/>
      <c r="I34" s="164" t="s">
        <v>181</v>
      </c>
      <c r="J34" s="165"/>
      <c r="K34" s="74">
        <v>0</v>
      </c>
      <c r="L34" s="196">
        <f>+J34+K34</f>
        <v>0</v>
      </c>
      <c r="N34" s="52"/>
    </row>
    <row r="35" spans="1:22" ht="16.5" thickBot="1">
      <c r="A35" s="169"/>
      <c r="B35" s="170">
        <f>SUM(B30:B34)</f>
        <v>210000</v>
      </c>
      <c r="C35" s="171">
        <f>SUM(C30:C34)</f>
        <v>610857841</v>
      </c>
      <c r="D35" s="172">
        <f>SUM(D30:D34)</f>
        <v>611067841</v>
      </c>
      <c r="I35" s="169"/>
      <c r="J35" s="197">
        <f>SUM(J30:J34)</f>
        <v>6924672</v>
      </c>
      <c r="K35" s="197">
        <f>SUM(K30:K34)</f>
        <v>0</v>
      </c>
      <c r="L35" s="198">
        <f>SUM(L30:L34)</f>
        <v>6924672</v>
      </c>
    </row>
    <row r="36" spans="1:22" ht="16.5">
      <c r="A36" s="49" t="s">
        <v>88</v>
      </c>
      <c r="B36" s="50"/>
      <c r="I36" s="49" t="s">
        <v>88</v>
      </c>
      <c r="J36" s="50"/>
    </row>
    <row r="37" spans="1:22" ht="13.5" customHeight="1">
      <c r="A37" s="51" t="s">
        <v>89</v>
      </c>
      <c r="I37" s="51" t="s">
        <v>89</v>
      </c>
    </row>
    <row r="38" spans="1:22" ht="14.25" customHeight="1">
      <c r="A38" s="51" t="s">
        <v>90</v>
      </c>
      <c r="I38" s="51" t="s">
        <v>90</v>
      </c>
    </row>
    <row r="39" spans="1:22" ht="14.25" customHeight="1">
      <c r="A39" s="51" t="s">
        <v>91</v>
      </c>
      <c r="I39" s="51" t="s">
        <v>91</v>
      </c>
    </row>
    <row r="40" spans="1:22" ht="6" customHeight="1">
      <c r="A40" s="50"/>
      <c r="B40" s="50"/>
      <c r="I40" s="50"/>
      <c r="J40" s="50"/>
    </row>
    <row r="41" spans="1:22" ht="16.5" customHeight="1">
      <c r="A41" s="52" t="s">
        <v>222</v>
      </c>
      <c r="G41" s="52"/>
      <c r="I41" s="52" t="s">
        <v>536</v>
      </c>
      <c r="O41" s="52"/>
    </row>
    <row r="42" spans="1:22" ht="15.75" customHeight="1">
      <c r="A42" s="53" t="s">
        <v>92</v>
      </c>
      <c r="G42" s="53"/>
      <c r="I42" s="53" t="s">
        <v>1623</v>
      </c>
      <c r="O42" s="53"/>
    </row>
    <row r="43" spans="1:22" ht="15.75" customHeight="1">
      <c r="A43" s="894" t="s">
        <v>93</v>
      </c>
      <c r="B43" s="894"/>
      <c r="C43" s="894"/>
      <c r="D43" s="894"/>
      <c r="E43" s="894"/>
      <c r="F43" s="894"/>
      <c r="G43" s="894"/>
      <c r="H43" s="894"/>
      <c r="I43" s="894" t="s">
        <v>903</v>
      </c>
      <c r="J43" s="894"/>
      <c r="K43" s="894"/>
      <c r="L43" s="894"/>
      <c r="M43" s="894"/>
      <c r="N43" s="894"/>
      <c r="O43" s="894"/>
      <c r="P43" s="894"/>
      <c r="V43" s="51">
        <v>189000000</v>
      </c>
    </row>
    <row r="44" spans="1:22" ht="12" customHeight="1" thickBot="1"/>
    <row r="45" spans="1:22">
      <c r="A45" s="895" t="s">
        <v>94</v>
      </c>
      <c r="B45" s="897" t="s">
        <v>95</v>
      </c>
      <c r="C45" s="897" t="s">
        <v>96</v>
      </c>
      <c r="D45" s="897" t="s">
        <v>3</v>
      </c>
      <c r="E45" s="897" t="s">
        <v>97</v>
      </c>
      <c r="F45" s="897" t="s">
        <v>98</v>
      </c>
      <c r="G45" s="897" t="s">
        <v>99</v>
      </c>
      <c r="H45" s="899"/>
      <c r="I45" s="895" t="s">
        <v>94</v>
      </c>
      <c r="J45" s="897" t="s">
        <v>95</v>
      </c>
      <c r="K45" s="897" t="s">
        <v>96</v>
      </c>
      <c r="L45" s="897" t="s">
        <v>3</v>
      </c>
      <c r="M45" s="897" t="s">
        <v>97</v>
      </c>
      <c r="N45" s="897" t="s">
        <v>98</v>
      </c>
      <c r="O45" s="897" t="s">
        <v>99</v>
      </c>
      <c r="P45" s="899"/>
    </row>
    <row r="46" spans="1:22" ht="15.75" thickBot="1">
      <c r="A46" s="896"/>
      <c r="B46" s="898"/>
      <c r="C46" s="898"/>
      <c r="D46" s="898"/>
      <c r="E46" s="898"/>
      <c r="F46" s="898"/>
      <c r="G46" s="240" t="s">
        <v>100</v>
      </c>
      <c r="H46" s="182" t="s">
        <v>101</v>
      </c>
      <c r="I46" s="896"/>
      <c r="J46" s="898"/>
      <c r="K46" s="898"/>
      <c r="L46" s="898"/>
      <c r="M46" s="898"/>
      <c r="N46" s="898"/>
      <c r="O46" s="240" t="s">
        <v>100</v>
      </c>
      <c r="P46" s="182" t="s">
        <v>101</v>
      </c>
    </row>
    <row r="47" spans="1:22" ht="13.5" customHeight="1">
      <c r="A47" s="881">
        <f>+A14+1</f>
        <v>239</v>
      </c>
      <c r="B47" s="875">
        <v>42240</v>
      </c>
      <c r="C47" s="935" t="s">
        <v>28</v>
      </c>
      <c r="D47" s="881" t="s">
        <v>223</v>
      </c>
      <c r="E47" s="881" t="s">
        <v>115</v>
      </c>
      <c r="F47" s="883">
        <v>60000</v>
      </c>
      <c r="G47" s="55">
        <v>719</v>
      </c>
      <c r="H47" s="78">
        <v>60000</v>
      </c>
      <c r="I47" s="873" t="s">
        <v>550</v>
      </c>
      <c r="J47" s="875">
        <v>43139</v>
      </c>
      <c r="K47" s="877" t="s">
        <v>1626</v>
      </c>
      <c r="L47" s="881" t="s">
        <v>1622</v>
      </c>
      <c r="M47" s="881" t="s">
        <v>115</v>
      </c>
      <c r="N47" s="883">
        <v>441000</v>
      </c>
      <c r="O47" s="55">
        <v>719</v>
      </c>
      <c r="P47" s="78"/>
    </row>
    <row r="48" spans="1:22" ht="12.75" customHeight="1" thickBot="1">
      <c r="A48" s="882"/>
      <c r="B48" s="934"/>
      <c r="C48" s="936"/>
      <c r="D48" s="882"/>
      <c r="E48" s="882"/>
      <c r="F48" s="884"/>
      <c r="G48" s="56">
        <v>721</v>
      </c>
      <c r="H48" s="79">
        <f>+F47-H47</f>
        <v>0</v>
      </c>
      <c r="I48" s="874"/>
      <c r="J48" s="876"/>
      <c r="K48" s="878"/>
      <c r="L48" s="882"/>
      <c r="M48" s="882"/>
      <c r="N48" s="884"/>
      <c r="O48" s="56">
        <v>721</v>
      </c>
      <c r="P48" s="79">
        <f>+N47-P47</f>
        <v>441000</v>
      </c>
    </row>
    <row r="49" spans="1:16" ht="12" customHeight="1">
      <c r="A49" s="881">
        <f>+A47+1</f>
        <v>240</v>
      </c>
      <c r="B49" s="875">
        <v>42240</v>
      </c>
      <c r="C49" s="942" t="s">
        <v>31</v>
      </c>
      <c r="D49" s="881" t="s">
        <v>224</v>
      </c>
      <c r="E49" s="881" t="s">
        <v>115</v>
      </c>
      <c r="F49" s="883">
        <v>140000</v>
      </c>
      <c r="G49" s="55">
        <v>719</v>
      </c>
      <c r="H49" s="78">
        <v>140000</v>
      </c>
      <c r="I49" s="873" t="s">
        <v>551</v>
      </c>
      <c r="J49" s="875">
        <v>43139</v>
      </c>
      <c r="K49" s="877" t="s">
        <v>779</v>
      </c>
      <c r="L49" s="881" t="s">
        <v>1622</v>
      </c>
      <c r="M49" s="881" t="s">
        <v>115</v>
      </c>
      <c r="N49" s="883">
        <v>702500</v>
      </c>
      <c r="O49" s="55">
        <v>719</v>
      </c>
      <c r="P49" s="78">
        <v>60000</v>
      </c>
    </row>
    <row r="50" spans="1:16" ht="15" customHeight="1" thickBot="1">
      <c r="A50" s="882"/>
      <c r="B50" s="934"/>
      <c r="C50" s="943"/>
      <c r="D50" s="882"/>
      <c r="E50" s="882"/>
      <c r="F50" s="884"/>
      <c r="G50" s="56">
        <v>721</v>
      </c>
      <c r="H50" s="79"/>
      <c r="I50" s="874"/>
      <c r="J50" s="876"/>
      <c r="K50" s="878"/>
      <c r="L50" s="882"/>
      <c r="M50" s="882"/>
      <c r="N50" s="884"/>
      <c r="O50" s="56">
        <v>721</v>
      </c>
      <c r="P50" s="79">
        <f>+N49-P49</f>
        <v>642500</v>
      </c>
    </row>
    <row r="51" spans="1:16" ht="13.5" customHeight="1">
      <c r="A51" s="881">
        <f>+A49+1</f>
        <v>241</v>
      </c>
      <c r="B51" s="875">
        <v>42240</v>
      </c>
      <c r="C51" s="942" t="s">
        <v>32</v>
      </c>
      <c r="D51" s="881" t="s">
        <v>225</v>
      </c>
      <c r="E51" s="881" t="s">
        <v>115</v>
      </c>
      <c r="F51" s="883">
        <v>50000</v>
      </c>
      <c r="G51" s="55">
        <v>719</v>
      </c>
      <c r="H51" s="78">
        <v>50000</v>
      </c>
      <c r="I51" s="873" t="s">
        <v>552</v>
      </c>
      <c r="J51" s="875">
        <v>43139</v>
      </c>
      <c r="K51" s="877" t="s">
        <v>780</v>
      </c>
      <c r="L51" s="881" t="s">
        <v>1622</v>
      </c>
      <c r="M51" s="881" t="s">
        <v>115</v>
      </c>
      <c r="N51" s="883">
        <v>6764500</v>
      </c>
      <c r="O51" s="55">
        <v>719</v>
      </c>
      <c r="P51" s="78">
        <v>30000</v>
      </c>
    </row>
    <row r="52" spans="1:16" ht="15" customHeight="1" thickBot="1">
      <c r="A52" s="882"/>
      <c r="B52" s="934"/>
      <c r="C52" s="943"/>
      <c r="D52" s="882"/>
      <c r="E52" s="882"/>
      <c r="F52" s="884"/>
      <c r="G52" s="56">
        <v>721</v>
      </c>
      <c r="H52" s="79">
        <f>+F51-H51</f>
        <v>0</v>
      </c>
      <c r="I52" s="874"/>
      <c r="J52" s="876"/>
      <c r="K52" s="878"/>
      <c r="L52" s="882"/>
      <c r="M52" s="882"/>
      <c r="N52" s="884"/>
      <c r="O52" s="56">
        <v>721</v>
      </c>
      <c r="P52" s="79">
        <f>+N51-P51</f>
        <v>6734500</v>
      </c>
    </row>
    <row r="53" spans="1:16" ht="12.75" customHeight="1">
      <c r="A53" s="881"/>
      <c r="B53" s="875"/>
      <c r="C53" s="935"/>
      <c r="D53" s="877"/>
      <c r="E53" s="881"/>
      <c r="F53" s="883"/>
      <c r="G53" s="55">
        <v>719</v>
      </c>
      <c r="H53" s="78"/>
      <c r="I53" s="873" t="s">
        <v>553</v>
      </c>
      <c r="J53" s="875">
        <v>43139</v>
      </c>
      <c r="K53" s="877" t="s">
        <v>120</v>
      </c>
      <c r="L53" s="881" t="s">
        <v>1622</v>
      </c>
      <c r="M53" s="881" t="s">
        <v>115</v>
      </c>
      <c r="N53" s="883">
        <v>7019000</v>
      </c>
      <c r="O53" s="55">
        <v>719</v>
      </c>
      <c r="P53" s="78">
        <v>20000</v>
      </c>
    </row>
    <row r="54" spans="1:16" ht="12.75" customHeight="1" thickBot="1">
      <c r="A54" s="882"/>
      <c r="B54" s="934"/>
      <c r="C54" s="936"/>
      <c r="D54" s="878"/>
      <c r="E54" s="882"/>
      <c r="F54" s="884"/>
      <c r="G54" s="56">
        <v>721</v>
      </c>
      <c r="H54" s="79">
        <f>+F53-H53</f>
        <v>0</v>
      </c>
      <c r="I54" s="874"/>
      <c r="J54" s="876"/>
      <c r="K54" s="878"/>
      <c r="L54" s="882"/>
      <c r="M54" s="882"/>
      <c r="N54" s="884"/>
      <c r="O54" s="56">
        <v>721</v>
      </c>
      <c r="P54" s="79">
        <f>+N53-P53</f>
        <v>6999000</v>
      </c>
    </row>
    <row r="55" spans="1:16" ht="15.75" customHeight="1" thickBot="1">
      <c r="A55" s="901" t="s">
        <v>102</v>
      </c>
      <c r="B55" s="902"/>
      <c r="C55" s="902"/>
      <c r="D55" s="902"/>
      <c r="E55" s="903"/>
      <c r="F55" s="81">
        <f>SUM(F47:F54)</f>
        <v>250000</v>
      </c>
      <c r="I55" s="901" t="s">
        <v>102</v>
      </c>
      <c r="J55" s="902"/>
      <c r="K55" s="902"/>
      <c r="L55" s="902"/>
      <c r="M55" s="903"/>
      <c r="N55" s="81">
        <f>SUM(N47:N54)</f>
        <v>14927000</v>
      </c>
    </row>
    <row r="56" spans="1:16" ht="16.5" thickBot="1">
      <c r="A56" s="885" t="s">
        <v>103</v>
      </c>
      <c r="B56" s="886"/>
      <c r="C56" s="886"/>
      <c r="D56" s="886"/>
      <c r="E56" s="887"/>
      <c r="F56" s="69">
        <f>+C70</f>
        <v>611067841</v>
      </c>
      <c r="I56" s="885" t="s">
        <v>103</v>
      </c>
      <c r="J56" s="886"/>
      <c r="K56" s="886"/>
      <c r="L56" s="886"/>
      <c r="M56" s="887"/>
      <c r="N56" s="69">
        <f>+N22</f>
        <v>6924672</v>
      </c>
    </row>
    <row r="57" spans="1:16" ht="15" customHeight="1" thickBot="1">
      <c r="A57" s="888" t="s">
        <v>104</v>
      </c>
      <c r="B57" s="889"/>
      <c r="C57" s="889"/>
      <c r="D57" s="889"/>
      <c r="E57" s="890"/>
      <c r="F57" s="183">
        <f>SUM(F55:F56)</f>
        <v>611317841</v>
      </c>
      <c r="I57" s="888" t="s">
        <v>104</v>
      </c>
      <c r="J57" s="889"/>
      <c r="K57" s="889"/>
      <c r="L57" s="889"/>
      <c r="M57" s="890"/>
      <c r="N57" s="183">
        <f>SUM(N55:N56)</f>
        <v>21851672</v>
      </c>
    </row>
    <row r="58" spans="1:16" ht="11.25" customHeight="1">
      <c r="A58" s="61"/>
      <c r="B58" s="61"/>
      <c r="C58" s="61"/>
      <c r="D58" s="61"/>
      <c r="E58" s="61"/>
      <c r="I58" s="61"/>
      <c r="J58" s="61"/>
      <c r="K58" s="61"/>
      <c r="L58" s="61"/>
      <c r="M58" s="61"/>
    </row>
    <row r="59" spans="1:16">
      <c r="A59" s="51" t="s">
        <v>226</v>
      </c>
      <c r="I59" s="51" t="s">
        <v>1627</v>
      </c>
    </row>
    <row r="60" spans="1:16" ht="7.5" customHeight="1">
      <c r="F60" s="139"/>
      <c r="N60" s="139"/>
    </row>
    <row r="61" spans="1:16">
      <c r="A61" s="50" t="s">
        <v>105</v>
      </c>
      <c r="D61" s="146"/>
      <c r="F61" s="139"/>
      <c r="I61" s="50" t="s">
        <v>105</v>
      </c>
      <c r="L61" s="146"/>
      <c r="N61" s="139"/>
    </row>
    <row r="62" spans="1:16" ht="12" customHeight="1" thickBot="1"/>
    <row r="63" spans="1:16" ht="15.75" thickBot="1">
      <c r="A63" s="891" t="s">
        <v>106</v>
      </c>
      <c r="B63" s="892"/>
      <c r="C63" s="892"/>
      <c r="D63" s="893"/>
      <c r="F63" s="50" t="s">
        <v>107</v>
      </c>
      <c r="I63" s="891" t="s">
        <v>106</v>
      </c>
      <c r="J63" s="892"/>
      <c r="K63" s="892"/>
      <c r="L63" s="893"/>
      <c r="N63" s="50" t="s">
        <v>288</v>
      </c>
    </row>
    <row r="64" spans="1:16" ht="30.75" thickBot="1">
      <c r="A64" s="57" t="s">
        <v>100</v>
      </c>
      <c r="B64" s="58" t="s">
        <v>108</v>
      </c>
      <c r="C64" s="59" t="s">
        <v>109</v>
      </c>
      <c r="D64" s="60" t="s">
        <v>110</v>
      </c>
      <c r="I64" s="57" t="s">
        <v>100</v>
      </c>
      <c r="J64" s="58" t="s">
        <v>108</v>
      </c>
      <c r="K64" s="59" t="s">
        <v>109</v>
      </c>
      <c r="L64" s="60" t="s">
        <v>110</v>
      </c>
    </row>
    <row r="65" spans="1:16" ht="14.25" customHeight="1">
      <c r="A65" s="71">
        <v>719</v>
      </c>
      <c r="B65" s="73">
        <f>+H47+H49+H51</f>
        <v>250000</v>
      </c>
      <c r="C65" s="74">
        <f>+D30</f>
        <v>28330000</v>
      </c>
      <c r="D65" s="76">
        <f>+B65+C65</f>
        <v>28580000</v>
      </c>
      <c r="I65" s="71">
        <v>719</v>
      </c>
      <c r="J65" s="73"/>
      <c r="K65" s="74">
        <f>+L30</f>
        <v>0</v>
      </c>
      <c r="L65" s="195">
        <f>+J65+K65</f>
        <v>0</v>
      </c>
    </row>
    <row r="66" spans="1:16" ht="13.5" customHeight="1">
      <c r="A66" s="72">
        <v>721</v>
      </c>
      <c r="B66" s="80"/>
      <c r="C66" s="74">
        <f>+D31</f>
        <v>36156092</v>
      </c>
      <c r="D66" s="76">
        <f>+B66+C66</f>
        <v>36156092</v>
      </c>
      <c r="I66" s="72">
        <v>721</v>
      </c>
      <c r="J66" s="80"/>
      <c r="K66" s="74">
        <f>+L31</f>
        <v>0</v>
      </c>
      <c r="L66" s="195">
        <f>+J66+K66</f>
        <v>0</v>
      </c>
    </row>
    <row r="67" spans="1:16" ht="12.75" customHeight="1">
      <c r="A67" s="72">
        <v>722</v>
      </c>
      <c r="B67" s="80"/>
      <c r="C67" s="74">
        <f>+D32</f>
        <v>224787287</v>
      </c>
      <c r="D67" s="76">
        <f>+B67+C67</f>
        <v>224787287</v>
      </c>
      <c r="I67" s="72">
        <v>722</v>
      </c>
      <c r="J67" s="80"/>
      <c r="K67" s="74">
        <f>+L32</f>
        <v>0</v>
      </c>
      <c r="L67" s="195">
        <f>+J67+K67</f>
        <v>0</v>
      </c>
    </row>
    <row r="68" spans="1:16" ht="14.25" customHeight="1">
      <c r="A68" s="72">
        <v>723</v>
      </c>
      <c r="B68" s="80"/>
      <c r="C68" s="74">
        <f>+D33</f>
        <v>319828837</v>
      </c>
      <c r="D68" s="76">
        <f>+B68+C68</f>
        <v>319828837</v>
      </c>
      <c r="F68" s="174" t="s">
        <v>23</v>
      </c>
      <c r="G68" s="175"/>
      <c r="I68" s="72">
        <v>723</v>
      </c>
      <c r="J68" s="80">
        <f>+N55</f>
        <v>14927000</v>
      </c>
      <c r="K68" s="74">
        <f>+L33</f>
        <v>6924672</v>
      </c>
      <c r="L68" s="195">
        <f>+J68+K68</f>
        <v>21851672</v>
      </c>
      <c r="N68" s="193" t="s">
        <v>289</v>
      </c>
      <c r="O68" s="175"/>
    </row>
    <row r="69" spans="1:16" ht="14.25" customHeight="1" thickBot="1">
      <c r="A69" s="164" t="s">
        <v>181</v>
      </c>
      <c r="B69" s="165"/>
      <c r="C69" s="74">
        <f>+D34</f>
        <v>1965625</v>
      </c>
      <c r="D69" s="168">
        <f>+B69+C69</f>
        <v>1965625</v>
      </c>
      <c r="F69" s="52"/>
      <c r="I69" s="164" t="s">
        <v>181</v>
      </c>
      <c r="J69" s="165"/>
      <c r="K69" s="74">
        <f>+L34</f>
        <v>0</v>
      </c>
      <c r="L69" s="196">
        <f>+J69+K69</f>
        <v>0</v>
      </c>
      <c r="N69" s="52"/>
    </row>
    <row r="70" spans="1:16" ht="16.5" thickBot="1">
      <c r="A70" s="169"/>
      <c r="B70" s="170">
        <f>SUM(B65:B69)</f>
        <v>250000</v>
      </c>
      <c r="C70" s="171">
        <f>SUM(C65:C69)</f>
        <v>611067841</v>
      </c>
      <c r="D70" s="172">
        <f>SUM(D65:D69)</f>
        <v>611317841</v>
      </c>
      <c r="I70" s="169"/>
      <c r="J70" s="197">
        <f>SUM(J65:J69)</f>
        <v>14927000</v>
      </c>
      <c r="K70" s="197">
        <f>SUM(K65:K69)</f>
        <v>6924672</v>
      </c>
      <c r="L70" s="198">
        <f>SUM(L65:L69)</f>
        <v>21851672</v>
      </c>
    </row>
    <row r="71" spans="1:16" ht="16.5">
      <c r="A71" s="49" t="s">
        <v>88</v>
      </c>
      <c r="B71" s="50"/>
      <c r="I71" s="49" t="s">
        <v>88</v>
      </c>
      <c r="J71" s="50"/>
    </row>
    <row r="72" spans="1:16" ht="14.25" customHeight="1">
      <c r="A72" s="51" t="s">
        <v>89</v>
      </c>
      <c r="I72" s="51" t="s">
        <v>89</v>
      </c>
    </row>
    <row r="73" spans="1:16" ht="12.75" customHeight="1">
      <c r="A73" s="51" t="s">
        <v>90</v>
      </c>
      <c r="I73" s="51" t="s">
        <v>90</v>
      </c>
    </row>
    <row r="74" spans="1:16" ht="15" customHeight="1">
      <c r="A74" s="51" t="s">
        <v>91</v>
      </c>
      <c r="I74" s="51" t="s">
        <v>91</v>
      </c>
    </row>
    <row r="75" spans="1:16" ht="6.75" customHeight="1">
      <c r="A75" s="50"/>
      <c r="B75" s="50"/>
      <c r="I75" s="50"/>
      <c r="J75" s="50"/>
    </row>
    <row r="76" spans="1:16" ht="13.5" customHeight="1">
      <c r="A76" s="52" t="s">
        <v>227</v>
      </c>
      <c r="B76" s="50"/>
      <c r="G76" s="52"/>
      <c r="I76" s="52" t="s">
        <v>539</v>
      </c>
      <c r="O76" s="52"/>
    </row>
    <row r="77" spans="1:16" ht="15.75" customHeight="1">
      <c r="A77" s="53" t="s">
        <v>92</v>
      </c>
      <c r="G77" s="53"/>
      <c r="I77" s="53" t="s">
        <v>1623</v>
      </c>
      <c r="O77" s="53"/>
    </row>
    <row r="78" spans="1:16" ht="15" customHeight="1">
      <c r="A78" s="894" t="s">
        <v>228</v>
      </c>
      <c r="B78" s="894"/>
      <c r="C78" s="894"/>
      <c r="D78" s="894"/>
      <c r="E78" s="894"/>
      <c r="F78" s="894"/>
      <c r="G78" s="894"/>
      <c r="H78" s="894"/>
      <c r="I78" s="894" t="s">
        <v>903</v>
      </c>
      <c r="J78" s="894"/>
      <c r="K78" s="894"/>
      <c r="L78" s="894"/>
      <c r="M78" s="894"/>
      <c r="N78" s="894"/>
      <c r="O78" s="894"/>
      <c r="P78" s="894"/>
    </row>
    <row r="79" spans="1:16" ht="8.25" customHeight="1" thickBot="1"/>
    <row r="80" spans="1:16" ht="15" customHeight="1">
      <c r="A80" s="895" t="s">
        <v>94</v>
      </c>
      <c r="B80" s="897" t="s">
        <v>95</v>
      </c>
      <c r="C80" s="897" t="s">
        <v>96</v>
      </c>
      <c r="D80" s="897" t="s">
        <v>3</v>
      </c>
      <c r="E80" s="897" t="s">
        <v>97</v>
      </c>
      <c r="F80" s="897" t="s">
        <v>98</v>
      </c>
      <c r="G80" s="897" t="s">
        <v>99</v>
      </c>
      <c r="H80" s="899"/>
      <c r="I80" s="895" t="s">
        <v>94</v>
      </c>
      <c r="J80" s="897" t="s">
        <v>95</v>
      </c>
      <c r="K80" s="897" t="s">
        <v>96</v>
      </c>
      <c r="L80" s="897" t="s">
        <v>3</v>
      </c>
      <c r="M80" s="897" t="s">
        <v>97</v>
      </c>
      <c r="N80" s="897" t="s">
        <v>98</v>
      </c>
      <c r="O80" s="897" t="s">
        <v>99</v>
      </c>
      <c r="P80" s="899"/>
    </row>
    <row r="81" spans="1:16" ht="15.75" customHeight="1" thickBot="1">
      <c r="A81" s="896"/>
      <c r="B81" s="898"/>
      <c r="C81" s="898"/>
      <c r="D81" s="898"/>
      <c r="E81" s="898"/>
      <c r="F81" s="898"/>
      <c r="G81" s="240" t="s">
        <v>100</v>
      </c>
      <c r="H81" s="182" t="s">
        <v>101</v>
      </c>
      <c r="I81" s="896"/>
      <c r="J81" s="898"/>
      <c r="K81" s="898"/>
      <c r="L81" s="898"/>
      <c r="M81" s="898"/>
      <c r="N81" s="898"/>
      <c r="O81" s="240" t="s">
        <v>100</v>
      </c>
      <c r="P81" s="182" t="s">
        <v>101</v>
      </c>
    </row>
    <row r="82" spans="1:16" ht="13.5" customHeight="1">
      <c r="A82" s="881">
        <f>+A51+1</f>
        <v>242</v>
      </c>
      <c r="B82" s="875">
        <v>42242</v>
      </c>
      <c r="C82" s="877" t="s">
        <v>230</v>
      </c>
      <c r="D82" s="881" t="s">
        <v>244</v>
      </c>
      <c r="E82" s="881" t="s">
        <v>148</v>
      </c>
      <c r="F82" s="883">
        <v>182000</v>
      </c>
      <c r="G82" s="55">
        <v>719</v>
      </c>
      <c r="H82" s="78">
        <v>130000</v>
      </c>
      <c r="I82" s="873" t="s">
        <v>554</v>
      </c>
      <c r="J82" s="875">
        <v>43139</v>
      </c>
      <c r="K82" s="910" t="s">
        <v>806</v>
      </c>
      <c r="L82" s="881" t="s">
        <v>1622</v>
      </c>
      <c r="M82" s="881" t="s">
        <v>165</v>
      </c>
      <c r="N82" s="883">
        <v>1600000</v>
      </c>
      <c r="O82" s="55">
        <v>719</v>
      </c>
      <c r="P82" s="78"/>
    </row>
    <row r="83" spans="1:16" ht="12.75" customHeight="1" thickBot="1">
      <c r="A83" s="882"/>
      <c r="B83" s="934"/>
      <c r="C83" s="878"/>
      <c r="D83" s="882"/>
      <c r="E83" s="882"/>
      <c r="F83" s="884"/>
      <c r="G83" s="56">
        <v>721</v>
      </c>
      <c r="H83" s="79">
        <f>+F82-H82</f>
        <v>52000</v>
      </c>
      <c r="I83" s="882"/>
      <c r="J83" s="876"/>
      <c r="K83" s="911"/>
      <c r="L83" s="882"/>
      <c r="M83" s="882"/>
      <c r="N83" s="884"/>
      <c r="O83" s="56">
        <v>723</v>
      </c>
      <c r="P83" s="79">
        <f>+N82-P82</f>
        <v>1600000</v>
      </c>
    </row>
    <row r="84" spans="1:16" ht="12" customHeight="1">
      <c r="A84" s="881">
        <f>+A82+1</f>
        <v>243</v>
      </c>
      <c r="B84" s="875">
        <v>42242</v>
      </c>
      <c r="C84" s="881" t="s">
        <v>28</v>
      </c>
      <c r="D84" s="881" t="s">
        <v>229</v>
      </c>
      <c r="E84" s="881" t="s">
        <v>148</v>
      </c>
      <c r="F84" s="883">
        <v>336000</v>
      </c>
      <c r="G84" s="55">
        <v>719</v>
      </c>
      <c r="H84" s="78">
        <v>240000</v>
      </c>
      <c r="I84" s="873" t="s">
        <v>1318</v>
      </c>
      <c r="J84" s="875">
        <v>43139</v>
      </c>
      <c r="K84" s="881" t="s">
        <v>28</v>
      </c>
      <c r="L84" s="881" t="s">
        <v>1622</v>
      </c>
      <c r="M84" s="877" t="s">
        <v>1630</v>
      </c>
      <c r="N84" s="883">
        <v>164000</v>
      </c>
      <c r="O84" s="55">
        <v>719</v>
      </c>
      <c r="P84" s="78"/>
    </row>
    <row r="85" spans="1:16" ht="12" customHeight="1" thickBot="1">
      <c r="A85" s="882"/>
      <c r="B85" s="934"/>
      <c r="C85" s="882"/>
      <c r="D85" s="882"/>
      <c r="E85" s="882"/>
      <c r="F85" s="884"/>
      <c r="G85" s="56">
        <v>721</v>
      </c>
      <c r="H85" s="79">
        <f>+F84-H84</f>
        <v>96000</v>
      </c>
      <c r="I85" s="882"/>
      <c r="J85" s="876"/>
      <c r="K85" s="882"/>
      <c r="L85" s="882"/>
      <c r="M85" s="878"/>
      <c r="N85" s="884"/>
      <c r="O85" s="56">
        <v>723</v>
      </c>
      <c r="P85" s="79">
        <f>+N84-P84</f>
        <v>164000</v>
      </c>
    </row>
    <row r="86" spans="1:16" ht="11.25" customHeight="1">
      <c r="A86" s="881">
        <f>+A84+1</f>
        <v>244</v>
      </c>
      <c r="B86" s="875">
        <v>42242</v>
      </c>
      <c r="C86" s="877" t="s">
        <v>32</v>
      </c>
      <c r="D86" s="881" t="s">
        <v>229</v>
      </c>
      <c r="E86" s="881" t="s">
        <v>148</v>
      </c>
      <c r="F86" s="883">
        <v>56000</v>
      </c>
      <c r="G86" s="55">
        <v>719</v>
      </c>
      <c r="H86" s="78">
        <v>40000</v>
      </c>
      <c r="I86" s="873" t="s">
        <v>1628</v>
      </c>
      <c r="J86" s="875">
        <v>43139</v>
      </c>
      <c r="K86" s="881" t="s">
        <v>28</v>
      </c>
      <c r="L86" s="881" t="s">
        <v>1622</v>
      </c>
      <c r="M86" s="881" t="s">
        <v>785</v>
      </c>
      <c r="N86" s="883">
        <v>455000</v>
      </c>
      <c r="O86" s="55">
        <v>719</v>
      </c>
      <c r="P86" s="78"/>
    </row>
    <row r="87" spans="1:16" ht="14.25" customHeight="1" thickBot="1">
      <c r="A87" s="882"/>
      <c r="B87" s="934"/>
      <c r="C87" s="878"/>
      <c r="D87" s="882"/>
      <c r="E87" s="882"/>
      <c r="F87" s="884"/>
      <c r="G87" s="56">
        <v>721</v>
      </c>
      <c r="H87" s="79">
        <f>+F86-H86</f>
        <v>16000</v>
      </c>
      <c r="I87" s="882"/>
      <c r="J87" s="876"/>
      <c r="K87" s="882"/>
      <c r="L87" s="882"/>
      <c r="M87" s="882"/>
      <c r="N87" s="884"/>
      <c r="O87" s="56">
        <v>723</v>
      </c>
      <c r="P87" s="79">
        <f>+N86-P86</f>
        <v>455000</v>
      </c>
    </row>
    <row r="88" spans="1:16" ht="12" customHeight="1">
      <c r="A88" s="251"/>
      <c r="B88" s="452"/>
      <c r="C88" s="253"/>
      <c r="D88" s="251"/>
      <c r="E88" s="251"/>
      <c r="F88" s="254"/>
      <c r="G88" s="255"/>
      <c r="H88" s="256"/>
      <c r="I88" s="873" t="s">
        <v>1629</v>
      </c>
      <c r="J88" s="875">
        <v>43139</v>
      </c>
      <c r="K88" s="881" t="s">
        <v>28</v>
      </c>
      <c r="L88" s="881" t="s">
        <v>1622</v>
      </c>
      <c r="M88" s="881" t="s">
        <v>214</v>
      </c>
      <c r="N88" s="883">
        <v>940000</v>
      </c>
      <c r="O88" s="55">
        <v>719</v>
      </c>
      <c r="P88" s="78"/>
    </row>
    <row r="89" spans="1:16" ht="14.25" customHeight="1" thickBot="1">
      <c r="A89" s="251"/>
      <c r="B89" s="452"/>
      <c r="C89" s="253"/>
      <c r="D89" s="251"/>
      <c r="E89" s="251"/>
      <c r="F89" s="254"/>
      <c r="G89" s="255"/>
      <c r="H89" s="256"/>
      <c r="I89" s="882"/>
      <c r="J89" s="876"/>
      <c r="K89" s="882"/>
      <c r="L89" s="882"/>
      <c r="M89" s="882"/>
      <c r="N89" s="884"/>
      <c r="O89" s="56">
        <v>723</v>
      </c>
      <c r="P89" s="79">
        <f>+N88-P88</f>
        <v>940000</v>
      </c>
    </row>
    <row r="90" spans="1:16" ht="11.25" customHeight="1">
      <c r="A90" s="881" t="e">
        <f>+#REF!+1</f>
        <v>#REF!</v>
      </c>
      <c r="B90" s="875">
        <v>42242</v>
      </c>
      <c r="C90" s="881" t="s">
        <v>31</v>
      </c>
      <c r="D90" s="881" t="s">
        <v>229</v>
      </c>
      <c r="E90" s="881" t="s">
        <v>148</v>
      </c>
      <c r="F90" s="883">
        <v>588000</v>
      </c>
      <c r="G90" s="55">
        <v>719</v>
      </c>
      <c r="H90" s="78">
        <v>420000</v>
      </c>
      <c r="I90" s="873" t="s">
        <v>1631</v>
      </c>
      <c r="J90" s="875">
        <v>43139</v>
      </c>
      <c r="K90" s="881" t="s">
        <v>28</v>
      </c>
      <c r="L90" s="881" t="s">
        <v>1622</v>
      </c>
      <c r="M90" s="881" t="s">
        <v>783</v>
      </c>
      <c r="N90" s="883">
        <v>750000</v>
      </c>
      <c r="O90" s="55">
        <v>719</v>
      </c>
      <c r="P90" s="78"/>
    </row>
    <row r="91" spans="1:16" ht="14.25" customHeight="1" thickBot="1">
      <c r="A91" s="882"/>
      <c r="B91" s="934"/>
      <c r="C91" s="882"/>
      <c r="D91" s="882"/>
      <c r="E91" s="882"/>
      <c r="F91" s="884"/>
      <c r="G91" s="56">
        <v>721</v>
      </c>
      <c r="H91" s="79">
        <f>+F90-H90</f>
        <v>168000</v>
      </c>
      <c r="I91" s="882"/>
      <c r="J91" s="876"/>
      <c r="K91" s="882"/>
      <c r="L91" s="882"/>
      <c r="M91" s="882"/>
      <c r="N91" s="884"/>
      <c r="O91" s="56">
        <v>723</v>
      </c>
      <c r="P91" s="79">
        <f>+N90-P90</f>
        <v>750000</v>
      </c>
    </row>
    <row r="92" spans="1:16" ht="16.5" thickBot="1">
      <c r="A92" s="901" t="s">
        <v>102</v>
      </c>
      <c r="B92" s="902"/>
      <c r="C92" s="902"/>
      <c r="D92" s="902"/>
      <c r="E92" s="903"/>
      <c r="F92" s="81">
        <f>SUM(F82:F91)</f>
        <v>1162000</v>
      </c>
      <c r="I92" s="901" t="s">
        <v>102</v>
      </c>
      <c r="J92" s="902"/>
      <c r="K92" s="902"/>
      <c r="L92" s="902"/>
      <c r="M92" s="903"/>
      <c r="N92" s="81">
        <f>+N82+N84+N86+N88+N90</f>
        <v>3909000</v>
      </c>
    </row>
    <row r="93" spans="1:16" ht="16.5" thickBot="1">
      <c r="A93" s="885" t="s">
        <v>103</v>
      </c>
      <c r="B93" s="886"/>
      <c r="C93" s="886"/>
      <c r="D93" s="886"/>
      <c r="E93" s="887"/>
      <c r="F93" s="184">
        <f>+C107</f>
        <v>611317841</v>
      </c>
      <c r="I93" s="885" t="s">
        <v>103</v>
      </c>
      <c r="J93" s="886"/>
      <c r="K93" s="886"/>
      <c r="L93" s="886"/>
      <c r="M93" s="887"/>
      <c r="N93" s="69">
        <f>+N57</f>
        <v>21851672</v>
      </c>
    </row>
    <row r="94" spans="1:16" ht="16.5" thickBot="1">
      <c r="A94" s="888" t="s">
        <v>104</v>
      </c>
      <c r="B94" s="889"/>
      <c r="C94" s="889"/>
      <c r="D94" s="889"/>
      <c r="E94" s="890"/>
      <c r="F94" s="183">
        <f>SUM(F92:F93)</f>
        <v>612479841</v>
      </c>
      <c r="I94" s="888" t="s">
        <v>104</v>
      </c>
      <c r="J94" s="889"/>
      <c r="K94" s="889"/>
      <c r="L94" s="889"/>
      <c r="M94" s="890"/>
      <c r="N94" s="183">
        <f>SUM(N92:N93)</f>
        <v>25760672</v>
      </c>
    </row>
    <row r="95" spans="1:16" ht="14.25" customHeight="1">
      <c r="A95" s="61"/>
      <c r="B95" s="61"/>
      <c r="C95" s="61"/>
      <c r="D95" s="61"/>
      <c r="E95" s="61"/>
      <c r="I95" s="61"/>
      <c r="J95" s="61"/>
      <c r="K95" s="61"/>
      <c r="L95" s="61"/>
      <c r="M95" s="61"/>
    </row>
    <row r="96" spans="1:16">
      <c r="A96" s="51" t="s">
        <v>232</v>
      </c>
      <c r="I96" s="51" t="s">
        <v>557</v>
      </c>
    </row>
    <row r="97" spans="1:16" ht="4.5" customHeight="1">
      <c r="F97" s="139"/>
      <c r="N97" s="139"/>
    </row>
    <row r="98" spans="1:16" ht="12" customHeight="1">
      <c r="A98" s="50" t="s">
        <v>105</v>
      </c>
      <c r="D98" s="146"/>
      <c r="I98" s="50" t="s">
        <v>105</v>
      </c>
      <c r="L98" s="146"/>
      <c r="N98" s="139"/>
    </row>
    <row r="99" spans="1:16" ht="6" customHeight="1" thickBot="1"/>
    <row r="100" spans="1:16" ht="17.25" thickBot="1">
      <c r="A100" s="891" t="s">
        <v>106</v>
      </c>
      <c r="B100" s="892"/>
      <c r="C100" s="892"/>
      <c r="D100" s="893"/>
      <c r="F100" s="50" t="s">
        <v>107</v>
      </c>
      <c r="I100" s="891" t="s">
        <v>106</v>
      </c>
      <c r="J100" s="892"/>
      <c r="K100" s="892"/>
      <c r="L100" s="893"/>
      <c r="N100" s="604" t="s">
        <v>288</v>
      </c>
      <c r="O100" s="604"/>
      <c r="P100" s="604"/>
    </row>
    <row r="101" spans="1:16" ht="28.5" customHeight="1" thickBot="1">
      <c r="A101" s="57" t="s">
        <v>100</v>
      </c>
      <c r="B101" s="58" t="s">
        <v>108</v>
      </c>
      <c r="C101" s="59" t="s">
        <v>109</v>
      </c>
      <c r="D101" s="60" t="s">
        <v>110</v>
      </c>
      <c r="I101" s="57" t="s">
        <v>100</v>
      </c>
      <c r="J101" s="58" t="s">
        <v>108</v>
      </c>
      <c r="K101" s="59" t="s">
        <v>109</v>
      </c>
      <c r="L101" s="60" t="s">
        <v>110</v>
      </c>
      <c r="N101" s="12"/>
      <c r="O101" s="12"/>
      <c r="P101" s="12"/>
    </row>
    <row r="102" spans="1:16" ht="12.75" customHeight="1">
      <c r="A102" s="71">
        <v>719</v>
      </c>
      <c r="B102" s="73" t="e">
        <f>+H82+H84+H86+#REF!+H90</f>
        <v>#REF!</v>
      </c>
      <c r="C102" s="74">
        <f>+D65</f>
        <v>28580000</v>
      </c>
      <c r="D102" s="76" t="e">
        <f>+B102+C102</f>
        <v>#REF!</v>
      </c>
      <c r="I102" s="71">
        <v>719</v>
      </c>
      <c r="J102" s="73">
        <v>0</v>
      </c>
      <c r="K102" s="74"/>
      <c r="L102" s="195"/>
      <c r="N102" s="12"/>
      <c r="O102" s="12"/>
      <c r="P102" s="12"/>
    </row>
    <row r="103" spans="1:16" ht="13.5" customHeight="1">
      <c r="A103" s="72">
        <v>721</v>
      </c>
      <c r="B103" s="80" t="e">
        <f>+H91+#REF!+H87+H85+H83</f>
        <v>#REF!</v>
      </c>
      <c r="C103" s="74">
        <f>+D66</f>
        <v>36156092</v>
      </c>
      <c r="D103" s="76" t="e">
        <f>+B103+C103</f>
        <v>#REF!</v>
      </c>
      <c r="I103" s="72">
        <v>721</v>
      </c>
      <c r="J103" s="80"/>
      <c r="K103" s="74"/>
      <c r="L103" s="195"/>
      <c r="N103" s="12"/>
      <c r="O103" s="12"/>
      <c r="P103" s="12"/>
    </row>
    <row r="104" spans="1:16" ht="12.75" customHeight="1">
      <c r="A104" s="72">
        <v>722</v>
      </c>
      <c r="B104" s="80"/>
      <c r="C104" s="74">
        <f>+D67</f>
        <v>224787287</v>
      </c>
      <c r="D104" s="76">
        <f>+B104+C104</f>
        <v>224787287</v>
      </c>
      <c r="I104" s="72">
        <v>722</v>
      </c>
      <c r="J104" s="80">
        <v>0</v>
      </c>
      <c r="K104" s="74">
        <f>+L67</f>
        <v>0</v>
      </c>
      <c r="L104" s="195"/>
      <c r="N104" s="12"/>
      <c r="O104" s="12"/>
      <c r="P104" s="12"/>
    </row>
    <row r="105" spans="1:16" ht="12.75" customHeight="1">
      <c r="A105" s="72">
        <v>723</v>
      </c>
      <c r="B105" s="80"/>
      <c r="C105" s="74">
        <f>+D68</f>
        <v>319828837</v>
      </c>
      <c r="D105" s="76">
        <f>+B105+C105</f>
        <v>319828837</v>
      </c>
      <c r="F105" s="174" t="s">
        <v>23</v>
      </c>
      <c r="I105" s="72">
        <v>723</v>
      </c>
      <c r="J105" s="80">
        <f>+N92</f>
        <v>3909000</v>
      </c>
      <c r="K105" s="74">
        <f>+L68</f>
        <v>21851672</v>
      </c>
      <c r="L105" s="195">
        <f>+J105+K105</f>
        <v>25760672</v>
      </c>
      <c r="N105" s="956" t="s">
        <v>1335</v>
      </c>
      <c r="O105" s="956"/>
      <c r="P105" s="956"/>
    </row>
    <row r="106" spans="1:16" ht="13.5" customHeight="1" thickBot="1">
      <c r="A106" s="164" t="s">
        <v>181</v>
      </c>
      <c r="B106" s="165"/>
      <c r="C106" s="74">
        <f>+D69</f>
        <v>1965625</v>
      </c>
      <c r="D106" s="168">
        <f>+B106+C106</f>
        <v>1965625</v>
      </c>
      <c r="F106" s="52"/>
      <c r="I106" s="164" t="s">
        <v>181</v>
      </c>
      <c r="J106" s="165"/>
      <c r="K106" s="74">
        <f>+L69</f>
        <v>0</v>
      </c>
      <c r="L106" s="196">
        <f>+J106+K106</f>
        <v>0</v>
      </c>
      <c r="N106" s="191"/>
      <c r="O106" s="12"/>
      <c r="P106" s="12"/>
    </row>
    <row r="107" spans="1:16" ht="12.75" customHeight="1" thickBot="1">
      <c r="A107" s="169"/>
      <c r="B107" s="170" t="e">
        <f>SUM(B102:B106)</f>
        <v>#REF!</v>
      </c>
      <c r="C107" s="171">
        <f>SUM(C102:C106)</f>
        <v>611317841</v>
      </c>
      <c r="D107" s="172" t="e">
        <f>SUM(D102:D106)</f>
        <v>#REF!</v>
      </c>
      <c r="I107" s="169"/>
      <c r="J107" s="197">
        <f>SUM(J102:J106)</f>
        <v>3909000</v>
      </c>
      <c r="K107" s="197">
        <f>SUM(K102:K106)</f>
        <v>21851672</v>
      </c>
      <c r="L107" s="198">
        <f>SUM(L102:L106)</f>
        <v>25760672</v>
      </c>
    </row>
    <row r="108" spans="1:16" ht="16.5">
      <c r="A108" s="49" t="s">
        <v>88</v>
      </c>
      <c r="B108" s="50"/>
      <c r="I108" s="49" t="s">
        <v>88</v>
      </c>
      <c r="J108" s="50"/>
    </row>
    <row r="109" spans="1:16" ht="11.25" customHeight="1">
      <c r="A109" s="51" t="s">
        <v>89</v>
      </c>
      <c r="I109" s="51" t="s">
        <v>89</v>
      </c>
    </row>
    <row r="110" spans="1:16" ht="11.25" customHeight="1">
      <c r="A110" s="51" t="s">
        <v>90</v>
      </c>
      <c r="I110" s="51" t="s">
        <v>90</v>
      </c>
    </row>
    <row r="111" spans="1:16" ht="12.75" customHeight="1">
      <c r="A111" s="51" t="s">
        <v>91</v>
      </c>
      <c r="I111" s="51" t="s">
        <v>91</v>
      </c>
    </row>
    <row r="112" spans="1:16" ht="5.25" customHeight="1">
      <c r="A112" s="50"/>
      <c r="B112" s="50"/>
      <c r="I112" s="50"/>
      <c r="J112" s="50"/>
    </row>
    <row r="113" spans="1:16" ht="15.75" customHeight="1">
      <c r="A113" s="52" t="s">
        <v>233</v>
      </c>
      <c r="B113" s="50"/>
      <c r="G113" s="52"/>
      <c r="I113" s="52" t="s">
        <v>540</v>
      </c>
      <c r="O113" s="52"/>
    </row>
    <row r="114" spans="1:16" ht="15.75">
      <c r="A114" s="53" t="s">
        <v>92</v>
      </c>
      <c r="G114" s="53"/>
      <c r="I114" s="53" t="s">
        <v>1623</v>
      </c>
      <c r="O114" s="53"/>
    </row>
    <row r="115" spans="1:16" ht="15.75" customHeight="1">
      <c r="A115" s="894" t="s">
        <v>228</v>
      </c>
      <c r="B115" s="894"/>
      <c r="C115" s="894"/>
      <c r="D115" s="894"/>
      <c r="E115" s="894"/>
      <c r="F115" s="894"/>
      <c r="G115" s="894"/>
      <c r="H115" s="894"/>
      <c r="I115" s="894" t="s">
        <v>903</v>
      </c>
      <c r="J115" s="894"/>
      <c r="K115" s="894"/>
      <c r="L115" s="894"/>
      <c r="M115" s="894"/>
      <c r="N115" s="894"/>
      <c r="O115" s="894"/>
      <c r="P115" s="894"/>
    </row>
    <row r="116" spans="1:16" ht="15.75" thickBot="1"/>
    <row r="117" spans="1:16" ht="15.75" customHeight="1">
      <c r="A117" s="895" t="s">
        <v>94</v>
      </c>
      <c r="B117" s="897" t="s">
        <v>95</v>
      </c>
      <c r="C117" s="897" t="s">
        <v>96</v>
      </c>
      <c r="D117" s="897" t="s">
        <v>3</v>
      </c>
      <c r="E117" s="897" t="s">
        <v>97</v>
      </c>
      <c r="F117" s="897" t="s">
        <v>98</v>
      </c>
      <c r="G117" s="897" t="s">
        <v>99</v>
      </c>
      <c r="H117" s="899"/>
      <c r="I117" s="895" t="s">
        <v>94</v>
      </c>
      <c r="J117" s="897" t="s">
        <v>95</v>
      </c>
      <c r="K117" s="897" t="s">
        <v>96</v>
      </c>
      <c r="L117" s="897" t="s">
        <v>3</v>
      </c>
      <c r="M117" s="897" t="s">
        <v>97</v>
      </c>
      <c r="N117" s="897" t="s">
        <v>98</v>
      </c>
      <c r="O117" s="897" t="s">
        <v>99</v>
      </c>
      <c r="P117" s="899"/>
    </row>
    <row r="118" spans="1:16" ht="15" customHeight="1" thickBot="1">
      <c r="A118" s="896"/>
      <c r="B118" s="898"/>
      <c r="C118" s="898"/>
      <c r="D118" s="898"/>
      <c r="E118" s="898"/>
      <c r="F118" s="898"/>
      <c r="G118" s="240" t="s">
        <v>100</v>
      </c>
      <c r="H118" s="182" t="s">
        <v>101</v>
      </c>
      <c r="I118" s="896"/>
      <c r="J118" s="898"/>
      <c r="K118" s="898"/>
      <c r="L118" s="898"/>
      <c r="M118" s="898"/>
      <c r="N118" s="898"/>
      <c r="O118" s="240" t="s">
        <v>100</v>
      </c>
      <c r="P118" s="182" t="s">
        <v>101</v>
      </c>
    </row>
    <row r="119" spans="1:16" ht="14.25" customHeight="1">
      <c r="A119" s="881" t="e">
        <f>+A90+1</f>
        <v>#REF!</v>
      </c>
      <c r="B119" s="875">
        <v>42242</v>
      </c>
      <c r="C119" s="942" t="s">
        <v>230</v>
      </c>
      <c r="D119" s="881" t="s">
        <v>234</v>
      </c>
      <c r="E119" s="881" t="s">
        <v>148</v>
      </c>
      <c r="F119" s="883">
        <v>196000</v>
      </c>
      <c r="G119" s="55">
        <v>719</v>
      </c>
      <c r="H119" s="78">
        <v>140000</v>
      </c>
      <c r="I119" s="873" t="s">
        <v>1344</v>
      </c>
      <c r="J119" s="875">
        <v>43139</v>
      </c>
      <c r="K119" s="910" t="s">
        <v>793</v>
      </c>
      <c r="L119" s="881" t="s">
        <v>1622</v>
      </c>
      <c r="M119" s="881" t="s">
        <v>214</v>
      </c>
      <c r="N119" s="883">
        <v>900000</v>
      </c>
      <c r="O119" s="55">
        <v>719</v>
      </c>
      <c r="P119" s="78"/>
    </row>
    <row r="120" spans="1:16" ht="13.5" customHeight="1" thickBot="1">
      <c r="A120" s="882"/>
      <c r="B120" s="934"/>
      <c r="C120" s="943"/>
      <c r="D120" s="882"/>
      <c r="E120" s="882"/>
      <c r="F120" s="884"/>
      <c r="G120" s="56">
        <v>721</v>
      </c>
      <c r="H120" s="79">
        <f>+F119-H119</f>
        <v>56000</v>
      </c>
      <c r="I120" s="882"/>
      <c r="J120" s="876"/>
      <c r="K120" s="911"/>
      <c r="L120" s="882"/>
      <c r="M120" s="882"/>
      <c r="N120" s="884"/>
      <c r="O120" s="56">
        <v>723</v>
      </c>
      <c r="P120" s="79">
        <f>+N119-P119</f>
        <v>900000</v>
      </c>
    </row>
    <row r="121" spans="1:16" ht="11.25" customHeight="1">
      <c r="A121" s="881" t="e">
        <f>+A119+1</f>
        <v>#REF!</v>
      </c>
      <c r="B121" s="875">
        <v>42242</v>
      </c>
      <c r="C121" s="935" t="s">
        <v>28</v>
      </c>
      <c r="D121" s="881" t="s">
        <v>234</v>
      </c>
      <c r="E121" s="881" t="s">
        <v>148</v>
      </c>
      <c r="F121" s="883">
        <v>364000</v>
      </c>
      <c r="G121" s="55">
        <v>719</v>
      </c>
      <c r="H121" s="78">
        <v>260000</v>
      </c>
      <c r="I121" s="873" t="s">
        <v>1345</v>
      </c>
      <c r="J121" s="875">
        <v>43139</v>
      </c>
      <c r="K121" s="877" t="s">
        <v>1632</v>
      </c>
      <c r="L121" s="881" t="s">
        <v>1622</v>
      </c>
      <c r="M121" s="877" t="s">
        <v>1630</v>
      </c>
      <c r="N121" s="883">
        <v>615000</v>
      </c>
      <c r="O121" s="55">
        <v>719</v>
      </c>
      <c r="P121" s="78"/>
    </row>
    <row r="122" spans="1:16" ht="15.75" customHeight="1" thickBot="1">
      <c r="A122" s="882"/>
      <c r="B122" s="934"/>
      <c r="C122" s="936"/>
      <c r="D122" s="882"/>
      <c r="E122" s="882"/>
      <c r="F122" s="884"/>
      <c r="G122" s="56">
        <v>721</v>
      </c>
      <c r="H122" s="79">
        <f>+F121-H121</f>
        <v>104000</v>
      </c>
      <c r="I122" s="882"/>
      <c r="J122" s="876"/>
      <c r="K122" s="878"/>
      <c r="L122" s="882"/>
      <c r="M122" s="878"/>
      <c r="N122" s="884"/>
      <c r="O122" s="56">
        <v>723</v>
      </c>
      <c r="P122" s="79">
        <f>+N121-P121</f>
        <v>615000</v>
      </c>
    </row>
    <row r="123" spans="1:16" ht="13.5" customHeight="1">
      <c r="A123" s="881" t="e">
        <f>+A121+1</f>
        <v>#REF!</v>
      </c>
      <c r="B123" s="875">
        <v>42242</v>
      </c>
      <c r="C123" s="942" t="s">
        <v>32</v>
      </c>
      <c r="D123" s="881" t="s">
        <v>235</v>
      </c>
      <c r="E123" s="881" t="s">
        <v>148</v>
      </c>
      <c r="F123" s="883">
        <v>70000</v>
      </c>
      <c r="G123" s="55">
        <v>719</v>
      </c>
      <c r="H123" s="78">
        <v>50000</v>
      </c>
      <c r="I123" s="873" t="s">
        <v>1346</v>
      </c>
      <c r="J123" s="875">
        <v>43139</v>
      </c>
      <c r="K123" s="877" t="s">
        <v>796</v>
      </c>
      <c r="L123" s="881" t="s">
        <v>1622</v>
      </c>
      <c r="M123" s="881" t="s">
        <v>214</v>
      </c>
      <c r="N123" s="883">
        <v>490000</v>
      </c>
      <c r="O123" s="55">
        <v>719</v>
      </c>
      <c r="P123" s="78"/>
    </row>
    <row r="124" spans="1:16" ht="12.75" customHeight="1" thickBot="1">
      <c r="A124" s="882"/>
      <c r="B124" s="934"/>
      <c r="C124" s="943"/>
      <c r="D124" s="882"/>
      <c r="E124" s="882"/>
      <c r="F124" s="884"/>
      <c r="G124" s="56">
        <v>721</v>
      </c>
      <c r="H124" s="79">
        <f>+F123-H123</f>
        <v>20000</v>
      </c>
      <c r="I124" s="882"/>
      <c r="J124" s="876"/>
      <c r="K124" s="878"/>
      <c r="L124" s="882"/>
      <c r="M124" s="882"/>
      <c r="N124" s="884"/>
      <c r="O124" s="56">
        <v>723</v>
      </c>
      <c r="P124" s="79">
        <f>+N123-P123</f>
        <v>490000</v>
      </c>
    </row>
    <row r="125" spans="1:16" ht="13.5" customHeight="1">
      <c r="A125" s="881" t="e">
        <f>+A123+1</f>
        <v>#REF!</v>
      </c>
      <c r="B125" s="875">
        <v>42242</v>
      </c>
      <c r="C125" s="935" t="s">
        <v>169</v>
      </c>
      <c r="D125" s="881" t="s">
        <v>236</v>
      </c>
      <c r="E125" s="881" t="s">
        <v>148</v>
      </c>
      <c r="F125" s="883">
        <v>56000</v>
      </c>
      <c r="G125" s="55">
        <v>719</v>
      </c>
      <c r="H125" s="78">
        <v>40000</v>
      </c>
      <c r="I125" s="873" t="s">
        <v>1347</v>
      </c>
      <c r="J125" s="875">
        <v>43139</v>
      </c>
      <c r="K125" s="877" t="s">
        <v>1633</v>
      </c>
      <c r="L125" s="881" t="s">
        <v>1622</v>
      </c>
      <c r="M125" s="881" t="s">
        <v>165</v>
      </c>
      <c r="N125" s="883">
        <v>1500000</v>
      </c>
      <c r="O125" s="55">
        <v>719</v>
      </c>
      <c r="P125" s="78"/>
    </row>
    <row r="126" spans="1:16" ht="12.75" customHeight="1" thickBot="1">
      <c r="A126" s="882"/>
      <c r="B126" s="934"/>
      <c r="C126" s="936"/>
      <c r="D126" s="882"/>
      <c r="E126" s="882"/>
      <c r="F126" s="884"/>
      <c r="G126" s="56">
        <v>721</v>
      </c>
      <c r="H126" s="79">
        <f>+F125-H125</f>
        <v>16000</v>
      </c>
      <c r="I126" s="882"/>
      <c r="J126" s="876"/>
      <c r="K126" s="878"/>
      <c r="L126" s="882"/>
      <c r="M126" s="882"/>
      <c r="N126" s="884"/>
      <c r="O126" s="56">
        <v>723</v>
      </c>
      <c r="P126" s="79">
        <f>+N125-P125</f>
        <v>1500000</v>
      </c>
    </row>
    <row r="127" spans="1:16" ht="16.5" thickBot="1">
      <c r="A127" s="901" t="s">
        <v>102</v>
      </c>
      <c r="B127" s="902"/>
      <c r="C127" s="902"/>
      <c r="D127" s="902"/>
      <c r="E127" s="903"/>
      <c r="F127" s="81">
        <f>SUM(F119:F126)</f>
        <v>686000</v>
      </c>
      <c r="I127" s="901" t="s">
        <v>102</v>
      </c>
      <c r="J127" s="902"/>
      <c r="K127" s="902"/>
      <c r="L127" s="902"/>
      <c r="M127" s="903"/>
      <c r="N127" s="81">
        <f>SUM(N119:N126)</f>
        <v>3505000</v>
      </c>
    </row>
    <row r="128" spans="1:16" ht="16.5" thickBot="1">
      <c r="A128" s="885" t="s">
        <v>103</v>
      </c>
      <c r="B128" s="886"/>
      <c r="C128" s="886"/>
      <c r="D128" s="886"/>
      <c r="E128" s="887"/>
      <c r="F128" s="184">
        <f>+F94</f>
        <v>612479841</v>
      </c>
      <c r="I128" s="885" t="s">
        <v>103</v>
      </c>
      <c r="J128" s="886"/>
      <c r="K128" s="886"/>
      <c r="L128" s="886"/>
      <c r="M128" s="887"/>
      <c r="N128" s="239">
        <f>+N94</f>
        <v>25760672</v>
      </c>
      <c r="O128" s="241" t="s">
        <v>561</v>
      </c>
      <c r="P128" s="242">
        <f>1004+1717+363</f>
        <v>3084</v>
      </c>
    </row>
    <row r="129" spans="1:16" ht="15" customHeight="1" thickBot="1">
      <c r="A129" s="888" t="s">
        <v>104</v>
      </c>
      <c r="B129" s="889"/>
      <c r="C129" s="889"/>
      <c r="D129" s="889"/>
      <c r="E129" s="890"/>
      <c r="F129" s="183">
        <f>SUM(F127:F128)</f>
        <v>613165841</v>
      </c>
      <c r="I129" s="888" t="s">
        <v>104</v>
      </c>
      <c r="J129" s="889"/>
      <c r="K129" s="889"/>
      <c r="L129" s="889"/>
      <c r="M129" s="890"/>
      <c r="N129" s="183">
        <f>SUM(N127:N128)</f>
        <v>29265672</v>
      </c>
    </row>
    <row r="130" spans="1:16">
      <c r="A130" s="61"/>
      <c r="B130" s="61"/>
      <c r="C130" s="61"/>
      <c r="D130" s="61"/>
      <c r="E130" s="61"/>
      <c r="I130" s="61"/>
      <c r="J130" s="61"/>
      <c r="K130" s="61"/>
      <c r="L130" s="61"/>
      <c r="M130" s="61"/>
    </row>
    <row r="131" spans="1:16" ht="15" customHeight="1">
      <c r="A131" s="51" t="s">
        <v>238</v>
      </c>
      <c r="I131" s="51" t="s">
        <v>1634</v>
      </c>
    </row>
    <row r="132" spans="1:16" ht="5.25" customHeight="1">
      <c r="F132" s="139"/>
      <c r="N132" s="139"/>
    </row>
    <row r="133" spans="1:16">
      <c r="A133" s="50" t="s">
        <v>105</v>
      </c>
      <c r="D133" s="146"/>
      <c r="I133" s="50" t="s">
        <v>105</v>
      </c>
      <c r="L133" s="146"/>
      <c r="N133" s="139"/>
    </row>
    <row r="134" spans="1:16" ht="12" customHeight="1" thickBot="1"/>
    <row r="135" spans="1:16" ht="17.25" thickBot="1">
      <c r="A135" s="891" t="s">
        <v>106</v>
      </c>
      <c r="B135" s="892"/>
      <c r="C135" s="892"/>
      <c r="D135" s="893"/>
      <c r="F135" s="50" t="s">
        <v>107</v>
      </c>
      <c r="I135" s="891" t="s">
        <v>106</v>
      </c>
      <c r="J135" s="892"/>
      <c r="K135" s="892"/>
      <c r="L135" s="893"/>
      <c r="N135" s="604" t="s">
        <v>288</v>
      </c>
      <c r="O135" s="604"/>
      <c r="P135" s="604"/>
    </row>
    <row r="136" spans="1:16" ht="31.5" thickBot="1">
      <c r="A136" s="57" t="s">
        <v>100</v>
      </c>
      <c r="B136" s="58" t="s">
        <v>108</v>
      </c>
      <c r="C136" s="59" t="s">
        <v>109</v>
      </c>
      <c r="D136" s="60" t="s">
        <v>110</v>
      </c>
      <c r="I136" s="57" t="s">
        <v>100</v>
      </c>
      <c r="J136" s="58" t="s">
        <v>108</v>
      </c>
      <c r="K136" s="59" t="s">
        <v>109</v>
      </c>
      <c r="L136" s="60" t="s">
        <v>110</v>
      </c>
      <c r="N136" s="12"/>
      <c r="O136" s="12"/>
      <c r="P136" s="12"/>
    </row>
    <row r="137" spans="1:16" ht="16.5">
      <c r="A137" s="71">
        <v>719</v>
      </c>
      <c r="B137" s="73" t="e">
        <f>+H119+H121+H123+H125+#REF!</f>
        <v>#REF!</v>
      </c>
      <c r="C137" s="74" t="e">
        <f>+D102</f>
        <v>#REF!</v>
      </c>
      <c r="D137" s="76" t="e">
        <f>+B137+C137</f>
        <v>#REF!</v>
      </c>
      <c r="I137" s="71">
        <v>719</v>
      </c>
      <c r="J137" s="73"/>
      <c r="K137" s="74"/>
      <c r="L137" s="195">
        <f>+J137+K137</f>
        <v>0</v>
      </c>
      <c r="N137" s="12"/>
      <c r="O137" s="12"/>
      <c r="P137" s="12"/>
    </row>
    <row r="138" spans="1:16" ht="12.75" customHeight="1">
      <c r="A138" s="72">
        <v>721</v>
      </c>
      <c r="B138" s="80" t="e">
        <f>+#REF!+H126+H124+H122+H120</f>
        <v>#REF!</v>
      </c>
      <c r="C138" s="74" t="e">
        <f>+D103</f>
        <v>#REF!</v>
      </c>
      <c r="D138" s="76" t="e">
        <f>+B138+C138</f>
        <v>#REF!</v>
      </c>
      <c r="I138" s="72">
        <v>721</v>
      </c>
      <c r="J138" s="80"/>
      <c r="K138" s="74"/>
      <c r="L138" s="195">
        <f>+J138+K138</f>
        <v>0</v>
      </c>
      <c r="N138" s="12"/>
      <c r="O138" s="12"/>
      <c r="P138" s="12"/>
    </row>
    <row r="139" spans="1:16" ht="13.5" customHeight="1">
      <c r="A139" s="72">
        <v>722</v>
      </c>
      <c r="B139" s="80"/>
      <c r="C139" s="74">
        <f>+D104</f>
        <v>224787287</v>
      </c>
      <c r="D139" s="76">
        <f>+B139+C139</f>
        <v>224787287</v>
      </c>
      <c r="I139" s="72">
        <v>722</v>
      </c>
      <c r="J139" s="80"/>
      <c r="K139" s="74">
        <v>0</v>
      </c>
      <c r="L139" s="195">
        <f>+J139+K139</f>
        <v>0</v>
      </c>
      <c r="N139" s="12"/>
      <c r="O139" s="12"/>
      <c r="P139" s="12"/>
    </row>
    <row r="140" spans="1:16" ht="13.5" customHeight="1">
      <c r="A140" s="72">
        <v>723</v>
      </c>
      <c r="B140" s="80"/>
      <c r="C140" s="74">
        <f>+D105</f>
        <v>319828837</v>
      </c>
      <c r="D140" s="76">
        <f>+B140+C140</f>
        <v>319828837</v>
      </c>
      <c r="F140" s="174" t="s">
        <v>23</v>
      </c>
      <c r="I140" s="72">
        <v>723</v>
      </c>
      <c r="J140" s="80">
        <f>+P120+P122+P124+P126</f>
        <v>3505000</v>
      </c>
      <c r="K140" s="74">
        <f>+L105</f>
        <v>25760672</v>
      </c>
      <c r="L140" s="195">
        <f>+J140+K140</f>
        <v>29265672</v>
      </c>
      <c r="N140" s="609" t="s">
        <v>1350</v>
      </c>
      <c r="O140" s="609"/>
      <c r="P140" s="609"/>
    </row>
    <row r="141" spans="1:16" ht="13.5" customHeight="1" thickBot="1">
      <c r="A141" s="164" t="s">
        <v>181</v>
      </c>
      <c r="B141" s="165"/>
      <c r="C141" s="74">
        <f>+D106</f>
        <v>1965625</v>
      </c>
      <c r="D141" s="168">
        <f>+B141+C141</f>
        <v>1965625</v>
      </c>
      <c r="F141" s="52"/>
      <c r="I141" s="164" t="s">
        <v>181</v>
      </c>
      <c r="J141" s="165"/>
      <c r="K141" s="74">
        <f>+L106</f>
        <v>0</v>
      </c>
      <c r="L141" s="196">
        <f>+J141+K141</f>
        <v>0</v>
      </c>
      <c r="N141" s="52"/>
    </row>
    <row r="142" spans="1:16" ht="15.75" customHeight="1" thickBot="1">
      <c r="A142" s="169"/>
      <c r="B142" s="170" t="e">
        <f>SUM(B137:B141)</f>
        <v>#REF!</v>
      </c>
      <c r="C142" s="171" t="e">
        <f>SUM(C137:C141)</f>
        <v>#REF!</v>
      </c>
      <c r="D142" s="172" t="e">
        <f>SUM(D137:D141)</f>
        <v>#REF!</v>
      </c>
      <c r="I142" s="169"/>
      <c r="J142" s="197">
        <f>SUM(J137:J141)</f>
        <v>3505000</v>
      </c>
      <c r="K142" s="197">
        <f>SUM(K137:K141)</f>
        <v>25760672</v>
      </c>
      <c r="L142" s="198">
        <f>SUM(L137:L141)</f>
        <v>29265672</v>
      </c>
    </row>
    <row r="143" spans="1:16" ht="16.5">
      <c r="A143" s="49" t="s">
        <v>88</v>
      </c>
      <c r="B143" s="50"/>
      <c r="I143" s="49" t="s">
        <v>88</v>
      </c>
      <c r="J143" s="50"/>
    </row>
    <row r="144" spans="1:16">
      <c r="A144" s="51" t="s">
        <v>89</v>
      </c>
      <c r="I144" s="51" t="s">
        <v>89</v>
      </c>
    </row>
    <row r="145" spans="1:16">
      <c r="A145" s="51" t="s">
        <v>90</v>
      </c>
      <c r="I145" s="51" t="s">
        <v>90</v>
      </c>
    </row>
    <row r="146" spans="1:16">
      <c r="A146" s="51" t="s">
        <v>91</v>
      </c>
      <c r="I146" s="51" t="s">
        <v>91</v>
      </c>
    </row>
    <row r="147" spans="1:16" ht="8.25" customHeight="1">
      <c r="A147" s="50"/>
      <c r="B147" s="50"/>
      <c r="I147" s="50"/>
      <c r="J147" s="50"/>
    </row>
    <row r="148" spans="1:16" ht="15.75" customHeight="1">
      <c r="A148" s="52" t="s">
        <v>237</v>
      </c>
      <c r="B148" s="50"/>
      <c r="G148" s="52"/>
      <c r="I148" s="52" t="s">
        <v>564</v>
      </c>
      <c r="O148" s="52"/>
    </row>
    <row r="149" spans="1:16" ht="15" customHeight="1">
      <c r="A149" s="53" t="s">
        <v>92</v>
      </c>
      <c r="G149" s="53"/>
      <c r="I149" s="53" t="s">
        <v>1623</v>
      </c>
      <c r="O149" s="53"/>
    </row>
    <row r="150" spans="1:16" ht="15.75" customHeight="1">
      <c r="A150" s="894" t="s">
        <v>228</v>
      </c>
      <c r="B150" s="894"/>
      <c r="C150" s="894"/>
      <c r="D150" s="894"/>
      <c r="E150" s="894"/>
      <c r="F150" s="894"/>
      <c r="G150" s="894"/>
      <c r="H150" s="894"/>
      <c r="I150" s="894" t="s">
        <v>212</v>
      </c>
      <c r="J150" s="894"/>
      <c r="K150" s="894"/>
      <c r="L150" s="894"/>
      <c r="M150" s="894"/>
      <c r="N150" s="894"/>
      <c r="O150" s="894"/>
      <c r="P150" s="894"/>
    </row>
    <row r="151" spans="1:16" ht="15" customHeight="1" thickBot="1"/>
    <row r="152" spans="1:16" ht="15.75" customHeight="1">
      <c r="A152" s="895" t="s">
        <v>94</v>
      </c>
      <c r="B152" s="897" t="s">
        <v>95</v>
      </c>
      <c r="C152" s="897" t="s">
        <v>96</v>
      </c>
      <c r="D152" s="897" t="s">
        <v>3</v>
      </c>
      <c r="E152" s="897" t="s">
        <v>97</v>
      </c>
      <c r="F152" s="897" t="s">
        <v>98</v>
      </c>
      <c r="G152" s="897" t="s">
        <v>99</v>
      </c>
      <c r="H152" s="899"/>
      <c r="I152" s="895" t="s">
        <v>94</v>
      </c>
      <c r="J152" s="897" t="s">
        <v>95</v>
      </c>
      <c r="K152" s="897" t="s">
        <v>96</v>
      </c>
      <c r="L152" s="897" t="s">
        <v>3</v>
      </c>
      <c r="M152" s="897" t="s">
        <v>97</v>
      </c>
      <c r="N152" s="897" t="s">
        <v>98</v>
      </c>
      <c r="O152" s="897" t="s">
        <v>99</v>
      </c>
      <c r="P152" s="899"/>
    </row>
    <row r="153" spans="1:16" ht="15" customHeight="1" thickBot="1">
      <c r="A153" s="896"/>
      <c r="B153" s="898"/>
      <c r="C153" s="898"/>
      <c r="D153" s="898"/>
      <c r="E153" s="898"/>
      <c r="F153" s="898"/>
      <c r="G153" s="240" t="s">
        <v>100</v>
      </c>
      <c r="H153" s="182" t="s">
        <v>101</v>
      </c>
      <c r="I153" s="896"/>
      <c r="J153" s="898"/>
      <c r="K153" s="898"/>
      <c r="L153" s="898"/>
      <c r="M153" s="898"/>
      <c r="N153" s="898"/>
      <c r="O153" s="240" t="s">
        <v>100</v>
      </c>
      <c r="P153" s="182" t="s">
        <v>101</v>
      </c>
    </row>
    <row r="154" spans="1:16" ht="12" customHeight="1">
      <c r="A154" s="881" t="e">
        <f>+#REF!+1</f>
        <v>#REF!</v>
      </c>
      <c r="B154" s="875">
        <v>42242</v>
      </c>
      <c r="C154" s="942" t="s">
        <v>230</v>
      </c>
      <c r="D154" s="881" t="s">
        <v>242</v>
      </c>
      <c r="E154" s="881" t="s">
        <v>148</v>
      </c>
      <c r="F154" s="883">
        <v>182000</v>
      </c>
      <c r="G154" s="55">
        <v>719</v>
      </c>
      <c r="H154" s="78">
        <v>130000</v>
      </c>
      <c r="I154" s="873" t="s">
        <v>1635</v>
      </c>
      <c r="J154" s="875">
        <v>43139</v>
      </c>
      <c r="K154" s="877" t="s">
        <v>799</v>
      </c>
      <c r="L154" s="881" t="s">
        <v>1365</v>
      </c>
      <c r="M154" s="881" t="s">
        <v>165</v>
      </c>
      <c r="N154" s="883">
        <v>975000</v>
      </c>
      <c r="O154" s="55">
        <v>719</v>
      </c>
      <c r="P154" s="78"/>
    </row>
    <row r="155" spans="1:16" ht="15" customHeight="1" thickBot="1">
      <c r="A155" s="882"/>
      <c r="B155" s="934"/>
      <c r="C155" s="943"/>
      <c r="D155" s="882"/>
      <c r="E155" s="882"/>
      <c r="F155" s="884"/>
      <c r="G155" s="56">
        <v>721</v>
      </c>
      <c r="H155" s="79">
        <f>+F154-H154</f>
        <v>52000</v>
      </c>
      <c r="I155" s="882"/>
      <c r="J155" s="876"/>
      <c r="K155" s="878"/>
      <c r="L155" s="882"/>
      <c r="M155" s="882"/>
      <c r="N155" s="884"/>
      <c r="O155" s="56">
        <v>723</v>
      </c>
      <c r="P155" s="79">
        <f>+N154</f>
        <v>975000</v>
      </c>
    </row>
    <row r="156" spans="1:16" ht="14.25" customHeight="1">
      <c r="A156" s="881" t="e">
        <f>+A154+1</f>
        <v>#REF!</v>
      </c>
      <c r="B156" s="875">
        <v>42242</v>
      </c>
      <c r="C156" s="935" t="s">
        <v>28</v>
      </c>
      <c r="D156" s="881" t="s">
        <v>240</v>
      </c>
      <c r="E156" s="881" t="s">
        <v>148</v>
      </c>
      <c r="F156" s="883">
        <v>364000</v>
      </c>
      <c r="G156" s="55">
        <v>719</v>
      </c>
      <c r="H156" s="78">
        <v>260000</v>
      </c>
      <c r="I156" s="873" t="s">
        <v>1352</v>
      </c>
      <c r="J156" s="875">
        <v>43139</v>
      </c>
      <c r="K156" s="881" t="s">
        <v>1636</v>
      </c>
      <c r="L156" s="881" t="s">
        <v>1365</v>
      </c>
      <c r="M156" s="881" t="s">
        <v>215</v>
      </c>
      <c r="N156" s="883">
        <v>1440000</v>
      </c>
      <c r="O156" s="55">
        <v>719</v>
      </c>
      <c r="P156" s="78"/>
    </row>
    <row r="157" spans="1:16" ht="13.5" customHeight="1" thickBot="1">
      <c r="A157" s="882"/>
      <c r="B157" s="934"/>
      <c r="C157" s="936"/>
      <c r="D157" s="882"/>
      <c r="E157" s="882"/>
      <c r="F157" s="884"/>
      <c r="G157" s="56">
        <v>721</v>
      </c>
      <c r="H157" s="79">
        <f>+F156-H156</f>
        <v>104000</v>
      </c>
      <c r="I157" s="882"/>
      <c r="J157" s="876"/>
      <c r="K157" s="882"/>
      <c r="L157" s="882"/>
      <c r="M157" s="882"/>
      <c r="N157" s="884"/>
      <c r="O157" s="56">
        <v>723</v>
      </c>
      <c r="P157" s="79">
        <f>+N156</f>
        <v>1440000</v>
      </c>
    </row>
    <row r="158" spans="1:16" ht="12" customHeight="1">
      <c r="A158" s="881" t="e">
        <f>+A156+1</f>
        <v>#REF!</v>
      </c>
      <c r="B158" s="875">
        <v>42242</v>
      </c>
      <c r="C158" s="942" t="s">
        <v>32</v>
      </c>
      <c r="D158" s="881" t="s">
        <v>241</v>
      </c>
      <c r="E158" s="881" t="s">
        <v>148</v>
      </c>
      <c r="F158" s="883">
        <v>84000</v>
      </c>
      <c r="G158" s="55">
        <v>719</v>
      </c>
      <c r="H158" s="78">
        <v>60000</v>
      </c>
      <c r="I158" s="873" t="s">
        <v>1353</v>
      </c>
      <c r="J158" s="875">
        <v>43139</v>
      </c>
      <c r="K158" s="877" t="s">
        <v>889</v>
      </c>
      <c r="L158" s="881" t="s">
        <v>1365</v>
      </c>
      <c r="M158" s="881" t="s">
        <v>145</v>
      </c>
      <c r="N158" s="883">
        <v>1950000</v>
      </c>
      <c r="O158" s="55">
        <v>719</v>
      </c>
      <c r="P158" s="78"/>
    </row>
    <row r="159" spans="1:16" ht="12.75" customHeight="1" thickBot="1">
      <c r="A159" s="882"/>
      <c r="B159" s="934"/>
      <c r="C159" s="943"/>
      <c r="D159" s="882"/>
      <c r="E159" s="882"/>
      <c r="F159" s="884"/>
      <c r="G159" s="56">
        <v>721</v>
      </c>
      <c r="H159" s="79">
        <f>+F158-H158</f>
        <v>24000</v>
      </c>
      <c r="I159" s="882"/>
      <c r="J159" s="876"/>
      <c r="K159" s="878"/>
      <c r="L159" s="882"/>
      <c r="M159" s="882"/>
      <c r="N159" s="884"/>
      <c r="O159" s="56">
        <v>723</v>
      </c>
      <c r="P159" s="79">
        <f>+N158</f>
        <v>1950000</v>
      </c>
    </row>
    <row r="160" spans="1:16" ht="17.25" customHeight="1" thickBot="1">
      <c r="A160" s="901" t="s">
        <v>102</v>
      </c>
      <c r="B160" s="902"/>
      <c r="C160" s="902"/>
      <c r="D160" s="902"/>
      <c r="E160" s="903"/>
      <c r="F160" s="81">
        <f>SUM(F154:F159)</f>
        <v>630000</v>
      </c>
      <c r="I160" s="901" t="s">
        <v>102</v>
      </c>
      <c r="J160" s="902"/>
      <c r="K160" s="902"/>
      <c r="L160" s="902"/>
      <c r="M160" s="903"/>
      <c r="N160" s="81">
        <f>SUM(N154:N159)</f>
        <v>4365000</v>
      </c>
    </row>
    <row r="161" spans="1:16" ht="16.5" thickBot="1">
      <c r="A161" s="885" t="s">
        <v>103</v>
      </c>
      <c r="B161" s="886"/>
      <c r="C161" s="886"/>
      <c r="D161" s="886"/>
      <c r="E161" s="887"/>
      <c r="F161" s="69">
        <f>+F129</f>
        <v>613165841</v>
      </c>
      <c r="I161" s="885" t="s">
        <v>103</v>
      </c>
      <c r="J161" s="886"/>
      <c r="K161" s="886"/>
      <c r="L161" s="886"/>
      <c r="M161" s="887"/>
      <c r="N161" s="239">
        <f>+N129</f>
        <v>29265672</v>
      </c>
      <c r="O161" s="241" t="s">
        <v>561</v>
      </c>
      <c r="P161" s="242"/>
    </row>
    <row r="162" spans="1:16" ht="15.75" customHeight="1" thickBot="1">
      <c r="A162" s="888" t="s">
        <v>104</v>
      </c>
      <c r="B162" s="889"/>
      <c r="C162" s="889"/>
      <c r="D162" s="889"/>
      <c r="E162" s="890"/>
      <c r="F162" s="70">
        <f>SUM(F160:F161)</f>
        <v>613795841</v>
      </c>
      <c r="I162" s="888" t="s">
        <v>104</v>
      </c>
      <c r="J162" s="889"/>
      <c r="K162" s="889"/>
      <c r="L162" s="889"/>
      <c r="M162" s="890"/>
      <c r="N162" s="183">
        <f>SUM(N160:N161)</f>
        <v>33630672</v>
      </c>
    </row>
    <row r="163" spans="1:16" ht="12.75" customHeight="1">
      <c r="A163" s="61"/>
      <c r="B163" s="61"/>
      <c r="C163" s="61"/>
      <c r="D163" s="61"/>
      <c r="E163" s="61"/>
      <c r="I163" s="61"/>
      <c r="J163" s="61"/>
      <c r="K163" s="61"/>
      <c r="L163" s="61"/>
      <c r="M163" s="61"/>
    </row>
    <row r="164" spans="1:16" ht="13.5" customHeight="1">
      <c r="A164" s="51" t="s">
        <v>243</v>
      </c>
      <c r="I164" s="51" t="s">
        <v>1637</v>
      </c>
    </row>
    <row r="165" spans="1:16" ht="11.25" customHeight="1">
      <c r="F165" s="139"/>
      <c r="N165" s="139"/>
    </row>
    <row r="166" spans="1:16" ht="18" customHeight="1">
      <c r="A166" s="50" t="s">
        <v>105</v>
      </c>
      <c r="D166" s="146"/>
      <c r="I166" s="453" t="s">
        <v>105</v>
      </c>
      <c r="L166" s="146"/>
      <c r="N166" s="139"/>
    </row>
    <row r="167" spans="1:16" ht="12" customHeight="1" thickBot="1"/>
    <row r="168" spans="1:16" ht="17.25" thickBot="1">
      <c r="A168" s="891" t="s">
        <v>106</v>
      </c>
      <c r="B168" s="892"/>
      <c r="C168" s="892"/>
      <c r="D168" s="893"/>
      <c r="F168" s="50" t="s">
        <v>107</v>
      </c>
      <c r="I168" s="891" t="s">
        <v>106</v>
      </c>
      <c r="J168" s="892"/>
      <c r="K168" s="892"/>
      <c r="L168" s="893"/>
      <c r="N168" s="604" t="s">
        <v>288</v>
      </c>
      <c r="O168" s="604"/>
      <c r="P168" s="604"/>
    </row>
    <row r="169" spans="1:16" ht="31.5" thickBot="1">
      <c r="A169" s="57" t="s">
        <v>100</v>
      </c>
      <c r="B169" s="58" t="s">
        <v>108</v>
      </c>
      <c r="C169" s="59" t="s">
        <v>109</v>
      </c>
      <c r="D169" s="60" t="s">
        <v>110</v>
      </c>
      <c r="I169" s="57" t="s">
        <v>100</v>
      </c>
      <c r="J169" s="58" t="s">
        <v>108</v>
      </c>
      <c r="K169" s="59" t="s">
        <v>109</v>
      </c>
      <c r="L169" s="60" t="s">
        <v>110</v>
      </c>
      <c r="N169" s="12"/>
      <c r="O169" s="12"/>
      <c r="P169" s="12"/>
    </row>
    <row r="170" spans="1:16" ht="12.75" customHeight="1">
      <c r="A170" s="71">
        <v>719</v>
      </c>
      <c r="B170" s="73" t="e">
        <f>+H154+H156+H158+#REF!+#REF!</f>
        <v>#REF!</v>
      </c>
      <c r="C170" s="74" t="e">
        <f>+D137</f>
        <v>#REF!</v>
      </c>
      <c r="D170" s="76" t="e">
        <f>+B170+C170</f>
        <v>#REF!</v>
      </c>
      <c r="I170" s="71">
        <v>719</v>
      </c>
      <c r="J170" s="73"/>
      <c r="K170" s="74">
        <f>+L137</f>
        <v>0</v>
      </c>
      <c r="L170" s="195">
        <f>+J170+K170</f>
        <v>0</v>
      </c>
      <c r="N170" s="12"/>
      <c r="O170" s="12"/>
      <c r="P170" s="12"/>
    </row>
    <row r="171" spans="1:16" ht="12" customHeight="1">
      <c r="A171" s="72">
        <v>721</v>
      </c>
      <c r="B171" s="80" t="e">
        <f>+#REF!+#REF!+H159+H157+H155</f>
        <v>#REF!</v>
      </c>
      <c r="C171" s="74" t="e">
        <f>+D138</f>
        <v>#REF!</v>
      </c>
      <c r="D171" s="76" t="e">
        <f>+B171+C171</f>
        <v>#REF!</v>
      </c>
      <c r="I171" s="72">
        <v>721</v>
      </c>
      <c r="J171" s="80">
        <v>0</v>
      </c>
      <c r="K171" s="74">
        <f>+L138</f>
        <v>0</v>
      </c>
      <c r="L171" s="195">
        <f>+J171+K171</f>
        <v>0</v>
      </c>
      <c r="N171" s="12"/>
      <c r="O171" s="12"/>
      <c r="P171" s="12"/>
    </row>
    <row r="172" spans="1:16" ht="14.25" customHeight="1">
      <c r="A172" s="72">
        <v>722</v>
      </c>
      <c r="B172" s="80"/>
      <c r="C172" s="74">
        <f>+D139</f>
        <v>224787287</v>
      </c>
      <c r="D172" s="76">
        <f>+B172+C172</f>
        <v>224787287</v>
      </c>
      <c r="I172" s="72">
        <v>722</v>
      </c>
      <c r="J172" s="80"/>
      <c r="K172" s="74">
        <f>+L139</f>
        <v>0</v>
      </c>
      <c r="L172" s="195">
        <f>+J172+K172</f>
        <v>0</v>
      </c>
      <c r="N172" s="610" t="s">
        <v>1436</v>
      </c>
      <c r="O172" s="610"/>
      <c r="P172" s="610"/>
    </row>
    <row r="173" spans="1:16" ht="14.25" customHeight="1">
      <c r="A173" s="72">
        <v>723</v>
      </c>
      <c r="B173" s="80"/>
      <c r="C173" s="74">
        <f>+D140</f>
        <v>319828837</v>
      </c>
      <c r="D173" s="76">
        <f>+B173+C173</f>
        <v>319828837</v>
      </c>
      <c r="F173" s="174" t="s">
        <v>23</v>
      </c>
      <c r="I173" s="72">
        <v>723</v>
      </c>
      <c r="J173" s="80">
        <f>+P155+P157+P159</f>
        <v>4365000</v>
      </c>
      <c r="K173" s="74">
        <f>+L140</f>
        <v>29265672</v>
      </c>
      <c r="L173" s="195">
        <f>+J173+K173</f>
        <v>33630672</v>
      </c>
      <c r="N173" s="193"/>
      <c r="O173" s="175"/>
    </row>
    <row r="174" spans="1:16" ht="12.75" customHeight="1" thickBot="1">
      <c r="A174" s="164" t="s">
        <v>181</v>
      </c>
      <c r="B174" s="165"/>
      <c r="C174" s="74">
        <f>+D141</f>
        <v>1965625</v>
      </c>
      <c r="D174" s="168">
        <f>+B174+C174</f>
        <v>1965625</v>
      </c>
      <c r="F174" s="52"/>
      <c r="I174" s="164" t="s">
        <v>181</v>
      </c>
      <c r="J174" s="165"/>
      <c r="K174" s="74">
        <f>+L141</f>
        <v>0</v>
      </c>
      <c r="L174" s="196">
        <f>+J174+K174</f>
        <v>0</v>
      </c>
      <c r="N174" s="52"/>
    </row>
    <row r="175" spans="1:16" ht="16.5" thickBot="1">
      <c r="A175" s="169"/>
      <c r="B175" s="170" t="e">
        <f>SUM(B170:B174)</f>
        <v>#REF!</v>
      </c>
      <c r="C175" s="171" t="e">
        <f>SUM(C170:C174)</f>
        <v>#REF!</v>
      </c>
      <c r="D175" s="172" t="e">
        <f>SUM(D170:D174)</f>
        <v>#REF!</v>
      </c>
      <c r="I175" s="169"/>
      <c r="J175" s="197">
        <f>SUM(J170:J174)</f>
        <v>4365000</v>
      </c>
      <c r="K175" s="197">
        <f>SUM(K170:K174)</f>
        <v>29265672</v>
      </c>
      <c r="L175" s="198">
        <f>SUM(L170:L174)</f>
        <v>33630672</v>
      </c>
    </row>
    <row r="176" spans="1:16" ht="16.5">
      <c r="A176" s="49" t="s">
        <v>88</v>
      </c>
      <c r="B176" s="50"/>
      <c r="I176" s="49" t="s">
        <v>88</v>
      </c>
      <c r="J176" s="50"/>
    </row>
    <row r="177" spans="1:16" ht="11.25" customHeight="1">
      <c r="A177" s="51" t="s">
        <v>89</v>
      </c>
      <c r="I177" s="51" t="s">
        <v>89</v>
      </c>
    </row>
    <row r="178" spans="1:16" ht="12.75" customHeight="1">
      <c r="A178" s="51" t="s">
        <v>90</v>
      </c>
      <c r="I178" s="51" t="s">
        <v>90</v>
      </c>
    </row>
    <row r="179" spans="1:16" ht="12.75" customHeight="1">
      <c r="A179" s="51" t="s">
        <v>91</v>
      </c>
      <c r="I179" s="51" t="s">
        <v>91</v>
      </c>
    </row>
    <row r="180" spans="1:16" ht="3.75" customHeight="1">
      <c r="A180" s="50"/>
      <c r="B180" s="50"/>
      <c r="I180" s="50"/>
      <c r="J180" s="50"/>
    </row>
    <row r="181" spans="1:16" ht="16.5">
      <c r="A181" s="52" t="s">
        <v>245</v>
      </c>
      <c r="G181" s="52"/>
      <c r="I181" s="52" t="s">
        <v>571</v>
      </c>
      <c r="O181" s="52"/>
    </row>
    <row r="182" spans="1:16" ht="15.75">
      <c r="A182" s="53" t="s">
        <v>92</v>
      </c>
      <c r="G182" s="53"/>
      <c r="I182" s="53" t="s">
        <v>1623</v>
      </c>
      <c r="O182" s="53"/>
    </row>
    <row r="183" spans="1:16" ht="14.25" customHeight="1">
      <c r="A183" s="894" t="s">
        <v>255</v>
      </c>
      <c r="B183" s="894"/>
      <c r="C183" s="894"/>
      <c r="D183" s="894"/>
      <c r="E183" s="894"/>
      <c r="F183" s="894"/>
      <c r="G183" s="894"/>
      <c r="H183" s="894"/>
      <c r="I183" s="894" t="s">
        <v>212</v>
      </c>
      <c r="J183" s="894"/>
      <c r="K183" s="894"/>
      <c r="L183" s="894"/>
      <c r="M183" s="894"/>
      <c r="N183" s="894"/>
      <c r="O183" s="894"/>
      <c r="P183" s="894"/>
    </row>
    <row r="184" spans="1:16" ht="12" customHeight="1" thickBot="1"/>
    <row r="185" spans="1:16">
      <c r="A185" s="895" t="s">
        <v>94</v>
      </c>
      <c r="B185" s="897" t="s">
        <v>95</v>
      </c>
      <c r="C185" s="897" t="s">
        <v>96</v>
      </c>
      <c r="D185" s="897" t="s">
        <v>3</v>
      </c>
      <c r="E185" s="897" t="s">
        <v>97</v>
      </c>
      <c r="F185" s="897" t="s">
        <v>98</v>
      </c>
      <c r="G185" s="897" t="s">
        <v>99</v>
      </c>
      <c r="H185" s="899"/>
      <c r="I185" s="895" t="s">
        <v>94</v>
      </c>
      <c r="J185" s="897" t="s">
        <v>95</v>
      </c>
      <c r="K185" s="897" t="s">
        <v>96</v>
      </c>
      <c r="L185" s="897" t="s">
        <v>3</v>
      </c>
      <c r="M185" s="897" t="s">
        <v>97</v>
      </c>
      <c r="N185" s="897" t="s">
        <v>98</v>
      </c>
      <c r="O185" s="897" t="s">
        <v>99</v>
      </c>
      <c r="P185" s="899"/>
    </row>
    <row r="186" spans="1:16" ht="15.75" thickBot="1">
      <c r="A186" s="896"/>
      <c r="B186" s="898"/>
      <c r="C186" s="898"/>
      <c r="D186" s="898"/>
      <c r="E186" s="898"/>
      <c r="F186" s="898"/>
      <c r="G186" s="240" t="s">
        <v>100</v>
      </c>
      <c r="H186" s="182" t="s">
        <v>101</v>
      </c>
      <c r="I186" s="896"/>
      <c r="J186" s="898"/>
      <c r="K186" s="898"/>
      <c r="L186" s="898"/>
      <c r="M186" s="898"/>
      <c r="N186" s="898"/>
      <c r="O186" s="240" t="s">
        <v>100</v>
      </c>
      <c r="P186" s="182" t="s">
        <v>101</v>
      </c>
    </row>
    <row r="187" spans="1:16" ht="12.75" customHeight="1">
      <c r="A187" s="881" t="e">
        <f>+#REF!+1</f>
        <v>#REF!</v>
      </c>
      <c r="B187" s="875">
        <v>42243</v>
      </c>
      <c r="C187" s="942" t="s">
        <v>31</v>
      </c>
      <c r="D187" s="881" t="s">
        <v>246</v>
      </c>
      <c r="E187" s="881" t="s">
        <v>115</v>
      </c>
      <c r="F187" s="883">
        <v>120000</v>
      </c>
      <c r="G187" s="55">
        <v>719</v>
      </c>
      <c r="H187" s="78">
        <v>120000</v>
      </c>
      <c r="I187" s="873" t="s">
        <v>1354</v>
      </c>
      <c r="J187" s="875">
        <v>43140</v>
      </c>
      <c r="K187" s="905" t="s">
        <v>672</v>
      </c>
      <c r="L187" s="881" t="s">
        <v>1622</v>
      </c>
      <c r="M187" s="881" t="s">
        <v>148</v>
      </c>
      <c r="N187" s="883">
        <v>21521960</v>
      </c>
      <c r="O187" s="55">
        <v>719</v>
      </c>
      <c r="P187" s="78"/>
    </row>
    <row r="188" spans="1:16" ht="12.75" customHeight="1" thickBot="1">
      <c r="A188" s="882"/>
      <c r="B188" s="934"/>
      <c r="C188" s="943"/>
      <c r="D188" s="882"/>
      <c r="E188" s="882"/>
      <c r="F188" s="884"/>
      <c r="G188" s="56">
        <v>721</v>
      </c>
      <c r="H188" s="79">
        <f>+F187-H187</f>
        <v>0</v>
      </c>
      <c r="I188" s="874"/>
      <c r="J188" s="876"/>
      <c r="K188" s="906"/>
      <c r="L188" s="882"/>
      <c r="M188" s="882"/>
      <c r="N188" s="884"/>
      <c r="O188" s="56">
        <v>723</v>
      </c>
      <c r="P188" s="79">
        <f>+N187</f>
        <v>21521960</v>
      </c>
    </row>
    <row r="189" spans="1:16" ht="12.75" customHeight="1">
      <c r="A189" s="881" t="e">
        <f>+A187+1</f>
        <v>#REF!</v>
      </c>
      <c r="B189" s="875">
        <v>42243</v>
      </c>
      <c r="C189" s="935" t="s">
        <v>28</v>
      </c>
      <c r="D189" s="881" t="s">
        <v>247</v>
      </c>
      <c r="E189" s="881" t="s">
        <v>115</v>
      </c>
      <c r="F189" s="883">
        <v>50000</v>
      </c>
      <c r="G189" s="55">
        <v>719</v>
      </c>
      <c r="H189" s="78">
        <v>50000</v>
      </c>
      <c r="I189" s="873" t="s">
        <v>1355</v>
      </c>
      <c r="J189" s="875">
        <v>43140</v>
      </c>
      <c r="K189" s="877" t="s">
        <v>674</v>
      </c>
      <c r="L189" s="881" t="s">
        <v>1622</v>
      </c>
      <c r="M189" s="881" t="s">
        <v>148</v>
      </c>
      <c r="N189" s="883">
        <v>6651000</v>
      </c>
      <c r="O189" s="55">
        <v>719</v>
      </c>
      <c r="P189" s="78"/>
    </row>
    <row r="190" spans="1:16" ht="12.75" customHeight="1" thickBot="1">
      <c r="A190" s="882"/>
      <c r="B190" s="934"/>
      <c r="C190" s="936"/>
      <c r="D190" s="882"/>
      <c r="E190" s="882"/>
      <c r="F190" s="884"/>
      <c r="G190" s="56">
        <v>721</v>
      </c>
      <c r="H190" s="79"/>
      <c r="I190" s="874"/>
      <c r="J190" s="876"/>
      <c r="K190" s="878"/>
      <c r="L190" s="882"/>
      <c r="M190" s="882"/>
      <c r="N190" s="884"/>
      <c r="O190" s="56">
        <v>723</v>
      </c>
      <c r="P190" s="79">
        <f>+N189</f>
        <v>6651000</v>
      </c>
    </row>
    <row r="191" spans="1:16" ht="12" customHeight="1">
      <c r="A191" s="881" t="e">
        <f>+A189+1</f>
        <v>#REF!</v>
      </c>
      <c r="B191" s="875">
        <v>42243</v>
      </c>
      <c r="C191" s="877" t="s">
        <v>250</v>
      </c>
      <c r="D191" s="877" t="s">
        <v>248</v>
      </c>
      <c r="E191" s="881" t="s">
        <v>145</v>
      </c>
      <c r="F191" s="883">
        <v>4280256</v>
      </c>
      <c r="G191" s="55">
        <v>719</v>
      </c>
      <c r="H191" s="78"/>
      <c r="I191" s="873" t="s">
        <v>1356</v>
      </c>
      <c r="J191" s="875">
        <v>43140</v>
      </c>
      <c r="K191" s="877" t="s">
        <v>676</v>
      </c>
      <c r="L191" s="881" t="s">
        <v>1622</v>
      </c>
      <c r="M191" s="881" t="s">
        <v>148</v>
      </c>
      <c r="N191" s="883">
        <v>630000</v>
      </c>
      <c r="O191" s="55">
        <v>719</v>
      </c>
      <c r="P191" s="78"/>
    </row>
    <row r="192" spans="1:16" ht="15" customHeight="1" thickBot="1">
      <c r="A192" s="882"/>
      <c r="B192" s="934"/>
      <c r="C192" s="878"/>
      <c r="D192" s="878"/>
      <c r="E192" s="882"/>
      <c r="F192" s="884"/>
      <c r="G192" s="56">
        <v>722</v>
      </c>
      <c r="H192" s="79">
        <f>+F191-H191</f>
        <v>4280256</v>
      </c>
      <c r="I192" s="874"/>
      <c r="J192" s="876"/>
      <c r="K192" s="878"/>
      <c r="L192" s="882"/>
      <c r="M192" s="882"/>
      <c r="N192" s="884"/>
      <c r="O192" s="56">
        <v>723</v>
      </c>
      <c r="P192" s="79">
        <f>+N191</f>
        <v>630000</v>
      </c>
    </row>
    <row r="193" spans="1:16" ht="12" customHeight="1">
      <c r="A193" s="881" t="e">
        <f>+A191+1</f>
        <v>#REF!</v>
      </c>
      <c r="B193" s="875">
        <v>42243</v>
      </c>
      <c r="C193" s="877" t="s">
        <v>249</v>
      </c>
      <c r="D193" s="877" t="s">
        <v>248</v>
      </c>
      <c r="E193" s="881" t="s">
        <v>145</v>
      </c>
      <c r="F193" s="883">
        <v>2140128</v>
      </c>
      <c r="G193" s="55">
        <v>719</v>
      </c>
      <c r="H193" s="78"/>
      <c r="I193" s="873" t="s">
        <v>1360</v>
      </c>
      <c r="J193" s="875">
        <v>43140</v>
      </c>
      <c r="K193" s="877" t="s">
        <v>677</v>
      </c>
      <c r="L193" s="881" t="s">
        <v>1622</v>
      </c>
      <c r="M193" s="881" t="s">
        <v>148</v>
      </c>
      <c r="N193" s="883">
        <v>27547490</v>
      </c>
      <c r="O193" s="55">
        <v>719</v>
      </c>
      <c r="P193" s="78"/>
    </row>
    <row r="194" spans="1:16" ht="15" customHeight="1" thickBot="1">
      <c r="A194" s="882"/>
      <c r="B194" s="934"/>
      <c r="C194" s="878"/>
      <c r="D194" s="878"/>
      <c r="E194" s="882"/>
      <c r="F194" s="884"/>
      <c r="G194" s="56">
        <v>722</v>
      </c>
      <c r="H194" s="79">
        <f>+F193-H193</f>
        <v>2140128</v>
      </c>
      <c r="I194" s="874"/>
      <c r="J194" s="876"/>
      <c r="K194" s="878"/>
      <c r="L194" s="882"/>
      <c r="M194" s="882"/>
      <c r="N194" s="884"/>
      <c r="O194" s="56">
        <v>723</v>
      </c>
      <c r="P194" s="79">
        <f>+N193</f>
        <v>27547490</v>
      </c>
    </row>
    <row r="195" spans="1:16" ht="13.5" customHeight="1">
      <c r="A195" s="881"/>
      <c r="B195" s="875"/>
      <c r="C195" s="935"/>
      <c r="D195" s="877"/>
      <c r="E195" s="881"/>
      <c r="F195" s="883"/>
      <c r="G195" s="55">
        <v>719</v>
      </c>
      <c r="H195" s="78"/>
      <c r="I195" s="873" t="s">
        <v>1361</v>
      </c>
      <c r="J195" s="875">
        <v>43140</v>
      </c>
      <c r="K195" s="881" t="s">
        <v>678</v>
      </c>
      <c r="L195" s="881" t="s">
        <v>1622</v>
      </c>
      <c r="M195" s="881" t="s">
        <v>148</v>
      </c>
      <c r="N195" s="883">
        <v>1260000</v>
      </c>
      <c r="O195" s="55">
        <v>719</v>
      </c>
      <c r="P195" s="78"/>
    </row>
    <row r="196" spans="1:16" ht="12.75" customHeight="1" thickBot="1">
      <c r="A196" s="882"/>
      <c r="B196" s="934"/>
      <c r="C196" s="936"/>
      <c r="D196" s="878"/>
      <c r="E196" s="882"/>
      <c r="F196" s="884"/>
      <c r="G196" s="56">
        <v>721</v>
      </c>
      <c r="H196" s="79">
        <f>+F195-H195</f>
        <v>0</v>
      </c>
      <c r="I196" s="874"/>
      <c r="J196" s="876"/>
      <c r="K196" s="882"/>
      <c r="L196" s="882"/>
      <c r="M196" s="882"/>
      <c r="N196" s="884"/>
      <c r="O196" s="56">
        <v>723</v>
      </c>
      <c r="P196" s="79">
        <f>+N195</f>
        <v>1260000</v>
      </c>
    </row>
    <row r="197" spans="1:16" ht="15" customHeight="1" thickBot="1">
      <c r="A197" s="901" t="s">
        <v>102</v>
      </c>
      <c r="B197" s="902"/>
      <c r="C197" s="902"/>
      <c r="D197" s="902"/>
      <c r="E197" s="903"/>
      <c r="F197" s="81">
        <f>SUM(F187:F196)</f>
        <v>6590384</v>
      </c>
      <c r="I197" s="901" t="s">
        <v>102</v>
      </c>
      <c r="J197" s="902"/>
      <c r="K197" s="902"/>
      <c r="L197" s="902"/>
      <c r="M197" s="903"/>
      <c r="N197" s="81">
        <f>SUM(N187:N196)</f>
        <v>57610450</v>
      </c>
    </row>
    <row r="198" spans="1:16" ht="15.75" customHeight="1" thickBot="1">
      <c r="A198" s="885" t="s">
        <v>103</v>
      </c>
      <c r="B198" s="886"/>
      <c r="C198" s="886"/>
      <c r="D198" s="886"/>
      <c r="E198" s="887"/>
      <c r="F198" s="69">
        <f>+F162</f>
        <v>613795841</v>
      </c>
      <c r="I198" s="885" t="s">
        <v>103</v>
      </c>
      <c r="J198" s="886"/>
      <c r="K198" s="886"/>
      <c r="L198" s="886"/>
      <c r="M198" s="887"/>
      <c r="N198" s="239">
        <f>+N162</f>
        <v>33630672</v>
      </c>
      <c r="O198" s="241" t="s">
        <v>561</v>
      </c>
      <c r="P198" s="242"/>
    </row>
    <row r="199" spans="1:16" ht="14.25" customHeight="1" thickBot="1">
      <c r="A199" s="888" t="s">
        <v>104</v>
      </c>
      <c r="B199" s="889"/>
      <c r="C199" s="889"/>
      <c r="D199" s="889"/>
      <c r="E199" s="890"/>
      <c r="F199" s="183">
        <f>SUM(F197:F198)</f>
        <v>620386225</v>
      </c>
      <c r="I199" s="888" t="s">
        <v>104</v>
      </c>
      <c r="J199" s="889"/>
      <c r="K199" s="889"/>
      <c r="L199" s="889"/>
      <c r="M199" s="890"/>
      <c r="N199" s="183">
        <f>SUM(N197:N198)</f>
        <v>91241122</v>
      </c>
    </row>
    <row r="200" spans="1:16" ht="7.5" customHeight="1">
      <c r="A200" s="61"/>
      <c r="B200" s="61"/>
      <c r="C200" s="61"/>
      <c r="D200" s="61"/>
      <c r="E200" s="61"/>
      <c r="I200" s="61"/>
      <c r="J200" s="61"/>
      <c r="K200" s="61"/>
      <c r="L200" s="61"/>
      <c r="M200" s="61"/>
    </row>
    <row r="201" spans="1:16">
      <c r="A201" s="51" t="s">
        <v>254</v>
      </c>
      <c r="I201" s="51" t="s">
        <v>1640</v>
      </c>
    </row>
    <row r="202" spans="1:16" ht="4.5" customHeight="1">
      <c r="F202" s="139"/>
      <c r="N202" s="139"/>
    </row>
    <row r="203" spans="1:16" ht="12.75" customHeight="1">
      <c r="A203" s="50" t="s">
        <v>105</v>
      </c>
      <c r="D203" s="146"/>
      <c r="F203" s="139"/>
      <c r="I203" s="50" t="s">
        <v>105</v>
      </c>
      <c r="L203" s="146"/>
      <c r="N203" s="139"/>
    </row>
    <row r="204" spans="1:16" ht="11.25" customHeight="1" thickBot="1"/>
    <row r="205" spans="1:16" ht="17.25" thickBot="1">
      <c r="A205" s="891" t="s">
        <v>106</v>
      </c>
      <c r="B205" s="892"/>
      <c r="C205" s="892"/>
      <c r="D205" s="893"/>
      <c r="F205" s="50" t="s">
        <v>107</v>
      </c>
      <c r="I205" s="891" t="s">
        <v>106</v>
      </c>
      <c r="J205" s="892"/>
      <c r="K205" s="892"/>
      <c r="L205" s="893"/>
      <c r="N205" s="604" t="s">
        <v>288</v>
      </c>
      <c r="O205" s="604"/>
      <c r="P205" s="604"/>
    </row>
    <row r="206" spans="1:16" ht="30.75" customHeight="1" thickBot="1">
      <c r="A206" s="57" t="s">
        <v>100</v>
      </c>
      <c r="B206" s="58" t="s">
        <v>108</v>
      </c>
      <c r="C206" s="59" t="s">
        <v>109</v>
      </c>
      <c r="D206" s="60" t="s">
        <v>110</v>
      </c>
      <c r="I206" s="57" t="s">
        <v>100</v>
      </c>
      <c r="J206" s="58" t="s">
        <v>108</v>
      </c>
      <c r="K206" s="59" t="s">
        <v>109</v>
      </c>
      <c r="L206" s="60" t="s">
        <v>110</v>
      </c>
      <c r="N206" s="12"/>
      <c r="O206" s="12"/>
      <c r="P206" s="12"/>
    </row>
    <row r="207" spans="1:16" ht="14.25" customHeight="1">
      <c r="A207" s="71">
        <v>719</v>
      </c>
      <c r="B207" s="73">
        <f>+H187+H189</f>
        <v>170000</v>
      </c>
      <c r="C207" s="74" t="e">
        <f>+D170</f>
        <v>#REF!</v>
      </c>
      <c r="D207" s="76" t="e">
        <f>+B207+C207</f>
        <v>#REF!</v>
      </c>
      <c r="I207" s="71">
        <v>719</v>
      </c>
      <c r="J207" s="73"/>
      <c r="K207" s="74">
        <f>+L170</f>
        <v>0</v>
      </c>
      <c r="L207" s="195">
        <f>+J207+K207</f>
        <v>0</v>
      </c>
      <c r="N207" s="12"/>
      <c r="O207" s="12"/>
      <c r="P207" s="12"/>
    </row>
    <row r="208" spans="1:16" ht="12.75" customHeight="1">
      <c r="A208" s="72">
        <v>721</v>
      </c>
      <c r="B208" s="80"/>
      <c r="C208" s="74" t="e">
        <f>+D171</f>
        <v>#REF!</v>
      </c>
      <c r="D208" s="76" t="e">
        <f>+B208+C208</f>
        <v>#REF!</v>
      </c>
      <c r="I208" s="72">
        <v>721</v>
      </c>
      <c r="J208" s="80"/>
      <c r="K208" s="74">
        <f>+L171</f>
        <v>0</v>
      </c>
      <c r="L208" s="195">
        <f>+J208+K208</f>
        <v>0</v>
      </c>
      <c r="N208" s="12"/>
      <c r="O208" s="12"/>
      <c r="P208" s="12"/>
    </row>
    <row r="209" spans="1:16" ht="12.75" customHeight="1">
      <c r="A209" s="72">
        <v>722</v>
      </c>
      <c r="B209" s="80">
        <f>+H192+H194</f>
        <v>6420384</v>
      </c>
      <c r="C209" s="74">
        <f>+D172</f>
        <v>224787287</v>
      </c>
      <c r="D209" s="76">
        <f>+B209+C209</f>
        <v>231207671</v>
      </c>
      <c r="I209" s="72">
        <v>722</v>
      </c>
      <c r="J209" s="80"/>
      <c r="K209" s="74">
        <f>+L172</f>
        <v>0</v>
      </c>
      <c r="L209" s="195">
        <f>+J209+K209</f>
        <v>0</v>
      </c>
      <c r="N209" s="12"/>
      <c r="O209" s="12"/>
      <c r="P209" s="12"/>
    </row>
    <row r="210" spans="1:16" ht="13.5" customHeight="1">
      <c r="A210" s="72">
        <v>723</v>
      </c>
      <c r="B210" s="80"/>
      <c r="C210" s="74">
        <f>+D173</f>
        <v>319828837</v>
      </c>
      <c r="D210" s="76">
        <f>+B210+C210</f>
        <v>319828837</v>
      </c>
      <c r="F210" s="174" t="s">
        <v>23</v>
      </c>
      <c r="G210" s="175"/>
      <c r="I210" s="72">
        <v>723</v>
      </c>
      <c r="J210" s="80">
        <f>+P188+P190+P192+P194+P196</f>
        <v>57610450</v>
      </c>
      <c r="K210" s="74">
        <f>+L173</f>
        <v>33630672</v>
      </c>
      <c r="L210" s="195">
        <f>+J210+K210</f>
        <v>91241122</v>
      </c>
      <c r="N210" s="608" t="s">
        <v>1436</v>
      </c>
      <c r="O210" s="608"/>
      <c r="P210" s="608"/>
    </row>
    <row r="211" spans="1:16" ht="13.5" customHeight="1" thickBot="1">
      <c r="A211" s="164" t="s">
        <v>181</v>
      </c>
      <c r="B211" s="165"/>
      <c r="C211" s="74">
        <f>+D174</f>
        <v>1965625</v>
      </c>
      <c r="D211" s="168">
        <f>+B211+C211</f>
        <v>1965625</v>
      </c>
      <c r="F211" s="52"/>
      <c r="I211" s="164" t="s">
        <v>181</v>
      </c>
      <c r="J211" s="165"/>
      <c r="K211" s="74">
        <f>+L174</f>
        <v>0</v>
      </c>
      <c r="L211" s="196">
        <f>+J211+K211</f>
        <v>0</v>
      </c>
      <c r="N211" s="52"/>
    </row>
    <row r="212" spans="1:16" ht="15" customHeight="1" thickBot="1">
      <c r="A212" s="169"/>
      <c r="B212" s="170">
        <f>SUM(B207:B211)</f>
        <v>6590384</v>
      </c>
      <c r="C212" s="171" t="e">
        <f>SUM(C207:C211)</f>
        <v>#REF!</v>
      </c>
      <c r="D212" s="172" t="e">
        <f>SUM(D207:D211)</f>
        <v>#REF!</v>
      </c>
      <c r="I212" s="169"/>
      <c r="J212" s="197">
        <f>SUM(J207:J211)</f>
        <v>57610450</v>
      </c>
      <c r="K212" s="197">
        <f>SUM(K207:K211)</f>
        <v>33630672</v>
      </c>
      <c r="L212" s="198">
        <f>SUM(L207:L211)</f>
        <v>91241122</v>
      </c>
    </row>
    <row r="213" spans="1:16" ht="15.75" customHeight="1">
      <c r="A213" s="49" t="s">
        <v>88</v>
      </c>
      <c r="B213" s="50"/>
      <c r="I213" s="49" t="s">
        <v>88</v>
      </c>
      <c r="J213" s="50"/>
    </row>
    <row r="214" spans="1:16" ht="13.5" customHeight="1">
      <c r="A214" s="51" t="s">
        <v>89</v>
      </c>
      <c r="I214" s="51" t="s">
        <v>89</v>
      </c>
    </row>
    <row r="215" spans="1:16" ht="13.5" customHeight="1">
      <c r="A215" s="51" t="s">
        <v>90</v>
      </c>
      <c r="I215" s="51" t="s">
        <v>90</v>
      </c>
    </row>
    <row r="216" spans="1:16" ht="12.75" customHeight="1">
      <c r="A216" s="51" t="s">
        <v>91</v>
      </c>
      <c r="I216" s="51" t="s">
        <v>91</v>
      </c>
    </row>
    <row r="217" spans="1:16" ht="4.5" customHeight="1">
      <c r="A217" s="50"/>
      <c r="B217" s="50"/>
      <c r="I217" s="50"/>
      <c r="J217" s="50"/>
    </row>
    <row r="218" spans="1:16" ht="13.5" customHeight="1">
      <c r="A218" s="52" t="s">
        <v>256</v>
      </c>
      <c r="G218" s="52"/>
      <c r="I218" s="52" t="s">
        <v>1641</v>
      </c>
      <c r="J218" s="243"/>
      <c r="O218" s="52"/>
    </row>
    <row r="219" spans="1:16" ht="15.75">
      <c r="A219" s="53" t="s">
        <v>92</v>
      </c>
      <c r="G219" s="53"/>
      <c r="I219" s="53" t="s">
        <v>1623</v>
      </c>
      <c r="O219" s="53"/>
    </row>
    <row r="220" spans="1:16" ht="13.5" customHeight="1">
      <c r="A220" s="894" t="s">
        <v>261</v>
      </c>
      <c r="B220" s="894"/>
      <c r="C220" s="894"/>
      <c r="D220" s="894"/>
      <c r="E220" s="894"/>
      <c r="F220" s="894"/>
      <c r="G220" s="894"/>
      <c r="H220" s="894"/>
      <c r="I220" s="894" t="s">
        <v>212</v>
      </c>
      <c r="J220" s="894"/>
      <c r="K220" s="894"/>
      <c r="L220" s="894"/>
      <c r="M220" s="894"/>
      <c r="N220" s="894"/>
      <c r="O220" s="894"/>
      <c r="P220" s="894"/>
    </row>
    <row r="221" spans="1:16" ht="8.25" customHeight="1" thickBot="1"/>
    <row r="222" spans="1:16">
      <c r="A222" s="895" t="s">
        <v>94</v>
      </c>
      <c r="B222" s="897" t="s">
        <v>95</v>
      </c>
      <c r="C222" s="897" t="s">
        <v>96</v>
      </c>
      <c r="D222" s="897" t="s">
        <v>3</v>
      </c>
      <c r="E222" s="897" t="s">
        <v>97</v>
      </c>
      <c r="F222" s="897" t="s">
        <v>98</v>
      </c>
      <c r="G222" s="897" t="s">
        <v>99</v>
      </c>
      <c r="H222" s="899"/>
      <c r="I222" s="895" t="s">
        <v>94</v>
      </c>
      <c r="J222" s="897" t="s">
        <v>95</v>
      </c>
      <c r="K222" s="897" t="s">
        <v>96</v>
      </c>
      <c r="L222" s="897" t="s">
        <v>3</v>
      </c>
      <c r="M222" s="897" t="s">
        <v>97</v>
      </c>
      <c r="N222" s="897" t="s">
        <v>98</v>
      </c>
      <c r="O222" s="897" t="s">
        <v>99</v>
      </c>
      <c r="P222" s="899"/>
    </row>
    <row r="223" spans="1:16" ht="15.75" thickBot="1">
      <c r="A223" s="896"/>
      <c r="B223" s="898"/>
      <c r="C223" s="898"/>
      <c r="D223" s="898"/>
      <c r="E223" s="898"/>
      <c r="F223" s="898"/>
      <c r="G223" s="240" t="s">
        <v>100</v>
      </c>
      <c r="H223" s="182" t="s">
        <v>101</v>
      </c>
      <c r="I223" s="896"/>
      <c r="J223" s="898"/>
      <c r="K223" s="898"/>
      <c r="L223" s="898"/>
      <c r="M223" s="898"/>
      <c r="N223" s="898"/>
      <c r="O223" s="240" t="s">
        <v>100</v>
      </c>
      <c r="P223" s="182" t="s">
        <v>101</v>
      </c>
    </row>
    <row r="224" spans="1:16" ht="13.5" customHeight="1">
      <c r="A224" s="881" t="e">
        <f>+A193+1</f>
        <v>#REF!</v>
      </c>
      <c r="B224" s="875">
        <v>42252</v>
      </c>
      <c r="C224" s="942" t="s">
        <v>31</v>
      </c>
      <c r="D224" s="881" t="s">
        <v>257</v>
      </c>
      <c r="E224" s="881" t="s">
        <v>115</v>
      </c>
      <c r="F224" s="883">
        <v>90000</v>
      </c>
      <c r="G224" s="55">
        <v>719</v>
      </c>
      <c r="H224" s="78">
        <v>90000</v>
      </c>
      <c r="I224" s="873" t="s">
        <v>1362</v>
      </c>
      <c r="J224" s="875">
        <v>43140</v>
      </c>
      <c r="K224" s="877" t="s">
        <v>679</v>
      </c>
      <c r="L224" s="881" t="s">
        <v>1622</v>
      </c>
      <c r="M224" s="881" t="s">
        <v>148</v>
      </c>
      <c r="N224" s="883">
        <v>945000</v>
      </c>
      <c r="O224" s="55">
        <v>719</v>
      </c>
      <c r="P224" s="78"/>
    </row>
    <row r="225" spans="1:16" ht="14.25" customHeight="1" thickBot="1">
      <c r="A225" s="882"/>
      <c r="B225" s="934"/>
      <c r="C225" s="943"/>
      <c r="D225" s="882"/>
      <c r="E225" s="882"/>
      <c r="F225" s="884"/>
      <c r="G225" s="56">
        <v>721</v>
      </c>
      <c r="H225" s="79">
        <f>+F224-H224</f>
        <v>0</v>
      </c>
      <c r="I225" s="882"/>
      <c r="J225" s="876"/>
      <c r="K225" s="878"/>
      <c r="L225" s="882"/>
      <c r="M225" s="882"/>
      <c r="N225" s="884"/>
      <c r="O225" s="56">
        <v>723</v>
      </c>
      <c r="P225" s="79">
        <f>+N224</f>
        <v>945000</v>
      </c>
    </row>
    <row r="226" spans="1:16" ht="12.75" customHeight="1">
      <c r="A226" s="881" t="e">
        <f>+A224+1</f>
        <v>#REF!</v>
      </c>
      <c r="B226" s="875">
        <v>42252</v>
      </c>
      <c r="C226" s="935" t="s">
        <v>28</v>
      </c>
      <c r="D226" s="881" t="s">
        <v>258</v>
      </c>
      <c r="E226" s="881" t="s">
        <v>115</v>
      </c>
      <c r="F226" s="883">
        <v>40000</v>
      </c>
      <c r="G226" s="55">
        <v>719</v>
      </c>
      <c r="H226" s="78">
        <f>+F226</f>
        <v>40000</v>
      </c>
      <c r="I226" s="873" t="s">
        <v>1363</v>
      </c>
      <c r="J226" s="875">
        <v>43140</v>
      </c>
      <c r="K226" s="877" t="s">
        <v>1642</v>
      </c>
      <c r="L226" s="881" t="s">
        <v>1622</v>
      </c>
      <c r="M226" s="881" t="s">
        <v>148</v>
      </c>
      <c r="N226" s="883">
        <v>8820000</v>
      </c>
      <c r="O226" s="55">
        <v>719</v>
      </c>
      <c r="P226" s="78"/>
    </row>
    <row r="227" spans="1:16" ht="13.5" customHeight="1" thickBot="1">
      <c r="A227" s="882"/>
      <c r="B227" s="934"/>
      <c r="C227" s="936"/>
      <c r="D227" s="882"/>
      <c r="E227" s="882"/>
      <c r="F227" s="884"/>
      <c r="G227" s="56">
        <v>721</v>
      </c>
      <c r="H227" s="79"/>
      <c r="I227" s="882"/>
      <c r="J227" s="876"/>
      <c r="K227" s="878"/>
      <c r="L227" s="882"/>
      <c r="M227" s="882"/>
      <c r="N227" s="884"/>
      <c r="O227" s="56">
        <v>723</v>
      </c>
      <c r="P227" s="79">
        <f>+N226</f>
        <v>8820000</v>
      </c>
    </row>
    <row r="228" spans="1:16" ht="12.75" customHeight="1">
      <c r="A228" s="881" t="e">
        <f>+A226+1</f>
        <v>#REF!</v>
      </c>
      <c r="B228" s="875">
        <v>42252</v>
      </c>
      <c r="C228" s="877" t="s">
        <v>32</v>
      </c>
      <c r="D228" s="881" t="s">
        <v>259</v>
      </c>
      <c r="E228" s="881" t="s">
        <v>115</v>
      </c>
      <c r="F228" s="883">
        <v>80000</v>
      </c>
      <c r="G228" s="55">
        <v>719</v>
      </c>
      <c r="H228" s="78">
        <v>80000</v>
      </c>
      <c r="I228" s="873" t="s">
        <v>1364</v>
      </c>
      <c r="J228" s="875">
        <v>43140</v>
      </c>
      <c r="K228" s="881" t="s">
        <v>682</v>
      </c>
      <c r="L228" s="881" t="s">
        <v>1622</v>
      </c>
      <c r="M228" s="881" t="s">
        <v>148</v>
      </c>
      <c r="N228" s="883">
        <v>2142000</v>
      </c>
      <c r="O228" s="55">
        <v>719</v>
      </c>
      <c r="P228" s="78"/>
    </row>
    <row r="229" spans="1:16" ht="13.5" customHeight="1" thickBot="1">
      <c r="A229" s="882"/>
      <c r="B229" s="934"/>
      <c r="C229" s="878"/>
      <c r="D229" s="882"/>
      <c r="E229" s="882"/>
      <c r="F229" s="884"/>
      <c r="G229" s="56">
        <v>721</v>
      </c>
      <c r="H229" s="79">
        <f>+F228-H228</f>
        <v>0</v>
      </c>
      <c r="I229" s="882"/>
      <c r="J229" s="876"/>
      <c r="K229" s="882"/>
      <c r="L229" s="882"/>
      <c r="M229" s="882"/>
      <c r="N229" s="884"/>
      <c r="O229" s="56">
        <v>723</v>
      </c>
      <c r="P229" s="79">
        <f>+N228-P228</f>
        <v>2142000</v>
      </c>
    </row>
    <row r="230" spans="1:16" ht="13.5" customHeight="1">
      <c r="A230" s="881"/>
      <c r="B230" s="875"/>
      <c r="C230" s="877"/>
      <c r="D230" s="877"/>
      <c r="E230" s="881"/>
      <c r="F230" s="883"/>
      <c r="G230" s="55">
        <v>719</v>
      </c>
      <c r="H230" s="78"/>
      <c r="I230" s="873" t="s">
        <v>1374</v>
      </c>
      <c r="J230" s="875">
        <v>43140</v>
      </c>
      <c r="K230" s="877" t="s">
        <v>684</v>
      </c>
      <c r="L230" s="881" t="s">
        <v>1622</v>
      </c>
      <c r="M230" s="881" t="s">
        <v>148</v>
      </c>
      <c r="N230" s="883">
        <v>4410000</v>
      </c>
      <c r="O230" s="55">
        <v>719</v>
      </c>
      <c r="P230" s="78"/>
    </row>
    <row r="231" spans="1:16" ht="12.75" customHeight="1" thickBot="1">
      <c r="A231" s="882"/>
      <c r="B231" s="934"/>
      <c r="C231" s="878"/>
      <c r="D231" s="878"/>
      <c r="E231" s="882"/>
      <c r="F231" s="884"/>
      <c r="G231" s="56">
        <v>721</v>
      </c>
      <c r="H231" s="79">
        <f>+F230-H230</f>
        <v>0</v>
      </c>
      <c r="I231" s="882"/>
      <c r="J231" s="876"/>
      <c r="K231" s="878"/>
      <c r="L231" s="882"/>
      <c r="M231" s="882"/>
      <c r="N231" s="884"/>
      <c r="O231" s="56">
        <v>723</v>
      </c>
      <c r="P231" s="79">
        <f>+N230-P230</f>
        <v>4410000</v>
      </c>
    </row>
    <row r="232" spans="1:16" ht="12.75" customHeight="1">
      <c r="A232" s="881"/>
      <c r="B232" s="875"/>
      <c r="C232" s="935"/>
      <c r="D232" s="877"/>
      <c r="E232" s="881"/>
      <c r="F232" s="883"/>
      <c r="G232" s="55">
        <v>719</v>
      </c>
      <c r="H232" s="78"/>
      <c r="I232" s="873" t="s">
        <v>1375</v>
      </c>
      <c r="J232" s="875">
        <v>43140</v>
      </c>
      <c r="K232" s="877" t="s">
        <v>685</v>
      </c>
      <c r="L232" s="881" t="s">
        <v>1622</v>
      </c>
      <c r="M232" s="881" t="s">
        <v>148</v>
      </c>
      <c r="N232" s="883">
        <v>3150000</v>
      </c>
      <c r="O232" s="55">
        <v>719</v>
      </c>
      <c r="P232" s="78"/>
    </row>
    <row r="233" spans="1:16" ht="13.5" customHeight="1" thickBot="1">
      <c r="A233" s="882"/>
      <c r="B233" s="934"/>
      <c r="C233" s="936"/>
      <c r="D233" s="878"/>
      <c r="E233" s="882"/>
      <c r="F233" s="884"/>
      <c r="G233" s="56">
        <v>721</v>
      </c>
      <c r="H233" s="79">
        <f>+F232-H232</f>
        <v>0</v>
      </c>
      <c r="I233" s="882"/>
      <c r="J233" s="876"/>
      <c r="K233" s="878"/>
      <c r="L233" s="882"/>
      <c r="M233" s="882"/>
      <c r="N233" s="884"/>
      <c r="O233" s="56">
        <v>723</v>
      </c>
      <c r="P233" s="79">
        <f>+N232-P232</f>
        <v>3150000</v>
      </c>
    </row>
    <row r="234" spans="1:16" ht="16.5" thickBot="1">
      <c r="A234" s="901" t="s">
        <v>102</v>
      </c>
      <c r="B234" s="902"/>
      <c r="C234" s="902"/>
      <c r="D234" s="902"/>
      <c r="E234" s="903"/>
      <c r="F234" s="81">
        <f>SUM(F224:F233)</f>
        <v>210000</v>
      </c>
      <c r="I234" s="901" t="s">
        <v>102</v>
      </c>
      <c r="J234" s="902"/>
      <c r="K234" s="902"/>
      <c r="L234" s="902"/>
      <c r="M234" s="903"/>
      <c r="N234" s="81">
        <f>SUM(N224:N233)</f>
        <v>19467000</v>
      </c>
    </row>
    <row r="235" spans="1:16" ht="14.25" customHeight="1" thickBot="1">
      <c r="A235" s="885" t="s">
        <v>103</v>
      </c>
      <c r="B235" s="886"/>
      <c r="C235" s="886"/>
      <c r="D235" s="886"/>
      <c r="E235" s="887"/>
      <c r="F235" s="69">
        <f>+F199</f>
        <v>620386225</v>
      </c>
      <c r="I235" s="885" t="s">
        <v>103</v>
      </c>
      <c r="J235" s="886"/>
      <c r="K235" s="886"/>
      <c r="L235" s="886"/>
      <c r="M235" s="887"/>
      <c r="N235" s="239">
        <f>+N199</f>
        <v>91241122</v>
      </c>
      <c r="O235" s="241" t="s">
        <v>561</v>
      </c>
      <c r="P235" s="242"/>
    </row>
    <row r="236" spans="1:16" ht="15" customHeight="1" thickBot="1">
      <c r="A236" s="888" t="s">
        <v>104</v>
      </c>
      <c r="B236" s="889"/>
      <c r="C236" s="889"/>
      <c r="D236" s="889"/>
      <c r="E236" s="890"/>
      <c r="F236" s="183">
        <f>SUM(F234:F235)</f>
        <v>620596225</v>
      </c>
      <c r="I236" s="888" t="s">
        <v>104</v>
      </c>
      <c r="J236" s="889"/>
      <c r="K236" s="889"/>
      <c r="L236" s="889"/>
      <c r="M236" s="890"/>
      <c r="N236" s="183">
        <f>SUM(N234:N235)</f>
        <v>110708122</v>
      </c>
    </row>
    <row r="237" spans="1:16" ht="7.5" customHeight="1">
      <c r="A237" s="61"/>
      <c r="B237" s="61"/>
      <c r="C237" s="61"/>
      <c r="D237" s="61"/>
      <c r="E237" s="61"/>
      <c r="I237" s="61"/>
      <c r="J237" s="61"/>
      <c r="K237" s="61"/>
      <c r="L237" s="61"/>
      <c r="M237" s="61"/>
    </row>
    <row r="238" spans="1:16">
      <c r="A238" s="51" t="s">
        <v>260</v>
      </c>
      <c r="I238" s="51" t="s">
        <v>1643</v>
      </c>
    </row>
    <row r="239" spans="1:16" ht="3.75" customHeight="1">
      <c r="F239" s="139"/>
      <c r="N239" s="139"/>
    </row>
    <row r="240" spans="1:16" ht="13.5" customHeight="1">
      <c r="A240" s="50" t="s">
        <v>105</v>
      </c>
      <c r="D240" s="146"/>
      <c r="F240" s="139"/>
      <c r="I240" s="50" t="s">
        <v>105</v>
      </c>
      <c r="L240" s="146"/>
      <c r="N240" s="139"/>
    </row>
    <row r="241" spans="1:16" ht="12" customHeight="1" thickBot="1"/>
    <row r="242" spans="1:16" ht="17.25" thickBot="1">
      <c r="A242" s="891" t="s">
        <v>106</v>
      </c>
      <c r="B242" s="892"/>
      <c r="C242" s="892"/>
      <c r="D242" s="893"/>
      <c r="F242" s="50" t="s">
        <v>263</v>
      </c>
      <c r="I242" s="891" t="s">
        <v>106</v>
      </c>
      <c r="J242" s="892"/>
      <c r="K242" s="892"/>
      <c r="L242" s="893"/>
      <c r="N242" s="30" t="s">
        <v>288</v>
      </c>
      <c r="O242" s="12"/>
      <c r="P242" s="12"/>
    </row>
    <row r="243" spans="1:16" ht="31.5" thickBot="1">
      <c r="A243" s="57" t="s">
        <v>100</v>
      </c>
      <c r="B243" s="58" t="s">
        <v>108</v>
      </c>
      <c r="C243" s="59" t="s">
        <v>109</v>
      </c>
      <c r="D243" s="60" t="s">
        <v>110</v>
      </c>
      <c r="I243" s="57" t="s">
        <v>100</v>
      </c>
      <c r="J243" s="58" t="s">
        <v>108</v>
      </c>
      <c r="K243" s="59" t="s">
        <v>109</v>
      </c>
      <c r="L243" s="60" t="s">
        <v>110</v>
      </c>
      <c r="N243" s="12"/>
      <c r="O243" s="12"/>
      <c r="P243" s="12"/>
    </row>
    <row r="244" spans="1:16" ht="13.5" customHeight="1">
      <c r="A244" s="71">
        <v>719</v>
      </c>
      <c r="B244" s="73">
        <f>+H224+H226+H228</f>
        <v>210000</v>
      </c>
      <c r="C244" s="74" t="e">
        <f>+D207</f>
        <v>#REF!</v>
      </c>
      <c r="D244" s="76" t="e">
        <f>+B244+C244</f>
        <v>#REF!</v>
      </c>
      <c r="I244" s="71">
        <v>719</v>
      </c>
      <c r="J244" s="73">
        <f>+P224+P226+P228+P230+P232</f>
        <v>0</v>
      </c>
      <c r="K244" s="74">
        <f>+L207</f>
        <v>0</v>
      </c>
      <c r="L244" s="195">
        <f>+J244+K244</f>
        <v>0</v>
      </c>
      <c r="N244" s="12"/>
      <c r="O244" s="12"/>
      <c r="P244" s="12"/>
    </row>
    <row r="245" spans="1:16" ht="14.25" customHeight="1">
      <c r="A245" s="72">
        <v>721</v>
      </c>
      <c r="B245" s="80"/>
      <c r="C245" s="74" t="e">
        <f>+D208</f>
        <v>#REF!</v>
      </c>
      <c r="D245" s="76" t="e">
        <f>+B245+C245</f>
        <v>#REF!</v>
      </c>
      <c r="I245" s="72">
        <v>721</v>
      </c>
      <c r="J245" s="80">
        <v>0</v>
      </c>
      <c r="K245" s="74">
        <f>+L208</f>
        <v>0</v>
      </c>
      <c r="L245" s="195">
        <f>+J245+K245</f>
        <v>0</v>
      </c>
      <c r="N245" s="12"/>
      <c r="O245" s="12"/>
      <c r="P245" s="12"/>
    </row>
    <row r="246" spans="1:16" ht="12.75" customHeight="1">
      <c r="A246" s="72">
        <v>722</v>
      </c>
      <c r="B246" s="80"/>
      <c r="C246" s="74">
        <f>+D209</f>
        <v>231207671</v>
      </c>
      <c r="D246" s="76">
        <f>+B246+C246</f>
        <v>231207671</v>
      </c>
      <c r="I246" s="72">
        <v>722</v>
      </c>
      <c r="J246" s="80"/>
      <c r="K246" s="74">
        <f>+L209</f>
        <v>0</v>
      </c>
      <c r="L246" s="195">
        <f>+J246+K246</f>
        <v>0</v>
      </c>
      <c r="N246" s="12"/>
      <c r="O246" s="12"/>
      <c r="P246" s="12"/>
    </row>
    <row r="247" spans="1:16" ht="12.75" customHeight="1">
      <c r="A247" s="72">
        <v>723</v>
      </c>
      <c r="B247" s="80"/>
      <c r="C247" s="74">
        <f>+D210</f>
        <v>319828837</v>
      </c>
      <c r="D247" s="76">
        <f>+B247+C247</f>
        <v>319828837</v>
      </c>
      <c r="F247" s="174" t="s">
        <v>262</v>
      </c>
      <c r="G247" s="175"/>
      <c r="I247" s="72">
        <v>723</v>
      </c>
      <c r="J247" s="80">
        <f>+P225+P227+P229+P231+P233</f>
        <v>19467000</v>
      </c>
      <c r="K247" s="74">
        <f>+L210</f>
        <v>91241122</v>
      </c>
      <c r="L247" s="195">
        <f>+J247+K247</f>
        <v>110708122</v>
      </c>
      <c r="N247" s="411" t="s">
        <v>1436</v>
      </c>
      <c r="O247" s="456"/>
      <c r="P247" s="12"/>
    </row>
    <row r="248" spans="1:16" ht="13.5" customHeight="1" thickBot="1">
      <c r="A248" s="164" t="s">
        <v>181</v>
      </c>
      <c r="B248" s="165"/>
      <c r="C248" s="74">
        <f>+D211</f>
        <v>1965625</v>
      </c>
      <c r="D248" s="168">
        <f>+B248+C248</f>
        <v>1965625</v>
      </c>
      <c r="F248" s="52"/>
      <c r="I248" s="164" t="s">
        <v>181</v>
      </c>
      <c r="J248" s="165"/>
      <c r="K248" s="74">
        <f>+L211</f>
        <v>0</v>
      </c>
      <c r="L248" s="196">
        <f>+J248+K248</f>
        <v>0</v>
      </c>
      <c r="N248" s="52"/>
    </row>
    <row r="249" spans="1:16" ht="15" customHeight="1" thickBot="1">
      <c r="A249" s="169"/>
      <c r="B249" s="170">
        <f>SUM(B244:B248)</f>
        <v>210000</v>
      </c>
      <c r="C249" s="171" t="e">
        <f>SUM(C244:C248)</f>
        <v>#REF!</v>
      </c>
      <c r="D249" s="172" t="e">
        <f>SUM(D244:D248)</f>
        <v>#REF!</v>
      </c>
      <c r="I249" s="169"/>
      <c r="J249" s="197">
        <f>SUM(J244:J248)</f>
        <v>19467000</v>
      </c>
      <c r="K249" s="197">
        <f>SUM(K244:K248)</f>
        <v>91241122</v>
      </c>
      <c r="L249" s="198">
        <f>SUM(L244:L248)</f>
        <v>110708122</v>
      </c>
    </row>
    <row r="250" spans="1:16" ht="15" customHeight="1">
      <c r="A250" s="49" t="s">
        <v>88</v>
      </c>
      <c r="B250" s="50"/>
      <c r="I250" s="49" t="s">
        <v>88</v>
      </c>
      <c r="J250" s="50"/>
    </row>
    <row r="251" spans="1:16" ht="12.75" customHeight="1">
      <c r="A251" s="51" t="s">
        <v>89</v>
      </c>
      <c r="I251" s="51" t="s">
        <v>89</v>
      </c>
    </row>
    <row r="252" spans="1:16" ht="13.5" customHeight="1">
      <c r="A252" s="51" t="s">
        <v>90</v>
      </c>
      <c r="I252" s="51" t="s">
        <v>90</v>
      </c>
    </row>
    <row r="253" spans="1:16" ht="13.5" customHeight="1">
      <c r="A253" s="51" t="s">
        <v>91</v>
      </c>
      <c r="I253" s="51" t="s">
        <v>91</v>
      </c>
    </row>
    <row r="254" spans="1:16" ht="4.5" customHeight="1">
      <c r="A254" s="50"/>
      <c r="B254" s="50"/>
      <c r="I254" s="50"/>
      <c r="J254" s="50"/>
    </row>
    <row r="255" spans="1:16" ht="14.25" customHeight="1">
      <c r="A255" s="52" t="s">
        <v>264</v>
      </c>
      <c r="G255" s="52"/>
      <c r="I255" s="52" t="s">
        <v>564</v>
      </c>
      <c r="J255" s="244" t="s">
        <v>553</v>
      </c>
      <c r="O255" s="52"/>
    </row>
    <row r="256" spans="1:16" ht="15.75">
      <c r="A256" s="53" t="s">
        <v>92</v>
      </c>
      <c r="G256" s="53"/>
      <c r="I256" s="53" t="s">
        <v>1623</v>
      </c>
      <c r="O256" s="53"/>
    </row>
    <row r="257" spans="1:16" ht="14.25" customHeight="1">
      <c r="A257" s="894" t="s">
        <v>261</v>
      </c>
      <c r="B257" s="894"/>
      <c r="C257" s="894"/>
      <c r="D257" s="894"/>
      <c r="E257" s="894"/>
      <c r="F257" s="894"/>
      <c r="G257" s="894"/>
      <c r="H257" s="894"/>
      <c r="I257" s="894" t="s">
        <v>212</v>
      </c>
      <c r="J257" s="894"/>
      <c r="K257" s="894"/>
      <c r="L257" s="894"/>
      <c r="M257" s="894"/>
      <c r="N257" s="894"/>
      <c r="O257" s="894"/>
      <c r="P257" s="894"/>
    </row>
    <row r="258" spans="1:16" ht="11.25" customHeight="1" thickBot="1"/>
    <row r="259" spans="1:16">
      <c r="A259" s="895" t="s">
        <v>94</v>
      </c>
      <c r="B259" s="897" t="s">
        <v>95</v>
      </c>
      <c r="C259" s="897" t="s">
        <v>96</v>
      </c>
      <c r="D259" s="897" t="s">
        <v>3</v>
      </c>
      <c r="E259" s="897" t="s">
        <v>97</v>
      </c>
      <c r="F259" s="897" t="s">
        <v>98</v>
      </c>
      <c r="G259" s="897" t="s">
        <v>99</v>
      </c>
      <c r="H259" s="899"/>
      <c r="I259" s="895" t="s">
        <v>94</v>
      </c>
      <c r="J259" s="897" t="s">
        <v>95</v>
      </c>
      <c r="K259" s="897" t="s">
        <v>96</v>
      </c>
      <c r="L259" s="897" t="s">
        <v>3</v>
      </c>
      <c r="M259" s="897" t="s">
        <v>97</v>
      </c>
      <c r="N259" s="897" t="s">
        <v>98</v>
      </c>
      <c r="O259" s="897" t="s">
        <v>99</v>
      </c>
      <c r="P259" s="899"/>
    </row>
    <row r="260" spans="1:16" ht="15.75" thickBot="1">
      <c r="A260" s="896"/>
      <c r="B260" s="898"/>
      <c r="C260" s="898"/>
      <c r="D260" s="898"/>
      <c r="E260" s="898"/>
      <c r="F260" s="898"/>
      <c r="G260" s="240" t="s">
        <v>100</v>
      </c>
      <c r="H260" s="182" t="s">
        <v>101</v>
      </c>
      <c r="I260" s="896"/>
      <c r="J260" s="898"/>
      <c r="K260" s="898"/>
      <c r="L260" s="898"/>
      <c r="M260" s="898"/>
      <c r="N260" s="898"/>
      <c r="O260" s="240" t="s">
        <v>100</v>
      </c>
      <c r="P260" s="182" t="s">
        <v>101</v>
      </c>
    </row>
    <row r="261" spans="1:16" ht="13.5" customHeight="1">
      <c r="A261" s="881" t="e">
        <f>+A228+1</f>
        <v>#REF!</v>
      </c>
      <c r="B261" s="875">
        <v>42254</v>
      </c>
      <c r="C261" s="877" t="s">
        <v>267</v>
      </c>
      <c r="D261" s="881" t="s">
        <v>266</v>
      </c>
      <c r="E261" s="881" t="s">
        <v>148</v>
      </c>
      <c r="F261" s="883">
        <v>252000</v>
      </c>
      <c r="G261" s="55">
        <v>719</v>
      </c>
      <c r="H261" s="78">
        <v>180000</v>
      </c>
      <c r="I261" s="873" t="s">
        <v>1376</v>
      </c>
      <c r="J261" s="875">
        <v>43140</v>
      </c>
      <c r="K261" s="877" t="s">
        <v>686</v>
      </c>
      <c r="L261" s="881" t="s">
        <v>1622</v>
      </c>
      <c r="M261" s="881" t="s">
        <v>148</v>
      </c>
      <c r="N261" s="883">
        <v>46252500</v>
      </c>
      <c r="O261" s="55">
        <v>719</v>
      </c>
      <c r="P261" s="78"/>
    </row>
    <row r="262" spans="1:16" ht="14.25" customHeight="1" thickBot="1">
      <c r="A262" s="882"/>
      <c r="B262" s="934"/>
      <c r="C262" s="878"/>
      <c r="D262" s="882"/>
      <c r="E262" s="882"/>
      <c r="F262" s="884"/>
      <c r="G262" s="56">
        <v>721</v>
      </c>
      <c r="H262" s="79">
        <f>+F261-H261</f>
        <v>72000</v>
      </c>
      <c r="I262" s="882"/>
      <c r="J262" s="876"/>
      <c r="K262" s="878"/>
      <c r="L262" s="882"/>
      <c r="M262" s="882"/>
      <c r="N262" s="884"/>
      <c r="O262" s="56">
        <v>723</v>
      </c>
      <c r="P262" s="79">
        <f>+N261</f>
        <v>46252500</v>
      </c>
    </row>
    <row r="263" spans="1:16" ht="12" customHeight="1">
      <c r="A263" s="881" t="e">
        <f>+A261+1</f>
        <v>#REF!</v>
      </c>
      <c r="B263" s="875">
        <v>42254</v>
      </c>
      <c r="C263" s="881" t="s">
        <v>28</v>
      </c>
      <c r="D263" s="881" t="s">
        <v>258</v>
      </c>
      <c r="E263" s="881" t="s">
        <v>148</v>
      </c>
      <c r="F263" s="883">
        <v>560000</v>
      </c>
      <c r="G263" s="55">
        <v>719</v>
      </c>
      <c r="H263" s="78">
        <v>400000</v>
      </c>
      <c r="I263" s="873" t="s">
        <v>1377</v>
      </c>
      <c r="J263" s="875">
        <v>43140</v>
      </c>
      <c r="K263" s="881" t="s">
        <v>688</v>
      </c>
      <c r="L263" s="881" t="s">
        <v>1622</v>
      </c>
      <c r="M263" s="881" t="s">
        <v>148</v>
      </c>
      <c r="N263" s="883">
        <v>630000</v>
      </c>
      <c r="O263" s="55">
        <v>719</v>
      </c>
      <c r="P263" s="78"/>
    </row>
    <row r="264" spans="1:16" ht="13.5" customHeight="1" thickBot="1">
      <c r="A264" s="882"/>
      <c r="B264" s="934"/>
      <c r="C264" s="882"/>
      <c r="D264" s="882"/>
      <c r="E264" s="882"/>
      <c r="F264" s="884"/>
      <c r="G264" s="56">
        <v>721</v>
      </c>
      <c r="H264" s="79">
        <f>+F263-H263</f>
        <v>160000</v>
      </c>
      <c r="I264" s="882"/>
      <c r="J264" s="876"/>
      <c r="K264" s="882"/>
      <c r="L264" s="882"/>
      <c r="M264" s="882"/>
      <c r="N264" s="884"/>
      <c r="O264" s="56">
        <v>723</v>
      </c>
      <c r="P264" s="79">
        <f>+N263</f>
        <v>630000</v>
      </c>
    </row>
    <row r="265" spans="1:16" ht="13.5" customHeight="1">
      <c r="A265" s="881" t="e">
        <f>+A263+1</f>
        <v>#REF!</v>
      </c>
      <c r="B265" s="875">
        <v>42254</v>
      </c>
      <c r="C265" s="877" t="s">
        <v>32</v>
      </c>
      <c r="D265" s="881" t="s">
        <v>265</v>
      </c>
      <c r="E265" s="881" t="s">
        <v>148</v>
      </c>
      <c r="F265" s="883">
        <v>154000</v>
      </c>
      <c r="G265" s="55">
        <v>719</v>
      </c>
      <c r="H265" s="78">
        <v>110000</v>
      </c>
      <c r="I265" s="873" t="s">
        <v>1378</v>
      </c>
      <c r="J265" s="875">
        <v>43140</v>
      </c>
      <c r="K265" s="910" t="s">
        <v>28</v>
      </c>
      <c r="L265" s="881" t="s">
        <v>1622</v>
      </c>
      <c r="M265" s="881" t="s">
        <v>148</v>
      </c>
      <c r="N265" s="883">
        <v>1444000</v>
      </c>
      <c r="O265" s="55">
        <v>719</v>
      </c>
      <c r="P265" s="78"/>
    </row>
    <row r="266" spans="1:16" ht="15.75" customHeight="1" thickBot="1">
      <c r="A266" s="882"/>
      <c r="B266" s="934"/>
      <c r="C266" s="878"/>
      <c r="D266" s="882"/>
      <c r="E266" s="882"/>
      <c r="F266" s="884"/>
      <c r="G266" s="56">
        <v>721</v>
      </c>
      <c r="H266" s="79">
        <f>+F265-H265</f>
        <v>44000</v>
      </c>
      <c r="I266" s="882"/>
      <c r="J266" s="876"/>
      <c r="K266" s="911"/>
      <c r="L266" s="882"/>
      <c r="M266" s="882"/>
      <c r="N266" s="884"/>
      <c r="O266" s="56">
        <v>723</v>
      </c>
      <c r="P266" s="79">
        <f>+N265</f>
        <v>1444000</v>
      </c>
    </row>
    <row r="267" spans="1:16" ht="12" customHeight="1">
      <c r="A267" s="881" t="e">
        <f>+A265+1</f>
        <v>#REF!</v>
      </c>
      <c r="B267" s="875">
        <v>42254</v>
      </c>
      <c r="C267" s="877" t="s">
        <v>31</v>
      </c>
      <c r="D267" s="881" t="s">
        <v>265</v>
      </c>
      <c r="E267" s="881" t="s">
        <v>148</v>
      </c>
      <c r="F267" s="883">
        <v>1078000</v>
      </c>
      <c r="G267" s="55">
        <v>719</v>
      </c>
      <c r="H267" s="78">
        <v>770000</v>
      </c>
      <c r="I267" s="873" t="s">
        <v>1387</v>
      </c>
      <c r="J267" s="875">
        <v>43140</v>
      </c>
      <c r="K267" s="910" t="s">
        <v>691</v>
      </c>
      <c r="L267" s="881" t="s">
        <v>1622</v>
      </c>
      <c r="M267" s="881" t="s">
        <v>148</v>
      </c>
      <c r="N267" s="883">
        <v>1260000</v>
      </c>
      <c r="O267" s="55">
        <v>719</v>
      </c>
      <c r="P267" s="78"/>
    </row>
    <row r="268" spans="1:16" ht="14.25" customHeight="1" thickBot="1">
      <c r="A268" s="882"/>
      <c r="B268" s="934"/>
      <c r="C268" s="878"/>
      <c r="D268" s="882"/>
      <c r="E268" s="882"/>
      <c r="F268" s="884"/>
      <c r="G268" s="56">
        <v>721</v>
      </c>
      <c r="H268" s="79">
        <f>+F267-H267</f>
        <v>308000</v>
      </c>
      <c r="I268" s="882"/>
      <c r="J268" s="876"/>
      <c r="K268" s="911"/>
      <c r="L268" s="882"/>
      <c r="M268" s="882"/>
      <c r="N268" s="884"/>
      <c r="O268" s="56">
        <v>723</v>
      </c>
      <c r="P268" s="79">
        <f>+N267</f>
        <v>1260000</v>
      </c>
    </row>
    <row r="269" spans="1:16" ht="11.25" customHeight="1">
      <c r="A269" s="881" t="e">
        <f>+A267+1</f>
        <v>#REF!</v>
      </c>
      <c r="B269" s="875">
        <v>42254</v>
      </c>
      <c r="C269" s="877" t="s">
        <v>111</v>
      </c>
      <c r="D269" s="881" t="s">
        <v>268</v>
      </c>
      <c r="E269" s="881" t="s">
        <v>148</v>
      </c>
      <c r="F269" s="883">
        <v>112000</v>
      </c>
      <c r="G269" s="55">
        <v>719</v>
      </c>
      <c r="H269" s="78">
        <v>80000</v>
      </c>
      <c r="I269" s="873" t="s">
        <v>1388</v>
      </c>
      <c r="J269" s="875">
        <v>43140</v>
      </c>
      <c r="K269" s="877" t="s">
        <v>693</v>
      </c>
      <c r="L269" s="881" t="s">
        <v>1622</v>
      </c>
      <c r="M269" s="881" t="s">
        <v>148</v>
      </c>
      <c r="N269" s="883">
        <v>5250000</v>
      </c>
      <c r="O269" s="55">
        <v>719</v>
      </c>
      <c r="P269" s="78"/>
    </row>
    <row r="270" spans="1:16" ht="14.25" customHeight="1" thickBot="1">
      <c r="A270" s="882"/>
      <c r="B270" s="934"/>
      <c r="C270" s="878"/>
      <c r="D270" s="882"/>
      <c r="E270" s="882"/>
      <c r="F270" s="884"/>
      <c r="G270" s="56">
        <v>721</v>
      </c>
      <c r="H270" s="79">
        <f>+F269-H269</f>
        <v>32000</v>
      </c>
      <c r="I270" s="882"/>
      <c r="J270" s="876"/>
      <c r="K270" s="878"/>
      <c r="L270" s="882"/>
      <c r="M270" s="882"/>
      <c r="N270" s="884"/>
      <c r="O270" s="56">
        <v>723</v>
      </c>
      <c r="P270" s="79">
        <f>+N269-P269</f>
        <v>5250000</v>
      </c>
    </row>
    <row r="271" spans="1:16" ht="13.5" customHeight="1" thickBot="1">
      <c r="A271" s="901" t="s">
        <v>102</v>
      </c>
      <c r="B271" s="902"/>
      <c r="C271" s="902"/>
      <c r="D271" s="902"/>
      <c r="E271" s="903"/>
      <c r="F271" s="81">
        <f>SUM(F261:F270)</f>
        <v>2156000</v>
      </c>
      <c r="I271" s="901" t="s">
        <v>102</v>
      </c>
      <c r="J271" s="902"/>
      <c r="K271" s="902"/>
      <c r="L271" s="902"/>
      <c r="M271" s="903"/>
      <c r="N271" s="81">
        <f>SUM(N261:N270)</f>
        <v>54836500</v>
      </c>
    </row>
    <row r="272" spans="1:16" ht="14.25" customHeight="1" thickBot="1">
      <c r="A272" s="885" t="s">
        <v>103</v>
      </c>
      <c r="B272" s="886"/>
      <c r="C272" s="886"/>
      <c r="D272" s="886"/>
      <c r="E272" s="887"/>
      <c r="F272" s="69">
        <f>+F236</f>
        <v>620596225</v>
      </c>
      <c r="I272" s="885" t="s">
        <v>103</v>
      </c>
      <c r="J272" s="886"/>
      <c r="K272" s="886"/>
      <c r="L272" s="886"/>
      <c r="M272" s="887"/>
      <c r="N272" s="239">
        <f>+N236</f>
        <v>110708122</v>
      </c>
      <c r="O272" s="241" t="s">
        <v>561</v>
      </c>
      <c r="P272" s="242"/>
    </row>
    <row r="273" spans="1:15" ht="15.75" customHeight="1" thickBot="1">
      <c r="A273" s="888" t="s">
        <v>104</v>
      </c>
      <c r="B273" s="889"/>
      <c r="C273" s="889"/>
      <c r="D273" s="889"/>
      <c r="E273" s="890"/>
      <c r="F273" s="183">
        <f>SUM(F271:F272)</f>
        <v>622752225</v>
      </c>
      <c r="I273" s="888" t="s">
        <v>104</v>
      </c>
      <c r="J273" s="889"/>
      <c r="K273" s="889"/>
      <c r="L273" s="889"/>
      <c r="M273" s="890"/>
      <c r="N273" s="183">
        <f>SUM(N271:N272)</f>
        <v>165544622</v>
      </c>
    </row>
    <row r="274" spans="1:15" ht="9" customHeight="1">
      <c r="A274" s="61"/>
      <c r="B274" s="61"/>
      <c r="C274" s="61"/>
      <c r="D274" s="61"/>
      <c r="E274" s="61"/>
      <c r="I274" s="61"/>
      <c r="J274" s="61"/>
      <c r="K274" s="61"/>
      <c r="L274" s="61"/>
      <c r="M274" s="61"/>
    </row>
    <row r="275" spans="1:15">
      <c r="A275" s="51" t="s">
        <v>269</v>
      </c>
      <c r="I275" s="51" t="s">
        <v>1644</v>
      </c>
    </row>
    <row r="276" spans="1:15" ht="4.5" customHeight="1">
      <c r="F276" s="139"/>
      <c r="N276" s="139"/>
    </row>
    <row r="277" spans="1:15" ht="12.75" customHeight="1">
      <c r="A277" s="50" t="s">
        <v>105</v>
      </c>
      <c r="D277" s="146"/>
      <c r="F277" s="139"/>
      <c r="I277" s="50" t="s">
        <v>105</v>
      </c>
      <c r="L277" s="146"/>
      <c r="N277" s="139"/>
    </row>
    <row r="278" spans="1:15" ht="6" customHeight="1" thickBot="1"/>
    <row r="279" spans="1:15" ht="17.25" thickBot="1">
      <c r="A279" s="891" t="s">
        <v>106</v>
      </c>
      <c r="B279" s="892"/>
      <c r="C279" s="892"/>
      <c r="D279" s="893"/>
      <c r="F279" s="50" t="s">
        <v>270</v>
      </c>
      <c r="I279" s="891" t="s">
        <v>106</v>
      </c>
      <c r="J279" s="892"/>
      <c r="K279" s="892"/>
      <c r="L279" s="893"/>
      <c r="N279" s="604" t="s">
        <v>288</v>
      </c>
      <c r="O279" s="604"/>
    </row>
    <row r="280" spans="1:15" ht="31.5" thickBot="1">
      <c r="A280" s="57" t="s">
        <v>100</v>
      </c>
      <c r="B280" s="58" t="s">
        <v>108</v>
      </c>
      <c r="C280" s="59" t="s">
        <v>109</v>
      </c>
      <c r="D280" s="60" t="s">
        <v>110</v>
      </c>
      <c r="I280" s="57" t="s">
        <v>100</v>
      </c>
      <c r="J280" s="58" t="s">
        <v>108</v>
      </c>
      <c r="K280" s="59" t="s">
        <v>109</v>
      </c>
      <c r="L280" s="60" t="s">
        <v>110</v>
      </c>
      <c r="N280" s="12"/>
    </row>
    <row r="281" spans="1:15" ht="12.75" customHeight="1">
      <c r="A281" s="71">
        <v>719</v>
      </c>
      <c r="B281" s="73">
        <f>+H261+H263+H265+H267+H269</f>
        <v>1540000</v>
      </c>
      <c r="C281" s="74" t="e">
        <f>+D244</f>
        <v>#REF!</v>
      </c>
      <c r="D281" s="76" t="e">
        <f>+B281+C281</f>
        <v>#REF!</v>
      </c>
      <c r="I281" s="71">
        <v>719</v>
      </c>
      <c r="J281" s="73">
        <f>+P261+P263+P265+P267+P269</f>
        <v>0</v>
      </c>
      <c r="K281" s="74">
        <f>+L244</f>
        <v>0</v>
      </c>
      <c r="L281" s="195">
        <f>+J281+K281</f>
        <v>0</v>
      </c>
      <c r="N281" s="12"/>
    </row>
    <row r="282" spans="1:15" ht="13.5" customHeight="1">
      <c r="A282" s="72">
        <v>721</v>
      </c>
      <c r="B282" s="80">
        <f>+H268+H266+H264+H262+H270</f>
        <v>616000</v>
      </c>
      <c r="C282" s="74" t="e">
        <f>+D245</f>
        <v>#REF!</v>
      </c>
      <c r="D282" s="76" t="e">
        <f>+B282+C282</f>
        <v>#REF!</v>
      </c>
      <c r="I282" s="72">
        <v>721</v>
      </c>
      <c r="J282" s="80"/>
      <c r="K282" s="74">
        <f>+L245</f>
        <v>0</v>
      </c>
      <c r="L282" s="195">
        <f>+J282+K282</f>
        <v>0</v>
      </c>
      <c r="N282" s="12"/>
    </row>
    <row r="283" spans="1:15" ht="14.25" customHeight="1">
      <c r="A283" s="72">
        <v>722</v>
      </c>
      <c r="B283" s="80"/>
      <c r="C283" s="74">
        <f>+D246</f>
        <v>231207671</v>
      </c>
      <c r="D283" s="76">
        <f>+B283+C283</f>
        <v>231207671</v>
      </c>
      <c r="I283" s="72">
        <v>722</v>
      </c>
      <c r="J283" s="80"/>
      <c r="K283" s="74">
        <f>+L246</f>
        <v>0</v>
      </c>
      <c r="L283" s="195">
        <f>+J283+K283</f>
        <v>0</v>
      </c>
      <c r="N283" s="12"/>
    </row>
    <row r="284" spans="1:15" ht="12" customHeight="1">
      <c r="A284" s="72">
        <v>723</v>
      </c>
      <c r="B284" s="80"/>
      <c r="C284" s="74">
        <f>+D247</f>
        <v>319828837</v>
      </c>
      <c r="D284" s="76">
        <f>+B284+C284</f>
        <v>319828837</v>
      </c>
      <c r="F284" s="174" t="s">
        <v>262</v>
      </c>
      <c r="G284" s="175"/>
      <c r="I284" s="72">
        <v>723</v>
      </c>
      <c r="J284" s="80">
        <f>+P270+P268+P266+P264+P262</f>
        <v>54836500</v>
      </c>
      <c r="K284" s="74">
        <f>+L247</f>
        <v>110708122</v>
      </c>
      <c r="L284" s="195">
        <f>+J284+K284</f>
        <v>165544622</v>
      </c>
      <c r="N284" s="411" t="s">
        <v>1436</v>
      </c>
      <c r="O284" s="175"/>
    </row>
    <row r="285" spans="1:15" ht="14.25" customHeight="1" thickBot="1">
      <c r="A285" s="164" t="s">
        <v>181</v>
      </c>
      <c r="B285" s="165"/>
      <c r="C285" s="74">
        <f>+D248</f>
        <v>1965625</v>
      </c>
      <c r="D285" s="168">
        <f>+B285+C285</f>
        <v>1965625</v>
      </c>
      <c r="F285" s="52"/>
      <c r="I285" s="164" t="s">
        <v>181</v>
      </c>
      <c r="J285" s="165"/>
      <c r="K285" s="74">
        <f>+L248</f>
        <v>0</v>
      </c>
      <c r="L285" s="196">
        <f>+J285+K285</f>
        <v>0</v>
      </c>
      <c r="N285" s="52"/>
    </row>
    <row r="286" spans="1:15" ht="16.5" thickBot="1">
      <c r="A286" s="169"/>
      <c r="B286" s="170">
        <f>SUM(B281:B285)</f>
        <v>2156000</v>
      </c>
      <c r="C286" s="171" t="e">
        <f>SUM(C281:C285)</f>
        <v>#REF!</v>
      </c>
      <c r="D286" s="172" t="e">
        <f>SUM(D281:D285)</f>
        <v>#REF!</v>
      </c>
      <c r="I286" s="169"/>
      <c r="J286" s="197">
        <f>SUM(J281:J285)</f>
        <v>54836500</v>
      </c>
      <c r="K286" s="197">
        <f>SUM(K281:K285)</f>
        <v>110708122</v>
      </c>
      <c r="L286" s="198">
        <f>SUM(L281:L285)</f>
        <v>165544622</v>
      </c>
    </row>
    <row r="287" spans="1:15" ht="14.25" customHeight="1">
      <c r="A287" s="49" t="s">
        <v>88</v>
      </c>
      <c r="B287" s="50"/>
      <c r="I287" s="49" t="s">
        <v>88</v>
      </c>
      <c r="J287" s="50"/>
    </row>
    <row r="288" spans="1:15" ht="12.75" customHeight="1">
      <c r="A288" s="51" t="s">
        <v>89</v>
      </c>
      <c r="I288" s="51" t="s">
        <v>89</v>
      </c>
    </row>
    <row r="289" spans="1:16" ht="12.75" customHeight="1">
      <c r="A289" s="51" t="s">
        <v>90</v>
      </c>
      <c r="I289" s="51" t="s">
        <v>90</v>
      </c>
    </row>
    <row r="290" spans="1:16">
      <c r="A290" s="51" t="s">
        <v>91</v>
      </c>
      <c r="I290" s="51" t="s">
        <v>91</v>
      </c>
    </row>
    <row r="291" spans="1:16" ht="5.25" customHeight="1">
      <c r="A291" s="50"/>
      <c r="B291" s="50"/>
      <c r="I291" s="50"/>
      <c r="J291" s="50"/>
    </row>
    <row r="292" spans="1:16" ht="13.5" customHeight="1">
      <c r="A292" s="52" t="s">
        <v>271</v>
      </c>
      <c r="G292" s="52"/>
      <c r="I292" s="52" t="s">
        <v>573</v>
      </c>
      <c r="O292" s="52"/>
    </row>
    <row r="293" spans="1:16" ht="14.25" customHeight="1">
      <c r="A293" s="53" t="s">
        <v>92</v>
      </c>
      <c r="G293" s="53"/>
      <c r="I293" s="53" t="s">
        <v>1623</v>
      </c>
      <c r="O293" s="53"/>
    </row>
    <row r="294" spans="1:16" ht="15" customHeight="1">
      <c r="A294" s="894" t="s">
        <v>261</v>
      </c>
      <c r="B294" s="894"/>
      <c r="C294" s="894"/>
      <c r="D294" s="894"/>
      <c r="E294" s="894"/>
      <c r="F294" s="894"/>
      <c r="G294" s="894"/>
      <c r="H294" s="894"/>
      <c r="I294" s="894" t="s">
        <v>212</v>
      </c>
      <c r="J294" s="894"/>
      <c r="K294" s="894"/>
      <c r="L294" s="894"/>
      <c r="M294" s="894"/>
      <c r="N294" s="894"/>
      <c r="O294" s="894"/>
      <c r="P294" s="894"/>
    </row>
    <row r="295" spans="1:16" ht="13.5" customHeight="1" thickBot="1"/>
    <row r="296" spans="1:16">
      <c r="A296" s="895" t="s">
        <v>94</v>
      </c>
      <c r="B296" s="897" t="s">
        <v>95</v>
      </c>
      <c r="C296" s="897" t="s">
        <v>96</v>
      </c>
      <c r="D296" s="897" t="s">
        <v>3</v>
      </c>
      <c r="E296" s="897" t="s">
        <v>97</v>
      </c>
      <c r="F296" s="897" t="s">
        <v>98</v>
      </c>
      <c r="G296" s="897" t="s">
        <v>99</v>
      </c>
      <c r="H296" s="899"/>
      <c r="I296" s="895" t="s">
        <v>94</v>
      </c>
      <c r="J296" s="897" t="s">
        <v>95</v>
      </c>
      <c r="K296" s="897" t="s">
        <v>96</v>
      </c>
      <c r="L296" s="897" t="s">
        <v>3</v>
      </c>
      <c r="M296" s="897" t="s">
        <v>97</v>
      </c>
      <c r="N296" s="897" t="s">
        <v>98</v>
      </c>
      <c r="O296" s="897" t="s">
        <v>99</v>
      </c>
      <c r="P296" s="899"/>
    </row>
    <row r="297" spans="1:16" ht="15.75" thickBot="1">
      <c r="A297" s="896"/>
      <c r="B297" s="898"/>
      <c r="C297" s="898"/>
      <c r="D297" s="898"/>
      <c r="E297" s="898"/>
      <c r="F297" s="898"/>
      <c r="G297" s="240" t="s">
        <v>100</v>
      </c>
      <c r="H297" s="182" t="s">
        <v>101</v>
      </c>
      <c r="I297" s="896"/>
      <c r="J297" s="898"/>
      <c r="K297" s="898"/>
      <c r="L297" s="898"/>
      <c r="M297" s="898"/>
      <c r="N297" s="898"/>
      <c r="O297" s="240" t="s">
        <v>100</v>
      </c>
      <c r="P297" s="182" t="s">
        <v>101</v>
      </c>
    </row>
    <row r="298" spans="1:16" ht="12.75" customHeight="1">
      <c r="A298" s="881" t="e">
        <f>+A269+1</f>
        <v>#REF!</v>
      </c>
      <c r="B298" s="875">
        <v>42261</v>
      </c>
      <c r="C298" s="877" t="s">
        <v>267</v>
      </c>
      <c r="D298" s="881" t="s">
        <v>273</v>
      </c>
      <c r="E298" s="881" t="s">
        <v>148</v>
      </c>
      <c r="F298" s="883">
        <v>154000</v>
      </c>
      <c r="G298" s="55">
        <v>719</v>
      </c>
      <c r="H298" s="78">
        <v>110000</v>
      </c>
      <c r="I298" s="873" t="s">
        <v>1389</v>
      </c>
      <c r="J298" s="875">
        <v>43140</v>
      </c>
      <c r="K298" s="877" t="s">
        <v>1645</v>
      </c>
      <c r="L298" s="881" t="s">
        <v>1622</v>
      </c>
      <c r="M298" s="881" t="s">
        <v>148</v>
      </c>
      <c r="N298" s="883">
        <v>540000</v>
      </c>
      <c r="O298" s="55">
        <v>719</v>
      </c>
      <c r="P298" s="78">
        <v>0</v>
      </c>
    </row>
    <row r="299" spans="1:16" ht="13.5" customHeight="1" thickBot="1">
      <c r="A299" s="882"/>
      <c r="B299" s="934"/>
      <c r="C299" s="878"/>
      <c r="D299" s="882"/>
      <c r="E299" s="882"/>
      <c r="F299" s="884"/>
      <c r="G299" s="56">
        <v>721</v>
      </c>
      <c r="H299" s="79">
        <f>+F298-H298</f>
        <v>44000</v>
      </c>
      <c r="I299" s="882"/>
      <c r="J299" s="876"/>
      <c r="K299" s="878"/>
      <c r="L299" s="882"/>
      <c r="M299" s="882"/>
      <c r="N299" s="884"/>
      <c r="O299" s="56">
        <v>723</v>
      </c>
      <c r="P299" s="79">
        <f>+N298-P298</f>
        <v>540000</v>
      </c>
    </row>
    <row r="300" spans="1:16" ht="12.75" customHeight="1">
      <c r="A300" s="881" t="e">
        <f>+A298+1</f>
        <v>#REF!</v>
      </c>
      <c r="B300" s="875">
        <v>42261</v>
      </c>
      <c r="C300" s="881" t="s">
        <v>28</v>
      </c>
      <c r="D300" s="881" t="s">
        <v>274</v>
      </c>
      <c r="E300" s="881" t="s">
        <v>148</v>
      </c>
      <c r="F300" s="883">
        <v>238000</v>
      </c>
      <c r="G300" s="55">
        <v>719</v>
      </c>
      <c r="H300" s="78">
        <v>170000</v>
      </c>
      <c r="I300" s="873" t="s">
        <v>1390</v>
      </c>
      <c r="J300" s="875">
        <v>43140</v>
      </c>
      <c r="K300" s="881" t="s">
        <v>694</v>
      </c>
      <c r="L300" s="881" t="s">
        <v>1622</v>
      </c>
      <c r="M300" s="881" t="s">
        <v>148</v>
      </c>
      <c r="N300" s="883">
        <v>30033550</v>
      </c>
      <c r="O300" s="55">
        <v>719</v>
      </c>
      <c r="P300" s="78"/>
    </row>
    <row r="301" spans="1:16" ht="14.25" customHeight="1" thickBot="1">
      <c r="A301" s="882"/>
      <c r="B301" s="934"/>
      <c r="C301" s="882"/>
      <c r="D301" s="882"/>
      <c r="E301" s="882"/>
      <c r="F301" s="884"/>
      <c r="G301" s="56">
        <v>721</v>
      </c>
      <c r="H301" s="79">
        <f>+F300-H300</f>
        <v>68000</v>
      </c>
      <c r="I301" s="882"/>
      <c r="J301" s="876"/>
      <c r="K301" s="882"/>
      <c r="L301" s="882"/>
      <c r="M301" s="882"/>
      <c r="N301" s="884"/>
      <c r="O301" s="56">
        <v>723</v>
      </c>
      <c r="P301" s="79">
        <f>+N300-P300</f>
        <v>30033550</v>
      </c>
    </row>
    <row r="302" spans="1:16" ht="12" customHeight="1">
      <c r="A302" s="881" t="e">
        <f>+A300+1</f>
        <v>#REF!</v>
      </c>
      <c r="B302" s="875">
        <v>42261</v>
      </c>
      <c r="C302" s="877" t="s">
        <v>32</v>
      </c>
      <c r="D302" s="881" t="s">
        <v>275</v>
      </c>
      <c r="E302" s="881" t="s">
        <v>148</v>
      </c>
      <c r="F302" s="883">
        <v>98000</v>
      </c>
      <c r="G302" s="55">
        <v>719</v>
      </c>
      <c r="H302" s="78">
        <v>70000</v>
      </c>
      <c r="I302" s="873" t="s">
        <v>1391</v>
      </c>
      <c r="J302" s="875">
        <v>43140</v>
      </c>
      <c r="K302" s="877" t="s">
        <v>122</v>
      </c>
      <c r="L302" s="881" t="s">
        <v>1622</v>
      </c>
      <c r="M302" s="881" t="s">
        <v>148</v>
      </c>
      <c r="N302" s="883">
        <v>1512000</v>
      </c>
      <c r="O302" s="55">
        <v>719</v>
      </c>
      <c r="P302" s="78"/>
    </row>
    <row r="303" spans="1:16" ht="15.75" customHeight="1" thickBot="1">
      <c r="A303" s="882"/>
      <c r="B303" s="934"/>
      <c r="C303" s="878"/>
      <c r="D303" s="882"/>
      <c r="E303" s="882"/>
      <c r="F303" s="884"/>
      <c r="G303" s="56">
        <v>721</v>
      </c>
      <c r="H303" s="79">
        <f>+F302-H302</f>
        <v>28000</v>
      </c>
      <c r="I303" s="882"/>
      <c r="J303" s="876"/>
      <c r="K303" s="878"/>
      <c r="L303" s="882"/>
      <c r="M303" s="882"/>
      <c r="N303" s="884"/>
      <c r="O303" s="56">
        <v>723</v>
      </c>
      <c r="P303" s="79">
        <f>+N302-P302</f>
        <v>1512000</v>
      </c>
    </row>
    <row r="304" spans="1:16" ht="12.75" customHeight="1">
      <c r="A304" s="881" t="e">
        <f>+A302+1</f>
        <v>#REF!</v>
      </c>
      <c r="B304" s="875">
        <v>42261</v>
      </c>
      <c r="C304" s="877" t="s">
        <v>111</v>
      </c>
      <c r="D304" s="881" t="s">
        <v>273</v>
      </c>
      <c r="E304" s="881" t="s">
        <v>148</v>
      </c>
      <c r="F304" s="883">
        <v>42000</v>
      </c>
      <c r="G304" s="55">
        <v>719</v>
      </c>
      <c r="H304" s="78">
        <v>30000</v>
      </c>
      <c r="I304" s="873" t="s">
        <v>1399</v>
      </c>
      <c r="J304" s="875">
        <v>43140</v>
      </c>
      <c r="K304" s="877" t="s">
        <v>695</v>
      </c>
      <c r="L304" s="881" t="s">
        <v>1622</v>
      </c>
      <c r="M304" s="881" t="s">
        <v>148</v>
      </c>
      <c r="N304" s="883">
        <v>7139940</v>
      </c>
      <c r="O304" s="55">
        <v>719</v>
      </c>
      <c r="P304" s="78"/>
    </row>
    <row r="305" spans="1:16" ht="13.5" customHeight="1" thickBot="1">
      <c r="A305" s="882"/>
      <c r="B305" s="934"/>
      <c r="C305" s="878"/>
      <c r="D305" s="882"/>
      <c r="E305" s="882"/>
      <c r="F305" s="884"/>
      <c r="G305" s="56">
        <v>721</v>
      </c>
      <c r="H305" s="79">
        <f>+F304-H304</f>
        <v>12000</v>
      </c>
      <c r="I305" s="882"/>
      <c r="J305" s="876"/>
      <c r="K305" s="878"/>
      <c r="L305" s="882"/>
      <c r="M305" s="882"/>
      <c r="N305" s="884"/>
      <c r="O305" s="56">
        <v>723</v>
      </c>
      <c r="P305" s="79">
        <f>+N304-P304</f>
        <v>7139940</v>
      </c>
    </row>
    <row r="306" spans="1:16" ht="13.5" customHeight="1">
      <c r="A306" s="881" t="e">
        <f>+A304+1</f>
        <v>#REF!</v>
      </c>
      <c r="B306" s="875">
        <v>42261</v>
      </c>
      <c r="C306" s="877" t="s">
        <v>272</v>
      </c>
      <c r="D306" s="881" t="s">
        <v>274</v>
      </c>
      <c r="E306" s="881" t="s">
        <v>148</v>
      </c>
      <c r="F306" s="883">
        <v>378000</v>
      </c>
      <c r="G306" s="55">
        <v>719</v>
      </c>
      <c r="H306" s="78">
        <v>270000</v>
      </c>
      <c r="I306" s="873" t="s">
        <v>1400</v>
      </c>
      <c r="J306" s="875">
        <v>43140</v>
      </c>
      <c r="K306" s="877" t="s">
        <v>117</v>
      </c>
      <c r="L306" s="881" t="s">
        <v>1622</v>
      </c>
      <c r="M306" s="881" t="s">
        <v>148</v>
      </c>
      <c r="N306" s="883">
        <v>1512000</v>
      </c>
      <c r="O306" s="55">
        <v>719</v>
      </c>
      <c r="P306" s="78"/>
    </row>
    <row r="307" spans="1:16" ht="13.5" customHeight="1" thickBot="1">
      <c r="A307" s="882"/>
      <c r="B307" s="934"/>
      <c r="C307" s="878"/>
      <c r="D307" s="882"/>
      <c r="E307" s="882"/>
      <c r="F307" s="884"/>
      <c r="G307" s="56">
        <v>721</v>
      </c>
      <c r="H307" s="79">
        <f>+F306-H306</f>
        <v>108000</v>
      </c>
      <c r="I307" s="882"/>
      <c r="J307" s="876"/>
      <c r="K307" s="878"/>
      <c r="L307" s="882"/>
      <c r="M307" s="882"/>
      <c r="N307" s="884"/>
      <c r="O307" s="56">
        <v>723</v>
      </c>
      <c r="P307" s="79">
        <f>+N306-P306</f>
        <v>1512000</v>
      </c>
    </row>
    <row r="308" spans="1:16" ht="14.25" customHeight="1" thickBot="1">
      <c r="A308" s="901" t="s">
        <v>102</v>
      </c>
      <c r="B308" s="902"/>
      <c r="C308" s="902"/>
      <c r="D308" s="902"/>
      <c r="E308" s="903"/>
      <c r="F308" s="81">
        <f>SUM(F298:F307)</f>
        <v>910000</v>
      </c>
      <c r="I308" s="901" t="s">
        <v>102</v>
      </c>
      <c r="J308" s="902"/>
      <c r="K308" s="902"/>
      <c r="L308" s="902"/>
      <c r="M308" s="903"/>
      <c r="N308" s="81">
        <f>SUM(N298:N307)</f>
        <v>40737490</v>
      </c>
    </row>
    <row r="309" spans="1:16" ht="14.25" customHeight="1" thickBot="1">
      <c r="A309" s="885" t="s">
        <v>103</v>
      </c>
      <c r="B309" s="886"/>
      <c r="C309" s="886"/>
      <c r="D309" s="886"/>
      <c r="E309" s="887"/>
      <c r="F309" s="69">
        <f>+F273</f>
        <v>622752225</v>
      </c>
      <c r="I309" s="885" t="s">
        <v>103</v>
      </c>
      <c r="J309" s="886"/>
      <c r="K309" s="886"/>
      <c r="L309" s="886"/>
      <c r="M309" s="887"/>
      <c r="N309" s="239">
        <f>+N273</f>
        <v>165544622</v>
      </c>
      <c r="O309" s="241" t="s">
        <v>561</v>
      </c>
      <c r="P309" s="242"/>
    </row>
    <row r="310" spans="1:16" ht="13.5" customHeight="1" thickBot="1">
      <c r="A310" s="888" t="s">
        <v>104</v>
      </c>
      <c r="B310" s="889"/>
      <c r="C310" s="889"/>
      <c r="D310" s="889"/>
      <c r="E310" s="890"/>
      <c r="F310" s="183">
        <f>SUM(F308:F309)</f>
        <v>623662225</v>
      </c>
      <c r="I310" s="888" t="s">
        <v>104</v>
      </c>
      <c r="J310" s="889"/>
      <c r="K310" s="889"/>
      <c r="L310" s="889"/>
      <c r="M310" s="890"/>
      <c r="N310" s="183">
        <f>SUM(N308:N309)</f>
        <v>206282112</v>
      </c>
    </row>
    <row r="311" spans="1:16" ht="11.25" customHeight="1">
      <c r="A311" s="61"/>
      <c r="B311" s="61"/>
      <c r="C311" s="61"/>
      <c r="D311" s="61"/>
      <c r="E311" s="61"/>
      <c r="I311" s="61"/>
      <c r="J311" s="61"/>
      <c r="K311" s="61"/>
      <c r="L311" s="61"/>
      <c r="M311" s="61"/>
    </row>
    <row r="312" spans="1:16">
      <c r="A312" s="51" t="s">
        <v>276</v>
      </c>
      <c r="I312" s="51" t="s">
        <v>1646</v>
      </c>
    </row>
    <row r="313" spans="1:16" ht="4.5" customHeight="1">
      <c r="F313" s="139"/>
      <c r="N313" s="139"/>
    </row>
    <row r="314" spans="1:16" ht="12.75" customHeight="1">
      <c r="A314" s="50" t="s">
        <v>105</v>
      </c>
      <c r="D314" s="146"/>
      <c r="F314" s="139"/>
      <c r="I314" s="50" t="s">
        <v>105</v>
      </c>
      <c r="L314" s="146"/>
      <c r="N314" s="139"/>
    </row>
    <row r="315" spans="1:16" ht="8.25" customHeight="1" thickBot="1"/>
    <row r="316" spans="1:16" ht="17.25" thickBot="1">
      <c r="A316" s="891" t="s">
        <v>106</v>
      </c>
      <c r="B316" s="892"/>
      <c r="C316" s="892"/>
      <c r="D316" s="893"/>
      <c r="F316" s="50" t="s">
        <v>270</v>
      </c>
      <c r="I316" s="891" t="s">
        <v>106</v>
      </c>
      <c r="J316" s="892"/>
      <c r="K316" s="892"/>
      <c r="L316" s="893"/>
      <c r="N316" s="604" t="s">
        <v>1126</v>
      </c>
      <c r="O316" s="604"/>
      <c r="P316" s="604"/>
    </row>
    <row r="317" spans="1:16" ht="30.75" thickBot="1">
      <c r="A317" s="57" t="s">
        <v>100</v>
      </c>
      <c r="B317" s="58" t="s">
        <v>108</v>
      </c>
      <c r="C317" s="59" t="s">
        <v>109</v>
      </c>
      <c r="D317" s="60" t="s">
        <v>110</v>
      </c>
      <c r="I317" s="57" t="s">
        <v>100</v>
      </c>
      <c r="J317" s="58" t="s">
        <v>108</v>
      </c>
      <c r="K317" s="59" t="s">
        <v>109</v>
      </c>
      <c r="L317" s="60" t="s">
        <v>110</v>
      </c>
    </row>
    <row r="318" spans="1:16" ht="12" customHeight="1">
      <c r="A318" s="71">
        <v>719</v>
      </c>
      <c r="B318" s="73">
        <f>+H298+H300+H302+H304+H306</f>
        <v>650000</v>
      </c>
      <c r="C318" s="74" t="e">
        <f>+D281</f>
        <v>#REF!</v>
      </c>
      <c r="D318" s="76" t="e">
        <f>+B318+C318</f>
        <v>#REF!</v>
      </c>
      <c r="I318" s="71">
        <v>719</v>
      </c>
      <c r="J318" s="73">
        <f>+P298+P300+P302+P304+P306</f>
        <v>0</v>
      </c>
      <c r="K318" s="74">
        <f>+L281</f>
        <v>0</v>
      </c>
      <c r="L318" s="195">
        <f>+J318+K318</f>
        <v>0</v>
      </c>
    </row>
    <row r="319" spans="1:16" ht="13.5" customHeight="1">
      <c r="A319" s="72">
        <v>721</v>
      </c>
      <c r="B319" s="80">
        <f>+H305+H303+H301+H299+H307</f>
        <v>260000</v>
      </c>
      <c r="C319" s="74" t="e">
        <f>+D282</f>
        <v>#REF!</v>
      </c>
      <c r="D319" s="76" t="e">
        <f>+B319+C319</f>
        <v>#REF!</v>
      </c>
      <c r="I319" s="72">
        <v>721</v>
      </c>
      <c r="J319" s="80"/>
      <c r="K319" s="74">
        <f>+L282</f>
        <v>0</v>
      </c>
      <c r="L319" s="195">
        <f>+J319+K319</f>
        <v>0</v>
      </c>
    </row>
    <row r="320" spans="1:16" ht="12.75" customHeight="1">
      <c r="A320" s="72">
        <v>722</v>
      </c>
      <c r="B320" s="80"/>
      <c r="C320" s="74">
        <f>+D283</f>
        <v>231207671</v>
      </c>
      <c r="D320" s="76">
        <f>+B320+C320</f>
        <v>231207671</v>
      </c>
      <c r="I320" s="72">
        <v>722</v>
      </c>
      <c r="J320" s="80"/>
      <c r="K320" s="74">
        <f>+L283</f>
        <v>0</v>
      </c>
      <c r="L320" s="195">
        <f>+J320+K320</f>
        <v>0</v>
      </c>
    </row>
    <row r="321" spans="1:17" ht="12" customHeight="1">
      <c r="A321" s="72">
        <v>723</v>
      </c>
      <c r="B321" s="80"/>
      <c r="C321" s="74">
        <f>+D284</f>
        <v>319828837</v>
      </c>
      <c r="D321" s="76">
        <f>+B321+C321</f>
        <v>319828837</v>
      </c>
      <c r="F321" s="174" t="s">
        <v>262</v>
      </c>
      <c r="G321" s="175"/>
      <c r="I321" s="72">
        <v>723</v>
      </c>
      <c r="J321" s="80">
        <f>+P307+P305+P303+P301+P299</f>
        <v>40737490</v>
      </c>
      <c r="K321" s="74">
        <f>+L284</f>
        <v>165544622</v>
      </c>
      <c r="L321" s="195">
        <f>+J321+K321</f>
        <v>206282112</v>
      </c>
      <c r="N321" s="608" t="s">
        <v>1436</v>
      </c>
      <c r="O321" s="608"/>
      <c r="P321" s="608"/>
      <c r="Q321" s="259"/>
    </row>
    <row r="322" spans="1:17" ht="13.5" customHeight="1" thickBot="1">
      <c r="A322" s="164" t="s">
        <v>181</v>
      </c>
      <c r="B322" s="165"/>
      <c r="C322" s="74">
        <f>+D285</f>
        <v>1965625</v>
      </c>
      <c r="D322" s="168">
        <f>+B322+C322</f>
        <v>1965625</v>
      </c>
      <c r="F322" s="52"/>
      <c r="I322" s="164" t="s">
        <v>181</v>
      </c>
      <c r="J322" s="165"/>
      <c r="K322" s="74">
        <f>+L285</f>
        <v>0</v>
      </c>
      <c r="L322" s="196">
        <f>+J322+K322</f>
        <v>0</v>
      </c>
      <c r="N322" s="52"/>
    </row>
    <row r="323" spans="1:17" ht="16.5" thickBot="1">
      <c r="A323" s="169"/>
      <c r="B323" s="170">
        <f>SUM(B318:B322)</f>
        <v>910000</v>
      </c>
      <c r="C323" s="171" t="e">
        <f>SUM(C318:C322)</f>
        <v>#REF!</v>
      </c>
      <c r="D323" s="172" t="e">
        <f>SUM(D318:D322)</f>
        <v>#REF!</v>
      </c>
      <c r="I323" s="169"/>
      <c r="J323" s="197">
        <f>SUM(J318:J322)</f>
        <v>40737490</v>
      </c>
      <c r="K323" s="197">
        <f>SUM(K318:K322)</f>
        <v>165544622</v>
      </c>
      <c r="L323" s="198">
        <f>SUM(L318:L322)</f>
        <v>206282112</v>
      </c>
    </row>
    <row r="324" spans="1:17" ht="15" customHeight="1">
      <c r="A324" s="49" t="s">
        <v>88</v>
      </c>
      <c r="B324" s="50"/>
      <c r="I324" s="49" t="s">
        <v>88</v>
      </c>
      <c r="J324" s="50"/>
    </row>
    <row r="325" spans="1:17" ht="13.5" customHeight="1">
      <c r="A325" s="51" t="s">
        <v>89</v>
      </c>
      <c r="I325" s="51" t="s">
        <v>89</v>
      </c>
    </row>
    <row r="326" spans="1:17" ht="13.5" customHeight="1">
      <c r="A326" s="51" t="s">
        <v>90</v>
      </c>
      <c r="I326" s="51" t="s">
        <v>90</v>
      </c>
    </row>
    <row r="327" spans="1:17">
      <c r="A327" s="51" t="s">
        <v>91</v>
      </c>
      <c r="I327" s="51" t="s">
        <v>91</v>
      </c>
    </row>
    <row r="328" spans="1:17" ht="2.25" customHeight="1">
      <c r="A328" s="50"/>
      <c r="B328" s="50"/>
      <c r="I328" s="50"/>
      <c r="J328" s="50"/>
    </row>
    <row r="329" spans="1:17" ht="14.25" customHeight="1">
      <c r="A329" s="52" t="s">
        <v>277</v>
      </c>
      <c r="G329" s="52"/>
      <c r="I329" s="52" t="s">
        <v>590</v>
      </c>
      <c r="O329" s="52"/>
    </row>
    <row r="330" spans="1:17" ht="14.25" customHeight="1">
      <c r="A330" s="53" t="s">
        <v>92</v>
      </c>
      <c r="G330" s="53"/>
      <c r="I330" s="53" t="s">
        <v>1623</v>
      </c>
      <c r="O330" s="53"/>
    </row>
    <row r="331" spans="1:17" ht="15" customHeight="1">
      <c r="A331" s="894" t="s">
        <v>278</v>
      </c>
      <c r="B331" s="894"/>
      <c r="C331" s="894"/>
      <c r="D331" s="894"/>
      <c r="E331" s="894"/>
      <c r="F331" s="894"/>
      <c r="G331" s="894"/>
      <c r="H331" s="894"/>
      <c r="I331" s="894" t="s">
        <v>212</v>
      </c>
      <c r="J331" s="894"/>
      <c r="K331" s="894"/>
      <c r="L331" s="894"/>
      <c r="M331" s="894"/>
      <c r="N331" s="894"/>
      <c r="O331" s="894"/>
      <c r="P331" s="894"/>
    </row>
    <row r="332" spans="1:17" ht="9.75" customHeight="1" thickBot="1"/>
    <row r="333" spans="1:17">
      <c r="A333" s="895" t="s">
        <v>94</v>
      </c>
      <c r="B333" s="897" t="s">
        <v>95</v>
      </c>
      <c r="C333" s="897" t="s">
        <v>96</v>
      </c>
      <c r="D333" s="897" t="s">
        <v>3</v>
      </c>
      <c r="E333" s="897" t="s">
        <v>97</v>
      </c>
      <c r="F333" s="897" t="s">
        <v>98</v>
      </c>
      <c r="G333" s="897" t="s">
        <v>99</v>
      </c>
      <c r="H333" s="899"/>
      <c r="I333" s="895" t="s">
        <v>94</v>
      </c>
      <c r="J333" s="897" t="s">
        <v>95</v>
      </c>
      <c r="K333" s="897" t="s">
        <v>96</v>
      </c>
      <c r="L333" s="897" t="s">
        <v>3</v>
      </c>
      <c r="M333" s="897" t="s">
        <v>97</v>
      </c>
      <c r="N333" s="897" t="s">
        <v>98</v>
      </c>
      <c r="O333" s="897" t="s">
        <v>99</v>
      </c>
      <c r="P333" s="899"/>
    </row>
    <row r="334" spans="1:17" ht="15.75" thickBot="1">
      <c r="A334" s="896"/>
      <c r="B334" s="898"/>
      <c r="C334" s="898"/>
      <c r="D334" s="898"/>
      <c r="E334" s="898"/>
      <c r="F334" s="898"/>
      <c r="G334" s="240" t="s">
        <v>100</v>
      </c>
      <c r="H334" s="182" t="s">
        <v>101</v>
      </c>
      <c r="I334" s="896"/>
      <c r="J334" s="898"/>
      <c r="K334" s="898"/>
      <c r="L334" s="898"/>
      <c r="M334" s="898"/>
      <c r="N334" s="898"/>
      <c r="O334" s="240" t="s">
        <v>100</v>
      </c>
      <c r="P334" s="182" t="s">
        <v>101</v>
      </c>
    </row>
    <row r="335" spans="1:17" ht="12.75" customHeight="1">
      <c r="A335" s="881" t="e">
        <f>+A306+1</f>
        <v>#REF!</v>
      </c>
      <c r="B335" s="875">
        <v>42261</v>
      </c>
      <c r="C335" s="877" t="s">
        <v>267</v>
      </c>
      <c r="D335" s="881" t="s">
        <v>284</v>
      </c>
      <c r="E335" s="881" t="s">
        <v>115</v>
      </c>
      <c r="F335" s="883">
        <v>130000</v>
      </c>
      <c r="G335" s="55">
        <v>719</v>
      </c>
      <c r="H335" s="78">
        <v>130000</v>
      </c>
      <c r="I335" s="873" t="s">
        <v>1401</v>
      </c>
      <c r="J335" s="875">
        <v>43140</v>
      </c>
      <c r="K335" s="877" t="s">
        <v>723</v>
      </c>
      <c r="L335" s="881" t="s">
        <v>1622</v>
      </c>
      <c r="M335" s="881" t="s">
        <v>148</v>
      </c>
      <c r="N335" s="883">
        <v>630000</v>
      </c>
      <c r="O335" s="55">
        <v>719</v>
      </c>
      <c r="P335" s="78"/>
    </row>
    <row r="336" spans="1:17" ht="12.75" customHeight="1" thickBot="1">
      <c r="A336" s="882"/>
      <c r="B336" s="934"/>
      <c r="C336" s="878"/>
      <c r="D336" s="882"/>
      <c r="E336" s="882"/>
      <c r="F336" s="884"/>
      <c r="G336" s="56">
        <v>721</v>
      </c>
      <c r="H336" s="79">
        <f>+F335-H335</f>
        <v>0</v>
      </c>
      <c r="I336" s="882"/>
      <c r="J336" s="876"/>
      <c r="K336" s="878"/>
      <c r="L336" s="882"/>
      <c r="M336" s="882"/>
      <c r="N336" s="884"/>
      <c r="O336" s="56">
        <v>723</v>
      </c>
      <c r="P336" s="79">
        <f>+N335-P335</f>
        <v>630000</v>
      </c>
    </row>
    <row r="337" spans="1:16" ht="13.5" customHeight="1">
      <c r="A337" s="881" t="e">
        <f>+A335+1</f>
        <v>#REF!</v>
      </c>
      <c r="B337" s="875">
        <v>42261</v>
      </c>
      <c r="C337" s="881" t="s">
        <v>28</v>
      </c>
      <c r="D337" s="881" t="s">
        <v>283</v>
      </c>
      <c r="E337" s="881" t="s">
        <v>115</v>
      </c>
      <c r="F337" s="883">
        <v>70000</v>
      </c>
      <c r="G337" s="55">
        <v>719</v>
      </c>
      <c r="H337" s="78">
        <v>70000</v>
      </c>
      <c r="I337" s="873" t="s">
        <v>1402</v>
      </c>
      <c r="J337" s="875">
        <v>43140</v>
      </c>
      <c r="K337" s="877" t="s">
        <v>738</v>
      </c>
      <c r="L337" s="881" t="s">
        <v>1622</v>
      </c>
      <c r="M337" s="881" t="s">
        <v>148</v>
      </c>
      <c r="N337" s="883">
        <v>3750000</v>
      </c>
      <c r="O337" s="55">
        <v>719</v>
      </c>
      <c r="P337" s="78"/>
    </row>
    <row r="338" spans="1:16" ht="12.75" customHeight="1" thickBot="1">
      <c r="A338" s="882"/>
      <c r="B338" s="934"/>
      <c r="C338" s="882"/>
      <c r="D338" s="882"/>
      <c r="E338" s="882"/>
      <c r="F338" s="884"/>
      <c r="G338" s="56">
        <v>721</v>
      </c>
      <c r="H338" s="79">
        <f>+F337-H337</f>
        <v>0</v>
      </c>
      <c r="I338" s="882"/>
      <c r="J338" s="876"/>
      <c r="K338" s="878"/>
      <c r="L338" s="882"/>
      <c r="M338" s="882"/>
      <c r="N338" s="884"/>
      <c r="O338" s="56">
        <v>723</v>
      </c>
      <c r="P338" s="79">
        <f>+N337-P337</f>
        <v>3750000</v>
      </c>
    </row>
    <row r="339" spans="1:16" ht="13.5" customHeight="1">
      <c r="A339" s="881" t="e">
        <f>+A337+1</f>
        <v>#REF!</v>
      </c>
      <c r="B339" s="875">
        <v>42261</v>
      </c>
      <c r="C339" s="877" t="s">
        <v>32</v>
      </c>
      <c r="D339" s="881" t="s">
        <v>283</v>
      </c>
      <c r="E339" s="881" t="s">
        <v>115</v>
      </c>
      <c r="F339" s="883">
        <v>50000</v>
      </c>
      <c r="G339" s="55">
        <v>719</v>
      </c>
      <c r="H339" s="78">
        <v>50000</v>
      </c>
      <c r="I339" s="873" t="s">
        <v>1403</v>
      </c>
      <c r="J339" s="875">
        <v>43140</v>
      </c>
      <c r="K339" s="877" t="s">
        <v>1647</v>
      </c>
      <c r="L339" s="881" t="s">
        <v>1622</v>
      </c>
      <c r="M339" s="881" t="s">
        <v>148</v>
      </c>
      <c r="N339" s="883">
        <v>4830000</v>
      </c>
      <c r="O339" s="55">
        <v>719</v>
      </c>
      <c r="P339" s="78"/>
    </row>
    <row r="340" spans="1:16" ht="13.5" customHeight="1" thickBot="1">
      <c r="A340" s="882"/>
      <c r="B340" s="934"/>
      <c r="C340" s="878"/>
      <c r="D340" s="882"/>
      <c r="E340" s="882"/>
      <c r="F340" s="884"/>
      <c r="G340" s="56">
        <v>721</v>
      </c>
      <c r="H340" s="79">
        <f>+F339-H339</f>
        <v>0</v>
      </c>
      <c r="I340" s="882"/>
      <c r="J340" s="876"/>
      <c r="K340" s="878"/>
      <c r="L340" s="882"/>
      <c r="M340" s="882"/>
      <c r="N340" s="884"/>
      <c r="O340" s="56">
        <v>723</v>
      </c>
      <c r="P340" s="79">
        <f>+N339-P339</f>
        <v>4830000</v>
      </c>
    </row>
    <row r="341" spans="1:16" ht="13.5" customHeight="1">
      <c r="A341" s="881" t="e">
        <f>+A339+1</f>
        <v>#REF!</v>
      </c>
      <c r="B341" s="875">
        <v>42261</v>
      </c>
      <c r="C341" s="910" t="s">
        <v>281</v>
      </c>
      <c r="D341" s="881" t="s">
        <v>280</v>
      </c>
      <c r="E341" s="881" t="s">
        <v>148</v>
      </c>
      <c r="F341" s="883">
        <v>1100000</v>
      </c>
      <c r="G341" s="55">
        <v>719</v>
      </c>
      <c r="H341" s="78"/>
      <c r="I341" s="873" t="s">
        <v>1407</v>
      </c>
      <c r="J341" s="875">
        <v>43140</v>
      </c>
      <c r="K341" s="877" t="s">
        <v>739</v>
      </c>
      <c r="L341" s="881" t="s">
        <v>1622</v>
      </c>
      <c r="M341" s="881" t="s">
        <v>148</v>
      </c>
      <c r="N341" s="883">
        <v>1440000</v>
      </c>
      <c r="O341" s="55">
        <v>719</v>
      </c>
      <c r="P341" s="78"/>
    </row>
    <row r="342" spans="1:16" ht="12.75" customHeight="1" thickBot="1">
      <c r="A342" s="882"/>
      <c r="B342" s="934"/>
      <c r="C342" s="911"/>
      <c r="D342" s="882"/>
      <c r="E342" s="882"/>
      <c r="F342" s="884"/>
      <c r="G342" s="56">
        <v>723</v>
      </c>
      <c r="H342" s="79">
        <f>+F341-H341</f>
        <v>1100000</v>
      </c>
      <c r="I342" s="882"/>
      <c r="J342" s="876"/>
      <c r="K342" s="878"/>
      <c r="L342" s="882"/>
      <c r="M342" s="882"/>
      <c r="N342" s="884"/>
      <c r="O342" s="56">
        <v>723</v>
      </c>
      <c r="P342" s="79">
        <f>+N341-P341</f>
        <v>1440000</v>
      </c>
    </row>
    <row r="343" spans="1:16" ht="12.75" customHeight="1">
      <c r="A343" s="881" t="e">
        <f>+A341+1</f>
        <v>#REF!</v>
      </c>
      <c r="B343" s="875">
        <v>42261</v>
      </c>
      <c r="C343" s="910" t="s">
        <v>282</v>
      </c>
      <c r="D343" s="881" t="s">
        <v>279</v>
      </c>
      <c r="E343" s="881" t="s">
        <v>165</v>
      </c>
      <c r="F343" s="883">
        <v>300000</v>
      </c>
      <c r="G343" s="55">
        <v>719</v>
      </c>
      <c r="H343" s="78"/>
      <c r="I343" s="873" t="s">
        <v>1408</v>
      </c>
      <c r="J343" s="875">
        <v>43140</v>
      </c>
      <c r="K343" s="877" t="s">
        <v>1648</v>
      </c>
      <c r="L343" s="881" t="s">
        <v>1622</v>
      </c>
      <c r="M343" s="881" t="s">
        <v>148</v>
      </c>
      <c r="N343" s="883">
        <v>7337400</v>
      </c>
      <c r="O343" s="55">
        <v>719</v>
      </c>
      <c r="P343" s="78"/>
    </row>
    <row r="344" spans="1:16" ht="13.5" customHeight="1" thickBot="1">
      <c r="A344" s="882"/>
      <c r="B344" s="934"/>
      <c r="C344" s="911"/>
      <c r="D344" s="882"/>
      <c r="E344" s="882"/>
      <c r="F344" s="884"/>
      <c r="G344" s="56">
        <v>723</v>
      </c>
      <c r="H344" s="79">
        <f>+F343-H343</f>
        <v>300000</v>
      </c>
      <c r="I344" s="882"/>
      <c r="J344" s="876"/>
      <c r="K344" s="878"/>
      <c r="L344" s="882"/>
      <c r="M344" s="882"/>
      <c r="N344" s="884"/>
      <c r="O344" s="56">
        <v>723</v>
      </c>
      <c r="P344" s="79">
        <f>+N343-P343</f>
        <v>7337400</v>
      </c>
    </row>
    <row r="345" spans="1:16" ht="14.25" customHeight="1" thickBot="1">
      <c r="A345" s="901" t="s">
        <v>102</v>
      </c>
      <c r="B345" s="902"/>
      <c r="C345" s="902"/>
      <c r="D345" s="902"/>
      <c r="E345" s="903"/>
      <c r="F345" s="81">
        <f>SUM(F335:F344)</f>
        <v>1650000</v>
      </c>
      <c r="I345" s="901" t="s">
        <v>102</v>
      </c>
      <c r="J345" s="902"/>
      <c r="K345" s="902"/>
      <c r="L345" s="902"/>
      <c r="M345" s="903"/>
      <c r="N345" s="81">
        <f>SUM(N335:N344)</f>
        <v>17987400</v>
      </c>
    </row>
    <row r="346" spans="1:16" ht="15" customHeight="1" thickBot="1">
      <c r="A346" s="885" t="s">
        <v>103</v>
      </c>
      <c r="B346" s="886"/>
      <c r="C346" s="886"/>
      <c r="D346" s="886"/>
      <c r="E346" s="887"/>
      <c r="F346" s="69">
        <f>+F310</f>
        <v>623662225</v>
      </c>
      <c r="I346" s="885" t="s">
        <v>103</v>
      </c>
      <c r="J346" s="886"/>
      <c r="K346" s="886"/>
      <c r="L346" s="886"/>
      <c r="M346" s="887"/>
      <c r="N346" s="239">
        <f>+N310</f>
        <v>206282112</v>
      </c>
      <c r="O346" s="241" t="s">
        <v>561</v>
      </c>
      <c r="P346" s="242"/>
    </row>
    <row r="347" spans="1:16" ht="13.5" customHeight="1" thickBot="1">
      <c r="A347" s="888" t="s">
        <v>104</v>
      </c>
      <c r="B347" s="889"/>
      <c r="C347" s="889"/>
      <c r="D347" s="889"/>
      <c r="E347" s="890"/>
      <c r="F347" s="183">
        <f>SUM(F345:F346)</f>
        <v>625312225</v>
      </c>
      <c r="I347" s="888" t="s">
        <v>104</v>
      </c>
      <c r="J347" s="889"/>
      <c r="K347" s="889"/>
      <c r="L347" s="889"/>
      <c r="M347" s="890"/>
      <c r="N347" s="183">
        <f>SUM(N345:N346)</f>
        <v>224269512</v>
      </c>
    </row>
    <row r="348" spans="1:16" ht="12.75" customHeight="1">
      <c r="A348" s="61"/>
      <c r="B348" s="61"/>
      <c r="C348" s="61"/>
      <c r="D348" s="61"/>
      <c r="E348" s="61"/>
      <c r="I348" s="61"/>
      <c r="J348" s="61"/>
      <c r="K348" s="61"/>
      <c r="L348" s="61"/>
      <c r="M348" s="61"/>
    </row>
    <row r="349" spans="1:16">
      <c r="A349" s="51" t="s">
        <v>285</v>
      </c>
      <c r="I349" s="51" t="s">
        <v>1649</v>
      </c>
    </row>
    <row r="350" spans="1:16" ht="3.75" customHeight="1">
      <c r="F350" s="139"/>
      <c r="N350" s="139"/>
    </row>
    <row r="351" spans="1:16" ht="12.75" customHeight="1">
      <c r="A351" s="50" t="s">
        <v>105</v>
      </c>
      <c r="D351" s="146"/>
      <c r="F351" s="139"/>
      <c r="I351" s="50" t="s">
        <v>105</v>
      </c>
      <c r="L351" s="146"/>
      <c r="N351" s="139" t="s">
        <v>631</v>
      </c>
    </row>
    <row r="352" spans="1:16" ht="9" customHeight="1" thickBot="1"/>
    <row r="353" spans="1:16" ht="17.25" thickBot="1">
      <c r="A353" s="891" t="s">
        <v>106</v>
      </c>
      <c r="B353" s="892"/>
      <c r="C353" s="892"/>
      <c r="D353" s="893"/>
      <c r="F353" s="50" t="s">
        <v>270</v>
      </c>
      <c r="I353" s="891" t="s">
        <v>106</v>
      </c>
      <c r="J353" s="892"/>
      <c r="K353" s="892"/>
      <c r="L353" s="893"/>
      <c r="N353" s="604" t="s">
        <v>1126</v>
      </c>
      <c r="O353" s="604"/>
      <c r="P353" s="604"/>
    </row>
    <row r="354" spans="1:16" ht="30.75" thickBot="1">
      <c r="A354" s="57" t="s">
        <v>100</v>
      </c>
      <c r="B354" s="58" t="s">
        <v>108</v>
      </c>
      <c r="C354" s="59" t="s">
        <v>109</v>
      </c>
      <c r="D354" s="60" t="s">
        <v>110</v>
      </c>
      <c r="I354" s="57" t="s">
        <v>100</v>
      </c>
      <c r="J354" s="58" t="s">
        <v>108</v>
      </c>
      <c r="K354" s="59" t="s">
        <v>109</v>
      </c>
      <c r="L354" s="60" t="s">
        <v>110</v>
      </c>
    </row>
    <row r="355" spans="1:16" ht="13.5" customHeight="1">
      <c r="A355" s="71">
        <v>719</v>
      </c>
      <c r="B355" s="73">
        <f>+H335+H337+H339+H341+H343</f>
        <v>250000</v>
      </c>
      <c r="C355" s="74" t="e">
        <f>+D318</f>
        <v>#REF!</v>
      </c>
      <c r="D355" s="76" t="e">
        <f>+B355+C355</f>
        <v>#REF!</v>
      </c>
      <c r="I355" s="71">
        <v>719</v>
      </c>
      <c r="J355" s="73">
        <f>+P335+P337+P339+P341+P343</f>
        <v>0</v>
      </c>
      <c r="K355" s="74">
        <f>+L318</f>
        <v>0</v>
      </c>
      <c r="L355" s="195">
        <f>+J355+K355</f>
        <v>0</v>
      </c>
    </row>
    <row r="356" spans="1:16" ht="13.5" customHeight="1">
      <c r="A356" s="72">
        <v>721</v>
      </c>
      <c r="B356" s="80"/>
      <c r="C356" s="74" t="e">
        <f>+D319</f>
        <v>#REF!</v>
      </c>
      <c r="D356" s="76" t="e">
        <f>+B356+C356</f>
        <v>#REF!</v>
      </c>
      <c r="I356" s="72">
        <v>721</v>
      </c>
      <c r="J356" s="80"/>
      <c r="K356" s="74">
        <f>+L319</f>
        <v>0</v>
      </c>
      <c r="L356" s="195">
        <f>+J356+K356</f>
        <v>0</v>
      </c>
    </row>
    <row r="357" spans="1:16" ht="13.5" customHeight="1">
      <c r="A357" s="72">
        <v>722</v>
      </c>
      <c r="B357" s="80"/>
      <c r="C357" s="74">
        <f>+D320</f>
        <v>231207671</v>
      </c>
      <c r="D357" s="76">
        <f>+B357+C357</f>
        <v>231207671</v>
      </c>
      <c r="I357" s="72">
        <v>722</v>
      </c>
      <c r="J357" s="80"/>
      <c r="K357" s="74">
        <f>+L320</f>
        <v>0</v>
      </c>
      <c r="L357" s="195">
        <f>+J357+K357</f>
        <v>0</v>
      </c>
    </row>
    <row r="358" spans="1:16" ht="13.5" customHeight="1">
      <c r="A358" s="72">
        <v>723</v>
      </c>
      <c r="B358" s="80">
        <f>+H342+H344</f>
        <v>1400000</v>
      </c>
      <c r="C358" s="74">
        <f>+D321</f>
        <v>319828837</v>
      </c>
      <c r="D358" s="76">
        <f>+B358+C358</f>
        <v>321228837</v>
      </c>
      <c r="F358" s="174" t="s">
        <v>262</v>
      </c>
      <c r="G358" s="175"/>
      <c r="I358" s="72">
        <v>723</v>
      </c>
      <c r="J358" s="80">
        <f>+P344+P342+P340+P338+P336</f>
        <v>17987400</v>
      </c>
      <c r="K358" s="74">
        <f>+L321</f>
        <v>206282112</v>
      </c>
      <c r="L358" s="195">
        <f>+J358+K358</f>
        <v>224269512</v>
      </c>
      <c r="N358" s="608" t="s">
        <v>1436</v>
      </c>
      <c r="O358" s="608"/>
      <c r="P358" s="608"/>
    </row>
    <row r="359" spans="1:16" ht="13.5" customHeight="1" thickBot="1">
      <c r="A359" s="164" t="s">
        <v>181</v>
      </c>
      <c r="B359" s="165"/>
      <c r="C359" s="74">
        <f>+D322</f>
        <v>1965625</v>
      </c>
      <c r="D359" s="168">
        <f>+B359+C359</f>
        <v>1965625</v>
      </c>
      <c r="F359" s="52"/>
      <c r="I359" s="164" t="s">
        <v>181</v>
      </c>
      <c r="J359" s="165"/>
      <c r="K359" s="74">
        <f>+L322</f>
        <v>0</v>
      </c>
      <c r="L359" s="196">
        <f>+J359+K359</f>
        <v>0</v>
      </c>
      <c r="N359" s="52"/>
    </row>
    <row r="360" spans="1:16" ht="16.5" thickBot="1">
      <c r="A360" s="169"/>
      <c r="B360" s="170">
        <f>SUM(B355:B359)</f>
        <v>1650000</v>
      </c>
      <c r="C360" s="171" t="e">
        <f>SUM(C355:C359)</f>
        <v>#REF!</v>
      </c>
      <c r="D360" s="172" t="e">
        <f>SUM(D355:D359)</f>
        <v>#REF!</v>
      </c>
      <c r="I360" s="169"/>
      <c r="J360" s="197">
        <f>SUM(J355:J359)</f>
        <v>17987400</v>
      </c>
      <c r="K360" s="197">
        <f>SUM(K355:K359)</f>
        <v>206282112</v>
      </c>
      <c r="L360" s="198">
        <f>SUM(L355:L359)</f>
        <v>224269512</v>
      </c>
    </row>
    <row r="361" spans="1:16" ht="12.75" customHeight="1">
      <c r="A361" s="49" t="s">
        <v>88</v>
      </c>
      <c r="B361" s="50"/>
      <c r="I361" s="49" t="s">
        <v>88</v>
      </c>
      <c r="J361" s="50"/>
    </row>
    <row r="362" spans="1:16" ht="13.5" customHeight="1">
      <c r="A362" s="51" t="s">
        <v>89</v>
      </c>
      <c r="I362" s="51" t="s">
        <v>89</v>
      </c>
    </row>
    <row r="363" spans="1:16" ht="13.5" customHeight="1">
      <c r="A363" s="51" t="s">
        <v>90</v>
      </c>
      <c r="I363" s="51" t="s">
        <v>90</v>
      </c>
    </row>
    <row r="364" spans="1:16">
      <c r="A364" s="51" t="s">
        <v>91</v>
      </c>
      <c r="I364" s="51" t="s">
        <v>91</v>
      </c>
    </row>
    <row r="365" spans="1:16" ht="3" customHeight="1">
      <c r="A365" s="50"/>
      <c r="B365" s="50"/>
      <c r="I365" s="50"/>
      <c r="J365" s="50"/>
    </row>
    <row r="366" spans="1:16" ht="14.25" customHeight="1">
      <c r="A366" s="52" t="s">
        <v>287</v>
      </c>
      <c r="G366" s="52"/>
      <c r="I366" s="52" t="s">
        <v>606</v>
      </c>
      <c r="O366" s="52"/>
    </row>
    <row r="367" spans="1:16" ht="15.75">
      <c r="A367" s="53" t="s">
        <v>92</v>
      </c>
      <c r="G367" s="53"/>
      <c r="I367" s="53" t="s">
        <v>1623</v>
      </c>
      <c r="O367" s="53"/>
    </row>
    <row r="368" spans="1:16" ht="14.25" customHeight="1">
      <c r="A368" s="894" t="s">
        <v>261</v>
      </c>
      <c r="B368" s="894"/>
      <c r="C368" s="894"/>
      <c r="D368" s="894"/>
      <c r="E368" s="894"/>
      <c r="F368" s="894"/>
      <c r="G368" s="894"/>
      <c r="H368" s="894"/>
      <c r="I368" s="894" t="s">
        <v>261</v>
      </c>
      <c r="J368" s="894"/>
      <c r="K368" s="894"/>
      <c r="L368" s="894"/>
      <c r="M368" s="894"/>
      <c r="N368" s="894"/>
      <c r="O368" s="894"/>
      <c r="P368" s="894"/>
    </row>
    <row r="369" spans="1:16" ht="10.5" customHeight="1" thickBot="1"/>
    <row r="370" spans="1:16">
      <c r="A370" s="895" t="s">
        <v>94</v>
      </c>
      <c r="B370" s="897" t="s">
        <v>95</v>
      </c>
      <c r="C370" s="897" t="s">
        <v>96</v>
      </c>
      <c r="D370" s="897" t="s">
        <v>3</v>
      </c>
      <c r="E370" s="897" t="s">
        <v>97</v>
      </c>
      <c r="F370" s="897" t="s">
        <v>98</v>
      </c>
      <c r="G370" s="897" t="s">
        <v>99</v>
      </c>
      <c r="H370" s="899"/>
      <c r="I370" s="895" t="s">
        <v>94</v>
      </c>
      <c r="J370" s="897" t="s">
        <v>95</v>
      </c>
      <c r="K370" s="897" t="s">
        <v>96</v>
      </c>
      <c r="L370" s="897" t="s">
        <v>3</v>
      </c>
      <c r="M370" s="897" t="s">
        <v>97</v>
      </c>
      <c r="N370" s="897" t="s">
        <v>98</v>
      </c>
      <c r="O370" s="897" t="s">
        <v>99</v>
      </c>
      <c r="P370" s="899"/>
    </row>
    <row r="371" spans="1:16" ht="15.75" thickBot="1">
      <c r="A371" s="896"/>
      <c r="B371" s="898"/>
      <c r="C371" s="898"/>
      <c r="D371" s="898"/>
      <c r="E371" s="898"/>
      <c r="F371" s="898"/>
      <c r="G371" s="240" t="s">
        <v>100</v>
      </c>
      <c r="H371" s="182" t="s">
        <v>101</v>
      </c>
      <c r="I371" s="896"/>
      <c r="J371" s="898"/>
      <c r="K371" s="898"/>
      <c r="L371" s="898"/>
      <c r="M371" s="898"/>
      <c r="N371" s="898"/>
      <c r="O371" s="240" t="s">
        <v>100</v>
      </c>
      <c r="P371" s="182" t="s">
        <v>101</v>
      </c>
    </row>
    <row r="372" spans="1:16" ht="13.5" customHeight="1">
      <c r="A372" s="881" t="e">
        <f>+A343+1</f>
        <v>#REF!</v>
      </c>
      <c r="B372" s="875">
        <v>42264</v>
      </c>
      <c r="C372" s="877" t="s">
        <v>267</v>
      </c>
      <c r="D372" s="881" t="s">
        <v>290</v>
      </c>
      <c r="E372" s="881" t="s">
        <v>148</v>
      </c>
      <c r="F372" s="883">
        <v>168000</v>
      </c>
      <c r="G372" s="55">
        <v>719</v>
      </c>
      <c r="H372" s="78">
        <v>120000</v>
      </c>
      <c r="I372" s="873" t="s">
        <v>1409</v>
      </c>
      <c r="J372" s="875">
        <v>43140</v>
      </c>
      <c r="K372" s="877" t="s">
        <v>1650</v>
      </c>
      <c r="L372" s="881" t="s">
        <v>1622</v>
      </c>
      <c r="M372" s="881" t="s">
        <v>148</v>
      </c>
      <c r="N372" s="883">
        <v>5000000</v>
      </c>
      <c r="O372" s="55">
        <v>719</v>
      </c>
      <c r="P372" s="78"/>
    </row>
    <row r="373" spans="1:16" ht="12.75" customHeight="1" thickBot="1">
      <c r="A373" s="882"/>
      <c r="B373" s="934"/>
      <c r="C373" s="878"/>
      <c r="D373" s="882"/>
      <c r="E373" s="882"/>
      <c r="F373" s="884"/>
      <c r="G373" s="56">
        <v>721</v>
      </c>
      <c r="H373" s="79">
        <f>+F372-H372</f>
        <v>48000</v>
      </c>
      <c r="I373" s="882"/>
      <c r="J373" s="876"/>
      <c r="K373" s="878"/>
      <c r="L373" s="882"/>
      <c r="M373" s="882"/>
      <c r="N373" s="884"/>
      <c r="O373" s="56">
        <v>723</v>
      </c>
      <c r="P373" s="79">
        <f>+N372-P372</f>
        <v>5000000</v>
      </c>
    </row>
    <row r="374" spans="1:16" ht="14.25" customHeight="1">
      <c r="A374" s="881" t="e">
        <f>+A372+1</f>
        <v>#REF!</v>
      </c>
      <c r="B374" s="875">
        <v>42264</v>
      </c>
      <c r="C374" s="881" t="s">
        <v>28</v>
      </c>
      <c r="D374" s="881" t="s">
        <v>292</v>
      </c>
      <c r="E374" s="881" t="s">
        <v>148</v>
      </c>
      <c r="F374" s="883">
        <v>238000</v>
      </c>
      <c r="G374" s="55">
        <v>719</v>
      </c>
      <c r="H374" s="78">
        <v>170000</v>
      </c>
      <c r="I374" s="873" t="s">
        <v>1410</v>
      </c>
      <c r="J374" s="875">
        <v>43140</v>
      </c>
      <c r="K374" s="881" t="s">
        <v>1651</v>
      </c>
      <c r="L374" s="881" t="s">
        <v>1622</v>
      </c>
      <c r="M374" s="881" t="s">
        <v>148</v>
      </c>
      <c r="N374" s="883">
        <v>3529416</v>
      </c>
      <c r="O374" s="55">
        <v>719</v>
      </c>
      <c r="P374" s="78"/>
    </row>
    <row r="375" spans="1:16" ht="14.25" customHeight="1" thickBot="1">
      <c r="A375" s="882"/>
      <c r="B375" s="934"/>
      <c r="C375" s="882"/>
      <c r="D375" s="882"/>
      <c r="E375" s="882"/>
      <c r="F375" s="884"/>
      <c r="G375" s="56">
        <v>721</v>
      </c>
      <c r="H375" s="79">
        <f>+F374-H374</f>
        <v>68000</v>
      </c>
      <c r="I375" s="882"/>
      <c r="J375" s="876"/>
      <c r="K375" s="882"/>
      <c r="L375" s="882"/>
      <c r="M375" s="882"/>
      <c r="N375" s="884"/>
      <c r="O375" s="56">
        <v>723</v>
      </c>
      <c r="P375" s="79">
        <f>+N374-P374</f>
        <v>3529416</v>
      </c>
    </row>
    <row r="376" spans="1:16" ht="12.75" customHeight="1">
      <c r="A376" s="881" t="e">
        <f>+A374+1</f>
        <v>#REF!</v>
      </c>
      <c r="B376" s="875">
        <v>42264</v>
      </c>
      <c r="C376" s="877" t="s">
        <v>32</v>
      </c>
      <c r="D376" s="881" t="s">
        <v>292</v>
      </c>
      <c r="E376" s="881" t="s">
        <v>148</v>
      </c>
      <c r="F376" s="883">
        <v>126000</v>
      </c>
      <c r="G376" s="55">
        <v>719</v>
      </c>
      <c r="H376" s="78">
        <v>90000</v>
      </c>
      <c r="I376" s="873" t="s">
        <v>1411</v>
      </c>
      <c r="J376" s="875">
        <v>43140</v>
      </c>
      <c r="K376" s="877" t="s">
        <v>1652</v>
      </c>
      <c r="L376" s="881" t="s">
        <v>1622</v>
      </c>
      <c r="M376" s="881" t="s">
        <v>148</v>
      </c>
      <c r="N376" s="883">
        <v>7623000</v>
      </c>
      <c r="O376" s="55">
        <v>719</v>
      </c>
      <c r="P376" s="78"/>
    </row>
    <row r="377" spans="1:16" ht="12.75" customHeight="1" thickBot="1">
      <c r="A377" s="882"/>
      <c r="B377" s="934"/>
      <c r="C377" s="878"/>
      <c r="D377" s="882"/>
      <c r="E377" s="882"/>
      <c r="F377" s="884"/>
      <c r="G377" s="56">
        <v>721</v>
      </c>
      <c r="H377" s="79">
        <f>+F376-H376</f>
        <v>36000</v>
      </c>
      <c r="I377" s="882"/>
      <c r="J377" s="876"/>
      <c r="K377" s="878"/>
      <c r="L377" s="882"/>
      <c r="M377" s="882"/>
      <c r="N377" s="884"/>
      <c r="O377" s="56">
        <v>723</v>
      </c>
      <c r="P377" s="79">
        <f>+N376-P376</f>
        <v>7623000</v>
      </c>
    </row>
    <row r="378" spans="1:16" ht="13.5" customHeight="1">
      <c r="A378" s="881" t="e">
        <f>+A376+1</f>
        <v>#REF!</v>
      </c>
      <c r="B378" s="875">
        <v>42264</v>
      </c>
      <c r="C378" s="877" t="s">
        <v>111</v>
      </c>
      <c r="D378" s="881" t="s">
        <v>291</v>
      </c>
      <c r="E378" s="881" t="s">
        <v>148</v>
      </c>
      <c r="F378" s="883">
        <v>84000</v>
      </c>
      <c r="G378" s="55">
        <v>719</v>
      </c>
      <c r="H378" s="78">
        <v>60000</v>
      </c>
      <c r="I378" s="873" t="s">
        <v>1420</v>
      </c>
      <c r="J378" s="875">
        <v>43140</v>
      </c>
      <c r="K378" s="877" t="s">
        <v>1174</v>
      </c>
      <c r="L378" s="881" t="s">
        <v>1622</v>
      </c>
      <c r="M378" s="881" t="s">
        <v>148</v>
      </c>
      <c r="N378" s="883">
        <v>8383404</v>
      </c>
      <c r="O378" s="55">
        <v>719</v>
      </c>
      <c r="P378" s="78"/>
    </row>
    <row r="379" spans="1:16" ht="13.5" customHeight="1" thickBot="1">
      <c r="A379" s="882"/>
      <c r="B379" s="934"/>
      <c r="C379" s="878"/>
      <c r="D379" s="882"/>
      <c r="E379" s="882"/>
      <c r="F379" s="884"/>
      <c r="G379" s="56">
        <v>721</v>
      </c>
      <c r="H379" s="79">
        <f>+F378-H378</f>
        <v>24000</v>
      </c>
      <c r="I379" s="882"/>
      <c r="J379" s="876"/>
      <c r="K379" s="878"/>
      <c r="L379" s="882"/>
      <c r="M379" s="882"/>
      <c r="N379" s="884"/>
      <c r="O379" s="56">
        <v>723</v>
      </c>
      <c r="P379" s="79">
        <f>+N378-P378</f>
        <v>8383404</v>
      </c>
    </row>
    <row r="380" spans="1:16" ht="13.5" customHeight="1">
      <c r="A380" s="881" t="e">
        <f>+A378+1</f>
        <v>#REF!</v>
      </c>
      <c r="B380" s="875">
        <v>42264</v>
      </c>
      <c r="C380" s="877" t="s">
        <v>272</v>
      </c>
      <c r="D380" s="881" t="s">
        <v>290</v>
      </c>
      <c r="E380" s="881" t="s">
        <v>148</v>
      </c>
      <c r="F380" s="883">
        <v>532000</v>
      </c>
      <c r="G380" s="55">
        <v>719</v>
      </c>
      <c r="H380" s="78">
        <v>380000</v>
      </c>
      <c r="I380" s="873" t="s">
        <v>1421</v>
      </c>
      <c r="J380" s="875">
        <v>43140</v>
      </c>
      <c r="K380" s="877" t="s">
        <v>899</v>
      </c>
      <c r="L380" s="881" t="s">
        <v>1622</v>
      </c>
      <c r="M380" s="881" t="s">
        <v>148</v>
      </c>
      <c r="N380" s="883">
        <v>6600000</v>
      </c>
      <c r="O380" s="55">
        <v>719</v>
      </c>
      <c r="P380" s="78"/>
    </row>
    <row r="381" spans="1:16" ht="14.25" customHeight="1" thickBot="1">
      <c r="A381" s="882"/>
      <c r="B381" s="934"/>
      <c r="C381" s="878"/>
      <c r="D381" s="882"/>
      <c r="E381" s="882"/>
      <c r="F381" s="884"/>
      <c r="G381" s="56">
        <v>721</v>
      </c>
      <c r="H381" s="79">
        <f>+F380-H380</f>
        <v>152000</v>
      </c>
      <c r="I381" s="882"/>
      <c r="J381" s="876"/>
      <c r="K381" s="878"/>
      <c r="L381" s="882"/>
      <c r="M381" s="882"/>
      <c r="N381" s="884"/>
      <c r="O381" s="56">
        <v>723</v>
      </c>
      <c r="P381" s="79">
        <f>+N380-P380</f>
        <v>6600000</v>
      </c>
    </row>
    <row r="382" spans="1:16" ht="14.25" customHeight="1" thickBot="1">
      <c r="A382" s="901" t="s">
        <v>102</v>
      </c>
      <c r="B382" s="902"/>
      <c r="C382" s="902"/>
      <c r="D382" s="902"/>
      <c r="E382" s="903"/>
      <c r="F382" s="81">
        <f>SUM(F372:F381)</f>
        <v>1148000</v>
      </c>
      <c r="I382" s="901" t="s">
        <v>102</v>
      </c>
      <c r="J382" s="902"/>
      <c r="K382" s="902"/>
      <c r="L382" s="902"/>
      <c r="M382" s="903"/>
      <c r="N382" s="81">
        <f>SUM(N372:N381)</f>
        <v>31135820</v>
      </c>
    </row>
    <row r="383" spans="1:16" ht="13.5" customHeight="1" thickBot="1">
      <c r="A383" s="885" t="s">
        <v>103</v>
      </c>
      <c r="B383" s="886"/>
      <c r="C383" s="886"/>
      <c r="D383" s="886"/>
      <c r="E383" s="887"/>
      <c r="F383" s="69">
        <f>+F347</f>
        <v>625312225</v>
      </c>
      <c r="I383" s="885" t="s">
        <v>103</v>
      </c>
      <c r="J383" s="886"/>
      <c r="K383" s="886"/>
      <c r="L383" s="886"/>
      <c r="M383" s="887"/>
      <c r="N383" s="239">
        <f>+N347</f>
        <v>224269512</v>
      </c>
      <c r="O383" s="241" t="s">
        <v>561</v>
      </c>
      <c r="P383" s="242"/>
    </row>
    <row r="384" spans="1:16" ht="14.25" customHeight="1" thickBot="1">
      <c r="A384" s="888" t="s">
        <v>104</v>
      </c>
      <c r="B384" s="889"/>
      <c r="C384" s="889"/>
      <c r="D384" s="889"/>
      <c r="E384" s="890"/>
      <c r="F384" s="183">
        <f>SUM(F382:F383)</f>
        <v>626460225</v>
      </c>
      <c r="I384" s="888" t="s">
        <v>104</v>
      </c>
      <c r="J384" s="889"/>
      <c r="K384" s="889"/>
      <c r="L384" s="889"/>
      <c r="M384" s="890"/>
      <c r="N384" s="183">
        <f>SUM(N382:N383)</f>
        <v>255405332</v>
      </c>
    </row>
    <row r="385" spans="1:16" ht="10.5" customHeight="1">
      <c r="A385" s="61"/>
      <c r="B385" s="61"/>
      <c r="C385" s="61"/>
      <c r="D385" s="61"/>
      <c r="E385" s="61"/>
      <c r="I385" s="61"/>
      <c r="J385" s="61"/>
      <c r="K385" s="61"/>
      <c r="L385" s="61"/>
      <c r="M385" s="61"/>
    </row>
    <row r="386" spans="1:16">
      <c r="A386" s="51" t="s">
        <v>294</v>
      </c>
      <c r="I386" s="51" t="s">
        <v>1653</v>
      </c>
    </row>
    <row r="387" spans="1:16" ht="3.75" customHeight="1">
      <c r="F387" s="139"/>
      <c r="N387" s="139"/>
    </row>
    <row r="388" spans="1:16">
      <c r="A388" s="50" t="s">
        <v>105</v>
      </c>
      <c r="D388" s="146"/>
      <c r="F388" s="139"/>
      <c r="I388" s="50" t="s">
        <v>105</v>
      </c>
      <c r="L388" s="146"/>
      <c r="N388" s="139"/>
    </row>
    <row r="389" spans="1:16" ht="6.75" customHeight="1" thickBot="1"/>
    <row r="390" spans="1:16" ht="17.25" thickBot="1">
      <c r="A390" s="891" t="s">
        <v>106</v>
      </c>
      <c r="B390" s="892"/>
      <c r="C390" s="892"/>
      <c r="D390" s="893"/>
      <c r="F390" s="50" t="s">
        <v>288</v>
      </c>
      <c r="I390" s="891" t="s">
        <v>106</v>
      </c>
      <c r="J390" s="892"/>
      <c r="K390" s="892"/>
      <c r="L390" s="893"/>
      <c r="N390" s="604" t="s">
        <v>1126</v>
      </c>
      <c r="O390" s="604"/>
      <c r="P390" s="604"/>
    </row>
    <row r="391" spans="1:16" ht="30.75" thickBot="1">
      <c r="A391" s="57" t="s">
        <v>100</v>
      </c>
      <c r="B391" s="58" t="s">
        <v>108</v>
      </c>
      <c r="C391" s="59" t="s">
        <v>109</v>
      </c>
      <c r="D391" s="60" t="s">
        <v>110</v>
      </c>
      <c r="I391" s="57" t="s">
        <v>100</v>
      </c>
      <c r="J391" s="58" t="s">
        <v>108</v>
      </c>
      <c r="K391" s="59" t="s">
        <v>109</v>
      </c>
      <c r="L391" s="60" t="s">
        <v>110</v>
      </c>
    </row>
    <row r="392" spans="1:16" ht="12.75" customHeight="1">
      <c r="A392" s="71">
        <v>719</v>
      </c>
      <c r="B392" s="73">
        <f>+H372+H374+H376+H378+H380</f>
        <v>820000</v>
      </c>
      <c r="C392" s="74" t="e">
        <f>+D355</f>
        <v>#REF!</v>
      </c>
      <c r="D392" s="76" t="e">
        <f>+B392+C392</f>
        <v>#REF!</v>
      </c>
      <c r="I392" s="71">
        <v>719</v>
      </c>
      <c r="J392" s="73">
        <f>+P372+P374+P376+P378+P380</f>
        <v>0</v>
      </c>
      <c r="K392" s="74">
        <f>+L355</f>
        <v>0</v>
      </c>
      <c r="L392" s="195">
        <f>+J392+K392</f>
        <v>0</v>
      </c>
    </row>
    <row r="393" spans="1:16" ht="13.5" customHeight="1">
      <c r="A393" s="72">
        <v>721</v>
      </c>
      <c r="B393" s="80">
        <f>+H373+H375+H377+H379+H381</f>
        <v>328000</v>
      </c>
      <c r="C393" s="74" t="e">
        <f>+D356</f>
        <v>#REF!</v>
      </c>
      <c r="D393" s="76" t="e">
        <f>+B393+C393</f>
        <v>#REF!</v>
      </c>
      <c r="I393" s="72">
        <v>721</v>
      </c>
      <c r="J393" s="80"/>
      <c r="K393" s="74">
        <f>+L356</f>
        <v>0</v>
      </c>
      <c r="L393" s="195">
        <f>+J393+K393</f>
        <v>0</v>
      </c>
    </row>
    <row r="394" spans="1:16" ht="13.5" customHeight="1">
      <c r="A394" s="72">
        <v>722</v>
      </c>
      <c r="B394" s="80"/>
      <c r="C394" s="74">
        <f>+D357</f>
        <v>231207671</v>
      </c>
      <c r="D394" s="76">
        <f>+B394+C394</f>
        <v>231207671</v>
      </c>
      <c r="I394" s="72">
        <v>722</v>
      </c>
      <c r="J394" s="80"/>
      <c r="K394" s="74">
        <f>+L357</f>
        <v>0</v>
      </c>
      <c r="L394" s="195">
        <f>+J394+K394</f>
        <v>0</v>
      </c>
    </row>
    <row r="395" spans="1:16" ht="13.5" customHeight="1">
      <c r="A395" s="72">
        <v>723</v>
      </c>
      <c r="B395" s="80"/>
      <c r="C395" s="74">
        <f>+D358</f>
        <v>321228837</v>
      </c>
      <c r="D395" s="76">
        <f>+B395+C395</f>
        <v>321228837</v>
      </c>
      <c r="F395" s="193" t="s">
        <v>289</v>
      </c>
      <c r="G395" s="175"/>
      <c r="I395" s="72">
        <v>723</v>
      </c>
      <c r="J395" s="80">
        <f>+P381+P379+P377+P375+P373</f>
        <v>31135820</v>
      </c>
      <c r="K395" s="74">
        <f>+L358</f>
        <v>224269512</v>
      </c>
      <c r="L395" s="195">
        <f>+J395+K395</f>
        <v>255405332</v>
      </c>
      <c r="N395" s="608" t="s">
        <v>1436</v>
      </c>
      <c r="O395" s="608"/>
      <c r="P395" s="608"/>
    </row>
    <row r="396" spans="1:16" ht="13.5" customHeight="1" thickBot="1">
      <c r="A396" s="164" t="s">
        <v>181</v>
      </c>
      <c r="B396" s="165"/>
      <c r="C396" s="74">
        <f>+D359</f>
        <v>1965625</v>
      </c>
      <c r="D396" s="168">
        <f>+B396+C396</f>
        <v>1965625</v>
      </c>
      <c r="F396" s="52"/>
      <c r="I396" s="164" t="s">
        <v>181</v>
      </c>
      <c r="J396" s="165"/>
      <c r="K396" s="74">
        <f>+L359</f>
        <v>0</v>
      </c>
      <c r="L396" s="196">
        <f>+J396+K396</f>
        <v>0</v>
      </c>
      <c r="N396" s="52"/>
    </row>
    <row r="397" spans="1:16" ht="16.5" thickBot="1">
      <c r="A397" s="169"/>
      <c r="B397" s="170">
        <f>SUM(B392:B396)</f>
        <v>1148000</v>
      </c>
      <c r="C397" s="171" t="e">
        <f>SUM(C392:C396)</f>
        <v>#REF!</v>
      </c>
      <c r="D397" s="172" t="e">
        <f>SUM(D392:D396)</f>
        <v>#REF!</v>
      </c>
      <c r="I397" s="169"/>
      <c r="J397" s="197">
        <f>SUM(J392:J396)</f>
        <v>31135820</v>
      </c>
      <c r="K397" s="197">
        <f>SUM(K392:K396)</f>
        <v>224269512</v>
      </c>
      <c r="L397" s="198">
        <f>SUM(L392:L396)</f>
        <v>255405332</v>
      </c>
    </row>
    <row r="398" spans="1:16" ht="14.25" customHeight="1">
      <c r="A398" s="49" t="s">
        <v>88</v>
      </c>
      <c r="B398" s="50"/>
      <c r="I398" s="49" t="s">
        <v>88</v>
      </c>
      <c r="J398" s="50"/>
    </row>
    <row r="399" spans="1:16" ht="12.75" customHeight="1">
      <c r="A399" s="51" t="s">
        <v>89</v>
      </c>
      <c r="I399" s="51" t="s">
        <v>89</v>
      </c>
    </row>
    <row r="400" spans="1:16" ht="13.5" customHeight="1">
      <c r="A400" s="51" t="s">
        <v>90</v>
      </c>
      <c r="I400" s="51" t="s">
        <v>90</v>
      </c>
    </row>
    <row r="401" spans="1:16" ht="12.75" customHeight="1">
      <c r="A401" s="51" t="s">
        <v>91</v>
      </c>
      <c r="I401" s="51" t="s">
        <v>91</v>
      </c>
    </row>
    <row r="402" spans="1:16" ht="3" customHeight="1">
      <c r="A402" s="50"/>
      <c r="B402" s="50"/>
      <c r="I402" s="50"/>
      <c r="J402" s="50"/>
    </row>
    <row r="403" spans="1:16" ht="13.5" customHeight="1">
      <c r="A403" s="52" t="s">
        <v>295</v>
      </c>
      <c r="G403" s="52"/>
      <c r="I403" s="52" t="s">
        <v>635</v>
      </c>
      <c r="O403" s="52"/>
    </row>
    <row r="404" spans="1:16" ht="14.25" customHeight="1">
      <c r="A404" s="53" t="s">
        <v>92</v>
      </c>
      <c r="G404" s="53"/>
      <c r="I404" s="53" t="s">
        <v>1623</v>
      </c>
      <c r="O404" s="53"/>
    </row>
    <row r="405" spans="1:16" ht="14.25" customHeight="1">
      <c r="A405" s="894" t="s">
        <v>261</v>
      </c>
      <c r="B405" s="894"/>
      <c r="C405" s="894"/>
      <c r="D405" s="894"/>
      <c r="E405" s="894"/>
      <c r="F405" s="894"/>
      <c r="G405" s="894"/>
      <c r="H405" s="894"/>
      <c r="I405" s="894" t="s">
        <v>212</v>
      </c>
      <c r="J405" s="894"/>
      <c r="K405" s="894"/>
      <c r="L405" s="894"/>
      <c r="M405" s="894"/>
      <c r="N405" s="894"/>
      <c r="O405" s="894"/>
      <c r="P405" s="894"/>
    </row>
    <row r="406" spans="1:16" ht="13.5" customHeight="1" thickBot="1"/>
    <row r="407" spans="1:16">
      <c r="A407" s="895" t="s">
        <v>94</v>
      </c>
      <c r="B407" s="897" t="s">
        <v>95</v>
      </c>
      <c r="C407" s="897" t="s">
        <v>96</v>
      </c>
      <c r="D407" s="897" t="s">
        <v>3</v>
      </c>
      <c r="E407" s="897" t="s">
        <v>97</v>
      </c>
      <c r="F407" s="897" t="s">
        <v>98</v>
      </c>
      <c r="G407" s="897" t="s">
        <v>99</v>
      </c>
      <c r="H407" s="899"/>
      <c r="I407" s="895" t="s">
        <v>94</v>
      </c>
      <c r="J407" s="897" t="s">
        <v>95</v>
      </c>
      <c r="K407" s="897" t="s">
        <v>96</v>
      </c>
      <c r="L407" s="897" t="s">
        <v>3</v>
      </c>
      <c r="M407" s="897" t="s">
        <v>97</v>
      </c>
      <c r="N407" s="897" t="s">
        <v>98</v>
      </c>
      <c r="O407" s="897" t="s">
        <v>99</v>
      </c>
      <c r="P407" s="899"/>
    </row>
    <row r="408" spans="1:16" ht="15.75" thickBot="1">
      <c r="A408" s="896"/>
      <c r="B408" s="898"/>
      <c r="C408" s="898"/>
      <c r="D408" s="898"/>
      <c r="E408" s="898"/>
      <c r="F408" s="898"/>
      <c r="G408" s="240" t="s">
        <v>100</v>
      </c>
      <c r="H408" s="182" t="s">
        <v>101</v>
      </c>
      <c r="I408" s="896"/>
      <c r="J408" s="898"/>
      <c r="K408" s="898"/>
      <c r="L408" s="898"/>
      <c r="M408" s="898"/>
      <c r="N408" s="898"/>
      <c r="O408" s="240" t="s">
        <v>100</v>
      </c>
      <c r="P408" s="182" t="s">
        <v>101</v>
      </c>
    </row>
    <row r="409" spans="1:16" ht="12.75" customHeight="1">
      <c r="A409" s="881" t="e">
        <f>+A380+1</f>
        <v>#REF!</v>
      </c>
      <c r="B409" s="875">
        <v>42275</v>
      </c>
      <c r="C409" s="877" t="s">
        <v>267</v>
      </c>
      <c r="D409" s="881" t="s">
        <v>296</v>
      </c>
      <c r="E409" s="935" t="s">
        <v>31</v>
      </c>
      <c r="F409" s="883">
        <v>100000</v>
      </c>
      <c r="G409" s="55">
        <v>719</v>
      </c>
      <c r="H409" s="78">
        <v>100000</v>
      </c>
      <c r="I409" s="873" t="s">
        <v>1422</v>
      </c>
      <c r="J409" s="875">
        <v>43140</v>
      </c>
      <c r="K409" s="877" t="s">
        <v>1654</v>
      </c>
      <c r="L409" s="881" t="s">
        <v>1660</v>
      </c>
      <c r="M409" s="881" t="s">
        <v>148</v>
      </c>
      <c r="N409" s="883">
        <v>3129600</v>
      </c>
      <c r="O409" s="55">
        <v>723</v>
      </c>
      <c r="P409" s="78">
        <f>+N409</f>
        <v>3129600</v>
      </c>
    </row>
    <row r="410" spans="1:16" ht="14.25" customHeight="1" thickBot="1">
      <c r="A410" s="882"/>
      <c r="B410" s="934"/>
      <c r="C410" s="878"/>
      <c r="D410" s="882"/>
      <c r="E410" s="936"/>
      <c r="F410" s="884"/>
      <c r="G410" s="56">
        <v>721</v>
      </c>
      <c r="H410" s="79"/>
      <c r="I410" s="882"/>
      <c r="J410" s="876"/>
      <c r="K410" s="878"/>
      <c r="L410" s="882"/>
      <c r="M410" s="882"/>
      <c r="N410" s="884"/>
      <c r="O410" s="56">
        <v>721</v>
      </c>
      <c r="P410" s="79">
        <f>+N409-P409</f>
        <v>0</v>
      </c>
    </row>
    <row r="411" spans="1:16" ht="13.5" customHeight="1">
      <c r="A411" s="881" t="e">
        <f>+A409+1</f>
        <v>#REF!</v>
      </c>
      <c r="B411" s="875">
        <v>42275</v>
      </c>
      <c r="C411" s="881" t="s">
        <v>28</v>
      </c>
      <c r="D411" s="881" t="s">
        <v>297</v>
      </c>
      <c r="E411" s="935" t="s">
        <v>28</v>
      </c>
      <c r="F411" s="883">
        <v>50000</v>
      </c>
      <c r="G411" s="55">
        <v>719</v>
      </c>
      <c r="H411" s="78">
        <v>50000</v>
      </c>
      <c r="I411" s="873" t="s">
        <v>1423</v>
      </c>
      <c r="J411" s="875">
        <v>43140</v>
      </c>
      <c r="K411" s="877" t="s">
        <v>1655</v>
      </c>
      <c r="L411" s="881" t="s">
        <v>1660</v>
      </c>
      <c r="M411" s="881" t="s">
        <v>148</v>
      </c>
      <c r="N411" s="883">
        <v>6000000</v>
      </c>
      <c r="O411" s="55">
        <v>723</v>
      </c>
      <c r="P411" s="78">
        <f>+N411</f>
        <v>6000000</v>
      </c>
    </row>
    <row r="412" spans="1:16" ht="14.25" customHeight="1" thickBot="1">
      <c r="A412" s="882"/>
      <c r="B412" s="934"/>
      <c r="C412" s="882"/>
      <c r="D412" s="882"/>
      <c r="E412" s="936"/>
      <c r="F412" s="884"/>
      <c r="G412" s="56">
        <v>721</v>
      </c>
      <c r="H412" s="79">
        <f>+F411-H411</f>
        <v>0</v>
      </c>
      <c r="I412" s="882"/>
      <c r="J412" s="876"/>
      <c r="K412" s="878"/>
      <c r="L412" s="882"/>
      <c r="M412" s="882"/>
      <c r="N412" s="884"/>
      <c r="O412" s="56">
        <v>721</v>
      </c>
      <c r="P412" s="79">
        <f>+N411-P411</f>
        <v>0</v>
      </c>
    </row>
    <row r="413" spans="1:16" ht="14.25" customHeight="1">
      <c r="A413" s="881" t="e">
        <f>+A411+1</f>
        <v>#REF!</v>
      </c>
      <c r="B413" s="875">
        <v>42275</v>
      </c>
      <c r="C413" s="877" t="s">
        <v>32</v>
      </c>
      <c r="D413" s="881" t="s">
        <v>297</v>
      </c>
      <c r="E413" s="877" t="s">
        <v>32</v>
      </c>
      <c r="F413" s="883">
        <v>30000</v>
      </c>
      <c r="G413" s="55">
        <v>719</v>
      </c>
      <c r="H413" s="78">
        <v>30000</v>
      </c>
      <c r="I413" s="873" t="s">
        <v>1424</v>
      </c>
      <c r="J413" s="875">
        <v>43140</v>
      </c>
      <c r="K413" s="877" t="s">
        <v>1415</v>
      </c>
      <c r="L413" s="881" t="s">
        <v>1660</v>
      </c>
      <c r="M413" s="881" t="s">
        <v>148</v>
      </c>
      <c r="N413" s="883">
        <v>2500000</v>
      </c>
      <c r="O413" s="55">
        <v>723</v>
      </c>
      <c r="P413" s="78">
        <f>+N413</f>
        <v>2500000</v>
      </c>
    </row>
    <row r="414" spans="1:16" ht="12.75" customHeight="1" thickBot="1">
      <c r="A414" s="882"/>
      <c r="B414" s="934"/>
      <c r="C414" s="878"/>
      <c r="D414" s="882"/>
      <c r="E414" s="878"/>
      <c r="F414" s="884"/>
      <c r="G414" s="56">
        <v>721</v>
      </c>
      <c r="H414" s="79">
        <f>+F413-H413</f>
        <v>0</v>
      </c>
      <c r="I414" s="882"/>
      <c r="J414" s="876"/>
      <c r="K414" s="878"/>
      <c r="L414" s="882"/>
      <c r="M414" s="882"/>
      <c r="N414" s="884"/>
      <c r="O414" s="56">
        <v>721</v>
      </c>
      <c r="P414" s="79">
        <f>+N413-P413</f>
        <v>0</v>
      </c>
    </row>
    <row r="415" spans="1:16" ht="12.75" customHeight="1">
      <c r="A415" s="881"/>
      <c r="B415" s="875"/>
      <c r="C415" s="877"/>
      <c r="D415" s="881"/>
      <c r="E415" s="881"/>
      <c r="F415" s="883"/>
      <c r="G415" s="55">
        <v>719</v>
      </c>
      <c r="H415" s="78"/>
      <c r="I415" s="873" t="s">
        <v>1431</v>
      </c>
      <c r="J415" s="875">
        <v>43140</v>
      </c>
      <c r="K415" s="877" t="s">
        <v>40</v>
      </c>
      <c r="L415" s="881" t="s">
        <v>1660</v>
      </c>
      <c r="M415" s="881" t="s">
        <v>148</v>
      </c>
      <c r="N415" s="883">
        <v>7821240</v>
      </c>
      <c r="O415" s="55">
        <v>723</v>
      </c>
      <c r="P415" s="78">
        <f>+N415</f>
        <v>7821240</v>
      </c>
    </row>
    <row r="416" spans="1:16" ht="13.5" customHeight="1" thickBot="1">
      <c r="A416" s="882"/>
      <c r="B416" s="934"/>
      <c r="C416" s="878"/>
      <c r="D416" s="882"/>
      <c r="E416" s="882"/>
      <c r="F416" s="884"/>
      <c r="G416" s="56">
        <v>721</v>
      </c>
      <c r="H416" s="79">
        <f>+F415-H415</f>
        <v>0</v>
      </c>
      <c r="I416" s="882"/>
      <c r="J416" s="876"/>
      <c r="K416" s="878"/>
      <c r="L416" s="882"/>
      <c r="M416" s="882"/>
      <c r="N416" s="884"/>
      <c r="O416" s="56">
        <v>721</v>
      </c>
      <c r="P416" s="79">
        <f>+N415-P415</f>
        <v>0</v>
      </c>
    </row>
    <row r="417" spans="1:16" ht="13.5" customHeight="1">
      <c r="A417" s="881"/>
      <c r="B417" s="875"/>
      <c r="C417" s="877"/>
      <c r="D417" s="881"/>
      <c r="E417" s="881"/>
      <c r="F417" s="883"/>
      <c r="G417" s="55">
        <v>719</v>
      </c>
      <c r="H417" s="78"/>
      <c r="I417" s="873" t="s">
        <v>1432</v>
      </c>
      <c r="J417" s="875">
        <v>43140</v>
      </c>
      <c r="K417" s="910" t="s">
        <v>1656</v>
      </c>
      <c r="L417" s="881" t="s">
        <v>1660</v>
      </c>
      <c r="M417" s="881" t="s">
        <v>148</v>
      </c>
      <c r="N417" s="883">
        <v>552000</v>
      </c>
      <c r="O417" s="55">
        <v>723</v>
      </c>
      <c r="P417" s="78">
        <f>+N417</f>
        <v>552000</v>
      </c>
    </row>
    <row r="418" spans="1:16" ht="12" customHeight="1" thickBot="1">
      <c r="A418" s="882"/>
      <c r="B418" s="934"/>
      <c r="C418" s="878"/>
      <c r="D418" s="882"/>
      <c r="E418" s="882"/>
      <c r="F418" s="884"/>
      <c r="G418" s="56">
        <v>721</v>
      </c>
      <c r="H418" s="79">
        <f>+F417-H417</f>
        <v>0</v>
      </c>
      <c r="I418" s="882"/>
      <c r="J418" s="876"/>
      <c r="K418" s="911"/>
      <c r="L418" s="882"/>
      <c r="M418" s="882"/>
      <c r="N418" s="884"/>
      <c r="O418" s="56">
        <v>721</v>
      </c>
      <c r="P418" s="79">
        <f>+N417-P417</f>
        <v>0</v>
      </c>
    </row>
    <row r="419" spans="1:16" ht="13.5" customHeight="1" thickBot="1">
      <c r="A419" s="901" t="s">
        <v>102</v>
      </c>
      <c r="B419" s="902"/>
      <c r="C419" s="902"/>
      <c r="D419" s="902"/>
      <c r="E419" s="903"/>
      <c r="F419" s="81">
        <f>SUM(F409:F418)</f>
        <v>180000</v>
      </c>
      <c r="I419" s="901" t="s">
        <v>102</v>
      </c>
      <c r="J419" s="902"/>
      <c r="K419" s="902"/>
      <c r="L419" s="902"/>
      <c r="M419" s="903"/>
      <c r="N419" s="81">
        <f>SUM(N409:N418)</f>
        <v>20002840</v>
      </c>
    </row>
    <row r="420" spans="1:16" ht="13.5" customHeight="1" thickBot="1">
      <c r="A420" s="885" t="s">
        <v>103</v>
      </c>
      <c r="B420" s="886"/>
      <c r="C420" s="886"/>
      <c r="D420" s="886"/>
      <c r="E420" s="887"/>
      <c r="F420" s="69">
        <f>+F384</f>
        <v>626460225</v>
      </c>
      <c r="I420" s="885" t="s">
        <v>103</v>
      </c>
      <c r="J420" s="886"/>
      <c r="K420" s="886"/>
      <c r="L420" s="886"/>
      <c r="M420" s="887"/>
      <c r="N420" s="239">
        <f>+N384</f>
        <v>255405332</v>
      </c>
      <c r="O420" s="241" t="s">
        <v>561</v>
      </c>
      <c r="P420" s="242"/>
    </row>
    <row r="421" spans="1:16" ht="14.25" customHeight="1" thickBot="1">
      <c r="A421" s="888" t="s">
        <v>104</v>
      </c>
      <c r="B421" s="889"/>
      <c r="C421" s="889"/>
      <c r="D421" s="889"/>
      <c r="E421" s="890"/>
      <c r="F421" s="183">
        <f>SUM(F419:F420)</f>
        <v>626640225</v>
      </c>
      <c r="I421" s="888" t="s">
        <v>104</v>
      </c>
      <c r="J421" s="889"/>
      <c r="K421" s="889"/>
      <c r="L421" s="889"/>
      <c r="M421" s="890"/>
      <c r="N421" s="183">
        <f>SUM(N419:N420)</f>
        <v>275408172</v>
      </c>
    </row>
    <row r="422" spans="1:16" ht="12" customHeight="1">
      <c r="A422" s="61"/>
      <c r="B422" s="61"/>
      <c r="C422" s="61"/>
      <c r="D422" s="61"/>
      <c r="E422" s="61"/>
      <c r="I422" s="61"/>
      <c r="J422" s="61"/>
      <c r="K422" s="61"/>
      <c r="L422" s="61"/>
      <c r="M422" s="61"/>
    </row>
    <row r="423" spans="1:16">
      <c r="A423" s="51" t="s">
        <v>298</v>
      </c>
      <c r="I423" s="51" t="s">
        <v>1657</v>
      </c>
    </row>
    <row r="424" spans="1:16" ht="3" customHeight="1">
      <c r="F424" s="139"/>
      <c r="N424" s="139"/>
    </row>
    <row r="425" spans="1:16">
      <c r="A425" s="50" t="s">
        <v>105</v>
      </c>
      <c r="D425" s="146"/>
      <c r="F425" s="139"/>
      <c r="I425" s="50" t="s">
        <v>105</v>
      </c>
      <c r="L425" s="146"/>
      <c r="N425" s="139"/>
    </row>
    <row r="426" spans="1:16" ht="6" customHeight="1" thickBot="1"/>
    <row r="427" spans="1:16" ht="17.25" thickBot="1">
      <c r="A427" s="891" t="s">
        <v>106</v>
      </c>
      <c r="B427" s="892"/>
      <c r="C427" s="892"/>
      <c r="D427" s="893"/>
      <c r="F427" s="50" t="s">
        <v>288</v>
      </c>
      <c r="I427" s="891" t="s">
        <v>106</v>
      </c>
      <c r="J427" s="892"/>
      <c r="K427" s="892"/>
      <c r="L427" s="893"/>
      <c r="N427" s="605" t="s">
        <v>288</v>
      </c>
      <c r="O427" s="605"/>
      <c r="P427" s="605"/>
    </row>
    <row r="428" spans="1:16" ht="30.75" thickBot="1">
      <c r="A428" s="57" t="s">
        <v>100</v>
      </c>
      <c r="B428" s="58" t="s">
        <v>108</v>
      </c>
      <c r="C428" s="59" t="s">
        <v>109</v>
      </c>
      <c r="D428" s="60" t="s">
        <v>110</v>
      </c>
      <c r="I428" s="57" t="s">
        <v>100</v>
      </c>
      <c r="J428" s="58" t="s">
        <v>108</v>
      </c>
      <c r="K428" s="59" t="s">
        <v>109</v>
      </c>
      <c r="L428" s="60" t="s">
        <v>110</v>
      </c>
      <c r="N428" s="202"/>
      <c r="O428" s="202"/>
      <c r="P428" s="202"/>
    </row>
    <row r="429" spans="1:16" ht="12.75" customHeight="1">
      <c r="A429" s="71">
        <v>719</v>
      </c>
      <c r="B429" s="73">
        <f>+H409+H411+H413+H415+H417</f>
        <v>180000</v>
      </c>
      <c r="C429" s="74" t="e">
        <f>+D392</f>
        <v>#REF!</v>
      </c>
      <c r="D429" s="76" t="e">
        <f>+B429+C429</f>
        <v>#REF!</v>
      </c>
      <c r="I429" s="71">
        <v>719</v>
      </c>
      <c r="J429" s="73">
        <v>0</v>
      </c>
      <c r="K429" s="74">
        <f>+L392</f>
        <v>0</v>
      </c>
      <c r="L429" s="195">
        <f>+J429+K429</f>
        <v>0</v>
      </c>
      <c r="N429" s="202"/>
      <c r="O429" s="202"/>
      <c r="P429" s="202"/>
    </row>
    <row r="430" spans="1:16" ht="13.5" customHeight="1">
      <c r="A430" s="72">
        <v>721</v>
      </c>
      <c r="B430" s="80">
        <f>+H410+H412+H414+H416+H418</f>
        <v>0</v>
      </c>
      <c r="C430" s="74" t="e">
        <f>+D393</f>
        <v>#REF!</v>
      </c>
      <c r="D430" s="76" t="e">
        <f>+B430+C430</f>
        <v>#REF!</v>
      </c>
      <c r="I430" s="72">
        <v>721</v>
      </c>
      <c r="J430" s="80">
        <f>+P410+P412+P414+P416+P418</f>
        <v>0</v>
      </c>
      <c r="K430" s="74">
        <f>+L393</f>
        <v>0</v>
      </c>
      <c r="L430" s="195">
        <f>+J430+K430</f>
        <v>0</v>
      </c>
      <c r="N430" s="202"/>
      <c r="O430" s="202"/>
      <c r="P430" s="202"/>
    </row>
    <row r="431" spans="1:16" ht="12.75" customHeight="1">
      <c r="A431" s="72">
        <v>722</v>
      </c>
      <c r="B431" s="80"/>
      <c r="C431" s="74">
        <f>+D394</f>
        <v>231207671</v>
      </c>
      <c r="D431" s="76">
        <f>+B431+C431</f>
        <v>231207671</v>
      </c>
      <c r="I431" s="72">
        <v>722</v>
      </c>
      <c r="J431" s="80"/>
      <c r="K431" s="74">
        <f>+L394</f>
        <v>0</v>
      </c>
      <c r="L431" s="195">
        <f>+J431+K431</f>
        <v>0</v>
      </c>
      <c r="N431" s="202"/>
      <c r="O431" s="202"/>
      <c r="P431" s="202"/>
    </row>
    <row r="432" spans="1:16" ht="14.25" customHeight="1">
      <c r="A432" s="72">
        <v>723</v>
      </c>
      <c r="B432" s="80"/>
      <c r="C432" s="74">
        <f>+D395</f>
        <v>321228837</v>
      </c>
      <c r="D432" s="76">
        <f>+B432+C432</f>
        <v>321228837</v>
      </c>
      <c r="F432" s="193" t="s">
        <v>289</v>
      </c>
      <c r="G432" s="175"/>
      <c r="I432" s="72">
        <v>723</v>
      </c>
      <c r="J432" s="80">
        <f>+P409+P411+P413+P415+P417</f>
        <v>20002840</v>
      </c>
      <c r="K432" s="74">
        <f>+L395</f>
        <v>255405332</v>
      </c>
      <c r="L432" s="195">
        <f>+J432+K432</f>
        <v>275408172</v>
      </c>
      <c r="N432" s="608" t="s">
        <v>1436</v>
      </c>
      <c r="O432" s="608"/>
      <c r="P432" s="608"/>
    </row>
    <row r="433" spans="1:16" ht="13.5" customHeight="1" thickBot="1">
      <c r="A433" s="164" t="s">
        <v>181</v>
      </c>
      <c r="B433" s="165"/>
      <c r="C433" s="74">
        <f>+D396</f>
        <v>1965625</v>
      </c>
      <c r="D433" s="168">
        <f>+B433+C433</f>
        <v>1965625</v>
      </c>
      <c r="F433" s="52"/>
      <c r="I433" s="164" t="s">
        <v>181</v>
      </c>
      <c r="J433" s="165"/>
      <c r="K433" s="74">
        <f>+L396</f>
        <v>0</v>
      </c>
      <c r="L433" s="196">
        <f>+J433+K433</f>
        <v>0</v>
      </c>
      <c r="N433" s="52"/>
    </row>
    <row r="434" spans="1:16" ht="16.5" customHeight="1" thickBot="1">
      <c r="A434" s="169"/>
      <c r="B434" s="170">
        <f>SUM(B429:B433)</f>
        <v>180000</v>
      </c>
      <c r="C434" s="171" t="e">
        <f>SUM(C429:C433)</f>
        <v>#REF!</v>
      </c>
      <c r="D434" s="172" t="e">
        <f>SUM(D429:D433)</f>
        <v>#REF!</v>
      </c>
      <c r="I434" s="169"/>
      <c r="J434" s="197">
        <f>SUM(J429:J433)</f>
        <v>20002840</v>
      </c>
      <c r="K434" s="197">
        <f>SUM(K429:K433)</f>
        <v>255405332</v>
      </c>
      <c r="L434" s="198">
        <f>SUM(L429:L433)</f>
        <v>275408172</v>
      </c>
    </row>
    <row r="435" spans="1:16" ht="13.5" customHeight="1">
      <c r="A435" s="49" t="s">
        <v>88</v>
      </c>
      <c r="B435" s="50"/>
      <c r="I435" s="49" t="s">
        <v>88</v>
      </c>
      <c r="J435" s="50"/>
    </row>
    <row r="436" spans="1:16" ht="12.75" customHeight="1">
      <c r="A436" s="51" t="s">
        <v>89</v>
      </c>
      <c r="I436" s="51" t="s">
        <v>89</v>
      </c>
    </row>
    <row r="437" spans="1:16" ht="13.5" customHeight="1">
      <c r="A437" s="51" t="s">
        <v>90</v>
      </c>
      <c r="I437" s="51" t="s">
        <v>90</v>
      </c>
    </row>
    <row r="438" spans="1:16" ht="12.75" customHeight="1">
      <c r="A438" s="51" t="s">
        <v>91</v>
      </c>
      <c r="I438" s="51" t="s">
        <v>91</v>
      </c>
    </row>
    <row r="439" spans="1:16" ht="3.75" customHeight="1">
      <c r="A439" s="50"/>
      <c r="B439" s="50"/>
      <c r="I439" s="50"/>
      <c r="J439" s="50"/>
    </row>
    <row r="440" spans="1:16" ht="12.75" customHeight="1">
      <c r="A440" s="52" t="s">
        <v>299</v>
      </c>
      <c r="G440" s="52"/>
      <c r="I440" s="52" t="s">
        <v>636</v>
      </c>
      <c r="O440" s="52"/>
    </row>
    <row r="441" spans="1:16" ht="15.75">
      <c r="A441" s="53" t="s">
        <v>92</v>
      </c>
      <c r="G441" s="53"/>
      <c r="I441" s="53" t="s">
        <v>1623</v>
      </c>
      <c r="O441" s="53"/>
    </row>
    <row r="442" spans="1:16" ht="13.5" customHeight="1">
      <c r="A442" s="894" t="s">
        <v>261</v>
      </c>
      <c r="B442" s="894"/>
      <c r="C442" s="894"/>
      <c r="D442" s="894"/>
      <c r="E442" s="894"/>
      <c r="F442" s="894"/>
      <c r="G442" s="894"/>
      <c r="H442" s="894"/>
      <c r="I442" s="894" t="s">
        <v>212</v>
      </c>
      <c r="J442" s="894"/>
      <c r="K442" s="894"/>
      <c r="L442" s="894"/>
      <c r="M442" s="894"/>
      <c r="N442" s="894"/>
      <c r="O442" s="894"/>
      <c r="P442" s="894"/>
    </row>
    <row r="443" spans="1:16" ht="9" customHeight="1" thickBot="1"/>
    <row r="444" spans="1:16">
      <c r="A444" s="895" t="s">
        <v>94</v>
      </c>
      <c r="B444" s="897" t="s">
        <v>95</v>
      </c>
      <c r="C444" s="897" t="s">
        <v>96</v>
      </c>
      <c r="D444" s="897" t="s">
        <v>3</v>
      </c>
      <c r="E444" s="897" t="s">
        <v>97</v>
      </c>
      <c r="F444" s="897" t="s">
        <v>98</v>
      </c>
      <c r="G444" s="897" t="s">
        <v>99</v>
      </c>
      <c r="H444" s="899"/>
      <c r="I444" s="895" t="s">
        <v>94</v>
      </c>
      <c r="J444" s="897" t="s">
        <v>95</v>
      </c>
      <c r="K444" s="897" t="s">
        <v>96</v>
      </c>
      <c r="L444" s="897" t="s">
        <v>3</v>
      </c>
      <c r="M444" s="897" t="s">
        <v>97</v>
      </c>
      <c r="N444" s="897" t="s">
        <v>98</v>
      </c>
      <c r="O444" s="897" t="s">
        <v>99</v>
      </c>
      <c r="P444" s="899"/>
    </row>
    <row r="445" spans="1:16" ht="15.75" thickBot="1">
      <c r="A445" s="896"/>
      <c r="B445" s="898"/>
      <c r="C445" s="898"/>
      <c r="D445" s="898"/>
      <c r="E445" s="898"/>
      <c r="F445" s="898"/>
      <c r="G445" s="240" t="s">
        <v>100</v>
      </c>
      <c r="H445" s="182" t="s">
        <v>101</v>
      </c>
      <c r="I445" s="896"/>
      <c r="J445" s="898"/>
      <c r="K445" s="898"/>
      <c r="L445" s="898"/>
      <c r="M445" s="898"/>
      <c r="N445" s="898"/>
      <c r="O445" s="240" t="s">
        <v>100</v>
      </c>
      <c r="P445" s="182" t="s">
        <v>101</v>
      </c>
    </row>
    <row r="446" spans="1:16" ht="14.25" customHeight="1">
      <c r="A446" s="881" t="e">
        <f>+A413+1</f>
        <v>#REF!</v>
      </c>
      <c r="B446" s="875">
        <v>42278</v>
      </c>
      <c r="C446" s="877" t="s">
        <v>267</v>
      </c>
      <c r="D446" s="881" t="s">
        <v>300</v>
      </c>
      <c r="E446" s="881" t="s">
        <v>148</v>
      </c>
      <c r="F446" s="883">
        <v>196000</v>
      </c>
      <c r="G446" s="55">
        <v>719</v>
      </c>
      <c r="H446" s="78">
        <v>160000</v>
      </c>
      <c r="I446" s="873" t="s">
        <v>1433</v>
      </c>
      <c r="J446" s="875">
        <v>43140</v>
      </c>
      <c r="K446" s="877" t="s">
        <v>28</v>
      </c>
      <c r="L446" s="881" t="s">
        <v>1660</v>
      </c>
      <c r="M446" s="881" t="s">
        <v>148</v>
      </c>
      <c r="N446" s="883">
        <v>8509200</v>
      </c>
      <c r="O446" s="55">
        <v>719</v>
      </c>
      <c r="P446" s="78"/>
    </row>
    <row r="447" spans="1:16" ht="13.5" customHeight="1" thickBot="1">
      <c r="A447" s="882"/>
      <c r="B447" s="934"/>
      <c r="C447" s="878"/>
      <c r="D447" s="882"/>
      <c r="E447" s="882"/>
      <c r="F447" s="884"/>
      <c r="G447" s="56">
        <v>721</v>
      </c>
      <c r="H447" s="79">
        <f>+F446-H446</f>
        <v>36000</v>
      </c>
      <c r="I447" s="882"/>
      <c r="J447" s="876"/>
      <c r="K447" s="878"/>
      <c r="L447" s="882"/>
      <c r="M447" s="882"/>
      <c r="N447" s="884"/>
      <c r="O447" s="56">
        <v>723</v>
      </c>
      <c r="P447" s="79">
        <f>+N446-P446</f>
        <v>8509200</v>
      </c>
    </row>
    <row r="448" spans="1:16" ht="12.75" customHeight="1">
      <c r="A448" s="881" t="e">
        <f>+A446+1</f>
        <v>#REF!</v>
      </c>
      <c r="B448" s="875">
        <v>42278</v>
      </c>
      <c r="C448" s="881" t="s">
        <v>28</v>
      </c>
      <c r="D448" s="881" t="s">
        <v>301</v>
      </c>
      <c r="E448" s="881" t="s">
        <v>148</v>
      </c>
      <c r="F448" s="883">
        <v>224000</v>
      </c>
      <c r="G448" s="55">
        <v>719</v>
      </c>
      <c r="H448" s="78">
        <v>160000</v>
      </c>
      <c r="I448" s="873" t="s">
        <v>1434</v>
      </c>
      <c r="J448" s="875">
        <v>43140</v>
      </c>
      <c r="K448" s="877" t="s">
        <v>1438</v>
      </c>
      <c r="L448" s="881" t="s">
        <v>1660</v>
      </c>
      <c r="M448" s="881" t="s">
        <v>148</v>
      </c>
      <c r="N448" s="883">
        <v>7875000</v>
      </c>
      <c r="O448" s="55">
        <v>719</v>
      </c>
      <c r="P448" s="78"/>
    </row>
    <row r="449" spans="1:16" ht="13.5" customHeight="1" thickBot="1">
      <c r="A449" s="882"/>
      <c r="B449" s="934"/>
      <c r="C449" s="882"/>
      <c r="D449" s="882"/>
      <c r="E449" s="882"/>
      <c r="F449" s="884"/>
      <c r="G449" s="56">
        <v>721</v>
      </c>
      <c r="H449" s="79">
        <f>+F448-H448</f>
        <v>64000</v>
      </c>
      <c r="I449" s="882"/>
      <c r="J449" s="876"/>
      <c r="K449" s="878"/>
      <c r="L449" s="882"/>
      <c r="M449" s="882"/>
      <c r="N449" s="884"/>
      <c r="O449" s="56">
        <v>723</v>
      </c>
      <c r="P449" s="79">
        <f>+N448-P448</f>
        <v>7875000</v>
      </c>
    </row>
    <row r="450" spans="1:16" ht="13.5" customHeight="1">
      <c r="A450" s="881" t="e">
        <f>+A448+1</f>
        <v>#REF!</v>
      </c>
      <c r="B450" s="875">
        <v>42278</v>
      </c>
      <c r="C450" s="877" t="s">
        <v>32</v>
      </c>
      <c r="D450" s="881" t="s">
        <v>301</v>
      </c>
      <c r="E450" s="881" t="s">
        <v>148</v>
      </c>
      <c r="F450" s="883">
        <v>112000</v>
      </c>
      <c r="G450" s="55">
        <v>719</v>
      </c>
      <c r="H450" s="78">
        <v>80000</v>
      </c>
      <c r="I450" s="873" t="s">
        <v>1435</v>
      </c>
      <c r="J450" s="875">
        <v>43140</v>
      </c>
      <c r="K450" s="877" t="s">
        <v>1658</v>
      </c>
      <c r="L450" s="881" t="s">
        <v>1660</v>
      </c>
      <c r="M450" s="881" t="s">
        <v>148</v>
      </c>
      <c r="N450" s="883">
        <v>3980000</v>
      </c>
      <c r="O450" s="55">
        <v>719</v>
      </c>
      <c r="P450" s="78"/>
    </row>
    <row r="451" spans="1:16" ht="13.5" customHeight="1" thickBot="1">
      <c r="A451" s="882"/>
      <c r="B451" s="934"/>
      <c r="C451" s="878"/>
      <c r="D451" s="882"/>
      <c r="E451" s="882"/>
      <c r="F451" s="884"/>
      <c r="G451" s="56">
        <v>721</v>
      </c>
      <c r="H451" s="79">
        <f>+F450-H450</f>
        <v>32000</v>
      </c>
      <c r="I451" s="882"/>
      <c r="J451" s="876"/>
      <c r="K451" s="878"/>
      <c r="L451" s="882"/>
      <c r="M451" s="882"/>
      <c r="N451" s="884"/>
      <c r="O451" s="56">
        <v>723</v>
      </c>
      <c r="P451" s="79">
        <f>+N450-P450</f>
        <v>3980000</v>
      </c>
    </row>
    <row r="452" spans="1:16" ht="12.75" customHeight="1">
      <c r="A452" s="881" t="e">
        <f>+A450+1</f>
        <v>#REF!</v>
      </c>
      <c r="B452" s="875">
        <v>42278</v>
      </c>
      <c r="C452" s="877" t="s">
        <v>111</v>
      </c>
      <c r="D452" s="881" t="s">
        <v>302</v>
      </c>
      <c r="E452" s="881" t="s">
        <v>148</v>
      </c>
      <c r="F452" s="883">
        <v>84000</v>
      </c>
      <c r="G452" s="55">
        <v>719</v>
      </c>
      <c r="H452" s="78">
        <v>60000</v>
      </c>
      <c r="I452" s="873" t="s">
        <v>1443</v>
      </c>
      <c r="J452" s="875">
        <v>43140</v>
      </c>
      <c r="K452" s="905" t="s">
        <v>1659</v>
      </c>
      <c r="L452" s="881" t="s">
        <v>1660</v>
      </c>
      <c r="M452" s="881" t="s">
        <v>148</v>
      </c>
      <c r="N452" s="883">
        <v>16099000</v>
      </c>
      <c r="O452" s="55">
        <v>719</v>
      </c>
      <c r="P452" s="78"/>
    </row>
    <row r="453" spans="1:16" ht="14.25" customHeight="1" thickBot="1">
      <c r="A453" s="882"/>
      <c r="B453" s="934"/>
      <c r="C453" s="878"/>
      <c r="D453" s="882"/>
      <c r="E453" s="882"/>
      <c r="F453" s="884"/>
      <c r="G453" s="56">
        <v>721</v>
      </c>
      <c r="H453" s="79">
        <f>+F452-H452</f>
        <v>24000</v>
      </c>
      <c r="I453" s="882"/>
      <c r="J453" s="876"/>
      <c r="K453" s="906"/>
      <c r="L453" s="882"/>
      <c r="M453" s="882"/>
      <c r="N453" s="884"/>
      <c r="O453" s="56">
        <v>723</v>
      </c>
      <c r="P453" s="79">
        <f>+N452-P452</f>
        <v>16099000</v>
      </c>
    </row>
    <row r="454" spans="1:16" ht="16.5" thickBot="1">
      <c r="A454" s="901" t="s">
        <v>102</v>
      </c>
      <c r="B454" s="902"/>
      <c r="C454" s="902"/>
      <c r="D454" s="902"/>
      <c r="E454" s="903"/>
      <c r="F454" s="81">
        <f>SUM(F446:F453)</f>
        <v>616000</v>
      </c>
      <c r="I454" s="901" t="s">
        <v>102</v>
      </c>
      <c r="J454" s="902"/>
      <c r="K454" s="902"/>
      <c r="L454" s="902"/>
      <c r="M454" s="903"/>
      <c r="N454" s="81">
        <f>SUM(N446:N453)</f>
        <v>36463200</v>
      </c>
    </row>
    <row r="455" spans="1:16" ht="16.5" thickBot="1">
      <c r="A455" s="885" t="s">
        <v>103</v>
      </c>
      <c r="B455" s="886"/>
      <c r="C455" s="886"/>
      <c r="D455" s="886"/>
      <c r="E455" s="887"/>
      <c r="F455" s="69">
        <f>+F421</f>
        <v>626640225</v>
      </c>
      <c r="I455" s="885" t="s">
        <v>103</v>
      </c>
      <c r="J455" s="886"/>
      <c r="K455" s="886"/>
      <c r="L455" s="886"/>
      <c r="M455" s="887"/>
      <c r="N455" s="239">
        <f>+N421</f>
        <v>275408172</v>
      </c>
      <c r="O455" s="241" t="s">
        <v>561</v>
      </c>
      <c r="P455" s="242"/>
    </row>
    <row r="456" spans="1:16" ht="16.5" thickBot="1">
      <c r="A456" s="888" t="s">
        <v>104</v>
      </c>
      <c r="B456" s="889"/>
      <c r="C456" s="889"/>
      <c r="D456" s="889"/>
      <c r="E456" s="890"/>
      <c r="F456" s="183">
        <f>SUM(F454:F455)</f>
        <v>627256225</v>
      </c>
      <c r="I456" s="888" t="s">
        <v>104</v>
      </c>
      <c r="J456" s="889"/>
      <c r="K456" s="889"/>
      <c r="L456" s="889"/>
      <c r="M456" s="890"/>
      <c r="N456" s="183">
        <f>SUM(N454:N455)</f>
        <v>311871372</v>
      </c>
    </row>
    <row r="457" spans="1:16" ht="13.5" customHeight="1">
      <c r="A457" s="61"/>
      <c r="B457" s="61"/>
      <c r="C457" s="61"/>
      <c r="D457" s="61"/>
      <c r="E457" s="61"/>
      <c r="I457" s="61"/>
      <c r="J457" s="61"/>
      <c r="K457" s="61"/>
      <c r="L457" s="61"/>
      <c r="M457" s="61"/>
    </row>
    <row r="458" spans="1:16">
      <c r="A458" s="51" t="s">
        <v>303</v>
      </c>
      <c r="I458" s="51" t="s">
        <v>1450</v>
      </c>
    </row>
    <row r="459" spans="1:16" ht="11.25" customHeight="1">
      <c r="F459" s="139"/>
      <c r="N459" s="139"/>
    </row>
    <row r="460" spans="1:16">
      <c r="A460" s="50" t="s">
        <v>105</v>
      </c>
      <c r="D460" s="146"/>
      <c r="F460" s="139"/>
      <c r="I460" s="50" t="s">
        <v>105</v>
      </c>
      <c r="L460" s="146"/>
      <c r="N460" s="139"/>
    </row>
    <row r="461" spans="1:16" ht="13.5" customHeight="1" thickBot="1"/>
    <row r="462" spans="1:16" ht="17.25" thickBot="1">
      <c r="A462" s="891" t="s">
        <v>106</v>
      </c>
      <c r="B462" s="892"/>
      <c r="C462" s="892"/>
      <c r="D462" s="893"/>
      <c r="F462" s="50" t="s">
        <v>288</v>
      </c>
      <c r="I462" s="891" t="s">
        <v>106</v>
      </c>
      <c r="J462" s="892"/>
      <c r="K462" s="892"/>
      <c r="L462" s="893"/>
      <c r="N462" s="605" t="s">
        <v>288</v>
      </c>
      <c r="O462" s="605"/>
      <c r="P462" s="605"/>
    </row>
    <row r="463" spans="1:16" ht="28.5" customHeight="1" thickBot="1">
      <c r="A463" s="57" t="s">
        <v>100</v>
      </c>
      <c r="B463" s="58" t="s">
        <v>108</v>
      </c>
      <c r="C463" s="59" t="s">
        <v>109</v>
      </c>
      <c r="D463" s="60" t="s">
        <v>110</v>
      </c>
      <c r="I463" s="57" t="s">
        <v>100</v>
      </c>
      <c r="J463" s="58" t="s">
        <v>108</v>
      </c>
      <c r="K463" s="59" t="s">
        <v>109</v>
      </c>
      <c r="L463" s="60" t="s">
        <v>110</v>
      </c>
      <c r="N463" s="202"/>
      <c r="O463" s="202"/>
      <c r="P463" s="202"/>
    </row>
    <row r="464" spans="1:16" ht="15" customHeight="1">
      <c r="A464" s="71">
        <v>719</v>
      </c>
      <c r="B464" s="73" t="e">
        <f>+H446+H448+H450+H452+#REF!</f>
        <v>#REF!</v>
      </c>
      <c r="C464" s="74" t="e">
        <f>+D429</f>
        <v>#REF!</v>
      </c>
      <c r="D464" s="195" t="e">
        <f>+B464+C464</f>
        <v>#REF!</v>
      </c>
      <c r="I464" s="71">
        <v>719</v>
      </c>
      <c r="J464" s="73">
        <v>0</v>
      </c>
      <c r="K464" s="74">
        <f>+L429</f>
        <v>0</v>
      </c>
      <c r="L464" s="195">
        <f>+J464+K464</f>
        <v>0</v>
      </c>
      <c r="N464" s="202"/>
      <c r="O464" s="202"/>
      <c r="P464" s="202"/>
    </row>
    <row r="465" spans="1:16" ht="13.5" customHeight="1">
      <c r="A465" s="72">
        <v>721</v>
      </c>
      <c r="B465" s="80" t="e">
        <f>+H447+H449+H451+H453+#REF!</f>
        <v>#REF!</v>
      </c>
      <c r="C465" s="74" t="e">
        <f>+D430</f>
        <v>#REF!</v>
      </c>
      <c r="D465" s="195" t="e">
        <f>+B465+C465</f>
        <v>#REF!</v>
      </c>
      <c r="I465" s="72">
        <v>721</v>
      </c>
      <c r="J465" s="80"/>
      <c r="K465" s="74">
        <f>+L430</f>
        <v>0</v>
      </c>
      <c r="L465" s="195">
        <f>+J465+K465</f>
        <v>0</v>
      </c>
      <c r="N465" s="202"/>
      <c r="O465" s="202"/>
      <c r="P465" s="202"/>
    </row>
    <row r="466" spans="1:16" ht="15" customHeight="1">
      <c r="A466" s="72">
        <v>722</v>
      </c>
      <c r="B466" s="80"/>
      <c r="C466" s="74">
        <f>+D431</f>
        <v>231207671</v>
      </c>
      <c r="D466" s="195">
        <f>+B466+C466</f>
        <v>231207671</v>
      </c>
      <c r="I466" s="72">
        <v>722</v>
      </c>
      <c r="J466" s="80"/>
      <c r="K466" s="74">
        <f>+L431</f>
        <v>0</v>
      </c>
      <c r="L466" s="195">
        <f>+J466+K466</f>
        <v>0</v>
      </c>
      <c r="N466" s="202"/>
      <c r="O466" s="202"/>
      <c r="P466" s="202"/>
    </row>
    <row r="467" spans="1:16" ht="14.25" customHeight="1">
      <c r="A467" s="72">
        <v>723</v>
      </c>
      <c r="B467" s="80"/>
      <c r="C467" s="74">
        <f>+D432</f>
        <v>321228837</v>
      </c>
      <c r="D467" s="195">
        <f>+B467+C467</f>
        <v>321228837</v>
      </c>
      <c r="F467" s="193" t="s">
        <v>289</v>
      </c>
      <c r="G467" s="175"/>
      <c r="I467" s="72">
        <v>723</v>
      </c>
      <c r="J467" s="80">
        <f>+P453+P451+P449+P447</f>
        <v>36463200</v>
      </c>
      <c r="K467" s="74">
        <f>+L432</f>
        <v>275408172</v>
      </c>
      <c r="L467" s="195">
        <f>+J467+K467</f>
        <v>311871372</v>
      </c>
      <c r="N467" s="608" t="s">
        <v>1436</v>
      </c>
      <c r="O467" s="608"/>
      <c r="P467" s="608"/>
    </row>
    <row r="468" spans="1:16" ht="15" customHeight="1" thickBot="1">
      <c r="A468" s="164" t="s">
        <v>181</v>
      </c>
      <c r="B468" s="165"/>
      <c r="C468" s="74">
        <f>+D433</f>
        <v>1965625</v>
      </c>
      <c r="D468" s="196">
        <f>+B468+C468</f>
        <v>1965625</v>
      </c>
      <c r="F468" s="52"/>
      <c r="I468" s="164" t="s">
        <v>181</v>
      </c>
      <c r="J468" s="165"/>
      <c r="K468" s="74">
        <f>+L433</f>
        <v>0</v>
      </c>
      <c r="L468" s="196">
        <f>+J468+K468</f>
        <v>0</v>
      </c>
      <c r="N468" s="52"/>
    </row>
    <row r="469" spans="1:16" ht="15" customHeight="1" thickBot="1">
      <c r="A469" s="169"/>
      <c r="B469" s="170" t="e">
        <f>SUM(B464:B468)</f>
        <v>#REF!</v>
      </c>
      <c r="C469" s="171" t="e">
        <f>SUM(C464:C468)</f>
        <v>#REF!</v>
      </c>
      <c r="D469" s="172" t="e">
        <f>SUM(D464:D468)</f>
        <v>#REF!</v>
      </c>
      <c r="I469" s="169"/>
      <c r="J469" s="197">
        <f>SUM(J464:J468)</f>
        <v>36463200</v>
      </c>
      <c r="K469" s="197">
        <f>SUM(K464:K468)</f>
        <v>275408172</v>
      </c>
      <c r="L469" s="198">
        <f>SUM(L464:L468)</f>
        <v>311871372</v>
      </c>
    </row>
    <row r="470" spans="1:16" ht="16.5">
      <c r="A470" s="49" t="s">
        <v>88</v>
      </c>
      <c r="B470" s="50"/>
      <c r="I470" s="49" t="s">
        <v>88</v>
      </c>
      <c r="J470" s="50"/>
    </row>
    <row r="471" spans="1:16" ht="13.5" customHeight="1">
      <c r="A471" s="51" t="s">
        <v>89</v>
      </c>
      <c r="I471" s="51" t="s">
        <v>89</v>
      </c>
    </row>
    <row r="472" spans="1:16">
      <c r="A472" s="51" t="s">
        <v>90</v>
      </c>
      <c r="I472" s="51" t="s">
        <v>90</v>
      </c>
    </row>
    <row r="473" spans="1:16">
      <c r="A473" s="51" t="s">
        <v>91</v>
      </c>
      <c r="I473" s="51" t="s">
        <v>91</v>
      </c>
    </row>
    <row r="474" spans="1:16" ht="10.5" customHeight="1">
      <c r="A474" s="50"/>
      <c r="B474" s="50"/>
      <c r="I474" s="50"/>
      <c r="J474" s="50"/>
    </row>
    <row r="475" spans="1:16" ht="16.5">
      <c r="A475" s="52" t="s">
        <v>307</v>
      </c>
      <c r="G475" s="52"/>
      <c r="I475" s="52" t="s">
        <v>637</v>
      </c>
      <c r="O475" s="52"/>
    </row>
    <row r="476" spans="1:16" ht="15.75">
      <c r="A476" s="53" t="s">
        <v>92</v>
      </c>
      <c r="G476" s="53"/>
      <c r="I476" s="53" t="s">
        <v>1623</v>
      </c>
      <c r="O476" s="53"/>
    </row>
    <row r="477" spans="1:16" ht="16.5">
      <c r="A477" s="894" t="s">
        <v>261</v>
      </c>
      <c r="B477" s="894"/>
      <c r="C477" s="894"/>
      <c r="D477" s="894"/>
      <c r="E477" s="894"/>
      <c r="F477" s="894"/>
      <c r="G477" s="894"/>
      <c r="H477" s="894"/>
      <c r="I477" s="894" t="s">
        <v>1688</v>
      </c>
      <c r="J477" s="894"/>
      <c r="K477" s="894"/>
      <c r="L477" s="894"/>
      <c r="M477" s="894"/>
      <c r="N477" s="894"/>
      <c r="O477" s="894"/>
      <c r="P477" s="894"/>
    </row>
    <row r="478" spans="1:16" ht="12.75" customHeight="1" thickBot="1"/>
    <row r="479" spans="1:16">
      <c r="A479" s="895" t="s">
        <v>94</v>
      </c>
      <c r="B479" s="897" t="s">
        <v>95</v>
      </c>
      <c r="C479" s="897" t="s">
        <v>96</v>
      </c>
      <c r="D479" s="897" t="s">
        <v>3</v>
      </c>
      <c r="E479" s="897" t="s">
        <v>97</v>
      </c>
      <c r="F479" s="897" t="s">
        <v>98</v>
      </c>
      <c r="G479" s="897" t="s">
        <v>99</v>
      </c>
      <c r="H479" s="899"/>
      <c r="I479" s="895" t="s">
        <v>94</v>
      </c>
      <c r="J479" s="897" t="s">
        <v>95</v>
      </c>
      <c r="K479" s="897" t="s">
        <v>96</v>
      </c>
      <c r="L479" s="897" t="s">
        <v>3</v>
      </c>
      <c r="M479" s="897" t="s">
        <v>97</v>
      </c>
      <c r="N479" s="897" t="s">
        <v>98</v>
      </c>
      <c r="O479" s="897" t="s">
        <v>99</v>
      </c>
      <c r="P479" s="899"/>
    </row>
    <row r="480" spans="1:16" ht="15.75" thickBot="1">
      <c r="A480" s="896"/>
      <c r="B480" s="898"/>
      <c r="C480" s="898"/>
      <c r="D480" s="898"/>
      <c r="E480" s="898"/>
      <c r="F480" s="898"/>
      <c r="G480" s="240" t="s">
        <v>100</v>
      </c>
      <c r="H480" s="182" t="s">
        <v>101</v>
      </c>
      <c r="I480" s="896"/>
      <c r="J480" s="898"/>
      <c r="K480" s="898"/>
      <c r="L480" s="898"/>
      <c r="M480" s="898"/>
      <c r="N480" s="898"/>
      <c r="O480" s="240" t="s">
        <v>100</v>
      </c>
      <c r="P480" s="182" t="s">
        <v>101</v>
      </c>
    </row>
    <row r="481" spans="1:16" ht="13.5" customHeight="1">
      <c r="A481" s="881" t="e">
        <f>+#REF!+1</f>
        <v>#REF!</v>
      </c>
      <c r="B481" s="875">
        <v>42278</v>
      </c>
      <c r="C481" s="877" t="s">
        <v>272</v>
      </c>
      <c r="D481" s="881" t="s">
        <v>305</v>
      </c>
      <c r="E481" s="881" t="s">
        <v>148</v>
      </c>
      <c r="F481" s="883">
        <v>100000</v>
      </c>
      <c r="G481" s="55">
        <v>719</v>
      </c>
      <c r="H481" s="78">
        <v>100000</v>
      </c>
      <c r="I481" s="873" t="s">
        <v>1444</v>
      </c>
      <c r="J481" s="875">
        <v>43167</v>
      </c>
      <c r="K481" s="877" t="s">
        <v>120</v>
      </c>
      <c r="L481" s="881" t="s">
        <v>1683</v>
      </c>
      <c r="M481" s="881" t="s">
        <v>775</v>
      </c>
      <c r="N481" s="883">
        <v>420000</v>
      </c>
      <c r="O481" s="55">
        <v>719</v>
      </c>
      <c r="P481" s="78">
        <v>420000</v>
      </c>
    </row>
    <row r="482" spans="1:16" ht="12.75" customHeight="1" thickBot="1">
      <c r="A482" s="882"/>
      <c r="B482" s="934"/>
      <c r="C482" s="878"/>
      <c r="D482" s="882"/>
      <c r="E482" s="882"/>
      <c r="F482" s="884"/>
      <c r="G482" s="56">
        <v>721</v>
      </c>
      <c r="H482" s="79">
        <f>+F481-H481</f>
        <v>0</v>
      </c>
      <c r="I482" s="882"/>
      <c r="J482" s="876"/>
      <c r="K482" s="878"/>
      <c r="L482" s="882"/>
      <c r="M482" s="882"/>
      <c r="N482" s="884"/>
      <c r="O482" s="461">
        <v>721</v>
      </c>
      <c r="P482" s="79">
        <f>+N481-P481</f>
        <v>0</v>
      </c>
    </row>
    <row r="483" spans="1:16" ht="12" customHeight="1">
      <c r="A483" s="881" t="e">
        <f>+A481+1</f>
        <v>#REF!</v>
      </c>
      <c r="B483" s="875">
        <v>42278</v>
      </c>
      <c r="C483" s="881" t="s">
        <v>28</v>
      </c>
      <c r="D483" s="881" t="s">
        <v>304</v>
      </c>
      <c r="E483" s="881" t="s">
        <v>115</v>
      </c>
      <c r="F483" s="883">
        <v>80000</v>
      </c>
      <c r="G483" s="55">
        <v>719</v>
      </c>
      <c r="H483" s="78">
        <v>80000</v>
      </c>
      <c r="I483" s="873" t="s">
        <v>1445</v>
      </c>
      <c r="J483" s="875">
        <v>43167</v>
      </c>
      <c r="K483" s="877" t="s">
        <v>120</v>
      </c>
      <c r="L483" s="969" t="s">
        <v>1686</v>
      </c>
      <c r="M483" s="881" t="s">
        <v>775</v>
      </c>
      <c r="N483" s="883">
        <v>570000</v>
      </c>
      <c r="O483" s="55">
        <v>719</v>
      </c>
      <c r="P483" s="78">
        <v>570000</v>
      </c>
    </row>
    <row r="484" spans="1:16" ht="14.25" customHeight="1" thickBot="1">
      <c r="A484" s="882"/>
      <c r="B484" s="934"/>
      <c r="C484" s="882"/>
      <c r="D484" s="882"/>
      <c r="E484" s="882"/>
      <c r="F484" s="884"/>
      <c r="G484" s="56">
        <v>721</v>
      </c>
      <c r="H484" s="79">
        <f>+F483-H483</f>
        <v>0</v>
      </c>
      <c r="I484" s="882"/>
      <c r="J484" s="876"/>
      <c r="K484" s="878"/>
      <c r="L484" s="970"/>
      <c r="M484" s="882"/>
      <c r="N484" s="884"/>
      <c r="O484" s="461">
        <v>721</v>
      </c>
      <c r="P484" s="79">
        <f>+N483-P483</f>
        <v>0</v>
      </c>
    </row>
    <row r="485" spans="1:16" ht="14.25" customHeight="1">
      <c r="A485" s="881" t="e">
        <f>+A483+1</f>
        <v>#REF!</v>
      </c>
      <c r="B485" s="875">
        <v>42278</v>
      </c>
      <c r="C485" s="877" t="s">
        <v>120</v>
      </c>
      <c r="D485" s="881" t="s">
        <v>304</v>
      </c>
      <c r="E485" s="881" t="s">
        <v>115</v>
      </c>
      <c r="F485" s="883">
        <v>80000</v>
      </c>
      <c r="G485" s="55">
        <v>719</v>
      </c>
      <c r="H485" s="78">
        <v>80000</v>
      </c>
      <c r="I485" s="873" t="s">
        <v>1446</v>
      </c>
      <c r="J485" s="875">
        <v>43167</v>
      </c>
      <c r="K485" s="877" t="s">
        <v>28</v>
      </c>
      <c r="L485" s="881" t="s">
        <v>1684</v>
      </c>
      <c r="M485" s="881" t="s">
        <v>775</v>
      </c>
      <c r="N485" s="883">
        <v>170000</v>
      </c>
      <c r="O485" s="55">
        <v>719</v>
      </c>
      <c r="P485" s="78">
        <v>170000</v>
      </c>
    </row>
    <row r="486" spans="1:16" ht="13.5" customHeight="1" thickBot="1">
      <c r="A486" s="882"/>
      <c r="B486" s="934"/>
      <c r="C486" s="878"/>
      <c r="D486" s="882"/>
      <c r="E486" s="882"/>
      <c r="F486" s="884"/>
      <c r="G486" s="56">
        <v>721</v>
      </c>
      <c r="H486" s="79">
        <f>+F485-H485</f>
        <v>0</v>
      </c>
      <c r="I486" s="882"/>
      <c r="J486" s="876"/>
      <c r="K486" s="878"/>
      <c r="L486" s="882"/>
      <c r="M486" s="882"/>
      <c r="N486" s="884"/>
      <c r="O486" s="56">
        <v>721</v>
      </c>
      <c r="P486" s="79">
        <f>+N485-P485</f>
        <v>0</v>
      </c>
    </row>
    <row r="487" spans="1:16" ht="12.75" customHeight="1">
      <c r="A487" s="881"/>
      <c r="B487" s="875"/>
      <c r="C487" s="877"/>
      <c r="D487" s="881"/>
      <c r="E487" s="881"/>
      <c r="F487" s="883"/>
      <c r="G487" s="55">
        <v>719</v>
      </c>
      <c r="H487" s="78"/>
      <c r="I487" s="873" t="s">
        <v>1447</v>
      </c>
      <c r="J487" s="875">
        <v>43167</v>
      </c>
      <c r="K487" s="877" t="s">
        <v>28</v>
      </c>
      <c r="L487" s="881" t="s">
        <v>1685</v>
      </c>
      <c r="M487" s="881" t="s">
        <v>775</v>
      </c>
      <c r="N487" s="883">
        <v>200000</v>
      </c>
      <c r="O487" s="55">
        <v>719</v>
      </c>
      <c r="P487" s="78">
        <v>200000</v>
      </c>
    </row>
    <row r="488" spans="1:16" ht="12.75" customHeight="1" thickBot="1">
      <c r="A488" s="882"/>
      <c r="B488" s="934"/>
      <c r="C488" s="878"/>
      <c r="D488" s="882"/>
      <c r="E488" s="882"/>
      <c r="F488" s="884"/>
      <c r="G488" s="56">
        <v>721</v>
      </c>
      <c r="H488" s="79">
        <f>+F487-H487</f>
        <v>0</v>
      </c>
      <c r="I488" s="882"/>
      <c r="J488" s="876"/>
      <c r="K488" s="878"/>
      <c r="L488" s="882"/>
      <c r="M488" s="882"/>
      <c r="N488" s="884"/>
      <c r="O488" s="461">
        <v>721</v>
      </c>
      <c r="P488" s="79">
        <f>+N487-P487</f>
        <v>0</v>
      </c>
    </row>
    <row r="489" spans="1:16" ht="12.75" customHeight="1">
      <c r="A489" s="881"/>
      <c r="B489" s="875"/>
      <c r="C489" s="877"/>
      <c r="D489" s="881"/>
      <c r="E489" s="881"/>
      <c r="F489" s="883"/>
      <c r="G489" s="55">
        <v>719</v>
      </c>
      <c r="H489" s="78"/>
      <c r="I489" s="873" t="s">
        <v>1451</v>
      </c>
      <c r="J489" s="875">
        <v>43167</v>
      </c>
      <c r="K489" s="877" t="s">
        <v>28</v>
      </c>
      <c r="L489" s="881" t="s">
        <v>1689</v>
      </c>
      <c r="M489" s="881" t="s">
        <v>145</v>
      </c>
      <c r="N489" s="883">
        <v>39281624</v>
      </c>
      <c r="O489" s="55">
        <v>719</v>
      </c>
      <c r="P489" s="78"/>
    </row>
    <row r="490" spans="1:16" ht="14.25" customHeight="1" thickBot="1">
      <c r="A490" s="882"/>
      <c r="B490" s="934"/>
      <c r="C490" s="878"/>
      <c r="D490" s="882"/>
      <c r="E490" s="882"/>
      <c r="F490" s="884"/>
      <c r="G490" s="56">
        <v>721</v>
      </c>
      <c r="H490" s="79">
        <f>+F489-H489</f>
        <v>0</v>
      </c>
      <c r="I490" s="882"/>
      <c r="J490" s="876"/>
      <c r="K490" s="878"/>
      <c r="L490" s="882"/>
      <c r="M490" s="882"/>
      <c r="N490" s="884"/>
      <c r="O490" s="461">
        <v>721</v>
      </c>
      <c r="P490" s="79">
        <v>39281624</v>
      </c>
    </row>
    <row r="491" spans="1:16" ht="16.5" thickBot="1">
      <c r="A491" s="901" t="s">
        <v>102</v>
      </c>
      <c r="B491" s="902"/>
      <c r="C491" s="902"/>
      <c r="D491" s="902"/>
      <c r="E491" s="903"/>
      <c r="F491" s="81">
        <f>SUM(F481:F490)</f>
        <v>260000</v>
      </c>
      <c r="I491" s="901" t="s">
        <v>102</v>
      </c>
      <c r="J491" s="902"/>
      <c r="K491" s="902"/>
      <c r="L491" s="902"/>
      <c r="M491" s="903"/>
      <c r="N491" s="81">
        <f>SUM(N481:N490)</f>
        <v>40641624</v>
      </c>
    </row>
    <row r="492" spans="1:16" ht="16.5" thickBot="1">
      <c r="A492" s="885" t="s">
        <v>103</v>
      </c>
      <c r="B492" s="886"/>
      <c r="C492" s="886"/>
      <c r="D492" s="886"/>
      <c r="E492" s="887"/>
      <c r="F492" s="69">
        <f>+F456</f>
        <v>627256225</v>
      </c>
      <c r="I492" s="885" t="s">
        <v>103</v>
      </c>
      <c r="J492" s="886"/>
      <c r="K492" s="886"/>
      <c r="L492" s="886"/>
      <c r="M492" s="887"/>
      <c r="N492" s="239">
        <f>+N456</f>
        <v>311871372</v>
      </c>
      <c r="O492" s="241" t="s">
        <v>561</v>
      </c>
      <c r="P492" s="242">
        <f>365+369+665+759</f>
        <v>2158</v>
      </c>
    </row>
    <row r="493" spans="1:16" ht="16.5" thickBot="1">
      <c r="A493" s="888" t="s">
        <v>104</v>
      </c>
      <c r="B493" s="889"/>
      <c r="C493" s="889"/>
      <c r="D493" s="889"/>
      <c r="E493" s="890"/>
      <c r="F493" s="183">
        <f>SUM(F491:F492)</f>
        <v>627516225</v>
      </c>
      <c r="I493" s="888" t="s">
        <v>104</v>
      </c>
      <c r="J493" s="889"/>
      <c r="K493" s="889"/>
      <c r="L493" s="889"/>
      <c r="M493" s="890"/>
      <c r="N493" s="183">
        <f>SUM(N491:N492)</f>
        <v>352512996</v>
      </c>
    </row>
    <row r="494" spans="1:16" ht="13.5" customHeight="1">
      <c r="A494" s="61"/>
      <c r="B494" s="61"/>
      <c r="C494" s="61"/>
      <c r="D494" s="61"/>
      <c r="E494" s="61"/>
      <c r="I494" s="61"/>
      <c r="J494" s="61"/>
      <c r="K494" s="61"/>
      <c r="L494" s="61"/>
      <c r="M494" s="61"/>
    </row>
    <row r="495" spans="1:16">
      <c r="A495" s="51" t="s">
        <v>306</v>
      </c>
      <c r="I495" s="51" t="s">
        <v>1690</v>
      </c>
    </row>
    <row r="496" spans="1:16" ht="9.75" customHeight="1">
      <c r="F496" s="139"/>
      <c r="N496" s="139"/>
    </row>
    <row r="497" spans="1:16">
      <c r="A497" s="50" t="s">
        <v>105</v>
      </c>
      <c r="D497" s="146"/>
      <c r="F497" s="139"/>
      <c r="I497" s="50" t="s">
        <v>105</v>
      </c>
      <c r="L497" s="146"/>
      <c r="N497" s="139"/>
    </row>
    <row r="498" spans="1:16" ht="12.75" customHeight="1" thickBot="1"/>
    <row r="499" spans="1:16" ht="16.5" customHeight="1" thickBot="1">
      <c r="A499" s="891" t="s">
        <v>106</v>
      </c>
      <c r="B499" s="892"/>
      <c r="C499" s="892"/>
      <c r="D499" s="893"/>
      <c r="F499" s="50" t="s">
        <v>288</v>
      </c>
      <c r="I499" s="891" t="s">
        <v>106</v>
      </c>
      <c r="J499" s="892"/>
      <c r="K499" s="892"/>
      <c r="L499" s="893"/>
      <c r="N499" s="605" t="s">
        <v>288</v>
      </c>
      <c r="O499" s="605"/>
      <c r="P499" s="605"/>
    </row>
    <row r="500" spans="1:16" ht="27" customHeight="1" thickBot="1">
      <c r="A500" s="57" t="s">
        <v>100</v>
      </c>
      <c r="B500" s="58" t="s">
        <v>108</v>
      </c>
      <c r="C500" s="59" t="s">
        <v>109</v>
      </c>
      <c r="D500" s="60" t="s">
        <v>110</v>
      </c>
      <c r="I500" s="57" t="s">
        <v>100</v>
      </c>
      <c r="J500" s="58" t="s">
        <v>108</v>
      </c>
      <c r="K500" s="59" t="s">
        <v>109</v>
      </c>
      <c r="L500" s="60" t="s">
        <v>110</v>
      </c>
      <c r="N500" s="202"/>
      <c r="O500" s="202"/>
      <c r="P500" s="202"/>
    </row>
    <row r="501" spans="1:16" ht="12" customHeight="1">
      <c r="A501" s="71">
        <v>719</v>
      </c>
      <c r="B501" s="73">
        <f>+H481+H483+H485+H487+H489</f>
        <v>260000</v>
      </c>
      <c r="C501" s="74" t="e">
        <f>+D464</f>
        <v>#REF!</v>
      </c>
      <c r="D501" s="195" t="e">
        <f>+B501+C501</f>
        <v>#REF!</v>
      </c>
      <c r="I501" s="71">
        <v>719</v>
      </c>
      <c r="J501" s="73">
        <f>+P487+P485+P483+P481</f>
        <v>1360000</v>
      </c>
      <c r="K501" s="74">
        <f>+L464</f>
        <v>0</v>
      </c>
      <c r="L501" s="195">
        <f>+J501+K501</f>
        <v>1360000</v>
      </c>
      <c r="N501" s="202"/>
      <c r="O501" s="202"/>
      <c r="P501" s="202"/>
    </row>
    <row r="502" spans="1:16" ht="12" customHeight="1">
      <c r="A502" s="72">
        <v>721</v>
      </c>
      <c r="B502" s="80">
        <f>+H482+H484+H486+H488+H490</f>
        <v>0</v>
      </c>
      <c r="C502" s="74" t="e">
        <f>+D465</f>
        <v>#REF!</v>
      </c>
      <c r="D502" s="195" t="e">
        <f>+B502+C502</f>
        <v>#REF!</v>
      </c>
      <c r="I502" s="72">
        <v>721</v>
      </c>
      <c r="J502" s="80">
        <f>+P490</f>
        <v>39281624</v>
      </c>
      <c r="K502" s="74">
        <f>+L465</f>
        <v>0</v>
      </c>
      <c r="L502" s="195">
        <f>+J502+K502</f>
        <v>39281624</v>
      </c>
      <c r="N502" s="202"/>
      <c r="O502" s="202"/>
      <c r="P502" s="202"/>
    </row>
    <row r="503" spans="1:16" ht="14.25" customHeight="1">
      <c r="A503" s="72">
        <v>722</v>
      </c>
      <c r="B503" s="80"/>
      <c r="C503" s="74">
        <f>+D466</f>
        <v>231207671</v>
      </c>
      <c r="D503" s="195">
        <f>+B503+C503</f>
        <v>231207671</v>
      </c>
      <c r="I503" s="72">
        <v>722</v>
      </c>
      <c r="J503" s="80"/>
      <c r="K503" s="74">
        <f>+L466</f>
        <v>0</v>
      </c>
      <c r="L503" s="195">
        <f>+J503+K503</f>
        <v>0</v>
      </c>
      <c r="N503" s="202"/>
      <c r="O503" s="202"/>
      <c r="P503" s="202"/>
    </row>
    <row r="504" spans="1:16" ht="13.5" customHeight="1">
      <c r="A504" s="72">
        <v>723</v>
      </c>
      <c r="B504" s="80"/>
      <c r="C504" s="74">
        <f>+D467</f>
        <v>321228837</v>
      </c>
      <c r="D504" s="195">
        <f>+B504+C504</f>
        <v>321228837</v>
      </c>
      <c r="F504" s="193" t="s">
        <v>289</v>
      </c>
      <c r="G504" s="175"/>
      <c r="I504" s="72">
        <v>723</v>
      </c>
      <c r="J504" s="80"/>
      <c r="K504" s="74">
        <f>+L467</f>
        <v>311871372</v>
      </c>
      <c r="L504" s="195">
        <f>+J504+K504</f>
        <v>311871372</v>
      </c>
      <c r="N504" s="608" t="s">
        <v>1436</v>
      </c>
      <c r="O504" s="608"/>
      <c r="P504" s="608"/>
    </row>
    <row r="505" spans="1:16" ht="13.5" customHeight="1" thickBot="1">
      <c r="A505" s="164" t="s">
        <v>181</v>
      </c>
      <c r="B505" s="165"/>
      <c r="C505" s="74">
        <f>+D468</f>
        <v>1965625</v>
      </c>
      <c r="D505" s="196">
        <f>+B505+C505</f>
        <v>1965625</v>
      </c>
      <c r="F505" s="52"/>
      <c r="I505" s="164" t="s">
        <v>181</v>
      </c>
      <c r="J505" s="165"/>
      <c r="K505" s="74">
        <f>+L468</f>
        <v>0</v>
      </c>
      <c r="L505" s="196">
        <f>+J505+K505</f>
        <v>0</v>
      </c>
      <c r="N505" s="52"/>
    </row>
    <row r="506" spans="1:16" ht="15.75" customHeight="1" thickBot="1">
      <c r="A506" s="169"/>
      <c r="B506" s="170">
        <f>SUM(B501:B505)</f>
        <v>260000</v>
      </c>
      <c r="C506" s="171" t="e">
        <f>SUM(C501:C505)</f>
        <v>#REF!</v>
      </c>
      <c r="D506" s="172" t="e">
        <f>SUM(D501:D505)</f>
        <v>#REF!</v>
      </c>
      <c r="I506" s="169"/>
      <c r="J506" s="197">
        <f>SUM(J501:J505)</f>
        <v>40641624</v>
      </c>
      <c r="K506" s="197">
        <f>SUM(K501:K505)</f>
        <v>311871372</v>
      </c>
      <c r="L506" s="198">
        <f>SUM(L501:L505)</f>
        <v>352512996</v>
      </c>
    </row>
    <row r="507" spans="1:16" ht="16.5">
      <c r="A507" s="49" t="s">
        <v>88</v>
      </c>
      <c r="B507" s="50"/>
      <c r="I507" s="49" t="s">
        <v>88</v>
      </c>
      <c r="J507" s="50"/>
    </row>
    <row r="508" spans="1:16">
      <c r="A508" s="51" t="s">
        <v>89</v>
      </c>
      <c r="I508" s="51" t="s">
        <v>89</v>
      </c>
    </row>
    <row r="509" spans="1:16">
      <c r="A509" s="51" t="s">
        <v>90</v>
      </c>
      <c r="I509" s="51" t="s">
        <v>90</v>
      </c>
    </row>
    <row r="510" spans="1:16">
      <c r="A510" s="51" t="s">
        <v>91</v>
      </c>
      <c r="I510" s="51" t="s">
        <v>91</v>
      </c>
    </row>
    <row r="511" spans="1:16" ht="11.25" customHeight="1">
      <c r="A511" s="50"/>
      <c r="B511" s="50"/>
      <c r="I511" s="50"/>
      <c r="J511" s="50"/>
    </row>
    <row r="512" spans="1:16" ht="16.5">
      <c r="A512" s="52" t="s">
        <v>308</v>
      </c>
      <c r="G512" s="52"/>
      <c r="I512" s="52" t="s">
        <v>638</v>
      </c>
      <c r="O512" s="52"/>
    </row>
    <row r="513" spans="1:16" ht="15.75">
      <c r="A513" s="53" t="s">
        <v>92</v>
      </c>
      <c r="G513" s="53"/>
      <c r="I513" s="53" t="s">
        <v>1623</v>
      </c>
      <c r="O513" s="53"/>
    </row>
    <row r="514" spans="1:16" ht="16.5">
      <c r="A514" s="894" t="s">
        <v>261</v>
      </c>
      <c r="B514" s="894"/>
      <c r="C514" s="894"/>
      <c r="D514" s="894"/>
      <c r="E514" s="894"/>
      <c r="F514" s="894"/>
      <c r="G514" s="894"/>
      <c r="H514" s="894"/>
      <c r="I514" s="894" t="s">
        <v>1692</v>
      </c>
      <c r="J514" s="894"/>
      <c r="K514" s="894"/>
      <c r="L514" s="894"/>
      <c r="M514" s="894"/>
      <c r="N514" s="894"/>
      <c r="O514" s="894"/>
      <c r="P514" s="894"/>
    </row>
    <row r="515" spans="1:16" ht="15.75" thickBot="1"/>
    <row r="516" spans="1:16">
      <c r="A516" s="895" t="s">
        <v>94</v>
      </c>
      <c r="B516" s="897" t="s">
        <v>95</v>
      </c>
      <c r="C516" s="897" t="s">
        <v>96</v>
      </c>
      <c r="D516" s="897" t="s">
        <v>3</v>
      </c>
      <c r="E516" s="897" t="s">
        <v>97</v>
      </c>
      <c r="F516" s="897" t="s">
        <v>98</v>
      </c>
      <c r="G516" s="897" t="s">
        <v>99</v>
      </c>
      <c r="H516" s="899"/>
      <c r="I516" s="895" t="s">
        <v>94</v>
      </c>
      <c r="J516" s="897" t="s">
        <v>95</v>
      </c>
      <c r="K516" s="897" t="s">
        <v>96</v>
      </c>
      <c r="L516" s="897" t="s">
        <v>3</v>
      </c>
      <c r="M516" s="897" t="s">
        <v>97</v>
      </c>
      <c r="N516" s="897" t="s">
        <v>98</v>
      </c>
      <c r="O516" s="897" t="s">
        <v>99</v>
      </c>
      <c r="P516" s="899"/>
    </row>
    <row r="517" spans="1:16" ht="15.75" thickBot="1">
      <c r="A517" s="896"/>
      <c r="B517" s="898"/>
      <c r="C517" s="898"/>
      <c r="D517" s="898"/>
      <c r="E517" s="898"/>
      <c r="F517" s="898"/>
      <c r="G517" s="240" t="s">
        <v>100</v>
      </c>
      <c r="H517" s="182" t="s">
        <v>101</v>
      </c>
      <c r="I517" s="896"/>
      <c r="J517" s="898"/>
      <c r="K517" s="898"/>
      <c r="L517" s="898"/>
      <c r="M517" s="898"/>
      <c r="N517" s="898"/>
      <c r="O517" s="240" t="s">
        <v>100</v>
      </c>
      <c r="P517" s="182" t="s">
        <v>101</v>
      </c>
    </row>
    <row r="518" spans="1:16" ht="12" customHeight="1">
      <c r="A518" s="881" t="e">
        <f>+A485+1</f>
        <v>#REF!</v>
      </c>
      <c r="B518" s="875">
        <v>42286</v>
      </c>
      <c r="C518" s="877" t="s">
        <v>267</v>
      </c>
      <c r="D518" s="881" t="s">
        <v>310</v>
      </c>
      <c r="E518" s="881" t="s">
        <v>148</v>
      </c>
      <c r="F518" s="883">
        <v>224000</v>
      </c>
      <c r="G518" s="55">
        <v>719</v>
      </c>
      <c r="H518" s="78">
        <v>160000</v>
      </c>
      <c r="I518" s="873" t="s">
        <v>658</v>
      </c>
      <c r="J518" s="875">
        <v>43171</v>
      </c>
      <c r="K518" s="881" t="s">
        <v>28</v>
      </c>
      <c r="L518" s="881" t="s">
        <v>1684</v>
      </c>
      <c r="M518" s="881" t="s">
        <v>775</v>
      </c>
      <c r="N518" s="883">
        <v>140000</v>
      </c>
      <c r="O518" s="55">
        <v>719</v>
      </c>
      <c r="P518" s="78">
        <v>140000</v>
      </c>
    </row>
    <row r="519" spans="1:16" ht="13.5" customHeight="1" thickBot="1">
      <c r="A519" s="882"/>
      <c r="B519" s="934"/>
      <c r="C519" s="878"/>
      <c r="D519" s="882"/>
      <c r="E519" s="882"/>
      <c r="F519" s="884"/>
      <c r="G519" s="56">
        <v>721</v>
      </c>
      <c r="H519" s="79">
        <f>+F518-H518</f>
        <v>64000</v>
      </c>
      <c r="I519" s="882"/>
      <c r="J519" s="876"/>
      <c r="K519" s="882"/>
      <c r="L519" s="882"/>
      <c r="M519" s="882"/>
      <c r="N519" s="884"/>
      <c r="O519" s="56">
        <v>721</v>
      </c>
      <c r="P519" s="79">
        <f>+N518-P518</f>
        <v>0</v>
      </c>
    </row>
    <row r="520" spans="1:16" ht="13.5" customHeight="1">
      <c r="A520" s="881" t="e">
        <f>+A518+1</f>
        <v>#REF!</v>
      </c>
      <c r="B520" s="875">
        <v>42286</v>
      </c>
      <c r="C520" s="881" t="s">
        <v>28</v>
      </c>
      <c r="D520" s="881" t="s">
        <v>310</v>
      </c>
      <c r="E520" s="881" t="s">
        <v>148</v>
      </c>
      <c r="F520" s="883">
        <v>392000</v>
      </c>
      <c r="G520" s="55">
        <v>719</v>
      </c>
      <c r="H520" s="78">
        <v>280000</v>
      </c>
      <c r="I520" s="873" t="s">
        <v>659</v>
      </c>
      <c r="J520" s="875">
        <v>43171</v>
      </c>
      <c r="K520" s="881" t="s">
        <v>120</v>
      </c>
      <c r="L520" s="881" t="s">
        <v>1694</v>
      </c>
      <c r="M520" s="881" t="s">
        <v>775</v>
      </c>
      <c r="N520" s="883">
        <v>460000</v>
      </c>
      <c r="O520" s="55">
        <v>719</v>
      </c>
      <c r="P520" s="78">
        <v>460000</v>
      </c>
    </row>
    <row r="521" spans="1:16" ht="13.5" customHeight="1" thickBot="1">
      <c r="A521" s="882"/>
      <c r="B521" s="934"/>
      <c r="C521" s="882"/>
      <c r="D521" s="882"/>
      <c r="E521" s="882"/>
      <c r="F521" s="884"/>
      <c r="G521" s="56">
        <v>721</v>
      </c>
      <c r="H521" s="79">
        <f>+F520-H520</f>
        <v>112000</v>
      </c>
      <c r="I521" s="882"/>
      <c r="J521" s="876"/>
      <c r="K521" s="882"/>
      <c r="L521" s="882"/>
      <c r="M521" s="882"/>
      <c r="N521" s="884"/>
      <c r="O521" s="56">
        <v>721</v>
      </c>
      <c r="P521" s="79">
        <f>+N520-P520</f>
        <v>0</v>
      </c>
    </row>
    <row r="522" spans="1:16" ht="12.75" customHeight="1">
      <c r="A522" s="881" t="e">
        <f>+A520+1</f>
        <v>#REF!</v>
      </c>
      <c r="B522" s="875">
        <v>42286</v>
      </c>
      <c r="C522" s="877" t="s">
        <v>32</v>
      </c>
      <c r="D522" s="881" t="s">
        <v>310</v>
      </c>
      <c r="E522" s="881" t="s">
        <v>148</v>
      </c>
      <c r="F522" s="883">
        <v>140000</v>
      </c>
      <c r="G522" s="55">
        <v>719</v>
      </c>
      <c r="H522" s="78">
        <v>100000</v>
      </c>
      <c r="I522" s="873" t="s">
        <v>660</v>
      </c>
      <c r="J522" s="875">
        <v>43171</v>
      </c>
      <c r="K522" s="877" t="s">
        <v>1693</v>
      </c>
      <c r="L522" s="881" t="s">
        <v>1695</v>
      </c>
      <c r="M522" s="881" t="s">
        <v>775</v>
      </c>
      <c r="N522" s="883">
        <v>1221875</v>
      </c>
      <c r="O522" s="55">
        <v>723</v>
      </c>
      <c r="P522" s="78">
        <v>1221875</v>
      </c>
    </row>
    <row r="523" spans="1:16" ht="15.75" customHeight="1" thickBot="1">
      <c r="A523" s="882"/>
      <c r="B523" s="934"/>
      <c r="C523" s="878"/>
      <c r="D523" s="882"/>
      <c r="E523" s="882"/>
      <c r="F523" s="884"/>
      <c r="G523" s="56">
        <v>721</v>
      </c>
      <c r="H523" s="79">
        <f>+F522-H522</f>
        <v>40000</v>
      </c>
      <c r="I523" s="882"/>
      <c r="J523" s="876"/>
      <c r="K523" s="878"/>
      <c r="L523" s="882"/>
      <c r="M523" s="882"/>
      <c r="N523" s="884"/>
      <c r="O523" s="56">
        <v>721</v>
      </c>
      <c r="P523" s="79">
        <f>+N522-P522</f>
        <v>0</v>
      </c>
    </row>
    <row r="524" spans="1:16" ht="11.25" customHeight="1">
      <c r="A524" s="881" t="e">
        <f>+A522+1</f>
        <v>#REF!</v>
      </c>
      <c r="B524" s="875">
        <v>42286</v>
      </c>
      <c r="C524" s="877" t="s">
        <v>111</v>
      </c>
      <c r="D524" s="881" t="s">
        <v>311</v>
      </c>
      <c r="E524" s="881" t="s">
        <v>148</v>
      </c>
      <c r="F524" s="883">
        <v>84000</v>
      </c>
      <c r="G524" s="55">
        <v>719</v>
      </c>
      <c r="H524" s="78">
        <v>60000</v>
      </c>
      <c r="I524" s="873"/>
      <c r="J524" s="875"/>
      <c r="K524" s="877"/>
      <c r="L524" s="881"/>
      <c r="M524" s="881"/>
      <c r="N524" s="883"/>
      <c r="O524" s="55">
        <v>723</v>
      </c>
      <c r="P524" s="78"/>
    </row>
    <row r="525" spans="1:16" ht="14.25" customHeight="1" thickBot="1">
      <c r="A525" s="882"/>
      <c r="B525" s="934"/>
      <c r="C525" s="878"/>
      <c r="D525" s="882"/>
      <c r="E525" s="882"/>
      <c r="F525" s="884"/>
      <c r="G525" s="56">
        <v>721</v>
      </c>
      <c r="H525" s="79">
        <f>+F524-H524</f>
        <v>24000</v>
      </c>
      <c r="I525" s="882"/>
      <c r="J525" s="876"/>
      <c r="K525" s="878"/>
      <c r="L525" s="882"/>
      <c r="M525" s="882"/>
      <c r="N525" s="884"/>
      <c r="O525" s="56">
        <v>721</v>
      </c>
      <c r="P525" s="79">
        <f>+N524-P524</f>
        <v>0</v>
      </c>
    </row>
    <row r="526" spans="1:16" ht="11.25" customHeight="1">
      <c r="A526" s="881" t="e">
        <f>+A524+1</f>
        <v>#REF!</v>
      </c>
      <c r="B526" s="875">
        <v>42286</v>
      </c>
      <c r="C526" s="877" t="s">
        <v>272</v>
      </c>
      <c r="D526" s="881" t="s">
        <v>310</v>
      </c>
      <c r="E526" s="881" t="s">
        <v>148</v>
      </c>
      <c r="F526" s="883">
        <v>868000</v>
      </c>
      <c r="G526" s="55">
        <v>719</v>
      </c>
      <c r="H526" s="78">
        <v>620000</v>
      </c>
      <c r="I526" s="873"/>
      <c r="J526" s="875"/>
      <c r="K526" s="877"/>
      <c r="L526" s="881"/>
      <c r="M526" s="881"/>
      <c r="N526" s="883"/>
      <c r="O526" s="55">
        <v>723</v>
      </c>
      <c r="P526" s="78"/>
    </row>
    <row r="527" spans="1:16" ht="12.75" customHeight="1" thickBot="1">
      <c r="A527" s="882"/>
      <c r="B527" s="934"/>
      <c r="C527" s="878"/>
      <c r="D527" s="882"/>
      <c r="E527" s="882"/>
      <c r="F527" s="884"/>
      <c r="G527" s="56">
        <v>721</v>
      </c>
      <c r="H527" s="79">
        <f>+F526-H526</f>
        <v>248000</v>
      </c>
      <c r="I527" s="882"/>
      <c r="J527" s="876"/>
      <c r="K527" s="878"/>
      <c r="L527" s="882"/>
      <c r="M527" s="882"/>
      <c r="N527" s="884"/>
      <c r="O527" s="56">
        <v>721</v>
      </c>
      <c r="P527" s="79">
        <f>+N526-P526</f>
        <v>0</v>
      </c>
    </row>
    <row r="528" spans="1:16" ht="16.5" thickBot="1">
      <c r="A528" s="901" t="s">
        <v>102</v>
      </c>
      <c r="B528" s="902"/>
      <c r="C528" s="902"/>
      <c r="D528" s="902"/>
      <c r="E528" s="903"/>
      <c r="F528" s="81">
        <f>SUM(F518:F527)</f>
        <v>1708000</v>
      </c>
      <c r="I528" s="901" t="s">
        <v>102</v>
      </c>
      <c r="J528" s="902"/>
      <c r="K528" s="902"/>
      <c r="L528" s="902"/>
      <c r="M528" s="903"/>
      <c r="N528" s="81">
        <f>SUM(N518:N527)</f>
        <v>1821875</v>
      </c>
    </row>
    <row r="529" spans="1:16" ht="16.5" thickBot="1">
      <c r="A529" s="885" t="s">
        <v>103</v>
      </c>
      <c r="B529" s="886"/>
      <c r="C529" s="886"/>
      <c r="D529" s="886"/>
      <c r="E529" s="887"/>
      <c r="F529" s="69">
        <f>+F493</f>
        <v>627516225</v>
      </c>
      <c r="I529" s="885" t="s">
        <v>103</v>
      </c>
      <c r="J529" s="886"/>
      <c r="K529" s="886"/>
      <c r="L529" s="886"/>
      <c r="M529" s="887"/>
      <c r="N529" s="239">
        <f>+N493</f>
        <v>352512996</v>
      </c>
      <c r="O529" s="241" t="s">
        <v>561</v>
      </c>
      <c r="P529" s="242">
        <f>542+280</f>
        <v>822</v>
      </c>
    </row>
    <row r="530" spans="1:16" ht="16.5" thickBot="1">
      <c r="A530" s="888" t="s">
        <v>104</v>
      </c>
      <c r="B530" s="889"/>
      <c r="C530" s="889"/>
      <c r="D530" s="889"/>
      <c r="E530" s="890"/>
      <c r="F530" s="183">
        <f>SUM(F528:F529)</f>
        <v>629224225</v>
      </c>
      <c r="I530" s="888" t="s">
        <v>104</v>
      </c>
      <c r="J530" s="889"/>
      <c r="K530" s="889"/>
      <c r="L530" s="889"/>
      <c r="M530" s="890"/>
      <c r="N530" s="183">
        <f>SUM(N528:N529)</f>
        <v>354334871</v>
      </c>
    </row>
    <row r="531" spans="1:16" ht="6.75" customHeight="1">
      <c r="A531" s="61"/>
      <c r="B531" s="61"/>
      <c r="C531" s="61"/>
      <c r="D531" s="61"/>
      <c r="E531" s="61"/>
      <c r="I531" s="61"/>
      <c r="J531" s="61"/>
      <c r="K531" s="61"/>
      <c r="L531" s="61"/>
      <c r="M531" s="61"/>
    </row>
    <row r="532" spans="1:16">
      <c r="A532" s="51" t="s">
        <v>312</v>
      </c>
      <c r="I532" s="51" t="s">
        <v>692</v>
      </c>
    </row>
    <row r="533" spans="1:16" ht="5.25" customHeight="1">
      <c r="F533" s="139"/>
      <c r="N533" s="139"/>
    </row>
    <row r="534" spans="1:16">
      <c r="A534" s="50" t="s">
        <v>105</v>
      </c>
      <c r="D534" s="146"/>
      <c r="F534" s="139"/>
      <c r="I534" s="50" t="s">
        <v>105</v>
      </c>
      <c r="L534" s="146"/>
      <c r="N534" s="139"/>
    </row>
    <row r="535" spans="1:16" ht="12.75" customHeight="1" thickBot="1"/>
    <row r="536" spans="1:16" ht="17.25" thickBot="1">
      <c r="A536" s="891" t="s">
        <v>106</v>
      </c>
      <c r="B536" s="892"/>
      <c r="C536" s="892"/>
      <c r="D536" s="893"/>
      <c r="F536" s="50" t="s">
        <v>288</v>
      </c>
      <c r="I536" s="891" t="s">
        <v>106</v>
      </c>
      <c r="J536" s="892"/>
      <c r="K536" s="892"/>
      <c r="L536" s="893"/>
      <c r="N536" s="605" t="s">
        <v>288</v>
      </c>
      <c r="O536" s="605"/>
      <c r="P536" s="605"/>
    </row>
    <row r="537" spans="1:16" ht="30.75" thickBot="1">
      <c r="A537" s="57" t="s">
        <v>100</v>
      </c>
      <c r="B537" s="58" t="s">
        <v>108</v>
      </c>
      <c r="C537" s="59" t="s">
        <v>109</v>
      </c>
      <c r="D537" s="60" t="s">
        <v>110</v>
      </c>
      <c r="I537" s="57" t="s">
        <v>100</v>
      </c>
      <c r="J537" s="58" t="s">
        <v>108</v>
      </c>
      <c r="K537" s="59" t="s">
        <v>109</v>
      </c>
      <c r="L537" s="60" t="s">
        <v>110</v>
      </c>
      <c r="N537" s="202"/>
      <c r="O537" s="202"/>
      <c r="P537" s="202"/>
    </row>
    <row r="538" spans="1:16" ht="14.25" customHeight="1">
      <c r="A538" s="71">
        <v>719</v>
      </c>
      <c r="B538" s="73">
        <f>+H518+H520+H522+H524+H526</f>
        <v>1220000</v>
      </c>
      <c r="C538" s="74" t="e">
        <f>+D501</f>
        <v>#REF!</v>
      </c>
      <c r="D538" s="195" t="e">
        <f>+B538+C538</f>
        <v>#REF!</v>
      </c>
      <c r="I538" s="71">
        <v>719</v>
      </c>
      <c r="J538" s="73">
        <f>+P518+P520</f>
        <v>600000</v>
      </c>
      <c r="K538" s="74">
        <f>+L501</f>
        <v>1360000</v>
      </c>
      <c r="L538" s="195">
        <f>+J538+K538</f>
        <v>1960000</v>
      </c>
      <c r="N538" s="202"/>
      <c r="O538" s="202"/>
      <c r="P538" s="202"/>
    </row>
    <row r="539" spans="1:16" ht="16.5">
      <c r="A539" s="72">
        <v>721</v>
      </c>
      <c r="B539" s="80">
        <f>+H519+H521+H523+H525+H527</f>
        <v>488000</v>
      </c>
      <c r="C539" s="74" t="e">
        <f>+D502</f>
        <v>#REF!</v>
      </c>
      <c r="D539" s="195" t="e">
        <f>+B539+C539</f>
        <v>#REF!</v>
      </c>
      <c r="I539" s="72">
        <v>721</v>
      </c>
      <c r="J539" s="80"/>
      <c r="K539" s="74">
        <f>+L502</f>
        <v>39281624</v>
      </c>
      <c r="L539" s="195">
        <f>+J539+K539</f>
        <v>39281624</v>
      </c>
      <c r="N539" s="202"/>
      <c r="O539" s="202"/>
      <c r="P539" s="202"/>
    </row>
    <row r="540" spans="1:16" ht="12" customHeight="1">
      <c r="A540" s="72">
        <v>722</v>
      </c>
      <c r="B540" s="80"/>
      <c r="C540" s="74">
        <f>+D503</f>
        <v>231207671</v>
      </c>
      <c r="D540" s="195">
        <f>+B540+C540</f>
        <v>231207671</v>
      </c>
      <c r="I540" s="72">
        <v>722</v>
      </c>
      <c r="J540" s="80"/>
      <c r="K540" s="74">
        <f>+L503</f>
        <v>0</v>
      </c>
      <c r="L540" s="195">
        <f>+J540+K540</f>
        <v>0</v>
      </c>
      <c r="N540" s="202"/>
      <c r="O540" s="202"/>
      <c r="P540" s="202"/>
    </row>
    <row r="541" spans="1:16" ht="15.75">
      <c r="A541" s="72">
        <v>723</v>
      </c>
      <c r="B541" s="80"/>
      <c r="C541" s="74">
        <f>+D504</f>
        <v>321228837</v>
      </c>
      <c r="D541" s="195">
        <f>+B541+C541</f>
        <v>321228837</v>
      </c>
      <c r="F541" s="193" t="s">
        <v>289</v>
      </c>
      <c r="G541" s="175"/>
      <c r="I541" s="72">
        <v>723</v>
      </c>
      <c r="J541" s="80">
        <f>+P522</f>
        <v>1221875</v>
      </c>
      <c r="K541" s="74">
        <f>+L504</f>
        <v>311871372</v>
      </c>
      <c r="L541" s="195">
        <f>+J541+K541</f>
        <v>313093247</v>
      </c>
      <c r="N541" s="608" t="s">
        <v>1436</v>
      </c>
      <c r="O541" s="608"/>
      <c r="P541" s="608"/>
    </row>
    <row r="542" spans="1:16" ht="12.75" customHeight="1" thickBot="1">
      <c r="A542" s="164" t="s">
        <v>181</v>
      </c>
      <c r="B542" s="165"/>
      <c r="C542" s="74">
        <f>+D505</f>
        <v>1965625</v>
      </c>
      <c r="D542" s="196">
        <f>+B542+C542</f>
        <v>1965625</v>
      </c>
      <c r="F542" s="52"/>
      <c r="I542" s="164" t="s">
        <v>181</v>
      </c>
      <c r="J542" s="165"/>
      <c r="K542" s="74">
        <f>+L505</f>
        <v>0</v>
      </c>
      <c r="L542" s="196">
        <f>+J542+K542</f>
        <v>0</v>
      </c>
      <c r="N542" s="52"/>
    </row>
    <row r="543" spans="1:16" ht="12.75" customHeight="1" thickBot="1">
      <c r="A543" s="169"/>
      <c r="B543" s="170">
        <f>SUM(B538:B542)</f>
        <v>1708000</v>
      </c>
      <c r="C543" s="171" t="e">
        <f>SUM(C538:C542)</f>
        <v>#REF!</v>
      </c>
      <c r="D543" s="172" t="e">
        <f>SUM(D538:D542)</f>
        <v>#REF!</v>
      </c>
      <c r="I543" s="169"/>
      <c r="J543" s="197">
        <f>SUM(J538:J542)</f>
        <v>1821875</v>
      </c>
      <c r="K543" s="197">
        <f>SUM(K538:K542)</f>
        <v>352512996</v>
      </c>
      <c r="L543" s="198">
        <f>SUM(L538:L542)</f>
        <v>354334871</v>
      </c>
    </row>
    <row r="544" spans="1:16" ht="16.5">
      <c r="A544" s="49" t="s">
        <v>88</v>
      </c>
      <c r="B544" s="50"/>
      <c r="I544" s="49" t="s">
        <v>88</v>
      </c>
      <c r="J544" s="50"/>
    </row>
    <row r="545" spans="1:16">
      <c r="A545" s="51" t="s">
        <v>89</v>
      </c>
      <c r="I545" s="51" t="s">
        <v>89</v>
      </c>
    </row>
    <row r="546" spans="1:16">
      <c r="A546" s="51" t="s">
        <v>90</v>
      </c>
      <c r="I546" s="51" t="s">
        <v>90</v>
      </c>
    </row>
    <row r="547" spans="1:16">
      <c r="A547" s="51" t="s">
        <v>91</v>
      </c>
      <c r="I547" s="51" t="s">
        <v>91</v>
      </c>
    </row>
    <row r="548" spans="1:16" ht="9.75" customHeight="1">
      <c r="A548" s="50"/>
      <c r="B548" s="50"/>
      <c r="I548" s="50"/>
      <c r="J548" s="50"/>
    </row>
    <row r="549" spans="1:16" ht="16.5">
      <c r="A549" s="52" t="s">
        <v>309</v>
      </c>
      <c r="G549" s="52"/>
      <c r="I549" s="52" t="s">
        <v>639</v>
      </c>
      <c r="O549" s="52"/>
    </row>
    <row r="550" spans="1:16" ht="15.75">
      <c r="A550" s="53" t="s">
        <v>92</v>
      </c>
      <c r="G550" s="53"/>
      <c r="I550" s="53" t="s">
        <v>535</v>
      </c>
      <c r="O550" s="53"/>
    </row>
    <row r="551" spans="1:16" ht="16.5">
      <c r="A551" s="894" t="s">
        <v>261</v>
      </c>
      <c r="B551" s="894"/>
      <c r="C551" s="894"/>
      <c r="D551" s="894"/>
      <c r="E551" s="894"/>
      <c r="F551" s="894"/>
      <c r="G551" s="894"/>
      <c r="H551" s="894"/>
      <c r="I551" s="894" t="s">
        <v>212</v>
      </c>
      <c r="J551" s="894"/>
      <c r="K551" s="894"/>
      <c r="L551" s="894"/>
      <c r="M551" s="894"/>
      <c r="N551" s="894"/>
      <c r="O551" s="894"/>
      <c r="P551" s="894"/>
    </row>
    <row r="552" spans="1:16" ht="12.75" customHeight="1" thickBot="1"/>
    <row r="553" spans="1:16">
      <c r="A553" s="895" t="s">
        <v>94</v>
      </c>
      <c r="B553" s="897" t="s">
        <v>95</v>
      </c>
      <c r="C553" s="897" t="s">
        <v>96</v>
      </c>
      <c r="D553" s="897" t="s">
        <v>3</v>
      </c>
      <c r="E553" s="897" t="s">
        <v>97</v>
      </c>
      <c r="F553" s="897" t="s">
        <v>98</v>
      </c>
      <c r="G553" s="897" t="s">
        <v>99</v>
      </c>
      <c r="H553" s="899"/>
      <c r="I553" s="895" t="s">
        <v>94</v>
      </c>
      <c r="J553" s="897" t="s">
        <v>95</v>
      </c>
      <c r="K553" s="897" t="s">
        <v>96</v>
      </c>
      <c r="L553" s="897" t="s">
        <v>3</v>
      </c>
      <c r="M553" s="897" t="s">
        <v>97</v>
      </c>
      <c r="N553" s="897" t="s">
        <v>98</v>
      </c>
      <c r="O553" s="897" t="s">
        <v>99</v>
      </c>
      <c r="P553" s="899"/>
    </row>
    <row r="554" spans="1:16" ht="15.75" thickBot="1">
      <c r="A554" s="896"/>
      <c r="B554" s="898"/>
      <c r="C554" s="898"/>
      <c r="D554" s="898"/>
      <c r="E554" s="898"/>
      <c r="F554" s="898"/>
      <c r="G554" s="240" t="s">
        <v>100</v>
      </c>
      <c r="H554" s="182" t="s">
        <v>101</v>
      </c>
      <c r="I554" s="896"/>
      <c r="J554" s="898"/>
      <c r="K554" s="898"/>
      <c r="L554" s="898"/>
      <c r="M554" s="898"/>
      <c r="N554" s="898"/>
      <c r="O554" s="240" t="s">
        <v>100</v>
      </c>
      <c r="P554" s="182" t="s">
        <v>101</v>
      </c>
    </row>
    <row r="555" spans="1:16" ht="15" customHeight="1">
      <c r="A555" s="881" t="e">
        <f>+A526+1</f>
        <v>#REF!</v>
      </c>
      <c r="B555" s="875">
        <v>42286</v>
      </c>
      <c r="C555" s="877" t="s">
        <v>272</v>
      </c>
      <c r="D555" s="881" t="s">
        <v>313</v>
      </c>
      <c r="E555" s="881" t="s">
        <v>115</v>
      </c>
      <c r="F555" s="883">
        <v>50000</v>
      </c>
      <c r="G555" s="55">
        <v>719</v>
      </c>
      <c r="H555" s="78">
        <v>50000</v>
      </c>
      <c r="I555" s="873" t="s">
        <v>661</v>
      </c>
      <c r="J555" s="875">
        <v>42422</v>
      </c>
      <c r="K555" s="877" t="s">
        <v>693</v>
      </c>
      <c r="L555" s="881" t="s">
        <v>671</v>
      </c>
      <c r="M555" s="881" t="s">
        <v>148</v>
      </c>
      <c r="N555" s="883">
        <v>5250000</v>
      </c>
      <c r="O555" s="55">
        <v>723</v>
      </c>
      <c r="P555" s="78">
        <v>5250000</v>
      </c>
    </row>
    <row r="556" spans="1:16" ht="15.75" customHeight="1" thickBot="1">
      <c r="A556" s="882"/>
      <c r="B556" s="876"/>
      <c r="C556" s="878"/>
      <c r="D556" s="882"/>
      <c r="E556" s="882"/>
      <c r="F556" s="884"/>
      <c r="G556" s="56">
        <v>721</v>
      </c>
      <c r="H556" s="79">
        <f>+F555-H555</f>
        <v>0</v>
      </c>
      <c r="I556" s="882"/>
      <c r="J556" s="876"/>
      <c r="K556" s="878"/>
      <c r="L556" s="882"/>
      <c r="M556" s="882"/>
      <c r="N556" s="884"/>
      <c r="O556" s="56">
        <v>721</v>
      </c>
      <c r="P556" s="79">
        <f>+N555-P555</f>
        <v>0</v>
      </c>
    </row>
    <row r="557" spans="1:16" ht="15" customHeight="1">
      <c r="A557" s="881" t="e">
        <f>+A555+1</f>
        <v>#REF!</v>
      </c>
      <c r="B557" s="875">
        <v>42286</v>
      </c>
      <c r="C557" s="881" t="s">
        <v>28</v>
      </c>
      <c r="D557" s="881" t="s">
        <v>314</v>
      </c>
      <c r="E557" s="881" t="s">
        <v>115</v>
      </c>
      <c r="F557" s="883">
        <v>20000</v>
      </c>
      <c r="G557" s="55">
        <v>719</v>
      </c>
      <c r="H557" s="78">
        <v>20000</v>
      </c>
      <c r="I557" s="873" t="s">
        <v>662</v>
      </c>
      <c r="J557" s="875">
        <v>42422</v>
      </c>
      <c r="K557" s="881" t="s">
        <v>694</v>
      </c>
      <c r="L557" s="881" t="s">
        <v>671</v>
      </c>
      <c r="M557" s="881" t="s">
        <v>148</v>
      </c>
      <c r="N557" s="883">
        <v>26075228</v>
      </c>
      <c r="O557" s="55">
        <v>723</v>
      </c>
      <c r="P557" s="78">
        <v>26075228</v>
      </c>
    </row>
    <row r="558" spans="1:16" ht="15.75" customHeight="1" thickBot="1">
      <c r="A558" s="882"/>
      <c r="B558" s="876"/>
      <c r="C558" s="882"/>
      <c r="D558" s="882"/>
      <c r="E558" s="882"/>
      <c r="F558" s="884"/>
      <c r="G558" s="56">
        <v>721</v>
      </c>
      <c r="H558" s="79">
        <f>+F557-H557</f>
        <v>0</v>
      </c>
      <c r="I558" s="882"/>
      <c r="J558" s="876"/>
      <c r="K558" s="882"/>
      <c r="L558" s="882"/>
      <c r="M558" s="882"/>
      <c r="N558" s="884"/>
      <c r="O558" s="56">
        <v>721</v>
      </c>
      <c r="P558" s="79">
        <f>+N557-P557</f>
        <v>0</v>
      </c>
    </row>
    <row r="559" spans="1:16" ht="15" customHeight="1">
      <c r="A559" s="881" t="e">
        <f>+A557+1</f>
        <v>#REF!</v>
      </c>
      <c r="B559" s="875">
        <v>42286</v>
      </c>
      <c r="C559" s="877" t="s">
        <v>32</v>
      </c>
      <c r="D559" s="881" t="s">
        <v>315</v>
      </c>
      <c r="E559" s="881" t="s">
        <v>115</v>
      </c>
      <c r="F559" s="883">
        <v>60000</v>
      </c>
      <c r="G559" s="55">
        <v>719</v>
      </c>
      <c r="H559" s="78">
        <v>60000</v>
      </c>
      <c r="I559" s="873" t="s">
        <v>663</v>
      </c>
      <c r="J559" s="875">
        <v>42422</v>
      </c>
      <c r="K559" s="877" t="s">
        <v>122</v>
      </c>
      <c r="L559" s="881" t="s">
        <v>671</v>
      </c>
      <c r="M559" s="881" t="s">
        <v>148</v>
      </c>
      <c r="N559" s="883">
        <v>1512000</v>
      </c>
      <c r="O559" s="55">
        <v>723</v>
      </c>
      <c r="P559" s="78">
        <v>1512000</v>
      </c>
    </row>
    <row r="560" spans="1:16" ht="15.75" customHeight="1" thickBot="1">
      <c r="A560" s="882"/>
      <c r="B560" s="876"/>
      <c r="C560" s="878"/>
      <c r="D560" s="882"/>
      <c r="E560" s="882"/>
      <c r="F560" s="884"/>
      <c r="G560" s="56">
        <v>721</v>
      </c>
      <c r="H560" s="79">
        <f>+F559-H559</f>
        <v>0</v>
      </c>
      <c r="I560" s="882"/>
      <c r="J560" s="876"/>
      <c r="K560" s="878"/>
      <c r="L560" s="882"/>
      <c r="M560" s="882"/>
      <c r="N560" s="884"/>
      <c r="O560" s="56">
        <v>721</v>
      </c>
      <c r="P560" s="79">
        <f>+N559-P559</f>
        <v>0</v>
      </c>
    </row>
    <row r="561" spans="1:16" ht="15" customHeight="1">
      <c r="A561" s="881" t="e">
        <f>+A559+1</f>
        <v>#REF!</v>
      </c>
      <c r="B561" s="875">
        <v>42286</v>
      </c>
      <c r="C561" s="877" t="s">
        <v>120</v>
      </c>
      <c r="D561" s="881" t="s">
        <v>316</v>
      </c>
      <c r="E561" s="881" t="s">
        <v>115</v>
      </c>
      <c r="F561" s="883">
        <v>10000</v>
      </c>
      <c r="G561" s="55">
        <v>719</v>
      </c>
      <c r="H561" s="78">
        <v>10000</v>
      </c>
      <c r="I561" s="873" t="s">
        <v>664</v>
      </c>
      <c r="J561" s="875">
        <v>42422</v>
      </c>
      <c r="K561" s="877" t="s">
        <v>695</v>
      </c>
      <c r="L561" s="881" t="s">
        <v>671</v>
      </c>
      <c r="M561" s="881" t="s">
        <v>148</v>
      </c>
      <c r="N561" s="883">
        <v>5066040</v>
      </c>
      <c r="O561" s="55">
        <v>723</v>
      </c>
      <c r="P561" s="78">
        <v>5066040</v>
      </c>
    </row>
    <row r="562" spans="1:16" ht="15.75" customHeight="1" thickBot="1">
      <c r="A562" s="882"/>
      <c r="B562" s="876"/>
      <c r="C562" s="878"/>
      <c r="D562" s="882"/>
      <c r="E562" s="882"/>
      <c r="F562" s="884"/>
      <c r="G562" s="56">
        <v>721</v>
      </c>
      <c r="H562" s="79">
        <f>+F561-H561</f>
        <v>0</v>
      </c>
      <c r="I562" s="882"/>
      <c r="J562" s="876"/>
      <c r="K562" s="878"/>
      <c r="L562" s="882"/>
      <c r="M562" s="882"/>
      <c r="N562" s="884"/>
      <c r="O562" s="56">
        <v>721</v>
      </c>
      <c r="P562" s="79">
        <f>+N561-P561</f>
        <v>0</v>
      </c>
    </row>
    <row r="563" spans="1:16" ht="15" customHeight="1">
      <c r="A563" s="881"/>
      <c r="B563" s="875"/>
      <c r="C563" s="877"/>
      <c r="D563" s="881"/>
      <c r="E563" s="881"/>
      <c r="F563" s="883"/>
      <c r="G563" s="55">
        <v>719</v>
      </c>
      <c r="H563" s="78"/>
      <c r="I563" s="873" t="s">
        <v>665</v>
      </c>
      <c r="J563" s="875">
        <v>42422</v>
      </c>
      <c r="K563" s="877" t="s">
        <v>696</v>
      </c>
      <c r="L563" s="881" t="s">
        <v>671</v>
      </c>
      <c r="M563" s="881" t="s">
        <v>148</v>
      </c>
      <c r="N563" s="883">
        <v>3150000</v>
      </c>
      <c r="O563" s="55">
        <v>723</v>
      </c>
      <c r="P563" s="78">
        <v>3150000</v>
      </c>
    </row>
    <row r="564" spans="1:16" ht="15.75" customHeight="1" thickBot="1">
      <c r="A564" s="882"/>
      <c r="B564" s="876"/>
      <c r="C564" s="878"/>
      <c r="D564" s="882"/>
      <c r="E564" s="882"/>
      <c r="F564" s="884"/>
      <c r="G564" s="56">
        <v>721</v>
      </c>
      <c r="H564" s="79">
        <f>+F563-H563</f>
        <v>0</v>
      </c>
      <c r="I564" s="882"/>
      <c r="J564" s="876"/>
      <c r="K564" s="878"/>
      <c r="L564" s="882"/>
      <c r="M564" s="882"/>
      <c r="N564" s="884"/>
      <c r="O564" s="56">
        <v>721</v>
      </c>
      <c r="P564" s="79">
        <f>+N563-P563</f>
        <v>0</v>
      </c>
    </row>
    <row r="565" spans="1:16" ht="16.5" thickBot="1">
      <c r="A565" s="901" t="s">
        <v>102</v>
      </c>
      <c r="B565" s="902"/>
      <c r="C565" s="902"/>
      <c r="D565" s="902"/>
      <c r="E565" s="903"/>
      <c r="F565" s="81">
        <f>SUM(F555:F564)</f>
        <v>140000</v>
      </c>
      <c r="I565" s="901" t="s">
        <v>102</v>
      </c>
      <c r="J565" s="902"/>
      <c r="K565" s="902"/>
      <c r="L565" s="902"/>
      <c r="M565" s="903"/>
      <c r="N565" s="81">
        <f>SUM(N555:N564)</f>
        <v>41053268</v>
      </c>
    </row>
    <row r="566" spans="1:16" ht="16.5" thickBot="1">
      <c r="A566" s="885" t="s">
        <v>103</v>
      </c>
      <c r="B566" s="886"/>
      <c r="C566" s="886"/>
      <c r="D566" s="886"/>
      <c r="E566" s="887"/>
      <c r="F566" s="69">
        <f>+F530</f>
        <v>629224225</v>
      </c>
      <c r="I566" s="885" t="s">
        <v>103</v>
      </c>
      <c r="J566" s="886"/>
      <c r="K566" s="886"/>
      <c r="L566" s="886"/>
      <c r="M566" s="887"/>
      <c r="N566" s="239">
        <f>+N530</f>
        <v>354334871</v>
      </c>
      <c r="O566" s="241" t="s">
        <v>561</v>
      </c>
      <c r="P566" s="242"/>
    </row>
    <row r="567" spans="1:16" ht="14.25" customHeight="1" thickBot="1">
      <c r="A567" s="888" t="s">
        <v>104</v>
      </c>
      <c r="B567" s="889"/>
      <c r="C567" s="889"/>
      <c r="D567" s="889"/>
      <c r="E567" s="890"/>
      <c r="F567" s="183">
        <f>SUM(F565:F566)</f>
        <v>629364225</v>
      </c>
      <c r="I567" s="888" t="s">
        <v>104</v>
      </c>
      <c r="J567" s="889"/>
      <c r="K567" s="889"/>
      <c r="L567" s="889"/>
      <c r="M567" s="890"/>
      <c r="N567" s="183">
        <f>SUM(N565:N566)</f>
        <v>395388139</v>
      </c>
    </row>
    <row r="568" spans="1:16" ht="9.75" customHeight="1">
      <c r="A568" s="61"/>
      <c r="B568" s="61"/>
      <c r="C568" s="61"/>
      <c r="D568" s="61"/>
      <c r="E568" s="61"/>
      <c r="I568" s="61"/>
      <c r="J568" s="61"/>
      <c r="K568" s="61"/>
      <c r="L568" s="61"/>
      <c r="M568" s="61"/>
    </row>
    <row r="569" spans="1:16">
      <c r="A569" s="51" t="s">
        <v>317</v>
      </c>
      <c r="I569" s="51" t="s">
        <v>697</v>
      </c>
    </row>
    <row r="570" spans="1:16" ht="11.25" customHeight="1">
      <c r="F570" s="139"/>
      <c r="N570" s="139"/>
    </row>
    <row r="571" spans="1:16">
      <c r="A571" s="50" t="s">
        <v>105</v>
      </c>
      <c r="D571" s="146"/>
      <c r="F571" s="139"/>
      <c r="I571" s="50" t="s">
        <v>105</v>
      </c>
      <c r="L571" s="146"/>
      <c r="N571" s="139"/>
    </row>
    <row r="572" spans="1:16" ht="12.75" customHeight="1" thickBot="1"/>
    <row r="573" spans="1:16" ht="15.75" thickBot="1">
      <c r="A573" s="891" t="s">
        <v>106</v>
      </c>
      <c r="B573" s="892"/>
      <c r="C573" s="892"/>
      <c r="D573" s="893"/>
      <c r="F573" s="50" t="s">
        <v>288</v>
      </c>
      <c r="I573" s="891" t="s">
        <v>106</v>
      </c>
      <c r="J573" s="892"/>
      <c r="K573" s="892"/>
      <c r="L573" s="893"/>
      <c r="N573" s="50" t="s">
        <v>270</v>
      </c>
    </row>
    <row r="574" spans="1:16" ht="30.75" thickBot="1">
      <c r="A574" s="57" t="s">
        <v>100</v>
      </c>
      <c r="B574" s="58" t="s">
        <v>108</v>
      </c>
      <c r="C574" s="59" t="s">
        <v>109</v>
      </c>
      <c r="D574" s="60" t="s">
        <v>110</v>
      </c>
      <c r="I574" s="57" t="s">
        <v>100</v>
      </c>
      <c r="J574" s="58" t="s">
        <v>108</v>
      </c>
      <c r="K574" s="59" t="s">
        <v>109</v>
      </c>
      <c r="L574" s="60" t="s">
        <v>110</v>
      </c>
    </row>
    <row r="575" spans="1:16">
      <c r="A575" s="71">
        <v>719</v>
      </c>
      <c r="B575" s="73">
        <f>+H555+H557+H559+H561+H563</f>
        <v>140000</v>
      </c>
      <c r="C575" s="74" t="e">
        <f t="shared" ref="C575:C580" si="0">+D538</f>
        <v>#REF!</v>
      </c>
      <c r="D575" s="195" t="e">
        <f>+B575+C575</f>
        <v>#REF!</v>
      </c>
      <c r="I575" s="71">
        <v>719</v>
      </c>
      <c r="J575" s="73"/>
      <c r="K575" s="74">
        <f>+L538</f>
        <v>1960000</v>
      </c>
      <c r="L575" s="195">
        <f>+J575+K575</f>
        <v>1960000</v>
      </c>
    </row>
    <row r="576" spans="1:16" ht="12.75" customHeight="1">
      <c r="A576" s="72">
        <v>721</v>
      </c>
      <c r="B576" s="80">
        <f>+H556+H558+H560+H562+H564</f>
        <v>0</v>
      </c>
      <c r="C576" s="74" t="e">
        <f t="shared" si="0"/>
        <v>#REF!</v>
      </c>
      <c r="D576" s="195" t="e">
        <f>+B576+C576</f>
        <v>#REF!</v>
      </c>
      <c r="I576" s="72">
        <v>721</v>
      </c>
      <c r="J576" s="80"/>
      <c r="K576" s="74">
        <f>+L539</f>
        <v>39281624</v>
      </c>
      <c r="L576" s="195">
        <f>+J576+K576</f>
        <v>39281624</v>
      </c>
    </row>
    <row r="577" spans="1:16" ht="12.75" customHeight="1">
      <c r="A577" s="72">
        <v>722</v>
      </c>
      <c r="B577" s="80"/>
      <c r="C577" s="74">
        <f t="shared" si="0"/>
        <v>231207671</v>
      </c>
      <c r="D577" s="195">
        <f>+B577+C577</f>
        <v>231207671</v>
      </c>
      <c r="I577" s="72">
        <v>722</v>
      </c>
      <c r="J577" s="80"/>
      <c r="K577" s="74">
        <f>+L540</f>
        <v>0</v>
      </c>
      <c r="L577" s="195">
        <f>+J577+K577</f>
        <v>0</v>
      </c>
    </row>
    <row r="578" spans="1:16" ht="12.75" customHeight="1">
      <c r="A578" s="72">
        <v>723</v>
      </c>
      <c r="B578" s="80"/>
      <c r="C578" s="74">
        <f t="shared" si="0"/>
        <v>321228837</v>
      </c>
      <c r="D578" s="195">
        <f>+B578+C578</f>
        <v>321228837</v>
      </c>
      <c r="F578" s="193" t="s">
        <v>289</v>
      </c>
      <c r="G578" s="175"/>
      <c r="I578" s="72">
        <v>723</v>
      </c>
      <c r="J578" s="80">
        <f>+P555+P557+P559+P561+P563</f>
        <v>41053268</v>
      </c>
      <c r="K578" s="74">
        <f>+L541</f>
        <v>313093247</v>
      </c>
      <c r="L578" s="195">
        <f>+J578+K578</f>
        <v>354146515</v>
      </c>
      <c r="N578" s="174" t="s">
        <v>558</v>
      </c>
      <c r="O578" s="175"/>
    </row>
    <row r="579" spans="1:16" ht="12.75" customHeight="1" thickBot="1">
      <c r="A579" s="164" t="s">
        <v>181</v>
      </c>
      <c r="B579" s="165"/>
      <c r="C579" s="199">
        <f t="shared" si="0"/>
        <v>1965625</v>
      </c>
      <c r="D579" s="196">
        <f>+B579+C579</f>
        <v>1965625</v>
      </c>
      <c r="F579" s="52"/>
      <c r="I579" s="164" t="s">
        <v>181</v>
      </c>
      <c r="J579" s="165"/>
      <c r="K579" s="74">
        <f>+L542</f>
        <v>0</v>
      </c>
      <c r="L579" s="196">
        <f>+J579+K579</f>
        <v>0</v>
      </c>
      <c r="N579" s="52"/>
    </row>
    <row r="580" spans="1:16" ht="12.75" customHeight="1" thickBot="1">
      <c r="A580" s="169"/>
      <c r="B580" s="197">
        <f>SUM(B575:B579)</f>
        <v>140000</v>
      </c>
      <c r="C580" s="200" t="e">
        <f t="shared" si="0"/>
        <v>#REF!</v>
      </c>
      <c r="D580" s="198" t="e">
        <f>SUM(D575:D579)</f>
        <v>#REF!</v>
      </c>
      <c r="I580" s="169"/>
      <c r="J580" s="197">
        <f>SUM(J575:J579)</f>
        <v>41053268</v>
      </c>
      <c r="K580" s="197">
        <f>SUM(K575:K579)</f>
        <v>354334871</v>
      </c>
      <c r="L580" s="198">
        <f>SUM(L575:L579)</f>
        <v>395388139</v>
      </c>
    </row>
    <row r="581" spans="1:16" ht="16.5">
      <c r="A581" s="49" t="s">
        <v>88</v>
      </c>
      <c r="B581" s="50"/>
      <c r="I581" s="49" t="s">
        <v>88</v>
      </c>
      <c r="J581" s="50"/>
    </row>
    <row r="582" spans="1:16">
      <c r="A582" s="51" t="s">
        <v>89</v>
      </c>
      <c r="I582" s="51" t="s">
        <v>89</v>
      </c>
    </row>
    <row r="583" spans="1:16">
      <c r="A583" s="51" t="s">
        <v>90</v>
      </c>
      <c r="I583" s="51" t="s">
        <v>90</v>
      </c>
    </row>
    <row r="584" spans="1:16">
      <c r="A584" s="51" t="s">
        <v>91</v>
      </c>
      <c r="I584" s="51" t="s">
        <v>91</v>
      </c>
    </row>
    <row r="585" spans="1:16" ht="12" customHeight="1">
      <c r="A585" s="50"/>
      <c r="B585" s="50"/>
      <c r="I585" s="50"/>
      <c r="J585" s="50"/>
    </row>
    <row r="586" spans="1:16" ht="16.5">
      <c r="A586" s="52" t="s">
        <v>318</v>
      </c>
      <c r="G586" s="52"/>
      <c r="I586" s="52" t="s">
        <v>640</v>
      </c>
      <c r="O586" s="52"/>
    </row>
    <row r="587" spans="1:16" ht="15.75">
      <c r="A587" s="53" t="s">
        <v>92</v>
      </c>
      <c r="G587" s="53"/>
      <c r="I587" s="53" t="s">
        <v>535</v>
      </c>
      <c r="O587" s="53"/>
    </row>
    <row r="588" spans="1:16" ht="16.5">
      <c r="A588" s="894" t="s">
        <v>261</v>
      </c>
      <c r="B588" s="894"/>
      <c r="C588" s="894"/>
      <c r="D588" s="894"/>
      <c r="E588" s="894"/>
      <c r="F588" s="894"/>
      <c r="G588" s="894"/>
      <c r="H588" s="894"/>
      <c r="I588" s="894" t="s">
        <v>212</v>
      </c>
      <c r="J588" s="894"/>
      <c r="K588" s="894"/>
      <c r="L588" s="894"/>
      <c r="M588" s="894"/>
      <c r="N588" s="894"/>
      <c r="O588" s="894"/>
      <c r="P588" s="894"/>
    </row>
    <row r="589" spans="1:16" ht="15.75" thickBot="1"/>
    <row r="590" spans="1:16">
      <c r="A590" s="895" t="s">
        <v>94</v>
      </c>
      <c r="B590" s="897" t="s">
        <v>95</v>
      </c>
      <c r="C590" s="897" t="s">
        <v>96</v>
      </c>
      <c r="D590" s="897" t="s">
        <v>3</v>
      </c>
      <c r="E590" s="897" t="s">
        <v>97</v>
      </c>
      <c r="F590" s="897" t="s">
        <v>98</v>
      </c>
      <c r="G590" s="897" t="s">
        <v>99</v>
      </c>
      <c r="H590" s="899"/>
      <c r="I590" s="895" t="s">
        <v>94</v>
      </c>
      <c r="J590" s="897" t="s">
        <v>95</v>
      </c>
      <c r="K590" s="897" t="s">
        <v>96</v>
      </c>
      <c r="L590" s="897" t="s">
        <v>3</v>
      </c>
      <c r="M590" s="897" t="s">
        <v>97</v>
      </c>
      <c r="N590" s="897" t="s">
        <v>98</v>
      </c>
      <c r="O590" s="897" t="s">
        <v>99</v>
      </c>
      <c r="P590" s="899"/>
    </row>
    <row r="591" spans="1:16" ht="15.75" thickBot="1">
      <c r="A591" s="896"/>
      <c r="B591" s="898"/>
      <c r="C591" s="898"/>
      <c r="D591" s="898"/>
      <c r="E591" s="898"/>
      <c r="F591" s="898"/>
      <c r="G591" s="240" t="s">
        <v>100</v>
      </c>
      <c r="H591" s="182" t="s">
        <v>101</v>
      </c>
      <c r="I591" s="896"/>
      <c r="J591" s="898"/>
      <c r="K591" s="898"/>
      <c r="L591" s="898"/>
      <c r="M591" s="898"/>
      <c r="N591" s="898"/>
      <c r="O591" s="240" t="s">
        <v>100</v>
      </c>
      <c r="P591" s="182" t="s">
        <v>101</v>
      </c>
    </row>
    <row r="592" spans="1:16" ht="14.25" customHeight="1">
      <c r="A592" s="881" t="e">
        <f>+A561+1</f>
        <v>#REF!</v>
      </c>
      <c r="B592" s="875">
        <v>42286</v>
      </c>
      <c r="C592" s="877" t="s">
        <v>267</v>
      </c>
      <c r="D592" s="881" t="s">
        <v>320</v>
      </c>
      <c r="E592" s="881" t="s">
        <v>148</v>
      </c>
      <c r="F592" s="883">
        <v>70000</v>
      </c>
      <c r="G592" s="55">
        <v>719</v>
      </c>
      <c r="H592" s="78">
        <v>50000</v>
      </c>
      <c r="I592" s="873" t="s">
        <v>1458</v>
      </c>
      <c r="J592" s="875">
        <v>42814</v>
      </c>
      <c r="K592" s="877" t="s">
        <v>31</v>
      </c>
      <c r="L592" s="881" t="s">
        <v>1439</v>
      </c>
      <c r="M592" s="881" t="s">
        <v>783</v>
      </c>
      <c r="N592" s="883">
        <v>-1760000</v>
      </c>
      <c r="O592" s="55">
        <v>721</v>
      </c>
      <c r="P592" s="78">
        <v>0</v>
      </c>
    </row>
    <row r="593" spans="1:16" ht="13.5" customHeight="1" thickBot="1">
      <c r="A593" s="882"/>
      <c r="B593" s="934"/>
      <c r="C593" s="878"/>
      <c r="D593" s="882"/>
      <c r="E593" s="882"/>
      <c r="F593" s="884"/>
      <c r="G593" s="56">
        <v>721</v>
      </c>
      <c r="H593" s="79">
        <f>+F592-H592</f>
        <v>20000</v>
      </c>
      <c r="I593" s="882"/>
      <c r="J593" s="876"/>
      <c r="K593" s="878"/>
      <c r="L593" s="882"/>
      <c r="M593" s="882"/>
      <c r="N593" s="884"/>
      <c r="O593" s="56">
        <v>723</v>
      </c>
      <c r="P593" s="79">
        <f>+N592-0</f>
        <v>-1760000</v>
      </c>
    </row>
    <row r="594" spans="1:16" ht="13.5" customHeight="1">
      <c r="A594" s="881" t="e">
        <f>+A592+1</f>
        <v>#REF!</v>
      </c>
      <c r="B594" s="875">
        <v>42286</v>
      </c>
      <c r="C594" s="881" t="s">
        <v>28</v>
      </c>
      <c r="D594" s="881" t="s">
        <v>321</v>
      </c>
      <c r="E594" s="881" t="s">
        <v>148</v>
      </c>
      <c r="F594" s="883">
        <v>182000</v>
      </c>
      <c r="G594" s="55">
        <v>719</v>
      </c>
      <c r="H594" s="78">
        <v>130000</v>
      </c>
      <c r="I594" s="873"/>
      <c r="J594" s="875"/>
      <c r="K594" s="877"/>
      <c r="L594" s="881"/>
      <c r="M594" s="881"/>
      <c r="N594" s="883"/>
      <c r="O594" s="55">
        <v>723</v>
      </c>
      <c r="P594" s="78"/>
    </row>
    <row r="595" spans="1:16" ht="12" customHeight="1" thickBot="1">
      <c r="A595" s="882"/>
      <c r="B595" s="934"/>
      <c r="C595" s="882"/>
      <c r="D595" s="882"/>
      <c r="E595" s="882"/>
      <c r="F595" s="884"/>
      <c r="G595" s="56">
        <v>721</v>
      </c>
      <c r="H595" s="79">
        <f>+F594-H594</f>
        <v>52000</v>
      </c>
      <c r="I595" s="882"/>
      <c r="J595" s="876"/>
      <c r="K595" s="878"/>
      <c r="L595" s="882"/>
      <c r="M595" s="882"/>
      <c r="N595" s="884"/>
      <c r="O595" s="56">
        <v>721</v>
      </c>
      <c r="P595" s="79">
        <f>+N594-P594</f>
        <v>0</v>
      </c>
    </row>
    <row r="596" spans="1:16" ht="13.5" customHeight="1">
      <c r="A596" s="881" t="e">
        <f>+A594+1</f>
        <v>#REF!</v>
      </c>
      <c r="B596" s="875">
        <v>42286</v>
      </c>
      <c r="C596" s="877" t="s">
        <v>32</v>
      </c>
      <c r="D596" s="881" t="s">
        <v>322</v>
      </c>
      <c r="E596" s="881" t="s">
        <v>148</v>
      </c>
      <c r="F596" s="883">
        <v>70000</v>
      </c>
      <c r="G596" s="55">
        <v>719</v>
      </c>
      <c r="H596" s="78">
        <v>50000</v>
      </c>
      <c r="I596" s="873"/>
      <c r="J596" s="875"/>
      <c r="K596" s="877"/>
      <c r="L596" s="881"/>
      <c r="M596" s="881"/>
      <c r="N596" s="883"/>
      <c r="O596" s="55">
        <v>723</v>
      </c>
      <c r="P596" s="78"/>
    </row>
    <row r="597" spans="1:16" ht="12.75" customHeight="1" thickBot="1">
      <c r="A597" s="882"/>
      <c r="B597" s="934"/>
      <c r="C597" s="878"/>
      <c r="D597" s="882"/>
      <c r="E597" s="882"/>
      <c r="F597" s="884"/>
      <c r="G597" s="56">
        <v>721</v>
      </c>
      <c r="H597" s="79">
        <f>+F596-H596</f>
        <v>20000</v>
      </c>
      <c r="I597" s="882"/>
      <c r="J597" s="876"/>
      <c r="K597" s="878"/>
      <c r="L597" s="882"/>
      <c r="M597" s="882"/>
      <c r="N597" s="884"/>
      <c r="O597" s="56">
        <v>721</v>
      </c>
      <c r="P597" s="79"/>
    </row>
    <row r="598" spans="1:16" ht="12" customHeight="1">
      <c r="A598" s="881" t="e">
        <f>+A596+1</f>
        <v>#REF!</v>
      </c>
      <c r="B598" s="875">
        <v>42286</v>
      </c>
      <c r="C598" s="877" t="s">
        <v>111</v>
      </c>
      <c r="D598" s="881" t="s">
        <v>319</v>
      </c>
      <c r="E598" s="881" t="s">
        <v>148</v>
      </c>
      <c r="F598" s="883">
        <v>28000</v>
      </c>
      <c r="G598" s="55">
        <v>719</v>
      </c>
      <c r="H598" s="78">
        <v>20000</v>
      </c>
      <c r="I598" s="873"/>
      <c r="J598" s="875"/>
      <c r="K598" s="877"/>
      <c r="L598" s="881"/>
      <c r="M598" s="881"/>
      <c r="N598" s="883"/>
      <c r="O598" s="55">
        <v>723</v>
      </c>
      <c r="P598" s="78"/>
    </row>
    <row r="599" spans="1:16" ht="12.75" customHeight="1" thickBot="1">
      <c r="A599" s="882"/>
      <c r="B599" s="934"/>
      <c r="C599" s="878"/>
      <c r="D599" s="882"/>
      <c r="E599" s="882"/>
      <c r="F599" s="884"/>
      <c r="G599" s="56">
        <v>721</v>
      </c>
      <c r="H599" s="79">
        <f>+F598-H598</f>
        <v>8000</v>
      </c>
      <c r="I599" s="882"/>
      <c r="J599" s="876"/>
      <c r="K599" s="878"/>
      <c r="L599" s="882"/>
      <c r="M599" s="882"/>
      <c r="N599" s="884"/>
      <c r="O599" s="56">
        <v>721</v>
      </c>
      <c r="P599" s="79">
        <f>+N598-P598</f>
        <v>0</v>
      </c>
    </row>
    <row r="600" spans="1:16" ht="15" customHeight="1">
      <c r="A600" s="881" t="e">
        <f>+A598+1</f>
        <v>#REF!</v>
      </c>
      <c r="B600" s="875">
        <v>42286</v>
      </c>
      <c r="C600" s="877" t="s">
        <v>272</v>
      </c>
      <c r="D600" s="881" t="s">
        <v>322</v>
      </c>
      <c r="E600" s="881" t="s">
        <v>148</v>
      </c>
      <c r="F600" s="883">
        <v>322000</v>
      </c>
      <c r="G600" s="55">
        <v>719</v>
      </c>
      <c r="H600" s="78">
        <v>230000</v>
      </c>
      <c r="I600" s="873"/>
      <c r="J600" s="875"/>
      <c r="K600" s="877"/>
      <c r="L600" s="881"/>
      <c r="M600" s="881"/>
      <c r="N600" s="883"/>
      <c r="O600" s="55">
        <v>723</v>
      </c>
      <c r="P600" s="78"/>
    </row>
    <row r="601" spans="1:16" ht="15.75" customHeight="1" thickBot="1">
      <c r="A601" s="882"/>
      <c r="B601" s="934"/>
      <c r="C601" s="878"/>
      <c r="D601" s="882"/>
      <c r="E601" s="882"/>
      <c r="F601" s="884"/>
      <c r="G601" s="56">
        <v>721</v>
      </c>
      <c r="H601" s="79">
        <f>+F600-H600</f>
        <v>92000</v>
      </c>
      <c r="I601" s="882"/>
      <c r="J601" s="876"/>
      <c r="K601" s="878"/>
      <c r="L601" s="882"/>
      <c r="M601" s="882"/>
      <c r="N601" s="884"/>
      <c r="O601" s="56">
        <v>721</v>
      </c>
      <c r="P601" s="79">
        <f>+N600-P600</f>
        <v>0</v>
      </c>
    </row>
    <row r="602" spans="1:16" ht="16.5" thickBot="1">
      <c r="A602" s="901" t="s">
        <v>102</v>
      </c>
      <c r="B602" s="902"/>
      <c r="C602" s="902"/>
      <c r="D602" s="902"/>
      <c r="E602" s="903"/>
      <c r="F602" s="81">
        <f>SUM(F592:F601)</f>
        <v>672000</v>
      </c>
      <c r="I602" s="901" t="s">
        <v>102</v>
      </c>
      <c r="J602" s="902"/>
      <c r="K602" s="902"/>
      <c r="L602" s="902"/>
      <c r="M602" s="903"/>
      <c r="N602" s="81">
        <f>SUM(N592:N601)</f>
        <v>-1760000</v>
      </c>
    </row>
    <row r="603" spans="1:16" ht="16.5" thickBot="1">
      <c r="A603" s="885" t="s">
        <v>103</v>
      </c>
      <c r="B603" s="886"/>
      <c r="C603" s="886"/>
      <c r="D603" s="886"/>
      <c r="E603" s="887"/>
      <c r="F603" s="69">
        <f>+F567</f>
        <v>629364225</v>
      </c>
      <c r="I603" s="885" t="s">
        <v>103</v>
      </c>
      <c r="J603" s="886"/>
      <c r="K603" s="886"/>
      <c r="L603" s="886"/>
      <c r="M603" s="887"/>
      <c r="N603" s="239">
        <v>383067017</v>
      </c>
      <c r="O603" s="241" t="s">
        <v>561</v>
      </c>
      <c r="P603" s="242"/>
    </row>
    <row r="604" spans="1:16" ht="16.5" thickBot="1">
      <c r="A604" s="888" t="s">
        <v>104</v>
      </c>
      <c r="B604" s="889"/>
      <c r="C604" s="889"/>
      <c r="D604" s="889"/>
      <c r="E604" s="890"/>
      <c r="F604" s="183">
        <f>SUM(F602:F603)</f>
        <v>630036225</v>
      </c>
      <c r="I604" s="888" t="s">
        <v>104</v>
      </c>
      <c r="J604" s="889"/>
      <c r="K604" s="889"/>
      <c r="L604" s="889"/>
      <c r="M604" s="890"/>
      <c r="N604" s="183">
        <f>SUM(N602:N603)</f>
        <v>381307017</v>
      </c>
    </row>
    <row r="605" spans="1:16" ht="13.5" customHeight="1">
      <c r="A605" s="61"/>
      <c r="B605" s="61"/>
      <c r="C605" s="61"/>
      <c r="D605" s="61"/>
      <c r="E605" s="61"/>
      <c r="I605" s="61"/>
      <c r="J605" s="61"/>
      <c r="K605" s="61"/>
      <c r="L605" s="61"/>
      <c r="M605" s="61"/>
    </row>
    <row r="606" spans="1:16">
      <c r="A606" s="51" t="s">
        <v>323</v>
      </c>
      <c r="I606" s="51" t="s">
        <v>702</v>
      </c>
    </row>
    <row r="607" spans="1:16" ht="10.5" customHeight="1">
      <c r="F607" s="139"/>
      <c r="N607" s="139"/>
    </row>
    <row r="608" spans="1:16">
      <c r="A608" s="50" t="s">
        <v>105</v>
      </c>
      <c r="D608" s="146"/>
      <c r="F608" s="139"/>
      <c r="I608" s="50" t="s">
        <v>105</v>
      </c>
      <c r="L608" s="146"/>
      <c r="N608" s="139"/>
    </row>
    <row r="609" spans="1:15" ht="10.5" customHeight="1" thickBot="1"/>
    <row r="610" spans="1:15" ht="15.75" thickBot="1">
      <c r="A610" s="891" t="s">
        <v>106</v>
      </c>
      <c r="B610" s="892"/>
      <c r="C610" s="892"/>
      <c r="D610" s="893"/>
      <c r="F610" s="50" t="s">
        <v>288</v>
      </c>
      <c r="I610" s="891" t="s">
        <v>106</v>
      </c>
      <c r="J610" s="892"/>
      <c r="K610" s="892"/>
      <c r="L610" s="893"/>
      <c r="N610" s="50" t="s">
        <v>270</v>
      </c>
    </row>
    <row r="611" spans="1:15" ht="30.75" thickBot="1">
      <c r="A611" s="57" t="s">
        <v>100</v>
      </c>
      <c r="B611" s="58" t="s">
        <v>108</v>
      </c>
      <c r="C611" s="59" t="s">
        <v>109</v>
      </c>
      <c r="D611" s="60" t="s">
        <v>110</v>
      </c>
      <c r="I611" s="57" t="s">
        <v>100</v>
      </c>
      <c r="J611" s="58" t="s">
        <v>108</v>
      </c>
      <c r="K611" s="59" t="s">
        <v>109</v>
      </c>
      <c r="L611" s="60" t="s">
        <v>110</v>
      </c>
    </row>
    <row r="612" spans="1:15" ht="12.75" customHeight="1">
      <c r="A612" s="71">
        <v>719</v>
      </c>
      <c r="B612" s="73">
        <f>+H592+H594+H596+H598+H600</f>
        <v>480000</v>
      </c>
      <c r="C612" s="74" t="e">
        <f>+D575</f>
        <v>#REF!</v>
      </c>
      <c r="D612" s="195" t="e">
        <f>+B612+C612</f>
        <v>#REF!</v>
      </c>
      <c r="I612" s="71">
        <v>719</v>
      </c>
      <c r="J612" s="73"/>
      <c r="K612" s="74">
        <f>+L575</f>
        <v>1960000</v>
      </c>
      <c r="L612" s="195">
        <f>+J612+K612</f>
        <v>1960000</v>
      </c>
    </row>
    <row r="613" spans="1:15" ht="12.75" customHeight="1">
      <c r="A613" s="72">
        <v>721</v>
      </c>
      <c r="B613" s="80">
        <f>+H593+H595+H597+H599+H601</f>
        <v>192000</v>
      </c>
      <c r="C613" s="74" t="e">
        <f>+D576</f>
        <v>#REF!</v>
      </c>
      <c r="D613" s="195" t="e">
        <f>+B613+C613</f>
        <v>#REF!</v>
      </c>
      <c r="I613" s="72">
        <v>721</v>
      </c>
      <c r="J613" s="80"/>
      <c r="K613" s="74">
        <f>+L576</f>
        <v>39281624</v>
      </c>
      <c r="L613" s="195">
        <f>+J613+K613</f>
        <v>39281624</v>
      </c>
    </row>
    <row r="614" spans="1:15" ht="12.75" customHeight="1">
      <c r="A614" s="72">
        <v>722</v>
      </c>
      <c r="B614" s="80"/>
      <c r="C614" s="74">
        <f>+D577</f>
        <v>231207671</v>
      </c>
      <c r="D614" s="195">
        <f>+B614+C614</f>
        <v>231207671</v>
      </c>
      <c r="I614" s="72">
        <v>722</v>
      </c>
      <c r="J614" s="80"/>
      <c r="K614" s="74">
        <f>+L577</f>
        <v>0</v>
      </c>
      <c r="L614" s="195">
        <f>+J614+K614</f>
        <v>0</v>
      </c>
    </row>
    <row r="615" spans="1:15" ht="15.75">
      <c r="A615" s="72">
        <v>723</v>
      </c>
      <c r="B615" s="80"/>
      <c r="C615" s="74">
        <f>+D578</f>
        <v>321228837</v>
      </c>
      <c r="D615" s="195">
        <f>+B615+C615</f>
        <v>321228837</v>
      </c>
      <c r="F615" s="193" t="s">
        <v>289</v>
      </c>
      <c r="G615" s="175"/>
      <c r="I615" s="72">
        <v>723</v>
      </c>
      <c r="J615" s="80">
        <f>+P593</f>
        <v>-1760000</v>
      </c>
      <c r="K615" s="74">
        <v>376340767</v>
      </c>
      <c r="L615" s="195">
        <f>+J615+K615</f>
        <v>374580767</v>
      </c>
      <c r="N615" s="174" t="s">
        <v>558</v>
      </c>
      <c r="O615" s="175"/>
    </row>
    <row r="616" spans="1:15" ht="16.5" thickBot="1">
      <c r="A616" s="164" t="s">
        <v>181</v>
      </c>
      <c r="B616" s="165"/>
      <c r="C616" s="74">
        <f>+D579</f>
        <v>1965625</v>
      </c>
      <c r="D616" s="196">
        <f>+B616+C616</f>
        <v>1965625</v>
      </c>
      <c r="F616" s="52"/>
      <c r="I616" s="164" t="s">
        <v>181</v>
      </c>
      <c r="J616" s="165"/>
      <c r="K616" s="74">
        <f>+L579</f>
        <v>0</v>
      </c>
      <c r="L616" s="196">
        <f>+J616+K616</f>
        <v>0</v>
      </c>
      <c r="N616" s="52"/>
    </row>
    <row r="617" spans="1:15" ht="16.5" thickBot="1">
      <c r="A617" s="169"/>
      <c r="B617" s="170">
        <f>SUM(B612:B616)</f>
        <v>672000</v>
      </c>
      <c r="C617" s="171" t="e">
        <f>SUM(C612:C616)</f>
        <v>#REF!</v>
      </c>
      <c r="D617" s="172" t="e">
        <f>SUM(D612:D616)</f>
        <v>#REF!</v>
      </c>
      <c r="I617" s="169"/>
      <c r="J617" s="197">
        <f>SUM(J612:J616)</f>
        <v>-1760000</v>
      </c>
      <c r="K617" s="197">
        <f>SUM(K612:K616)</f>
        <v>417582391</v>
      </c>
      <c r="L617" s="198">
        <f>SUM(L612:L616)</f>
        <v>415822391</v>
      </c>
    </row>
    <row r="618" spans="1:15" ht="16.5">
      <c r="A618" s="49" t="s">
        <v>88</v>
      </c>
      <c r="B618" s="50"/>
      <c r="I618" s="49" t="s">
        <v>88</v>
      </c>
      <c r="J618" s="50"/>
    </row>
    <row r="619" spans="1:15">
      <c r="A619" s="51" t="s">
        <v>89</v>
      </c>
      <c r="I619" s="51" t="s">
        <v>89</v>
      </c>
    </row>
    <row r="620" spans="1:15">
      <c r="A620" s="51" t="s">
        <v>90</v>
      </c>
      <c r="I620" s="51" t="s">
        <v>90</v>
      </c>
    </row>
    <row r="621" spans="1:15">
      <c r="A621" s="51" t="s">
        <v>91</v>
      </c>
      <c r="I621" s="51" t="s">
        <v>91</v>
      </c>
    </row>
    <row r="622" spans="1:15" ht="13.5" customHeight="1">
      <c r="A622" s="50"/>
      <c r="B622" s="50"/>
      <c r="I622" s="50"/>
      <c r="J622" s="50"/>
    </row>
    <row r="623" spans="1:15" ht="16.5">
      <c r="A623" s="52" t="s">
        <v>344</v>
      </c>
      <c r="G623" s="52"/>
      <c r="I623" s="52" t="s">
        <v>725</v>
      </c>
      <c r="O623" s="52"/>
    </row>
    <row r="624" spans="1:15" ht="15.75">
      <c r="A624" s="53" t="s">
        <v>92</v>
      </c>
      <c r="G624" s="53"/>
      <c r="I624" s="53" t="s">
        <v>1333</v>
      </c>
      <c r="O624" s="53"/>
    </row>
    <row r="625" spans="1:16" ht="16.5">
      <c r="A625" s="894" t="s">
        <v>347</v>
      </c>
      <c r="B625" s="894"/>
      <c r="C625" s="894"/>
      <c r="D625" s="894"/>
      <c r="E625" s="894"/>
      <c r="F625" s="894"/>
      <c r="G625" s="894"/>
      <c r="H625" s="894"/>
      <c r="I625" s="894" t="s">
        <v>1460</v>
      </c>
      <c r="J625" s="894"/>
      <c r="K625" s="894"/>
      <c r="L625" s="894"/>
      <c r="M625" s="894"/>
      <c r="N625" s="894"/>
      <c r="O625" s="894"/>
      <c r="P625" s="894"/>
    </row>
    <row r="626" spans="1:16" ht="13.5" customHeight="1" thickBot="1"/>
    <row r="627" spans="1:16">
      <c r="A627" s="895" t="s">
        <v>94</v>
      </c>
      <c r="B627" s="897" t="s">
        <v>95</v>
      </c>
      <c r="C627" s="897" t="s">
        <v>96</v>
      </c>
      <c r="D627" s="897" t="s">
        <v>3</v>
      </c>
      <c r="E627" s="897" t="s">
        <v>97</v>
      </c>
      <c r="F627" s="897" t="s">
        <v>98</v>
      </c>
      <c r="G627" s="897" t="s">
        <v>99</v>
      </c>
      <c r="H627" s="899"/>
      <c r="I627" s="895" t="s">
        <v>94</v>
      </c>
      <c r="J627" s="897" t="s">
        <v>95</v>
      </c>
      <c r="K627" s="897" t="s">
        <v>96</v>
      </c>
      <c r="L627" s="897" t="s">
        <v>3</v>
      </c>
      <c r="M627" s="897" t="s">
        <v>97</v>
      </c>
      <c r="N627" s="897" t="s">
        <v>98</v>
      </c>
      <c r="O627" s="897" t="s">
        <v>99</v>
      </c>
      <c r="P627" s="899"/>
    </row>
    <row r="628" spans="1:16" ht="15.75" thickBot="1">
      <c r="A628" s="896"/>
      <c r="B628" s="898"/>
      <c r="C628" s="898"/>
      <c r="D628" s="898"/>
      <c r="E628" s="898"/>
      <c r="F628" s="898"/>
      <c r="G628" s="240" t="s">
        <v>100</v>
      </c>
      <c r="H628" s="182" t="s">
        <v>101</v>
      </c>
      <c r="I628" s="896"/>
      <c r="J628" s="898"/>
      <c r="K628" s="898"/>
      <c r="L628" s="898"/>
      <c r="M628" s="898"/>
      <c r="N628" s="898"/>
      <c r="O628" s="240" t="s">
        <v>100</v>
      </c>
      <c r="P628" s="182" t="s">
        <v>101</v>
      </c>
    </row>
    <row r="629" spans="1:16" ht="12.75" customHeight="1">
      <c r="A629" s="881" t="e">
        <f>+A600+1</f>
        <v>#REF!</v>
      </c>
      <c r="B629" s="875">
        <v>42293</v>
      </c>
      <c r="C629" s="877" t="s">
        <v>325</v>
      </c>
      <c r="D629" s="877" t="s">
        <v>324</v>
      </c>
      <c r="E629" s="881" t="s">
        <v>145</v>
      </c>
      <c r="F629" s="883">
        <v>20276705</v>
      </c>
      <c r="G629" s="55">
        <v>719</v>
      </c>
      <c r="H629" s="78"/>
      <c r="I629" s="873" t="s">
        <v>717</v>
      </c>
      <c r="J629" s="875">
        <v>42843</v>
      </c>
      <c r="K629" s="877" t="s">
        <v>1459</v>
      </c>
      <c r="L629" s="881" t="s">
        <v>1439</v>
      </c>
      <c r="M629" s="881" t="s">
        <v>215</v>
      </c>
      <c r="N629" s="883">
        <v>2025956</v>
      </c>
      <c r="O629" s="55">
        <v>721</v>
      </c>
      <c r="P629" s="258"/>
    </row>
    <row r="630" spans="1:16" ht="14.25" customHeight="1" thickBot="1">
      <c r="A630" s="882"/>
      <c r="B630" s="876"/>
      <c r="C630" s="878"/>
      <c r="D630" s="878"/>
      <c r="E630" s="882"/>
      <c r="F630" s="884"/>
      <c r="G630" s="56">
        <v>721</v>
      </c>
      <c r="H630" s="79">
        <f>+F629-H629</f>
        <v>20276705</v>
      </c>
      <c r="I630" s="882"/>
      <c r="J630" s="876"/>
      <c r="K630" s="878"/>
      <c r="L630" s="882"/>
      <c r="M630" s="882"/>
      <c r="N630" s="884"/>
      <c r="O630" s="56">
        <v>723</v>
      </c>
      <c r="P630" s="79">
        <f>+N629-P629</f>
        <v>2025956</v>
      </c>
    </row>
    <row r="631" spans="1:16" ht="12.75" customHeight="1">
      <c r="A631" s="881" t="e">
        <f>+A629+1</f>
        <v>#REF!</v>
      </c>
      <c r="B631" s="875">
        <v>42293</v>
      </c>
      <c r="C631" s="877" t="s">
        <v>345</v>
      </c>
      <c r="D631" s="877" t="s">
        <v>346</v>
      </c>
      <c r="E631" s="881" t="s">
        <v>165</v>
      </c>
      <c r="F631" s="883">
        <v>200000</v>
      </c>
      <c r="G631" s="55">
        <v>719</v>
      </c>
      <c r="H631" s="78"/>
      <c r="I631" s="873" t="s">
        <v>718</v>
      </c>
      <c r="J631" s="875">
        <v>42843</v>
      </c>
      <c r="K631" s="877" t="s">
        <v>31</v>
      </c>
      <c r="L631" s="881" t="s">
        <v>1439</v>
      </c>
      <c r="M631" s="881" t="s">
        <v>148</v>
      </c>
      <c r="N631" s="883">
        <v>9240000</v>
      </c>
      <c r="O631" s="55">
        <v>721</v>
      </c>
      <c r="P631" s="78"/>
    </row>
    <row r="632" spans="1:16" ht="13.5" customHeight="1" thickBot="1">
      <c r="A632" s="882"/>
      <c r="B632" s="876"/>
      <c r="C632" s="878"/>
      <c r="D632" s="878"/>
      <c r="E632" s="882"/>
      <c r="F632" s="884"/>
      <c r="G632" s="56">
        <v>723</v>
      </c>
      <c r="H632" s="79">
        <f>+F631-H631</f>
        <v>200000</v>
      </c>
      <c r="I632" s="882"/>
      <c r="J632" s="876"/>
      <c r="K632" s="878"/>
      <c r="L632" s="882"/>
      <c r="M632" s="882"/>
      <c r="N632" s="884"/>
      <c r="O632" s="56">
        <v>723</v>
      </c>
      <c r="P632" s="79">
        <f>+N631-P631</f>
        <v>9240000</v>
      </c>
    </row>
    <row r="633" spans="1:16" ht="12.75" customHeight="1">
      <c r="A633" s="881"/>
      <c r="B633" s="875"/>
      <c r="C633" s="877"/>
      <c r="D633" s="881"/>
      <c r="E633" s="881"/>
      <c r="F633" s="883"/>
      <c r="G633" s="55">
        <v>719</v>
      </c>
      <c r="H633" s="78"/>
      <c r="I633" s="873" t="s">
        <v>719</v>
      </c>
      <c r="J633" s="875">
        <v>42843</v>
      </c>
      <c r="K633" s="877" t="s">
        <v>40</v>
      </c>
      <c r="L633" s="881" t="s">
        <v>1439</v>
      </c>
      <c r="M633" s="881" t="s">
        <v>148</v>
      </c>
      <c r="N633" s="883">
        <v>7821240</v>
      </c>
      <c r="O633" s="55">
        <v>721</v>
      </c>
      <c r="P633" s="78"/>
    </row>
    <row r="634" spans="1:16" ht="12.75" customHeight="1" thickBot="1">
      <c r="A634" s="882"/>
      <c r="B634" s="876"/>
      <c r="C634" s="878"/>
      <c r="D634" s="882"/>
      <c r="E634" s="882"/>
      <c r="F634" s="884"/>
      <c r="G634" s="56">
        <v>721</v>
      </c>
      <c r="H634" s="79">
        <f>+F633-H633</f>
        <v>0</v>
      </c>
      <c r="I634" s="882"/>
      <c r="J634" s="876"/>
      <c r="K634" s="878"/>
      <c r="L634" s="882"/>
      <c r="M634" s="882"/>
      <c r="N634" s="884"/>
      <c r="O634" s="56">
        <v>723</v>
      </c>
      <c r="P634" s="79">
        <f>+N633-P633</f>
        <v>7821240</v>
      </c>
    </row>
    <row r="635" spans="1:16" ht="12.75" customHeight="1">
      <c r="A635" s="881"/>
      <c r="B635" s="875"/>
      <c r="C635" s="877"/>
      <c r="D635" s="881"/>
      <c r="E635" s="881"/>
      <c r="F635" s="883"/>
      <c r="G635" s="55">
        <v>719</v>
      </c>
      <c r="H635" s="78"/>
      <c r="I635" s="873" t="s">
        <v>720</v>
      </c>
      <c r="J635" s="875">
        <v>42843</v>
      </c>
      <c r="K635" s="877" t="s">
        <v>31</v>
      </c>
      <c r="L635" s="881" t="s">
        <v>1461</v>
      </c>
      <c r="M635" s="881" t="s">
        <v>148</v>
      </c>
      <c r="N635" s="883">
        <v>390000</v>
      </c>
      <c r="O635" s="55">
        <v>719</v>
      </c>
      <c r="P635" s="78">
        <v>300000</v>
      </c>
    </row>
    <row r="636" spans="1:16" ht="12.75" customHeight="1" thickBot="1">
      <c r="A636" s="882"/>
      <c r="B636" s="876"/>
      <c r="C636" s="878"/>
      <c r="D636" s="882"/>
      <c r="E636" s="882"/>
      <c r="F636" s="884"/>
      <c r="G636" s="56">
        <v>721</v>
      </c>
      <c r="H636" s="79">
        <f>+F635-H635</f>
        <v>0</v>
      </c>
      <c r="I636" s="882"/>
      <c r="J636" s="876"/>
      <c r="K636" s="878"/>
      <c r="L636" s="882"/>
      <c r="M636" s="882"/>
      <c r="N636" s="884"/>
      <c r="O636" s="56">
        <v>721</v>
      </c>
      <c r="P636" s="79">
        <f>+N635-P635</f>
        <v>90000</v>
      </c>
    </row>
    <row r="637" spans="1:16" ht="12.75" customHeight="1">
      <c r="A637" s="881"/>
      <c r="B637" s="875"/>
      <c r="C637" s="877"/>
      <c r="D637" s="881"/>
      <c r="E637" s="881"/>
      <c r="F637" s="883"/>
      <c r="G637" s="55">
        <v>719</v>
      </c>
      <c r="H637" s="78"/>
      <c r="I637" s="873" t="s">
        <v>721</v>
      </c>
      <c r="J637" s="875">
        <v>42843</v>
      </c>
      <c r="K637" s="877" t="s">
        <v>120</v>
      </c>
      <c r="L637" s="881" t="s">
        <v>1462</v>
      </c>
      <c r="M637" s="881" t="s">
        <v>148</v>
      </c>
      <c r="N637" s="883">
        <v>520000</v>
      </c>
      <c r="O637" s="55">
        <v>719</v>
      </c>
      <c r="P637" s="78">
        <v>400000</v>
      </c>
    </row>
    <row r="638" spans="1:16" ht="12.75" customHeight="1" thickBot="1">
      <c r="A638" s="882"/>
      <c r="B638" s="876"/>
      <c r="C638" s="878"/>
      <c r="D638" s="882"/>
      <c r="E638" s="882"/>
      <c r="F638" s="884"/>
      <c r="G638" s="56">
        <v>721</v>
      </c>
      <c r="H638" s="79">
        <f>+F637-H637</f>
        <v>0</v>
      </c>
      <c r="I638" s="882"/>
      <c r="J638" s="876"/>
      <c r="K638" s="878"/>
      <c r="L638" s="882"/>
      <c r="M638" s="882"/>
      <c r="N638" s="884"/>
      <c r="O638" s="56">
        <v>721</v>
      </c>
      <c r="P638" s="79">
        <f>+N637-P637</f>
        <v>120000</v>
      </c>
    </row>
    <row r="639" spans="1:16" ht="16.5" thickBot="1">
      <c r="A639" s="901" t="s">
        <v>102</v>
      </c>
      <c r="B639" s="902"/>
      <c r="C639" s="902"/>
      <c r="D639" s="902"/>
      <c r="E639" s="903"/>
      <c r="F639" s="81">
        <f>SUM(F629:F638)</f>
        <v>20476705</v>
      </c>
      <c r="I639" s="901" t="s">
        <v>102</v>
      </c>
      <c r="J639" s="902"/>
      <c r="K639" s="902"/>
      <c r="L639" s="902"/>
      <c r="M639" s="903"/>
      <c r="N639" s="81">
        <f>SUM(N629:N638)</f>
        <v>19997196</v>
      </c>
    </row>
    <row r="640" spans="1:16" ht="16.5" thickBot="1">
      <c r="A640" s="885" t="s">
        <v>103</v>
      </c>
      <c r="B640" s="886"/>
      <c r="C640" s="886"/>
      <c r="D640" s="886"/>
      <c r="E640" s="887"/>
      <c r="F640" s="69">
        <f>+F604</f>
        <v>630036225</v>
      </c>
      <c r="I640" s="885" t="s">
        <v>103</v>
      </c>
      <c r="J640" s="886"/>
      <c r="K640" s="886"/>
      <c r="L640" s="886"/>
      <c r="M640" s="887"/>
      <c r="N640" s="239">
        <f>+N604</f>
        <v>381307017</v>
      </c>
      <c r="O640" s="241" t="s">
        <v>561</v>
      </c>
      <c r="P640" s="242">
        <f>336+951</f>
        <v>1287</v>
      </c>
    </row>
    <row r="641" spans="1:16" ht="16.5" thickBot="1">
      <c r="A641" s="888" t="s">
        <v>104</v>
      </c>
      <c r="B641" s="889"/>
      <c r="C641" s="889"/>
      <c r="D641" s="889"/>
      <c r="E641" s="890"/>
      <c r="F641" s="183">
        <f>SUM(F639:F640)</f>
        <v>650512930</v>
      </c>
      <c r="I641" s="888" t="s">
        <v>104</v>
      </c>
      <c r="J641" s="889"/>
      <c r="K641" s="889"/>
      <c r="L641" s="889"/>
      <c r="M641" s="890"/>
      <c r="N641" s="183">
        <f>SUM(N639:N640)</f>
        <v>401304213</v>
      </c>
    </row>
    <row r="642" spans="1:16">
      <c r="A642" s="61"/>
      <c r="B642" s="61"/>
      <c r="C642" s="61"/>
      <c r="D642" s="61"/>
      <c r="E642" s="61"/>
      <c r="I642" s="61"/>
      <c r="J642" s="61"/>
      <c r="K642" s="61"/>
      <c r="L642" s="61"/>
      <c r="M642" s="61"/>
    </row>
    <row r="643" spans="1:16">
      <c r="A643" s="51" t="s">
        <v>349</v>
      </c>
      <c r="I643" s="51" t="s">
        <v>1463</v>
      </c>
    </row>
    <row r="644" spans="1:16" ht="12" customHeight="1">
      <c r="F644" s="139"/>
      <c r="N644" s="139"/>
    </row>
    <row r="645" spans="1:16">
      <c r="A645" s="50" t="s">
        <v>105</v>
      </c>
      <c r="D645" s="146"/>
      <c r="F645" s="139"/>
      <c r="I645" s="50" t="s">
        <v>105</v>
      </c>
      <c r="L645" s="146"/>
      <c r="N645" s="139"/>
    </row>
    <row r="646" spans="1:16" ht="10.5" customHeight="1" thickBot="1"/>
    <row r="647" spans="1:16" ht="15.75" thickBot="1">
      <c r="A647" s="891" t="s">
        <v>106</v>
      </c>
      <c r="B647" s="892"/>
      <c r="C647" s="892"/>
      <c r="D647" s="893"/>
      <c r="F647" s="50" t="s">
        <v>270</v>
      </c>
      <c r="I647" s="891" t="s">
        <v>106</v>
      </c>
      <c r="J647" s="892"/>
      <c r="K647" s="892"/>
      <c r="L647" s="893"/>
    </row>
    <row r="648" spans="1:16" ht="30.75" thickBot="1">
      <c r="A648" s="57" t="s">
        <v>100</v>
      </c>
      <c r="B648" s="58" t="s">
        <v>108</v>
      </c>
      <c r="C648" s="59" t="s">
        <v>109</v>
      </c>
      <c r="D648" s="60" t="s">
        <v>110</v>
      </c>
      <c r="I648" s="57" t="s">
        <v>100</v>
      </c>
      <c r="J648" s="58" t="s">
        <v>108</v>
      </c>
      <c r="K648" s="59" t="s">
        <v>109</v>
      </c>
      <c r="L648" s="60" t="s">
        <v>110</v>
      </c>
      <c r="N648" s="605" t="s">
        <v>288</v>
      </c>
      <c r="O648" s="605"/>
      <c r="P648" s="605"/>
    </row>
    <row r="649" spans="1:16" ht="13.5" customHeight="1">
      <c r="A649" s="71">
        <v>719</v>
      </c>
      <c r="B649" s="73">
        <f>+H629+H631+H633+H635+H637</f>
        <v>0</v>
      </c>
      <c r="C649" s="74" t="e">
        <f>+D612</f>
        <v>#REF!</v>
      </c>
      <c r="D649" s="195" t="e">
        <f>+B649+C649</f>
        <v>#REF!</v>
      </c>
      <c r="I649" s="71">
        <v>719</v>
      </c>
      <c r="J649" s="73">
        <f>+P637+P635</f>
        <v>700000</v>
      </c>
      <c r="K649" s="74">
        <f>+L612</f>
        <v>1960000</v>
      </c>
      <c r="L649" s="195">
        <f>+J649+K649</f>
        <v>2660000</v>
      </c>
      <c r="N649" s="202"/>
      <c r="O649" s="202"/>
      <c r="P649" s="202"/>
    </row>
    <row r="650" spans="1:16" ht="12.75" customHeight="1">
      <c r="A650" s="72">
        <v>721</v>
      </c>
      <c r="B650" s="80">
        <f>+H630</f>
        <v>20276705</v>
      </c>
      <c r="C650" s="74" t="e">
        <f>+D613</f>
        <v>#REF!</v>
      </c>
      <c r="D650" s="195" t="e">
        <f>+B650+C650</f>
        <v>#REF!</v>
      </c>
      <c r="I650" s="72">
        <v>721</v>
      </c>
      <c r="J650" s="80">
        <f>+P638+P636</f>
        <v>210000</v>
      </c>
      <c r="K650" s="74">
        <f>+L613</f>
        <v>39281624</v>
      </c>
      <c r="L650" s="195">
        <f>+J650+K650</f>
        <v>39491624</v>
      </c>
      <c r="N650" s="202"/>
      <c r="O650" s="202"/>
      <c r="P650" s="202"/>
    </row>
    <row r="651" spans="1:16" ht="14.25" customHeight="1">
      <c r="A651" s="72">
        <v>722</v>
      </c>
      <c r="B651" s="80"/>
      <c r="C651" s="74">
        <f>+D614</f>
        <v>231207671</v>
      </c>
      <c r="D651" s="195">
        <f>+B651+C651</f>
        <v>231207671</v>
      </c>
      <c r="I651" s="72">
        <v>722</v>
      </c>
      <c r="J651" s="80"/>
      <c r="K651" s="74">
        <f>+L614</f>
        <v>0</v>
      </c>
      <c r="L651" s="195">
        <f>+J651+K651</f>
        <v>0</v>
      </c>
      <c r="N651" s="202"/>
      <c r="O651" s="202"/>
      <c r="P651" s="202"/>
    </row>
    <row r="652" spans="1:16" ht="16.5">
      <c r="A652" s="72">
        <v>723</v>
      </c>
      <c r="B652" s="80">
        <f>+H632</f>
        <v>200000</v>
      </c>
      <c r="C652" s="74">
        <f>+D615</f>
        <v>321228837</v>
      </c>
      <c r="D652" s="195">
        <f>+B652+C652</f>
        <v>321428837</v>
      </c>
      <c r="F652" s="193" t="s">
        <v>348</v>
      </c>
      <c r="G652" s="175"/>
      <c r="I652" s="72">
        <v>723</v>
      </c>
      <c r="J652" s="80">
        <f>+P634+P632+P630</f>
        <v>19087196</v>
      </c>
      <c r="K652" s="74">
        <f>+L615</f>
        <v>374580767</v>
      </c>
      <c r="L652" s="195">
        <f>+J652+K652</f>
        <v>393667963</v>
      </c>
      <c r="N652" s="202"/>
      <c r="O652" s="202"/>
      <c r="P652" s="202"/>
    </row>
    <row r="653" spans="1:16" ht="16.5" thickBot="1">
      <c r="A653" s="164" t="s">
        <v>181</v>
      </c>
      <c r="B653" s="165"/>
      <c r="C653" s="74">
        <f>+D616</f>
        <v>1965625</v>
      </c>
      <c r="D653" s="196">
        <f>+B653+C653</f>
        <v>1965625</v>
      </c>
      <c r="F653" s="52"/>
      <c r="I653" s="164" t="s">
        <v>181</v>
      </c>
      <c r="J653" s="165"/>
      <c r="K653" s="74">
        <f>+L616</f>
        <v>0</v>
      </c>
      <c r="L653" s="196">
        <f>+J653+K653</f>
        <v>0</v>
      </c>
      <c r="N653" s="608" t="s">
        <v>1436</v>
      </c>
      <c r="O653" s="608"/>
      <c r="P653" s="608"/>
    </row>
    <row r="654" spans="1:16" ht="16.5" thickBot="1">
      <c r="A654" s="169"/>
      <c r="B654" s="170">
        <f>SUM(B649:B653)</f>
        <v>20476705</v>
      </c>
      <c r="C654" s="171" t="e">
        <f>SUM(C649:C653)</f>
        <v>#REF!</v>
      </c>
      <c r="D654" s="172" t="e">
        <f>SUM(D649:D653)</f>
        <v>#REF!</v>
      </c>
      <c r="I654" s="169"/>
      <c r="J654" s="197">
        <f>SUM(J649:J653)</f>
        <v>19997196</v>
      </c>
      <c r="K654" s="197">
        <f>SUM(K649:K653)</f>
        <v>415822391</v>
      </c>
      <c r="L654" s="198">
        <f>SUM(L649:L653)</f>
        <v>435819587</v>
      </c>
    </row>
    <row r="655" spans="1:16" ht="16.5">
      <c r="A655" s="49" t="s">
        <v>88</v>
      </c>
      <c r="B655" s="50"/>
      <c r="I655" s="49" t="s">
        <v>88</v>
      </c>
      <c r="J655" s="50"/>
    </row>
    <row r="656" spans="1:16" ht="13.5" customHeight="1">
      <c r="A656" s="51" t="s">
        <v>89</v>
      </c>
      <c r="I656" s="51" t="s">
        <v>89</v>
      </c>
    </row>
    <row r="657" spans="1:16" ht="13.5" customHeight="1">
      <c r="A657" s="51" t="s">
        <v>90</v>
      </c>
      <c r="I657" s="51" t="s">
        <v>90</v>
      </c>
    </row>
    <row r="658" spans="1:16" ht="14.25" customHeight="1">
      <c r="A658" s="51" t="s">
        <v>91</v>
      </c>
      <c r="I658" s="51" t="s">
        <v>91</v>
      </c>
    </row>
    <row r="659" spans="1:16" ht="11.25" customHeight="1">
      <c r="A659" s="50"/>
      <c r="B659" s="50"/>
      <c r="I659" s="50"/>
      <c r="J659" s="50"/>
    </row>
    <row r="660" spans="1:16" ht="16.5">
      <c r="A660" s="52" t="s">
        <v>351</v>
      </c>
      <c r="G660" s="52"/>
      <c r="I660" s="52" t="s">
        <v>731</v>
      </c>
      <c r="O660" s="52"/>
    </row>
    <row r="661" spans="1:16" ht="15.75">
      <c r="A661" s="53" t="s">
        <v>92</v>
      </c>
      <c r="G661" s="53"/>
      <c r="I661" s="53" t="s">
        <v>1333</v>
      </c>
      <c r="O661" s="53"/>
    </row>
    <row r="662" spans="1:16" ht="15" customHeight="1">
      <c r="A662" s="894" t="s">
        <v>93</v>
      </c>
      <c r="B662" s="894"/>
      <c r="C662" s="894"/>
      <c r="D662" s="894"/>
      <c r="E662" s="894"/>
      <c r="F662" s="894"/>
      <c r="G662" s="894"/>
      <c r="H662" s="894"/>
      <c r="I662" s="894" t="s">
        <v>1278</v>
      </c>
      <c r="J662" s="894"/>
      <c r="K662" s="894"/>
      <c r="L662" s="894"/>
      <c r="M662" s="894"/>
      <c r="N662" s="894"/>
      <c r="O662" s="894"/>
      <c r="P662" s="894"/>
    </row>
    <row r="663" spans="1:16" ht="11.25" customHeight="1" thickBot="1"/>
    <row r="664" spans="1:16">
      <c r="A664" s="895" t="s">
        <v>94</v>
      </c>
      <c r="B664" s="897" t="s">
        <v>95</v>
      </c>
      <c r="C664" s="897" t="s">
        <v>96</v>
      </c>
      <c r="D664" s="897" t="s">
        <v>3</v>
      </c>
      <c r="E664" s="897" t="s">
        <v>97</v>
      </c>
      <c r="F664" s="897" t="s">
        <v>98</v>
      </c>
      <c r="G664" s="897" t="s">
        <v>99</v>
      </c>
      <c r="H664" s="899"/>
      <c r="I664" s="895" t="s">
        <v>94</v>
      </c>
      <c r="J664" s="897" t="s">
        <v>95</v>
      </c>
      <c r="K664" s="897" t="s">
        <v>96</v>
      </c>
      <c r="L664" s="897" t="s">
        <v>3</v>
      </c>
      <c r="M664" s="897" t="s">
        <v>97</v>
      </c>
      <c r="N664" s="897" t="s">
        <v>98</v>
      </c>
      <c r="O664" s="897" t="s">
        <v>99</v>
      </c>
      <c r="P664" s="899"/>
    </row>
    <row r="665" spans="1:16" ht="15.75" thickBot="1">
      <c r="A665" s="896"/>
      <c r="B665" s="898"/>
      <c r="C665" s="898"/>
      <c r="D665" s="898"/>
      <c r="E665" s="898"/>
      <c r="F665" s="898"/>
      <c r="G665" s="240" t="s">
        <v>100</v>
      </c>
      <c r="H665" s="182" t="s">
        <v>101</v>
      </c>
      <c r="I665" s="896"/>
      <c r="J665" s="898"/>
      <c r="K665" s="898"/>
      <c r="L665" s="898"/>
      <c r="M665" s="898"/>
      <c r="N665" s="898"/>
      <c r="O665" s="240" t="s">
        <v>100</v>
      </c>
      <c r="P665" s="182" t="s">
        <v>101</v>
      </c>
    </row>
    <row r="666" spans="1:16" ht="14.25" customHeight="1">
      <c r="A666" s="881" t="e">
        <f>+A631+1</f>
        <v>#REF!</v>
      </c>
      <c r="B666" s="875">
        <v>42296</v>
      </c>
      <c r="C666" s="877" t="s">
        <v>267</v>
      </c>
      <c r="D666" s="881" t="s">
        <v>359</v>
      </c>
      <c r="E666" s="881" t="s">
        <v>148</v>
      </c>
      <c r="F666" s="883">
        <v>154000</v>
      </c>
      <c r="G666" s="55">
        <v>719</v>
      </c>
      <c r="H666" s="78">
        <v>110000</v>
      </c>
      <c r="I666" s="873" t="s">
        <v>732</v>
      </c>
      <c r="J666" s="875">
        <v>42845</v>
      </c>
      <c r="K666" s="877" t="s">
        <v>31</v>
      </c>
      <c r="L666" s="881" t="s">
        <v>1470</v>
      </c>
      <c r="M666" s="881" t="s">
        <v>148</v>
      </c>
      <c r="N666" s="883">
        <v>598000</v>
      </c>
      <c r="O666" s="55">
        <v>719</v>
      </c>
      <c r="P666" s="78">
        <v>460000</v>
      </c>
    </row>
    <row r="667" spans="1:16" ht="13.5" customHeight="1" thickBot="1">
      <c r="A667" s="882"/>
      <c r="B667" s="876"/>
      <c r="C667" s="878"/>
      <c r="D667" s="882"/>
      <c r="E667" s="882"/>
      <c r="F667" s="884"/>
      <c r="G667" s="56">
        <v>721</v>
      </c>
      <c r="H667" s="79">
        <f>+F666-H666</f>
        <v>44000</v>
      </c>
      <c r="I667" s="882"/>
      <c r="J667" s="876"/>
      <c r="K667" s="878"/>
      <c r="L667" s="882"/>
      <c r="M667" s="882"/>
      <c r="N667" s="884"/>
      <c r="O667" s="56">
        <v>721</v>
      </c>
      <c r="P667" s="79">
        <f>+N666-P666</f>
        <v>138000</v>
      </c>
    </row>
    <row r="668" spans="1:16" ht="12.75" customHeight="1">
      <c r="A668" s="881" t="e">
        <f>+A666+1</f>
        <v>#REF!</v>
      </c>
      <c r="B668" s="875">
        <v>42296</v>
      </c>
      <c r="C668" s="881" t="s">
        <v>28</v>
      </c>
      <c r="D668" s="881" t="s">
        <v>357</v>
      </c>
      <c r="E668" s="881" t="s">
        <v>148</v>
      </c>
      <c r="F668" s="883">
        <v>280000</v>
      </c>
      <c r="G668" s="55">
        <v>719</v>
      </c>
      <c r="H668" s="78">
        <v>200000</v>
      </c>
      <c r="I668" s="873" t="s">
        <v>733</v>
      </c>
      <c r="J668" s="875">
        <v>42845</v>
      </c>
      <c r="K668" s="877" t="s">
        <v>28</v>
      </c>
      <c r="L668" s="881" t="s">
        <v>1469</v>
      </c>
      <c r="M668" s="881" t="s">
        <v>148</v>
      </c>
      <c r="N668" s="883">
        <v>481000</v>
      </c>
      <c r="O668" s="55">
        <v>719</v>
      </c>
      <c r="P668" s="78">
        <v>370000</v>
      </c>
    </row>
    <row r="669" spans="1:16" ht="12.75" customHeight="1" thickBot="1">
      <c r="A669" s="882"/>
      <c r="B669" s="876"/>
      <c r="C669" s="882"/>
      <c r="D669" s="882"/>
      <c r="E669" s="882"/>
      <c r="F669" s="884"/>
      <c r="G669" s="56">
        <v>721</v>
      </c>
      <c r="H669" s="79">
        <f>+F668-H668</f>
        <v>80000</v>
      </c>
      <c r="I669" s="882"/>
      <c r="J669" s="876"/>
      <c r="K669" s="878"/>
      <c r="L669" s="882"/>
      <c r="M669" s="882"/>
      <c r="N669" s="884"/>
      <c r="O669" s="56">
        <v>721</v>
      </c>
      <c r="P669" s="79">
        <f>+N668-P668</f>
        <v>111000</v>
      </c>
    </row>
    <row r="670" spans="1:16" ht="12" customHeight="1">
      <c r="A670" s="881" t="e">
        <f>+A668+1</f>
        <v>#REF!</v>
      </c>
      <c r="B670" s="875">
        <v>42296</v>
      </c>
      <c r="C670" s="877" t="s">
        <v>32</v>
      </c>
      <c r="D670" s="881" t="s">
        <v>357</v>
      </c>
      <c r="E670" s="881" t="s">
        <v>148</v>
      </c>
      <c r="F670" s="883">
        <v>98000</v>
      </c>
      <c r="G670" s="55">
        <v>719</v>
      </c>
      <c r="H670" s="78">
        <v>70000</v>
      </c>
      <c r="I670" s="873" t="s">
        <v>734</v>
      </c>
      <c r="J670" s="875">
        <v>42845</v>
      </c>
      <c r="K670" s="877" t="s">
        <v>28</v>
      </c>
      <c r="L670" s="926" t="s">
        <v>1467</v>
      </c>
      <c r="M670" s="881" t="s">
        <v>148</v>
      </c>
      <c r="N670" s="883">
        <v>416000</v>
      </c>
      <c r="O670" s="55">
        <v>719</v>
      </c>
      <c r="P670" s="78">
        <v>320000</v>
      </c>
    </row>
    <row r="671" spans="1:16" ht="14.25" customHeight="1" thickBot="1">
      <c r="A671" s="882"/>
      <c r="B671" s="876"/>
      <c r="C671" s="878"/>
      <c r="D671" s="882"/>
      <c r="E671" s="882"/>
      <c r="F671" s="884"/>
      <c r="G671" s="56">
        <v>721</v>
      </c>
      <c r="H671" s="79">
        <f>+F670-H670</f>
        <v>28000</v>
      </c>
      <c r="I671" s="882"/>
      <c r="J671" s="876"/>
      <c r="K671" s="878"/>
      <c r="L671" s="927"/>
      <c r="M671" s="882"/>
      <c r="N671" s="884"/>
      <c r="O671" s="56">
        <v>721</v>
      </c>
      <c r="P671" s="79">
        <f>+N670-P670</f>
        <v>96000</v>
      </c>
    </row>
    <row r="672" spans="1:16" ht="13.5" customHeight="1">
      <c r="A672" s="881" t="e">
        <f>+A670+1</f>
        <v>#REF!</v>
      </c>
      <c r="B672" s="875">
        <v>42296</v>
      </c>
      <c r="C672" s="877" t="s">
        <v>111</v>
      </c>
      <c r="D672" s="881" t="s">
        <v>358</v>
      </c>
      <c r="E672" s="881" t="s">
        <v>148</v>
      </c>
      <c r="F672" s="883">
        <v>56000</v>
      </c>
      <c r="G672" s="55">
        <v>719</v>
      </c>
      <c r="H672" s="78">
        <v>40000</v>
      </c>
      <c r="I672" s="873" t="s">
        <v>735</v>
      </c>
      <c r="J672" s="875">
        <v>42845</v>
      </c>
      <c r="K672" s="877" t="s">
        <v>28</v>
      </c>
      <c r="L672" s="881" t="s">
        <v>1472</v>
      </c>
      <c r="M672" s="881" t="s">
        <v>148</v>
      </c>
      <c r="N672" s="883">
        <v>936000</v>
      </c>
      <c r="O672" s="55">
        <v>719</v>
      </c>
      <c r="P672" s="78">
        <v>720000</v>
      </c>
    </row>
    <row r="673" spans="1:16" ht="13.5" customHeight="1" thickBot="1">
      <c r="A673" s="882"/>
      <c r="B673" s="876"/>
      <c r="C673" s="878"/>
      <c r="D673" s="882"/>
      <c r="E673" s="882"/>
      <c r="F673" s="884"/>
      <c r="G673" s="56">
        <v>721</v>
      </c>
      <c r="H673" s="79">
        <f>+F672-H672</f>
        <v>16000</v>
      </c>
      <c r="I673" s="882"/>
      <c r="J673" s="876"/>
      <c r="K673" s="878"/>
      <c r="L673" s="882"/>
      <c r="M673" s="882"/>
      <c r="N673" s="884"/>
      <c r="O673" s="56">
        <v>721</v>
      </c>
      <c r="P673" s="79">
        <f>+N672-P672</f>
        <v>216000</v>
      </c>
    </row>
    <row r="674" spans="1:16" ht="12" customHeight="1">
      <c r="A674" s="251"/>
      <c r="B674" s="252"/>
      <c r="C674" s="253"/>
      <c r="D674" s="251"/>
      <c r="E674" s="251"/>
      <c r="F674" s="254"/>
      <c r="G674" s="255"/>
      <c r="H674" s="256"/>
      <c r="I674" s="873" t="s">
        <v>736</v>
      </c>
      <c r="J674" s="875">
        <v>42845</v>
      </c>
      <c r="K674" s="881" t="s">
        <v>1470</v>
      </c>
      <c r="L674" s="881" t="s">
        <v>1471</v>
      </c>
      <c r="M674" s="881" t="s">
        <v>148</v>
      </c>
      <c r="N674" s="883">
        <v>715000</v>
      </c>
      <c r="O674" s="55">
        <v>719</v>
      </c>
      <c r="P674" s="78">
        <v>550000</v>
      </c>
    </row>
    <row r="675" spans="1:16" ht="12.75" customHeight="1" thickBot="1">
      <c r="A675" s="251"/>
      <c r="B675" s="252"/>
      <c r="C675" s="253"/>
      <c r="D675" s="251"/>
      <c r="E675" s="251"/>
      <c r="F675" s="254"/>
      <c r="G675" s="255"/>
      <c r="H675" s="256"/>
      <c r="I675" s="882"/>
      <c r="J675" s="876"/>
      <c r="K675" s="882"/>
      <c r="L675" s="882"/>
      <c r="M675" s="882"/>
      <c r="N675" s="884"/>
      <c r="O675" s="56">
        <v>721</v>
      </c>
      <c r="P675" s="79">
        <f>+N674-P674</f>
        <v>165000</v>
      </c>
    </row>
    <row r="676" spans="1:16" ht="12.75" customHeight="1">
      <c r="A676" s="881" t="e">
        <f>+A672+1</f>
        <v>#REF!</v>
      </c>
      <c r="B676" s="875">
        <v>42296</v>
      </c>
      <c r="C676" s="877" t="s">
        <v>272</v>
      </c>
      <c r="D676" s="881" t="s">
        <v>357</v>
      </c>
      <c r="E676" s="881" t="s">
        <v>148</v>
      </c>
      <c r="F676" s="883">
        <v>616000</v>
      </c>
      <c r="G676" s="55">
        <v>719</v>
      </c>
      <c r="H676" s="78">
        <v>440000</v>
      </c>
      <c r="I676" s="873" t="s">
        <v>737</v>
      </c>
      <c r="J676" s="875">
        <v>42845</v>
      </c>
      <c r="K676" s="877" t="s">
        <v>28</v>
      </c>
      <c r="L676" s="881" t="s">
        <v>1468</v>
      </c>
      <c r="M676" s="881" t="s">
        <v>148</v>
      </c>
      <c r="N676" s="883">
        <v>754000</v>
      </c>
      <c r="O676" s="55">
        <v>719</v>
      </c>
      <c r="P676" s="78">
        <v>580000</v>
      </c>
    </row>
    <row r="677" spans="1:16" ht="12.75" customHeight="1" thickBot="1">
      <c r="A677" s="882"/>
      <c r="B677" s="876"/>
      <c r="C677" s="878"/>
      <c r="D677" s="882"/>
      <c r="E677" s="882"/>
      <c r="F677" s="884"/>
      <c r="G677" s="56">
        <v>721</v>
      </c>
      <c r="H677" s="79">
        <f>+F676-H676</f>
        <v>176000</v>
      </c>
      <c r="I677" s="882"/>
      <c r="J677" s="876"/>
      <c r="K677" s="878"/>
      <c r="L677" s="882"/>
      <c r="M677" s="882"/>
      <c r="N677" s="884"/>
      <c r="O677" s="56">
        <v>721</v>
      </c>
      <c r="P677" s="79">
        <f>+N676-P676</f>
        <v>174000</v>
      </c>
    </row>
    <row r="678" spans="1:16" ht="16.5" thickBot="1">
      <c r="A678" s="901" t="s">
        <v>102</v>
      </c>
      <c r="B678" s="902"/>
      <c r="C678" s="902"/>
      <c r="D678" s="902"/>
      <c r="E678" s="903"/>
      <c r="F678" s="81">
        <f>SUM(F666:F677)</f>
        <v>1204000</v>
      </c>
      <c r="I678" s="901" t="s">
        <v>102</v>
      </c>
      <c r="J678" s="902"/>
      <c r="K678" s="902"/>
      <c r="L678" s="902"/>
      <c r="M678" s="903"/>
      <c r="N678" s="81">
        <f>SUM(N666:N677)</f>
        <v>3900000</v>
      </c>
    </row>
    <row r="679" spans="1:16" ht="16.5" thickBot="1">
      <c r="A679" s="885" t="s">
        <v>103</v>
      </c>
      <c r="B679" s="886"/>
      <c r="C679" s="886"/>
      <c r="D679" s="886"/>
      <c r="E679" s="887"/>
      <c r="F679" s="69">
        <f>+F641</f>
        <v>650512930</v>
      </c>
      <c r="I679" s="885" t="s">
        <v>103</v>
      </c>
      <c r="J679" s="886"/>
      <c r="K679" s="886"/>
      <c r="L679" s="886"/>
      <c r="M679" s="887"/>
      <c r="N679" s="239">
        <f>+N641</f>
        <v>401304213</v>
      </c>
      <c r="O679" s="241" t="s">
        <v>561</v>
      </c>
      <c r="P679" s="242">
        <f>1053+1107+1528+151+789</f>
        <v>4628</v>
      </c>
    </row>
    <row r="680" spans="1:16" ht="16.5" thickBot="1">
      <c r="A680" s="888" t="s">
        <v>104</v>
      </c>
      <c r="B680" s="889"/>
      <c r="C680" s="889"/>
      <c r="D680" s="889"/>
      <c r="E680" s="890"/>
      <c r="F680" s="183">
        <f>SUM(F678:F679)</f>
        <v>651716930</v>
      </c>
      <c r="I680" s="888" t="s">
        <v>104</v>
      </c>
      <c r="J680" s="889"/>
      <c r="K680" s="889"/>
      <c r="L680" s="889"/>
      <c r="M680" s="890"/>
      <c r="N680" s="183">
        <f>SUM(N678:N679)</f>
        <v>405204213</v>
      </c>
    </row>
    <row r="681" spans="1:16" ht="12" customHeight="1">
      <c r="A681" s="61"/>
      <c r="B681" s="61"/>
      <c r="C681" s="61"/>
      <c r="D681" s="61"/>
      <c r="E681" s="61"/>
      <c r="I681" s="61"/>
      <c r="J681" s="61"/>
      <c r="K681" s="61"/>
      <c r="L681" s="61"/>
      <c r="M681" s="61"/>
    </row>
    <row r="682" spans="1:16">
      <c r="A682" s="51" t="s">
        <v>353</v>
      </c>
      <c r="I682" s="51" t="s">
        <v>1473</v>
      </c>
    </row>
    <row r="683" spans="1:16" ht="8.25" customHeight="1">
      <c r="F683" s="139"/>
      <c r="N683" s="139"/>
    </row>
    <row r="684" spans="1:16">
      <c r="A684" s="50" t="s">
        <v>105</v>
      </c>
      <c r="D684" s="146"/>
      <c r="F684" s="139"/>
      <c r="I684" s="50" t="s">
        <v>105</v>
      </c>
      <c r="L684" s="146"/>
      <c r="N684" s="139"/>
    </row>
    <row r="685" spans="1:16" ht="12" customHeight="1" thickBot="1"/>
    <row r="686" spans="1:16" ht="15.75" customHeight="1" thickBot="1">
      <c r="A686" s="891" t="s">
        <v>106</v>
      </c>
      <c r="B686" s="892"/>
      <c r="C686" s="892"/>
      <c r="D686" s="893"/>
      <c r="F686" s="50" t="s">
        <v>270</v>
      </c>
      <c r="I686" s="891" t="s">
        <v>106</v>
      </c>
      <c r="J686" s="892"/>
      <c r="K686" s="892"/>
      <c r="L686" s="893"/>
      <c r="N686" s="605" t="s">
        <v>288</v>
      </c>
      <c r="O686" s="605"/>
      <c r="P686" s="605"/>
    </row>
    <row r="687" spans="1:16" ht="28.5" customHeight="1" thickBot="1">
      <c r="A687" s="57" t="s">
        <v>100</v>
      </c>
      <c r="B687" s="58" t="s">
        <v>108</v>
      </c>
      <c r="C687" s="59" t="s">
        <v>109</v>
      </c>
      <c r="D687" s="60" t="s">
        <v>110</v>
      </c>
      <c r="I687" s="57" t="s">
        <v>100</v>
      </c>
      <c r="J687" s="58" t="s">
        <v>108</v>
      </c>
      <c r="K687" s="59" t="s">
        <v>109</v>
      </c>
      <c r="L687" s="60" t="s">
        <v>110</v>
      </c>
      <c r="N687" s="202"/>
      <c r="O687" s="202"/>
      <c r="P687" s="202"/>
    </row>
    <row r="688" spans="1:16" ht="14.25" customHeight="1">
      <c r="A688" s="71">
        <v>719</v>
      </c>
      <c r="B688" s="73">
        <f>+H666+H668+H670+H672+H676</f>
        <v>860000</v>
      </c>
      <c r="C688" s="74" t="e">
        <f>+D649</f>
        <v>#REF!</v>
      </c>
      <c r="D688" s="195" t="e">
        <f>+B688+C688</f>
        <v>#REF!</v>
      </c>
      <c r="I688" s="71">
        <v>719</v>
      </c>
      <c r="J688" s="73">
        <f>+P666+P668+P670+P672+P674+P676</f>
        <v>3000000</v>
      </c>
      <c r="K688" s="74">
        <f>+L649</f>
        <v>2660000</v>
      </c>
      <c r="L688" s="195">
        <f>+J688+K688</f>
        <v>5660000</v>
      </c>
      <c r="N688" s="202"/>
      <c r="O688" s="202"/>
      <c r="P688" s="202"/>
    </row>
    <row r="689" spans="1:16" ht="12.75" customHeight="1">
      <c r="A689" s="72">
        <v>721</v>
      </c>
      <c r="B689" s="80">
        <f>+H667+H669+H671+H673+H677</f>
        <v>344000</v>
      </c>
      <c r="C689" s="74" t="e">
        <f>+D650</f>
        <v>#REF!</v>
      </c>
      <c r="D689" s="195" t="e">
        <f>+B689+C689</f>
        <v>#REF!</v>
      </c>
      <c r="I689" s="72">
        <v>721</v>
      </c>
      <c r="J689" s="80">
        <f>+P667+P669+P671+P673+P675+P677</f>
        <v>900000</v>
      </c>
      <c r="K689" s="74">
        <f>+L650</f>
        <v>39491624</v>
      </c>
      <c r="L689" s="195">
        <f>+J689+K689</f>
        <v>40391624</v>
      </c>
      <c r="N689" s="202"/>
      <c r="O689" s="202"/>
      <c r="P689" s="202"/>
    </row>
    <row r="690" spans="1:16" ht="12.75" customHeight="1">
      <c r="A690" s="72">
        <v>722</v>
      </c>
      <c r="B690" s="80"/>
      <c r="C690" s="74">
        <f>+D651</f>
        <v>231207671</v>
      </c>
      <c r="D690" s="195">
        <f>+B690+C690</f>
        <v>231207671</v>
      </c>
      <c r="I690" s="72">
        <v>722</v>
      </c>
      <c r="J690" s="80"/>
      <c r="K690" s="74">
        <f>+L651</f>
        <v>0</v>
      </c>
      <c r="L690" s="195">
        <f>+J690+K690</f>
        <v>0</v>
      </c>
      <c r="N690" s="202"/>
      <c r="O690" s="202"/>
      <c r="P690" s="202"/>
    </row>
    <row r="691" spans="1:16" ht="13.5" customHeight="1">
      <c r="A691" s="72">
        <v>723</v>
      </c>
      <c r="B691" s="80"/>
      <c r="C691" s="74">
        <f>+D652</f>
        <v>321428837</v>
      </c>
      <c r="D691" s="195">
        <f>+B691+C691</f>
        <v>321428837</v>
      </c>
      <c r="F691" s="193" t="s">
        <v>348</v>
      </c>
      <c r="G691" s="175"/>
      <c r="I691" s="72">
        <v>723</v>
      </c>
      <c r="J691" s="80"/>
      <c r="K691" s="74">
        <f>+L652</f>
        <v>393667963</v>
      </c>
      <c r="L691" s="195">
        <f>+J691+K691</f>
        <v>393667963</v>
      </c>
      <c r="N691" s="608" t="s">
        <v>1436</v>
      </c>
      <c r="O691" s="608"/>
      <c r="P691" s="608"/>
    </row>
    <row r="692" spans="1:16" ht="12.75" customHeight="1" thickBot="1">
      <c r="A692" s="164" t="s">
        <v>181</v>
      </c>
      <c r="B692" s="165"/>
      <c r="C692" s="74">
        <f>+D653</f>
        <v>1965625</v>
      </c>
      <c r="D692" s="196">
        <f>+B692+C692</f>
        <v>1965625</v>
      </c>
      <c r="F692" s="52"/>
      <c r="I692" s="164" t="s">
        <v>181</v>
      </c>
      <c r="J692" s="165"/>
      <c r="K692" s="74">
        <f>+L653</f>
        <v>0</v>
      </c>
      <c r="L692" s="196">
        <f>+J692+K692</f>
        <v>0</v>
      </c>
      <c r="N692" s="52"/>
    </row>
    <row r="693" spans="1:16" ht="16.5" thickBot="1">
      <c r="A693" s="169"/>
      <c r="B693" s="170">
        <f>SUM(B688:B692)</f>
        <v>1204000</v>
      </c>
      <c r="C693" s="171" t="e">
        <f>SUM(C688:C692)</f>
        <v>#REF!</v>
      </c>
      <c r="D693" s="172" t="e">
        <f>SUM(D688:D692)</f>
        <v>#REF!</v>
      </c>
      <c r="I693" s="169"/>
      <c r="J693" s="197">
        <f>SUM(J688:J692)</f>
        <v>3900000</v>
      </c>
      <c r="K693" s="197">
        <f>SUM(K688:K692)</f>
        <v>435819587</v>
      </c>
      <c r="L693" s="198">
        <f>SUM(L688:L692)</f>
        <v>439719587</v>
      </c>
    </row>
    <row r="694" spans="1:16" ht="16.5">
      <c r="A694" s="49" t="s">
        <v>88</v>
      </c>
      <c r="B694" s="50"/>
      <c r="I694" s="49" t="s">
        <v>88</v>
      </c>
      <c r="J694" s="50"/>
    </row>
    <row r="695" spans="1:16">
      <c r="A695" s="51" t="s">
        <v>89</v>
      </c>
      <c r="I695" s="51" t="s">
        <v>89</v>
      </c>
    </row>
    <row r="696" spans="1:16">
      <c r="A696" s="51" t="s">
        <v>90</v>
      </c>
      <c r="I696" s="51" t="s">
        <v>90</v>
      </c>
    </row>
    <row r="697" spans="1:16">
      <c r="A697" s="51" t="s">
        <v>91</v>
      </c>
      <c r="I697" s="51" t="s">
        <v>91</v>
      </c>
    </row>
    <row r="698" spans="1:16" ht="12" customHeight="1">
      <c r="A698" s="50"/>
      <c r="B698" s="50"/>
      <c r="I698" s="50"/>
      <c r="J698" s="50"/>
    </row>
    <row r="699" spans="1:16" ht="16.5">
      <c r="A699" s="52" t="s">
        <v>352</v>
      </c>
      <c r="G699" s="52"/>
      <c r="I699" s="260" t="s">
        <v>743</v>
      </c>
      <c r="J699" s="262"/>
      <c r="O699" s="52"/>
    </row>
    <row r="700" spans="1:16" ht="15.75">
      <c r="A700" s="53" t="s">
        <v>92</v>
      </c>
      <c r="G700" s="53"/>
      <c r="I700" s="261" t="s">
        <v>1333</v>
      </c>
      <c r="J700" s="262"/>
      <c r="O700" s="53"/>
    </row>
    <row r="701" spans="1:16" ht="17.25" customHeight="1">
      <c r="A701" s="894" t="s">
        <v>93</v>
      </c>
      <c r="B701" s="894"/>
      <c r="C701" s="894"/>
      <c r="D701" s="894"/>
      <c r="E701" s="894"/>
      <c r="F701" s="894"/>
      <c r="G701" s="894"/>
      <c r="H701" s="894"/>
      <c r="I701" s="894" t="s">
        <v>749</v>
      </c>
      <c r="J701" s="894"/>
      <c r="K701" s="894"/>
      <c r="L701" s="894"/>
      <c r="M701" s="894"/>
      <c r="N701" s="894"/>
      <c r="O701" s="894"/>
      <c r="P701" s="894"/>
    </row>
    <row r="702" spans="1:16" ht="12.75" customHeight="1" thickBot="1"/>
    <row r="703" spans="1:16">
      <c r="A703" s="895" t="s">
        <v>94</v>
      </c>
      <c r="B703" s="897" t="s">
        <v>95</v>
      </c>
      <c r="C703" s="897" t="s">
        <v>96</v>
      </c>
      <c r="D703" s="897" t="s">
        <v>3</v>
      </c>
      <c r="E703" s="897" t="s">
        <v>97</v>
      </c>
      <c r="F703" s="897" t="s">
        <v>98</v>
      </c>
      <c r="G703" s="897" t="s">
        <v>99</v>
      </c>
      <c r="H703" s="899"/>
      <c r="I703" s="895" t="s">
        <v>94</v>
      </c>
      <c r="J703" s="897" t="s">
        <v>95</v>
      </c>
      <c r="K703" s="897" t="s">
        <v>96</v>
      </c>
      <c r="L703" s="897" t="s">
        <v>3</v>
      </c>
      <c r="M703" s="897" t="s">
        <v>97</v>
      </c>
      <c r="N703" s="897" t="s">
        <v>98</v>
      </c>
      <c r="O703" s="897" t="s">
        <v>99</v>
      </c>
      <c r="P703" s="899"/>
    </row>
    <row r="704" spans="1:16" ht="15.75" thickBot="1">
      <c r="A704" s="896"/>
      <c r="B704" s="898"/>
      <c r="C704" s="898"/>
      <c r="D704" s="898"/>
      <c r="E704" s="898"/>
      <c r="F704" s="898"/>
      <c r="G704" s="240" t="s">
        <v>100</v>
      </c>
      <c r="H704" s="182" t="s">
        <v>101</v>
      </c>
      <c r="I704" s="896"/>
      <c r="J704" s="898"/>
      <c r="K704" s="898"/>
      <c r="L704" s="898"/>
      <c r="M704" s="898"/>
      <c r="N704" s="898"/>
      <c r="O704" s="240" t="s">
        <v>100</v>
      </c>
      <c r="P704" s="182" t="s">
        <v>101</v>
      </c>
    </row>
    <row r="705" spans="1:16" ht="12" customHeight="1">
      <c r="A705" s="881" t="e">
        <f>+A676+1</f>
        <v>#REF!</v>
      </c>
      <c r="B705" s="875">
        <v>42296</v>
      </c>
      <c r="C705" s="877" t="s">
        <v>272</v>
      </c>
      <c r="D705" s="881" t="s">
        <v>356</v>
      </c>
      <c r="E705" s="881" t="s">
        <v>115</v>
      </c>
      <c r="F705" s="883">
        <v>100000</v>
      </c>
      <c r="G705" s="55">
        <v>719</v>
      </c>
      <c r="H705" s="78">
        <v>100000</v>
      </c>
      <c r="I705" s="873" t="s">
        <v>744</v>
      </c>
      <c r="J705" s="875">
        <v>42845</v>
      </c>
      <c r="K705" s="877" t="s">
        <v>40</v>
      </c>
      <c r="L705" s="926" t="s">
        <v>1474</v>
      </c>
      <c r="M705" s="881" t="s">
        <v>148</v>
      </c>
      <c r="N705" s="883">
        <v>299000</v>
      </c>
      <c r="O705" s="55">
        <v>719</v>
      </c>
      <c r="P705" s="78">
        <v>230000</v>
      </c>
    </row>
    <row r="706" spans="1:16" ht="13.5" customHeight="1" thickBot="1">
      <c r="A706" s="882"/>
      <c r="B706" s="876"/>
      <c r="C706" s="878"/>
      <c r="D706" s="882"/>
      <c r="E706" s="882"/>
      <c r="F706" s="884"/>
      <c r="G706" s="56">
        <v>721</v>
      </c>
      <c r="H706" s="79">
        <f>+F705-H705</f>
        <v>0</v>
      </c>
      <c r="I706" s="882"/>
      <c r="J706" s="876"/>
      <c r="K706" s="878"/>
      <c r="L706" s="927"/>
      <c r="M706" s="882"/>
      <c r="N706" s="884"/>
      <c r="O706" s="56">
        <v>721</v>
      </c>
      <c r="P706" s="79">
        <f>+N705-P705</f>
        <v>69000</v>
      </c>
    </row>
    <row r="707" spans="1:16" ht="13.5" customHeight="1">
      <c r="A707" s="881" t="e">
        <f>+A705+1</f>
        <v>#REF!</v>
      </c>
      <c r="B707" s="875">
        <v>42296</v>
      </c>
      <c r="C707" s="881" t="s">
        <v>28</v>
      </c>
      <c r="D707" s="881" t="s">
        <v>355</v>
      </c>
      <c r="E707" s="881" t="s">
        <v>115</v>
      </c>
      <c r="F707" s="883">
        <v>50000</v>
      </c>
      <c r="G707" s="55">
        <v>719</v>
      </c>
      <c r="H707" s="78">
        <v>50000</v>
      </c>
      <c r="I707" s="873" t="s">
        <v>745</v>
      </c>
      <c r="J707" s="875">
        <v>42845</v>
      </c>
      <c r="K707" s="959" t="s">
        <v>1475</v>
      </c>
      <c r="L707" s="881" t="s">
        <v>1477</v>
      </c>
      <c r="M707" s="881" t="s">
        <v>148</v>
      </c>
      <c r="N707" s="883">
        <v>150000</v>
      </c>
      <c r="O707" s="55">
        <v>723</v>
      </c>
      <c r="P707" s="78">
        <v>150000</v>
      </c>
    </row>
    <row r="708" spans="1:16" ht="12.75" customHeight="1" thickBot="1">
      <c r="A708" s="882"/>
      <c r="B708" s="876"/>
      <c r="C708" s="882"/>
      <c r="D708" s="882"/>
      <c r="E708" s="882"/>
      <c r="F708" s="884"/>
      <c r="G708" s="56">
        <v>721</v>
      </c>
      <c r="H708" s="79">
        <f>+F707-H707</f>
        <v>0</v>
      </c>
      <c r="I708" s="882"/>
      <c r="J708" s="876"/>
      <c r="K708" s="960"/>
      <c r="L708" s="882"/>
      <c r="M708" s="882"/>
      <c r="N708" s="884"/>
      <c r="O708" s="56">
        <v>721</v>
      </c>
      <c r="P708" s="79">
        <f>+N707-P707</f>
        <v>0</v>
      </c>
    </row>
    <row r="709" spans="1:16" ht="15" customHeight="1">
      <c r="A709" s="881" t="e">
        <f>+A707+1</f>
        <v>#REF!</v>
      </c>
      <c r="B709" s="875">
        <v>42296</v>
      </c>
      <c r="C709" s="877" t="s">
        <v>32</v>
      </c>
      <c r="D709" s="881" t="s">
        <v>355</v>
      </c>
      <c r="E709" s="881" t="s">
        <v>115</v>
      </c>
      <c r="F709" s="883">
        <v>30000</v>
      </c>
      <c r="G709" s="55">
        <v>719</v>
      </c>
      <c r="H709" s="78">
        <v>30000</v>
      </c>
      <c r="I709" s="873"/>
      <c r="J709" s="875"/>
      <c r="K709" s="877"/>
      <c r="L709" s="881"/>
      <c r="M709" s="881"/>
      <c r="N709" s="883"/>
      <c r="O709" s="55">
        <v>719</v>
      </c>
      <c r="P709" s="78"/>
    </row>
    <row r="710" spans="1:16" ht="11.25" customHeight="1" thickBot="1">
      <c r="A710" s="882"/>
      <c r="B710" s="876"/>
      <c r="C710" s="878"/>
      <c r="D710" s="882"/>
      <c r="E710" s="882"/>
      <c r="F710" s="884"/>
      <c r="G710" s="56">
        <v>721</v>
      </c>
      <c r="H710" s="79">
        <f>+F709-H709</f>
        <v>0</v>
      </c>
      <c r="I710" s="882"/>
      <c r="J710" s="876"/>
      <c r="K710" s="878"/>
      <c r="L710" s="882"/>
      <c r="M710" s="882"/>
      <c r="N710" s="884"/>
      <c r="O710" s="56">
        <v>721</v>
      </c>
      <c r="P710" s="79">
        <f>+N709-P709</f>
        <v>0</v>
      </c>
    </row>
    <row r="711" spans="1:16" ht="13.5" customHeight="1">
      <c r="A711" s="881" t="e">
        <f>+A709+1</f>
        <v>#REF!</v>
      </c>
      <c r="B711" s="875">
        <v>42296</v>
      </c>
      <c r="C711" s="877" t="s">
        <v>120</v>
      </c>
      <c r="D711" s="881" t="s">
        <v>354</v>
      </c>
      <c r="E711" s="881" t="s">
        <v>115</v>
      </c>
      <c r="F711" s="883">
        <v>20000</v>
      </c>
      <c r="G711" s="55">
        <v>719</v>
      </c>
      <c r="H711" s="78">
        <v>20000</v>
      </c>
      <c r="I711" s="873"/>
      <c r="J711" s="875"/>
      <c r="K711" s="877"/>
      <c r="L711" s="881"/>
      <c r="M711" s="881"/>
      <c r="N711" s="883"/>
      <c r="O711" s="55">
        <v>719</v>
      </c>
      <c r="P711" s="78"/>
    </row>
    <row r="712" spans="1:16" ht="12.75" customHeight="1" thickBot="1">
      <c r="A712" s="882"/>
      <c r="B712" s="876"/>
      <c r="C712" s="878"/>
      <c r="D712" s="882"/>
      <c r="E712" s="882"/>
      <c r="F712" s="884"/>
      <c r="G712" s="56">
        <v>721</v>
      </c>
      <c r="H712" s="79">
        <f>+F711-H711</f>
        <v>0</v>
      </c>
      <c r="I712" s="882"/>
      <c r="J712" s="876"/>
      <c r="K712" s="878"/>
      <c r="L712" s="882"/>
      <c r="M712" s="882"/>
      <c r="N712" s="884"/>
      <c r="O712" s="56">
        <v>721</v>
      </c>
      <c r="P712" s="79">
        <f>+N711-P711</f>
        <v>0</v>
      </c>
    </row>
    <row r="713" spans="1:16" ht="15" customHeight="1">
      <c r="A713" s="881" t="e">
        <f>+A711+1</f>
        <v>#REF!</v>
      </c>
      <c r="B713" s="875">
        <v>42296</v>
      </c>
      <c r="C713" s="877" t="s">
        <v>272</v>
      </c>
      <c r="D713" s="881" t="s">
        <v>427</v>
      </c>
      <c r="E713" s="881" t="s">
        <v>115</v>
      </c>
      <c r="F713" s="883">
        <v>90000</v>
      </c>
      <c r="G713" s="55">
        <v>719</v>
      </c>
      <c r="H713" s="78">
        <f>+F713</f>
        <v>90000</v>
      </c>
      <c r="I713" s="873"/>
      <c r="J713" s="875"/>
      <c r="K713" s="877"/>
      <c r="L713" s="881"/>
      <c r="M713" s="881"/>
      <c r="N713" s="883"/>
      <c r="O713" s="55">
        <v>719</v>
      </c>
      <c r="P713" s="78"/>
    </row>
    <row r="714" spans="1:16" ht="12.75" customHeight="1" thickBot="1">
      <c r="A714" s="882"/>
      <c r="B714" s="876"/>
      <c r="C714" s="878"/>
      <c r="D714" s="882"/>
      <c r="E714" s="882"/>
      <c r="F714" s="884"/>
      <c r="G714" s="56">
        <v>721</v>
      </c>
      <c r="H714" s="79"/>
      <c r="I714" s="882"/>
      <c r="J714" s="876"/>
      <c r="K714" s="878"/>
      <c r="L714" s="882"/>
      <c r="M714" s="882"/>
      <c r="N714" s="884"/>
      <c r="O714" s="56">
        <v>721</v>
      </c>
      <c r="P714" s="79">
        <f>+N713-P713</f>
        <v>0</v>
      </c>
    </row>
    <row r="715" spans="1:16" ht="15" customHeight="1" thickBot="1">
      <c r="A715" s="881" t="e">
        <f>+A713+1</f>
        <v>#REF!</v>
      </c>
      <c r="B715" s="875">
        <v>42296</v>
      </c>
      <c r="C715" s="881" t="s">
        <v>28</v>
      </c>
      <c r="D715" s="881" t="s">
        <v>355</v>
      </c>
      <c r="E715" s="881" t="s">
        <v>115</v>
      </c>
      <c r="F715" s="883">
        <v>50000</v>
      </c>
      <c r="G715" s="55">
        <v>719</v>
      </c>
      <c r="H715" s="78">
        <v>50000</v>
      </c>
      <c r="I715" s="901" t="s">
        <v>102</v>
      </c>
      <c r="J715" s="902"/>
      <c r="K715" s="902"/>
      <c r="L715" s="902"/>
      <c r="M715" s="903"/>
      <c r="N715" s="81">
        <f>SUM(N705:N714)</f>
        <v>449000</v>
      </c>
    </row>
    <row r="716" spans="1:16" ht="12.75" customHeight="1" thickBot="1">
      <c r="A716" s="882"/>
      <c r="B716" s="876"/>
      <c r="C716" s="882"/>
      <c r="D716" s="882"/>
      <c r="E716" s="882"/>
      <c r="F716" s="884"/>
      <c r="G716" s="56">
        <v>721</v>
      </c>
      <c r="H716" s="79">
        <f>+F715-H715</f>
        <v>0</v>
      </c>
      <c r="I716" s="885" t="s">
        <v>103</v>
      </c>
      <c r="J716" s="886"/>
      <c r="K716" s="886"/>
      <c r="L716" s="886"/>
      <c r="M716" s="887"/>
      <c r="N716" s="239">
        <f>+N680</f>
        <v>405204213</v>
      </c>
      <c r="O716" s="241" t="s">
        <v>561</v>
      </c>
      <c r="P716" s="242">
        <v>156</v>
      </c>
    </row>
    <row r="717" spans="1:16" ht="16.5" thickBot="1">
      <c r="A717" s="901" t="s">
        <v>102</v>
      </c>
      <c r="B717" s="902"/>
      <c r="C717" s="902"/>
      <c r="D717" s="902"/>
      <c r="E717" s="903"/>
      <c r="F717" s="81">
        <f>SUM(F705:F716)</f>
        <v>340000</v>
      </c>
      <c r="I717" s="888" t="s">
        <v>104</v>
      </c>
      <c r="J717" s="889"/>
      <c r="K717" s="889"/>
      <c r="L717" s="889"/>
      <c r="M717" s="890"/>
      <c r="N717" s="183">
        <f>SUM(N715:N716)</f>
        <v>405653213</v>
      </c>
    </row>
    <row r="718" spans="1:16" ht="16.5" thickBot="1">
      <c r="A718" s="885" t="s">
        <v>103</v>
      </c>
      <c r="B718" s="886"/>
      <c r="C718" s="886"/>
      <c r="D718" s="886"/>
      <c r="E718" s="887"/>
      <c r="F718" s="69">
        <f>+F680</f>
        <v>651716930</v>
      </c>
      <c r="I718" s="61"/>
      <c r="J718" s="61"/>
      <c r="K718" s="61"/>
      <c r="L718" s="61"/>
      <c r="M718" s="61"/>
    </row>
    <row r="719" spans="1:16" ht="18" customHeight="1" thickBot="1">
      <c r="A719" s="888" t="s">
        <v>104</v>
      </c>
      <c r="B719" s="889"/>
      <c r="C719" s="889"/>
      <c r="D719" s="889"/>
      <c r="E719" s="890"/>
      <c r="F719" s="183">
        <f>SUM(F717:F718)</f>
        <v>652056930</v>
      </c>
      <c r="I719" s="51" t="s">
        <v>1476</v>
      </c>
    </row>
    <row r="720" spans="1:16" ht="12.75" customHeight="1">
      <c r="A720" s="61"/>
      <c r="B720" s="61"/>
      <c r="C720" s="61"/>
      <c r="D720" s="61"/>
      <c r="E720" s="61"/>
      <c r="N720" s="139"/>
    </row>
    <row r="721" spans="1:16">
      <c r="A721" s="51" t="s">
        <v>428</v>
      </c>
      <c r="I721" s="50" t="s">
        <v>105</v>
      </c>
      <c r="L721" s="146"/>
      <c r="N721" s="139"/>
    </row>
    <row r="722" spans="1:16" ht="15.75" customHeight="1" thickBot="1">
      <c r="F722" s="139"/>
    </row>
    <row r="723" spans="1:16" ht="17.25" thickBot="1">
      <c r="A723" s="50" t="s">
        <v>105</v>
      </c>
      <c r="D723" s="146"/>
      <c r="F723" s="139"/>
      <c r="I723" s="891" t="s">
        <v>106</v>
      </c>
      <c r="J723" s="892"/>
      <c r="K723" s="892"/>
      <c r="L723" s="893"/>
      <c r="N723" s="605" t="s">
        <v>288</v>
      </c>
      <c r="O723" s="605"/>
      <c r="P723" s="605"/>
    </row>
    <row r="724" spans="1:16" ht="26.25" customHeight="1" thickBot="1">
      <c r="I724" s="57" t="s">
        <v>100</v>
      </c>
      <c r="J724" s="58" t="s">
        <v>108</v>
      </c>
      <c r="K724" s="59" t="s">
        <v>109</v>
      </c>
      <c r="L724" s="60" t="s">
        <v>110</v>
      </c>
      <c r="N724" s="202"/>
      <c r="O724" s="202"/>
      <c r="P724" s="202"/>
    </row>
    <row r="725" spans="1:16" ht="15" customHeight="1" thickBot="1">
      <c r="A725" s="891" t="s">
        <v>106</v>
      </c>
      <c r="B725" s="892"/>
      <c r="C725" s="892"/>
      <c r="D725" s="893"/>
      <c r="F725" s="50" t="s">
        <v>288</v>
      </c>
      <c r="I725" s="71">
        <v>719</v>
      </c>
      <c r="J725" s="73">
        <f>+P705</f>
        <v>230000</v>
      </c>
      <c r="K725" s="74">
        <f>+L688</f>
        <v>5660000</v>
      </c>
      <c r="L725" s="195">
        <f>+J725+K725</f>
        <v>5890000</v>
      </c>
      <c r="N725" s="202"/>
      <c r="O725" s="202"/>
      <c r="P725" s="202"/>
    </row>
    <row r="726" spans="1:16" ht="14.25" customHeight="1" thickBot="1">
      <c r="A726" s="57" t="s">
        <v>100</v>
      </c>
      <c r="B726" s="58" t="s">
        <v>108</v>
      </c>
      <c r="C726" s="59" t="s">
        <v>109</v>
      </c>
      <c r="D726" s="60" t="s">
        <v>110</v>
      </c>
      <c r="I726" s="72">
        <v>721</v>
      </c>
      <c r="J726" s="257">
        <f>+P706</f>
        <v>69000</v>
      </c>
      <c r="K726" s="74">
        <f>+L689</f>
        <v>40391624</v>
      </c>
      <c r="L726" s="195">
        <f>+J726+K726</f>
        <v>40460624</v>
      </c>
      <c r="N726" s="202"/>
      <c r="O726" s="202"/>
      <c r="P726" s="202"/>
    </row>
    <row r="727" spans="1:16" ht="13.5" customHeight="1">
      <c r="A727" s="71">
        <v>719</v>
      </c>
      <c r="B727" s="73">
        <f>+H705+H707+H709+H711+H715+H713</f>
        <v>340000</v>
      </c>
      <c r="C727" s="74" t="e">
        <f>+D688</f>
        <v>#REF!</v>
      </c>
      <c r="D727" s="195" t="e">
        <f>+B727+C727</f>
        <v>#REF!</v>
      </c>
      <c r="I727" s="72">
        <v>722</v>
      </c>
      <c r="J727" s="257"/>
      <c r="K727" s="74">
        <f>+L690</f>
        <v>0</v>
      </c>
      <c r="L727" s="195">
        <f>+J727+K727</f>
        <v>0</v>
      </c>
      <c r="N727" s="202"/>
      <c r="O727" s="202"/>
      <c r="P727" s="202"/>
    </row>
    <row r="728" spans="1:16" ht="14.25" customHeight="1">
      <c r="A728" s="72">
        <v>721</v>
      </c>
      <c r="B728" s="80">
        <f>+H706</f>
        <v>0</v>
      </c>
      <c r="C728" s="74" t="e">
        <f>+D689</f>
        <v>#REF!</v>
      </c>
      <c r="D728" s="195" t="e">
        <f>+B728+C728</f>
        <v>#REF!</v>
      </c>
      <c r="I728" s="72">
        <v>723</v>
      </c>
      <c r="J728" s="257">
        <f>+P707</f>
        <v>150000</v>
      </c>
      <c r="K728" s="74">
        <f>+L691</f>
        <v>393667963</v>
      </c>
      <c r="L728" s="195">
        <f>+J728+K728</f>
        <v>393817963</v>
      </c>
      <c r="N728" s="608" t="s">
        <v>1436</v>
      </c>
      <c r="O728" s="608"/>
      <c r="P728" s="608"/>
    </row>
    <row r="729" spans="1:16" ht="15" customHeight="1" thickBot="1">
      <c r="A729" s="72">
        <v>722</v>
      </c>
      <c r="B729" s="80"/>
      <c r="C729" s="74">
        <f>+D690</f>
        <v>231207671</v>
      </c>
      <c r="D729" s="195">
        <f>+B729+C729</f>
        <v>231207671</v>
      </c>
      <c r="I729" s="164" t="s">
        <v>181</v>
      </c>
      <c r="J729" s="165"/>
      <c r="K729" s="74">
        <f>+L692</f>
        <v>0</v>
      </c>
      <c r="L729" s="196">
        <f>+J729+K729</f>
        <v>0</v>
      </c>
      <c r="N729" s="52"/>
    </row>
    <row r="730" spans="1:16" ht="16.5" thickBot="1">
      <c r="A730" s="72">
        <v>723</v>
      </c>
      <c r="B730" s="80">
        <f>+H708</f>
        <v>0</v>
      </c>
      <c r="C730" s="74">
        <f>+D691</f>
        <v>321428837</v>
      </c>
      <c r="D730" s="195">
        <f>+B730+C730</f>
        <v>321428837</v>
      </c>
      <c r="F730" s="193" t="s">
        <v>23</v>
      </c>
      <c r="G730" s="175"/>
      <c r="I730" s="169"/>
      <c r="J730" s="197">
        <f>SUM(J725:J729)</f>
        <v>449000</v>
      </c>
      <c r="K730" s="197">
        <f>SUM(K725:K729)</f>
        <v>439719587</v>
      </c>
      <c r="L730" s="198">
        <f>SUM(L725:L729)</f>
        <v>440168587</v>
      </c>
    </row>
    <row r="731" spans="1:16" ht="17.25" thickBot="1">
      <c r="A731" s="164" t="s">
        <v>181</v>
      </c>
      <c r="B731" s="165"/>
      <c r="C731" s="74">
        <f>+D692</f>
        <v>1965625</v>
      </c>
      <c r="D731" s="196">
        <f>+B731+C731</f>
        <v>1965625</v>
      </c>
      <c r="F731" s="52"/>
      <c r="I731" s="49" t="s">
        <v>88</v>
      </c>
      <c r="J731" s="50"/>
    </row>
    <row r="732" spans="1:16" ht="15" customHeight="1" thickBot="1">
      <c r="A732" s="169"/>
      <c r="B732" s="170">
        <f>SUM(B727:B731)</f>
        <v>340000</v>
      </c>
      <c r="C732" s="171" t="e">
        <f>SUM(C727:C731)</f>
        <v>#REF!</v>
      </c>
      <c r="D732" s="172" t="e">
        <f>SUM(D727:D731)</f>
        <v>#REF!</v>
      </c>
      <c r="I732" s="51" t="s">
        <v>89</v>
      </c>
    </row>
    <row r="733" spans="1:16" ht="13.5" customHeight="1">
      <c r="A733" s="49" t="s">
        <v>88</v>
      </c>
      <c r="B733" s="50"/>
      <c r="I733" s="51" t="s">
        <v>90</v>
      </c>
    </row>
    <row r="734" spans="1:16" ht="13.5" customHeight="1">
      <c r="A734" s="51" t="s">
        <v>89</v>
      </c>
      <c r="I734" s="51" t="s">
        <v>91</v>
      </c>
    </row>
    <row r="735" spans="1:16" ht="12.75" customHeight="1">
      <c r="A735" s="51" t="s">
        <v>90</v>
      </c>
      <c r="I735" s="50"/>
      <c r="J735" s="50"/>
    </row>
    <row r="736" spans="1:16" ht="16.5">
      <c r="A736" s="51" t="s">
        <v>91</v>
      </c>
      <c r="I736" s="260" t="s">
        <v>761</v>
      </c>
      <c r="J736" s="262"/>
      <c r="O736" s="52"/>
    </row>
    <row r="737" spans="1:16" ht="15.75" customHeight="1">
      <c r="A737" s="50"/>
      <c r="B737" s="50"/>
      <c r="I737" s="261" t="s">
        <v>1333</v>
      </c>
      <c r="J737" s="262"/>
      <c r="O737" s="53"/>
    </row>
    <row r="738" spans="1:16" ht="16.5">
      <c r="A738" s="52" t="s">
        <v>431</v>
      </c>
      <c r="G738" s="52"/>
      <c r="I738" s="894" t="s">
        <v>788</v>
      </c>
      <c r="J738" s="894"/>
      <c r="K738" s="894"/>
      <c r="L738" s="894"/>
      <c r="M738" s="894"/>
      <c r="N738" s="894"/>
      <c r="O738" s="894"/>
      <c r="P738" s="894"/>
    </row>
    <row r="739" spans="1:16" ht="14.25" customHeight="1" thickBot="1">
      <c r="A739" s="53" t="s">
        <v>92</v>
      </c>
      <c r="G739" s="53"/>
    </row>
    <row r="740" spans="1:16" ht="16.5">
      <c r="A740" s="894" t="s">
        <v>93</v>
      </c>
      <c r="B740" s="894"/>
      <c r="C740" s="894"/>
      <c r="D740" s="894"/>
      <c r="E740" s="894"/>
      <c r="F740" s="894"/>
      <c r="G740" s="894"/>
      <c r="H740" s="894"/>
      <c r="I740" s="895" t="s">
        <v>94</v>
      </c>
      <c r="J740" s="897" t="s">
        <v>95</v>
      </c>
      <c r="K740" s="897" t="s">
        <v>96</v>
      </c>
      <c r="L740" s="897" t="s">
        <v>3</v>
      </c>
      <c r="M740" s="897" t="s">
        <v>97</v>
      </c>
      <c r="N740" s="897" t="s">
        <v>98</v>
      </c>
      <c r="O740" s="897" t="s">
        <v>99</v>
      </c>
      <c r="P740" s="899"/>
    </row>
    <row r="741" spans="1:16" ht="13.5" customHeight="1" thickBot="1">
      <c r="I741" s="896"/>
      <c r="J741" s="898"/>
      <c r="K741" s="898"/>
      <c r="L741" s="898"/>
      <c r="M741" s="898"/>
      <c r="N741" s="898"/>
      <c r="O741" s="240" t="s">
        <v>100</v>
      </c>
      <c r="P741" s="182" t="s">
        <v>101</v>
      </c>
    </row>
    <row r="742" spans="1:16" ht="13.5" customHeight="1">
      <c r="A742" s="895" t="s">
        <v>94</v>
      </c>
      <c r="B742" s="897" t="s">
        <v>95</v>
      </c>
      <c r="C742" s="897" t="s">
        <v>96</v>
      </c>
      <c r="D742" s="897" t="s">
        <v>3</v>
      </c>
      <c r="E742" s="897" t="s">
        <v>97</v>
      </c>
      <c r="F742" s="897" t="s">
        <v>98</v>
      </c>
      <c r="G742" s="897" t="s">
        <v>99</v>
      </c>
      <c r="H742" s="899"/>
      <c r="I742" s="873" t="s">
        <v>757</v>
      </c>
      <c r="J742" s="875">
        <v>42845</v>
      </c>
      <c r="K742" s="877" t="s">
        <v>350</v>
      </c>
      <c r="L742" s="881" t="s">
        <v>1482</v>
      </c>
      <c r="M742" s="881" t="s">
        <v>775</v>
      </c>
      <c r="N742" s="883">
        <v>195000</v>
      </c>
      <c r="O742" s="55">
        <v>719</v>
      </c>
      <c r="P742" s="78">
        <v>150000</v>
      </c>
    </row>
    <row r="743" spans="1:16" ht="13.5" customHeight="1" thickBot="1">
      <c r="A743" s="896"/>
      <c r="B743" s="898"/>
      <c r="C743" s="898"/>
      <c r="D743" s="898"/>
      <c r="E743" s="898"/>
      <c r="F743" s="898"/>
      <c r="G743" s="240" t="s">
        <v>100</v>
      </c>
      <c r="H743" s="182" t="s">
        <v>101</v>
      </c>
      <c r="I743" s="882"/>
      <c r="J743" s="876"/>
      <c r="K743" s="878"/>
      <c r="L743" s="882"/>
      <c r="M743" s="882"/>
      <c r="N743" s="884"/>
      <c r="O743" s="56">
        <v>721</v>
      </c>
      <c r="P743" s="79">
        <f>+N742-P742</f>
        <v>45000</v>
      </c>
    </row>
    <row r="744" spans="1:16" ht="12.75" customHeight="1">
      <c r="A744" s="881" t="e">
        <f>+A715+1</f>
        <v>#REF!</v>
      </c>
      <c r="B744" s="875">
        <v>42306</v>
      </c>
      <c r="C744" s="877" t="s">
        <v>267</v>
      </c>
      <c r="D744" s="881" t="s">
        <v>436</v>
      </c>
      <c r="E744" s="881" t="s">
        <v>148</v>
      </c>
      <c r="F744" s="883">
        <v>112000</v>
      </c>
      <c r="G744" s="55">
        <v>719</v>
      </c>
      <c r="H744" s="78">
        <v>80000</v>
      </c>
      <c r="I744" s="873" t="s">
        <v>758</v>
      </c>
      <c r="J744" s="875">
        <v>42845</v>
      </c>
      <c r="K744" s="877" t="s">
        <v>28</v>
      </c>
      <c r="L744" s="881" t="s">
        <v>1483</v>
      </c>
      <c r="M744" s="881" t="s">
        <v>775</v>
      </c>
      <c r="N744" s="883">
        <v>273000</v>
      </c>
      <c r="O744" s="55">
        <v>719</v>
      </c>
      <c r="P744" s="78">
        <v>210000</v>
      </c>
    </row>
    <row r="745" spans="1:16" ht="13.5" customHeight="1" thickBot="1">
      <c r="A745" s="882"/>
      <c r="B745" s="876"/>
      <c r="C745" s="878"/>
      <c r="D745" s="882"/>
      <c r="E745" s="882"/>
      <c r="F745" s="884"/>
      <c r="G745" s="56">
        <v>721</v>
      </c>
      <c r="H745" s="79">
        <f>+F744-H744</f>
        <v>32000</v>
      </c>
      <c r="I745" s="882"/>
      <c r="J745" s="876"/>
      <c r="K745" s="878"/>
      <c r="L745" s="882"/>
      <c r="M745" s="882"/>
      <c r="N745" s="884"/>
      <c r="O745" s="56">
        <v>721</v>
      </c>
      <c r="P745" s="79">
        <f>+N744-P744</f>
        <v>63000</v>
      </c>
    </row>
    <row r="746" spans="1:16" ht="13.5" customHeight="1">
      <c r="A746" s="881" t="e">
        <f>+A744+1</f>
        <v>#REF!</v>
      </c>
      <c r="B746" s="875">
        <v>42306</v>
      </c>
      <c r="C746" s="881" t="s">
        <v>28</v>
      </c>
      <c r="D746" s="881" t="s">
        <v>437</v>
      </c>
      <c r="E746" s="881" t="s">
        <v>148</v>
      </c>
      <c r="F746" s="883">
        <v>210000</v>
      </c>
      <c r="G746" s="55">
        <v>719</v>
      </c>
      <c r="H746" s="78">
        <v>150000</v>
      </c>
      <c r="I746" s="873" t="s">
        <v>759</v>
      </c>
      <c r="J746" s="875">
        <v>42845</v>
      </c>
      <c r="K746" s="877" t="s">
        <v>120</v>
      </c>
      <c r="L746" s="881" t="s">
        <v>1484</v>
      </c>
      <c r="M746" s="881" t="s">
        <v>775</v>
      </c>
      <c r="N746" s="883">
        <v>273000</v>
      </c>
      <c r="O746" s="55">
        <v>719</v>
      </c>
      <c r="P746" s="78">
        <v>210000</v>
      </c>
    </row>
    <row r="747" spans="1:16" ht="13.5" customHeight="1" thickBot="1">
      <c r="A747" s="882"/>
      <c r="B747" s="876"/>
      <c r="C747" s="882"/>
      <c r="D747" s="882"/>
      <c r="E747" s="882"/>
      <c r="F747" s="884"/>
      <c r="G747" s="56">
        <v>721</v>
      </c>
      <c r="H747" s="79">
        <f>+F746-H746</f>
        <v>60000</v>
      </c>
      <c r="I747" s="882"/>
      <c r="J747" s="876"/>
      <c r="K747" s="878"/>
      <c r="L747" s="882"/>
      <c r="M747" s="882"/>
      <c r="N747" s="884"/>
      <c r="O747" s="56">
        <v>721</v>
      </c>
      <c r="P747" s="79">
        <f>+N746-P746</f>
        <v>63000</v>
      </c>
    </row>
    <row r="748" spans="1:16" ht="15" customHeight="1">
      <c r="A748" s="881" t="e">
        <f>+A746+1</f>
        <v>#REF!</v>
      </c>
      <c r="B748" s="875">
        <v>42306</v>
      </c>
      <c r="C748" s="877" t="s">
        <v>32</v>
      </c>
      <c r="D748" s="881" t="s">
        <v>438</v>
      </c>
      <c r="E748" s="881" t="s">
        <v>148</v>
      </c>
      <c r="F748" s="883">
        <v>14000</v>
      </c>
      <c r="G748" s="55">
        <v>719</v>
      </c>
      <c r="H748" s="78">
        <v>10000</v>
      </c>
      <c r="I748" s="873"/>
      <c r="J748" s="875"/>
      <c r="K748" s="877"/>
      <c r="L748" s="881"/>
      <c r="M748" s="881"/>
      <c r="N748" s="883"/>
      <c r="O748" s="55">
        <v>723</v>
      </c>
      <c r="P748" s="78"/>
    </row>
    <row r="749" spans="1:16" ht="15.75" customHeight="1" thickBot="1">
      <c r="A749" s="882"/>
      <c r="B749" s="876"/>
      <c r="C749" s="878"/>
      <c r="D749" s="882"/>
      <c r="E749" s="882"/>
      <c r="F749" s="884"/>
      <c r="G749" s="56">
        <v>721</v>
      </c>
      <c r="H749" s="79">
        <f>+F748-H748</f>
        <v>4000</v>
      </c>
      <c r="I749" s="882"/>
      <c r="J749" s="876"/>
      <c r="K749" s="878"/>
      <c r="L749" s="882"/>
      <c r="M749" s="882"/>
      <c r="N749" s="884"/>
      <c r="O749" s="56">
        <v>721</v>
      </c>
      <c r="P749" s="79">
        <f>+N748-P748</f>
        <v>0</v>
      </c>
    </row>
    <row r="750" spans="1:16" ht="15" customHeight="1">
      <c r="A750" s="881" t="e">
        <f>+A748+1</f>
        <v>#REF!</v>
      </c>
      <c r="B750" s="875">
        <v>42306</v>
      </c>
      <c r="C750" s="877" t="s">
        <v>111</v>
      </c>
      <c r="D750" s="881" t="s">
        <v>439</v>
      </c>
      <c r="E750" s="881" t="s">
        <v>148</v>
      </c>
      <c r="F750" s="883">
        <v>56000</v>
      </c>
      <c r="G750" s="55">
        <v>719</v>
      </c>
      <c r="H750" s="78">
        <v>40000</v>
      </c>
      <c r="I750" s="873"/>
      <c r="J750" s="875"/>
      <c r="K750" s="877"/>
      <c r="L750" s="881"/>
      <c r="M750" s="881"/>
      <c r="N750" s="883"/>
      <c r="O750" s="55">
        <v>723</v>
      </c>
      <c r="P750" s="78"/>
    </row>
    <row r="751" spans="1:16" ht="15.75" customHeight="1" thickBot="1">
      <c r="A751" s="882"/>
      <c r="B751" s="876"/>
      <c r="C751" s="878"/>
      <c r="D751" s="882"/>
      <c r="E751" s="882"/>
      <c r="F751" s="884"/>
      <c r="G751" s="56">
        <v>721</v>
      </c>
      <c r="H751" s="79">
        <f>+F750-H750</f>
        <v>16000</v>
      </c>
      <c r="I751" s="882"/>
      <c r="J751" s="876"/>
      <c r="K751" s="878"/>
      <c r="L751" s="882"/>
      <c r="M751" s="882"/>
      <c r="N751" s="884"/>
      <c r="O751" s="56">
        <v>721</v>
      </c>
      <c r="P751" s="79">
        <f>+N750-P750</f>
        <v>0</v>
      </c>
    </row>
    <row r="752" spans="1:16" ht="15" customHeight="1" thickBot="1">
      <c r="A752" s="881" t="e">
        <f>+A750+1</f>
        <v>#REF!</v>
      </c>
      <c r="B752" s="875">
        <v>42306</v>
      </c>
      <c r="C752" s="877" t="s">
        <v>272</v>
      </c>
      <c r="D752" s="881" t="s">
        <v>437</v>
      </c>
      <c r="E752" s="881" t="s">
        <v>115</v>
      </c>
      <c r="F752" s="931">
        <v>714000</v>
      </c>
      <c r="G752" s="55">
        <v>719</v>
      </c>
      <c r="H752" s="78">
        <v>510000</v>
      </c>
      <c r="I752" s="901" t="s">
        <v>102</v>
      </c>
      <c r="J752" s="902"/>
      <c r="K752" s="902"/>
      <c r="L752" s="902"/>
      <c r="M752" s="903"/>
      <c r="N752" s="81">
        <f>SUM(N742:N751)</f>
        <v>741000</v>
      </c>
    </row>
    <row r="753" spans="1:16" ht="15.75" customHeight="1" thickBot="1">
      <c r="A753" s="882"/>
      <c r="B753" s="876"/>
      <c r="C753" s="878"/>
      <c r="D753" s="882"/>
      <c r="E753" s="882"/>
      <c r="F753" s="932"/>
      <c r="G753" s="56">
        <v>721</v>
      </c>
      <c r="H753" s="79">
        <f>+F752-H752</f>
        <v>204000</v>
      </c>
      <c r="I753" s="885" t="s">
        <v>103</v>
      </c>
      <c r="J753" s="886"/>
      <c r="K753" s="886"/>
      <c r="L753" s="886"/>
      <c r="M753" s="887"/>
      <c r="N753" s="239">
        <f>+N717</f>
        <v>405653213</v>
      </c>
      <c r="O753" s="241" t="s">
        <v>561</v>
      </c>
      <c r="P753" s="242">
        <f>195+274+546</f>
        <v>1015</v>
      </c>
    </row>
    <row r="754" spans="1:16" ht="16.5" thickBot="1">
      <c r="A754" s="901" t="s">
        <v>102</v>
      </c>
      <c r="B754" s="902"/>
      <c r="C754" s="902"/>
      <c r="D754" s="902"/>
      <c r="E754" s="903"/>
      <c r="F754" s="81">
        <f>SUM(F744:F753)</f>
        <v>1106000</v>
      </c>
      <c r="I754" s="888" t="s">
        <v>104</v>
      </c>
      <c r="J754" s="889"/>
      <c r="K754" s="889"/>
      <c r="L754" s="889"/>
      <c r="M754" s="890"/>
      <c r="N754" s="183">
        <f>SUM(N752:N753)</f>
        <v>406394213</v>
      </c>
    </row>
    <row r="755" spans="1:16" ht="13.5" customHeight="1" thickBot="1">
      <c r="A755" s="885" t="s">
        <v>103</v>
      </c>
      <c r="B755" s="886"/>
      <c r="C755" s="886"/>
      <c r="D755" s="886"/>
      <c r="E755" s="887"/>
      <c r="F755" s="69">
        <f>+F719</f>
        <v>652056930</v>
      </c>
      <c r="I755" s="61"/>
      <c r="J755" s="61"/>
      <c r="K755" s="61"/>
      <c r="L755" s="61"/>
      <c r="M755" s="61"/>
    </row>
    <row r="756" spans="1:16" ht="16.5" thickBot="1">
      <c r="A756" s="888" t="s">
        <v>104</v>
      </c>
      <c r="B756" s="889"/>
      <c r="C756" s="889"/>
      <c r="D756" s="889"/>
      <c r="E756" s="890"/>
      <c r="F756" s="183">
        <f>SUM(F754:F755)</f>
        <v>653162930</v>
      </c>
      <c r="I756" s="51" t="s">
        <v>777</v>
      </c>
    </row>
    <row r="757" spans="1:16" ht="12" customHeight="1">
      <c r="A757" s="61"/>
      <c r="B757" s="61"/>
      <c r="C757" s="61"/>
      <c r="D757" s="61"/>
      <c r="E757" s="61"/>
      <c r="N757" s="139"/>
    </row>
    <row r="758" spans="1:16">
      <c r="A758" s="51" t="s">
        <v>440</v>
      </c>
      <c r="I758" s="50" t="s">
        <v>105</v>
      </c>
      <c r="L758" s="146"/>
      <c r="N758" s="139"/>
    </row>
    <row r="759" spans="1:16" ht="12.75" customHeight="1" thickBot="1">
      <c r="F759" s="139"/>
    </row>
    <row r="760" spans="1:16" ht="17.25" thickBot="1">
      <c r="A760" s="50" t="s">
        <v>105</v>
      </c>
      <c r="D760" s="146"/>
      <c r="F760" s="139"/>
      <c r="I760" s="891" t="s">
        <v>106</v>
      </c>
      <c r="J760" s="892"/>
      <c r="K760" s="892"/>
      <c r="L760" s="893"/>
      <c r="N760" s="605" t="s">
        <v>288</v>
      </c>
      <c r="O760" s="605"/>
      <c r="P760" s="605"/>
    </row>
    <row r="761" spans="1:16" ht="29.25" customHeight="1" thickBot="1">
      <c r="I761" s="57" t="s">
        <v>100</v>
      </c>
      <c r="J761" s="58" t="s">
        <v>108</v>
      </c>
      <c r="K761" s="263" t="s">
        <v>109</v>
      </c>
      <c r="L761" s="60" t="s">
        <v>110</v>
      </c>
      <c r="N761" s="202"/>
      <c r="O761" s="202"/>
      <c r="P761" s="202"/>
    </row>
    <row r="762" spans="1:16" ht="13.5" customHeight="1" thickBot="1">
      <c r="A762" s="891" t="s">
        <v>106</v>
      </c>
      <c r="B762" s="892"/>
      <c r="C762" s="892"/>
      <c r="D762" s="893"/>
      <c r="F762" s="50" t="s">
        <v>288</v>
      </c>
      <c r="I762" s="71">
        <v>719</v>
      </c>
      <c r="J762" s="73">
        <f>+P742+P744+P746</f>
        <v>570000</v>
      </c>
      <c r="K762" s="74">
        <f>+L725</f>
        <v>5890000</v>
      </c>
      <c r="L762" s="195">
        <f>+J762+K762</f>
        <v>6460000</v>
      </c>
      <c r="N762" s="202"/>
      <c r="O762" s="202"/>
      <c r="P762" s="202"/>
    </row>
    <row r="763" spans="1:16" ht="13.5" customHeight="1" thickBot="1">
      <c r="A763" s="57" t="s">
        <v>100</v>
      </c>
      <c r="B763" s="58" t="s">
        <v>108</v>
      </c>
      <c r="C763" s="59" t="s">
        <v>109</v>
      </c>
      <c r="D763" s="60" t="s">
        <v>110</v>
      </c>
      <c r="I763" s="72">
        <v>721</v>
      </c>
      <c r="J763" s="257">
        <f>+P747+P745+P743</f>
        <v>171000</v>
      </c>
      <c r="K763" s="74">
        <f>+L726</f>
        <v>40460624</v>
      </c>
      <c r="L763" s="195">
        <f>+J763+K763</f>
        <v>40631624</v>
      </c>
      <c r="N763" s="202"/>
      <c r="O763" s="202"/>
      <c r="P763" s="202"/>
    </row>
    <row r="764" spans="1:16" ht="12" customHeight="1">
      <c r="A764" s="71">
        <v>719</v>
      </c>
      <c r="B764" s="73">
        <f>+H744+H746+H748+H750+H752</f>
        <v>790000</v>
      </c>
      <c r="C764" s="74" t="e">
        <f>+D727</f>
        <v>#REF!</v>
      </c>
      <c r="D764" s="195" t="e">
        <f>+B764+C764</f>
        <v>#REF!</v>
      </c>
      <c r="I764" s="72">
        <v>722</v>
      </c>
      <c r="J764" s="257"/>
      <c r="K764" s="74">
        <f>+L727</f>
        <v>0</v>
      </c>
      <c r="L764" s="195">
        <f>+J764+K764</f>
        <v>0</v>
      </c>
      <c r="N764" s="202"/>
      <c r="O764" s="202"/>
      <c r="P764" s="202"/>
    </row>
    <row r="765" spans="1:16" ht="12.75" customHeight="1">
      <c r="A765" s="72">
        <v>721</v>
      </c>
      <c r="B765" s="80">
        <f>+H745+H747+H749+H751+H753</f>
        <v>316000</v>
      </c>
      <c r="C765" s="74" t="e">
        <f>+D728</f>
        <v>#REF!</v>
      </c>
      <c r="D765" s="195" t="e">
        <f>+B765+C765</f>
        <v>#REF!</v>
      </c>
      <c r="I765" s="72">
        <v>723</v>
      </c>
      <c r="J765" s="257"/>
      <c r="K765" s="74">
        <f>+L728</f>
        <v>393817963</v>
      </c>
      <c r="L765" s="195">
        <f>+J765+K765</f>
        <v>393817963</v>
      </c>
      <c r="N765" s="918" t="s">
        <v>1481</v>
      </c>
      <c r="O765" s="918"/>
      <c r="P765" s="918"/>
    </row>
    <row r="766" spans="1:16" ht="12.75" customHeight="1" thickBot="1">
      <c r="A766" s="72">
        <v>722</v>
      </c>
      <c r="B766" s="80"/>
      <c r="C766" s="74">
        <f>+D729</f>
        <v>231207671</v>
      </c>
      <c r="D766" s="195">
        <f>+B766+C766</f>
        <v>231207671</v>
      </c>
      <c r="I766" s="164" t="s">
        <v>181</v>
      </c>
      <c r="J766" s="165"/>
      <c r="K766" s="74">
        <f>+L729</f>
        <v>0</v>
      </c>
      <c r="L766" s="196">
        <f>+J766+K766</f>
        <v>0</v>
      </c>
      <c r="N766" s="52"/>
    </row>
    <row r="767" spans="1:16" ht="16.5" thickBot="1">
      <c r="A767" s="72">
        <v>723</v>
      </c>
      <c r="B767" s="80"/>
      <c r="C767" s="74">
        <f>+D730</f>
        <v>321428837</v>
      </c>
      <c r="D767" s="195">
        <f>+B767+C767</f>
        <v>321428837</v>
      </c>
      <c r="F767" s="174" t="s">
        <v>23</v>
      </c>
      <c r="G767" s="175"/>
      <c r="I767" s="169"/>
      <c r="J767" s="197">
        <f>SUM(J762:J766)</f>
        <v>741000</v>
      </c>
      <c r="K767" s="197">
        <f>SUM(K762:K766)</f>
        <v>440168587</v>
      </c>
      <c r="L767" s="198">
        <f>SUM(L762:L766)</f>
        <v>440909587</v>
      </c>
    </row>
    <row r="768" spans="1:16" ht="17.25" thickBot="1">
      <c r="A768" s="164" t="s">
        <v>181</v>
      </c>
      <c r="B768" s="165"/>
      <c r="C768" s="74">
        <f>+D731</f>
        <v>1965625</v>
      </c>
      <c r="D768" s="196">
        <f>+B768+C768</f>
        <v>1965625</v>
      </c>
      <c r="F768" s="52"/>
      <c r="I768" s="49" t="s">
        <v>88</v>
      </c>
      <c r="J768" s="50"/>
    </row>
    <row r="769" spans="1:16" ht="16.5" thickBot="1">
      <c r="A769" s="169"/>
      <c r="B769" s="170">
        <f>SUM(B764:B768)</f>
        <v>1106000</v>
      </c>
      <c r="C769" s="171" t="e">
        <f>SUM(C764:C768)</f>
        <v>#REF!</v>
      </c>
      <c r="D769" s="172" t="e">
        <f>SUM(D764:D768)</f>
        <v>#REF!</v>
      </c>
      <c r="I769" s="51" t="s">
        <v>89</v>
      </c>
    </row>
    <row r="770" spans="1:16" ht="16.5">
      <c r="A770" s="49" t="s">
        <v>88</v>
      </c>
      <c r="B770" s="50"/>
      <c r="I770" s="51" t="s">
        <v>90</v>
      </c>
    </row>
    <row r="771" spans="1:16">
      <c r="A771" s="51" t="s">
        <v>89</v>
      </c>
      <c r="I771" s="51" t="s">
        <v>91</v>
      </c>
    </row>
    <row r="772" spans="1:16" ht="10.5" customHeight="1">
      <c r="A772" s="51" t="s">
        <v>90</v>
      </c>
      <c r="I772" s="50"/>
      <c r="J772" s="50"/>
    </row>
    <row r="773" spans="1:16" ht="16.5">
      <c r="A773" s="51" t="s">
        <v>91</v>
      </c>
      <c r="I773" s="260" t="s">
        <v>762</v>
      </c>
      <c r="J773" s="262"/>
      <c r="O773" s="52"/>
    </row>
    <row r="774" spans="1:16" ht="15" customHeight="1">
      <c r="A774" s="50"/>
      <c r="B774" s="50"/>
      <c r="I774" s="261" t="s">
        <v>1333</v>
      </c>
      <c r="J774" s="262"/>
      <c r="O774" s="53"/>
    </row>
    <row r="775" spans="1:16" ht="16.5">
      <c r="A775" s="52" t="s">
        <v>432</v>
      </c>
      <c r="G775" s="52"/>
      <c r="I775" s="894" t="s">
        <v>1486</v>
      </c>
      <c r="J775" s="894"/>
      <c r="K775" s="894"/>
      <c r="L775" s="894"/>
      <c r="M775" s="894"/>
      <c r="N775" s="894"/>
      <c r="O775" s="894"/>
      <c r="P775" s="894"/>
    </row>
    <row r="776" spans="1:16" ht="13.5" customHeight="1" thickBot="1">
      <c r="A776" s="53" t="s">
        <v>92</v>
      </c>
      <c r="G776" s="53"/>
    </row>
    <row r="777" spans="1:16" ht="16.5">
      <c r="A777" s="894" t="s">
        <v>93</v>
      </c>
      <c r="B777" s="894"/>
      <c r="C777" s="894"/>
      <c r="D777" s="894"/>
      <c r="E777" s="894"/>
      <c r="F777" s="894"/>
      <c r="G777" s="894"/>
      <c r="H777" s="894"/>
      <c r="I777" s="895" t="s">
        <v>94</v>
      </c>
      <c r="J777" s="897" t="s">
        <v>95</v>
      </c>
      <c r="K777" s="897" t="s">
        <v>96</v>
      </c>
      <c r="L777" s="897" t="s">
        <v>3</v>
      </c>
      <c r="M777" s="897" t="s">
        <v>97</v>
      </c>
      <c r="N777" s="897" t="s">
        <v>98</v>
      </c>
      <c r="O777" s="897" t="s">
        <v>99</v>
      </c>
      <c r="P777" s="899"/>
    </row>
    <row r="778" spans="1:16" ht="13.5" customHeight="1" thickBot="1">
      <c r="I778" s="896"/>
      <c r="J778" s="898"/>
      <c r="K778" s="898"/>
      <c r="L778" s="898"/>
      <c r="M778" s="898"/>
      <c r="N778" s="898"/>
      <c r="O778" s="240" t="s">
        <v>100</v>
      </c>
      <c r="P778" s="182" t="s">
        <v>101</v>
      </c>
    </row>
    <row r="779" spans="1:16" ht="13.5" customHeight="1">
      <c r="A779" s="895" t="s">
        <v>94</v>
      </c>
      <c r="B779" s="897" t="s">
        <v>95</v>
      </c>
      <c r="C779" s="897" t="s">
        <v>96</v>
      </c>
      <c r="D779" s="897" t="s">
        <v>3</v>
      </c>
      <c r="E779" s="897" t="s">
        <v>97</v>
      </c>
      <c r="F779" s="897" t="s">
        <v>98</v>
      </c>
      <c r="G779" s="897" t="s">
        <v>99</v>
      </c>
      <c r="H779" s="899"/>
      <c r="I779" s="873" t="s">
        <v>769</v>
      </c>
      <c r="J779" s="875">
        <v>42429</v>
      </c>
      <c r="K779" s="877" t="s">
        <v>690</v>
      </c>
      <c r="L779" s="881" t="s">
        <v>671</v>
      </c>
      <c r="M779" s="881" t="s">
        <v>148</v>
      </c>
      <c r="N779" s="883">
        <v>-8997975</v>
      </c>
      <c r="O779" s="55">
        <v>723</v>
      </c>
      <c r="P779" s="78">
        <f>+N779</f>
        <v>-8997975</v>
      </c>
    </row>
    <row r="780" spans="1:16" ht="14.25" customHeight="1" thickBot="1">
      <c r="A780" s="896"/>
      <c r="B780" s="898"/>
      <c r="C780" s="898"/>
      <c r="D780" s="898"/>
      <c r="E780" s="898"/>
      <c r="F780" s="898"/>
      <c r="G780" s="240" t="s">
        <v>100</v>
      </c>
      <c r="H780" s="182" t="s">
        <v>101</v>
      </c>
      <c r="I780" s="882"/>
      <c r="J780" s="876"/>
      <c r="K780" s="878"/>
      <c r="L780" s="882"/>
      <c r="M780" s="882"/>
      <c r="N780" s="884"/>
      <c r="O780" s="56">
        <v>721</v>
      </c>
      <c r="P780" s="79">
        <f>+N779-P779</f>
        <v>0</v>
      </c>
    </row>
    <row r="781" spans="1:16" ht="12.75" customHeight="1">
      <c r="A781" s="881" t="e">
        <f>+A752+1</f>
        <v>#REF!</v>
      </c>
      <c r="B781" s="875">
        <v>42306</v>
      </c>
      <c r="C781" s="877" t="s">
        <v>272</v>
      </c>
      <c r="D781" s="881" t="s">
        <v>433</v>
      </c>
      <c r="E781" s="881" t="s">
        <v>115</v>
      </c>
      <c r="F781" s="883">
        <v>40000</v>
      </c>
      <c r="G781" s="55">
        <v>719</v>
      </c>
      <c r="H781" s="78">
        <v>40000</v>
      </c>
      <c r="I781" s="873"/>
      <c r="J781" s="875"/>
      <c r="K781" s="877"/>
      <c r="L781" s="881"/>
      <c r="M781" s="881"/>
      <c r="N781" s="883"/>
      <c r="O781" s="55">
        <v>723</v>
      </c>
      <c r="P781" s="78"/>
    </row>
    <row r="782" spans="1:16" ht="14.25" customHeight="1" thickBot="1">
      <c r="A782" s="882"/>
      <c r="B782" s="876"/>
      <c r="C782" s="878"/>
      <c r="D782" s="882"/>
      <c r="E782" s="882"/>
      <c r="F782" s="884"/>
      <c r="G782" s="56">
        <v>721</v>
      </c>
      <c r="H782" s="79">
        <f>+F781-H781</f>
        <v>0</v>
      </c>
      <c r="I782" s="882"/>
      <c r="J782" s="876"/>
      <c r="K782" s="878"/>
      <c r="L782" s="882"/>
      <c r="M782" s="882"/>
      <c r="N782" s="884"/>
      <c r="O782" s="56">
        <v>721</v>
      </c>
      <c r="P782" s="79">
        <f>+N781-P781</f>
        <v>0</v>
      </c>
    </row>
    <row r="783" spans="1:16" ht="12.75" customHeight="1">
      <c r="A783" s="881" t="e">
        <f>+A781+1</f>
        <v>#REF!</v>
      </c>
      <c r="B783" s="875">
        <v>42306</v>
      </c>
      <c r="C783" s="881" t="s">
        <v>28</v>
      </c>
      <c r="D783" s="881" t="s">
        <v>434</v>
      </c>
      <c r="E783" s="881" t="s">
        <v>115</v>
      </c>
      <c r="F783" s="883">
        <v>80000</v>
      </c>
      <c r="G783" s="55">
        <v>719</v>
      </c>
      <c r="H783" s="78">
        <v>80000</v>
      </c>
      <c r="I783" s="873"/>
      <c r="J783" s="875"/>
      <c r="K783" s="877"/>
      <c r="L783" s="881"/>
      <c r="M783" s="881"/>
      <c r="N783" s="883"/>
      <c r="O783" s="55">
        <v>723</v>
      </c>
      <c r="P783" s="78"/>
    </row>
    <row r="784" spans="1:16" ht="14.25" customHeight="1" thickBot="1">
      <c r="A784" s="882"/>
      <c r="B784" s="876"/>
      <c r="C784" s="882"/>
      <c r="D784" s="882"/>
      <c r="E784" s="882"/>
      <c r="F784" s="884"/>
      <c r="G784" s="56">
        <v>721</v>
      </c>
      <c r="H784" s="79">
        <f>+F783-H783</f>
        <v>0</v>
      </c>
      <c r="I784" s="882"/>
      <c r="J784" s="876"/>
      <c r="K784" s="878"/>
      <c r="L784" s="882"/>
      <c r="M784" s="882"/>
      <c r="N784" s="884"/>
      <c r="O784" s="56">
        <v>721</v>
      </c>
      <c r="P784" s="79">
        <f>+N783-P783</f>
        <v>0</v>
      </c>
    </row>
    <row r="785" spans="1:16" ht="13.5" customHeight="1">
      <c r="A785" s="881" t="e">
        <f>+A783+1</f>
        <v>#REF!</v>
      </c>
      <c r="B785" s="875">
        <v>42306</v>
      </c>
      <c r="C785" s="877" t="s">
        <v>32</v>
      </c>
      <c r="D785" s="881" t="s">
        <v>435</v>
      </c>
      <c r="E785" s="881" t="s">
        <v>115</v>
      </c>
      <c r="F785" s="883">
        <v>30000</v>
      </c>
      <c r="G785" s="55">
        <v>719</v>
      </c>
      <c r="H785" s="78">
        <v>30000</v>
      </c>
      <c r="I785" s="873"/>
      <c r="J785" s="875"/>
      <c r="K785" s="877"/>
      <c r="L785" s="881"/>
      <c r="M785" s="881"/>
      <c r="N785" s="883"/>
      <c r="O785" s="55">
        <v>723</v>
      </c>
      <c r="P785" s="78"/>
    </row>
    <row r="786" spans="1:16" ht="13.5" customHeight="1" thickBot="1">
      <c r="A786" s="882"/>
      <c r="B786" s="876"/>
      <c r="C786" s="878"/>
      <c r="D786" s="882"/>
      <c r="E786" s="882"/>
      <c r="F786" s="884"/>
      <c r="G786" s="56">
        <v>721</v>
      </c>
      <c r="H786" s="79">
        <f>+F785-H785</f>
        <v>0</v>
      </c>
      <c r="I786" s="882"/>
      <c r="J786" s="876"/>
      <c r="K786" s="878"/>
      <c r="L786" s="882"/>
      <c r="M786" s="882"/>
      <c r="N786" s="884"/>
      <c r="O786" s="56">
        <v>721</v>
      </c>
      <c r="P786" s="79">
        <f>+N785-P785</f>
        <v>0</v>
      </c>
    </row>
    <row r="787" spans="1:16" ht="12" customHeight="1">
      <c r="A787" s="881"/>
      <c r="B787" s="875"/>
      <c r="C787" s="877"/>
      <c r="D787" s="881"/>
      <c r="E787" s="881"/>
      <c r="F787" s="883"/>
      <c r="G787" s="55">
        <v>719</v>
      </c>
      <c r="H787" s="78"/>
      <c r="I787" s="873"/>
      <c r="J787" s="875"/>
      <c r="K787" s="877"/>
      <c r="L787" s="881"/>
      <c r="M787" s="881"/>
      <c r="N787" s="883"/>
      <c r="O787" s="55">
        <v>723</v>
      </c>
      <c r="P787" s="78"/>
    </row>
    <row r="788" spans="1:16" ht="12.75" customHeight="1" thickBot="1">
      <c r="A788" s="882"/>
      <c r="B788" s="876"/>
      <c r="C788" s="878"/>
      <c r="D788" s="882"/>
      <c r="E788" s="882"/>
      <c r="F788" s="884"/>
      <c r="G788" s="56">
        <v>721</v>
      </c>
      <c r="H788" s="79">
        <f>+F787-H787</f>
        <v>0</v>
      </c>
      <c r="I788" s="882"/>
      <c r="J788" s="876"/>
      <c r="K788" s="878"/>
      <c r="L788" s="882"/>
      <c r="M788" s="882"/>
      <c r="N788" s="884"/>
      <c r="O788" s="56">
        <v>721</v>
      </c>
      <c r="P788" s="79">
        <f>+N787-P787</f>
        <v>0</v>
      </c>
    </row>
    <row r="789" spans="1:16" ht="15" customHeight="1" thickBot="1">
      <c r="A789" s="881"/>
      <c r="B789" s="875"/>
      <c r="C789" s="881"/>
      <c r="D789" s="881"/>
      <c r="E789" s="881"/>
      <c r="F789" s="883"/>
      <c r="G789" s="55">
        <v>719</v>
      </c>
      <c r="H789" s="78"/>
      <c r="I789" s="901" t="s">
        <v>102</v>
      </c>
      <c r="J789" s="902"/>
      <c r="K789" s="902"/>
      <c r="L789" s="902"/>
      <c r="M789" s="903"/>
      <c r="N789" s="81">
        <f>SUM(N779:N788)</f>
        <v>-8997975</v>
      </c>
    </row>
    <row r="790" spans="1:16" ht="15.75" customHeight="1" thickBot="1">
      <c r="A790" s="882"/>
      <c r="B790" s="876"/>
      <c r="C790" s="882"/>
      <c r="D790" s="882"/>
      <c r="E790" s="882"/>
      <c r="F790" s="884"/>
      <c r="G790" s="56">
        <v>721</v>
      </c>
      <c r="H790" s="79">
        <f>+F789-H789</f>
        <v>0</v>
      </c>
      <c r="I790" s="885" t="s">
        <v>103</v>
      </c>
      <c r="J790" s="886"/>
      <c r="K790" s="886"/>
      <c r="L790" s="886"/>
      <c r="M790" s="887"/>
      <c r="N790" s="239">
        <f>+N754</f>
        <v>406394213</v>
      </c>
      <c r="O790" s="241" t="s">
        <v>561</v>
      </c>
      <c r="P790" s="242"/>
    </row>
    <row r="791" spans="1:16" ht="16.5" thickBot="1">
      <c r="A791" s="901" t="s">
        <v>102</v>
      </c>
      <c r="B791" s="902"/>
      <c r="C791" s="902"/>
      <c r="D791" s="902"/>
      <c r="E791" s="903"/>
      <c r="F791" s="81">
        <f>SUM(F781:F790)</f>
        <v>150000</v>
      </c>
      <c r="I791" s="888" t="s">
        <v>104</v>
      </c>
      <c r="J791" s="889"/>
      <c r="K791" s="889"/>
      <c r="L791" s="889"/>
      <c r="M791" s="890"/>
      <c r="N791" s="183">
        <f>SUM(N789:N790)</f>
        <v>397396238</v>
      </c>
    </row>
    <row r="792" spans="1:16" ht="13.5" customHeight="1" thickBot="1">
      <c r="A792" s="885" t="s">
        <v>103</v>
      </c>
      <c r="B792" s="886"/>
      <c r="C792" s="886"/>
      <c r="D792" s="886"/>
      <c r="E792" s="887"/>
      <c r="F792" s="69">
        <f>+F756</f>
        <v>653162930</v>
      </c>
      <c r="I792" s="61"/>
      <c r="J792" s="61"/>
      <c r="K792" s="61"/>
      <c r="L792" s="61"/>
      <c r="M792" s="61"/>
    </row>
    <row r="793" spans="1:16" ht="16.5" thickBot="1">
      <c r="A793" s="888" t="s">
        <v>104</v>
      </c>
      <c r="B793" s="889"/>
      <c r="C793" s="889"/>
      <c r="D793" s="889"/>
      <c r="E793" s="890"/>
      <c r="F793" s="183">
        <f>SUM(F791:F792)</f>
        <v>653312930</v>
      </c>
      <c r="I793" s="51" t="s">
        <v>1485</v>
      </c>
    </row>
    <row r="794" spans="1:16" ht="12.75" customHeight="1">
      <c r="A794" s="61"/>
      <c r="B794" s="61"/>
      <c r="C794" s="61"/>
      <c r="D794" s="61"/>
      <c r="E794" s="61"/>
      <c r="N794" s="139"/>
    </row>
    <row r="795" spans="1:16">
      <c r="A795" s="51" t="s">
        <v>441</v>
      </c>
      <c r="I795" s="50" t="s">
        <v>105</v>
      </c>
      <c r="L795" s="146"/>
      <c r="N795" s="139"/>
    </row>
    <row r="796" spans="1:16" ht="12.75" customHeight="1" thickBot="1">
      <c r="F796" s="139"/>
    </row>
    <row r="797" spans="1:16" ht="17.25" thickBot="1">
      <c r="A797" s="50" t="s">
        <v>105</v>
      </c>
      <c r="D797" s="146"/>
      <c r="F797" s="139"/>
      <c r="I797" s="891" t="s">
        <v>106</v>
      </c>
      <c r="J797" s="892"/>
      <c r="K797" s="892"/>
      <c r="L797" s="893"/>
      <c r="N797" s="605" t="s">
        <v>288</v>
      </c>
      <c r="O797" s="605"/>
      <c r="P797" s="605"/>
    </row>
    <row r="798" spans="1:16" ht="27" customHeight="1" thickBot="1">
      <c r="I798" s="57" t="s">
        <v>100</v>
      </c>
      <c r="J798" s="58" t="s">
        <v>108</v>
      </c>
      <c r="K798" s="264" t="s">
        <v>109</v>
      </c>
      <c r="L798" s="60" t="s">
        <v>110</v>
      </c>
      <c r="N798" s="202"/>
      <c r="O798" s="202"/>
      <c r="P798" s="202"/>
    </row>
    <row r="799" spans="1:16" ht="13.5" customHeight="1" thickBot="1">
      <c r="A799" s="891" t="s">
        <v>106</v>
      </c>
      <c r="B799" s="892"/>
      <c r="C799" s="892"/>
      <c r="D799" s="893"/>
      <c r="F799" s="50" t="s">
        <v>288</v>
      </c>
      <c r="I799" s="71">
        <v>719</v>
      </c>
      <c r="J799" s="73">
        <f>0</f>
        <v>0</v>
      </c>
      <c r="K799" s="74">
        <f>+L762</f>
        <v>6460000</v>
      </c>
      <c r="L799" s="195">
        <f>+J799+K799</f>
        <v>6460000</v>
      </c>
      <c r="N799" s="202"/>
      <c r="O799" s="202"/>
      <c r="P799" s="202"/>
    </row>
    <row r="800" spans="1:16" ht="15" customHeight="1" thickBot="1">
      <c r="A800" s="57" t="s">
        <v>100</v>
      </c>
      <c r="B800" s="58" t="s">
        <v>108</v>
      </c>
      <c r="C800" s="59" t="s">
        <v>109</v>
      </c>
      <c r="D800" s="60" t="s">
        <v>110</v>
      </c>
      <c r="I800" s="72">
        <v>721</v>
      </c>
      <c r="J800" s="257"/>
      <c r="K800" s="74">
        <f>+L763</f>
        <v>40631624</v>
      </c>
      <c r="L800" s="195">
        <f>+J800+K800</f>
        <v>40631624</v>
      </c>
      <c r="N800" s="202"/>
      <c r="O800" s="202"/>
      <c r="P800" s="202"/>
    </row>
    <row r="801" spans="1:16" ht="12" customHeight="1">
      <c r="A801" s="71">
        <v>719</v>
      </c>
      <c r="B801" s="73">
        <f>+H781+H783+H785+H787+H789</f>
        <v>150000</v>
      </c>
      <c r="C801" s="74" t="e">
        <f>+D764</f>
        <v>#REF!</v>
      </c>
      <c r="D801" s="195" t="e">
        <f>+B801+C801</f>
        <v>#REF!</v>
      </c>
      <c r="I801" s="72">
        <v>722</v>
      </c>
      <c r="J801" s="257"/>
      <c r="K801" s="74">
        <f>+L764</f>
        <v>0</v>
      </c>
      <c r="L801" s="195">
        <f>+J801+K801</f>
        <v>0</v>
      </c>
      <c r="N801" s="202"/>
      <c r="O801" s="202"/>
      <c r="P801" s="202"/>
    </row>
    <row r="802" spans="1:16" ht="13.5" customHeight="1">
      <c r="A802" s="72">
        <v>721</v>
      </c>
      <c r="B802" s="80">
        <f>+H782</f>
        <v>0</v>
      </c>
      <c r="C802" s="74" t="e">
        <f>+D765</f>
        <v>#REF!</v>
      </c>
      <c r="D802" s="195" t="e">
        <f>+B802+C802</f>
        <v>#REF!</v>
      </c>
      <c r="I802" s="72">
        <v>723</v>
      </c>
      <c r="J802" s="257">
        <f>+P779+P781+P783+P785+P787</f>
        <v>-8997975</v>
      </c>
      <c r="K802" s="74">
        <f>+L765</f>
        <v>393817963</v>
      </c>
      <c r="L802" s="195">
        <f>+J802+K802</f>
        <v>384819988</v>
      </c>
      <c r="N802" s="918" t="s">
        <v>1481</v>
      </c>
      <c r="O802" s="918"/>
      <c r="P802" s="918"/>
    </row>
    <row r="803" spans="1:16" ht="13.5" customHeight="1" thickBot="1">
      <c r="A803" s="72">
        <v>722</v>
      </c>
      <c r="B803" s="80"/>
      <c r="C803" s="74">
        <f>+D766</f>
        <v>231207671</v>
      </c>
      <c r="D803" s="195">
        <f>+B803+C803</f>
        <v>231207671</v>
      </c>
      <c r="I803" s="164" t="s">
        <v>181</v>
      </c>
      <c r="J803" s="165"/>
      <c r="K803" s="74">
        <f>+L766</f>
        <v>0</v>
      </c>
      <c r="L803" s="196">
        <f>+J803+K803</f>
        <v>0</v>
      </c>
      <c r="N803" s="52"/>
    </row>
    <row r="804" spans="1:16" ht="16.5" thickBot="1">
      <c r="A804" s="72">
        <v>723</v>
      </c>
      <c r="B804" s="80">
        <f>+H784</f>
        <v>0</v>
      </c>
      <c r="C804" s="74">
        <f>+D767</f>
        <v>321428837</v>
      </c>
      <c r="D804" s="195">
        <f>+B804+C804</f>
        <v>321428837</v>
      </c>
      <c r="F804" s="174" t="s">
        <v>23</v>
      </c>
      <c r="G804" s="175"/>
      <c r="I804" s="169"/>
      <c r="J804" s="197">
        <f>SUM(J799:J803)</f>
        <v>-8997975</v>
      </c>
      <c r="K804" s="197">
        <f>SUM(K799:K803)</f>
        <v>440909587</v>
      </c>
      <c r="L804" s="198">
        <f>SUM(L799:L803)</f>
        <v>431911612</v>
      </c>
    </row>
    <row r="805" spans="1:16" ht="17.25" thickBot="1">
      <c r="A805" s="164" t="s">
        <v>181</v>
      </c>
      <c r="B805" s="165"/>
      <c r="C805" s="74">
        <f>+D768</f>
        <v>1965625</v>
      </c>
      <c r="D805" s="196">
        <f>+B805+C805</f>
        <v>1965625</v>
      </c>
      <c r="F805" s="52"/>
      <c r="I805" s="49" t="s">
        <v>88</v>
      </c>
      <c r="J805" s="50"/>
    </row>
    <row r="806" spans="1:16" ht="16.5" thickBot="1">
      <c r="A806" s="169"/>
      <c r="B806" s="170">
        <f>SUM(B801:B805)</f>
        <v>150000</v>
      </c>
      <c r="C806" s="171" t="e">
        <f>SUM(C801:C805)</f>
        <v>#REF!</v>
      </c>
      <c r="D806" s="172" t="e">
        <f>SUM(D801:D805)</f>
        <v>#REF!</v>
      </c>
      <c r="I806" s="51" t="s">
        <v>89</v>
      </c>
    </row>
    <row r="807" spans="1:16" ht="16.5">
      <c r="A807" s="49" t="s">
        <v>88</v>
      </c>
      <c r="B807" s="50"/>
      <c r="I807" s="51" t="s">
        <v>90</v>
      </c>
    </row>
    <row r="808" spans="1:16">
      <c r="A808" s="51" t="s">
        <v>89</v>
      </c>
      <c r="I808" s="51" t="s">
        <v>91</v>
      </c>
    </row>
    <row r="809" spans="1:16" ht="12.75" customHeight="1">
      <c r="A809" s="51" t="s">
        <v>90</v>
      </c>
      <c r="I809" s="50"/>
      <c r="J809" s="50"/>
    </row>
    <row r="810" spans="1:16" ht="16.5">
      <c r="A810" s="51" t="s">
        <v>91</v>
      </c>
      <c r="I810" s="260" t="s">
        <v>763</v>
      </c>
      <c r="J810" s="262"/>
      <c r="O810" s="52"/>
    </row>
    <row r="811" spans="1:16" ht="14.25" customHeight="1">
      <c r="A811" s="50"/>
      <c r="B811" s="50"/>
      <c r="I811" s="261" t="s">
        <v>1333</v>
      </c>
      <c r="J811" s="262"/>
      <c r="O811" s="53"/>
    </row>
    <row r="812" spans="1:16" ht="16.5">
      <c r="A812" s="52" t="s">
        <v>442</v>
      </c>
      <c r="G812" s="52"/>
      <c r="I812" s="894" t="s">
        <v>1487</v>
      </c>
      <c r="J812" s="894"/>
      <c r="K812" s="894"/>
      <c r="L812" s="894"/>
      <c r="M812" s="894"/>
      <c r="N812" s="894"/>
      <c r="O812" s="894"/>
      <c r="P812" s="894"/>
    </row>
    <row r="813" spans="1:16" ht="12.75" customHeight="1" thickBot="1">
      <c r="A813" s="53" t="s">
        <v>92</v>
      </c>
      <c r="G813" s="53"/>
    </row>
    <row r="814" spans="1:16" ht="16.5">
      <c r="A814" s="894" t="s">
        <v>93</v>
      </c>
      <c r="B814" s="894"/>
      <c r="C814" s="894"/>
      <c r="D814" s="894"/>
      <c r="E814" s="894"/>
      <c r="F814" s="894"/>
      <c r="G814" s="894"/>
      <c r="H814" s="894"/>
      <c r="I814" s="895" t="s">
        <v>94</v>
      </c>
      <c r="J814" s="897" t="s">
        <v>95</v>
      </c>
      <c r="K814" s="897" t="s">
        <v>96</v>
      </c>
      <c r="L814" s="897" t="s">
        <v>3</v>
      </c>
      <c r="M814" s="897" t="s">
        <v>97</v>
      </c>
      <c r="N814" s="897" t="s">
        <v>98</v>
      </c>
      <c r="O814" s="897" t="s">
        <v>99</v>
      </c>
      <c r="P814" s="899"/>
    </row>
    <row r="815" spans="1:16" ht="15.75" thickBot="1">
      <c r="I815" s="896"/>
      <c r="J815" s="898"/>
      <c r="K815" s="898"/>
      <c r="L815" s="898"/>
      <c r="M815" s="898"/>
      <c r="N815" s="898"/>
      <c r="O815" s="240" t="s">
        <v>100</v>
      </c>
      <c r="P815" s="182" t="s">
        <v>101</v>
      </c>
    </row>
    <row r="816" spans="1:16" ht="13.5" customHeight="1">
      <c r="A816" s="895" t="s">
        <v>94</v>
      </c>
      <c r="B816" s="897" t="s">
        <v>95</v>
      </c>
      <c r="C816" s="897" t="s">
        <v>96</v>
      </c>
      <c r="D816" s="897" t="s">
        <v>3</v>
      </c>
      <c r="E816" s="897" t="s">
        <v>97</v>
      </c>
      <c r="F816" s="897" t="s">
        <v>98</v>
      </c>
      <c r="G816" s="897" t="s">
        <v>99</v>
      </c>
      <c r="H816" s="899"/>
      <c r="I816" s="928">
        <v>100</v>
      </c>
      <c r="J816" s="875">
        <v>43004</v>
      </c>
      <c r="K816" s="877" t="s">
        <v>350</v>
      </c>
      <c r="L816" s="881" t="s">
        <v>1488</v>
      </c>
      <c r="M816" s="881" t="s">
        <v>148</v>
      </c>
      <c r="N816" s="883">
        <v>1001000</v>
      </c>
      <c r="O816" s="55">
        <v>719</v>
      </c>
      <c r="P816" s="78">
        <v>770000</v>
      </c>
    </row>
    <row r="817" spans="1:16" ht="12.75" customHeight="1" thickBot="1">
      <c r="A817" s="896"/>
      <c r="B817" s="898"/>
      <c r="C817" s="898"/>
      <c r="D817" s="898"/>
      <c r="E817" s="898"/>
      <c r="F817" s="898"/>
      <c r="G817" s="240" t="s">
        <v>100</v>
      </c>
      <c r="H817" s="182" t="s">
        <v>101</v>
      </c>
      <c r="I817" s="929"/>
      <c r="J817" s="876"/>
      <c r="K817" s="878"/>
      <c r="L817" s="882"/>
      <c r="M817" s="882"/>
      <c r="N817" s="884"/>
      <c r="O817" s="56">
        <v>721</v>
      </c>
      <c r="P817" s="79">
        <f>+N816-P816</f>
        <v>231000</v>
      </c>
    </row>
    <row r="818" spans="1:16" ht="14.25" customHeight="1">
      <c r="A818" s="881" t="e">
        <f>+A785+1</f>
        <v>#REF!</v>
      </c>
      <c r="B818" s="875">
        <v>42317</v>
      </c>
      <c r="C818" s="877" t="s">
        <v>267</v>
      </c>
      <c r="D818" s="881" t="s">
        <v>444</v>
      </c>
      <c r="E818" s="881" t="s">
        <v>148</v>
      </c>
      <c r="F818" s="883">
        <v>252000</v>
      </c>
      <c r="G818" s="55">
        <v>719</v>
      </c>
      <c r="H818" s="78">
        <v>180000</v>
      </c>
      <c r="I818" s="928">
        <f>+I816+1</f>
        <v>101</v>
      </c>
      <c r="J818" s="875">
        <v>43004</v>
      </c>
      <c r="K818" s="877" t="s">
        <v>350</v>
      </c>
      <c r="L818" s="881" t="s">
        <v>1491</v>
      </c>
      <c r="M818" s="881" t="s">
        <v>148</v>
      </c>
      <c r="N818" s="883">
        <v>559000</v>
      </c>
      <c r="O818" s="55">
        <v>719</v>
      </c>
      <c r="P818" s="78">
        <v>430000</v>
      </c>
    </row>
    <row r="819" spans="1:16" ht="12.75" customHeight="1" thickBot="1">
      <c r="A819" s="882"/>
      <c r="B819" s="876"/>
      <c r="C819" s="878"/>
      <c r="D819" s="882"/>
      <c r="E819" s="882"/>
      <c r="F819" s="884"/>
      <c r="G819" s="56">
        <v>721</v>
      </c>
      <c r="H819" s="79">
        <f>+F818-H818</f>
        <v>72000</v>
      </c>
      <c r="I819" s="929"/>
      <c r="J819" s="876"/>
      <c r="K819" s="878"/>
      <c r="L819" s="882"/>
      <c r="M819" s="882"/>
      <c r="N819" s="884"/>
      <c r="O819" s="56">
        <v>721</v>
      </c>
      <c r="P819" s="79">
        <f>+N818-P818</f>
        <v>129000</v>
      </c>
    </row>
    <row r="820" spans="1:16" ht="15" customHeight="1">
      <c r="A820" s="881" t="e">
        <f>+A818+1</f>
        <v>#REF!</v>
      </c>
      <c r="B820" s="875">
        <v>42317</v>
      </c>
      <c r="C820" s="881" t="s">
        <v>28</v>
      </c>
      <c r="D820" s="881" t="s">
        <v>445</v>
      </c>
      <c r="E820" s="881" t="s">
        <v>148</v>
      </c>
      <c r="F820" s="883">
        <v>574000</v>
      </c>
      <c r="G820" s="55">
        <v>719</v>
      </c>
      <c r="H820" s="78">
        <v>410000</v>
      </c>
      <c r="I820" s="928">
        <f>+I818+1</f>
        <v>102</v>
      </c>
      <c r="J820" s="875">
        <v>43004</v>
      </c>
      <c r="K820" s="877" t="s">
        <v>350</v>
      </c>
      <c r="L820" s="881" t="s">
        <v>1490</v>
      </c>
      <c r="M820" s="881" t="s">
        <v>148</v>
      </c>
      <c r="N820" s="883">
        <v>806000</v>
      </c>
      <c r="O820" s="55">
        <v>719</v>
      </c>
      <c r="P820" s="78">
        <v>620000</v>
      </c>
    </row>
    <row r="821" spans="1:16" ht="12.75" customHeight="1" thickBot="1">
      <c r="A821" s="882"/>
      <c r="B821" s="876"/>
      <c r="C821" s="882"/>
      <c r="D821" s="882"/>
      <c r="E821" s="882"/>
      <c r="F821" s="884"/>
      <c r="G821" s="56">
        <v>721</v>
      </c>
      <c r="H821" s="79">
        <f>+F820-H820</f>
        <v>164000</v>
      </c>
      <c r="I821" s="929"/>
      <c r="J821" s="876"/>
      <c r="K821" s="878"/>
      <c r="L821" s="882"/>
      <c r="M821" s="882"/>
      <c r="N821" s="884"/>
      <c r="O821" s="56">
        <v>721</v>
      </c>
      <c r="P821" s="79">
        <f>+N820-P820</f>
        <v>186000</v>
      </c>
    </row>
    <row r="822" spans="1:16" ht="12.75" customHeight="1">
      <c r="A822" s="881" t="e">
        <f>+A820+1</f>
        <v>#REF!</v>
      </c>
      <c r="B822" s="875">
        <v>42317</v>
      </c>
      <c r="C822" s="877" t="s">
        <v>32</v>
      </c>
      <c r="D822" s="881" t="s">
        <v>446</v>
      </c>
      <c r="E822" s="881" t="s">
        <v>148</v>
      </c>
      <c r="F822" s="883">
        <v>28000</v>
      </c>
      <c r="G822" s="55">
        <v>719</v>
      </c>
      <c r="H822" s="78">
        <v>20000</v>
      </c>
      <c r="I822" s="928">
        <f>+I820+1</f>
        <v>103</v>
      </c>
      <c r="J822" s="875">
        <v>43004</v>
      </c>
      <c r="K822" s="877" t="s">
        <v>350</v>
      </c>
      <c r="L822" s="881" t="s">
        <v>1489</v>
      </c>
      <c r="M822" s="881" t="s">
        <v>148</v>
      </c>
      <c r="N822" s="883">
        <v>494000</v>
      </c>
      <c r="O822" s="55">
        <v>719</v>
      </c>
      <c r="P822" s="78">
        <v>380000</v>
      </c>
    </row>
    <row r="823" spans="1:16" ht="13.5" customHeight="1" thickBot="1">
      <c r="A823" s="882"/>
      <c r="B823" s="876"/>
      <c r="C823" s="878"/>
      <c r="D823" s="882"/>
      <c r="E823" s="882"/>
      <c r="F823" s="884"/>
      <c r="G823" s="56">
        <v>721</v>
      </c>
      <c r="H823" s="79">
        <f>+F822-H822</f>
        <v>8000</v>
      </c>
      <c r="I823" s="929"/>
      <c r="J823" s="876"/>
      <c r="K823" s="878"/>
      <c r="L823" s="882"/>
      <c r="M823" s="882"/>
      <c r="N823" s="884"/>
      <c r="O823" s="56">
        <v>721</v>
      </c>
      <c r="P823" s="79">
        <f>+N822-P822</f>
        <v>114000</v>
      </c>
    </row>
    <row r="824" spans="1:16" ht="14.25" customHeight="1">
      <c r="A824" s="881" t="e">
        <f>+A822+1</f>
        <v>#REF!</v>
      </c>
      <c r="B824" s="875">
        <v>42317</v>
      </c>
      <c r="C824" s="877" t="s">
        <v>111</v>
      </c>
      <c r="D824" s="881" t="s">
        <v>447</v>
      </c>
      <c r="E824" s="881" t="s">
        <v>148</v>
      </c>
      <c r="F824" s="883">
        <v>140000</v>
      </c>
      <c r="G824" s="55">
        <v>719</v>
      </c>
      <c r="H824" s="78">
        <v>100000</v>
      </c>
      <c r="I824" s="928">
        <f>+I822+1</f>
        <v>104</v>
      </c>
      <c r="J824" s="875">
        <v>43004</v>
      </c>
      <c r="K824" s="877" t="s">
        <v>350</v>
      </c>
      <c r="L824" s="881" t="s">
        <v>1492</v>
      </c>
      <c r="M824" s="881" t="s">
        <v>148</v>
      </c>
      <c r="N824" s="883">
        <v>416000</v>
      </c>
      <c r="O824" s="55">
        <v>719</v>
      </c>
      <c r="P824" s="78">
        <v>320000</v>
      </c>
    </row>
    <row r="825" spans="1:16" ht="12.75" customHeight="1" thickBot="1">
      <c r="A825" s="882"/>
      <c r="B825" s="876"/>
      <c r="C825" s="878"/>
      <c r="D825" s="882"/>
      <c r="E825" s="882"/>
      <c r="F825" s="884"/>
      <c r="G825" s="56">
        <v>721</v>
      </c>
      <c r="H825" s="79">
        <f>+F824-H824</f>
        <v>40000</v>
      </c>
      <c r="I825" s="929"/>
      <c r="J825" s="876"/>
      <c r="K825" s="878"/>
      <c r="L825" s="882"/>
      <c r="M825" s="882"/>
      <c r="N825" s="884"/>
      <c r="O825" s="56">
        <v>721</v>
      </c>
      <c r="P825" s="79">
        <f>+N824-P824</f>
        <v>96000</v>
      </c>
    </row>
    <row r="826" spans="1:16" ht="15" customHeight="1" thickBot="1">
      <c r="A826" s="881" t="e">
        <f>+A824+1</f>
        <v>#REF!</v>
      </c>
      <c r="B826" s="875">
        <v>42317</v>
      </c>
      <c r="C826" s="877" t="s">
        <v>272</v>
      </c>
      <c r="D826" s="881" t="s">
        <v>444</v>
      </c>
      <c r="E826" s="881" t="s">
        <v>148</v>
      </c>
      <c r="F826" s="883">
        <v>756000</v>
      </c>
      <c r="G826" s="55">
        <v>719</v>
      </c>
      <c r="H826" s="78">
        <v>540000</v>
      </c>
      <c r="I826" s="901" t="s">
        <v>102</v>
      </c>
      <c r="J826" s="902"/>
      <c r="K826" s="902"/>
      <c r="L826" s="902"/>
      <c r="M826" s="903"/>
      <c r="N826" s="81">
        <f>SUM(N816:N825)</f>
        <v>3276000</v>
      </c>
    </row>
    <row r="827" spans="1:16" ht="15.75" customHeight="1" thickBot="1">
      <c r="A827" s="882"/>
      <c r="B827" s="876"/>
      <c r="C827" s="878"/>
      <c r="D827" s="882"/>
      <c r="E827" s="882"/>
      <c r="F827" s="884"/>
      <c r="G827" s="56">
        <v>721</v>
      </c>
      <c r="H827" s="79">
        <f>+F826-H826</f>
        <v>216000</v>
      </c>
      <c r="I827" s="885" t="s">
        <v>103</v>
      </c>
      <c r="J827" s="886"/>
      <c r="K827" s="886"/>
      <c r="L827" s="886"/>
      <c r="M827" s="887"/>
      <c r="N827" s="239">
        <f>+N791</f>
        <v>397396238</v>
      </c>
      <c r="O827" s="241" t="s">
        <v>561</v>
      </c>
      <c r="P827" s="242">
        <f>571+682+1060+667+1036</f>
        <v>4016</v>
      </c>
    </row>
    <row r="828" spans="1:16" ht="16.5" thickBot="1">
      <c r="A828" s="901" t="s">
        <v>102</v>
      </c>
      <c r="B828" s="902"/>
      <c r="C828" s="902"/>
      <c r="D828" s="902"/>
      <c r="E828" s="903"/>
      <c r="F828" s="81">
        <f>SUM(F818:F827)</f>
        <v>1750000</v>
      </c>
      <c r="I828" s="888" t="s">
        <v>104</v>
      </c>
      <c r="J828" s="889"/>
      <c r="K828" s="889"/>
      <c r="L828" s="889"/>
      <c r="M828" s="890"/>
      <c r="N828" s="183">
        <f>SUM(N826:N827)</f>
        <v>400672238</v>
      </c>
    </row>
    <row r="829" spans="1:16" ht="11.25" customHeight="1" thickBot="1">
      <c r="A829" s="885" t="s">
        <v>103</v>
      </c>
      <c r="B829" s="886"/>
      <c r="C829" s="886"/>
      <c r="D829" s="886"/>
      <c r="E829" s="887"/>
      <c r="F829" s="69">
        <f>+F793</f>
        <v>653312930</v>
      </c>
      <c r="I829" s="61"/>
      <c r="J829" s="61"/>
      <c r="K829" s="61"/>
      <c r="L829" s="61"/>
      <c r="M829" s="61"/>
    </row>
    <row r="830" spans="1:16" ht="16.5" thickBot="1">
      <c r="A830" s="888" t="s">
        <v>104</v>
      </c>
      <c r="B830" s="889"/>
      <c r="C830" s="889"/>
      <c r="D830" s="889"/>
      <c r="E830" s="890"/>
      <c r="F830" s="183">
        <f>SUM(F828:F829)</f>
        <v>655062930</v>
      </c>
      <c r="I830" s="51" t="s">
        <v>1497</v>
      </c>
    </row>
    <row r="831" spans="1:16" ht="10.5" customHeight="1">
      <c r="A831" s="61"/>
      <c r="B831" s="61"/>
      <c r="C831" s="61"/>
      <c r="D831" s="61"/>
      <c r="E831" s="61"/>
      <c r="N831" s="139"/>
    </row>
    <row r="832" spans="1:16">
      <c r="A832" s="51" t="s">
        <v>448</v>
      </c>
      <c r="I832" s="50" t="s">
        <v>105</v>
      </c>
      <c r="L832" s="146"/>
      <c r="N832" s="139"/>
    </row>
    <row r="833" spans="1:16" ht="12" customHeight="1" thickBot="1">
      <c r="F833" s="139"/>
    </row>
    <row r="834" spans="1:16" ht="15.75" thickBot="1">
      <c r="A834" s="50" t="s">
        <v>105</v>
      </c>
      <c r="D834" s="146"/>
      <c r="F834" s="139"/>
      <c r="I834" s="891" t="s">
        <v>106</v>
      </c>
      <c r="J834" s="892"/>
      <c r="K834" s="892"/>
      <c r="L834" s="893"/>
    </row>
    <row r="835" spans="1:16" ht="28.5" customHeight="1" thickBot="1">
      <c r="I835" s="57" t="s">
        <v>100</v>
      </c>
      <c r="J835" s="58" t="s">
        <v>108</v>
      </c>
      <c r="K835" s="263" t="s">
        <v>109</v>
      </c>
      <c r="L835" s="60" t="s">
        <v>110</v>
      </c>
      <c r="N835" s="202"/>
      <c r="O835" s="202"/>
      <c r="P835" s="202"/>
    </row>
    <row r="836" spans="1:16" ht="15" customHeight="1" thickBot="1">
      <c r="A836" s="891" t="s">
        <v>106</v>
      </c>
      <c r="B836" s="892"/>
      <c r="C836" s="892"/>
      <c r="D836" s="893"/>
      <c r="F836" s="50" t="s">
        <v>288</v>
      </c>
      <c r="I836" s="71">
        <v>719</v>
      </c>
      <c r="J836" s="73">
        <f>+P816+P818+P820+P822+P824</f>
        <v>2520000</v>
      </c>
      <c r="K836" s="74">
        <f>+L799</f>
        <v>6460000</v>
      </c>
      <c r="L836" s="195">
        <f>+J836+K836</f>
        <v>8980000</v>
      </c>
      <c r="N836" s="605" t="s">
        <v>288</v>
      </c>
      <c r="O836" s="605"/>
      <c r="P836" s="605"/>
    </row>
    <row r="837" spans="1:16" ht="14.25" customHeight="1" thickBot="1">
      <c r="A837" s="57" t="s">
        <v>100</v>
      </c>
      <c r="B837" s="58" t="s">
        <v>108</v>
      </c>
      <c r="C837" s="59" t="s">
        <v>109</v>
      </c>
      <c r="D837" s="60" t="s">
        <v>110</v>
      </c>
      <c r="I837" s="72">
        <v>721</v>
      </c>
      <c r="J837" s="257">
        <f>+P817+P819+P821+P823+P825</f>
        <v>756000</v>
      </c>
      <c r="K837" s="74">
        <f>+L800</f>
        <v>40631624</v>
      </c>
      <c r="L837" s="195">
        <f>+J837+K837</f>
        <v>41387624</v>
      </c>
      <c r="N837" s="202"/>
      <c r="O837" s="202"/>
      <c r="P837" s="202"/>
    </row>
    <row r="838" spans="1:16" ht="14.25" customHeight="1">
      <c r="A838" s="71">
        <v>719</v>
      </c>
      <c r="B838" s="73">
        <f>+H818+H820+H822+H824+H826</f>
        <v>1250000</v>
      </c>
      <c r="C838" s="74" t="e">
        <f>+D801</f>
        <v>#REF!</v>
      </c>
      <c r="D838" s="195" t="e">
        <f>+B838+C838</f>
        <v>#REF!</v>
      </c>
      <c r="I838" s="72">
        <v>722</v>
      </c>
      <c r="J838" s="257"/>
      <c r="K838" s="74">
        <f>+L801</f>
        <v>0</v>
      </c>
      <c r="L838" s="195">
        <f>+J838+K838</f>
        <v>0</v>
      </c>
      <c r="N838" s="918"/>
      <c r="O838" s="918"/>
      <c r="P838" s="918"/>
    </row>
    <row r="839" spans="1:16" ht="14.25" customHeight="1">
      <c r="A839" s="72">
        <v>721</v>
      </c>
      <c r="B839" s="80">
        <f>+H819+H821+H823+H825+H827</f>
        <v>500000</v>
      </c>
      <c r="C839" s="74" t="e">
        <f>+D802</f>
        <v>#REF!</v>
      </c>
      <c r="D839" s="195" t="e">
        <f>+B839+C839</f>
        <v>#REF!</v>
      </c>
      <c r="I839" s="72">
        <v>723</v>
      </c>
      <c r="J839" s="257"/>
      <c r="K839" s="74">
        <f>+L802</f>
        <v>384819988</v>
      </c>
      <c r="L839" s="195">
        <f>+J839+K839</f>
        <v>384819988</v>
      </c>
      <c r="N839" s="918"/>
      <c r="O839" s="918"/>
      <c r="P839" s="918"/>
    </row>
    <row r="840" spans="1:16" ht="15" customHeight="1" thickBot="1">
      <c r="A840" s="72">
        <v>722</v>
      </c>
      <c r="B840" s="80"/>
      <c r="C840" s="74">
        <f>+D803</f>
        <v>231207671</v>
      </c>
      <c r="D840" s="195">
        <f>+B840+C840</f>
        <v>231207671</v>
      </c>
      <c r="I840" s="164" t="s">
        <v>181</v>
      </c>
      <c r="J840" s="165"/>
      <c r="K840" s="74">
        <f>+L803</f>
        <v>0</v>
      </c>
      <c r="L840" s="196">
        <f>+J840+K840</f>
        <v>0</v>
      </c>
      <c r="N840" s="918" t="s">
        <v>1481</v>
      </c>
      <c r="O840" s="918"/>
      <c r="P840" s="918"/>
    </row>
    <row r="841" spans="1:16" ht="16.5" thickBot="1">
      <c r="A841" s="72">
        <v>723</v>
      </c>
      <c r="B841" s="80"/>
      <c r="C841" s="74">
        <f>+D804</f>
        <v>321428837</v>
      </c>
      <c r="D841" s="195">
        <f>+B841+C841</f>
        <v>321428837</v>
      </c>
      <c r="F841" s="174" t="s">
        <v>23</v>
      </c>
      <c r="G841" s="175"/>
      <c r="I841" s="169"/>
      <c r="J841" s="197">
        <f>SUM(J836:J840)</f>
        <v>3276000</v>
      </c>
      <c r="K841" s="197">
        <f>SUM(K836:K840)</f>
        <v>431911612</v>
      </c>
      <c r="L841" s="198">
        <f>SUM(L836:L840)</f>
        <v>435187612</v>
      </c>
    </row>
    <row r="842" spans="1:16" ht="17.25" thickBot="1">
      <c r="A842" s="164" t="s">
        <v>181</v>
      </c>
      <c r="B842" s="165"/>
      <c r="C842" s="74">
        <f>+D805</f>
        <v>1965625</v>
      </c>
      <c r="D842" s="196">
        <f>+B842+C842</f>
        <v>1965625</v>
      </c>
      <c r="F842" s="52"/>
      <c r="I842" s="49" t="s">
        <v>88</v>
      </c>
      <c r="J842" s="50"/>
    </row>
    <row r="843" spans="1:16" ht="16.5" thickBot="1">
      <c r="A843" s="169"/>
      <c r="B843" s="170">
        <f>SUM(B838:B842)</f>
        <v>1750000</v>
      </c>
      <c r="C843" s="171" t="e">
        <f>SUM(C838:C842)</f>
        <v>#REF!</v>
      </c>
      <c r="D843" s="172" t="e">
        <f>SUM(D838:D842)</f>
        <v>#REF!</v>
      </c>
      <c r="I843" s="51" t="s">
        <v>89</v>
      </c>
    </row>
    <row r="844" spans="1:16" ht="16.5">
      <c r="A844" s="49" t="s">
        <v>88</v>
      </c>
      <c r="B844" s="50"/>
      <c r="I844" s="51" t="s">
        <v>90</v>
      </c>
    </row>
    <row r="845" spans="1:16">
      <c r="A845" s="51" t="s">
        <v>89</v>
      </c>
      <c r="I845" s="51" t="s">
        <v>91</v>
      </c>
    </row>
    <row r="846" spans="1:16" ht="12.75" customHeight="1">
      <c r="A846" s="51" t="s">
        <v>90</v>
      </c>
      <c r="I846" s="50"/>
      <c r="J846" s="50"/>
    </row>
    <row r="847" spans="1:16" ht="16.5">
      <c r="A847" s="51" t="s">
        <v>91</v>
      </c>
      <c r="I847" s="260" t="s">
        <v>789</v>
      </c>
      <c r="J847" s="262"/>
      <c r="O847" s="52"/>
    </row>
    <row r="848" spans="1:16" ht="14.25" customHeight="1">
      <c r="A848" s="50"/>
      <c r="B848" s="50"/>
      <c r="I848" s="261" t="s">
        <v>1333</v>
      </c>
      <c r="J848" s="262"/>
      <c r="O848" s="53"/>
    </row>
    <row r="849" spans="1:16" ht="16.5">
      <c r="A849" s="52" t="s">
        <v>443</v>
      </c>
      <c r="G849" s="52"/>
      <c r="I849" s="894" t="s">
        <v>1278</v>
      </c>
      <c r="J849" s="894"/>
      <c r="K849" s="894"/>
      <c r="L849" s="894"/>
      <c r="M849" s="894"/>
      <c r="N849" s="894"/>
      <c r="O849" s="894"/>
      <c r="P849" s="894"/>
    </row>
    <row r="850" spans="1:16" ht="13.5" customHeight="1" thickBot="1">
      <c r="A850" s="53" t="s">
        <v>92</v>
      </c>
      <c r="G850" s="53"/>
    </row>
    <row r="851" spans="1:16" ht="16.5">
      <c r="A851" s="894" t="s">
        <v>93</v>
      </c>
      <c r="B851" s="894"/>
      <c r="C851" s="894"/>
      <c r="D851" s="894"/>
      <c r="E851" s="894"/>
      <c r="F851" s="894"/>
      <c r="G851" s="894"/>
      <c r="H851" s="894"/>
      <c r="I851" s="895" t="s">
        <v>94</v>
      </c>
      <c r="J851" s="897" t="s">
        <v>95</v>
      </c>
      <c r="K851" s="897" t="s">
        <v>96</v>
      </c>
      <c r="L851" s="897" t="s">
        <v>3</v>
      </c>
      <c r="M851" s="897" t="s">
        <v>97</v>
      </c>
      <c r="N851" s="897" t="s">
        <v>98</v>
      </c>
      <c r="O851" s="897" t="s">
        <v>99</v>
      </c>
      <c r="P851" s="899"/>
    </row>
    <row r="852" spans="1:16" ht="12.75" customHeight="1" thickBot="1">
      <c r="I852" s="896"/>
      <c r="J852" s="898"/>
      <c r="K852" s="898"/>
      <c r="L852" s="898"/>
      <c r="M852" s="898"/>
      <c r="N852" s="898"/>
      <c r="O852" s="240" t="s">
        <v>100</v>
      </c>
      <c r="P852" s="182" t="s">
        <v>101</v>
      </c>
    </row>
    <row r="853" spans="1:16" ht="14.25" customHeight="1">
      <c r="A853" s="895" t="s">
        <v>94</v>
      </c>
      <c r="B853" s="897" t="s">
        <v>95</v>
      </c>
      <c r="C853" s="897" t="s">
        <v>96</v>
      </c>
      <c r="D853" s="897" t="s">
        <v>3</v>
      </c>
      <c r="E853" s="897" t="s">
        <v>97</v>
      </c>
      <c r="F853" s="897" t="s">
        <v>98</v>
      </c>
      <c r="G853" s="897" t="s">
        <v>99</v>
      </c>
      <c r="H853" s="899"/>
      <c r="I853" s="928">
        <f>+I824+1</f>
        <v>105</v>
      </c>
      <c r="J853" s="875">
        <v>43004</v>
      </c>
      <c r="K853" s="877" t="s">
        <v>350</v>
      </c>
      <c r="L853" s="881" t="s">
        <v>1493</v>
      </c>
      <c r="M853" s="881" t="s">
        <v>148</v>
      </c>
      <c r="N853" s="883">
        <v>494000</v>
      </c>
      <c r="O853" s="55">
        <v>719</v>
      </c>
      <c r="P853" s="78">
        <v>380000</v>
      </c>
    </row>
    <row r="854" spans="1:16" ht="12" customHeight="1" thickBot="1">
      <c r="A854" s="896"/>
      <c r="B854" s="898"/>
      <c r="C854" s="898"/>
      <c r="D854" s="898"/>
      <c r="E854" s="898"/>
      <c r="F854" s="898"/>
      <c r="G854" s="240" t="s">
        <v>100</v>
      </c>
      <c r="H854" s="182" t="s">
        <v>101</v>
      </c>
      <c r="I854" s="929"/>
      <c r="J854" s="876"/>
      <c r="K854" s="878"/>
      <c r="L854" s="882"/>
      <c r="M854" s="882"/>
      <c r="N854" s="884"/>
      <c r="O854" s="56">
        <v>721</v>
      </c>
      <c r="P854" s="79">
        <f>+N853-P853</f>
        <v>114000</v>
      </c>
    </row>
    <row r="855" spans="1:16" ht="13.5" customHeight="1">
      <c r="A855" s="881" t="e">
        <f>+A826+1</f>
        <v>#REF!</v>
      </c>
      <c r="B855" s="875">
        <v>42317</v>
      </c>
      <c r="C855" s="877" t="s">
        <v>272</v>
      </c>
      <c r="D855" s="881" t="s">
        <v>449</v>
      </c>
      <c r="E855" s="881" t="s">
        <v>115</v>
      </c>
      <c r="F855" s="883">
        <v>210000</v>
      </c>
      <c r="G855" s="55">
        <v>719</v>
      </c>
      <c r="H855" s="78">
        <v>210000</v>
      </c>
      <c r="I855" s="928">
        <f>+I853+1</f>
        <v>106</v>
      </c>
      <c r="J855" s="875">
        <v>43004</v>
      </c>
      <c r="K855" s="877" t="s">
        <v>350</v>
      </c>
      <c r="L855" s="881" t="s">
        <v>1498</v>
      </c>
      <c r="M855" s="881" t="s">
        <v>148</v>
      </c>
      <c r="N855" s="883">
        <v>429000</v>
      </c>
      <c r="O855" s="55">
        <v>719</v>
      </c>
      <c r="P855" s="78">
        <v>330000</v>
      </c>
    </row>
    <row r="856" spans="1:16" ht="13.5" customHeight="1" thickBot="1">
      <c r="A856" s="882"/>
      <c r="B856" s="876"/>
      <c r="C856" s="878"/>
      <c r="D856" s="882"/>
      <c r="E856" s="882"/>
      <c r="F856" s="884"/>
      <c r="G856" s="56">
        <v>721</v>
      </c>
      <c r="H856" s="79">
        <f>+F855-H855</f>
        <v>0</v>
      </c>
      <c r="I856" s="929"/>
      <c r="J856" s="876"/>
      <c r="K856" s="878"/>
      <c r="L856" s="882"/>
      <c r="M856" s="882"/>
      <c r="N856" s="884"/>
      <c r="O856" s="56">
        <v>721</v>
      </c>
      <c r="P856" s="79">
        <f>+N855-P855</f>
        <v>99000</v>
      </c>
    </row>
    <row r="857" spans="1:16" ht="13.5" customHeight="1">
      <c r="A857" s="881" t="e">
        <f>+A855+1</f>
        <v>#REF!</v>
      </c>
      <c r="B857" s="875">
        <v>42317</v>
      </c>
      <c r="C857" s="881" t="s">
        <v>28</v>
      </c>
      <c r="D857" s="881" t="s">
        <v>450</v>
      </c>
      <c r="E857" s="881" t="s">
        <v>115</v>
      </c>
      <c r="F857" s="883">
        <v>20000</v>
      </c>
      <c r="G857" s="55">
        <v>719</v>
      </c>
      <c r="H857" s="78">
        <v>20000</v>
      </c>
      <c r="I857" s="928">
        <f>+I855+1</f>
        <v>107</v>
      </c>
      <c r="J857" s="875">
        <v>43004</v>
      </c>
      <c r="K857" s="877" t="s">
        <v>350</v>
      </c>
      <c r="L857" s="881" t="s">
        <v>1499</v>
      </c>
      <c r="M857" s="881" t="s">
        <v>148</v>
      </c>
      <c r="N857" s="883">
        <v>325000</v>
      </c>
      <c r="O857" s="55">
        <v>719</v>
      </c>
      <c r="P857" s="78">
        <v>250000</v>
      </c>
    </row>
    <row r="858" spans="1:16" ht="12.75" customHeight="1" thickBot="1">
      <c r="A858" s="882"/>
      <c r="B858" s="876"/>
      <c r="C858" s="882"/>
      <c r="D858" s="882"/>
      <c r="E858" s="882"/>
      <c r="F858" s="884"/>
      <c r="G858" s="56">
        <v>721</v>
      </c>
      <c r="H858" s="79">
        <f>+F857-H857</f>
        <v>0</v>
      </c>
      <c r="I858" s="929"/>
      <c r="J858" s="876"/>
      <c r="K858" s="878"/>
      <c r="L858" s="882"/>
      <c r="M858" s="882"/>
      <c r="N858" s="884"/>
      <c r="O858" s="56">
        <v>721</v>
      </c>
      <c r="P858" s="79">
        <f>+N857-P857</f>
        <v>75000</v>
      </c>
    </row>
    <row r="859" spans="1:16" ht="13.5" customHeight="1">
      <c r="A859" s="881" t="e">
        <f>+A857+1</f>
        <v>#REF!</v>
      </c>
      <c r="B859" s="875">
        <v>42317</v>
      </c>
      <c r="C859" s="877" t="s">
        <v>32</v>
      </c>
      <c r="D859" s="881" t="s">
        <v>451</v>
      </c>
      <c r="E859" s="881" t="s">
        <v>115</v>
      </c>
      <c r="F859" s="883">
        <v>30000</v>
      </c>
      <c r="G859" s="55">
        <v>719</v>
      </c>
      <c r="H859" s="78">
        <v>30000</v>
      </c>
      <c r="I859" s="928">
        <f>+I857+1</f>
        <v>108</v>
      </c>
      <c r="J859" s="875">
        <v>43004</v>
      </c>
      <c r="K859" s="877" t="s">
        <v>350</v>
      </c>
      <c r="L859" s="881" t="s">
        <v>1500</v>
      </c>
      <c r="M859" s="881" t="s">
        <v>148</v>
      </c>
      <c r="N859" s="883">
        <v>247000</v>
      </c>
      <c r="O859" s="55">
        <v>719</v>
      </c>
      <c r="P859" s="78">
        <v>190000</v>
      </c>
    </row>
    <row r="860" spans="1:16" ht="13.5" customHeight="1" thickBot="1">
      <c r="A860" s="882"/>
      <c r="B860" s="876"/>
      <c r="C860" s="878"/>
      <c r="D860" s="882"/>
      <c r="E860" s="882"/>
      <c r="F860" s="884"/>
      <c r="G860" s="56">
        <v>721</v>
      </c>
      <c r="H860" s="79">
        <f>+F859-H859</f>
        <v>0</v>
      </c>
      <c r="I860" s="929"/>
      <c r="J860" s="876"/>
      <c r="K860" s="878"/>
      <c r="L860" s="882"/>
      <c r="M860" s="882"/>
      <c r="N860" s="884"/>
      <c r="O860" s="56">
        <v>721</v>
      </c>
      <c r="P860" s="79">
        <f>+N859-P859</f>
        <v>57000</v>
      </c>
    </row>
    <row r="861" spans="1:16" ht="13.5" customHeight="1">
      <c r="A861" s="881" t="e">
        <f>+A859+1</f>
        <v>#REF!</v>
      </c>
      <c r="B861" s="875">
        <v>42317</v>
      </c>
      <c r="C861" s="881" t="s">
        <v>28</v>
      </c>
      <c r="D861" s="881" t="s">
        <v>452</v>
      </c>
      <c r="E861" s="881" t="s">
        <v>115</v>
      </c>
      <c r="F861" s="883">
        <v>30000</v>
      </c>
      <c r="G861" s="55">
        <v>719</v>
      </c>
      <c r="H861" s="78">
        <v>30000</v>
      </c>
      <c r="I861" s="928">
        <f>+I859+1</f>
        <v>109</v>
      </c>
      <c r="J861" s="875">
        <v>43004</v>
      </c>
      <c r="K861" s="877" t="s">
        <v>350</v>
      </c>
      <c r="L861" s="881" t="s">
        <v>1501</v>
      </c>
      <c r="M861" s="881" t="s">
        <v>148</v>
      </c>
      <c r="N861" s="883">
        <v>286000</v>
      </c>
      <c r="O861" s="55">
        <v>719</v>
      </c>
      <c r="P861" s="78">
        <v>220000</v>
      </c>
    </row>
    <row r="862" spans="1:16" ht="12" customHeight="1" thickBot="1">
      <c r="A862" s="882"/>
      <c r="B862" s="876"/>
      <c r="C862" s="882"/>
      <c r="D862" s="882"/>
      <c r="E862" s="882"/>
      <c r="F862" s="884"/>
      <c r="G862" s="56">
        <v>721</v>
      </c>
      <c r="H862" s="79">
        <f>+F861-H861</f>
        <v>0</v>
      </c>
      <c r="I862" s="929"/>
      <c r="J862" s="876"/>
      <c r="K862" s="878"/>
      <c r="L862" s="882"/>
      <c r="M862" s="882"/>
      <c r="N862" s="884"/>
      <c r="O862" s="56">
        <v>721</v>
      </c>
      <c r="P862" s="79">
        <f>+N861-P861</f>
        <v>66000</v>
      </c>
    </row>
    <row r="863" spans="1:16" ht="15" customHeight="1" thickBot="1">
      <c r="A863" s="881" t="e">
        <f>+A861+1</f>
        <v>#REF!</v>
      </c>
      <c r="B863" s="875">
        <v>42317</v>
      </c>
      <c r="C863" s="877" t="s">
        <v>272</v>
      </c>
      <c r="D863" s="881" t="s">
        <v>453</v>
      </c>
      <c r="E863" s="881" t="s">
        <v>115</v>
      </c>
      <c r="F863" s="883">
        <v>50000</v>
      </c>
      <c r="G863" s="55">
        <v>719</v>
      </c>
      <c r="H863" s="78">
        <v>50000</v>
      </c>
      <c r="I863" s="901" t="s">
        <v>102</v>
      </c>
      <c r="J863" s="902"/>
      <c r="K863" s="902"/>
      <c r="L863" s="902"/>
      <c r="M863" s="903"/>
      <c r="N863" s="81">
        <f>SUM(N853:N862)</f>
        <v>1781000</v>
      </c>
    </row>
    <row r="864" spans="1:16" ht="15.75" customHeight="1" thickBot="1">
      <c r="A864" s="882"/>
      <c r="B864" s="876"/>
      <c r="C864" s="878"/>
      <c r="D864" s="882"/>
      <c r="E864" s="882"/>
      <c r="F864" s="884"/>
      <c r="G864" s="56">
        <v>721</v>
      </c>
      <c r="H864" s="79">
        <f>+F863-H863</f>
        <v>0</v>
      </c>
      <c r="I864" s="885" t="s">
        <v>103</v>
      </c>
      <c r="J864" s="886"/>
      <c r="K864" s="886"/>
      <c r="L864" s="886"/>
      <c r="M864" s="887"/>
      <c r="N864" s="239">
        <f>+N828</f>
        <v>400672238</v>
      </c>
      <c r="O864" s="241" t="s">
        <v>561</v>
      </c>
      <c r="P864" s="242">
        <f>807+624+497+291+422</f>
        <v>2641</v>
      </c>
    </row>
    <row r="865" spans="1:16" ht="16.5" thickBot="1">
      <c r="A865" s="901" t="s">
        <v>102</v>
      </c>
      <c r="B865" s="902"/>
      <c r="C865" s="902"/>
      <c r="D865" s="902"/>
      <c r="E865" s="903"/>
      <c r="F865" s="81">
        <f>SUM(F855:F864)</f>
        <v>340000</v>
      </c>
      <c r="I865" s="888" t="s">
        <v>104</v>
      </c>
      <c r="J865" s="889"/>
      <c r="K865" s="889"/>
      <c r="L865" s="889"/>
      <c r="M865" s="890"/>
      <c r="N865" s="183">
        <f>SUM(N863:N864)</f>
        <v>402453238</v>
      </c>
    </row>
    <row r="866" spans="1:16" ht="12.75" customHeight="1" thickBot="1">
      <c r="A866" s="885" t="s">
        <v>103</v>
      </c>
      <c r="B866" s="886"/>
      <c r="C866" s="886"/>
      <c r="D866" s="886"/>
      <c r="E866" s="887"/>
      <c r="F866" s="69">
        <f>+F830</f>
        <v>655062930</v>
      </c>
      <c r="I866" s="61"/>
      <c r="J866" s="61"/>
      <c r="K866" s="61"/>
      <c r="L866" s="61"/>
      <c r="M866" s="61"/>
    </row>
    <row r="867" spans="1:16" ht="16.5" thickBot="1">
      <c r="A867" s="888" t="s">
        <v>104</v>
      </c>
      <c r="B867" s="889"/>
      <c r="C867" s="889"/>
      <c r="D867" s="889"/>
      <c r="E867" s="890"/>
      <c r="F867" s="183">
        <f>SUM(F865:F866)</f>
        <v>655402930</v>
      </c>
      <c r="I867" s="51" t="s">
        <v>1502</v>
      </c>
    </row>
    <row r="868" spans="1:16" ht="11.25" customHeight="1">
      <c r="A868" s="61"/>
      <c r="B868" s="61"/>
      <c r="C868" s="61"/>
      <c r="D868" s="61"/>
      <c r="E868" s="61"/>
      <c r="N868" s="139"/>
    </row>
    <row r="869" spans="1:16">
      <c r="A869" s="51" t="s">
        <v>454</v>
      </c>
      <c r="I869" s="50" t="s">
        <v>105</v>
      </c>
      <c r="L869" s="146"/>
      <c r="N869" s="139"/>
    </row>
    <row r="870" spans="1:16" ht="12.75" customHeight="1" thickBot="1">
      <c r="F870" s="139"/>
    </row>
    <row r="871" spans="1:16" ht="17.25" thickBot="1">
      <c r="A871" s="50" t="s">
        <v>105</v>
      </c>
      <c r="D871" s="146"/>
      <c r="F871" s="139"/>
      <c r="I871" s="891" t="s">
        <v>106</v>
      </c>
      <c r="J871" s="892"/>
      <c r="K871" s="892"/>
      <c r="L871" s="893"/>
      <c r="N871" s="605" t="s">
        <v>288</v>
      </c>
      <c r="O871" s="605"/>
      <c r="P871" s="605"/>
    </row>
    <row r="872" spans="1:16" ht="30.75" thickBot="1">
      <c r="I872" s="57" t="s">
        <v>100</v>
      </c>
      <c r="J872" s="58" t="s">
        <v>108</v>
      </c>
      <c r="K872" s="59" t="s">
        <v>109</v>
      </c>
      <c r="L872" s="60" t="s">
        <v>110</v>
      </c>
      <c r="N872" s="202"/>
      <c r="O872" s="202"/>
      <c r="P872" s="202"/>
    </row>
    <row r="873" spans="1:16" ht="15.75" customHeight="1" thickBot="1">
      <c r="A873" s="891" t="s">
        <v>106</v>
      </c>
      <c r="B873" s="892"/>
      <c r="C873" s="892"/>
      <c r="D873" s="893"/>
      <c r="F873" s="50" t="s">
        <v>288</v>
      </c>
      <c r="I873" s="71">
        <v>719</v>
      </c>
      <c r="J873" s="73">
        <f>+P853+P855+P857+P859+P861</f>
        <v>1370000</v>
      </c>
      <c r="K873" s="74">
        <f>+L836</f>
        <v>8980000</v>
      </c>
      <c r="L873" s="195">
        <f>+J873+K873</f>
        <v>10350000</v>
      </c>
      <c r="N873" s="918"/>
      <c r="O873" s="918"/>
      <c r="P873" s="918"/>
    </row>
    <row r="874" spans="1:16" ht="12.75" customHeight="1" thickBot="1">
      <c r="A874" s="57" t="s">
        <v>100</v>
      </c>
      <c r="B874" s="58" t="s">
        <v>108</v>
      </c>
      <c r="C874" s="59" t="s">
        <v>109</v>
      </c>
      <c r="D874" s="60" t="s">
        <v>110</v>
      </c>
      <c r="I874" s="72">
        <v>721</v>
      </c>
      <c r="J874" s="257">
        <f>+P854+P856+P858+P860+P862</f>
        <v>411000</v>
      </c>
      <c r="K874" s="74">
        <f>+L837</f>
        <v>41387624</v>
      </c>
      <c r="L874" s="195">
        <f>+J874+K874</f>
        <v>41798624</v>
      </c>
      <c r="N874" s="918"/>
      <c r="O874" s="918"/>
      <c r="P874" s="918"/>
    </row>
    <row r="875" spans="1:16" ht="14.25" customHeight="1">
      <c r="A875" s="71">
        <v>719</v>
      </c>
      <c r="B875" s="73">
        <f>+H855+H857+H859+H861+H863</f>
        <v>340000</v>
      </c>
      <c r="C875" s="74" t="e">
        <f>+D838</f>
        <v>#REF!</v>
      </c>
      <c r="D875" s="195" t="e">
        <f>+B875+C875</f>
        <v>#REF!</v>
      </c>
      <c r="I875" s="72">
        <v>722</v>
      </c>
      <c r="J875" s="257"/>
      <c r="K875" s="74">
        <f>+L838</f>
        <v>0</v>
      </c>
      <c r="L875" s="195">
        <f>+J875+K875</f>
        <v>0</v>
      </c>
      <c r="N875" s="918" t="s">
        <v>1481</v>
      </c>
      <c r="O875" s="918"/>
      <c r="P875" s="918"/>
    </row>
    <row r="876" spans="1:16" ht="13.5" customHeight="1">
      <c r="A876" s="72">
        <v>721</v>
      </c>
      <c r="B876" s="80">
        <f>+H856</f>
        <v>0</v>
      </c>
      <c r="C876" s="74" t="e">
        <f>+D839</f>
        <v>#REF!</v>
      </c>
      <c r="D876" s="195" t="e">
        <f>+B876+C876</f>
        <v>#REF!</v>
      </c>
      <c r="I876" s="72">
        <v>723</v>
      </c>
      <c r="J876" s="257"/>
      <c r="K876" s="74">
        <f>+L839</f>
        <v>384819988</v>
      </c>
      <c r="L876" s="195">
        <f>+J876+K876</f>
        <v>384819988</v>
      </c>
      <c r="N876" s="930"/>
      <c r="O876" s="930"/>
      <c r="P876" s="930"/>
    </row>
    <row r="877" spans="1:16" ht="15" customHeight="1" thickBot="1">
      <c r="A877" s="72">
        <v>722</v>
      </c>
      <c r="B877" s="80"/>
      <c r="C877" s="74">
        <f>+D840</f>
        <v>231207671</v>
      </c>
      <c r="D877" s="195">
        <f>+B877+C877</f>
        <v>231207671</v>
      </c>
      <c r="I877" s="164" t="s">
        <v>181</v>
      </c>
      <c r="J877" s="165"/>
      <c r="K877" s="74">
        <f>+L840</f>
        <v>0</v>
      </c>
      <c r="L877" s="196">
        <f>+J877+K877</f>
        <v>0</v>
      </c>
      <c r="N877" s="52"/>
    </row>
    <row r="878" spans="1:16" ht="16.5" thickBot="1">
      <c r="A878" s="72">
        <v>723</v>
      </c>
      <c r="B878" s="80">
        <f>+H858</f>
        <v>0</v>
      </c>
      <c r="C878" s="74">
        <f>+D841</f>
        <v>321428837</v>
      </c>
      <c r="D878" s="195">
        <f>+B878+C878</f>
        <v>321428837</v>
      </c>
      <c r="F878" s="174" t="s">
        <v>23</v>
      </c>
      <c r="G878" s="175"/>
      <c r="I878" s="169"/>
      <c r="J878" s="197">
        <f>SUM(J873:J877)</f>
        <v>1781000</v>
      </c>
      <c r="K878" s="197">
        <f>SUM(K873:K877)</f>
        <v>435187612</v>
      </c>
      <c r="L878" s="198">
        <f>SUM(L873:L877)</f>
        <v>436968612</v>
      </c>
    </row>
    <row r="879" spans="1:16" ht="17.25" thickBot="1">
      <c r="A879" s="164" t="s">
        <v>181</v>
      </c>
      <c r="B879" s="165"/>
      <c r="C879" s="74">
        <f>+D842</f>
        <v>1965625</v>
      </c>
      <c r="D879" s="196">
        <f>+B879+C879</f>
        <v>1965625</v>
      </c>
      <c r="F879" s="52"/>
      <c r="I879" s="49" t="s">
        <v>88</v>
      </c>
      <c r="J879" s="50"/>
    </row>
    <row r="880" spans="1:16" ht="14.25" customHeight="1" thickBot="1">
      <c r="A880" s="169"/>
      <c r="B880" s="170">
        <f>SUM(B875:B879)</f>
        <v>340000</v>
      </c>
      <c r="C880" s="171" t="e">
        <f>SUM(C875:C879)</f>
        <v>#REF!</v>
      </c>
      <c r="D880" s="172" t="e">
        <f>SUM(D875:D879)</f>
        <v>#REF!</v>
      </c>
      <c r="I880" s="51" t="s">
        <v>89</v>
      </c>
    </row>
    <row r="881" spans="1:16" ht="14.25" customHeight="1">
      <c r="A881" s="49" t="s">
        <v>88</v>
      </c>
      <c r="B881" s="50"/>
      <c r="I881" s="51" t="s">
        <v>90</v>
      </c>
    </row>
    <row r="882" spans="1:16">
      <c r="A882" s="51" t="s">
        <v>89</v>
      </c>
      <c r="I882" s="51" t="s">
        <v>91</v>
      </c>
    </row>
    <row r="883" spans="1:16" ht="6" customHeight="1">
      <c r="A883" s="51" t="s">
        <v>90</v>
      </c>
      <c r="I883" s="50"/>
      <c r="J883" s="50"/>
    </row>
    <row r="884" spans="1:16" ht="16.5">
      <c r="A884" s="51" t="s">
        <v>91</v>
      </c>
      <c r="I884" s="260" t="s">
        <v>795</v>
      </c>
      <c r="O884" s="52"/>
    </row>
    <row r="885" spans="1:16" ht="15" customHeight="1">
      <c r="A885" s="50"/>
      <c r="B885" s="50"/>
      <c r="I885" s="261" t="s">
        <v>1333</v>
      </c>
      <c r="O885" s="53"/>
    </row>
    <row r="886" spans="1:16" ht="15" customHeight="1">
      <c r="A886" s="52" t="s">
        <v>455</v>
      </c>
      <c r="G886" s="52"/>
      <c r="I886" s="894" t="s">
        <v>1278</v>
      </c>
      <c r="J886" s="894"/>
      <c r="K886" s="894"/>
      <c r="L886" s="894"/>
      <c r="M886" s="894"/>
      <c r="N886" s="894"/>
      <c r="O886" s="894"/>
      <c r="P886" s="894"/>
    </row>
    <row r="887" spans="1:16" ht="14.25" customHeight="1" thickBot="1">
      <c r="A887" s="53" t="s">
        <v>92</v>
      </c>
      <c r="G887" s="53"/>
    </row>
    <row r="888" spans="1:16" ht="16.5">
      <c r="A888" s="894" t="s">
        <v>93</v>
      </c>
      <c r="B888" s="894"/>
      <c r="C888" s="894"/>
      <c r="D888" s="894"/>
      <c r="E888" s="894"/>
      <c r="F888" s="894"/>
      <c r="G888" s="894"/>
      <c r="H888" s="894"/>
      <c r="I888" s="895" t="s">
        <v>94</v>
      </c>
      <c r="J888" s="897" t="s">
        <v>95</v>
      </c>
      <c r="K888" s="897" t="s">
        <v>96</v>
      </c>
      <c r="L888" s="897" t="s">
        <v>3</v>
      </c>
      <c r="M888" s="897" t="s">
        <v>97</v>
      </c>
      <c r="N888" s="897" t="s">
        <v>98</v>
      </c>
      <c r="O888" s="897" t="s">
        <v>99</v>
      </c>
      <c r="P888" s="899"/>
    </row>
    <row r="889" spans="1:16" ht="15.75" thickBot="1">
      <c r="I889" s="896"/>
      <c r="J889" s="898"/>
      <c r="K889" s="898"/>
      <c r="L889" s="898"/>
      <c r="M889" s="898"/>
      <c r="N889" s="898"/>
      <c r="O889" s="240" t="s">
        <v>100</v>
      </c>
      <c r="P889" s="182" t="s">
        <v>101</v>
      </c>
    </row>
    <row r="890" spans="1:16" ht="15" customHeight="1">
      <c r="A890" s="895" t="s">
        <v>94</v>
      </c>
      <c r="B890" s="897" t="s">
        <v>95</v>
      </c>
      <c r="C890" s="897" t="s">
        <v>96</v>
      </c>
      <c r="D890" s="897" t="s">
        <v>3</v>
      </c>
      <c r="E890" s="897" t="s">
        <v>97</v>
      </c>
      <c r="F890" s="897" t="s">
        <v>98</v>
      </c>
      <c r="G890" s="897" t="s">
        <v>99</v>
      </c>
      <c r="H890" s="899"/>
      <c r="I890" s="928">
        <f>+I861+1</f>
        <v>110</v>
      </c>
      <c r="J890" s="875">
        <v>43005</v>
      </c>
      <c r="K890" s="877" t="s">
        <v>350</v>
      </c>
      <c r="L890" s="881" t="s">
        <v>1503</v>
      </c>
      <c r="M890" s="881" t="s">
        <v>148</v>
      </c>
      <c r="N890" s="883">
        <v>481000</v>
      </c>
      <c r="O890" s="55">
        <v>719</v>
      </c>
      <c r="P890" s="78">
        <v>370000</v>
      </c>
    </row>
    <row r="891" spans="1:16" ht="15.75" customHeight="1" thickBot="1">
      <c r="A891" s="896"/>
      <c r="B891" s="898"/>
      <c r="C891" s="898"/>
      <c r="D891" s="898"/>
      <c r="E891" s="898"/>
      <c r="F891" s="898"/>
      <c r="G891" s="240" t="s">
        <v>100</v>
      </c>
      <c r="H891" s="182" t="s">
        <v>101</v>
      </c>
      <c r="I891" s="929"/>
      <c r="J891" s="876"/>
      <c r="K891" s="878"/>
      <c r="L891" s="882"/>
      <c r="M891" s="882"/>
      <c r="N891" s="884"/>
      <c r="O891" s="56">
        <v>721</v>
      </c>
      <c r="P891" s="79">
        <f>+N890-P890</f>
        <v>111000</v>
      </c>
    </row>
    <row r="892" spans="1:16" ht="15" customHeight="1">
      <c r="A892" s="881" t="e">
        <f>+A863+1</f>
        <v>#REF!</v>
      </c>
      <c r="B892" s="875">
        <v>42320</v>
      </c>
      <c r="C892" s="877" t="s">
        <v>272</v>
      </c>
      <c r="D892" s="881" t="s">
        <v>456</v>
      </c>
      <c r="E892" s="881" t="s">
        <v>115</v>
      </c>
      <c r="F892" s="883">
        <v>60000</v>
      </c>
      <c r="G892" s="55">
        <v>719</v>
      </c>
      <c r="H892" s="78">
        <v>60000</v>
      </c>
      <c r="I892" s="928">
        <f>+I890+1</f>
        <v>111</v>
      </c>
      <c r="J892" s="875">
        <v>43005</v>
      </c>
      <c r="K892" s="877" t="s">
        <v>350</v>
      </c>
      <c r="L892" s="881" t="s">
        <v>1504</v>
      </c>
      <c r="M892" s="881" t="s">
        <v>148</v>
      </c>
      <c r="N892" s="883">
        <v>429000</v>
      </c>
      <c r="O892" s="55">
        <v>719</v>
      </c>
      <c r="P892" s="78">
        <v>330000</v>
      </c>
    </row>
    <row r="893" spans="1:16" ht="15.75" customHeight="1" thickBot="1">
      <c r="A893" s="882"/>
      <c r="B893" s="876"/>
      <c r="C893" s="878"/>
      <c r="D893" s="882"/>
      <c r="E893" s="882"/>
      <c r="F893" s="884"/>
      <c r="G893" s="56">
        <v>721</v>
      </c>
      <c r="H893" s="79">
        <f>+F892-H892</f>
        <v>0</v>
      </c>
      <c r="I893" s="929"/>
      <c r="J893" s="876"/>
      <c r="K893" s="878"/>
      <c r="L893" s="882"/>
      <c r="M893" s="882"/>
      <c r="N893" s="884"/>
      <c r="O893" s="56">
        <v>721</v>
      </c>
      <c r="P893" s="79">
        <f>+N892-P892</f>
        <v>99000</v>
      </c>
    </row>
    <row r="894" spans="1:16" ht="15" customHeight="1">
      <c r="A894" s="881" t="e">
        <f>+A892+1</f>
        <v>#REF!</v>
      </c>
      <c r="B894" s="875">
        <v>42320</v>
      </c>
      <c r="C894" s="881" t="s">
        <v>28</v>
      </c>
      <c r="D894" s="881" t="s">
        <v>456</v>
      </c>
      <c r="E894" s="881" t="s">
        <v>115</v>
      </c>
      <c r="F894" s="883">
        <v>30000</v>
      </c>
      <c r="G894" s="55">
        <v>719</v>
      </c>
      <c r="H894" s="78">
        <v>30000</v>
      </c>
      <c r="I894" s="928">
        <f>+I892+1</f>
        <v>112</v>
      </c>
      <c r="J894" s="875">
        <v>43005</v>
      </c>
      <c r="K894" s="877" t="s">
        <v>350</v>
      </c>
      <c r="L894" s="881" t="s">
        <v>1505</v>
      </c>
      <c r="M894" s="881" t="s">
        <v>115</v>
      </c>
      <c r="N894" s="883">
        <v>140000</v>
      </c>
      <c r="O894" s="55">
        <v>719</v>
      </c>
      <c r="P894" s="78">
        <v>140000</v>
      </c>
    </row>
    <row r="895" spans="1:16" ht="15.75" customHeight="1" thickBot="1">
      <c r="A895" s="882"/>
      <c r="B895" s="876"/>
      <c r="C895" s="882"/>
      <c r="D895" s="882"/>
      <c r="E895" s="882"/>
      <c r="F895" s="884"/>
      <c r="G895" s="56">
        <v>721</v>
      </c>
      <c r="H895" s="79">
        <f>+F894-H894</f>
        <v>0</v>
      </c>
      <c r="I895" s="929"/>
      <c r="J895" s="876"/>
      <c r="K895" s="878"/>
      <c r="L895" s="882"/>
      <c r="M895" s="882"/>
      <c r="N895" s="884"/>
      <c r="O895" s="56">
        <v>721</v>
      </c>
      <c r="P895" s="79">
        <f>+N894-P894</f>
        <v>0</v>
      </c>
    </row>
    <row r="896" spans="1:16" ht="15" customHeight="1">
      <c r="A896" s="881" t="e">
        <f>+A894+1</f>
        <v>#REF!</v>
      </c>
      <c r="B896" s="875">
        <v>42320</v>
      </c>
      <c r="C896" s="877" t="s">
        <v>32</v>
      </c>
      <c r="D896" s="881" t="s">
        <v>457</v>
      </c>
      <c r="E896" s="881" t="s">
        <v>115</v>
      </c>
      <c r="F896" s="883">
        <v>20000</v>
      </c>
      <c r="G896" s="55">
        <v>719</v>
      </c>
      <c r="H896" s="78">
        <v>20000</v>
      </c>
      <c r="I896" s="928">
        <f>+I894+1</f>
        <v>113</v>
      </c>
      <c r="J896" s="875">
        <v>43005</v>
      </c>
      <c r="K896" s="877" t="s">
        <v>350</v>
      </c>
      <c r="L896" s="881" t="s">
        <v>1506</v>
      </c>
      <c r="M896" s="881" t="s">
        <v>148</v>
      </c>
      <c r="N896" s="883">
        <v>403000</v>
      </c>
      <c r="O896" s="55">
        <v>719</v>
      </c>
      <c r="P896" s="78">
        <v>310000</v>
      </c>
    </row>
    <row r="897" spans="1:16" ht="15.75" customHeight="1" thickBot="1">
      <c r="A897" s="882"/>
      <c r="B897" s="876"/>
      <c r="C897" s="878"/>
      <c r="D897" s="882"/>
      <c r="E897" s="882"/>
      <c r="F897" s="884"/>
      <c r="G897" s="56">
        <v>721</v>
      </c>
      <c r="H897" s="79">
        <f>+F896-H896</f>
        <v>0</v>
      </c>
      <c r="I897" s="929"/>
      <c r="J897" s="876"/>
      <c r="K897" s="878"/>
      <c r="L897" s="882"/>
      <c r="M897" s="882"/>
      <c r="N897" s="884"/>
      <c r="O897" s="56">
        <v>721</v>
      </c>
      <c r="P897" s="79">
        <f>+N896-P896</f>
        <v>93000</v>
      </c>
    </row>
    <row r="898" spans="1:16" ht="12" customHeight="1">
      <c r="A898" s="881"/>
      <c r="B898" s="875"/>
      <c r="C898" s="881"/>
      <c r="D898" s="881"/>
      <c r="E898" s="881"/>
      <c r="F898" s="883"/>
      <c r="G898" s="55">
        <v>719</v>
      </c>
      <c r="H898" s="78"/>
      <c r="I898" s="928">
        <f>+I896+1</f>
        <v>114</v>
      </c>
      <c r="J898" s="875">
        <v>43005</v>
      </c>
      <c r="K898" s="877" t="s">
        <v>28</v>
      </c>
      <c r="L898" s="881" t="s">
        <v>1507</v>
      </c>
      <c r="M898" s="881" t="s">
        <v>165</v>
      </c>
      <c r="N898" s="883">
        <v>481000</v>
      </c>
      <c r="O898" s="55">
        <v>719</v>
      </c>
      <c r="P898" s="78">
        <v>370000</v>
      </c>
    </row>
    <row r="899" spans="1:16" ht="12.75" customHeight="1" thickBot="1">
      <c r="A899" s="882"/>
      <c r="B899" s="876"/>
      <c r="C899" s="882"/>
      <c r="D899" s="882"/>
      <c r="E899" s="882"/>
      <c r="F899" s="884"/>
      <c r="G899" s="56">
        <v>721</v>
      </c>
      <c r="H899" s="79">
        <f>+F898-H898</f>
        <v>0</v>
      </c>
      <c r="I899" s="929"/>
      <c r="J899" s="876"/>
      <c r="K899" s="878"/>
      <c r="L899" s="882"/>
      <c r="M899" s="882"/>
      <c r="N899" s="884"/>
      <c r="O899" s="56">
        <v>721</v>
      </c>
      <c r="P899" s="79">
        <f>+N898-P898</f>
        <v>111000</v>
      </c>
    </row>
    <row r="900" spans="1:16" ht="16.5" thickBot="1">
      <c r="A900" s="881"/>
      <c r="B900" s="875"/>
      <c r="C900" s="877"/>
      <c r="D900" s="881"/>
      <c r="E900" s="881"/>
      <c r="F900" s="883"/>
      <c r="G900" s="55">
        <v>719</v>
      </c>
      <c r="H900" s="78"/>
      <c r="I900" s="901" t="s">
        <v>102</v>
      </c>
      <c r="J900" s="902"/>
      <c r="K900" s="902"/>
      <c r="L900" s="902"/>
      <c r="M900" s="903"/>
      <c r="N900" s="81">
        <f>SUM(N890:N899)</f>
        <v>1934000</v>
      </c>
    </row>
    <row r="901" spans="1:16" ht="16.5" thickBot="1">
      <c r="A901" s="882"/>
      <c r="B901" s="876"/>
      <c r="C901" s="878"/>
      <c r="D901" s="882"/>
      <c r="E901" s="882"/>
      <c r="F901" s="884"/>
      <c r="G901" s="56">
        <v>721</v>
      </c>
      <c r="H901" s="79">
        <f>+F900-H900</f>
        <v>0</v>
      </c>
      <c r="I901" s="885" t="s">
        <v>103</v>
      </c>
      <c r="J901" s="886"/>
      <c r="K901" s="886"/>
      <c r="L901" s="886"/>
      <c r="M901" s="887"/>
      <c r="N901" s="239">
        <f>+N865</f>
        <v>402453238</v>
      </c>
      <c r="O901" s="241" t="s">
        <v>561</v>
      </c>
      <c r="P901" s="242">
        <f>518+627+398+320+502</f>
        <v>2365</v>
      </c>
    </row>
    <row r="902" spans="1:16" ht="15" customHeight="1" thickBot="1">
      <c r="A902" s="901" t="s">
        <v>102</v>
      </c>
      <c r="B902" s="902"/>
      <c r="C902" s="902"/>
      <c r="D902" s="902"/>
      <c r="E902" s="903"/>
      <c r="F902" s="81">
        <f>SUM(F892:F901)</f>
        <v>110000</v>
      </c>
      <c r="I902" s="888" t="s">
        <v>104</v>
      </c>
      <c r="J902" s="889"/>
      <c r="K902" s="889"/>
      <c r="L902" s="889"/>
      <c r="M902" s="890"/>
      <c r="N902" s="183">
        <f>SUM(N900:N901)</f>
        <v>404387238</v>
      </c>
    </row>
    <row r="903" spans="1:16" ht="13.5" customHeight="1" thickBot="1">
      <c r="A903" s="885" t="s">
        <v>103</v>
      </c>
      <c r="B903" s="886"/>
      <c r="C903" s="886"/>
      <c r="D903" s="886"/>
      <c r="E903" s="887"/>
      <c r="F903" s="69">
        <f>+F867</f>
        <v>655402930</v>
      </c>
      <c r="I903" s="61"/>
      <c r="J903" s="61"/>
      <c r="K903" s="61"/>
      <c r="L903" s="61"/>
      <c r="M903" s="61"/>
    </row>
    <row r="904" spans="1:16" ht="16.5" thickBot="1">
      <c r="A904" s="888" t="s">
        <v>104</v>
      </c>
      <c r="B904" s="889"/>
      <c r="C904" s="889"/>
      <c r="D904" s="889"/>
      <c r="E904" s="890"/>
      <c r="F904" s="183">
        <f>SUM(F902:F903)</f>
        <v>655512930</v>
      </c>
      <c r="I904" s="51" t="s">
        <v>1508</v>
      </c>
    </row>
    <row r="905" spans="1:16" ht="6.75" customHeight="1">
      <c r="A905" s="61"/>
      <c r="B905" s="61"/>
      <c r="C905" s="61"/>
      <c r="D905" s="61"/>
      <c r="E905" s="61"/>
      <c r="N905" s="139"/>
    </row>
    <row r="906" spans="1:16">
      <c r="A906" s="51" t="s">
        <v>458</v>
      </c>
      <c r="I906" s="50" t="s">
        <v>105</v>
      </c>
      <c r="L906" s="146"/>
      <c r="N906" s="139"/>
    </row>
    <row r="907" spans="1:16" ht="8.25" customHeight="1" thickBot="1">
      <c r="F907" s="139"/>
    </row>
    <row r="908" spans="1:16" ht="15.75" thickBot="1">
      <c r="A908" s="50" t="s">
        <v>105</v>
      </c>
      <c r="D908" s="146"/>
      <c r="F908" s="139"/>
      <c r="I908" s="891" t="s">
        <v>106</v>
      </c>
      <c r="J908" s="892"/>
      <c r="K908" s="892"/>
      <c r="L908" s="893"/>
      <c r="N908" s="925" t="s">
        <v>288</v>
      </c>
      <c r="O908" s="925"/>
      <c r="P908" s="925"/>
    </row>
    <row r="909" spans="1:16" ht="28.5" customHeight="1" thickBot="1">
      <c r="I909" s="57" t="s">
        <v>100</v>
      </c>
      <c r="J909" s="58" t="s">
        <v>108</v>
      </c>
      <c r="K909" s="59" t="s">
        <v>109</v>
      </c>
      <c r="L909" s="60" t="s">
        <v>110</v>
      </c>
    </row>
    <row r="910" spans="1:16" ht="14.25" customHeight="1" thickBot="1">
      <c r="A910" s="891" t="s">
        <v>106</v>
      </c>
      <c r="B910" s="892"/>
      <c r="C910" s="892"/>
      <c r="D910" s="893"/>
      <c r="F910" s="50" t="s">
        <v>288</v>
      </c>
      <c r="I910" s="71">
        <v>719</v>
      </c>
      <c r="J910" s="73">
        <f>+P890+P892+P894+P896+P898</f>
        <v>1520000</v>
      </c>
      <c r="K910" s="74">
        <f>+L873</f>
        <v>10350000</v>
      </c>
      <c r="L910" s="195">
        <f>+J910+K910</f>
        <v>11870000</v>
      </c>
    </row>
    <row r="911" spans="1:16" ht="16.5" customHeight="1" thickBot="1">
      <c r="A911" s="57" t="s">
        <v>100</v>
      </c>
      <c r="B911" s="58" t="s">
        <v>108</v>
      </c>
      <c r="C911" s="59" t="s">
        <v>109</v>
      </c>
      <c r="D911" s="60" t="s">
        <v>110</v>
      </c>
      <c r="I911" s="72">
        <v>721</v>
      </c>
      <c r="J911" s="257">
        <f>+P891+P893+P895+P897+P899</f>
        <v>414000</v>
      </c>
      <c r="K911" s="74">
        <f>+L874</f>
        <v>41798624</v>
      </c>
      <c r="L911" s="195">
        <f>+J911+K911</f>
        <v>42212624</v>
      </c>
    </row>
    <row r="912" spans="1:16" ht="13.5" customHeight="1">
      <c r="A912" s="71">
        <v>719</v>
      </c>
      <c r="B912" s="73">
        <f>+H892+H894+H896+H898+H900</f>
        <v>110000</v>
      </c>
      <c r="C912" s="74" t="e">
        <f>+D875</f>
        <v>#REF!</v>
      </c>
      <c r="D912" s="195" t="e">
        <f>+B912+C912</f>
        <v>#REF!</v>
      </c>
      <c r="I912" s="72">
        <v>722</v>
      </c>
      <c r="J912" s="257"/>
      <c r="K912" s="74">
        <f>+L875</f>
        <v>0</v>
      </c>
      <c r="L912" s="195">
        <f>+J912+K912</f>
        <v>0</v>
      </c>
    </row>
    <row r="913" spans="1:16" ht="15.75">
      <c r="A913" s="72">
        <v>721</v>
      </c>
      <c r="B913" s="80">
        <f>+H893</f>
        <v>0</v>
      </c>
      <c r="C913" s="74" t="e">
        <f>+D876</f>
        <v>#REF!</v>
      </c>
      <c r="D913" s="195" t="e">
        <f>+B913+C913</f>
        <v>#REF!</v>
      </c>
      <c r="I913" s="72">
        <v>723</v>
      </c>
      <c r="J913" s="257"/>
      <c r="K913" s="74">
        <f>+L876</f>
        <v>384819988</v>
      </c>
      <c r="L913" s="195">
        <f>+J913+K913</f>
        <v>384819988</v>
      </c>
      <c r="N913" s="918" t="s">
        <v>1481</v>
      </c>
      <c r="O913" s="918"/>
      <c r="P913" s="918"/>
    </row>
    <row r="914" spans="1:16" ht="14.25" customHeight="1" thickBot="1">
      <c r="A914" s="72">
        <v>722</v>
      </c>
      <c r="B914" s="80"/>
      <c r="C914" s="74">
        <f>+D877</f>
        <v>231207671</v>
      </c>
      <c r="D914" s="195">
        <f>+B914+C914</f>
        <v>231207671</v>
      </c>
      <c r="I914" s="164" t="s">
        <v>181</v>
      </c>
      <c r="J914" s="165"/>
      <c r="K914" s="74">
        <f>+L877</f>
        <v>0</v>
      </c>
      <c r="L914" s="196">
        <f>+J914+K914</f>
        <v>0</v>
      </c>
      <c r="N914" s="52"/>
    </row>
    <row r="915" spans="1:16" ht="16.5" thickBot="1">
      <c r="A915" s="72">
        <v>723</v>
      </c>
      <c r="B915" s="80">
        <f>+H895</f>
        <v>0</v>
      </c>
      <c r="C915" s="74">
        <f>+D878</f>
        <v>321428837</v>
      </c>
      <c r="D915" s="195">
        <f>+B915+C915</f>
        <v>321428837</v>
      </c>
      <c r="F915" s="174" t="s">
        <v>23</v>
      </c>
      <c r="G915" s="175"/>
      <c r="I915" s="169"/>
      <c r="J915" s="197">
        <f>SUM(J910:J914)</f>
        <v>1934000</v>
      </c>
      <c r="K915" s="197">
        <f>SUM(K910:K914)</f>
        <v>436968612</v>
      </c>
      <c r="L915" s="198">
        <f>SUM(L910:L914)</f>
        <v>438902612</v>
      </c>
    </row>
    <row r="916" spans="1:16" ht="17.25" thickBot="1">
      <c r="A916" s="164" t="s">
        <v>181</v>
      </c>
      <c r="B916" s="165"/>
      <c r="C916" s="74">
        <f>+D879</f>
        <v>1965625</v>
      </c>
      <c r="D916" s="196">
        <f>+B916+C916</f>
        <v>1965625</v>
      </c>
      <c r="F916" s="52"/>
      <c r="I916" s="49" t="s">
        <v>88</v>
      </c>
      <c r="J916" s="50"/>
    </row>
    <row r="917" spans="1:16" ht="15" customHeight="1" thickBot="1">
      <c r="A917" s="169"/>
      <c r="B917" s="170">
        <f>SUM(B912:B916)</f>
        <v>110000</v>
      </c>
      <c r="C917" s="171" t="e">
        <f>SUM(C912:C916)</f>
        <v>#REF!</v>
      </c>
      <c r="D917" s="172" t="e">
        <f>SUM(D912:D916)</f>
        <v>#REF!</v>
      </c>
      <c r="I917" s="51" t="s">
        <v>89</v>
      </c>
    </row>
    <row r="918" spans="1:16" ht="15" customHeight="1">
      <c r="A918" s="49" t="s">
        <v>88</v>
      </c>
      <c r="B918" s="50"/>
      <c r="I918" s="51" t="s">
        <v>90</v>
      </c>
    </row>
    <row r="919" spans="1:16" ht="12.75" customHeight="1">
      <c r="A919" s="51" t="s">
        <v>89</v>
      </c>
      <c r="I919" s="51" t="s">
        <v>91</v>
      </c>
    </row>
    <row r="920" spans="1:16" ht="12.75" customHeight="1">
      <c r="A920" s="51" t="s">
        <v>90</v>
      </c>
      <c r="I920" s="50"/>
      <c r="J920" s="50"/>
    </row>
    <row r="921" spans="1:16" ht="16.5">
      <c r="A921" s="51" t="s">
        <v>91</v>
      </c>
      <c r="I921" s="52" t="s">
        <v>813</v>
      </c>
      <c r="O921" s="52"/>
    </row>
    <row r="922" spans="1:16" ht="13.5" customHeight="1">
      <c r="A922" s="50"/>
      <c r="B922" s="50"/>
      <c r="I922" s="53" t="s">
        <v>1333</v>
      </c>
      <c r="O922" s="53"/>
    </row>
    <row r="923" spans="1:16" ht="16.5">
      <c r="A923" s="52" t="s">
        <v>460</v>
      </c>
      <c r="G923" s="52"/>
      <c r="I923" s="894" t="s">
        <v>261</v>
      </c>
      <c r="J923" s="894"/>
      <c r="K923" s="894"/>
      <c r="L923" s="894"/>
      <c r="M923" s="894"/>
      <c r="N923" s="894"/>
      <c r="O923" s="894"/>
      <c r="P923" s="894"/>
    </row>
    <row r="924" spans="1:16" ht="13.5" customHeight="1" thickBot="1">
      <c r="A924" s="53" t="s">
        <v>92</v>
      </c>
      <c r="G924" s="53"/>
    </row>
    <row r="925" spans="1:16" ht="16.5">
      <c r="A925" s="894" t="s">
        <v>462</v>
      </c>
      <c r="B925" s="894"/>
      <c r="C925" s="894"/>
      <c r="D925" s="894"/>
      <c r="E925" s="894"/>
      <c r="F925" s="894"/>
      <c r="G925" s="894"/>
      <c r="H925" s="894"/>
      <c r="I925" s="895" t="s">
        <v>94</v>
      </c>
      <c r="J925" s="897" t="s">
        <v>95</v>
      </c>
      <c r="K925" s="897" t="s">
        <v>96</v>
      </c>
      <c r="L925" s="897" t="s">
        <v>3</v>
      </c>
      <c r="M925" s="897" t="s">
        <v>97</v>
      </c>
      <c r="N925" s="897" t="s">
        <v>98</v>
      </c>
      <c r="O925" s="897" t="s">
        <v>99</v>
      </c>
      <c r="P925" s="899"/>
    </row>
    <row r="926" spans="1:16" ht="15.75" thickBot="1">
      <c r="I926" s="896"/>
      <c r="J926" s="898"/>
      <c r="K926" s="898"/>
      <c r="L926" s="898"/>
      <c r="M926" s="898"/>
      <c r="N926" s="898"/>
      <c r="O926" s="240" t="s">
        <v>100</v>
      </c>
      <c r="P926" s="182" t="s">
        <v>101</v>
      </c>
    </row>
    <row r="927" spans="1:16" ht="12.75" customHeight="1">
      <c r="A927" s="895" t="s">
        <v>94</v>
      </c>
      <c r="B927" s="897" t="s">
        <v>95</v>
      </c>
      <c r="C927" s="897" t="s">
        <v>96</v>
      </c>
      <c r="D927" s="897" t="s">
        <v>3</v>
      </c>
      <c r="E927" s="897" t="s">
        <v>97</v>
      </c>
      <c r="F927" s="897" t="s">
        <v>98</v>
      </c>
      <c r="G927" s="897" t="s">
        <v>99</v>
      </c>
      <c r="H927" s="899"/>
      <c r="I927" s="873" t="s">
        <v>1509</v>
      </c>
      <c r="J927" s="875">
        <v>43005</v>
      </c>
      <c r="K927" s="881" t="s">
        <v>28</v>
      </c>
      <c r="L927" s="881" t="s">
        <v>1510</v>
      </c>
      <c r="M927" s="881" t="s">
        <v>148</v>
      </c>
      <c r="N927" s="883">
        <v>429000</v>
      </c>
      <c r="O927" s="55">
        <v>719</v>
      </c>
      <c r="P927" s="78">
        <v>330000</v>
      </c>
    </row>
    <row r="928" spans="1:16" ht="13.5" customHeight="1" thickBot="1">
      <c r="A928" s="896"/>
      <c r="B928" s="898"/>
      <c r="C928" s="898"/>
      <c r="D928" s="898"/>
      <c r="E928" s="898"/>
      <c r="F928" s="898"/>
      <c r="G928" s="240" t="s">
        <v>100</v>
      </c>
      <c r="H928" s="182" t="s">
        <v>101</v>
      </c>
      <c r="I928" s="882"/>
      <c r="J928" s="876"/>
      <c r="K928" s="882"/>
      <c r="L928" s="882"/>
      <c r="M928" s="882"/>
      <c r="N928" s="884"/>
      <c r="O928" s="56">
        <v>721</v>
      </c>
      <c r="P928" s="79">
        <f>+N927-P927</f>
        <v>99000</v>
      </c>
    </row>
    <row r="929" spans="1:16" ht="12" customHeight="1">
      <c r="A929" s="881" t="e">
        <f>+A896+1</f>
        <v>#REF!</v>
      </c>
      <c r="B929" s="875">
        <v>42328</v>
      </c>
      <c r="C929" s="877" t="s">
        <v>469</v>
      </c>
      <c r="D929" s="881" t="s">
        <v>459</v>
      </c>
      <c r="E929" s="881" t="s">
        <v>148</v>
      </c>
      <c r="F929" s="883">
        <v>1764708</v>
      </c>
      <c r="G929" s="55">
        <v>723</v>
      </c>
      <c r="H929" s="78">
        <f>+F929</f>
        <v>1764708</v>
      </c>
      <c r="I929" s="881">
        <f>+I927+1</f>
        <v>116</v>
      </c>
      <c r="J929" s="875">
        <v>43005</v>
      </c>
      <c r="K929" s="881" t="s">
        <v>40</v>
      </c>
      <c r="L929" s="881" t="s">
        <v>1511</v>
      </c>
      <c r="M929" s="881" t="s">
        <v>148</v>
      </c>
      <c r="N929" s="883">
        <v>195000</v>
      </c>
      <c r="O929" s="55">
        <v>719</v>
      </c>
      <c r="P929" s="78">
        <v>150000</v>
      </c>
    </row>
    <row r="930" spans="1:16" ht="13.5" customHeight="1" thickBot="1">
      <c r="A930" s="882"/>
      <c r="B930" s="876"/>
      <c r="C930" s="878"/>
      <c r="D930" s="882"/>
      <c r="E930" s="882"/>
      <c r="F930" s="884"/>
      <c r="G930" s="56">
        <v>721</v>
      </c>
      <c r="H930" s="79">
        <f>+F929-H929</f>
        <v>0</v>
      </c>
      <c r="I930" s="882"/>
      <c r="J930" s="876"/>
      <c r="K930" s="882"/>
      <c r="L930" s="882"/>
      <c r="M930" s="882"/>
      <c r="N930" s="884"/>
      <c r="O930" s="56">
        <v>721</v>
      </c>
      <c r="P930" s="79">
        <f>+N929-P929</f>
        <v>45000</v>
      </c>
    </row>
    <row r="931" spans="1:16" ht="15" customHeight="1">
      <c r="A931" s="881"/>
      <c r="B931" s="875"/>
      <c r="C931" s="881"/>
      <c r="D931" s="881"/>
      <c r="E931" s="881"/>
      <c r="F931" s="883"/>
      <c r="G931" s="55">
        <v>719</v>
      </c>
      <c r="H931" s="78"/>
      <c r="I931" s="881">
        <f t="shared" ref="I931:I937" si="1">+I929+1</f>
        <v>117</v>
      </c>
      <c r="J931" s="875">
        <v>43005</v>
      </c>
      <c r="K931" s="881" t="s">
        <v>40</v>
      </c>
      <c r="L931" s="881" t="s">
        <v>1514</v>
      </c>
      <c r="M931" s="881" t="s">
        <v>148</v>
      </c>
      <c r="N931" s="883">
        <v>169000</v>
      </c>
      <c r="O931" s="55">
        <v>719</v>
      </c>
      <c r="P931" s="78">
        <v>130000</v>
      </c>
    </row>
    <row r="932" spans="1:16" ht="13.5" customHeight="1" thickBot="1">
      <c r="A932" s="882"/>
      <c r="B932" s="876"/>
      <c r="C932" s="882"/>
      <c r="D932" s="882"/>
      <c r="E932" s="882"/>
      <c r="F932" s="884"/>
      <c r="G932" s="56">
        <v>721</v>
      </c>
      <c r="H932" s="79">
        <f>+F931-H931</f>
        <v>0</v>
      </c>
      <c r="I932" s="882"/>
      <c r="J932" s="876"/>
      <c r="K932" s="882"/>
      <c r="L932" s="882"/>
      <c r="M932" s="882"/>
      <c r="N932" s="884"/>
      <c r="O932" s="56">
        <v>721</v>
      </c>
      <c r="P932" s="79">
        <f>+N931-P931</f>
        <v>39000</v>
      </c>
    </row>
    <row r="933" spans="1:16" ht="14.25" customHeight="1">
      <c r="A933" s="251"/>
      <c r="B933" s="252"/>
      <c r="C933" s="251"/>
      <c r="D933" s="251"/>
      <c r="E933" s="251"/>
      <c r="F933" s="254"/>
      <c r="G933" s="255"/>
      <c r="H933" s="256"/>
      <c r="I933" s="881">
        <f t="shared" si="1"/>
        <v>118</v>
      </c>
      <c r="J933" s="875">
        <v>43005</v>
      </c>
      <c r="K933" s="881" t="s">
        <v>40</v>
      </c>
      <c r="L933" s="881" t="s">
        <v>1512</v>
      </c>
      <c r="M933" s="881" t="s">
        <v>148</v>
      </c>
      <c r="N933" s="883">
        <v>117000</v>
      </c>
      <c r="O933" s="55">
        <v>719</v>
      </c>
      <c r="P933" s="78">
        <v>90000</v>
      </c>
    </row>
    <row r="934" spans="1:16" ht="14.25" customHeight="1" thickBot="1">
      <c r="A934" s="251"/>
      <c r="B934" s="252"/>
      <c r="C934" s="251"/>
      <c r="D934" s="251"/>
      <c r="E934" s="251"/>
      <c r="F934" s="254"/>
      <c r="G934" s="255"/>
      <c r="H934" s="256"/>
      <c r="I934" s="882"/>
      <c r="J934" s="876"/>
      <c r="K934" s="882"/>
      <c r="L934" s="882"/>
      <c r="M934" s="882"/>
      <c r="N934" s="884"/>
      <c r="O934" s="56">
        <v>721</v>
      </c>
      <c r="P934" s="79">
        <f>+N933-P933</f>
        <v>27000</v>
      </c>
    </row>
    <row r="935" spans="1:16" ht="15" customHeight="1">
      <c r="A935" s="881"/>
      <c r="B935" s="875"/>
      <c r="C935" s="877"/>
      <c r="D935" s="881"/>
      <c r="E935" s="881"/>
      <c r="F935" s="883"/>
      <c r="G935" s="55">
        <v>719</v>
      </c>
      <c r="H935" s="78"/>
      <c r="I935" s="881">
        <f t="shared" si="1"/>
        <v>119</v>
      </c>
      <c r="J935" s="875">
        <v>43005</v>
      </c>
      <c r="K935" s="881" t="s">
        <v>40</v>
      </c>
      <c r="L935" s="881" t="s">
        <v>1513</v>
      </c>
      <c r="M935" s="881" t="s">
        <v>148</v>
      </c>
      <c r="N935" s="883">
        <v>26000</v>
      </c>
      <c r="O935" s="55">
        <v>719</v>
      </c>
      <c r="P935" s="78">
        <v>20000</v>
      </c>
    </row>
    <row r="936" spans="1:16" ht="12" customHeight="1" thickBot="1">
      <c r="A936" s="882"/>
      <c r="B936" s="876"/>
      <c r="C936" s="878"/>
      <c r="D936" s="882"/>
      <c r="E936" s="882"/>
      <c r="F936" s="884"/>
      <c r="G936" s="56">
        <v>721</v>
      </c>
      <c r="H936" s="79">
        <f>+F935-H935</f>
        <v>0</v>
      </c>
      <c r="I936" s="882"/>
      <c r="J936" s="876"/>
      <c r="K936" s="882"/>
      <c r="L936" s="882"/>
      <c r="M936" s="882"/>
      <c r="N936" s="884"/>
      <c r="O936" s="56">
        <v>721</v>
      </c>
      <c r="P936" s="79">
        <f>+N935-P935</f>
        <v>6000</v>
      </c>
    </row>
    <row r="937" spans="1:16" ht="12" customHeight="1">
      <c r="A937" s="881"/>
      <c r="B937" s="875"/>
      <c r="C937" s="881"/>
      <c r="D937" s="881"/>
      <c r="E937" s="881"/>
      <c r="F937" s="883"/>
      <c r="G937" s="55">
        <v>719</v>
      </c>
      <c r="H937" s="78"/>
      <c r="I937" s="881">
        <f t="shared" si="1"/>
        <v>120</v>
      </c>
      <c r="J937" s="875">
        <v>43005</v>
      </c>
      <c r="K937" s="881" t="s">
        <v>28</v>
      </c>
      <c r="L937" s="881" t="s">
        <v>1516</v>
      </c>
      <c r="M937" s="881" t="s">
        <v>115</v>
      </c>
      <c r="N937" s="883">
        <v>70000</v>
      </c>
      <c r="O937" s="55">
        <v>719</v>
      </c>
      <c r="P937" s="78">
        <v>70000</v>
      </c>
    </row>
    <row r="938" spans="1:16" ht="13.5" customHeight="1" thickBot="1">
      <c r="A938" s="882"/>
      <c r="B938" s="876"/>
      <c r="C938" s="882"/>
      <c r="D938" s="882"/>
      <c r="E938" s="882"/>
      <c r="F938" s="884"/>
      <c r="G938" s="56">
        <v>721</v>
      </c>
      <c r="H938" s="79">
        <f>+F937-H937</f>
        <v>0</v>
      </c>
      <c r="I938" s="882"/>
      <c r="J938" s="876"/>
      <c r="K938" s="882"/>
      <c r="L938" s="882"/>
      <c r="M938" s="882"/>
      <c r="N938" s="884"/>
      <c r="O938" s="56">
        <v>721</v>
      </c>
      <c r="P938" s="79">
        <f>+N937-P937</f>
        <v>0</v>
      </c>
    </row>
    <row r="939" spans="1:16" ht="16.5" thickBot="1">
      <c r="A939" s="881"/>
      <c r="B939" s="875"/>
      <c r="C939" s="877"/>
      <c r="D939" s="881"/>
      <c r="E939" s="881"/>
      <c r="F939" s="883"/>
      <c r="G939" s="55">
        <v>719</v>
      </c>
      <c r="H939" s="78"/>
      <c r="I939" s="901" t="s">
        <v>102</v>
      </c>
      <c r="J939" s="902"/>
      <c r="K939" s="902"/>
      <c r="L939" s="902"/>
      <c r="M939" s="903"/>
      <c r="N939" s="81">
        <f>SUM(N927:N938)</f>
        <v>1006000</v>
      </c>
    </row>
    <row r="940" spans="1:16" ht="16.5" thickBot="1">
      <c r="A940" s="882"/>
      <c r="B940" s="876"/>
      <c r="C940" s="878"/>
      <c r="D940" s="882"/>
      <c r="E940" s="882"/>
      <c r="F940" s="884"/>
      <c r="G940" s="56">
        <v>721</v>
      </c>
      <c r="H940" s="79">
        <f>+F939-H939</f>
        <v>0</v>
      </c>
      <c r="I940" s="885" t="s">
        <v>103</v>
      </c>
      <c r="J940" s="886"/>
      <c r="K940" s="886"/>
      <c r="L940" s="886"/>
      <c r="M940" s="887"/>
      <c r="N940" s="239">
        <f>+N902</f>
        <v>404387238</v>
      </c>
      <c r="O940" s="241" t="s">
        <v>561</v>
      </c>
      <c r="P940" s="242">
        <f>426+85+72+16+624</f>
        <v>1223</v>
      </c>
    </row>
    <row r="941" spans="1:16" ht="16.5" thickBot="1">
      <c r="A941" s="901" t="s">
        <v>102</v>
      </c>
      <c r="B941" s="902"/>
      <c r="C941" s="902"/>
      <c r="D941" s="902"/>
      <c r="E941" s="903"/>
      <c r="F941" s="81">
        <f>SUM(F929:F940)</f>
        <v>1764708</v>
      </c>
      <c r="I941" s="888" t="s">
        <v>104</v>
      </c>
      <c r="J941" s="889"/>
      <c r="K941" s="889"/>
      <c r="L941" s="889"/>
      <c r="M941" s="890"/>
      <c r="N941" s="183">
        <f>SUM(N939:N940)</f>
        <v>405393238</v>
      </c>
    </row>
    <row r="942" spans="1:16" ht="12" customHeight="1" thickBot="1">
      <c r="A942" s="885" t="s">
        <v>103</v>
      </c>
      <c r="B942" s="886"/>
      <c r="C942" s="886"/>
      <c r="D942" s="886"/>
      <c r="E942" s="887"/>
      <c r="F942" s="69">
        <f>+F904</f>
        <v>655512930</v>
      </c>
      <c r="I942" s="61"/>
      <c r="J942" s="61"/>
      <c r="K942" s="61"/>
      <c r="L942" s="61"/>
      <c r="M942" s="61"/>
    </row>
    <row r="943" spans="1:16" ht="16.5" thickBot="1">
      <c r="A943" s="888" t="s">
        <v>104</v>
      </c>
      <c r="B943" s="889"/>
      <c r="C943" s="889"/>
      <c r="D943" s="889"/>
      <c r="E943" s="890"/>
      <c r="F943" s="183">
        <f>SUM(F941:F942)</f>
        <v>657277638</v>
      </c>
      <c r="I943" s="51" t="s">
        <v>1518</v>
      </c>
    </row>
    <row r="944" spans="1:16" ht="9" customHeight="1">
      <c r="A944" s="61"/>
      <c r="B944" s="61"/>
      <c r="C944" s="61"/>
      <c r="D944" s="61"/>
      <c r="E944" s="61"/>
      <c r="N944" s="139"/>
    </row>
    <row r="945" spans="1:16">
      <c r="A945" s="51" t="s">
        <v>461</v>
      </c>
      <c r="I945" s="50" t="s">
        <v>105</v>
      </c>
      <c r="L945" s="146"/>
      <c r="N945" s="139"/>
    </row>
    <row r="946" spans="1:16" ht="12.75" customHeight="1" thickBot="1">
      <c r="F946" s="139"/>
    </row>
    <row r="947" spans="1:16" ht="15.75" thickBot="1">
      <c r="A947" s="50" t="s">
        <v>105</v>
      </c>
      <c r="D947" s="146"/>
      <c r="F947" s="139"/>
      <c r="I947" s="891" t="s">
        <v>106</v>
      </c>
      <c r="J947" s="892"/>
      <c r="K947" s="892"/>
      <c r="L947" s="893"/>
      <c r="N947" s="50" t="s">
        <v>288</v>
      </c>
    </row>
    <row r="948" spans="1:16" ht="12.75" customHeight="1" thickBot="1">
      <c r="I948" s="57" t="s">
        <v>100</v>
      </c>
      <c r="J948" s="58" t="s">
        <v>108</v>
      </c>
      <c r="K948" s="59" t="s">
        <v>109</v>
      </c>
      <c r="L948" s="60" t="s">
        <v>110</v>
      </c>
    </row>
    <row r="949" spans="1:16" ht="13.5" customHeight="1" thickBot="1">
      <c r="A949" s="891" t="s">
        <v>106</v>
      </c>
      <c r="B949" s="892"/>
      <c r="C949" s="892"/>
      <c r="D949" s="893"/>
      <c r="F949" s="50" t="s">
        <v>288</v>
      </c>
      <c r="I949" s="71">
        <v>719</v>
      </c>
      <c r="J949" s="73">
        <f>+P927+P929+P931+P935+P937+P933</f>
        <v>790000</v>
      </c>
      <c r="K949" s="74">
        <f>+L910</f>
        <v>11870000</v>
      </c>
      <c r="L949" s="195">
        <f>+J949+K949</f>
        <v>12660000</v>
      </c>
    </row>
    <row r="950" spans="1:16" ht="13.5" customHeight="1" thickBot="1">
      <c r="A950" s="57" t="s">
        <v>100</v>
      </c>
      <c r="B950" s="58" t="s">
        <v>108</v>
      </c>
      <c r="C950" s="59" t="s">
        <v>109</v>
      </c>
      <c r="D950" s="60" t="s">
        <v>110</v>
      </c>
      <c r="I950" s="72">
        <v>721</v>
      </c>
      <c r="J950" s="80">
        <f>+P928+P930+P932+P936+P938+P934</f>
        <v>216000</v>
      </c>
      <c r="K950" s="74">
        <f>+L911</f>
        <v>42212624</v>
      </c>
      <c r="L950" s="195">
        <f>+J950+K950</f>
        <v>42428624</v>
      </c>
    </row>
    <row r="951" spans="1:16" ht="12.75" customHeight="1">
      <c r="A951" s="71">
        <v>719</v>
      </c>
      <c r="B951" s="73">
        <f>0</f>
        <v>0</v>
      </c>
      <c r="C951" s="74" t="e">
        <f>+D912</f>
        <v>#REF!</v>
      </c>
      <c r="D951" s="195" t="e">
        <f>+B951+C951</f>
        <v>#REF!</v>
      </c>
      <c r="I951" s="72">
        <v>722</v>
      </c>
      <c r="J951" s="80"/>
      <c r="K951" s="74">
        <f>+L912</f>
        <v>0</v>
      </c>
      <c r="L951" s="195">
        <f>+J951+K951</f>
        <v>0</v>
      </c>
    </row>
    <row r="952" spans="1:16" ht="14.25" customHeight="1">
      <c r="A952" s="72">
        <v>721</v>
      </c>
      <c r="B952" s="80">
        <f>+H930</f>
        <v>0</v>
      </c>
      <c r="C952" s="74" t="e">
        <f>+D913</f>
        <v>#REF!</v>
      </c>
      <c r="D952" s="195" t="e">
        <f>+B952+C952</f>
        <v>#REF!</v>
      </c>
      <c r="I952" s="72">
        <v>723</v>
      </c>
      <c r="J952" s="80"/>
      <c r="K952" s="74">
        <f>+L913</f>
        <v>384819988</v>
      </c>
      <c r="L952" s="195">
        <f>+J952+K952</f>
        <v>384819988</v>
      </c>
      <c r="N952" s="918" t="s">
        <v>1481</v>
      </c>
      <c r="O952" s="918"/>
      <c r="P952" s="918"/>
    </row>
    <row r="953" spans="1:16" ht="13.5" customHeight="1" thickBot="1">
      <c r="A953" s="72">
        <v>722</v>
      </c>
      <c r="B953" s="80"/>
      <c r="C953" s="74">
        <f>+D914</f>
        <v>231207671</v>
      </c>
      <c r="D953" s="195">
        <f>+B953+C953</f>
        <v>231207671</v>
      </c>
      <c r="I953" s="164" t="s">
        <v>181</v>
      </c>
      <c r="J953" s="165"/>
      <c r="K953" s="74">
        <f>+L914</f>
        <v>0</v>
      </c>
      <c r="L953" s="196">
        <f>+J953+K953</f>
        <v>0</v>
      </c>
      <c r="N953" s="52"/>
    </row>
    <row r="954" spans="1:16" ht="16.5" thickBot="1">
      <c r="A954" s="72">
        <v>723</v>
      </c>
      <c r="B954" s="80">
        <f>+H929</f>
        <v>1764708</v>
      </c>
      <c r="C954" s="74">
        <f>+D915</f>
        <v>321428837</v>
      </c>
      <c r="D954" s="195">
        <f>+B954+C954</f>
        <v>323193545</v>
      </c>
      <c r="F954" s="174" t="s">
        <v>23</v>
      </c>
      <c r="G954" s="175"/>
      <c r="I954" s="169"/>
      <c r="J954" s="197">
        <f>SUM(J949:J953)</f>
        <v>1006000</v>
      </c>
      <c r="K954" s="197">
        <f>SUM(K949:K953)</f>
        <v>438902612</v>
      </c>
      <c r="L954" s="198">
        <f>SUM(L949:L953)</f>
        <v>439908612</v>
      </c>
    </row>
    <row r="955" spans="1:16" ht="17.25" thickBot="1">
      <c r="A955" s="164" t="s">
        <v>181</v>
      </c>
      <c r="B955" s="165"/>
      <c r="C955" s="74">
        <f>+D916</f>
        <v>1965625</v>
      </c>
      <c r="D955" s="196">
        <f>+B955+C955</f>
        <v>1965625</v>
      </c>
      <c r="F955" s="52"/>
      <c r="I955" s="49" t="s">
        <v>88</v>
      </c>
      <c r="J955" s="50"/>
    </row>
    <row r="956" spans="1:16" ht="16.5" thickBot="1">
      <c r="A956" s="169"/>
      <c r="B956" s="170">
        <f>SUM(B951:B955)</f>
        <v>1764708</v>
      </c>
      <c r="C956" s="171" t="e">
        <f>SUM(C951:C955)</f>
        <v>#REF!</v>
      </c>
      <c r="D956" s="172" t="e">
        <f>SUM(D951:D955)</f>
        <v>#REF!</v>
      </c>
      <c r="I956" s="51" t="s">
        <v>89</v>
      </c>
    </row>
    <row r="957" spans="1:16" ht="16.5">
      <c r="A957" s="49" t="s">
        <v>88</v>
      </c>
      <c r="B957" s="50"/>
      <c r="I957" s="51" t="s">
        <v>90</v>
      </c>
    </row>
    <row r="958" spans="1:16">
      <c r="A958" s="51" t="s">
        <v>89</v>
      </c>
      <c r="I958" s="51" t="s">
        <v>91</v>
      </c>
    </row>
    <row r="959" spans="1:16" ht="13.5" customHeight="1">
      <c r="A959" s="51" t="s">
        <v>90</v>
      </c>
      <c r="I959" s="50"/>
      <c r="J959" s="50"/>
    </row>
    <row r="960" spans="1:16" ht="16.5">
      <c r="A960" s="51" t="s">
        <v>91</v>
      </c>
      <c r="I960" s="52" t="s">
        <v>814</v>
      </c>
      <c r="O960" s="52"/>
    </row>
    <row r="961" spans="1:16" ht="13.5" customHeight="1">
      <c r="A961" s="50"/>
      <c r="B961" s="50"/>
      <c r="I961" s="53" t="s">
        <v>1333</v>
      </c>
      <c r="O961" s="53"/>
    </row>
    <row r="962" spans="1:16" ht="16.5">
      <c r="A962" s="52" t="s">
        <v>463</v>
      </c>
      <c r="G962" s="52"/>
      <c r="I962" s="894" t="s">
        <v>261</v>
      </c>
      <c r="J962" s="894"/>
      <c r="K962" s="894"/>
      <c r="L962" s="894"/>
      <c r="M962" s="894"/>
      <c r="N962" s="894"/>
      <c r="O962" s="894"/>
      <c r="P962" s="894"/>
    </row>
    <row r="963" spans="1:16" ht="13.5" customHeight="1" thickBot="1">
      <c r="A963" s="53" t="s">
        <v>92</v>
      </c>
      <c r="G963" s="53"/>
    </row>
    <row r="964" spans="1:16" ht="16.5">
      <c r="A964" s="894" t="s">
        <v>462</v>
      </c>
      <c r="B964" s="894"/>
      <c r="C964" s="894"/>
      <c r="D964" s="894"/>
      <c r="E964" s="894"/>
      <c r="F964" s="894"/>
      <c r="G964" s="894"/>
      <c r="H964" s="894"/>
      <c r="I964" s="895" t="s">
        <v>94</v>
      </c>
      <c r="J964" s="897" t="s">
        <v>95</v>
      </c>
      <c r="K964" s="897" t="s">
        <v>96</v>
      </c>
      <c r="L964" s="897" t="s">
        <v>3</v>
      </c>
      <c r="M964" s="897" t="s">
        <v>97</v>
      </c>
      <c r="N964" s="897" t="s">
        <v>98</v>
      </c>
      <c r="O964" s="897" t="s">
        <v>99</v>
      </c>
      <c r="P964" s="899"/>
    </row>
    <row r="965" spans="1:16" ht="15.75" thickBot="1">
      <c r="I965" s="896"/>
      <c r="J965" s="898"/>
      <c r="K965" s="898"/>
      <c r="L965" s="898"/>
      <c r="M965" s="898"/>
      <c r="N965" s="898"/>
      <c r="O965" s="240" t="s">
        <v>100</v>
      </c>
      <c r="P965" s="182" t="s">
        <v>101</v>
      </c>
    </row>
    <row r="966" spans="1:16" ht="12.75" customHeight="1">
      <c r="A966" s="895" t="s">
        <v>94</v>
      </c>
      <c r="B966" s="897" t="s">
        <v>95</v>
      </c>
      <c r="C966" s="897" t="s">
        <v>96</v>
      </c>
      <c r="D966" s="897" t="s">
        <v>3</v>
      </c>
      <c r="E966" s="897" t="s">
        <v>97</v>
      </c>
      <c r="F966" s="897" t="s">
        <v>98</v>
      </c>
      <c r="G966" s="897" t="s">
        <v>99</v>
      </c>
      <c r="H966" s="899"/>
      <c r="I966" s="873" t="s">
        <v>1519</v>
      </c>
      <c r="J966" s="875">
        <v>43007</v>
      </c>
      <c r="K966" s="881" t="s">
        <v>28</v>
      </c>
      <c r="L966" s="881" t="s">
        <v>1520</v>
      </c>
      <c r="M966" s="881" t="s">
        <v>115</v>
      </c>
      <c r="N966" s="883">
        <v>170000</v>
      </c>
      <c r="O966" s="55">
        <v>719</v>
      </c>
      <c r="P966" s="78">
        <v>170000</v>
      </c>
    </row>
    <row r="967" spans="1:16" ht="12.75" customHeight="1" thickBot="1">
      <c r="A967" s="896"/>
      <c r="B967" s="898"/>
      <c r="C967" s="898"/>
      <c r="D967" s="898"/>
      <c r="E967" s="898"/>
      <c r="F967" s="898"/>
      <c r="G967" s="240" t="s">
        <v>100</v>
      </c>
      <c r="H967" s="182" t="s">
        <v>101</v>
      </c>
      <c r="I967" s="874"/>
      <c r="J967" s="876"/>
      <c r="K967" s="882"/>
      <c r="L967" s="882"/>
      <c r="M967" s="882"/>
      <c r="N967" s="884"/>
      <c r="O967" s="56">
        <v>721</v>
      </c>
      <c r="P967" s="79">
        <f>+N966-P966</f>
        <v>0</v>
      </c>
    </row>
    <row r="968" spans="1:16" ht="13.5" customHeight="1">
      <c r="A968" s="881" t="e">
        <f>+A929+1</f>
        <v>#REF!</v>
      </c>
      <c r="B968" s="875">
        <v>42332</v>
      </c>
      <c r="C968" s="877" t="s">
        <v>272</v>
      </c>
      <c r="D968" s="881" t="s">
        <v>467</v>
      </c>
      <c r="E968" s="881" t="s">
        <v>115</v>
      </c>
      <c r="F968" s="883">
        <v>120000</v>
      </c>
      <c r="G968" s="55">
        <v>719</v>
      </c>
      <c r="H968" s="78">
        <f>+F968</f>
        <v>120000</v>
      </c>
      <c r="I968" s="881">
        <f>+I966+1</f>
        <v>122</v>
      </c>
      <c r="J968" s="875">
        <v>43007</v>
      </c>
      <c r="K968" s="881" t="s">
        <v>28</v>
      </c>
      <c r="L968" s="881" t="s">
        <v>1517</v>
      </c>
      <c r="M968" s="881" t="s">
        <v>115</v>
      </c>
      <c r="N968" s="883">
        <v>160000</v>
      </c>
      <c r="O968" s="55">
        <v>719</v>
      </c>
      <c r="P968" s="78">
        <v>160000</v>
      </c>
    </row>
    <row r="969" spans="1:16" ht="13.5" customHeight="1" thickBot="1">
      <c r="A969" s="882"/>
      <c r="B969" s="876"/>
      <c r="C969" s="878"/>
      <c r="D969" s="882"/>
      <c r="E969" s="882"/>
      <c r="F969" s="884"/>
      <c r="G969" s="56">
        <v>721</v>
      </c>
      <c r="H969" s="79">
        <f>+F968-H968</f>
        <v>0</v>
      </c>
      <c r="I969" s="882"/>
      <c r="J969" s="876"/>
      <c r="K969" s="882"/>
      <c r="L969" s="882"/>
      <c r="M969" s="882"/>
      <c r="N969" s="884"/>
      <c r="O969" s="56">
        <v>721</v>
      </c>
      <c r="P969" s="79">
        <f>+N968-P968</f>
        <v>0</v>
      </c>
    </row>
    <row r="970" spans="1:16" ht="12.75" customHeight="1">
      <c r="A970" s="881" t="e">
        <f>+A968+1</f>
        <v>#REF!</v>
      </c>
      <c r="B970" s="875">
        <v>42332</v>
      </c>
      <c r="C970" s="881" t="s">
        <v>28</v>
      </c>
      <c r="D970" s="881" t="s">
        <v>466</v>
      </c>
      <c r="E970" s="881" t="s">
        <v>115</v>
      </c>
      <c r="F970" s="883">
        <v>50000</v>
      </c>
      <c r="G970" s="55">
        <v>719</v>
      </c>
      <c r="H970" s="78">
        <v>50000</v>
      </c>
      <c r="I970" s="881">
        <f>+I968+1</f>
        <v>123</v>
      </c>
      <c r="J970" s="875">
        <v>43007</v>
      </c>
      <c r="K970" s="881" t="s">
        <v>815</v>
      </c>
      <c r="L970" s="881" t="s">
        <v>1521</v>
      </c>
      <c r="M970" s="881" t="s">
        <v>115</v>
      </c>
      <c r="N970" s="883">
        <v>240000</v>
      </c>
      <c r="O970" s="55">
        <v>719</v>
      </c>
      <c r="P970" s="78">
        <v>240000</v>
      </c>
    </row>
    <row r="971" spans="1:16" ht="10.5" customHeight="1" thickBot="1">
      <c r="A971" s="882"/>
      <c r="B971" s="876"/>
      <c r="C971" s="882"/>
      <c r="D971" s="882"/>
      <c r="E971" s="882"/>
      <c r="F971" s="884"/>
      <c r="G971" s="56">
        <v>721</v>
      </c>
      <c r="H971" s="79">
        <f>+F970-H970</f>
        <v>0</v>
      </c>
      <c r="I971" s="882"/>
      <c r="J971" s="876"/>
      <c r="K971" s="882"/>
      <c r="L971" s="882"/>
      <c r="M971" s="882"/>
      <c r="N971" s="884"/>
      <c r="O971" s="56">
        <v>721</v>
      </c>
      <c r="P971" s="79">
        <f>+N970-P970</f>
        <v>0</v>
      </c>
    </row>
    <row r="972" spans="1:16" ht="11.25" customHeight="1">
      <c r="A972" s="251"/>
      <c r="B972" s="252"/>
      <c r="C972" s="251"/>
      <c r="D972" s="251"/>
      <c r="E972" s="251"/>
      <c r="F972" s="254"/>
      <c r="G972" s="255"/>
      <c r="H972" s="256"/>
      <c r="I972" s="881">
        <f>+I970+1</f>
        <v>124</v>
      </c>
      <c r="J972" s="875">
        <v>43007</v>
      </c>
      <c r="K972" s="881" t="s">
        <v>815</v>
      </c>
      <c r="L972" s="881" t="s">
        <v>1522</v>
      </c>
      <c r="M972" s="881" t="s">
        <v>115</v>
      </c>
      <c r="N972" s="883">
        <v>350000</v>
      </c>
      <c r="O972" s="55">
        <v>719</v>
      </c>
      <c r="P972" s="78">
        <v>350000</v>
      </c>
    </row>
    <row r="973" spans="1:16" ht="12" customHeight="1" thickBot="1">
      <c r="A973" s="251"/>
      <c r="B973" s="252"/>
      <c r="C973" s="251"/>
      <c r="D973" s="251"/>
      <c r="E973" s="251"/>
      <c r="F973" s="254"/>
      <c r="G973" s="255"/>
      <c r="H973" s="256"/>
      <c r="I973" s="882"/>
      <c r="J973" s="876"/>
      <c r="K973" s="882"/>
      <c r="L973" s="882"/>
      <c r="M973" s="882"/>
      <c r="N973" s="884"/>
      <c r="O973" s="56">
        <v>721</v>
      </c>
      <c r="P973" s="79">
        <f>+N972-P972</f>
        <v>0</v>
      </c>
    </row>
    <row r="974" spans="1:16" ht="11.25" customHeight="1">
      <c r="A974" s="881" t="e">
        <f>+A970+1</f>
        <v>#REF!</v>
      </c>
      <c r="B974" s="875">
        <v>42332</v>
      </c>
      <c r="C974" s="877" t="s">
        <v>32</v>
      </c>
      <c r="D974" s="881" t="s">
        <v>465</v>
      </c>
      <c r="E974" s="881" t="s">
        <v>115</v>
      </c>
      <c r="F974" s="883">
        <v>20000</v>
      </c>
      <c r="G974" s="55">
        <v>719</v>
      </c>
      <c r="H974" s="78">
        <v>20000</v>
      </c>
      <c r="I974" s="881">
        <f>+I972+1</f>
        <v>125</v>
      </c>
      <c r="J974" s="875">
        <v>43007</v>
      </c>
      <c r="K974" s="881" t="s">
        <v>815</v>
      </c>
      <c r="L974" s="881" t="s">
        <v>1523</v>
      </c>
      <c r="M974" s="881" t="s">
        <v>115</v>
      </c>
      <c r="N974" s="883">
        <v>320000</v>
      </c>
      <c r="O974" s="55">
        <v>719</v>
      </c>
      <c r="P974" s="78">
        <v>320000</v>
      </c>
    </row>
    <row r="975" spans="1:16" ht="12.75" customHeight="1" thickBot="1">
      <c r="A975" s="882"/>
      <c r="B975" s="876"/>
      <c r="C975" s="878"/>
      <c r="D975" s="882"/>
      <c r="E975" s="882"/>
      <c r="F975" s="884"/>
      <c r="G975" s="56">
        <v>721</v>
      </c>
      <c r="H975" s="79">
        <f>+F974-H974</f>
        <v>0</v>
      </c>
      <c r="I975" s="882"/>
      <c r="J975" s="876"/>
      <c r="K975" s="882"/>
      <c r="L975" s="882"/>
      <c r="M975" s="882"/>
      <c r="N975" s="884"/>
      <c r="O975" s="56">
        <v>721</v>
      </c>
      <c r="P975" s="79">
        <f>+N974-P974</f>
        <v>0</v>
      </c>
    </row>
    <row r="976" spans="1:16" ht="13.5" customHeight="1">
      <c r="A976" s="881" t="e">
        <f>+A974+1</f>
        <v>#REF!</v>
      </c>
      <c r="B976" s="875">
        <v>42332</v>
      </c>
      <c r="C976" s="877" t="s">
        <v>120</v>
      </c>
      <c r="D976" s="881" t="s">
        <v>464</v>
      </c>
      <c r="E976" s="881" t="s">
        <v>115</v>
      </c>
      <c r="F976" s="883">
        <v>120000</v>
      </c>
      <c r="G976" s="55">
        <v>719</v>
      </c>
      <c r="H976" s="78">
        <v>120000</v>
      </c>
      <c r="I976" s="881"/>
      <c r="J976" s="875"/>
      <c r="K976" s="881"/>
      <c r="L976" s="881"/>
      <c r="M976" s="881"/>
      <c r="N976" s="883"/>
      <c r="O976" s="55">
        <v>719</v>
      </c>
      <c r="P976" s="78">
        <v>0</v>
      </c>
    </row>
    <row r="977" spans="1:16" ht="13.5" customHeight="1" thickBot="1">
      <c r="A977" s="882"/>
      <c r="B977" s="876"/>
      <c r="C977" s="878"/>
      <c r="D977" s="882"/>
      <c r="E977" s="882"/>
      <c r="F977" s="884"/>
      <c r="G977" s="56">
        <v>721</v>
      </c>
      <c r="H977" s="79">
        <f>+F976-H976</f>
        <v>0</v>
      </c>
      <c r="I977" s="882"/>
      <c r="J977" s="876"/>
      <c r="K977" s="882"/>
      <c r="L977" s="882"/>
      <c r="M977" s="882"/>
      <c r="N977" s="884"/>
      <c r="O977" s="56">
        <v>721</v>
      </c>
      <c r="P977" s="79">
        <f>+N976-P976</f>
        <v>0</v>
      </c>
    </row>
    <row r="978" spans="1:16" ht="16.5" thickBot="1">
      <c r="A978" s="881"/>
      <c r="B978" s="875"/>
      <c r="C978" s="877"/>
      <c r="D978" s="881"/>
      <c r="E978" s="881"/>
      <c r="F978" s="883"/>
      <c r="G978" s="55">
        <v>719</v>
      </c>
      <c r="H978" s="78"/>
      <c r="I978" s="901" t="s">
        <v>102</v>
      </c>
      <c r="J978" s="902"/>
      <c r="K978" s="902"/>
      <c r="L978" s="902"/>
      <c r="M978" s="903"/>
      <c r="N978" s="81">
        <f>SUM(N966:N977)</f>
        <v>1240000</v>
      </c>
    </row>
    <row r="979" spans="1:16" ht="16.5" thickBot="1">
      <c r="A979" s="882"/>
      <c r="B979" s="876"/>
      <c r="C979" s="878"/>
      <c r="D979" s="882"/>
      <c r="E979" s="882"/>
      <c r="F979" s="884"/>
      <c r="G979" s="56">
        <v>721</v>
      </c>
      <c r="H979" s="79">
        <f>+F978-H978</f>
        <v>0</v>
      </c>
      <c r="I979" s="885" t="s">
        <v>103</v>
      </c>
      <c r="J979" s="886"/>
      <c r="K979" s="886"/>
      <c r="L979" s="886"/>
      <c r="M979" s="887"/>
      <c r="N979" s="239">
        <f>+N941</f>
        <v>405393238</v>
      </c>
      <c r="O979" s="241" t="s">
        <v>561</v>
      </c>
      <c r="P979" s="242">
        <f>701+647+663+279+406+423</f>
        <v>3119</v>
      </c>
    </row>
    <row r="980" spans="1:16" ht="16.5" thickBot="1">
      <c r="A980" s="901" t="s">
        <v>102</v>
      </c>
      <c r="B980" s="902"/>
      <c r="C980" s="902"/>
      <c r="D980" s="902"/>
      <c r="E980" s="903"/>
      <c r="F980" s="81">
        <f>SUM(F968:F979)</f>
        <v>310000</v>
      </c>
      <c r="I980" s="888" t="s">
        <v>104</v>
      </c>
      <c r="J980" s="889"/>
      <c r="K980" s="889"/>
      <c r="L980" s="889"/>
      <c r="M980" s="890"/>
      <c r="N980" s="183">
        <f>SUM(N978:N979)</f>
        <v>406633238</v>
      </c>
    </row>
    <row r="981" spans="1:16" ht="12.75" customHeight="1" thickBot="1">
      <c r="A981" s="885" t="s">
        <v>103</v>
      </c>
      <c r="B981" s="886"/>
      <c r="C981" s="886"/>
      <c r="D981" s="886"/>
      <c r="E981" s="887"/>
      <c r="F981" s="69">
        <f>+F943</f>
        <v>657277638</v>
      </c>
      <c r="I981" s="61"/>
      <c r="J981" s="61"/>
      <c r="K981" s="61"/>
      <c r="L981" s="61"/>
      <c r="M981" s="61"/>
    </row>
    <row r="982" spans="1:16" ht="16.5" thickBot="1">
      <c r="A982" s="888" t="s">
        <v>104</v>
      </c>
      <c r="B982" s="889"/>
      <c r="C982" s="889"/>
      <c r="D982" s="889"/>
      <c r="E982" s="890"/>
      <c r="F982" s="183">
        <f>SUM(F980:F981)</f>
        <v>657587638</v>
      </c>
      <c r="I982" s="51" t="s">
        <v>1525</v>
      </c>
    </row>
    <row r="983" spans="1:16" ht="7.5" customHeight="1">
      <c r="A983" s="61"/>
      <c r="B983" s="61"/>
      <c r="C983" s="61"/>
      <c r="D983" s="61"/>
      <c r="E983" s="61"/>
      <c r="N983" s="139"/>
    </row>
    <row r="984" spans="1:16">
      <c r="A984" s="51" t="s">
        <v>468</v>
      </c>
      <c r="I984" s="50" t="s">
        <v>105</v>
      </c>
      <c r="L984" s="146"/>
      <c r="N984" s="139"/>
    </row>
    <row r="985" spans="1:16" ht="12" customHeight="1" thickBot="1">
      <c r="F985" s="139"/>
    </row>
    <row r="986" spans="1:16" ht="15.75" customHeight="1" thickBot="1">
      <c r="A986" s="50" t="s">
        <v>105</v>
      </c>
      <c r="D986" s="146"/>
      <c r="F986" s="139"/>
      <c r="I986" s="891" t="s">
        <v>106</v>
      </c>
      <c r="J986" s="892"/>
      <c r="K986" s="892"/>
      <c r="L986" s="893"/>
      <c r="N986" s="50" t="s">
        <v>288</v>
      </c>
    </row>
    <row r="987" spans="1:16" ht="12" customHeight="1" thickBot="1">
      <c r="I987" s="57" t="s">
        <v>100</v>
      </c>
      <c r="J987" s="58" t="s">
        <v>108</v>
      </c>
      <c r="K987" s="59" t="s">
        <v>109</v>
      </c>
      <c r="L987" s="60" t="s">
        <v>110</v>
      </c>
    </row>
    <row r="988" spans="1:16" ht="14.25" customHeight="1" thickBot="1">
      <c r="A988" s="891" t="s">
        <v>106</v>
      </c>
      <c r="B988" s="892"/>
      <c r="C988" s="892"/>
      <c r="D988" s="893"/>
      <c r="F988" s="50" t="s">
        <v>288</v>
      </c>
      <c r="I988" s="71">
        <v>719</v>
      </c>
      <c r="J988" s="73">
        <f>+P966+P968+P970+P974+P976+P972</f>
        <v>1240000</v>
      </c>
      <c r="K988" s="74">
        <f>+L949</f>
        <v>12660000</v>
      </c>
      <c r="L988" s="195">
        <f>+J988+K988</f>
        <v>13900000</v>
      </c>
    </row>
    <row r="989" spans="1:16" ht="14.25" customHeight="1" thickBot="1">
      <c r="A989" s="57" t="s">
        <v>100</v>
      </c>
      <c r="B989" s="58" t="s">
        <v>108</v>
      </c>
      <c r="C989" s="59" t="s">
        <v>109</v>
      </c>
      <c r="D989" s="60" t="s">
        <v>110</v>
      </c>
      <c r="I989" s="72">
        <v>721</v>
      </c>
      <c r="J989" s="80">
        <f>+P967+P969+P971+P975+P977</f>
        <v>0</v>
      </c>
      <c r="K989" s="74">
        <f>+L950</f>
        <v>42428624</v>
      </c>
      <c r="L989" s="195">
        <f>+J989+K989</f>
        <v>42428624</v>
      </c>
    </row>
    <row r="990" spans="1:16" ht="15.75" customHeight="1">
      <c r="A990" s="71">
        <v>719</v>
      </c>
      <c r="B990" s="73">
        <f>+H968+H970+H974+H976</f>
        <v>310000</v>
      </c>
      <c r="C990" s="74" t="e">
        <f>+D951</f>
        <v>#REF!</v>
      </c>
      <c r="D990" s="195" t="e">
        <f>+B990+C990</f>
        <v>#REF!</v>
      </c>
      <c r="I990" s="72">
        <v>722</v>
      </c>
      <c r="J990" s="80"/>
      <c r="K990" s="74">
        <f>+L951</f>
        <v>0</v>
      </c>
      <c r="L990" s="195">
        <f>+J990+K990</f>
        <v>0</v>
      </c>
    </row>
    <row r="991" spans="1:16" ht="13.5" customHeight="1">
      <c r="A991" s="72">
        <v>721</v>
      </c>
      <c r="B991" s="80">
        <f>+H969</f>
        <v>0</v>
      </c>
      <c r="C991" s="74" t="e">
        <f>+D952</f>
        <v>#REF!</v>
      </c>
      <c r="D991" s="195" t="e">
        <f>+B991+C991</f>
        <v>#REF!</v>
      </c>
      <c r="I991" s="72">
        <v>723</v>
      </c>
      <c r="J991" s="80"/>
      <c r="K991" s="74">
        <f>+L952</f>
        <v>384819988</v>
      </c>
      <c r="L991" s="195">
        <f>+J991+K991</f>
        <v>384819988</v>
      </c>
      <c r="N991" s="918" t="s">
        <v>1481</v>
      </c>
      <c r="O991" s="918"/>
      <c r="P991" s="918"/>
    </row>
    <row r="992" spans="1:16" ht="14.25" customHeight="1" thickBot="1">
      <c r="A992" s="72">
        <v>722</v>
      </c>
      <c r="B992" s="80"/>
      <c r="C992" s="74">
        <f>+D953</f>
        <v>231207671</v>
      </c>
      <c r="D992" s="195">
        <f>+B992+C992</f>
        <v>231207671</v>
      </c>
      <c r="I992" s="164" t="s">
        <v>181</v>
      </c>
      <c r="J992" s="165"/>
      <c r="K992" s="74">
        <f>+L953</f>
        <v>0</v>
      </c>
      <c r="L992" s="196">
        <f>+J992+K992</f>
        <v>0</v>
      </c>
      <c r="N992" s="52"/>
    </row>
    <row r="993" spans="1:16" ht="16.5" customHeight="1" thickBot="1">
      <c r="A993" s="72">
        <v>723</v>
      </c>
      <c r="B993" s="80"/>
      <c r="C993" s="74">
        <f>+D954</f>
        <v>323193545</v>
      </c>
      <c r="D993" s="195">
        <f>+B993+C993</f>
        <v>323193545</v>
      </c>
      <c r="F993" s="174" t="s">
        <v>23</v>
      </c>
      <c r="G993" s="175"/>
      <c r="I993" s="169"/>
      <c r="J993" s="197">
        <f>SUM(J988:J992)</f>
        <v>1240000</v>
      </c>
      <c r="K993" s="197">
        <f>SUM(K988:K992)</f>
        <v>439908612</v>
      </c>
      <c r="L993" s="198">
        <f>SUM(L988:L992)</f>
        <v>441148612</v>
      </c>
    </row>
    <row r="994" spans="1:16" ht="16.5" customHeight="1" thickBot="1">
      <c r="A994" s="164" t="s">
        <v>181</v>
      </c>
      <c r="B994" s="165"/>
      <c r="C994" s="74">
        <f>+D955</f>
        <v>1965625</v>
      </c>
      <c r="D994" s="196">
        <f>+B994+C994</f>
        <v>1965625</v>
      </c>
      <c r="F994" s="52"/>
      <c r="I994" s="49" t="s">
        <v>88</v>
      </c>
      <c r="J994" s="50"/>
    </row>
    <row r="995" spans="1:16" ht="16.5" thickBot="1">
      <c r="A995" s="169"/>
      <c r="B995" s="170">
        <f>SUM(B990:B994)</f>
        <v>310000</v>
      </c>
      <c r="C995" s="171" t="e">
        <f>SUM(C990:C994)</f>
        <v>#REF!</v>
      </c>
      <c r="D995" s="172" t="e">
        <f>SUM(D990:D994)</f>
        <v>#REF!</v>
      </c>
      <c r="I995" s="51" t="s">
        <v>89</v>
      </c>
    </row>
    <row r="996" spans="1:16" ht="16.5">
      <c r="A996" s="49" t="s">
        <v>88</v>
      </c>
      <c r="B996" s="50"/>
      <c r="I996" s="51" t="s">
        <v>90</v>
      </c>
    </row>
    <row r="997" spans="1:16">
      <c r="A997" s="51" t="s">
        <v>89</v>
      </c>
      <c r="I997" s="51" t="s">
        <v>91</v>
      </c>
    </row>
    <row r="998" spans="1:16" ht="15" customHeight="1">
      <c r="A998" s="51" t="s">
        <v>90</v>
      </c>
      <c r="I998" s="50"/>
      <c r="J998" s="50"/>
    </row>
    <row r="999" spans="1:16" ht="16.5">
      <c r="A999" s="51" t="s">
        <v>91</v>
      </c>
      <c r="I999" s="52" t="s">
        <v>836</v>
      </c>
      <c r="O999" s="52"/>
    </row>
    <row r="1000" spans="1:16" ht="14.25" customHeight="1">
      <c r="A1000" s="50"/>
      <c r="B1000" s="50"/>
      <c r="I1000" s="53" t="s">
        <v>535</v>
      </c>
      <c r="O1000" s="53"/>
    </row>
    <row r="1001" spans="1:16" ht="16.5">
      <c r="A1001" s="52" t="s">
        <v>470</v>
      </c>
      <c r="G1001" s="52"/>
      <c r="I1001" s="894" t="s">
        <v>261</v>
      </c>
      <c r="J1001" s="894"/>
      <c r="K1001" s="894"/>
      <c r="L1001" s="894"/>
      <c r="M1001" s="894"/>
      <c r="N1001" s="894"/>
      <c r="O1001" s="894"/>
      <c r="P1001" s="894"/>
    </row>
    <row r="1002" spans="1:16" ht="17.25" customHeight="1" thickBot="1">
      <c r="A1002" s="53" t="s">
        <v>92</v>
      </c>
      <c r="G1002" s="53"/>
    </row>
    <row r="1003" spans="1:16" ht="16.5">
      <c r="A1003" s="894" t="s">
        <v>462</v>
      </c>
      <c r="B1003" s="894"/>
      <c r="C1003" s="894"/>
      <c r="D1003" s="894"/>
      <c r="E1003" s="894"/>
      <c r="F1003" s="894"/>
      <c r="G1003" s="894"/>
      <c r="H1003" s="894"/>
      <c r="I1003" s="895" t="s">
        <v>94</v>
      </c>
      <c r="J1003" s="897" t="s">
        <v>95</v>
      </c>
      <c r="K1003" s="897" t="s">
        <v>96</v>
      </c>
      <c r="L1003" s="897" t="s">
        <v>3</v>
      </c>
      <c r="M1003" s="897" t="s">
        <v>97</v>
      </c>
      <c r="N1003" s="897" t="s">
        <v>98</v>
      </c>
      <c r="O1003" s="897" t="s">
        <v>99</v>
      </c>
      <c r="P1003" s="899"/>
    </row>
    <row r="1004" spans="1:16" ht="15.75" thickBot="1">
      <c r="I1004" s="896"/>
      <c r="J1004" s="898"/>
      <c r="K1004" s="898"/>
      <c r="L1004" s="898"/>
      <c r="M1004" s="898"/>
      <c r="N1004" s="898"/>
      <c r="O1004" s="240" t="s">
        <v>100</v>
      </c>
      <c r="P1004" s="182" t="s">
        <v>101</v>
      </c>
    </row>
    <row r="1005" spans="1:16" ht="14.25" customHeight="1">
      <c r="A1005" s="895" t="s">
        <v>94</v>
      </c>
      <c r="B1005" s="897" t="s">
        <v>95</v>
      </c>
      <c r="C1005" s="897" t="s">
        <v>96</v>
      </c>
      <c r="D1005" s="897" t="s">
        <v>3</v>
      </c>
      <c r="E1005" s="897" t="s">
        <v>97</v>
      </c>
      <c r="F1005" s="897" t="s">
        <v>98</v>
      </c>
      <c r="G1005" s="897" t="s">
        <v>99</v>
      </c>
      <c r="H1005" s="899"/>
      <c r="I1005" s="881">
        <v>126</v>
      </c>
      <c r="J1005" s="875">
        <v>43007</v>
      </c>
      <c r="K1005" s="881" t="s">
        <v>28</v>
      </c>
      <c r="L1005" s="881" t="s">
        <v>1524</v>
      </c>
      <c r="M1005" s="881" t="s">
        <v>148</v>
      </c>
      <c r="N1005" s="883">
        <v>1001000</v>
      </c>
      <c r="O1005" s="55">
        <v>719</v>
      </c>
      <c r="P1005" s="78">
        <v>770000</v>
      </c>
    </row>
    <row r="1006" spans="1:16" ht="12" customHeight="1" thickBot="1">
      <c r="A1006" s="896"/>
      <c r="B1006" s="898"/>
      <c r="C1006" s="898"/>
      <c r="D1006" s="898"/>
      <c r="E1006" s="898"/>
      <c r="F1006" s="898"/>
      <c r="G1006" s="240" t="s">
        <v>100</v>
      </c>
      <c r="H1006" s="182" t="s">
        <v>101</v>
      </c>
      <c r="I1006" s="882"/>
      <c r="J1006" s="876"/>
      <c r="K1006" s="882"/>
      <c r="L1006" s="882"/>
      <c r="M1006" s="882"/>
      <c r="N1006" s="884"/>
      <c r="O1006" s="56">
        <v>721</v>
      </c>
      <c r="P1006" s="79">
        <f>+N1005-P1005</f>
        <v>231000</v>
      </c>
    </row>
    <row r="1007" spans="1:16" ht="12.75" customHeight="1">
      <c r="A1007" s="881" t="e">
        <f>+A968+1</f>
        <v>#REF!</v>
      </c>
      <c r="B1007" s="875">
        <v>42345</v>
      </c>
      <c r="C1007" s="877" t="s">
        <v>267</v>
      </c>
      <c r="D1007" s="881" t="s">
        <v>475</v>
      </c>
      <c r="E1007" s="881" t="s">
        <v>148</v>
      </c>
      <c r="F1007" s="883">
        <v>420000</v>
      </c>
      <c r="G1007" s="55">
        <v>719</v>
      </c>
      <c r="H1007" s="78">
        <f>+F1007-H1008</f>
        <v>300000</v>
      </c>
      <c r="I1007" s="873" t="s">
        <v>1526</v>
      </c>
      <c r="J1007" s="875">
        <v>43007</v>
      </c>
      <c r="K1007" s="881" t="s">
        <v>28</v>
      </c>
      <c r="L1007" s="881" t="s">
        <v>1522</v>
      </c>
      <c r="M1007" s="881" t="s">
        <v>148</v>
      </c>
      <c r="N1007" s="883">
        <v>637000</v>
      </c>
      <c r="O1007" s="55">
        <v>719</v>
      </c>
      <c r="P1007" s="78">
        <v>430000</v>
      </c>
    </row>
    <row r="1008" spans="1:16" ht="13.5" customHeight="1" thickBot="1">
      <c r="A1008" s="882"/>
      <c r="B1008" s="876"/>
      <c r="C1008" s="878"/>
      <c r="D1008" s="882"/>
      <c r="E1008" s="882"/>
      <c r="F1008" s="884"/>
      <c r="G1008" s="56">
        <v>721</v>
      </c>
      <c r="H1008" s="79">
        <v>120000</v>
      </c>
      <c r="I1008" s="874"/>
      <c r="J1008" s="876"/>
      <c r="K1008" s="882"/>
      <c r="L1008" s="882"/>
      <c r="M1008" s="882"/>
      <c r="N1008" s="884"/>
      <c r="O1008" s="56">
        <v>721</v>
      </c>
      <c r="P1008" s="79">
        <f>+N1007-P1007</f>
        <v>207000</v>
      </c>
    </row>
    <row r="1009" spans="1:16" ht="13.5" customHeight="1">
      <c r="A1009" s="881" t="e">
        <f>+A1007+1</f>
        <v>#REF!</v>
      </c>
      <c r="B1009" s="875">
        <v>42345</v>
      </c>
      <c r="C1009" s="881" t="s">
        <v>28</v>
      </c>
      <c r="D1009" s="881" t="s">
        <v>476</v>
      </c>
      <c r="E1009" s="881" t="s">
        <v>148</v>
      </c>
      <c r="F1009" s="883">
        <v>714000</v>
      </c>
      <c r="G1009" s="55">
        <v>719</v>
      </c>
      <c r="H1009" s="78">
        <v>510000</v>
      </c>
      <c r="I1009" s="431">
        <f>+I1007+1</f>
        <v>128</v>
      </c>
      <c r="J1009" s="429">
        <v>43007</v>
      </c>
      <c r="K1009" s="881" t="s">
        <v>28</v>
      </c>
      <c r="L1009" s="881" t="s">
        <v>1527</v>
      </c>
      <c r="M1009" s="881" t="s">
        <v>148</v>
      </c>
      <c r="N1009" s="883">
        <v>559000</v>
      </c>
      <c r="O1009" s="55">
        <v>719</v>
      </c>
      <c r="P1009" s="78">
        <v>440000</v>
      </c>
    </row>
    <row r="1010" spans="1:16" ht="13.5" customHeight="1" thickBot="1">
      <c r="A1010" s="882"/>
      <c r="B1010" s="876"/>
      <c r="C1010" s="882"/>
      <c r="D1010" s="882"/>
      <c r="E1010" s="882"/>
      <c r="F1010" s="884"/>
      <c r="G1010" s="56">
        <v>721</v>
      </c>
      <c r="H1010" s="79">
        <f>+F1009-H1009</f>
        <v>204000</v>
      </c>
      <c r="I1010" s="432"/>
      <c r="J1010" s="430"/>
      <c r="K1010" s="882"/>
      <c r="L1010" s="882"/>
      <c r="M1010" s="882"/>
      <c r="N1010" s="884"/>
      <c r="O1010" s="56">
        <v>721</v>
      </c>
      <c r="P1010" s="79">
        <f>+N1009-P1009</f>
        <v>119000</v>
      </c>
    </row>
    <row r="1011" spans="1:16" ht="13.5" customHeight="1">
      <c r="A1011" s="881" t="e">
        <f>+A1009+1</f>
        <v>#REF!</v>
      </c>
      <c r="B1011" s="875">
        <v>42345</v>
      </c>
      <c r="C1011" s="877" t="s">
        <v>32</v>
      </c>
      <c r="D1011" s="881" t="s">
        <v>476</v>
      </c>
      <c r="E1011" s="881" t="s">
        <v>148</v>
      </c>
      <c r="F1011" s="883">
        <v>140000</v>
      </c>
      <c r="G1011" s="55">
        <v>719</v>
      </c>
      <c r="H1011" s="78">
        <v>100000</v>
      </c>
      <c r="I1011" s="431">
        <f>+I1009+1</f>
        <v>129</v>
      </c>
      <c r="J1011" s="429">
        <v>43007</v>
      </c>
      <c r="K1011" s="881" t="s">
        <v>28</v>
      </c>
      <c r="L1011" s="881" t="s">
        <v>1528</v>
      </c>
      <c r="M1011" s="881" t="s">
        <v>148</v>
      </c>
      <c r="N1011" s="883">
        <v>572000</v>
      </c>
      <c r="O1011" s="55">
        <v>719</v>
      </c>
      <c r="P1011" s="78">
        <v>480000</v>
      </c>
    </row>
    <row r="1012" spans="1:16" ht="12.75" customHeight="1" thickBot="1">
      <c r="A1012" s="882"/>
      <c r="B1012" s="876"/>
      <c r="C1012" s="878"/>
      <c r="D1012" s="882"/>
      <c r="E1012" s="882"/>
      <c r="F1012" s="884"/>
      <c r="G1012" s="56">
        <v>721</v>
      </c>
      <c r="H1012" s="79">
        <f>+F1011-H1011</f>
        <v>40000</v>
      </c>
      <c r="I1012" s="432"/>
      <c r="J1012" s="430"/>
      <c r="K1012" s="882"/>
      <c r="L1012" s="882"/>
      <c r="M1012" s="882"/>
      <c r="N1012" s="884"/>
      <c r="O1012" s="56">
        <v>721</v>
      </c>
      <c r="P1012" s="79">
        <f>+N1011-P1011</f>
        <v>92000</v>
      </c>
    </row>
    <row r="1013" spans="1:16" ht="13.5" customHeight="1">
      <c r="A1013" s="881" t="e">
        <f>+A1011+1</f>
        <v>#REF!</v>
      </c>
      <c r="B1013" s="875">
        <v>42345</v>
      </c>
      <c r="C1013" s="877" t="s">
        <v>111</v>
      </c>
      <c r="D1013" s="881" t="s">
        <v>474</v>
      </c>
      <c r="E1013" s="881" t="s">
        <v>148</v>
      </c>
      <c r="F1013" s="883">
        <v>336000</v>
      </c>
      <c r="G1013" s="55">
        <v>719</v>
      </c>
      <c r="H1013" s="78">
        <v>240000</v>
      </c>
      <c r="I1013" s="431">
        <f>+I1011+1</f>
        <v>130</v>
      </c>
      <c r="J1013" s="429">
        <v>43007</v>
      </c>
      <c r="K1013" s="881" t="s">
        <v>28</v>
      </c>
      <c r="L1013" s="881" t="s">
        <v>1529</v>
      </c>
      <c r="M1013" s="881" t="s">
        <v>148</v>
      </c>
      <c r="N1013" s="883">
        <v>624000</v>
      </c>
      <c r="O1013" s="55">
        <v>719</v>
      </c>
      <c r="P1013" s="78">
        <v>480000</v>
      </c>
    </row>
    <row r="1014" spans="1:16" ht="14.25" customHeight="1" thickBot="1">
      <c r="A1014" s="882"/>
      <c r="B1014" s="876"/>
      <c r="C1014" s="878"/>
      <c r="D1014" s="882"/>
      <c r="E1014" s="882"/>
      <c r="F1014" s="884"/>
      <c r="G1014" s="56">
        <v>721</v>
      </c>
      <c r="H1014" s="79">
        <f>+F1013-H1013</f>
        <v>96000</v>
      </c>
      <c r="I1014" s="432"/>
      <c r="J1014" s="430"/>
      <c r="K1014" s="882"/>
      <c r="L1014" s="882"/>
      <c r="M1014" s="882"/>
      <c r="N1014" s="884"/>
      <c r="O1014" s="56">
        <v>721</v>
      </c>
      <c r="P1014" s="79">
        <f>+N1013-P1013</f>
        <v>144000</v>
      </c>
    </row>
    <row r="1015" spans="1:16" ht="16.5" customHeight="1" thickBot="1">
      <c r="A1015" s="881" t="e">
        <f>+A1013+1</f>
        <v>#REF!</v>
      </c>
      <c r="B1015" s="875">
        <v>42345</v>
      </c>
      <c r="C1015" s="877" t="s">
        <v>272</v>
      </c>
      <c r="D1015" s="881" t="s">
        <v>474</v>
      </c>
      <c r="E1015" s="881" t="s">
        <v>148</v>
      </c>
      <c r="F1015" s="883">
        <v>2058000</v>
      </c>
      <c r="G1015" s="55">
        <v>719</v>
      </c>
      <c r="H1015" s="78">
        <v>1470000</v>
      </c>
      <c r="I1015" s="901" t="s">
        <v>102</v>
      </c>
      <c r="J1015" s="902"/>
      <c r="K1015" s="902"/>
      <c r="L1015" s="902"/>
      <c r="M1015" s="903"/>
      <c r="N1015" s="81">
        <f>SUM(N1005:N1014)</f>
        <v>3393000</v>
      </c>
    </row>
    <row r="1016" spans="1:16" ht="16.5" customHeight="1" thickBot="1">
      <c r="A1016" s="882"/>
      <c r="B1016" s="876"/>
      <c r="C1016" s="878"/>
      <c r="D1016" s="882"/>
      <c r="E1016" s="882"/>
      <c r="F1016" s="884"/>
      <c r="G1016" s="56">
        <v>721</v>
      </c>
      <c r="H1016" s="79">
        <f>+F1015-H1015</f>
        <v>588000</v>
      </c>
      <c r="I1016" s="885" t="s">
        <v>103</v>
      </c>
      <c r="J1016" s="886"/>
      <c r="K1016" s="886"/>
      <c r="L1016" s="886"/>
      <c r="M1016" s="887"/>
      <c r="N1016" s="69">
        <f>+N980</f>
        <v>406633238</v>
      </c>
      <c r="O1016" s="241" t="s">
        <v>561</v>
      </c>
      <c r="P1016" s="242">
        <v>3326</v>
      </c>
    </row>
    <row r="1017" spans="1:16" ht="16.5" thickBot="1">
      <c r="A1017" s="901" t="s">
        <v>102</v>
      </c>
      <c r="B1017" s="902"/>
      <c r="C1017" s="902"/>
      <c r="D1017" s="902"/>
      <c r="E1017" s="903"/>
      <c r="F1017" s="81">
        <f>SUM(F1007:F1016)</f>
        <v>3668000</v>
      </c>
      <c r="I1017" s="888" t="s">
        <v>104</v>
      </c>
      <c r="J1017" s="889"/>
      <c r="K1017" s="889"/>
      <c r="L1017" s="889"/>
      <c r="M1017" s="890"/>
      <c r="N1017" s="183">
        <f>SUM(N1015:N1016)</f>
        <v>410026238</v>
      </c>
    </row>
    <row r="1018" spans="1:16" ht="16.5" thickBot="1">
      <c r="A1018" s="885" t="s">
        <v>103</v>
      </c>
      <c r="B1018" s="886"/>
      <c r="C1018" s="886"/>
      <c r="D1018" s="886"/>
      <c r="E1018" s="887"/>
      <c r="F1018" s="69">
        <f>+F982</f>
        <v>657587638</v>
      </c>
      <c r="I1018" s="61"/>
      <c r="J1018" s="61"/>
      <c r="K1018" s="61"/>
      <c r="L1018" s="61"/>
      <c r="M1018" s="61"/>
    </row>
    <row r="1019" spans="1:16" ht="16.5" thickBot="1">
      <c r="A1019" s="888" t="s">
        <v>104</v>
      </c>
      <c r="B1019" s="889"/>
      <c r="C1019" s="889"/>
      <c r="D1019" s="889"/>
      <c r="E1019" s="890"/>
      <c r="F1019" s="183">
        <f>SUM(F1017:F1018)</f>
        <v>661255638</v>
      </c>
      <c r="I1019" s="51" t="s">
        <v>843</v>
      </c>
    </row>
    <row r="1020" spans="1:16" ht="8.25" customHeight="1">
      <c r="A1020" s="61"/>
      <c r="B1020" s="61"/>
      <c r="C1020" s="61"/>
      <c r="D1020" s="61"/>
      <c r="E1020" s="61"/>
      <c r="N1020" s="139"/>
    </row>
    <row r="1021" spans="1:16" ht="18" customHeight="1">
      <c r="A1021" s="51" t="s">
        <v>477</v>
      </c>
      <c r="I1021" s="50" t="s">
        <v>105</v>
      </c>
      <c r="L1021" s="146"/>
      <c r="N1021" s="139"/>
    </row>
    <row r="1022" spans="1:16" ht="9.75" customHeight="1" thickBot="1">
      <c r="F1022" s="139"/>
    </row>
    <row r="1023" spans="1:16" ht="16.5" customHeight="1" thickBot="1">
      <c r="A1023" s="50" t="s">
        <v>105</v>
      </c>
      <c r="D1023" s="146"/>
      <c r="F1023" s="139"/>
      <c r="I1023" s="891" t="s">
        <v>106</v>
      </c>
      <c r="J1023" s="892"/>
      <c r="K1023" s="892"/>
      <c r="L1023" s="893"/>
      <c r="N1023" s="50" t="s">
        <v>288</v>
      </c>
    </row>
    <row r="1024" spans="1:16" ht="11.25" customHeight="1" thickBot="1">
      <c r="I1024" s="57" t="s">
        <v>100</v>
      </c>
      <c r="J1024" s="58" t="s">
        <v>108</v>
      </c>
      <c r="K1024" s="59" t="s">
        <v>109</v>
      </c>
      <c r="L1024" s="60" t="s">
        <v>110</v>
      </c>
    </row>
    <row r="1025" spans="1:16" ht="15.75" thickBot="1">
      <c r="A1025" s="891" t="s">
        <v>106</v>
      </c>
      <c r="B1025" s="892"/>
      <c r="C1025" s="892"/>
      <c r="D1025" s="893"/>
      <c r="F1025" s="50" t="s">
        <v>288</v>
      </c>
      <c r="I1025" s="71">
        <v>719</v>
      </c>
      <c r="J1025" s="73">
        <f>+P1005+P1007+P1009+P1011+P1013</f>
        <v>2600000</v>
      </c>
      <c r="K1025" s="74">
        <f>+L988</f>
        <v>13900000</v>
      </c>
      <c r="L1025" s="195">
        <f>+J1025+K1025</f>
        <v>16500000</v>
      </c>
    </row>
    <row r="1026" spans="1:16" ht="15.75" customHeight="1" thickBot="1">
      <c r="A1026" s="57" t="s">
        <v>100</v>
      </c>
      <c r="B1026" s="58" t="s">
        <v>108</v>
      </c>
      <c r="C1026" s="59" t="s">
        <v>109</v>
      </c>
      <c r="D1026" s="60" t="s">
        <v>110</v>
      </c>
      <c r="I1026" s="72">
        <v>721</v>
      </c>
      <c r="J1026" s="80">
        <f>+P1006+P1008+P1010+P1012+P1014</f>
        <v>793000</v>
      </c>
      <c r="K1026" s="74">
        <f>+L989</f>
        <v>42428624</v>
      </c>
      <c r="L1026" s="195">
        <f>+J1026+K1026</f>
        <v>43221624</v>
      </c>
    </row>
    <row r="1027" spans="1:16">
      <c r="A1027" s="71">
        <v>719</v>
      </c>
      <c r="B1027" s="73">
        <f>+H1007+H1009+H1011+H1013+H1015</f>
        <v>2620000</v>
      </c>
      <c r="C1027" s="74" t="e">
        <f>+D990</f>
        <v>#REF!</v>
      </c>
      <c r="D1027" s="195" t="e">
        <f>+B1027+C1027</f>
        <v>#REF!</v>
      </c>
      <c r="I1027" s="72">
        <v>722</v>
      </c>
      <c r="J1027" s="80"/>
      <c r="K1027" s="74">
        <f>+L990</f>
        <v>0</v>
      </c>
      <c r="L1027" s="195">
        <f>+J1027+K1027</f>
        <v>0</v>
      </c>
    </row>
    <row r="1028" spans="1:16" ht="15.75">
      <c r="A1028" s="72">
        <v>721</v>
      </c>
      <c r="B1028" s="80">
        <f>+H1016+H1014+H1012+H1010+H1008</f>
        <v>1048000</v>
      </c>
      <c r="C1028" s="74" t="e">
        <f>+D991</f>
        <v>#REF!</v>
      </c>
      <c r="D1028" s="195" t="e">
        <f>+B1028+C1028</f>
        <v>#REF!</v>
      </c>
      <c r="I1028" s="72">
        <v>723</v>
      </c>
      <c r="J1028" s="80"/>
      <c r="K1028" s="74">
        <f>+L991</f>
        <v>384819988</v>
      </c>
      <c r="L1028" s="195">
        <f>+J1028+K1028</f>
        <v>384819988</v>
      </c>
      <c r="N1028" s="918" t="s">
        <v>1481</v>
      </c>
      <c r="O1028" s="918"/>
      <c r="P1028" s="918"/>
    </row>
    <row r="1029" spans="1:16" ht="16.5" thickBot="1">
      <c r="A1029" s="72">
        <v>722</v>
      </c>
      <c r="B1029" s="80"/>
      <c r="C1029" s="74">
        <f>+D992</f>
        <v>231207671</v>
      </c>
      <c r="D1029" s="195">
        <f>+B1029+C1029</f>
        <v>231207671</v>
      </c>
      <c r="I1029" s="164" t="s">
        <v>181</v>
      </c>
      <c r="J1029" s="165"/>
      <c r="K1029" s="74">
        <f>+L992</f>
        <v>0</v>
      </c>
      <c r="L1029" s="196">
        <f>+J1029+K1029</f>
        <v>0</v>
      </c>
      <c r="N1029" s="52"/>
    </row>
    <row r="1030" spans="1:16" ht="16.5" thickBot="1">
      <c r="A1030" s="72">
        <v>723</v>
      </c>
      <c r="B1030" s="80"/>
      <c r="C1030" s="74">
        <f>+D993</f>
        <v>323193545</v>
      </c>
      <c r="D1030" s="195">
        <f>+B1030+C1030</f>
        <v>323193545</v>
      </c>
      <c r="F1030" s="174" t="s">
        <v>23</v>
      </c>
      <c r="G1030" s="175"/>
      <c r="I1030" s="169"/>
      <c r="J1030" s="197">
        <f>SUM(J1025:J1029)</f>
        <v>3393000</v>
      </c>
      <c r="K1030" s="197">
        <f>SUM(K1025:K1029)</f>
        <v>441148612</v>
      </c>
      <c r="L1030" s="198">
        <f>SUM(L1025:L1029)</f>
        <v>444541612</v>
      </c>
    </row>
    <row r="1031" spans="1:16" ht="16.5">
      <c r="A1031" s="49" t="s">
        <v>88</v>
      </c>
      <c r="B1031" s="50"/>
      <c r="I1031" s="49" t="s">
        <v>88</v>
      </c>
      <c r="J1031" s="50"/>
    </row>
    <row r="1032" spans="1:16">
      <c r="A1032" s="51" t="s">
        <v>89</v>
      </c>
      <c r="I1032" s="51" t="s">
        <v>89</v>
      </c>
    </row>
    <row r="1033" spans="1:16">
      <c r="A1033" s="51" t="s">
        <v>90</v>
      </c>
      <c r="I1033" s="51" t="s">
        <v>90</v>
      </c>
    </row>
    <row r="1034" spans="1:16">
      <c r="A1034" s="51" t="s">
        <v>91</v>
      </c>
      <c r="I1034" s="51" t="s">
        <v>91</v>
      </c>
    </row>
    <row r="1035" spans="1:16" ht="12" customHeight="1">
      <c r="A1035" s="50"/>
      <c r="B1035" s="50"/>
      <c r="I1035" s="50"/>
      <c r="J1035" s="50"/>
    </row>
    <row r="1036" spans="1:16" ht="16.5">
      <c r="A1036" s="52" t="s">
        <v>471</v>
      </c>
      <c r="G1036" s="52"/>
      <c r="I1036" s="260" t="s">
        <v>840</v>
      </c>
      <c r="O1036" s="52"/>
    </row>
    <row r="1037" spans="1:16" ht="15.75">
      <c r="A1037" s="53" t="s">
        <v>92</v>
      </c>
      <c r="G1037" s="53"/>
      <c r="I1037" s="53" t="s">
        <v>1333</v>
      </c>
      <c r="O1037" s="53"/>
    </row>
    <row r="1038" spans="1:16" ht="16.5">
      <c r="A1038" s="894" t="s">
        <v>462</v>
      </c>
      <c r="B1038" s="894"/>
      <c r="C1038" s="894"/>
      <c r="D1038" s="894"/>
      <c r="E1038" s="894"/>
      <c r="F1038" s="894"/>
      <c r="G1038" s="894"/>
      <c r="H1038" s="894"/>
      <c r="I1038" s="894" t="s">
        <v>261</v>
      </c>
      <c r="J1038" s="894"/>
      <c r="K1038" s="894"/>
      <c r="L1038" s="894"/>
      <c r="M1038" s="894"/>
      <c r="N1038" s="894"/>
      <c r="O1038" s="894"/>
      <c r="P1038" s="894"/>
    </row>
    <row r="1039" spans="1:16" ht="11.25" customHeight="1" thickBot="1"/>
    <row r="1040" spans="1:16">
      <c r="A1040" s="895" t="s">
        <v>94</v>
      </c>
      <c r="B1040" s="897" t="s">
        <v>95</v>
      </c>
      <c r="C1040" s="897" t="s">
        <v>96</v>
      </c>
      <c r="D1040" s="897" t="s">
        <v>3</v>
      </c>
      <c r="E1040" s="897" t="s">
        <v>97</v>
      </c>
      <c r="F1040" s="897" t="s">
        <v>98</v>
      </c>
      <c r="G1040" s="897" t="s">
        <v>99</v>
      </c>
      <c r="H1040" s="899"/>
      <c r="I1040" s="895" t="s">
        <v>94</v>
      </c>
      <c r="J1040" s="897" t="s">
        <v>95</v>
      </c>
      <c r="K1040" s="897" t="s">
        <v>96</v>
      </c>
      <c r="L1040" s="897" t="s">
        <v>3</v>
      </c>
      <c r="M1040" s="897" t="s">
        <v>97</v>
      </c>
      <c r="N1040" s="897" t="s">
        <v>98</v>
      </c>
      <c r="O1040" s="897" t="s">
        <v>99</v>
      </c>
      <c r="P1040" s="899"/>
    </row>
    <row r="1041" spans="1:16" ht="15.75" thickBot="1">
      <c r="A1041" s="896"/>
      <c r="B1041" s="898"/>
      <c r="C1041" s="898"/>
      <c r="D1041" s="898"/>
      <c r="E1041" s="898"/>
      <c r="F1041" s="898"/>
      <c r="G1041" s="240" t="s">
        <v>100</v>
      </c>
      <c r="H1041" s="182" t="s">
        <v>101</v>
      </c>
      <c r="I1041" s="896"/>
      <c r="J1041" s="898"/>
      <c r="K1041" s="898"/>
      <c r="L1041" s="898"/>
      <c r="M1041" s="898"/>
      <c r="N1041" s="898"/>
      <c r="O1041" s="240" t="s">
        <v>100</v>
      </c>
      <c r="P1041" s="182" t="s">
        <v>101</v>
      </c>
    </row>
    <row r="1042" spans="1:16" ht="15" customHeight="1">
      <c r="A1042" s="881" t="e">
        <f>+A1015+1</f>
        <v>#REF!</v>
      </c>
      <c r="B1042" s="875">
        <v>42345</v>
      </c>
      <c r="C1042" s="877" t="s">
        <v>31</v>
      </c>
      <c r="D1042" s="881" t="s">
        <v>478</v>
      </c>
      <c r="E1042" s="881" t="s">
        <v>115</v>
      </c>
      <c r="F1042" s="883">
        <v>110000</v>
      </c>
      <c r="G1042" s="55">
        <v>719</v>
      </c>
      <c r="H1042" s="78">
        <f>+F1042</f>
        <v>110000</v>
      </c>
      <c r="I1042" s="873" t="s">
        <v>837</v>
      </c>
      <c r="J1042" s="875">
        <v>43007</v>
      </c>
      <c r="K1042" s="877" t="s">
        <v>40</v>
      </c>
      <c r="L1042" s="881" t="s">
        <v>1439</v>
      </c>
      <c r="M1042" s="881" t="s">
        <v>148</v>
      </c>
      <c r="N1042" s="883">
        <v>7821240</v>
      </c>
      <c r="O1042" s="55">
        <v>723</v>
      </c>
      <c r="P1042" s="78">
        <v>7821240</v>
      </c>
    </row>
    <row r="1043" spans="1:16" ht="15.75" customHeight="1" thickBot="1">
      <c r="A1043" s="882"/>
      <c r="B1043" s="876"/>
      <c r="C1043" s="878"/>
      <c r="D1043" s="882"/>
      <c r="E1043" s="882"/>
      <c r="F1043" s="884"/>
      <c r="G1043" s="56">
        <v>721</v>
      </c>
      <c r="H1043" s="79">
        <f>+F1042-H1042</f>
        <v>0</v>
      </c>
      <c r="I1043" s="874"/>
      <c r="J1043" s="876"/>
      <c r="K1043" s="878"/>
      <c r="L1043" s="882"/>
      <c r="M1043" s="882"/>
      <c r="N1043" s="884"/>
      <c r="O1043" s="56">
        <v>721</v>
      </c>
      <c r="P1043" s="79">
        <f>+N1042-P1042</f>
        <v>0</v>
      </c>
    </row>
    <row r="1044" spans="1:16" ht="12.75" customHeight="1">
      <c r="A1044" s="881" t="e">
        <f>+A1042+1</f>
        <v>#REF!</v>
      </c>
      <c r="B1044" s="875">
        <v>42345</v>
      </c>
      <c r="C1044" s="881" t="s">
        <v>472</v>
      </c>
      <c r="D1044" s="881" t="s">
        <v>479</v>
      </c>
      <c r="E1044" s="881" t="s">
        <v>115</v>
      </c>
      <c r="F1044" s="883">
        <v>60000</v>
      </c>
      <c r="G1044" s="55">
        <v>719</v>
      </c>
      <c r="H1044" s="78">
        <v>60000</v>
      </c>
      <c r="I1044" s="881">
        <f>+I1042+1</f>
        <v>132</v>
      </c>
      <c r="J1044" s="875">
        <v>43007</v>
      </c>
      <c r="K1044" s="877" t="s">
        <v>28</v>
      </c>
      <c r="L1044" s="881" t="s">
        <v>1439</v>
      </c>
      <c r="M1044" s="881" t="s">
        <v>148</v>
      </c>
      <c r="N1044" s="883">
        <v>8509200</v>
      </c>
      <c r="O1044" s="55">
        <v>723</v>
      </c>
      <c r="P1044" s="78">
        <v>8509200</v>
      </c>
    </row>
    <row r="1045" spans="1:16" ht="15.75" customHeight="1" thickBot="1">
      <c r="A1045" s="882"/>
      <c r="B1045" s="876"/>
      <c r="C1045" s="882"/>
      <c r="D1045" s="882"/>
      <c r="E1045" s="882"/>
      <c r="F1045" s="884"/>
      <c r="G1045" s="56">
        <v>721</v>
      </c>
      <c r="H1045" s="79">
        <f>+F1044-H1044</f>
        <v>0</v>
      </c>
      <c r="I1045" s="882"/>
      <c r="J1045" s="876"/>
      <c r="K1045" s="878"/>
      <c r="L1045" s="882"/>
      <c r="M1045" s="882"/>
      <c r="N1045" s="884"/>
      <c r="O1045" s="56">
        <v>721</v>
      </c>
      <c r="P1045" s="79">
        <f>+N1044-P1044</f>
        <v>0</v>
      </c>
    </row>
    <row r="1046" spans="1:16" ht="15" customHeight="1">
      <c r="A1046" s="881"/>
      <c r="B1046" s="875"/>
      <c r="C1046" s="877"/>
      <c r="D1046" s="881"/>
      <c r="E1046" s="881"/>
      <c r="F1046" s="883"/>
      <c r="G1046" s="55">
        <v>719</v>
      </c>
      <c r="H1046" s="78"/>
      <c r="I1046" s="881">
        <f>+I1044+1</f>
        <v>133</v>
      </c>
      <c r="J1046" s="875">
        <v>43007</v>
      </c>
      <c r="K1046" s="877" t="s">
        <v>1494</v>
      </c>
      <c r="L1046" s="881" t="s">
        <v>1439</v>
      </c>
      <c r="M1046" s="881" t="s">
        <v>215</v>
      </c>
      <c r="N1046" s="883">
        <v>1440000</v>
      </c>
      <c r="O1046" s="55">
        <v>723</v>
      </c>
      <c r="P1046" s="78">
        <v>1440000</v>
      </c>
    </row>
    <row r="1047" spans="1:16" ht="15" customHeight="1" thickBot="1">
      <c r="A1047" s="882"/>
      <c r="B1047" s="876"/>
      <c r="C1047" s="878"/>
      <c r="D1047" s="882"/>
      <c r="E1047" s="882"/>
      <c r="F1047" s="884"/>
      <c r="G1047" s="56">
        <v>721</v>
      </c>
      <c r="H1047" s="79">
        <f>+F1046-H1046</f>
        <v>0</v>
      </c>
      <c r="I1047" s="882"/>
      <c r="J1047" s="876"/>
      <c r="K1047" s="878"/>
      <c r="L1047" s="882"/>
      <c r="M1047" s="882"/>
      <c r="N1047" s="884"/>
      <c r="O1047" s="56">
        <v>721</v>
      </c>
      <c r="P1047" s="79">
        <f>+N1046-P1046</f>
        <v>0</v>
      </c>
    </row>
    <row r="1048" spans="1:16" ht="14.25" customHeight="1">
      <c r="A1048" s="881"/>
      <c r="B1048" s="875"/>
      <c r="C1048" s="877"/>
      <c r="D1048" s="881"/>
      <c r="E1048" s="881"/>
      <c r="F1048" s="883"/>
      <c r="G1048" s="55">
        <v>719</v>
      </c>
      <c r="H1048" s="78"/>
      <c r="I1048" s="881">
        <f>+I1046+1</f>
        <v>134</v>
      </c>
      <c r="J1048" s="875">
        <v>43007</v>
      </c>
      <c r="K1048" s="877" t="s">
        <v>1496</v>
      </c>
      <c r="L1048" s="881" t="s">
        <v>1495</v>
      </c>
      <c r="M1048" s="881" t="s">
        <v>148</v>
      </c>
      <c r="N1048" s="883">
        <v>8049500</v>
      </c>
      <c r="O1048" s="55">
        <v>723</v>
      </c>
      <c r="P1048" s="78">
        <v>8049500</v>
      </c>
    </row>
    <row r="1049" spans="1:16" ht="12.75" customHeight="1" thickBot="1">
      <c r="A1049" s="882"/>
      <c r="B1049" s="876"/>
      <c r="C1049" s="878"/>
      <c r="D1049" s="882"/>
      <c r="E1049" s="882"/>
      <c r="F1049" s="884"/>
      <c r="G1049" s="56">
        <v>721</v>
      </c>
      <c r="H1049" s="79">
        <f>+F1048-H1048</f>
        <v>0</v>
      </c>
      <c r="I1049" s="882"/>
      <c r="J1049" s="876"/>
      <c r="K1049" s="878"/>
      <c r="L1049" s="882"/>
      <c r="M1049" s="882"/>
      <c r="N1049" s="884"/>
      <c r="O1049" s="56">
        <v>721</v>
      </c>
      <c r="P1049" s="79">
        <f>+N1048-P1048</f>
        <v>0</v>
      </c>
    </row>
    <row r="1050" spans="1:16" ht="13.5" customHeight="1">
      <c r="A1050" s="881"/>
      <c r="B1050" s="875"/>
      <c r="C1050" s="877"/>
      <c r="D1050" s="881"/>
      <c r="E1050" s="881"/>
      <c r="F1050" s="883"/>
      <c r="G1050" s="55">
        <v>719</v>
      </c>
      <c r="H1050" s="78"/>
      <c r="I1050" s="881">
        <f>+I1048+1</f>
        <v>135</v>
      </c>
      <c r="J1050" s="875">
        <v>43007</v>
      </c>
      <c r="K1050" s="877" t="s">
        <v>899</v>
      </c>
      <c r="L1050" s="881" t="s">
        <v>1495</v>
      </c>
      <c r="M1050" s="881" t="s">
        <v>165</v>
      </c>
      <c r="N1050" s="883">
        <v>1050000</v>
      </c>
      <c r="O1050" s="55">
        <v>723</v>
      </c>
      <c r="P1050" s="78">
        <v>1050000</v>
      </c>
    </row>
    <row r="1051" spans="1:16" ht="14.25" customHeight="1" thickBot="1">
      <c r="A1051" s="882"/>
      <c r="B1051" s="876"/>
      <c r="C1051" s="878"/>
      <c r="D1051" s="882"/>
      <c r="E1051" s="882"/>
      <c r="F1051" s="884"/>
      <c r="G1051" s="56">
        <v>721</v>
      </c>
      <c r="H1051" s="79">
        <f>+F1050-H1050</f>
        <v>0</v>
      </c>
      <c r="I1051" s="882"/>
      <c r="J1051" s="876"/>
      <c r="K1051" s="878"/>
      <c r="L1051" s="882"/>
      <c r="M1051" s="882"/>
      <c r="N1051" s="884"/>
      <c r="O1051" s="56">
        <v>721</v>
      </c>
      <c r="P1051" s="79">
        <f>+N1050-P1050</f>
        <v>0</v>
      </c>
    </row>
    <row r="1052" spans="1:16" ht="16.5" thickBot="1">
      <c r="A1052" s="901" t="s">
        <v>102</v>
      </c>
      <c r="B1052" s="902"/>
      <c r="C1052" s="902"/>
      <c r="D1052" s="902"/>
      <c r="E1052" s="903"/>
      <c r="F1052" s="81">
        <f>SUM(F1042:F1051)</f>
        <v>170000</v>
      </c>
      <c r="I1052" s="901" t="s">
        <v>102</v>
      </c>
      <c r="J1052" s="902"/>
      <c r="K1052" s="902"/>
      <c r="L1052" s="902"/>
      <c r="M1052" s="903"/>
      <c r="N1052" s="81">
        <f>SUM(N1042:N1051)</f>
        <v>26869940</v>
      </c>
    </row>
    <row r="1053" spans="1:16" ht="16.5" thickBot="1">
      <c r="A1053" s="885" t="s">
        <v>103</v>
      </c>
      <c r="B1053" s="886"/>
      <c r="C1053" s="886"/>
      <c r="D1053" s="886"/>
      <c r="E1053" s="887"/>
      <c r="F1053" s="69">
        <f>+F1019</f>
        <v>661255638</v>
      </c>
      <c r="I1053" s="885" t="s">
        <v>103</v>
      </c>
      <c r="J1053" s="886"/>
      <c r="K1053" s="886"/>
      <c r="L1053" s="886"/>
      <c r="M1053" s="887"/>
      <c r="N1053" s="69">
        <f>+N1017</f>
        <v>410026238</v>
      </c>
      <c r="O1053" s="241" t="s">
        <v>561</v>
      </c>
      <c r="P1053" s="242"/>
    </row>
    <row r="1054" spans="1:16" ht="16.5" thickBot="1">
      <c r="A1054" s="888" t="s">
        <v>104</v>
      </c>
      <c r="B1054" s="889"/>
      <c r="C1054" s="889"/>
      <c r="D1054" s="889"/>
      <c r="E1054" s="890"/>
      <c r="F1054" s="183">
        <f>SUM(F1052:F1053)</f>
        <v>661425638</v>
      </c>
      <c r="I1054" s="888" t="s">
        <v>104</v>
      </c>
      <c r="J1054" s="889"/>
      <c r="K1054" s="889"/>
      <c r="L1054" s="889"/>
      <c r="M1054" s="890"/>
      <c r="N1054" s="183">
        <f>SUM(N1052:N1053)</f>
        <v>436896178</v>
      </c>
    </row>
    <row r="1055" spans="1:16" ht="11.25" customHeight="1">
      <c r="A1055" s="61"/>
      <c r="B1055" s="61"/>
      <c r="C1055" s="61"/>
      <c r="D1055" s="61"/>
      <c r="E1055" s="61"/>
      <c r="I1055" s="61"/>
      <c r="J1055" s="61"/>
      <c r="K1055" s="61"/>
      <c r="L1055" s="61"/>
      <c r="M1055" s="61"/>
    </row>
    <row r="1056" spans="1:16">
      <c r="A1056" s="51" t="s">
        <v>480</v>
      </c>
      <c r="I1056" s="51" t="s">
        <v>849</v>
      </c>
    </row>
    <row r="1057" spans="1:16" ht="9.75" customHeight="1">
      <c r="F1057" s="139"/>
      <c r="N1057" s="139"/>
    </row>
    <row r="1058" spans="1:16">
      <c r="A1058" s="50" t="s">
        <v>105</v>
      </c>
      <c r="D1058" s="146"/>
      <c r="F1058" s="139"/>
      <c r="I1058" s="50" t="s">
        <v>105</v>
      </c>
      <c r="L1058" s="146"/>
      <c r="N1058" s="139"/>
    </row>
    <row r="1059" spans="1:16" ht="12" customHeight="1" thickBot="1"/>
    <row r="1060" spans="1:16" ht="15.75" thickBot="1">
      <c r="A1060" s="891" t="s">
        <v>106</v>
      </c>
      <c r="B1060" s="892"/>
      <c r="C1060" s="892"/>
      <c r="D1060" s="893"/>
      <c r="F1060" s="50" t="s">
        <v>288</v>
      </c>
      <c r="I1060" s="891" t="s">
        <v>106</v>
      </c>
      <c r="J1060" s="892"/>
      <c r="K1060" s="892"/>
      <c r="L1060" s="893"/>
      <c r="N1060" s="50" t="s">
        <v>288</v>
      </c>
    </row>
    <row r="1061" spans="1:16" ht="30.75" thickBot="1">
      <c r="A1061" s="57" t="s">
        <v>100</v>
      </c>
      <c r="B1061" s="58" t="s">
        <v>108</v>
      </c>
      <c r="C1061" s="59" t="s">
        <v>109</v>
      </c>
      <c r="D1061" s="60" t="s">
        <v>110</v>
      </c>
      <c r="I1061" s="57" t="s">
        <v>100</v>
      </c>
      <c r="J1061" s="58" t="s">
        <v>108</v>
      </c>
      <c r="K1061" s="59" t="s">
        <v>109</v>
      </c>
      <c r="L1061" s="60" t="s">
        <v>110</v>
      </c>
    </row>
    <row r="1062" spans="1:16" ht="13.5" customHeight="1">
      <c r="A1062" s="71">
        <v>719</v>
      </c>
      <c r="B1062" s="73">
        <f>+H1042+H1044+H1046+H1048</f>
        <v>170000</v>
      </c>
      <c r="C1062" s="74" t="e">
        <f>+D1027</f>
        <v>#REF!</v>
      </c>
      <c r="D1062" s="195" t="e">
        <f>+B1062+C1062</f>
        <v>#REF!</v>
      </c>
      <c r="I1062" s="71">
        <v>719</v>
      </c>
      <c r="J1062" s="73"/>
      <c r="K1062" s="74">
        <f>+L1025</f>
        <v>16500000</v>
      </c>
      <c r="L1062" s="195">
        <f>+J1062+K1062</f>
        <v>16500000</v>
      </c>
    </row>
    <row r="1063" spans="1:16" ht="13.5" customHeight="1">
      <c r="A1063" s="72">
        <v>721</v>
      </c>
      <c r="B1063" s="80">
        <f>+H1043</f>
        <v>0</v>
      </c>
      <c r="C1063" s="74" t="e">
        <f>+D1028</f>
        <v>#REF!</v>
      </c>
      <c r="D1063" s="195" t="e">
        <f>+B1063+C1063</f>
        <v>#REF!</v>
      </c>
      <c r="I1063" s="72">
        <v>721</v>
      </c>
      <c r="J1063" s="80">
        <f>+P1043+P1045+P1047+P1049+P1051</f>
        <v>0</v>
      </c>
      <c r="K1063" s="74">
        <f>+L1026</f>
        <v>43221624</v>
      </c>
      <c r="L1063" s="195">
        <f>+J1063+K1063</f>
        <v>43221624</v>
      </c>
    </row>
    <row r="1064" spans="1:16">
      <c r="A1064" s="72">
        <v>722</v>
      </c>
      <c r="B1064" s="80"/>
      <c r="C1064" s="74">
        <f>+D1029</f>
        <v>231207671</v>
      </c>
      <c r="D1064" s="195">
        <f>+B1064+C1064</f>
        <v>231207671</v>
      </c>
      <c r="I1064" s="72">
        <v>722</v>
      </c>
      <c r="J1064" s="80"/>
      <c r="K1064" s="74">
        <f>+L1027</f>
        <v>0</v>
      </c>
      <c r="L1064" s="195">
        <f>+J1064+K1064</f>
        <v>0</v>
      </c>
    </row>
    <row r="1065" spans="1:16" ht="14.25" customHeight="1">
      <c r="A1065" s="72">
        <v>723</v>
      </c>
      <c r="B1065" s="80"/>
      <c r="C1065" s="74">
        <f>+D1030</f>
        <v>323193545</v>
      </c>
      <c r="D1065" s="195">
        <f>+B1065+C1065</f>
        <v>323193545</v>
      </c>
      <c r="F1065" s="174" t="s">
        <v>23</v>
      </c>
      <c r="G1065" s="175"/>
      <c r="I1065" s="72">
        <v>723</v>
      </c>
      <c r="J1065" s="80">
        <f>+P1042+P1044+P1046+P1048+P1050</f>
        <v>26869940</v>
      </c>
      <c r="K1065" s="74">
        <f>+L1028</f>
        <v>384819988</v>
      </c>
      <c r="L1065" s="195">
        <f>+J1065+K1065</f>
        <v>411689928</v>
      </c>
      <c r="N1065" s="918" t="s">
        <v>1481</v>
      </c>
      <c r="O1065" s="918"/>
      <c r="P1065" s="918"/>
    </row>
    <row r="1066" spans="1:16" ht="13.5" customHeight="1" thickBot="1">
      <c r="A1066" s="164" t="s">
        <v>181</v>
      </c>
      <c r="B1066" s="165"/>
      <c r="C1066" s="74" t="e">
        <f>+#REF!</f>
        <v>#REF!</v>
      </c>
      <c r="D1066" s="196" t="e">
        <f>+B1066+C1066</f>
        <v>#REF!</v>
      </c>
      <c r="F1066" s="52"/>
      <c r="I1066" s="164" t="s">
        <v>181</v>
      </c>
      <c r="J1066" s="165"/>
      <c r="K1066" s="74">
        <f>+L1029</f>
        <v>0</v>
      </c>
      <c r="L1066" s="196">
        <f>+J1066+K1066</f>
        <v>0</v>
      </c>
      <c r="N1066" s="52"/>
    </row>
    <row r="1067" spans="1:16" ht="16.5" thickBot="1">
      <c r="A1067" s="169"/>
      <c r="B1067" s="170">
        <f>SUM(B1062:B1066)</f>
        <v>170000</v>
      </c>
      <c r="C1067" s="171" t="e">
        <f>SUM(C1062:C1066)</f>
        <v>#REF!</v>
      </c>
      <c r="D1067" s="172" t="e">
        <f>SUM(D1062:D1066)</f>
        <v>#REF!</v>
      </c>
      <c r="I1067" s="169"/>
      <c r="J1067" s="197">
        <f>SUM(J1062:J1066)</f>
        <v>26869940</v>
      </c>
      <c r="K1067" s="197">
        <f>SUM(K1062:K1066)</f>
        <v>444541612</v>
      </c>
      <c r="L1067" s="198">
        <f>SUM(L1062:L1066)</f>
        <v>471411552</v>
      </c>
    </row>
    <row r="1068" spans="1:16" ht="16.5">
      <c r="A1068" s="49" t="s">
        <v>88</v>
      </c>
      <c r="B1068" s="50"/>
      <c r="I1068" s="49" t="s">
        <v>88</v>
      </c>
      <c r="J1068" s="50"/>
    </row>
    <row r="1069" spans="1:16">
      <c r="A1069" s="51" t="s">
        <v>89</v>
      </c>
      <c r="I1069" s="51" t="s">
        <v>89</v>
      </c>
    </row>
    <row r="1070" spans="1:16">
      <c r="A1070" s="51" t="s">
        <v>90</v>
      </c>
      <c r="I1070" s="51" t="s">
        <v>90</v>
      </c>
    </row>
    <row r="1071" spans="1:16">
      <c r="A1071" s="51" t="s">
        <v>91</v>
      </c>
      <c r="I1071" s="51" t="s">
        <v>91</v>
      </c>
    </row>
    <row r="1072" spans="1:16" ht="12.75" customHeight="1">
      <c r="A1072" s="50"/>
      <c r="B1072" s="50"/>
      <c r="I1072" s="50"/>
      <c r="J1072" s="50"/>
    </row>
    <row r="1073" spans="1:16" ht="16.5">
      <c r="A1073" s="52" t="s">
        <v>473</v>
      </c>
      <c r="G1073" s="52"/>
      <c r="I1073" s="260" t="s">
        <v>841</v>
      </c>
      <c r="O1073" s="52"/>
    </row>
    <row r="1074" spans="1:16" ht="15.75">
      <c r="A1074" s="53" t="s">
        <v>92</v>
      </c>
      <c r="G1074" s="53"/>
      <c r="I1074" s="53" t="s">
        <v>1333</v>
      </c>
      <c r="O1074" s="53"/>
    </row>
    <row r="1075" spans="1:16" ht="16.5">
      <c r="A1075" s="894" t="s">
        <v>462</v>
      </c>
      <c r="B1075" s="894"/>
      <c r="C1075" s="894"/>
      <c r="D1075" s="894"/>
      <c r="E1075" s="894"/>
      <c r="F1075" s="894"/>
      <c r="G1075" s="894"/>
      <c r="H1075" s="894"/>
      <c r="I1075" s="894" t="s">
        <v>261</v>
      </c>
      <c r="J1075" s="894"/>
      <c r="K1075" s="894"/>
      <c r="L1075" s="894"/>
      <c r="M1075" s="894"/>
      <c r="N1075" s="894"/>
      <c r="O1075" s="894"/>
      <c r="P1075" s="894"/>
    </row>
    <row r="1076" spans="1:16" ht="15.75" thickBot="1"/>
    <row r="1077" spans="1:16">
      <c r="A1077" s="895" t="s">
        <v>94</v>
      </c>
      <c r="B1077" s="897" t="s">
        <v>95</v>
      </c>
      <c r="C1077" s="897" t="s">
        <v>96</v>
      </c>
      <c r="D1077" s="897" t="s">
        <v>3</v>
      </c>
      <c r="E1077" s="897" t="s">
        <v>97</v>
      </c>
      <c r="F1077" s="897" t="s">
        <v>98</v>
      </c>
      <c r="G1077" s="897" t="s">
        <v>99</v>
      </c>
      <c r="H1077" s="899"/>
      <c r="I1077" s="895" t="s">
        <v>94</v>
      </c>
      <c r="J1077" s="897" t="s">
        <v>95</v>
      </c>
      <c r="K1077" s="897" t="s">
        <v>96</v>
      </c>
      <c r="L1077" s="897" t="s">
        <v>3</v>
      </c>
      <c r="M1077" s="897" t="s">
        <v>97</v>
      </c>
      <c r="N1077" s="897" t="s">
        <v>98</v>
      </c>
      <c r="O1077" s="897" t="s">
        <v>99</v>
      </c>
      <c r="P1077" s="899"/>
    </row>
    <row r="1078" spans="1:16" ht="15.75" thickBot="1">
      <c r="A1078" s="896"/>
      <c r="B1078" s="898"/>
      <c r="C1078" s="898"/>
      <c r="D1078" s="898"/>
      <c r="E1078" s="898"/>
      <c r="F1078" s="898"/>
      <c r="G1078" s="240" t="s">
        <v>100</v>
      </c>
      <c r="H1078" s="182" t="s">
        <v>101</v>
      </c>
      <c r="I1078" s="896"/>
      <c r="J1078" s="898"/>
      <c r="K1078" s="898"/>
      <c r="L1078" s="898"/>
      <c r="M1078" s="898"/>
      <c r="N1078" s="898"/>
      <c r="O1078" s="240" t="s">
        <v>100</v>
      </c>
      <c r="P1078" s="182" t="s">
        <v>101</v>
      </c>
    </row>
    <row r="1079" spans="1:16" ht="15" customHeight="1">
      <c r="A1079" s="881" t="e">
        <f>+A1044+1</f>
        <v>#REF!</v>
      </c>
      <c r="B1079" s="875">
        <v>42345</v>
      </c>
      <c r="C1079" s="877" t="s">
        <v>267</v>
      </c>
      <c r="D1079" s="881" t="s">
        <v>481</v>
      </c>
      <c r="E1079" s="881" t="s">
        <v>148</v>
      </c>
      <c r="F1079" s="883">
        <v>182000</v>
      </c>
      <c r="G1079" s="55">
        <v>719</v>
      </c>
      <c r="H1079" s="78">
        <v>130000</v>
      </c>
      <c r="I1079" s="873" t="s">
        <v>838</v>
      </c>
      <c r="J1079" s="875">
        <v>43007</v>
      </c>
      <c r="K1079" s="881" t="s">
        <v>1537</v>
      </c>
      <c r="L1079" s="881" t="s">
        <v>1539</v>
      </c>
      <c r="M1079" s="881" t="s">
        <v>148</v>
      </c>
      <c r="N1079" s="883">
        <v>720000</v>
      </c>
      <c r="O1079" s="55">
        <v>723</v>
      </c>
      <c r="P1079" s="78">
        <v>720000</v>
      </c>
    </row>
    <row r="1080" spans="1:16" ht="12" customHeight="1" thickBot="1">
      <c r="A1080" s="882"/>
      <c r="B1080" s="876"/>
      <c r="C1080" s="878"/>
      <c r="D1080" s="882"/>
      <c r="E1080" s="882"/>
      <c r="F1080" s="884"/>
      <c r="G1080" s="56">
        <v>721</v>
      </c>
      <c r="H1080" s="79">
        <f>+F1079-H1079</f>
        <v>52000</v>
      </c>
      <c r="I1080" s="874"/>
      <c r="J1080" s="876"/>
      <c r="K1080" s="882"/>
      <c r="L1080" s="882"/>
      <c r="M1080" s="882"/>
      <c r="N1080" s="884"/>
      <c r="O1080" s="56">
        <v>721</v>
      </c>
      <c r="P1080" s="79">
        <f>+N1079-P1079</f>
        <v>0</v>
      </c>
    </row>
    <row r="1081" spans="1:16" ht="12.75" customHeight="1">
      <c r="A1081" s="881" t="e">
        <f>+A1079+1</f>
        <v>#REF!</v>
      </c>
      <c r="B1081" s="875">
        <v>42345</v>
      </c>
      <c r="C1081" s="881" t="s">
        <v>28</v>
      </c>
      <c r="D1081" s="881" t="s">
        <v>482</v>
      </c>
      <c r="E1081" s="881" t="s">
        <v>148</v>
      </c>
      <c r="F1081" s="883">
        <v>266000</v>
      </c>
      <c r="G1081" s="55">
        <v>719</v>
      </c>
      <c r="H1081" s="78">
        <v>190000</v>
      </c>
      <c r="I1081" s="881">
        <f>+I1079+1</f>
        <v>137</v>
      </c>
      <c r="J1081" s="875">
        <v>43007</v>
      </c>
      <c r="K1081" s="877" t="s">
        <v>1339</v>
      </c>
      <c r="L1081" s="881" t="s">
        <v>1340</v>
      </c>
      <c r="M1081" s="881" t="s">
        <v>148</v>
      </c>
      <c r="N1081" s="883">
        <v>530900</v>
      </c>
      <c r="O1081" s="55">
        <v>719</v>
      </c>
      <c r="P1081" s="78">
        <v>395000</v>
      </c>
    </row>
    <row r="1082" spans="1:16" ht="13.5" customHeight="1" thickBot="1">
      <c r="A1082" s="882"/>
      <c r="B1082" s="876"/>
      <c r="C1082" s="882"/>
      <c r="D1082" s="882"/>
      <c r="E1082" s="882"/>
      <c r="F1082" s="884"/>
      <c r="G1082" s="56">
        <v>721</v>
      </c>
      <c r="H1082" s="79">
        <f>+F1081-H1081</f>
        <v>76000</v>
      </c>
      <c r="I1082" s="882"/>
      <c r="J1082" s="876"/>
      <c r="K1082" s="878"/>
      <c r="L1082" s="882"/>
      <c r="M1082" s="882"/>
      <c r="N1082" s="884"/>
      <c r="O1082" s="56">
        <v>721</v>
      </c>
      <c r="P1082" s="79">
        <f>+N1081-P1081</f>
        <v>135900</v>
      </c>
    </row>
    <row r="1083" spans="1:16" ht="13.5" customHeight="1">
      <c r="A1083" s="881" t="e">
        <f>+A1081+1</f>
        <v>#REF!</v>
      </c>
      <c r="B1083" s="875">
        <v>42345</v>
      </c>
      <c r="C1083" s="877" t="s">
        <v>32</v>
      </c>
      <c r="D1083" s="881" t="s">
        <v>481</v>
      </c>
      <c r="E1083" s="881" t="s">
        <v>148</v>
      </c>
      <c r="F1083" s="883">
        <v>70000</v>
      </c>
      <c r="G1083" s="55">
        <v>719</v>
      </c>
      <c r="H1083" s="78">
        <v>50000</v>
      </c>
      <c r="I1083" s="881">
        <f>+I1081+1</f>
        <v>138</v>
      </c>
      <c r="J1083" s="875">
        <v>43007</v>
      </c>
      <c r="K1083" s="877" t="s">
        <v>1315</v>
      </c>
      <c r="L1083" s="881" t="s">
        <v>1540</v>
      </c>
      <c r="M1083" s="881" t="s">
        <v>148</v>
      </c>
      <c r="N1083" s="883">
        <v>200000</v>
      </c>
      <c r="O1083" s="55">
        <v>723</v>
      </c>
      <c r="P1083" s="78">
        <v>200000</v>
      </c>
    </row>
    <row r="1084" spans="1:16" ht="12.75" customHeight="1" thickBot="1">
      <c r="A1084" s="882"/>
      <c r="B1084" s="876"/>
      <c r="C1084" s="878"/>
      <c r="D1084" s="882"/>
      <c r="E1084" s="882"/>
      <c r="F1084" s="884"/>
      <c r="G1084" s="56">
        <v>721</v>
      </c>
      <c r="H1084" s="79">
        <f>+F1083-H1083</f>
        <v>20000</v>
      </c>
      <c r="I1084" s="882"/>
      <c r="J1084" s="876"/>
      <c r="K1084" s="878"/>
      <c r="L1084" s="882"/>
      <c r="M1084" s="882"/>
      <c r="N1084" s="884"/>
      <c r="O1084" s="56">
        <v>721</v>
      </c>
      <c r="P1084" s="79">
        <f>+N1083-P1083</f>
        <v>0</v>
      </c>
    </row>
    <row r="1085" spans="1:16" ht="15" customHeight="1">
      <c r="A1085" s="881" t="e">
        <f>+A1083+1</f>
        <v>#REF!</v>
      </c>
      <c r="B1085" s="875">
        <v>42345</v>
      </c>
      <c r="C1085" s="877" t="s">
        <v>111</v>
      </c>
      <c r="D1085" s="881" t="s">
        <v>483</v>
      </c>
      <c r="E1085" s="881" t="s">
        <v>148</v>
      </c>
      <c r="F1085" s="883">
        <v>140000</v>
      </c>
      <c r="G1085" s="55">
        <v>719</v>
      </c>
      <c r="H1085" s="78">
        <v>100000</v>
      </c>
      <c r="I1085" s="881">
        <f>+I1083+1</f>
        <v>139</v>
      </c>
      <c r="J1085" s="875">
        <v>43007</v>
      </c>
      <c r="K1085" s="877" t="s">
        <v>1538</v>
      </c>
      <c r="L1085" s="881" t="s">
        <v>1541</v>
      </c>
      <c r="M1085" s="881" t="s">
        <v>148</v>
      </c>
      <c r="N1085" s="883">
        <v>12541900</v>
      </c>
      <c r="O1085" s="55">
        <v>723</v>
      </c>
      <c r="P1085" s="78">
        <v>12541900</v>
      </c>
    </row>
    <row r="1086" spans="1:16" ht="12.75" customHeight="1" thickBot="1">
      <c r="A1086" s="882"/>
      <c r="B1086" s="876"/>
      <c r="C1086" s="878"/>
      <c r="D1086" s="882"/>
      <c r="E1086" s="882"/>
      <c r="F1086" s="884"/>
      <c r="G1086" s="56">
        <v>721</v>
      </c>
      <c r="H1086" s="79">
        <f>+F1085-H1085</f>
        <v>40000</v>
      </c>
      <c r="I1086" s="882"/>
      <c r="J1086" s="876"/>
      <c r="K1086" s="878"/>
      <c r="L1086" s="882"/>
      <c r="M1086" s="882"/>
      <c r="N1086" s="884"/>
      <c r="O1086" s="56">
        <v>721</v>
      </c>
      <c r="P1086" s="79">
        <f>+N1085-P1085</f>
        <v>0</v>
      </c>
    </row>
    <row r="1087" spans="1:16" ht="15" customHeight="1">
      <c r="A1087" s="881" t="e">
        <f>+A1085+1</f>
        <v>#REF!</v>
      </c>
      <c r="B1087" s="875">
        <v>42345</v>
      </c>
      <c r="C1087" s="877" t="s">
        <v>272</v>
      </c>
      <c r="D1087" s="881" t="s">
        <v>481</v>
      </c>
      <c r="E1087" s="881" t="s">
        <v>148</v>
      </c>
      <c r="F1087" s="883">
        <v>700000</v>
      </c>
      <c r="G1087" s="55">
        <v>719</v>
      </c>
      <c r="H1087" s="78">
        <v>500000</v>
      </c>
      <c r="I1087" s="881"/>
      <c r="J1087" s="875"/>
      <c r="K1087" s="877"/>
      <c r="L1087" s="881"/>
      <c r="M1087" s="881"/>
      <c r="N1087" s="883"/>
      <c r="O1087" s="55">
        <v>719</v>
      </c>
      <c r="P1087" s="78"/>
    </row>
    <row r="1088" spans="1:16" ht="15.75" customHeight="1" thickBot="1">
      <c r="A1088" s="882"/>
      <c r="B1088" s="876"/>
      <c r="C1088" s="878"/>
      <c r="D1088" s="882"/>
      <c r="E1088" s="882"/>
      <c r="F1088" s="884"/>
      <c r="G1088" s="56">
        <v>721</v>
      </c>
      <c r="H1088" s="79">
        <f>+F1087-H1087</f>
        <v>200000</v>
      </c>
      <c r="I1088" s="882"/>
      <c r="J1088" s="876"/>
      <c r="K1088" s="878"/>
      <c r="L1088" s="882"/>
      <c r="M1088" s="882"/>
      <c r="N1088" s="884"/>
      <c r="O1088" s="56">
        <v>721</v>
      </c>
      <c r="P1088" s="79">
        <f>+N1087-P1087</f>
        <v>0</v>
      </c>
    </row>
    <row r="1089" spans="1:16" ht="16.5" thickBot="1">
      <c r="A1089" s="901" t="s">
        <v>102</v>
      </c>
      <c r="B1089" s="902"/>
      <c r="C1089" s="902"/>
      <c r="D1089" s="902"/>
      <c r="E1089" s="903"/>
      <c r="F1089" s="81">
        <f>SUM(F1079:F1088)</f>
        <v>1358000</v>
      </c>
      <c r="I1089" s="901" t="s">
        <v>102</v>
      </c>
      <c r="J1089" s="902"/>
      <c r="K1089" s="902"/>
      <c r="L1089" s="902"/>
      <c r="M1089" s="903"/>
      <c r="N1089" s="81">
        <f>SUM(N1079:N1088)</f>
        <v>13992800</v>
      </c>
    </row>
    <row r="1090" spans="1:16" ht="16.5" thickBot="1">
      <c r="A1090" s="885" t="s">
        <v>103</v>
      </c>
      <c r="B1090" s="886"/>
      <c r="C1090" s="886"/>
      <c r="D1090" s="886"/>
      <c r="E1090" s="887"/>
      <c r="F1090" s="69">
        <f>+F1054</f>
        <v>661425638</v>
      </c>
      <c r="I1090" s="885" t="s">
        <v>103</v>
      </c>
      <c r="J1090" s="886"/>
      <c r="K1090" s="886"/>
      <c r="L1090" s="886"/>
      <c r="M1090" s="887"/>
      <c r="N1090" s="69">
        <f>+N1054</f>
        <v>436896178</v>
      </c>
      <c r="O1090" s="241" t="s">
        <v>561</v>
      </c>
      <c r="P1090" s="242"/>
    </row>
    <row r="1091" spans="1:16" ht="16.5" thickBot="1">
      <c r="A1091" s="888" t="s">
        <v>104</v>
      </c>
      <c r="B1091" s="889"/>
      <c r="C1091" s="889"/>
      <c r="D1091" s="889"/>
      <c r="E1091" s="890"/>
      <c r="F1091" s="183">
        <f>SUM(F1089:F1090)</f>
        <v>662783638</v>
      </c>
      <c r="I1091" s="888" t="s">
        <v>104</v>
      </c>
      <c r="J1091" s="889"/>
      <c r="K1091" s="889"/>
      <c r="L1091" s="889"/>
      <c r="M1091" s="890"/>
      <c r="N1091" s="183">
        <f>SUM(N1089:N1090)</f>
        <v>450888978</v>
      </c>
    </row>
    <row r="1092" spans="1:16" ht="12.75" customHeight="1">
      <c r="A1092" s="61"/>
      <c r="B1092" s="61"/>
      <c r="C1092" s="61"/>
      <c r="D1092" s="61"/>
      <c r="E1092" s="61"/>
      <c r="I1092" s="61"/>
      <c r="J1092" s="61"/>
      <c r="K1092" s="61"/>
      <c r="L1092" s="61"/>
      <c r="M1092" s="61"/>
    </row>
    <row r="1093" spans="1:16">
      <c r="A1093" s="51" t="s">
        <v>484</v>
      </c>
      <c r="I1093" s="51" t="s">
        <v>852</v>
      </c>
    </row>
    <row r="1094" spans="1:16" ht="7.5" customHeight="1">
      <c r="F1094" s="139"/>
      <c r="N1094" s="139"/>
    </row>
    <row r="1095" spans="1:16">
      <c r="A1095" s="50" t="s">
        <v>105</v>
      </c>
      <c r="D1095" s="146"/>
      <c r="F1095" s="139"/>
      <c r="I1095" s="50" t="s">
        <v>105</v>
      </c>
      <c r="L1095" s="146"/>
      <c r="N1095" s="139"/>
    </row>
    <row r="1096" spans="1:16" ht="13.5" customHeight="1" thickBot="1"/>
    <row r="1097" spans="1:16" ht="15.75" thickBot="1">
      <c r="A1097" s="891" t="s">
        <v>106</v>
      </c>
      <c r="B1097" s="892"/>
      <c r="C1097" s="892"/>
      <c r="D1097" s="893"/>
      <c r="F1097" s="50" t="s">
        <v>288</v>
      </c>
      <c r="I1097" s="891" t="s">
        <v>106</v>
      </c>
      <c r="J1097" s="892"/>
      <c r="K1097" s="892"/>
      <c r="L1097" s="893"/>
      <c r="N1097" s="925" t="s">
        <v>288</v>
      </c>
      <c r="O1097" s="925"/>
      <c r="P1097" s="925"/>
    </row>
    <row r="1098" spans="1:16" ht="30.75" thickBot="1">
      <c r="A1098" s="57" t="s">
        <v>100</v>
      </c>
      <c r="B1098" s="58" t="s">
        <v>108</v>
      </c>
      <c r="C1098" s="59" t="s">
        <v>109</v>
      </c>
      <c r="D1098" s="60" t="s">
        <v>110</v>
      </c>
      <c r="I1098" s="57" t="s">
        <v>100</v>
      </c>
      <c r="J1098" s="58" t="s">
        <v>108</v>
      </c>
      <c r="K1098" s="59" t="s">
        <v>109</v>
      </c>
      <c r="L1098" s="60" t="s">
        <v>110</v>
      </c>
    </row>
    <row r="1099" spans="1:16">
      <c r="A1099" s="71">
        <v>719</v>
      </c>
      <c r="B1099" s="73">
        <f>+H1079+H1081+H1083+H1085+H1087</f>
        <v>970000</v>
      </c>
      <c r="C1099" s="74" t="e">
        <f>+D1062</f>
        <v>#REF!</v>
      </c>
      <c r="D1099" s="195" t="e">
        <f>+B1099+C1099</f>
        <v>#REF!</v>
      </c>
      <c r="I1099" s="71">
        <v>719</v>
      </c>
      <c r="J1099" s="73">
        <f>+P1081</f>
        <v>395000</v>
      </c>
      <c r="K1099" s="74">
        <f>+L1062</f>
        <v>16500000</v>
      </c>
      <c r="L1099" s="195">
        <f>+J1099+K1099</f>
        <v>16895000</v>
      </c>
    </row>
    <row r="1100" spans="1:16" ht="12.75" customHeight="1">
      <c r="A1100" s="72">
        <v>721</v>
      </c>
      <c r="B1100" s="80">
        <f>+H1088+H1086+H1084+H1082+H1080</f>
        <v>388000</v>
      </c>
      <c r="C1100" s="74" t="e">
        <f>+D1063</f>
        <v>#REF!</v>
      </c>
      <c r="D1100" s="195" t="e">
        <f>+B1100+C1100</f>
        <v>#REF!</v>
      </c>
      <c r="I1100" s="72">
        <v>721</v>
      </c>
      <c r="J1100" s="80">
        <f>+P1080+P1082+P1084+P1086+P1088</f>
        <v>135900</v>
      </c>
      <c r="K1100" s="74">
        <f>+L1063</f>
        <v>43221624</v>
      </c>
      <c r="L1100" s="195">
        <f>+J1100+K1100</f>
        <v>43357524</v>
      </c>
    </row>
    <row r="1101" spans="1:16" ht="13.5" customHeight="1">
      <c r="A1101" s="72">
        <v>722</v>
      </c>
      <c r="B1101" s="80"/>
      <c r="C1101" s="74">
        <f>+D1064</f>
        <v>231207671</v>
      </c>
      <c r="D1101" s="195">
        <f>+B1101+C1101</f>
        <v>231207671</v>
      </c>
      <c r="I1101" s="72">
        <v>722</v>
      </c>
      <c r="J1101" s="80"/>
      <c r="K1101" s="74">
        <f>+L1064</f>
        <v>0</v>
      </c>
      <c r="L1101" s="195">
        <f>+J1101+K1101</f>
        <v>0</v>
      </c>
    </row>
    <row r="1102" spans="1:16" ht="13.5" customHeight="1">
      <c r="A1102" s="72">
        <v>723</v>
      </c>
      <c r="B1102" s="80"/>
      <c r="C1102" s="74">
        <f>+D1065</f>
        <v>323193545</v>
      </c>
      <c r="D1102" s="195">
        <f>+B1102+C1102</f>
        <v>323193545</v>
      </c>
      <c r="F1102" s="174" t="s">
        <v>23</v>
      </c>
      <c r="G1102" s="175"/>
      <c r="I1102" s="72">
        <v>723</v>
      </c>
      <c r="J1102" s="80">
        <f>+P1079+P1083+P1085</f>
        <v>13461900</v>
      </c>
      <c r="K1102" s="74">
        <f>+L1065</f>
        <v>411689928</v>
      </c>
      <c r="L1102" s="195">
        <f>+J1102+K1102</f>
        <v>425151828</v>
      </c>
      <c r="N1102" s="918" t="s">
        <v>1481</v>
      </c>
      <c r="O1102" s="918"/>
      <c r="P1102" s="918"/>
    </row>
    <row r="1103" spans="1:16" ht="14.25" customHeight="1" thickBot="1">
      <c r="A1103" s="164" t="s">
        <v>181</v>
      </c>
      <c r="B1103" s="165"/>
      <c r="C1103" s="74" t="e">
        <f>+D1066</f>
        <v>#REF!</v>
      </c>
      <c r="D1103" s="196" t="e">
        <f>+B1103+C1103</f>
        <v>#REF!</v>
      </c>
      <c r="F1103" s="52"/>
      <c r="I1103" s="164" t="s">
        <v>181</v>
      </c>
      <c r="J1103" s="165"/>
      <c r="K1103" s="74">
        <f>+L1066</f>
        <v>0</v>
      </c>
      <c r="L1103" s="196">
        <f>+J1103+K1103</f>
        <v>0</v>
      </c>
      <c r="N1103" s="52"/>
    </row>
    <row r="1104" spans="1:16" ht="16.5" thickBot="1">
      <c r="A1104" s="169"/>
      <c r="B1104" s="170">
        <f>SUM(B1099:B1103)</f>
        <v>1358000</v>
      </c>
      <c r="C1104" s="171" t="e">
        <f>SUM(C1099:C1103)</f>
        <v>#REF!</v>
      </c>
      <c r="D1104" s="172" t="e">
        <f>SUM(D1099:D1103)</f>
        <v>#REF!</v>
      </c>
      <c r="I1104" s="169"/>
      <c r="J1104" s="197">
        <f>SUM(J1099:J1103)</f>
        <v>13992800</v>
      </c>
      <c r="K1104" s="197">
        <f>SUM(K1099:K1103)</f>
        <v>471411552</v>
      </c>
      <c r="L1104" s="198">
        <f>SUM(L1099:L1103)</f>
        <v>485404352</v>
      </c>
    </row>
    <row r="1105" spans="1:16" ht="16.5">
      <c r="A1105" s="49" t="s">
        <v>88</v>
      </c>
      <c r="B1105" s="50"/>
      <c r="I1105" s="49" t="s">
        <v>88</v>
      </c>
      <c r="J1105" s="50"/>
    </row>
    <row r="1106" spans="1:16">
      <c r="A1106" s="51" t="s">
        <v>89</v>
      </c>
      <c r="I1106" s="51" t="s">
        <v>89</v>
      </c>
    </row>
    <row r="1107" spans="1:16">
      <c r="A1107" s="51" t="s">
        <v>90</v>
      </c>
      <c r="I1107" s="51" t="s">
        <v>90</v>
      </c>
    </row>
    <row r="1108" spans="1:16">
      <c r="A1108" s="51" t="s">
        <v>91</v>
      </c>
      <c r="I1108" s="51" t="s">
        <v>91</v>
      </c>
    </row>
    <row r="1109" spans="1:16" ht="10.5" customHeight="1">
      <c r="A1109" s="50"/>
      <c r="B1109" s="50"/>
      <c r="I1109" s="50"/>
      <c r="J1109" s="50"/>
    </row>
    <row r="1110" spans="1:16" ht="16.5">
      <c r="A1110" s="52" t="s">
        <v>486</v>
      </c>
      <c r="G1110" s="52"/>
      <c r="I1110" s="260" t="s">
        <v>855</v>
      </c>
      <c r="O1110" s="52"/>
    </row>
    <row r="1111" spans="1:16" ht="15.75">
      <c r="A1111" s="53" t="s">
        <v>92</v>
      </c>
      <c r="G1111" s="53"/>
      <c r="I1111" s="53" t="s">
        <v>1333</v>
      </c>
      <c r="O1111" s="53"/>
    </row>
    <row r="1112" spans="1:16" ht="16.5">
      <c r="A1112" s="894" t="s">
        <v>485</v>
      </c>
      <c r="B1112" s="894"/>
      <c r="C1112" s="894"/>
      <c r="D1112" s="894"/>
      <c r="E1112" s="894"/>
      <c r="F1112" s="894"/>
      <c r="G1112" s="894"/>
      <c r="H1112" s="894"/>
      <c r="I1112" s="894" t="s">
        <v>1546</v>
      </c>
      <c r="J1112" s="894"/>
      <c r="K1112" s="894"/>
      <c r="L1112" s="894"/>
      <c r="M1112" s="894"/>
      <c r="N1112" s="894"/>
      <c r="O1112" s="894"/>
      <c r="P1112" s="894"/>
    </row>
    <row r="1113" spans="1:16" ht="15.75" thickBot="1"/>
    <row r="1114" spans="1:16">
      <c r="A1114" s="895" t="s">
        <v>94</v>
      </c>
      <c r="B1114" s="897" t="s">
        <v>95</v>
      </c>
      <c r="C1114" s="897" t="s">
        <v>96</v>
      </c>
      <c r="D1114" s="897" t="s">
        <v>3</v>
      </c>
      <c r="E1114" s="897" t="s">
        <v>97</v>
      </c>
      <c r="F1114" s="897" t="s">
        <v>98</v>
      </c>
      <c r="G1114" s="897" t="s">
        <v>99</v>
      </c>
      <c r="H1114" s="899"/>
      <c r="I1114" s="895" t="s">
        <v>94</v>
      </c>
      <c r="J1114" s="897" t="s">
        <v>95</v>
      </c>
      <c r="K1114" s="897" t="s">
        <v>96</v>
      </c>
      <c r="L1114" s="897" t="s">
        <v>3</v>
      </c>
      <c r="M1114" s="897" t="s">
        <v>97</v>
      </c>
      <c r="N1114" s="897" t="s">
        <v>98</v>
      </c>
      <c r="O1114" s="897" t="s">
        <v>99</v>
      </c>
      <c r="P1114" s="899"/>
    </row>
    <row r="1115" spans="1:16" ht="15.75" thickBot="1">
      <c r="A1115" s="896"/>
      <c r="B1115" s="898"/>
      <c r="C1115" s="898"/>
      <c r="D1115" s="898"/>
      <c r="E1115" s="898"/>
      <c r="F1115" s="898"/>
      <c r="G1115" s="240" t="s">
        <v>100</v>
      </c>
      <c r="H1115" s="182" t="s">
        <v>101</v>
      </c>
      <c r="I1115" s="896"/>
      <c r="J1115" s="898"/>
      <c r="K1115" s="898"/>
      <c r="L1115" s="898"/>
      <c r="M1115" s="898"/>
      <c r="N1115" s="898"/>
      <c r="O1115" s="240" t="s">
        <v>100</v>
      </c>
      <c r="P1115" s="182" t="s">
        <v>101</v>
      </c>
    </row>
    <row r="1116" spans="1:16" ht="13.5" customHeight="1">
      <c r="A1116" s="919">
        <v>1</v>
      </c>
      <c r="B1116" s="875">
        <v>42345</v>
      </c>
      <c r="C1116" s="877" t="s">
        <v>487</v>
      </c>
      <c r="D1116" s="877" t="s">
        <v>251</v>
      </c>
      <c r="E1116" s="881" t="s">
        <v>145</v>
      </c>
      <c r="F1116" s="883">
        <v>-4280256</v>
      </c>
      <c r="G1116" s="55">
        <v>719</v>
      </c>
      <c r="H1116" s="78"/>
      <c r="I1116" s="873" t="s">
        <v>1542</v>
      </c>
      <c r="J1116" s="875">
        <v>43062</v>
      </c>
      <c r="K1116" s="881" t="s">
        <v>1544</v>
      </c>
      <c r="L1116" s="881" t="s">
        <v>1548</v>
      </c>
      <c r="M1116" s="881" t="s">
        <v>115</v>
      </c>
      <c r="N1116" s="883">
        <v>250000</v>
      </c>
      <c r="O1116" s="55">
        <v>719</v>
      </c>
      <c r="P1116" s="78">
        <f>+N1116</f>
        <v>250000</v>
      </c>
    </row>
    <row r="1117" spans="1:16" ht="12.75" customHeight="1" thickBot="1">
      <c r="A1117" s="920"/>
      <c r="B1117" s="876"/>
      <c r="C1117" s="878"/>
      <c r="D1117" s="878"/>
      <c r="E1117" s="882"/>
      <c r="F1117" s="884"/>
      <c r="G1117" s="56">
        <v>721</v>
      </c>
      <c r="H1117" s="79">
        <f>+F1116-H1116</f>
        <v>-4280256</v>
      </c>
      <c r="I1117" s="874"/>
      <c r="J1117" s="876"/>
      <c r="K1117" s="882"/>
      <c r="L1117" s="882"/>
      <c r="M1117" s="882"/>
      <c r="N1117" s="884"/>
      <c r="O1117" s="56">
        <v>721</v>
      </c>
      <c r="P1117" s="79">
        <f>+N1116-P1116</f>
        <v>0</v>
      </c>
    </row>
    <row r="1118" spans="1:16" ht="13.5" customHeight="1">
      <c r="A1118" s="919">
        <v>2</v>
      </c>
      <c r="B1118" s="875">
        <v>42345</v>
      </c>
      <c r="C1118" s="877" t="s">
        <v>249</v>
      </c>
      <c r="D1118" s="877" t="s">
        <v>251</v>
      </c>
      <c r="E1118" s="881" t="s">
        <v>145</v>
      </c>
      <c r="F1118" s="883">
        <v>-2140128</v>
      </c>
      <c r="G1118" s="55">
        <v>719</v>
      </c>
      <c r="H1118" s="78"/>
      <c r="I1118" s="881">
        <f>+I1116+1</f>
        <v>141</v>
      </c>
      <c r="J1118" s="875">
        <v>43062</v>
      </c>
      <c r="K1118" s="881" t="s">
        <v>1544</v>
      </c>
      <c r="L1118" s="879" t="s">
        <v>1549</v>
      </c>
      <c r="M1118" s="881" t="s">
        <v>115</v>
      </c>
      <c r="N1118" s="883">
        <v>100000</v>
      </c>
      <c r="O1118" s="55">
        <v>719</v>
      </c>
      <c r="P1118" s="78">
        <v>100000</v>
      </c>
    </row>
    <row r="1119" spans="1:16" ht="12.75" customHeight="1" thickBot="1">
      <c r="A1119" s="920"/>
      <c r="B1119" s="876"/>
      <c r="C1119" s="878"/>
      <c r="D1119" s="878"/>
      <c r="E1119" s="882"/>
      <c r="F1119" s="884"/>
      <c r="G1119" s="56">
        <v>721</v>
      </c>
      <c r="H1119" s="79">
        <f>+F1118-H1118</f>
        <v>-2140128</v>
      </c>
      <c r="I1119" s="882"/>
      <c r="J1119" s="876"/>
      <c r="K1119" s="882"/>
      <c r="L1119" s="880"/>
      <c r="M1119" s="882"/>
      <c r="N1119" s="884"/>
      <c r="O1119" s="56">
        <v>721</v>
      </c>
      <c r="P1119" s="79">
        <v>0</v>
      </c>
    </row>
    <row r="1120" spans="1:16" ht="13.5" customHeight="1">
      <c r="A1120" s="881"/>
      <c r="B1120" s="875"/>
      <c r="C1120" s="877"/>
      <c r="D1120" s="881"/>
      <c r="E1120" s="881"/>
      <c r="F1120" s="883"/>
      <c r="G1120" s="55">
        <v>719</v>
      </c>
      <c r="H1120" s="78"/>
      <c r="I1120" s="881">
        <f>+I1118+1</f>
        <v>142</v>
      </c>
      <c r="J1120" s="875">
        <v>43062</v>
      </c>
      <c r="K1120" s="877" t="s">
        <v>28</v>
      </c>
      <c r="L1120" s="879" t="s">
        <v>1543</v>
      </c>
      <c r="M1120" s="881" t="s">
        <v>115</v>
      </c>
      <c r="N1120" s="883">
        <v>80000</v>
      </c>
      <c r="O1120" s="55">
        <v>719</v>
      </c>
      <c r="P1120" s="78">
        <v>80000</v>
      </c>
    </row>
    <row r="1121" spans="1:16" ht="13.5" customHeight="1" thickBot="1">
      <c r="A1121" s="882"/>
      <c r="B1121" s="876"/>
      <c r="C1121" s="878"/>
      <c r="D1121" s="882"/>
      <c r="E1121" s="882"/>
      <c r="F1121" s="884"/>
      <c r="G1121" s="56">
        <v>721</v>
      </c>
      <c r="H1121" s="79"/>
      <c r="I1121" s="882"/>
      <c r="J1121" s="876"/>
      <c r="K1121" s="878"/>
      <c r="L1121" s="880"/>
      <c r="M1121" s="882"/>
      <c r="N1121" s="884"/>
      <c r="O1121" s="56">
        <v>721</v>
      </c>
      <c r="P1121" s="79">
        <f>+N1120-P1120</f>
        <v>0</v>
      </c>
    </row>
    <row r="1122" spans="1:16" ht="12.75" customHeight="1">
      <c r="A1122" s="881"/>
      <c r="B1122" s="875"/>
      <c r="C1122" s="877"/>
      <c r="D1122" s="881"/>
      <c r="E1122" s="881"/>
      <c r="F1122" s="883"/>
      <c r="G1122" s="55">
        <v>719</v>
      </c>
      <c r="H1122" s="78"/>
      <c r="I1122" s="881">
        <f>+I1120+1</f>
        <v>143</v>
      </c>
      <c r="J1122" s="875">
        <v>43062</v>
      </c>
      <c r="K1122" s="877" t="s">
        <v>28</v>
      </c>
      <c r="L1122" s="879" t="s">
        <v>1550</v>
      </c>
      <c r="M1122" s="881" t="s">
        <v>115</v>
      </c>
      <c r="N1122" s="883">
        <v>200000</v>
      </c>
      <c r="O1122" s="55">
        <v>719</v>
      </c>
      <c r="P1122" s="78">
        <v>200000</v>
      </c>
    </row>
    <row r="1123" spans="1:16" ht="12.75" customHeight="1" thickBot="1">
      <c r="A1123" s="882"/>
      <c r="B1123" s="876"/>
      <c r="C1123" s="878"/>
      <c r="D1123" s="882"/>
      <c r="E1123" s="882"/>
      <c r="F1123" s="884"/>
      <c r="G1123" s="56">
        <v>721</v>
      </c>
      <c r="H1123" s="79">
        <f>+F1122-H1122</f>
        <v>0</v>
      </c>
      <c r="I1123" s="882"/>
      <c r="J1123" s="876"/>
      <c r="K1123" s="878"/>
      <c r="L1123" s="880"/>
      <c r="M1123" s="882"/>
      <c r="N1123" s="884"/>
      <c r="O1123" s="56">
        <v>721</v>
      </c>
      <c r="P1123" s="79">
        <f>+N1122-P1122</f>
        <v>0</v>
      </c>
    </row>
    <row r="1124" spans="1:16" ht="14.25" customHeight="1">
      <c r="A1124" s="881"/>
      <c r="B1124" s="875"/>
      <c r="C1124" s="877"/>
      <c r="D1124" s="881"/>
      <c r="E1124" s="881"/>
      <c r="F1124" s="883"/>
      <c r="G1124" s="55">
        <v>719</v>
      </c>
      <c r="H1124" s="78"/>
      <c r="I1124" s="881">
        <f>+I1122+1</f>
        <v>144</v>
      </c>
      <c r="J1124" s="875">
        <v>43062</v>
      </c>
      <c r="K1124" s="877" t="s">
        <v>28</v>
      </c>
      <c r="L1124" s="879" t="s">
        <v>1552</v>
      </c>
      <c r="M1124" s="881" t="s">
        <v>115</v>
      </c>
      <c r="N1124" s="883">
        <v>290000</v>
      </c>
      <c r="O1124" s="55">
        <v>719</v>
      </c>
      <c r="P1124" s="78">
        <v>290000</v>
      </c>
    </row>
    <row r="1125" spans="1:16" ht="13.5" customHeight="1" thickBot="1">
      <c r="A1125" s="882"/>
      <c r="B1125" s="876"/>
      <c r="C1125" s="878"/>
      <c r="D1125" s="882"/>
      <c r="E1125" s="882"/>
      <c r="F1125" s="884"/>
      <c r="G1125" s="56">
        <v>721</v>
      </c>
      <c r="H1125" s="79">
        <f>+F1124-H1124</f>
        <v>0</v>
      </c>
      <c r="I1125" s="882"/>
      <c r="J1125" s="876"/>
      <c r="K1125" s="878"/>
      <c r="L1125" s="880"/>
      <c r="M1125" s="882"/>
      <c r="N1125" s="884"/>
      <c r="O1125" s="56">
        <v>721</v>
      </c>
      <c r="P1125" s="79">
        <f>+N1124-P1124</f>
        <v>0</v>
      </c>
    </row>
    <row r="1126" spans="1:16" ht="16.5" thickBot="1">
      <c r="A1126" s="901" t="s">
        <v>102</v>
      </c>
      <c r="B1126" s="902"/>
      <c r="C1126" s="902"/>
      <c r="D1126" s="902"/>
      <c r="E1126" s="903"/>
      <c r="F1126" s="81">
        <f>SUM(F1116:F1125)</f>
        <v>-6420384</v>
      </c>
      <c r="I1126" s="901" t="s">
        <v>102</v>
      </c>
      <c r="J1126" s="902"/>
      <c r="K1126" s="902"/>
      <c r="L1126" s="902"/>
      <c r="M1126" s="903"/>
      <c r="N1126" s="81">
        <f>SUM(N1116:N1125)</f>
        <v>920000</v>
      </c>
    </row>
    <row r="1127" spans="1:16" ht="16.5" thickBot="1">
      <c r="A1127" s="885" t="s">
        <v>103</v>
      </c>
      <c r="B1127" s="886"/>
      <c r="C1127" s="886"/>
      <c r="D1127" s="886"/>
      <c r="E1127" s="887"/>
      <c r="F1127" s="69">
        <f>+F1091</f>
        <v>662783638</v>
      </c>
      <c r="I1127" s="885" t="s">
        <v>103</v>
      </c>
      <c r="J1127" s="886"/>
      <c r="K1127" s="886"/>
      <c r="L1127" s="886"/>
      <c r="M1127" s="887"/>
      <c r="N1127" s="69">
        <f>+N1091</f>
        <v>450888978</v>
      </c>
      <c r="O1127" s="241" t="s">
        <v>561</v>
      </c>
      <c r="P1127" s="242"/>
    </row>
    <row r="1128" spans="1:16" ht="16.5" thickBot="1">
      <c r="A1128" s="888" t="s">
        <v>104</v>
      </c>
      <c r="B1128" s="889"/>
      <c r="C1128" s="889"/>
      <c r="D1128" s="889"/>
      <c r="E1128" s="890"/>
      <c r="F1128" s="183">
        <f>SUM(F1126:F1127)</f>
        <v>656363254</v>
      </c>
      <c r="I1128" s="888" t="s">
        <v>104</v>
      </c>
      <c r="J1128" s="889"/>
      <c r="K1128" s="889"/>
      <c r="L1128" s="889"/>
      <c r="M1128" s="890"/>
      <c r="N1128" s="183">
        <f>SUM(N1126:N1127)</f>
        <v>451808978</v>
      </c>
    </row>
    <row r="1129" spans="1:16" ht="12.75" customHeight="1">
      <c r="A1129" s="61"/>
      <c r="B1129" s="61"/>
      <c r="C1129" s="61"/>
      <c r="D1129" s="61"/>
      <c r="E1129" s="61"/>
      <c r="I1129" s="61"/>
      <c r="J1129" s="61"/>
      <c r="K1129" s="61"/>
      <c r="L1129" s="61"/>
      <c r="M1129" s="61"/>
    </row>
    <row r="1130" spans="1:16">
      <c r="A1130" s="51" t="s">
        <v>488</v>
      </c>
      <c r="I1130" s="51" t="s">
        <v>1551</v>
      </c>
    </row>
    <row r="1131" spans="1:16" ht="12" customHeight="1">
      <c r="F1131" s="139"/>
      <c r="N1131" s="139"/>
    </row>
    <row r="1132" spans="1:16">
      <c r="A1132" s="50" t="s">
        <v>105</v>
      </c>
      <c r="D1132" s="146"/>
      <c r="F1132" s="139"/>
      <c r="I1132" s="50" t="s">
        <v>105</v>
      </c>
      <c r="L1132" s="146"/>
      <c r="N1132" s="139"/>
    </row>
    <row r="1133" spans="1:16" ht="12.75" customHeight="1" thickBot="1"/>
    <row r="1134" spans="1:16" ht="15.75" thickBot="1">
      <c r="A1134" s="891" t="s">
        <v>106</v>
      </c>
      <c r="B1134" s="892"/>
      <c r="C1134" s="892"/>
      <c r="D1134" s="893"/>
      <c r="F1134" s="50" t="s">
        <v>288</v>
      </c>
      <c r="I1134" s="891" t="s">
        <v>106</v>
      </c>
      <c r="J1134" s="892"/>
      <c r="K1134" s="892"/>
      <c r="L1134" s="893"/>
      <c r="N1134" s="925" t="s">
        <v>288</v>
      </c>
      <c r="O1134" s="925"/>
      <c r="P1134" s="925"/>
    </row>
    <row r="1135" spans="1:16" ht="30.75" thickBot="1">
      <c r="A1135" s="57" t="s">
        <v>100</v>
      </c>
      <c r="B1135" s="58" t="s">
        <v>108</v>
      </c>
      <c r="C1135" s="59" t="s">
        <v>109</v>
      </c>
      <c r="D1135" s="60" t="s">
        <v>110</v>
      </c>
      <c r="I1135" s="57" t="s">
        <v>100</v>
      </c>
      <c r="J1135" s="58" t="s">
        <v>108</v>
      </c>
      <c r="K1135" s="59" t="s">
        <v>109</v>
      </c>
      <c r="L1135" s="60" t="s">
        <v>110</v>
      </c>
    </row>
    <row r="1136" spans="1:16">
      <c r="A1136" s="71">
        <v>719</v>
      </c>
      <c r="B1136" s="73">
        <f>+H1116+H1118+H1120+H1122+H1124</f>
        <v>0</v>
      </c>
      <c r="C1136" s="74" t="e">
        <f>+D1099</f>
        <v>#REF!</v>
      </c>
      <c r="D1136" s="195" t="e">
        <f>+B1136+C1136</f>
        <v>#REF!</v>
      </c>
      <c r="I1136" s="71">
        <v>719</v>
      </c>
      <c r="J1136" s="73">
        <f>+P1116+P1118+P1120+P1124+P1122</f>
        <v>920000</v>
      </c>
      <c r="K1136" s="74">
        <f>+L1099</f>
        <v>16895000</v>
      </c>
      <c r="L1136" s="195">
        <f>+J1136+K1136</f>
        <v>17815000</v>
      </c>
    </row>
    <row r="1137" spans="1:16">
      <c r="A1137" s="72">
        <v>721</v>
      </c>
      <c r="B1137" s="80">
        <f>(+H1125+H1123+H1121+H1119+H1117)</f>
        <v>-6420384</v>
      </c>
      <c r="C1137" s="74" t="e">
        <f>+D1100</f>
        <v>#REF!</v>
      </c>
      <c r="D1137" s="195" t="e">
        <f>+B1137+C1137</f>
        <v>#REF!</v>
      </c>
      <c r="I1137" s="72">
        <v>721</v>
      </c>
      <c r="J1137" s="80">
        <f>+P1117+P1119+P1121+P1123+P1125</f>
        <v>0</v>
      </c>
      <c r="K1137" s="74">
        <f>+L1100</f>
        <v>43357524</v>
      </c>
      <c r="L1137" s="195">
        <f>+J1137+K1137</f>
        <v>43357524</v>
      </c>
    </row>
    <row r="1138" spans="1:16" ht="15.75">
      <c r="A1138" s="72">
        <v>722</v>
      </c>
      <c r="B1138" s="80"/>
      <c r="C1138" s="74">
        <f>+D1101</f>
        <v>231207671</v>
      </c>
      <c r="D1138" s="195">
        <f>+B1138+C1138</f>
        <v>231207671</v>
      </c>
      <c r="I1138" s="72">
        <v>722</v>
      </c>
      <c r="J1138" s="80"/>
      <c r="K1138" s="74">
        <f>+L1101</f>
        <v>0</v>
      </c>
      <c r="L1138" s="195">
        <f>+J1138+K1138</f>
        <v>0</v>
      </c>
      <c r="N1138" s="918" t="s">
        <v>1481</v>
      </c>
      <c r="O1138" s="918"/>
      <c r="P1138" s="918"/>
    </row>
    <row r="1139" spans="1:16" ht="14.25" customHeight="1">
      <c r="A1139" s="72">
        <v>723</v>
      </c>
      <c r="B1139" s="80"/>
      <c r="C1139" s="74">
        <f>+D1102</f>
        <v>323193545</v>
      </c>
      <c r="D1139" s="195">
        <f>+B1139+C1139</f>
        <v>323193545</v>
      </c>
      <c r="F1139" s="174" t="s">
        <v>23</v>
      </c>
      <c r="G1139" s="175"/>
      <c r="I1139" s="72">
        <v>723</v>
      </c>
      <c r="J1139" s="80"/>
      <c r="K1139" s="74">
        <f>+L1102</f>
        <v>425151828</v>
      </c>
      <c r="L1139" s="195">
        <f>+J1139+K1139</f>
        <v>425151828</v>
      </c>
      <c r="N1139" s="193"/>
      <c r="O1139" s="175"/>
    </row>
    <row r="1140" spans="1:16" ht="13.5" customHeight="1" thickBot="1">
      <c r="A1140" s="164" t="s">
        <v>181</v>
      </c>
      <c r="B1140" s="165"/>
      <c r="C1140" s="74" t="e">
        <f>+D1103</f>
        <v>#REF!</v>
      </c>
      <c r="D1140" s="196" t="e">
        <f>+B1140+C1140</f>
        <v>#REF!</v>
      </c>
      <c r="F1140" s="52"/>
      <c r="I1140" s="164" t="s">
        <v>181</v>
      </c>
      <c r="J1140" s="165"/>
      <c r="K1140" s="74">
        <f>+L1103</f>
        <v>0</v>
      </c>
      <c r="L1140" s="196">
        <f>+J1140+K1140</f>
        <v>0</v>
      </c>
      <c r="N1140" s="52"/>
    </row>
    <row r="1141" spans="1:16" ht="16.5" thickBot="1">
      <c r="A1141" s="169"/>
      <c r="B1141" s="170">
        <f>SUM(B1136:B1140)</f>
        <v>-6420384</v>
      </c>
      <c r="C1141" s="171" t="e">
        <f>SUM(C1136:C1140)</f>
        <v>#REF!</v>
      </c>
      <c r="D1141" s="172" t="e">
        <f>SUM(D1136:D1140)</f>
        <v>#REF!</v>
      </c>
      <c r="I1141" s="169"/>
      <c r="J1141" s="197">
        <f>SUM(J1136:J1140)</f>
        <v>920000</v>
      </c>
      <c r="K1141" s="197">
        <f>SUM(K1136:K1140)</f>
        <v>485404352</v>
      </c>
      <c r="L1141" s="198">
        <f>SUM(L1136:L1140)</f>
        <v>486324352</v>
      </c>
    </row>
    <row r="1142" spans="1:16" ht="16.5">
      <c r="A1142" s="49" t="s">
        <v>88</v>
      </c>
      <c r="B1142" s="50"/>
      <c r="I1142" s="49" t="s">
        <v>88</v>
      </c>
      <c r="J1142" s="50"/>
    </row>
    <row r="1143" spans="1:16" ht="14.25" customHeight="1">
      <c r="A1143" s="51" t="s">
        <v>89</v>
      </c>
      <c r="I1143" s="51" t="s">
        <v>89</v>
      </c>
    </row>
    <row r="1144" spans="1:16" ht="12.75" customHeight="1">
      <c r="A1144" s="51" t="s">
        <v>90</v>
      </c>
      <c r="I1144" s="51" t="s">
        <v>90</v>
      </c>
    </row>
    <row r="1145" spans="1:16">
      <c r="A1145" s="51" t="s">
        <v>91</v>
      </c>
      <c r="I1145" s="51" t="s">
        <v>91</v>
      </c>
    </row>
    <row r="1146" spans="1:16" ht="11.25" customHeight="1">
      <c r="A1146" s="50"/>
      <c r="B1146" s="50"/>
      <c r="I1146" s="50"/>
      <c r="J1146" s="50"/>
    </row>
    <row r="1147" spans="1:16" ht="16.5">
      <c r="A1147" s="52" t="s">
        <v>489</v>
      </c>
      <c r="G1147" s="52"/>
      <c r="I1147" s="260" t="s">
        <v>185</v>
      </c>
      <c r="O1147" s="52"/>
    </row>
    <row r="1148" spans="1:16" ht="15.75">
      <c r="A1148" s="53" t="s">
        <v>92</v>
      </c>
      <c r="G1148" s="53"/>
      <c r="I1148" s="53" t="s">
        <v>1333</v>
      </c>
      <c r="O1148" s="53"/>
    </row>
    <row r="1149" spans="1:16" ht="16.5">
      <c r="A1149" s="894" t="s">
        <v>462</v>
      </c>
      <c r="B1149" s="894"/>
      <c r="C1149" s="894"/>
      <c r="D1149" s="894"/>
      <c r="E1149" s="894"/>
      <c r="F1149" s="894"/>
      <c r="G1149" s="894"/>
      <c r="H1149" s="894"/>
      <c r="I1149" s="894" t="s">
        <v>1547</v>
      </c>
      <c r="J1149" s="894"/>
      <c r="K1149" s="894"/>
      <c r="L1149" s="894"/>
      <c r="M1149" s="894"/>
      <c r="N1149" s="894"/>
      <c r="O1149" s="894"/>
      <c r="P1149" s="894"/>
    </row>
    <row r="1150" spans="1:16" ht="15.75" thickBot="1"/>
    <row r="1151" spans="1:16">
      <c r="A1151" s="895" t="s">
        <v>94</v>
      </c>
      <c r="B1151" s="897" t="s">
        <v>95</v>
      </c>
      <c r="C1151" s="897" t="s">
        <v>96</v>
      </c>
      <c r="D1151" s="897" t="s">
        <v>3</v>
      </c>
      <c r="E1151" s="897" t="s">
        <v>97</v>
      </c>
      <c r="F1151" s="897" t="s">
        <v>98</v>
      </c>
      <c r="G1151" s="897" t="s">
        <v>99</v>
      </c>
      <c r="H1151" s="899"/>
      <c r="I1151" s="895" t="s">
        <v>94</v>
      </c>
      <c r="J1151" s="897" t="s">
        <v>95</v>
      </c>
      <c r="K1151" s="897" t="s">
        <v>96</v>
      </c>
      <c r="L1151" s="897" t="s">
        <v>3</v>
      </c>
      <c r="M1151" s="897" t="s">
        <v>97</v>
      </c>
      <c r="N1151" s="897" t="s">
        <v>98</v>
      </c>
      <c r="O1151" s="897" t="s">
        <v>99</v>
      </c>
      <c r="P1151" s="899"/>
    </row>
    <row r="1152" spans="1:16" ht="15.75" thickBot="1">
      <c r="A1152" s="896"/>
      <c r="B1152" s="898"/>
      <c r="C1152" s="898"/>
      <c r="D1152" s="898"/>
      <c r="E1152" s="898"/>
      <c r="F1152" s="898"/>
      <c r="G1152" s="240" t="s">
        <v>100</v>
      </c>
      <c r="H1152" s="182" t="s">
        <v>101</v>
      </c>
      <c r="I1152" s="896"/>
      <c r="J1152" s="898"/>
      <c r="K1152" s="898"/>
      <c r="L1152" s="898"/>
      <c r="M1152" s="898"/>
      <c r="N1152" s="898"/>
      <c r="O1152" s="240" t="s">
        <v>100</v>
      </c>
      <c r="P1152" s="182" t="s">
        <v>101</v>
      </c>
    </row>
    <row r="1153" spans="1:16" ht="12" customHeight="1">
      <c r="A1153" s="919" t="e">
        <f>+A1087+1</f>
        <v>#REF!</v>
      </c>
      <c r="B1153" s="875">
        <v>42355</v>
      </c>
      <c r="C1153" s="877" t="s">
        <v>31</v>
      </c>
      <c r="D1153" s="877" t="s">
        <v>490</v>
      </c>
      <c r="E1153" s="881" t="s">
        <v>115</v>
      </c>
      <c r="F1153" s="883">
        <v>50000</v>
      </c>
      <c r="G1153" s="55">
        <v>719</v>
      </c>
      <c r="H1153" s="78">
        <v>50000</v>
      </c>
      <c r="I1153" s="873" t="s">
        <v>856</v>
      </c>
      <c r="J1153" s="875">
        <v>43062</v>
      </c>
      <c r="K1153" s="881" t="s">
        <v>472</v>
      </c>
      <c r="L1153" s="879" t="s">
        <v>1553</v>
      </c>
      <c r="M1153" s="881" t="s">
        <v>148</v>
      </c>
      <c r="N1153" s="883">
        <v>364000</v>
      </c>
      <c r="O1153" s="55">
        <v>719</v>
      </c>
      <c r="P1153" s="78">
        <f>+N1153-P1154</f>
        <v>280000</v>
      </c>
    </row>
    <row r="1154" spans="1:16" ht="14.25" customHeight="1" thickBot="1">
      <c r="A1154" s="920"/>
      <c r="B1154" s="876"/>
      <c r="C1154" s="878"/>
      <c r="D1154" s="878"/>
      <c r="E1154" s="882"/>
      <c r="F1154" s="884"/>
      <c r="G1154" s="56">
        <v>721</v>
      </c>
      <c r="H1154" s="79">
        <f>+F1153-H1153</f>
        <v>0</v>
      </c>
      <c r="I1154" s="874"/>
      <c r="J1154" s="876"/>
      <c r="K1154" s="882"/>
      <c r="L1154" s="880"/>
      <c r="M1154" s="882"/>
      <c r="N1154" s="884"/>
      <c r="O1154" s="56">
        <v>721</v>
      </c>
      <c r="P1154" s="79">
        <v>84000</v>
      </c>
    </row>
    <row r="1155" spans="1:16" ht="11.25" customHeight="1">
      <c r="A1155" s="919" t="e">
        <f>+A1153+1</f>
        <v>#REF!</v>
      </c>
      <c r="B1155" s="875">
        <v>42355</v>
      </c>
      <c r="C1155" s="877" t="s">
        <v>32</v>
      </c>
      <c r="D1155" s="877" t="s">
        <v>491</v>
      </c>
      <c r="E1155" s="881" t="s">
        <v>115</v>
      </c>
      <c r="F1155" s="883">
        <v>20000</v>
      </c>
      <c r="G1155" s="55">
        <v>719</v>
      </c>
      <c r="H1155" s="78">
        <v>20000</v>
      </c>
      <c r="I1155" s="881">
        <f>+I1153+1</f>
        <v>146</v>
      </c>
      <c r="J1155" s="875">
        <v>43062</v>
      </c>
      <c r="K1155" s="877" t="s">
        <v>40</v>
      </c>
      <c r="L1155" s="881" t="s">
        <v>1439</v>
      </c>
      <c r="M1155" s="881" t="s">
        <v>148</v>
      </c>
      <c r="N1155" s="883">
        <v>-7821240</v>
      </c>
      <c r="O1155" s="55">
        <v>719</v>
      </c>
      <c r="P1155" s="78"/>
    </row>
    <row r="1156" spans="1:16" ht="15.75" customHeight="1" thickBot="1">
      <c r="A1156" s="920"/>
      <c r="B1156" s="876"/>
      <c r="C1156" s="878"/>
      <c r="D1156" s="878"/>
      <c r="E1156" s="882"/>
      <c r="F1156" s="884"/>
      <c r="G1156" s="56">
        <v>721</v>
      </c>
      <c r="H1156" s="79">
        <f>+F1155-H1155</f>
        <v>0</v>
      </c>
      <c r="I1156" s="882"/>
      <c r="J1156" s="876"/>
      <c r="K1156" s="878"/>
      <c r="L1156" s="882"/>
      <c r="M1156" s="882"/>
      <c r="N1156" s="884"/>
      <c r="O1156" s="56">
        <v>723</v>
      </c>
      <c r="P1156" s="79">
        <f>+N1155-P1155</f>
        <v>-7821240</v>
      </c>
    </row>
    <row r="1157" spans="1:16" ht="12.75" customHeight="1">
      <c r="A1157" s="919"/>
      <c r="B1157" s="875"/>
      <c r="C1157" s="877"/>
      <c r="D1157" s="881"/>
      <c r="E1157" s="881"/>
      <c r="F1157" s="883"/>
      <c r="G1157" s="55">
        <v>719</v>
      </c>
      <c r="H1157" s="78"/>
      <c r="I1157" s="881">
        <f>+I1155+1</f>
        <v>147</v>
      </c>
      <c r="J1157" s="875">
        <v>43062</v>
      </c>
      <c r="K1157" s="881" t="s">
        <v>472</v>
      </c>
      <c r="L1157" s="879" t="s">
        <v>1554</v>
      </c>
      <c r="M1157" s="881" t="s">
        <v>148</v>
      </c>
      <c r="N1157" s="883">
        <v>299000</v>
      </c>
      <c r="O1157" s="55">
        <v>719</v>
      </c>
      <c r="P1157" s="78">
        <f>+N1157-P1158</f>
        <v>230000</v>
      </c>
    </row>
    <row r="1158" spans="1:16" ht="13.5" customHeight="1" thickBot="1">
      <c r="A1158" s="920"/>
      <c r="B1158" s="876"/>
      <c r="C1158" s="878"/>
      <c r="D1158" s="882"/>
      <c r="E1158" s="882"/>
      <c r="F1158" s="884"/>
      <c r="G1158" s="56">
        <v>721</v>
      </c>
      <c r="H1158" s="79"/>
      <c r="I1158" s="882"/>
      <c r="J1158" s="876"/>
      <c r="K1158" s="882"/>
      <c r="L1158" s="880"/>
      <c r="M1158" s="882"/>
      <c r="N1158" s="884"/>
      <c r="O1158" s="56">
        <v>721</v>
      </c>
      <c r="P1158" s="79">
        <v>69000</v>
      </c>
    </row>
    <row r="1159" spans="1:16" ht="12" customHeight="1">
      <c r="A1159" s="881"/>
      <c r="B1159" s="875"/>
      <c r="C1159" s="877"/>
      <c r="D1159" s="881"/>
      <c r="E1159" s="881"/>
      <c r="F1159" s="883"/>
      <c r="G1159" s="55">
        <v>719</v>
      </c>
      <c r="H1159" s="78"/>
      <c r="I1159" s="881">
        <f>+I1157+1</f>
        <v>148</v>
      </c>
      <c r="J1159" s="875">
        <v>43062</v>
      </c>
      <c r="K1159" s="881" t="s">
        <v>472</v>
      </c>
      <c r="L1159" s="879" t="s">
        <v>1555</v>
      </c>
      <c r="M1159" s="881" t="s">
        <v>148</v>
      </c>
      <c r="N1159" s="883">
        <v>559000</v>
      </c>
      <c r="O1159" s="55">
        <v>719</v>
      </c>
      <c r="P1159" s="78">
        <f>+N1159-P1160</f>
        <v>430000</v>
      </c>
    </row>
    <row r="1160" spans="1:16" ht="12.75" customHeight="1" thickBot="1">
      <c r="A1160" s="882"/>
      <c r="B1160" s="876"/>
      <c r="C1160" s="878"/>
      <c r="D1160" s="882"/>
      <c r="E1160" s="882"/>
      <c r="F1160" s="884"/>
      <c r="G1160" s="56">
        <v>721</v>
      </c>
      <c r="H1160" s="79">
        <f>+F1159-H1159</f>
        <v>0</v>
      </c>
      <c r="I1160" s="882"/>
      <c r="J1160" s="876"/>
      <c r="K1160" s="882"/>
      <c r="L1160" s="880"/>
      <c r="M1160" s="882"/>
      <c r="N1160" s="884"/>
      <c r="O1160" s="56">
        <v>721</v>
      </c>
      <c r="P1160" s="79">
        <v>129000</v>
      </c>
    </row>
    <row r="1161" spans="1:16" ht="12.75" customHeight="1">
      <c r="A1161" s="881"/>
      <c r="B1161" s="875"/>
      <c r="C1161" s="877"/>
      <c r="D1161" s="881"/>
      <c r="E1161" s="881"/>
      <c r="F1161" s="883"/>
      <c r="G1161" s="55">
        <v>719</v>
      </c>
      <c r="H1161" s="78"/>
      <c r="I1161" s="881">
        <f>+I1159+1</f>
        <v>149</v>
      </c>
      <c r="J1161" s="875">
        <v>43062</v>
      </c>
      <c r="K1161" s="881" t="s">
        <v>472</v>
      </c>
      <c r="L1161" s="879" t="s">
        <v>1556</v>
      </c>
      <c r="M1161" s="881" t="s">
        <v>148</v>
      </c>
      <c r="N1161" s="883">
        <v>637000</v>
      </c>
      <c r="O1161" s="55">
        <v>719</v>
      </c>
      <c r="P1161" s="78">
        <f>+N1161-P1162</f>
        <v>490000</v>
      </c>
    </row>
    <row r="1162" spans="1:16" ht="13.5" customHeight="1" thickBot="1">
      <c r="A1162" s="882"/>
      <c r="B1162" s="876"/>
      <c r="C1162" s="878"/>
      <c r="D1162" s="882"/>
      <c r="E1162" s="882"/>
      <c r="F1162" s="884"/>
      <c r="G1162" s="56">
        <v>721</v>
      </c>
      <c r="H1162" s="79">
        <f>+F1161-H1161</f>
        <v>0</v>
      </c>
      <c r="I1162" s="882"/>
      <c r="J1162" s="876"/>
      <c r="K1162" s="882"/>
      <c r="L1162" s="880"/>
      <c r="M1162" s="882"/>
      <c r="N1162" s="884"/>
      <c r="O1162" s="56">
        <v>721</v>
      </c>
      <c r="P1162" s="79">
        <v>147000</v>
      </c>
    </row>
    <row r="1163" spans="1:16" ht="16.5" thickBot="1">
      <c r="A1163" s="901" t="s">
        <v>102</v>
      </c>
      <c r="B1163" s="902"/>
      <c r="C1163" s="902"/>
      <c r="D1163" s="902"/>
      <c r="E1163" s="903"/>
      <c r="F1163" s="81">
        <f>SUM(F1153:F1162)</f>
        <v>70000</v>
      </c>
      <c r="I1163" s="901" t="s">
        <v>102</v>
      </c>
      <c r="J1163" s="902"/>
      <c r="K1163" s="902"/>
      <c r="L1163" s="902"/>
      <c r="M1163" s="903"/>
      <c r="N1163" s="81">
        <f>SUM(N1153:N1162)</f>
        <v>-5962240</v>
      </c>
    </row>
    <row r="1164" spans="1:16" ht="16.5" thickBot="1">
      <c r="A1164" s="885" t="s">
        <v>103</v>
      </c>
      <c r="B1164" s="886"/>
      <c r="C1164" s="886"/>
      <c r="D1164" s="886"/>
      <c r="E1164" s="887"/>
      <c r="F1164" s="69">
        <f>+F1128</f>
        <v>656363254</v>
      </c>
      <c r="I1164" s="885" t="s">
        <v>103</v>
      </c>
      <c r="J1164" s="886"/>
      <c r="K1164" s="886"/>
      <c r="L1164" s="886"/>
      <c r="M1164" s="887"/>
      <c r="N1164" s="69">
        <f>+N1128</f>
        <v>451808978</v>
      </c>
      <c r="O1164" s="241" t="s">
        <v>561</v>
      </c>
      <c r="P1164" s="242"/>
    </row>
    <row r="1165" spans="1:16" ht="16.5" thickBot="1">
      <c r="A1165" s="888" t="s">
        <v>104</v>
      </c>
      <c r="B1165" s="889"/>
      <c r="C1165" s="889"/>
      <c r="D1165" s="889"/>
      <c r="E1165" s="890"/>
      <c r="F1165" s="183">
        <f>SUM(F1163:F1164)</f>
        <v>656433254</v>
      </c>
      <c r="I1165" s="888" t="s">
        <v>104</v>
      </c>
      <c r="J1165" s="889"/>
      <c r="K1165" s="889"/>
      <c r="L1165" s="889"/>
      <c r="M1165" s="890"/>
      <c r="N1165" s="183">
        <f>SUM(N1163:N1164)</f>
        <v>445846738</v>
      </c>
    </row>
    <row r="1166" spans="1:16" ht="13.5" customHeight="1">
      <c r="A1166" s="61"/>
      <c r="B1166" s="61"/>
      <c r="C1166" s="61"/>
      <c r="D1166" s="61"/>
      <c r="E1166" s="61"/>
      <c r="I1166" s="61"/>
      <c r="J1166" s="61"/>
      <c r="K1166" s="61"/>
      <c r="L1166" s="61"/>
      <c r="M1166" s="61"/>
    </row>
    <row r="1167" spans="1:16">
      <c r="A1167" s="51" t="s">
        <v>492</v>
      </c>
      <c r="I1167" s="51" t="s">
        <v>1557</v>
      </c>
    </row>
    <row r="1168" spans="1:16" ht="11.25" customHeight="1">
      <c r="F1168" s="139"/>
      <c r="N1168" s="139"/>
    </row>
    <row r="1169" spans="1:16">
      <c r="A1169" s="50" t="s">
        <v>105</v>
      </c>
      <c r="D1169" s="146"/>
      <c r="F1169" s="139"/>
      <c r="I1169" s="50" t="s">
        <v>105</v>
      </c>
      <c r="L1169" s="146"/>
      <c r="N1169" s="139"/>
    </row>
    <row r="1170" spans="1:16" ht="13.5" customHeight="1" thickBot="1"/>
    <row r="1171" spans="1:16" ht="15.75" thickBot="1">
      <c r="A1171" s="891" t="s">
        <v>106</v>
      </c>
      <c r="B1171" s="892"/>
      <c r="C1171" s="892"/>
      <c r="D1171" s="893"/>
      <c r="F1171" s="50" t="s">
        <v>288</v>
      </c>
      <c r="I1171" s="891" t="s">
        <v>106</v>
      </c>
      <c r="J1171" s="892"/>
      <c r="K1171" s="892"/>
      <c r="L1171" s="893"/>
      <c r="N1171" s="925" t="s">
        <v>288</v>
      </c>
      <c r="O1171" s="925"/>
      <c r="P1171" s="925"/>
    </row>
    <row r="1172" spans="1:16" ht="30.75" thickBot="1">
      <c r="A1172" s="57" t="s">
        <v>100</v>
      </c>
      <c r="B1172" s="58" t="s">
        <v>108</v>
      </c>
      <c r="C1172" s="59" t="s">
        <v>109</v>
      </c>
      <c r="D1172" s="60" t="s">
        <v>110</v>
      </c>
      <c r="I1172" s="57" t="s">
        <v>100</v>
      </c>
      <c r="J1172" s="58" t="s">
        <v>108</v>
      </c>
      <c r="K1172" s="59" t="s">
        <v>109</v>
      </c>
      <c r="L1172" s="60" t="s">
        <v>110</v>
      </c>
    </row>
    <row r="1173" spans="1:16" ht="13.5" customHeight="1">
      <c r="A1173" s="71">
        <v>719</v>
      </c>
      <c r="B1173" s="73">
        <f>+H1153+H1155+H1157+H1159+H1161</f>
        <v>70000</v>
      </c>
      <c r="C1173" s="74" t="e">
        <f>+D1136</f>
        <v>#REF!</v>
      </c>
      <c r="D1173" s="195" t="e">
        <f>+B1173+C1173</f>
        <v>#REF!</v>
      </c>
      <c r="I1173" s="71">
        <v>719</v>
      </c>
      <c r="J1173" s="73">
        <f>+P1153+P1155+P1157+P1159+P1161</f>
        <v>1430000</v>
      </c>
      <c r="K1173" s="74">
        <f>+L1136</f>
        <v>17815000</v>
      </c>
      <c r="L1173" s="195">
        <f>+J1173+K1173</f>
        <v>19245000</v>
      </c>
    </row>
    <row r="1174" spans="1:16">
      <c r="A1174" s="72">
        <v>721</v>
      </c>
      <c r="B1174" s="80">
        <f>(+H1162+H1160+H1158+H1156+H1154)</f>
        <v>0</v>
      </c>
      <c r="C1174" s="74" t="e">
        <f>+D1137</f>
        <v>#REF!</v>
      </c>
      <c r="D1174" s="195" t="e">
        <f>+B1174+C1174</f>
        <v>#REF!</v>
      </c>
      <c r="I1174" s="72">
        <v>721</v>
      </c>
      <c r="J1174" s="80">
        <f>+P1154+P1158+P1160+P1162</f>
        <v>429000</v>
      </c>
      <c r="K1174" s="74">
        <f>+L1137</f>
        <v>43357524</v>
      </c>
      <c r="L1174" s="195">
        <f>+J1174+K1174</f>
        <v>43786524</v>
      </c>
    </row>
    <row r="1175" spans="1:16" ht="13.5" customHeight="1">
      <c r="A1175" s="72">
        <v>722</v>
      </c>
      <c r="B1175" s="80"/>
      <c r="C1175" s="74">
        <f>+D1138</f>
        <v>231207671</v>
      </c>
      <c r="D1175" s="195">
        <f>+B1175+C1175</f>
        <v>231207671</v>
      </c>
      <c r="I1175" s="72">
        <v>722</v>
      </c>
      <c r="J1175" s="80"/>
      <c r="K1175" s="74">
        <f>+L1138</f>
        <v>0</v>
      </c>
      <c r="L1175" s="195">
        <f>+J1175+K1175</f>
        <v>0</v>
      </c>
      <c r="N1175" s="918" t="s">
        <v>1481</v>
      </c>
      <c r="O1175" s="918"/>
      <c r="P1175" s="918"/>
    </row>
    <row r="1176" spans="1:16" ht="15.75">
      <c r="A1176" s="72">
        <v>723</v>
      </c>
      <c r="B1176" s="80"/>
      <c r="C1176" s="74">
        <f>+D1139</f>
        <v>323193545</v>
      </c>
      <c r="D1176" s="195">
        <f>+B1176+C1176</f>
        <v>323193545</v>
      </c>
      <c r="F1176" s="174" t="s">
        <v>23</v>
      </c>
      <c r="G1176" s="175"/>
      <c r="I1176" s="72">
        <v>723</v>
      </c>
      <c r="J1176" s="80">
        <f>+P1156</f>
        <v>-7821240</v>
      </c>
      <c r="K1176" s="74">
        <f>+L1139</f>
        <v>425151828</v>
      </c>
      <c r="L1176" s="195">
        <f>+J1176+K1176</f>
        <v>417330588</v>
      </c>
      <c r="N1176" s="193"/>
      <c r="O1176" s="175"/>
    </row>
    <row r="1177" spans="1:16" ht="14.25" customHeight="1" thickBot="1">
      <c r="A1177" s="164" t="s">
        <v>181</v>
      </c>
      <c r="B1177" s="165"/>
      <c r="C1177" s="74" t="e">
        <f>+D1140</f>
        <v>#REF!</v>
      </c>
      <c r="D1177" s="196" t="e">
        <f>+B1177+C1177</f>
        <v>#REF!</v>
      </c>
      <c r="F1177" s="52"/>
      <c r="I1177" s="164" t="s">
        <v>181</v>
      </c>
      <c r="J1177" s="165"/>
      <c r="K1177" s="74">
        <f>+L1140</f>
        <v>0</v>
      </c>
      <c r="L1177" s="196">
        <f>+J1177+K1177</f>
        <v>0</v>
      </c>
      <c r="N1177" s="52"/>
    </row>
    <row r="1178" spans="1:16" ht="16.5" thickBot="1">
      <c r="A1178" s="169"/>
      <c r="B1178" s="170">
        <f>SUM(B1173:B1177)</f>
        <v>70000</v>
      </c>
      <c r="C1178" s="171" t="e">
        <f>SUM(C1173:C1177)</f>
        <v>#REF!</v>
      </c>
      <c r="D1178" s="172" t="e">
        <f>SUM(D1173:D1177)</f>
        <v>#REF!</v>
      </c>
      <c r="I1178" s="169"/>
      <c r="J1178" s="197">
        <f>SUM(J1173:J1177)</f>
        <v>-5962240</v>
      </c>
      <c r="K1178" s="197">
        <f>SUM(K1173:K1177)</f>
        <v>486324352</v>
      </c>
      <c r="L1178" s="198">
        <f>SUM(L1173:L1177)</f>
        <v>480362112</v>
      </c>
    </row>
    <row r="1179" spans="1:16" ht="16.5">
      <c r="A1179" s="49" t="s">
        <v>88</v>
      </c>
      <c r="B1179" s="50"/>
      <c r="I1179" s="49" t="s">
        <v>88</v>
      </c>
      <c r="J1179" s="50"/>
    </row>
    <row r="1180" spans="1:16">
      <c r="A1180" s="51" t="s">
        <v>89</v>
      </c>
      <c r="I1180" s="51" t="s">
        <v>89</v>
      </c>
    </row>
    <row r="1181" spans="1:16">
      <c r="A1181" s="51" t="s">
        <v>90</v>
      </c>
      <c r="I1181" s="51" t="s">
        <v>90</v>
      </c>
    </row>
    <row r="1182" spans="1:16" ht="14.25" customHeight="1">
      <c r="A1182" s="51" t="s">
        <v>91</v>
      </c>
      <c r="I1182" s="51" t="s">
        <v>91</v>
      </c>
    </row>
    <row r="1183" spans="1:16" ht="10.5" customHeight="1">
      <c r="A1183" s="50"/>
      <c r="B1183" s="50"/>
      <c r="I1183" s="50"/>
      <c r="J1183" s="50"/>
    </row>
    <row r="1184" spans="1:16" ht="16.5">
      <c r="A1184" s="52" t="s">
        <v>493</v>
      </c>
      <c r="G1184" s="52"/>
      <c r="I1184" s="260" t="s">
        <v>870</v>
      </c>
      <c r="O1184" s="52"/>
    </row>
    <row r="1185" spans="1:16" ht="15.75">
      <c r="A1185" s="53" t="s">
        <v>92</v>
      </c>
      <c r="G1185" s="53"/>
      <c r="I1185" s="53" t="s">
        <v>1333</v>
      </c>
      <c r="O1185" s="53"/>
    </row>
    <row r="1186" spans="1:16" ht="16.5">
      <c r="A1186" s="894" t="s">
        <v>261</v>
      </c>
      <c r="B1186" s="894"/>
      <c r="C1186" s="894"/>
      <c r="D1186" s="894"/>
      <c r="E1186" s="894"/>
      <c r="F1186" s="894"/>
      <c r="G1186" s="894"/>
      <c r="H1186" s="894"/>
      <c r="I1186" s="894" t="s">
        <v>261</v>
      </c>
      <c r="J1186" s="894"/>
      <c r="K1186" s="894"/>
      <c r="L1186" s="894"/>
      <c r="M1186" s="894"/>
      <c r="N1186" s="894"/>
      <c r="O1186" s="894"/>
      <c r="P1186" s="894"/>
    </row>
    <row r="1187" spans="1:16" ht="15.75" thickBot="1"/>
    <row r="1188" spans="1:16">
      <c r="A1188" s="895" t="s">
        <v>94</v>
      </c>
      <c r="B1188" s="897" t="s">
        <v>95</v>
      </c>
      <c r="C1188" s="897" t="s">
        <v>96</v>
      </c>
      <c r="D1188" s="897" t="s">
        <v>3</v>
      </c>
      <c r="E1188" s="897" t="s">
        <v>97</v>
      </c>
      <c r="F1188" s="897" t="s">
        <v>98</v>
      </c>
      <c r="G1188" s="897" t="s">
        <v>99</v>
      </c>
      <c r="H1188" s="899"/>
      <c r="I1188" s="895" t="s">
        <v>94</v>
      </c>
      <c r="J1188" s="897" t="s">
        <v>95</v>
      </c>
      <c r="K1188" s="897" t="s">
        <v>96</v>
      </c>
      <c r="L1188" s="897" t="s">
        <v>3</v>
      </c>
      <c r="M1188" s="897" t="s">
        <v>97</v>
      </c>
      <c r="N1188" s="897" t="s">
        <v>98</v>
      </c>
      <c r="O1188" s="897" t="s">
        <v>99</v>
      </c>
      <c r="P1188" s="899"/>
    </row>
    <row r="1189" spans="1:16" ht="15.75" thickBot="1">
      <c r="A1189" s="896"/>
      <c r="B1189" s="898"/>
      <c r="C1189" s="898"/>
      <c r="D1189" s="898"/>
      <c r="E1189" s="898"/>
      <c r="F1189" s="898"/>
      <c r="G1189" s="240" t="s">
        <v>100</v>
      </c>
      <c r="H1189" s="182" t="s">
        <v>101</v>
      </c>
      <c r="I1189" s="896"/>
      <c r="J1189" s="898"/>
      <c r="K1189" s="898"/>
      <c r="L1189" s="898"/>
      <c r="M1189" s="898"/>
      <c r="N1189" s="898"/>
      <c r="O1189" s="240" t="s">
        <v>100</v>
      </c>
      <c r="P1189" s="182" t="s">
        <v>101</v>
      </c>
    </row>
    <row r="1190" spans="1:16" ht="12.75" customHeight="1">
      <c r="A1190" s="919" t="e">
        <f>+A1155+1</f>
        <v>#REF!</v>
      </c>
      <c r="B1190" s="875">
        <v>42360</v>
      </c>
      <c r="C1190" s="877" t="s">
        <v>31</v>
      </c>
      <c r="D1190" s="877" t="s">
        <v>494</v>
      </c>
      <c r="E1190" s="881" t="s">
        <v>115</v>
      </c>
      <c r="F1190" s="883">
        <v>70000</v>
      </c>
      <c r="G1190" s="55">
        <v>719</v>
      </c>
      <c r="H1190" s="78">
        <v>70000</v>
      </c>
      <c r="I1190" s="873" t="s">
        <v>863</v>
      </c>
      <c r="J1190" s="875">
        <v>43062</v>
      </c>
      <c r="K1190" s="881" t="s">
        <v>28</v>
      </c>
      <c r="L1190" s="881" t="s">
        <v>1558</v>
      </c>
      <c r="M1190" s="881" t="s">
        <v>148</v>
      </c>
      <c r="N1190" s="883">
        <v>741000</v>
      </c>
      <c r="O1190" s="55">
        <v>719</v>
      </c>
      <c r="P1190" s="78">
        <f>+N1190-P1191</f>
        <v>570000</v>
      </c>
    </row>
    <row r="1191" spans="1:16" ht="12.75" customHeight="1" thickBot="1">
      <c r="A1191" s="920"/>
      <c r="B1191" s="876"/>
      <c r="C1191" s="878"/>
      <c r="D1191" s="878"/>
      <c r="E1191" s="882"/>
      <c r="F1191" s="884"/>
      <c r="G1191" s="56">
        <v>721</v>
      </c>
      <c r="H1191" s="79">
        <f>+F1190-H1190</f>
        <v>0</v>
      </c>
      <c r="I1191" s="874"/>
      <c r="J1191" s="876"/>
      <c r="K1191" s="882"/>
      <c r="L1191" s="882"/>
      <c r="M1191" s="882"/>
      <c r="N1191" s="884"/>
      <c r="O1191" s="56">
        <v>721</v>
      </c>
      <c r="P1191" s="79">
        <v>171000</v>
      </c>
    </row>
    <row r="1192" spans="1:16" ht="12" customHeight="1">
      <c r="A1192" s="919" t="e">
        <f>+A1190+1</f>
        <v>#REF!</v>
      </c>
      <c r="B1192" s="875">
        <v>42360</v>
      </c>
      <c r="C1192" s="877" t="s">
        <v>472</v>
      </c>
      <c r="D1192" s="877" t="s">
        <v>495</v>
      </c>
      <c r="E1192" s="881" t="s">
        <v>115</v>
      </c>
      <c r="F1192" s="883">
        <v>60000</v>
      </c>
      <c r="G1192" s="55">
        <v>719</v>
      </c>
      <c r="H1192" s="78">
        <v>60000</v>
      </c>
      <c r="I1192" s="873">
        <f>+I1190+1</f>
        <v>151</v>
      </c>
      <c r="J1192" s="875">
        <v>43062</v>
      </c>
      <c r="K1192" s="881" t="s">
        <v>28</v>
      </c>
      <c r="L1192" s="881" t="s">
        <v>1559</v>
      </c>
      <c r="M1192" s="881" t="s">
        <v>148</v>
      </c>
      <c r="N1192" s="883">
        <v>299000</v>
      </c>
      <c r="O1192" s="55">
        <v>719</v>
      </c>
      <c r="P1192" s="78">
        <f>+N1192-P1193</f>
        <v>230000</v>
      </c>
    </row>
    <row r="1193" spans="1:16" ht="12" customHeight="1" thickBot="1">
      <c r="A1193" s="920"/>
      <c r="B1193" s="876"/>
      <c r="C1193" s="878"/>
      <c r="D1193" s="878"/>
      <c r="E1193" s="882"/>
      <c r="F1193" s="884"/>
      <c r="G1193" s="56">
        <v>721</v>
      </c>
      <c r="H1193" s="79">
        <f>+F1192-H1192</f>
        <v>0</v>
      </c>
      <c r="I1193" s="882"/>
      <c r="J1193" s="876"/>
      <c r="K1193" s="882"/>
      <c r="L1193" s="882"/>
      <c r="M1193" s="882"/>
      <c r="N1193" s="884"/>
      <c r="O1193" s="56">
        <v>721</v>
      </c>
      <c r="P1193" s="79">
        <v>69000</v>
      </c>
    </row>
    <row r="1194" spans="1:16" ht="12" customHeight="1">
      <c r="A1194" s="919" t="e">
        <f>+A1192+1</f>
        <v>#REF!</v>
      </c>
      <c r="B1194" s="875">
        <v>42360</v>
      </c>
      <c r="C1194" s="877" t="s">
        <v>32</v>
      </c>
      <c r="D1194" s="877" t="s">
        <v>496</v>
      </c>
      <c r="E1194" s="881" t="s">
        <v>115</v>
      </c>
      <c r="F1194" s="883">
        <v>50000</v>
      </c>
      <c r="G1194" s="55">
        <v>719</v>
      </c>
      <c r="H1194" s="78">
        <v>50000</v>
      </c>
      <c r="I1194" s="873">
        <f>+I1192+1</f>
        <v>152</v>
      </c>
      <c r="J1194" s="875">
        <v>43062</v>
      </c>
      <c r="K1194" s="881" t="s">
        <v>120</v>
      </c>
      <c r="L1194" s="881" t="s">
        <v>1560</v>
      </c>
      <c r="M1194" s="881" t="s">
        <v>115</v>
      </c>
      <c r="N1194" s="883">
        <v>320000</v>
      </c>
      <c r="O1194" s="55">
        <v>719</v>
      </c>
      <c r="P1194" s="78">
        <v>320000</v>
      </c>
    </row>
    <row r="1195" spans="1:16" ht="10.5" customHeight="1" thickBot="1">
      <c r="A1195" s="920"/>
      <c r="B1195" s="876"/>
      <c r="C1195" s="878"/>
      <c r="D1195" s="878"/>
      <c r="E1195" s="882"/>
      <c r="F1195" s="884"/>
      <c r="G1195" s="56">
        <v>721</v>
      </c>
      <c r="H1195" s="79">
        <f>+F1194-H1194</f>
        <v>0</v>
      </c>
      <c r="I1195" s="882"/>
      <c r="J1195" s="876"/>
      <c r="K1195" s="882"/>
      <c r="L1195" s="882"/>
      <c r="M1195" s="882"/>
      <c r="N1195" s="884"/>
      <c r="O1195" s="56">
        <v>721</v>
      </c>
      <c r="P1195" s="79">
        <v>0</v>
      </c>
    </row>
    <row r="1196" spans="1:16" ht="12" customHeight="1">
      <c r="A1196" s="919"/>
      <c r="B1196" s="875"/>
      <c r="C1196" s="877"/>
      <c r="D1196" s="881"/>
      <c r="E1196" s="881"/>
      <c r="F1196" s="883"/>
      <c r="G1196" s="55">
        <v>719</v>
      </c>
      <c r="H1196" s="78"/>
      <c r="I1196" s="873">
        <f>+I1194+1</f>
        <v>153</v>
      </c>
      <c r="J1196" s="875">
        <v>43062</v>
      </c>
      <c r="K1196" s="881" t="s">
        <v>120</v>
      </c>
      <c r="L1196" s="881" t="s">
        <v>1561</v>
      </c>
      <c r="M1196" s="881" t="s">
        <v>115</v>
      </c>
      <c r="N1196" s="883">
        <v>230000</v>
      </c>
      <c r="O1196" s="55">
        <v>719</v>
      </c>
      <c r="P1196" s="78">
        <v>230000</v>
      </c>
    </row>
    <row r="1197" spans="1:16" ht="11.25" customHeight="1" thickBot="1">
      <c r="A1197" s="920"/>
      <c r="B1197" s="876"/>
      <c r="C1197" s="878"/>
      <c r="D1197" s="882"/>
      <c r="E1197" s="882"/>
      <c r="F1197" s="884"/>
      <c r="G1197" s="56">
        <v>721</v>
      </c>
      <c r="H1197" s="79">
        <f>+F1196-H1196</f>
        <v>0</v>
      </c>
      <c r="I1197" s="882"/>
      <c r="J1197" s="876"/>
      <c r="K1197" s="882"/>
      <c r="L1197" s="882"/>
      <c r="M1197" s="882"/>
      <c r="N1197" s="884"/>
      <c r="O1197" s="56">
        <v>721</v>
      </c>
      <c r="P1197" s="79">
        <v>0</v>
      </c>
    </row>
    <row r="1198" spans="1:16" ht="13.5" customHeight="1">
      <c r="A1198" s="439"/>
      <c r="B1198" s="252"/>
      <c r="C1198" s="253"/>
      <c r="D1198" s="251"/>
      <c r="E1198" s="251"/>
      <c r="F1198" s="254"/>
      <c r="G1198" s="255"/>
      <c r="H1198" s="256"/>
      <c r="I1198" s="873">
        <f>+I1194+1</f>
        <v>153</v>
      </c>
      <c r="J1198" s="875">
        <v>43062</v>
      </c>
      <c r="K1198" s="881" t="s">
        <v>120</v>
      </c>
      <c r="L1198" s="879" t="s">
        <v>1562</v>
      </c>
      <c r="M1198" s="881" t="s">
        <v>115</v>
      </c>
      <c r="N1198" s="883">
        <v>320000</v>
      </c>
      <c r="O1198" s="55">
        <v>719</v>
      </c>
      <c r="P1198" s="78">
        <v>320000</v>
      </c>
    </row>
    <row r="1199" spans="1:16" ht="13.5" customHeight="1" thickBot="1">
      <c r="A1199" s="439"/>
      <c r="B1199" s="252"/>
      <c r="C1199" s="253"/>
      <c r="D1199" s="251"/>
      <c r="E1199" s="251"/>
      <c r="F1199" s="254"/>
      <c r="G1199" s="255"/>
      <c r="H1199" s="256"/>
      <c r="I1199" s="882"/>
      <c r="J1199" s="876"/>
      <c r="K1199" s="882"/>
      <c r="L1199" s="880"/>
      <c r="M1199" s="882"/>
      <c r="N1199" s="884"/>
      <c r="O1199" s="56">
        <v>721</v>
      </c>
      <c r="P1199" s="79">
        <f>+N1198-P1198</f>
        <v>0</v>
      </c>
    </row>
    <row r="1200" spans="1:16" ht="12" customHeight="1">
      <c r="A1200" s="881"/>
      <c r="B1200" s="875"/>
      <c r="C1200" s="877"/>
      <c r="D1200" s="881"/>
      <c r="E1200" s="881"/>
      <c r="F1200" s="883"/>
      <c r="G1200" s="55">
        <v>719</v>
      </c>
      <c r="H1200" s="78"/>
      <c r="I1200" s="873" t="s">
        <v>872</v>
      </c>
      <c r="J1200" s="875">
        <v>43062</v>
      </c>
      <c r="K1200" s="881" t="s">
        <v>120</v>
      </c>
      <c r="L1200" s="881" t="s">
        <v>1545</v>
      </c>
      <c r="M1200" s="881" t="s">
        <v>115</v>
      </c>
      <c r="N1200" s="883">
        <v>160000</v>
      </c>
      <c r="O1200" s="55">
        <v>719</v>
      </c>
      <c r="P1200" s="78">
        <v>160000</v>
      </c>
    </row>
    <row r="1201" spans="1:16" ht="12" customHeight="1" thickBot="1">
      <c r="A1201" s="882"/>
      <c r="B1201" s="876"/>
      <c r="C1201" s="878"/>
      <c r="D1201" s="882"/>
      <c r="E1201" s="882"/>
      <c r="F1201" s="884"/>
      <c r="G1201" s="56">
        <v>721</v>
      </c>
      <c r="H1201" s="79">
        <f>+F1200-H1200</f>
        <v>0</v>
      </c>
      <c r="I1201" s="874"/>
      <c r="J1201" s="876"/>
      <c r="K1201" s="882"/>
      <c r="L1201" s="882"/>
      <c r="M1201" s="882"/>
      <c r="N1201" s="884"/>
      <c r="O1201" s="56">
        <v>721</v>
      </c>
      <c r="P1201" s="79">
        <v>0</v>
      </c>
    </row>
    <row r="1202" spans="1:16" ht="15" customHeight="1" thickBot="1">
      <c r="A1202" s="901" t="s">
        <v>102</v>
      </c>
      <c r="B1202" s="902"/>
      <c r="C1202" s="902"/>
      <c r="D1202" s="902"/>
      <c r="E1202" s="903"/>
      <c r="F1202" s="81">
        <f>SUM(F1190:F1201)</f>
        <v>180000</v>
      </c>
      <c r="I1202" s="901" t="s">
        <v>102</v>
      </c>
      <c r="J1202" s="902"/>
      <c r="K1202" s="902"/>
      <c r="L1202" s="902"/>
      <c r="M1202" s="903"/>
      <c r="N1202" s="81">
        <f>SUM(N1190:N1201)</f>
        <v>2070000</v>
      </c>
    </row>
    <row r="1203" spans="1:16" ht="16.5" thickBot="1">
      <c r="A1203" s="885" t="s">
        <v>103</v>
      </c>
      <c r="B1203" s="886"/>
      <c r="C1203" s="886"/>
      <c r="D1203" s="886"/>
      <c r="E1203" s="887"/>
      <c r="F1203" s="69">
        <f>+F1165</f>
        <v>656433254</v>
      </c>
      <c r="I1203" s="885" t="s">
        <v>103</v>
      </c>
      <c r="J1203" s="886"/>
      <c r="K1203" s="886"/>
      <c r="L1203" s="886"/>
      <c r="M1203" s="887"/>
      <c r="N1203" s="69">
        <f>+N1165</f>
        <v>445846738</v>
      </c>
      <c r="O1203" s="241" t="s">
        <v>561</v>
      </c>
      <c r="P1203" s="242">
        <f>557+418+511+644</f>
        <v>2130</v>
      </c>
    </row>
    <row r="1204" spans="1:16" ht="16.5" thickBot="1">
      <c r="A1204" s="888" t="s">
        <v>104</v>
      </c>
      <c r="B1204" s="889"/>
      <c r="C1204" s="889"/>
      <c r="D1204" s="889"/>
      <c r="E1204" s="890"/>
      <c r="F1204" s="183">
        <f>SUM(F1202:F1203)</f>
        <v>656613254</v>
      </c>
      <c r="I1204" s="888" t="s">
        <v>104</v>
      </c>
      <c r="J1204" s="889"/>
      <c r="K1204" s="889"/>
      <c r="L1204" s="889"/>
      <c r="M1204" s="890"/>
      <c r="N1204" s="183">
        <f>SUM(N1202:N1203)</f>
        <v>447916738</v>
      </c>
    </row>
    <row r="1205" spans="1:16" ht="11.25" customHeight="1">
      <c r="A1205" s="61"/>
      <c r="B1205" s="61"/>
      <c r="C1205" s="61"/>
      <c r="D1205" s="61"/>
      <c r="E1205" s="61"/>
      <c r="I1205" s="61"/>
      <c r="J1205" s="61"/>
      <c r="K1205" s="61"/>
      <c r="L1205" s="61"/>
      <c r="M1205" s="61"/>
    </row>
    <row r="1206" spans="1:16">
      <c r="A1206" s="51" t="s">
        <v>497</v>
      </c>
      <c r="I1206" s="51" t="s">
        <v>1577</v>
      </c>
    </row>
    <row r="1207" spans="1:16" ht="9.75" customHeight="1">
      <c r="F1207" s="139"/>
      <c r="N1207" s="139"/>
    </row>
    <row r="1208" spans="1:16">
      <c r="A1208" s="50" t="s">
        <v>105</v>
      </c>
      <c r="D1208" s="146"/>
      <c r="F1208" s="139"/>
      <c r="I1208" s="50" t="s">
        <v>105</v>
      </c>
      <c r="L1208" s="146"/>
      <c r="N1208" s="139"/>
    </row>
    <row r="1209" spans="1:16" ht="9.75" customHeight="1" thickBot="1"/>
    <row r="1210" spans="1:16" ht="17.25" thickBot="1">
      <c r="A1210" s="891" t="s">
        <v>106</v>
      </c>
      <c r="B1210" s="892"/>
      <c r="C1210" s="892"/>
      <c r="D1210" s="893"/>
      <c r="F1210" s="50" t="s">
        <v>288</v>
      </c>
      <c r="I1210" s="891" t="s">
        <v>106</v>
      </c>
      <c r="J1210" s="892"/>
      <c r="K1210" s="892"/>
      <c r="L1210" s="893"/>
      <c r="N1210" s="604" t="s">
        <v>288</v>
      </c>
      <c r="O1210" s="604"/>
      <c r="P1210" s="604"/>
    </row>
    <row r="1211" spans="1:16" ht="30.75" thickBot="1">
      <c r="A1211" s="57" t="s">
        <v>100</v>
      </c>
      <c r="B1211" s="58" t="s">
        <v>108</v>
      </c>
      <c r="C1211" s="59" t="s">
        <v>109</v>
      </c>
      <c r="D1211" s="60" t="s">
        <v>110</v>
      </c>
      <c r="I1211" s="57" t="s">
        <v>100</v>
      </c>
      <c r="J1211" s="58" t="s">
        <v>108</v>
      </c>
      <c r="K1211" s="59" t="s">
        <v>109</v>
      </c>
      <c r="L1211" s="60" t="s">
        <v>110</v>
      </c>
    </row>
    <row r="1212" spans="1:16" ht="14.25" customHeight="1">
      <c r="A1212" s="71">
        <v>719</v>
      </c>
      <c r="B1212" s="73">
        <f>+H1190+H1192+H1194+H1196+H1200</f>
        <v>180000</v>
      </c>
      <c r="C1212" s="74" t="e">
        <f>+D1173</f>
        <v>#REF!</v>
      </c>
      <c r="D1212" s="195" t="e">
        <f>+B1212+C1212</f>
        <v>#REF!</v>
      </c>
      <c r="I1212" s="71">
        <v>719</v>
      </c>
      <c r="J1212" s="73">
        <f>+P1190+P1192+P1194+P1196+P1200+P1198</f>
        <v>1830000</v>
      </c>
      <c r="K1212" s="74">
        <f>+L1173</f>
        <v>19245000</v>
      </c>
      <c r="L1212" s="195">
        <f>+J1212+K1212</f>
        <v>21075000</v>
      </c>
    </row>
    <row r="1213" spans="1:16" ht="13.5" customHeight="1">
      <c r="A1213" s="72">
        <v>721</v>
      </c>
      <c r="B1213" s="80">
        <f>(+H1201+H1197+H1195+H1193+H1191)</f>
        <v>0</v>
      </c>
      <c r="C1213" s="74" t="e">
        <f>+D1174</f>
        <v>#REF!</v>
      </c>
      <c r="D1213" s="195" t="e">
        <f>+B1213+C1213</f>
        <v>#REF!</v>
      </c>
      <c r="I1213" s="72">
        <v>721</v>
      </c>
      <c r="J1213" s="80">
        <f>+P1201+P1197+P1195+P1193+P1191</f>
        <v>240000</v>
      </c>
      <c r="K1213" s="74">
        <f>+L1174</f>
        <v>43786524</v>
      </c>
      <c r="L1213" s="195">
        <f>+J1213+K1213</f>
        <v>44026524</v>
      </c>
    </row>
    <row r="1214" spans="1:16" ht="12.75" customHeight="1">
      <c r="A1214" s="72">
        <v>722</v>
      </c>
      <c r="B1214" s="80"/>
      <c r="C1214" s="74">
        <f>+D1175</f>
        <v>231207671</v>
      </c>
      <c r="D1214" s="195">
        <f>+B1214+C1214</f>
        <v>231207671</v>
      </c>
      <c r="I1214" s="72">
        <v>722</v>
      </c>
      <c r="J1214" s="80"/>
      <c r="K1214" s="74">
        <f>+L1175</f>
        <v>0</v>
      </c>
      <c r="L1214" s="195">
        <f>+J1214+K1214</f>
        <v>0</v>
      </c>
    </row>
    <row r="1215" spans="1:16" ht="14.25" customHeight="1">
      <c r="A1215" s="72">
        <v>723</v>
      </c>
      <c r="B1215" s="80"/>
      <c r="C1215" s="74">
        <f>+D1176</f>
        <v>323193545</v>
      </c>
      <c r="D1215" s="195">
        <f>+B1215+C1215</f>
        <v>323193545</v>
      </c>
      <c r="F1215" s="174" t="s">
        <v>23</v>
      </c>
      <c r="G1215" s="175"/>
      <c r="I1215" s="72">
        <v>723</v>
      </c>
      <c r="J1215" s="80"/>
      <c r="K1215" s="74">
        <f>+L1176</f>
        <v>417330588</v>
      </c>
      <c r="L1215" s="195">
        <f>+J1215+K1215</f>
        <v>417330588</v>
      </c>
      <c r="N1215" s="918" t="s">
        <v>1481</v>
      </c>
      <c r="O1215" s="918"/>
      <c r="P1215" s="918"/>
    </row>
    <row r="1216" spans="1:16" ht="14.25" customHeight="1" thickBot="1">
      <c r="A1216" s="164" t="s">
        <v>181</v>
      </c>
      <c r="B1216" s="165"/>
      <c r="C1216" s="74" t="e">
        <f>+D1177</f>
        <v>#REF!</v>
      </c>
      <c r="D1216" s="196" t="e">
        <f>+B1216+C1216</f>
        <v>#REF!</v>
      </c>
      <c r="F1216" s="52"/>
      <c r="I1216" s="164" t="s">
        <v>181</v>
      </c>
      <c r="J1216" s="165"/>
      <c r="K1216" s="74">
        <f>+L1177</f>
        <v>0</v>
      </c>
      <c r="L1216" s="196">
        <f>+J1216+K1216</f>
        <v>0</v>
      </c>
      <c r="N1216" s="52"/>
    </row>
    <row r="1217" spans="1:16" ht="15" customHeight="1" thickBot="1">
      <c r="A1217" s="169"/>
      <c r="B1217" s="170">
        <f>SUM(B1212:B1216)</f>
        <v>180000</v>
      </c>
      <c r="C1217" s="171" t="e">
        <f>SUM(C1212:C1216)</f>
        <v>#REF!</v>
      </c>
      <c r="D1217" s="172" t="e">
        <f>SUM(D1212:D1216)</f>
        <v>#REF!</v>
      </c>
      <c r="I1217" s="169"/>
      <c r="J1217" s="197">
        <f>SUM(J1212:J1216)</f>
        <v>2070000</v>
      </c>
      <c r="K1217" s="197">
        <f>SUM(K1212:K1216)</f>
        <v>480362112</v>
      </c>
      <c r="L1217" s="198">
        <f>SUM(L1212:L1216)</f>
        <v>482432112</v>
      </c>
    </row>
    <row r="1218" spans="1:16" ht="16.5">
      <c r="A1218" s="49" t="s">
        <v>88</v>
      </c>
      <c r="B1218" s="50"/>
      <c r="I1218" s="49" t="s">
        <v>88</v>
      </c>
      <c r="J1218" s="50"/>
    </row>
    <row r="1219" spans="1:16">
      <c r="A1219" s="51" t="s">
        <v>89</v>
      </c>
      <c r="I1219" s="51" t="s">
        <v>89</v>
      </c>
    </row>
    <row r="1220" spans="1:16">
      <c r="A1220" s="51" t="s">
        <v>90</v>
      </c>
      <c r="I1220" s="51" t="s">
        <v>90</v>
      </c>
    </row>
    <row r="1221" spans="1:16">
      <c r="A1221" s="51" t="s">
        <v>91</v>
      </c>
      <c r="I1221" s="51" t="s">
        <v>91</v>
      </c>
    </row>
    <row r="1222" spans="1:16" ht="12" customHeight="1">
      <c r="A1222" s="50"/>
      <c r="B1222" s="50"/>
      <c r="I1222" s="50"/>
      <c r="J1222" s="50"/>
    </row>
    <row r="1223" spans="1:16" ht="16.5">
      <c r="A1223" s="52" t="s">
        <v>498</v>
      </c>
      <c r="G1223" s="52"/>
      <c r="I1223" s="260" t="s">
        <v>200</v>
      </c>
      <c r="O1223" s="52"/>
    </row>
    <row r="1224" spans="1:16" ht="15.75">
      <c r="A1224" s="53" t="s">
        <v>92</v>
      </c>
      <c r="G1224" s="53"/>
      <c r="I1224" s="53" t="s">
        <v>1333</v>
      </c>
      <c r="O1224" s="53"/>
    </row>
    <row r="1225" spans="1:16" ht="16.5">
      <c r="A1225" s="894" t="s">
        <v>261</v>
      </c>
      <c r="B1225" s="894"/>
      <c r="C1225" s="894"/>
      <c r="D1225" s="894"/>
      <c r="E1225" s="894"/>
      <c r="F1225" s="894"/>
      <c r="G1225" s="894"/>
      <c r="H1225" s="894"/>
      <c r="I1225" s="894" t="s">
        <v>1564</v>
      </c>
      <c r="J1225" s="894"/>
      <c r="K1225" s="894"/>
      <c r="L1225" s="894"/>
      <c r="M1225" s="894"/>
      <c r="N1225" s="894"/>
      <c r="O1225" s="894"/>
      <c r="P1225" s="894"/>
    </row>
    <row r="1226" spans="1:16" ht="15.75" thickBot="1"/>
    <row r="1227" spans="1:16">
      <c r="A1227" s="895" t="s">
        <v>94</v>
      </c>
      <c r="B1227" s="897" t="s">
        <v>95</v>
      </c>
      <c r="C1227" s="897" t="s">
        <v>96</v>
      </c>
      <c r="D1227" s="897" t="s">
        <v>3</v>
      </c>
      <c r="E1227" s="897" t="s">
        <v>97</v>
      </c>
      <c r="F1227" s="897" t="s">
        <v>98</v>
      </c>
      <c r="G1227" s="897" t="s">
        <v>99</v>
      </c>
      <c r="H1227" s="899"/>
      <c r="I1227" s="895" t="s">
        <v>94</v>
      </c>
      <c r="J1227" s="897" t="s">
        <v>95</v>
      </c>
      <c r="K1227" s="897" t="s">
        <v>96</v>
      </c>
      <c r="L1227" s="897" t="s">
        <v>3</v>
      </c>
      <c r="M1227" s="897" t="s">
        <v>97</v>
      </c>
      <c r="N1227" s="897" t="s">
        <v>98</v>
      </c>
      <c r="O1227" s="897" t="s">
        <v>99</v>
      </c>
      <c r="P1227" s="899"/>
    </row>
    <row r="1228" spans="1:16" ht="15.75" thickBot="1">
      <c r="A1228" s="896"/>
      <c r="B1228" s="898"/>
      <c r="C1228" s="898"/>
      <c r="D1228" s="898"/>
      <c r="E1228" s="898"/>
      <c r="F1228" s="898"/>
      <c r="G1228" s="240" t="s">
        <v>100</v>
      </c>
      <c r="H1228" s="182" t="s">
        <v>101</v>
      </c>
      <c r="I1228" s="896"/>
      <c r="J1228" s="898"/>
      <c r="K1228" s="898"/>
      <c r="L1228" s="898"/>
      <c r="M1228" s="898"/>
      <c r="N1228" s="898"/>
      <c r="O1228" s="240" t="s">
        <v>100</v>
      </c>
      <c r="P1228" s="182" t="s">
        <v>101</v>
      </c>
    </row>
    <row r="1229" spans="1:16" ht="12" customHeight="1">
      <c r="A1229" s="919" t="e">
        <f>+A1194+1</f>
        <v>#REF!</v>
      </c>
      <c r="B1229" s="875">
        <v>42361</v>
      </c>
      <c r="C1229" s="877" t="s">
        <v>267</v>
      </c>
      <c r="D1229" s="877" t="s">
        <v>499</v>
      </c>
      <c r="E1229" s="881" t="s">
        <v>148</v>
      </c>
      <c r="F1229" s="883">
        <v>126000</v>
      </c>
      <c r="G1229" s="55">
        <v>719</v>
      </c>
      <c r="H1229" s="78">
        <v>90000</v>
      </c>
      <c r="I1229" s="873" t="s">
        <v>1569</v>
      </c>
      <c r="J1229" s="875">
        <v>43062</v>
      </c>
      <c r="K1229" s="881" t="s">
        <v>28</v>
      </c>
      <c r="L1229" s="879" t="s">
        <v>1566</v>
      </c>
      <c r="M1229" s="881" t="s">
        <v>115</v>
      </c>
      <c r="N1229" s="883">
        <v>50000</v>
      </c>
      <c r="O1229" s="55">
        <v>719</v>
      </c>
      <c r="P1229" s="78">
        <f>+N1229</f>
        <v>50000</v>
      </c>
    </row>
    <row r="1230" spans="1:16" ht="14.25" customHeight="1" thickBot="1">
      <c r="A1230" s="920"/>
      <c r="B1230" s="876"/>
      <c r="C1230" s="878"/>
      <c r="D1230" s="878"/>
      <c r="E1230" s="882"/>
      <c r="F1230" s="884"/>
      <c r="G1230" s="56">
        <v>721</v>
      </c>
      <c r="H1230" s="79">
        <f>+F1229-H1229</f>
        <v>36000</v>
      </c>
      <c r="I1230" s="874"/>
      <c r="J1230" s="876"/>
      <c r="K1230" s="882"/>
      <c r="L1230" s="880"/>
      <c r="M1230" s="882"/>
      <c r="N1230" s="884"/>
      <c r="O1230" s="56">
        <v>721</v>
      </c>
      <c r="P1230" s="79"/>
    </row>
    <row r="1231" spans="1:16" ht="15" customHeight="1">
      <c r="A1231" s="919" t="e">
        <f>+A1229+1</f>
        <v>#REF!</v>
      </c>
      <c r="B1231" s="875">
        <v>42361</v>
      </c>
      <c r="C1231" s="881" t="s">
        <v>28</v>
      </c>
      <c r="D1231" s="877" t="s">
        <v>500</v>
      </c>
      <c r="E1231" s="881" t="s">
        <v>148</v>
      </c>
      <c r="F1231" s="883">
        <v>196000</v>
      </c>
      <c r="G1231" s="55">
        <v>719</v>
      </c>
      <c r="H1231" s="78">
        <v>140000</v>
      </c>
      <c r="I1231" s="873" t="s">
        <v>1570</v>
      </c>
      <c r="J1231" s="875">
        <v>43062</v>
      </c>
      <c r="K1231" s="881" t="s">
        <v>120</v>
      </c>
      <c r="L1231" s="879" t="s">
        <v>1567</v>
      </c>
      <c r="M1231" s="881" t="s">
        <v>115</v>
      </c>
      <c r="N1231" s="883">
        <v>190000</v>
      </c>
      <c r="O1231" s="55">
        <v>719</v>
      </c>
      <c r="P1231" s="78">
        <f>+N1231</f>
        <v>190000</v>
      </c>
    </row>
    <row r="1232" spans="1:16" ht="13.5" customHeight="1" thickBot="1">
      <c r="A1232" s="920"/>
      <c r="B1232" s="876"/>
      <c r="C1232" s="882"/>
      <c r="D1232" s="878"/>
      <c r="E1232" s="882"/>
      <c r="F1232" s="884"/>
      <c r="G1232" s="56">
        <v>721</v>
      </c>
      <c r="H1232" s="79">
        <f>+F1231-H1231</f>
        <v>56000</v>
      </c>
      <c r="I1232" s="882"/>
      <c r="J1232" s="876"/>
      <c r="K1232" s="882"/>
      <c r="L1232" s="880"/>
      <c r="M1232" s="882"/>
      <c r="N1232" s="884"/>
      <c r="O1232" s="56">
        <v>721</v>
      </c>
      <c r="P1232" s="79"/>
    </row>
    <row r="1233" spans="1:16" ht="12.75" customHeight="1">
      <c r="A1233" s="919" t="e">
        <f>+A1231+1</f>
        <v>#REF!</v>
      </c>
      <c r="B1233" s="875">
        <v>42361</v>
      </c>
      <c r="C1233" s="877" t="s">
        <v>32</v>
      </c>
      <c r="D1233" s="877" t="s">
        <v>500</v>
      </c>
      <c r="E1233" s="881" t="s">
        <v>148</v>
      </c>
      <c r="F1233" s="883">
        <v>42000</v>
      </c>
      <c r="G1233" s="55">
        <v>719</v>
      </c>
      <c r="H1233" s="78">
        <v>30000</v>
      </c>
      <c r="I1233" s="873" t="s">
        <v>1568</v>
      </c>
      <c r="J1233" s="875">
        <v>43062</v>
      </c>
      <c r="K1233" s="877" t="s">
        <v>1571</v>
      </c>
      <c r="L1233" s="879" t="s">
        <v>1225</v>
      </c>
      <c r="M1233" s="881" t="s">
        <v>115</v>
      </c>
      <c r="N1233" s="883">
        <v>3980000</v>
      </c>
      <c r="O1233" s="55">
        <v>719</v>
      </c>
      <c r="P1233" s="78"/>
    </row>
    <row r="1234" spans="1:16" ht="15.75" customHeight="1" thickBot="1">
      <c r="A1234" s="920"/>
      <c r="B1234" s="876"/>
      <c r="C1234" s="878"/>
      <c r="D1234" s="878"/>
      <c r="E1234" s="882"/>
      <c r="F1234" s="884"/>
      <c r="G1234" s="56">
        <v>721</v>
      </c>
      <c r="H1234" s="79">
        <f>+F1233-H1233</f>
        <v>12000</v>
      </c>
      <c r="I1234" s="882"/>
      <c r="J1234" s="876"/>
      <c r="K1234" s="878"/>
      <c r="L1234" s="880"/>
      <c r="M1234" s="882"/>
      <c r="N1234" s="884"/>
      <c r="O1234" s="56">
        <v>723</v>
      </c>
      <c r="P1234" s="79">
        <f>+N1233</f>
        <v>3980000</v>
      </c>
    </row>
    <row r="1235" spans="1:16" ht="12" customHeight="1">
      <c r="A1235" s="919" t="e">
        <f>+A1233+1</f>
        <v>#REF!</v>
      </c>
      <c r="B1235" s="875">
        <v>42361</v>
      </c>
      <c r="C1235" s="877" t="s">
        <v>111</v>
      </c>
      <c r="D1235" s="877" t="s">
        <v>499</v>
      </c>
      <c r="E1235" s="881" t="s">
        <v>148</v>
      </c>
      <c r="F1235" s="883">
        <v>112000</v>
      </c>
      <c r="G1235" s="55">
        <v>719</v>
      </c>
      <c r="H1235" s="78">
        <v>80000</v>
      </c>
      <c r="I1235" s="873" t="s">
        <v>1563</v>
      </c>
      <c r="J1235" s="875">
        <v>43062</v>
      </c>
      <c r="K1235" s="881" t="s">
        <v>385</v>
      </c>
      <c r="L1235" s="879" t="s">
        <v>1188</v>
      </c>
      <c r="M1235" s="881" t="s">
        <v>148</v>
      </c>
      <c r="N1235" s="883">
        <v>22479749</v>
      </c>
      <c r="O1235" s="55">
        <v>719</v>
      </c>
      <c r="P1235" s="78"/>
    </row>
    <row r="1236" spans="1:16" ht="14.25" customHeight="1" thickBot="1">
      <c r="A1236" s="920"/>
      <c r="B1236" s="876"/>
      <c r="C1236" s="878"/>
      <c r="D1236" s="878"/>
      <c r="E1236" s="882"/>
      <c r="F1236" s="884"/>
      <c r="G1236" s="56">
        <v>721</v>
      </c>
      <c r="H1236" s="79">
        <f>+F1235-H1235</f>
        <v>32000</v>
      </c>
      <c r="I1236" s="882"/>
      <c r="J1236" s="876"/>
      <c r="K1236" s="882"/>
      <c r="L1236" s="880"/>
      <c r="M1236" s="882"/>
      <c r="N1236" s="884"/>
      <c r="O1236" s="56">
        <v>721</v>
      </c>
      <c r="P1236" s="79">
        <f>+N1235</f>
        <v>22479749</v>
      </c>
    </row>
    <row r="1237" spans="1:16" ht="12" customHeight="1">
      <c r="A1237" s="919" t="e">
        <f>+A1235+1</f>
        <v>#REF!</v>
      </c>
      <c r="B1237" s="875">
        <v>42361</v>
      </c>
      <c r="C1237" s="877" t="s">
        <v>272</v>
      </c>
      <c r="D1237" s="877" t="s">
        <v>500</v>
      </c>
      <c r="E1237" s="881" t="s">
        <v>148</v>
      </c>
      <c r="F1237" s="883">
        <v>588000</v>
      </c>
      <c r="G1237" s="55">
        <v>719</v>
      </c>
      <c r="H1237" s="78">
        <v>420000</v>
      </c>
      <c r="I1237" s="873" t="s">
        <v>873</v>
      </c>
      <c r="J1237" s="875">
        <v>43062</v>
      </c>
      <c r="K1237" s="881" t="s">
        <v>385</v>
      </c>
      <c r="L1237" s="879" t="s">
        <v>1245</v>
      </c>
      <c r="M1237" s="881" t="s">
        <v>148</v>
      </c>
      <c r="N1237" s="883">
        <v>55554732</v>
      </c>
      <c r="O1237" s="55">
        <v>719</v>
      </c>
      <c r="P1237" s="78"/>
    </row>
    <row r="1238" spans="1:16" ht="13.5" customHeight="1" thickBot="1">
      <c r="A1238" s="920"/>
      <c r="B1238" s="876"/>
      <c r="C1238" s="878"/>
      <c r="D1238" s="878"/>
      <c r="E1238" s="882"/>
      <c r="F1238" s="884"/>
      <c r="G1238" s="56">
        <v>721</v>
      </c>
      <c r="H1238" s="79">
        <f>+F1237-H1237</f>
        <v>168000</v>
      </c>
      <c r="I1238" s="882"/>
      <c r="J1238" s="876"/>
      <c r="K1238" s="882"/>
      <c r="L1238" s="880"/>
      <c r="M1238" s="882"/>
      <c r="N1238" s="884"/>
      <c r="O1238" s="56">
        <v>721</v>
      </c>
      <c r="P1238" s="79">
        <f>+N1237-P1237</f>
        <v>55554732</v>
      </c>
    </row>
    <row r="1239" spans="1:16" ht="16.5" thickBot="1">
      <c r="A1239" s="901" t="s">
        <v>102</v>
      </c>
      <c r="B1239" s="902"/>
      <c r="C1239" s="902"/>
      <c r="D1239" s="902"/>
      <c r="E1239" s="903"/>
      <c r="F1239" s="81">
        <f>SUM(F1229:F1238)</f>
        <v>1064000</v>
      </c>
      <c r="I1239" s="901" t="s">
        <v>102</v>
      </c>
      <c r="J1239" s="902"/>
      <c r="K1239" s="902"/>
      <c r="L1239" s="902"/>
      <c r="M1239" s="903"/>
      <c r="N1239" s="81">
        <f>SUM(N1229:N1238)</f>
        <v>82254481</v>
      </c>
    </row>
    <row r="1240" spans="1:16" ht="16.5" thickBot="1">
      <c r="A1240" s="885" t="s">
        <v>103</v>
      </c>
      <c r="B1240" s="886"/>
      <c r="C1240" s="886"/>
      <c r="D1240" s="886"/>
      <c r="E1240" s="887"/>
      <c r="F1240" s="69">
        <f>+F1204</f>
        <v>656613254</v>
      </c>
      <c r="I1240" s="885" t="s">
        <v>103</v>
      </c>
      <c r="J1240" s="886"/>
      <c r="K1240" s="886"/>
      <c r="L1240" s="886"/>
      <c r="M1240" s="887"/>
      <c r="N1240" s="69">
        <f>+N1204</f>
        <v>447916738</v>
      </c>
      <c r="O1240" s="241" t="s">
        <v>561</v>
      </c>
      <c r="P1240" s="242"/>
    </row>
    <row r="1241" spans="1:16" ht="16.5" thickBot="1">
      <c r="A1241" s="888" t="s">
        <v>104</v>
      </c>
      <c r="B1241" s="889"/>
      <c r="C1241" s="889"/>
      <c r="D1241" s="889"/>
      <c r="E1241" s="890"/>
      <c r="F1241" s="183">
        <f>SUM(F1239:F1240)</f>
        <v>657677254</v>
      </c>
      <c r="I1241" s="888" t="s">
        <v>104</v>
      </c>
      <c r="J1241" s="889"/>
      <c r="K1241" s="889"/>
      <c r="L1241" s="889"/>
      <c r="M1241" s="890"/>
      <c r="N1241" s="183">
        <f>SUM(N1239:N1240)</f>
        <v>530171219</v>
      </c>
    </row>
    <row r="1242" spans="1:16">
      <c r="A1242" s="61"/>
      <c r="B1242" s="61"/>
      <c r="C1242" s="61"/>
      <c r="D1242" s="61"/>
      <c r="E1242" s="61"/>
      <c r="I1242" s="61"/>
      <c r="J1242" s="61"/>
      <c r="K1242" s="61"/>
      <c r="L1242" s="61"/>
      <c r="M1242" s="61"/>
    </row>
    <row r="1243" spans="1:16">
      <c r="A1243" s="51" t="s">
        <v>501</v>
      </c>
      <c r="I1243" s="51" t="s">
        <v>1565</v>
      </c>
    </row>
    <row r="1244" spans="1:16" ht="11.25" customHeight="1">
      <c r="F1244" s="139"/>
      <c r="N1244" s="139"/>
    </row>
    <row r="1245" spans="1:16">
      <c r="A1245" s="50" t="s">
        <v>105</v>
      </c>
      <c r="D1245" s="146"/>
      <c r="F1245" s="139"/>
      <c r="I1245" s="50" t="s">
        <v>105</v>
      </c>
      <c r="L1245" s="146"/>
      <c r="N1245" s="139"/>
    </row>
    <row r="1246" spans="1:16" ht="13.5" customHeight="1" thickBot="1"/>
    <row r="1247" spans="1:16" ht="17.25" thickBot="1">
      <c r="A1247" s="891" t="s">
        <v>106</v>
      </c>
      <c r="B1247" s="892"/>
      <c r="C1247" s="892"/>
      <c r="D1247" s="893"/>
      <c r="F1247" s="50" t="s">
        <v>288</v>
      </c>
      <c r="I1247" s="891" t="s">
        <v>106</v>
      </c>
      <c r="J1247" s="892"/>
      <c r="K1247" s="892"/>
      <c r="L1247" s="893"/>
      <c r="N1247" s="604" t="s">
        <v>288</v>
      </c>
      <c r="O1247" s="604"/>
      <c r="P1247" s="604"/>
    </row>
    <row r="1248" spans="1:16" ht="26.25" customHeight="1" thickBot="1">
      <c r="A1248" s="57" t="s">
        <v>100</v>
      </c>
      <c r="B1248" s="58" t="s">
        <v>108</v>
      </c>
      <c r="C1248" s="59" t="s">
        <v>109</v>
      </c>
      <c r="D1248" s="60" t="s">
        <v>110</v>
      </c>
      <c r="I1248" s="57" t="s">
        <v>100</v>
      </c>
      <c r="J1248" s="58" t="s">
        <v>108</v>
      </c>
      <c r="K1248" s="59" t="s">
        <v>109</v>
      </c>
      <c r="L1248" s="60" t="s">
        <v>110</v>
      </c>
    </row>
    <row r="1249" spans="1:16">
      <c r="A1249" s="71">
        <v>719</v>
      </c>
      <c r="B1249" s="73">
        <f>+H1229+H1231+H1233+H1235+H1237</f>
        <v>760000</v>
      </c>
      <c r="C1249" s="74" t="e">
        <f>+D1212</f>
        <v>#REF!</v>
      </c>
      <c r="D1249" s="195" t="e">
        <f>+B1249+C1249</f>
        <v>#REF!</v>
      </c>
      <c r="I1249" s="71">
        <v>719</v>
      </c>
      <c r="J1249" s="73">
        <f>+P1229+P1231+P1233+P1235+P1237</f>
        <v>240000</v>
      </c>
      <c r="K1249" s="74">
        <f>+L1212</f>
        <v>21075000</v>
      </c>
      <c r="L1249" s="195">
        <f>+J1249+K1249</f>
        <v>21315000</v>
      </c>
    </row>
    <row r="1250" spans="1:16" ht="14.25" customHeight="1">
      <c r="A1250" s="72">
        <v>721</v>
      </c>
      <c r="B1250" s="80">
        <f>(+H1238+H1236+H1234+H1232+H1230)</f>
        <v>304000</v>
      </c>
      <c r="C1250" s="74" t="e">
        <f>+D1213</f>
        <v>#REF!</v>
      </c>
      <c r="D1250" s="195" t="e">
        <f>+B1250+C1250</f>
        <v>#REF!</v>
      </c>
      <c r="I1250" s="72">
        <v>721</v>
      </c>
      <c r="J1250" s="80">
        <f>+P1230+P1232++P1236+P1238</f>
        <v>78034481</v>
      </c>
      <c r="K1250" s="74">
        <f>+L1213</f>
        <v>44026524</v>
      </c>
      <c r="L1250" s="195">
        <f>+J1250+K1250</f>
        <v>122061005</v>
      </c>
    </row>
    <row r="1251" spans="1:16" ht="12.75" customHeight="1">
      <c r="A1251" s="72">
        <v>722</v>
      </c>
      <c r="B1251" s="80"/>
      <c r="C1251" s="74">
        <f>+D1214</f>
        <v>231207671</v>
      </c>
      <c r="D1251" s="195">
        <f>+B1251+C1251</f>
        <v>231207671</v>
      </c>
      <c r="I1251" s="72">
        <v>722</v>
      </c>
      <c r="J1251" s="80"/>
      <c r="K1251" s="74">
        <f>+L1214</f>
        <v>0</v>
      </c>
      <c r="L1251" s="195">
        <f>+J1251+K1251</f>
        <v>0</v>
      </c>
      <c r="N1251" s="918" t="s">
        <v>1481</v>
      </c>
      <c r="O1251" s="918"/>
      <c r="P1251" s="918"/>
    </row>
    <row r="1252" spans="1:16" ht="14.25" customHeight="1">
      <c r="A1252" s="72">
        <v>723</v>
      </c>
      <c r="B1252" s="80"/>
      <c r="C1252" s="74">
        <f>+D1215</f>
        <v>323193545</v>
      </c>
      <c r="D1252" s="195">
        <f>+B1252+C1252</f>
        <v>323193545</v>
      </c>
      <c r="F1252" s="174" t="s">
        <v>23</v>
      </c>
      <c r="G1252" s="175"/>
      <c r="I1252" s="72">
        <v>723</v>
      </c>
      <c r="J1252" s="80">
        <f>+P1234</f>
        <v>3980000</v>
      </c>
      <c r="K1252" s="74">
        <f>+L1215</f>
        <v>417330588</v>
      </c>
      <c r="L1252" s="195">
        <f>+J1252+K1252</f>
        <v>421310588</v>
      </c>
      <c r="N1252" s="918"/>
      <c r="O1252" s="918"/>
      <c r="P1252" s="918"/>
    </row>
    <row r="1253" spans="1:16" ht="14.25" customHeight="1" thickBot="1">
      <c r="A1253" s="164" t="s">
        <v>181</v>
      </c>
      <c r="B1253" s="165"/>
      <c r="C1253" s="74" t="e">
        <f>+D1216</f>
        <v>#REF!</v>
      </c>
      <c r="D1253" s="196" t="e">
        <f>+B1253+C1253</f>
        <v>#REF!</v>
      </c>
      <c r="F1253" s="52"/>
      <c r="I1253" s="164" t="s">
        <v>181</v>
      </c>
      <c r="J1253" s="165"/>
      <c r="K1253" s="74">
        <f>+L1216</f>
        <v>0</v>
      </c>
      <c r="L1253" s="196">
        <f>+J1253+K1253</f>
        <v>0</v>
      </c>
      <c r="N1253" s="52"/>
    </row>
    <row r="1254" spans="1:16" ht="16.5" thickBot="1">
      <c r="A1254" s="169"/>
      <c r="B1254" s="170">
        <f>SUM(B1249:B1253)</f>
        <v>1064000</v>
      </c>
      <c r="C1254" s="171" t="e">
        <f>SUM(C1249:C1253)</f>
        <v>#REF!</v>
      </c>
      <c r="D1254" s="172" t="e">
        <f>SUM(D1249:D1253)</f>
        <v>#REF!</v>
      </c>
      <c r="I1254" s="169"/>
      <c r="J1254" s="197">
        <f>SUM(J1249:J1253)</f>
        <v>82254481</v>
      </c>
      <c r="K1254" s="197">
        <f>SUM(K1249:K1253)</f>
        <v>482432112</v>
      </c>
      <c r="L1254" s="198">
        <f>SUM(L1249:L1253)</f>
        <v>564686593</v>
      </c>
    </row>
    <row r="1255" spans="1:16" ht="16.5">
      <c r="A1255" s="49" t="s">
        <v>88</v>
      </c>
      <c r="B1255" s="50"/>
      <c r="I1255" s="49" t="s">
        <v>88</v>
      </c>
      <c r="J1255" s="50"/>
    </row>
    <row r="1256" spans="1:16">
      <c r="A1256" s="51" t="s">
        <v>89</v>
      </c>
      <c r="I1256" s="51" t="s">
        <v>89</v>
      </c>
    </row>
    <row r="1257" spans="1:16">
      <c r="A1257" s="51" t="s">
        <v>90</v>
      </c>
      <c r="I1257" s="51" t="s">
        <v>90</v>
      </c>
    </row>
    <row r="1258" spans="1:16">
      <c r="A1258" s="51" t="s">
        <v>91</v>
      </c>
      <c r="I1258" s="51" t="s">
        <v>91</v>
      </c>
    </row>
    <row r="1259" spans="1:16" ht="12" customHeight="1">
      <c r="A1259" s="50"/>
      <c r="B1259" s="50"/>
      <c r="I1259" s="50"/>
      <c r="J1259" s="50"/>
    </row>
    <row r="1260" spans="1:16" ht="16.5">
      <c r="A1260" s="52" t="s">
        <v>502</v>
      </c>
      <c r="G1260" s="52"/>
      <c r="I1260" s="260" t="s">
        <v>871</v>
      </c>
      <c r="O1260" s="52"/>
    </row>
    <row r="1261" spans="1:16" ht="15.75">
      <c r="A1261" s="53" t="s">
        <v>92</v>
      </c>
      <c r="G1261" s="53"/>
      <c r="I1261" s="53" t="s">
        <v>1333</v>
      </c>
      <c r="O1261" s="53"/>
    </row>
    <row r="1262" spans="1:16" ht="16.5">
      <c r="A1262" s="894" t="s">
        <v>261</v>
      </c>
      <c r="B1262" s="894"/>
      <c r="C1262" s="894"/>
      <c r="D1262" s="894"/>
      <c r="E1262" s="894"/>
      <c r="F1262" s="894"/>
      <c r="G1262" s="894"/>
      <c r="H1262" s="894"/>
      <c r="I1262" s="894" t="s">
        <v>903</v>
      </c>
      <c r="J1262" s="894"/>
      <c r="K1262" s="894"/>
      <c r="L1262" s="894"/>
      <c r="M1262" s="894"/>
      <c r="N1262" s="894"/>
      <c r="O1262" s="894"/>
      <c r="P1262" s="894"/>
    </row>
    <row r="1263" spans="1:16" ht="12.75" customHeight="1" thickBot="1"/>
    <row r="1264" spans="1:16">
      <c r="A1264" s="895" t="s">
        <v>94</v>
      </c>
      <c r="B1264" s="897" t="s">
        <v>95</v>
      </c>
      <c r="C1264" s="897" t="s">
        <v>96</v>
      </c>
      <c r="D1264" s="897" t="s">
        <v>3</v>
      </c>
      <c r="E1264" s="897" t="s">
        <v>97</v>
      </c>
      <c r="F1264" s="897" t="s">
        <v>98</v>
      </c>
      <c r="G1264" s="897" t="s">
        <v>99</v>
      </c>
      <c r="H1264" s="899"/>
      <c r="I1264" s="895" t="s">
        <v>94</v>
      </c>
      <c r="J1264" s="897" t="s">
        <v>95</v>
      </c>
      <c r="K1264" s="897" t="s">
        <v>96</v>
      </c>
      <c r="L1264" s="897" t="s">
        <v>3</v>
      </c>
      <c r="M1264" s="897" t="s">
        <v>97</v>
      </c>
      <c r="N1264" s="897" t="s">
        <v>98</v>
      </c>
      <c r="O1264" s="897" t="s">
        <v>99</v>
      </c>
      <c r="P1264" s="899"/>
    </row>
    <row r="1265" spans="1:16" ht="15.75" thickBot="1">
      <c r="A1265" s="896"/>
      <c r="B1265" s="898"/>
      <c r="C1265" s="898"/>
      <c r="D1265" s="898"/>
      <c r="E1265" s="898"/>
      <c r="F1265" s="898"/>
      <c r="G1265" s="240" t="s">
        <v>100</v>
      </c>
      <c r="H1265" s="182" t="s">
        <v>101</v>
      </c>
      <c r="I1265" s="896"/>
      <c r="J1265" s="898"/>
      <c r="K1265" s="898"/>
      <c r="L1265" s="898"/>
      <c r="M1265" s="898"/>
      <c r="N1265" s="898"/>
      <c r="O1265" s="240" t="s">
        <v>100</v>
      </c>
      <c r="P1265" s="182" t="s">
        <v>101</v>
      </c>
    </row>
    <row r="1266" spans="1:16" ht="15" customHeight="1">
      <c r="A1266" s="919" t="e">
        <f>+A1237+1</f>
        <v>#REF!</v>
      </c>
      <c r="B1266" s="875">
        <v>42361</v>
      </c>
      <c r="C1266" s="877" t="s">
        <v>267</v>
      </c>
      <c r="D1266" s="877" t="s">
        <v>490</v>
      </c>
      <c r="E1266" s="881" t="s">
        <v>148</v>
      </c>
      <c r="F1266" s="883">
        <v>168000</v>
      </c>
      <c r="G1266" s="55">
        <v>719</v>
      </c>
      <c r="H1266" s="78">
        <v>120000</v>
      </c>
      <c r="I1266" s="873" t="s">
        <v>1578</v>
      </c>
      <c r="J1266" s="875">
        <v>43062</v>
      </c>
      <c r="K1266" s="877" t="s">
        <v>28</v>
      </c>
      <c r="L1266" s="881" t="s">
        <v>1582</v>
      </c>
      <c r="M1266" s="881" t="s">
        <v>115</v>
      </c>
      <c r="N1266" s="883">
        <v>80000</v>
      </c>
      <c r="O1266" s="55">
        <v>719</v>
      </c>
      <c r="P1266" s="78">
        <f>+N1266</f>
        <v>80000</v>
      </c>
    </row>
    <row r="1267" spans="1:16" ht="15.75" customHeight="1" thickBot="1">
      <c r="A1267" s="920"/>
      <c r="B1267" s="876"/>
      <c r="C1267" s="878"/>
      <c r="D1267" s="878"/>
      <c r="E1267" s="882"/>
      <c r="F1267" s="884"/>
      <c r="G1267" s="56">
        <v>721</v>
      </c>
      <c r="H1267" s="79">
        <f>+F1266-H1266</f>
        <v>48000</v>
      </c>
      <c r="I1267" s="874"/>
      <c r="J1267" s="876"/>
      <c r="K1267" s="878"/>
      <c r="L1267" s="882"/>
      <c r="M1267" s="882"/>
      <c r="N1267" s="884"/>
      <c r="O1267" s="56">
        <v>723</v>
      </c>
      <c r="P1267" s="79"/>
    </row>
    <row r="1268" spans="1:16" ht="15" customHeight="1">
      <c r="A1268" s="919" t="e">
        <f>+A1266+1</f>
        <v>#REF!</v>
      </c>
      <c r="B1268" s="875">
        <v>42361</v>
      </c>
      <c r="C1268" s="881" t="s">
        <v>28</v>
      </c>
      <c r="D1268" s="877" t="s">
        <v>503</v>
      </c>
      <c r="E1268" s="881" t="s">
        <v>148</v>
      </c>
      <c r="F1268" s="883">
        <v>182000</v>
      </c>
      <c r="G1268" s="55">
        <v>719</v>
      </c>
      <c r="H1268" s="78">
        <v>130000</v>
      </c>
      <c r="I1268" s="873" t="s">
        <v>1579</v>
      </c>
      <c r="J1268" s="875">
        <v>43062</v>
      </c>
      <c r="K1268" s="881" t="s">
        <v>120</v>
      </c>
      <c r="L1268" s="881" t="s">
        <v>1581</v>
      </c>
      <c r="M1268" s="881" t="s">
        <v>115</v>
      </c>
      <c r="N1268" s="883">
        <v>300000</v>
      </c>
      <c r="O1268" s="55">
        <v>719</v>
      </c>
      <c r="P1268" s="78">
        <f>+N1268</f>
        <v>300000</v>
      </c>
    </row>
    <row r="1269" spans="1:16" ht="15.75" customHeight="1" thickBot="1">
      <c r="A1269" s="920"/>
      <c r="B1269" s="876"/>
      <c r="C1269" s="882"/>
      <c r="D1269" s="878"/>
      <c r="E1269" s="882"/>
      <c r="F1269" s="884"/>
      <c r="G1269" s="56">
        <v>721</v>
      </c>
      <c r="H1269" s="79">
        <f>+F1268-H1268</f>
        <v>52000</v>
      </c>
      <c r="I1269" s="874"/>
      <c r="J1269" s="876"/>
      <c r="K1269" s="882"/>
      <c r="L1269" s="882"/>
      <c r="M1269" s="882"/>
      <c r="N1269" s="884"/>
      <c r="O1269" s="56">
        <v>723</v>
      </c>
      <c r="P1269" s="79">
        <v>0</v>
      </c>
    </row>
    <row r="1270" spans="1:16" ht="12.75" customHeight="1">
      <c r="A1270" s="919" t="e">
        <f>+A1268+1</f>
        <v>#REF!</v>
      </c>
      <c r="B1270" s="875">
        <v>42361</v>
      </c>
      <c r="C1270" s="877" t="s">
        <v>32</v>
      </c>
      <c r="D1270" s="877" t="s">
        <v>504</v>
      </c>
      <c r="E1270" s="881" t="s">
        <v>148</v>
      </c>
      <c r="F1270" s="883">
        <v>98000</v>
      </c>
      <c r="G1270" s="55">
        <v>719</v>
      </c>
      <c r="H1270" s="78">
        <v>70000</v>
      </c>
      <c r="I1270" s="881"/>
      <c r="J1270" s="875"/>
      <c r="K1270" s="877"/>
      <c r="L1270" s="881"/>
      <c r="M1270" s="881"/>
      <c r="N1270" s="883"/>
      <c r="O1270" s="55"/>
      <c r="P1270" s="78"/>
    </row>
    <row r="1271" spans="1:16" ht="12" customHeight="1" thickBot="1">
      <c r="A1271" s="920"/>
      <c r="B1271" s="876"/>
      <c r="C1271" s="878"/>
      <c r="D1271" s="878"/>
      <c r="E1271" s="882"/>
      <c r="F1271" s="884"/>
      <c r="G1271" s="56">
        <v>721</v>
      </c>
      <c r="H1271" s="79">
        <f>+F1270-H1270</f>
        <v>28000</v>
      </c>
      <c r="I1271" s="882"/>
      <c r="J1271" s="876"/>
      <c r="K1271" s="878"/>
      <c r="L1271" s="882"/>
      <c r="M1271" s="882"/>
      <c r="N1271" s="884"/>
      <c r="O1271" s="56"/>
      <c r="P1271" s="79"/>
    </row>
    <row r="1272" spans="1:16" ht="12.75" customHeight="1">
      <c r="A1272" s="919" t="e">
        <f>+A1270+1</f>
        <v>#REF!</v>
      </c>
      <c r="B1272" s="875">
        <v>42361</v>
      </c>
      <c r="C1272" s="877" t="s">
        <v>111</v>
      </c>
      <c r="D1272" s="877" t="s">
        <v>505</v>
      </c>
      <c r="E1272" s="881" t="s">
        <v>148</v>
      </c>
      <c r="F1272" s="883">
        <v>168000</v>
      </c>
      <c r="G1272" s="55">
        <v>719</v>
      </c>
      <c r="H1272" s="78">
        <v>120000</v>
      </c>
      <c r="I1272" s="881"/>
      <c r="J1272" s="875"/>
      <c r="K1272" s="877"/>
      <c r="L1272" s="881"/>
      <c r="M1272" s="881"/>
      <c r="N1272" s="883"/>
      <c r="O1272" s="55"/>
      <c r="P1272" s="78"/>
    </row>
    <row r="1273" spans="1:16" ht="12" customHeight="1" thickBot="1">
      <c r="A1273" s="920"/>
      <c r="B1273" s="876"/>
      <c r="C1273" s="878"/>
      <c r="D1273" s="878"/>
      <c r="E1273" s="882"/>
      <c r="F1273" s="884"/>
      <c r="G1273" s="56">
        <v>721</v>
      </c>
      <c r="H1273" s="79">
        <f>+F1272-H1272</f>
        <v>48000</v>
      </c>
      <c r="I1273" s="882"/>
      <c r="J1273" s="876"/>
      <c r="K1273" s="878"/>
      <c r="L1273" s="882"/>
      <c r="M1273" s="882"/>
      <c r="N1273" s="884"/>
      <c r="O1273" s="56"/>
      <c r="P1273" s="79"/>
    </row>
    <row r="1274" spans="1:16" ht="12" customHeight="1">
      <c r="A1274" s="919" t="e">
        <f>+A1272+1</f>
        <v>#REF!</v>
      </c>
      <c r="B1274" s="875">
        <v>42361</v>
      </c>
      <c r="C1274" s="877" t="s">
        <v>272</v>
      </c>
      <c r="D1274" s="877" t="s">
        <v>504</v>
      </c>
      <c r="E1274" s="881" t="s">
        <v>148</v>
      </c>
      <c r="F1274" s="883">
        <v>700000</v>
      </c>
      <c r="G1274" s="55">
        <v>719</v>
      </c>
      <c r="H1274" s="78">
        <v>500000</v>
      </c>
      <c r="I1274" s="881"/>
      <c r="J1274" s="875"/>
      <c r="K1274" s="877"/>
      <c r="L1274" s="881"/>
      <c r="M1274" s="881"/>
      <c r="N1274" s="883"/>
      <c r="O1274" s="55"/>
      <c r="P1274" s="78"/>
    </row>
    <row r="1275" spans="1:16" ht="13.5" customHeight="1" thickBot="1">
      <c r="A1275" s="920"/>
      <c r="B1275" s="876"/>
      <c r="C1275" s="878"/>
      <c r="D1275" s="878"/>
      <c r="E1275" s="882"/>
      <c r="F1275" s="884"/>
      <c r="G1275" s="56">
        <v>721</v>
      </c>
      <c r="H1275" s="79">
        <f>+F1274-H1274</f>
        <v>200000</v>
      </c>
      <c r="I1275" s="882"/>
      <c r="J1275" s="876"/>
      <c r="K1275" s="878"/>
      <c r="L1275" s="882"/>
      <c r="M1275" s="882"/>
      <c r="N1275" s="884"/>
      <c r="O1275" s="56"/>
      <c r="P1275" s="79"/>
    </row>
    <row r="1276" spans="1:16" ht="16.5" thickBot="1">
      <c r="A1276" s="901" t="s">
        <v>102</v>
      </c>
      <c r="B1276" s="902"/>
      <c r="C1276" s="902"/>
      <c r="D1276" s="902"/>
      <c r="E1276" s="903"/>
      <c r="F1276" s="81">
        <f>SUM(F1266:F1275)</f>
        <v>1316000</v>
      </c>
      <c r="I1276" s="901" t="s">
        <v>102</v>
      </c>
      <c r="J1276" s="902"/>
      <c r="K1276" s="902"/>
      <c r="L1276" s="902"/>
      <c r="M1276" s="903"/>
      <c r="N1276" s="81">
        <f>SUM(N1266:N1275)</f>
        <v>380000</v>
      </c>
    </row>
    <row r="1277" spans="1:16" ht="16.5" thickBot="1">
      <c r="A1277" s="885" t="s">
        <v>103</v>
      </c>
      <c r="B1277" s="886"/>
      <c r="C1277" s="886"/>
      <c r="D1277" s="886"/>
      <c r="E1277" s="887"/>
      <c r="F1277" s="69">
        <f>+F1241</f>
        <v>657677254</v>
      </c>
      <c r="I1277" s="885" t="s">
        <v>103</v>
      </c>
      <c r="J1277" s="886"/>
      <c r="K1277" s="886"/>
      <c r="L1277" s="886"/>
      <c r="M1277" s="887"/>
      <c r="N1277" s="69">
        <f>+N1241</f>
        <v>530171219</v>
      </c>
      <c r="O1277" s="241" t="s">
        <v>561</v>
      </c>
      <c r="P1277" s="242"/>
    </row>
    <row r="1278" spans="1:16" ht="16.5" thickBot="1">
      <c r="A1278" s="888" t="s">
        <v>104</v>
      </c>
      <c r="B1278" s="889"/>
      <c r="C1278" s="889"/>
      <c r="D1278" s="889"/>
      <c r="E1278" s="890"/>
      <c r="F1278" s="183">
        <f>SUM(F1276:F1277)</f>
        <v>658993254</v>
      </c>
      <c r="I1278" s="888" t="s">
        <v>104</v>
      </c>
      <c r="J1278" s="889"/>
      <c r="K1278" s="889"/>
      <c r="L1278" s="889"/>
      <c r="M1278" s="890"/>
      <c r="N1278" s="183">
        <f>SUM(N1276:N1277)</f>
        <v>530551219</v>
      </c>
    </row>
    <row r="1279" spans="1:16">
      <c r="A1279" s="61"/>
      <c r="B1279" s="61"/>
      <c r="C1279" s="61"/>
      <c r="D1279" s="61"/>
      <c r="E1279" s="61"/>
      <c r="I1279" s="61"/>
      <c r="J1279" s="61"/>
      <c r="K1279" s="61"/>
      <c r="L1279" s="61"/>
      <c r="M1279" s="61"/>
    </row>
    <row r="1280" spans="1:16">
      <c r="A1280" s="51" t="s">
        <v>506</v>
      </c>
      <c r="I1280" s="51" t="s">
        <v>1580</v>
      </c>
    </row>
    <row r="1281" spans="1:16" ht="12" customHeight="1">
      <c r="F1281" s="139"/>
      <c r="N1281" s="139"/>
    </row>
    <row r="1282" spans="1:16">
      <c r="A1282" s="50" t="s">
        <v>105</v>
      </c>
      <c r="D1282" s="146"/>
      <c r="F1282" s="139"/>
      <c r="I1282" s="50" t="s">
        <v>105</v>
      </c>
      <c r="L1282" s="146"/>
      <c r="N1282" s="139"/>
    </row>
    <row r="1283" spans="1:16" ht="12" customHeight="1" thickBot="1"/>
    <row r="1284" spans="1:16" ht="15.75" thickBot="1">
      <c r="A1284" s="891" t="s">
        <v>106</v>
      </c>
      <c r="B1284" s="892"/>
      <c r="C1284" s="892"/>
      <c r="D1284" s="893"/>
      <c r="F1284" s="50" t="s">
        <v>288</v>
      </c>
      <c r="I1284" s="891" t="s">
        <v>106</v>
      </c>
      <c r="J1284" s="892"/>
      <c r="K1284" s="892"/>
      <c r="L1284" s="893"/>
      <c r="N1284" s="50" t="s">
        <v>288</v>
      </c>
    </row>
    <row r="1285" spans="1:16" ht="30.75" thickBot="1">
      <c r="A1285" s="57" t="s">
        <v>100</v>
      </c>
      <c r="B1285" s="58" t="s">
        <v>108</v>
      </c>
      <c r="C1285" s="59" t="s">
        <v>109</v>
      </c>
      <c r="D1285" s="60" t="s">
        <v>110</v>
      </c>
      <c r="I1285" s="57" t="s">
        <v>100</v>
      </c>
      <c r="J1285" s="58" t="s">
        <v>108</v>
      </c>
      <c r="K1285" s="59" t="s">
        <v>109</v>
      </c>
      <c r="L1285" s="60" t="s">
        <v>110</v>
      </c>
    </row>
    <row r="1286" spans="1:16" ht="12.75" customHeight="1">
      <c r="A1286" s="71">
        <v>719</v>
      </c>
      <c r="B1286" s="73">
        <f>+H1266+H1268+H1270+H1272+H1274</f>
        <v>940000</v>
      </c>
      <c r="C1286" s="74" t="e">
        <f>+D1249</f>
        <v>#REF!</v>
      </c>
      <c r="D1286" s="195" t="e">
        <f>+B1286+C1286</f>
        <v>#REF!</v>
      </c>
      <c r="I1286" s="71">
        <v>719</v>
      </c>
      <c r="J1286" s="73">
        <f>+P1266+P1268+P1270+P1272+P1274</f>
        <v>380000</v>
      </c>
      <c r="K1286" s="74">
        <f>+L1249</f>
        <v>21315000</v>
      </c>
      <c r="L1286" s="195">
        <f>+J1286+K1286</f>
        <v>21695000</v>
      </c>
    </row>
    <row r="1287" spans="1:16" ht="13.5" customHeight="1">
      <c r="A1287" s="72">
        <v>721</v>
      </c>
      <c r="B1287" s="80">
        <f>(+H1275+H1273+H1271+H1269+H1267)</f>
        <v>376000</v>
      </c>
      <c r="C1287" s="74" t="e">
        <f>+D1250</f>
        <v>#REF!</v>
      </c>
      <c r="D1287" s="195" t="e">
        <f>+B1287+C1287</f>
        <v>#REF!</v>
      </c>
      <c r="I1287" s="72">
        <v>721</v>
      </c>
      <c r="J1287" s="80">
        <v>0</v>
      </c>
      <c r="K1287" s="74">
        <f>+L1250</f>
        <v>122061005</v>
      </c>
      <c r="L1287" s="195">
        <f>+J1287+K1287</f>
        <v>122061005</v>
      </c>
    </row>
    <row r="1288" spans="1:16" ht="14.25" customHeight="1">
      <c r="A1288" s="72">
        <v>722</v>
      </c>
      <c r="B1288" s="80"/>
      <c r="C1288" s="74">
        <f>+D1251</f>
        <v>231207671</v>
      </c>
      <c r="D1288" s="195">
        <f>+B1288+C1288</f>
        <v>231207671</v>
      </c>
      <c r="I1288" s="72">
        <v>722</v>
      </c>
      <c r="J1288" s="80"/>
      <c r="K1288" s="74">
        <f>+L1251</f>
        <v>0</v>
      </c>
      <c r="L1288" s="195">
        <f>+J1288+K1288</f>
        <v>0</v>
      </c>
    </row>
    <row r="1289" spans="1:16" ht="15.75">
      <c r="A1289" s="72">
        <v>723</v>
      </c>
      <c r="B1289" s="80"/>
      <c r="C1289" s="74">
        <f>+D1252</f>
        <v>323193545</v>
      </c>
      <c r="D1289" s="195">
        <f>+B1289+C1289</f>
        <v>323193545</v>
      </c>
      <c r="F1289" s="174" t="s">
        <v>23</v>
      </c>
      <c r="G1289" s="175"/>
      <c r="I1289" s="72">
        <v>723</v>
      </c>
      <c r="J1289" s="80">
        <f>+P1275+P1273+P1271+P1269+P1267</f>
        <v>0</v>
      </c>
      <c r="K1289" s="74">
        <f>+L1252</f>
        <v>421310588</v>
      </c>
      <c r="L1289" s="195">
        <f>+J1289+K1289</f>
        <v>421310588</v>
      </c>
      <c r="N1289" s="918" t="s">
        <v>1481</v>
      </c>
      <c r="O1289" s="918"/>
      <c r="P1289" s="918"/>
    </row>
    <row r="1290" spans="1:16" ht="13.5" customHeight="1" thickBot="1">
      <c r="A1290" s="164" t="s">
        <v>181</v>
      </c>
      <c r="B1290" s="165"/>
      <c r="C1290" s="74" t="e">
        <f>+D1253</f>
        <v>#REF!</v>
      </c>
      <c r="D1290" s="196" t="e">
        <f>+B1290+C1290</f>
        <v>#REF!</v>
      </c>
      <c r="F1290" s="52"/>
      <c r="I1290" s="164" t="s">
        <v>181</v>
      </c>
      <c r="J1290" s="165"/>
      <c r="K1290" s="74">
        <f>+L1253</f>
        <v>0</v>
      </c>
      <c r="L1290" s="196">
        <f>+J1290+K1290</f>
        <v>0</v>
      </c>
      <c r="N1290" s="52"/>
    </row>
    <row r="1291" spans="1:16" ht="16.5" thickBot="1">
      <c r="A1291" s="169"/>
      <c r="B1291" s="170">
        <f>SUM(B1286:B1290)</f>
        <v>1316000</v>
      </c>
      <c r="C1291" s="171" t="e">
        <f>SUM(C1286:C1290)</f>
        <v>#REF!</v>
      </c>
      <c r="D1291" s="172" t="e">
        <f>SUM(D1286:D1290)</f>
        <v>#REF!</v>
      </c>
      <c r="I1291" s="169"/>
      <c r="J1291" s="197">
        <f>SUM(J1286:J1290)</f>
        <v>380000</v>
      </c>
      <c r="K1291" s="197">
        <f>SUM(K1286:K1290)</f>
        <v>564686593</v>
      </c>
      <c r="L1291" s="198">
        <f>SUM(L1286:L1290)</f>
        <v>565066593</v>
      </c>
    </row>
    <row r="1292" spans="1:16" ht="16.5">
      <c r="A1292" s="49" t="s">
        <v>88</v>
      </c>
      <c r="B1292" s="50"/>
      <c r="I1292" s="49" t="s">
        <v>88</v>
      </c>
      <c r="J1292" s="50"/>
    </row>
    <row r="1293" spans="1:16">
      <c r="A1293" s="51" t="s">
        <v>89</v>
      </c>
      <c r="I1293" s="51" t="s">
        <v>89</v>
      </c>
    </row>
    <row r="1294" spans="1:16">
      <c r="A1294" s="51" t="s">
        <v>90</v>
      </c>
      <c r="I1294" s="51" t="s">
        <v>90</v>
      </c>
    </row>
    <row r="1295" spans="1:16">
      <c r="A1295" s="51" t="s">
        <v>91</v>
      </c>
      <c r="I1295" s="51" t="s">
        <v>91</v>
      </c>
    </row>
    <row r="1296" spans="1:16" ht="12" customHeight="1">
      <c r="A1296" s="50"/>
      <c r="B1296" s="50"/>
      <c r="I1296" s="50"/>
      <c r="J1296" s="50"/>
    </row>
    <row r="1297" spans="1:16" ht="16.5">
      <c r="A1297" s="52" t="s">
        <v>507</v>
      </c>
      <c r="G1297" s="52"/>
      <c r="I1297" s="260" t="s">
        <v>209</v>
      </c>
      <c r="O1297" s="52"/>
    </row>
    <row r="1298" spans="1:16" ht="15.75">
      <c r="A1298" s="53" t="s">
        <v>92</v>
      </c>
      <c r="G1298" s="53"/>
      <c r="I1298" s="53" t="s">
        <v>1333</v>
      </c>
      <c r="O1298" s="53"/>
    </row>
    <row r="1299" spans="1:16" ht="16.5">
      <c r="A1299" s="894" t="s">
        <v>261</v>
      </c>
      <c r="B1299" s="894"/>
      <c r="C1299" s="894"/>
      <c r="D1299" s="894"/>
      <c r="E1299" s="894"/>
      <c r="F1299" s="894"/>
      <c r="G1299" s="894"/>
      <c r="H1299" s="894"/>
      <c r="I1299" s="894" t="s">
        <v>903</v>
      </c>
      <c r="J1299" s="894"/>
      <c r="K1299" s="894"/>
      <c r="L1299" s="894"/>
      <c r="M1299" s="894"/>
      <c r="N1299" s="894"/>
      <c r="O1299" s="894"/>
      <c r="P1299" s="894"/>
    </row>
    <row r="1300" spans="1:16" ht="15.75" thickBot="1"/>
    <row r="1301" spans="1:16">
      <c r="A1301" s="895" t="s">
        <v>94</v>
      </c>
      <c r="B1301" s="897" t="s">
        <v>95</v>
      </c>
      <c r="C1301" s="897" t="s">
        <v>96</v>
      </c>
      <c r="D1301" s="897" t="s">
        <v>3</v>
      </c>
      <c r="E1301" s="897" t="s">
        <v>97</v>
      </c>
      <c r="F1301" s="897" t="s">
        <v>98</v>
      </c>
      <c r="G1301" s="897" t="s">
        <v>99</v>
      </c>
      <c r="H1301" s="899"/>
      <c r="I1301" s="895" t="s">
        <v>94</v>
      </c>
      <c r="J1301" s="897" t="s">
        <v>95</v>
      </c>
      <c r="K1301" s="897" t="s">
        <v>96</v>
      </c>
      <c r="L1301" s="897" t="s">
        <v>3</v>
      </c>
      <c r="M1301" s="897" t="s">
        <v>97</v>
      </c>
      <c r="N1301" s="897" t="s">
        <v>98</v>
      </c>
      <c r="O1301" s="897" t="s">
        <v>99</v>
      </c>
      <c r="P1301" s="899"/>
    </row>
    <row r="1302" spans="1:16" ht="15.75" thickBot="1">
      <c r="A1302" s="896"/>
      <c r="B1302" s="898"/>
      <c r="C1302" s="898"/>
      <c r="D1302" s="898"/>
      <c r="E1302" s="898"/>
      <c r="F1302" s="898"/>
      <c r="G1302" s="240" t="s">
        <v>100</v>
      </c>
      <c r="H1302" s="182" t="s">
        <v>101</v>
      </c>
      <c r="I1302" s="896"/>
      <c r="J1302" s="898"/>
      <c r="K1302" s="898"/>
      <c r="L1302" s="898"/>
      <c r="M1302" s="898"/>
      <c r="N1302" s="898"/>
      <c r="O1302" s="240" t="s">
        <v>100</v>
      </c>
      <c r="P1302" s="182" t="s">
        <v>101</v>
      </c>
    </row>
    <row r="1303" spans="1:16" ht="13.5" customHeight="1">
      <c r="A1303" s="919" t="e">
        <f>+A1274+1</f>
        <v>#REF!</v>
      </c>
      <c r="B1303" s="875">
        <v>42364</v>
      </c>
      <c r="C1303" s="877" t="s">
        <v>267</v>
      </c>
      <c r="D1303" s="877" t="s">
        <v>509</v>
      </c>
      <c r="E1303" s="881" t="s">
        <v>148</v>
      </c>
      <c r="F1303" s="883">
        <v>112000</v>
      </c>
      <c r="G1303" s="55">
        <v>719</v>
      </c>
      <c r="H1303" s="78">
        <v>80000</v>
      </c>
      <c r="I1303" s="873" t="s">
        <v>1589</v>
      </c>
      <c r="J1303" s="875">
        <v>43088</v>
      </c>
      <c r="K1303" s="877" t="s">
        <v>472</v>
      </c>
      <c r="L1303" s="881" t="s">
        <v>1522</v>
      </c>
      <c r="M1303" s="881" t="s">
        <v>148</v>
      </c>
      <c r="N1303" s="883">
        <v>325000</v>
      </c>
      <c r="O1303" s="55">
        <v>719</v>
      </c>
      <c r="P1303" s="78">
        <v>250000</v>
      </c>
    </row>
    <row r="1304" spans="1:16" ht="12.75" customHeight="1" thickBot="1">
      <c r="A1304" s="920"/>
      <c r="B1304" s="876"/>
      <c r="C1304" s="878"/>
      <c r="D1304" s="878"/>
      <c r="E1304" s="882"/>
      <c r="F1304" s="884"/>
      <c r="G1304" s="56">
        <v>721</v>
      </c>
      <c r="H1304" s="79">
        <f>+F1303-H1303</f>
        <v>32000</v>
      </c>
      <c r="I1304" s="874"/>
      <c r="J1304" s="876"/>
      <c r="K1304" s="878"/>
      <c r="L1304" s="882"/>
      <c r="M1304" s="882"/>
      <c r="N1304" s="884"/>
      <c r="O1304" s="56">
        <v>723</v>
      </c>
      <c r="P1304" s="79">
        <f>+N1303-P1303</f>
        <v>75000</v>
      </c>
    </row>
    <row r="1305" spans="1:16" ht="12" customHeight="1">
      <c r="A1305" s="919" t="e">
        <f>+A1303+1</f>
        <v>#REF!</v>
      </c>
      <c r="B1305" s="875">
        <v>42364</v>
      </c>
      <c r="C1305" s="881" t="s">
        <v>28</v>
      </c>
      <c r="D1305" s="877" t="s">
        <v>510</v>
      </c>
      <c r="E1305" s="881" t="s">
        <v>148</v>
      </c>
      <c r="F1305" s="883">
        <v>238000</v>
      </c>
      <c r="G1305" s="55">
        <v>719</v>
      </c>
      <c r="H1305" s="78">
        <v>170000</v>
      </c>
      <c r="I1305" s="881">
        <f>+I1303+1</f>
        <v>164</v>
      </c>
      <c r="J1305" s="875">
        <v>43088</v>
      </c>
      <c r="K1305" s="877" t="s">
        <v>472</v>
      </c>
      <c r="L1305" s="881" t="s">
        <v>1590</v>
      </c>
      <c r="M1305" s="881" t="s">
        <v>148</v>
      </c>
      <c r="N1305" s="883">
        <v>312000</v>
      </c>
      <c r="O1305" s="55">
        <v>719</v>
      </c>
      <c r="P1305" s="78">
        <v>240000</v>
      </c>
    </row>
    <row r="1306" spans="1:16" ht="13.5" customHeight="1" thickBot="1">
      <c r="A1306" s="920"/>
      <c r="B1306" s="876"/>
      <c r="C1306" s="882"/>
      <c r="D1306" s="878"/>
      <c r="E1306" s="882"/>
      <c r="F1306" s="884"/>
      <c r="G1306" s="56">
        <v>721</v>
      </c>
      <c r="H1306" s="79">
        <f>+F1305-H1305</f>
        <v>68000</v>
      </c>
      <c r="I1306" s="882"/>
      <c r="J1306" s="876"/>
      <c r="K1306" s="878"/>
      <c r="L1306" s="882"/>
      <c r="M1306" s="882"/>
      <c r="N1306" s="884"/>
      <c r="O1306" s="56">
        <v>723</v>
      </c>
      <c r="P1306" s="79">
        <f>+N1305-P1305</f>
        <v>72000</v>
      </c>
    </row>
    <row r="1307" spans="1:16" ht="12.75" customHeight="1">
      <c r="A1307" s="919" t="e">
        <f>+A1305+1</f>
        <v>#REF!</v>
      </c>
      <c r="B1307" s="875">
        <v>42364</v>
      </c>
      <c r="C1307" s="877" t="s">
        <v>32</v>
      </c>
      <c r="D1307" s="877" t="s">
        <v>510</v>
      </c>
      <c r="E1307" s="881" t="s">
        <v>148</v>
      </c>
      <c r="F1307" s="883">
        <v>112000</v>
      </c>
      <c r="G1307" s="55">
        <v>719</v>
      </c>
      <c r="H1307" s="78">
        <v>80000</v>
      </c>
      <c r="I1307" s="881">
        <f>+I1305+1</f>
        <v>165</v>
      </c>
      <c r="J1307" s="875">
        <v>43088</v>
      </c>
      <c r="K1307" s="877" t="s">
        <v>472</v>
      </c>
      <c r="L1307" s="881" t="s">
        <v>1507</v>
      </c>
      <c r="M1307" s="881" t="s">
        <v>148</v>
      </c>
      <c r="N1307" s="883">
        <v>247000</v>
      </c>
      <c r="O1307" s="55">
        <v>719</v>
      </c>
      <c r="P1307" s="78">
        <v>190000</v>
      </c>
    </row>
    <row r="1308" spans="1:16" ht="12.75" customHeight="1" thickBot="1">
      <c r="A1308" s="920"/>
      <c r="B1308" s="876"/>
      <c r="C1308" s="878"/>
      <c r="D1308" s="878"/>
      <c r="E1308" s="882"/>
      <c r="F1308" s="884"/>
      <c r="G1308" s="56">
        <v>721</v>
      </c>
      <c r="H1308" s="79">
        <f>+F1307-H1307</f>
        <v>32000</v>
      </c>
      <c r="I1308" s="882"/>
      <c r="J1308" s="876"/>
      <c r="K1308" s="878"/>
      <c r="L1308" s="882"/>
      <c r="M1308" s="882"/>
      <c r="N1308" s="884"/>
      <c r="O1308" s="56">
        <v>723</v>
      </c>
      <c r="P1308" s="79">
        <f>+N1307-P1307</f>
        <v>57000</v>
      </c>
    </row>
    <row r="1309" spans="1:16" ht="13.5" customHeight="1">
      <c r="A1309" s="919" t="e">
        <f>+A1307+1</f>
        <v>#REF!</v>
      </c>
      <c r="B1309" s="875">
        <v>42364</v>
      </c>
      <c r="C1309" s="877" t="s">
        <v>111</v>
      </c>
      <c r="D1309" s="877" t="s">
        <v>511</v>
      </c>
      <c r="E1309" s="881" t="s">
        <v>148</v>
      </c>
      <c r="F1309" s="883">
        <v>112000</v>
      </c>
      <c r="G1309" s="55">
        <v>719</v>
      </c>
      <c r="H1309" s="78">
        <v>80000</v>
      </c>
      <c r="I1309" s="881">
        <f>+I1307+1</f>
        <v>166</v>
      </c>
      <c r="J1309" s="875">
        <v>43088</v>
      </c>
      <c r="K1309" s="877" t="s">
        <v>472</v>
      </c>
      <c r="L1309" s="881" t="s">
        <v>1506</v>
      </c>
      <c r="M1309" s="881" t="s">
        <v>148</v>
      </c>
      <c r="N1309" s="883">
        <v>208000</v>
      </c>
      <c r="O1309" s="55">
        <v>719</v>
      </c>
      <c r="P1309" s="78">
        <v>160000</v>
      </c>
    </row>
    <row r="1310" spans="1:16" ht="13.5" customHeight="1" thickBot="1">
      <c r="A1310" s="920"/>
      <c r="B1310" s="876"/>
      <c r="C1310" s="878"/>
      <c r="D1310" s="878"/>
      <c r="E1310" s="882"/>
      <c r="F1310" s="884"/>
      <c r="G1310" s="56">
        <v>721</v>
      </c>
      <c r="H1310" s="79">
        <f>+F1309-H1309</f>
        <v>32000</v>
      </c>
      <c r="I1310" s="882"/>
      <c r="J1310" s="876"/>
      <c r="K1310" s="878"/>
      <c r="L1310" s="882"/>
      <c r="M1310" s="882"/>
      <c r="N1310" s="884"/>
      <c r="O1310" s="56">
        <v>723</v>
      </c>
      <c r="P1310" s="79">
        <f>+N1309-P1309</f>
        <v>48000</v>
      </c>
    </row>
    <row r="1311" spans="1:16" ht="12.75" customHeight="1">
      <c r="A1311" s="919" t="e">
        <f>+A1309+1</f>
        <v>#REF!</v>
      </c>
      <c r="B1311" s="875">
        <v>42364</v>
      </c>
      <c r="C1311" s="877" t="s">
        <v>272</v>
      </c>
      <c r="D1311" s="877" t="s">
        <v>510</v>
      </c>
      <c r="E1311" s="881" t="s">
        <v>148</v>
      </c>
      <c r="F1311" s="883">
        <v>616000</v>
      </c>
      <c r="G1311" s="55">
        <v>719</v>
      </c>
      <c r="H1311" s="78">
        <v>440000</v>
      </c>
      <c r="I1311" s="881">
        <f>+I1309+1</f>
        <v>167</v>
      </c>
      <c r="J1311" s="875">
        <v>43088</v>
      </c>
      <c r="K1311" s="877" t="s">
        <v>472</v>
      </c>
      <c r="L1311" s="881" t="s">
        <v>1510</v>
      </c>
      <c r="M1311" s="881" t="s">
        <v>148</v>
      </c>
      <c r="N1311" s="883">
        <v>234000</v>
      </c>
      <c r="O1311" s="55">
        <v>719</v>
      </c>
      <c r="P1311" s="78">
        <v>180000</v>
      </c>
    </row>
    <row r="1312" spans="1:16" ht="12.75" customHeight="1" thickBot="1">
      <c r="A1312" s="920"/>
      <c r="B1312" s="876"/>
      <c r="C1312" s="878"/>
      <c r="D1312" s="878"/>
      <c r="E1312" s="882"/>
      <c r="F1312" s="884"/>
      <c r="G1312" s="56">
        <v>721</v>
      </c>
      <c r="H1312" s="79">
        <f>+F1311-H1311</f>
        <v>176000</v>
      </c>
      <c r="I1312" s="882"/>
      <c r="J1312" s="876"/>
      <c r="K1312" s="878"/>
      <c r="L1312" s="882"/>
      <c r="M1312" s="882"/>
      <c r="N1312" s="884"/>
      <c r="O1312" s="56">
        <v>723</v>
      </c>
      <c r="P1312" s="79">
        <f>+N1311-P1311</f>
        <v>54000</v>
      </c>
    </row>
    <row r="1313" spans="1:16" ht="16.5" thickBot="1">
      <c r="A1313" s="901" t="s">
        <v>102</v>
      </c>
      <c r="B1313" s="902"/>
      <c r="C1313" s="902"/>
      <c r="D1313" s="902"/>
      <c r="E1313" s="903"/>
      <c r="F1313" s="81">
        <f>SUM(F1303:F1312)</f>
        <v>1190000</v>
      </c>
      <c r="I1313" s="901" t="s">
        <v>102</v>
      </c>
      <c r="J1313" s="902"/>
      <c r="K1313" s="902"/>
      <c r="L1313" s="902"/>
      <c r="M1313" s="903"/>
      <c r="N1313" s="81">
        <f>SUM(N1303:N1312)</f>
        <v>1326000</v>
      </c>
    </row>
    <row r="1314" spans="1:16" ht="16.5" thickBot="1">
      <c r="A1314" s="885" t="s">
        <v>103</v>
      </c>
      <c r="B1314" s="886"/>
      <c r="C1314" s="886"/>
      <c r="D1314" s="886"/>
      <c r="E1314" s="887"/>
      <c r="F1314" s="69">
        <f>+F1278</f>
        <v>658993254</v>
      </c>
      <c r="I1314" s="885" t="s">
        <v>103</v>
      </c>
      <c r="J1314" s="886"/>
      <c r="K1314" s="886"/>
      <c r="L1314" s="886"/>
      <c r="M1314" s="887"/>
      <c r="N1314" s="69">
        <f>+N1278</f>
        <v>530551219</v>
      </c>
      <c r="O1314" s="241" t="s">
        <v>561</v>
      </c>
      <c r="P1314" s="242">
        <f>426+320+398+660+676</f>
        <v>2480</v>
      </c>
    </row>
    <row r="1315" spans="1:16" ht="16.5" thickBot="1">
      <c r="A1315" s="888" t="s">
        <v>104</v>
      </c>
      <c r="B1315" s="889"/>
      <c r="C1315" s="889"/>
      <c r="D1315" s="889"/>
      <c r="E1315" s="890"/>
      <c r="F1315" s="183">
        <f>SUM(F1313:F1314)</f>
        <v>660183254</v>
      </c>
      <c r="I1315" s="888" t="s">
        <v>104</v>
      </c>
      <c r="J1315" s="889"/>
      <c r="K1315" s="889"/>
      <c r="L1315" s="889"/>
      <c r="M1315" s="890"/>
      <c r="N1315" s="183">
        <f>SUM(N1313:N1314)</f>
        <v>531877219</v>
      </c>
    </row>
    <row r="1316" spans="1:16">
      <c r="A1316" s="61"/>
      <c r="B1316" s="61"/>
      <c r="C1316" s="61"/>
      <c r="D1316" s="61"/>
      <c r="E1316" s="61"/>
      <c r="I1316" s="61"/>
      <c r="J1316" s="61"/>
      <c r="K1316" s="61"/>
      <c r="L1316" s="61"/>
      <c r="M1316" s="61"/>
    </row>
    <row r="1317" spans="1:16">
      <c r="A1317" s="51" t="s">
        <v>512</v>
      </c>
      <c r="I1317" s="51" t="s">
        <v>1598</v>
      </c>
    </row>
    <row r="1318" spans="1:16" ht="9.75" customHeight="1">
      <c r="F1318" s="139"/>
      <c r="N1318" s="139"/>
    </row>
    <row r="1319" spans="1:16">
      <c r="A1319" s="50" t="s">
        <v>105</v>
      </c>
      <c r="D1319" s="146"/>
      <c r="F1319" s="139"/>
      <c r="I1319" s="50" t="s">
        <v>105</v>
      </c>
      <c r="L1319" s="146"/>
      <c r="N1319" s="139"/>
    </row>
    <row r="1320" spans="1:16" ht="10.5" customHeight="1" thickBot="1"/>
    <row r="1321" spans="1:16" ht="15.75" thickBot="1">
      <c r="A1321" s="891" t="s">
        <v>106</v>
      </c>
      <c r="B1321" s="892"/>
      <c r="C1321" s="892"/>
      <c r="D1321" s="893"/>
      <c r="F1321" s="50" t="s">
        <v>288</v>
      </c>
      <c r="I1321" s="891" t="s">
        <v>106</v>
      </c>
      <c r="J1321" s="892"/>
      <c r="K1321" s="892"/>
      <c r="L1321" s="893"/>
      <c r="N1321" s="50" t="s">
        <v>288</v>
      </c>
    </row>
    <row r="1322" spans="1:16" ht="30.75" thickBot="1">
      <c r="A1322" s="57" t="s">
        <v>100</v>
      </c>
      <c r="B1322" s="58" t="s">
        <v>108</v>
      </c>
      <c r="C1322" s="59" t="s">
        <v>109</v>
      </c>
      <c r="D1322" s="60" t="s">
        <v>110</v>
      </c>
      <c r="I1322" s="57" t="s">
        <v>100</v>
      </c>
      <c r="J1322" s="58" t="s">
        <v>108</v>
      </c>
      <c r="K1322" s="59" t="s">
        <v>109</v>
      </c>
      <c r="L1322" s="60" t="s">
        <v>110</v>
      </c>
    </row>
    <row r="1323" spans="1:16">
      <c r="A1323" s="71">
        <v>719</v>
      </c>
      <c r="B1323" s="73">
        <f>+H1303+H1305+H1307+H1309+H1311</f>
        <v>850000</v>
      </c>
      <c r="C1323" s="74" t="e">
        <f>+D1286</f>
        <v>#REF!</v>
      </c>
      <c r="D1323" s="195" t="e">
        <f>+B1323+C1323</f>
        <v>#REF!</v>
      </c>
      <c r="I1323" s="71">
        <v>719</v>
      </c>
      <c r="J1323" s="73">
        <f>+P1303+P1305+P1307+P1309+P1311</f>
        <v>1020000</v>
      </c>
      <c r="K1323" s="74">
        <f>+L1286</f>
        <v>21695000</v>
      </c>
      <c r="L1323" s="195">
        <f>+J1323+K1323</f>
        <v>22715000</v>
      </c>
    </row>
    <row r="1324" spans="1:16">
      <c r="A1324" s="72">
        <v>721</v>
      </c>
      <c r="B1324" s="80">
        <f>(+H1312+H1310+H1308+H1306+H1304)</f>
        <v>340000</v>
      </c>
      <c r="C1324" s="74" t="e">
        <f>+D1287</f>
        <v>#REF!</v>
      </c>
      <c r="D1324" s="195" t="e">
        <f>+B1324+C1324</f>
        <v>#REF!</v>
      </c>
      <c r="I1324" s="72">
        <v>721</v>
      </c>
      <c r="J1324" s="80">
        <f>+P1304+P1306+P1308+P1310+P1312</f>
        <v>306000</v>
      </c>
      <c r="K1324" s="74">
        <f>+L1287</f>
        <v>122061005</v>
      </c>
      <c r="L1324" s="195">
        <f>+J1324+K1324</f>
        <v>122367005</v>
      </c>
    </row>
    <row r="1325" spans="1:16" ht="13.5" customHeight="1">
      <c r="A1325" s="72">
        <v>722</v>
      </c>
      <c r="B1325" s="80"/>
      <c r="C1325" s="74">
        <f>+D1288</f>
        <v>231207671</v>
      </c>
      <c r="D1325" s="195">
        <f>+B1325+C1325</f>
        <v>231207671</v>
      </c>
      <c r="I1325" s="72">
        <v>722</v>
      </c>
      <c r="J1325" s="80"/>
      <c r="K1325" s="74">
        <f>+L1288</f>
        <v>0</v>
      </c>
      <c r="L1325" s="195">
        <f>+J1325+K1325</f>
        <v>0</v>
      </c>
    </row>
    <row r="1326" spans="1:16" ht="15.75">
      <c r="A1326" s="72">
        <v>723</v>
      </c>
      <c r="B1326" s="80"/>
      <c r="C1326" s="74">
        <f>+D1289</f>
        <v>323193545</v>
      </c>
      <c r="D1326" s="195">
        <f>+B1326+C1326</f>
        <v>323193545</v>
      </c>
      <c r="F1326" s="174" t="s">
        <v>23</v>
      </c>
      <c r="G1326" s="175"/>
      <c r="I1326" s="72">
        <v>723</v>
      </c>
      <c r="J1326" s="80"/>
      <c r="K1326" s="74">
        <f>+L1289</f>
        <v>421310588</v>
      </c>
      <c r="L1326" s="195">
        <f>+J1326+K1326</f>
        <v>421310588</v>
      </c>
      <c r="N1326" s="918" t="s">
        <v>1481</v>
      </c>
      <c r="O1326" s="918"/>
      <c r="P1326" s="918"/>
    </row>
    <row r="1327" spans="1:16" ht="15" customHeight="1" thickBot="1">
      <c r="A1327" s="164" t="s">
        <v>181</v>
      </c>
      <c r="B1327" s="165"/>
      <c r="C1327" s="74" t="e">
        <f>+D1290</f>
        <v>#REF!</v>
      </c>
      <c r="D1327" s="196" t="e">
        <f>+B1327+C1327</f>
        <v>#REF!</v>
      </c>
      <c r="F1327" s="52"/>
      <c r="I1327" s="164" t="s">
        <v>181</v>
      </c>
      <c r="J1327" s="165"/>
      <c r="K1327" s="74">
        <f>+L1290</f>
        <v>0</v>
      </c>
      <c r="L1327" s="196">
        <f>+J1327+K1327</f>
        <v>0</v>
      </c>
      <c r="N1327" s="52"/>
    </row>
    <row r="1328" spans="1:16" ht="16.5" thickBot="1">
      <c r="A1328" s="169"/>
      <c r="B1328" s="170">
        <f>SUM(B1323:B1327)</f>
        <v>1190000</v>
      </c>
      <c r="C1328" s="171" t="e">
        <f>SUM(C1323:C1327)</f>
        <v>#REF!</v>
      </c>
      <c r="D1328" s="172" t="e">
        <f>SUM(D1323:D1327)</f>
        <v>#REF!</v>
      </c>
      <c r="I1328" s="169"/>
      <c r="J1328" s="197">
        <f>SUM(J1323:J1327)</f>
        <v>1326000</v>
      </c>
      <c r="K1328" s="197">
        <f>SUM(K1323:K1327)</f>
        <v>565066593</v>
      </c>
      <c r="L1328" s="198">
        <f>SUM(L1323:L1327)</f>
        <v>566392593</v>
      </c>
    </row>
    <row r="1329" spans="1:16" ht="16.5">
      <c r="A1329" s="49" t="s">
        <v>88</v>
      </c>
      <c r="B1329" s="50"/>
      <c r="I1329" s="49" t="s">
        <v>88</v>
      </c>
      <c r="J1329" s="50"/>
    </row>
    <row r="1330" spans="1:16">
      <c r="A1330" s="51" t="s">
        <v>89</v>
      </c>
      <c r="I1330" s="51" t="s">
        <v>89</v>
      </c>
    </row>
    <row r="1331" spans="1:16">
      <c r="A1331" s="51" t="s">
        <v>90</v>
      </c>
      <c r="I1331" s="51" t="s">
        <v>90</v>
      </c>
    </row>
    <row r="1332" spans="1:16">
      <c r="A1332" s="51" t="s">
        <v>91</v>
      </c>
      <c r="I1332" s="51" t="s">
        <v>91</v>
      </c>
    </row>
    <row r="1333" spans="1:16" ht="9.75" customHeight="1">
      <c r="A1333" s="50"/>
      <c r="B1333" s="50"/>
      <c r="I1333" s="50"/>
      <c r="J1333" s="50"/>
    </row>
    <row r="1334" spans="1:16" ht="16.5">
      <c r="A1334" s="52" t="s">
        <v>508</v>
      </c>
      <c r="G1334" s="52"/>
      <c r="I1334" s="260" t="s">
        <v>898</v>
      </c>
      <c r="O1334" s="52"/>
    </row>
    <row r="1335" spans="1:16" ht="14.25" customHeight="1">
      <c r="A1335" s="53" t="s">
        <v>92</v>
      </c>
      <c r="G1335" s="53"/>
      <c r="I1335" s="53" t="s">
        <v>1333</v>
      </c>
      <c r="O1335" s="53"/>
    </row>
    <row r="1336" spans="1:16" ht="16.5">
      <c r="A1336" s="894" t="s">
        <v>261</v>
      </c>
      <c r="B1336" s="894"/>
      <c r="C1336" s="894"/>
      <c r="D1336" s="894"/>
      <c r="E1336" s="894"/>
      <c r="F1336" s="894"/>
      <c r="G1336" s="894"/>
      <c r="H1336" s="894"/>
      <c r="I1336" s="894" t="s">
        <v>903</v>
      </c>
      <c r="J1336" s="894"/>
      <c r="K1336" s="894"/>
      <c r="L1336" s="894"/>
      <c r="M1336" s="894"/>
      <c r="N1336" s="894"/>
      <c r="O1336" s="894"/>
      <c r="P1336" s="894"/>
    </row>
    <row r="1337" spans="1:16" ht="13.5" customHeight="1" thickBot="1"/>
    <row r="1338" spans="1:16">
      <c r="A1338" s="895" t="s">
        <v>94</v>
      </c>
      <c r="B1338" s="897" t="s">
        <v>95</v>
      </c>
      <c r="C1338" s="897" t="s">
        <v>96</v>
      </c>
      <c r="D1338" s="897" t="s">
        <v>3</v>
      </c>
      <c r="E1338" s="897" t="s">
        <v>97</v>
      </c>
      <c r="F1338" s="897" t="s">
        <v>98</v>
      </c>
      <c r="G1338" s="897" t="s">
        <v>99</v>
      </c>
      <c r="H1338" s="899"/>
      <c r="I1338" s="895" t="s">
        <v>94</v>
      </c>
      <c r="J1338" s="897" t="s">
        <v>95</v>
      </c>
      <c r="K1338" s="897" t="s">
        <v>96</v>
      </c>
      <c r="L1338" s="897" t="s">
        <v>3</v>
      </c>
      <c r="M1338" s="897" t="s">
        <v>97</v>
      </c>
      <c r="N1338" s="897" t="s">
        <v>98</v>
      </c>
      <c r="O1338" s="897" t="s">
        <v>99</v>
      </c>
      <c r="P1338" s="899"/>
    </row>
    <row r="1339" spans="1:16" ht="15.75" thickBot="1">
      <c r="A1339" s="896"/>
      <c r="B1339" s="898"/>
      <c r="C1339" s="898"/>
      <c r="D1339" s="898"/>
      <c r="E1339" s="898"/>
      <c r="F1339" s="898"/>
      <c r="G1339" s="240" t="s">
        <v>100</v>
      </c>
      <c r="H1339" s="182" t="s">
        <v>101</v>
      </c>
      <c r="I1339" s="896"/>
      <c r="J1339" s="898"/>
      <c r="K1339" s="898"/>
      <c r="L1339" s="898"/>
      <c r="M1339" s="898"/>
      <c r="N1339" s="898"/>
      <c r="O1339" s="240" t="s">
        <v>100</v>
      </c>
      <c r="P1339" s="182" t="s">
        <v>101</v>
      </c>
    </row>
    <row r="1340" spans="1:16" ht="12.75" customHeight="1">
      <c r="A1340" s="919" t="e">
        <f>+A1311+1</f>
        <v>#REF!</v>
      </c>
      <c r="B1340" s="875">
        <v>42364</v>
      </c>
      <c r="C1340" s="877" t="s">
        <v>31</v>
      </c>
      <c r="D1340" s="877" t="s">
        <v>513</v>
      </c>
      <c r="E1340" s="881" t="s">
        <v>115</v>
      </c>
      <c r="F1340" s="883">
        <v>100000</v>
      </c>
      <c r="G1340" s="55">
        <v>719</v>
      </c>
      <c r="H1340" s="78">
        <v>100000</v>
      </c>
      <c r="I1340" s="873" t="s">
        <v>1591</v>
      </c>
      <c r="J1340" s="875">
        <v>42723</v>
      </c>
      <c r="K1340" s="877" t="s">
        <v>28</v>
      </c>
      <c r="L1340" s="881" t="s">
        <v>1592</v>
      </c>
      <c r="M1340" s="881" t="s">
        <v>775</v>
      </c>
      <c r="N1340" s="883">
        <v>230000</v>
      </c>
      <c r="O1340" s="55">
        <v>719</v>
      </c>
      <c r="P1340" s="78">
        <v>230000</v>
      </c>
    </row>
    <row r="1341" spans="1:16" ht="13.5" customHeight="1" thickBot="1">
      <c r="A1341" s="920"/>
      <c r="B1341" s="876"/>
      <c r="C1341" s="878"/>
      <c r="D1341" s="878"/>
      <c r="E1341" s="882"/>
      <c r="F1341" s="884"/>
      <c r="G1341" s="56">
        <v>721</v>
      </c>
      <c r="H1341" s="79">
        <f>+F1340-H1340</f>
        <v>0</v>
      </c>
      <c r="I1341" s="874"/>
      <c r="J1341" s="876"/>
      <c r="K1341" s="878"/>
      <c r="L1341" s="882"/>
      <c r="M1341" s="882"/>
      <c r="N1341" s="884"/>
      <c r="O1341" s="56">
        <v>723</v>
      </c>
      <c r="P1341" s="79">
        <f>+N1340-P1340</f>
        <v>0</v>
      </c>
    </row>
    <row r="1342" spans="1:16" ht="15" customHeight="1">
      <c r="A1342" s="919" t="e">
        <f>+A1340+1</f>
        <v>#REF!</v>
      </c>
      <c r="B1342" s="875">
        <v>42364</v>
      </c>
      <c r="C1342" s="877" t="s">
        <v>472</v>
      </c>
      <c r="D1342" s="877" t="s">
        <v>517</v>
      </c>
      <c r="E1342" s="881" t="s">
        <v>115</v>
      </c>
      <c r="F1342" s="883">
        <v>40000</v>
      </c>
      <c r="G1342" s="55">
        <v>719</v>
      </c>
      <c r="H1342" s="78">
        <v>40000</v>
      </c>
      <c r="I1342" s="881">
        <f>+I1340+1</f>
        <v>169</v>
      </c>
      <c r="J1342" s="875">
        <v>42723</v>
      </c>
      <c r="K1342" s="877" t="s">
        <v>28</v>
      </c>
      <c r="L1342" s="881" t="s">
        <v>1516</v>
      </c>
      <c r="M1342" s="881" t="s">
        <v>775</v>
      </c>
      <c r="N1342" s="883">
        <v>90000</v>
      </c>
      <c r="O1342" s="55">
        <v>719</v>
      </c>
      <c r="P1342" s="78">
        <v>90000</v>
      </c>
    </row>
    <row r="1343" spans="1:16" ht="13.5" customHeight="1" thickBot="1">
      <c r="A1343" s="920"/>
      <c r="B1343" s="876"/>
      <c r="C1343" s="878"/>
      <c r="D1343" s="878"/>
      <c r="E1343" s="882"/>
      <c r="F1343" s="884"/>
      <c r="G1343" s="56">
        <v>721</v>
      </c>
      <c r="H1343" s="79">
        <f>+F1342-H1342</f>
        <v>0</v>
      </c>
      <c r="I1343" s="882"/>
      <c r="J1343" s="876"/>
      <c r="K1343" s="878"/>
      <c r="L1343" s="882"/>
      <c r="M1343" s="882"/>
      <c r="N1343" s="884"/>
      <c r="O1343" s="56">
        <v>723</v>
      </c>
      <c r="P1343" s="79">
        <f>+N1342-P1342</f>
        <v>0</v>
      </c>
    </row>
    <row r="1344" spans="1:16" ht="14.25" customHeight="1">
      <c r="A1344" s="919" t="e">
        <f>+A1342+1</f>
        <v>#REF!</v>
      </c>
      <c r="B1344" s="875">
        <v>42364</v>
      </c>
      <c r="C1344" s="877" t="s">
        <v>32</v>
      </c>
      <c r="D1344" s="877" t="s">
        <v>518</v>
      </c>
      <c r="E1344" s="881" t="s">
        <v>115</v>
      </c>
      <c r="F1344" s="883">
        <v>40000</v>
      </c>
      <c r="G1344" s="55">
        <v>719</v>
      </c>
      <c r="H1344" s="78">
        <v>40000</v>
      </c>
      <c r="I1344" s="881">
        <f>+I1342+1</f>
        <v>170</v>
      </c>
      <c r="J1344" s="875">
        <v>42723</v>
      </c>
      <c r="K1344" s="877" t="s">
        <v>28</v>
      </c>
      <c r="L1344" s="881" t="s">
        <v>1517</v>
      </c>
      <c r="M1344" s="881" t="s">
        <v>775</v>
      </c>
      <c r="N1344" s="883">
        <v>220000</v>
      </c>
      <c r="O1344" s="55">
        <v>719</v>
      </c>
      <c r="P1344" s="78">
        <v>220000</v>
      </c>
    </row>
    <row r="1345" spans="1:16" ht="13.5" customHeight="1" thickBot="1">
      <c r="A1345" s="920"/>
      <c r="B1345" s="876"/>
      <c r="C1345" s="878"/>
      <c r="D1345" s="878"/>
      <c r="E1345" s="882"/>
      <c r="F1345" s="884"/>
      <c r="G1345" s="56">
        <v>721</v>
      </c>
      <c r="H1345" s="79">
        <f>+F1344-H1344</f>
        <v>0</v>
      </c>
      <c r="I1345" s="882"/>
      <c r="J1345" s="876"/>
      <c r="K1345" s="878"/>
      <c r="L1345" s="882"/>
      <c r="M1345" s="882"/>
      <c r="N1345" s="884"/>
      <c r="O1345" s="56">
        <v>723</v>
      </c>
      <c r="P1345" s="79">
        <f>+N1344-P1344</f>
        <v>0</v>
      </c>
    </row>
    <row r="1346" spans="1:16" ht="15" customHeight="1">
      <c r="A1346" s="919" t="e">
        <f>+A1344+1</f>
        <v>#REF!</v>
      </c>
      <c r="B1346" s="875">
        <v>42364</v>
      </c>
      <c r="C1346" s="877" t="s">
        <v>120</v>
      </c>
      <c r="D1346" s="877" t="s">
        <v>519</v>
      </c>
      <c r="E1346" s="881" t="s">
        <v>115</v>
      </c>
      <c r="F1346" s="883">
        <v>20000</v>
      </c>
      <c r="G1346" s="55">
        <v>719</v>
      </c>
      <c r="H1346" s="78">
        <v>20000</v>
      </c>
      <c r="I1346" s="881">
        <f>+I1344+1</f>
        <v>171</v>
      </c>
      <c r="J1346" s="875">
        <v>42723</v>
      </c>
      <c r="K1346" s="877" t="s">
        <v>28</v>
      </c>
      <c r="L1346" s="881" t="s">
        <v>1593</v>
      </c>
      <c r="M1346" s="881" t="s">
        <v>775</v>
      </c>
      <c r="N1346" s="883">
        <v>80000</v>
      </c>
      <c r="O1346" s="55">
        <v>719</v>
      </c>
      <c r="P1346" s="78">
        <v>80000</v>
      </c>
    </row>
    <row r="1347" spans="1:16" ht="12" customHeight="1" thickBot="1">
      <c r="A1347" s="920"/>
      <c r="B1347" s="876"/>
      <c r="C1347" s="878"/>
      <c r="D1347" s="878"/>
      <c r="E1347" s="882"/>
      <c r="F1347" s="884"/>
      <c r="G1347" s="56">
        <v>721</v>
      </c>
      <c r="H1347" s="79">
        <f>+F1346-H1346</f>
        <v>0</v>
      </c>
      <c r="I1347" s="882"/>
      <c r="J1347" s="876"/>
      <c r="K1347" s="878"/>
      <c r="L1347" s="882"/>
      <c r="M1347" s="882"/>
      <c r="N1347" s="884"/>
      <c r="O1347" s="56">
        <v>723</v>
      </c>
      <c r="P1347" s="79">
        <f>+N1346-P1346</f>
        <v>0</v>
      </c>
    </row>
    <row r="1348" spans="1:16" ht="14.25" customHeight="1">
      <c r="A1348" s="919" t="e">
        <f>+A1346+1</f>
        <v>#REF!</v>
      </c>
      <c r="B1348" s="875">
        <v>42364</v>
      </c>
      <c r="C1348" s="877" t="s">
        <v>31</v>
      </c>
      <c r="D1348" s="877" t="s">
        <v>514</v>
      </c>
      <c r="E1348" s="881" t="s">
        <v>115</v>
      </c>
      <c r="F1348" s="883">
        <v>50000</v>
      </c>
      <c r="G1348" s="55">
        <v>719</v>
      </c>
      <c r="H1348" s="78">
        <v>50000</v>
      </c>
      <c r="I1348" s="881">
        <f>+I1346+1</f>
        <v>172</v>
      </c>
      <c r="J1348" s="875">
        <v>42723</v>
      </c>
      <c r="K1348" s="877" t="s">
        <v>120</v>
      </c>
      <c r="L1348" s="881" t="s">
        <v>1594</v>
      </c>
      <c r="M1348" s="881" t="s">
        <v>775</v>
      </c>
      <c r="N1348" s="883">
        <v>370000</v>
      </c>
      <c r="O1348" s="55">
        <v>719</v>
      </c>
      <c r="P1348" s="78">
        <v>370000</v>
      </c>
    </row>
    <row r="1349" spans="1:16" ht="12.75" customHeight="1" thickBot="1">
      <c r="A1349" s="920"/>
      <c r="B1349" s="876"/>
      <c r="C1349" s="878"/>
      <c r="D1349" s="878"/>
      <c r="E1349" s="882"/>
      <c r="F1349" s="884"/>
      <c r="G1349" s="56">
        <v>721</v>
      </c>
      <c r="H1349" s="79">
        <f>+F1348-H1348</f>
        <v>0</v>
      </c>
      <c r="I1349" s="882"/>
      <c r="J1349" s="876"/>
      <c r="K1349" s="878"/>
      <c r="L1349" s="882"/>
      <c r="M1349" s="882"/>
      <c r="N1349" s="884"/>
      <c r="O1349" s="56">
        <v>723</v>
      </c>
      <c r="P1349" s="79">
        <f>+N1348-P1348</f>
        <v>0</v>
      </c>
    </row>
    <row r="1350" spans="1:16" ht="14.25" customHeight="1" thickBot="1">
      <c r="A1350" s="919" t="e">
        <f>+A1348+1</f>
        <v>#REF!</v>
      </c>
      <c r="B1350" s="875">
        <v>42364</v>
      </c>
      <c r="C1350" s="877" t="s">
        <v>472</v>
      </c>
      <c r="D1350" s="877" t="s">
        <v>515</v>
      </c>
      <c r="E1350" s="881" t="s">
        <v>115</v>
      </c>
      <c r="F1350" s="883">
        <v>20000</v>
      </c>
      <c r="G1350" s="55">
        <v>719</v>
      </c>
      <c r="H1350" s="78">
        <v>20000</v>
      </c>
      <c r="I1350" s="901" t="s">
        <v>102</v>
      </c>
      <c r="J1350" s="902"/>
      <c r="K1350" s="902"/>
      <c r="L1350" s="902"/>
      <c r="M1350" s="903"/>
      <c r="N1350" s="81">
        <f>SUM(N1340:N1349)</f>
        <v>990000</v>
      </c>
    </row>
    <row r="1351" spans="1:16" ht="14.25" customHeight="1" thickBot="1">
      <c r="A1351" s="920"/>
      <c r="B1351" s="876"/>
      <c r="C1351" s="878"/>
      <c r="D1351" s="878"/>
      <c r="E1351" s="882"/>
      <c r="F1351" s="884"/>
      <c r="G1351" s="56">
        <v>721</v>
      </c>
      <c r="H1351" s="79">
        <f>+F1350-H1350</f>
        <v>0</v>
      </c>
      <c r="I1351" s="885" t="s">
        <v>103</v>
      </c>
      <c r="J1351" s="886"/>
      <c r="K1351" s="886"/>
      <c r="L1351" s="886"/>
      <c r="M1351" s="887"/>
      <c r="N1351" s="69">
        <f>+N1315</f>
        <v>531877219</v>
      </c>
      <c r="O1351" s="241" t="s">
        <v>561</v>
      </c>
      <c r="P1351" s="242">
        <f>754+171+406+173+423</f>
        <v>1927</v>
      </c>
    </row>
    <row r="1352" spans="1:16" ht="16.5" thickBot="1">
      <c r="A1352" s="901" t="s">
        <v>102</v>
      </c>
      <c r="B1352" s="902"/>
      <c r="C1352" s="902"/>
      <c r="D1352" s="902"/>
      <c r="E1352" s="903"/>
      <c r="F1352" s="81">
        <f>SUM(F1340:F1351)</f>
        <v>270000</v>
      </c>
      <c r="I1352" s="888" t="s">
        <v>104</v>
      </c>
      <c r="J1352" s="889"/>
      <c r="K1352" s="889"/>
      <c r="L1352" s="889"/>
      <c r="M1352" s="890"/>
      <c r="N1352" s="183">
        <f>SUM(N1350:N1351)</f>
        <v>532867219</v>
      </c>
    </row>
    <row r="1353" spans="1:16" ht="12.75" customHeight="1" thickBot="1">
      <c r="A1353" s="885" t="s">
        <v>103</v>
      </c>
      <c r="B1353" s="886"/>
      <c r="C1353" s="886"/>
      <c r="D1353" s="886"/>
      <c r="E1353" s="887"/>
      <c r="F1353" s="69">
        <f>+F1315</f>
        <v>660183254</v>
      </c>
      <c r="I1353" s="61"/>
      <c r="J1353" s="61"/>
      <c r="K1353" s="61"/>
      <c r="L1353" s="61"/>
      <c r="M1353" s="61"/>
    </row>
    <row r="1354" spans="1:16" ht="16.5" thickBot="1">
      <c r="A1354" s="888" t="s">
        <v>104</v>
      </c>
      <c r="B1354" s="889"/>
      <c r="C1354" s="889"/>
      <c r="D1354" s="889"/>
      <c r="E1354" s="890"/>
      <c r="F1354" s="183">
        <f>SUM(F1352:F1353)</f>
        <v>660453254</v>
      </c>
      <c r="I1354" s="51" t="s">
        <v>1599</v>
      </c>
    </row>
    <row r="1355" spans="1:16" ht="13.5" customHeight="1">
      <c r="A1355" s="61"/>
      <c r="B1355" s="61"/>
      <c r="C1355" s="61"/>
      <c r="D1355" s="61"/>
      <c r="E1355" s="61"/>
      <c r="N1355" s="139"/>
    </row>
    <row r="1356" spans="1:16">
      <c r="A1356" s="51" t="s">
        <v>516</v>
      </c>
      <c r="I1356" s="50" t="s">
        <v>105</v>
      </c>
      <c r="L1356" s="146"/>
      <c r="N1356" s="139"/>
    </row>
    <row r="1357" spans="1:16" ht="14.25" customHeight="1" thickBot="1">
      <c r="F1357" s="139"/>
    </row>
    <row r="1358" spans="1:16" ht="15.75" thickBot="1">
      <c r="A1358" s="50" t="s">
        <v>105</v>
      </c>
      <c r="D1358" s="146"/>
      <c r="F1358" s="139"/>
      <c r="I1358" s="891" t="s">
        <v>106</v>
      </c>
      <c r="J1358" s="892"/>
      <c r="K1358" s="892"/>
      <c r="L1358" s="893"/>
      <c r="N1358" s="50" t="s">
        <v>288</v>
      </c>
    </row>
    <row r="1359" spans="1:16" ht="28.5" customHeight="1" thickBot="1">
      <c r="I1359" s="57" t="s">
        <v>100</v>
      </c>
      <c r="J1359" s="58" t="s">
        <v>108</v>
      </c>
      <c r="K1359" s="287" t="s">
        <v>109</v>
      </c>
      <c r="L1359" s="60" t="s">
        <v>110</v>
      </c>
    </row>
    <row r="1360" spans="1:16" ht="15.75" thickBot="1">
      <c r="A1360" s="891" t="s">
        <v>106</v>
      </c>
      <c r="B1360" s="892"/>
      <c r="C1360" s="892"/>
      <c r="D1360" s="893"/>
      <c r="F1360" s="50" t="s">
        <v>288</v>
      </c>
      <c r="I1360" s="71">
        <v>719</v>
      </c>
      <c r="J1360" s="73">
        <f>+P1340+P1342+P1344+P1346+P1348</f>
        <v>990000</v>
      </c>
      <c r="K1360" s="74">
        <f>+L1323</f>
        <v>22715000</v>
      </c>
      <c r="L1360" s="195">
        <f>+J1360+K1360</f>
        <v>23705000</v>
      </c>
    </row>
    <row r="1361" spans="1:16" ht="14.25" customHeight="1" thickBot="1">
      <c r="A1361" s="57" t="s">
        <v>100</v>
      </c>
      <c r="B1361" s="58" t="s">
        <v>108</v>
      </c>
      <c r="C1361" s="59" t="s">
        <v>109</v>
      </c>
      <c r="D1361" s="60" t="s">
        <v>110</v>
      </c>
      <c r="I1361" s="72">
        <v>721</v>
      </c>
      <c r="J1361" s="80">
        <v>0</v>
      </c>
      <c r="K1361" s="74">
        <f>+L1324</f>
        <v>122367005</v>
      </c>
      <c r="L1361" s="195">
        <f>+J1361+K1361</f>
        <v>122367005</v>
      </c>
    </row>
    <row r="1362" spans="1:16" ht="13.5" customHeight="1">
      <c r="A1362" s="71">
        <v>719</v>
      </c>
      <c r="B1362" s="73">
        <f>+H1340+H1342+H13+H1344+H135345+H1346+H1350+H1348</f>
        <v>270000</v>
      </c>
      <c r="C1362" s="74" t="e">
        <f>+D1323</f>
        <v>#REF!</v>
      </c>
      <c r="D1362" s="195" t="e">
        <f>+B1362+C1362</f>
        <v>#REF!</v>
      </c>
      <c r="I1362" s="72">
        <v>722</v>
      </c>
      <c r="J1362" s="80"/>
      <c r="K1362" s="74">
        <f>+L1325</f>
        <v>0</v>
      </c>
      <c r="L1362" s="195">
        <f>+J1362+K1362</f>
        <v>0</v>
      </c>
    </row>
    <row r="1363" spans="1:16" ht="15.75">
      <c r="A1363" s="72">
        <v>721</v>
      </c>
      <c r="B1363" s="80">
        <f>(+H1351+H1347+H1345+H1343+H1341)</f>
        <v>0</v>
      </c>
      <c r="C1363" s="74" t="e">
        <f>+D1324</f>
        <v>#REF!</v>
      </c>
      <c r="D1363" s="195" t="e">
        <f>+B1363+C1363</f>
        <v>#REF!</v>
      </c>
      <c r="I1363" s="72">
        <v>723</v>
      </c>
      <c r="J1363" s="80"/>
      <c r="K1363" s="74">
        <f>+L1326</f>
        <v>421310588</v>
      </c>
      <c r="L1363" s="195">
        <f>+J1363+K1363</f>
        <v>421310588</v>
      </c>
      <c r="N1363" s="918" t="s">
        <v>1481</v>
      </c>
      <c r="O1363" s="918"/>
      <c r="P1363" s="918"/>
    </row>
    <row r="1364" spans="1:16" ht="16.5" thickBot="1">
      <c r="A1364" s="72">
        <v>722</v>
      </c>
      <c r="B1364" s="80"/>
      <c r="C1364" s="74">
        <f>+D1325</f>
        <v>231207671</v>
      </c>
      <c r="D1364" s="195">
        <f>+B1364+C1364</f>
        <v>231207671</v>
      </c>
      <c r="I1364" s="164" t="s">
        <v>181</v>
      </c>
      <c r="J1364" s="165"/>
      <c r="K1364" s="74">
        <f>+L1327</f>
        <v>0</v>
      </c>
      <c r="L1364" s="196">
        <f>+J1364+K1364</f>
        <v>0</v>
      </c>
      <c r="N1364" s="52"/>
    </row>
    <row r="1365" spans="1:16" ht="16.5" thickBot="1">
      <c r="A1365" s="72">
        <v>723</v>
      </c>
      <c r="B1365" s="80"/>
      <c r="C1365" s="74">
        <f>+D1326</f>
        <v>323193545</v>
      </c>
      <c r="D1365" s="195">
        <f>+B1365+C1365</f>
        <v>323193545</v>
      </c>
      <c r="F1365" s="174" t="s">
        <v>23</v>
      </c>
      <c r="G1365" s="175"/>
      <c r="I1365" s="169"/>
      <c r="J1365" s="197">
        <f>SUM(J1360:J1364)</f>
        <v>990000</v>
      </c>
      <c r="K1365" s="197">
        <f>SUM(K1360:K1364)</f>
        <v>566392593</v>
      </c>
      <c r="L1365" s="198">
        <f>SUM(L1360:L1364)</f>
        <v>567382593</v>
      </c>
    </row>
    <row r="1366" spans="1:16" ht="17.25" thickBot="1">
      <c r="A1366" s="164" t="s">
        <v>181</v>
      </c>
      <c r="B1366" s="165"/>
      <c r="C1366" s="74" t="e">
        <f>+D1327</f>
        <v>#REF!</v>
      </c>
      <c r="D1366" s="196" t="e">
        <f>+B1366+C1366</f>
        <v>#REF!</v>
      </c>
      <c r="F1366" s="52"/>
      <c r="I1366" s="49" t="s">
        <v>88</v>
      </c>
      <c r="J1366" s="50"/>
    </row>
    <row r="1367" spans="1:16" ht="16.5" thickBot="1">
      <c r="A1367" s="169"/>
      <c r="B1367" s="170">
        <f>SUM(B1362:B1366)</f>
        <v>270000</v>
      </c>
      <c r="C1367" s="171" t="e">
        <f>SUM(C1362:C1366)</f>
        <v>#REF!</v>
      </c>
      <c r="D1367" s="172" t="e">
        <f>SUM(D1362:D1366)</f>
        <v>#REF!</v>
      </c>
      <c r="I1367" s="51" t="s">
        <v>89</v>
      </c>
    </row>
    <row r="1368" spans="1:16" ht="16.5">
      <c r="A1368" s="49" t="s">
        <v>88</v>
      </c>
      <c r="B1368" s="50"/>
      <c r="I1368" s="51" t="s">
        <v>90</v>
      </c>
    </row>
    <row r="1369" spans="1:16">
      <c r="A1369" s="51" t="s">
        <v>89</v>
      </c>
      <c r="I1369" s="51" t="s">
        <v>91</v>
      </c>
    </row>
    <row r="1370" spans="1:16" ht="11.25" customHeight="1">
      <c r="A1370" s="51" t="s">
        <v>90</v>
      </c>
      <c r="I1370" s="50"/>
      <c r="J1370" s="50"/>
    </row>
    <row r="1371" spans="1:16" ht="16.5">
      <c r="A1371" s="51" t="s">
        <v>91</v>
      </c>
      <c r="I1371" s="260" t="s">
        <v>908</v>
      </c>
      <c r="O1371" s="52"/>
    </row>
    <row r="1372" spans="1:16" ht="12.75" customHeight="1">
      <c r="A1372" s="50"/>
      <c r="B1372" s="50"/>
      <c r="I1372" s="53" t="s">
        <v>1333</v>
      </c>
      <c r="O1372" s="53"/>
    </row>
    <row r="1373" spans="1:16" ht="16.5">
      <c r="A1373" s="52" t="s">
        <v>520</v>
      </c>
      <c r="G1373" s="52"/>
      <c r="I1373" s="894" t="s">
        <v>909</v>
      </c>
      <c r="J1373" s="894"/>
      <c r="K1373" s="894"/>
      <c r="L1373" s="894"/>
      <c r="M1373" s="894"/>
      <c r="N1373" s="894"/>
      <c r="O1373" s="894"/>
      <c r="P1373" s="894"/>
    </row>
    <row r="1374" spans="1:16" ht="16.5" thickBot="1">
      <c r="A1374" s="53" t="s">
        <v>92</v>
      </c>
      <c r="G1374" s="53"/>
    </row>
    <row r="1375" spans="1:16" ht="16.5">
      <c r="A1375" s="894" t="s">
        <v>261</v>
      </c>
      <c r="B1375" s="894"/>
      <c r="C1375" s="894"/>
      <c r="D1375" s="894"/>
      <c r="E1375" s="894"/>
      <c r="F1375" s="894"/>
      <c r="G1375" s="894"/>
      <c r="H1375" s="894"/>
      <c r="I1375" s="895" t="s">
        <v>94</v>
      </c>
      <c r="J1375" s="897" t="s">
        <v>95</v>
      </c>
      <c r="K1375" s="897" t="s">
        <v>96</v>
      </c>
      <c r="L1375" s="897" t="s">
        <v>3</v>
      </c>
      <c r="M1375" s="897" t="s">
        <v>97</v>
      </c>
      <c r="N1375" s="897" t="s">
        <v>98</v>
      </c>
      <c r="O1375" s="897" t="s">
        <v>99</v>
      </c>
      <c r="P1375" s="899"/>
    </row>
    <row r="1376" spans="1:16" ht="15.75" thickBot="1">
      <c r="I1376" s="896"/>
      <c r="J1376" s="898"/>
      <c r="K1376" s="898"/>
      <c r="L1376" s="898"/>
      <c r="M1376" s="898"/>
      <c r="N1376" s="898"/>
      <c r="O1376" s="240" t="s">
        <v>100</v>
      </c>
      <c r="P1376" s="182" t="s">
        <v>101</v>
      </c>
    </row>
    <row r="1377" spans="1:16" ht="15" customHeight="1">
      <c r="A1377" s="895" t="s">
        <v>94</v>
      </c>
      <c r="B1377" s="897" t="s">
        <v>95</v>
      </c>
      <c r="C1377" s="897" t="s">
        <v>96</v>
      </c>
      <c r="D1377" s="897" t="s">
        <v>3</v>
      </c>
      <c r="E1377" s="897" t="s">
        <v>97</v>
      </c>
      <c r="F1377" s="897" t="s">
        <v>98</v>
      </c>
      <c r="G1377" s="897" t="s">
        <v>99</v>
      </c>
      <c r="H1377" s="899"/>
      <c r="I1377" s="873" t="s">
        <v>1595</v>
      </c>
      <c r="J1377" s="875">
        <v>42723</v>
      </c>
      <c r="K1377" s="877" t="s">
        <v>472</v>
      </c>
      <c r="L1377" s="881" t="s">
        <v>1524</v>
      </c>
      <c r="M1377" s="881" t="s">
        <v>148</v>
      </c>
      <c r="N1377" s="883">
        <v>507000</v>
      </c>
      <c r="O1377" s="55">
        <v>719</v>
      </c>
      <c r="P1377" s="78">
        <v>390000</v>
      </c>
    </row>
    <row r="1378" spans="1:16" ht="15.75" customHeight="1" thickBot="1">
      <c r="A1378" s="896"/>
      <c r="B1378" s="898"/>
      <c r="C1378" s="898"/>
      <c r="D1378" s="898"/>
      <c r="E1378" s="898"/>
      <c r="F1378" s="898"/>
      <c r="G1378" s="240" t="s">
        <v>100</v>
      </c>
      <c r="H1378" s="182" t="s">
        <v>101</v>
      </c>
      <c r="I1378" s="874"/>
      <c r="J1378" s="876"/>
      <c r="K1378" s="878"/>
      <c r="L1378" s="882"/>
      <c r="M1378" s="882"/>
      <c r="N1378" s="884"/>
      <c r="O1378" s="56">
        <v>721</v>
      </c>
      <c r="P1378" s="79">
        <f>+N1377-P1377</f>
        <v>117000</v>
      </c>
    </row>
    <row r="1379" spans="1:16" ht="15" customHeight="1">
      <c r="A1379" s="919" t="e">
        <f>+A1350+1</f>
        <v>#REF!</v>
      </c>
      <c r="B1379" s="875">
        <v>42369</v>
      </c>
      <c r="C1379" s="877" t="s">
        <v>31</v>
      </c>
      <c r="D1379" s="877" t="s">
        <v>523</v>
      </c>
      <c r="E1379" s="881" t="s">
        <v>115</v>
      </c>
      <c r="F1379" s="883">
        <v>180000</v>
      </c>
      <c r="G1379" s="55">
        <v>719</v>
      </c>
      <c r="H1379" s="78">
        <v>180000</v>
      </c>
      <c r="I1379" s="881">
        <f>+I1377+1</f>
        <v>174</v>
      </c>
      <c r="J1379" s="875">
        <v>42723</v>
      </c>
      <c r="K1379" s="877" t="s">
        <v>472</v>
      </c>
      <c r="L1379" s="881" t="s">
        <v>913</v>
      </c>
      <c r="M1379" s="881" t="s">
        <v>148</v>
      </c>
      <c r="N1379" s="883">
        <v>312000</v>
      </c>
      <c r="O1379" s="55">
        <v>719</v>
      </c>
      <c r="P1379" s="78">
        <v>240000</v>
      </c>
    </row>
    <row r="1380" spans="1:16" ht="15.75" customHeight="1" thickBot="1">
      <c r="A1380" s="920"/>
      <c r="B1380" s="876"/>
      <c r="C1380" s="878"/>
      <c r="D1380" s="878"/>
      <c r="E1380" s="882"/>
      <c r="F1380" s="884"/>
      <c r="G1380" s="56">
        <v>721</v>
      </c>
      <c r="H1380" s="79">
        <f>+F1379-H1379</f>
        <v>0</v>
      </c>
      <c r="I1380" s="882"/>
      <c r="J1380" s="876"/>
      <c r="K1380" s="878"/>
      <c r="L1380" s="882"/>
      <c r="M1380" s="882"/>
      <c r="N1380" s="884"/>
      <c r="O1380" s="56">
        <v>721</v>
      </c>
      <c r="P1380" s="79">
        <f>+N1379-P1379</f>
        <v>72000</v>
      </c>
    </row>
    <row r="1381" spans="1:16" ht="15" customHeight="1">
      <c r="A1381" s="919" t="e">
        <f>+A1379+1</f>
        <v>#REF!</v>
      </c>
      <c r="B1381" s="875">
        <v>42369</v>
      </c>
      <c r="C1381" s="877" t="s">
        <v>472</v>
      </c>
      <c r="D1381" s="877" t="s">
        <v>524</v>
      </c>
      <c r="E1381" s="881" t="s">
        <v>115</v>
      </c>
      <c r="F1381" s="883">
        <v>40000</v>
      </c>
      <c r="G1381" s="55">
        <v>719</v>
      </c>
      <c r="H1381" s="78">
        <v>40000</v>
      </c>
      <c r="I1381" s="881">
        <f>+I1379+1</f>
        <v>175</v>
      </c>
      <c r="J1381" s="875">
        <v>42723</v>
      </c>
      <c r="K1381" s="877" t="s">
        <v>472</v>
      </c>
      <c r="L1381" s="881" t="s">
        <v>914</v>
      </c>
      <c r="M1381" s="881" t="s">
        <v>148</v>
      </c>
      <c r="N1381" s="883">
        <v>338000</v>
      </c>
      <c r="O1381" s="55">
        <v>719</v>
      </c>
      <c r="P1381" s="78">
        <v>260000</v>
      </c>
    </row>
    <row r="1382" spans="1:16" ht="15.75" customHeight="1" thickBot="1">
      <c r="A1382" s="920"/>
      <c r="B1382" s="876"/>
      <c r="C1382" s="878"/>
      <c r="D1382" s="878"/>
      <c r="E1382" s="882"/>
      <c r="F1382" s="884"/>
      <c r="G1382" s="56">
        <v>721</v>
      </c>
      <c r="H1382" s="79">
        <f>+F1381-H1381</f>
        <v>0</v>
      </c>
      <c r="I1382" s="882"/>
      <c r="J1382" s="876"/>
      <c r="K1382" s="878"/>
      <c r="L1382" s="882"/>
      <c r="M1382" s="882"/>
      <c r="N1382" s="884"/>
      <c r="O1382" s="56">
        <v>721</v>
      </c>
      <c r="P1382" s="79">
        <f>+N1381-P1381</f>
        <v>78000</v>
      </c>
    </row>
    <row r="1383" spans="1:16" ht="11.25" customHeight="1">
      <c r="A1383" s="919" t="e">
        <f>+A1381+1</f>
        <v>#REF!</v>
      </c>
      <c r="B1383" s="875">
        <v>42369</v>
      </c>
      <c r="C1383" s="877" t="s">
        <v>32</v>
      </c>
      <c r="D1383" s="877" t="s">
        <v>521</v>
      </c>
      <c r="E1383" s="881" t="s">
        <v>115</v>
      </c>
      <c r="F1383" s="883">
        <v>40000</v>
      </c>
      <c r="G1383" s="55">
        <v>719</v>
      </c>
      <c r="H1383" s="78">
        <v>40000</v>
      </c>
      <c r="I1383" s="881"/>
      <c r="J1383" s="875"/>
      <c r="K1383" s="877"/>
      <c r="L1383" s="881"/>
      <c r="M1383" s="881"/>
      <c r="N1383" s="883"/>
      <c r="O1383" s="55">
        <v>719</v>
      </c>
      <c r="P1383" s="78"/>
    </row>
    <row r="1384" spans="1:16" ht="13.5" customHeight="1" thickBot="1">
      <c r="A1384" s="920"/>
      <c r="B1384" s="876"/>
      <c r="C1384" s="878"/>
      <c r="D1384" s="878"/>
      <c r="E1384" s="882"/>
      <c r="F1384" s="884"/>
      <c r="G1384" s="56">
        <v>721</v>
      </c>
      <c r="H1384" s="79">
        <f>+F1383-H1383</f>
        <v>0</v>
      </c>
      <c r="I1384" s="882"/>
      <c r="J1384" s="876"/>
      <c r="K1384" s="878"/>
      <c r="L1384" s="882"/>
      <c r="M1384" s="882"/>
      <c r="N1384" s="884"/>
      <c r="O1384" s="56">
        <v>721</v>
      </c>
      <c r="P1384" s="79">
        <f>+N1383-P1383</f>
        <v>0</v>
      </c>
    </row>
    <row r="1385" spans="1:16" ht="12.75" customHeight="1">
      <c r="A1385" s="919" t="e">
        <f>+A1383+1</f>
        <v>#REF!</v>
      </c>
      <c r="B1385" s="875">
        <v>42369</v>
      </c>
      <c r="C1385" s="877" t="s">
        <v>120</v>
      </c>
      <c r="D1385" s="877" t="s">
        <v>522</v>
      </c>
      <c r="E1385" s="881" t="s">
        <v>115</v>
      </c>
      <c r="F1385" s="883">
        <v>20000</v>
      </c>
      <c r="G1385" s="55">
        <v>719</v>
      </c>
      <c r="H1385" s="78">
        <v>20000</v>
      </c>
      <c r="I1385" s="881"/>
      <c r="J1385" s="875"/>
      <c r="K1385" s="877"/>
      <c r="L1385" s="881"/>
      <c r="M1385" s="881"/>
      <c r="N1385" s="883"/>
      <c r="O1385" s="55">
        <v>719</v>
      </c>
      <c r="P1385" s="78"/>
    </row>
    <row r="1386" spans="1:16" ht="12.75" customHeight="1" thickBot="1">
      <c r="A1386" s="920"/>
      <c r="B1386" s="876"/>
      <c r="C1386" s="878"/>
      <c r="D1386" s="878"/>
      <c r="E1386" s="882"/>
      <c r="F1386" s="884"/>
      <c r="G1386" s="56">
        <v>721</v>
      </c>
      <c r="H1386" s="79">
        <f>+F1385-H1385</f>
        <v>0</v>
      </c>
      <c r="I1386" s="882"/>
      <c r="J1386" s="876"/>
      <c r="K1386" s="878"/>
      <c r="L1386" s="882"/>
      <c r="M1386" s="882"/>
      <c r="N1386" s="884"/>
      <c r="O1386" s="56">
        <v>721</v>
      </c>
      <c r="P1386" s="79">
        <f>+N1385-P1385</f>
        <v>0</v>
      </c>
    </row>
    <row r="1387" spans="1:16" ht="15" customHeight="1" thickBot="1">
      <c r="A1387" s="919"/>
      <c r="B1387" s="875"/>
      <c r="C1387" s="877"/>
      <c r="D1387" s="877"/>
      <c r="E1387" s="881"/>
      <c r="F1387" s="883"/>
      <c r="G1387" s="55">
        <v>719</v>
      </c>
      <c r="H1387" s="78"/>
      <c r="I1387" s="901" t="s">
        <v>102</v>
      </c>
      <c r="J1387" s="902"/>
      <c r="K1387" s="902"/>
      <c r="L1387" s="902"/>
      <c r="M1387" s="903"/>
      <c r="N1387" s="81">
        <f>SUM(N1377:N1386)</f>
        <v>1157000</v>
      </c>
    </row>
    <row r="1388" spans="1:16" ht="15.75" customHeight="1" thickBot="1">
      <c r="A1388" s="920"/>
      <c r="B1388" s="876"/>
      <c r="C1388" s="878"/>
      <c r="D1388" s="878"/>
      <c r="E1388" s="882"/>
      <c r="F1388" s="884"/>
      <c r="G1388" s="56">
        <v>721</v>
      </c>
      <c r="H1388" s="79">
        <f>+F1387-H1387</f>
        <v>0</v>
      </c>
      <c r="I1388" s="885" t="s">
        <v>103</v>
      </c>
      <c r="J1388" s="886"/>
      <c r="K1388" s="886"/>
      <c r="L1388" s="886"/>
      <c r="M1388" s="887"/>
      <c r="N1388" s="69">
        <f>+N1352</f>
        <v>532867219</v>
      </c>
      <c r="O1388" s="241" t="s">
        <v>561</v>
      </c>
      <c r="P1388" s="242">
        <f>753+65+288</f>
        <v>1106</v>
      </c>
    </row>
    <row r="1389" spans="1:16" ht="15" customHeight="1" thickBot="1">
      <c r="A1389" s="901" t="s">
        <v>102</v>
      </c>
      <c r="B1389" s="902"/>
      <c r="C1389" s="902"/>
      <c r="D1389" s="902"/>
      <c r="E1389" s="903"/>
      <c r="F1389" s="81">
        <f>SUM(F1379:F1388)</f>
        <v>280000</v>
      </c>
      <c r="I1389" s="888" t="s">
        <v>104</v>
      </c>
      <c r="J1389" s="889"/>
      <c r="K1389" s="889"/>
      <c r="L1389" s="889"/>
      <c r="M1389" s="890"/>
      <c r="N1389" s="183">
        <f>SUM(N1387:N1388)</f>
        <v>534024219</v>
      </c>
    </row>
    <row r="1390" spans="1:16" ht="15.75" customHeight="1" thickBot="1">
      <c r="A1390" s="885" t="s">
        <v>103</v>
      </c>
      <c r="B1390" s="886"/>
      <c r="C1390" s="886"/>
      <c r="D1390" s="886"/>
      <c r="E1390" s="887"/>
      <c r="F1390" s="69">
        <f>+F1354</f>
        <v>660453254</v>
      </c>
      <c r="I1390" s="61"/>
      <c r="J1390" s="61"/>
      <c r="K1390" s="61"/>
      <c r="L1390" s="61"/>
      <c r="M1390" s="61"/>
    </row>
    <row r="1391" spans="1:16" ht="16.5" thickBot="1">
      <c r="A1391" s="888" t="s">
        <v>104</v>
      </c>
      <c r="B1391" s="889"/>
      <c r="C1391" s="889"/>
      <c r="D1391" s="889"/>
      <c r="E1391" s="890"/>
      <c r="F1391" s="183">
        <f>SUM(F1389:F1390)</f>
        <v>660733254</v>
      </c>
      <c r="I1391" s="51" t="s">
        <v>1596</v>
      </c>
    </row>
    <row r="1392" spans="1:16" ht="12" customHeight="1">
      <c r="A1392" s="61"/>
      <c r="B1392" s="61"/>
      <c r="C1392" s="61"/>
      <c r="D1392" s="61"/>
      <c r="E1392" s="61"/>
      <c r="N1392" s="139"/>
    </row>
    <row r="1393" spans="1:16">
      <c r="A1393" s="51" t="s">
        <v>525</v>
      </c>
      <c r="I1393" s="50" t="s">
        <v>105</v>
      </c>
      <c r="L1393" s="146"/>
      <c r="N1393" s="139"/>
    </row>
    <row r="1394" spans="1:16" ht="14.25" customHeight="1" thickBot="1">
      <c r="F1394" s="139"/>
    </row>
    <row r="1395" spans="1:16" ht="15.75" thickBot="1">
      <c r="A1395" s="50" t="s">
        <v>105</v>
      </c>
      <c r="D1395" s="146"/>
      <c r="F1395" s="139"/>
      <c r="I1395" s="891" t="s">
        <v>106</v>
      </c>
      <c r="J1395" s="892"/>
      <c r="K1395" s="892"/>
      <c r="L1395" s="893"/>
      <c r="N1395" s="50" t="s">
        <v>288</v>
      </c>
    </row>
    <row r="1396" spans="1:16" ht="11.25" customHeight="1" thickBot="1">
      <c r="I1396" s="57" t="s">
        <v>100</v>
      </c>
      <c r="J1396" s="58" t="s">
        <v>108</v>
      </c>
      <c r="K1396" s="287" t="s">
        <v>109</v>
      </c>
      <c r="L1396" s="60" t="s">
        <v>110</v>
      </c>
    </row>
    <row r="1397" spans="1:16" ht="15.75" thickBot="1">
      <c r="A1397" s="891" t="s">
        <v>106</v>
      </c>
      <c r="B1397" s="892"/>
      <c r="C1397" s="892"/>
      <c r="D1397" s="893"/>
      <c r="F1397" s="50" t="s">
        <v>288</v>
      </c>
      <c r="I1397" s="71">
        <v>719</v>
      </c>
      <c r="J1397" s="73">
        <f>+P1377+P1379+P1381+P1383+P1385</f>
        <v>890000</v>
      </c>
      <c r="K1397" s="74">
        <f>+L1360</f>
        <v>23705000</v>
      </c>
      <c r="L1397" s="195">
        <f>+J1397+K1397</f>
        <v>24595000</v>
      </c>
    </row>
    <row r="1398" spans="1:16" ht="12.75" customHeight="1" thickBot="1">
      <c r="A1398" s="57" t="s">
        <v>100</v>
      </c>
      <c r="B1398" s="58" t="s">
        <v>108</v>
      </c>
      <c r="C1398" s="59" t="s">
        <v>109</v>
      </c>
      <c r="D1398" s="60" t="s">
        <v>110</v>
      </c>
      <c r="I1398" s="72">
        <v>721</v>
      </c>
      <c r="J1398" s="80">
        <f>+P1378+P1380+P1382</f>
        <v>267000</v>
      </c>
      <c r="K1398" s="74">
        <f>+L1361</f>
        <v>122367005</v>
      </c>
      <c r="L1398" s="195">
        <f>+J1398+K1398</f>
        <v>122634005</v>
      </c>
    </row>
    <row r="1399" spans="1:16">
      <c r="A1399" s="71">
        <v>719</v>
      </c>
      <c r="B1399" s="73">
        <f>+H1379+H1381+H1383+H1385+H1387</f>
        <v>280000</v>
      </c>
      <c r="C1399" s="74" t="e">
        <f>+D1362</f>
        <v>#REF!</v>
      </c>
      <c r="D1399" s="195" t="e">
        <f>+B1399+C1399</f>
        <v>#REF!</v>
      </c>
      <c r="I1399" s="72">
        <v>722</v>
      </c>
      <c r="J1399" s="80"/>
      <c r="K1399" s="74">
        <f>+L1362</f>
        <v>0</v>
      </c>
      <c r="L1399" s="195">
        <f>+J1399+K1399</f>
        <v>0</v>
      </c>
    </row>
    <row r="1400" spans="1:16" ht="15.75">
      <c r="A1400" s="72">
        <v>721</v>
      </c>
      <c r="B1400" s="80">
        <f>(+H1388+H1386+H1384+H1382+H1380)</f>
        <v>0</v>
      </c>
      <c r="C1400" s="74" t="e">
        <f>+D1363</f>
        <v>#REF!</v>
      </c>
      <c r="D1400" s="195" t="e">
        <f>+B1400+C1400</f>
        <v>#REF!</v>
      </c>
      <c r="I1400" s="72">
        <v>723</v>
      </c>
      <c r="J1400" s="80"/>
      <c r="K1400" s="74">
        <f>+L1363</f>
        <v>421310588</v>
      </c>
      <c r="L1400" s="195">
        <f>+J1400+K1400</f>
        <v>421310588</v>
      </c>
      <c r="N1400" s="918" t="s">
        <v>1481</v>
      </c>
      <c r="O1400" s="918"/>
      <c r="P1400" s="918"/>
    </row>
    <row r="1401" spans="1:16" ht="16.5" thickBot="1">
      <c r="A1401" s="72">
        <v>722</v>
      </c>
      <c r="B1401" s="80"/>
      <c r="C1401" s="74">
        <f>+D1364</f>
        <v>231207671</v>
      </c>
      <c r="D1401" s="195">
        <f>+B1401+C1401</f>
        <v>231207671</v>
      </c>
      <c r="I1401" s="164" t="s">
        <v>181</v>
      </c>
      <c r="J1401" s="165"/>
      <c r="K1401" s="74">
        <f>+L1364</f>
        <v>0</v>
      </c>
      <c r="L1401" s="196">
        <f>+J1401+K1401</f>
        <v>0</v>
      </c>
      <c r="N1401" s="52"/>
    </row>
    <row r="1402" spans="1:16" ht="16.5" thickBot="1">
      <c r="A1402" s="72">
        <v>723</v>
      </c>
      <c r="B1402" s="80"/>
      <c r="C1402" s="74">
        <f>+D1365</f>
        <v>323193545</v>
      </c>
      <c r="D1402" s="195">
        <f>+B1402+C1402</f>
        <v>323193545</v>
      </c>
      <c r="F1402" s="174" t="s">
        <v>23</v>
      </c>
      <c r="G1402" s="175"/>
      <c r="I1402" s="169"/>
      <c r="J1402" s="197">
        <f>SUM(J1397:J1401)</f>
        <v>1157000</v>
      </c>
      <c r="K1402" s="197">
        <f>SUM(K1397:K1401)</f>
        <v>567382593</v>
      </c>
      <c r="L1402" s="198">
        <f>SUM(L1397:L1401)</f>
        <v>568539593</v>
      </c>
    </row>
    <row r="1403" spans="1:16" ht="17.25" thickBot="1">
      <c r="A1403" s="164" t="s">
        <v>181</v>
      </c>
      <c r="B1403" s="165"/>
      <c r="C1403" s="74" t="e">
        <f>+D1366</f>
        <v>#REF!</v>
      </c>
      <c r="D1403" s="196" t="e">
        <f>+B1403+C1403</f>
        <v>#REF!</v>
      </c>
      <c r="F1403" s="52"/>
      <c r="I1403" s="49" t="s">
        <v>88</v>
      </c>
      <c r="J1403" s="50"/>
    </row>
    <row r="1404" spans="1:16" ht="16.5" thickBot="1">
      <c r="A1404" s="169"/>
      <c r="B1404" s="170">
        <f>SUM(B1399:B1403)</f>
        <v>280000</v>
      </c>
      <c r="C1404" s="171" t="e">
        <f>SUM(C1399:C1403)</f>
        <v>#REF!</v>
      </c>
      <c r="D1404" s="172" t="e">
        <f>SUM(D1399:D1403)</f>
        <v>#REF!</v>
      </c>
      <c r="I1404" s="51" t="s">
        <v>89</v>
      </c>
    </row>
    <row r="1405" spans="1:16" ht="16.5">
      <c r="A1405" s="49" t="s">
        <v>88</v>
      </c>
      <c r="B1405" s="50"/>
      <c r="I1405" s="51" t="s">
        <v>90</v>
      </c>
    </row>
    <row r="1406" spans="1:16">
      <c r="A1406" s="51" t="s">
        <v>89</v>
      </c>
      <c r="I1406" s="51" t="s">
        <v>91</v>
      </c>
    </row>
    <row r="1407" spans="1:16">
      <c r="A1407" s="51" t="s">
        <v>90</v>
      </c>
      <c r="I1407" s="50"/>
      <c r="J1407" s="50"/>
    </row>
    <row r="1408" spans="1:16" ht="16.5">
      <c r="A1408" s="51" t="s">
        <v>91</v>
      </c>
      <c r="I1408" s="260" t="s">
        <v>917</v>
      </c>
      <c r="O1408" s="52"/>
    </row>
    <row r="1409" spans="1:16" ht="15" customHeight="1">
      <c r="A1409" s="50"/>
      <c r="B1409" s="50"/>
      <c r="I1409" s="53" t="s">
        <v>1333</v>
      </c>
      <c r="O1409" s="53"/>
    </row>
    <row r="1410" spans="1:16" ht="16.5">
      <c r="A1410" s="52" t="s">
        <v>528</v>
      </c>
      <c r="G1410" s="52"/>
      <c r="I1410" s="894" t="s">
        <v>1600</v>
      </c>
      <c r="J1410" s="894"/>
      <c r="K1410" s="894"/>
      <c r="L1410" s="894"/>
      <c r="M1410" s="894"/>
      <c r="N1410" s="894"/>
      <c r="O1410" s="894"/>
      <c r="P1410" s="894"/>
    </row>
    <row r="1411" spans="1:16" ht="12" customHeight="1" thickBot="1">
      <c r="A1411" s="53" t="s">
        <v>92</v>
      </c>
      <c r="G1411" s="53"/>
    </row>
    <row r="1412" spans="1:16" ht="16.5">
      <c r="A1412" s="894" t="s">
        <v>261</v>
      </c>
      <c r="B1412" s="894"/>
      <c r="C1412" s="894"/>
      <c r="D1412" s="894"/>
      <c r="E1412" s="894"/>
      <c r="F1412" s="894"/>
      <c r="G1412" s="894"/>
      <c r="H1412" s="894"/>
      <c r="I1412" s="895" t="s">
        <v>94</v>
      </c>
      <c r="J1412" s="897" t="s">
        <v>95</v>
      </c>
      <c r="K1412" s="897" t="s">
        <v>96</v>
      </c>
      <c r="L1412" s="897" t="s">
        <v>3</v>
      </c>
      <c r="M1412" s="897" t="s">
        <v>97</v>
      </c>
      <c r="N1412" s="897" t="s">
        <v>98</v>
      </c>
      <c r="O1412" s="897" t="s">
        <v>99</v>
      </c>
      <c r="P1412" s="899"/>
    </row>
    <row r="1413" spans="1:16" ht="15.75" thickBot="1">
      <c r="I1413" s="896"/>
      <c r="J1413" s="898"/>
      <c r="K1413" s="898"/>
      <c r="L1413" s="898"/>
      <c r="M1413" s="898"/>
      <c r="N1413" s="898"/>
      <c r="O1413" s="240" t="s">
        <v>100</v>
      </c>
      <c r="P1413" s="182" t="s">
        <v>101</v>
      </c>
    </row>
    <row r="1414" spans="1:16" ht="13.5" customHeight="1">
      <c r="A1414" s="895" t="s">
        <v>94</v>
      </c>
      <c r="B1414" s="897" t="s">
        <v>95</v>
      </c>
      <c r="C1414" s="897" t="s">
        <v>96</v>
      </c>
      <c r="D1414" s="897" t="s">
        <v>3</v>
      </c>
      <c r="E1414" s="897" t="s">
        <v>97</v>
      </c>
      <c r="F1414" s="897" t="s">
        <v>98</v>
      </c>
      <c r="G1414" s="897" t="s">
        <v>99</v>
      </c>
      <c r="H1414" s="899"/>
      <c r="I1414" s="873" t="s">
        <v>1526</v>
      </c>
      <c r="J1414" s="875">
        <v>43088</v>
      </c>
      <c r="K1414" s="877" t="s">
        <v>472</v>
      </c>
      <c r="L1414" s="881" t="s">
        <v>1522</v>
      </c>
      <c r="M1414" s="881" t="s">
        <v>148</v>
      </c>
      <c r="N1414" s="883">
        <v>-637000</v>
      </c>
      <c r="O1414" s="55">
        <v>719</v>
      </c>
      <c r="P1414" s="78">
        <v>-490000</v>
      </c>
    </row>
    <row r="1415" spans="1:16" ht="12.75" customHeight="1" thickBot="1">
      <c r="A1415" s="896"/>
      <c r="B1415" s="898"/>
      <c r="C1415" s="898"/>
      <c r="D1415" s="898"/>
      <c r="E1415" s="898"/>
      <c r="F1415" s="898"/>
      <c r="G1415" s="240" t="s">
        <v>100</v>
      </c>
      <c r="H1415" s="182" t="s">
        <v>101</v>
      </c>
      <c r="I1415" s="874"/>
      <c r="J1415" s="876"/>
      <c r="K1415" s="878"/>
      <c r="L1415" s="882"/>
      <c r="M1415" s="882"/>
      <c r="N1415" s="884"/>
      <c r="O1415" s="56">
        <v>721</v>
      </c>
      <c r="P1415" s="79">
        <f>+N1414-P1414</f>
        <v>-147000</v>
      </c>
    </row>
    <row r="1416" spans="1:16" ht="13.5" customHeight="1">
      <c r="A1416" s="919" t="e">
        <f>+A1385+1</f>
        <v>#REF!</v>
      </c>
      <c r="B1416" s="875">
        <v>42369</v>
      </c>
      <c r="C1416" s="877" t="s">
        <v>267</v>
      </c>
      <c r="D1416" s="877" t="s">
        <v>526</v>
      </c>
      <c r="E1416" s="881" t="s">
        <v>148</v>
      </c>
      <c r="F1416" s="883">
        <v>224000</v>
      </c>
      <c r="G1416" s="55">
        <v>719</v>
      </c>
      <c r="H1416" s="78">
        <v>160000</v>
      </c>
      <c r="I1416" s="873" t="s">
        <v>1603</v>
      </c>
      <c r="J1416" s="875">
        <v>43088</v>
      </c>
      <c r="K1416" s="877" t="s">
        <v>472</v>
      </c>
      <c r="L1416" s="881" t="s">
        <v>1590</v>
      </c>
      <c r="M1416" s="881" t="s">
        <v>148</v>
      </c>
      <c r="N1416" s="883">
        <v>-572000</v>
      </c>
      <c r="O1416" s="55">
        <v>719</v>
      </c>
      <c r="P1416" s="78">
        <v>-440000</v>
      </c>
    </row>
    <row r="1417" spans="1:16" ht="13.5" customHeight="1" thickBot="1">
      <c r="A1417" s="920"/>
      <c r="B1417" s="876"/>
      <c r="C1417" s="878"/>
      <c r="D1417" s="878"/>
      <c r="E1417" s="882"/>
      <c r="F1417" s="884"/>
      <c r="G1417" s="56">
        <v>721</v>
      </c>
      <c r="H1417" s="79">
        <f>+F1416-H1416</f>
        <v>64000</v>
      </c>
      <c r="I1417" s="874"/>
      <c r="J1417" s="876"/>
      <c r="K1417" s="878"/>
      <c r="L1417" s="882"/>
      <c r="M1417" s="882"/>
      <c r="N1417" s="884"/>
      <c r="O1417" s="56">
        <v>723</v>
      </c>
      <c r="P1417" s="79">
        <f>+N1416-P1416</f>
        <v>-132000</v>
      </c>
    </row>
    <row r="1418" spans="1:16" ht="12.75" customHeight="1">
      <c r="A1418" s="919" t="e">
        <f>+A1416+1</f>
        <v>#REF!</v>
      </c>
      <c r="B1418" s="875">
        <v>42369</v>
      </c>
      <c r="C1418" s="881" t="s">
        <v>28</v>
      </c>
      <c r="D1418" s="877" t="s">
        <v>526</v>
      </c>
      <c r="E1418" s="881" t="s">
        <v>148</v>
      </c>
      <c r="F1418" s="883">
        <v>224000</v>
      </c>
      <c r="G1418" s="55">
        <v>719</v>
      </c>
      <c r="H1418" s="78">
        <v>160000</v>
      </c>
      <c r="I1418" s="873" t="s">
        <v>1604</v>
      </c>
      <c r="J1418" s="875">
        <v>43088</v>
      </c>
      <c r="K1418" s="877" t="s">
        <v>472</v>
      </c>
      <c r="L1418" s="881" t="s">
        <v>1507</v>
      </c>
      <c r="M1418" s="881" t="s">
        <v>148</v>
      </c>
      <c r="N1418" s="883">
        <v>-481000</v>
      </c>
      <c r="O1418" s="55">
        <v>719</v>
      </c>
      <c r="P1418" s="78">
        <v>-370000</v>
      </c>
    </row>
    <row r="1419" spans="1:16" ht="14.25" customHeight="1" thickBot="1">
      <c r="A1419" s="920"/>
      <c r="B1419" s="876"/>
      <c r="C1419" s="882"/>
      <c r="D1419" s="878"/>
      <c r="E1419" s="882"/>
      <c r="F1419" s="884"/>
      <c r="G1419" s="56">
        <v>721</v>
      </c>
      <c r="H1419" s="79">
        <f>+F1418-H1418</f>
        <v>64000</v>
      </c>
      <c r="I1419" s="874"/>
      <c r="J1419" s="876"/>
      <c r="K1419" s="878"/>
      <c r="L1419" s="882"/>
      <c r="M1419" s="882"/>
      <c r="N1419" s="884"/>
      <c r="O1419" s="56">
        <v>723</v>
      </c>
      <c r="P1419" s="79">
        <f>+N1418-P1418</f>
        <v>-111000</v>
      </c>
    </row>
    <row r="1420" spans="1:16" ht="12.75" customHeight="1">
      <c r="A1420" s="919" t="e">
        <f>+A1418+1</f>
        <v>#REF!</v>
      </c>
      <c r="B1420" s="875">
        <v>42369</v>
      </c>
      <c r="C1420" s="877" t="s">
        <v>32</v>
      </c>
      <c r="D1420" s="877" t="s">
        <v>521</v>
      </c>
      <c r="E1420" s="881" t="s">
        <v>148</v>
      </c>
      <c r="F1420" s="883">
        <v>154000</v>
      </c>
      <c r="G1420" s="55">
        <v>719</v>
      </c>
      <c r="H1420" s="78">
        <v>110000</v>
      </c>
      <c r="I1420" s="873" t="s">
        <v>1605</v>
      </c>
      <c r="J1420" s="875">
        <v>43088</v>
      </c>
      <c r="K1420" s="877" t="s">
        <v>472</v>
      </c>
      <c r="L1420" s="881" t="s">
        <v>1506</v>
      </c>
      <c r="M1420" s="881" t="s">
        <v>148</v>
      </c>
      <c r="N1420" s="883">
        <v>-403000</v>
      </c>
      <c r="O1420" s="55">
        <v>719</v>
      </c>
      <c r="P1420" s="78">
        <v>-310000</v>
      </c>
    </row>
    <row r="1421" spans="1:16" ht="12.75" customHeight="1" thickBot="1">
      <c r="A1421" s="920"/>
      <c r="B1421" s="876"/>
      <c r="C1421" s="878"/>
      <c r="D1421" s="878"/>
      <c r="E1421" s="882"/>
      <c r="F1421" s="884"/>
      <c r="G1421" s="56">
        <v>721</v>
      </c>
      <c r="H1421" s="79">
        <f>+F1420-H1420</f>
        <v>44000</v>
      </c>
      <c r="I1421" s="874"/>
      <c r="J1421" s="876"/>
      <c r="K1421" s="878"/>
      <c r="L1421" s="882"/>
      <c r="M1421" s="882"/>
      <c r="N1421" s="884"/>
      <c r="O1421" s="56">
        <v>722</v>
      </c>
      <c r="P1421" s="79">
        <f>+N1420-P1420</f>
        <v>-93000</v>
      </c>
    </row>
    <row r="1422" spans="1:16" ht="12.75" customHeight="1">
      <c r="A1422" s="919" t="e">
        <f>+A1420+1</f>
        <v>#REF!</v>
      </c>
      <c r="B1422" s="875">
        <v>42369</v>
      </c>
      <c r="C1422" s="877" t="s">
        <v>272</v>
      </c>
      <c r="D1422" s="877" t="s">
        <v>526</v>
      </c>
      <c r="E1422" s="881" t="s">
        <v>148</v>
      </c>
      <c r="F1422" s="883">
        <v>644000</v>
      </c>
      <c r="G1422" s="55">
        <v>719</v>
      </c>
      <c r="H1422" s="78">
        <v>460000</v>
      </c>
      <c r="I1422" s="873" t="s">
        <v>1509</v>
      </c>
      <c r="J1422" s="875">
        <v>43088</v>
      </c>
      <c r="K1422" s="877" t="s">
        <v>472</v>
      </c>
      <c r="L1422" s="881" t="s">
        <v>1510</v>
      </c>
      <c r="M1422" s="881" t="s">
        <v>148</v>
      </c>
      <c r="N1422" s="883">
        <v>-429000</v>
      </c>
      <c r="O1422" s="55">
        <v>719</v>
      </c>
      <c r="P1422" s="78">
        <v>-330000</v>
      </c>
    </row>
    <row r="1423" spans="1:16" ht="14.25" customHeight="1" thickBot="1">
      <c r="A1423" s="920"/>
      <c r="B1423" s="876"/>
      <c r="C1423" s="878"/>
      <c r="D1423" s="878"/>
      <c r="E1423" s="882"/>
      <c r="F1423" s="884"/>
      <c r="G1423" s="56">
        <v>721</v>
      </c>
      <c r="H1423" s="79">
        <f>+F1422-H1422</f>
        <v>184000</v>
      </c>
      <c r="I1423" s="874"/>
      <c r="J1423" s="876"/>
      <c r="K1423" s="878"/>
      <c r="L1423" s="882"/>
      <c r="M1423" s="882"/>
      <c r="N1423" s="884"/>
      <c r="O1423" s="56">
        <v>721</v>
      </c>
      <c r="P1423" s="79">
        <f>+N1422-P1422</f>
        <v>-99000</v>
      </c>
    </row>
    <row r="1424" spans="1:16" ht="15" customHeight="1" thickBot="1">
      <c r="A1424" s="919"/>
      <c r="B1424" s="875"/>
      <c r="C1424" s="877"/>
      <c r="D1424" s="877"/>
      <c r="E1424" s="881"/>
      <c r="F1424" s="883"/>
      <c r="G1424" s="55">
        <v>719</v>
      </c>
      <c r="H1424" s="78"/>
      <c r="I1424" s="901" t="s">
        <v>102</v>
      </c>
      <c r="J1424" s="902"/>
      <c r="K1424" s="902"/>
      <c r="L1424" s="902"/>
      <c r="M1424" s="903"/>
      <c r="N1424" s="81">
        <f>SUM(N1414:N1423)</f>
        <v>-2522000</v>
      </c>
    </row>
    <row r="1425" spans="1:16" ht="15.75" customHeight="1" thickBot="1">
      <c r="A1425" s="920"/>
      <c r="B1425" s="876"/>
      <c r="C1425" s="878"/>
      <c r="D1425" s="878"/>
      <c r="E1425" s="882"/>
      <c r="F1425" s="884"/>
      <c r="G1425" s="56">
        <v>721</v>
      </c>
      <c r="H1425" s="79">
        <f>+F1424-H1424</f>
        <v>0</v>
      </c>
      <c r="I1425" s="885" t="s">
        <v>103</v>
      </c>
      <c r="J1425" s="886"/>
      <c r="K1425" s="886"/>
      <c r="L1425" s="886"/>
      <c r="M1425" s="887"/>
      <c r="N1425" s="69">
        <f>+N1389</f>
        <v>534024219</v>
      </c>
      <c r="O1425" s="241" t="s">
        <v>561</v>
      </c>
      <c r="P1425" s="242">
        <v>124</v>
      </c>
    </row>
    <row r="1426" spans="1:16" ht="16.5" thickBot="1">
      <c r="A1426" s="901" t="s">
        <v>102</v>
      </c>
      <c r="B1426" s="902"/>
      <c r="C1426" s="902"/>
      <c r="D1426" s="902"/>
      <c r="E1426" s="903"/>
      <c r="F1426" s="81">
        <f>SUM(F1416:F1425)</f>
        <v>1246000</v>
      </c>
      <c r="I1426" s="888" t="s">
        <v>104</v>
      </c>
      <c r="J1426" s="889"/>
      <c r="K1426" s="889"/>
      <c r="L1426" s="889"/>
      <c r="M1426" s="890"/>
      <c r="N1426" s="183">
        <f>SUM(N1424:N1425)</f>
        <v>531502219</v>
      </c>
    </row>
    <row r="1427" spans="1:16" ht="12.75" customHeight="1" thickBot="1">
      <c r="A1427" s="885" t="s">
        <v>103</v>
      </c>
      <c r="B1427" s="886"/>
      <c r="C1427" s="886"/>
      <c r="D1427" s="886"/>
      <c r="E1427" s="887"/>
      <c r="F1427" s="69">
        <f>+F1391</f>
        <v>660733254</v>
      </c>
      <c r="I1427" s="61"/>
      <c r="J1427" s="61"/>
      <c r="K1427" s="61"/>
      <c r="L1427" s="61"/>
      <c r="M1427" s="61"/>
    </row>
    <row r="1428" spans="1:16" ht="16.5" thickBot="1">
      <c r="A1428" s="888" t="s">
        <v>104</v>
      </c>
      <c r="B1428" s="889"/>
      <c r="C1428" s="889"/>
      <c r="D1428" s="889"/>
      <c r="E1428" s="890"/>
      <c r="F1428" s="183">
        <f>SUM(F1426:F1427)</f>
        <v>661979254</v>
      </c>
      <c r="I1428" s="51" t="s">
        <v>1601</v>
      </c>
    </row>
    <row r="1429" spans="1:16" ht="9.75" customHeight="1">
      <c r="A1429" s="61"/>
      <c r="B1429" s="61"/>
      <c r="C1429" s="61"/>
      <c r="D1429" s="61"/>
      <c r="E1429" s="61"/>
      <c r="N1429" s="139"/>
    </row>
    <row r="1430" spans="1:16">
      <c r="A1430" s="51" t="s">
        <v>527</v>
      </c>
      <c r="I1430" s="50" t="s">
        <v>105</v>
      </c>
      <c r="L1430" s="146"/>
      <c r="N1430" s="139"/>
    </row>
    <row r="1431" spans="1:16" ht="12.75" customHeight="1" thickBot="1">
      <c r="F1431" s="139"/>
    </row>
    <row r="1432" spans="1:16" ht="15.75" thickBot="1">
      <c r="A1432" s="50" t="s">
        <v>105</v>
      </c>
      <c r="D1432" s="146"/>
      <c r="F1432" s="139"/>
      <c r="I1432" s="891" t="s">
        <v>106</v>
      </c>
      <c r="J1432" s="892"/>
      <c r="K1432" s="892"/>
      <c r="L1432" s="893"/>
      <c r="N1432" s="50" t="s">
        <v>288</v>
      </c>
    </row>
    <row r="1433" spans="1:16" ht="30.75" thickBot="1">
      <c r="I1433" s="57" t="s">
        <v>100</v>
      </c>
      <c r="J1433" s="58" t="s">
        <v>108</v>
      </c>
      <c r="K1433" s="287" t="s">
        <v>109</v>
      </c>
      <c r="L1433" s="60" t="s">
        <v>110</v>
      </c>
    </row>
    <row r="1434" spans="1:16" ht="15.75" thickBot="1">
      <c r="A1434" s="891" t="s">
        <v>106</v>
      </c>
      <c r="B1434" s="892"/>
      <c r="C1434" s="892"/>
      <c r="D1434" s="893"/>
      <c r="F1434" s="50" t="s">
        <v>288</v>
      </c>
      <c r="I1434" s="71">
        <v>719</v>
      </c>
      <c r="J1434" s="73">
        <f>+P1414+P1416+P1418+P1420+P1422</f>
        <v>-1940000</v>
      </c>
      <c r="K1434" s="74">
        <f>+L1397</f>
        <v>24595000</v>
      </c>
      <c r="L1434" s="195">
        <f>+J1434+K1434</f>
        <v>22655000</v>
      </c>
    </row>
    <row r="1435" spans="1:16" ht="17.25" customHeight="1" thickBot="1">
      <c r="A1435" s="57" t="s">
        <v>100</v>
      </c>
      <c r="B1435" s="58" t="s">
        <v>108</v>
      </c>
      <c r="C1435" s="59" t="s">
        <v>109</v>
      </c>
      <c r="D1435" s="60" t="s">
        <v>110</v>
      </c>
      <c r="I1435" s="72">
        <v>721</v>
      </c>
      <c r="J1435" s="80">
        <v>0</v>
      </c>
      <c r="K1435" s="74">
        <f>+L1398</f>
        <v>122634005</v>
      </c>
      <c r="L1435" s="195">
        <f>+J1435+K1435</f>
        <v>122634005</v>
      </c>
    </row>
    <row r="1436" spans="1:16" ht="11.25" customHeight="1">
      <c r="A1436" s="71">
        <v>719</v>
      </c>
      <c r="B1436" s="73">
        <f>+H1416+H1418+H1420+H1422</f>
        <v>890000</v>
      </c>
      <c r="C1436" s="74" t="e">
        <f>+D1399</f>
        <v>#REF!</v>
      </c>
      <c r="D1436" s="195" t="e">
        <f>+B1436+C1436</f>
        <v>#REF!</v>
      </c>
      <c r="I1436" s="72">
        <v>722</v>
      </c>
      <c r="J1436" s="80"/>
      <c r="K1436" s="74">
        <f>+L1399</f>
        <v>0</v>
      </c>
      <c r="L1436" s="195">
        <f>+J1436+K1436</f>
        <v>0</v>
      </c>
    </row>
    <row r="1437" spans="1:16" ht="15.75">
      <c r="A1437" s="72">
        <v>721</v>
      </c>
      <c r="B1437" s="80">
        <f>+H1417+H1419+H1421+H1423</f>
        <v>356000</v>
      </c>
      <c r="C1437" s="74" t="e">
        <f>+D1400</f>
        <v>#REF!</v>
      </c>
      <c r="D1437" s="195" t="e">
        <f>+B1437+C1437</f>
        <v>#REF!</v>
      </c>
      <c r="I1437" s="72">
        <v>723</v>
      </c>
      <c r="J1437" s="80">
        <f>+P1417+P1419+P1421+P1423+P1415</f>
        <v>-582000</v>
      </c>
      <c r="K1437" s="74">
        <f>+L1400</f>
        <v>421310588</v>
      </c>
      <c r="L1437" s="195">
        <f>+J1437+K1437</f>
        <v>420728588</v>
      </c>
      <c r="N1437" s="918" t="s">
        <v>1481</v>
      </c>
      <c r="O1437" s="918"/>
      <c r="P1437" s="918"/>
    </row>
    <row r="1438" spans="1:16" ht="12" customHeight="1" thickBot="1">
      <c r="A1438" s="72">
        <v>722</v>
      </c>
      <c r="B1438" s="80"/>
      <c r="C1438" s="74">
        <f>+D1401</f>
        <v>231207671</v>
      </c>
      <c r="D1438" s="195">
        <f>+B1438+C1438</f>
        <v>231207671</v>
      </c>
      <c r="I1438" s="164" t="s">
        <v>181</v>
      </c>
      <c r="J1438" s="165"/>
      <c r="K1438" s="74">
        <f>+L1401</f>
        <v>0</v>
      </c>
      <c r="L1438" s="196">
        <f>+J1438+K1438</f>
        <v>0</v>
      </c>
      <c r="N1438" s="52"/>
    </row>
    <row r="1439" spans="1:16" ht="14.25" customHeight="1" thickBot="1">
      <c r="A1439" s="72">
        <v>723</v>
      </c>
      <c r="B1439" s="80"/>
      <c r="C1439" s="74">
        <f>+D1402</f>
        <v>323193545</v>
      </c>
      <c r="D1439" s="195">
        <f>+B1439+C1439</f>
        <v>323193545</v>
      </c>
      <c r="F1439" s="174" t="s">
        <v>23</v>
      </c>
      <c r="G1439" s="175"/>
      <c r="I1439" s="169"/>
      <c r="J1439" s="197">
        <f>SUM(J1434:J1438)</f>
        <v>-2522000</v>
      </c>
      <c r="K1439" s="197">
        <f>SUM(K1434:K1438)</f>
        <v>568539593</v>
      </c>
      <c r="L1439" s="198">
        <f>SUM(L1434:L1438)</f>
        <v>566017593</v>
      </c>
    </row>
    <row r="1440" spans="1:16" ht="15.75" customHeight="1" thickBot="1">
      <c r="A1440" s="169"/>
      <c r="B1440" s="170" t="e">
        <f>SUM(#REF!)</f>
        <v>#REF!</v>
      </c>
      <c r="C1440" s="171" t="e">
        <f>SUM(#REF!)</f>
        <v>#REF!</v>
      </c>
      <c r="D1440" s="172" t="e">
        <f>SUM(#REF!)</f>
        <v>#REF!</v>
      </c>
      <c r="I1440" s="49" t="s">
        <v>88</v>
      </c>
      <c r="J1440" s="50"/>
    </row>
    <row r="1441" spans="1:16" ht="13.5" customHeight="1">
      <c r="A1441" s="49" t="s">
        <v>88</v>
      </c>
      <c r="B1441" s="50"/>
      <c r="I1441" s="51" t="s">
        <v>89</v>
      </c>
    </row>
    <row r="1442" spans="1:16" ht="14.25" customHeight="1">
      <c r="A1442" s="51" t="s">
        <v>89</v>
      </c>
      <c r="I1442" s="51" t="s">
        <v>90</v>
      </c>
    </row>
    <row r="1443" spans="1:16" ht="12" customHeight="1">
      <c r="A1443" s="51" t="s">
        <v>90</v>
      </c>
      <c r="I1443" s="51" t="s">
        <v>91</v>
      </c>
    </row>
    <row r="1444" spans="1:16" ht="8.25" customHeight="1">
      <c r="A1444" s="51" t="s">
        <v>91</v>
      </c>
      <c r="I1444" s="50"/>
      <c r="J1444" s="50"/>
    </row>
    <row r="1445" spans="1:16" ht="12" customHeight="1">
      <c r="A1445" s="50"/>
      <c r="B1445" s="50"/>
      <c r="I1445" s="260" t="s">
        <v>927</v>
      </c>
      <c r="O1445" s="52"/>
    </row>
    <row r="1446" spans="1:16" ht="16.5">
      <c r="A1446" s="52" t="s">
        <v>544</v>
      </c>
      <c r="G1446" s="52"/>
      <c r="I1446" s="53" t="s">
        <v>535</v>
      </c>
      <c r="O1446" s="53"/>
    </row>
    <row r="1447" spans="1:16" ht="16.5">
      <c r="A1447" s="53" t="s">
        <v>92</v>
      </c>
      <c r="G1447" s="53"/>
      <c r="I1447" s="894" t="s">
        <v>1600</v>
      </c>
      <c r="J1447" s="894"/>
      <c r="K1447" s="894"/>
      <c r="L1447" s="894"/>
      <c r="M1447" s="894"/>
      <c r="N1447" s="894"/>
      <c r="O1447" s="894"/>
      <c r="P1447" s="894"/>
    </row>
    <row r="1448" spans="1:16" ht="7.5" customHeight="1" thickBot="1">
      <c r="A1448" s="894" t="s">
        <v>261</v>
      </c>
      <c r="B1448" s="894"/>
      <c r="C1448" s="894"/>
      <c r="D1448" s="894"/>
      <c r="E1448" s="894"/>
      <c r="F1448" s="894"/>
      <c r="G1448" s="894"/>
      <c r="H1448" s="894"/>
    </row>
    <row r="1449" spans="1:16" ht="15.75" thickBot="1">
      <c r="I1449" s="895" t="s">
        <v>94</v>
      </c>
      <c r="J1449" s="897" t="s">
        <v>95</v>
      </c>
      <c r="K1449" s="897" t="s">
        <v>96</v>
      </c>
      <c r="L1449" s="897" t="s">
        <v>3</v>
      </c>
      <c r="M1449" s="897" t="s">
        <v>97</v>
      </c>
      <c r="N1449" s="897" t="s">
        <v>98</v>
      </c>
      <c r="O1449" s="897" t="s">
        <v>99</v>
      </c>
      <c r="P1449" s="899"/>
    </row>
    <row r="1450" spans="1:16" ht="15.75" thickBot="1">
      <c r="A1450" s="895" t="s">
        <v>94</v>
      </c>
      <c r="B1450" s="897" t="s">
        <v>95</v>
      </c>
      <c r="C1450" s="897" t="s">
        <v>96</v>
      </c>
      <c r="D1450" s="897" t="s">
        <v>3</v>
      </c>
      <c r="E1450" s="897" t="s">
        <v>97</v>
      </c>
      <c r="F1450" s="897" t="s">
        <v>98</v>
      </c>
      <c r="G1450" s="897" t="s">
        <v>99</v>
      </c>
      <c r="H1450" s="899"/>
      <c r="I1450" s="896"/>
      <c r="J1450" s="898"/>
      <c r="K1450" s="898"/>
      <c r="L1450" s="898"/>
      <c r="M1450" s="898"/>
      <c r="N1450" s="898"/>
      <c r="O1450" s="240" t="s">
        <v>100</v>
      </c>
      <c r="P1450" s="182" t="s">
        <v>101</v>
      </c>
    </row>
    <row r="1451" spans="1:16" ht="14.25" customHeight="1" thickBot="1">
      <c r="A1451" s="896"/>
      <c r="B1451" s="898"/>
      <c r="C1451" s="898"/>
      <c r="D1451" s="898"/>
      <c r="E1451" s="898"/>
      <c r="F1451" s="898"/>
      <c r="G1451" s="240" t="s">
        <v>100</v>
      </c>
      <c r="H1451" s="182" t="s">
        <v>101</v>
      </c>
      <c r="I1451" s="873" t="s">
        <v>1519</v>
      </c>
      <c r="J1451" s="875">
        <v>42723</v>
      </c>
      <c r="K1451" s="877" t="s">
        <v>28</v>
      </c>
      <c r="L1451" s="881" t="s">
        <v>1592</v>
      </c>
      <c r="M1451" s="881" t="s">
        <v>775</v>
      </c>
      <c r="N1451" s="883">
        <v>-170000</v>
      </c>
      <c r="O1451" s="55">
        <v>719</v>
      </c>
      <c r="P1451" s="78">
        <v>-170000</v>
      </c>
    </row>
    <row r="1452" spans="1:16" ht="12" customHeight="1" thickBot="1">
      <c r="A1452" s="919" t="e">
        <f>+#REF!+1</f>
        <v>#REF!</v>
      </c>
      <c r="B1452" s="875">
        <v>42369</v>
      </c>
      <c r="C1452" s="877" t="s">
        <v>267</v>
      </c>
      <c r="D1452" s="881" t="s">
        <v>530</v>
      </c>
      <c r="E1452" s="881" t="s">
        <v>148</v>
      </c>
      <c r="F1452" s="883">
        <v>70000</v>
      </c>
      <c r="G1452" s="55">
        <v>719</v>
      </c>
      <c r="H1452" s="78">
        <v>50000</v>
      </c>
      <c r="I1452" s="874"/>
      <c r="J1452" s="876"/>
      <c r="K1452" s="878"/>
      <c r="L1452" s="882"/>
      <c r="M1452" s="882"/>
      <c r="N1452" s="884"/>
      <c r="O1452" s="56">
        <v>721</v>
      </c>
      <c r="P1452" s="79">
        <f>+N1451-P1451</f>
        <v>0</v>
      </c>
    </row>
    <row r="1453" spans="1:16" ht="14.25" customHeight="1" thickBot="1">
      <c r="A1453" s="920"/>
      <c r="B1453" s="876"/>
      <c r="C1453" s="878"/>
      <c r="D1453" s="882"/>
      <c r="E1453" s="882"/>
      <c r="F1453" s="884"/>
      <c r="G1453" s="56">
        <v>721</v>
      </c>
      <c r="H1453" s="79">
        <f>+F1452-H1452</f>
        <v>20000</v>
      </c>
      <c r="I1453" s="873" t="s">
        <v>1606</v>
      </c>
      <c r="J1453" s="875">
        <v>42723</v>
      </c>
      <c r="K1453" s="877" t="s">
        <v>28</v>
      </c>
      <c r="L1453" s="881" t="s">
        <v>1516</v>
      </c>
      <c r="M1453" s="881" t="s">
        <v>775</v>
      </c>
      <c r="N1453" s="883">
        <v>-70000</v>
      </c>
      <c r="O1453" s="55">
        <v>719</v>
      </c>
      <c r="P1453" s="78">
        <v>-70000</v>
      </c>
    </row>
    <row r="1454" spans="1:16" ht="12.75" customHeight="1" thickBot="1">
      <c r="A1454" s="919" t="e">
        <f>+A1452+1</f>
        <v>#REF!</v>
      </c>
      <c r="B1454" s="875">
        <v>42369</v>
      </c>
      <c r="C1454" s="881" t="s">
        <v>28</v>
      </c>
      <c r="D1454" s="881" t="s">
        <v>530</v>
      </c>
      <c r="E1454" s="881" t="s">
        <v>148</v>
      </c>
      <c r="F1454" s="883">
        <v>70000</v>
      </c>
      <c r="G1454" s="55">
        <v>719</v>
      </c>
      <c r="H1454" s="78">
        <v>50000</v>
      </c>
      <c r="I1454" s="874"/>
      <c r="J1454" s="876"/>
      <c r="K1454" s="878"/>
      <c r="L1454" s="882"/>
      <c r="M1454" s="882"/>
      <c r="N1454" s="884"/>
      <c r="O1454" s="56">
        <v>721</v>
      </c>
      <c r="P1454" s="79">
        <f>+N1453-P1453</f>
        <v>0</v>
      </c>
    </row>
    <row r="1455" spans="1:16" ht="14.25" customHeight="1" thickBot="1">
      <c r="A1455" s="920"/>
      <c r="B1455" s="876"/>
      <c r="C1455" s="882"/>
      <c r="D1455" s="882"/>
      <c r="E1455" s="882"/>
      <c r="F1455" s="884"/>
      <c r="G1455" s="56">
        <v>721</v>
      </c>
      <c r="H1455" s="79">
        <f>+F1454-H1454</f>
        <v>20000</v>
      </c>
      <c r="I1455" s="873" t="s">
        <v>1607</v>
      </c>
      <c r="J1455" s="875">
        <v>42723</v>
      </c>
      <c r="K1455" s="877" t="s">
        <v>28</v>
      </c>
      <c r="L1455" s="881" t="s">
        <v>1517</v>
      </c>
      <c r="M1455" s="881" t="s">
        <v>775</v>
      </c>
      <c r="N1455" s="883">
        <v>-160000</v>
      </c>
      <c r="O1455" s="55">
        <v>719</v>
      </c>
      <c r="P1455" s="78">
        <v>-160000</v>
      </c>
    </row>
    <row r="1456" spans="1:16" ht="11.25" customHeight="1" thickBot="1">
      <c r="A1456" s="919" t="e">
        <f>+A1454+1</f>
        <v>#REF!</v>
      </c>
      <c r="B1456" s="875">
        <v>42369</v>
      </c>
      <c r="C1456" s="877" t="s">
        <v>32</v>
      </c>
      <c r="D1456" s="881" t="s">
        <v>530</v>
      </c>
      <c r="E1456" s="881" t="s">
        <v>148</v>
      </c>
      <c r="F1456" s="883">
        <v>84000</v>
      </c>
      <c r="G1456" s="55">
        <v>719</v>
      </c>
      <c r="H1456" s="78">
        <v>60000</v>
      </c>
      <c r="I1456" s="874"/>
      <c r="J1456" s="876"/>
      <c r="K1456" s="878"/>
      <c r="L1456" s="882"/>
      <c r="M1456" s="882"/>
      <c r="N1456" s="884"/>
      <c r="O1456" s="56">
        <v>721</v>
      </c>
      <c r="P1456" s="79"/>
    </row>
    <row r="1457" spans="1:16" ht="13.5" customHeight="1">
      <c r="A1457" s="921"/>
      <c r="B1457" s="922"/>
      <c r="C1457" s="900"/>
      <c r="D1457" s="923"/>
      <c r="E1457" s="923"/>
      <c r="F1457" s="924"/>
      <c r="G1457" s="255"/>
      <c r="H1457" s="256"/>
      <c r="I1457" s="873" t="s">
        <v>1608</v>
      </c>
      <c r="J1457" s="875">
        <v>42723</v>
      </c>
      <c r="K1457" s="877" t="s">
        <v>28</v>
      </c>
      <c r="L1457" s="881" t="s">
        <v>1524</v>
      </c>
      <c r="M1457" s="881" t="s">
        <v>148</v>
      </c>
      <c r="N1457" s="883">
        <v>-1001000</v>
      </c>
      <c r="O1457" s="55">
        <v>719</v>
      </c>
      <c r="P1457" s="78">
        <v>-770000</v>
      </c>
    </row>
    <row r="1458" spans="1:16" ht="13.5" customHeight="1" thickBot="1">
      <c r="A1458" s="921"/>
      <c r="B1458" s="922"/>
      <c r="C1458" s="900"/>
      <c r="D1458" s="923"/>
      <c r="E1458" s="923"/>
      <c r="F1458" s="924"/>
      <c r="G1458" s="255"/>
      <c r="H1458" s="256"/>
      <c r="I1458" s="874"/>
      <c r="J1458" s="876"/>
      <c r="K1458" s="878"/>
      <c r="L1458" s="882"/>
      <c r="M1458" s="882"/>
      <c r="N1458" s="884"/>
      <c r="O1458" s="56">
        <v>721</v>
      </c>
      <c r="P1458" s="79">
        <v>-231000</v>
      </c>
    </row>
    <row r="1459" spans="1:16" ht="14.25" customHeight="1" thickBot="1">
      <c r="A1459" s="920"/>
      <c r="B1459" s="876"/>
      <c r="C1459" s="878"/>
      <c r="D1459" s="882"/>
      <c r="E1459" s="882"/>
      <c r="F1459" s="884"/>
      <c r="G1459" s="56">
        <v>721</v>
      </c>
      <c r="H1459" s="79">
        <f>+F1456-H1456</f>
        <v>24000</v>
      </c>
      <c r="I1459" s="873" t="s">
        <v>1609</v>
      </c>
      <c r="J1459" s="875">
        <v>42723</v>
      </c>
      <c r="K1459" s="877" t="s">
        <v>28</v>
      </c>
      <c r="L1459" s="881" t="s">
        <v>1527</v>
      </c>
      <c r="M1459" s="881" t="s">
        <v>148</v>
      </c>
      <c r="N1459" s="883">
        <v>-559000</v>
      </c>
      <c r="O1459" s="55">
        <v>719</v>
      </c>
      <c r="P1459" s="78">
        <v>-430000</v>
      </c>
    </row>
    <row r="1460" spans="1:16" ht="15" customHeight="1" thickBot="1">
      <c r="A1460" s="919" t="e">
        <f>+A1456+1</f>
        <v>#REF!</v>
      </c>
      <c r="B1460" s="875">
        <v>42369</v>
      </c>
      <c r="C1460" s="877" t="s">
        <v>272</v>
      </c>
      <c r="D1460" s="881" t="s">
        <v>530</v>
      </c>
      <c r="E1460" s="881" t="s">
        <v>148</v>
      </c>
      <c r="F1460" s="883">
        <v>294000</v>
      </c>
      <c r="G1460" s="55">
        <v>719</v>
      </c>
      <c r="H1460" s="78">
        <v>210000</v>
      </c>
      <c r="I1460" s="874"/>
      <c r="J1460" s="876"/>
      <c r="K1460" s="878"/>
      <c r="L1460" s="882"/>
      <c r="M1460" s="882"/>
      <c r="N1460" s="884"/>
      <c r="O1460" s="56">
        <v>721</v>
      </c>
      <c r="P1460" s="79">
        <f>+N1459-P1459</f>
        <v>-129000</v>
      </c>
    </row>
    <row r="1461" spans="1:16" ht="13.5" customHeight="1" thickBot="1">
      <c r="A1461" s="920"/>
      <c r="B1461" s="876"/>
      <c r="C1461" s="878"/>
      <c r="D1461" s="882"/>
      <c r="E1461" s="882"/>
      <c r="F1461" s="884"/>
      <c r="G1461" s="56">
        <v>721</v>
      </c>
      <c r="H1461" s="79">
        <f>+F1460-H1460</f>
        <v>84000</v>
      </c>
      <c r="I1461" s="873" t="s">
        <v>1610</v>
      </c>
      <c r="J1461" s="875">
        <v>42723</v>
      </c>
      <c r="K1461" s="877" t="s">
        <v>28</v>
      </c>
      <c r="L1461" s="881" t="s">
        <v>1529</v>
      </c>
      <c r="M1461" s="881" t="s">
        <v>148</v>
      </c>
      <c r="N1461" s="883">
        <v>-624000</v>
      </c>
      <c r="O1461" s="55">
        <v>719</v>
      </c>
      <c r="P1461" s="78">
        <v>-480000</v>
      </c>
    </row>
    <row r="1462" spans="1:16" ht="14.25" customHeight="1" thickBot="1">
      <c r="A1462" s="919"/>
      <c r="B1462" s="875"/>
      <c r="C1462" s="877"/>
      <c r="D1462" s="877"/>
      <c r="E1462" s="881"/>
      <c r="F1462" s="883"/>
      <c r="G1462" s="55">
        <v>719</v>
      </c>
      <c r="H1462" s="78"/>
      <c r="I1462" s="874"/>
      <c r="J1462" s="876"/>
      <c r="K1462" s="878"/>
      <c r="L1462" s="882"/>
      <c r="M1462" s="882"/>
      <c r="N1462" s="884"/>
      <c r="O1462" s="56">
        <v>721</v>
      </c>
      <c r="P1462" s="79">
        <f>+N1461-P1461</f>
        <v>-144000</v>
      </c>
    </row>
    <row r="1463" spans="1:16" ht="16.5" thickBot="1">
      <c r="A1463" s="920"/>
      <c r="B1463" s="876"/>
      <c r="C1463" s="878"/>
      <c r="D1463" s="878"/>
      <c r="E1463" s="882"/>
      <c r="F1463" s="884"/>
      <c r="G1463" s="56">
        <v>721</v>
      </c>
      <c r="H1463" s="79">
        <f>+F1462-H1462</f>
        <v>0</v>
      </c>
      <c r="I1463" s="901" t="s">
        <v>102</v>
      </c>
      <c r="J1463" s="902"/>
      <c r="K1463" s="902"/>
      <c r="L1463" s="902"/>
      <c r="M1463" s="903"/>
      <c r="N1463" s="81">
        <f>SUM(N1451:N1462)</f>
        <v>-2584000</v>
      </c>
    </row>
    <row r="1464" spans="1:16" ht="16.5" thickBot="1">
      <c r="A1464" s="901" t="s">
        <v>102</v>
      </c>
      <c r="B1464" s="902"/>
      <c r="C1464" s="902"/>
      <c r="D1464" s="902"/>
      <c r="E1464" s="903"/>
      <c r="F1464" s="81">
        <f>SUM(F1452:F1463)</f>
        <v>518000</v>
      </c>
      <c r="I1464" s="885" t="s">
        <v>103</v>
      </c>
      <c r="J1464" s="886"/>
      <c r="K1464" s="886"/>
      <c r="L1464" s="886"/>
      <c r="M1464" s="887"/>
      <c r="N1464" s="69">
        <f>+N1426</f>
        <v>531502219</v>
      </c>
      <c r="O1464" s="241" t="s">
        <v>561</v>
      </c>
      <c r="P1464" s="242"/>
    </row>
    <row r="1465" spans="1:16" ht="16.5" thickBot="1">
      <c r="A1465" s="885" t="s">
        <v>103</v>
      </c>
      <c r="B1465" s="886"/>
      <c r="C1465" s="886"/>
      <c r="D1465" s="886"/>
      <c r="E1465" s="887"/>
      <c r="F1465" s="69" t="e">
        <f>+#REF!</f>
        <v>#REF!</v>
      </c>
      <c r="I1465" s="888" t="s">
        <v>104</v>
      </c>
      <c r="J1465" s="889"/>
      <c r="K1465" s="889"/>
      <c r="L1465" s="889"/>
      <c r="M1465" s="890"/>
      <c r="N1465" s="183">
        <f>SUM(N1463:N1464)</f>
        <v>528918219</v>
      </c>
    </row>
    <row r="1466" spans="1:16" ht="14.25" customHeight="1" thickBot="1">
      <c r="A1466" s="888" t="s">
        <v>104</v>
      </c>
      <c r="B1466" s="889"/>
      <c r="C1466" s="889"/>
      <c r="D1466" s="889"/>
      <c r="E1466" s="890"/>
      <c r="F1466" s="183" t="e">
        <f>SUM(F1464:F1465)</f>
        <v>#REF!</v>
      </c>
      <c r="I1466" s="61"/>
      <c r="J1466" s="61"/>
      <c r="K1466" s="61"/>
      <c r="L1466" s="61"/>
      <c r="M1466" s="61"/>
    </row>
    <row r="1467" spans="1:16">
      <c r="A1467" s="61"/>
      <c r="B1467" s="61"/>
      <c r="C1467" s="61"/>
      <c r="D1467" s="61"/>
      <c r="E1467" s="61"/>
      <c r="I1467" s="51" t="s">
        <v>1602</v>
      </c>
    </row>
    <row r="1468" spans="1:16" ht="9" customHeight="1">
      <c r="A1468" s="51" t="s">
        <v>546</v>
      </c>
      <c r="N1468" s="139"/>
    </row>
    <row r="1469" spans="1:16" ht="12.75" customHeight="1">
      <c r="F1469" s="139"/>
      <c r="I1469" s="50" t="s">
        <v>105</v>
      </c>
      <c r="L1469" s="146"/>
      <c r="N1469" s="139"/>
    </row>
    <row r="1470" spans="1:16" ht="12" customHeight="1" thickBot="1">
      <c r="A1470" s="50" t="s">
        <v>105</v>
      </c>
      <c r="D1470" s="146"/>
      <c r="F1470" s="139"/>
    </row>
    <row r="1471" spans="1:16" ht="12" customHeight="1" thickBot="1">
      <c r="I1471" s="891" t="s">
        <v>106</v>
      </c>
      <c r="J1471" s="892"/>
      <c r="K1471" s="892"/>
      <c r="L1471" s="893"/>
      <c r="N1471" s="50" t="s">
        <v>288</v>
      </c>
    </row>
    <row r="1472" spans="1:16" ht="28.5" customHeight="1" thickBot="1">
      <c r="A1472" s="891" t="s">
        <v>106</v>
      </c>
      <c r="B1472" s="892"/>
      <c r="C1472" s="892"/>
      <c r="D1472" s="893"/>
      <c r="F1472" s="50" t="s">
        <v>288</v>
      </c>
      <c r="I1472" s="57" t="s">
        <v>100</v>
      </c>
      <c r="J1472" s="58" t="s">
        <v>108</v>
      </c>
      <c r="K1472" s="59" t="s">
        <v>109</v>
      </c>
      <c r="L1472" s="60" t="s">
        <v>110</v>
      </c>
    </row>
    <row r="1473" spans="1:16" ht="14.25" customHeight="1" thickBot="1">
      <c r="A1473" s="57" t="s">
        <v>100</v>
      </c>
      <c r="B1473" s="58" t="s">
        <v>108</v>
      </c>
      <c r="C1473" s="59" t="s">
        <v>109</v>
      </c>
      <c r="D1473" s="60" t="s">
        <v>110</v>
      </c>
      <c r="I1473" s="71">
        <v>719</v>
      </c>
      <c r="J1473" s="73">
        <f>+P1451+P1453+P1455+P1457+P1459+P1461</f>
        <v>-2080000</v>
      </c>
      <c r="K1473" s="74">
        <f>+L1434</f>
        <v>22655000</v>
      </c>
      <c r="L1473" s="195">
        <f>+J1473+K1473</f>
        <v>20575000</v>
      </c>
    </row>
    <row r="1474" spans="1:16" ht="13.5" customHeight="1">
      <c r="A1474" s="71">
        <v>719</v>
      </c>
      <c r="B1474" s="73">
        <f>+H1452+H1454+H1456+H1460</f>
        <v>370000</v>
      </c>
      <c r="C1474" s="74" t="e">
        <f>+#REF!</f>
        <v>#REF!</v>
      </c>
      <c r="D1474" s="195" t="e">
        <f>+B1474+C1474</f>
        <v>#REF!</v>
      </c>
      <c r="I1474" s="72">
        <v>721</v>
      </c>
      <c r="J1474" s="80">
        <f>+P1462+P1460+P1458</f>
        <v>-504000</v>
      </c>
      <c r="K1474" s="74">
        <f>+L1435</f>
        <v>122634005</v>
      </c>
      <c r="L1474" s="195">
        <f>+J1474+K1474</f>
        <v>122130005</v>
      </c>
    </row>
    <row r="1475" spans="1:16" ht="13.5" customHeight="1">
      <c r="A1475" s="72">
        <v>721</v>
      </c>
      <c r="B1475" s="80">
        <f>+H1453+H1455+H1459+H1461+H1463</f>
        <v>148000</v>
      </c>
      <c r="C1475" s="74" t="e">
        <f>+#REF!</f>
        <v>#REF!</v>
      </c>
      <c r="D1475" s="195" t="e">
        <f>+B1475+C1475</f>
        <v>#REF!</v>
      </c>
      <c r="I1475" s="72">
        <v>722</v>
      </c>
      <c r="J1475" s="80"/>
      <c r="K1475" s="74">
        <f>+L1436</f>
        <v>0</v>
      </c>
      <c r="L1475" s="195">
        <f>+J1475+K1475</f>
        <v>0</v>
      </c>
    </row>
    <row r="1476" spans="1:16" ht="15" customHeight="1">
      <c r="A1476" s="72">
        <v>722</v>
      </c>
      <c r="B1476" s="80"/>
      <c r="C1476" s="74" t="e">
        <f>+#REF!</f>
        <v>#REF!</v>
      </c>
      <c r="D1476" s="195" t="e">
        <f>+B1476+C1476</f>
        <v>#REF!</v>
      </c>
      <c r="I1476" s="72">
        <v>723</v>
      </c>
      <c r="J1476" s="80"/>
      <c r="K1476" s="74">
        <f>+L1437</f>
        <v>420728588</v>
      </c>
      <c r="L1476" s="195">
        <f>+J1476+K1476</f>
        <v>420728588</v>
      </c>
      <c r="N1476" s="918" t="s">
        <v>1481</v>
      </c>
      <c r="O1476" s="918"/>
      <c r="P1476" s="918"/>
    </row>
    <row r="1477" spans="1:16" ht="16.5" thickBot="1">
      <c r="A1477" s="72">
        <v>723</v>
      </c>
      <c r="B1477" s="80"/>
      <c r="C1477" s="74" t="e">
        <f>+#REF!</f>
        <v>#REF!</v>
      </c>
      <c r="D1477" s="195" t="e">
        <f>+B1477+C1477</f>
        <v>#REF!</v>
      </c>
      <c r="F1477" s="174" t="s">
        <v>23</v>
      </c>
      <c r="G1477" s="175"/>
      <c r="I1477" s="164" t="s">
        <v>181</v>
      </c>
      <c r="J1477" s="165"/>
      <c r="K1477" s="74">
        <f>+L1438</f>
        <v>0</v>
      </c>
      <c r="L1477" s="196">
        <f>+J1477+K1477</f>
        <v>0</v>
      </c>
      <c r="N1477" s="52"/>
    </row>
    <row r="1478" spans="1:16" ht="16.5" thickBot="1">
      <c r="A1478" s="164" t="s">
        <v>181</v>
      </c>
      <c r="B1478" s="165"/>
      <c r="C1478" s="74" t="e">
        <f>+#REF!</f>
        <v>#REF!</v>
      </c>
      <c r="D1478" s="196" t="e">
        <f>+B1478+C1478</f>
        <v>#REF!</v>
      </c>
      <c r="F1478" s="52"/>
      <c r="I1478" s="169"/>
      <c r="J1478" s="197">
        <f>SUM(J1473:J1477)</f>
        <v>-2584000</v>
      </c>
      <c r="K1478" s="197">
        <f>SUM(K1473:K1477)</f>
        <v>566017593</v>
      </c>
      <c r="L1478" s="198">
        <f>SUM(L1473:L1477)</f>
        <v>563433593</v>
      </c>
    </row>
    <row r="1479" spans="1:16" ht="17.25" thickBot="1">
      <c r="A1479" s="169"/>
      <c r="B1479" s="170">
        <f>SUM(B1474:B1478)</f>
        <v>518000</v>
      </c>
      <c r="C1479" s="171" t="e">
        <f>SUM(C1474:C1478)</f>
        <v>#REF!</v>
      </c>
      <c r="D1479" s="172" t="e">
        <f>SUM(D1474:D1478)</f>
        <v>#REF!</v>
      </c>
      <c r="I1479" s="49" t="s">
        <v>88</v>
      </c>
      <c r="J1479" s="50"/>
    </row>
    <row r="1480" spans="1:16">
      <c r="I1480" s="51" t="s">
        <v>89</v>
      </c>
    </row>
    <row r="1481" spans="1:16">
      <c r="I1481" s="51" t="s">
        <v>90</v>
      </c>
    </row>
    <row r="1482" spans="1:16">
      <c r="I1482" s="51" t="s">
        <v>91</v>
      </c>
    </row>
    <row r="1483" spans="1:16">
      <c r="I1483" s="50"/>
      <c r="J1483" s="50"/>
    </row>
    <row r="1484" spans="1:16" ht="15.75">
      <c r="I1484" s="260" t="s">
        <v>928</v>
      </c>
      <c r="O1484" s="52"/>
    </row>
    <row r="1485" spans="1:16" ht="15.75">
      <c r="I1485" s="53" t="s">
        <v>1333</v>
      </c>
      <c r="O1485" s="53"/>
    </row>
    <row r="1486" spans="1:16" ht="16.5">
      <c r="I1486" s="894" t="s">
        <v>909</v>
      </c>
      <c r="J1486" s="894"/>
      <c r="K1486" s="894"/>
      <c r="L1486" s="894"/>
      <c r="M1486" s="894"/>
      <c r="N1486" s="894"/>
      <c r="O1486" s="894"/>
      <c r="P1486" s="894"/>
    </row>
    <row r="1487" spans="1:16" ht="15.75" thickBot="1"/>
    <row r="1488" spans="1:16">
      <c r="I1488" s="895" t="s">
        <v>94</v>
      </c>
      <c r="J1488" s="897" t="s">
        <v>95</v>
      </c>
      <c r="K1488" s="897" t="s">
        <v>96</v>
      </c>
      <c r="L1488" s="897" t="s">
        <v>3</v>
      </c>
      <c r="M1488" s="897" t="s">
        <v>97</v>
      </c>
      <c r="N1488" s="897" t="s">
        <v>98</v>
      </c>
      <c r="O1488" s="897" t="s">
        <v>99</v>
      </c>
      <c r="P1488" s="899"/>
    </row>
    <row r="1489" spans="9:16" ht="15.75" thickBot="1">
      <c r="I1489" s="896"/>
      <c r="J1489" s="898"/>
      <c r="K1489" s="898"/>
      <c r="L1489" s="898"/>
      <c r="M1489" s="898"/>
      <c r="N1489" s="898"/>
      <c r="O1489" s="240" t="s">
        <v>100</v>
      </c>
      <c r="P1489" s="182" t="s">
        <v>101</v>
      </c>
    </row>
    <row r="1490" spans="9:16" ht="12" customHeight="1">
      <c r="I1490" s="873" t="s">
        <v>1611</v>
      </c>
      <c r="J1490" s="875">
        <v>43096</v>
      </c>
      <c r="K1490" s="881" t="s">
        <v>28</v>
      </c>
      <c r="L1490" s="881" t="s">
        <v>1615</v>
      </c>
      <c r="M1490" s="881" t="s">
        <v>148</v>
      </c>
      <c r="N1490" s="883">
        <v>650000</v>
      </c>
      <c r="O1490" s="55">
        <v>719</v>
      </c>
      <c r="P1490" s="78">
        <v>500000</v>
      </c>
    </row>
    <row r="1491" spans="9:16" ht="13.5" customHeight="1" thickBot="1">
      <c r="I1491" s="874"/>
      <c r="J1491" s="876"/>
      <c r="K1491" s="882"/>
      <c r="L1491" s="882"/>
      <c r="M1491" s="882"/>
      <c r="N1491" s="884"/>
      <c r="O1491" s="56">
        <v>721</v>
      </c>
      <c r="P1491" s="79">
        <f>+N1490-P1490</f>
        <v>150000</v>
      </c>
    </row>
    <row r="1492" spans="9:16" ht="12" customHeight="1">
      <c r="I1492" s="881">
        <f>+I1490+1</f>
        <v>177</v>
      </c>
      <c r="J1492" s="875">
        <v>43096</v>
      </c>
      <c r="K1492" s="881" t="s">
        <v>28</v>
      </c>
      <c r="L1492" s="879" t="s">
        <v>1614</v>
      </c>
      <c r="M1492" s="881" t="s">
        <v>148</v>
      </c>
      <c r="N1492" s="883">
        <v>650000</v>
      </c>
      <c r="O1492" s="55">
        <v>719</v>
      </c>
      <c r="P1492" s="78">
        <v>500000</v>
      </c>
    </row>
    <row r="1493" spans="9:16" ht="12.75" customHeight="1" thickBot="1">
      <c r="I1493" s="882"/>
      <c r="J1493" s="876"/>
      <c r="K1493" s="882"/>
      <c r="L1493" s="880"/>
      <c r="M1493" s="882"/>
      <c r="N1493" s="884"/>
      <c r="O1493" s="56">
        <v>721</v>
      </c>
      <c r="P1493" s="79">
        <f>+N1492-P1492</f>
        <v>150000</v>
      </c>
    </row>
    <row r="1494" spans="9:16" ht="12.75" customHeight="1">
      <c r="I1494" s="881">
        <f>+I1492+1</f>
        <v>178</v>
      </c>
      <c r="J1494" s="875">
        <v>43096</v>
      </c>
      <c r="K1494" s="877" t="s">
        <v>1079</v>
      </c>
      <c r="L1494" s="881" t="s">
        <v>1613</v>
      </c>
      <c r="M1494" s="881" t="s">
        <v>148</v>
      </c>
      <c r="N1494" s="883">
        <v>650000</v>
      </c>
      <c r="O1494" s="55">
        <v>719</v>
      </c>
      <c r="P1494" s="78">
        <v>500000</v>
      </c>
    </row>
    <row r="1495" spans="9:16" ht="12.75" customHeight="1" thickBot="1">
      <c r="I1495" s="882"/>
      <c r="J1495" s="876"/>
      <c r="K1495" s="878"/>
      <c r="L1495" s="882"/>
      <c r="M1495" s="882"/>
      <c r="N1495" s="884"/>
      <c r="O1495" s="56">
        <v>721</v>
      </c>
      <c r="P1495" s="79">
        <f>+N1494-P1494</f>
        <v>150000</v>
      </c>
    </row>
    <row r="1496" spans="9:16" ht="12" customHeight="1">
      <c r="I1496" s="881">
        <f>+I1494+1</f>
        <v>179</v>
      </c>
      <c r="J1496" s="875">
        <v>43096</v>
      </c>
      <c r="K1496" s="877" t="s">
        <v>1079</v>
      </c>
      <c r="L1496" s="879" t="s">
        <v>1612</v>
      </c>
      <c r="M1496" s="881" t="s">
        <v>148</v>
      </c>
      <c r="N1496" s="883">
        <v>650000</v>
      </c>
      <c r="O1496" s="55">
        <v>719</v>
      </c>
      <c r="P1496" s="78">
        <v>500000</v>
      </c>
    </row>
    <row r="1497" spans="9:16" ht="13.5" customHeight="1" thickBot="1">
      <c r="I1497" s="882"/>
      <c r="J1497" s="876"/>
      <c r="K1497" s="878"/>
      <c r="L1497" s="880"/>
      <c r="M1497" s="882"/>
      <c r="N1497" s="884"/>
      <c r="O1497" s="56">
        <v>721</v>
      </c>
      <c r="P1497" s="79">
        <f>+N1496-P1496</f>
        <v>150000</v>
      </c>
    </row>
    <row r="1498" spans="9:16" ht="13.5" customHeight="1">
      <c r="I1498" s="881">
        <f>+I1496+1</f>
        <v>180</v>
      </c>
      <c r="J1498" s="875">
        <v>43096</v>
      </c>
      <c r="K1498" s="881" t="s">
        <v>28</v>
      </c>
      <c r="L1498" s="879" t="s">
        <v>1616</v>
      </c>
      <c r="M1498" s="881" t="s">
        <v>115</v>
      </c>
      <c r="N1498" s="883">
        <v>70000</v>
      </c>
      <c r="O1498" s="55">
        <v>719</v>
      </c>
      <c r="P1498" s="78">
        <v>70000</v>
      </c>
    </row>
    <row r="1499" spans="9:16" ht="12.75" customHeight="1" thickBot="1">
      <c r="I1499" s="882"/>
      <c r="J1499" s="876"/>
      <c r="K1499" s="882"/>
      <c r="L1499" s="880"/>
      <c r="M1499" s="882"/>
      <c r="N1499" s="884"/>
      <c r="O1499" s="56">
        <v>721</v>
      </c>
      <c r="P1499" s="79">
        <f>+N1498-P1498</f>
        <v>0</v>
      </c>
    </row>
    <row r="1500" spans="9:16" ht="15" customHeight="1">
      <c r="I1500" s="881">
        <f>+I1498+1</f>
        <v>181</v>
      </c>
      <c r="J1500" s="875">
        <v>43096</v>
      </c>
      <c r="K1500" s="877" t="s">
        <v>120</v>
      </c>
      <c r="L1500" s="879" t="s">
        <v>1616</v>
      </c>
      <c r="M1500" s="881" t="s">
        <v>115</v>
      </c>
      <c r="N1500" s="883">
        <v>250000</v>
      </c>
      <c r="O1500" s="55">
        <v>719</v>
      </c>
      <c r="P1500" s="78">
        <v>250000</v>
      </c>
    </row>
    <row r="1501" spans="9:16" ht="12.75" customHeight="1" thickBot="1">
      <c r="I1501" s="882"/>
      <c r="J1501" s="876"/>
      <c r="K1501" s="878"/>
      <c r="L1501" s="880"/>
      <c r="M1501" s="882"/>
      <c r="N1501" s="884"/>
      <c r="O1501" s="56">
        <v>721</v>
      </c>
      <c r="P1501" s="79">
        <f>+N1500-P1500</f>
        <v>0</v>
      </c>
    </row>
    <row r="1502" spans="9:16" ht="16.5" thickBot="1">
      <c r="I1502" s="901" t="s">
        <v>102</v>
      </c>
      <c r="J1502" s="902"/>
      <c r="K1502" s="902"/>
      <c r="L1502" s="902"/>
      <c r="M1502" s="903"/>
      <c r="N1502" s="81">
        <f>SUM(N1490:N1501)</f>
        <v>2920000</v>
      </c>
    </row>
    <row r="1503" spans="9:16" ht="16.5" thickBot="1">
      <c r="I1503" s="885" t="s">
        <v>103</v>
      </c>
      <c r="J1503" s="886"/>
      <c r="K1503" s="886"/>
      <c r="L1503" s="886"/>
      <c r="M1503" s="887"/>
      <c r="N1503" s="69">
        <f>+N1465</f>
        <v>528918219</v>
      </c>
      <c r="O1503" s="241" t="s">
        <v>561</v>
      </c>
      <c r="P1503" s="242">
        <f>1207+1207+235+235+162+310</f>
        <v>3356</v>
      </c>
    </row>
    <row r="1504" spans="9:16" ht="16.5" thickBot="1">
      <c r="I1504" s="888" t="s">
        <v>104</v>
      </c>
      <c r="J1504" s="889"/>
      <c r="K1504" s="889"/>
      <c r="L1504" s="889"/>
      <c r="M1504" s="890"/>
      <c r="N1504" s="183">
        <f>SUM(N1502:N1503)</f>
        <v>531838219</v>
      </c>
    </row>
    <row r="1505" spans="9:16">
      <c r="I1505" s="61"/>
      <c r="J1505" s="61"/>
      <c r="K1505" s="61"/>
      <c r="L1505" s="61"/>
      <c r="M1505" s="61"/>
    </row>
    <row r="1506" spans="9:16">
      <c r="I1506" s="51" t="s">
        <v>1617</v>
      </c>
    </row>
    <row r="1507" spans="9:16" ht="9.75" customHeight="1">
      <c r="N1507" s="139"/>
    </row>
    <row r="1508" spans="9:16">
      <c r="I1508" s="50" t="s">
        <v>105</v>
      </c>
      <c r="L1508" s="146"/>
      <c r="N1508" s="139"/>
    </row>
    <row r="1509" spans="9:16" ht="13.5" customHeight="1" thickBot="1"/>
    <row r="1510" spans="9:16" ht="15.75" thickBot="1">
      <c r="I1510" s="891" t="s">
        <v>106</v>
      </c>
      <c r="J1510" s="892"/>
      <c r="K1510" s="892"/>
      <c r="L1510" s="893"/>
      <c r="N1510" s="50" t="s">
        <v>288</v>
      </c>
    </row>
    <row r="1511" spans="9:16" ht="30.75" thickBot="1">
      <c r="I1511" s="57" t="s">
        <v>100</v>
      </c>
      <c r="J1511" s="58" t="s">
        <v>108</v>
      </c>
      <c r="K1511" s="287" t="s">
        <v>109</v>
      </c>
      <c r="L1511" s="60" t="s">
        <v>110</v>
      </c>
    </row>
    <row r="1512" spans="9:16" ht="13.5" customHeight="1">
      <c r="I1512" s="71">
        <v>719</v>
      </c>
      <c r="J1512" s="73">
        <f>+P1490+P1492+P1494+P1496+P1500</f>
        <v>2250000</v>
      </c>
      <c r="K1512" s="74">
        <f>+L1473</f>
        <v>20575000</v>
      </c>
      <c r="L1512" s="195">
        <f>+J1512+K1512</f>
        <v>22825000</v>
      </c>
    </row>
    <row r="1513" spans="9:16" ht="12.75" customHeight="1">
      <c r="I1513" s="72">
        <v>721</v>
      </c>
      <c r="J1513" s="80">
        <f>+P1501+P1497+P1495+P1493+P1491</f>
        <v>600000</v>
      </c>
      <c r="K1513" s="74">
        <f>+L1474</f>
        <v>122130005</v>
      </c>
      <c r="L1513" s="195">
        <f>+J1513+K1513</f>
        <v>122730005</v>
      </c>
    </row>
    <row r="1514" spans="9:16" ht="12.75" customHeight="1">
      <c r="I1514" s="72">
        <v>722</v>
      </c>
      <c r="J1514" s="80"/>
      <c r="K1514" s="74">
        <f>+L1475</f>
        <v>0</v>
      </c>
      <c r="L1514" s="195">
        <f>+J1514+K1514</f>
        <v>0</v>
      </c>
    </row>
    <row r="1515" spans="9:16" ht="15.75">
      <c r="I1515" s="72">
        <v>723</v>
      </c>
      <c r="J1515" s="80"/>
      <c r="K1515" s="74">
        <f>+L1476</f>
        <v>420728588</v>
      </c>
      <c r="L1515" s="195">
        <f>+J1515+K1515</f>
        <v>420728588</v>
      </c>
      <c r="N1515" s="918" t="s">
        <v>1481</v>
      </c>
      <c r="O1515" s="918"/>
      <c r="P1515" s="918"/>
    </row>
    <row r="1516" spans="9:16" ht="13.5" customHeight="1" thickBot="1">
      <c r="I1516" s="164" t="s">
        <v>181</v>
      </c>
      <c r="J1516" s="165"/>
      <c r="K1516" s="74">
        <f>+L1477</f>
        <v>0</v>
      </c>
      <c r="L1516" s="196">
        <f>+J1516+K1516</f>
        <v>0</v>
      </c>
      <c r="N1516" s="52"/>
    </row>
    <row r="1517" spans="9:16" ht="16.5" thickBot="1">
      <c r="I1517" s="169"/>
      <c r="J1517" s="197">
        <f>SUM(J1512:J1516)</f>
        <v>2850000</v>
      </c>
      <c r="K1517" s="197">
        <f>SUM(K1512:K1516)</f>
        <v>563433593</v>
      </c>
      <c r="L1517" s="198">
        <f>SUM(L1512:L1516)</f>
        <v>566283593</v>
      </c>
    </row>
    <row r="1518" spans="9:16" ht="16.5">
      <c r="I1518" s="49" t="s">
        <v>88</v>
      </c>
      <c r="J1518" s="50"/>
    </row>
    <row r="1519" spans="9:16">
      <c r="I1519" s="51" t="s">
        <v>89</v>
      </c>
    </row>
    <row r="1520" spans="9:16">
      <c r="I1520" s="51" t="s">
        <v>90</v>
      </c>
    </row>
    <row r="1521" spans="9:16">
      <c r="I1521" s="51" t="s">
        <v>91</v>
      </c>
    </row>
    <row r="1522" spans="9:16" ht="10.5" customHeight="1">
      <c r="I1522" s="50"/>
      <c r="J1522" s="50"/>
    </row>
    <row r="1523" spans="9:16" ht="15.75">
      <c r="I1523" s="260" t="s">
        <v>929</v>
      </c>
      <c r="O1523" s="52"/>
    </row>
    <row r="1524" spans="9:16" ht="15.75">
      <c r="I1524" s="53" t="s">
        <v>1333</v>
      </c>
      <c r="O1524" s="53"/>
    </row>
    <row r="1525" spans="9:16" ht="16.5">
      <c r="I1525" s="894" t="s">
        <v>909</v>
      </c>
      <c r="J1525" s="894"/>
      <c r="K1525" s="894"/>
      <c r="L1525" s="894"/>
      <c r="M1525" s="894"/>
      <c r="N1525" s="894"/>
      <c r="O1525" s="894"/>
      <c r="P1525" s="894"/>
    </row>
    <row r="1526" spans="9:16" ht="13.5" customHeight="1" thickBot="1"/>
    <row r="1527" spans="9:16">
      <c r="I1527" s="895" t="s">
        <v>94</v>
      </c>
      <c r="J1527" s="897" t="s">
        <v>95</v>
      </c>
      <c r="K1527" s="897" t="s">
        <v>96</v>
      </c>
      <c r="L1527" s="897" t="s">
        <v>3</v>
      </c>
      <c r="M1527" s="897" t="s">
        <v>97</v>
      </c>
      <c r="N1527" s="897" t="s">
        <v>98</v>
      </c>
      <c r="O1527" s="897" t="s">
        <v>99</v>
      </c>
      <c r="P1527" s="899"/>
    </row>
    <row r="1528" spans="9:16" ht="15.75" thickBot="1">
      <c r="I1528" s="896"/>
      <c r="J1528" s="898"/>
      <c r="K1528" s="898"/>
      <c r="L1528" s="898"/>
      <c r="M1528" s="898"/>
      <c r="N1528" s="898"/>
      <c r="O1528" s="240" t="s">
        <v>100</v>
      </c>
      <c r="P1528" s="182" t="s">
        <v>101</v>
      </c>
    </row>
    <row r="1529" spans="9:16" ht="15" customHeight="1">
      <c r="I1529" s="881">
        <v>182</v>
      </c>
      <c r="J1529" s="875">
        <v>43097</v>
      </c>
      <c r="K1529" s="881" t="s">
        <v>28</v>
      </c>
      <c r="L1529" s="879" t="s">
        <v>1618</v>
      </c>
      <c r="M1529" s="881" t="s">
        <v>115</v>
      </c>
      <c r="N1529" s="883">
        <v>110000</v>
      </c>
      <c r="O1529" s="55">
        <v>719</v>
      </c>
      <c r="P1529" s="78">
        <v>110000</v>
      </c>
    </row>
    <row r="1530" spans="9:16" ht="15.75" customHeight="1" thickBot="1">
      <c r="I1530" s="882"/>
      <c r="J1530" s="876"/>
      <c r="K1530" s="882"/>
      <c r="L1530" s="880"/>
      <c r="M1530" s="882"/>
      <c r="N1530" s="884"/>
      <c r="O1530" s="56">
        <v>721</v>
      </c>
      <c r="P1530" s="79"/>
    </row>
    <row r="1531" spans="9:16" ht="15" customHeight="1">
      <c r="I1531" s="881">
        <v>183</v>
      </c>
      <c r="J1531" s="875">
        <v>43097</v>
      </c>
      <c r="K1531" s="881" t="s">
        <v>120</v>
      </c>
      <c r="L1531" s="879" t="s">
        <v>1618</v>
      </c>
      <c r="M1531" s="881" t="s">
        <v>115</v>
      </c>
      <c r="N1531" s="883">
        <v>440000</v>
      </c>
      <c r="O1531" s="55">
        <v>719</v>
      </c>
      <c r="P1531" s="78">
        <v>440000</v>
      </c>
    </row>
    <row r="1532" spans="9:16" ht="15.75" customHeight="1" thickBot="1">
      <c r="I1532" s="882"/>
      <c r="J1532" s="876"/>
      <c r="K1532" s="882"/>
      <c r="L1532" s="880"/>
      <c r="M1532" s="882"/>
      <c r="N1532" s="884"/>
      <c r="O1532" s="56">
        <v>721</v>
      </c>
      <c r="P1532" s="79">
        <f>+N1531-P1531</f>
        <v>0</v>
      </c>
    </row>
    <row r="1533" spans="9:16" ht="15" customHeight="1">
      <c r="I1533" s="881">
        <v>184</v>
      </c>
      <c r="J1533" s="875">
        <v>43097</v>
      </c>
      <c r="K1533" s="877" t="s">
        <v>385</v>
      </c>
      <c r="L1533" s="879" t="s">
        <v>1619</v>
      </c>
      <c r="M1533" s="881" t="s">
        <v>148</v>
      </c>
      <c r="N1533" s="883">
        <v>4500000</v>
      </c>
      <c r="O1533" s="55">
        <v>719</v>
      </c>
      <c r="P1533" s="78"/>
    </row>
    <row r="1534" spans="9:16" ht="15.75" customHeight="1" thickBot="1">
      <c r="I1534" s="882"/>
      <c r="J1534" s="876"/>
      <c r="K1534" s="878"/>
      <c r="L1534" s="880"/>
      <c r="M1534" s="882"/>
      <c r="N1534" s="884"/>
      <c r="O1534" s="56">
        <v>721</v>
      </c>
      <c r="P1534" s="79">
        <f>+N1533-P1533</f>
        <v>4500000</v>
      </c>
    </row>
    <row r="1535" spans="9:16">
      <c r="I1535" s="881">
        <v>185</v>
      </c>
      <c r="J1535" s="875"/>
      <c r="K1535" s="877"/>
      <c r="L1535" s="879"/>
      <c r="M1535" s="881"/>
      <c r="N1535" s="883"/>
      <c r="O1535" s="55">
        <v>719</v>
      </c>
      <c r="P1535" s="78"/>
    </row>
    <row r="1536" spans="9:16" ht="15.75" thickBot="1">
      <c r="I1536" s="882"/>
      <c r="J1536" s="876"/>
      <c r="K1536" s="878"/>
      <c r="L1536" s="880"/>
      <c r="M1536" s="882"/>
      <c r="N1536" s="884"/>
      <c r="O1536" s="56">
        <v>721</v>
      </c>
      <c r="P1536" s="79">
        <f>+N1535-P1535</f>
        <v>0</v>
      </c>
    </row>
    <row r="1537" spans="9:16">
      <c r="I1537" s="881"/>
      <c r="J1537" s="875"/>
      <c r="K1537" s="877"/>
      <c r="L1537" s="881"/>
      <c r="M1537" s="881"/>
      <c r="N1537" s="883"/>
      <c r="O1537" s="55">
        <v>719</v>
      </c>
      <c r="P1537" s="78"/>
    </row>
    <row r="1538" spans="9:16" ht="15.75" thickBot="1">
      <c r="I1538" s="882"/>
      <c r="J1538" s="876"/>
      <c r="K1538" s="878"/>
      <c r="L1538" s="882"/>
      <c r="M1538" s="882"/>
      <c r="N1538" s="884"/>
      <c r="O1538" s="56">
        <v>721</v>
      </c>
      <c r="P1538" s="79">
        <f>+N1537-P1537</f>
        <v>0</v>
      </c>
    </row>
    <row r="1539" spans="9:16" ht="16.5" thickBot="1">
      <c r="I1539" s="901" t="s">
        <v>102</v>
      </c>
      <c r="J1539" s="902"/>
      <c r="K1539" s="902"/>
      <c r="L1539" s="902"/>
      <c r="M1539" s="903"/>
      <c r="N1539" s="81">
        <f>SUM(N1529:N1538)</f>
        <v>5050000</v>
      </c>
    </row>
    <row r="1540" spans="9:16" ht="16.5" thickBot="1">
      <c r="I1540" s="885" t="s">
        <v>103</v>
      </c>
      <c r="J1540" s="886"/>
      <c r="K1540" s="886"/>
      <c r="L1540" s="886"/>
      <c r="M1540" s="887"/>
      <c r="N1540" s="69">
        <f>+N1504</f>
        <v>531838219</v>
      </c>
      <c r="O1540" s="241" t="s">
        <v>561</v>
      </c>
      <c r="P1540" s="242">
        <f>246+617</f>
        <v>863</v>
      </c>
    </row>
    <row r="1541" spans="9:16" ht="16.5" thickBot="1">
      <c r="I1541" s="888" t="s">
        <v>104</v>
      </c>
      <c r="J1541" s="889"/>
      <c r="K1541" s="889"/>
      <c r="L1541" s="889"/>
      <c r="M1541" s="890"/>
      <c r="N1541" s="183">
        <f>SUM(N1539:N1540)</f>
        <v>536888219</v>
      </c>
    </row>
    <row r="1542" spans="9:16">
      <c r="I1542" s="61"/>
      <c r="J1542" s="61"/>
      <c r="K1542" s="61"/>
      <c r="L1542" s="61"/>
      <c r="M1542" s="61"/>
    </row>
    <row r="1543" spans="9:16">
      <c r="I1543" s="51" t="s">
        <v>1620</v>
      </c>
    </row>
    <row r="1544" spans="9:16">
      <c r="N1544" s="139"/>
    </row>
    <row r="1545" spans="9:16">
      <c r="I1545" s="50" t="s">
        <v>105</v>
      </c>
      <c r="L1545" s="146"/>
      <c r="N1545" s="139"/>
    </row>
    <row r="1546" spans="9:16" ht="13.5" customHeight="1" thickBot="1"/>
    <row r="1547" spans="9:16" ht="15.75" thickBot="1">
      <c r="I1547" s="891" t="s">
        <v>106</v>
      </c>
      <c r="J1547" s="892"/>
      <c r="K1547" s="892"/>
      <c r="L1547" s="893"/>
      <c r="N1547" s="50" t="s">
        <v>288</v>
      </c>
    </row>
    <row r="1548" spans="9:16" ht="30.75" thickBot="1">
      <c r="I1548" s="57" t="s">
        <v>100</v>
      </c>
      <c r="J1548" s="58" t="s">
        <v>108</v>
      </c>
      <c r="K1548" s="287" t="s">
        <v>109</v>
      </c>
      <c r="L1548" s="60" t="s">
        <v>110</v>
      </c>
    </row>
    <row r="1549" spans="9:16">
      <c r="I1549" s="71">
        <v>719</v>
      </c>
      <c r="J1549" s="73">
        <f>+P1529+P1531+P1533+P1535+P1537</f>
        <v>550000</v>
      </c>
      <c r="K1549" s="74">
        <f>+L1512</f>
        <v>22825000</v>
      </c>
      <c r="L1549" s="195">
        <f>+J1549+K1549</f>
        <v>23375000</v>
      </c>
    </row>
    <row r="1550" spans="9:16">
      <c r="I1550" s="72">
        <v>721</v>
      </c>
      <c r="J1550" s="80">
        <v>0</v>
      </c>
      <c r="K1550" s="74">
        <f>+L1513</f>
        <v>122730005</v>
      </c>
      <c r="L1550" s="195">
        <f>+J1550+K1550</f>
        <v>122730005</v>
      </c>
    </row>
    <row r="1551" spans="9:16">
      <c r="I1551" s="72">
        <v>722</v>
      </c>
      <c r="J1551" s="80"/>
      <c r="K1551" s="74">
        <f>+L1514</f>
        <v>0</v>
      </c>
      <c r="L1551" s="195">
        <f>+J1551+K1551</f>
        <v>0</v>
      </c>
    </row>
    <row r="1552" spans="9:16" ht="15.75">
      <c r="I1552" s="72">
        <v>723</v>
      </c>
      <c r="J1552" s="80">
        <f>+P1538+P1536+P1534+P1532+P1530</f>
        <v>4500000</v>
      </c>
      <c r="K1552" s="74">
        <f>+L1515</f>
        <v>420728588</v>
      </c>
      <c r="L1552" s="195">
        <f>+J1552+K1552</f>
        <v>425228588</v>
      </c>
      <c r="N1552" s="193" t="s">
        <v>289</v>
      </c>
      <c r="O1552" s="175"/>
    </row>
    <row r="1553" spans="9:16" ht="16.5" thickBot="1">
      <c r="I1553" s="164" t="s">
        <v>181</v>
      </c>
      <c r="J1553" s="165"/>
      <c r="K1553" s="74">
        <f>+L1516</f>
        <v>0</v>
      </c>
      <c r="L1553" s="196">
        <f>+J1553+K1553</f>
        <v>0</v>
      </c>
      <c r="N1553" s="52"/>
    </row>
    <row r="1554" spans="9:16" ht="16.5" thickBot="1">
      <c r="I1554" s="169"/>
      <c r="J1554" s="197">
        <f>SUM(J1549:J1553)</f>
        <v>5050000</v>
      </c>
      <c r="K1554" s="197">
        <f>SUM(K1549:K1553)</f>
        <v>566283593</v>
      </c>
      <c r="L1554" s="198">
        <f>SUM(L1549:L1553)</f>
        <v>571333593</v>
      </c>
    </row>
    <row r="1555" spans="9:16" ht="16.5">
      <c r="I1555" s="49" t="s">
        <v>88</v>
      </c>
      <c r="J1555" s="50"/>
    </row>
    <row r="1556" spans="9:16">
      <c r="I1556" s="51" t="s">
        <v>89</v>
      </c>
    </row>
    <row r="1557" spans="9:16">
      <c r="I1557" s="51" t="s">
        <v>90</v>
      </c>
    </row>
    <row r="1558" spans="9:16">
      <c r="I1558" s="51" t="s">
        <v>91</v>
      </c>
    </row>
    <row r="1559" spans="9:16" ht="12" customHeight="1">
      <c r="I1559" s="50"/>
      <c r="J1559" s="50"/>
    </row>
    <row r="1560" spans="9:16" ht="15.75">
      <c r="I1560" s="260" t="s">
        <v>944</v>
      </c>
      <c r="O1560" s="52"/>
    </row>
    <row r="1561" spans="9:16" ht="15.75">
      <c r="I1561" s="53" t="s">
        <v>535</v>
      </c>
      <c r="O1561" s="53"/>
    </row>
    <row r="1562" spans="9:16" ht="16.5">
      <c r="I1562" s="894" t="s">
        <v>909</v>
      </c>
      <c r="J1562" s="894"/>
      <c r="K1562" s="894"/>
      <c r="L1562" s="894"/>
      <c r="M1562" s="894"/>
      <c r="N1562" s="894"/>
      <c r="O1562" s="894"/>
      <c r="P1562" s="894"/>
    </row>
    <row r="1563" spans="9:16" ht="15.75" thickBot="1"/>
    <row r="1564" spans="9:16">
      <c r="I1564" s="895" t="s">
        <v>94</v>
      </c>
      <c r="J1564" s="897" t="s">
        <v>95</v>
      </c>
      <c r="K1564" s="897" t="s">
        <v>96</v>
      </c>
      <c r="L1564" s="897" t="s">
        <v>3</v>
      </c>
      <c r="M1564" s="897" t="s">
        <v>97</v>
      </c>
      <c r="N1564" s="897" t="s">
        <v>98</v>
      </c>
      <c r="O1564" s="897" t="s">
        <v>99</v>
      </c>
      <c r="P1564" s="899"/>
    </row>
    <row r="1565" spans="9:16" ht="15.75" thickBot="1">
      <c r="I1565" s="896"/>
      <c r="J1565" s="898"/>
      <c r="K1565" s="898"/>
      <c r="L1565" s="898"/>
      <c r="M1565" s="898"/>
      <c r="N1565" s="898"/>
      <c r="O1565" s="240" t="s">
        <v>100</v>
      </c>
      <c r="P1565" s="182" t="s">
        <v>101</v>
      </c>
    </row>
    <row r="1566" spans="9:16">
      <c r="I1566" s="881">
        <v>194</v>
      </c>
      <c r="J1566" s="875">
        <v>42515</v>
      </c>
      <c r="K1566" s="877" t="s">
        <v>272</v>
      </c>
      <c r="L1566" s="879" t="s">
        <v>945</v>
      </c>
      <c r="M1566" s="881" t="s">
        <v>115</v>
      </c>
      <c r="N1566" s="883">
        <v>100000</v>
      </c>
      <c r="O1566" s="55">
        <v>719</v>
      </c>
      <c r="P1566" s="78">
        <v>100000</v>
      </c>
    </row>
    <row r="1567" spans="9:16" ht="15.75" thickBot="1">
      <c r="I1567" s="882"/>
      <c r="J1567" s="876"/>
      <c r="K1567" s="878"/>
      <c r="L1567" s="880"/>
      <c r="M1567" s="882"/>
      <c r="N1567" s="884"/>
      <c r="O1567" s="56">
        <v>721</v>
      </c>
      <c r="P1567" s="79">
        <f>+N1566-P1566</f>
        <v>0</v>
      </c>
    </row>
    <row r="1568" spans="9:16" ht="15" customHeight="1">
      <c r="I1568" s="881">
        <v>195</v>
      </c>
      <c r="J1568" s="875">
        <v>42515</v>
      </c>
      <c r="K1568" s="877" t="s">
        <v>28</v>
      </c>
      <c r="L1568" s="879" t="s">
        <v>946</v>
      </c>
      <c r="M1568" s="881" t="s">
        <v>115</v>
      </c>
      <c r="N1568" s="883">
        <v>70000</v>
      </c>
      <c r="O1568" s="55">
        <v>719</v>
      </c>
      <c r="P1568" s="78">
        <v>70000</v>
      </c>
    </row>
    <row r="1569" spans="9:16" ht="15.75" customHeight="1" thickBot="1">
      <c r="I1569" s="882"/>
      <c r="J1569" s="876"/>
      <c r="K1569" s="878"/>
      <c r="L1569" s="880"/>
      <c r="M1569" s="882"/>
      <c r="N1569" s="884"/>
      <c r="O1569" s="56">
        <v>721</v>
      </c>
      <c r="P1569" s="79">
        <f>+N1568-P1568</f>
        <v>0</v>
      </c>
    </row>
    <row r="1570" spans="9:16">
      <c r="I1570" s="881"/>
      <c r="J1570" s="875"/>
      <c r="K1570" s="877"/>
      <c r="L1570" s="881"/>
      <c r="M1570" s="881"/>
      <c r="N1570" s="883"/>
      <c r="O1570" s="55">
        <v>719</v>
      </c>
      <c r="P1570" s="78"/>
    </row>
    <row r="1571" spans="9:16" ht="15.75" thickBot="1">
      <c r="I1571" s="882"/>
      <c r="J1571" s="876"/>
      <c r="K1571" s="878"/>
      <c r="L1571" s="882"/>
      <c r="M1571" s="882"/>
      <c r="N1571" s="884"/>
      <c r="O1571" s="56">
        <v>721</v>
      </c>
      <c r="P1571" s="79">
        <f>+N1570-P1570</f>
        <v>0</v>
      </c>
    </row>
    <row r="1572" spans="9:16">
      <c r="I1572" s="881"/>
      <c r="J1572" s="875"/>
      <c r="K1572" s="877"/>
      <c r="L1572" s="879"/>
      <c r="M1572" s="881"/>
      <c r="N1572" s="883"/>
      <c r="O1572" s="55">
        <v>719</v>
      </c>
      <c r="P1572" s="78"/>
    </row>
    <row r="1573" spans="9:16" ht="15.75" thickBot="1">
      <c r="I1573" s="882"/>
      <c r="J1573" s="876"/>
      <c r="K1573" s="878"/>
      <c r="L1573" s="880"/>
      <c r="M1573" s="882"/>
      <c r="N1573" s="884"/>
      <c r="O1573" s="56">
        <v>721</v>
      </c>
      <c r="P1573" s="79">
        <f>+N1572-P1572</f>
        <v>0</v>
      </c>
    </row>
    <row r="1574" spans="9:16">
      <c r="I1574" s="881"/>
      <c r="J1574" s="875"/>
      <c r="K1574" s="877"/>
      <c r="L1574" s="881"/>
      <c r="M1574" s="881"/>
      <c r="N1574" s="883"/>
      <c r="O1574" s="55">
        <v>719</v>
      </c>
      <c r="P1574" s="78"/>
    </row>
    <row r="1575" spans="9:16" ht="15.75" thickBot="1">
      <c r="I1575" s="882"/>
      <c r="J1575" s="876"/>
      <c r="K1575" s="878"/>
      <c r="L1575" s="882"/>
      <c r="M1575" s="882"/>
      <c r="N1575" s="884"/>
      <c r="O1575" s="56">
        <v>721</v>
      </c>
      <c r="P1575" s="79">
        <f>+N1574-P1574</f>
        <v>0</v>
      </c>
    </row>
    <row r="1576" spans="9:16" ht="16.5" thickBot="1">
      <c r="I1576" s="901" t="s">
        <v>102</v>
      </c>
      <c r="J1576" s="902"/>
      <c r="K1576" s="902"/>
      <c r="L1576" s="902"/>
      <c r="M1576" s="903"/>
      <c r="N1576" s="81">
        <f>SUM(N1566:N1575)</f>
        <v>170000</v>
      </c>
    </row>
    <row r="1577" spans="9:16" ht="16.5" thickBot="1">
      <c r="I1577" s="885" t="s">
        <v>103</v>
      </c>
      <c r="J1577" s="886"/>
      <c r="K1577" s="886"/>
      <c r="L1577" s="886"/>
      <c r="M1577" s="887"/>
      <c r="N1577" s="69">
        <f>+N1541</f>
        <v>536888219</v>
      </c>
      <c r="O1577" s="241" t="s">
        <v>561</v>
      </c>
      <c r="P1577" s="242">
        <f>108+281</f>
        <v>389</v>
      </c>
    </row>
    <row r="1578" spans="9:16" ht="16.5" thickBot="1">
      <c r="I1578" s="888" t="s">
        <v>104</v>
      </c>
      <c r="J1578" s="889"/>
      <c r="K1578" s="889"/>
      <c r="L1578" s="889"/>
      <c r="M1578" s="890"/>
      <c r="N1578" s="183">
        <f>SUM(N1576:N1577)</f>
        <v>537058219</v>
      </c>
    </row>
    <row r="1579" spans="9:16">
      <c r="I1579" s="61"/>
      <c r="J1579" s="61"/>
      <c r="K1579" s="61"/>
      <c r="L1579" s="61"/>
      <c r="M1579" s="61"/>
    </row>
    <row r="1580" spans="9:16">
      <c r="I1580" s="51" t="s">
        <v>947</v>
      </c>
    </row>
    <row r="1581" spans="9:16" ht="12.75" customHeight="1">
      <c r="N1581" s="139"/>
    </row>
    <row r="1582" spans="9:16">
      <c r="I1582" s="50" t="s">
        <v>105</v>
      </c>
      <c r="L1582" s="146"/>
      <c r="N1582" s="139"/>
    </row>
    <row r="1583" spans="9:16" ht="10.5" customHeight="1" thickBot="1"/>
    <row r="1584" spans="9:16" ht="15.75" thickBot="1">
      <c r="I1584" s="891" t="s">
        <v>106</v>
      </c>
      <c r="J1584" s="892"/>
      <c r="K1584" s="892"/>
      <c r="L1584" s="893"/>
      <c r="N1584" s="50" t="s">
        <v>288</v>
      </c>
    </row>
    <row r="1585" spans="9:16" ht="30.75" thickBot="1">
      <c r="I1585" s="57" t="s">
        <v>100</v>
      </c>
      <c r="J1585" s="58" t="s">
        <v>108</v>
      </c>
      <c r="K1585" s="287" t="s">
        <v>109</v>
      </c>
      <c r="L1585" s="60" t="s">
        <v>110</v>
      </c>
    </row>
    <row r="1586" spans="9:16">
      <c r="I1586" s="71">
        <v>719</v>
      </c>
      <c r="J1586" s="73">
        <f>+P1566+P1568+P1570+P1572+P1574</f>
        <v>170000</v>
      </c>
      <c r="K1586" s="74">
        <f>+L1549</f>
        <v>23375000</v>
      </c>
      <c r="L1586" s="195">
        <f>+J1586+K1586</f>
        <v>23545000</v>
      </c>
    </row>
    <row r="1587" spans="9:16">
      <c r="I1587" s="72">
        <v>721</v>
      </c>
      <c r="J1587" s="80">
        <v>0</v>
      </c>
      <c r="K1587" s="74">
        <f>+L1550</f>
        <v>122730005</v>
      </c>
      <c r="L1587" s="195">
        <f>+J1587+K1587</f>
        <v>122730005</v>
      </c>
    </row>
    <row r="1588" spans="9:16">
      <c r="I1588" s="72">
        <v>722</v>
      </c>
      <c r="J1588" s="80"/>
      <c r="K1588" s="74">
        <f>+L1551</f>
        <v>0</v>
      </c>
      <c r="L1588" s="195">
        <f>+J1588+K1588</f>
        <v>0</v>
      </c>
    </row>
    <row r="1589" spans="9:16" ht="15.75">
      <c r="I1589" s="72">
        <v>723</v>
      </c>
      <c r="J1589" s="80">
        <f>+P1575+P1573+P1571+P1569+P1567</f>
        <v>0</v>
      </c>
      <c r="K1589" s="74">
        <f>+L1552</f>
        <v>425228588</v>
      </c>
      <c r="L1589" s="195">
        <f>+J1589+K1589</f>
        <v>425228588</v>
      </c>
      <c r="N1589" s="193" t="s">
        <v>289</v>
      </c>
      <c r="O1589" s="175"/>
    </row>
    <row r="1590" spans="9:16" ht="16.5" thickBot="1">
      <c r="I1590" s="164" t="s">
        <v>181</v>
      </c>
      <c r="J1590" s="165"/>
      <c r="K1590" s="74">
        <f>+L1553</f>
        <v>0</v>
      </c>
      <c r="L1590" s="196">
        <f>+J1590+K1590</f>
        <v>0</v>
      </c>
      <c r="N1590" s="52"/>
    </row>
    <row r="1591" spans="9:16" ht="16.5" thickBot="1">
      <c r="I1591" s="169"/>
      <c r="J1591" s="197">
        <f>SUM(J1586:J1590)</f>
        <v>170000</v>
      </c>
      <c r="K1591" s="197">
        <f>SUM(K1586:K1590)</f>
        <v>571333593</v>
      </c>
      <c r="L1591" s="198">
        <f>SUM(L1586:L1590)</f>
        <v>571503593</v>
      </c>
    </row>
    <row r="1592" spans="9:16" ht="16.5">
      <c r="I1592" s="49" t="s">
        <v>88</v>
      </c>
      <c r="J1592" s="50"/>
    </row>
    <row r="1593" spans="9:16">
      <c r="I1593" s="51" t="s">
        <v>89</v>
      </c>
    </row>
    <row r="1594" spans="9:16">
      <c r="I1594" s="51" t="s">
        <v>90</v>
      </c>
    </row>
    <row r="1595" spans="9:16">
      <c r="I1595" s="51" t="s">
        <v>91</v>
      </c>
    </row>
    <row r="1596" spans="9:16" ht="12" customHeight="1">
      <c r="I1596" s="50"/>
      <c r="J1596" s="50"/>
    </row>
    <row r="1597" spans="9:16" ht="15.75">
      <c r="I1597" s="260" t="s">
        <v>948</v>
      </c>
      <c r="O1597" s="52"/>
    </row>
    <row r="1598" spans="9:16" ht="15.75">
      <c r="I1598" s="53" t="s">
        <v>535</v>
      </c>
      <c r="O1598" s="53"/>
    </row>
    <row r="1599" spans="9:16" ht="16.5">
      <c r="I1599" s="894" t="s">
        <v>909</v>
      </c>
      <c r="J1599" s="894"/>
      <c r="K1599" s="894"/>
      <c r="L1599" s="894"/>
      <c r="M1599" s="894"/>
      <c r="N1599" s="894"/>
      <c r="O1599" s="894"/>
      <c r="P1599" s="894"/>
    </row>
    <row r="1600" spans="9:16" ht="15.75" thickBot="1"/>
    <row r="1601" spans="9:16">
      <c r="I1601" s="895" t="s">
        <v>94</v>
      </c>
      <c r="J1601" s="897" t="s">
        <v>95</v>
      </c>
      <c r="K1601" s="897" t="s">
        <v>96</v>
      </c>
      <c r="L1601" s="897" t="s">
        <v>3</v>
      </c>
      <c r="M1601" s="897" t="s">
        <v>97</v>
      </c>
      <c r="N1601" s="897" t="s">
        <v>98</v>
      </c>
      <c r="O1601" s="897" t="s">
        <v>99</v>
      </c>
      <c r="P1601" s="899"/>
    </row>
    <row r="1602" spans="9:16" ht="15.75" thickBot="1">
      <c r="I1602" s="896"/>
      <c r="J1602" s="898"/>
      <c r="K1602" s="898"/>
      <c r="L1602" s="898"/>
      <c r="M1602" s="898"/>
      <c r="N1602" s="898"/>
      <c r="O1602" s="240" t="s">
        <v>100</v>
      </c>
      <c r="P1602" s="182" t="s">
        <v>101</v>
      </c>
    </row>
    <row r="1603" spans="9:16">
      <c r="I1603" s="881">
        <v>196</v>
      </c>
      <c r="J1603" s="875">
        <v>42520</v>
      </c>
      <c r="K1603" s="877" t="s">
        <v>272</v>
      </c>
      <c r="L1603" s="879" t="s">
        <v>951</v>
      </c>
      <c r="M1603" s="881" t="s">
        <v>115</v>
      </c>
      <c r="N1603" s="883">
        <v>140000</v>
      </c>
      <c r="O1603" s="55">
        <v>719</v>
      </c>
      <c r="P1603" s="78">
        <v>140000</v>
      </c>
    </row>
    <row r="1604" spans="9:16" ht="15.75" thickBot="1">
      <c r="I1604" s="882"/>
      <c r="J1604" s="876"/>
      <c r="K1604" s="878"/>
      <c r="L1604" s="880"/>
      <c r="M1604" s="882"/>
      <c r="N1604" s="884"/>
      <c r="O1604" s="56">
        <v>721</v>
      </c>
      <c r="P1604" s="79">
        <f>+N1603-P1603</f>
        <v>0</v>
      </c>
    </row>
    <row r="1605" spans="9:16">
      <c r="I1605" s="881">
        <v>197</v>
      </c>
      <c r="J1605" s="875">
        <v>42520</v>
      </c>
      <c r="K1605" s="877" t="s">
        <v>28</v>
      </c>
      <c r="L1605" s="879" t="s">
        <v>952</v>
      </c>
      <c r="M1605" s="881" t="s">
        <v>115</v>
      </c>
      <c r="N1605" s="883">
        <v>60000</v>
      </c>
      <c r="O1605" s="55">
        <v>719</v>
      </c>
      <c r="P1605" s="78">
        <v>60000</v>
      </c>
    </row>
    <row r="1606" spans="9:16" ht="15.75" thickBot="1">
      <c r="I1606" s="882"/>
      <c r="J1606" s="876"/>
      <c r="K1606" s="878"/>
      <c r="L1606" s="880"/>
      <c r="M1606" s="882"/>
      <c r="N1606" s="884"/>
      <c r="O1606" s="56">
        <v>721</v>
      </c>
      <c r="P1606" s="79">
        <f>+N1605-P1605</f>
        <v>0</v>
      </c>
    </row>
    <row r="1607" spans="9:16" ht="15" customHeight="1">
      <c r="I1607" s="881">
        <v>198</v>
      </c>
      <c r="J1607" s="875">
        <v>42520</v>
      </c>
      <c r="K1607" s="877" t="s">
        <v>120</v>
      </c>
      <c r="L1607" s="879" t="s">
        <v>953</v>
      </c>
      <c r="M1607" s="881" t="s">
        <v>115</v>
      </c>
      <c r="N1607" s="883">
        <v>60000</v>
      </c>
      <c r="O1607" s="55">
        <v>719</v>
      </c>
      <c r="P1607" s="78">
        <v>60000</v>
      </c>
    </row>
    <row r="1608" spans="9:16" ht="15.75" customHeight="1" thickBot="1">
      <c r="I1608" s="882"/>
      <c r="J1608" s="876"/>
      <c r="K1608" s="878"/>
      <c r="L1608" s="880"/>
      <c r="M1608" s="882"/>
      <c r="N1608" s="884"/>
      <c r="O1608" s="56">
        <v>721</v>
      </c>
      <c r="P1608" s="79">
        <f>+N1607-P1607</f>
        <v>0</v>
      </c>
    </row>
    <row r="1609" spans="9:16">
      <c r="I1609" s="881"/>
      <c r="J1609" s="875"/>
      <c r="K1609" s="877"/>
      <c r="L1609" s="879"/>
      <c r="M1609" s="881"/>
      <c r="N1609" s="883"/>
      <c r="O1609" s="55">
        <v>719</v>
      </c>
      <c r="P1609" s="78"/>
    </row>
    <row r="1610" spans="9:16" ht="15.75" thickBot="1">
      <c r="I1610" s="882"/>
      <c r="J1610" s="876"/>
      <c r="K1610" s="878"/>
      <c r="L1610" s="880"/>
      <c r="M1610" s="882"/>
      <c r="N1610" s="884"/>
      <c r="O1610" s="56">
        <v>721</v>
      </c>
      <c r="P1610" s="79">
        <f>+N1609-P1609</f>
        <v>0</v>
      </c>
    </row>
    <row r="1611" spans="9:16">
      <c r="I1611" s="881"/>
      <c r="J1611" s="875"/>
      <c r="K1611" s="877"/>
      <c r="L1611" s="881"/>
      <c r="M1611" s="881"/>
      <c r="N1611" s="883"/>
      <c r="O1611" s="55">
        <v>719</v>
      </c>
      <c r="P1611" s="78"/>
    </row>
    <row r="1612" spans="9:16" ht="15.75" thickBot="1">
      <c r="I1612" s="882"/>
      <c r="J1612" s="876"/>
      <c r="K1612" s="878"/>
      <c r="L1612" s="882"/>
      <c r="M1612" s="882"/>
      <c r="N1612" s="884"/>
      <c r="O1612" s="56">
        <v>721</v>
      </c>
      <c r="P1612" s="79">
        <f>+N1611-P1611</f>
        <v>0</v>
      </c>
    </row>
    <row r="1613" spans="9:16" ht="16.5" thickBot="1">
      <c r="I1613" s="901" t="s">
        <v>102</v>
      </c>
      <c r="J1613" s="902"/>
      <c r="K1613" s="902"/>
      <c r="L1613" s="902"/>
      <c r="M1613" s="903"/>
      <c r="N1613" s="81">
        <f>SUM(N1603:N1612)</f>
        <v>260000</v>
      </c>
    </row>
    <row r="1614" spans="9:16" ht="16.5" thickBot="1">
      <c r="I1614" s="885" t="s">
        <v>103</v>
      </c>
      <c r="J1614" s="886"/>
      <c r="K1614" s="886"/>
      <c r="L1614" s="886"/>
      <c r="M1614" s="887"/>
      <c r="N1614" s="69">
        <f>+N1578</f>
        <v>537058219</v>
      </c>
      <c r="O1614" s="241" t="s">
        <v>561</v>
      </c>
      <c r="P1614" s="242">
        <f>108+281</f>
        <v>389</v>
      </c>
    </row>
    <row r="1615" spans="9:16" ht="16.5" thickBot="1">
      <c r="I1615" s="888" t="s">
        <v>104</v>
      </c>
      <c r="J1615" s="889"/>
      <c r="K1615" s="889"/>
      <c r="L1615" s="889"/>
      <c r="M1615" s="890"/>
      <c r="N1615" s="183">
        <f>SUM(N1613:N1614)</f>
        <v>537318219</v>
      </c>
    </row>
    <row r="1616" spans="9:16">
      <c r="I1616" s="61"/>
      <c r="J1616" s="61"/>
      <c r="K1616" s="61"/>
      <c r="L1616" s="61"/>
      <c r="M1616" s="61"/>
    </row>
    <row r="1617" spans="9:15">
      <c r="I1617" s="51" t="s">
        <v>954</v>
      </c>
    </row>
    <row r="1618" spans="9:15" ht="12.75" customHeight="1">
      <c r="N1618" s="139"/>
    </row>
    <row r="1619" spans="9:15">
      <c r="I1619" s="50" t="s">
        <v>105</v>
      </c>
      <c r="L1619" s="146"/>
      <c r="N1619" s="139"/>
    </row>
    <row r="1620" spans="9:15" ht="11.25" customHeight="1" thickBot="1"/>
    <row r="1621" spans="9:15" ht="15.75" thickBot="1">
      <c r="I1621" s="891" t="s">
        <v>106</v>
      </c>
      <c r="J1621" s="892"/>
      <c r="K1621" s="892"/>
      <c r="L1621" s="893"/>
      <c r="N1621" s="50" t="s">
        <v>288</v>
      </c>
    </row>
    <row r="1622" spans="9:15" ht="30.75" thickBot="1">
      <c r="I1622" s="57" t="s">
        <v>100</v>
      </c>
      <c r="J1622" s="58" t="s">
        <v>108</v>
      </c>
      <c r="K1622" s="287" t="s">
        <v>109</v>
      </c>
      <c r="L1622" s="60" t="s">
        <v>110</v>
      </c>
    </row>
    <row r="1623" spans="9:15">
      <c r="I1623" s="71">
        <v>719</v>
      </c>
      <c r="J1623" s="73">
        <f>+P1603+P1605+P1607+P1609+P1611</f>
        <v>260000</v>
      </c>
      <c r="K1623" s="74">
        <f>+L1586</f>
        <v>23545000</v>
      </c>
      <c r="L1623" s="195">
        <f>+J1623+K1623</f>
        <v>23805000</v>
      </c>
    </row>
    <row r="1624" spans="9:15">
      <c r="I1624" s="72">
        <v>721</v>
      </c>
      <c r="J1624" s="80">
        <v>0</v>
      </c>
      <c r="K1624" s="74">
        <f>+L1587</f>
        <v>122730005</v>
      </c>
      <c r="L1624" s="195">
        <f>+J1624+K1624</f>
        <v>122730005</v>
      </c>
    </row>
    <row r="1625" spans="9:15">
      <c r="I1625" s="72">
        <v>722</v>
      </c>
      <c r="J1625" s="80"/>
      <c r="K1625" s="74">
        <f>+L1588</f>
        <v>0</v>
      </c>
      <c r="L1625" s="195">
        <f>+J1625+K1625</f>
        <v>0</v>
      </c>
    </row>
    <row r="1626" spans="9:15" ht="15.75">
      <c r="I1626" s="72">
        <v>723</v>
      </c>
      <c r="J1626" s="80">
        <f>+P1612+P1610+P1608+P1606+P1604</f>
        <v>0</v>
      </c>
      <c r="K1626" s="74">
        <f>+L1589</f>
        <v>425228588</v>
      </c>
      <c r="L1626" s="195">
        <f>+J1626+K1626</f>
        <v>425228588</v>
      </c>
      <c r="N1626" s="193" t="s">
        <v>289</v>
      </c>
      <c r="O1626" s="175"/>
    </row>
    <row r="1627" spans="9:15" ht="16.5" thickBot="1">
      <c r="I1627" s="164" t="s">
        <v>181</v>
      </c>
      <c r="J1627" s="165"/>
      <c r="K1627" s="74">
        <f>+L1590</f>
        <v>0</v>
      </c>
      <c r="L1627" s="196">
        <f>+J1627+K1627</f>
        <v>0</v>
      </c>
      <c r="N1627" s="52"/>
    </row>
    <row r="1628" spans="9:15" ht="16.5" thickBot="1">
      <c r="I1628" s="169"/>
      <c r="J1628" s="197">
        <f>SUM(J1623:J1627)</f>
        <v>260000</v>
      </c>
      <c r="K1628" s="197">
        <f>SUM(K1623:K1627)</f>
        <v>571503593</v>
      </c>
      <c r="L1628" s="198">
        <f>SUM(L1623:L1627)</f>
        <v>571763593</v>
      </c>
    </row>
    <row r="1629" spans="9:15" ht="16.5">
      <c r="I1629" s="49" t="s">
        <v>88</v>
      </c>
      <c r="J1629" s="50"/>
    </row>
    <row r="1630" spans="9:15">
      <c r="I1630" s="51" t="s">
        <v>89</v>
      </c>
    </row>
    <row r="1631" spans="9:15">
      <c r="I1631" s="51" t="s">
        <v>90</v>
      </c>
    </row>
    <row r="1632" spans="9:15">
      <c r="I1632" s="51" t="s">
        <v>91</v>
      </c>
    </row>
    <row r="1633" spans="9:16" ht="12" customHeight="1">
      <c r="I1633" s="50"/>
      <c r="J1633" s="50"/>
    </row>
    <row r="1634" spans="9:16" ht="15.75">
      <c r="I1634" s="260" t="s">
        <v>949</v>
      </c>
      <c r="O1634" s="52"/>
    </row>
    <row r="1635" spans="9:16" ht="15.75">
      <c r="I1635" s="53" t="s">
        <v>535</v>
      </c>
      <c r="O1635" s="53"/>
    </row>
    <row r="1636" spans="9:16" ht="16.5">
      <c r="I1636" s="894" t="s">
        <v>909</v>
      </c>
      <c r="J1636" s="894"/>
      <c r="K1636" s="894"/>
      <c r="L1636" s="894"/>
      <c r="M1636" s="894"/>
      <c r="N1636" s="894"/>
      <c r="O1636" s="894"/>
      <c r="P1636" s="894"/>
    </row>
    <row r="1637" spans="9:16" ht="15.75" thickBot="1"/>
    <row r="1638" spans="9:16">
      <c r="I1638" s="895" t="s">
        <v>94</v>
      </c>
      <c r="J1638" s="897" t="s">
        <v>95</v>
      </c>
      <c r="K1638" s="897" t="s">
        <v>96</v>
      </c>
      <c r="L1638" s="897" t="s">
        <v>3</v>
      </c>
      <c r="M1638" s="897" t="s">
        <v>97</v>
      </c>
      <c r="N1638" s="897" t="s">
        <v>98</v>
      </c>
      <c r="O1638" s="897" t="s">
        <v>99</v>
      </c>
      <c r="P1638" s="899"/>
    </row>
    <row r="1639" spans="9:16" ht="15.75" thickBot="1">
      <c r="I1639" s="896"/>
      <c r="J1639" s="898"/>
      <c r="K1639" s="898"/>
      <c r="L1639" s="898"/>
      <c r="M1639" s="898"/>
      <c r="N1639" s="898"/>
      <c r="O1639" s="240" t="s">
        <v>100</v>
      </c>
      <c r="P1639" s="182" t="s">
        <v>101</v>
      </c>
    </row>
    <row r="1640" spans="9:16" ht="15" customHeight="1">
      <c r="I1640" s="881">
        <v>199</v>
      </c>
      <c r="J1640" s="875">
        <v>42520</v>
      </c>
      <c r="K1640" s="877" t="s">
        <v>267</v>
      </c>
      <c r="L1640" s="879" t="s">
        <v>955</v>
      </c>
      <c r="M1640" s="881" t="s">
        <v>148</v>
      </c>
      <c r="N1640" s="883">
        <v>42000</v>
      </c>
      <c r="O1640" s="55">
        <v>719</v>
      </c>
      <c r="P1640" s="78">
        <v>30000</v>
      </c>
    </row>
    <row r="1641" spans="9:16" ht="15.75" customHeight="1" thickBot="1">
      <c r="I1641" s="882"/>
      <c r="J1641" s="876"/>
      <c r="K1641" s="878"/>
      <c r="L1641" s="880"/>
      <c r="M1641" s="882"/>
      <c r="N1641" s="884"/>
      <c r="O1641" s="56">
        <v>721</v>
      </c>
      <c r="P1641" s="79">
        <f>+N1640-P1640</f>
        <v>12000</v>
      </c>
    </row>
    <row r="1642" spans="9:16" ht="15" customHeight="1">
      <c r="I1642" s="881">
        <v>200</v>
      </c>
      <c r="J1642" s="875">
        <v>42520</v>
      </c>
      <c r="K1642" s="877" t="s">
        <v>28</v>
      </c>
      <c r="L1642" s="879" t="s">
        <v>956</v>
      </c>
      <c r="M1642" s="881" t="s">
        <v>148</v>
      </c>
      <c r="N1642" s="883">
        <v>224000</v>
      </c>
      <c r="O1642" s="55">
        <v>719</v>
      </c>
      <c r="P1642" s="78">
        <v>160000</v>
      </c>
    </row>
    <row r="1643" spans="9:16" ht="15.75" customHeight="1" thickBot="1">
      <c r="I1643" s="882"/>
      <c r="J1643" s="876"/>
      <c r="K1643" s="878"/>
      <c r="L1643" s="880"/>
      <c r="M1643" s="882"/>
      <c r="N1643" s="884"/>
      <c r="O1643" s="56">
        <v>721</v>
      </c>
      <c r="P1643" s="79">
        <f>+N1642-P1642</f>
        <v>64000</v>
      </c>
    </row>
    <row r="1644" spans="9:16" ht="15" customHeight="1">
      <c r="I1644" s="881">
        <v>201</v>
      </c>
      <c r="J1644" s="875">
        <v>42520</v>
      </c>
      <c r="K1644" s="877" t="s">
        <v>111</v>
      </c>
      <c r="L1644" s="879" t="s">
        <v>957</v>
      </c>
      <c r="M1644" s="881" t="s">
        <v>148</v>
      </c>
      <c r="N1644" s="883">
        <v>56000</v>
      </c>
      <c r="O1644" s="55">
        <v>719</v>
      </c>
      <c r="P1644" s="78">
        <v>40000</v>
      </c>
    </row>
    <row r="1645" spans="9:16" ht="15.75" customHeight="1" thickBot="1">
      <c r="I1645" s="882"/>
      <c r="J1645" s="876"/>
      <c r="K1645" s="878"/>
      <c r="L1645" s="880"/>
      <c r="M1645" s="882"/>
      <c r="N1645" s="884"/>
      <c r="O1645" s="56">
        <v>721</v>
      </c>
      <c r="P1645" s="79">
        <f>+N1644-P1644</f>
        <v>16000</v>
      </c>
    </row>
    <row r="1646" spans="9:16" ht="15" customHeight="1">
      <c r="I1646" s="881">
        <v>202</v>
      </c>
      <c r="J1646" s="875">
        <v>42520</v>
      </c>
      <c r="K1646" s="877" t="s">
        <v>272</v>
      </c>
      <c r="L1646" s="879" t="s">
        <v>956</v>
      </c>
      <c r="M1646" s="881" t="s">
        <v>148</v>
      </c>
      <c r="N1646" s="883">
        <v>546000</v>
      </c>
      <c r="O1646" s="55">
        <v>719</v>
      </c>
      <c r="P1646" s="78">
        <v>390000</v>
      </c>
    </row>
    <row r="1647" spans="9:16" ht="15.75" customHeight="1" thickBot="1">
      <c r="I1647" s="882"/>
      <c r="J1647" s="876"/>
      <c r="K1647" s="878"/>
      <c r="L1647" s="880"/>
      <c r="M1647" s="882"/>
      <c r="N1647" s="884"/>
      <c r="O1647" s="56">
        <v>721</v>
      </c>
      <c r="P1647" s="79">
        <f>+N1646-P1646</f>
        <v>156000</v>
      </c>
    </row>
    <row r="1648" spans="9:16">
      <c r="I1648" s="881"/>
      <c r="J1648" s="875"/>
      <c r="K1648" s="877"/>
      <c r="L1648" s="881"/>
      <c r="M1648" s="881"/>
      <c r="N1648" s="883"/>
      <c r="O1648" s="55">
        <v>719</v>
      </c>
      <c r="P1648" s="78"/>
    </row>
    <row r="1649" spans="9:16" ht="15.75" thickBot="1">
      <c r="I1649" s="882"/>
      <c r="J1649" s="876"/>
      <c r="K1649" s="878"/>
      <c r="L1649" s="882"/>
      <c r="M1649" s="882"/>
      <c r="N1649" s="884"/>
      <c r="O1649" s="56">
        <v>721</v>
      </c>
      <c r="P1649" s="79">
        <f>+N1648-P1648</f>
        <v>0</v>
      </c>
    </row>
    <row r="1650" spans="9:16" ht="16.5" thickBot="1">
      <c r="I1650" s="901" t="s">
        <v>102</v>
      </c>
      <c r="J1650" s="902"/>
      <c r="K1650" s="902"/>
      <c r="L1650" s="902"/>
      <c r="M1650" s="903"/>
      <c r="N1650" s="81">
        <f>SUM(N1640:N1649)</f>
        <v>868000</v>
      </c>
    </row>
    <row r="1651" spans="9:16" ht="16.5" thickBot="1">
      <c r="I1651" s="885" t="s">
        <v>103</v>
      </c>
      <c r="J1651" s="886"/>
      <c r="K1651" s="886"/>
      <c r="L1651" s="886"/>
      <c r="M1651" s="887"/>
      <c r="N1651" s="69">
        <f>+N1615</f>
        <v>537318219</v>
      </c>
      <c r="O1651" s="241" t="s">
        <v>561</v>
      </c>
      <c r="P1651" s="242">
        <f>941+20+470+17</f>
        <v>1448</v>
      </c>
    </row>
    <row r="1652" spans="9:16" ht="16.5" thickBot="1">
      <c r="I1652" s="888" t="s">
        <v>104</v>
      </c>
      <c r="J1652" s="889"/>
      <c r="K1652" s="889"/>
      <c r="L1652" s="889"/>
      <c r="M1652" s="890"/>
      <c r="N1652" s="183">
        <f>SUM(N1650:N1651)</f>
        <v>538186219</v>
      </c>
    </row>
    <row r="1653" spans="9:16">
      <c r="I1653" s="61"/>
      <c r="J1653" s="61"/>
      <c r="K1653" s="61"/>
      <c r="L1653" s="61"/>
      <c r="M1653" s="61"/>
    </row>
    <row r="1654" spans="9:16">
      <c r="I1654" s="51" t="s">
        <v>962</v>
      </c>
    </row>
    <row r="1655" spans="9:16" ht="11.25" customHeight="1">
      <c r="N1655" s="139"/>
    </row>
    <row r="1656" spans="9:16">
      <c r="I1656" s="50" t="s">
        <v>105</v>
      </c>
      <c r="L1656" s="146"/>
      <c r="N1656" s="139"/>
    </row>
    <row r="1657" spans="9:16" ht="13.5" customHeight="1" thickBot="1"/>
    <row r="1658" spans="9:16" ht="15.75" thickBot="1">
      <c r="I1658" s="891" t="s">
        <v>106</v>
      </c>
      <c r="J1658" s="892"/>
      <c r="K1658" s="892"/>
      <c r="L1658" s="893"/>
      <c r="N1658" s="50" t="s">
        <v>288</v>
      </c>
    </row>
    <row r="1659" spans="9:16" ht="30.75" thickBot="1">
      <c r="I1659" s="57" t="s">
        <v>100</v>
      </c>
      <c r="J1659" s="58" t="s">
        <v>108</v>
      </c>
      <c r="K1659" s="287" t="s">
        <v>109</v>
      </c>
      <c r="L1659" s="60" t="s">
        <v>110</v>
      </c>
    </row>
    <row r="1660" spans="9:16">
      <c r="I1660" s="71">
        <v>719</v>
      </c>
      <c r="J1660" s="73">
        <f>+P1640+P1642+P1644+P1646+P1648</f>
        <v>620000</v>
      </c>
      <c r="K1660" s="74">
        <f>+L1623</f>
        <v>23805000</v>
      </c>
      <c r="L1660" s="195">
        <f>+J1660+K1660</f>
        <v>24425000</v>
      </c>
    </row>
    <row r="1661" spans="9:16">
      <c r="I1661" s="72">
        <v>721</v>
      </c>
      <c r="J1661" s="80">
        <f>+P1641+P1643+P1645+P1647</f>
        <v>248000</v>
      </c>
      <c r="K1661" s="74">
        <f>+L1624</f>
        <v>122730005</v>
      </c>
      <c r="L1661" s="195">
        <f>+J1661+K1661</f>
        <v>122978005</v>
      </c>
    </row>
    <row r="1662" spans="9:16">
      <c r="I1662" s="72">
        <v>722</v>
      </c>
      <c r="J1662" s="80"/>
      <c r="K1662" s="74">
        <f>+L1625</f>
        <v>0</v>
      </c>
      <c r="L1662" s="195">
        <f>+J1662+K1662</f>
        <v>0</v>
      </c>
    </row>
    <row r="1663" spans="9:16" ht="15.75">
      <c r="I1663" s="72">
        <v>723</v>
      </c>
      <c r="J1663" s="80"/>
      <c r="K1663" s="74">
        <f>+L1626</f>
        <v>425228588</v>
      </c>
      <c r="L1663" s="195">
        <f>+J1663+K1663</f>
        <v>425228588</v>
      </c>
      <c r="N1663" s="193" t="s">
        <v>289</v>
      </c>
      <c r="O1663" s="175"/>
    </row>
    <row r="1664" spans="9:16" ht="16.5" thickBot="1">
      <c r="I1664" s="164" t="s">
        <v>181</v>
      </c>
      <c r="J1664" s="165"/>
      <c r="K1664" s="74">
        <f>+L1627</f>
        <v>0</v>
      </c>
      <c r="L1664" s="196">
        <f>+J1664+K1664</f>
        <v>0</v>
      </c>
      <c r="N1664" s="52"/>
    </row>
    <row r="1665" spans="9:16" ht="16.5" thickBot="1">
      <c r="I1665" s="169"/>
      <c r="J1665" s="197">
        <f>SUM(J1660:J1664)</f>
        <v>868000</v>
      </c>
      <c r="K1665" s="197">
        <f>SUM(K1660:K1664)</f>
        <v>571763593</v>
      </c>
      <c r="L1665" s="198">
        <f>SUM(L1660:L1664)</f>
        <v>572631593</v>
      </c>
    </row>
    <row r="1666" spans="9:16" ht="16.5">
      <c r="I1666" s="49" t="s">
        <v>88</v>
      </c>
      <c r="J1666" s="50"/>
    </row>
    <row r="1667" spans="9:16">
      <c r="I1667" s="51" t="s">
        <v>89</v>
      </c>
    </row>
    <row r="1668" spans="9:16">
      <c r="I1668" s="51" t="s">
        <v>90</v>
      </c>
    </row>
    <row r="1669" spans="9:16">
      <c r="I1669" s="51" t="s">
        <v>91</v>
      </c>
    </row>
    <row r="1670" spans="9:16" ht="12.75" customHeight="1">
      <c r="I1670" s="50"/>
      <c r="J1670" s="50"/>
    </row>
    <row r="1671" spans="9:16" ht="15.75">
      <c r="I1671" s="260" t="s">
        <v>950</v>
      </c>
      <c r="O1671" s="52"/>
    </row>
    <row r="1672" spans="9:16" ht="15.75">
      <c r="I1672" s="53" t="s">
        <v>535</v>
      </c>
      <c r="O1672" s="53"/>
    </row>
    <row r="1673" spans="9:16" ht="16.5">
      <c r="I1673" s="894" t="s">
        <v>909</v>
      </c>
      <c r="J1673" s="894"/>
      <c r="K1673" s="894"/>
      <c r="L1673" s="894"/>
      <c r="M1673" s="894"/>
      <c r="N1673" s="894"/>
      <c r="O1673" s="894"/>
      <c r="P1673" s="894"/>
    </row>
    <row r="1674" spans="9:16" ht="15.75" thickBot="1"/>
    <row r="1675" spans="9:16">
      <c r="I1675" s="895" t="s">
        <v>94</v>
      </c>
      <c r="J1675" s="897" t="s">
        <v>95</v>
      </c>
      <c r="K1675" s="897" t="s">
        <v>96</v>
      </c>
      <c r="L1675" s="897" t="s">
        <v>3</v>
      </c>
      <c r="M1675" s="897" t="s">
        <v>97</v>
      </c>
      <c r="N1675" s="897" t="s">
        <v>98</v>
      </c>
      <c r="O1675" s="897" t="s">
        <v>99</v>
      </c>
      <c r="P1675" s="899"/>
    </row>
    <row r="1676" spans="9:16" ht="15.75" thickBot="1">
      <c r="I1676" s="896"/>
      <c r="J1676" s="898"/>
      <c r="K1676" s="898"/>
      <c r="L1676" s="898"/>
      <c r="M1676" s="898"/>
      <c r="N1676" s="898"/>
      <c r="O1676" s="240" t="s">
        <v>100</v>
      </c>
      <c r="P1676" s="182" t="s">
        <v>101</v>
      </c>
    </row>
    <row r="1677" spans="9:16" ht="15" customHeight="1">
      <c r="I1677" s="881">
        <v>203</v>
      </c>
      <c r="J1677" s="875">
        <v>42520</v>
      </c>
      <c r="K1677" s="877" t="s">
        <v>267</v>
      </c>
      <c r="L1677" s="879" t="s">
        <v>958</v>
      </c>
      <c r="M1677" s="881" t="s">
        <v>148</v>
      </c>
      <c r="N1677" s="883">
        <v>28000</v>
      </c>
      <c r="O1677" s="55">
        <v>719</v>
      </c>
      <c r="P1677" s="78">
        <v>20000</v>
      </c>
    </row>
    <row r="1678" spans="9:16" ht="15.75" customHeight="1" thickBot="1">
      <c r="I1678" s="882"/>
      <c r="J1678" s="876"/>
      <c r="K1678" s="878"/>
      <c r="L1678" s="880"/>
      <c r="M1678" s="882"/>
      <c r="N1678" s="884"/>
      <c r="O1678" s="56">
        <v>721</v>
      </c>
      <c r="P1678" s="79">
        <f>+N1677-P1677</f>
        <v>8000</v>
      </c>
    </row>
    <row r="1679" spans="9:16" ht="15" customHeight="1">
      <c r="I1679" s="881">
        <v>204</v>
      </c>
      <c r="J1679" s="875">
        <v>42520</v>
      </c>
      <c r="K1679" s="877" t="s">
        <v>28</v>
      </c>
      <c r="L1679" s="879" t="s">
        <v>959</v>
      </c>
      <c r="M1679" s="881" t="s">
        <v>148</v>
      </c>
      <c r="N1679" s="883">
        <v>238000</v>
      </c>
      <c r="O1679" s="55">
        <v>719</v>
      </c>
      <c r="P1679" s="78">
        <v>170000</v>
      </c>
    </row>
    <row r="1680" spans="9:16" ht="15.75" customHeight="1" thickBot="1">
      <c r="I1680" s="882"/>
      <c r="J1680" s="876"/>
      <c r="K1680" s="878"/>
      <c r="L1680" s="880"/>
      <c r="M1680" s="882"/>
      <c r="N1680" s="884"/>
      <c r="O1680" s="56">
        <v>721</v>
      </c>
      <c r="P1680" s="79">
        <f>+N1679-P1679</f>
        <v>68000</v>
      </c>
    </row>
    <row r="1681" spans="9:16" ht="15" customHeight="1">
      <c r="I1681" s="881">
        <v>205</v>
      </c>
      <c r="J1681" s="875">
        <v>42520</v>
      </c>
      <c r="K1681" s="877" t="s">
        <v>111</v>
      </c>
      <c r="L1681" s="879" t="s">
        <v>960</v>
      </c>
      <c r="M1681" s="881" t="s">
        <v>148</v>
      </c>
      <c r="N1681" s="883">
        <v>84000</v>
      </c>
      <c r="O1681" s="55">
        <v>719</v>
      </c>
      <c r="P1681" s="78">
        <v>60000</v>
      </c>
    </row>
    <row r="1682" spans="9:16" ht="15.75" customHeight="1" thickBot="1">
      <c r="I1682" s="882"/>
      <c r="J1682" s="876"/>
      <c r="K1682" s="878"/>
      <c r="L1682" s="880"/>
      <c r="M1682" s="882"/>
      <c r="N1682" s="884"/>
      <c r="O1682" s="56">
        <v>721</v>
      </c>
      <c r="P1682" s="79">
        <f>+N1681-P1681</f>
        <v>24000</v>
      </c>
    </row>
    <row r="1683" spans="9:16" ht="15" customHeight="1">
      <c r="I1683" s="881">
        <v>206</v>
      </c>
      <c r="J1683" s="875">
        <v>42520</v>
      </c>
      <c r="K1683" s="877" t="s">
        <v>272</v>
      </c>
      <c r="L1683" s="879" t="s">
        <v>959</v>
      </c>
      <c r="M1683" s="881" t="s">
        <v>148</v>
      </c>
      <c r="N1683" s="883">
        <v>504000</v>
      </c>
      <c r="O1683" s="55">
        <v>719</v>
      </c>
      <c r="P1683" s="78">
        <v>360000</v>
      </c>
    </row>
    <row r="1684" spans="9:16" ht="15.75" customHeight="1" thickBot="1">
      <c r="I1684" s="882"/>
      <c r="J1684" s="876"/>
      <c r="K1684" s="878"/>
      <c r="L1684" s="880"/>
      <c r="M1684" s="882"/>
      <c r="N1684" s="884"/>
      <c r="O1684" s="56">
        <v>721</v>
      </c>
      <c r="P1684" s="79">
        <f>+N1683-P1683</f>
        <v>144000</v>
      </c>
    </row>
    <row r="1685" spans="9:16">
      <c r="I1685" s="881"/>
      <c r="J1685" s="875"/>
      <c r="K1685" s="877"/>
      <c r="L1685" s="881"/>
      <c r="M1685" s="881"/>
      <c r="N1685" s="883"/>
      <c r="O1685" s="55">
        <v>719</v>
      </c>
      <c r="P1685" s="78"/>
    </row>
    <row r="1686" spans="9:16" ht="15.75" thickBot="1">
      <c r="I1686" s="882"/>
      <c r="J1686" s="876"/>
      <c r="K1686" s="878"/>
      <c r="L1686" s="882"/>
      <c r="M1686" s="882"/>
      <c r="N1686" s="884"/>
      <c r="O1686" s="56">
        <v>721</v>
      </c>
      <c r="P1686" s="79">
        <f>+N1685-P1685</f>
        <v>0</v>
      </c>
    </row>
    <row r="1687" spans="9:16" ht="16.5" thickBot="1">
      <c r="I1687" s="901" t="s">
        <v>102</v>
      </c>
      <c r="J1687" s="902"/>
      <c r="K1687" s="902"/>
      <c r="L1687" s="902"/>
      <c r="M1687" s="903"/>
      <c r="N1687" s="81">
        <f>SUM(N1677:N1686)</f>
        <v>854000</v>
      </c>
    </row>
    <row r="1688" spans="9:16" ht="16.5" thickBot="1">
      <c r="I1688" s="885" t="s">
        <v>103</v>
      </c>
      <c r="J1688" s="886"/>
      <c r="K1688" s="886"/>
      <c r="L1688" s="886"/>
      <c r="M1688" s="887"/>
      <c r="N1688" s="69">
        <f>+N1652</f>
        <v>538186219</v>
      </c>
      <c r="O1688" s="241" t="s">
        <v>561</v>
      </c>
      <c r="P1688" s="242">
        <f>746+26+428+20</f>
        <v>1220</v>
      </c>
    </row>
    <row r="1689" spans="9:16" ht="16.5" thickBot="1">
      <c r="I1689" s="888" t="s">
        <v>104</v>
      </c>
      <c r="J1689" s="889"/>
      <c r="K1689" s="889"/>
      <c r="L1689" s="889"/>
      <c r="M1689" s="890"/>
      <c r="N1689" s="183">
        <f>SUM(N1687:N1688)</f>
        <v>539040219</v>
      </c>
    </row>
    <row r="1690" spans="9:16">
      <c r="I1690" s="61"/>
      <c r="J1690" s="61"/>
      <c r="K1690" s="61"/>
      <c r="L1690" s="61"/>
      <c r="M1690" s="61"/>
    </row>
    <row r="1691" spans="9:16">
      <c r="I1691" s="51" t="s">
        <v>961</v>
      </c>
    </row>
    <row r="1692" spans="9:16" ht="12" customHeight="1">
      <c r="N1692" s="139"/>
    </row>
    <row r="1693" spans="9:16">
      <c r="I1693" s="50" t="s">
        <v>105</v>
      </c>
      <c r="L1693" s="146"/>
      <c r="N1693" s="139"/>
    </row>
    <row r="1694" spans="9:16" ht="11.25" customHeight="1" thickBot="1"/>
    <row r="1695" spans="9:16" ht="15.75" thickBot="1">
      <c r="I1695" s="891" t="s">
        <v>106</v>
      </c>
      <c r="J1695" s="892"/>
      <c r="K1695" s="892"/>
      <c r="L1695" s="893"/>
      <c r="N1695" s="50" t="s">
        <v>288</v>
      </c>
    </row>
    <row r="1696" spans="9:16" ht="30.75" thickBot="1">
      <c r="I1696" s="57" t="s">
        <v>100</v>
      </c>
      <c r="J1696" s="58" t="s">
        <v>108</v>
      </c>
      <c r="K1696" s="287" t="s">
        <v>109</v>
      </c>
      <c r="L1696" s="60" t="s">
        <v>110</v>
      </c>
    </row>
    <row r="1697" spans="9:16">
      <c r="I1697" s="71">
        <v>719</v>
      </c>
      <c r="J1697" s="73">
        <f>+P1677+P1679+P1681+P1683+P1685</f>
        <v>610000</v>
      </c>
      <c r="K1697" s="74">
        <f>+L1660</f>
        <v>24425000</v>
      </c>
      <c r="L1697" s="195">
        <f>+J1697+K1697</f>
        <v>25035000</v>
      </c>
    </row>
    <row r="1698" spans="9:16">
      <c r="I1698" s="72">
        <v>721</v>
      </c>
      <c r="J1698" s="80">
        <f>+P1678+P1680+P1682+P1684</f>
        <v>244000</v>
      </c>
      <c r="K1698" s="74">
        <f>+L1661</f>
        <v>122978005</v>
      </c>
      <c r="L1698" s="195">
        <f>+J1698+K1698</f>
        <v>123222005</v>
      </c>
    </row>
    <row r="1699" spans="9:16">
      <c r="I1699" s="72">
        <v>722</v>
      </c>
      <c r="J1699" s="80"/>
      <c r="K1699" s="74">
        <f>+L1662</f>
        <v>0</v>
      </c>
      <c r="L1699" s="195">
        <f>+J1699+K1699</f>
        <v>0</v>
      </c>
    </row>
    <row r="1700" spans="9:16" ht="15.75">
      <c r="I1700" s="72">
        <v>723</v>
      </c>
      <c r="J1700" s="80"/>
      <c r="K1700" s="74">
        <f>+L1663</f>
        <v>425228588</v>
      </c>
      <c r="L1700" s="195">
        <f>+J1700+K1700</f>
        <v>425228588</v>
      </c>
      <c r="N1700" s="193" t="s">
        <v>289</v>
      </c>
      <c r="O1700" s="175"/>
    </row>
    <row r="1701" spans="9:16" ht="16.5" thickBot="1">
      <c r="I1701" s="164" t="s">
        <v>181</v>
      </c>
      <c r="J1701" s="165"/>
      <c r="K1701" s="74">
        <f>+L1664</f>
        <v>0</v>
      </c>
      <c r="L1701" s="196">
        <f>+J1701+K1701</f>
        <v>0</v>
      </c>
      <c r="N1701" s="52"/>
    </row>
    <row r="1702" spans="9:16" ht="16.5" thickBot="1">
      <c r="I1702" s="169"/>
      <c r="J1702" s="197">
        <f>SUM(J1697:J1701)</f>
        <v>854000</v>
      </c>
      <c r="K1702" s="197">
        <f>SUM(K1697:K1701)</f>
        <v>572631593</v>
      </c>
      <c r="L1702" s="198">
        <f>SUM(L1697:L1701)</f>
        <v>573485593</v>
      </c>
    </row>
    <row r="1703" spans="9:16" ht="16.5">
      <c r="I1703" s="49" t="s">
        <v>88</v>
      </c>
      <c r="J1703" s="50"/>
    </row>
    <row r="1704" spans="9:16">
      <c r="I1704" s="51" t="s">
        <v>89</v>
      </c>
    </row>
    <row r="1705" spans="9:16">
      <c r="I1705" s="51" t="s">
        <v>90</v>
      </c>
    </row>
    <row r="1706" spans="9:16">
      <c r="I1706" s="51" t="s">
        <v>91</v>
      </c>
    </row>
    <row r="1707" spans="9:16" ht="12.75" customHeight="1">
      <c r="I1707" s="50"/>
      <c r="J1707" s="50"/>
    </row>
    <row r="1708" spans="9:16" ht="15.75">
      <c r="I1708" s="260" t="s">
        <v>976</v>
      </c>
      <c r="O1708" s="52"/>
    </row>
    <row r="1709" spans="9:16" ht="15.75">
      <c r="I1709" s="53" t="s">
        <v>535</v>
      </c>
      <c r="O1709" s="53"/>
    </row>
    <row r="1710" spans="9:16" ht="16.5">
      <c r="I1710" s="894" t="s">
        <v>967</v>
      </c>
      <c r="J1710" s="894"/>
      <c r="K1710" s="894"/>
      <c r="L1710" s="894"/>
      <c r="M1710" s="894"/>
      <c r="N1710" s="894"/>
      <c r="O1710" s="894"/>
      <c r="P1710" s="894"/>
    </row>
    <row r="1711" spans="9:16" ht="15.75" thickBot="1"/>
    <row r="1712" spans="9:16">
      <c r="I1712" s="916" t="s">
        <v>968</v>
      </c>
      <c r="J1712" s="912" t="s">
        <v>95</v>
      </c>
      <c r="K1712" s="912" t="s">
        <v>96</v>
      </c>
      <c r="L1712" s="912" t="s">
        <v>3</v>
      </c>
      <c r="M1712" s="912" t="s">
        <v>97</v>
      </c>
      <c r="N1712" s="912" t="s">
        <v>98</v>
      </c>
      <c r="O1712" s="914" t="s">
        <v>99</v>
      </c>
      <c r="P1712" s="915"/>
    </row>
    <row r="1713" spans="9:19" ht="15.75" thickBot="1">
      <c r="I1713" s="917"/>
      <c r="J1713" s="913"/>
      <c r="K1713" s="913"/>
      <c r="L1713" s="913"/>
      <c r="M1713" s="913"/>
      <c r="N1713" s="913"/>
      <c r="O1713" s="240" t="s">
        <v>100</v>
      </c>
      <c r="P1713" s="182" t="s">
        <v>101</v>
      </c>
    </row>
    <row r="1714" spans="9:19" ht="12" customHeight="1">
      <c r="I1714" s="873" t="s">
        <v>545</v>
      </c>
      <c r="J1714" s="875">
        <v>42520</v>
      </c>
      <c r="K1714" s="910" t="s">
        <v>695</v>
      </c>
      <c r="L1714" s="879" t="s">
        <v>556</v>
      </c>
      <c r="M1714" s="881" t="s">
        <v>148</v>
      </c>
      <c r="N1714" s="883"/>
      <c r="O1714" s="55">
        <v>719</v>
      </c>
      <c r="P1714" s="78"/>
    </row>
    <row r="1715" spans="9:19" ht="12.75" customHeight="1" thickBot="1">
      <c r="I1715" s="874"/>
      <c r="J1715" s="876"/>
      <c r="K1715" s="911"/>
      <c r="L1715" s="880"/>
      <c r="M1715" s="882"/>
      <c r="N1715" s="884"/>
      <c r="O1715" s="56">
        <v>723</v>
      </c>
      <c r="P1715" s="79">
        <f>+N1714-P1714</f>
        <v>0</v>
      </c>
    </row>
    <row r="1716" spans="9:19" ht="12.75" customHeight="1">
      <c r="I1716" s="873" t="s">
        <v>547</v>
      </c>
      <c r="J1716" s="875">
        <v>42520</v>
      </c>
      <c r="K1716" s="910" t="s">
        <v>695</v>
      </c>
      <c r="L1716" s="879" t="s">
        <v>556</v>
      </c>
      <c r="M1716" s="881" t="s">
        <v>115</v>
      </c>
      <c r="N1716" s="883"/>
      <c r="O1716" s="55">
        <v>719</v>
      </c>
      <c r="P1716" s="78"/>
    </row>
    <row r="1717" spans="9:19" ht="13.5" customHeight="1" thickBot="1">
      <c r="I1717" s="874"/>
      <c r="J1717" s="876"/>
      <c r="K1717" s="911"/>
      <c r="L1717" s="880"/>
      <c r="M1717" s="882"/>
      <c r="N1717" s="884"/>
      <c r="O1717" s="56">
        <v>723</v>
      </c>
      <c r="P1717" s="79">
        <f>+N1716-P1716</f>
        <v>0</v>
      </c>
    </row>
    <row r="1718" spans="9:19" ht="11.25" customHeight="1">
      <c r="I1718" s="873" t="s">
        <v>548</v>
      </c>
      <c r="J1718" s="875">
        <v>42520</v>
      </c>
      <c r="K1718" s="877" t="s">
        <v>701</v>
      </c>
      <c r="L1718" s="879" t="s">
        <v>556</v>
      </c>
      <c r="M1718" s="881" t="s">
        <v>148</v>
      </c>
      <c r="N1718" s="883"/>
      <c r="O1718" s="55">
        <v>719</v>
      </c>
      <c r="P1718" s="78"/>
    </row>
    <row r="1719" spans="9:19" ht="13.5" customHeight="1" thickBot="1">
      <c r="I1719" s="874"/>
      <c r="J1719" s="876"/>
      <c r="K1719" s="878"/>
      <c r="L1719" s="880"/>
      <c r="M1719" s="882"/>
      <c r="N1719" s="884"/>
      <c r="O1719" s="56">
        <v>723</v>
      </c>
      <c r="P1719" s="79">
        <f>+N1718-P1718</f>
        <v>0</v>
      </c>
    </row>
    <row r="1720" spans="9:19" ht="12.75" customHeight="1">
      <c r="I1720" s="873" t="s">
        <v>549</v>
      </c>
      <c r="J1720" s="875">
        <v>42520</v>
      </c>
      <c r="K1720" s="877" t="s">
        <v>673</v>
      </c>
      <c r="L1720" s="879" t="s">
        <v>556</v>
      </c>
      <c r="M1720" s="881" t="s">
        <v>148</v>
      </c>
      <c r="N1720" s="883"/>
      <c r="O1720" s="55">
        <v>719</v>
      </c>
      <c r="P1720" s="78"/>
    </row>
    <row r="1721" spans="9:19" ht="14.25" customHeight="1" thickBot="1">
      <c r="I1721" s="874"/>
      <c r="J1721" s="876"/>
      <c r="K1721" s="878"/>
      <c r="L1721" s="880"/>
      <c r="M1721" s="882"/>
      <c r="N1721" s="884"/>
      <c r="O1721" s="56">
        <v>723</v>
      </c>
      <c r="P1721" s="79">
        <f>+N1720-P1720</f>
        <v>0</v>
      </c>
    </row>
    <row r="1722" spans="9:19" ht="12" customHeight="1">
      <c r="I1722" s="873" t="s">
        <v>550</v>
      </c>
      <c r="J1722" s="875">
        <v>42520</v>
      </c>
      <c r="K1722" s="877" t="s">
        <v>729</v>
      </c>
      <c r="L1722" s="879" t="s">
        <v>556</v>
      </c>
      <c r="M1722" s="881" t="s">
        <v>148</v>
      </c>
      <c r="N1722" s="883"/>
      <c r="O1722" s="55">
        <v>719</v>
      </c>
      <c r="P1722" s="78"/>
    </row>
    <row r="1723" spans="9:19" ht="12.75" customHeight="1" thickBot="1">
      <c r="I1723" s="874"/>
      <c r="J1723" s="876"/>
      <c r="K1723" s="878"/>
      <c r="L1723" s="880"/>
      <c r="M1723" s="882"/>
      <c r="N1723" s="884"/>
      <c r="O1723" s="56">
        <v>723</v>
      </c>
      <c r="P1723" s="79">
        <f>+N1722-P1722</f>
        <v>0</v>
      </c>
    </row>
    <row r="1724" spans="9:19" ht="12.75" customHeight="1">
      <c r="I1724" s="873" t="s">
        <v>551</v>
      </c>
      <c r="J1724" s="875">
        <v>42520</v>
      </c>
      <c r="K1724" s="877" t="s">
        <v>694</v>
      </c>
      <c r="L1724" s="879" t="s">
        <v>556</v>
      </c>
      <c r="M1724" s="881" t="s">
        <v>148</v>
      </c>
      <c r="N1724" s="883"/>
      <c r="O1724" s="55">
        <v>719</v>
      </c>
      <c r="P1724" s="78"/>
    </row>
    <row r="1725" spans="9:19" ht="13.5" customHeight="1" thickBot="1">
      <c r="I1725" s="874"/>
      <c r="J1725" s="876"/>
      <c r="K1725" s="878"/>
      <c r="L1725" s="880"/>
      <c r="M1725" s="882"/>
      <c r="N1725" s="884"/>
      <c r="O1725" s="56">
        <v>723</v>
      </c>
      <c r="P1725" s="79">
        <f>+N1724-P1724</f>
        <v>0</v>
      </c>
    </row>
    <row r="1726" spans="9:19" ht="16.5" thickBot="1">
      <c r="I1726" s="888" t="s">
        <v>102</v>
      </c>
      <c r="J1726" s="889"/>
      <c r="K1726" s="889"/>
      <c r="L1726" s="889"/>
      <c r="M1726" s="890"/>
      <c r="N1726" s="81">
        <f>SUM(N1714:N1725)</f>
        <v>0</v>
      </c>
    </row>
    <row r="1727" spans="9:19" ht="16.5" thickBot="1">
      <c r="I1727" s="885" t="s">
        <v>103</v>
      </c>
      <c r="J1727" s="886"/>
      <c r="K1727" s="886"/>
      <c r="L1727" s="886"/>
      <c r="M1727" s="887"/>
      <c r="N1727" s="69">
        <f>+N1689</f>
        <v>539040219</v>
      </c>
      <c r="O1727" s="241" t="s">
        <v>561</v>
      </c>
      <c r="P1727" s="242"/>
    </row>
    <row r="1728" spans="9:19" ht="16.5" thickBot="1">
      <c r="I1728" s="888" t="s">
        <v>104</v>
      </c>
      <c r="J1728" s="889"/>
      <c r="K1728" s="889"/>
      <c r="L1728" s="889"/>
      <c r="M1728" s="890"/>
      <c r="N1728" s="183">
        <f>SUM(N1726:N1727)</f>
        <v>539040219</v>
      </c>
      <c r="S1728" s="51">
        <f>1945*1.05^4.5</f>
        <v>2422.5427600461721</v>
      </c>
    </row>
    <row r="1729" spans="9:15" ht="13.5" customHeight="1">
      <c r="I1729" s="61"/>
      <c r="J1729" s="61"/>
      <c r="K1729" s="61"/>
      <c r="L1729" s="61"/>
      <c r="M1729" s="61"/>
    </row>
    <row r="1730" spans="9:15">
      <c r="I1730" s="51" t="s">
        <v>966</v>
      </c>
    </row>
    <row r="1731" spans="9:15" ht="12.75" customHeight="1">
      <c r="N1731" s="139"/>
    </row>
    <row r="1732" spans="9:15">
      <c r="I1732" s="50" t="s">
        <v>105</v>
      </c>
      <c r="L1732" s="146"/>
      <c r="N1732" s="139"/>
    </row>
    <row r="1733" spans="9:15" ht="13.5" customHeight="1" thickBot="1"/>
    <row r="1734" spans="9:15" ht="15.75" thickBot="1">
      <c r="I1734" s="891" t="s">
        <v>106</v>
      </c>
      <c r="J1734" s="892"/>
      <c r="K1734" s="892"/>
      <c r="L1734" s="893"/>
      <c r="N1734" s="50" t="s">
        <v>288</v>
      </c>
    </row>
    <row r="1735" spans="9:15" ht="30.75" thickBot="1">
      <c r="I1735" s="57" t="s">
        <v>100</v>
      </c>
      <c r="J1735" s="58" t="s">
        <v>108</v>
      </c>
      <c r="K1735" s="287" t="s">
        <v>109</v>
      </c>
      <c r="L1735" s="60" t="s">
        <v>110</v>
      </c>
    </row>
    <row r="1736" spans="9:15">
      <c r="I1736" s="71">
        <v>719</v>
      </c>
      <c r="J1736" s="73">
        <f>+P1714+P1716+P1720+P1722+P1724</f>
        <v>0</v>
      </c>
      <c r="K1736" s="74">
        <f>+L1697</f>
        <v>25035000</v>
      </c>
      <c r="L1736" s="195">
        <f>+J1736+K1736</f>
        <v>25035000</v>
      </c>
    </row>
    <row r="1737" spans="9:15">
      <c r="I1737" s="72">
        <v>721</v>
      </c>
      <c r="J1737" s="80">
        <v>0</v>
      </c>
      <c r="K1737" s="74">
        <f>+L1698</f>
        <v>123222005</v>
      </c>
      <c r="L1737" s="195">
        <f>+J1737+K1737</f>
        <v>123222005</v>
      </c>
    </row>
    <row r="1738" spans="9:15">
      <c r="I1738" s="72">
        <v>722</v>
      </c>
      <c r="J1738" s="80"/>
      <c r="K1738" s="74">
        <f>+L1699</f>
        <v>0</v>
      </c>
      <c r="L1738" s="195">
        <f>+J1738+K1738</f>
        <v>0</v>
      </c>
    </row>
    <row r="1739" spans="9:15" ht="15.75">
      <c r="I1739" s="72">
        <v>723</v>
      </c>
      <c r="J1739" s="80">
        <f>+P1725+P1723+P1721+P1717+P1715+P1719</f>
        <v>0</v>
      </c>
      <c r="K1739" s="74">
        <f>+L1700</f>
        <v>425228588</v>
      </c>
      <c r="L1739" s="195">
        <f>+J1739+K1739</f>
        <v>425228588</v>
      </c>
      <c r="N1739" s="193" t="s">
        <v>289</v>
      </c>
      <c r="O1739" s="175"/>
    </row>
    <row r="1740" spans="9:15" ht="16.5" thickBot="1">
      <c r="I1740" s="164" t="s">
        <v>181</v>
      </c>
      <c r="J1740" s="165"/>
      <c r="K1740" s="74">
        <f>+L1701</f>
        <v>0</v>
      </c>
      <c r="L1740" s="196">
        <f>+J1740+K1740</f>
        <v>0</v>
      </c>
      <c r="N1740" s="52"/>
    </row>
    <row r="1741" spans="9:15" ht="16.5" thickBot="1">
      <c r="I1741" s="169"/>
      <c r="J1741" s="197">
        <f>SUM(J1736:J1740)</f>
        <v>0</v>
      </c>
      <c r="K1741" s="197">
        <f>SUM(K1736:K1740)</f>
        <v>573485593</v>
      </c>
      <c r="L1741" s="198">
        <f>SUM(L1736:L1740)</f>
        <v>573485593</v>
      </c>
    </row>
    <row r="1742" spans="9:15" ht="16.5">
      <c r="I1742" s="49" t="s">
        <v>88</v>
      </c>
      <c r="J1742" s="50"/>
    </row>
    <row r="1743" spans="9:15">
      <c r="I1743" s="51" t="s">
        <v>89</v>
      </c>
    </row>
    <row r="1744" spans="9:15">
      <c r="I1744" s="51" t="s">
        <v>90</v>
      </c>
    </row>
    <row r="1745" spans="9:16">
      <c r="I1745" s="51" t="s">
        <v>91</v>
      </c>
    </row>
    <row r="1746" spans="9:16" ht="9" customHeight="1">
      <c r="I1746" s="50"/>
      <c r="J1746" s="50"/>
    </row>
    <row r="1747" spans="9:16" ht="15.75">
      <c r="I1747" s="260" t="s">
        <v>964</v>
      </c>
      <c r="O1747" s="52"/>
    </row>
    <row r="1748" spans="9:16" ht="15.75">
      <c r="I1748" s="53" t="s">
        <v>535</v>
      </c>
      <c r="O1748" s="53"/>
    </row>
    <row r="1749" spans="9:16" ht="16.5">
      <c r="I1749" s="894" t="s">
        <v>909</v>
      </c>
      <c r="J1749" s="894"/>
      <c r="K1749" s="894"/>
      <c r="L1749" s="894"/>
      <c r="M1749" s="894"/>
      <c r="N1749" s="894"/>
      <c r="O1749" s="894"/>
      <c r="P1749" s="894"/>
    </row>
    <row r="1750" spans="9:16" ht="15.75" thickBot="1"/>
    <row r="1751" spans="9:16">
      <c r="I1751" s="895" t="s">
        <v>94</v>
      </c>
      <c r="J1751" s="897" t="s">
        <v>95</v>
      </c>
      <c r="K1751" s="897" t="s">
        <v>96</v>
      </c>
      <c r="L1751" s="897" t="s">
        <v>3</v>
      </c>
      <c r="M1751" s="897" t="s">
        <v>97</v>
      </c>
      <c r="N1751" s="897" t="s">
        <v>98</v>
      </c>
      <c r="O1751" s="897" t="s">
        <v>99</v>
      </c>
      <c r="P1751" s="899"/>
    </row>
    <row r="1752" spans="9:16" ht="15.75" thickBot="1">
      <c r="I1752" s="896"/>
      <c r="J1752" s="898"/>
      <c r="K1752" s="898"/>
      <c r="L1752" s="898"/>
      <c r="M1752" s="898"/>
      <c r="N1752" s="898"/>
      <c r="O1752" s="240" t="s">
        <v>100</v>
      </c>
      <c r="P1752" s="182" t="s">
        <v>101</v>
      </c>
    </row>
    <row r="1753" spans="9:16">
      <c r="I1753" s="881">
        <v>207</v>
      </c>
      <c r="J1753" s="875">
        <v>42521</v>
      </c>
      <c r="K1753" s="877" t="s">
        <v>267</v>
      </c>
      <c r="L1753" s="879" t="s">
        <v>971</v>
      </c>
      <c r="M1753" s="881" t="s">
        <v>148</v>
      </c>
      <c r="N1753" s="883">
        <v>28000</v>
      </c>
      <c r="O1753" s="55">
        <v>719</v>
      </c>
      <c r="P1753" s="78">
        <v>20000</v>
      </c>
    </row>
    <row r="1754" spans="9:16" ht="15.75" thickBot="1">
      <c r="I1754" s="882"/>
      <c r="J1754" s="876"/>
      <c r="K1754" s="878"/>
      <c r="L1754" s="880"/>
      <c r="M1754" s="882"/>
      <c r="N1754" s="884"/>
      <c r="O1754" s="56">
        <v>721</v>
      </c>
      <c r="P1754" s="79">
        <f>+N1753-P1753</f>
        <v>8000</v>
      </c>
    </row>
    <row r="1755" spans="9:16">
      <c r="I1755" s="881">
        <v>208</v>
      </c>
      <c r="J1755" s="875">
        <v>42521</v>
      </c>
      <c r="K1755" s="877" t="s">
        <v>28</v>
      </c>
      <c r="L1755" s="879" t="s">
        <v>970</v>
      </c>
      <c r="M1755" s="881" t="s">
        <v>148</v>
      </c>
      <c r="N1755" s="883">
        <v>294000</v>
      </c>
      <c r="O1755" s="55">
        <v>719</v>
      </c>
      <c r="P1755" s="78">
        <v>210000</v>
      </c>
    </row>
    <row r="1756" spans="9:16" ht="15.75" thickBot="1">
      <c r="I1756" s="882"/>
      <c r="J1756" s="876"/>
      <c r="K1756" s="878"/>
      <c r="L1756" s="880"/>
      <c r="M1756" s="882"/>
      <c r="N1756" s="884"/>
      <c r="O1756" s="56">
        <v>721</v>
      </c>
      <c r="P1756" s="79">
        <f>+N1755-P1755</f>
        <v>84000</v>
      </c>
    </row>
    <row r="1757" spans="9:16">
      <c r="I1757" s="881">
        <v>209</v>
      </c>
      <c r="J1757" s="875">
        <v>42521</v>
      </c>
      <c r="K1757" s="877" t="s">
        <v>111</v>
      </c>
      <c r="L1757" s="879" t="s">
        <v>951</v>
      </c>
      <c r="M1757" s="881" t="s">
        <v>148</v>
      </c>
      <c r="N1757" s="883">
        <v>56000</v>
      </c>
      <c r="O1757" s="55">
        <v>719</v>
      </c>
      <c r="P1757" s="78">
        <v>40000</v>
      </c>
    </row>
    <row r="1758" spans="9:16" ht="15.75" thickBot="1">
      <c r="I1758" s="882"/>
      <c r="J1758" s="876"/>
      <c r="K1758" s="878"/>
      <c r="L1758" s="880"/>
      <c r="M1758" s="882"/>
      <c r="N1758" s="884"/>
      <c r="O1758" s="56">
        <v>721</v>
      </c>
      <c r="P1758" s="79">
        <f>+N1757-P1757</f>
        <v>16000</v>
      </c>
    </row>
    <row r="1759" spans="9:16">
      <c r="I1759" s="881">
        <v>210</v>
      </c>
      <c r="J1759" s="875">
        <v>42521</v>
      </c>
      <c r="K1759" s="877" t="s">
        <v>272</v>
      </c>
      <c r="L1759" s="879" t="s">
        <v>970</v>
      </c>
      <c r="M1759" s="881" t="s">
        <v>148</v>
      </c>
      <c r="N1759" s="883">
        <v>672000</v>
      </c>
      <c r="O1759" s="55">
        <v>719</v>
      </c>
      <c r="P1759" s="78">
        <v>480000</v>
      </c>
    </row>
    <row r="1760" spans="9:16" ht="15.75" thickBot="1">
      <c r="I1760" s="882"/>
      <c r="J1760" s="876"/>
      <c r="K1760" s="878"/>
      <c r="L1760" s="880"/>
      <c r="M1760" s="882"/>
      <c r="N1760" s="884"/>
      <c r="O1760" s="56">
        <v>721</v>
      </c>
      <c r="P1760" s="79">
        <f>+N1759-P1759</f>
        <v>192000</v>
      </c>
    </row>
    <row r="1761" spans="9:16" ht="12.75" customHeight="1">
      <c r="I1761" s="881"/>
      <c r="J1761" s="875"/>
      <c r="K1761" s="877"/>
      <c r="L1761" s="881"/>
      <c r="M1761" s="881"/>
      <c r="N1761" s="883"/>
      <c r="O1761" s="55">
        <v>719</v>
      </c>
      <c r="P1761" s="78"/>
    </row>
    <row r="1762" spans="9:16" ht="13.5" customHeight="1" thickBot="1">
      <c r="I1762" s="882"/>
      <c r="J1762" s="876"/>
      <c r="K1762" s="878"/>
      <c r="L1762" s="882"/>
      <c r="M1762" s="882"/>
      <c r="N1762" s="884"/>
      <c r="O1762" s="56">
        <v>721</v>
      </c>
      <c r="P1762" s="79">
        <f>+N1761-P1761</f>
        <v>0</v>
      </c>
    </row>
    <row r="1763" spans="9:16" ht="16.5" thickBot="1">
      <c r="I1763" s="901" t="s">
        <v>102</v>
      </c>
      <c r="J1763" s="902"/>
      <c r="K1763" s="902"/>
      <c r="L1763" s="902"/>
      <c r="M1763" s="903"/>
      <c r="N1763" s="81">
        <f>SUM(N1753:N1762)</f>
        <v>1050000</v>
      </c>
    </row>
    <row r="1764" spans="9:16" ht="16.5" thickBot="1">
      <c r="I1764" s="885" t="s">
        <v>103</v>
      </c>
      <c r="J1764" s="886"/>
      <c r="K1764" s="886"/>
      <c r="L1764" s="886"/>
      <c r="M1764" s="887"/>
      <c r="N1764" s="69">
        <f>+N1728</f>
        <v>539040219</v>
      </c>
      <c r="O1764" s="241" t="s">
        <v>561</v>
      </c>
      <c r="P1764" s="242">
        <f>22+651+13+1233</f>
        <v>1919</v>
      </c>
    </row>
    <row r="1765" spans="9:16" ht="16.5" thickBot="1">
      <c r="I1765" s="888" t="s">
        <v>104</v>
      </c>
      <c r="J1765" s="889"/>
      <c r="K1765" s="889"/>
      <c r="L1765" s="889"/>
      <c r="M1765" s="890"/>
      <c r="N1765" s="183">
        <f>SUM(N1763:N1764)</f>
        <v>540090219</v>
      </c>
    </row>
    <row r="1766" spans="9:16">
      <c r="I1766" s="61"/>
      <c r="J1766" s="61"/>
      <c r="K1766" s="61"/>
      <c r="L1766" s="61"/>
      <c r="M1766" s="61"/>
    </row>
    <row r="1767" spans="9:16">
      <c r="I1767" s="51" t="s">
        <v>972</v>
      </c>
    </row>
    <row r="1768" spans="9:16" ht="12" customHeight="1">
      <c r="N1768" s="139"/>
    </row>
    <row r="1769" spans="9:16">
      <c r="I1769" s="50" t="s">
        <v>105</v>
      </c>
      <c r="L1769" s="146"/>
      <c r="N1769" s="139"/>
    </row>
    <row r="1770" spans="9:16" ht="15.75" thickBot="1"/>
    <row r="1771" spans="9:16" ht="15.75" thickBot="1">
      <c r="I1771" s="891" t="s">
        <v>106</v>
      </c>
      <c r="J1771" s="892"/>
      <c r="K1771" s="892"/>
      <c r="L1771" s="893"/>
      <c r="N1771" s="50" t="s">
        <v>288</v>
      </c>
    </row>
    <row r="1772" spans="9:16" ht="30.75" thickBot="1">
      <c r="I1772" s="57" t="s">
        <v>100</v>
      </c>
      <c r="J1772" s="58" t="s">
        <v>108</v>
      </c>
      <c r="K1772" s="287" t="s">
        <v>109</v>
      </c>
      <c r="L1772" s="60" t="s">
        <v>110</v>
      </c>
    </row>
    <row r="1773" spans="9:16">
      <c r="I1773" s="71">
        <v>719</v>
      </c>
      <c r="J1773" s="73">
        <f>+P1753+P1755+P1757+P1759+P1761</f>
        <v>750000</v>
      </c>
      <c r="K1773" s="74">
        <f>+L1736</f>
        <v>25035000</v>
      </c>
      <c r="L1773" s="195">
        <f>+J1773+K1773</f>
        <v>25785000</v>
      </c>
    </row>
    <row r="1774" spans="9:16">
      <c r="I1774" s="72">
        <v>721</v>
      </c>
      <c r="J1774" s="80">
        <f>+P1754+P1756+P1758+P1760</f>
        <v>300000</v>
      </c>
      <c r="K1774" s="74">
        <f>+L1737</f>
        <v>123222005</v>
      </c>
      <c r="L1774" s="195">
        <f>+J1774+K1774</f>
        <v>123522005</v>
      </c>
    </row>
    <row r="1775" spans="9:16">
      <c r="I1775" s="72">
        <v>722</v>
      </c>
      <c r="J1775" s="80"/>
      <c r="K1775" s="74">
        <f>+L1738</f>
        <v>0</v>
      </c>
      <c r="L1775" s="195">
        <f>+J1775+K1775</f>
        <v>0</v>
      </c>
    </row>
    <row r="1776" spans="9:16" ht="15.75">
      <c r="I1776" s="72">
        <v>723</v>
      </c>
      <c r="J1776" s="80"/>
      <c r="K1776" s="74">
        <f>+L1739</f>
        <v>425228588</v>
      </c>
      <c r="L1776" s="195">
        <f>+J1776+K1776</f>
        <v>425228588</v>
      </c>
      <c r="N1776" s="193" t="s">
        <v>289</v>
      </c>
      <c r="O1776" s="175"/>
    </row>
    <row r="1777" spans="9:16" ht="16.5" thickBot="1">
      <c r="I1777" s="164" t="s">
        <v>181</v>
      </c>
      <c r="J1777" s="165"/>
      <c r="K1777" s="74">
        <f>+L1740</f>
        <v>0</v>
      </c>
      <c r="L1777" s="196">
        <f>+J1777+K1777</f>
        <v>0</v>
      </c>
      <c r="N1777" s="52"/>
    </row>
    <row r="1778" spans="9:16" ht="16.5" thickBot="1">
      <c r="I1778" s="169"/>
      <c r="J1778" s="197">
        <f>SUM(J1773:J1777)</f>
        <v>1050000</v>
      </c>
      <c r="K1778" s="197">
        <f>SUM(K1773:K1777)</f>
        <v>573485593</v>
      </c>
      <c r="L1778" s="198">
        <f>SUM(L1773:L1777)</f>
        <v>574535593</v>
      </c>
    </row>
    <row r="1779" spans="9:16" ht="16.5">
      <c r="I1779" s="49" t="s">
        <v>88</v>
      </c>
      <c r="J1779" s="50"/>
    </row>
    <row r="1780" spans="9:16">
      <c r="I1780" s="51" t="s">
        <v>89</v>
      </c>
    </row>
    <row r="1781" spans="9:16">
      <c r="I1781" s="51" t="s">
        <v>90</v>
      </c>
    </row>
    <row r="1782" spans="9:16">
      <c r="I1782" s="51" t="s">
        <v>91</v>
      </c>
    </row>
    <row r="1783" spans="9:16" ht="12" customHeight="1">
      <c r="I1783" s="50"/>
      <c r="J1783" s="50"/>
    </row>
    <row r="1784" spans="9:16" ht="15.75">
      <c r="I1784" s="260" t="s">
        <v>969</v>
      </c>
      <c r="O1784" s="52"/>
    </row>
    <row r="1785" spans="9:16" ht="15.75">
      <c r="I1785" s="53" t="s">
        <v>535</v>
      </c>
      <c r="O1785" s="53"/>
    </row>
    <row r="1786" spans="9:16" ht="16.5">
      <c r="I1786" s="894" t="s">
        <v>979</v>
      </c>
      <c r="J1786" s="894"/>
      <c r="K1786" s="894"/>
      <c r="L1786" s="894"/>
      <c r="M1786" s="894"/>
      <c r="N1786" s="894"/>
      <c r="O1786" s="894"/>
      <c r="P1786" s="894"/>
    </row>
    <row r="1787" spans="9:16" ht="15.75" thickBot="1"/>
    <row r="1788" spans="9:16">
      <c r="I1788" s="895" t="s">
        <v>94</v>
      </c>
      <c r="J1788" s="897" t="s">
        <v>95</v>
      </c>
      <c r="K1788" s="897" t="s">
        <v>96</v>
      </c>
      <c r="L1788" s="897" t="s">
        <v>3</v>
      </c>
      <c r="M1788" s="897" t="s">
        <v>97</v>
      </c>
      <c r="N1788" s="897" t="s">
        <v>98</v>
      </c>
      <c r="O1788" s="897" t="s">
        <v>99</v>
      </c>
      <c r="P1788" s="899"/>
    </row>
    <row r="1789" spans="9:16" ht="15.75" thickBot="1">
      <c r="I1789" s="896"/>
      <c r="J1789" s="898"/>
      <c r="K1789" s="898"/>
      <c r="L1789" s="898"/>
      <c r="M1789" s="898"/>
      <c r="N1789" s="898"/>
      <c r="O1789" s="240" t="s">
        <v>100</v>
      </c>
      <c r="P1789" s="182" t="s">
        <v>101</v>
      </c>
    </row>
    <row r="1790" spans="9:16">
      <c r="I1790" s="881">
        <v>211</v>
      </c>
      <c r="J1790" s="875">
        <v>42521</v>
      </c>
      <c r="K1790" s="910" t="s">
        <v>974</v>
      </c>
      <c r="L1790" s="879" t="s">
        <v>556</v>
      </c>
      <c r="M1790" s="881" t="s">
        <v>145</v>
      </c>
      <c r="N1790" s="883">
        <v>2941578</v>
      </c>
      <c r="O1790" s="55">
        <v>719</v>
      </c>
      <c r="P1790" s="78">
        <v>0</v>
      </c>
    </row>
    <row r="1791" spans="9:16" ht="15.75" thickBot="1">
      <c r="I1791" s="882"/>
      <c r="J1791" s="876"/>
      <c r="K1791" s="911"/>
      <c r="L1791" s="880"/>
      <c r="M1791" s="882"/>
      <c r="N1791" s="884"/>
      <c r="O1791" s="56">
        <v>721</v>
      </c>
      <c r="P1791" s="79">
        <f>+N1790-P1790</f>
        <v>2941578</v>
      </c>
    </row>
    <row r="1792" spans="9:16">
      <c r="I1792" s="881"/>
      <c r="J1792" s="875"/>
      <c r="K1792" s="910"/>
      <c r="L1792" s="879"/>
      <c r="M1792" s="881"/>
      <c r="N1792" s="883"/>
      <c r="O1792" s="55">
        <v>719</v>
      </c>
      <c r="P1792" s="78">
        <v>0</v>
      </c>
    </row>
    <row r="1793" spans="9:16" ht="15.75" thickBot="1">
      <c r="I1793" s="882"/>
      <c r="J1793" s="876"/>
      <c r="K1793" s="911"/>
      <c r="L1793" s="880"/>
      <c r="M1793" s="882"/>
      <c r="N1793" s="884"/>
      <c r="O1793" s="56">
        <v>723</v>
      </c>
      <c r="P1793" s="79">
        <f>+N1792-P1792</f>
        <v>0</v>
      </c>
    </row>
    <row r="1794" spans="9:16">
      <c r="I1794" s="881"/>
      <c r="J1794" s="875"/>
      <c r="K1794" s="877"/>
      <c r="L1794" s="879"/>
      <c r="M1794" s="881"/>
      <c r="N1794" s="883"/>
      <c r="O1794" s="55">
        <v>719</v>
      </c>
      <c r="P1794" s="78"/>
    </row>
    <row r="1795" spans="9:16" ht="15.75" thickBot="1">
      <c r="I1795" s="882"/>
      <c r="J1795" s="876"/>
      <c r="K1795" s="878"/>
      <c r="L1795" s="880"/>
      <c r="M1795" s="882"/>
      <c r="N1795" s="884"/>
      <c r="O1795" s="56">
        <v>721</v>
      </c>
      <c r="P1795" s="79">
        <f>+N1794-P1794</f>
        <v>0</v>
      </c>
    </row>
    <row r="1796" spans="9:16" ht="12.75" customHeight="1">
      <c r="I1796" s="881"/>
      <c r="J1796" s="875"/>
      <c r="K1796" s="877"/>
      <c r="L1796" s="879"/>
      <c r="M1796" s="881"/>
      <c r="N1796" s="883"/>
      <c r="O1796" s="55">
        <v>719</v>
      </c>
      <c r="P1796" s="78"/>
    </row>
    <row r="1797" spans="9:16" ht="15.75" thickBot="1">
      <c r="I1797" s="882"/>
      <c r="J1797" s="876"/>
      <c r="K1797" s="878"/>
      <c r="L1797" s="880"/>
      <c r="M1797" s="882"/>
      <c r="N1797" s="884"/>
      <c r="O1797" s="56">
        <v>721</v>
      </c>
      <c r="P1797" s="79">
        <f>+N1796-P1796</f>
        <v>0</v>
      </c>
    </row>
    <row r="1798" spans="9:16">
      <c r="I1798" s="881"/>
      <c r="J1798" s="875"/>
      <c r="K1798" s="877"/>
      <c r="L1798" s="881"/>
      <c r="M1798" s="881"/>
      <c r="N1798" s="883"/>
      <c r="O1798" s="55">
        <v>719</v>
      </c>
      <c r="P1798" s="78"/>
    </row>
    <row r="1799" spans="9:16" ht="14.25" customHeight="1" thickBot="1">
      <c r="I1799" s="882"/>
      <c r="J1799" s="876"/>
      <c r="K1799" s="878"/>
      <c r="L1799" s="882"/>
      <c r="M1799" s="882"/>
      <c r="N1799" s="884"/>
      <c r="O1799" s="56">
        <v>721</v>
      </c>
      <c r="P1799" s="79">
        <f>+N1798-P1798</f>
        <v>0</v>
      </c>
    </row>
    <row r="1800" spans="9:16" ht="16.5" thickBot="1">
      <c r="I1800" s="901" t="s">
        <v>102</v>
      </c>
      <c r="J1800" s="902"/>
      <c r="K1800" s="902"/>
      <c r="L1800" s="902"/>
      <c r="M1800" s="903"/>
      <c r="N1800" s="81">
        <f>SUM(N1790:N1799)</f>
        <v>2941578</v>
      </c>
    </row>
    <row r="1801" spans="9:16" ht="16.5" thickBot="1">
      <c r="I1801" s="885" t="s">
        <v>103</v>
      </c>
      <c r="J1801" s="886"/>
      <c r="K1801" s="886"/>
      <c r="L1801" s="886"/>
      <c r="M1801" s="887"/>
      <c r="N1801" s="69">
        <f>+N1765</f>
        <v>540090219</v>
      </c>
      <c r="O1801" s="241" t="s">
        <v>561</v>
      </c>
      <c r="P1801" s="242"/>
    </row>
    <row r="1802" spans="9:16" ht="16.5" thickBot="1">
      <c r="I1802" s="888" t="s">
        <v>104</v>
      </c>
      <c r="J1802" s="889"/>
      <c r="K1802" s="889"/>
      <c r="L1802" s="889"/>
      <c r="M1802" s="890"/>
      <c r="N1802" s="183">
        <f>SUM(N1800:N1801)</f>
        <v>543031797</v>
      </c>
    </row>
    <row r="1803" spans="9:16">
      <c r="I1803" s="61"/>
      <c r="J1803" s="61"/>
      <c r="K1803" s="61"/>
      <c r="L1803" s="61"/>
      <c r="M1803" s="61"/>
    </row>
    <row r="1804" spans="9:16">
      <c r="I1804" s="51" t="s">
        <v>975</v>
      </c>
    </row>
    <row r="1805" spans="9:16">
      <c r="N1805" s="139"/>
    </row>
    <row r="1806" spans="9:16">
      <c r="I1806" s="50" t="s">
        <v>105</v>
      </c>
      <c r="L1806" s="146"/>
      <c r="N1806" s="139"/>
    </row>
    <row r="1807" spans="9:16" ht="12" customHeight="1" thickBot="1"/>
    <row r="1808" spans="9:16" ht="15.75" thickBot="1">
      <c r="I1808" s="891" t="s">
        <v>106</v>
      </c>
      <c r="J1808" s="892"/>
      <c r="K1808" s="892"/>
      <c r="L1808" s="893"/>
      <c r="N1808" s="50" t="s">
        <v>288</v>
      </c>
    </row>
    <row r="1809" spans="9:16" ht="30.75" thickBot="1">
      <c r="I1809" s="57" t="s">
        <v>100</v>
      </c>
      <c r="J1809" s="58" t="s">
        <v>108</v>
      </c>
      <c r="K1809" s="287" t="s">
        <v>109</v>
      </c>
      <c r="L1809" s="60" t="s">
        <v>110</v>
      </c>
    </row>
    <row r="1810" spans="9:16">
      <c r="I1810" s="71">
        <v>719</v>
      </c>
      <c r="J1810" s="73">
        <f>+P1790+P1792+P1794+P1796+P1798</f>
        <v>0</v>
      </c>
      <c r="K1810" s="74">
        <f>+L1773</f>
        <v>25785000</v>
      </c>
      <c r="L1810" s="195">
        <f>+J1810+K1810</f>
        <v>25785000</v>
      </c>
    </row>
    <row r="1811" spans="9:16">
      <c r="I1811" s="72">
        <v>721</v>
      </c>
      <c r="J1811" s="80">
        <f>+P1791</f>
        <v>2941578</v>
      </c>
      <c r="K1811" s="74">
        <f>+L1774</f>
        <v>123522005</v>
      </c>
      <c r="L1811" s="195">
        <f>+J1811+K1811</f>
        <v>126463583</v>
      </c>
    </row>
    <row r="1812" spans="9:16">
      <c r="I1812" s="72">
        <v>722</v>
      </c>
      <c r="J1812" s="80"/>
      <c r="K1812" s="74">
        <f>+L1775</f>
        <v>0</v>
      </c>
      <c r="L1812" s="195">
        <f>+J1812+K1812</f>
        <v>0</v>
      </c>
    </row>
    <row r="1813" spans="9:16" ht="15.75">
      <c r="I1813" s="72">
        <v>723</v>
      </c>
      <c r="J1813" s="80"/>
      <c r="K1813" s="74">
        <f>+L1776</f>
        <v>425228588</v>
      </c>
      <c r="L1813" s="195">
        <f>+J1813+K1813</f>
        <v>425228588</v>
      </c>
      <c r="N1813" s="193" t="s">
        <v>289</v>
      </c>
      <c r="O1813" s="175"/>
    </row>
    <row r="1814" spans="9:16" ht="16.5" thickBot="1">
      <c r="I1814" s="164" t="s">
        <v>181</v>
      </c>
      <c r="J1814" s="165"/>
      <c r="K1814" s="74">
        <f>+L1777</f>
        <v>0</v>
      </c>
      <c r="L1814" s="196">
        <f>+J1814+K1814</f>
        <v>0</v>
      </c>
      <c r="N1814" s="52"/>
    </row>
    <row r="1815" spans="9:16" ht="16.5" thickBot="1">
      <c r="I1815" s="169"/>
      <c r="J1815" s="197">
        <f>SUM(J1810:J1814)</f>
        <v>2941578</v>
      </c>
      <c r="K1815" s="197">
        <f>SUM(K1810:K1814)</f>
        <v>574535593</v>
      </c>
      <c r="L1815" s="198">
        <f>SUM(L1810:L1814)</f>
        <v>577477171</v>
      </c>
    </row>
    <row r="1816" spans="9:16" ht="16.5">
      <c r="I1816" s="49" t="s">
        <v>88</v>
      </c>
      <c r="J1816" s="50"/>
    </row>
    <row r="1817" spans="9:16">
      <c r="I1817" s="51" t="s">
        <v>89</v>
      </c>
    </row>
    <row r="1818" spans="9:16">
      <c r="I1818" s="51" t="s">
        <v>90</v>
      </c>
    </row>
    <row r="1819" spans="9:16">
      <c r="I1819" s="51" t="s">
        <v>91</v>
      </c>
    </row>
    <row r="1820" spans="9:16" ht="12" customHeight="1">
      <c r="I1820" s="50"/>
      <c r="J1820" s="50"/>
    </row>
    <row r="1821" spans="9:16" ht="15.75">
      <c r="I1821" s="260" t="s">
        <v>973</v>
      </c>
      <c r="O1821" s="52"/>
    </row>
    <row r="1822" spans="9:16" ht="15.75">
      <c r="I1822" s="53" t="s">
        <v>535</v>
      </c>
      <c r="O1822" s="53"/>
    </row>
    <row r="1823" spans="9:16" ht="16.5">
      <c r="I1823" s="894" t="s">
        <v>967</v>
      </c>
      <c r="J1823" s="894"/>
      <c r="K1823" s="894"/>
      <c r="L1823" s="894"/>
      <c r="M1823" s="894"/>
      <c r="N1823" s="894"/>
      <c r="O1823" s="894"/>
      <c r="P1823" s="894"/>
    </row>
    <row r="1824" spans="9:16" ht="15.75" thickBot="1"/>
    <row r="1825" spans="9:16">
      <c r="I1825" s="895" t="s">
        <v>968</v>
      </c>
      <c r="J1825" s="897" t="s">
        <v>95</v>
      </c>
      <c r="K1825" s="897" t="s">
        <v>96</v>
      </c>
      <c r="L1825" s="897" t="s">
        <v>3</v>
      </c>
      <c r="M1825" s="897" t="s">
        <v>97</v>
      </c>
      <c r="N1825" s="897" t="s">
        <v>98</v>
      </c>
      <c r="O1825" s="897" t="s">
        <v>99</v>
      </c>
      <c r="P1825" s="899"/>
    </row>
    <row r="1826" spans="9:16" ht="15.75" thickBot="1">
      <c r="I1826" s="896"/>
      <c r="J1826" s="898"/>
      <c r="K1826" s="898"/>
      <c r="L1826" s="898"/>
      <c r="M1826" s="898"/>
      <c r="N1826" s="898"/>
      <c r="O1826" s="240" t="s">
        <v>100</v>
      </c>
      <c r="P1826" s="182" t="s">
        <v>101</v>
      </c>
    </row>
    <row r="1827" spans="9:16">
      <c r="I1827" s="873" t="s">
        <v>545</v>
      </c>
      <c r="J1827" s="875">
        <v>42520</v>
      </c>
      <c r="K1827" s="910" t="s">
        <v>695</v>
      </c>
      <c r="L1827" s="879" t="s">
        <v>556</v>
      </c>
      <c r="M1827" s="881" t="s">
        <v>148</v>
      </c>
      <c r="N1827" s="883">
        <v>-241240</v>
      </c>
      <c r="O1827" s="55">
        <v>719</v>
      </c>
      <c r="P1827" s="78"/>
    </row>
    <row r="1828" spans="9:16" ht="15.75" thickBot="1">
      <c r="I1828" s="874"/>
      <c r="J1828" s="876"/>
      <c r="K1828" s="911"/>
      <c r="L1828" s="880"/>
      <c r="M1828" s="882"/>
      <c r="N1828" s="884"/>
      <c r="O1828" s="56">
        <v>723</v>
      </c>
      <c r="P1828" s="79">
        <f>+N1827-P1827</f>
        <v>-241240</v>
      </c>
    </row>
    <row r="1829" spans="9:16">
      <c r="I1829" s="873" t="s">
        <v>547</v>
      </c>
      <c r="J1829" s="875">
        <v>42520</v>
      </c>
      <c r="K1829" s="910" t="s">
        <v>695</v>
      </c>
      <c r="L1829" s="879" t="s">
        <v>556</v>
      </c>
      <c r="M1829" s="881" t="s">
        <v>115</v>
      </c>
      <c r="N1829" s="883">
        <v>-525000</v>
      </c>
      <c r="O1829" s="55">
        <v>719</v>
      </c>
      <c r="P1829" s="78"/>
    </row>
    <row r="1830" spans="9:16" ht="15.75" thickBot="1">
      <c r="I1830" s="874"/>
      <c r="J1830" s="876"/>
      <c r="K1830" s="911"/>
      <c r="L1830" s="880"/>
      <c r="M1830" s="882"/>
      <c r="N1830" s="884"/>
      <c r="O1830" s="56">
        <v>723</v>
      </c>
      <c r="P1830" s="79">
        <f>+N1829-P1829</f>
        <v>-525000</v>
      </c>
    </row>
    <row r="1831" spans="9:16" ht="12.75" customHeight="1">
      <c r="I1831" s="873"/>
      <c r="J1831" s="875"/>
      <c r="K1831" s="877"/>
      <c r="L1831" s="879"/>
      <c r="M1831" s="881"/>
      <c r="N1831" s="883"/>
      <c r="O1831" s="55">
        <v>719</v>
      </c>
      <c r="P1831" s="78"/>
    </row>
    <row r="1832" spans="9:16" ht="14.25" customHeight="1" thickBot="1">
      <c r="I1832" s="874"/>
      <c r="J1832" s="876"/>
      <c r="K1832" s="878"/>
      <c r="L1832" s="880"/>
      <c r="M1832" s="882"/>
      <c r="N1832" s="884"/>
      <c r="O1832" s="56">
        <v>723</v>
      </c>
      <c r="P1832" s="79">
        <f>+N1831-P1831</f>
        <v>0</v>
      </c>
    </row>
    <row r="1833" spans="9:16">
      <c r="I1833" s="873"/>
      <c r="J1833" s="875"/>
      <c r="K1833" s="877"/>
      <c r="L1833" s="879"/>
      <c r="M1833" s="881"/>
      <c r="N1833" s="883"/>
      <c r="O1833" s="55">
        <v>719</v>
      </c>
      <c r="P1833" s="78"/>
    </row>
    <row r="1834" spans="9:16" ht="15.75" thickBot="1">
      <c r="I1834" s="874"/>
      <c r="J1834" s="876"/>
      <c r="K1834" s="878"/>
      <c r="L1834" s="880"/>
      <c r="M1834" s="882"/>
      <c r="N1834" s="884"/>
      <c r="O1834" s="56">
        <v>723</v>
      </c>
      <c r="P1834" s="79">
        <f>+N1833-P1833</f>
        <v>0</v>
      </c>
    </row>
    <row r="1835" spans="9:16" ht="12.75" customHeight="1">
      <c r="I1835" s="873"/>
      <c r="J1835" s="875"/>
      <c r="K1835" s="877"/>
      <c r="L1835" s="879"/>
      <c r="M1835" s="881"/>
      <c r="N1835" s="883"/>
      <c r="O1835" s="55">
        <v>719</v>
      </c>
      <c r="P1835" s="78"/>
    </row>
    <row r="1836" spans="9:16" ht="15.75" thickBot="1">
      <c r="I1836" s="874"/>
      <c r="J1836" s="876"/>
      <c r="K1836" s="878"/>
      <c r="L1836" s="880"/>
      <c r="M1836" s="882"/>
      <c r="N1836" s="884"/>
      <c r="O1836" s="56">
        <v>723</v>
      </c>
      <c r="P1836" s="79">
        <f>+N1835-P1835</f>
        <v>0</v>
      </c>
    </row>
    <row r="1837" spans="9:16" ht="16.5" thickBot="1">
      <c r="I1837" s="901" t="s">
        <v>102</v>
      </c>
      <c r="J1837" s="902"/>
      <c r="K1837" s="902"/>
      <c r="L1837" s="902"/>
      <c r="M1837" s="903"/>
      <c r="N1837" s="81">
        <f>SUM(N1827:N1836)</f>
        <v>-766240</v>
      </c>
    </row>
    <row r="1838" spans="9:16" ht="16.5" thickBot="1">
      <c r="I1838" s="885" t="s">
        <v>103</v>
      </c>
      <c r="J1838" s="886"/>
      <c r="K1838" s="886"/>
      <c r="L1838" s="886"/>
      <c r="M1838" s="887"/>
      <c r="N1838" s="69">
        <f>+N1802</f>
        <v>543031797</v>
      </c>
      <c r="O1838" s="241" t="s">
        <v>561</v>
      </c>
      <c r="P1838" s="242"/>
    </row>
    <row r="1839" spans="9:16" ht="16.5" thickBot="1">
      <c r="I1839" s="888" t="s">
        <v>104</v>
      </c>
      <c r="J1839" s="889"/>
      <c r="K1839" s="889"/>
      <c r="L1839" s="889"/>
      <c r="M1839" s="890"/>
      <c r="N1839" s="183">
        <f>SUM(N1837:N1838)</f>
        <v>542265557</v>
      </c>
    </row>
    <row r="1840" spans="9:16">
      <c r="I1840" s="61"/>
      <c r="J1840" s="61"/>
      <c r="K1840" s="61"/>
      <c r="L1840" s="61"/>
      <c r="M1840" s="61"/>
    </row>
    <row r="1841" spans="9:15">
      <c r="I1841" s="51" t="s">
        <v>978</v>
      </c>
    </row>
    <row r="1842" spans="9:15" ht="12" customHeight="1">
      <c r="N1842" s="139"/>
    </row>
    <row r="1843" spans="9:15">
      <c r="I1843" s="50" t="s">
        <v>105</v>
      </c>
      <c r="L1843" s="146"/>
      <c r="N1843" s="139"/>
    </row>
    <row r="1844" spans="9:15" ht="12" customHeight="1" thickBot="1"/>
    <row r="1845" spans="9:15" ht="15.75" thickBot="1">
      <c r="I1845" s="891" t="s">
        <v>106</v>
      </c>
      <c r="J1845" s="892"/>
      <c r="K1845" s="892"/>
      <c r="L1845" s="893"/>
      <c r="N1845" s="50" t="s">
        <v>288</v>
      </c>
    </row>
    <row r="1846" spans="9:15" ht="30.75" thickBot="1">
      <c r="I1846" s="57" t="s">
        <v>100</v>
      </c>
      <c r="J1846" s="58" t="s">
        <v>108</v>
      </c>
      <c r="K1846" s="287" t="s">
        <v>109</v>
      </c>
      <c r="L1846" s="60" t="s">
        <v>110</v>
      </c>
    </row>
    <row r="1847" spans="9:15">
      <c r="I1847" s="71">
        <v>719</v>
      </c>
      <c r="J1847" s="73">
        <f>+P1827+P1829+P1831+P1833+P1835</f>
        <v>0</v>
      </c>
      <c r="K1847" s="74">
        <f>+L1810</f>
        <v>25785000</v>
      </c>
      <c r="L1847" s="195">
        <f>+J1847+K1847</f>
        <v>25785000</v>
      </c>
    </row>
    <row r="1848" spans="9:15">
      <c r="I1848" s="72">
        <v>721</v>
      </c>
      <c r="J1848" s="80">
        <v>0</v>
      </c>
      <c r="K1848" s="74">
        <f>+L1811</f>
        <v>126463583</v>
      </c>
      <c r="L1848" s="195">
        <f>+J1848+K1848</f>
        <v>126463583</v>
      </c>
    </row>
    <row r="1849" spans="9:15">
      <c r="I1849" s="72">
        <v>722</v>
      </c>
      <c r="J1849" s="80"/>
      <c r="K1849" s="74">
        <f>+L1812</f>
        <v>0</v>
      </c>
      <c r="L1849" s="195">
        <f>+J1849+K1849</f>
        <v>0</v>
      </c>
    </row>
    <row r="1850" spans="9:15" ht="15.75">
      <c r="I1850" s="72">
        <v>723</v>
      </c>
      <c r="J1850" s="80">
        <f>+P1836+P1834+P1832+P1830+P1828</f>
        <v>-766240</v>
      </c>
      <c r="K1850" s="74">
        <f>+L1813</f>
        <v>425228588</v>
      </c>
      <c r="L1850" s="195">
        <f>+J1850+K1850</f>
        <v>424462348</v>
      </c>
      <c r="N1850" s="193" t="s">
        <v>289</v>
      </c>
      <c r="O1850" s="175"/>
    </row>
    <row r="1851" spans="9:15" ht="16.5" thickBot="1">
      <c r="I1851" s="164" t="s">
        <v>181</v>
      </c>
      <c r="J1851" s="165"/>
      <c r="K1851" s="74">
        <f>+L1814</f>
        <v>0</v>
      </c>
      <c r="L1851" s="196">
        <f>+J1851+K1851</f>
        <v>0</v>
      </c>
      <c r="N1851" s="52"/>
    </row>
    <row r="1852" spans="9:15" ht="16.5" thickBot="1">
      <c r="I1852" s="169"/>
      <c r="J1852" s="197">
        <f>SUM(J1847:J1851)</f>
        <v>-766240</v>
      </c>
      <c r="K1852" s="197">
        <f>SUM(K1847:K1851)</f>
        <v>577477171</v>
      </c>
      <c r="L1852" s="198">
        <f>SUM(L1847:L1851)</f>
        <v>576710931</v>
      </c>
    </row>
    <row r="1853" spans="9:15" ht="16.5">
      <c r="I1853" s="49" t="s">
        <v>88</v>
      </c>
      <c r="J1853" s="50"/>
    </row>
    <row r="1854" spans="9:15">
      <c r="I1854" s="51" t="s">
        <v>89</v>
      </c>
    </row>
    <row r="1855" spans="9:15">
      <c r="I1855" s="51" t="s">
        <v>90</v>
      </c>
    </row>
    <row r="1856" spans="9:15">
      <c r="I1856" s="51" t="s">
        <v>91</v>
      </c>
    </row>
    <row r="1857" spans="9:16">
      <c r="I1857" s="50"/>
      <c r="J1857" s="50"/>
    </row>
    <row r="1858" spans="9:16" ht="15.75">
      <c r="I1858" s="260" t="s">
        <v>977</v>
      </c>
      <c r="O1858" s="52"/>
    </row>
    <row r="1859" spans="9:16" ht="15.75">
      <c r="I1859" s="53" t="s">
        <v>535</v>
      </c>
      <c r="O1859" s="53"/>
    </row>
    <row r="1860" spans="9:16" ht="16.5">
      <c r="I1860" s="894" t="s">
        <v>967</v>
      </c>
      <c r="J1860" s="894"/>
      <c r="K1860" s="894"/>
      <c r="L1860" s="894"/>
      <c r="M1860" s="894"/>
      <c r="N1860" s="894"/>
      <c r="O1860" s="894"/>
      <c r="P1860" s="894"/>
    </row>
    <row r="1861" spans="9:16" ht="15.75" thickBot="1"/>
    <row r="1862" spans="9:16">
      <c r="I1862" s="895" t="s">
        <v>968</v>
      </c>
      <c r="J1862" s="897" t="s">
        <v>95</v>
      </c>
      <c r="K1862" s="897" t="s">
        <v>96</v>
      </c>
      <c r="L1862" s="897" t="s">
        <v>3</v>
      </c>
      <c r="M1862" s="897" t="s">
        <v>97</v>
      </c>
      <c r="N1862" s="897" t="s">
        <v>98</v>
      </c>
      <c r="O1862" s="897" t="s">
        <v>99</v>
      </c>
      <c r="P1862" s="899"/>
    </row>
    <row r="1863" spans="9:16" ht="15.75" thickBot="1">
      <c r="I1863" s="896"/>
      <c r="J1863" s="898"/>
      <c r="K1863" s="898"/>
      <c r="L1863" s="898"/>
      <c r="M1863" s="898"/>
      <c r="N1863" s="898"/>
      <c r="O1863" s="240" t="s">
        <v>100</v>
      </c>
      <c r="P1863" s="182" t="s">
        <v>101</v>
      </c>
    </row>
    <row r="1864" spans="9:16" ht="13.5" customHeight="1">
      <c r="I1864" s="873" t="s">
        <v>548</v>
      </c>
      <c r="J1864" s="875">
        <v>42520</v>
      </c>
      <c r="K1864" s="877" t="s">
        <v>701</v>
      </c>
      <c r="L1864" s="879" t="s">
        <v>556</v>
      </c>
      <c r="M1864" s="881" t="s">
        <v>148</v>
      </c>
      <c r="N1864" s="883">
        <v>-630000</v>
      </c>
      <c r="O1864" s="55">
        <v>719</v>
      </c>
      <c r="P1864" s="78"/>
    </row>
    <row r="1865" spans="9:16" ht="15.75" customHeight="1" thickBot="1">
      <c r="I1865" s="874"/>
      <c r="J1865" s="876"/>
      <c r="K1865" s="878"/>
      <c r="L1865" s="880"/>
      <c r="M1865" s="882"/>
      <c r="N1865" s="884"/>
      <c r="O1865" s="56">
        <v>723</v>
      </c>
      <c r="P1865" s="79">
        <f>+N1864-P1864</f>
        <v>-630000</v>
      </c>
    </row>
    <row r="1866" spans="9:16" ht="15" customHeight="1">
      <c r="I1866" s="873" t="s">
        <v>549</v>
      </c>
      <c r="J1866" s="875">
        <v>42520</v>
      </c>
      <c r="K1866" s="877" t="s">
        <v>673</v>
      </c>
      <c r="L1866" s="879" t="s">
        <v>556</v>
      </c>
      <c r="M1866" s="881" t="s">
        <v>148</v>
      </c>
      <c r="N1866" s="883">
        <v>-630000</v>
      </c>
      <c r="O1866" s="55">
        <v>719</v>
      </c>
      <c r="P1866" s="78"/>
    </row>
    <row r="1867" spans="9:16" ht="13.5" customHeight="1" thickBot="1">
      <c r="I1867" s="874"/>
      <c r="J1867" s="876"/>
      <c r="K1867" s="878"/>
      <c r="L1867" s="880"/>
      <c r="M1867" s="882"/>
      <c r="N1867" s="884"/>
      <c r="O1867" s="56">
        <v>723</v>
      </c>
      <c r="P1867" s="79">
        <f>+N1866-P1866</f>
        <v>-630000</v>
      </c>
    </row>
    <row r="1868" spans="9:16" ht="15" customHeight="1">
      <c r="I1868" s="873" t="s">
        <v>550</v>
      </c>
      <c r="J1868" s="875">
        <v>42520</v>
      </c>
      <c r="K1868" s="877" t="s">
        <v>729</v>
      </c>
      <c r="L1868" s="879" t="s">
        <v>556</v>
      </c>
      <c r="M1868" s="881" t="s">
        <v>148</v>
      </c>
      <c r="N1868" s="883">
        <v>-945000</v>
      </c>
      <c r="O1868" s="55">
        <v>719</v>
      </c>
      <c r="P1868" s="78"/>
    </row>
    <row r="1869" spans="9:16" ht="15.75" customHeight="1" thickBot="1">
      <c r="I1869" s="874"/>
      <c r="J1869" s="876"/>
      <c r="K1869" s="878"/>
      <c r="L1869" s="880"/>
      <c r="M1869" s="882"/>
      <c r="N1869" s="884"/>
      <c r="O1869" s="56">
        <v>723</v>
      </c>
      <c r="P1869" s="79">
        <f>+N1868-P1868</f>
        <v>-945000</v>
      </c>
    </row>
    <row r="1870" spans="9:16" ht="15" customHeight="1">
      <c r="I1870" s="873" t="s">
        <v>551</v>
      </c>
      <c r="J1870" s="875">
        <v>42520</v>
      </c>
      <c r="K1870" s="877" t="s">
        <v>694</v>
      </c>
      <c r="L1870" s="879" t="s">
        <v>556</v>
      </c>
      <c r="M1870" s="881" t="s">
        <v>148</v>
      </c>
      <c r="N1870" s="883">
        <v>-25611697</v>
      </c>
      <c r="O1870" s="55">
        <v>719</v>
      </c>
      <c r="P1870" s="78"/>
    </row>
    <row r="1871" spans="9:16" ht="15.75" customHeight="1" thickBot="1">
      <c r="I1871" s="874"/>
      <c r="J1871" s="876"/>
      <c r="K1871" s="878"/>
      <c r="L1871" s="880"/>
      <c r="M1871" s="882"/>
      <c r="N1871" s="884"/>
      <c r="O1871" s="56">
        <v>723</v>
      </c>
      <c r="P1871" s="79">
        <f>+N1870-P1870</f>
        <v>-25611697</v>
      </c>
    </row>
    <row r="1872" spans="9:16" ht="12" customHeight="1">
      <c r="I1872" s="873"/>
      <c r="J1872" s="875"/>
      <c r="K1872" s="877"/>
      <c r="L1872" s="879"/>
      <c r="M1872" s="881"/>
      <c r="N1872" s="883"/>
      <c r="O1872" s="55">
        <v>719</v>
      </c>
      <c r="P1872" s="78"/>
    </row>
    <row r="1873" spans="9:16" ht="12" customHeight="1" thickBot="1">
      <c r="I1873" s="874"/>
      <c r="J1873" s="876"/>
      <c r="K1873" s="878"/>
      <c r="L1873" s="880"/>
      <c r="M1873" s="882"/>
      <c r="N1873" s="884"/>
      <c r="O1873" s="56">
        <v>723</v>
      </c>
      <c r="P1873" s="79">
        <f>+N1872-P1872</f>
        <v>0</v>
      </c>
    </row>
    <row r="1874" spans="9:16" ht="16.5" thickBot="1">
      <c r="I1874" s="901" t="s">
        <v>102</v>
      </c>
      <c r="J1874" s="902"/>
      <c r="K1874" s="902"/>
      <c r="L1874" s="902"/>
      <c r="M1874" s="903"/>
      <c r="N1874" s="81">
        <f>SUM(N1864:N1873)</f>
        <v>-27816697</v>
      </c>
    </row>
    <row r="1875" spans="9:16" ht="16.5" thickBot="1">
      <c r="I1875" s="885" t="s">
        <v>103</v>
      </c>
      <c r="J1875" s="886"/>
      <c r="K1875" s="886"/>
      <c r="L1875" s="886"/>
      <c r="M1875" s="887"/>
      <c r="N1875" s="69">
        <f>+N1839</f>
        <v>542265557</v>
      </c>
      <c r="O1875" s="241" t="s">
        <v>561</v>
      </c>
      <c r="P1875" s="242"/>
    </row>
    <row r="1876" spans="9:16" ht="16.5" thickBot="1">
      <c r="I1876" s="888" t="s">
        <v>104</v>
      </c>
      <c r="J1876" s="889"/>
      <c r="K1876" s="889"/>
      <c r="L1876" s="889"/>
      <c r="M1876" s="890"/>
      <c r="N1876" s="183">
        <f>SUM(N1874:N1875)</f>
        <v>514448860</v>
      </c>
    </row>
    <row r="1877" spans="9:16">
      <c r="I1877" s="61"/>
      <c r="J1877" s="61"/>
      <c r="K1877" s="61"/>
      <c r="L1877" s="61"/>
      <c r="M1877" s="61"/>
    </row>
    <row r="1878" spans="9:16">
      <c r="I1878" s="51" t="s">
        <v>989</v>
      </c>
    </row>
    <row r="1879" spans="9:16">
      <c r="N1879" s="139"/>
    </row>
    <row r="1880" spans="9:16">
      <c r="I1880" s="50" t="s">
        <v>105</v>
      </c>
      <c r="L1880" s="146"/>
      <c r="N1880" s="139"/>
    </row>
    <row r="1881" spans="9:16" ht="15.75" thickBot="1"/>
    <row r="1882" spans="9:16" ht="15.75" thickBot="1">
      <c r="I1882" s="891" t="s">
        <v>106</v>
      </c>
      <c r="J1882" s="892"/>
      <c r="K1882" s="892"/>
      <c r="L1882" s="893"/>
      <c r="N1882" s="50" t="s">
        <v>288</v>
      </c>
    </row>
    <row r="1883" spans="9:16" ht="30.75" thickBot="1">
      <c r="I1883" s="57" t="s">
        <v>100</v>
      </c>
      <c r="J1883" s="58" t="s">
        <v>108</v>
      </c>
      <c r="K1883" s="287" t="s">
        <v>109</v>
      </c>
      <c r="L1883" s="60" t="s">
        <v>110</v>
      </c>
    </row>
    <row r="1884" spans="9:16">
      <c r="I1884" s="71">
        <v>719</v>
      </c>
      <c r="J1884" s="73">
        <f>+P1864+P1866+P1870</f>
        <v>0</v>
      </c>
      <c r="K1884" s="74">
        <f>+L1847</f>
        <v>25785000</v>
      </c>
      <c r="L1884" s="195">
        <f>+J1884+K1884</f>
        <v>25785000</v>
      </c>
    </row>
    <row r="1885" spans="9:16">
      <c r="I1885" s="72">
        <v>721</v>
      </c>
      <c r="J1885" s="80">
        <v>0</v>
      </c>
      <c r="K1885" s="74">
        <f>+L1848</f>
        <v>126463583</v>
      </c>
      <c r="L1885" s="195">
        <f>+J1885+K1885</f>
        <v>126463583</v>
      </c>
    </row>
    <row r="1886" spans="9:16">
      <c r="I1886" s="72">
        <v>722</v>
      </c>
      <c r="J1886" s="80"/>
      <c r="K1886" s="74">
        <f>+L1849</f>
        <v>0</v>
      </c>
      <c r="L1886" s="195">
        <f>+J1886+K1886</f>
        <v>0</v>
      </c>
    </row>
    <row r="1887" spans="9:16" ht="15.75">
      <c r="I1887" s="72">
        <v>723</v>
      </c>
      <c r="J1887" s="80">
        <f>+P1871+P1867+P1865+P1869</f>
        <v>-27816697</v>
      </c>
      <c r="K1887" s="74">
        <f>+L1850</f>
        <v>424462348</v>
      </c>
      <c r="L1887" s="195">
        <f>+J1887+K1887</f>
        <v>396645651</v>
      </c>
      <c r="N1887" s="193" t="s">
        <v>289</v>
      </c>
      <c r="O1887" s="175"/>
    </row>
    <row r="1888" spans="9:16" ht="16.5" thickBot="1">
      <c r="I1888" s="164" t="s">
        <v>181</v>
      </c>
      <c r="J1888" s="165"/>
      <c r="K1888" s="74">
        <f>+L1851</f>
        <v>0</v>
      </c>
      <c r="L1888" s="196">
        <f>+J1888+K1888</f>
        <v>0</v>
      </c>
      <c r="N1888" s="52"/>
    </row>
    <row r="1889" spans="9:16" ht="16.5" thickBot="1">
      <c r="I1889" s="169"/>
      <c r="J1889" s="197">
        <f>SUM(J1884:J1888)</f>
        <v>-27816697</v>
      </c>
      <c r="K1889" s="197">
        <f>SUM(K1884:K1888)</f>
        <v>576710931</v>
      </c>
      <c r="L1889" s="198">
        <f>SUM(L1884:L1888)</f>
        <v>548894234</v>
      </c>
    </row>
    <row r="1890" spans="9:16" ht="16.5">
      <c r="I1890" s="49" t="s">
        <v>88</v>
      </c>
      <c r="J1890" s="50"/>
    </row>
    <row r="1891" spans="9:16">
      <c r="I1891" s="51" t="s">
        <v>89</v>
      </c>
    </row>
    <row r="1892" spans="9:16">
      <c r="I1892" s="51" t="s">
        <v>90</v>
      </c>
    </row>
    <row r="1893" spans="9:16">
      <c r="I1893" s="51" t="s">
        <v>91</v>
      </c>
    </row>
    <row r="1894" spans="9:16">
      <c r="I1894" s="50"/>
      <c r="J1894" s="50"/>
    </row>
    <row r="1895" spans="9:16" ht="15.75">
      <c r="I1895" s="260" t="s">
        <v>980</v>
      </c>
      <c r="O1895" s="52"/>
    </row>
    <row r="1896" spans="9:16" ht="15.75">
      <c r="I1896" s="53" t="s">
        <v>535</v>
      </c>
      <c r="O1896" s="53"/>
    </row>
    <row r="1897" spans="9:16" ht="16.5">
      <c r="I1897" s="894" t="s">
        <v>909</v>
      </c>
      <c r="J1897" s="894"/>
      <c r="K1897" s="894"/>
      <c r="L1897" s="894"/>
      <c r="M1897" s="894"/>
      <c r="N1897" s="894"/>
      <c r="O1897" s="894"/>
      <c r="P1897" s="894"/>
    </row>
    <row r="1898" spans="9:16" ht="15.75" thickBot="1"/>
    <row r="1899" spans="9:16">
      <c r="I1899" s="895" t="s">
        <v>94</v>
      </c>
      <c r="J1899" s="897" t="s">
        <v>95</v>
      </c>
      <c r="K1899" s="897" t="s">
        <v>96</v>
      </c>
      <c r="L1899" s="897" t="s">
        <v>3</v>
      </c>
      <c r="M1899" s="897" t="s">
        <v>97</v>
      </c>
      <c r="N1899" s="897" t="s">
        <v>98</v>
      </c>
      <c r="O1899" s="897" t="s">
        <v>99</v>
      </c>
      <c r="P1899" s="899"/>
    </row>
    <row r="1900" spans="9:16" ht="15.75" thickBot="1">
      <c r="I1900" s="896"/>
      <c r="J1900" s="898"/>
      <c r="K1900" s="898"/>
      <c r="L1900" s="898"/>
      <c r="M1900" s="898"/>
      <c r="N1900" s="898"/>
      <c r="O1900" s="240" t="s">
        <v>100</v>
      </c>
      <c r="P1900" s="182" t="s">
        <v>101</v>
      </c>
    </row>
    <row r="1901" spans="9:16">
      <c r="I1901" s="881">
        <v>212</v>
      </c>
      <c r="J1901" s="875">
        <v>42549</v>
      </c>
      <c r="K1901" s="877" t="s">
        <v>272</v>
      </c>
      <c r="L1901" s="879" t="s">
        <v>983</v>
      </c>
      <c r="M1901" s="881" t="s">
        <v>115</v>
      </c>
      <c r="N1901" s="883">
        <v>140000</v>
      </c>
      <c r="O1901" s="55">
        <v>719</v>
      </c>
      <c r="P1901" s="78">
        <v>140000</v>
      </c>
    </row>
    <row r="1902" spans="9:16" ht="15.75" thickBot="1">
      <c r="I1902" s="882"/>
      <c r="J1902" s="876"/>
      <c r="K1902" s="878"/>
      <c r="L1902" s="880"/>
      <c r="M1902" s="882"/>
      <c r="N1902" s="884"/>
      <c r="O1902" s="56">
        <v>721</v>
      </c>
      <c r="P1902" s="79">
        <f>+N1901-P1901</f>
        <v>0</v>
      </c>
    </row>
    <row r="1903" spans="9:16" ht="15" customHeight="1">
      <c r="I1903" s="881">
        <v>213</v>
      </c>
      <c r="J1903" s="875">
        <v>42549</v>
      </c>
      <c r="K1903" s="877" t="s">
        <v>28</v>
      </c>
      <c r="L1903" s="879" t="s">
        <v>982</v>
      </c>
      <c r="M1903" s="881" t="s">
        <v>115</v>
      </c>
      <c r="N1903" s="883">
        <v>40000</v>
      </c>
      <c r="O1903" s="55">
        <v>719</v>
      </c>
      <c r="P1903" s="78">
        <v>40000</v>
      </c>
    </row>
    <row r="1904" spans="9:16" ht="15.75" customHeight="1" thickBot="1">
      <c r="I1904" s="882"/>
      <c r="J1904" s="876"/>
      <c r="K1904" s="878"/>
      <c r="L1904" s="880"/>
      <c r="M1904" s="882"/>
      <c r="N1904" s="884"/>
      <c r="O1904" s="56">
        <v>721</v>
      </c>
      <c r="P1904" s="79">
        <f>+N1903-P1903</f>
        <v>0</v>
      </c>
    </row>
    <row r="1905" spans="9:16" ht="15" customHeight="1">
      <c r="I1905" s="881">
        <v>214</v>
      </c>
      <c r="J1905" s="875">
        <v>42549</v>
      </c>
      <c r="K1905" s="877" t="s">
        <v>120</v>
      </c>
      <c r="L1905" s="879" t="s">
        <v>984</v>
      </c>
      <c r="M1905" s="881" t="s">
        <v>115</v>
      </c>
      <c r="N1905" s="883">
        <v>30000</v>
      </c>
      <c r="O1905" s="55">
        <v>719</v>
      </c>
      <c r="P1905" s="78">
        <v>30000</v>
      </c>
    </row>
    <row r="1906" spans="9:16" ht="15.75" customHeight="1" thickBot="1">
      <c r="I1906" s="882"/>
      <c r="J1906" s="876"/>
      <c r="K1906" s="878"/>
      <c r="L1906" s="880"/>
      <c r="M1906" s="882"/>
      <c r="N1906" s="884"/>
      <c r="O1906" s="56">
        <v>721</v>
      </c>
      <c r="P1906" s="79">
        <f>+N1905-P1905</f>
        <v>0</v>
      </c>
    </row>
    <row r="1907" spans="9:16" ht="15" customHeight="1">
      <c r="I1907" s="881">
        <v>215</v>
      </c>
      <c r="J1907" s="875">
        <v>42549</v>
      </c>
      <c r="K1907" s="877" t="s">
        <v>272</v>
      </c>
      <c r="L1907" s="879" t="s">
        <v>985</v>
      </c>
      <c r="M1907" s="881" t="s">
        <v>115</v>
      </c>
      <c r="N1907" s="883">
        <v>200000</v>
      </c>
      <c r="O1907" s="55">
        <v>719</v>
      </c>
      <c r="P1907" s="78">
        <v>200000</v>
      </c>
    </row>
    <row r="1908" spans="9:16" ht="15.75" customHeight="1" thickBot="1">
      <c r="I1908" s="882"/>
      <c r="J1908" s="876"/>
      <c r="K1908" s="878"/>
      <c r="L1908" s="880"/>
      <c r="M1908" s="882"/>
      <c r="N1908" s="884"/>
      <c r="O1908" s="56">
        <v>721</v>
      </c>
      <c r="P1908" s="79">
        <f>+N1907-P1907</f>
        <v>0</v>
      </c>
    </row>
    <row r="1909" spans="9:16" ht="15" customHeight="1">
      <c r="I1909" s="881"/>
      <c r="J1909" s="875"/>
      <c r="K1909" s="877"/>
      <c r="L1909" s="881"/>
      <c r="M1909" s="881"/>
      <c r="N1909" s="883"/>
      <c r="O1909" s="55">
        <v>719</v>
      </c>
      <c r="P1909" s="78"/>
    </row>
    <row r="1910" spans="9:16" ht="12" customHeight="1" thickBot="1">
      <c r="I1910" s="882"/>
      <c r="J1910" s="876"/>
      <c r="K1910" s="878"/>
      <c r="L1910" s="882"/>
      <c r="M1910" s="882"/>
      <c r="N1910" s="884"/>
      <c r="O1910" s="56">
        <v>721</v>
      </c>
      <c r="P1910" s="79">
        <f>+N1909-P1909</f>
        <v>0</v>
      </c>
    </row>
    <row r="1911" spans="9:16" ht="16.5" thickBot="1">
      <c r="I1911" s="901" t="s">
        <v>102</v>
      </c>
      <c r="J1911" s="902"/>
      <c r="K1911" s="902"/>
      <c r="L1911" s="902"/>
      <c r="M1911" s="903"/>
      <c r="N1911" s="81">
        <f>SUM(N1901:N1910)</f>
        <v>410000</v>
      </c>
    </row>
    <row r="1912" spans="9:16" ht="16.5" thickBot="1">
      <c r="I1912" s="885" t="s">
        <v>103</v>
      </c>
      <c r="J1912" s="886"/>
      <c r="K1912" s="886"/>
      <c r="L1912" s="886"/>
      <c r="M1912" s="887"/>
      <c r="N1912" s="69">
        <f>+N1876</f>
        <v>514448860</v>
      </c>
      <c r="O1912" s="241" t="s">
        <v>561</v>
      </c>
      <c r="P1912" s="242">
        <f>649+441+67+12</f>
        <v>1169</v>
      </c>
    </row>
    <row r="1913" spans="9:16" ht="16.5" thickBot="1">
      <c r="I1913" s="888" t="s">
        <v>104</v>
      </c>
      <c r="J1913" s="889"/>
      <c r="K1913" s="889"/>
      <c r="L1913" s="889"/>
      <c r="M1913" s="890"/>
      <c r="N1913" s="183">
        <f>SUM(N1911:N1912)</f>
        <v>514858860</v>
      </c>
    </row>
    <row r="1914" spans="9:16">
      <c r="I1914" s="61"/>
      <c r="J1914" s="61"/>
      <c r="K1914" s="61"/>
      <c r="L1914" s="61"/>
      <c r="M1914" s="61"/>
    </row>
    <row r="1915" spans="9:16">
      <c r="I1915" s="51" t="s">
        <v>990</v>
      </c>
    </row>
    <row r="1916" spans="9:16" ht="12" customHeight="1">
      <c r="N1916" s="139"/>
    </row>
    <row r="1917" spans="9:16">
      <c r="I1917" s="50" t="s">
        <v>105</v>
      </c>
      <c r="L1917" s="146"/>
      <c r="N1917" s="139"/>
    </row>
    <row r="1918" spans="9:16" ht="12.75" customHeight="1" thickBot="1"/>
    <row r="1919" spans="9:16" ht="15.75" thickBot="1">
      <c r="I1919" s="891" t="s">
        <v>106</v>
      </c>
      <c r="J1919" s="892"/>
      <c r="K1919" s="892"/>
      <c r="L1919" s="893"/>
      <c r="N1919" s="50" t="s">
        <v>288</v>
      </c>
    </row>
    <row r="1920" spans="9:16" ht="30.75" thickBot="1">
      <c r="I1920" s="57" t="s">
        <v>100</v>
      </c>
      <c r="J1920" s="58" t="s">
        <v>108</v>
      </c>
      <c r="K1920" s="287" t="s">
        <v>109</v>
      </c>
      <c r="L1920" s="60" t="s">
        <v>110</v>
      </c>
    </row>
    <row r="1921" spans="9:16">
      <c r="I1921" s="71">
        <v>719</v>
      </c>
      <c r="J1921" s="73">
        <f>+P1901+P1903+P1905+P1907+P1909</f>
        <v>410000</v>
      </c>
      <c r="K1921" s="74">
        <f>+L1884</f>
        <v>25785000</v>
      </c>
      <c r="L1921" s="195">
        <f>+J1921+K1921</f>
        <v>26195000</v>
      </c>
    </row>
    <row r="1922" spans="9:16">
      <c r="I1922" s="72">
        <v>721</v>
      </c>
      <c r="J1922" s="80">
        <f>+P1902+P1904+P1906+P1908</f>
        <v>0</v>
      </c>
      <c r="K1922" s="74">
        <f>+L1885</f>
        <v>126463583</v>
      </c>
      <c r="L1922" s="195">
        <f>+J1922+K1922</f>
        <v>126463583</v>
      </c>
    </row>
    <row r="1923" spans="9:16">
      <c r="I1923" s="72">
        <v>722</v>
      </c>
      <c r="J1923" s="80"/>
      <c r="K1923" s="74">
        <f>+L1886</f>
        <v>0</v>
      </c>
      <c r="L1923" s="195">
        <f>+J1923+K1923</f>
        <v>0</v>
      </c>
    </row>
    <row r="1924" spans="9:16" ht="15.75">
      <c r="I1924" s="72">
        <v>723</v>
      </c>
      <c r="J1924" s="80"/>
      <c r="K1924" s="74">
        <f>+L1887</f>
        <v>396645651</v>
      </c>
      <c r="L1924" s="195">
        <f>+J1924+K1924</f>
        <v>396645651</v>
      </c>
      <c r="N1924" s="193" t="s">
        <v>289</v>
      </c>
      <c r="O1924" s="175"/>
    </row>
    <row r="1925" spans="9:16" ht="16.5" thickBot="1">
      <c r="I1925" s="164" t="s">
        <v>181</v>
      </c>
      <c r="J1925" s="165"/>
      <c r="K1925" s="74">
        <f>+L1888</f>
        <v>0</v>
      </c>
      <c r="L1925" s="196">
        <f>+J1925+K1925</f>
        <v>0</v>
      </c>
      <c r="N1925" s="52"/>
    </row>
    <row r="1926" spans="9:16" ht="16.5" thickBot="1">
      <c r="I1926" s="169"/>
      <c r="J1926" s="197">
        <f>SUM(J1921:J1925)</f>
        <v>410000</v>
      </c>
      <c r="K1926" s="197">
        <f>SUM(K1921:K1925)</f>
        <v>548894234</v>
      </c>
      <c r="L1926" s="198">
        <f>SUM(L1921:L1925)</f>
        <v>549304234</v>
      </c>
    </row>
    <row r="1927" spans="9:16" ht="16.5">
      <c r="I1927" s="49" t="s">
        <v>88</v>
      </c>
      <c r="J1927" s="50"/>
    </row>
    <row r="1928" spans="9:16">
      <c r="I1928" s="51" t="s">
        <v>89</v>
      </c>
    </row>
    <row r="1929" spans="9:16">
      <c r="I1929" s="51" t="s">
        <v>90</v>
      </c>
    </row>
    <row r="1930" spans="9:16">
      <c r="I1930" s="51" t="s">
        <v>91</v>
      </c>
    </row>
    <row r="1931" spans="9:16" ht="11.25" customHeight="1">
      <c r="I1931" s="50"/>
      <c r="J1931" s="50"/>
    </row>
    <row r="1932" spans="9:16" ht="15.75">
      <c r="I1932" s="260" t="s">
        <v>981</v>
      </c>
      <c r="O1932" s="52"/>
    </row>
    <row r="1933" spans="9:16" ht="15.75">
      <c r="I1933" s="53" t="s">
        <v>535</v>
      </c>
      <c r="O1933" s="53"/>
    </row>
    <row r="1934" spans="9:16" ht="16.5">
      <c r="I1934" s="894" t="s">
        <v>909</v>
      </c>
      <c r="J1934" s="894"/>
      <c r="K1934" s="894"/>
      <c r="L1934" s="894"/>
      <c r="M1934" s="894"/>
      <c r="N1934" s="894"/>
      <c r="O1934" s="894"/>
      <c r="P1934" s="894"/>
    </row>
    <row r="1935" spans="9:16" ht="15.75" thickBot="1"/>
    <row r="1936" spans="9:16">
      <c r="I1936" s="895" t="s">
        <v>94</v>
      </c>
      <c r="J1936" s="897" t="s">
        <v>95</v>
      </c>
      <c r="K1936" s="897" t="s">
        <v>96</v>
      </c>
      <c r="L1936" s="897" t="s">
        <v>3</v>
      </c>
      <c r="M1936" s="897" t="s">
        <v>97</v>
      </c>
      <c r="N1936" s="897" t="s">
        <v>98</v>
      </c>
      <c r="O1936" s="897" t="s">
        <v>99</v>
      </c>
      <c r="P1936" s="899"/>
    </row>
    <row r="1937" spans="9:16" ht="15.75" thickBot="1">
      <c r="I1937" s="896"/>
      <c r="J1937" s="898"/>
      <c r="K1937" s="898"/>
      <c r="L1937" s="898"/>
      <c r="M1937" s="898"/>
      <c r="N1937" s="898"/>
      <c r="O1937" s="240" t="s">
        <v>100</v>
      </c>
      <c r="P1937" s="182" t="s">
        <v>101</v>
      </c>
    </row>
    <row r="1938" spans="9:16" ht="15" customHeight="1">
      <c r="I1938" s="881">
        <v>216</v>
      </c>
      <c r="J1938" s="875">
        <v>42549</v>
      </c>
      <c r="K1938" s="877" t="s">
        <v>272</v>
      </c>
      <c r="L1938" s="879" t="s">
        <v>986</v>
      </c>
      <c r="M1938" s="881" t="s">
        <v>115</v>
      </c>
      <c r="N1938" s="883">
        <v>60000</v>
      </c>
      <c r="O1938" s="55">
        <v>719</v>
      </c>
      <c r="P1938" s="78">
        <v>60000</v>
      </c>
    </row>
    <row r="1939" spans="9:16" ht="15.75" customHeight="1" thickBot="1">
      <c r="I1939" s="882"/>
      <c r="J1939" s="876"/>
      <c r="K1939" s="878"/>
      <c r="L1939" s="880"/>
      <c r="M1939" s="882"/>
      <c r="N1939" s="884"/>
      <c r="O1939" s="56">
        <v>721</v>
      </c>
      <c r="P1939" s="79">
        <f>+N1938-P1938</f>
        <v>0</v>
      </c>
    </row>
    <row r="1940" spans="9:16" ht="15" customHeight="1">
      <c r="I1940" s="881">
        <v>217</v>
      </c>
      <c r="J1940" s="875">
        <v>42549</v>
      </c>
      <c r="K1940" s="877" t="s">
        <v>28</v>
      </c>
      <c r="L1940" s="879" t="s">
        <v>987</v>
      </c>
      <c r="M1940" s="881" t="s">
        <v>115</v>
      </c>
      <c r="N1940" s="883">
        <v>50000</v>
      </c>
      <c r="O1940" s="55">
        <v>719</v>
      </c>
      <c r="P1940" s="78">
        <v>50000</v>
      </c>
    </row>
    <row r="1941" spans="9:16" ht="15.75" customHeight="1" thickBot="1">
      <c r="I1941" s="882"/>
      <c r="J1941" s="876"/>
      <c r="K1941" s="878"/>
      <c r="L1941" s="880"/>
      <c r="M1941" s="882"/>
      <c r="N1941" s="884"/>
      <c r="O1941" s="56">
        <v>721</v>
      </c>
      <c r="P1941" s="79">
        <f>+N1940-P1940</f>
        <v>0</v>
      </c>
    </row>
    <row r="1942" spans="9:16" ht="15" customHeight="1">
      <c r="I1942" s="881">
        <v>218</v>
      </c>
      <c r="J1942" s="875">
        <v>42549</v>
      </c>
      <c r="K1942" s="877" t="s">
        <v>28</v>
      </c>
      <c r="L1942" s="879" t="s">
        <v>988</v>
      </c>
      <c r="M1942" s="881" t="s">
        <v>115</v>
      </c>
      <c r="N1942" s="883">
        <v>40000</v>
      </c>
      <c r="O1942" s="55">
        <v>719</v>
      </c>
      <c r="P1942" s="78">
        <v>40000</v>
      </c>
    </row>
    <row r="1943" spans="9:16" ht="15.75" customHeight="1" thickBot="1">
      <c r="I1943" s="882"/>
      <c r="J1943" s="876"/>
      <c r="K1943" s="878"/>
      <c r="L1943" s="880"/>
      <c r="M1943" s="882"/>
      <c r="N1943" s="884"/>
      <c r="O1943" s="56">
        <v>721</v>
      </c>
      <c r="P1943" s="79">
        <f>+N1942-P1942</f>
        <v>0</v>
      </c>
    </row>
    <row r="1944" spans="9:16" ht="15" customHeight="1">
      <c r="I1944" s="881"/>
      <c r="J1944" s="875"/>
      <c r="K1944" s="877"/>
      <c r="L1944" s="879"/>
      <c r="M1944" s="881"/>
      <c r="N1944" s="883"/>
      <c r="O1944" s="55">
        <v>719</v>
      </c>
      <c r="P1944" s="78">
        <v>0</v>
      </c>
    </row>
    <row r="1945" spans="9:16" ht="15.75" customHeight="1" thickBot="1">
      <c r="I1945" s="882"/>
      <c r="J1945" s="876"/>
      <c r="K1945" s="878"/>
      <c r="L1945" s="880"/>
      <c r="M1945" s="882"/>
      <c r="N1945" s="884"/>
      <c r="O1945" s="56">
        <v>721</v>
      </c>
      <c r="P1945" s="79">
        <f>+N1944-P1944</f>
        <v>0</v>
      </c>
    </row>
    <row r="1946" spans="9:16">
      <c r="I1946" s="881"/>
      <c r="J1946" s="875"/>
      <c r="K1946" s="877"/>
      <c r="L1946" s="881"/>
      <c r="M1946" s="881"/>
      <c r="N1946" s="883"/>
      <c r="O1946" s="55">
        <v>719</v>
      </c>
      <c r="P1946" s="78"/>
    </row>
    <row r="1947" spans="9:16" ht="15.75" thickBot="1">
      <c r="I1947" s="882"/>
      <c r="J1947" s="876"/>
      <c r="K1947" s="878"/>
      <c r="L1947" s="882"/>
      <c r="M1947" s="882"/>
      <c r="N1947" s="884"/>
      <c r="O1947" s="56">
        <v>721</v>
      </c>
      <c r="P1947" s="79">
        <f>+N1946-P1946</f>
        <v>0</v>
      </c>
    </row>
    <row r="1948" spans="9:16" ht="16.5" thickBot="1">
      <c r="I1948" s="901" t="s">
        <v>102</v>
      </c>
      <c r="J1948" s="902"/>
      <c r="K1948" s="902"/>
      <c r="L1948" s="902"/>
      <c r="M1948" s="903"/>
      <c r="N1948" s="81">
        <f>SUM(N1938:N1947)</f>
        <v>150000</v>
      </c>
    </row>
    <row r="1949" spans="9:16" ht="16.5" thickBot="1">
      <c r="I1949" s="885" t="s">
        <v>103</v>
      </c>
      <c r="J1949" s="886"/>
      <c r="K1949" s="886"/>
      <c r="L1949" s="886"/>
      <c r="M1949" s="887"/>
      <c r="N1949" s="69">
        <f>+N1913</f>
        <v>514858860</v>
      </c>
      <c r="O1949" s="241" t="s">
        <v>561</v>
      </c>
      <c r="P1949" s="242">
        <f>314+120+93</f>
        <v>527</v>
      </c>
    </row>
    <row r="1950" spans="9:16" ht="16.5" thickBot="1">
      <c r="I1950" s="888" t="s">
        <v>104</v>
      </c>
      <c r="J1950" s="889"/>
      <c r="K1950" s="889"/>
      <c r="L1950" s="889"/>
      <c r="M1950" s="890"/>
      <c r="N1950" s="183">
        <f>SUM(N1948:N1949)</f>
        <v>515008860</v>
      </c>
    </row>
    <row r="1951" spans="9:16" ht="14.25" customHeight="1">
      <c r="I1951" s="61"/>
      <c r="J1951" s="61"/>
      <c r="K1951" s="61"/>
      <c r="L1951" s="61"/>
      <c r="M1951" s="61"/>
    </row>
    <row r="1952" spans="9:16">
      <c r="I1952" s="51" t="s">
        <v>991</v>
      </c>
    </row>
    <row r="1953" spans="9:15" ht="11.25" customHeight="1">
      <c r="N1953" s="139"/>
    </row>
    <row r="1954" spans="9:15">
      <c r="I1954" s="50" t="s">
        <v>105</v>
      </c>
      <c r="L1954" s="146"/>
      <c r="N1954" s="139"/>
    </row>
    <row r="1955" spans="9:15" ht="12" customHeight="1" thickBot="1"/>
    <row r="1956" spans="9:15" ht="15.75" thickBot="1">
      <c r="I1956" s="891" t="s">
        <v>106</v>
      </c>
      <c r="J1956" s="892"/>
      <c r="K1956" s="892"/>
      <c r="L1956" s="893"/>
      <c r="N1956" s="50" t="s">
        <v>288</v>
      </c>
    </row>
    <row r="1957" spans="9:15" ht="30.75" thickBot="1">
      <c r="I1957" s="57" t="s">
        <v>100</v>
      </c>
      <c r="J1957" s="58" t="s">
        <v>108</v>
      </c>
      <c r="K1957" s="287" t="s">
        <v>109</v>
      </c>
      <c r="L1957" s="60" t="s">
        <v>110</v>
      </c>
    </row>
    <row r="1958" spans="9:15">
      <c r="I1958" s="71">
        <v>719</v>
      </c>
      <c r="J1958" s="73">
        <f>+P1938+P1940+P1942+P1944+P1946</f>
        <v>150000</v>
      </c>
      <c r="K1958" s="74">
        <f>+L1921</f>
        <v>26195000</v>
      </c>
      <c r="L1958" s="195">
        <f>+J1958+K1958</f>
        <v>26345000</v>
      </c>
    </row>
    <row r="1959" spans="9:15">
      <c r="I1959" s="72">
        <v>721</v>
      </c>
      <c r="J1959" s="80">
        <f>+P1939+P1941+P1943+P1945</f>
        <v>0</v>
      </c>
      <c r="K1959" s="74">
        <f>+L1922</f>
        <v>126463583</v>
      </c>
      <c r="L1959" s="195">
        <f>+J1959+K1959</f>
        <v>126463583</v>
      </c>
    </row>
    <row r="1960" spans="9:15">
      <c r="I1960" s="72">
        <v>722</v>
      </c>
      <c r="J1960" s="80"/>
      <c r="K1960" s="74">
        <f>+L1923</f>
        <v>0</v>
      </c>
      <c r="L1960" s="195">
        <f>+J1960+K1960</f>
        <v>0</v>
      </c>
    </row>
    <row r="1961" spans="9:15" ht="15.75">
      <c r="I1961" s="72">
        <v>723</v>
      </c>
      <c r="J1961" s="80"/>
      <c r="K1961" s="74">
        <f>+L1924</f>
        <v>396645651</v>
      </c>
      <c r="L1961" s="195">
        <f>+J1961+K1961</f>
        <v>396645651</v>
      </c>
      <c r="N1961" s="193" t="s">
        <v>289</v>
      </c>
      <c r="O1961" s="175"/>
    </row>
    <row r="1962" spans="9:15" ht="16.5" thickBot="1">
      <c r="I1962" s="164" t="s">
        <v>181</v>
      </c>
      <c r="J1962" s="165"/>
      <c r="K1962" s="74">
        <f>+L1925</f>
        <v>0</v>
      </c>
      <c r="L1962" s="196">
        <f>+J1962+K1962</f>
        <v>0</v>
      </c>
      <c r="N1962" s="52"/>
    </row>
    <row r="1963" spans="9:15" ht="16.5" thickBot="1">
      <c r="I1963" s="169"/>
      <c r="J1963" s="197">
        <f>SUM(J1958:J1962)</f>
        <v>150000</v>
      </c>
      <c r="K1963" s="197">
        <f>SUM(K1958:K1962)</f>
        <v>549304234</v>
      </c>
      <c r="L1963" s="198">
        <f>SUM(L1958:L1962)</f>
        <v>549454234</v>
      </c>
    </row>
    <row r="1964" spans="9:15" ht="16.5">
      <c r="I1964" s="49" t="s">
        <v>88</v>
      </c>
      <c r="J1964" s="50"/>
    </row>
    <row r="1965" spans="9:15">
      <c r="I1965" s="51" t="s">
        <v>89</v>
      </c>
    </row>
    <row r="1966" spans="9:15">
      <c r="I1966" s="51" t="s">
        <v>90</v>
      </c>
    </row>
    <row r="1967" spans="9:15">
      <c r="I1967" s="51" t="s">
        <v>91</v>
      </c>
    </row>
    <row r="1968" spans="9:15" ht="11.25" customHeight="1">
      <c r="I1968" s="50"/>
      <c r="J1968" s="50"/>
    </row>
    <row r="1969" spans="9:16" ht="15.75">
      <c r="I1969" s="260" t="s">
        <v>992</v>
      </c>
      <c r="O1969" s="52"/>
    </row>
    <row r="1970" spans="9:16" ht="15.75">
      <c r="I1970" s="53" t="s">
        <v>535</v>
      </c>
      <c r="O1970" s="53"/>
    </row>
    <row r="1971" spans="9:16" ht="16.5">
      <c r="I1971" s="894" t="s">
        <v>909</v>
      </c>
      <c r="J1971" s="894"/>
      <c r="K1971" s="894"/>
      <c r="L1971" s="894"/>
      <c r="M1971" s="894"/>
      <c r="N1971" s="894"/>
      <c r="O1971" s="894"/>
      <c r="P1971" s="894"/>
    </row>
    <row r="1972" spans="9:16" ht="15.75" thickBot="1"/>
    <row r="1973" spans="9:16">
      <c r="I1973" s="895" t="s">
        <v>94</v>
      </c>
      <c r="J1973" s="897" t="s">
        <v>95</v>
      </c>
      <c r="K1973" s="897" t="s">
        <v>96</v>
      </c>
      <c r="L1973" s="897" t="s">
        <v>3</v>
      </c>
      <c r="M1973" s="897" t="s">
        <v>97</v>
      </c>
      <c r="N1973" s="897" t="s">
        <v>98</v>
      </c>
      <c r="O1973" s="897" t="s">
        <v>99</v>
      </c>
      <c r="P1973" s="899"/>
    </row>
    <row r="1974" spans="9:16" ht="15.75" thickBot="1">
      <c r="I1974" s="896"/>
      <c r="J1974" s="898"/>
      <c r="K1974" s="898"/>
      <c r="L1974" s="898"/>
      <c r="M1974" s="898"/>
      <c r="N1974" s="898"/>
      <c r="O1974" s="240" t="s">
        <v>100</v>
      </c>
      <c r="P1974" s="182" t="s">
        <v>101</v>
      </c>
    </row>
    <row r="1975" spans="9:16">
      <c r="I1975" s="881">
        <v>219</v>
      </c>
      <c r="J1975" s="875">
        <v>42549</v>
      </c>
      <c r="K1975" s="877" t="s">
        <v>272</v>
      </c>
      <c r="L1975" s="879" t="s">
        <v>996</v>
      </c>
      <c r="M1975" s="881" t="s">
        <v>115</v>
      </c>
      <c r="N1975" s="883">
        <v>190000</v>
      </c>
      <c r="O1975" s="55">
        <v>719</v>
      </c>
      <c r="P1975" s="78">
        <v>190000</v>
      </c>
    </row>
    <row r="1976" spans="9:16" ht="15.75" thickBot="1">
      <c r="I1976" s="882"/>
      <c r="J1976" s="876"/>
      <c r="K1976" s="878"/>
      <c r="L1976" s="880"/>
      <c r="M1976" s="882"/>
      <c r="N1976" s="884"/>
      <c r="O1976" s="56">
        <v>721</v>
      </c>
      <c r="P1976" s="79">
        <f>+N1975-P1975</f>
        <v>0</v>
      </c>
    </row>
    <row r="1977" spans="9:16">
      <c r="I1977" s="881">
        <v>220</v>
      </c>
      <c r="J1977" s="875">
        <v>42549</v>
      </c>
      <c r="K1977" s="877" t="s">
        <v>28</v>
      </c>
      <c r="L1977" s="879" t="s">
        <v>993</v>
      </c>
      <c r="M1977" s="881" t="s">
        <v>115</v>
      </c>
      <c r="N1977" s="883">
        <v>60000</v>
      </c>
      <c r="O1977" s="55">
        <v>719</v>
      </c>
      <c r="P1977" s="78">
        <v>60000</v>
      </c>
    </row>
    <row r="1978" spans="9:16" ht="15.75" thickBot="1">
      <c r="I1978" s="882"/>
      <c r="J1978" s="876"/>
      <c r="K1978" s="878"/>
      <c r="L1978" s="880"/>
      <c r="M1978" s="882"/>
      <c r="N1978" s="884"/>
      <c r="O1978" s="56">
        <v>721</v>
      </c>
      <c r="P1978" s="79">
        <f>+N1977-P1977</f>
        <v>0</v>
      </c>
    </row>
    <row r="1979" spans="9:16">
      <c r="I1979" s="881">
        <v>221</v>
      </c>
      <c r="J1979" s="875">
        <v>42549</v>
      </c>
      <c r="K1979" s="877" t="s">
        <v>120</v>
      </c>
      <c r="L1979" s="879" t="s">
        <v>994</v>
      </c>
      <c r="M1979" s="881" t="s">
        <v>115</v>
      </c>
      <c r="N1979" s="883">
        <v>50000</v>
      </c>
      <c r="O1979" s="55">
        <v>719</v>
      </c>
      <c r="P1979" s="78">
        <v>50000</v>
      </c>
    </row>
    <row r="1980" spans="9:16" ht="15.75" thickBot="1">
      <c r="I1980" s="882"/>
      <c r="J1980" s="876"/>
      <c r="K1980" s="878"/>
      <c r="L1980" s="880"/>
      <c r="M1980" s="882"/>
      <c r="N1980" s="884"/>
      <c r="O1980" s="56">
        <v>721</v>
      </c>
      <c r="P1980" s="79">
        <f>+N1979-P1979</f>
        <v>0</v>
      </c>
    </row>
    <row r="1981" spans="9:16">
      <c r="I1981" s="881"/>
      <c r="J1981" s="875"/>
      <c r="K1981" s="877"/>
      <c r="L1981" s="879"/>
      <c r="M1981" s="881"/>
      <c r="N1981" s="883"/>
      <c r="O1981" s="55">
        <v>719</v>
      </c>
      <c r="P1981" s="78">
        <v>0</v>
      </c>
    </row>
    <row r="1982" spans="9:16" ht="13.5" customHeight="1" thickBot="1">
      <c r="I1982" s="882"/>
      <c r="J1982" s="876"/>
      <c r="K1982" s="878"/>
      <c r="L1982" s="880"/>
      <c r="M1982" s="882"/>
      <c r="N1982" s="884"/>
      <c r="O1982" s="56">
        <v>721</v>
      </c>
      <c r="P1982" s="79">
        <f>+N1981-P1981</f>
        <v>0</v>
      </c>
    </row>
    <row r="1983" spans="9:16">
      <c r="I1983" s="881"/>
      <c r="J1983" s="875"/>
      <c r="K1983" s="877"/>
      <c r="L1983" s="881"/>
      <c r="M1983" s="881"/>
      <c r="N1983" s="883"/>
      <c r="O1983" s="55">
        <v>719</v>
      </c>
      <c r="P1983" s="78"/>
    </row>
    <row r="1984" spans="9:16" ht="12" customHeight="1" thickBot="1">
      <c r="I1984" s="882"/>
      <c r="J1984" s="876"/>
      <c r="K1984" s="878"/>
      <c r="L1984" s="882"/>
      <c r="M1984" s="882"/>
      <c r="N1984" s="884"/>
      <c r="O1984" s="56">
        <v>721</v>
      </c>
      <c r="P1984" s="79">
        <f>+N1983-P1983</f>
        <v>0</v>
      </c>
    </row>
    <row r="1985" spans="9:16" ht="16.5" thickBot="1">
      <c r="I1985" s="901" t="s">
        <v>102</v>
      </c>
      <c r="J1985" s="902"/>
      <c r="K1985" s="902"/>
      <c r="L1985" s="902"/>
      <c r="M1985" s="903"/>
      <c r="N1985" s="81">
        <f>SUM(N1975:N1984)</f>
        <v>300000</v>
      </c>
    </row>
    <row r="1986" spans="9:16" ht="16.5" thickBot="1">
      <c r="I1986" s="885" t="s">
        <v>103</v>
      </c>
      <c r="J1986" s="886"/>
      <c r="K1986" s="886"/>
      <c r="L1986" s="886"/>
      <c r="M1986" s="887"/>
      <c r="N1986" s="69">
        <f>+N1950</f>
        <v>515008860</v>
      </c>
      <c r="O1986" s="241" t="s">
        <v>561</v>
      </c>
      <c r="P1986" s="242">
        <f>50+174+606</f>
        <v>830</v>
      </c>
    </row>
    <row r="1987" spans="9:16" ht="16.5" thickBot="1">
      <c r="I1987" s="888" t="s">
        <v>104</v>
      </c>
      <c r="J1987" s="889"/>
      <c r="K1987" s="889"/>
      <c r="L1987" s="889"/>
      <c r="M1987" s="890"/>
      <c r="N1987" s="183">
        <f>SUM(N1985:N1986)</f>
        <v>515308860</v>
      </c>
    </row>
    <row r="1988" spans="9:16">
      <c r="I1988" s="61"/>
      <c r="J1988" s="61"/>
      <c r="K1988" s="61"/>
      <c r="L1988" s="61"/>
      <c r="M1988" s="61"/>
    </row>
    <row r="1989" spans="9:16">
      <c r="I1989" s="51" t="s">
        <v>995</v>
      </c>
    </row>
    <row r="1990" spans="9:16">
      <c r="N1990" s="139"/>
    </row>
    <row r="1991" spans="9:16">
      <c r="I1991" s="50" t="s">
        <v>105</v>
      </c>
      <c r="L1991" s="146"/>
      <c r="N1991" s="139"/>
    </row>
    <row r="1992" spans="9:16" ht="12.75" customHeight="1" thickBot="1"/>
    <row r="1993" spans="9:16" ht="15.75" thickBot="1">
      <c r="I1993" s="891" t="s">
        <v>106</v>
      </c>
      <c r="J1993" s="892"/>
      <c r="K1993" s="892"/>
      <c r="L1993" s="893"/>
      <c r="N1993" s="50" t="s">
        <v>288</v>
      </c>
    </row>
    <row r="1994" spans="9:16" ht="30.75" thickBot="1">
      <c r="I1994" s="57" t="s">
        <v>100</v>
      </c>
      <c r="J1994" s="58" t="s">
        <v>108</v>
      </c>
      <c r="K1994" s="287" t="s">
        <v>109</v>
      </c>
      <c r="L1994" s="60" t="s">
        <v>110</v>
      </c>
    </row>
    <row r="1995" spans="9:16">
      <c r="I1995" s="71">
        <v>719</v>
      </c>
      <c r="J1995" s="73">
        <f>+P1975+P1977+P1979+P1981+P1983</f>
        <v>300000</v>
      </c>
      <c r="K1995" s="74">
        <f>+L1958</f>
        <v>26345000</v>
      </c>
      <c r="L1995" s="195">
        <f>+J1995+K1995</f>
        <v>26645000</v>
      </c>
    </row>
    <row r="1996" spans="9:16">
      <c r="I1996" s="72">
        <v>721</v>
      </c>
      <c r="J1996" s="80">
        <f>+P1976+P1978+P1980+P1982</f>
        <v>0</v>
      </c>
      <c r="K1996" s="74">
        <f>+L1959</f>
        <v>126463583</v>
      </c>
      <c r="L1996" s="195">
        <f>+J1996+K1996</f>
        <v>126463583</v>
      </c>
    </row>
    <row r="1997" spans="9:16">
      <c r="I1997" s="72">
        <v>722</v>
      </c>
      <c r="J1997" s="80"/>
      <c r="K1997" s="74">
        <f>+L1960</f>
        <v>0</v>
      </c>
      <c r="L1997" s="195">
        <f>+J1997+K1997</f>
        <v>0</v>
      </c>
    </row>
    <row r="1998" spans="9:16" ht="15.75">
      <c r="I1998" s="72">
        <v>723</v>
      </c>
      <c r="J1998" s="80"/>
      <c r="K1998" s="74">
        <f>+L1961</f>
        <v>396645651</v>
      </c>
      <c r="L1998" s="195">
        <f>+J1998+K1998</f>
        <v>396645651</v>
      </c>
      <c r="N1998" s="193" t="s">
        <v>289</v>
      </c>
      <c r="O1998" s="175"/>
    </row>
    <row r="1999" spans="9:16" ht="16.5" thickBot="1">
      <c r="I1999" s="164" t="s">
        <v>181</v>
      </c>
      <c r="J1999" s="165"/>
      <c r="K1999" s="74">
        <f>+L1962</f>
        <v>0</v>
      </c>
      <c r="L1999" s="196">
        <f>+J1999+K1999</f>
        <v>0</v>
      </c>
      <c r="N1999" s="52"/>
    </row>
    <row r="2000" spans="9:16" ht="16.5" thickBot="1">
      <c r="I2000" s="169"/>
      <c r="J2000" s="197">
        <f>SUM(J1995:J1999)</f>
        <v>300000</v>
      </c>
      <c r="K2000" s="197">
        <f>SUM(K1995:K1999)</f>
        <v>549454234</v>
      </c>
      <c r="L2000" s="198">
        <f>SUM(L1995:L1999)</f>
        <v>549754234</v>
      </c>
    </row>
    <row r="2001" spans="9:16" ht="16.5">
      <c r="I2001" s="49" t="s">
        <v>88</v>
      </c>
      <c r="J2001" s="50"/>
    </row>
    <row r="2002" spans="9:16">
      <c r="I2002" s="51" t="s">
        <v>89</v>
      </c>
    </row>
    <row r="2003" spans="9:16">
      <c r="I2003" s="51" t="s">
        <v>90</v>
      </c>
    </row>
    <row r="2004" spans="9:16">
      <c r="I2004" s="51" t="s">
        <v>91</v>
      </c>
    </row>
    <row r="2005" spans="9:16" ht="12.75" customHeight="1">
      <c r="I2005" s="50"/>
      <c r="J2005" s="50"/>
    </row>
    <row r="2006" spans="9:16" ht="15.75">
      <c r="I2006" s="260" t="s">
        <v>997</v>
      </c>
      <c r="O2006" s="52"/>
    </row>
    <row r="2007" spans="9:16" ht="15.75">
      <c r="I2007" s="53" t="s">
        <v>535</v>
      </c>
      <c r="O2007" s="53"/>
    </row>
    <row r="2008" spans="9:16" ht="16.5">
      <c r="I2008" s="894" t="s">
        <v>909</v>
      </c>
      <c r="J2008" s="894"/>
      <c r="K2008" s="894"/>
      <c r="L2008" s="894"/>
      <c r="M2008" s="894"/>
      <c r="N2008" s="894"/>
      <c r="O2008" s="894"/>
      <c r="P2008" s="894"/>
    </row>
    <row r="2009" spans="9:16" ht="15.75" thickBot="1"/>
    <row r="2010" spans="9:16">
      <c r="I2010" s="895" t="s">
        <v>94</v>
      </c>
      <c r="J2010" s="897" t="s">
        <v>95</v>
      </c>
      <c r="K2010" s="897" t="s">
        <v>96</v>
      </c>
      <c r="L2010" s="897" t="s">
        <v>3</v>
      </c>
      <c r="M2010" s="897" t="s">
        <v>97</v>
      </c>
      <c r="N2010" s="897" t="s">
        <v>98</v>
      </c>
      <c r="O2010" s="897" t="s">
        <v>99</v>
      </c>
      <c r="P2010" s="899"/>
    </row>
    <row r="2011" spans="9:16" ht="15.75" thickBot="1">
      <c r="I2011" s="896"/>
      <c r="J2011" s="898"/>
      <c r="K2011" s="898"/>
      <c r="L2011" s="898"/>
      <c r="M2011" s="898"/>
      <c r="N2011" s="898"/>
      <c r="O2011" s="240" t="s">
        <v>100</v>
      </c>
      <c r="P2011" s="182" t="s">
        <v>101</v>
      </c>
    </row>
    <row r="2012" spans="9:16">
      <c r="I2012" s="881">
        <v>222</v>
      </c>
      <c r="J2012" s="875">
        <v>42551</v>
      </c>
      <c r="K2012" s="877" t="s">
        <v>40</v>
      </c>
      <c r="L2012" s="879" t="s">
        <v>999</v>
      </c>
      <c r="M2012" s="881" t="s">
        <v>148</v>
      </c>
      <c r="N2012" s="883">
        <v>28000</v>
      </c>
      <c r="O2012" s="55">
        <v>719</v>
      </c>
      <c r="P2012" s="78">
        <v>20000</v>
      </c>
    </row>
    <row r="2013" spans="9:16" ht="15.75" thickBot="1">
      <c r="I2013" s="882"/>
      <c r="J2013" s="876"/>
      <c r="K2013" s="878"/>
      <c r="L2013" s="880"/>
      <c r="M2013" s="882"/>
      <c r="N2013" s="884"/>
      <c r="O2013" s="56">
        <v>721</v>
      </c>
      <c r="P2013" s="79">
        <f>+N2012-P2012</f>
        <v>8000</v>
      </c>
    </row>
    <row r="2014" spans="9:16" ht="15" customHeight="1">
      <c r="I2014" s="881">
        <v>223</v>
      </c>
      <c r="J2014" s="875">
        <v>42551</v>
      </c>
      <c r="K2014" s="877" t="s">
        <v>28</v>
      </c>
      <c r="L2014" s="879" t="s">
        <v>983</v>
      </c>
      <c r="M2014" s="881" t="s">
        <v>148</v>
      </c>
      <c r="N2014" s="883">
        <v>294000</v>
      </c>
      <c r="O2014" s="55">
        <v>719</v>
      </c>
      <c r="P2014" s="78">
        <v>210000</v>
      </c>
    </row>
    <row r="2015" spans="9:16" ht="15.75" customHeight="1" thickBot="1">
      <c r="I2015" s="882"/>
      <c r="J2015" s="876"/>
      <c r="K2015" s="878"/>
      <c r="L2015" s="880"/>
      <c r="M2015" s="882"/>
      <c r="N2015" s="884"/>
      <c r="O2015" s="56">
        <v>721</v>
      </c>
      <c r="P2015" s="79">
        <f>+N2014-P2014</f>
        <v>84000</v>
      </c>
    </row>
    <row r="2016" spans="9:16" ht="15" customHeight="1">
      <c r="I2016" s="881">
        <v>224</v>
      </c>
      <c r="J2016" s="875">
        <v>42551</v>
      </c>
      <c r="K2016" s="877" t="s">
        <v>111</v>
      </c>
      <c r="L2016" s="879" t="s">
        <v>1000</v>
      </c>
      <c r="M2016" s="881" t="s">
        <v>148</v>
      </c>
      <c r="N2016" s="883">
        <v>84000</v>
      </c>
      <c r="O2016" s="55">
        <v>719</v>
      </c>
      <c r="P2016" s="78">
        <v>60000</v>
      </c>
    </row>
    <row r="2017" spans="9:16" ht="15.75" customHeight="1" thickBot="1">
      <c r="I2017" s="882"/>
      <c r="J2017" s="876"/>
      <c r="K2017" s="878"/>
      <c r="L2017" s="880"/>
      <c r="M2017" s="882"/>
      <c r="N2017" s="884"/>
      <c r="O2017" s="56">
        <v>721</v>
      </c>
      <c r="P2017" s="79">
        <f>+N2016-P2016</f>
        <v>24000</v>
      </c>
    </row>
    <row r="2018" spans="9:16" ht="15" customHeight="1">
      <c r="I2018" s="881">
        <v>225</v>
      </c>
      <c r="J2018" s="875">
        <v>42551</v>
      </c>
      <c r="K2018" s="877" t="s">
        <v>272</v>
      </c>
      <c r="L2018" s="879" t="s">
        <v>983</v>
      </c>
      <c r="M2018" s="881" t="s">
        <v>148</v>
      </c>
      <c r="N2018" s="883">
        <v>672000</v>
      </c>
      <c r="O2018" s="55">
        <v>719</v>
      </c>
      <c r="P2018" s="78">
        <v>480000</v>
      </c>
    </row>
    <row r="2019" spans="9:16" ht="15.75" customHeight="1" thickBot="1">
      <c r="I2019" s="882"/>
      <c r="J2019" s="876"/>
      <c r="K2019" s="878"/>
      <c r="L2019" s="880"/>
      <c r="M2019" s="882"/>
      <c r="N2019" s="884"/>
      <c r="O2019" s="56">
        <v>721</v>
      </c>
      <c r="P2019" s="79">
        <f>+N2018-P2018</f>
        <v>192000</v>
      </c>
    </row>
    <row r="2020" spans="9:16" ht="14.25" customHeight="1">
      <c r="I2020" s="881"/>
      <c r="J2020" s="875"/>
      <c r="K2020" s="877"/>
      <c r="L2020" s="881"/>
      <c r="M2020" s="881"/>
      <c r="N2020" s="883"/>
      <c r="O2020" s="55">
        <v>719</v>
      </c>
      <c r="P2020" s="78"/>
    </row>
    <row r="2021" spans="9:16" ht="12.75" customHeight="1" thickBot="1">
      <c r="I2021" s="882"/>
      <c r="J2021" s="876"/>
      <c r="K2021" s="878"/>
      <c r="L2021" s="882"/>
      <c r="M2021" s="882"/>
      <c r="N2021" s="884"/>
      <c r="O2021" s="56">
        <v>721</v>
      </c>
      <c r="P2021" s="79">
        <f>+N2020-P2020</f>
        <v>0</v>
      </c>
    </row>
    <row r="2022" spans="9:16" ht="16.5" thickBot="1">
      <c r="I2022" s="901" t="s">
        <v>102</v>
      </c>
      <c r="J2022" s="902"/>
      <c r="K2022" s="902"/>
      <c r="L2022" s="902"/>
      <c r="M2022" s="903"/>
      <c r="N2022" s="81">
        <f>SUM(N2012:N2021)</f>
        <v>1078000</v>
      </c>
    </row>
    <row r="2023" spans="9:16" ht="16.5" thickBot="1">
      <c r="I2023" s="885" t="s">
        <v>103</v>
      </c>
      <c r="J2023" s="886"/>
      <c r="K2023" s="886"/>
      <c r="L2023" s="886"/>
      <c r="M2023" s="887"/>
      <c r="N2023" s="69">
        <f>+N1987</f>
        <v>515308860</v>
      </c>
      <c r="O2023" s="241" t="s">
        <v>561</v>
      </c>
      <c r="P2023" s="242">
        <f>22+571+21+917</f>
        <v>1531</v>
      </c>
    </row>
    <row r="2024" spans="9:16" ht="16.5" thickBot="1">
      <c r="I2024" s="888" t="s">
        <v>104</v>
      </c>
      <c r="J2024" s="889"/>
      <c r="K2024" s="889"/>
      <c r="L2024" s="889"/>
      <c r="M2024" s="890"/>
      <c r="N2024" s="183">
        <f>SUM(N2022:N2023)</f>
        <v>516386860</v>
      </c>
    </row>
    <row r="2025" spans="9:16">
      <c r="I2025" s="61"/>
      <c r="J2025" s="61"/>
      <c r="K2025" s="61"/>
      <c r="L2025" s="61"/>
      <c r="M2025" s="61"/>
    </row>
    <row r="2026" spans="9:16">
      <c r="I2026" s="51" t="s">
        <v>1006</v>
      </c>
    </row>
    <row r="2027" spans="9:16" ht="12.75" customHeight="1">
      <c r="N2027" s="139"/>
    </row>
    <row r="2028" spans="9:16">
      <c r="I2028" s="50" t="s">
        <v>105</v>
      </c>
      <c r="L2028" s="146"/>
      <c r="N2028" s="139"/>
    </row>
    <row r="2029" spans="9:16" ht="15.75" thickBot="1"/>
    <row r="2030" spans="9:16" ht="15.75" thickBot="1">
      <c r="I2030" s="891" t="s">
        <v>106</v>
      </c>
      <c r="J2030" s="892"/>
      <c r="K2030" s="892"/>
      <c r="L2030" s="893"/>
      <c r="N2030" s="50" t="s">
        <v>288</v>
      </c>
    </row>
    <row r="2031" spans="9:16" ht="30.75" thickBot="1">
      <c r="I2031" s="57" t="s">
        <v>100</v>
      </c>
      <c r="J2031" s="58" t="s">
        <v>108</v>
      </c>
      <c r="K2031" s="287" t="s">
        <v>109</v>
      </c>
      <c r="L2031" s="60" t="s">
        <v>110</v>
      </c>
    </row>
    <row r="2032" spans="9:16">
      <c r="I2032" s="71">
        <v>719</v>
      </c>
      <c r="J2032" s="73">
        <f>+P2012+P2014+P2016+P2018+P2020</f>
        <v>770000</v>
      </c>
      <c r="K2032" s="74">
        <f>+L1995</f>
        <v>26645000</v>
      </c>
      <c r="L2032" s="195">
        <f>+J2032+K2032</f>
        <v>27415000</v>
      </c>
    </row>
    <row r="2033" spans="9:16">
      <c r="I2033" s="72">
        <v>721</v>
      </c>
      <c r="J2033" s="80">
        <f>+P2013+P2015+P2017+P2019</f>
        <v>308000</v>
      </c>
      <c r="K2033" s="74">
        <f>+L1996</f>
        <v>126463583</v>
      </c>
      <c r="L2033" s="195">
        <f>+J2033+K2033</f>
        <v>126771583</v>
      </c>
    </row>
    <row r="2034" spans="9:16">
      <c r="I2034" s="72">
        <v>722</v>
      </c>
      <c r="J2034" s="80"/>
      <c r="K2034" s="74">
        <f>+L1997</f>
        <v>0</v>
      </c>
      <c r="L2034" s="195">
        <f>+J2034+K2034</f>
        <v>0</v>
      </c>
    </row>
    <row r="2035" spans="9:16" ht="15.75">
      <c r="I2035" s="72">
        <v>723</v>
      </c>
      <c r="J2035" s="80"/>
      <c r="K2035" s="74">
        <f>+L1998</f>
        <v>396645651</v>
      </c>
      <c r="L2035" s="195">
        <f>+J2035+K2035</f>
        <v>396645651</v>
      </c>
      <c r="N2035" s="193" t="s">
        <v>289</v>
      </c>
      <c r="O2035" s="175"/>
    </row>
    <row r="2036" spans="9:16" ht="16.5" thickBot="1">
      <c r="I2036" s="164" t="s">
        <v>181</v>
      </c>
      <c r="J2036" s="165"/>
      <c r="K2036" s="74">
        <f>+L1999</f>
        <v>0</v>
      </c>
      <c r="L2036" s="196">
        <f>+J2036+K2036</f>
        <v>0</v>
      </c>
      <c r="N2036" s="52"/>
    </row>
    <row r="2037" spans="9:16" ht="16.5" thickBot="1">
      <c r="I2037" s="169"/>
      <c r="J2037" s="197">
        <f>SUM(J2032:J2036)</f>
        <v>1078000</v>
      </c>
      <c r="K2037" s="197">
        <f>SUM(K2032:K2036)</f>
        <v>549754234</v>
      </c>
      <c r="L2037" s="198">
        <f>SUM(L2032:L2036)</f>
        <v>550832234</v>
      </c>
    </row>
    <row r="2038" spans="9:16" ht="16.5">
      <c r="I2038" s="49" t="s">
        <v>88</v>
      </c>
      <c r="J2038" s="50"/>
    </row>
    <row r="2039" spans="9:16">
      <c r="I2039" s="51" t="s">
        <v>89</v>
      </c>
    </row>
    <row r="2040" spans="9:16">
      <c r="I2040" s="51" t="s">
        <v>90</v>
      </c>
    </row>
    <row r="2041" spans="9:16">
      <c r="I2041" s="51" t="s">
        <v>91</v>
      </c>
    </row>
    <row r="2042" spans="9:16" ht="12.75" customHeight="1">
      <c r="I2042" s="50"/>
      <c r="J2042" s="50"/>
    </row>
    <row r="2043" spans="9:16" ht="15.75">
      <c r="I2043" s="260" t="s">
        <v>998</v>
      </c>
      <c r="O2043" s="52"/>
    </row>
    <row r="2044" spans="9:16" ht="15.75">
      <c r="I2044" s="53" t="s">
        <v>535</v>
      </c>
      <c r="O2044" s="53"/>
    </row>
    <row r="2045" spans="9:16" ht="16.5">
      <c r="I2045" s="894" t="s">
        <v>909</v>
      </c>
      <c r="J2045" s="894"/>
      <c r="K2045" s="894"/>
      <c r="L2045" s="894"/>
      <c r="M2045" s="894"/>
      <c r="N2045" s="894"/>
      <c r="O2045" s="894"/>
      <c r="P2045" s="894"/>
    </row>
    <row r="2046" spans="9:16" ht="15.75" thickBot="1"/>
    <row r="2047" spans="9:16">
      <c r="I2047" s="895" t="s">
        <v>94</v>
      </c>
      <c r="J2047" s="897" t="s">
        <v>95</v>
      </c>
      <c r="K2047" s="897" t="s">
        <v>96</v>
      </c>
      <c r="L2047" s="897" t="s">
        <v>3</v>
      </c>
      <c r="M2047" s="897" t="s">
        <v>97</v>
      </c>
      <c r="N2047" s="897" t="s">
        <v>98</v>
      </c>
      <c r="O2047" s="897" t="s">
        <v>99</v>
      </c>
      <c r="P2047" s="899"/>
    </row>
    <row r="2048" spans="9:16" ht="15.75" thickBot="1">
      <c r="I2048" s="896"/>
      <c r="J2048" s="898"/>
      <c r="K2048" s="898"/>
      <c r="L2048" s="898"/>
      <c r="M2048" s="898"/>
      <c r="N2048" s="898"/>
      <c r="O2048" s="240" t="s">
        <v>100</v>
      </c>
      <c r="P2048" s="182" t="s">
        <v>101</v>
      </c>
    </row>
    <row r="2049" spans="9:16" ht="15" customHeight="1">
      <c r="I2049" s="881">
        <v>226</v>
      </c>
      <c r="J2049" s="875">
        <v>42551</v>
      </c>
      <c r="K2049" s="877" t="s">
        <v>40</v>
      </c>
      <c r="L2049" s="879" t="s">
        <v>1001</v>
      </c>
      <c r="M2049" s="881" t="s">
        <v>148</v>
      </c>
      <c r="N2049" s="883">
        <v>140000</v>
      </c>
      <c r="O2049" s="55">
        <v>719</v>
      </c>
      <c r="P2049" s="78">
        <v>100000</v>
      </c>
    </row>
    <row r="2050" spans="9:16" ht="15.75" customHeight="1" thickBot="1">
      <c r="I2050" s="882"/>
      <c r="J2050" s="876"/>
      <c r="K2050" s="878"/>
      <c r="L2050" s="880"/>
      <c r="M2050" s="882"/>
      <c r="N2050" s="884"/>
      <c r="O2050" s="56">
        <v>721</v>
      </c>
      <c r="P2050" s="79">
        <f>+N2049-P2049</f>
        <v>40000</v>
      </c>
    </row>
    <row r="2051" spans="9:16" ht="15" customHeight="1">
      <c r="I2051" s="881">
        <v>227</v>
      </c>
      <c r="J2051" s="875">
        <v>42551</v>
      </c>
      <c r="K2051" s="877" t="s">
        <v>28</v>
      </c>
      <c r="L2051" s="879" t="s">
        <v>1002</v>
      </c>
      <c r="M2051" s="881" t="s">
        <v>148</v>
      </c>
      <c r="N2051" s="883">
        <v>966000</v>
      </c>
      <c r="O2051" s="55">
        <v>719</v>
      </c>
      <c r="P2051" s="78">
        <v>690000</v>
      </c>
    </row>
    <row r="2052" spans="9:16" ht="15.75" customHeight="1" thickBot="1">
      <c r="I2052" s="882"/>
      <c r="J2052" s="876"/>
      <c r="K2052" s="878"/>
      <c r="L2052" s="880"/>
      <c r="M2052" s="882"/>
      <c r="N2052" s="884"/>
      <c r="O2052" s="56">
        <v>721</v>
      </c>
      <c r="P2052" s="79">
        <f>+N2051-P2051</f>
        <v>276000</v>
      </c>
    </row>
    <row r="2053" spans="9:16" ht="15" customHeight="1">
      <c r="I2053" s="881">
        <v>228</v>
      </c>
      <c r="J2053" s="875">
        <v>42551</v>
      </c>
      <c r="K2053" s="877" t="s">
        <v>111</v>
      </c>
      <c r="L2053" s="879" t="s">
        <v>1003</v>
      </c>
      <c r="M2053" s="881" t="s">
        <v>148</v>
      </c>
      <c r="N2053" s="883">
        <v>252000</v>
      </c>
      <c r="O2053" s="55">
        <v>719</v>
      </c>
      <c r="P2053" s="78">
        <v>180000</v>
      </c>
    </row>
    <row r="2054" spans="9:16" ht="15.75" customHeight="1" thickBot="1">
      <c r="I2054" s="882"/>
      <c r="J2054" s="876"/>
      <c r="K2054" s="878"/>
      <c r="L2054" s="880"/>
      <c r="M2054" s="882"/>
      <c r="N2054" s="884"/>
      <c r="O2054" s="56">
        <v>721</v>
      </c>
      <c r="P2054" s="79">
        <f>+N2053-P2053</f>
        <v>72000</v>
      </c>
    </row>
    <row r="2055" spans="9:16" ht="15" customHeight="1">
      <c r="I2055" s="881">
        <v>229</v>
      </c>
      <c r="J2055" s="875">
        <v>42551</v>
      </c>
      <c r="K2055" s="877" t="s">
        <v>272</v>
      </c>
      <c r="L2055" s="879" t="s">
        <v>1004</v>
      </c>
      <c r="M2055" s="881" t="s">
        <v>148</v>
      </c>
      <c r="N2055" s="883">
        <v>1946000</v>
      </c>
      <c r="O2055" s="55">
        <v>719</v>
      </c>
      <c r="P2055" s="78">
        <v>1390000</v>
      </c>
    </row>
    <row r="2056" spans="9:16" ht="15.75" customHeight="1" thickBot="1">
      <c r="I2056" s="882"/>
      <c r="J2056" s="876"/>
      <c r="K2056" s="878"/>
      <c r="L2056" s="880"/>
      <c r="M2056" s="882"/>
      <c r="N2056" s="884"/>
      <c r="O2056" s="56">
        <v>721</v>
      </c>
      <c r="P2056" s="79">
        <f>+N2055-P2055</f>
        <v>556000</v>
      </c>
    </row>
    <row r="2057" spans="9:16">
      <c r="I2057" s="881"/>
      <c r="J2057" s="875"/>
      <c r="K2057" s="877"/>
      <c r="L2057" s="881"/>
      <c r="M2057" s="881"/>
      <c r="N2057" s="883"/>
      <c r="O2057" s="55">
        <v>719</v>
      </c>
      <c r="P2057" s="78"/>
    </row>
    <row r="2058" spans="9:16" ht="12" customHeight="1" thickBot="1">
      <c r="I2058" s="882"/>
      <c r="J2058" s="876"/>
      <c r="K2058" s="878"/>
      <c r="L2058" s="882"/>
      <c r="M2058" s="882"/>
      <c r="N2058" s="884"/>
      <c r="O2058" s="56">
        <v>721</v>
      </c>
      <c r="P2058" s="79">
        <f>+N2057-P2057</f>
        <v>0</v>
      </c>
    </row>
    <row r="2059" spans="9:16" ht="16.5" thickBot="1">
      <c r="I2059" s="901" t="s">
        <v>102</v>
      </c>
      <c r="J2059" s="902"/>
      <c r="K2059" s="902"/>
      <c r="L2059" s="902"/>
      <c r="M2059" s="903"/>
      <c r="N2059" s="81">
        <f>SUM(N2049:N2058)</f>
        <v>3304000</v>
      </c>
    </row>
    <row r="2060" spans="9:16" ht="16.5" thickBot="1">
      <c r="I2060" s="885" t="s">
        <v>103</v>
      </c>
      <c r="J2060" s="886"/>
      <c r="K2060" s="886"/>
      <c r="L2060" s="886"/>
      <c r="M2060" s="887"/>
      <c r="N2060" s="69">
        <f>+N2024</f>
        <v>516386860</v>
      </c>
      <c r="O2060" s="241" t="s">
        <v>561</v>
      </c>
      <c r="P2060" s="242">
        <f>89+1849+70+3374</f>
        <v>5382</v>
      </c>
    </row>
    <row r="2061" spans="9:16" ht="16.5" thickBot="1">
      <c r="I2061" s="888" t="s">
        <v>104</v>
      </c>
      <c r="J2061" s="889"/>
      <c r="K2061" s="889"/>
      <c r="L2061" s="889"/>
      <c r="M2061" s="890"/>
      <c r="N2061" s="183">
        <f>SUM(N2059:N2060)</f>
        <v>519690860</v>
      </c>
    </row>
    <row r="2062" spans="9:16">
      <c r="I2062" s="61"/>
      <c r="J2062" s="61"/>
      <c r="K2062" s="61"/>
      <c r="L2062" s="61"/>
      <c r="M2062" s="61"/>
    </row>
    <row r="2063" spans="9:16">
      <c r="I2063" s="51" t="s">
        <v>1005</v>
      </c>
    </row>
    <row r="2064" spans="9:16" ht="12.75" customHeight="1">
      <c r="N2064" s="139"/>
    </row>
    <row r="2065" spans="9:15">
      <c r="I2065" s="50" t="s">
        <v>105</v>
      </c>
      <c r="L2065" s="146"/>
      <c r="N2065" s="139"/>
    </row>
    <row r="2066" spans="9:15" ht="15.75" thickBot="1"/>
    <row r="2067" spans="9:15" ht="15.75" thickBot="1">
      <c r="I2067" s="891" t="s">
        <v>106</v>
      </c>
      <c r="J2067" s="892"/>
      <c r="K2067" s="892"/>
      <c r="L2067" s="893"/>
      <c r="N2067" s="50" t="s">
        <v>288</v>
      </c>
    </row>
    <row r="2068" spans="9:15" ht="30.75" thickBot="1">
      <c r="I2068" s="57" t="s">
        <v>100</v>
      </c>
      <c r="J2068" s="58" t="s">
        <v>108</v>
      </c>
      <c r="K2068" s="287" t="s">
        <v>109</v>
      </c>
      <c r="L2068" s="60" t="s">
        <v>110</v>
      </c>
    </row>
    <row r="2069" spans="9:15">
      <c r="I2069" s="71">
        <v>719</v>
      </c>
      <c r="J2069" s="73">
        <f>+P2049+P2051+P2053+P2055+P2057</f>
        <v>2360000</v>
      </c>
      <c r="K2069" s="74">
        <f>+L2032</f>
        <v>27415000</v>
      </c>
      <c r="L2069" s="195">
        <f>+J2069+K2069</f>
        <v>29775000</v>
      </c>
    </row>
    <row r="2070" spans="9:15">
      <c r="I2070" s="72">
        <v>721</v>
      </c>
      <c r="J2070" s="80">
        <f>+P2050+P2052+P2054+P2056</f>
        <v>944000</v>
      </c>
      <c r="K2070" s="74">
        <f>+L2033</f>
        <v>126771583</v>
      </c>
      <c r="L2070" s="195">
        <f>+J2070+K2070</f>
        <v>127715583</v>
      </c>
    </row>
    <row r="2071" spans="9:15">
      <c r="I2071" s="72">
        <v>722</v>
      </c>
      <c r="J2071" s="80"/>
      <c r="K2071" s="74">
        <f>+L2034</f>
        <v>0</v>
      </c>
      <c r="L2071" s="195">
        <f>+J2071+K2071</f>
        <v>0</v>
      </c>
    </row>
    <row r="2072" spans="9:15" ht="15.75">
      <c r="I2072" s="72">
        <v>723</v>
      </c>
      <c r="J2072" s="80"/>
      <c r="K2072" s="74">
        <f>+L2035</f>
        <v>396645651</v>
      </c>
      <c r="L2072" s="195">
        <f>+J2072+K2072</f>
        <v>396645651</v>
      </c>
      <c r="N2072" s="193" t="s">
        <v>289</v>
      </c>
      <c r="O2072" s="175"/>
    </row>
    <row r="2073" spans="9:15" ht="16.5" thickBot="1">
      <c r="I2073" s="164" t="s">
        <v>181</v>
      </c>
      <c r="J2073" s="165"/>
      <c r="K2073" s="74">
        <f>+L2036</f>
        <v>0</v>
      </c>
      <c r="L2073" s="196">
        <f>+J2073+K2073</f>
        <v>0</v>
      </c>
      <c r="N2073" s="52"/>
    </row>
    <row r="2074" spans="9:15" ht="16.5" thickBot="1">
      <c r="I2074" s="169"/>
      <c r="J2074" s="197">
        <f>SUM(J2069:J2073)</f>
        <v>3304000</v>
      </c>
      <c r="K2074" s="197">
        <f>SUM(K2069:K2073)</f>
        <v>550832234</v>
      </c>
      <c r="L2074" s="198">
        <f>SUM(L2069:L2073)</f>
        <v>554136234</v>
      </c>
    </row>
    <row r="2075" spans="9:15" ht="16.5">
      <c r="I2075" s="49" t="s">
        <v>88</v>
      </c>
      <c r="J2075" s="50"/>
    </row>
    <row r="2076" spans="9:15">
      <c r="I2076" s="51" t="s">
        <v>89</v>
      </c>
    </row>
    <row r="2077" spans="9:15">
      <c r="I2077" s="51" t="s">
        <v>90</v>
      </c>
    </row>
    <row r="2078" spans="9:15">
      <c r="I2078" s="51" t="s">
        <v>91</v>
      </c>
    </row>
    <row r="2079" spans="9:15" ht="12.75" customHeight="1">
      <c r="I2079" s="50"/>
      <c r="J2079" s="50"/>
    </row>
    <row r="2080" spans="9:15" ht="15.75">
      <c r="I2080" s="260" t="s">
        <v>1007</v>
      </c>
      <c r="O2080" s="52"/>
    </row>
    <row r="2081" spans="9:16" ht="15.75">
      <c r="I2081" s="53" t="s">
        <v>535</v>
      </c>
      <c r="O2081" s="53"/>
    </row>
    <row r="2082" spans="9:16" ht="16.5">
      <c r="I2082" s="894" t="s">
        <v>1011</v>
      </c>
      <c r="J2082" s="894"/>
      <c r="K2082" s="894"/>
      <c r="L2082" s="894"/>
      <c r="M2082" s="894"/>
      <c r="N2082" s="894"/>
      <c r="O2082" s="894"/>
      <c r="P2082" s="894"/>
    </row>
    <row r="2083" spans="9:16" ht="15.75" thickBot="1"/>
    <row r="2084" spans="9:16">
      <c r="I2084" s="895" t="s">
        <v>94</v>
      </c>
      <c r="J2084" s="897" t="s">
        <v>95</v>
      </c>
      <c r="K2084" s="897" t="s">
        <v>96</v>
      </c>
      <c r="L2084" s="897" t="s">
        <v>3</v>
      </c>
      <c r="M2084" s="897" t="s">
        <v>97</v>
      </c>
      <c r="N2084" s="897" t="s">
        <v>98</v>
      </c>
      <c r="O2084" s="897" t="s">
        <v>99</v>
      </c>
      <c r="P2084" s="899"/>
    </row>
    <row r="2085" spans="9:16" ht="15.75" thickBot="1">
      <c r="I2085" s="896"/>
      <c r="J2085" s="898"/>
      <c r="K2085" s="898"/>
      <c r="L2085" s="898"/>
      <c r="M2085" s="898"/>
      <c r="N2085" s="898"/>
      <c r="O2085" s="240" t="s">
        <v>100</v>
      </c>
      <c r="P2085" s="182" t="s">
        <v>101</v>
      </c>
    </row>
    <row r="2086" spans="9:16">
      <c r="I2086" s="881">
        <v>230</v>
      </c>
      <c r="J2086" s="875">
        <v>42551</v>
      </c>
      <c r="K2086" s="877" t="s">
        <v>1008</v>
      </c>
      <c r="L2086" s="879" t="s">
        <v>1010</v>
      </c>
      <c r="M2086" s="881" t="s">
        <v>145</v>
      </c>
      <c r="N2086" s="883">
        <v>100000</v>
      </c>
      <c r="O2086" s="55">
        <v>719</v>
      </c>
      <c r="P2086" s="78">
        <v>0</v>
      </c>
    </row>
    <row r="2087" spans="9:16" ht="15.75" thickBot="1">
      <c r="I2087" s="882"/>
      <c r="J2087" s="876"/>
      <c r="K2087" s="878"/>
      <c r="L2087" s="880"/>
      <c r="M2087" s="882"/>
      <c r="N2087" s="884"/>
      <c r="O2087" s="56">
        <v>721</v>
      </c>
      <c r="P2087" s="79">
        <v>100000</v>
      </c>
    </row>
    <row r="2088" spans="9:16" ht="15" customHeight="1">
      <c r="I2088" s="881">
        <v>231</v>
      </c>
      <c r="J2088" s="875">
        <v>42551</v>
      </c>
      <c r="K2088" s="877" t="s">
        <v>1009</v>
      </c>
      <c r="L2088" s="879" t="s">
        <v>1010</v>
      </c>
      <c r="M2088" s="881" t="s">
        <v>145</v>
      </c>
      <c r="N2088" s="883">
        <v>100000</v>
      </c>
      <c r="O2088" s="55">
        <v>719</v>
      </c>
      <c r="P2088" s="78">
        <v>0</v>
      </c>
    </row>
    <row r="2089" spans="9:16" ht="15.75" customHeight="1" thickBot="1">
      <c r="I2089" s="882"/>
      <c r="J2089" s="876"/>
      <c r="K2089" s="878"/>
      <c r="L2089" s="880"/>
      <c r="M2089" s="882"/>
      <c r="N2089" s="884"/>
      <c r="O2089" s="56">
        <v>721</v>
      </c>
      <c r="P2089" s="79">
        <v>100000</v>
      </c>
    </row>
    <row r="2090" spans="9:16">
      <c r="I2090" s="881"/>
      <c r="J2090" s="875"/>
      <c r="K2090" s="877"/>
      <c r="L2090" s="879"/>
      <c r="M2090" s="881"/>
      <c r="N2090" s="883"/>
      <c r="O2090" s="55">
        <v>719</v>
      </c>
      <c r="P2090" s="78">
        <v>0</v>
      </c>
    </row>
    <row r="2091" spans="9:16" ht="14.25" customHeight="1" thickBot="1">
      <c r="I2091" s="882"/>
      <c r="J2091" s="876"/>
      <c r="K2091" s="878"/>
      <c r="L2091" s="880"/>
      <c r="M2091" s="882"/>
      <c r="N2091" s="884"/>
      <c r="O2091" s="56">
        <v>721</v>
      </c>
      <c r="P2091" s="79">
        <f>+N2090-P2090</f>
        <v>0</v>
      </c>
    </row>
    <row r="2092" spans="9:16" ht="15" customHeight="1">
      <c r="I2092" s="881"/>
      <c r="J2092" s="875"/>
      <c r="K2092" s="877"/>
      <c r="L2092" s="879"/>
      <c r="M2092" s="881"/>
      <c r="N2092" s="883"/>
      <c r="O2092" s="55">
        <v>719</v>
      </c>
      <c r="P2092" s="78">
        <v>0</v>
      </c>
    </row>
    <row r="2093" spans="9:16" ht="15.75" customHeight="1" thickBot="1">
      <c r="I2093" s="882"/>
      <c r="J2093" s="876"/>
      <c r="K2093" s="878"/>
      <c r="L2093" s="880"/>
      <c r="M2093" s="882"/>
      <c r="N2093" s="884"/>
      <c r="O2093" s="56">
        <v>721</v>
      </c>
      <c r="P2093" s="79">
        <f>+N2092-P2092</f>
        <v>0</v>
      </c>
    </row>
    <row r="2094" spans="9:16" ht="10.5" customHeight="1">
      <c r="I2094" s="881"/>
      <c r="J2094" s="875"/>
      <c r="K2094" s="877"/>
      <c r="L2094" s="881"/>
      <c r="M2094" s="881"/>
      <c r="N2094" s="883"/>
      <c r="O2094" s="55">
        <v>719</v>
      </c>
      <c r="P2094" s="78"/>
    </row>
    <row r="2095" spans="9:16" ht="14.25" customHeight="1" thickBot="1">
      <c r="I2095" s="882"/>
      <c r="J2095" s="876"/>
      <c r="K2095" s="878"/>
      <c r="L2095" s="882"/>
      <c r="M2095" s="882"/>
      <c r="N2095" s="884"/>
      <c r="O2095" s="56">
        <v>721</v>
      </c>
      <c r="P2095" s="79">
        <f>+N2094-P2094</f>
        <v>0</v>
      </c>
    </row>
    <row r="2096" spans="9:16" ht="16.5" customHeight="1" thickBot="1">
      <c r="I2096" s="901" t="s">
        <v>102</v>
      </c>
      <c r="J2096" s="902"/>
      <c r="K2096" s="902"/>
      <c r="L2096" s="902"/>
      <c r="M2096" s="903"/>
      <c r="N2096" s="81">
        <f>SUM(N2086:N2095)</f>
        <v>200000</v>
      </c>
    </row>
    <row r="2097" spans="9:16" ht="16.5" customHeight="1" thickBot="1">
      <c r="I2097" s="885" t="s">
        <v>103</v>
      </c>
      <c r="J2097" s="886"/>
      <c r="K2097" s="886"/>
      <c r="L2097" s="886"/>
      <c r="M2097" s="887"/>
      <c r="N2097" s="69">
        <f>+N2061</f>
        <v>519690860</v>
      </c>
      <c r="O2097" s="241" t="s">
        <v>561</v>
      </c>
      <c r="P2097" s="242"/>
    </row>
    <row r="2098" spans="9:16" ht="16.5" customHeight="1" thickBot="1">
      <c r="I2098" s="888" t="s">
        <v>104</v>
      </c>
      <c r="J2098" s="889"/>
      <c r="K2098" s="889"/>
      <c r="L2098" s="889"/>
      <c r="M2098" s="890"/>
      <c r="N2098" s="183">
        <f>SUM(N2096:N2097)</f>
        <v>519890860</v>
      </c>
    </row>
    <row r="2099" spans="9:16" ht="15.75" customHeight="1">
      <c r="I2099" s="61"/>
      <c r="J2099" s="61"/>
      <c r="K2099" s="61"/>
      <c r="L2099" s="61"/>
      <c r="M2099" s="61"/>
    </row>
    <row r="2100" spans="9:16" ht="15" customHeight="1">
      <c r="I2100" s="51" t="s">
        <v>1012</v>
      </c>
    </row>
    <row r="2101" spans="9:16" ht="14.25" customHeight="1">
      <c r="N2101" s="139"/>
    </row>
    <row r="2102" spans="9:16">
      <c r="I2102" s="50" t="s">
        <v>105</v>
      </c>
      <c r="L2102" s="146"/>
      <c r="N2102" s="139"/>
    </row>
    <row r="2103" spans="9:16" ht="14.25" customHeight="1" thickBot="1"/>
    <row r="2104" spans="9:16" ht="15.75" thickBot="1">
      <c r="I2104" s="891" t="s">
        <v>106</v>
      </c>
      <c r="J2104" s="892"/>
      <c r="K2104" s="892"/>
      <c r="L2104" s="893"/>
      <c r="N2104" s="50" t="s">
        <v>288</v>
      </c>
    </row>
    <row r="2105" spans="9:16" ht="30.75" thickBot="1">
      <c r="I2105" s="57" t="s">
        <v>100</v>
      </c>
      <c r="J2105" s="58" t="s">
        <v>108</v>
      </c>
      <c r="K2105" s="287" t="s">
        <v>109</v>
      </c>
      <c r="L2105" s="60" t="s">
        <v>110</v>
      </c>
    </row>
    <row r="2106" spans="9:16">
      <c r="I2106" s="71">
        <v>719</v>
      </c>
      <c r="J2106" s="73">
        <f>+P2086+P2088+P2090+P2092+P2094</f>
        <v>0</v>
      </c>
      <c r="K2106" s="74">
        <f>+L2069</f>
        <v>29775000</v>
      </c>
      <c r="L2106" s="195">
        <f>+J2106+K2106</f>
        <v>29775000</v>
      </c>
    </row>
    <row r="2107" spans="9:16">
      <c r="I2107" s="72">
        <v>721</v>
      </c>
      <c r="J2107" s="80">
        <f>+P2087+P2089+P2091+P2093</f>
        <v>200000</v>
      </c>
      <c r="K2107" s="74">
        <f>+L2070</f>
        <v>127715583</v>
      </c>
      <c r="L2107" s="195">
        <f>+J2107+K2107</f>
        <v>127915583</v>
      </c>
    </row>
    <row r="2108" spans="9:16">
      <c r="I2108" s="72">
        <v>722</v>
      </c>
      <c r="J2108" s="80"/>
      <c r="K2108" s="74">
        <f>+L2071</f>
        <v>0</v>
      </c>
      <c r="L2108" s="195">
        <f>+J2108+K2108</f>
        <v>0</v>
      </c>
    </row>
    <row r="2109" spans="9:16" ht="15.75">
      <c r="I2109" s="72">
        <v>723</v>
      </c>
      <c r="J2109" s="80"/>
      <c r="K2109" s="74">
        <f>+L2072</f>
        <v>396645651</v>
      </c>
      <c r="L2109" s="195">
        <f>+J2109+K2109</f>
        <v>396645651</v>
      </c>
      <c r="N2109" s="193" t="s">
        <v>289</v>
      </c>
      <c r="O2109" s="175"/>
    </row>
    <row r="2110" spans="9:16" ht="16.5" thickBot="1">
      <c r="I2110" s="164" t="s">
        <v>181</v>
      </c>
      <c r="J2110" s="165"/>
      <c r="K2110" s="74">
        <f>+L2073</f>
        <v>0</v>
      </c>
      <c r="L2110" s="196">
        <f>+J2110+K2110</f>
        <v>0</v>
      </c>
      <c r="N2110" s="52"/>
    </row>
    <row r="2111" spans="9:16" ht="16.5" thickBot="1">
      <c r="I2111" s="169"/>
      <c r="J2111" s="197">
        <f>SUM(J2106:J2110)</f>
        <v>200000</v>
      </c>
      <c r="K2111" s="197">
        <f>SUM(K2106:K2110)</f>
        <v>554136234</v>
      </c>
      <c r="L2111" s="198">
        <f>SUM(L2106:L2110)</f>
        <v>554336234</v>
      </c>
    </row>
    <row r="2112" spans="9:16" ht="16.5">
      <c r="I2112" s="49" t="s">
        <v>88</v>
      </c>
      <c r="J2112" s="50"/>
    </row>
    <row r="2113" spans="9:18">
      <c r="I2113" s="51" t="s">
        <v>89</v>
      </c>
    </row>
    <row r="2114" spans="9:18">
      <c r="I2114" s="51" t="s">
        <v>90</v>
      </c>
    </row>
    <row r="2115" spans="9:18">
      <c r="I2115" s="51" t="s">
        <v>91</v>
      </c>
    </row>
    <row r="2116" spans="9:18">
      <c r="I2116" s="50"/>
      <c r="J2116" s="50"/>
    </row>
    <row r="2117" spans="9:18" ht="15.75">
      <c r="I2117" s="260" t="s">
        <v>1013</v>
      </c>
      <c r="O2117" s="52"/>
    </row>
    <row r="2118" spans="9:18" ht="15.75">
      <c r="I2118" s="53" t="s">
        <v>535</v>
      </c>
      <c r="O2118" s="53"/>
    </row>
    <row r="2119" spans="9:18" ht="16.5">
      <c r="I2119" s="894" t="s">
        <v>1011</v>
      </c>
      <c r="J2119" s="894"/>
      <c r="K2119" s="894"/>
      <c r="L2119" s="894"/>
      <c r="M2119" s="894"/>
      <c r="N2119" s="894"/>
      <c r="O2119" s="894"/>
      <c r="P2119" s="894"/>
    </row>
    <row r="2120" spans="9:18" ht="15.75" thickBot="1"/>
    <row r="2121" spans="9:18">
      <c r="I2121" s="895" t="s">
        <v>94</v>
      </c>
      <c r="J2121" s="897" t="s">
        <v>95</v>
      </c>
      <c r="K2121" s="897" t="s">
        <v>96</v>
      </c>
      <c r="L2121" s="897" t="s">
        <v>3</v>
      </c>
      <c r="M2121" s="897" t="s">
        <v>97</v>
      </c>
      <c r="N2121" s="897" t="s">
        <v>98</v>
      </c>
      <c r="O2121" s="897" t="s">
        <v>99</v>
      </c>
      <c r="P2121" s="899"/>
    </row>
    <row r="2122" spans="9:18" ht="15.75" thickBot="1">
      <c r="I2122" s="896"/>
      <c r="J2122" s="898"/>
      <c r="K2122" s="898"/>
      <c r="L2122" s="898"/>
      <c r="M2122" s="898"/>
      <c r="N2122" s="898"/>
      <c r="O2122" s="240" t="s">
        <v>100</v>
      </c>
      <c r="P2122" s="182" t="s">
        <v>101</v>
      </c>
      <c r="R2122" s="51" t="s">
        <v>631</v>
      </c>
    </row>
    <row r="2123" spans="9:18">
      <c r="I2123" s="881">
        <v>232</v>
      </c>
      <c r="J2123" s="875">
        <v>42556</v>
      </c>
      <c r="K2123" s="877" t="s">
        <v>1014</v>
      </c>
      <c r="L2123" s="879" t="s">
        <v>1010</v>
      </c>
      <c r="M2123" s="881" t="s">
        <v>115</v>
      </c>
      <c r="N2123" s="883">
        <v>50000</v>
      </c>
      <c r="O2123" s="55">
        <v>719</v>
      </c>
      <c r="P2123" s="78">
        <v>50000</v>
      </c>
    </row>
    <row r="2124" spans="9:18" ht="15.75" thickBot="1">
      <c r="I2124" s="882"/>
      <c r="J2124" s="876"/>
      <c r="K2124" s="878"/>
      <c r="L2124" s="880"/>
      <c r="M2124" s="882"/>
      <c r="N2124" s="884"/>
      <c r="O2124" s="56">
        <v>721</v>
      </c>
      <c r="P2124" s="79"/>
    </row>
    <row r="2125" spans="9:18">
      <c r="I2125" s="881">
        <v>233</v>
      </c>
      <c r="J2125" s="875">
        <v>42556</v>
      </c>
      <c r="K2125" s="877" t="s">
        <v>120</v>
      </c>
      <c r="L2125" s="879" t="s">
        <v>1015</v>
      </c>
      <c r="M2125" s="881" t="s">
        <v>115</v>
      </c>
      <c r="N2125" s="883">
        <v>10000</v>
      </c>
      <c r="O2125" s="55">
        <v>719</v>
      </c>
      <c r="P2125" s="78">
        <v>10000</v>
      </c>
    </row>
    <row r="2126" spans="9:18" ht="15.75" thickBot="1">
      <c r="I2126" s="882"/>
      <c r="J2126" s="876"/>
      <c r="K2126" s="878"/>
      <c r="L2126" s="880"/>
      <c r="M2126" s="882"/>
      <c r="N2126" s="884"/>
      <c r="O2126" s="56">
        <v>721</v>
      </c>
      <c r="P2126" s="79"/>
    </row>
    <row r="2127" spans="9:18">
      <c r="I2127" s="881"/>
      <c r="J2127" s="875"/>
      <c r="K2127" s="877"/>
      <c r="L2127" s="879"/>
      <c r="M2127" s="881"/>
      <c r="N2127" s="883"/>
      <c r="O2127" s="55">
        <v>719</v>
      </c>
      <c r="P2127" s="78">
        <v>0</v>
      </c>
    </row>
    <row r="2128" spans="9:18" ht="12.75" customHeight="1" thickBot="1">
      <c r="I2128" s="882"/>
      <c r="J2128" s="876"/>
      <c r="K2128" s="878"/>
      <c r="L2128" s="880"/>
      <c r="M2128" s="882"/>
      <c r="N2128" s="884"/>
      <c r="O2128" s="56">
        <v>721</v>
      </c>
      <c r="P2128" s="79">
        <f>+N2127-P2127</f>
        <v>0</v>
      </c>
    </row>
    <row r="2129" spans="9:16">
      <c r="I2129" s="881"/>
      <c r="J2129" s="875"/>
      <c r="K2129" s="877"/>
      <c r="L2129" s="879"/>
      <c r="M2129" s="881"/>
      <c r="N2129" s="883"/>
      <c r="O2129" s="55">
        <v>719</v>
      </c>
      <c r="P2129" s="78">
        <v>0</v>
      </c>
    </row>
    <row r="2130" spans="9:16" ht="12.75" customHeight="1" thickBot="1">
      <c r="I2130" s="882"/>
      <c r="J2130" s="876"/>
      <c r="K2130" s="878"/>
      <c r="L2130" s="880"/>
      <c r="M2130" s="882"/>
      <c r="N2130" s="884"/>
      <c r="O2130" s="56">
        <v>721</v>
      </c>
      <c r="P2130" s="79">
        <f>+N2129-P2129</f>
        <v>0</v>
      </c>
    </row>
    <row r="2131" spans="9:16">
      <c r="I2131" s="881"/>
      <c r="J2131" s="875"/>
      <c r="K2131" s="877"/>
      <c r="L2131" s="881"/>
      <c r="M2131" s="881"/>
      <c r="N2131" s="883"/>
      <c r="O2131" s="55">
        <v>719</v>
      </c>
      <c r="P2131" s="78"/>
    </row>
    <row r="2132" spans="9:16" ht="12.75" customHeight="1" thickBot="1">
      <c r="I2132" s="882"/>
      <c r="J2132" s="876"/>
      <c r="K2132" s="878"/>
      <c r="L2132" s="882"/>
      <c r="M2132" s="882"/>
      <c r="N2132" s="884"/>
      <c r="O2132" s="56">
        <v>721</v>
      </c>
      <c r="P2132" s="79">
        <f>+N2131-P2131</f>
        <v>0</v>
      </c>
    </row>
    <row r="2133" spans="9:16" ht="16.5" thickBot="1">
      <c r="I2133" s="901" t="s">
        <v>102</v>
      </c>
      <c r="J2133" s="902"/>
      <c r="K2133" s="902"/>
      <c r="L2133" s="902"/>
      <c r="M2133" s="903"/>
      <c r="N2133" s="81">
        <f>SUM(N2123:N2132)</f>
        <v>60000</v>
      </c>
    </row>
    <row r="2134" spans="9:16" ht="16.5" thickBot="1">
      <c r="I2134" s="885" t="s">
        <v>103</v>
      </c>
      <c r="J2134" s="886"/>
      <c r="K2134" s="886"/>
      <c r="L2134" s="886"/>
      <c r="M2134" s="887"/>
      <c r="N2134" s="69">
        <f>+N2098</f>
        <v>519890860</v>
      </c>
      <c r="O2134" s="241" t="s">
        <v>561</v>
      </c>
      <c r="P2134" s="242">
        <v>161</v>
      </c>
    </row>
    <row r="2135" spans="9:16" ht="16.5" thickBot="1">
      <c r="I2135" s="888" t="s">
        <v>104</v>
      </c>
      <c r="J2135" s="889"/>
      <c r="K2135" s="889"/>
      <c r="L2135" s="889"/>
      <c r="M2135" s="890"/>
      <c r="N2135" s="183">
        <f>SUM(N2133:N2134)</f>
        <v>519950860</v>
      </c>
    </row>
    <row r="2136" spans="9:16">
      <c r="I2136" s="61"/>
      <c r="J2136" s="61"/>
      <c r="K2136" s="61"/>
      <c r="L2136" s="61"/>
      <c r="M2136" s="61"/>
    </row>
    <row r="2137" spans="9:16">
      <c r="I2137" s="51" t="s">
        <v>1016</v>
      </c>
    </row>
    <row r="2138" spans="9:16">
      <c r="N2138" s="139"/>
    </row>
    <row r="2139" spans="9:16">
      <c r="I2139" s="50" t="s">
        <v>105</v>
      </c>
      <c r="L2139" s="146"/>
      <c r="N2139" s="139"/>
    </row>
    <row r="2140" spans="9:16" ht="15.75" thickBot="1"/>
    <row r="2141" spans="9:16" ht="15.75" thickBot="1">
      <c r="I2141" s="891" t="s">
        <v>106</v>
      </c>
      <c r="J2141" s="892"/>
      <c r="K2141" s="892"/>
      <c r="L2141" s="893"/>
      <c r="N2141" s="50" t="s">
        <v>288</v>
      </c>
    </row>
    <row r="2142" spans="9:16" ht="30.75" thickBot="1">
      <c r="I2142" s="57" t="s">
        <v>100</v>
      </c>
      <c r="J2142" s="58" t="s">
        <v>108</v>
      </c>
      <c r="K2142" s="287" t="s">
        <v>109</v>
      </c>
      <c r="L2142" s="60" t="s">
        <v>110</v>
      </c>
    </row>
    <row r="2143" spans="9:16">
      <c r="I2143" s="71">
        <v>719</v>
      </c>
      <c r="J2143" s="73">
        <f>+P2123+P2125+P2127+P2129+P2131</f>
        <v>60000</v>
      </c>
      <c r="K2143" s="74">
        <f>+L2106</f>
        <v>29775000</v>
      </c>
      <c r="L2143" s="195">
        <f>+J2143+K2143</f>
        <v>29835000</v>
      </c>
    </row>
    <row r="2144" spans="9:16">
      <c r="I2144" s="72">
        <v>721</v>
      </c>
      <c r="J2144" s="80">
        <f>+P2124+P2126+P2128+P2130</f>
        <v>0</v>
      </c>
      <c r="K2144" s="74">
        <f>+L2107</f>
        <v>127915583</v>
      </c>
      <c r="L2144" s="195">
        <f>+J2144+K2144</f>
        <v>127915583</v>
      </c>
    </row>
    <row r="2145" spans="9:16">
      <c r="I2145" s="72">
        <v>722</v>
      </c>
      <c r="J2145" s="80"/>
      <c r="K2145" s="74">
        <f>+L2108</f>
        <v>0</v>
      </c>
      <c r="L2145" s="195">
        <f>+J2145+K2145</f>
        <v>0</v>
      </c>
    </row>
    <row r="2146" spans="9:16" ht="15.75">
      <c r="I2146" s="72">
        <v>723</v>
      </c>
      <c r="J2146" s="80"/>
      <c r="K2146" s="74">
        <f>+L2109</f>
        <v>396645651</v>
      </c>
      <c r="L2146" s="195">
        <f>+J2146+K2146</f>
        <v>396645651</v>
      </c>
      <c r="N2146" s="193" t="s">
        <v>289</v>
      </c>
      <c r="O2146" s="175"/>
    </row>
    <row r="2147" spans="9:16" ht="16.5" thickBot="1">
      <c r="I2147" s="164" t="s">
        <v>181</v>
      </c>
      <c r="J2147" s="165"/>
      <c r="K2147" s="74">
        <f>+L2110</f>
        <v>0</v>
      </c>
      <c r="L2147" s="196">
        <f>+J2147+K2147</f>
        <v>0</v>
      </c>
      <c r="N2147" s="52"/>
    </row>
    <row r="2148" spans="9:16" ht="16.5" thickBot="1">
      <c r="I2148" s="169"/>
      <c r="J2148" s="197">
        <f>SUM(J2143:J2147)</f>
        <v>60000</v>
      </c>
      <c r="K2148" s="197">
        <f>SUM(K2143:K2147)</f>
        <v>554336234</v>
      </c>
      <c r="L2148" s="198">
        <f>SUM(L2143:L2147)</f>
        <v>554396234</v>
      </c>
    </row>
    <row r="2149" spans="9:16" ht="16.5">
      <c r="I2149" s="49" t="s">
        <v>88</v>
      </c>
      <c r="J2149" s="50"/>
    </row>
    <row r="2150" spans="9:16">
      <c r="I2150" s="51" t="s">
        <v>89</v>
      </c>
    </row>
    <row r="2151" spans="9:16">
      <c r="I2151" s="51" t="s">
        <v>90</v>
      </c>
    </row>
    <row r="2152" spans="9:16">
      <c r="I2152" s="51" t="s">
        <v>91</v>
      </c>
    </row>
    <row r="2153" spans="9:16" ht="10.5" customHeight="1">
      <c r="I2153" s="50"/>
      <c r="J2153" s="50"/>
    </row>
    <row r="2154" spans="9:16" ht="15.75">
      <c r="I2154" s="260" t="s">
        <v>1017</v>
      </c>
      <c r="O2154" s="52"/>
    </row>
    <row r="2155" spans="9:16" ht="15.75">
      <c r="I2155" s="53" t="s">
        <v>535</v>
      </c>
      <c r="O2155" s="53"/>
    </row>
    <row r="2156" spans="9:16" ht="15.75" customHeight="1">
      <c r="I2156" s="894" t="s">
        <v>909</v>
      </c>
      <c r="J2156" s="894"/>
      <c r="K2156" s="894"/>
      <c r="L2156" s="894"/>
      <c r="M2156" s="894"/>
      <c r="N2156" s="894"/>
      <c r="O2156" s="894"/>
      <c r="P2156" s="894"/>
    </row>
    <row r="2157" spans="9:16" ht="12.75" customHeight="1" thickBot="1"/>
    <row r="2158" spans="9:16">
      <c r="I2158" s="895" t="s">
        <v>94</v>
      </c>
      <c r="J2158" s="897" t="s">
        <v>95</v>
      </c>
      <c r="K2158" s="897" t="s">
        <v>96</v>
      </c>
      <c r="L2158" s="897" t="s">
        <v>3</v>
      </c>
      <c r="M2158" s="897" t="s">
        <v>97</v>
      </c>
      <c r="N2158" s="897" t="s">
        <v>98</v>
      </c>
      <c r="O2158" s="897" t="s">
        <v>99</v>
      </c>
      <c r="P2158" s="899"/>
    </row>
    <row r="2159" spans="9:16" ht="15.75" thickBot="1">
      <c r="I2159" s="896"/>
      <c r="J2159" s="898"/>
      <c r="K2159" s="898"/>
      <c r="L2159" s="898"/>
      <c r="M2159" s="898"/>
      <c r="N2159" s="898"/>
      <c r="O2159" s="240" t="s">
        <v>100</v>
      </c>
      <c r="P2159" s="182" t="s">
        <v>101</v>
      </c>
    </row>
    <row r="2160" spans="9:16">
      <c r="I2160" s="881">
        <v>234</v>
      </c>
      <c r="J2160" s="875">
        <v>42573</v>
      </c>
      <c r="K2160" s="877" t="s">
        <v>1014</v>
      </c>
      <c r="L2160" s="879" t="s">
        <v>1018</v>
      </c>
      <c r="M2160" s="881" t="s">
        <v>115</v>
      </c>
      <c r="N2160" s="883">
        <v>100000</v>
      </c>
      <c r="O2160" s="55">
        <v>719</v>
      </c>
      <c r="P2160" s="78">
        <v>100000</v>
      </c>
    </row>
    <row r="2161" spans="9:16" ht="11.25" customHeight="1" thickBot="1">
      <c r="I2161" s="882"/>
      <c r="J2161" s="876"/>
      <c r="K2161" s="878"/>
      <c r="L2161" s="880"/>
      <c r="M2161" s="882"/>
      <c r="N2161" s="884"/>
      <c r="O2161" s="56">
        <v>721</v>
      </c>
      <c r="P2161" s="79"/>
    </row>
    <row r="2162" spans="9:16" ht="15" customHeight="1">
      <c r="I2162" s="881">
        <v>235</v>
      </c>
      <c r="J2162" s="875">
        <v>42573</v>
      </c>
      <c r="K2162" s="877" t="s">
        <v>28</v>
      </c>
      <c r="L2162" s="879" t="s">
        <v>1019</v>
      </c>
      <c r="M2162" s="881" t="s">
        <v>115</v>
      </c>
      <c r="N2162" s="883">
        <v>10000</v>
      </c>
      <c r="O2162" s="55">
        <v>719</v>
      </c>
      <c r="P2162" s="78">
        <v>10000</v>
      </c>
    </row>
    <row r="2163" spans="9:16" ht="12.75" customHeight="1" thickBot="1">
      <c r="I2163" s="882"/>
      <c r="J2163" s="876"/>
      <c r="K2163" s="878"/>
      <c r="L2163" s="880"/>
      <c r="M2163" s="882"/>
      <c r="N2163" s="884"/>
      <c r="O2163" s="56">
        <v>721</v>
      </c>
      <c r="P2163" s="79"/>
    </row>
    <row r="2164" spans="9:16" ht="15" customHeight="1">
      <c r="I2164" s="881">
        <v>236</v>
      </c>
      <c r="J2164" s="875">
        <v>42573</v>
      </c>
      <c r="K2164" s="877" t="s">
        <v>1014</v>
      </c>
      <c r="L2164" s="879" t="s">
        <v>1020</v>
      </c>
      <c r="M2164" s="881" t="s">
        <v>115</v>
      </c>
      <c r="N2164" s="883">
        <v>140000</v>
      </c>
      <c r="O2164" s="55">
        <v>719</v>
      </c>
      <c r="P2164" s="78">
        <v>140000</v>
      </c>
    </row>
    <row r="2165" spans="9:16" ht="12.75" customHeight="1" thickBot="1">
      <c r="I2165" s="882"/>
      <c r="J2165" s="876"/>
      <c r="K2165" s="878"/>
      <c r="L2165" s="880"/>
      <c r="M2165" s="882"/>
      <c r="N2165" s="884"/>
      <c r="O2165" s="56">
        <v>721</v>
      </c>
      <c r="P2165" s="79">
        <f>+N2164-P2164</f>
        <v>0</v>
      </c>
    </row>
    <row r="2166" spans="9:16">
      <c r="I2166" s="881">
        <v>237</v>
      </c>
      <c r="J2166" s="875">
        <v>42573</v>
      </c>
      <c r="K2166" s="877" t="s">
        <v>28</v>
      </c>
      <c r="L2166" s="879" t="s">
        <v>1022</v>
      </c>
      <c r="M2166" s="881" t="s">
        <v>115</v>
      </c>
      <c r="N2166" s="883">
        <v>60000</v>
      </c>
      <c r="O2166" s="55">
        <v>719</v>
      </c>
      <c r="P2166" s="78">
        <v>60000</v>
      </c>
    </row>
    <row r="2167" spans="9:16" ht="13.5" customHeight="1" thickBot="1">
      <c r="I2167" s="882"/>
      <c r="J2167" s="876"/>
      <c r="K2167" s="878"/>
      <c r="L2167" s="880"/>
      <c r="M2167" s="882"/>
      <c r="N2167" s="884"/>
      <c r="O2167" s="56">
        <v>721</v>
      </c>
      <c r="P2167" s="79">
        <f>+N2166-P2166</f>
        <v>0</v>
      </c>
    </row>
    <row r="2168" spans="9:16" ht="15" customHeight="1">
      <c r="I2168" s="881">
        <v>238</v>
      </c>
      <c r="J2168" s="875">
        <v>42573</v>
      </c>
      <c r="K2168" s="877" t="s">
        <v>28</v>
      </c>
      <c r="L2168" s="879" t="s">
        <v>1021</v>
      </c>
      <c r="M2168" s="881" t="s">
        <v>115</v>
      </c>
      <c r="N2168" s="883">
        <v>40000</v>
      </c>
      <c r="O2168" s="55">
        <v>719</v>
      </c>
      <c r="P2168" s="78">
        <v>40000</v>
      </c>
    </row>
    <row r="2169" spans="9:16" ht="12" customHeight="1" thickBot="1">
      <c r="I2169" s="882"/>
      <c r="J2169" s="876"/>
      <c r="K2169" s="878"/>
      <c r="L2169" s="880"/>
      <c r="M2169" s="882"/>
      <c r="N2169" s="884"/>
      <c r="O2169" s="56">
        <v>721</v>
      </c>
      <c r="P2169" s="79">
        <f>+N2168-P2168</f>
        <v>0</v>
      </c>
    </row>
    <row r="2170" spans="9:16" ht="15" customHeight="1">
      <c r="I2170" s="881">
        <v>239</v>
      </c>
      <c r="J2170" s="875">
        <v>42573</v>
      </c>
      <c r="K2170" s="877" t="s">
        <v>120</v>
      </c>
      <c r="L2170" s="879" t="s">
        <v>1010</v>
      </c>
      <c r="M2170" s="881" t="s">
        <v>115</v>
      </c>
      <c r="N2170" s="883">
        <v>1259900</v>
      </c>
      <c r="O2170" s="55">
        <v>719</v>
      </c>
      <c r="P2170" s="78"/>
    </row>
    <row r="2171" spans="9:16" ht="12.75" customHeight="1" thickBot="1">
      <c r="I2171" s="882"/>
      <c r="J2171" s="876"/>
      <c r="K2171" s="878"/>
      <c r="L2171" s="880"/>
      <c r="M2171" s="882"/>
      <c r="N2171" s="884"/>
      <c r="O2171" s="56">
        <v>723</v>
      </c>
      <c r="P2171" s="79">
        <f>+N2170-P2170</f>
        <v>1259900</v>
      </c>
    </row>
    <row r="2172" spans="9:16" ht="16.5" thickBot="1">
      <c r="I2172" s="901" t="s">
        <v>102</v>
      </c>
      <c r="J2172" s="902"/>
      <c r="K2172" s="902"/>
      <c r="L2172" s="902"/>
      <c r="M2172" s="903"/>
      <c r="N2172" s="81">
        <f>SUM(N2160:N2171)</f>
        <v>1609900</v>
      </c>
    </row>
    <row r="2173" spans="9:16" ht="16.5" thickBot="1">
      <c r="I2173" s="885" t="s">
        <v>103</v>
      </c>
      <c r="J2173" s="886"/>
      <c r="K2173" s="886"/>
      <c r="L2173" s="886"/>
      <c r="M2173" s="887"/>
      <c r="N2173" s="69">
        <f>+N2135</f>
        <v>519950860</v>
      </c>
      <c r="O2173" s="241" t="s">
        <v>561</v>
      </c>
      <c r="P2173" s="242">
        <f>28+324+91+533+198</f>
        <v>1174</v>
      </c>
    </row>
    <row r="2174" spans="9:16" ht="16.5" thickBot="1">
      <c r="I2174" s="888" t="s">
        <v>104</v>
      </c>
      <c r="J2174" s="889"/>
      <c r="K2174" s="889"/>
      <c r="L2174" s="889"/>
      <c r="M2174" s="890"/>
      <c r="N2174" s="183">
        <f>SUM(N2172:N2173)</f>
        <v>521560760</v>
      </c>
    </row>
    <row r="2175" spans="9:16" ht="12.75" customHeight="1">
      <c r="I2175" s="61"/>
      <c r="J2175" s="61"/>
      <c r="K2175" s="61"/>
      <c r="L2175" s="61"/>
      <c r="M2175" s="61"/>
    </row>
    <row r="2176" spans="9:16">
      <c r="I2176" s="51" t="s">
        <v>1023</v>
      </c>
    </row>
    <row r="2177" spans="9:15" ht="12" customHeight="1">
      <c r="N2177" s="139"/>
    </row>
    <row r="2178" spans="9:15">
      <c r="I2178" s="50" t="s">
        <v>105</v>
      </c>
      <c r="L2178" s="146"/>
      <c r="N2178" s="139"/>
    </row>
    <row r="2179" spans="9:15" ht="12.75" customHeight="1" thickBot="1"/>
    <row r="2180" spans="9:15" ht="15.75" thickBot="1">
      <c r="I2180" s="891" t="s">
        <v>106</v>
      </c>
      <c r="J2180" s="892"/>
      <c r="K2180" s="892"/>
      <c r="L2180" s="893"/>
      <c r="N2180" s="50" t="s">
        <v>288</v>
      </c>
    </row>
    <row r="2181" spans="9:15" ht="30.75" thickBot="1">
      <c r="I2181" s="57" t="s">
        <v>100</v>
      </c>
      <c r="J2181" s="58" t="s">
        <v>108</v>
      </c>
      <c r="K2181" s="287" t="s">
        <v>109</v>
      </c>
      <c r="L2181" s="60" t="s">
        <v>110</v>
      </c>
    </row>
    <row r="2182" spans="9:15">
      <c r="I2182" s="71">
        <v>719</v>
      </c>
      <c r="J2182" s="73">
        <f>+P2160+P2162+P2164+P2168+P2170+P2166</f>
        <v>350000</v>
      </c>
      <c r="K2182" s="74">
        <f>+L2143</f>
        <v>29835000</v>
      </c>
      <c r="L2182" s="195">
        <f>+J2182+K2182</f>
        <v>30185000</v>
      </c>
    </row>
    <row r="2183" spans="9:15" ht="13.5" customHeight="1">
      <c r="I2183" s="72">
        <v>721</v>
      </c>
      <c r="J2183" s="80">
        <f>+P2161+P2163+P2165+P2169+P2167</f>
        <v>0</v>
      </c>
      <c r="K2183" s="74">
        <f>+L2144</f>
        <v>127915583</v>
      </c>
      <c r="L2183" s="195">
        <f>+J2183+K2183</f>
        <v>127915583</v>
      </c>
    </row>
    <row r="2184" spans="9:15">
      <c r="I2184" s="72">
        <v>722</v>
      </c>
      <c r="J2184" s="80"/>
      <c r="K2184" s="74">
        <f>+L2145</f>
        <v>0</v>
      </c>
      <c r="L2184" s="195">
        <f>+J2184+K2184</f>
        <v>0</v>
      </c>
    </row>
    <row r="2185" spans="9:15" ht="15" customHeight="1">
      <c r="I2185" s="72">
        <v>723</v>
      </c>
      <c r="J2185" s="80">
        <f>+P2171</f>
        <v>1259900</v>
      </c>
      <c r="K2185" s="74">
        <f>+L2146</f>
        <v>396645651</v>
      </c>
      <c r="L2185" s="195">
        <f>+J2185+K2185</f>
        <v>397905551</v>
      </c>
      <c r="N2185" s="193" t="s">
        <v>289</v>
      </c>
      <c r="O2185" s="175"/>
    </row>
    <row r="2186" spans="9:15" ht="13.5" customHeight="1" thickBot="1">
      <c r="I2186" s="164" t="s">
        <v>181</v>
      </c>
      <c r="J2186" s="165"/>
      <c r="K2186" s="74">
        <f>+L2147</f>
        <v>0</v>
      </c>
      <c r="L2186" s="196">
        <f>+J2186+K2186</f>
        <v>0</v>
      </c>
      <c r="N2186" s="52"/>
    </row>
    <row r="2187" spans="9:15" ht="16.5" thickBot="1">
      <c r="I2187" s="169"/>
      <c r="J2187" s="197">
        <f>SUM(J2182:J2186)</f>
        <v>1609900</v>
      </c>
      <c r="K2187" s="197">
        <f>SUM(K2182:K2186)</f>
        <v>554396234</v>
      </c>
      <c r="L2187" s="198">
        <f>SUM(L2182:L2186)</f>
        <v>556006134</v>
      </c>
    </row>
    <row r="2188" spans="9:15" ht="16.5">
      <c r="I2188" s="49" t="s">
        <v>88</v>
      </c>
      <c r="J2188" s="50"/>
    </row>
    <row r="2189" spans="9:15">
      <c r="I2189" s="51" t="s">
        <v>89</v>
      </c>
    </row>
    <row r="2190" spans="9:15">
      <c r="I2190" s="51" t="s">
        <v>90</v>
      </c>
    </row>
    <row r="2191" spans="9:15">
      <c r="I2191" s="51" t="s">
        <v>91</v>
      </c>
    </row>
    <row r="2192" spans="9:15" ht="10.5" customHeight="1">
      <c r="I2192" s="50"/>
      <c r="J2192" s="50"/>
    </row>
    <row r="2193" spans="9:16" ht="15.75">
      <c r="I2193" s="260" t="s">
        <v>1024</v>
      </c>
      <c r="O2193" s="52"/>
    </row>
    <row r="2194" spans="9:16" ht="15.75">
      <c r="I2194" s="53" t="s">
        <v>535</v>
      </c>
      <c r="O2194" s="53"/>
    </row>
    <row r="2195" spans="9:16" ht="16.5">
      <c r="I2195" s="894" t="s">
        <v>909</v>
      </c>
      <c r="J2195" s="894"/>
      <c r="K2195" s="894"/>
      <c r="L2195" s="894"/>
      <c r="M2195" s="894"/>
      <c r="N2195" s="894"/>
      <c r="O2195" s="894"/>
      <c r="P2195" s="894"/>
    </row>
    <row r="2196" spans="9:16" ht="15.75" thickBot="1"/>
    <row r="2197" spans="9:16">
      <c r="I2197" s="895" t="s">
        <v>94</v>
      </c>
      <c r="J2197" s="897" t="s">
        <v>95</v>
      </c>
      <c r="K2197" s="897" t="s">
        <v>96</v>
      </c>
      <c r="L2197" s="897" t="s">
        <v>3</v>
      </c>
      <c r="M2197" s="897" t="s">
        <v>97</v>
      </c>
      <c r="N2197" s="897" t="s">
        <v>98</v>
      </c>
      <c r="O2197" s="897" t="s">
        <v>99</v>
      </c>
      <c r="P2197" s="899"/>
    </row>
    <row r="2198" spans="9:16" ht="15.75" thickBot="1">
      <c r="I2198" s="896"/>
      <c r="J2198" s="898"/>
      <c r="K2198" s="898"/>
      <c r="L2198" s="898"/>
      <c r="M2198" s="898"/>
      <c r="N2198" s="898"/>
      <c r="O2198" s="240" t="s">
        <v>100</v>
      </c>
      <c r="P2198" s="182" t="s">
        <v>101</v>
      </c>
    </row>
    <row r="2199" spans="9:16">
      <c r="I2199" s="881">
        <v>240</v>
      </c>
      <c r="J2199" s="875">
        <v>42592</v>
      </c>
      <c r="K2199" s="877" t="s">
        <v>1014</v>
      </c>
      <c r="L2199" s="879" t="s">
        <v>1025</v>
      </c>
      <c r="M2199" s="881" t="s">
        <v>115</v>
      </c>
      <c r="N2199" s="883">
        <v>110000</v>
      </c>
      <c r="O2199" s="55">
        <v>719</v>
      </c>
      <c r="P2199" s="78">
        <f>+N2199</f>
        <v>110000</v>
      </c>
    </row>
    <row r="2200" spans="9:16" ht="15.75" thickBot="1">
      <c r="I2200" s="882"/>
      <c r="J2200" s="876"/>
      <c r="K2200" s="878"/>
      <c r="L2200" s="880"/>
      <c r="M2200" s="882"/>
      <c r="N2200" s="884"/>
      <c r="O2200" s="56">
        <v>721</v>
      </c>
      <c r="P2200" s="79"/>
    </row>
    <row r="2201" spans="9:16" ht="15" customHeight="1">
      <c r="I2201" s="881">
        <v>241</v>
      </c>
      <c r="J2201" s="875">
        <v>42592</v>
      </c>
      <c r="K2201" s="877" t="s">
        <v>28</v>
      </c>
      <c r="L2201" s="879" t="s">
        <v>1026</v>
      </c>
      <c r="M2201" s="881" t="s">
        <v>115</v>
      </c>
      <c r="N2201" s="883">
        <v>70000</v>
      </c>
      <c r="O2201" s="55">
        <v>719</v>
      </c>
      <c r="P2201" s="78">
        <f>+N2201</f>
        <v>70000</v>
      </c>
    </row>
    <row r="2202" spans="9:16" ht="15.75" customHeight="1" thickBot="1">
      <c r="I2202" s="882"/>
      <c r="J2202" s="876"/>
      <c r="K2202" s="878"/>
      <c r="L2202" s="880"/>
      <c r="M2202" s="882"/>
      <c r="N2202" s="884"/>
      <c r="O2202" s="56">
        <v>721</v>
      </c>
      <c r="P2202" s="79"/>
    </row>
    <row r="2203" spans="9:16" ht="15" customHeight="1">
      <c r="I2203" s="881">
        <v>242</v>
      </c>
      <c r="J2203" s="875">
        <v>42592</v>
      </c>
      <c r="K2203" s="877" t="s">
        <v>1014</v>
      </c>
      <c r="L2203" s="879" t="s">
        <v>1027</v>
      </c>
      <c r="M2203" s="881" t="s">
        <v>115</v>
      </c>
      <c r="N2203" s="883">
        <v>260000</v>
      </c>
      <c r="O2203" s="55">
        <v>719</v>
      </c>
      <c r="P2203" s="78">
        <v>260000</v>
      </c>
    </row>
    <row r="2204" spans="9:16" ht="15.75" customHeight="1" thickBot="1">
      <c r="I2204" s="882"/>
      <c r="J2204" s="876"/>
      <c r="K2204" s="878"/>
      <c r="L2204" s="880"/>
      <c r="M2204" s="882"/>
      <c r="N2204" s="884"/>
      <c r="O2204" s="56">
        <v>721</v>
      </c>
      <c r="P2204" s="79">
        <f>+N2203-P2203</f>
        <v>0</v>
      </c>
    </row>
    <row r="2205" spans="9:16" ht="15" customHeight="1">
      <c r="I2205" s="881"/>
      <c r="J2205" s="875"/>
      <c r="K2205" s="877"/>
      <c r="L2205" s="879"/>
      <c r="M2205" s="881"/>
      <c r="N2205" s="883"/>
      <c r="O2205" s="55">
        <v>719</v>
      </c>
      <c r="P2205" s="78">
        <v>0</v>
      </c>
    </row>
    <row r="2206" spans="9:16" ht="15.75" customHeight="1" thickBot="1">
      <c r="I2206" s="882"/>
      <c r="J2206" s="876"/>
      <c r="K2206" s="878"/>
      <c r="L2206" s="880"/>
      <c r="M2206" s="882"/>
      <c r="N2206" s="884"/>
      <c r="O2206" s="56">
        <v>721</v>
      </c>
      <c r="P2206" s="79">
        <f>+N2205-P2205</f>
        <v>0</v>
      </c>
    </row>
    <row r="2207" spans="9:16">
      <c r="I2207" s="881"/>
      <c r="J2207" s="875"/>
      <c r="K2207" s="877"/>
      <c r="L2207" s="879"/>
      <c r="M2207" s="881"/>
      <c r="N2207" s="883"/>
      <c r="O2207" s="55">
        <v>719</v>
      </c>
      <c r="P2207" s="78"/>
    </row>
    <row r="2208" spans="9:16" ht="15.75" thickBot="1">
      <c r="I2208" s="882"/>
      <c r="J2208" s="876"/>
      <c r="K2208" s="878"/>
      <c r="L2208" s="880"/>
      <c r="M2208" s="882"/>
      <c r="N2208" s="884"/>
      <c r="O2208" s="56">
        <v>723</v>
      </c>
      <c r="P2208" s="79">
        <f>+N2207-P2207</f>
        <v>0</v>
      </c>
    </row>
    <row r="2209" spans="9:16" ht="16.5" thickBot="1">
      <c r="I2209" s="901" t="s">
        <v>102</v>
      </c>
      <c r="J2209" s="902"/>
      <c r="K2209" s="902"/>
      <c r="L2209" s="902"/>
      <c r="M2209" s="903"/>
      <c r="N2209" s="81">
        <f>SUM(N2199:N2208)</f>
        <v>440000</v>
      </c>
    </row>
    <row r="2210" spans="9:16" ht="16.5" thickBot="1">
      <c r="I2210" s="885" t="s">
        <v>103</v>
      </c>
      <c r="J2210" s="886"/>
      <c r="K2210" s="886"/>
      <c r="L2210" s="886"/>
      <c r="M2210" s="887"/>
      <c r="N2210" s="69">
        <f>+N2174</f>
        <v>521560760</v>
      </c>
      <c r="O2210" s="241" t="s">
        <v>561</v>
      </c>
      <c r="P2210" s="242">
        <f>742+165+273</f>
        <v>1180</v>
      </c>
    </row>
    <row r="2211" spans="9:16" ht="16.5" thickBot="1">
      <c r="I2211" s="888" t="s">
        <v>104</v>
      </c>
      <c r="J2211" s="889"/>
      <c r="K2211" s="889"/>
      <c r="L2211" s="889"/>
      <c r="M2211" s="890"/>
      <c r="N2211" s="183">
        <f>SUM(N2209:N2210)</f>
        <v>522000760</v>
      </c>
    </row>
    <row r="2212" spans="9:16">
      <c r="I2212" s="61"/>
      <c r="J2212" s="61"/>
      <c r="K2212" s="61"/>
      <c r="L2212" s="61"/>
      <c r="M2212" s="61"/>
    </row>
    <row r="2213" spans="9:16">
      <c r="I2213" s="51" t="s">
        <v>1029</v>
      </c>
    </row>
    <row r="2214" spans="9:16" ht="12.75" customHeight="1">
      <c r="N2214" s="139"/>
    </row>
    <row r="2215" spans="9:16">
      <c r="I2215" s="50" t="s">
        <v>105</v>
      </c>
      <c r="L2215" s="146"/>
      <c r="N2215" s="139"/>
    </row>
    <row r="2216" spans="9:16" ht="12.75" customHeight="1" thickBot="1"/>
    <row r="2217" spans="9:16" ht="15.75" thickBot="1">
      <c r="I2217" s="891" t="s">
        <v>106</v>
      </c>
      <c r="J2217" s="892"/>
      <c r="K2217" s="892"/>
      <c r="L2217" s="893"/>
      <c r="N2217" s="50" t="s">
        <v>270</v>
      </c>
    </row>
    <row r="2218" spans="9:16" ht="30.75" thickBot="1">
      <c r="I2218" s="57" t="s">
        <v>100</v>
      </c>
      <c r="J2218" s="58" t="s">
        <v>108</v>
      </c>
      <c r="K2218" s="287" t="s">
        <v>109</v>
      </c>
      <c r="L2218" s="60" t="s">
        <v>110</v>
      </c>
    </row>
    <row r="2219" spans="9:16">
      <c r="I2219" s="71">
        <v>719</v>
      </c>
      <c r="J2219" s="73">
        <f>+P2199+P2201+P2203+P2205+P2207</f>
        <v>440000</v>
      </c>
      <c r="K2219" s="74">
        <f>+L2182</f>
        <v>30185000</v>
      </c>
      <c r="L2219" s="195">
        <f>+J2219+K2219</f>
        <v>30625000</v>
      </c>
    </row>
    <row r="2220" spans="9:16">
      <c r="I2220" s="72">
        <v>721</v>
      </c>
      <c r="J2220" s="80">
        <f>+P2200+P2202+P2204+P2206</f>
        <v>0</v>
      </c>
      <c r="K2220" s="74">
        <f>+L2183</f>
        <v>127915583</v>
      </c>
      <c r="L2220" s="195">
        <f>+J2220+K2220</f>
        <v>127915583</v>
      </c>
    </row>
    <row r="2221" spans="9:16">
      <c r="I2221" s="72">
        <v>722</v>
      </c>
      <c r="J2221" s="80"/>
      <c r="K2221" s="74">
        <f>+L2184</f>
        <v>0</v>
      </c>
      <c r="L2221" s="195">
        <f>+J2221+K2221</f>
        <v>0</v>
      </c>
    </row>
    <row r="2222" spans="9:16" ht="15.75">
      <c r="I2222" s="72">
        <v>723</v>
      </c>
      <c r="J2222" s="80">
        <f>+P2208</f>
        <v>0</v>
      </c>
      <c r="K2222" s="74">
        <f>+L2185</f>
        <v>397905551</v>
      </c>
      <c r="L2222" s="195">
        <f>+J2222+K2222</f>
        <v>397905551</v>
      </c>
      <c r="N2222" s="193" t="s">
        <v>1028</v>
      </c>
      <c r="O2222" s="175"/>
    </row>
    <row r="2223" spans="9:16" ht="16.5" thickBot="1">
      <c r="I2223" s="164" t="s">
        <v>181</v>
      </c>
      <c r="J2223" s="165"/>
      <c r="K2223" s="74">
        <f>+L2186</f>
        <v>0</v>
      </c>
      <c r="L2223" s="196">
        <f>+J2223+K2223</f>
        <v>0</v>
      </c>
      <c r="N2223" s="52"/>
    </row>
    <row r="2224" spans="9:16" ht="16.5" thickBot="1">
      <c r="I2224" s="169"/>
      <c r="J2224" s="197">
        <f>SUM(J2219:J2223)</f>
        <v>440000</v>
      </c>
      <c r="K2224" s="197">
        <f>SUM(K2219:K2223)</f>
        <v>556006134</v>
      </c>
      <c r="L2224" s="198">
        <f>SUM(L2219:L2223)</f>
        <v>556446134</v>
      </c>
    </row>
    <row r="2225" spans="9:16" ht="16.5">
      <c r="I2225" s="49" t="s">
        <v>88</v>
      </c>
      <c r="J2225" s="50"/>
    </row>
    <row r="2226" spans="9:16">
      <c r="I2226" s="51" t="s">
        <v>89</v>
      </c>
    </row>
    <row r="2227" spans="9:16">
      <c r="I2227" s="51" t="s">
        <v>90</v>
      </c>
    </row>
    <row r="2228" spans="9:16">
      <c r="I2228" s="51" t="s">
        <v>91</v>
      </c>
    </row>
    <row r="2229" spans="9:16" ht="10.5" customHeight="1">
      <c r="I2229" s="50"/>
      <c r="J2229" s="50"/>
    </row>
    <row r="2230" spans="9:16" ht="15.75">
      <c r="I2230" s="260" t="s">
        <v>1030</v>
      </c>
      <c r="O2230" s="52"/>
    </row>
    <row r="2231" spans="9:16" ht="15.75">
      <c r="I2231" s="53" t="s">
        <v>535</v>
      </c>
      <c r="O2231" s="53"/>
    </row>
    <row r="2232" spans="9:16" ht="16.5">
      <c r="I2232" s="894" t="s">
        <v>909</v>
      </c>
      <c r="J2232" s="894"/>
      <c r="K2232" s="894"/>
      <c r="L2232" s="894"/>
      <c r="M2232" s="894"/>
      <c r="N2232" s="894"/>
      <c r="O2232" s="894"/>
      <c r="P2232" s="894"/>
    </row>
    <row r="2233" spans="9:16" ht="12" customHeight="1" thickBot="1"/>
    <row r="2234" spans="9:16">
      <c r="I2234" s="895" t="s">
        <v>94</v>
      </c>
      <c r="J2234" s="897" t="s">
        <v>95</v>
      </c>
      <c r="K2234" s="897" t="s">
        <v>96</v>
      </c>
      <c r="L2234" s="897" t="s">
        <v>3</v>
      </c>
      <c r="M2234" s="897" t="s">
        <v>97</v>
      </c>
      <c r="N2234" s="897" t="s">
        <v>98</v>
      </c>
      <c r="O2234" s="897" t="s">
        <v>99</v>
      </c>
      <c r="P2234" s="899"/>
    </row>
    <row r="2235" spans="9:16" ht="15.75" thickBot="1">
      <c r="I2235" s="896"/>
      <c r="J2235" s="898"/>
      <c r="K2235" s="898"/>
      <c r="L2235" s="898"/>
      <c r="M2235" s="898"/>
      <c r="N2235" s="898"/>
      <c r="O2235" s="240" t="s">
        <v>100</v>
      </c>
      <c r="P2235" s="182" t="s">
        <v>101</v>
      </c>
    </row>
    <row r="2236" spans="9:16">
      <c r="I2236" s="881">
        <v>243</v>
      </c>
      <c r="J2236" s="875">
        <v>42621</v>
      </c>
      <c r="K2236" s="877" t="s">
        <v>1014</v>
      </c>
      <c r="L2236" s="879" t="s">
        <v>1033</v>
      </c>
      <c r="M2236" s="881" t="s">
        <v>115</v>
      </c>
      <c r="N2236" s="883">
        <v>190000</v>
      </c>
      <c r="O2236" s="55">
        <v>719</v>
      </c>
      <c r="P2236" s="78">
        <f>+N2236</f>
        <v>190000</v>
      </c>
    </row>
    <row r="2237" spans="9:16" ht="15.75" thickBot="1">
      <c r="I2237" s="882"/>
      <c r="J2237" s="876"/>
      <c r="K2237" s="878"/>
      <c r="L2237" s="880"/>
      <c r="M2237" s="882"/>
      <c r="N2237" s="884"/>
      <c r="O2237" s="56">
        <v>721</v>
      </c>
      <c r="P2237" s="79"/>
    </row>
    <row r="2238" spans="9:16" ht="15" customHeight="1">
      <c r="I2238" s="881">
        <v>244</v>
      </c>
      <c r="J2238" s="875">
        <v>42621</v>
      </c>
      <c r="K2238" s="877" t="s">
        <v>28</v>
      </c>
      <c r="L2238" s="879" t="s">
        <v>1033</v>
      </c>
      <c r="M2238" s="881" t="s">
        <v>115</v>
      </c>
      <c r="N2238" s="883">
        <v>60000</v>
      </c>
      <c r="O2238" s="55">
        <v>719</v>
      </c>
      <c r="P2238" s="78">
        <f>+N2238</f>
        <v>60000</v>
      </c>
    </row>
    <row r="2239" spans="9:16" ht="15.75" customHeight="1" thickBot="1">
      <c r="I2239" s="882"/>
      <c r="J2239" s="876"/>
      <c r="K2239" s="878"/>
      <c r="L2239" s="880"/>
      <c r="M2239" s="882"/>
      <c r="N2239" s="884"/>
      <c r="O2239" s="56">
        <v>721</v>
      </c>
      <c r="P2239" s="79"/>
    </row>
    <row r="2240" spans="9:16" ht="15" customHeight="1">
      <c r="I2240" s="881">
        <v>245</v>
      </c>
      <c r="J2240" s="875">
        <v>42621</v>
      </c>
      <c r="K2240" s="877" t="s">
        <v>1014</v>
      </c>
      <c r="L2240" s="879" t="s">
        <v>1034</v>
      </c>
      <c r="M2240" s="881" t="s">
        <v>115</v>
      </c>
      <c r="N2240" s="883">
        <v>560000</v>
      </c>
      <c r="O2240" s="55">
        <v>719</v>
      </c>
      <c r="P2240" s="78">
        <v>560000</v>
      </c>
    </row>
    <row r="2241" spans="9:16" ht="15.75" customHeight="1" thickBot="1">
      <c r="I2241" s="882"/>
      <c r="J2241" s="876"/>
      <c r="K2241" s="878"/>
      <c r="L2241" s="880"/>
      <c r="M2241" s="882"/>
      <c r="N2241" s="884"/>
      <c r="O2241" s="56">
        <v>721</v>
      </c>
      <c r="P2241" s="79">
        <f>+N2240-P2240</f>
        <v>0</v>
      </c>
    </row>
    <row r="2242" spans="9:16" ht="15" customHeight="1">
      <c r="I2242" s="881">
        <v>246</v>
      </c>
      <c r="J2242" s="875">
        <v>42621</v>
      </c>
      <c r="K2242" s="877" t="s">
        <v>28</v>
      </c>
      <c r="L2242" s="879" t="s">
        <v>1035</v>
      </c>
      <c r="M2242" s="881" t="s">
        <v>115</v>
      </c>
      <c r="N2242" s="883">
        <v>70000</v>
      </c>
      <c r="O2242" s="55">
        <v>719</v>
      </c>
      <c r="P2242" s="78">
        <v>70000</v>
      </c>
    </row>
    <row r="2243" spans="9:16" ht="15.75" customHeight="1" thickBot="1">
      <c r="I2243" s="882"/>
      <c r="J2243" s="876"/>
      <c r="K2243" s="878"/>
      <c r="L2243" s="880"/>
      <c r="M2243" s="882"/>
      <c r="N2243" s="884"/>
      <c r="O2243" s="56">
        <v>721</v>
      </c>
      <c r="P2243" s="79">
        <f>+N2242-P2242</f>
        <v>0</v>
      </c>
    </row>
    <row r="2244" spans="9:16" ht="15" customHeight="1">
      <c r="I2244" s="881"/>
      <c r="J2244" s="875"/>
      <c r="K2244" s="877"/>
      <c r="L2244" s="879"/>
      <c r="M2244" s="881"/>
      <c r="N2244" s="883"/>
      <c r="O2244" s="55">
        <v>719</v>
      </c>
      <c r="P2244" s="78"/>
    </row>
    <row r="2245" spans="9:16" ht="15.75" customHeight="1" thickBot="1">
      <c r="I2245" s="882"/>
      <c r="J2245" s="876"/>
      <c r="K2245" s="878"/>
      <c r="L2245" s="880"/>
      <c r="M2245" s="882"/>
      <c r="N2245" s="884"/>
      <c r="O2245" s="56">
        <v>723</v>
      </c>
      <c r="P2245" s="79">
        <f>+N2244-P2244</f>
        <v>0</v>
      </c>
    </row>
    <row r="2246" spans="9:16" ht="16.5" thickBot="1">
      <c r="I2246" s="901" t="s">
        <v>102</v>
      </c>
      <c r="J2246" s="902"/>
      <c r="K2246" s="902"/>
      <c r="L2246" s="902"/>
      <c r="M2246" s="903"/>
      <c r="N2246" s="81">
        <f>SUM(N2236:N2245)</f>
        <v>880000</v>
      </c>
    </row>
    <row r="2247" spans="9:16" ht="16.5" thickBot="1">
      <c r="I2247" s="885" t="s">
        <v>103</v>
      </c>
      <c r="J2247" s="886"/>
      <c r="K2247" s="886"/>
      <c r="L2247" s="886"/>
      <c r="M2247" s="887"/>
      <c r="N2247" s="69">
        <f>+N2211</f>
        <v>522000760</v>
      </c>
      <c r="O2247" s="241" t="s">
        <v>561</v>
      </c>
      <c r="P2247" s="242">
        <f>86+1021+143+512</f>
        <v>1762</v>
      </c>
    </row>
    <row r="2248" spans="9:16" ht="16.5" thickBot="1">
      <c r="I2248" s="888" t="s">
        <v>104</v>
      </c>
      <c r="J2248" s="889"/>
      <c r="K2248" s="889"/>
      <c r="L2248" s="889"/>
      <c r="M2248" s="890"/>
      <c r="N2248" s="183">
        <f>SUM(N2246:N2247)</f>
        <v>522880760</v>
      </c>
    </row>
    <row r="2249" spans="9:16">
      <c r="I2249" s="61"/>
      <c r="J2249" s="61"/>
      <c r="K2249" s="61"/>
      <c r="L2249" s="61"/>
      <c r="M2249" s="61"/>
    </row>
    <row r="2250" spans="9:16">
      <c r="I2250" s="51" t="s">
        <v>1036</v>
      </c>
    </row>
    <row r="2251" spans="9:16" ht="12.75" customHeight="1">
      <c r="N2251" s="139"/>
    </row>
    <row r="2252" spans="9:16">
      <c r="I2252" s="50" t="s">
        <v>105</v>
      </c>
      <c r="L2252" s="146"/>
      <c r="N2252" s="139"/>
    </row>
    <row r="2253" spans="9:16" ht="13.5" customHeight="1" thickBot="1"/>
    <row r="2254" spans="9:16" ht="15.75" thickBot="1">
      <c r="I2254" s="891" t="s">
        <v>106</v>
      </c>
      <c r="J2254" s="892"/>
      <c r="K2254" s="892"/>
      <c r="L2254" s="893"/>
      <c r="N2254" s="50" t="s">
        <v>288</v>
      </c>
    </row>
    <row r="2255" spans="9:16" ht="30.75" thickBot="1">
      <c r="I2255" s="57" t="s">
        <v>100</v>
      </c>
      <c r="J2255" s="58" t="s">
        <v>108</v>
      </c>
      <c r="K2255" s="287" t="s">
        <v>109</v>
      </c>
      <c r="L2255" s="60" t="s">
        <v>110</v>
      </c>
    </row>
    <row r="2256" spans="9:16">
      <c r="I2256" s="71">
        <v>719</v>
      </c>
      <c r="J2256" s="73">
        <f>+P2236+P2238+P2240+P2242+P2244</f>
        <v>880000</v>
      </c>
      <c r="K2256" s="74">
        <f>+L2219</f>
        <v>30625000</v>
      </c>
      <c r="L2256" s="195">
        <f>+J2256+K2256</f>
        <v>31505000</v>
      </c>
    </row>
    <row r="2257" spans="9:16">
      <c r="I2257" s="72">
        <v>721</v>
      </c>
      <c r="J2257" s="80">
        <f>+P2237+P2239+P2241+P2243</f>
        <v>0</v>
      </c>
      <c r="K2257" s="74">
        <f>+L2220</f>
        <v>127915583</v>
      </c>
      <c r="L2257" s="195">
        <f>+J2257+K2257</f>
        <v>127915583</v>
      </c>
    </row>
    <row r="2258" spans="9:16">
      <c r="I2258" s="72">
        <v>722</v>
      </c>
      <c r="J2258" s="80"/>
      <c r="K2258" s="74">
        <f>+L2221</f>
        <v>0</v>
      </c>
      <c r="L2258" s="195">
        <f>+J2258+K2258</f>
        <v>0</v>
      </c>
    </row>
    <row r="2259" spans="9:16" ht="15.75">
      <c r="I2259" s="72">
        <v>723</v>
      </c>
      <c r="J2259" s="80">
        <f>+P2245</f>
        <v>0</v>
      </c>
      <c r="K2259" s="74">
        <f>+L2222</f>
        <v>397905551</v>
      </c>
      <c r="L2259" s="195">
        <f>+J2259+K2259</f>
        <v>397905551</v>
      </c>
      <c r="N2259" s="193" t="s">
        <v>289</v>
      </c>
      <c r="O2259" s="175"/>
    </row>
    <row r="2260" spans="9:16" ht="16.5" thickBot="1">
      <c r="I2260" s="164" t="s">
        <v>181</v>
      </c>
      <c r="J2260" s="165"/>
      <c r="K2260" s="74">
        <f>+L2223</f>
        <v>0</v>
      </c>
      <c r="L2260" s="196">
        <f>+J2260+K2260</f>
        <v>0</v>
      </c>
      <c r="N2260" s="52"/>
    </row>
    <row r="2261" spans="9:16" ht="16.5" thickBot="1">
      <c r="I2261" s="169"/>
      <c r="J2261" s="197">
        <f>SUM(J2256:J2260)</f>
        <v>880000</v>
      </c>
      <c r="K2261" s="197">
        <f>SUM(K2256:K2260)</f>
        <v>556446134</v>
      </c>
      <c r="L2261" s="198">
        <f>SUM(L2256:L2260)</f>
        <v>557326134</v>
      </c>
    </row>
    <row r="2262" spans="9:16" ht="16.5">
      <c r="I2262" s="49" t="s">
        <v>88</v>
      </c>
      <c r="J2262" s="50"/>
    </row>
    <row r="2263" spans="9:16">
      <c r="I2263" s="51" t="s">
        <v>89</v>
      </c>
    </row>
    <row r="2264" spans="9:16">
      <c r="I2264" s="51" t="s">
        <v>90</v>
      </c>
    </row>
    <row r="2265" spans="9:16">
      <c r="I2265" s="51" t="s">
        <v>91</v>
      </c>
    </row>
    <row r="2266" spans="9:16" ht="11.25" customHeight="1">
      <c r="I2266" s="50"/>
      <c r="J2266" s="50"/>
    </row>
    <row r="2267" spans="9:16" ht="15.75">
      <c r="I2267" s="260" t="s">
        <v>1031</v>
      </c>
      <c r="O2267" s="52"/>
    </row>
    <row r="2268" spans="9:16" ht="15.75">
      <c r="I2268" s="53" t="s">
        <v>535</v>
      </c>
      <c r="O2268" s="53"/>
    </row>
    <row r="2269" spans="9:16" ht="16.5">
      <c r="I2269" s="894" t="s">
        <v>909</v>
      </c>
      <c r="J2269" s="894"/>
      <c r="K2269" s="894"/>
      <c r="L2269" s="894"/>
      <c r="M2269" s="894"/>
      <c r="N2269" s="894"/>
      <c r="O2269" s="894"/>
      <c r="P2269" s="894"/>
    </row>
    <row r="2270" spans="9:16" ht="15.75" thickBot="1"/>
    <row r="2271" spans="9:16">
      <c r="I2271" s="895" t="s">
        <v>94</v>
      </c>
      <c r="J2271" s="897" t="s">
        <v>95</v>
      </c>
      <c r="K2271" s="897" t="s">
        <v>96</v>
      </c>
      <c r="L2271" s="897" t="s">
        <v>3</v>
      </c>
      <c r="M2271" s="897" t="s">
        <v>97</v>
      </c>
      <c r="N2271" s="897" t="s">
        <v>98</v>
      </c>
      <c r="O2271" s="897" t="s">
        <v>99</v>
      </c>
      <c r="P2271" s="899"/>
    </row>
    <row r="2272" spans="9:16" ht="15.75" thickBot="1">
      <c r="I2272" s="896"/>
      <c r="J2272" s="898"/>
      <c r="K2272" s="898"/>
      <c r="L2272" s="898"/>
      <c r="M2272" s="898"/>
      <c r="N2272" s="898"/>
      <c r="O2272" s="240" t="s">
        <v>100</v>
      </c>
      <c r="P2272" s="182" t="s">
        <v>101</v>
      </c>
    </row>
    <row r="2273" spans="9:16">
      <c r="I2273" s="881">
        <v>247</v>
      </c>
      <c r="J2273" s="875">
        <v>42623</v>
      </c>
      <c r="K2273" s="877" t="s">
        <v>40</v>
      </c>
      <c r="L2273" s="879" t="s">
        <v>1037</v>
      </c>
      <c r="M2273" s="881" t="s">
        <v>148</v>
      </c>
      <c r="N2273" s="883">
        <v>140000</v>
      </c>
      <c r="O2273" s="55">
        <v>719</v>
      </c>
      <c r="P2273" s="78">
        <v>100000</v>
      </c>
    </row>
    <row r="2274" spans="9:16" ht="15.75" thickBot="1">
      <c r="I2274" s="882"/>
      <c r="J2274" s="876"/>
      <c r="K2274" s="878"/>
      <c r="L2274" s="880"/>
      <c r="M2274" s="882"/>
      <c r="N2274" s="884"/>
      <c r="O2274" s="56">
        <v>721</v>
      </c>
      <c r="P2274" s="79">
        <f>+N2273-P2273</f>
        <v>40000</v>
      </c>
    </row>
    <row r="2275" spans="9:16">
      <c r="I2275" s="881">
        <v>248</v>
      </c>
      <c r="J2275" s="875">
        <v>42623</v>
      </c>
      <c r="K2275" s="877" t="s">
        <v>28</v>
      </c>
      <c r="L2275" s="879" t="s">
        <v>1038</v>
      </c>
      <c r="M2275" s="881" t="s">
        <v>148</v>
      </c>
      <c r="N2275" s="883">
        <v>714000</v>
      </c>
      <c r="O2275" s="55">
        <v>719</v>
      </c>
      <c r="P2275" s="78">
        <f>+N2275-P2276</f>
        <v>510000</v>
      </c>
    </row>
    <row r="2276" spans="9:16" ht="15.75" thickBot="1">
      <c r="I2276" s="882"/>
      <c r="J2276" s="876"/>
      <c r="K2276" s="878"/>
      <c r="L2276" s="880"/>
      <c r="M2276" s="882"/>
      <c r="N2276" s="884"/>
      <c r="O2276" s="56">
        <v>721</v>
      </c>
      <c r="P2276" s="79">
        <v>204000</v>
      </c>
    </row>
    <row r="2277" spans="9:16">
      <c r="I2277" s="881">
        <v>249</v>
      </c>
      <c r="J2277" s="875">
        <v>42623</v>
      </c>
      <c r="K2277" s="877" t="s">
        <v>111</v>
      </c>
      <c r="L2277" s="879" t="s">
        <v>1039</v>
      </c>
      <c r="M2277" s="881" t="s">
        <v>148</v>
      </c>
      <c r="N2277" s="883">
        <v>252000</v>
      </c>
      <c r="O2277" s="55">
        <v>719</v>
      </c>
      <c r="P2277" s="78">
        <v>180000</v>
      </c>
    </row>
    <row r="2278" spans="9:16" ht="15.75" thickBot="1">
      <c r="I2278" s="882"/>
      <c r="J2278" s="876"/>
      <c r="K2278" s="878"/>
      <c r="L2278" s="880"/>
      <c r="M2278" s="882"/>
      <c r="N2278" s="884"/>
      <c r="O2278" s="56">
        <v>721</v>
      </c>
      <c r="P2278" s="79">
        <f>+N2277-P2277</f>
        <v>72000</v>
      </c>
    </row>
    <row r="2279" spans="9:16">
      <c r="I2279" s="881">
        <v>250</v>
      </c>
      <c r="J2279" s="875">
        <v>42623</v>
      </c>
      <c r="K2279" s="877" t="s">
        <v>40</v>
      </c>
      <c r="L2279" s="879" t="s">
        <v>1040</v>
      </c>
      <c r="M2279" s="881" t="s">
        <v>148</v>
      </c>
      <c r="N2279" s="883">
        <v>112000</v>
      </c>
      <c r="O2279" s="55">
        <v>719</v>
      </c>
      <c r="P2279" s="78">
        <v>80000</v>
      </c>
    </row>
    <row r="2280" spans="9:16" ht="15.75" thickBot="1">
      <c r="I2280" s="882"/>
      <c r="J2280" s="876"/>
      <c r="K2280" s="878"/>
      <c r="L2280" s="880"/>
      <c r="M2280" s="882"/>
      <c r="N2280" s="884"/>
      <c r="O2280" s="56">
        <v>721</v>
      </c>
      <c r="P2280" s="79">
        <f>+N2279-P2279</f>
        <v>32000</v>
      </c>
    </row>
    <row r="2281" spans="9:16">
      <c r="I2281" s="881">
        <v>251</v>
      </c>
      <c r="J2281" s="875">
        <v>42623</v>
      </c>
      <c r="K2281" s="877" t="s">
        <v>28</v>
      </c>
      <c r="L2281" s="879" t="s">
        <v>1041</v>
      </c>
      <c r="M2281" s="881" t="s">
        <v>148</v>
      </c>
      <c r="N2281" s="883">
        <v>504000</v>
      </c>
      <c r="O2281" s="55">
        <v>719</v>
      </c>
      <c r="P2281" s="78">
        <v>360000</v>
      </c>
    </row>
    <row r="2282" spans="9:16" ht="15.75" thickBot="1">
      <c r="I2282" s="882"/>
      <c r="J2282" s="876"/>
      <c r="K2282" s="878"/>
      <c r="L2282" s="880"/>
      <c r="M2282" s="882"/>
      <c r="N2282" s="884"/>
      <c r="O2282" s="56">
        <v>723</v>
      </c>
      <c r="P2282" s="79">
        <f>+N2281-P2281</f>
        <v>144000</v>
      </c>
    </row>
    <row r="2283" spans="9:16" ht="16.5" thickBot="1">
      <c r="I2283" s="901" t="s">
        <v>102</v>
      </c>
      <c r="J2283" s="902"/>
      <c r="K2283" s="902"/>
      <c r="L2283" s="902"/>
      <c r="M2283" s="903"/>
      <c r="N2283" s="81">
        <f>SUM(N2273:N2282)</f>
        <v>1722000</v>
      </c>
    </row>
    <row r="2284" spans="9:16" ht="16.5" thickBot="1">
      <c r="I2284" s="885" t="s">
        <v>103</v>
      </c>
      <c r="J2284" s="886"/>
      <c r="K2284" s="886"/>
      <c r="L2284" s="886"/>
      <c r="M2284" s="887"/>
      <c r="N2284" s="69">
        <f>+N2248</f>
        <v>522880760</v>
      </c>
      <c r="O2284" s="241" t="s">
        <v>561</v>
      </c>
      <c r="P2284" s="242">
        <f>875+40+72+1421+61</f>
        <v>2469</v>
      </c>
    </row>
    <row r="2285" spans="9:16" ht="16.5" thickBot="1">
      <c r="I2285" s="888" t="s">
        <v>104</v>
      </c>
      <c r="J2285" s="889"/>
      <c r="K2285" s="889"/>
      <c r="L2285" s="889"/>
      <c r="M2285" s="890"/>
      <c r="N2285" s="183">
        <f>SUM(N2283:N2284)</f>
        <v>524602760</v>
      </c>
    </row>
    <row r="2286" spans="9:16">
      <c r="I2286" s="61"/>
      <c r="J2286" s="61"/>
      <c r="K2286" s="61"/>
      <c r="L2286" s="61"/>
      <c r="M2286" s="61"/>
    </row>
    <row r="2287" spans="9:16">
      <c r="I2287" s="51" t="s">
        <v>1042</v>
      </c>
    </row>
    <row r="2288" spans="9:16" ht="12.75" customHeight="1">
      <c r="N2288" s="139"/>
    </row>
    <row r="2289" spans="9:15">
      <c r="I2289" s="50" t="s">
        <v>105</v>
      </c>
      <c r="L2289" s="146"/>
      <c r="N2289" s="139"/>
    </row>
    <row r="2290" spans="9:15" ht="13.5" customHeight="1" thickBot="1"/>
    <row r="2291" spans="9:15" ht="15.75" thickBot="1">
      <c r="I2291" s="891" t="s">
        <v>106</v>
      </c>
      <c r="J2291" s="892"/>
      <c r="K2291" s="892"/>
      <c r="L2291" s="893"/>
      <c r="N2291" s="50" t="s">
        <v>288</v>
      </c>
    </row>
    <row r="2292" spans="9:15" ht="30.75" thickBot="1">
      <c r="I2292" s="57" t="s">
        <v>100</v>
      </c>
      <c r="J2292" s="58" t="s">
        <v>108</v>
      </c>
      <c r="K2292" s="287" t="s">
        <v>109</v>
      </c>
      <c r="L2292" s="60" t="s">
        <v>110</v>
      </c>
    </row>
    <row r="2293" spans="9:15">
      <c r="I2293" s="71">
        <v>719</v>
      </c>
      <c r="J2293" s="73">
        <f>+P2273+P2275+P2277+P2279+P2281</f>
        <v>1230000</v>
      </c>
      <c r="K2293" s="74">
        <f>+L2256</f>
        <v>31505000</v>
      </c>
      <c r="L2293" s="195">
        <f>+J2293+K2293</f>
        <v>32735000</v>
      </c>
    </row>
    <row r="2294" spans="9:15">
      <c r="I2294" s="72">
        <v>721</v>
      </c>
      <c r="J2294" s="80">
        <f>+P2274+P2276+P2278+P2280+P2282</f>
        <v>492000</v>
      </c>
      <c r="K2294" s="74">
        <f>+L2257</f>
        <v>127915583</v>
      </c>
      <c r="L2294" s="195">
        <f>+J2294+K2294</f>
        <v>128407583</v>
      </c>
    </row>
    <row r="2295" spans="9:15">
      <c r="I2295" s="72">
        <v>722</v>
      </c>
      <c r="J2295" s="80"/>
      <c r="K2295" s="74">
        <f>+L2258</f>
        <v>0</v>
      </c>
      <c r="L2295" s="195">
        <f>+J2295+K2295</f>
        <v>0</v>
      </c>
    </row>
    <row r="2296" spans="9:15" ht="15.75">
      <c r="I2296" s="72">
        <v>723</v>
      </c>
      <c r="J2296" s="80"/>
      <c r="K2296" s="74">
        <f>+L2259</f>
        <v>397905551</v>
      </c>
      <c r="L2296" s="195">
        <f>+J2296+K2296</f>
        <v>397905551</v>
      </c>
      <c r="N2296" s="193" t="s">
        <v>289</v>
      </c>
      <c r="O2296" s="175"/>
    </row>
    <row r="2297" spans="9:15" ht="16.5" thickBot="1">
      <c r="I2297" s="164" t="s">
        <v>181</v>
      </c>
      <c r="J2297" s="165"/>
      <c r="K2297" s="74">
        <f>+L2260</f>
        <v>0</v>
      </c>
      <c r="L2297" s="196">
        <f>+J2297+K2297</f>
        <v>0</v>
      </c>
      <c r="N2297" s="52"/>
    </row>
    <row r="2298" spans="9:15" ht="16.5" thickBot="1">
      <c r="I2298" s="169"/>
      <c r="J2298" s="197">
        <f>SUM(J2293:J2297)</f>
        <v>1722000</v>
      </c>
      <c r="K2298" s="197">
        <f>SUM(K2293:K2297)</f>
        <v>557326134</v>
      </c>
      <c r="L2298" s="198">
        <f>SUM(L2293:L2297)</f>
        <v>559048134</v>
      </c>
    </row>
    <row r="2299" spans="9:15" ht="16.5">
      <c r="I2299" s="49" t="s">
        <v>88</v>
      </c>
      <c r="J2299" s="50"/>
    </row>
    <row r="2300" spans="9:15">
      <c r="I2300" s="51" t="s">
        <v>89</v>
      </c>
    </row>
    <row r="2301" spans="9:15">
      <c r="I2301" s="51" t="s">
        <v>90</v>
      </c>
    </row>
    <row r="2302" spans="9:15">
      <c r="I2302" s="51" t="s">
        <v>91</v>
      </c>
    </row>
    <row r="2303" spans="9:15" ht="12.75" customHeight="1">
      <c r="I2303" s="50"/>
      <c r="J2303" s="50"/>
    </row>
    <row r="2304" spans="9:15" ht="15.75">
      <c r="I2304" s="260" t="s">
        <v>1032</v>
      </c>
      <c r="O2304" s="52"/>
    </row>
    <row r="2305" spans="9:16" ht="15.75">
      <c r="I2305" s="53" t="s">
        <v>535</v>
      </c>
      <c r="O2305" s="53"/>
    </row>
    <row r="2306" spans="9:16" ht="16.5">
      <c r="I2306" s="894" t="s">
        <v>909</v>
      </c>
      <c r="J2306" s="894"/>
      <c r="K2306" s="894"/>
      <c r="L2306" s="894"/>
      <c r="M2306" s="894"/>
      <c r="N2306" s="894"/>
      <c r="O2306" s="894"/>
      <c r="P2306" s="894"/>
    </row>
    <row r="2307" spans="9:16" ht="15.75" thickBot="1"/>
    <row r="2308" spans="9:16">
      <c r="I2308" s="895" t="s">
        <v>94</v>
      </c>
      <c r="J2308" s="897" t="s">
        <v>95</v>
      </c>
      <c r="K2308" s="897" t="s">
        <v>96</v>
      </c>
      <c r="L2308" s="897" t="s">
        <v>3</v>
      </c>
      <c r="M2308" s="897" t="s">
        <v>97</v>
      </c>
      <c r="N2308" s="897" t="s">
        <v>98</v>
      </c>
      <c r="O2308" s="897" t="s">
        <v>99</v>
      </c>
      <c r="P2308" s="899"/>
    </row>
    <row r="2309" spans="9:16" ht="15.75" thickBot="1">
      <c r="I2309" s="896"/>
      <c r="J2309" s="898"/>
      <c r="K2309" s="898"/>
      <c r="L2309" s="898"/>
      <c r="M2309" s="898"/>
      <c r="N2309" s="898"/>
      <c r="O2309" s="240" t="s">
        <v>100</v>
      </c>
      <c r="P2309" s="182" t="s">
        <v>101</v>
      </c>
    </row>
    <row r="2310" spans="9:16" ht="15" customHeight="1">
      <c r="I2310" s="881">
        <v>252</v>
      </c>
      <c r="J2310" s="875">
        <v>42621</v>
      </c>
      <c r="K2310" s="877" t="s">
        <v>40</v>
      </c>
      <c r="L2310" s="879" t="s">
        <v>1043</v>
      </c>
      <c r="M2310" s="881" t="s">
        <v>148</v>
      </c>
      <c r="N2310" s="883">
        <v>56000</v>
      </c>
      <c r="O2310" s="55">
        <v>719</v>
      </c>
      <c r="P2310" s="78">
        <v>40000</v>
      </c>
    </row>
    <row r="2311" spans="9:16" ht="15.75" customHeight="1" thickBot="1">
      <c r="I2311" s="882"/>
      <c r="J2311" s="876"/>
      <c r="K2311" s="878"/>
      <c r="L2311" s="880"/>
      <c r="M2311" s="882"/>
      <c r="N2311" s="884"/>
      <c r="O2311" s="56">
        <v>721</v>
      </c>
      <c r="P2311" s="79">
        <f>+N2310-P2310</f>
        <v>16000</v>
      </c>
    </row>
    <row r="2312" spans="9:16" ht="15" customHeight="1">
      <c r="I2312" s="881">
        <v>253</v>
      </c>
      <c r="J2312" s="875">
        <v>42621</v>
      </c>
      <c r="K2312" s="877" t="s">
        <v>28</v>
      </c>
      <c r="L2312" s="879" t="s">
        <v>1044</v>
      </c>
      <c r="M2312" s="881" t="s">
        <v>148</v>
      </c>
      <c r="N2312" s="883">
        <v>252000</v>
      </c>
      <c r="O2312" s="55">
        <v>719</v>
      </c>
      <c r="P2312" s="78">
        <v>180000</v>
      </c>
    </row>
    <row r="2313" spans="9:16" ht="15.75" customHeight="1" thickBot="1">
      <c r="I2313" s="882"/>
      <c r="J2313" s="876"/>
      <c r="K2313" s="878"/>
      <c r="L2313" s="880"/>
      <c r="M2313" s="882"/>
      <c r="N2313" s="884"/>
      <c r="O2313" s="56">
        <v>721</v>
      </c>
      <c r="P2313" s="79">
        <f>+N2312-P2312</f>
        <v>72000</v>
      </c>
    </row>
    <row r="2314" spans="9:16" ht="15" customHeight="1">
      <c r="I2314" s="881">
        <v>254</v>
      </c>
      <c r="J2314" s="875">
        <v>42621</v>
      </c>
      <c r="K2314" s="877" t="s">
        <v>111</v>
      </c>
      <c r="L2314" s="879" t="s">
        <v>1045</v>
      </c>
      <c r="M2314" s="881" t="s">
        <v>148</v>
      </c>
      <c r="N2314" s="883">
        <v>112000</v>
      </c>
      <c r="O2314" s="55">
        <v>719</v>
      </c>
      <c r="P2314" s="78">
        <v>80000</v>
      </c>
    </row>
    <row r="2315" spans="9:16" ht="15.75" customHeight="1" thickBot="1">
      <c r="I2315" s="882"/>
      <c r="J2315" s="876"/>
      <c r="K2315" s="878"/>
      <c r="L2315" s="880"/>
      <c r="M2315" s="882"/>
      <c r="N2315" s="884"/>
      <c r="O2315" s="56">
        <v>721</v>
      </c>
      <c r="P2315" s="79">
        <f>+N2314-P2314</f>
        <v>32000</v>
      </c>
    </row>
    <row r="2316" spans="9:16" ht="15" customHeight="1">
      <c r="I2316" s="881">
        <v>255</v>
      </c>
      <c r="J2316" s="875">
        <v>42621</v>
      </c>
      <c r="K2316" s="877" t="s">
        <v>111</v>
      </c>
      <c r="L2316" s="879" t="s">
        <v>1044</v>
      </c>
      <c r="M2316" s="881" t="s">
        <v>148</v>
      </c>
      <c r="N2316" s="883">
        <v>56000</v>
      </c>
      <c r="O2316" s="55">
        <v>719</v>
      </c>
      <c r="P2316" s="78">
        <v>40000</v>
      </c>
    </row>
    <row r="2317" spans="9:16" ht="15.75" customHeight="1" thickBot="1">
      <c r="I2317" s="882"/>
      <c r="J2317" s="876"/>
      <c r="K2317" s="878"/>
      <c r="L2317" s="880"/>
      <c r="M2317" s="882"/>
      <c r="N2317" s="884"/>
      <c r="O2317" s="56">
        <v>721</v>
      </c>
      <c r="P2317" s="79">
        <f>+N2316-P2316</f>
        <v>16000</v>
      </c>
    </row>
    <row r="2318" spans="9:16">
      <c r="I2318" s="881"/>
      <c r="J2318" s="875"/>
      <c r="K2318" s="877"/>
      <c r="L2318" s="879"/>
      <c r="M2318" s="881"/>
      <c r="N2318" s="883"/>
      <c r="O2318" s="55">
        <v>719</v>
      </c>
      <c r="P2318" s="78"/>
    </row>
    <row r="2319" spans="9:16" ht="15.75" thickBot="1">
      <c r="I2319" s="882"/>
      <c r="J2319" s="876"/>
      <c r="K2319" s="878"/>
      <c r="L2319" s="880"/>
      <c r="M2319" s="882"/>
      <c r="N2319" s="884"/>
      <c r="O2319" s="56">
        <v>723</v>
      </c>
      <c r="P2319" s="79">
        <f>+N2318-P2318</f>
        <v>0</v>
      </c>
    </row>
    <row r="2320" spans="9:16" ht="16.5" thickBot="1">
      <c r="I2320" s="901" t="s">
        <v>102</v>
      </c>
      <c r="J2320" s="902"/>
      <c r="K2320" s="902"/>
      <c r="L2320" s="902"/>
      <c r="M2320" s="903"/>
      <c r="N2320" s="81">
        <f>SUM(N2310:N2319)</f>
        <v>476000</v>
      </c>
    </row>
    <row r="2321" spans="9:16" ht="16.5" thickBot="1">
      <c r="I2321" s="885" t="s">
        <v>103</v>
      </c>
      <c r="J2321" s="886"/>
      <c r="K2321" s="886"/>
      <c r="L2321" s="886"/>
      <c r="M2321" s="887"/>
      <c r="N2321" s="69">
        <f>+N2285</f>
        <v>524602760</v>
      </c>
      <c r="O2321" s="241" t="s">
        <v>561</v>
      </c>
      <c r="P2321" s="242">
        <f>451+25+37+18</f>
        <v>531</v>
      </c>
    </row>
    <row r="2322" spans="9:16" ht="16.5" thickBot="1">
      <c r="I2322" s="888" t="s">
        <v>104</v>
      </c>
      <c r="J2322" s="889"/>
      <c r="K2322" s="889"/>
      <c r="L2322" s="889"/>
      <c r="M2322" s="890"/>
      <c r="N2322" s="183">
        <f>SUM(N2320:N2321)</f>
        <v>525078760</v>
      </c>
    </row>
    <row r="2323" spans="9:16">
      <c r="I2323" s="61"/>
      <c r="J2323" s="61"/>
      <c r="K2323" s="61"/>
      <c r="L2323" s="61"/>
      <c r="M2323" s="61"/>
    </row>
    <row r="2324" spans="9:16">
      <c r="I2324" s="51" t="s">
        <v>1065</v>
      </c>
    </row>
    <row r="2325" spans="9:16" ht="12" customHeight="1">
      <c r="N2325" s="139"/>
    </row>
    <row r="2326" spans="9:16">
      <c r="I2326" s="50" t="s">
        <v>105</v>
      </c>
      <c r="L2326" s="146"/>
      <c r="N2326" s="139"/>
    </row>
    <row r="2327" spans="9:16" ht="12.75" customHeight="1" thickBot="1"/>
    <row r="2328" spans="9:16" ht="15.75" thickBot="1">
      <c r="I2328" s="891" t="s">
        <v>106</v>
      </c>
      <c r="J2328" s="892"/>
      <c r="K2328" s="892"/>
      <c r="L2328" s="893"/>
      <c r="N2328" s="50" t="s">
        <v>288</v>
      </c>
    </row>
    <row r="2329" spans="9:16" ht="30.75" thickBot="1">
      <c r="I2329" s="57" t="s">
        <v>100</v>
      </c>
      <c r="J2329" s="58" t="s">
        <v>108</v>
      </c>
      <c r="K2329" s="287" t="s">
        <v>109</v>
      </c>
      <c r="L2329" s="60" t="s">
        <v>110</v>
      </c>
    </row>
    <row r="2330" spans="9:16">
      <c r="I2330" s="71">
        <v>719</v>
      </c>
      <c r="J2330" s="73">
        <f>+P2310+P2312+P2314+P2316+P2318</f>
        <v>340000</v>
      </c>
      <c r="K2330" s="74">
        <f>+L2293</f>
        <v>32735000</v>
      </c>
      <c r="L2330" s="195">
        <f>+J2330+K2330</f>
        <v>33075000</v>
      </c>
    </row>
    <row r="2331" spans="9:16">
      <c r="I2331" s="72">
        <v>721</v>
      </c>
      <c r="J2331" s="80">
        <f>+P2311+P2313+P2315+P2317+P2319</f>
        <v>136000</v>
      </c>
      <c r="K2331" s="74">
        <f>+L2294</f>
        <v>128407583</v>
      </c>
      <c r="L2331" s="195">
        <f>+J2331+K2331</f>
        <v>128543583</v>
      </c>
    </row>
    <row r="2332" spans="9:16">
      <c r="I2332" s="72">
        <v>722</v>
      </c>
      <c r="J2332" s="80"/>
      <c r="K2332" s="74">
        <f>+L2295</f>
        <v>0</v>
      </c>
      <c r="L2332" s="195">
        <f>+J2332+K2332</f>
        <v>0</v>
      </c>
    </row>
    <row r="2333" spans="9:16" ht="15.75">
      <c r="I2333" s="72">
        <v>723</v>
      </c>
      <c r="J2333" s="80"/>
      <c r="K2333" s="74">
        <f>+L2296</f>
        <v>397905551</v>
      </c>
      <c r="L2333" s="195">
        <f>+J2333+K2333</f>
        <v>397905551</v>
      </c>
      <c r="N2333" s="193" t="s">
        <v>289</v>
      </c>
      <c r="O2333" s="175"/>
    </row>
    <row r="2334" spans="9:16" ht="16.5" thickBot="1">
      <c r="I2334" s="164" t="s">
        <v>181</v>
      </c>
      <c r="J2334" s="165"/>
      <c r="K2334" s="74">
        <f>+L2297</f>
        <v>0</v>
      </c>
      <c r="L2334" s="196">
        <f>+J2334+K2334</f>
        <v>0</v>
      </c>
      <c r="N2334" s="52"/>
    </row>
    <row r="2335" spans="9:16" ht="16.5" thickBot="1">
      <c r="I2335" s="169"/>
      <c r="J2335" s="197">
        <f>SUM(J2330:J2334)</f>
        <v>476000</v>
      </c>
      <c r="K2335" s="197">
        <f>SUM(K2330:K2334)</f>
        <v>559048134</v>
      </c>
      <c r="L2335" s="198">
        <f>SUM(L2330:L2334)</f>
        <v>559524134</v>
      </c>
    </row>
    <row r="2336" spans="9:16" ht="16.5">
      <c r="I2336" s="49" t="s">
        <v>88</v>
      </c>
      <c r="J2336" s="50"/>
    </row>
    <row r="2337" spans="9:16">
      <c r="I2337" s="51" t="s">
        <v>89</v>
      </c>
    </row>
    <row r="2338" spans="9:16">
      <c r="I2338" s="51" t="s">
        <v>90</v>
      </c>
    </row>
    <row r="2339" spans="9:16">
      <c r="I2339" s="51" t="s">
        <v>91</v>
      </c>
    </row>
    <row r="2340" spans="9:16" ht="12" customHeight="1">
      <c r="I2340" s="50"/>
      <c r="J2340" s="50"/>
    </row>
    <row r="2341" spans="9:16" ht="15.75">
      <c r="I2341" s="260" t="s">
        <v>1059</v>
      </c>
      <c r="O2341" s="52"/>
    </row>
    <row r="2342" spans="9:16" ht="15.75">
      <c r="I2342" s="53" t="s">
        <v>535</v>
      </c>
      <c r="O2342" s="53"/>
    </row>
    <row r="2343" spans="9:16" ht="16.5">
      <c r="I2343" s="894" t="s">
        <v>1063</v>
      </c>
      <c r="J2343" s="894"/>
      <c r="K2343" s="894"/>
      <c r="L2343" s="894"/>
      <c r="M2343" s="894"/>
      <c r="N2343" s="894"/>
      <c r="O2343" s="894"/>
      <c r="P2343" s="894"/>
    </row>
    <row r="2344" spans="9:16" ht="15.75" thickBot="1"/>
    <row r="2345" spans="9:16">
      <c r="I2345" s="895" t="s">
        <v>94</v>
      </c>
      <c r="J2345" s="897" t="s">
        <v>95</v>
      </c>
      <c r="K2345" s="897" t="s">
        <v>96</v>
      </c>
      <c r="L2345" s="897" t="s">
        <v>3</v>
      </c>
      <c r="M2345" s="897" t="s">
        <v>97</v>
      </c>
      <c r="N2345" s="897" t="s">
        <v>98</v>
      </c>
      <c r="O2345" s="897" t="s">
        <v>99</v>
      </c>
      <c r="P2345" s="899"/>
    </row>
    <row r="2346" spans="9:16" ht="15.75" thickBot="1">
      <c r="I2346" s="896"/>
      <c r="J2346" s="898"/>
      <c r="K2346" s="898"/>
      <c r="L2346" s="898"/>
      <c r="M2346" s="898"/>
      <c r="N2346" s="898"/>
      <c r="O2346" s="240" t="s">
        <v>100</v>
      </c>
      <c r="P2346" s="182" t="s">
        <v>101</v>
      </c>
    </row>
    <row r="2347" spans="9:16">
      <c r="I2347" s="881">
        <v>256</v>
      </c>
      <c r="J2347" s="875">
        <v>42622</v>
      </c>
      <c r="K2347" s="877" t="s">
        <v>1060</v>
      </c>
      <c r="L2347" s="879" t="s">
        <v>1061</v>
      </c>
      <c r="M2347" s="881" t="s">
        <v>148</v>
      </c>
      <c r="N2347" s="883">
        <v>2000000</v>
      </c>
      <c r="O2347" s="55">
        <v>722</v>
      </c>
      <c r="P2347" s="78">
        <v>2000000</v>
      </c>
    </row>
    <row r="2348" spans="9:16" ht="15.75" thickBot="1">
      <c r="I2348" s="882"/>
      <c r="J2348" s="876"/>
      <c r="K2348" s="878"/>
      <c r="L2348" s="880"/>
      <c r="M2348" s="882"/>
      <c r="N2348" s="884"/>
      <c r="O2348" s="56">
        <v>721</v>
      </c>
      <c r="P2348" s="79">
        <f>+N2347-P2347</f>
        <v>0</v>
      </c>
    </row>
    <row r="2349" spans="9:16">
      <c r="I2349" s="881"/>
      <c r="J2349" s="875"/>
      <c r="K2349" s="877"/>
      <c r="L2349" s="879"/>
      <c r="M2349" s="881"/>
      <c r="N2349" s="883"/>
      <c r="O2349" s="55">
        <v>719</v>
      </c>
      <c r="P2349" s="78"/>
    </row>
    <row r="2350" spans="9:16" ht="15.75" thickBot="1">
      <c r="I2350" s="882"/>
      <c r="J2350" s="876"/>
      <c r="K2350" s="878"/>
      <c r="L2350" s="880"/>
      <c r="M2350" s="882"/>
      <c r="N2350" s="884"/>
      <c r="O2350" s="56">
        <v>721</v>
      </c>
      <c r="P2350" s="79">
        <f>+N2349-P2349</f>
        <v>0</v>
      </c>
    </row>
    <row r="2351" spans="9:16">
      <c r="I2351" s="881"/>
      <c r="J2351" s="875"/>
      <c r="K2351" s="877"/>
      <c r="L2351" s="879"/>
      <c r="M2351" s="881"/>
      <c r="N2351" s="883"/>
      <c r="O2351" s="55">
        <v>719</v>
      </c>
      <c r="P2351" s="78"/>
    </row>
    <row r="2352" spans="9:16" ht="13.5" customHeight="1" thickBot="1">
      <c r="I2352" s="882"/>
      <c r="J2352" s="876"/>
      <c r="K2352" s="878"/>
      <c r="L2352" s="880"/>
      <c r="M2352" s="882"/>
      <c r="N2352" s="884"/>
      <c r="O2352" s="56">
        <v>721</v>
      </c>
      <c r="P2352" s="79">
        <f>+N2351-P2351</f>
        <v>0</v>
      </c>
    </row>
    <row r="2353" spans="9:16">
      <c r="I2353" s="881"/>
      <c r="J2353" s="875"/>
      <c r="K2353" s="877"/>
      <c r="L2353" s="879"/>
      <c r="M2353" s="881"/>
      <c r="N2353" s="883"/>
      <c r="O2353" s="55">
        <v>719</v>
      </c>
      <c r="P2353" s="78"/>
    </row>
    <row r="2354" spans="9:16" ht="15.75" thickBot="1">
      <c r="I2354" s="882"/>
      <c r="J2354" s="876"/>
      <c r="K2354" s="878"/>
      <c r="L2354" s="880"/>
      <c r="M2354" s="882"/>
      <c r="N2354" s="884"/>
      <c r="O2354" s="56">
        <v>721</v>
      </c>
      <c r="P2354" s="79">
        <f>+N2353-P2353</f>
        <v>0</v>
      </c>
    </row>
    <row r="2355" spans="9:16">
      <c r="I2355" s="881"/>
      <c r="J2355" s="875"/>
      <c r="K2355" s="877"/>
      <c r="L2355" s="879"/>
      <c r="M2355" s="881"/>
      <c r="N2355" s="883"/>
      <c r="O2355" s="55">
        <v>719</v>
      </c>
      <c r="P2355" s="78"/>
    </row>
    <row r="2356" spans="9:16" ht="12" customHeight="1" thickBot="1">
      <c r="I2356" s="882"/>
      <c r="J2356" s="876"/>
      <c r="K2356" s="878"/>
      <c r="L2356" s="880"/>
      <c r="M2356" s="882"/>
      <c r="N2356" s="884"/>
      <c r="O2356" s="56">
        <v>723</v>
      </c>
      <c r="P2356" s="79">
        <f>+N2355-P2355</f>
        <v>0</v>
      </c>
    </row>
    <row r="2357" spans="9:16" ht="16.5" thickBot="1">
      <c r="I2357" s="901" t="s">
        <v>102</v>
      </c>
      <c r="J2357" s="902"/>
      <c r="K2357" s="902"/>
      <c r="L2357" s="902"/>
      <c r="M2357" s="903"/>
      <c r="N2357" s="81">
        <f>SUM(N2347:N2356)</f>
        <v>2000000</v>
      </c>
    </row>
    <row r="2358" spans="9:16" ht="16.5" thickBot="1">
      <c r="I2358" s="885" t="s">
        <v>103</v>
      </c>
      <c r="J2358" s="886"/>
      <c r="K2358" s="886"/>
      <c r="L2358" s="886"/>
      <c r="M2358" s="887"/>
      <c r="N2358" s="69">
        <f>+N2322</f>
        <v>525078760</v>
      </c>
      <c r="O2358" s="241" t="s">
        <v>561</v>
      </c>
      <c r="P2358" s="242">
        <v>0</v>
      </c>
    </row>
    <row r="2359" spans="9:16" ht="16.5" thickBot="1">
      <c r="I2359" s="888" t="s">
        <v>104</v>
      </c>
      <c r="J2359" s="889"/>
      <c r="K2359" s="889"/>
      <c r="L2359" s="889"/>
      <c r="M2359" s="890"/>
      <c r="N2359" s="183">
        <f>SUM(N2357:N2358)</f>
        <v>527078760</v>
      </c>
    </row>
    <row r="2360" spans="9:16">
      <c r="I2360" s="61"/>
      <c r="J2360" s="61"/>
      <c r="K2360" s="61"/>
      <c r="L2360" s="61"/>
      <c r="M2360" s="61"/>
    </row>
    <row r="2361" spans="9:16">
      <c r="I2361" s="51" t="s">
        <v>1062</v>
      </c>
    </row>
    <row r="2362" spans="9:16" ht="12" customHeight="1">
      <c r="N2362" s="139"/>
    </row>
    <row r="2363" spans="9:16">
      <c r="I2363" s="50" t="s">
        <v>105</v>
      </c>
      <c r="L2363" s="146"/>
      <c r="N2363" s="139"/>
    </row>
    <row r="2364" spans="9:16" ht="15.75" thickBot="1"/>
    <row r="2365" spans="9:16" ht="15.75" thickBot="1">
      <c r="I2365" s="891" t="s">
        <v>106</v>
      </c>
      <c r="J2365" s="892"/>
      <c r="K2365" s="892"/>
      <c r="L2365" s="893"/>
      <c r="N2365" s="50" t="s">
        <v>288</v>
      </c>
    </row>
    <row r="2366" spans="9:16" ht="30.75" thickBot="1">
      <c r="I2366" s="57" t="s">
        <v>100</v>
      </c>
      <c r="J2366" s="58" t="s">
        <v>108</v>
      </c>
      <c r="K2366" s="287" t="s">
        <v>109</v>
      </c>
      <c r="L2366" s="60" t="s">
        <v>110</v>
      </c>
    </row>
    <row r="2367" spans="9:16">
      <c r="I2367" s="71">
        <v>719</v>
      </c>
      <c r="J2367" s="73"/>
      <c r="K2367" s="74">
        <f>+L2330</f>
        <v>33075000</v>
      </c>
      <c r="L2367" s="195">
        <f>+J2367+K2367</f>
        <v>33075000</v>
      </c>
    </row>
    <row r="2368" spans="9:16">
      <c r="I2368" s="72">
        <v>721</v>
      </c>
      <c r="J2368" s="80">
        <f>+P2348+P2350+P2352+P2354+P2356</f>
        <v>0</v>
      </c>
      <c r="K2368" s="74">
        <f>+L2331</f>
        <v>128543583</v>
      </c>
      <c r="L2368" s="195">
        <f>+J2368+K2368</f>
        <v>128543583</v>
      </c>
    </row>
    <row r="2369" spans="9:16">
      <c r="I2369" s="72">
        <v>722</v>
      </c>
      <c r="J2369" s="80">
        <f>+P2347</f>
        <v>2000000</v>
      </c>
      <c r="K2369" s="74">
        <f>+L2332</f>
        <v>0</v>
      </c>
      <c r="L2369" s="195">
        <f>+J2369+K2369</f>
        <v>2000000</v>
      </c>
    </row>
    <row r="2370" spans="9:16" ht="15.75">
      <c r="I2370" s="72">
        <v>723</v>
      </c>
      <c r="J2370" s="80"/>
      <c r="K2370" s="74">
        <f>+L2333</f>
        <v>397905551</v>
      </c>
      <c r="L2370" s="195">
        <f>+J2370+K2370</f>
        <v>397905551</v>
      </c>
      <c r="N2370" s="193" t="s">
        <v>289</v>
      </c>
      <c r="O2370" s="175"/>
    </row>
    <row r="2371" spans="9:16" ht="16.5" thickBot="1">
      <c r="I2371" s="164" t="s">
        <v>181</v>
      </c>
      <c r="J2371" s="165"/>
      <c r="K2371" s="74">
        <f>+L2334</f>
        <v>0</v>
      </c>
      <c r="L2371" s="196">
        <f>+J2371+K2371</f>
        <v>0</v>
      </c>
      <c r="N2371" s="52"/>
    </row>
    <row r="2372" spans="9:16" ht="16.5" thickBot="1">
      <c r="I2372" s="169"/>
      <c r="J2372" s="197">
        <f>SUM(J2367:J2371)</f>
        <v>2000000</v>
      </c>
      <c r="K2372" s="197">
        <f>SUM(K2367:K2371)</f>
        <v>559524134</v>
      </c>
      <c r="L2372" s="198">
        <f>SUM(L2367:L2371)</f>
        <v>561524134</v>
      </c>
    </row>
    <row r="2373" spans="9:16" ht="16.5">
      <c r="I2373" s="49" t="s">
        <v>88</v>
      </c>
      <c r="J2373" s="50"/>
    </row>
    <row r="2374" spans="9:16">
      <c r="I2374" s="51" t="s">
        <v>89</v>
      </c>
    </row>
    <row r="2375" spans="9:16">
      <c r="I2375" s="51" t="s">
        <v>90</v>
      </c>
    </row>
    <row r="2376" spans="9:16">
      <c r="I2376" s="51" t="s">
        <v>91</v>
      </c>
    </row>
    <row r="2377" spans="9:16" ht="12" customHeight="1">
      <c r="I2377" s="50"/>
      <c r="J2377" s="50"/>
    </row>
    <row r="2378" spans="9:16" ht="15.75">
      <c r="I2378" s="260" t="s">
        <v>1066</v>
      </c>
      <c r="O2378" s="52"/>
    </row>
    <row r="2379" spans="9:16" ht="15.75">
      <c r="I2379" s="53" t="s">
        <v>535</v>
      </c>
      <c r="O2379" s="53"/>
    </row>
    <row r="2380" spans="9:16" ht="16.5">
      <c r="I2380" s="894" t="s">
        <v>909</v>
      </c>
      <c r="J2380" s="894"/>
      <c r="K2380" s="894"/>
      <c r="L2380" s="894"/>
      <c r="M2380" s="894"/>
      <c r="N2380" s="894"/>
      <c r="O2380" s="894"/>
      <c r="P2380" s="894"/>
    </row>
    <row r="2381" spans="9:16" ht="15.75" thickBot="1"/>
    <row r="2382" spans="9:16">
      <c r="I2382" s="895" t="s">
        <v>94</v>
      </c>
      <c r="J2382" s="897" t="s">
        <v>95</v>
      </c>
      <c r="K2382" s="897" t="s">
        <v>96</v>
      </c>
      <c r="L2382" s="897" t="s">
        <v>3</v>
      </c>
      <c r="M2382" s="897" t="s">
        <v>97</v>
      </c>
      <c r="N2382" s="897" t="s">
        <v>98</v>
      </c>
      <c r="O2382" s="897" t="s">
        <v>99</v>
      </c>
      <c r="P2382" s="899"/>
    </row>
    <row r="2383" spans="9:16" ht="15.75" thickBot="1">
      <c r="I2383" s="896"/>
      <c r="J2383" s="898"/>
      <c r="K2383" s="898"/>
      <c r="L2383" s="898"/>
      <c r="M2383" s="898"/>
      <c r="N2383" s="898"/>
      <c r="O2383" s="240" t="s">
        <v>100</v>
      </c>
      <c r="P2383" s="182" t="s">
        <v>101</v>
      </c>
    </row>
    <row r="2384" spans="9:16" ht="15" customHeight="1">
      <c r="I2384" s="881">
        <v>257</v>
      </c>
      <c r="J2384" s="875">
        <v>42622</v>
      </c>
      <c r="K2384" s="877" t="s">
        <v>1014</v>
      </c>
      <c r="L2384" s="879" t="s">
        <v>1067</v>
      </c>
      <c r="M2384" s="881" t="s">
        <v>115</v>
      </c>
      <c r="N2384" s="883">
        <v>60000</v>
      </c>
      <c r="O2384" s="55">
        <v>719</v>
      </c>
      <c r="P2384" s="78">
        <v>60000</v>
      </c>
    </row>
    <row r="2385" spans="9:16" ht="15.75" customHeight="1" thickBot="1">
      <c r="I2385" s="882"/>
      <c r="J2385" s="876"/>
      <c r="K2385" s="878"/>
      <c r="L2385" s="880"/>
      <c r="M2385" s="882"/>
      <c r="N2385" s="884"/>
      <c r="O2385" s="56">
        <v>721</v>
      </c>
      <c r="P2385" s="79">
        <f>+N2384-P2384</f>
        <v>0</v>
      </c>
    </row>
    <row r="2386" spans="9:16" ht="15" customHeight="1">
      <c r="I2386" s="881">
        <v>258</v>
      </c>
      <c r="J2386" s="875">
        <v>42622</v>
      </c>
      <c r="K2386" s="877" t="s">
        <v>28</v>
      </c>
      <c r="L2386" s="879" t="s">
        <v>1069</v>
      </c>
      <c r="M2386" s="881" t="s">
        <v>115</v>
      </c>
      <c r="N2386" s="883">
        <v>50000</v>
      </c>
      <c r="O2386" s="55">
        <v>719</v>
      </c>
      <c r="P2386" s="78">
        <v>50000</v>
      </c>
    </row>
    <row r="2387" spans="9:16" ht="15.75" customHeight="1" thickBot="1">
      <c r="I2387" s="882"/>
      <c r="J2387" s="876"/>
      <c r="K2387" s="878"/>
      <c r="L2387" s="880"/>
      <c r="M2387" s="882"/>
      <c r="N2387" s="884"/>
      <c r="O2387" s="56">
        <v>721</v>
      </c>
      <c r="P2387" s="79">
        <f>+N2386-P2386</f>
        <v>0</v>
      </c>
    </row>
    <row r="2388" spans="9:16">
      <c r="I2388" s="881"/>
      <c r="J2388" s="875"/>
      <c r="K2388" s="877"/>
      <c r="L2388" s="879"/>
      <c r="M2388" s="881"/>
      <c r="N2388" s="883"/>
      <c r="O2388" s="55">
        <v>719</v>
      </c>
      <c r="P2388" s="78"/>
    </row>
    <row r="2389" spans="9:16" ht="15.75" thickBot="1">
      <c r="I2389" s="882"/>
      <c r="J2389" s="876"/>
      <c r="K2389" s="878"/>
      <c r="L2389" s="880"/>
      <c r="M2389" s="882"/>
      <c r="N2389" s="884"/>
      <c r="O2389" s="56">
        <v>721</v>
      </c>
      <c r="P2389" s="79">
        <f>+N2388-P2388</f>
        <v>0</v>
      </c>
    </row>
    <row r="2390" spans="9:16">
      <c r="I2390" s="881"/>
      <c r="J2390" s="875"/>
      <c r="K2390" s="877"/>
      <c r="L2390" s="879"/>
      <c r="M2390" s="881"/>
      <c r="N2390" s="883"/>
      <c r="O2390" s="55">
        <v>719</v>
      </c>
      <c r="P2390" s="78"/>
    </row>
    <row r="2391" spans="9:16" ht="15.75" thickBot="1">
      <c r="I2391" s="882"/>
      <c r="J2391" s="876"/>
      <c r="K2391" s="878"/>
      <c r="L2391" s="880"/>
      <c r="M2391" s="882"/>
      <c r="N2391" s="884"/>
      <c r="O2391" s="56">
        <v>721</v>
      </c>
      <c r="P2391" s="79">
        <f>+N2390-P2390</f>
        <v>0</v>
      </c>
    </row>
    <row r="2392" spans="9:16">
      <c r="I2392" s="881"/>
      <c r="J2392" s="875"/>
      <c r="K2392" s="877"/>
      <c r="L2392" s="879"/>
      <c r="M2392" s="881"/>
      <c r="N2392" s="883"/>
      <c r="O2392" s="55">
        <v>719</v>
      </c>
      <c r="P2392" s="78"/>
    </row>
    <row r="2393" spans="9:16" ht="15.75" thickBot="1">
      <c r="I2393" s="882"/>
      <c r="J2393" s="876"/>
      <c r="K2393" s="878"/>
      <c r="L2393" s="880"/>
      <c r="M2393" s="882"/>
      <c r="N2393" s="884"/>
      <c r="O2393" s="56">
        <v>723</v>
      </c>
      <c r="P2393" s="79">
        <f>+N2392-P2392</f>
        <v>0</v>
      </c>
    </row>
    <row r="2394" spans="9:16" ht="16.5" thickBot="1">
      <c r="I2394" s="901" t="s">
        <v>102</v>
      </c>
      <c r="J2394" s="902"/>
      <c r="K2394" s="902"/>
      <c r="L2394" s="902"/>
      <c r="M2394" s="903"/>
      <c r="N2394" s="81">
        <f>SUM(N2384:N2393)</f>
        <v>110000</v>
      </c>
    </row>
    <row r="2395" spans="9:16" ht="16.5" thickBot="1">
      <c r="I2395" s="885" t="s">
        <v>103</v>
      </c>
      <c r="J2395" s="886"/>
      <c r="K2395" s="886"/>
      <c r="L2395" s="886"/>
      <c r="M2395" s="887"/>
      <c r="N2395" s="69">
        <f>+N2359</f>
        <v>527078760</v>
      </c>
      <c r="O2395" s="241" t="s">
        <v>561</v>
      </c>
      <c r="P2395" s="242">
        <f>123+195</f>
        <v>318</v>
      </c>
    </row>
    <row r="2396" spans="9:16" ht="16.5" thickBot="1">
      <c r="I2396" s="888" t="s">
        <v>104</v>
      </c>
      <c r="J2396" s="889"/>
      <c r="K2396" s="889"/>
      <c r="L2396" s="889"/>
      <c r="M2396" s="890"/>
      <c r="N2396" s="183">
        <f>SUM(N2394:N2395)</f>
        <v>527188760</v>
      </c>
    </row>
    <row r="2397" spans="9:16">
      <c r="I2397" s="61"/>
      <c r="J2397" s="61"/>
      <c r="K2397" s="61"/>
      <c r="L2397" s="61"/>
      <c r="M2397" s="61"/>
    </row>
    <row r="2398" spans="9:16">
      <c r="I2398" s="51" t="s">
        <v>1068</v>
      </c>
    </row>
    <row r="2399" spans="9:16" ht="12" customHeight="1">
      <c r="N2399" s="139"/>
    </row>
    <row r="2400" spans="9:16">
      <c r="I2400" s="50" t="s">
        <v>105</v>
      </c>
      <c r="L2400" s="146"/>
      <c r="N2400" s="139"/>
    </row>
    <row r="2401" spans="9:15" ht="12.75" customHeight="1" thickBot="1"/>
    <row r="2402" spans="9:15" ht="15.75" thickBot="1">
      <c r="I2402" s="891" t="s">
        <v>106</v>
      </c>
      <c r="J2402" s="892"/>
      <c r="K2402" s="892"/>
      <c r="L2402" s="893"/>
      <c r="N2402" s="50" t="s">
        <v>288</v>
      </c>
    </row>
    <row r="2403" spans="9:15" ht="30.75" thickBot="1">
      <c r="I2403" s="57" t="s">
        <v>100</v>
      </c>
      <c r="J2403" s="58" t="s">
        <v>108</v>
      </c>
      <c r="K2403" s="287" t="s">
        <v>109</v>
      </c>
      <c r="L2403" s="60" t="s">
        <v>110</v>
      </c>
    </row>
    <row r="2404" spans="9:15">
      <c r="I2404" s="71">
        <v>719</v>
      </c>
      <c r="J2404" s="73">
        <f>+P2384+P2386</f>
        <v>110000</v>
      </c>
      <c r="K2404" s="74">
        <f>+L2367</f>
        <v>33075000</v>
      </c>
      <c r="L2404" s="195">
        <f>+J2404+K2404</f>
        <v>33185000</v>
      </c>
    </row>
    <row r="2405" spans="9:15">
      <c r="I2405" s="72">
        <v>721</v>
      </c>
      <c r="J2405" s="80">
        <f>+P2385+P2387+P2389+P2391+P2393</f>
        <v>0</v>
      </c>
      <c r="K2405" s="74">
        <f>+L2368</f>
        <v>128543583</v>
      </c>
      <c r="L2405" s="195">
        <f>+J2405+K2405</f>
        <v>128543583</v>
      </c>
    </row>
    <row r="2406" spans="9:15">
      <c r="I2406" s="72">
        <v>722</v>
      </c>
      <c r="J2406" s="80"/>
      <c r="K2406" s="74">
        <f>+L2369</f>
        <v>2000000</v>
      </c>
      <c r="L2406" s="195">
        <f>+J2406+K2406</f>
        <v>2000000</v>
      </c>
    </row>
    <row r="2407" spans="9:15" ht="15.75">
      <c r="I2407" s="72">
        <v>723</v>
      </c>
      <c r="J2407" s="80"/>
      <c r="K2407" s="74">
        <f>+L2370</f>
        <v>397905551</v>
      </c>
      <c r="L2407" s="195">
        <f>+J2407+K2407</f>
        <v>397905551</v>
      </c>
      <c r="N2407" s="193" t="s">
        <v>289</v>
      </c>
      <c r="O2407" s="175"/>
    </row>
    <row r="2408" spans="9:15" ht="16.5" thickBot="1">
      <c r="I2408" s="164" t="s">
        <v>181</v>
      </c>
      <c r="J2408" s="165"/>
      <c r="K2408" s="74">
        <f>+L2371</f>
        <v>0</v>
      </c>
      <c r="L2408" s="196">
        <f>+J2408+K2408</f>
        <v>0</v>
      </c>
      <c r="N2408" s="52"/>
    </row>
    <row r="2409" spans="9:15" ht="16.5" thickBot="1">
      <c r="I2409" s="169"/>
      <c r="J2409" s="197">
        <f>SUM(J2404:J2408)</f>
        <v>110000</v>
      </c>
      <c r="K2409" s="197">
        <f>SUM(K2404:K2408)</f>
        <v>561524134</v>
      </c>
      <c r="L2409" s="198">
        <f>SUM(L2404:L2408)</f>
        <v>561634134</v>
      </c>
    </row>
    <row r="2410" spans="9:15" ht="16.5">
      <c r="I2410" s="49" t="s">
        <v>88</v>
      </c>
      <c r="J2410" s="50"/>
    </row>
    <row r="2411" spans="9:15">
      <c r="I2411" s="51" t="s">
        <v>89</v>
      </c>
    </row>
    <row r="2412" spans="9:15">
      <c r="I2412" s="51" t="s">
        <v>90</v>
      </c>
    </row>
    <row r="2413" spans="9:15">
      <c r="I2413" s="51" t="s">
        <v>91</v>
      </c>
    </row>
    <row r="2414" spans="9:15" ht="11.25" customHeight="1">
      <c r="I2414" s="50"/>
      <c r="J2414" s="50"/>
    </row>
    <row r="2415" spans="9:15" ht="15.75">
      <c r="I2415" s="260" t="s">
        <v>1070</v>
      </c>
      <c r="O2415" s="52"/>
    </row>
    <row r="2416" spans="9:15" ht="15.75">
      <c r="I2416" s="53" t="s">
        <v>535</v>
      </c>
      <c r="O2416" s="53"/>
    </row>
    <row r="2417" spans="9:16" ht="16.5">
      <c r="I2417" s="894" t="s">
        <v>909</v>
      </c>
      <c r="J2417" s="894"/>
      <c r="K2417" s="894"/>
      <c r="L2417" s="894"/>
      <c r="M2417" s="894"/>
      <c r="N2417" s="894"/>
      <c r="O2417" s="894"/>
      <c r="P2417" s="894"/>
    </row>
    <row r="2418" spans="9:16" ht="15.75" thickBot="1"/>
    <row r="2419" spans="9:16">
      <c r="I2419" s="895" t="s">
        <v>94</v>
      </c>
      <c r="J2419" s="897" t="s">
        <v>95</v>
      </c>
      <c r="K2419" s="897" t="s">
        <v>96</v>
      </c>
      <c r="L2419" s="897" t="s">
        <v>3</v>
      </c>
      <c r="M2419" s="897" t="s">
        <v>97</v>
      </c>
      <c r="N2419" s="897" t="s">
        <v>98</v>
      </c>
      <c r="O2419" s="897" t="s">
        <v>99</v>
      </c>
      <c r="P2419" s="899"/>
    </row>
    <row r="2420" spans="9:16" ht="15.75" thickBot="1">
      <c r="I2420" s="896"/>
      <c r="J2420" s="898"/>
      <c r="K2420" s="898"/>
      <c r="L2420" s="898"/>
      <c r="M2420" s="898"/>
      <c r="N2420" s="898"/>
      <c r="O2420" s="240" t="s">
        <v>100</v>
      </c>
      <c r="P2420" s="182" t="s">
        <v>101</v>
      </c>
    </row>
    <row r="2421" spans="9:16">
      <c r="I2421" s="881">
        <v>259</v>
      </c>
      <c r="J2421" s="875">
        <v>42632</v>
      </c>
      <c r="K2421" s="877" t="s">
        <v>1014</v>
      </c>
      <c r="L2421" s="879" t="s">
        <v>1072</v>
      </c>
      <c r="M2421" s="881" t="s">
        <v>115</v>
      </c>
      <c r="N2421" s="883">
        <v>150000</v>
      </c>
      <c r="O2421" s="55">
        <v>719</v>
      </c>
      <c r="P2421" s="78">
        <v>150000</v>
      </c>
    </row>
    <row r="2422" spans="9:16" ht="15.75" thickBot="1">
      <c r="I2422" s="882"/>
      <c r="J2422" s="876"/>
      <c r="K2422" s="878"/>
      <c r="L2422" s="880"/>
      <c r="M2422" s="882"/>
      <c r="N2422" s="884"/>
      <c r="O2422" s="56">
        <v>721</v>
      </c>
      <c r="P2422" s="79">
        <f>+N2421-P2421</f>
        <v>0</v>
      </c>
    </row>
    <row r="2423" spans="9:16">
      <c r="I2423" s="881">
        <v>260</v>
      </c>
      <c r="J2423" s="875">
        <v>42632</v>
      </c>
      <c r="K2423" s="877" t="s">
        <v>120</v>
      </c>
      <c r="L2423" s="879" t="s">
        <v>1071</v>
      </c>
      <c r="M2423" s="881" t="s">
        <v>115</v>
      </c>
      <c r="N2423" s="883">
        <v>110000</v>
      </c>
      <c r="O2423" s="55">
        <v>719</v>
      </c>
      <c r="P2423" s="78">
        <v>110000</v>
      </c>
    </row>
    <row r="2424" spans="9:16" ht="15.75" thickBot="1">
      <c r="I2424" s="882"/>
      <c r="J2424" s="876"/>
      <c r="K2424" s="878"/>
      <c r="L2424" s="880"/>
      <c r="M2424" s="882"/>
      <c r="N2424" s="884"/>
      <c r="O2424" s="56">
        <v>721</v>
      </c>
      <c r="P2424" s="79">
        <f>+N2423-P2423</f>
        <v>0</v>
      </c>
    </row>
    <row r="2425" spans="9:16">
      <c r="I2425" s="881"/>
      <c r="J2425" s="875"/>
      <c r="K2425" s="877"/>
      <c r="L2425" s="879"/>
      <c r="M2425" s="881"/>
      <c r="N2425" s="883"/>
      <c r="O2425" s="55">
        <v>719</v>
      </c>
      <c r="P2425" s="78"/>
    </row>
    <row r="2426" spans="9:16" ht="14.25" customHeight="1" thickBot="1">
      <c r="I2426" s="882"/>
      <c r="J2426" s="876"/>
      <c r="K2426" s="878"/>
      <c r="L2426" s="880"/>
      <c r="M2426" s="882"/>
      <c r="N2426" s="884"/>
      <c r="O2426" s="56">
        <v>721</v>
      </c>
      <c r="P2426" s="79">
        <f>+N2425-P2425</f>
        <v>0</v>
      </c>
    </row>
    <row r="2427" spans="9:16">
      <c r="I2427" s="881"/>
      <c r="J2427" s="875"/>
      <c r="K2427" s="877"/>
      <c r="L2427" s="879"/>
      <c r="M2427" s="881"/>
      <c r="N2427" s="883"/>
      <c r="O2427" s="55">
        <v>719</v>
      </c>
      <c r="P2427" s="78"/>
    </row>
    <row r="2428" spans="9:16" ht="13.5" customHeight="1" thickBot="1">
      <c r="I2428" s="882"/>
      <c r="J2428" s="876"/>
      <c r="K2428" s="878"/>
      <c r="L2428" s="880"/>
      <c r="M2428" s="882"/>
      <c r="N2428" s="884"/>
      <c r="O2428" s="56">
        <v>721</v>
      </c>
      <c r="P2428" s="79">
        <f>+N2427-P2427</f>
        <v>0</v>
      </c>
    </row>
    <row r="2429" spans="9:16">
      <c r="I2429" s="881"/>
      <c r="J2429" s="875"/>
      <c r="K2429" s="877"/>
      <c r="L2429" s="879"/>
      <c r="M2429" s="881"/>
      <c r="N2429" s="883"/>
      <c r="O2429" s="55">
        <v>719</v>
      </c>
      <c r="P2429" s="78"/>
    </row>
    <row r="2430" spans="9:16" ht="14.25" customHeight="1" thickBot="1">
      <c r="I2430" s="882"/>
      <c r="J2430" s="876"/>
      <c r="K2430" s="878"/>
      <c r="L2430" s="880"/>
      <c r="M2430" s="882"/>
      <c r="N2430" s="884"/>
      <c r="O2430" s="56">
        <v>723</v>
      </c>
      <c r="P2430" s="79">
        <f>+N2429-P2429</f>
        <v>0</v>
      </c>
    </row>
    <row r="2431" spans="9:16" ht="16.5" thickBot="1">
      <c r="I2431" s="901" t="s">
        <v>102</v>
      </c>
      <c r="J2431" s="902"/>
      <c r="K2431" s="902"/>
      <c r="L2431" s="902"/>
      <c r="M2431" s="903"/>
      <c r="N2431" s="81">
        <f>SUM(N2421:N2430)</f>
        <v>260000</v>
      </c>
    </row>
    <row r="2432" spans="9:16" ht="16.5" thickBot="1">
      <c r="I2432" s="885" t="s">
        <v>103</v>
      </c>
      <c r="J2432" s="886"/>
      <c r="K2432" s="886"/>
      <c r="L2432" s="886"/>
      <c r="M2432" s="887"/>
      <c r="N2432" s="69">
        <f>+N2396</f>
        <v>527188760</v>
      </c>
      <c r="O2432" s="241" t="s">
        <v>561</v>
      </c>
      <c r="P2432" s="242">
        <f>528+24</f>
        <v>552</v>
      </c>
    </row>
    <row r="2433" spans="9:15" ht="16.5" thickBot="1">
      <c r="I2433" s="888" t="s">
        <v>104</v>
      </c>
      <c r="J2433" s="889"/>
      <c r="K2433" s="889"/>
      <c r="L2433" s="889"/>
      <c r="M2433" s="890"/>
      <c r="N2433" s="183">
        <f>SUM(N2431:N2432)</f>
        <v>527448760</v>
      </c>
    </row>
    <row r="2434" spans="9:15">
      <c r="I2434" s="61"/>
      <c r="J2434" s="61"/>
      <c r="K2434" s="61"/>
      <c r="L2434" s="61"/>
      <c r="M2434" s="61"/>
    </row>
    <row r="2435" spans="9:15">
      <c r="I2435" s="51" t="s">
        <v>1073</v>
      </c>
    </row>
    <row r="2436" spans="9:15">
      <c r="N2436" s="139"/>
    </row>
    <row r="2437" spans="9:15">
      <c r="I2437" s="50" t="s">
        <v>105</v>
      </c>
      <c r="L2437" s="146"/>
      <c r="N2437" s="139"/>
    </row>
    <row r="2438" spans="9:15" ht="15.75" thickBot="1"/>
    <row r="2439" spans="9:15" ht="15.75" thickBot="1">
      <c r="I2439" s="891" t="s">
        <v>106</v>
      </c>
      <c r="J2439" s="892"/>
      <c r="K2439" s="892"/>
      <c r="L2439" s="893"/>
      <c r="N2439" s="50" t="s">
        <v>288</v>
      </c>
    </row>
    <row r="2440" spans="9:15" ht="30.75" thickBot="1">
      <c r="I2440" s="57" t="s">
        <v>100</v>
      </c>
      <c r="J2440" s="58" t="s">
        <v>108</v>
      </c>
      <c r="K2440" s="287" t="s">
        <v>109</v>
      </c>
      <c r="L2440" s="60" t="s">
        <v>110</v>
      </c>
    </row>
    <row r="2441" spans="9:15">
      <c r="I2441" s="71">
        <v>719</v>
      </c>
      <c r="J2441" s="73">
        <f>+P2421+P2423</f>
        <v>260000</v>
      </c>
      <c r="K2441" s="74">
        <f>+L2404</f>
        <v>33185000</v>
      </c>
      <c r="L2441" s="195">
        <f>+J2441+K2441</f>
        <v>33445000</v>
      </c>
    </row>
    <row r="2442" spans="9:15">
      <c r="I2442" s="72">
        <v>721</v>
      </c>
      <c r="J2442" s="80">
        <f>+P2422+P2424+P2426+P2428+P2430</f>
        <v>0</v>
      </c>
      <c r="K2442" s="74">
        <f>+L2405</f>
        <v>128543583</v>
      </c>
      <c r="L2442" s="195">
        <f>+J2442+K2442</f>
        <v>128543583</v>
      </c>
    </row>
    <row r="2443" spans="9:15">
      <c r="I2443" s="72">
        <v>722</v>
      </c>
      <c r="J2443" s="80"/>
      <c r="K2443" s="74">
        <f>+L2406</f>
        <v>2000000</v>
      </c>
      <c r="L2443" s="195">
        <f>+J2443+K2443</f>
        <v>2000000</v>
      </c>
    </row>
    <row r="2444" spans="9:15" ht="15.75">
      <c r="I2444" s="72">
        <v>723</v>
      </c>
      <c r="J2444" s="80"/>
      <c r="K2444" s="74">
        <f>+L2407</f>
        <v>397905551</v>
      </c>
      <c r="L2444" s="195">
        <f>+J2444+K2444</f>
        <v>397905551</v>
      </c>
      <c r="N2444" s="193" t="s">
        <v>289</v>
      </c>
      <c r="O2444" s="175"/>
    </row>
    <row r="2445" spans="9:15" ht="16.5" thickBot="1">
      <c r="I2445" s="164" t="s">
        <v>181</v>
      </c>
      <c r="J2445" s="165"/>
      <c r="K2445" s="74">
        <f>+L2408</f>
        <v>0</v>
      </c>
      <c r="L2445" s="196">
        <f>+J2445+K2445</f>
        <v>0</v>
      </c>
      <c r="N2445" s="52"/>
    </row>
    <row r="2446" spans="9:15" ht="16.5" thickBot="1">
      <c r="I2446" s="169"/>
      <c r="J2446" s="197">
        <f>SUM(J2441:J2445)</f>
        <v>260000</v>
      </c>
      <c r="K2446" s="197">
        <f>SUM(K2441:K2445)</f>
        <v>561634134</v>
      </c>
      <c r="L2446" s="198">
        <f>SUM(L2441:L2445)</f>
        <v>561894134</v>
      </c>
    </row>
    <row r="2447" spans="9:15" ht="16.5">
      <c r="I2447" s="49" t="s">
        <v>88</v>
      </c>
      <c r="J2447" s="50"/>
    </row>
    <row r="2448" spans="9:15">
      <c r="I2448" s="51" t="s">
        <v>89</v>
      </c>
    </row>
    <row r="2449" spans="9:16">
      <c r="I2449" s="51" t="s">
        <v>90</v>
      </c>
    </row>
    <row r="2450" spans="9:16">
      <c r="I2450" s="51" t="s">
        <v>91</v>
      </c>
    </row>
    <row r="2451" spans="9:16" ht="6.75" customHeight="1">
      <c r="I2451" s="50"/>
      <c r="J2451" s="50"/>
    </row>
    <row r="2452" spans="9:16" ht="15.75">
      <c r="I2452" s="260" t="s">
        <v>1074</v>
      </c>
      <c r="O2452" s="52"/>
    </row>
    <row r="2453" spans="9:16" ht="15.75">
      <c r="I2453" s="53" t="s">
        <v>535</v>
      </c>
      <c r="O2453" s="53"/>
    </row>
    <row r="2454" spans="9:16" ht="15.75" customHeight="1">
      <c r="I2454" s="894" t="s">
        <v>1078</v>
      </c>
      <c r="J2454" s="894"/>
      <c r="K2454" s="894"/>
      <c r="L2454" s="894"/>
      <c r="M2454" s="894"/>
      <c r="N2454" s="894"/>
      <c r="O2454" s="894"/>
      <c r="P2454" s="894"/>
    </row>
    <row r="2455" spans="9:16" ht="15.75" thickBot="1"/>
    <row r="2456" spans="9:16">
      <c r="I2456" s="895" t="s">
        <v>94</v>
      </c>
      <c r="J2456" s="897" t="s">
        <v>95</v>
      </c>
      <c r="K2456" s="897" t="s">
        <v>96</v>
      </c>
      <c r="L2456" s="897" t="s">
        <v>3</v>
      </c>
      <c r="M2456" s="897" t="s">
        <v>97</v>
      </c>
      <c r="N2456" s="897" t="s">
        <v>98</v>
      </c>
      <c r="O2456" s="897" t="s">
        <v>99</v>
      </c>
      <c r="P2456" s="899"/>
    </row>
    <row r="2457" spans="9:16" ht="15.75" thickBot="1">
      <c r="I2457" s="896"/>
      <c r="J2457" s="898"/>
      <c r="K2457" s="898"/>
      <c r="L2457" s="898"/>
      <c r="M2457" s="898"/>
      <c r="N2457" s="898"/>
      <c r="O2457" s="240" t="s">
        <v>100</v>
      </c>
      <c r="P2457" s="182" t="s">
        <v>101</v>
      </c>
    </row>
    <row r="2458" spans="9:16" ht="15" customHeight="1">
      <c r="I2458" s="881">
        <v>261</v>
      </c>
      <c r="J2458" s="875">
        <v>42641</v>
      </c>
      <c r="K2458" s="877" t="s">
        <v>1079</v>
      </c>
      <c r="L2458" s="879" t="s">
        <v>1080</v>
      </c>
      <c r="M2458" s="881" t="s">
        <v>783</v>
      </c>
      <c r="N2458" s="883">
        <v>145000</v>
      </c>
      <c r="O2458" s="55">
        <v>719</v>
      </c>
      <c r="P2458" s="78">
        <v>145000</v>
      </c>
    </row>
    <row r="2459" spans="9:16" ht="12.75" customHeight="1" thickBot="1">
      <c r="I2459" s="882"/>
      <c r="J2459" s="876"/>
      <c r="K2459" s="878"/>
      <c r="L2459" s="880"/>
      <c r="M2459" s="882"/>
      <c r="N2459" s="884"/>
      <c r="O2459" s="56">
        <v>721</v>
      </c>
      <c r="P2459" s="79">
        <f>+N2458-P2458</f>
        <v>0</v>
      </c>
    </row>
    <row r="2460" spans="9:16" ht="15" customHeight="1">
      <c r="I2460" s="881">
        <v>262</v>
      </c>
      <c r="J2460" s="875">
        <v>42641</v>
      </c>
      <c r="K2460" s="877" t="s">
        <v>1079</v>
      </c>
      <c r="L2460" s="879" t="s">
        <v>1081</v>
      </c>
      <c r="M2460" s="881" t="s">
        <v>783</v>
      </c>
      <c r="N2460" s="883">
        <v>72500</v>
      </c>
      <c r="O2460" s="55">
        <v>719</v>
      </c>
      <c r="P2460" s="78">
        <v>72500</v>
      </c>
    </row>
    <row r="2461" spans="9:16" ht="13.5" customHeight="1" thickBot="1">
      <c r="I2461" s="882"/>
      <c r="J2461" s="876"/>
      <c r="K2461" s="878"/>
      <c r="L2461" s="880"/>
      <c r="M2461" s="882"/>
      <c r="N2461" s="884"/>
      <c r="O2461" s="56">
        <v>721</v>
      </c>
      <c r="P2461" s="79">
        <f>+N2460-P2460</f>
        <v>0</v>
      </c>
    </row>
    <row r="2462" spans="9:16" ht="15" customHeight="1">
      <c r="I2462" s="881">
        <v>263</v>
      </c>
      <c r="J2462" s="875">
        <v>42641</v>
      </c>
      <c r="K2462" s="877" t="s">
        <v>1079</v>
      </c>
      <c r="L2462" s="879" t="s">
        <v>1082</v>
      </c>
      <c r="M2462" s="881" t="s">
        <v>783</v>
      </c>
      <c r="N2462" s="883">
        <v>72500</v>
      </c>
      <c r="O2462" s="55">
        <v>719</v>
      </c>
      <c r="P2462" s="78">
        <v>72500</v>
      </c>
    </row>
    <row r="2463" spans="9:16" ht="14.25" customHeight="1" thickBot="1">
      <c r="I2463" s="882"/>
      <c r="J2463" s="876"/>
      <c r="K2463" s="878"/>
      <c r="L2463" s="880"/>
      <c r="M2463" s="882"/>
      <c r="N2463" s="884"/>
      <c r="O2463" s="56">
        <v>721</v>
      </c>
      <c r="P2463" s="79">
        <f>+N2462-P2462</f>
        <v>0</v>
      </c>
    </row>
    <row r="2464" spans="9:16" ht="15" customHeight="1">
      <c r="I2464" s="881">
        <v>264</v>
      </c>
      <c r="J2464" s="875">
        <v>42641</v>
      </c>
      <c r="K2464" s="877" t="s">
        <v>1079</v>
      </c>
      <c r="L2464" s="879" t="s">
        <v>1084</v>
      </c>
      <c r="M2464" s="881" t="s">
        <v>783</v>
      </c>
      <c r="N2464" s="883">
        <v>217500</v>
      </c>
      <c r="O2464" s="55">
        <v>719</v>
      </c>
      <c r="P2464" s="78">
        <v>217500</v>
      </c>
    </row>
    <row r="2465" spans="9:16" ht="13.5" customHeight="1" thickBot="1">
      <c r="I2465" s="882"/>
      <c r="J2465" s="876"/>
      <c r="K2465" s="878"/>
      <c r="L2465" s="880"/>
      <c r="M2465" s="882"/>
      <c r="N2465" s="884"/>
      <c r="O2465" s="56">
        <v>721</v>
      </c>
      <c r="P2465" s="79">
        <f>+N2464-P2464</f>
        <v>0</v>
      </c>
    </row>
    <row r="2466" spans="9:16" ht="15.75" customHeight="1">
      <c r="I2466" s="881">
        <v>265</v>
      </c>
      <c r="J2466" s="875">
        <v>42641</v>
      </c>
      <c r="K2466" s="877" t="s">
        <v>1079</v>
      </c>
      <c r="L2466" s="879" t="s">
        <v>1095</v>
      </c>
      <c r="M2466" s="881" t="s">
        <v>783</v>
      </c>
      <c r="N2466" s="883">
        <f>72500*2</f>
        <v>145000</v>
      </c>
      <c r="O2466" s="55">
        <v>719</v>
      </c>
      <c r="P2466" s="78">
        <v>145000</v>
      </c>
    </row>
    <row r="2467" spans="9:16" ht="13.5" customHeight="1" thickBot="1">
      <c r="I2467" s="882"/>
      <c r="J2467" s="876"/>
      <c r="K2467" s="878"/>
      <c r="L2467" s="880"/>
      <c r="M2467" s="882"/>
      <c r="N2467" s="884"/>
      <c r="O2467" s="56">
        <v>721</v>
      </c>
      <c r="P2467" s="79">
        <f>+N2466-P2466</f>
        <v>0</v>
      </c>
    </row>
    <row r="2468" spans="9:16" ht="15" customHeight="1">
      <c r="I2468" s="881">
        <v>266</v>
      </c>
      <c r="J2468" s="875">
        <v>42641</v>
      </c>
      <c r="K2468" s="877" t="s">
        <v>1079</v>
      </c>
      <c r="L2468" s="879" t="s">
        <v>1086</v>
      </c>
      <c r="M2468" s="881" t="s">
        <v>783</v>
      </c>
      <c r="N2468" s="883">
        <v>145000</v>
      </c>
      <c r="O2468" s="55">
        <v>719</v>
      </c>
      <c r="P2468" s="78">
        <v>145000</v>
      </c>
    </row>
    <row r="2469" spans="9:16" ht="13.5" customHeight="1" thickBot="1">
      <c r="I2469" s="882"/>
      <c r="J2469" s="876"/>
      <c r="K2469" s="878"/>
      <c r="L2469" s="880"/>
      <c r="M2469" s="882"/>
      <c r="N2469" s="884"/>
      <c r="O2469" s="56">
        <v>721</v>
      </c>
      <c r="P2469" s="79">
        <f>+N2468-P2468</f>
        <v>0</v>
      </c>
    </row>
    <row r="2470" spans="9:16" ht="16.5" thickBot="1">
      <c r="I2470" s="901" t="s">
        <v>102</v>
      </c>
      <c r="J2470" s="902"/>
      <c r="K2470" s="902"/>
      <c r="L2470" s="902"/>
      <c r="M2470" s="903"/>
      <c r="N2470" s="81">
        <f>SUM(N2458:N2469)</f>
        <v>797500</v>
      </c>
    </row>
    <row r="2471" spans="9:16" ht="16.5" thickBot="1">
      <c r="I2471" s="885" t="s">
        <v>103</v>
      </c>
      <c r="J2471" s="886"/>
      <c r="K2471" s="886"/>
      <c r="L2471" s="886"/>
      <c r="M2471" s="887"/>
      <c r="N2471" s="69">
        <f>+N2433</f>
        <v>527448760</v>
      </c>
      <c r="O2471" s="241" t="s">
        <v>561</v>
      </c>
      <c r="P2471" s="242"/>
    </row>
    <row r="2472" spans="9:16" ht="16.5" thickBot="1">
      <c r="I2472" s="888" t="s">
        <v>104</v>
      </c>
      <c r="J2472" s="889"/>
      <c r="K2472" s="889"/>
      <c r="L2472" s="889"/>
      <c r="M2472" s="890"/>
      <c r="N2472" s="183">
        <f>SUM(N2470:N2471)</f>
        <v>528246260</v>
      </c>
    </row>
    <row r="2473" spans="9:16" ht="9.75" customHeight="1">
      <c r="I2473" s="61"/>
      <c r="J2473" s="61"/>
      <c r="K2473" s="61"/>
      <c r="L2473" s="61"/>
      <c r="M2473" s="61"/>
    </row>
    <row r="2474" spans="9:16">
      <c r="I2474" s="51" t="s">
        <v>1101</v>
      </c>
    </row>
    <row r="2475" spans="9:16" ht="9.75" customHeight="1">
      <c r="N2475" s="139"/>
    </row>
    <row r="2476" spans="9:16">
      <c r="I2476" s="50" t="s">
        <v>105</v>
      </c>
      <c r="L2476" s="146"/>
      <c r="N2476" s="139"/>
    </row>
    <row r="2477" spans="9:16" ht="12" customHeight="1" thickBot="1"/>
    <row r="2478" spans="9:16" ht="15.75" thickBot="1">
      <c r="I2478" s="891" t="s">
        <v>106</v>
      </c>
      <c r="J2478" s="892"/>
      <c r="K2478" s="892"/>
      <c r="L2478" s="893"/>
      <c r="N2478" s="50" t="s">
        <v>288</v>
      </c>
    </row>
    <row r="2479" spans="9:16" ht="28.5" customHeight="1" thickBot="1">
      <c r="I2479" s="57" t="s">
        <v>100</v>
      </c>
      <c r="J2479" s="58" t="s">
        <v>108</v>
      </c>
      <c r="K2479" s="287" t="s">
        <v>109</v>
      </c>
      <c r="L2479" s="60" t="s">
        <v>110</v>
      </c>
    </row>
    <row r="2480" spans="9:16">
      <c r="I2480" s="71">
        <v>719</v>
      </c>
      <c r="J2480" s="73"/>
      <c r="K2480" s="74">
        <f>+L2441</f>
        <v>33445000</v>
      </c>
      <c r="L2480" s="195">
        <f>+J2480+K2480</f>
        <v>33445000</v>
      </c>
    </row>
    <row r="2481" spans="9:16">
      <c r="I2481" s="72">
        <v>721</v>
      </c>
      <c r="J2481" s="80"/>
      <c r="K2481" s="74">
        <f>+L2442</f>
        <v>128543583</v>
      </c>
      <c r="L2481" s="195">
        <f>+J2481+K2481</f>
        <v>128543583</v>
      </c>
    </row>
    <row r="2482" spans="9:16">
      <c r="I2482" s="72">
        <v>722</v>
      </c>
      <c r="J2482" s="80"/>
      <c r="K2482" s="74">
        <f>+L2443</f>
        <v>2000000</v>
      </c>
      <c r="L2482" s="195">
        <f>+J2482+K2482</f>
        <v>2000000</v>
      </c>
    </row>
    <row r="2483" spans="9:16" ht="15" customHeight="1">
      <c r="I2483" s="72">
        <v>723</v>
      </c>
      <c r="J2483" s="80"/>
      <c r="K2483" s="74">
        <f>+L2444</f>
        <v>397905551</v>
      </c>
      <c r="L2483" s="195">
        <f>+J2483+K2483</f>
        <v>397905551</v>
      </c>
      <c r="N2483" s="193" t="s">
        <v>289</v>
      </c>
      <c r="O2483" s="175"/>
    </row>
    <row r="2484" spans="9:16" ht="16.5" thickBot="1">
      <c r="I2484" s="164" t="s">
        <v>1077</v>
      </c>
      <c r="J2484" s="165">
        <f>+P2458+P2460+P2462+P2464+P2468+P2466</f>
        <v>797500</v>
      </c>
      <c r="K2484" s="74">
        <f>+L2445</f>
        <v>0</v>
      </c>
      <c r="L2484" s="196">
        <f>+J2484+K2484</f>
        <v>797500</v>
      </c>
      <c r="N2484" s="52"/>
    </row>
    <row r="2485" spans="9:16" ht="16.5" thickBot="1">
      <c r="I2485" s="316" t="s">
        <v>147</v>
      </c>
      <c r="J2485" s="197">
        <f>SUM(J2480:J2484)</f>
        <v>797500</v>
      </c>
      <c r="K2485" s="197">
        <f>SUM(K2480:K2484)</f>
        <v>561894134</v>
      </c>
      <c r="L2485" s="198">
        <f>SUM(L2480:L2484)</f>
        <v>562691634</v>
      </c>
    </row>
    <row r="2486" spans="9:16" ht="16.5">
      <c r="I2486" s="49" t="s">
        <v>88</v>
      </c>
      <c r="J2486" s="50"/>
    </row>
    <row r="2487" spans="9:16">
      <c r="I2487" s="51" t="s">
        <v>89</v>
      </c>
    </row>
    <row r="2488" spans="9:16">
      <c r="I2488" s="51" t="s">
        <v>90</v>
      </c>
    </row>
    <row r="2489" spans="9:16">
      <c r="I2489" s="51" t="s">
        <v>91</v>
      </c>
    </row>
    <row r="2490" spans="9:16" ht="12.75" customHeight="1">
      <c r="I2490" s="50"/>
      <c r="J2490" s="50"/>
    </row>
    <row r="2491" spans="9:16" ht="15.75">
      <c r="I2491" s="260" t="s">
        <v>1075</v>
      </c>
      <c r="O2491" s="52"/>
    </row>
    <row r="2492" spans="9:16" ht="15.75">
      <c r="I2492" s="53" t="s">
        <v>535</v>
      </c>
      <c r="O2492" s="53"/>
    </row>
    <row r="2493" spans="9:16" ht="16.5">
      <c r="I2493" s="894" t="s">
        <v>1098</v>
      </c>
      <c r="J2493" s="894"/>
      <c r="K2493" s="894"/>
      <c r="L2493" s="894"/>
      <c r="M2493" s="894"/>
      <c r="N2493" s="894"/>
      <c r="O2493" s="894"/>
      <c r="P2493" s="894"/>
    </row>
    <row r="2494" spans="9:16" ht="15.75" thickBot="1"/>
    <row r="2495" spans="9:16">
      <c r="I2495" s="895" t="s">
        <v>94</v>
      </c>
      <c r="J2495" s="897" t="s">
        <v>95</v>
      </c>
      <c r="K2495" s="897" t="s">
        <v>96</v>
      </c>
      <c r="L2495" s="897" t="s">
        <v>3</v>
      </c>
      <c r="M2495" s="897" t="s">
        <v>97</v>
      </c>
      <c r="N2495" s="897" t="s">
        <v>98</v>
      </c>
      <c r="O2495" s="897" t="s">
        <v>99</v>
      </c>
      <c r="P2495" s="899"/>
    </row>
    <row r="2496" spans="9:16" ht="15.75" thickBot="1">
      <c r="I2496" s="896"/>
      <c r="J2496" s="898"/>
      <c r="K2496" s="898"/>
      <c r="L2496" s="898"/>
      <c r="M2496" s="898"/>
      <c r="N2496" s="898"/>
      <c r="O2496" s="240" t="s">
        <v>100</v>
      </c>
      <c r="P2496" s="182" t="s">
        <v>101</v>
      </c>
    </row>
    <row r="2497" spans="9:16" ht="15" customHeight="1">
      <c r="I2497" s="881">
        <v>267</v>
      </c>
      <c r="J2497" s="875">
        <v>42641</v>
      </c>
      <c r="K2497" s="877" t="s">
        <v>738</v>
      </c>
      <c r="L2497" s="879" t="s">
        <v>1097</v>
      </c>
      <c r="M2497" s="881" t="s">
        <v>148</v>
      </c>
      <c r="N2497" s="883">
        <v>2672700</v>
      </c>
      <c r="O2497" s="55">
        <v>719</v>
      </c>
      <c r="P2497" s="78"/>
    </row>
    <row r="2498" spans="9:16" ht="15.75" customHeight="1" thickBot="1">
      <c r="I2498" s="882"/>
      <c r="J2498" s="876"/>
      <c r="K2498" s="878"/>
      <c r="L2498" s="880"/>
      <c r="M2498" s="882"/>
      <c r="N2498" s="884"/>
      <c r="O2498" s="56">
        <v>721</v>
      </c>
      <c r="P2498" s="79">
        <f>+N2497</f>
        <v>2672700</v>
      </c>
    </row>
    <row r="2499" spans="9:16" ht="15" customHeight="1">
      <c r="I2499" s="881">
        <v>268</v>
      </c>
      <c r="J2499" s="875">
        <v>42641</v>
      </c>
      <c r="K2499" s="877" t="s">
        <v>738</v>
      </c>
      <c r="L2499" s="879" t="s">
        <v>1099</v>
      </c>
      <c r="M2499" s="881" t="s">
        <v>148</v>
      </c>
      <c r="N2499" s="883">
        <v>773675</v>
      </c>
      <c r="O2499" s="55">
        <v>719</v>
      </c>
      <c r="P2499" s="78"/>
    </row>
    <row r="2500" spans="9:16" ht="15.75" customHeight="1" thickBot="1">
      <c r="I2500" s="882"/>
      <c r="J2500" s="876"/>
      <c r="K2500" s="878"/>
      <c r="L2500" s="880"/>
      <c r="M2500" s="882"/>
      <c r="N2500" s="884"/>
      <c r="O2500" s="56">
        <v>721</v>
      </c>
      <c r="P2500" s="79">
        <f>+N2499-P2499</f>
        <v>773675</v>
      </c>
    </row>
    <row r="2501" spans="9:16" ht="15" customHeight="1">
      <c r="I2501" s="881">
        <v>269</v>
      </c>
      <c r="J2501" s="875">
        <v>42641</v>
      </c>
      <c r="K2501" s="877" t="s">
        <v>738</v>
      </c>
      <c r="L2501" s="879" t="s">
        <v>1100</v>
      </c>
      <c r="M2501" s="881" t="s">
        <v>148</v>
      </c>
      <c r="N2501" s="883">
        <v>2672700</v>
      </c>
      <c r="O2501" s="55">
        <v>719</v>
      </c>
      <c r="P2501" s="78"/>
    </row>
    <row r="2502" spans="9:16" ht="14.25" customHeight="1" thickBot="1">
      <c r="I2502" s="882"/>
      <c r="J2502" s="876"/>
      <c r="K2502" s="878"/>
      <c r="L2502" s="880"/>
      <c r="M2502" s="882"/>
      <c r="N2502" s="884"/>
      <c r="O2502" s="56">
        <v>721</v>
      </c>
      <c r="P2502" s="79">
        <f>+N2501-P2501</f>
        <v>2672700</v>
      </c>
    </row>
    <row r="2503" spans="9:16" ht="14.25" customHeight="1">
      <c r="I2503" s="881"/>
      <c r="J2503" s="875"/>
      <c r="K2503" s="877"/>
      <c r="L2503" s="879"/>
      <c r="M2503" s="881"/>
      <c r="N2503" s="883"/>
      <c r="O2503" s="55">
        <v>719</v>
      </c>
      <c r="P2503" s="78"/>
    </row>
    <row r="2504" spans="9:16" ht="14.25" customHeight="1" thickBot="1">
      <c r="I2504" s="882"/>
      <c r="J2504" s="876"/>
      <c r="K2504" s="878"/>
      <c r="L2504" s="880"/>
      <c r="M2504" s="882"/>
      <c r="N2504" s="884"/>
      <c r="O2504" s="56">
        <v>721</v>
      </c>
      <c r="P2504" s="79">
        <f>+N2503-P2503</f>
        <v>0</v>
      </c>
    </row>
    <row r="2505" spans="9:16" ht="15" customHeight="1">
      <c r="I2505" s="881"/>
      <c r="J2505" s="875"/>
      <c r="K2505" s="877"/>
      <c r="L2505" s="879"/>
      <c r="M2505" s="881"/>
      <c r="N2505" s="883"/>
      <c r="O2505" s="55">
        <v>719</v>
      </c>
      <c r="P2505" s="78"/>
    </row>
    <row r="2506" spans="9:16" ht="11.25" customHeight="1" thickBot="1">
      <c r="I2506" s="882"/>
      <c r="J2506" s="876"/>
      <c r="K2506" s="878"/>
      <c r="L2506" s="880"/>
      <c r="M2506" s="882"/>
      <c r="N2506" s="884"/>
      <c r="O2506" s="56">
        <v>723</v>
      </c>
      <c r="P2506" s="79">
        <f>+N2505-P2505</f>
        <v>0</v>
      </c>
    </row>
    <row r="2507" spans="9:16" ht="16.5" thickBot="1">
      <c r="I2507" s="901" t="s">
        <v>102</v>
      </c>
      <c r="J2507" s="902"/>
      <c r="K2507" s="902"/>
      <c r="L2507" s="902"/>
      <c r="M2507" s="903"/>
      <c r="N2507" s="81">
        <f>SUM(N2497:N2506)</f>
        <v>6119075</v>
      </c>
    </row>
    <row r="2508" spans="9:16" ht="16.5" thickBot="1">
      <c r="I2508" s="885" t="s">
        <v>103</v>
      </c>
      <c r="J2508" s="886"/>
      <c r="K2508" s="886"/>
      <c r="L2508" s="886"/>
      <c r="M2508" s="887"/>
      <c r="N2508" s="69">
        <f>+N2472</f>
        <v>528246260</v>
      </c>
      <c r="O2508" s="241" t="s">
        <v>561</v>
      </c>
      <c r="P2508" s="242"/>
    </row>
    <row r="2509" spans="9:16" ht="16.5" thickBot="1">
      <c r="I2509" s="888" t="s">
        <v>104</v>
      </c>
      <c r="J2509" s="889"/>
      <c r="K2509" s="889"/>
      <c r="L2509" s="889"/>
      <c r="M2509" s="890"/>
      <c r="N2509" s="183">
        <f>SUM(N2507:N2508)</f>
        <v>534365335</v>
      </c>
    </row>
    <row r="2510" spans="9:16">
      <c r="I2510" s="61"/>
      <c r="J2510" s="61"/>
      <c r="K2510" s="61"/>
      <c r="L2510" s="61"/>
      <c r="M2510" s="61"/>
    </row>
    <row r="2511" spans="9:16">
      <c r="I2511" s="51" t="s">
        <v>1110</v>
      </c>
    </row>
    <row r="2512" spans="9:16" ht="12.75" customHeight="1">
      <c r="N2512" s="139"/>
    </row>
    <row r="2513" spans="9:15">
      <c r="I2513" s="50" t="s">
        <v>105</v>
      </c>
      <c r="L2513" s="146"/>
      <c r="N2513" s="139"/>
    </row>
    <row r="2514" spans="9:15" ht="14.25" customHeight="1" thickBot="1"/>
    <row r="2515" spans="9:15" ht="15.75" thickBot="1">
      <c r="I2515" s="891" t="s">
        <v>106</v>
      </c>
      <c r="J2515" s="892"/>
      <c r="K2515" s="892"/>
      <c r="L2515" s="893"/>
      <c r="N2515" s="50" t="s">
        <v>288</v>
      </c>
    </row>
    <row r="2516" spans="9:15" ht="30.75" thickBot="1">
      <c r="I2516" s="57" t="s">
        <v>100</v>
      </c>
      <c r="J2516" s="58" t="s">
        <v>108</v>
      </c>
      <c r="K2516" s="287" t="s">
        <v>109</v>
      </c>
      <c r="L2516" s="60" t="s">
        <v>110</v>
      </c>
    </row>
    <row r="2517" spans="9:15">
      <c r="I2517" s="71">
        <v>719</v>
      </c>
      <c r="J2517" s="73">
        <v>0</v>
      </c>
      <c r="K2517" s="74">
        <f>+L2480</f>
        <v>33445000</v>
      </c>
      <c r="L2517" s="195">
        <f>+J2517+K2517</f>
        <v>33445000</v>
      </c>
    </row>
    <row r="2518" spans="9:15">
      <c r="I2518" s="72">
        <v>721</v>
      </c>
      <c r="J2518" s="80">
        <f>+P2498+P2500+P2502+P2504+P2506</f>
        <v>6119075</v>
      </c>
      <c r="K2518" s="74">
        <f>+L2481</f>
        <v>128543583</v>
      </c>
      <c r="L2518" s="195">
        <f>+J2518+K2518</f>
        <v>134662658</v>
      </c>
    </row>
    <row r="2519" spans="9:15">
      <c r="I2519" s="72">
        <v>722</v>
      </c>
      <c r="J2519" s="80"/>
      <c r="K2519" s="74">
        <f>+L2482</f>
        <v>2000000</v>
      </c>
      <c r="L2519" s="195">
        <f>+J2519+K2519</f>
        <v>2000000</v>
      </c>
    </row>
    <row r="2520" spans="9:15" ht="15.75">
      <c r="I2520" s="72">
        <v>723</v>
      </c>
      <c r="J2520" s="80"/>
      <c r="K2520" s="74">
        <f>+L2483</f>
        <v>397905551</v>
      </c>
      <c r="L2520" s="195">
        <f>+J2520+K2520</f>
        <v>397905551</v>
      </c>
      <c r="N2520" s="193" t="s">
        <v>289</v>
      </c>
      <c r="O2520" s="175"/>
    </row>
    <row r="2521" spans="9:15" ht="16.5" thickBot="1">
      <c r="I2521" s="164" t="s">
        <v>1077</v>
      </c>
      <c r="J2521" s="165">
        <f>+P2497+P2499+P2501</f>
        <v>0</v>
      </c>
      <c r="K2521" s="74">
        <f>+L2484</f>
        <v>797500</v>
      </c>
      <c r="L2521" s="196">
        <f>+J2521+K2521</f>
        <v>797500</v>
      </c>
      <c r="N2521" s="52"/>
    </row>
    <row r="2522" spans="9:15" ht="16.5" thickBot="1">
      <c r="I2522" s="169"/>
      <c r="J2522" s="197">
        <f>SUM(J2517:J2521)</f>
        <v>6119075</v>
      </c>
      <c r="K2522" s="197">
        <f>SUM(K2517:K2521)</f>
        <v>562691634</v>
      </c>
      <c r="L2522" s="198">
        <f>SUM(L2517:L2521)</f>
        <v>568810709</v>
      </c>
    </row>
    <row r="2523" spans="9:15" ht="16.5">
      <c r="I2523" s="49" t="s">
        <v>88</v>
      </c>
      <c r="J2523" s="50"/>
    </row>
    <row r="2524" spans="9:15">
      <c r="I2524" s="51" t="s">
        <v>89</v>
      </c>
    </row>
    <row r="2525" spans="9:15">
      <c r="I2525" s="51" t="s">
        <v>90</v>
      </c>
    </row>
    <row r="2526" spans="9:15">
      <c r="I2526" s="51" t="s">
        <v>91</v>
      </c>
    </row>
    <row r="2527" spans="9:15" ht="11.25" customHeight="1">
      <c r="I2527" s="50"/>
      <c r="J2527" s="50"/>
    </row>
    <row r="2528" spans="9:15" ht="15.75">
      <c r="I2528" s="260" t="s">
        <v>1076</v>
      </c>
      <c r="O2528" s="52"/>
    </row>
    <row r="2529" spans="9:16" ht="15.75">
      <c r="I2529" s="53" t="s">
        <v>535</v>
      </c>
      <c r="O2529" s="53"/>
    </row>
    <row r="2530" spans="9:16" ht="16.5">
      <c r="I2530" s="894" t="s">
        <v>1121</v>
      </c>
      <c r="J2530" s="894"/>
      <c r="K2530" s="894"/>
      <c r="L2530" s="894"/>
      <c r="M2530" s="894"/>
      <c r="N2530" s="894"/>
      <c r="O2530" s="894"/>
      <c r="P2530" s="894"/>
    </row>
    <row r="2531" spans="9:16" ht="15.75" thickBot="1"/>
    <row r="2532" spans="9:16">
      <c r="I2532" s="895" t="s">
        <v>94</v>
      </c>
      <c r="J2532" s="897" t="s">
        <v>95</v>
      </c>
      <c r="K2532" s="897" t="s">
        <v>96</v>
      </c>
      <c r="L2532" s="897" t="s">
        <v>3</v>
      </c>
      <c r="M2532" s="897" t="s">
        <v>97</v>
      </c>
      <c r="N2532" s="897" t="s">
        <v>98</v>
      </c>
      <c r="O2532" s="897" t="s">
        <v>99</v>
      </c>
      <c r="P2532" s="899"/>
    </row>
    <row r="2533" spans="9:16" ht="15.75" thickBot="1">
      <c r="I2533" s="896"/>
      <c r="J2533" s="898"/>
      <c r="K2533" s="898"/>
      <c r="L2533" s="898"/>
      <c r="M2533" s="898"/>
      <c r="N2533" s="898"/>
      <c r="O2533" s="240" t="s">
        <v>100</v>
      </c>
      <c r="P2533" s="182" t="s">
        <v>101</v>
      </c>
    </row>
    <row r="2534" spans="9:16" ht="15" customHeight="1">
      <c r="I2534" s="881">
        <v>270</v>
      </c>
      <c r="J2534" s="875">
        <v>42641</v>
      </c>
      <c r="K2534" s="877" t="s">
        <v>1014</v>
      </c>
      <c r="L2534" s="879" t="s">
        <v>1120</v>
      </c>
      <c r="M2534" s="881" t="s">
        <v>115</v>
      </c>
      <c r="N2534" s="883">
        <v>90000</v>
      </c>
      <c r="O2534" s="55">
        <v>719</v>
      </c>
      <c r="P2534" s="78">
        <v>90000</v>
      </c>
    </row>
    <row r="2535" spans="9:16" ht="15.75" customHeight="1" thickBot="1">
      <c r="I2535" s="882"/>
      <c r="J2535" s="876"/>
      <c r="K2535" s="878"/>
      <c r="L2535" s="880"/>
      <c r="M2535" s="882"/>
      <c r="N2535" s="884"/>
      <c r="O2535" s="56">
        <v>721</v>
      </c>
      <c r="P2535" s="79">
        <f>+N2534-P2534</f>
        <v>0</v>
      </c>
    </row>
    <row r="2536" spans="9:16" ht="15" customHeight="1">
      <c r="I2536" s="881">
        <v>271</v>
      </c>
      <c r="J2536" s="875">
        <v>42641</v>
      </c>
      <c r="K2536" s="877" t="s">
        <v>28</v>
      </c>
      <c r="L2536" s="879" t="s">
        <v>1119</v>
      </c>
      <c r="M2536" s="881" t="s">
        <v>115</v>
      </c>
      <c r="N2536" s="883">
        <v>80000</v>
      </c>
      <c r="O2536" s="55">
        <v>719</v>
      </c>
      <c r="P2536" s="78">
        <v>80000</v>
      </c>
    </row>
    <row r="2537" spans="9:16" ht="15.75" customHeight="1" thickBot="1">
      <c r="I2537" s="882"/>
      <c r="J2537" s="876"/>
      <c r="K2537" s="878"/>
      <c r="L2537" s="880"/>
      <c r="M2537" s="882"/>
      <c r="N2537" s="884"/>
      <c r="O2537" s="56">
        <v>721</v>
      </c>
      <c r="P2537" s="79">
        <f>+N2536-P2536</f>
        <v>0</v>
      </c>
    </row>
    <row r="2538" spans="9:16" ht="13.5" customHeight="1">
      <c r="I2538" s="881">
        <v>272</v>
      </c>
      <c r="J2538" s="875">
        <v>42641</v>
      </c>
      <c r="K2538" s="877" t="s">
        <v>1116</v>
      </c>
      <c r="L2538" s="879" t="s">
        <v>1118</v>
      </c>
      <c r="M2538" s="881" t="s">
        <v>115</v>
      </c>
      <c r="N2538" s="883">
        <v>80000</v>
      </c>
      <c r="O2538" s="55">
        <v>719</v>
      </c>
      <c r="P2538" s="78">
        <v>80000</v>
      </c>
    </row>
    <row r="2539" spans="9:16" ht="14.25" customHeight="1" thickBot="1">
      <c r="I2539" s="882"/>
      <c r="J2539" s="876"/>
      <c r="K2539" s="878"/>
      <c r="L2539" s="880"/>
      <c r="M2539" s="882"/>
      <c r="N2539" s="884"/>
      <c r="O2539" s="56">
        <v>721</v>
      </c>
      <c r="P2539" s="79">
        <f>+N2538-P2538</f>
        <v>0</v>
      </c>
    </row>
    <row r="2540" spans="9:16" ht="14.25" customHeight="1">
      <c r="I2540" s="881"/>
      <c r="J2540" s="875"/>
      <c r="K2540" s="875"/>
      <c r="L2540" s="877"/>
      <c r="M2540" s="879"/>
      <c r="N2540" s="883"/>
      <c r="O2540" s="55">
        <v>719</v>
      </c>
      <c r="P2540" s="78"/>
    </row>
    <row r="2541" spans="9:16" ht="13.5" customHeight="1" thickBot="1">
      <c r="I2541" s="882"/>
      <c r="J2541" s="876"/>
      <c r="K2541" s="876"/>
      <c r="L2541" s="878"/>
      <c r="M2541" s="880"/>
      <c r="N2541" s="884"/>
      <c r="O2541" s="56">
        <v>721</v>
      </c>
      <c r="P2541" s="79">
        <f>+N2540-P2540</f>
        <v>0</v>
      </c>
    </row>
    <row r="2542" spans="9:16" ht="14.25" customHeight="1">
      <c r="I2542" s="881"/>
      <c r="J2542" s="875"/>
      <c r="K2542" s="877"/>
      <c r="L2542" s="879"/>
      <c r="M2542" s="881"/>
      <c r="N2542" s="883"/>
      <c r="O2542" s="55">
        <v>719</v>
      </c>
      <c r="P2542" s="78"/>
    </row>
    <row r="2543" spans="9:16" ht="13.5" customHeight="1" thickBot="1">
      <c r="I2543" s="882"/>
      <c r="J2543" s="876"/>
      <c r="K2543" s="878"/>
      <c r="L2543" s="880"/>
      <c r="M2543" s="882"/>
      <c r="N2543" s="884"/>
      <c r="O2543" s="56">
        <v>723</v>
      </c>
      <c r="P2543" s="79">
        <f>+N2542-P2542</f>
        <v>0</v>
      </c>
    </row>
    <row r="2544" spans="9:16" ht="16.5" thickBot="1">
      <c r="I2544" s="901" t="s">
        <v>102</v>
      </c>
      <c r="J2544" s="902"/>
      <c r="K2544" s="902"/>
      <c r="L2544" s="902"/>
      <c r="M2544" s="903"/>
      <c r="N2544" s="81">
        <f>SUM(N2534:N2543)</f>
        <v>250000</v>
      </c>
    </row>
    <row r="2545" spans="9:16" ht="16.5" thickBot="1">
      <c r="I2545" s="885" t="s">
        <v>103</v>
      </c>
      <c r="J2545" s="886"/>
      <c r="K2545" s="886"/>
      <c r="L2545" s="886"/>
      <c r="M2545" s="887"/>
      <c r="N2545" s="69">
        <f>+N2509</f>
        <v>534365335</v>
      </c>
      <c r="O2545" s="241" t="s">
        <v>561</v>
      </c>
      <c r="P2545" s="242">
        <f>325+46+159</f>
        <v>530</v>
      </c>
    </row>
    <row r="2546" spans="9:16" ht="16.5" thickBot="1">
      <c r="I2546" s="888" t="s">
        <v>104</v>
      </c>
      <c r="J2546" s="889"/>
      <c r="K2546" s="889"/>
      <c r="L2546" s="889"/>
      <c r="M2546" s="890"/>
      <c r="N2546" s="183">
        <f>SUM(N2544:N2545)</f>
        <v>534615335</v>
      </c>
    </row>
    <row r="2547" spans="9:16">
      <c r="I2547" s="61"/>
      <c r="J2547" s="61"/>
      <c r="K2547" s="61"/>
      <c r="L2547" s="61"/>
      <c r="M2547" s="61"/>
    </row>
    <row r="2548" spans="9:16">
      <c r="I2548" s="51" t="s">
        <v>1117</v>
      </c>
    </row>
    <row r="2549" spans="9:16" ht="12.75" customHeight="1">
      <c r="N2549" s="139"/>
    </row>
    <row r="2550" spans="9:16">
      <c r="I2550" s="50" t="s">
        <v>105</v>
      </c>
      <c r="L2550" s="146"/>
      <c r="N2550" s="139"/>
    </row>
    <row r="2551" spans="9:16" ht="14.25" customHeight="1" thickBot="1"/>
    <row r="2552" spans="9:16" ht="15.75" thickBot="1">
      <c r="I2552" s="891" t="s">
        <v>106</v>
      </c>
      <c r="J2552" s="892"/>
      <c r="K2552" s="892"/>
      <c r="L2552" s="893"/>
      <c r="N2552" s="50" t="s">
        <v>288</v>
      </c>
    </row>
    <row r="2553" spans="9:16" ht="30.75" thickBot="1">
      <c r="I2553" s="57" t="s">
        <v>100</v>
      </c>
      <c r="J2553" s="58" t="s">
        <v>108</v>
      </c>
      <c r="K2553" s="287" t="s">
        <v>109</v>
      </c>
      <c r="L2553" s="60" t="s">
        <v>110</v>
      </c>
    </row>
    <row r="2554" spans="9:16">
      <c r="I2554" s="71">
        <v>719</v>
      </c>
      <c r="J2554" s="73">
        <f>+P2534+P2536+P2538</f>
        <v>250000</v>
      </c>
      <c r="K2554" s="74">
        <f>+L2517</f>
        <v>33445000</v>
      </c>
      <c r="L2554" s="195">
        <f>+J2554+K2554</f>
        <v>33695000</v>
      </c>
    </row>
    <row r="2555" spans="9:16">
      <c r="I2555" s="72">
        <v>721</v>
      </c>
      <c r="J2555" s="80">
        <f>+P2535+P2537+P2539+P2541+P2543</f>
        <v>0</v>
      </c>
      <c r="K2555" s="74">
        <f>+L2518</f>
        <v>134662658</v>
      </c>
      <c r="L2555" s="195">
        <f>+J2555+K2555</f>
        <v>134662658</v>
      </c>
    </row>
    <row r="2556" spans="9:16">
      <c r="I2556" s="72">
        <v>722</v>
      </c>
      <c r="J2556" s="80"/>
      <c r="K2556" s="74">
        <f>+L2519</f>
        <v>2000000</v>
      </c>
      <c r="L2556" s="195">
        <f>+J2556+K2556</f>
        <v>2000000</v>
      </c>
    </row>
    <row r="2557" spans="9:16" ht="15.75">
      <c r="I2557" s="72">
        <v>723</v>
      </c>
      <c r="J2557" s="80"/>
      <c r="K2557" s="74">
        <f>+L2520</f>
        <v>397905551</v>
      </c>
      <c r="L2557" s="195">
        <f>+J2557+K2557</f>
        <v>397905551</v>
      </c>
      <c r="N2557" s="193" t="s">
        <v>289</v>
      </c>
      <c r="O2557" s="175"/>
    </row>
    <row r="2558" spans="9:16" ht="16.5" thickBot="1">
      <c r="I2558" s="164" t="s">
        <v>1077</v>
      </c>
      <c r="J2558" s="165"/>
      <c r="K2558" s="74">
        <f>+L2521</f>
        <v>797500</v>
      </c>
      <c r="L2558" s="196">
        <f>+J2558+K2558</f>
        <v>797500</v>
      </c>
      <c r="N2558" s="52"/>
    </row>
    <row r="2559" spans="9:16" ht="16.5" thickBot="1">
      <c r="I2559" s="169"/>
      <c r="J2559" s="197">
        <f>SUM(J2554:J2558)</f>
        <v>250000</v>
      </c>
      <c r="K2559" s="197">
        <f>SUM(K2554:K2558)</f>
        <v>568810709</v>
      </c>
      <c r="L2559" s="198">
        <f>SUM(L2554:L2558)</f>
        <v>569060709</v>
      </c>
    </row>
    <row r="2560" spans="9:16" ht="16.5">
      <c r="I2560" s="49" t="s">
        <v>88</v>
      </c>
      <c r="J2560" s="50"/>
    </row>
    <row r="2561" spans="9:16">
      <c r="I2561" s="51" t="s">
        <v>89</v>
      </c>
    </row>
    <row r="2562" spans="9:16">
      <c r="I2562" s="51" t="s">
        <v>90</v>
      </c>
    </row>
    <row r="2563" spans="9:16">
      <c r="I2563" s="51" t="s">
        <v>91</v>
      </c>
    </row>
    <row r="2564" spans="9:16" ht="14.25" customHeight="1">
      <c r="I2564" s="50"/>
      <c r="J2564" s="50"/>
    </row>
    <row r="2565" spans="9:16" ht="15.75">
      <c r="I2565" s="260" t="s">
        <v>1083</v>
      </c>
      <c r="O2565" s="52"/>
    </row>
    <row r="2566" spans="9:16" ht="15.75">
      <c r="I2566" s="53" t="s">
        <v>535</v>
      </c>
      <c r="O2566" s="53"/>
    </row>
    <row r="2567" spans="9:16" ht="16.5">
      <c r="I2567" s="894" t="s">
        <v>1121</v>
      </c>
      <c r="J2567" s="894"/>
      <c r="K2567" s="894"/>
      <c r="L2567" s="894"/>
      <c r="M2567" s="894"/>
      <c r="N2567" s="894"/>
      <c r="O2567" s="894"/>
      <c r="P2567" s="894"/>
    </row>
    <row r="2568" spans="9:16" ht="12.75" customHeight="1" thickBot="1"/>
    <row r="2569" spans="9:16">
      <c r="I2569" s="895" t="s">
        <v>94</v>
      </c>
      <c r="J2569" s="897" t="s">
        <v>95</v>
      </c>
      <c r="K2569" s="897" t="s">
        <v>96</v>
      </c>
      <c r="L2569" s="897" t="s">
        <v>3</v>
      </c>
      <c r="M2569" s="897" t="s">
        <v>97</v>
      </c>
      <c r="N2569" s="897" t="s">
        <v>98</v>
      </c>
      <c r="O2569" s="897" t="s">
        <v>99</v>
      </c>
      <c r="P2569" s="899"/>
    </row>
    <row r="2570" spans="9:16" ht="15.75" thickBot="1">
      <c r="I2570" s="896"/>
      <c r="J2570" s="898"/>
      <c r="K2570" s="898"/>
      <c r="L2570" s="898"/>
      <c r="M2570" s="898"/>
      <c r="N2570" s="898"/>
      <c r="O2570" s="240" t="s">
        <v>100</v>
      </c>
      <c r="P2570" s="182" t="s">
        <v>101</v>
      </c>
    </row>
    <row r="2571" spans="9:16" ht="15" customHeight="1">
      <c r="I2571" s="881">
        <v>273</v>
      </c>
      <c r="J2571" s="875">
        <v>42648</v>
      </c>
      <c r="K2571" s="877" t="s">
        <v>1014</v>
      </c>
      <c r="L2571" s="879" t="s">
        <v>1122</v>
      </c>
      <c r="M2571" s="881" t="s">
        <v>115</v>
      </c>
      <c r="N2571" s="883">
        <v>60000</v>
      </c>
      <c r="O2571" s="55">
        <v>719</v>
      </c>
      <c r="P2571" s="78">
        <v>60000</v>
      </c>
    </row>
    <row r="2572" spans="9:16" ht="15.75" customHeight="1" thickBot="1">
      <c r="I2572" s="882"/>
      <c r="J2572" s="876"/>
      <c r="K2572" s="878"/>
      <c r="L2572" s="880"/>
      <c r="M2572" s="882"/>
      <c r="N2572" s="884"/>
      <c r="O2572" s="56">
        <v>721</v>
      </c>
      <c r="P2572" s="79">
        <f>+N2571-P2571</f>
        <v>0</v>
      </c>
    </row>
    <row r="2573" spans="9:16" ht="15" customHeight="1">
      <c r="I2573" s="881">
        <v>274</v>
      </c>
      <c r="J2573" s="875">
        <v>42648</v>
      </c>
      <c r="K2573" s="877" t="s">
        <v>28</v>
      </c>
      <c r="L2573" s="879" t="s">
        <v>1123</v>
      </c>
      <c r="M2573" s="881" t="s">
        <v>115</v>
      </c>
      <c r="N2573" s="883">
        <v>40000</v>
      </c>
      <c r="O2573" s="55">
        <v>719</v>
      </c>
      <c r="P2573" s="78">
        <v>40000</v>
      </c>
    </row>
    <row r="2574" spans="9:16" ht="15.75" customHeight="1" thickBot="1">
      <c r="I2574" s="882"/>
      <c r="J2574" s="876"/>
      <c r="K2574" s="878"/>
      <c r="L2574" s="880"/>
      <c r="M2574" s="882"/>
      <c r="N2574" s="884"/>
      <c r="O2574" s="56">
        <v>721</v>
      </c>
      <c r="P2574" s="79">
        <f>+N2573-P2573</f>
        <v>0</v>
      </c>
    </row>
    <row r="2575" spans="9:16" ht="15" customHeight="1">
      <c r="I2575" s="881">
        <v>275</v>
      </c>
      <c r="J2575" s="875">
        <v>42648</v>
      </c>
      <c r="K2575" s="877" t="s">
        <v>120</v>
      </c>
      <c r="L2575" s="879" t="s">
        <v>1122</v>
      </c>
      <c r="M2575" s="881" t="s">
        <v>115</v>
      </c>
      <c r="N2575" s="883">
        <v>100000</v>
      </c>
      <c r="O2575" s="55">
        <v>719</v>
      </c>
      <c r="P2575" s="78">
        <v>100000</v>
      </c>
    </row>
    <row r="2576" spans="9:16" ht="15.75" customHeight="1" thickBot="1">
      <c r="I2576" s="882"/>
      <c r="J2576" s="876"/>
      <c r="K2576" s="878"/>
      <c r="L2576" s="880"/>
      <c r="M2576" s="882"/>
      <c r="N2576" s="884"/>
      <c r="O2576" s="56">
        <v>721</v>
      </c>
      <c r="P2576" s="79">
        <f>+N2575-P2575</f>
        <v>0</v>
      </c>
    </row>
    <row r="2577" spans="9:16" ht="15" customHeight="1">
      <c r="I2577" s="881"/>
      <c r="J2577" s="875"/>
      <c r="K2577" s="877"/>
      <c r="L2577" s="879"/>
      <c r="M2577" s="881"/>
      <c r="N2577" s="883"/>
      <c r="O2577" s="55">
        <v>719</v>
      </c>
      <c r="P2577" s="78">
        <v>0</v>
      </c>
    </row>
    <row r="2578" spans="9:16" ht="15.75" customHeight="1" thickBot="1">
      <c r="I2578" s="882"/>
      <c r="J2578" s="876"/>
      <c r="K2578" s="878"/>
      <c r="L2578" s="880"/>
      <c r="M2578" s="882"/>
      <c r="N2578" s="884"/>
      <c r="O2578" s="56">
        <v>721</v>
      </c>
      <c r="P2578" s="79">
        <f>+N2577-P2577</f>
        <v>0</v>
      </c>
    </row>
    <row r="2579" spans="9:16" ht="15" customHeight="1">
      <c r="I2579" s="881"/>
      <c r="J2579" s="875"/>
      <c r="K2579" s="877"/>
      <c r="L2579" s="879"/>
      <c r="M2579" s="881"/>
      <c r="N2579" s="883"/>
      <c r="O2579" s="55">
        <v>719</v>
      </c>
      <c r="P2579" s="78"/>
    </row>
    <row r="2580" spans="9:16" ht="15.75" customHeight="1" thickBot="1">
      <c r="I2580" s="882"/>
      <c r="J2580" s="876"/>
      <c r="K2580" s="878"/>
      <c r="L2580" s="880"/>
      <c r="M2580" s="882"/>
      <c r="N2580" s="884"/>
      <c r="O2580" s="56">
        <v>723</v>
      </c>
      <c r="P2580" s="79">
        <f>+N2579-P2579</f>
        <v>0</v>
      </c>
    </row>
    <row r="2581" spans="9:16" ht="16.5" thickBot="1">
      <c r="I2581" s="901" t="s">
        <v>102</v>
      </c>
      <c r="J2581" s="902"/>
      <c r="K2581" s="902"/>
      <c r="L2581" s="902"/>
      <c r="M2581" s="903"/>
      <c r="N2581" s="81">
        <f>SUM(N2571:N2580)</f>
        <v>200000</v>
      </c>
    </row>
    <row r="2582" spans="9:16" ht="16.5" thickBot="1">
      <c r="I2582" s="885" t="s">
        <v>103</v>
      </c>
      <c r="J2582" s="886"/>
      <c r="K2582" s="886"/>
      <c r="L2582" s="886"/>
      <c r="M2582" s="887"/>
      <c r="N2582" s="69">
        <f>+N2546</f>
        <v>534615335</v>
      </c>
      <c r="O2582" s="241" t="s">
        <v>561</v>
      </c>
      <c r="P2582" s="242"/>
    </row>
    <row r="2583" spans="9:16" ht="16.5" thickBot="1">
      <c r="I2583" s="888" t="s">
        <v>104</v>
      </c>
      <c r="J2583" s="889"/>
      <c r="K2583" s="889"/>
      <c r="L2583" s="889"/>
      <c r="M2583" s="890"/>
      <c r="N2583" s="183">
        <f>SUM(N2581:N2582)</f>
        <v>534815335</v>
      </c>
    </row>
    <row r="2584" spans="9:16">
      <c r="I2584" s="61"/>
      <c r="J2584" s="61"/>
      <c r="K2584" s="61"/>
      <c r="L2584" s="61"/>
      <c r="M2584" s="61"/>
    </row>
    <row r="2585" spans="9:16">
      <c r="I2585" s="51" t="s">
        <v>1124</v>
      </c>
    </row>
    <row r="2586" spans="9:16" ht="12.75" customHeight="1">
      <c r="N2586" s="139"/>
    </row>
    <row r="2587" spans="9:16">
      <c r="I2587" s="50" t="s">
        <v>105</v>
      </c>
      <c r="L2587" s="146"/>
      <c r="N2587" s="139"/>
    </row>
    <row r="2588" spans="9:16" ht="13.5" customHeight="1" thickBot="1"/>
    <row r="2589" spans="9:16" ht="15.75" thickBot="1">
      <c r="I2589" s="891" t="s">
        <v>106</v>
      </c>
      <c r="J2589" s="892"/>
      <c r="K2589" s="892"/>
      <c r="L2589" s="893"/>
      <c r="N2589" s="908" t="s">
        <v>1126</v>
      </c>
      <c r="O2589" s="908"/>
      <c r="P2589" s="908"/>
    </row>
    <row r="2590" spans="9:16" ht="30.75" thickBot="1">
      <c r="I2590" s="57" t="s">
        <v>100</v>
      </c>
      <c r="J2590" s="58" t="s">
        <v>108</v>
      </c>
      <c r="K2590" s="287" t="s">
        <v>109</v>
      </c>
      <c r="L2590" s="60" t="s">
        <v>110</v>
      </c>
    </row>
    <row r="2591" spans="9:16">
      <c r="I2591" s="71">
        <v>719</v>
      </c>
      <c r="J2591" s="73">
        <f>+P2579+P2577+P2575+P2573+P2571</f>
        <v>200000</v>
      </c>
      <c r="K2591" s="74">
        <f>+L2554</f>
        <v>33695000</v>
      </c>
      <c r="L2591" s="195">
        <f>+J2591+K2591</f>
        <v>33895000</v>
      </c>
    </row>
    <row r="2592" spans="9:16">
      <c r="I2592" s="72">
        <v>721</v>
      </c>
      <c r="J2592" s="80"/>
      <c r="K2592" s="74">
        <f>+L2555</f>
        <v>134662658</v>
      </c>
      <c r="L2592" s="195">
        <f>+J2592+K2592</f>
        <v>134662658</v>
      </c>
    </row>
    <row r="2593" spans="9:16">
      <c r="I2593" s="72">
        <v>722</v>
      </c>
      <c r="J2593" s="80"/>
      <c r="K2593" s="74">
        <f>+L2556</f>
        <v>2000000</v>
      </c>
      <c r="L2593" s="195">
        <f>+J2593+K2593</f>
        <v>2000000</v>
      </c>
    </row>
    <row r="2594" spans="9:16" ht="15.75">
      <c r="I2594" s="72">
        <v>723</v>
      </c>
      <c r="J2594" s="80"/>
      <c r="K2594" s="74">
        <f>+L2557</f>
        <v>397905551</v>
      </c>
      <c r="L2594" s="195">
        <f>+J2594+K2594</f>
        <v>397905551</v>
      </c>
      <c r="N2594" s="909" t="s">
        <v>1125</v>
      </c>
      <c r="O2594" s="909"/>
      <c r="P2594" s="909"/>
    </row>
    <row r="2595" spans="9:16" ht="16.5" thickBot="1">
      <c r="I2595" s="164" t="s">
        <v>1077</v>
      </c>
      <c r="J2595" s="165"/>
      <c r="K2595" s="74">
        <f>+L2558</f>
        <v>797500</v>
      </c>
      <c r="L2595" s="196">
        <f>+J2595+K2595</f>
        <v>797500</v>
      </c>
      <c r="N2595" s="52"/>
    </row>
    <row r="2596" spans="9:16" ht="16.5" thickBot="1">
      <c r="I2596" s="169"/>
      <c r="J2596" s="197">
        <f>SUM(J2591:J2595)</f>
        <v>200000</v>
      </c>
      <c r="K2596" s="197">
        <f>SUM(K2591:K2595)</f>
        <v>569060709</v>
      </c>
      <c r="L2596" s="198">
        <f>SUM(L2591:L2595)</f>
        <v>569260709</v>
      </c>
    </row>
    <row r="2597" spans="9:16" ht="16.5">
      <c r="I2597" s="49" t="s">
        <v>88</v>
      </c>
      <c r="J2597" s="50"/>
    </row>
    <row r="2598" spans="9:16">
      <c r="I2598" s="51" t="s">
        <v>89</v>
      </c>
    </row>
    <row r="2599" spans="9:16">
      <c r="I2599" s="51" t="s">
        <v>90</v>
      </c>
    </row>
    <row r="2600" spans="9:16">
      <c r="I2600" s="51" t="s">
        <v>91</v>
      </c>
    </row>
    <row r="2601" spans="9:16" ht="12" customHeight="1">
      <c r="I2601" s="50"/>
      <c r="J2601" s="50"/>
    </row>
    <row r="2602" spans="9:16" ht="15.75">
      <c r="I2602" s="260" t="s">
        <v>1085</v>
      </c>
      <c r="O2602" s="52"/>
    </row>
    <row r="2603" spans="9:16" ht="15.75">
      <c r="I2603" s="53" t="s">
        <v>535</v>
      </c>
      <c r="O2603" s="53"/>
    </row>
    <row r="2604" spans="9:16" ht="15" customHeight="1">
      <c r="I2604" s="894" t="s">
        <v>1078</v>
      </c>
      <c r="J2604" s="894"/>
      <c r="K2604" s="894"/>
      <c r="L2604" s="894"/>
      <c r="M2604" s="894"/>
      <c r="N2604" s="894"/>
      <c r="O2604" s="894"/>
      <c r="P2604" s="894"/>
    </row>
    <row r="2605" spans="9:16" ht="13.5" customHeight="1" thickBot="1"/>
    <row r="2606" spans="9:16">
      <c r="I2606" s="895" t="s">
        <v>94</v>
      </c>
      <c r="J2606" s="897" t="s">
        <v>95</v>
      </c>
      <c r="K2606" s="897" t="s">
        <v>96</v>
      </c>
      <c r="L2606" s="897" t="s">
        <v>3</v>
      </c>
      <c r="M2606" s="897" t="s">
        <v>97</v>
      </c>
      <c r="N2606" s="897" t="s">
        <v>98</v>
      </c>
      <c r="O2606" s="897" t="s">
        <v>99</v>
      </c>
      <c r="P2606" s="899"/>
    </row>
    <row r="2607" spans="9:16" ht="15.75" thickBot="1">
      <c r="I2607" s="896"/>
      <c r="J2607" s="898"/>
      <c r="K2607" s="898"/>
      <c r="L2607" s="898"/>
      <c r="M2607" s="898"/>
      <c r="N2607" s="898"/>
      <c r="O2607" s="240" t="s">
        <v>100</v>
      </c>
      <c r="P2607" s="182" t="s">
        <v>101</v>
      </c>
    </row>
    <row r="2608" spans="9:16" ht="12.75" customHeight="1">
      <c r="I2608" s="881">
        <v>276</v>
      </c>
      <c r="J2608" s="875">
        <v>42650</v>
      </c>
      <c r="K2608" s="877" t="s">
        <v>350</v>
      </c>
      <c r="L2608" s="879" t="s">
        <v>1127</v>
      </c>
      <c r="M2608" s="881" t="s">
        <v>148</v>
      </c>
      <c r="N2608" s="883">
        <v>598000</v>
      </c>
      <c r="O2608" s="55">
        <v>719</v>
      </c>
      <c r="P2608" s="78">
        <v>460000</v>
      </c>
    </row>
    <row r="2609" spans="9:16" ht="12" customHeight="1" thickBot="1">
      <c r="I2609" s="882"/>
      <c r="J2609" s="876"/>
      <c r="K2609" s="878"/>
      <c r="L2609" s="880"/>
      <c r="M2609" s="882"/>
      <c r="N2609" s="884"/>
      <c r="O2609" s="56">
        <v>721</v>
      </c>
      <c r="P2609" s="351">
        <f>+N2608-P2608</f>
        <v>138000</v>
      </c>
    </row>
    <row r="2610" spans="9:16" ht="12.75" customHeight="1">
      <c r="I2610" s="881">
        <v>277</v>
      </c>
      <c r="J2610" s="875">
        <v>42650</v>
      </c>
      <c r="K2610" s="877" t="s">
        <v>350</v>
      </c>
      <c r="L2610" s="879" t="s">
        <v>1038</v>
      </c>
      <c r="M2610" s="881" t="s">
        <v>148</v>
      </c>
      <c r="N2610" s="883">
        <v>1521000</v>
      </c>
      <c r="O2610" s="55">
        <v>719</v>
      </c>
      <c r="P2610" s="78">
        <v>1170000</v>
      </c>
    </row>
    <row r="2611" spans="9:16" ht="12" customHeight="1" thickBot="1">
      <c r="I2611" s="882"/>
      <c r="J2611" s="876"/>
      <c r="K2611" s="878"/>
      <c r="L2611" s="880"/>
      <c r="M2611" s="882"/>
      <c r="N2611" s="884"/>
      <c r="O2611" s="56">
        <v>721</v>
      </c>
      <c r="P2611" s="352">
        <f>+N2610-P2610</f>
        <v>351000</v>
      </c>
    </row>
    <row r="2612" spans="9:16" ht="15" customHeight="1">
      <c r="I2612" s="881">
        <v>278</v>
      </c>
      <c r="J2612" s="875">
        <v>42650</v>
      </c>
      <c r="K2612" s="877" t="s">
        <v>350</v>
      </c>
      <c r="L2612" s="879" t="s">
        <v>1122</v>
      </c>
      <c r="M2612" s="881" t="s">
        <v>148</v>
      </c>
      <c r="N2612" s="883">
        <v>923000</v>
      </c>
      <c r="O2612" s="55">
        <v>719</v>
      </c>
      <c r="P2612" s="78">
        <v>710000</v>
      </c>
    </row>
    <row r="2613" spans="9:16" ht="12" customHeight="1" thickBot="1">
      <c r="I2613" s="882"/>
      <c r="J2613" s="876"/>
      <c r="K2613" s="878"/>
      <c r="L2613" s="880"/>
      <c r="M2613" s="882"/>
      <c r="N2613" s="884"/>
      <c r="O2613" s="56">
        <v>721</v>
      </c>
      <c r="P2613" s="352">
        <f>+N2612-P2612</f>
        <v>213000</v>
      </c>
    </row>
    <row r="2614" spans="9:16" ht="15" customHeight="1">
      <c r="I2614" s="881">
        <v>279</v>
      </c>
      <c r="J2614" s="875">
        <v>42650</v>
      </c>
      <c r="K2614" s="877" t="s">
        <v>350</v>
      </c>
      <c r="L2614" s="879" t="s">
        <v>1122</v>
      </c>
      <c r="M2614" s="881" t="s">
        <v>148</v>
      </c>
      <c r="N2614" s="883">
        <v>715000</v>
      </c>
      <c r="O2614" s="55">
        <v>719</v>
      </c>
      <c r="P2614" s="78">
        <v>550000</v>
      </c>
    </row>
    <row r="2615" spans="9:16" ht="13.5" customHeight="1" thickBot="1">
      <c r="I2615" s="882"/>
      <c r="J2615" s="876"/>
      <c r="K2615" s="878"/>
      <c r="L2615" s="880"/>
      <c r="M2615" s="882"/>
      <c r="N2615" s="884"/>
      <c r="O2615" s="56">
        <v>721</v>
      </c>
      <c r="P2615" s="79">
        <f>+N2614-P2614</f>
        <v>165000</v>
      </c>
    </row>
    <row r="2616" spans="9:16" ht="15" customHeight="1">
      <c r="I2616" s="881">
        <v>280</v>
      </c>
      <c r="J2616" s="875">
        <v>42650</v>
      </c>
      <c r="K2616" s="877" t="s">
        <v>350</v>
      </c>
      <c r="L2616" s="879" t="s">
        <v>1122</v>
      </c>
      <c r="M2616" s="881" t="s">
        <v>148</v>
      </c>
      <c r="N2616" s="883">
        <v>879000</v>
      </c>
      <c r="O2616" s="55">
        <v>719</v>
      </c>
      <c r="P2616" s="78">
        <v>720000</v>
      </c>
    </row>
    <row r="2617" spans="9:16" ht="15" customHeight="1" thickBot="1">
      <c r="I2617" s="882"/>
      <c r="J2617" s="876"/>
      <c r="K2617" s="878"/>
      <c r="L2617" s="880"/>
      <c r="M2617" s="882"/>
      <c r="N2617" s="884"/>
      <c r="O2617" s="56">
        <v>721</v>
      </c>
      <c r="P2617" s="79">
        <f>+N2616-P2616</f>
        <v>159000</v>
      </c>
    </row>
    <row r="2618" spans="9:16" ht="12.75" customHeight="1">
      <c r="I2618" s="881">
        <v>281</v>
      </c>
      <c r="J2618" s="875">
        <v>42650</v>
      </c>
      <c r="K2618" s="877" t="s">
        <v>350</v>
      </c>
      <c r="L2618" s="879" t="s">
        <v>1122</v>
      </c>
      <c r="M2618" s="881" t="s">
        <v>148</v>
      </c>
      <c r="N2618" s="883">
        <v>300000</v>
      </c>
      <c r="O2618" s="55">
        <v>719</v>
      </c>
      <c r="P2618" s="78">
        <v>300000</v>
      </c>
    </row>
    <row r="2619" spans="9:16" ht="13.5" customHeight="1" thickBot="1">
      <c r="I2619" s="882"/>
      <c r="J2619" s="876"/>
      <c r="K2619" s="878"/>
      <c r="L2619" s="880"/>
      <c r="M2619" s="882"/>
      <c r="N2619" s="884"/>
      <c r="O2619" s="56">
        <v>723</v>
      </c>
      <c r="P2619" s="79">
        <f>+N2618-P2618</f>
        <v>0</v>
      </c>
    </row>
    <row r="2620" spans="9:16" ht="16.5" thickBot="1">
      <c r="I2620" s="901" t="s">
        <v>102</v>
      </c>
      <c r="J2620" s="902"/>
      <c r="K2620" s="902"/>
      <c r="L2620" s="902"/>
      <c r="M2620" s="903"/>
      <c r="N2620" s="81">
        <f>SUM(N2608:N2619)</f>
        <v>4936000</v>
      </c>
    </row>
    <row r="2621" spans="9:16" ht="16.5" thickBot="1">
      <c r="I2621" s="885" t="s">
        <v>103</v>
      </c>
      <c r="J2621" s="886"/>
      <c r="K2621" s="886"/>
      <c r="L2621" s="886"/>
      <c r="M2621" s="887"/>
      <c r="N2621" s="69">
        <f>+N2583</f>
        <v>534815335</v>
      </c>
      <c r="O2621" s="241" t="s">
        <v>561</v>
      </c>
      <c r="P2621" s="242">
        <v>6648</v>
      </c>
    </row>
    <row r="2622" spans="9:16" ht="16.5" thickBot="1">
      <c r="I2622" s="888" t="s">
        <v>104</v>
      </c>
      <c r="J2622" s="889"/>
      <c r="K2622" s="889"/>
      <c r="L2622" s="889"/>
      <c r="M2622" s="890"/>
      <c r="N2622" s="183">
        <f>SUM(N2620:N2621)</f>
        <v>539751335</v>
      </c>
    </row>
    <row r="2623" spans="9:16" ht="13.5" customHeight="1">
      <c r="I2623" s="61"/>
      <c r="J2623" s="61"/>
      <c r="K2623" s="61"/>
      <c r="L2623" s="61"/>
      <c r="M2623" s="61"/>
    </row>
    <row r="2624" spans="9:16">
      <c r="I2624" s="51" t="s">
        <v>1158</v>
      </c>
    </row>
    <row r="2625" spans="9:15" ht="10.5" customHeight="1">
      <c r="N2625" s="139"/>
    </row>
    <row r="2626" spans="9:15">
      <c r="I2626" s="50" t="s">
        <v>105</v>
      </c>
      <c r="L2626" s="146"/>
      <c r="N2626" s="139"/>
    </row>
    <row r="2627" spans="9:15" ht="10.5" customHeight="1" thickBot="1"/>
    <row r="2628" spans="9:15" ht="15.75" thickBot="1">
      <c r="I2628" s="891" t="s">
        <v>106</v>
      </c>
      <c r="J2628" s="892"/>
      <c r="K2628" s="892"/>
      <c r="L2628" s="893"/>
      <c r="N2628" s="50" t="s">
        <v>288</v>
      </c>
    </row>
    <row r="2629" spans="9:15" ht="30.75" thickBot="1">
      <c r="I2629" s="57" t="s">
        <v>100</v>
      </c>
      <c r="J2629" s="58" t="s">
        <v>108</v>
      </c>
      <c r="K2629" s="287" t="s">
        <v>109</v>
      </c>
      <c r="L2629" s="60" t="s">
        <v>110</v>
      </c>
    </row>
    <row r="2630" spans="9:15">
      <c r="I2630" s="71">
        <v>719</v>
      </c>
      <c r="J2630" s="73">
        <f>+P2608+P2610+P2612+P2614+P2616+P2618</f>
        <v>3910000</v>
      </c>
      <c r="K2630" s="74">
        <f>+L2591</f>
        <v>33895000</v>
      </c>
      <c r="L2630" s="195">
        <f>+J2630+K2630</f>
        <v>37805000</v>
      </c>
    </row>
    <row r="2631" spans="9:15">
      <c r="I2631" s="72">
        <v>721</v>
      </c>
      <c r="J2631" s="80">
        <f>+P2609+P2611+P2613+P2615+P2619+P2617</f>
        <v>1026000</v>
      </c>
      <c r="K2631" s="74">
        <f>+L2592</f>
        <v>134662658</v>
      </c>
      <c r="L2631" s="195">
        <f>+J2631+K2631</f>
        <v>135688658</v>
      </c>
    </row>
    <row r="2632" spans="9:15">
      <c r="I2632" s="72">
        <v>722</v>
      </c>
      <c r="J2632" s="80"/>
      <c r="K2632" s="74">
        <f>+L2593</f>
        <v>2000000</v>
      </c>
      <c r="L2632" s="195">
        <f>+J2632+K2632</f>
        <v>2000000</v>
      </c>
    </row>
    <row r="2633" spans="9:15" ht="15.75">
      <c r="I2633" s="72">
        <v>723</v>
      </c>
      <c r="J2633" s="80"/>
      <c r="K2633" s="74">
        <f>+L2594</f>
        <v>397905551</v>
      </c>
      <c r="L2633" s="195">
        <f>+J2633+K2633</f>
        <v>397905551</v>
      </c>
      <c r="N2633" s="193" t="s">
        <v>289</v>
      </c>
      <c r="O2633" s="175"/>
    </row>
    <row r="2634" spans="9:15" ht="16.5" thickBot="1">
      <c r="I2634" s="164" t="s">
        <v>1077</v>
      </c>
      <c r="J2634" s="165"/>
      <c r="K2634" s="74">
        <f>+L2595</f>
        <v>797500</v>
      </c>
      <c r="L2634" s="196">
        <f>+J2634+K2634</f>
        <v>797500</v>
      </c>
      <c r="N2634" s="52"/>
    </row>
    <row r="2635" spans="9:15" ht="16.5" thickBot="1">
      <c r="I2635" s="169"/>
      <c r="J2635" s="197">
        <f>SUM(J2630:J2634)</f>
        <v>4936000</v>
      </c>
      <c r="K2635" s="197">
        <f>SUM(K2630:K2634)</f>
        <v>569260709</v>
      </c>
      <c r="L2635" s="198">
        <f>SUM(L2630:L2634)</f>
        <v>574196709</v>
      </c>
    </row>
    <row r="2636" spans="9:15" ht="16.5">
      <c r="I2636" s="49" t="s">
        <v>88</v>
      </c>
      <c r="J2636" s="50"/>
    </row>
    <row r="2637" spans="9:15">
      <c r="I2637" s="51" t="s">
        <v>89</v>
      </c>
    </row>
    <row r="2638" spans="9:15">
      <c r="I2638" s="51" t="s">
        <v>90</v>
      </c>
    </row>
    <row r="2639" spans="9:15">
      <c r="I2639" s="51" t="s">
        <v>91</v>
      </c>
    </row>
    <row r="2640" spans="9:15" ht="14.25" customHeight="1">
      <c r="I2640" s="50"/>
      <c r="J2640" s="50"/>
    </row>
    <row r="2641" spans="9:16" ht="15.75">
      <c r="I2641" s="260" t="s">
        <v>1087</v>
      </c>
      <c r="O2641" s="52"/>
    </row>
    <row r="2642" spans="9:16" ht="15.75">
      <c r="I2642" s="53" t="s">
        <v>535</v>
      </c>
      <c r="O2642" s="53"/>
    </row>
    <row r="2643" spans="9:16" ht="16.5">
      <c r="I2643" s="894" t="s">
        <v>1078</v>
      </c>
      <c r="J2643" s="894"/>
      <c r="K2643" s="894"/>
      <c r="L2643" s="894"/>
      <c r="M2643" s="894"/>
      <c r="N2643" s="894"/>
      <c r="O2643" s="894"/>
      <c r="P2643" s="894"/>
    </row>
    <row r="2644" spans="9:16" ht="15.75" thickBot="1"/>
    <row r="2645" spans="9:16">
      <c r="I2645" s="895" t="s">
        <v>94</v>
      </c>
      <c r="J2645" s="897" t="s">
        <v>95</v>
      </c>
      <c r="K2645" s="897" t="s">
        <v>96</v>
      </c>
      <c r="L2645" s="897" t="s">
        <v>3</v>
      </c>
      <c r="M2645" s="897" t="s">
        <v>97</v>
      </c>
      <c r="N2645" s="897" t="s">
        <v>98</v>
      </c>
      <c r="O2645" s="897" t="s">
        <v>99</v>
      </c>
      <c r="P2645" s="899"/>
    </row>
    <row r="2646" spans="9:16" ht="15.75" thickBot="1">
      <c r="I2646" s="896"/>
      <c r="J2646" s="898"/>
      <c r="K2646" s="898"/>
      <c r="L2646" s="898"/>
      <c r="M2646" s="898"/>
      <c r="N2646" s="898"/>
      <c r="O2646" s="240" t="s">
        <v>100</v>
      </c>
      <c r="P2646" s="182" t="s">
        <v>101</v>
      </c>
    </row>
    <row r="2647" spans="9:16" ht="15" customHeight="1">
      <c r="I2647" s="881">
        <v>282</v>
      </c>
      <c r="J2647" s="875">
        <v>42655</v>
      </c>
      <c r="K2647" s="877" t="s">
        <v>267</v>
      </c>
      <c r="L2647" s="879" t="s">
        <v>1129</v>
      </c>
      <c r="M2647" s="881" t="s">
        <v>148</v>
      </c>
      <c r="N2647" s="883">
        <v>26000</v>
      </c>
      <c r="O2647" s="55">
        <v>719</v>
      </c>
      <c r="P2647" s="78">
        <v>20000</v>
      </c>
    </row>
    <row r="2648" spans="9:16" ht="15.75" customHeight="1" thickBot="1">
      <c r="I2648" s="882"/>
      <c r="J2648" s="876"/>
      <c r="K2648" s="878"/>
      <c r="L2648" s="880"/>
      <c r="M2648" s="882"/>
      <c r="N2648" s="884"/>
      <c r="O2648" s="56">
        <v>721</v>
      </c>
      <c r="P2648" s="79">
        <f>+N2647-P2647</f>
        <v>6000</v>
      </c>
    </row>
    <row r="2649" spans="9:16" ht="15" customHeight="1">
      <c r="I2649" s="881">
        <v>283</v>
      </c>
      <c r="J2649" s="875">
        <v>42655</v>
      </c>
      <c r="K2649" s="877" t="s">
        <v>267</v>
      </c>
      <c r="L2649" s="879" t="s">
        <v>1130</v>
      </c>
      <c r="M2649" s="881" t="s">
        <v>148</v>
      </c>
      <c r="N2649" s="883">
        <v>130000</v>
      </c>
      <c r="O2649" s="55">
        <v>719</v>
      </c>
      <c r="P2649" s="78">
        <v>100000</v>
      </c>
    </row>
    <row r="2650" spans="9:16" ht="15.75" customHeight="1" thickBot="1">
      <c r="I2650" s="882"/>
      <c r="J2650" s="876"/>
      <c r="K2650" s="878"/>
      <c r="L2650" s="880"/>
      <c r="M2650" s="882"/>
      <c r="N2650" s="884"/>
      <c r="O2650" s="56">
        <v>721</v>
      </c>
      <c r="P2650" s="79">
        <f>+N2649-P2649</f>
        <v>30000</v>
      </c>
    </row>
    <row r="2651" spans="9:16" ht="15" customHeight="1">
      <c r="I2651" s="881">
        <v>284</v>
      </c>
      <c r="J2651" s="875">
        <v>42655</v>
      </c>
      <c r="K2651" s="877" t="s">
        <v>267</v>
      </c>
      <c r="L2651" s="879" t="s">
        <v>1131</v>
      </c>
      <c r="M2651" s="881" t="s">
        <v>148</v>
      </c>
      <c r="N2651" s="883">
        <v>130000</v>
      </c>
      <c r="O2651" s="55">
        <v>719</v>
      </c>
      <c r="P2651" s="78">
        <v>100000</v>
      </c>
    </row>
    <row r="2652" spans="9:16" ht="15.75" customHeight="1" thickBot="1">
      <c r="I2652" s="882"/>
      <c r="J2652" s="876"/>
      <c r="K2652" s="878"/>
      <c r="L2652" s="880"/>
      <c r="M2652" s="882"/>
      <c r="N2652" s="884"/>
      <c r="O2652" s="56">
        <v>721</v>
      </c>
      <c r="P2652" s="79">
        <f>+N2651-P2651</f>
        <v>30000</v>
      </c>
    </row>
    <row r="2653" spans="9:16" ht="15" customHeight="1">
      <c r="I2653" s="881">
        <v>285</v>
      </c>
      <c r="J2653" s="875">
        <v>42655</v>
      </c>
      <c r="K2653" s="877" t="s">
        <v>267</v>
      </c>
      <c r="L2653" s="879" t="s">
        <v>1132</v>
      </c>
      <c r="M2653" s="881" t="s">
        <v>148</v>
      </c>
      <c r="N2653" s="883">
        <v>30000</v>
      </c>
      <c r="O2653" s="55">
        <v>719</v>
      </c>
      <c r="P2653" s="78">
        <v>30000</v>
      </c>
    </row>
    <row r="2654" spans="9:16" ht="15.75" customHeight="1" thickBot="1">
      <c r="I2654" s="882"/>
      <c r="J2654" s="876"/>
      <c r="K2654" s="878"/>
      <c r="L2654" s="880"/>
      <c r="M2654" s="882"/>
      <c r="N2654" s="884"/>
      <c r="O2654" s="56">
        <v>721</v>
      </c>
      <c r="P2654" s="79">
        <f>+N2653-P2653</f>
        <v>0</v>
      </c>
    </row>
    <row r="2655" spans="9:16" ht="13.5" customHeight="1">
      <c r="I2655" s="881"/>
      <c r="J2655" s="875"/>
      <c r="K2655" s="877"/>
      <c r="L2655" s="879"/>
      <c r="M2655" s="881"/>
      <c r="N2655" s="883"/>
      <c r="O2655" s="55">
        <v>719</v>
      </c>
      <c r="P2655" s="78"/>
    </row>
    <row r="2656" spans="9:16" ht="13.5" customHeight="1" thickBot="1">
      <c r="I2656" s="882"/>
      <c r="J2656" s="876"/>
      <c r="K2656" s="878"/>
      <c r="L2656" s="880"/>
      <c r="M2656" s="882"/>
      <c r="N2656" s="884"/>
      <c r="O2656" s="56">
        <v>723</v>
      </c>
      <c r="P2656" s="79">
        <f>+N2655-P2655</f>
        <v>0</v>
      </c>
    </row>
    <row r="2657" spans="9:16" ht="16.5" thickBot="1">
      <c r="I2657" s="901" t="s">
        <v>102</v>
      </c>
      <c r="J2657" s="902"/>
      <c r="K2657" s="902"/>
      <c r="L2657" s="902"/>
      <c r="M2657" s="903"/>
      <c r="N2657" s="81">
        <f>SUM(N2647:N2656)</f>
        <v>316000</v>
      </c>
    </row>
    <row r="2658" spans="9:16" ht="16.5" thickBot="1">
      <c r="I2658" s="885" t="s">
        <v>103</v>
      </c>
      <c r="J2658" s="886"/>
      <c r="K2658" s="886"/>
      <c r="L2658" s="886"/>
      <c r="M2658" s="887"/>
      <c r="N2658" s="69">
        <f>+N2622</f>
        <v>539751335</v>
      </c>
      <c r="O2658" s="241" t="s">
        <v>561</v>
      </c>
      <c r="P2658" s="242"/>
    </row>
    <row r="2659" spans="9:16" ht="16.5" thickBot="1">
      <c r="I2659" s="888" t="s">
        <v>104</v>
      </c>
      <c r="J2659" s="889"/>
      <c r="K2659" s="889"/>
      <c r="L2659" s="889"/>
      <c r="M2659" s="890"/>
      <c r="N2659" s="183">
        <f>SUM(N2657:N2658)</f>
        <v>540067335</v>
      </c>
    </row>
    <row r="2660" spans="9:16">
      <c r="I2660" s="61"/>
      <c r="J2660" s="61"/>
      <c r="K2660" s="61"/>
      <c r="L2660" s="61"/>
      <c r="M2660" s="61"/>
    </row>
    <row r="2661" spans="9:16">
      <c r="I2661" s="51" t="s">
        <v>1159</v>
      </c>
    </row>
    <row r="2662" spans="9:16" ht="12.75" customHeight="1">
      <c r="N2662" s="139"/>
    </row>
    <row r="2663" spans="9:16">
      <c r="I2663" s="50" t="s">
        <v>105</v>
      </c>
      <c r="L2663" s="146"/>
      <c r="N2663" s="139"/>
    </row>
    <row r="2664" spans="9:16" ht="13.5" customHeight="1" thickBot="1"/>
    <row r="2665" spans="9:16" ht="15.75" thickBot="1">
      <c r="I2665" s="891" t="s">
        <v>106</v>
      </c>
      <c r="J2665" s="892"/>
      <c r="K2665" s="892"/>
      <c r="L2665" s="893"/>
      <c r="N2665" s="50" t="s">
        <v>288</v>
      </c>
    </row>
    <row r="2666" spans="9:16" ht="30.75" thickBot="1">
      <c r="I2666" s="57" t="s">
        <v>100</v>
      </c>
      <c r="J2666" s="58" t="s">
        <v>108</v>
      </c>
      <c r="K2666" s="287" t="s">
        <v>109</v>
      </c>
      <c r="L2666" s="60" t="s">
        <v>110</v>
      </c>
    </row>
    <row r="2667" spans="9:16">
      <c r="I2667" s="71">
        <v>719</v>
      </c>
      <c r="J2667" s="73">
        <f>+P2647+P2649+P2651+P2653</f>
        <v>250000</v>
      </c>
      <c r="K2667" s="74">
        <f>+L2630</f>
        <v>37805000</v>
      </c>
      <c r="L2667" s="195">
        <f>+J2667+K2667</f>
        <v>38055000</v>
      </c>
    </row>
    <row r="2668" spans="9:16">
      <c r="I2668" s="72">
        <v>721</v>
      </c>
      <c r="J2668" s="80">
        <f>+P2648+P2650+P2652+P2654+P2656</f>
        <v>66000</v>
      </c>
      <c r="K2668" s="74">
        <f>+L2631</f>
        <v>135688658</v>
      </c>
      <c r="L2668" s="195">
        <f>+J2668+K2668</f>
        <v>135754658</v>
      </c>
    </row>
    <row r="2669" spans="9:16">
      <c r="I2669" s="72">
        <v>722</v>
      </c>
      <c r="J2669" s="80"/>
      <c r="K2669" s="74">
        <f>+L2632</f>
        <v>2000000</v>
      </c>
      <c r="L2669" s="195">
        <f>+J2669+K2669</f>
        <v>2000000</v>
      </c>
    </row>
    <row r="2670" spans="9:16" ht="15.75">
      <c r="I2670" s="72">
        <v>723</v>
      </c>
      <c r="J2670" s="80"/>
      <c r="K2670" s="74">
        <f>+L2633</f>
        <v>397905551</v>
      </c>
      <c r="L2670" s="195">
        <f>+J2670+K2670</f>
        <v>397905551</v>
      </c>
      <c r="N2670" s="193" t="s">
        <v>289</v>
      </c>
      <c r="O2670" s="175"/>
    </row>
    <row r="2671" spans="9:16" ht="16.5" thickBot="1">
      <c r="I2671" s="164" t="s">
        <v>1077</v>
      </c>
      <c r="J2671" s="165"/>
      <c r="K2671" s="74">
        <f>+L2634</f>
        <v>797500</v>
      </c>
      <c r="L2671" s="196">
        <f>+J2671+K2671</f>
        <v>797500</v>
      </c>
      <c r="N2671" s="52"/>
    </row>
    <row r="2672" spans="9:16" ht="16.5" thickBot="1">
      <c r="I2672" s="169"/>
      <c r="J2672" s="197">
        <f>SUM(J2667:J2671)</f>
        <v>316000</v>
      </c>
      <c r="K2672" s="197">
        <f>SUM(K2667:K2671)</f>
        <v>574196709</v>
      </c>
      <c r="L2672" s="198">
        <f>SUM(L2667:L2671)</f>
        <v>574512709</v>
      </c>
    </row>
    <row r="2673" spans="9:16" ht="16.5">
      <c r="I2673" s="49" t="s">
        <v>88</v>
      </c>
      <c r="J2673" s="50"/>
    </row>
    <row r="2674" spans="9:16">
      <c r="I2674" s="51" t="s">
        <v>89</v>
      </c>
    </row>
    <row r="2675" spans="9:16">
      <c r="I2675" s="51" t="s">
        <v>90</v>
      </c>
    </row>
    <row r="2676" spans="9:16">
      <c r="I2676" s="51" t="s">
        <v>91</v>
      </c>
    </row>
    <row r="2677" spans="9:16" ht="10.5" customHeight="1">
      <c r="I2677" s="50"/>
      <c r="J2677" s="50"/>
    </row>
    <row r="2678" spans="9:16" ht="15.75">
      <c r="I2678" s="260" t="s">
        <v>1157</v>
      </c>
      <c r="O2678" s="52"/>
    </row>
    <row r="2679" spans="9:16" ht="15.75">
      <c r="I2679" s="53" t="s">
        <v>535</v>
      </c>
      <c r="O2679" s="53"/>
    </row>
    <row r="2680" spans="9:16" ht="16.5">
      <c r="I2680" s="894" t="s">
        <v>1078</v>
      </c>
      <c r="J2680" s="894"/>
      <c r="K2680" s="894"/>
      <c r="L2680" s="894"/>
      <c r="M2680" s="894"/>
      <c r="N2680" s="894"/>
      <c r="O2680" s="894"/>
      <c r="P2680" s="894"/>
    </row>
    <row r="2681" spans="9:16" ht="15.75" thickBot="1"/>
    <row r="2682" spans="9:16">
      <c r="I2682" s="895" t="s">
        <v>94</v>
      </c>
      <c r="J2682" s="897" t="s">
        <v>95</v>
      </c>
      <c r="K2682" s="897" t="s">
        <v>96</v>
      </c>
      <c r="L2682" s="897" t="s">
        <v>3</v>
      </c>
      <c r="M2682" s="897" t="s">
        <v>97</v>
      </c>
      <c r="N2682" s="897" t="s">
        <v>98</v>
      </c>
      <c r="O2682" s="897" t="s">
        <v>99</v>
      </c>
      <c r="P2682" s="899"/>
    </row>
    <row r="2683" spans="9:16" ht="15.75" thickBot="1">
      <c r="I2683" s="896"/>
      <c r="J2683" s="898"/>
      <c r="K2683" s="898"/>
      <c r="L2683" s="898"/>
      <c r="M2683" s="898"/>
      <c r="N2683" s="898"/>
      <c r="O2683" s="240" t="s">
        <v>100</v>
      </c>
      <c r="P2683" s="182" t="s">
        <v>101</v>
      </c>
    </row>
    <row r="2684" spans="9:16">
      <c r="I2684" s="881">
        <v>286</v>
      </c>
      <c r="J2684" s="875">
        <v>42655</v>
      </c>
      <c r="K2684" s="877" t="s">
        <v>472</v>
      </c>
      <c r="L2684" s="879" t="s">
        <v>1160</v>
      </c>
      <c r="M2684" s="881" t="s">
        <v>148</v>
      </c>
      <c r="N2684" s="883">
        <v>208000</v>
      </c>
      <c r="O2684" s="55">
        <v>719</v>
      </c>
      <c r="P2684" s="78">
        <v>160000</v>
      </c>
    </row>
    <row r="2685" spans="9:16" ht="15.75" thickBot="1">
      <c r="I2685" s="882"/>
      <c r="J2685" s="876"/>
      <c r="K2685" s="878"/>
      <c r="L2685" s="880"/>
      <c r="M2685" s="882"/>
      <c r="N2685" s="884"/>
      <c r="O2685" s="56">
        <v>721</v>
      </c>
      <c r="P2685" s="79">
        <f>+N2684-P2684</f>
        <v>48000</v>
      </c>
    </row>
    <row r="2686" spans="9:16">
      <c r="I2686" s="881">
        <v>287</v>
      </c>
      <c r="J2686" s="875">
        <v>42655</v>
      </c>
      <c r="K2686" s="877" t="s">
        <v>472</v>
      </c>
      <c r="L2686" s="879" t="s">
        <v>1133</v>
      </c>
      <c r="M2686" s="881" t="s">
        <v>148</v>
      </c>
      <c r="N2686" s="883">
        <v>390000</v>
      </c>
      <c r="O2686" s="55">
        <v>719</v>
      </c>
      <c r="P2686" s="78">
        <v>300000</v>
      </c>
    </row>
    <row r="2687" spans="9:16" ht="15.75" thickBot="1">
      <c r="I2687" s="882"/>
      <c r="J2687" s="876"/>
      <c r="K2687" s="878"/>
      <c r="L2687" s="880"/>
      <c r="M2687" s="882"/>
      <c r="N2687" s="884"/>
      <c r="O2687" s="56">
        <v>721</v>
      </c>
      <c r="P2687" s="79">
        <f>+N2686-P2686</f>
        <v>90000</v>
      </c>
    </row>
    <row r="2688" spans="9:16">
      <c r="I2688" s="881">
        <v>288</v>
      </c>
      <c r="J2688" s="875">
        <v>42655</v>
      </c>
      <c r="K2688" s="877" t="s">
        <v>472</v>
      </c>
      <c r="L2688" s="879" t="s">
        <v>1135</v>
      </c>
      <c r="M2688" s="881" t="s">
        <v>148</v>
      </c>
      <c r="N2688" s="883">
        <v>286000</v>
      </c>
      <c r="O2688" s="55">
        <v>719</v>
      </c>
      <c r="P2688" s="78">
        <v>220000</v>
      </c>
    </row>
    <row r="2689" spans="9:16" ht="15.75" thickBot="1">
      <c r="I2689" s="882"/>
      <c r="J2689" s="876"/>
      <c r="K2689" s="878"/>
      <c r="L2689" s="880"/>
      <c r="M2689" s="882"/>
      <c r="N2689" s="884"/>
      <c r="O2689" s="56">
        <v>721</v>
      </c>
      <c r="P2689" s="79">
        <f>+N2688-P2688</f>
        <v>66000</v>
      </c>
    </row>
    <row r="2690" spans="9:16">
      <c r="I2690" s="881">
        <v>289</v>
      </c>
      <c r="J2690" s="875">
        <v>42655</v>
      </c>
      <c r="K2690" s="877" t="s">
        <v>472</v>
      </c>
      <c r="L2690" s="879" t="s">
        <v>1128</v>
      </c>
      <c r="M2690" s="881" t="s">
        <v>148</v>
      </c>
      <c r="N2690" s="883">
        <v>100000</v>
      </c>
      <c r="O2690" s="55">
        <v>719</v>
      </c>
      <c r="P2690" s="78">
        <v>100000</v>
      </c>
    </row>
    <row r="2691" spans="9:16" ht="15.75" thickBot="1">
      <c r="I2691" s="882"/>
      <c r="J2691" s="876"/>
      <c r="K2691" s="878"/>
      <c r="L2691" s="880"/>
      <c r="M2691" s="882"/>
      <c r="N2691" s="884"/>
      <c r="O2691" s="56">
        <v>721</v>
      </c>
      <c r="P2691" s="79">
        <f>+N2690-P2690</f>
        <v>0</v>
      </c>
    </row>
    <row r="2692" spans="9:16">
      <c r="I2692" s="881"/>
      <c r="J2692" s="875"/>
      <c r="K2692" s="877"/>
      <c r="L2692" s="879"/>
      <c r="M2692" s="881"/>
      <c r="N2692" s="883"/>
      <c r="O2692" s="55">
        <v>719</v>
      </c>
      <c r="P2692" s="78"/>
    </row>
    <row r="2693" spans="9:16" ht="15.75" thickBot="1">
      <c r="I2693" s="882"/>
      <c r="J2693" s="876"/>
      <c r="K2693" s="878"/>
      <c r="L2693" s="880"/>
      <c r="M2693" s="882"/>
      <c r="N2693" s="884"/>
      <c r="O2693" s="56">
        <v>721</v>
      </c>
      <c r="P2693" s="79">
        <f>+N2692-P2692</f>
        <v>0</v>
      </c>
    </row>
    <row r="2694" spans="9:16" ht="16.5" thickBot="1">
      <c r="I2694" s="901" t="s">
        <v>102</v>
      </c>
      <c r="J2694" s="902"/>
      <c r="K2694" s="902"/>
      <c r="L2694" s="902"/>
      <c r="M2694" s="903"/>
      <c r="N2694" s="81">
        <f>SUM(N2684:N2693)</f>
        <v>984000</v>
      </c>
    </row>
    <row r="2695" spans="9:16" ht="16.5" thickBot="1">
      <c r="I2695" s="885" t="s">
        <v>103</v>
      </c>
      <c r="J2695" s="886"/>
      <c r="K2695" s="886"/>
      <c r="L2695" s="886"/>
      <c r="M2695" s="887"/>
      <c r="N2695" s="69">
        <f>+N2659</f>
        <v>540067335</v>
      </c>
      <c r="O2695" s="241" t="s">
        <v>561</v>
      </c>
      <c r="P2695" s="242">
        <f>183+395+650+498</f>
        <v>1726</v>
      </c>
    </row>
    <row r="2696" spans="9:16" ht="16.5" thickBot="1">
      <c r="I2696" s="888" t="s">
        <v>104</v>
      </c>
      <c r="J2696" s="889"/>
      <c r="K2696" s="889"/>
      <c r="L2696" s="889"/>
      <c r="M2696" s="890"/>
      <c r="N2696" s="183">
        <f>SUM(N2694:N2695)</f>
        <v>541051335</v>
      </c>
    </row>
    <row r="2697" spans="9:16">
      <c r="I2697" s="61"/>
      <c r="J2697" s="61"/>
      <c r="K2697" s="61"/>
      <c r="L2697" s="61"/>
      <c r="M2697" s="61"/>
    </row>
    <row r="2698" spans="9:16">
      <c r="I2698" s="51" t="s">
        <v>1161</v>
      </c>
    </row>
    <row r="2699" spans="9:16" ht="12.75" customHeight="1">
      <c r="N2699" s="139"/>
    </row>
    <row r="2700" spans="9:16">
      <c r="I2700" s="50" t="s">
        <v>105</v>
      </c>
      <c r="L2700" s="146"/>
      <c r="N2700" s="139"/>
    </row>
    <row r="2701" spans="9:16" ht="14.25" customHeight="1" thickBot="1"/>
    <row r="2702" spans="9:16" ht="15.75" thickBot="1">
      <c r="I2702" s="891" t="s">
        <v>106</v>
      </c>
      <c r="J2702" s="892"/>
      <c r="K2702" s="892"/>
      <c r="L2702" s="893"/>
      <c r="N2702" s="50" t="s">
        <v>288</v>
      </c>
    </row>
    <row r="2703" spans="9:16" ht="30.75" thickBot="1">
      <c r="I2703" s="57" t="s">
        <v>100</v>
      </c>
      <c r="J2703" s="58" t="s">
        <v>108</v>
      </c>
      <c r="K2703" s="287" t="s">
        <v>109</v>
      </c>
      <c r="L2703" s="60" t="s">
        <v>110</v>
      </c>
    </row>
    <row r="2704" spans="9:16">
      <c r="I2704" s="71">
        <v>719</v>
      </c>
      <c r="J2704" s="73">
        <f>+P2684+P2686+P2688+P2690</f>
        <v>780000</v>
      </c>
      <c r="K2704" s="74">
        <f>+L2667</f>
        <v>38055000</v>
      </c>
      <c r="L2704" s="195">
        <f>+J2704+K2704</f>
        <v>38835000</v>
      </c>
    </row>
    <row r="2705" spans="9:16">
      <c r="I2705" s="72">
        <v>721</v>
      </c>
      <c r="J2705" s="80">
        <f>+P2685+P2687+P2689+P2691+P2693</f>
        <v>204000</v>
      </c>
      <c r="K2705" s="74">
        <f>+L2668</f>
        <v>135754658</v>
      </c>
      <c r="L2705" s="195">
        <f>+J2705+K2705</f>
        <v>135958658</v>
      </c>
    </row>
    <row r="2706" spans="9:16">
      <c r="I2706" s="72">
        <v>722</v>
      </c>
      <c r="J2706" s="80"/>
      <c r="K2706" s="74">
        <f>+L2669</f>
        <v>2000000</v>
      </c>
      <c r="L2706" s="195">
        <f>+J2706+K2706</f>
        <v>2000000</v>
      </c>
    </row>
    <row r="2707" spans="9:16" ht="15.75">
      <c r="I2707" s="72">
        <v>723</v>
      </c>
      <c r="J2707" s="80"/>
      <c r="K2707" s="74">
        <f>+L2670</f>
        <v>397905551</v>
      </c>
      <c r="L2707" s="195">
        <f>+J2707+K2707</f>
        <v>397905551</v>
      </c>
      <c r="N2707" s="193" t="s">
        <v>289</v>
      </c>
      <c r="O2707" s="175"/>
    </row>
    <row r="2708" spans="9:16" ht="16.5" thickBot="1">
      <c r="I2708" s="164" t="s">
        <v>1077</v>
      </c>
      <c r="J2708" s="165"/>
      <c r="K2708" s="74">
        <f>+L2671</f>
        <v>797500</v>
      </c>
      <c r="L2708" s="196">
        <f>+J2708+K2708</f>
        <v>797500</v>
      </c>
      <c r="N2708" s="52"/>
    </row>
    <row r="2709" spans="9:16" ht="16.5" thickBot="1">
      <c r="I2709" s="169"/>
      <c r="J2709" s="197">
        <f>SUM(J2704:J2708)</f>
        <v>984000</v>
      </c>
      <c r="K2709" s="197">
        <f>SUM(K2704:K2708)</f>
        <v>574512709</v>
      </c>
      <c r="L2709" s="198">
        <f>SUM(L2704:L2708)</f>
        <v>575496709</v>
      </c>
    </row>
    <row r="2710" spans="9:16" ht="16.5">
      <c r="I2710" s="49" t="s">
        <v>88</v>
      </c>
      <c r="J2710" s="50"/>
    </row>
    <row r="2711" spans="9:16">
      <c r="I2711" s="51" t="s">
        <v>89</v>
      </c>
    </row>
    <row r="2712" spans="9:16">
      <c r="I2712" s="51" t="s">
        <v>90</v>
      </c>
    </row>
    <row r="2713" spans="9:16">
      <c r="I2713" s="51" t="s">
        <v>91</v>
      </c>
    </row>
    <row r="2714" spans="9:16" ht="11.25" customHeight="1">
      <c r="I2714" s="50"/>
      <c r="J2714" s="50"/>
    </row>
    <row r="2715" spans="9:16" ht="15.75">
      <c r="I2715" s="260" t="s">
        <v>1162</v>
      </c>
      <c r="O2715" s="52"/>
    </row>
    <row r="2716" spans="9:16" ht="15.75">
      <c r="I2716" s="53" t="s">
        <v>535</v>
      </c>
      <c r="O2716" s="53"/>
    </row>
    <row r="2717" spans="9:16" ht="16.5">
      <c r="I2717" s="894" t="s">
        <v>1078</v>
      </c>
      <c r="J2717" s="894"/>
      <c r="K2717" s="894"/>
      <c r="L2717" s="894"/>
      <c r="M2717" s="894"/>
      <c r="N2717" s="894"/>
      <c r="O2717" s="894"/>
      <c r="P2717" s="894"/>
    </row>
    <row r="2718" spans="9:16" ht="13.5" customHeight="1" thickBot="1"/>
    <row r="2719" spans="9:16">
      <c r="I2719" s="895" t="s">
        <v>94</v>
      </c>
      <c r="J2719" s="897" t="s">
        <v>95</v>
      </c>
      <c r="K2719" s="897" t="s">
        <v>96</v>
      </c>
      <c r="L2719" s="897" t="s">
        <v>3</v>
      </c>
      <c r="M2719" s="897" t="s">
        <v>97</v>
      </c>
      <c r="N2719" s="897" t="s">
        <v>98</v>
      </c>
      <c r="O2719" s="897" t="s">
        <v>99</v>
      </c>
      <c r="P2719" s="899"/>
    </row>
    <row r="2720" spans="9:16" ht="15.75" thickBot="1">
      <c r="I2720" s="896"/>
      <c r="J2720" s="898"/>
      <c r="K2720" s="898"/>
      <c r="L2720" s="898"/>
      <c r="M2720" s="898"/>
      <c r="N2720" s="898"/>
      <c r="O2720" s="240" t="s">
        <v>100</v>
      </c>
      <c r="P2720" s="182" t="s">
        <v>101</v>
      </c>
    </row>
    <row r="2721" spans="9:16">
      <c r="I2721" s="881">
        <v>290</v>
      </c>
      <c r="J2721" s="875">
        <v>42655</v>
      </c>
      <c r="K2721" s="877" t="s">
        <v>1139</v>
      </c>
      <c r="L2721" s="879" t="s">
        <v>1146</v>
      </c>
      <c r="M2721" s="881" t="s">
        <v>148</v>
      </c>
      <c r="N2721" s="883">
        <v>52000</v>
      </c>
      <c r="O2721" s="55">
        <v>719</v>
      </c>
      <c r="P2721" s="78">
        <v>40000</v>
      </c>
    </row>
    <row r="2722" spans="9:16" ht="13.5" customHeight="1" thickBot="1">
      <c r="I2722" s="882"/>
      <c r="J2722" s="876"/>
      <c r="K2722" s="878"/>
      <c r="L2722" s="880"/>
      <c r="M2722" s="882"/>
      <c r="N2722" s="884"/>
      <c r="O2722" s="56">
        <v>721</v>
      </c>
      <c r="P2722" s="79">
        <f>+N2721-P2721</f>
        <v>12000</v>
      </c>
    </row>
    <row r="2723" spans="9:16">
      <c r="I2723" s="881">
        <v>291</v>
      </c>
      <c r="J2723" s="875">
        <v>42655</v>
      </c>
      <c r="K2723" s="877" t="s">
        <v>1139</v>
      </c>
      <c r="L2723" s="879" t="s">
        <v>1150</v>
      </c>
      <c r="M2723" s="881" t="s">
        <v>148</v>
      </c>
      <c r="N2723" s="883">
        <v>78000</v>
      </c>
      <c r="O2723" s="55">
        <v>719</v>
      </c>
      <c r="P2723" s="78">
        <v>60000</v>
      </c>
    </row>
    <row r="2724" spans="9:16" ht="15.75" thickBot="1">
      <c r="I2724" s="882"/>
      <c r="J2724" s="876"/>
      <c r="K2724" s="878"/>
      <c r="L2724" s="880"/>
      <c r="M2724" s="882"/>
      <c r="N2724" s="884"/>
      <c r="O2724" s="56">
        <v>721</v>
      </c>
      <c r="P2724" s="79">
        <f>+N2723-P2723</f>
        <v>18000</v>
      </c>
    </row>
    <row r="2725" spans="9:16" ht="14.25" customHeight="1">
      <c r="I2725" s="881">
        <v>292</v>
      </c>
      <c r="J2725" s="875">
        <v>42655</v>
      </c>
      <c r="K2725" s="877" t="s">
        <v>1139</v>
      </c>
      <c r="L2725" s="879" t="s">
        <v>1141</v>
      </c>
      <c r="M2725" s="881" t="s">
        <v>148</v>
      </c>
      <c r="N2725" s="883">
        <v>46000</v>
      </c>
      <c r="O2725" s="55">
        <v>719</v>
      </c>
      <c r="P2725" s="78">
        <v>40000</v>
      </c>
    </row>
    <row r="2726" spans="9:16" ht="14.25" customHeight="1" thickBot="1">
      <c r="I2726" s="882"/>
      <c r="J2726" s="876"/>
      <c r="K2726" s="878"/>
      <c r="L2726" s="880"/>
      <c r="M2726" s="882"/>
      <c r="N2726" s="884"/>
      <c r="O2726" s="56">
        <v>721</v>
      </c>
      <c r="P2726" s="79">
        <f>+N2725-P2725</f>
        <v>6000</v>
      </c>
    </row>
    <row r="2727" spans="9:16">
      <c r="I2727" s="881">
        <v>293</v>
      </c>
      <c r="J2727" s="875">
        <v>42655</v>
      </c>
      <c r="K2727" s="877" t="s">
        <v>31</v>
      </c>
      <c r="L2727" s="879" t="s">
        <v>1155</v>
      </c>
      <c r="M2727" s="881" t="s">
        <v>148</v>
      </c>
      <c r="N2727" s="883">
        <v>1326000</v>
      </c>
      <c r="O2727" s="55">
        <v>719</v>
      </c>
      <c r="P2727" s="78">
        <v>1020000</v>
      </c>
    </row>
    <row r="2728" spans="9:16" ht="15.75" thickBot="1">
      <c r="I2728" s="882"/>
      <c r="J2728" s="876"/>
      <c r="K2728" s="878"/>
      <c r="L2728" s="880"/>
      <c r="M2728" s="882"/>
      <c r="N2728" s="884"/>
      <c r="O2728" s="56">
        <v>721</v>
      </c>
      <c r="P2728" s="79">
        <f>+N2727-P2727</f>
        <v>306000</v>
      </c>
    </row>
    <row r="2729" spans="9:16" ht="13.5" customHeight="1">
      <c r="I2729" s="881"/>
      <c r="J2729" s="875"/>
      <c r="K2729" s="877"/>
      <c r="L2729" s="879"/>
      <c r="M2729" s="881"/>
      <c r="N2729" s="883"/>
      <c r="O2729" s="55">
        <v>719</v>
      </c>
      <c r="P2729" s="78"/>
    </row>
    <row r="2730" spans="9:16" ht="13.5" customHeight="1" thickBot="1">
      <c r="I2730" s="882"/>
      <c r="J2730" s="876"/>
      <c r="K2730" s="878"/>
      <c r="L2730" s="880"/>
      <c r="M2730" s="882"/>
      <c r="N2730" s="884"/>
      <c r="O2730" s="56">
        <v>721</v>
      </c>
      <c r="P2730" s="79">
        <f>+N2729-P2729</f>
        <v>0</v>
      </c>
    </row>
    <row r="2731" spans="9:16" ht="16.5" thickBot="1">
      <c r="I2731" s="901" t="s">
        <v>102</v>
      </c>
      <c r="J2731" s="902"/>
      <c r="K2731" s="902"/>
      <c r="L2731" s="902"/>
      <c r="M2731" s="903"/>
      <c r="N2731" s="81">
        <f>SUM(N2721:N2730)</f>
        <v>1502000</v>
      </c>
    </row>
    <row r="2732" spans="9:16" ht="16.5" thickBot="1">
      <c r="I2732" s="885" t="s">
        <v>103</v>
      </c>
      <c r="J2732" s="886"/>
      <c r="K2732" s="886"/>
      <c r="L2732" s="886"/>
      <c r="M2732" s="887"/>
      <c r="N2732" s="69">
        <f>+N2696</f>
        <v>541051335</v>
      </c>
      <c r="O2732" s="241" t="s">
        <v>561</v>
      </c>
      <c r="P2732" s="242">
        <v>1556</v>
      </c>
    </row>
    <row r="2733" spans="9:16" ht="16.5" thickBot="1">
      <c r="I2733" s="888" t="s">
        <v>104</v>
      </c>
      <c r="J2733" s="889"/>
      <c r="K2733" s="889"/>
      <c r="L2733" s="889"/>
      <c r="M2733" s="890"/>
      <c r="N2733" s="183">
        <f>SUM(N2731:N2732)</f>
        <v>542553335</v>
      </c>
    </row>
    <row r="2734" spans="9:16" ht="12.75" customHeight="1">
      <c r="I2734" s="61"/>
      <c r="J2734" s="61"/>
      <c r="K2734" s="61"/>
      <c r="L2734" s="61"/>
      <c r="M2734" s="61"/>
    </row>
    <row r="2735" spans="9:16">
      <c r="I2735" s="51" t="s">
        <v>1163</v>
      </c>
    </row>
    <row r="2736" spans="9:16" ht="14.25" customHeight="1">
      <c r="N2736" s="139"/>
    </row>
    <row r="2737" spans="9:15">
      <c r="I2737" s="50" t="s">
        <v>105</v>
      </c>
      <c r="L2737" s="146"/>
      <c r="N2737" s="139"/>
    </row>
    <row r="2738" spans="9:15" ht="13.5" customHeight="1" thickBot="1"/>
    <row r="2739" spans="9:15" ht="15.75" thickBot="1">
      <c r="I2739" s="891" t="s">
        <v>106</v>
      </c>
      <c r="J2739" s="892"/>
      <c r="K2739" s="892"/>
      <c r="L2739" s="893"/>
      <c r="N2739" s="50" t="s">
        <v>288</v>
      </c>
    </row>
    <row r="2740" spans="9:15" ht="30.75" thickBot="1">
      <c r="I2740" s="57" t="s">
        <v>100</v>
      </c>
      <c r="J2740" s="58" t="s">
        <v>108</v>
      </c>
      <c r="K2740" s="287" t="s">
        <v>109</v>
      </c>
      <c r="L2740" s="60" t="s">
        <v>110</v>
      </c>
    </row>
    <row r="2741" spans="9:15">
      <c r="I2741" s="71">
        <v>719</v>
      </c>
      <c r="J2741" s="73">
        <f>+P2721+P2723+P2725+P2727</f>
        <v>1160000</v>
      </c>
      <c r="K2741" s="74">
        <f>+L2704</f>
        <v>38835000</v>
      </c>
      <c r="L2741" s="195">
        <f>+J2741+K2741</f>
        <v>39995000</v>
      </c>
    </row>
    <row r="2742" spans="9:15">
      <c r="I2742" s="72">
        <v>721</v>
      </c>
      <c r="J2742" s="80">
        <f>+P2722+P2724+P2726+P2728+P2730</f>
        <v>342000</v>
      </c>
      <c r="K2742" s="74">
        <f>+L2705</f>
        <v>135958658</v>
      </c>
      <c r="L2742" s="195">
        <f>+J2742+K2742</f>
        <v>136300658</v>
      </c>
    </row>
    <row r="2743" spans="9:15">
      <c r="I2743" s="72">
        <v>722</v>
      </c>
      <c r="J2743" s="80"/>
      <c r="K2743" s="74">
        <f>+L2706</f>
        <v>2000000</v>
      </c>
      <c r="L2743" s="195">
        <f>+J2743+K2743</f>
        <v>2000000</v>
      </c>
    </row>
    <row r="2744" spans="9:15" ht="15.75">
      <c r="I2744" s="72">
        <v>723</v>
      </c>
      <c r="J2744" s="80"/>
      <c r="K2744" s="74">
        <f>+L2707</f>
        <v>397905551</v>
      </c>
      <c r="L2744" s="195">
        <f>+J2744+K2744</f>
        <v>397905551</v>
      </c>
      <c r="N2744" s="193" t="s">
        <v>289</v>
      </c>
      <c r="O2744" s="175"/>
    </row>
    <row r="2745" spans="9:15" ht="16.5" thickBot="1">
      <c r="I2745" s="164" t="s">
        <v>1077</v>
      </c>
      <c r="J2745" s="165"/>
      <c r="K2745" s="74">
        <f>+L2708</f>
        <v>797500</v>
      </c>
      <c r="L2745" s="196">
        <f>+J2745+K2745</f>
        <v>797500</v>
      </c>
      <c r="N2745" s="52"/>
    </row>
    <row r="2746" spans="9:15" ht="16.5" thickBot="1">
      <c r="I2746" s="169"/>
      <c r="J2746" s="197">
        <f>SUM(J2741:J2745)</f>
        <v>1502000</v>
      </c>
      <c r="K2746" s="197">
        <f>SUM(K2741:K2745)</f>
        <v>575496709</v>
      </c>
      <c r="L2746" s="198">
        <f>SUM(L2741:L2745)</f>
        <v>576998709</v>
      </c>
    </row>
    <row r="2747" spans="9:15" ht="16.5">
      <c r="I2747" s="49" t="s">
        <v>88</v>
      </c>
      <c r="J2747" s="50"/>
    </row>
    <row r="2748" spans="9:15">
      <c r="I2748" s="51" t="s">
        <v>89</v>
      </c>
    </row>
    <row r="2749" spans="9:15">
      <c r="I2749" s="51" t="s">
        <v>90</v>
      </c>
    </row>
    <row r="2750" spans="9:15">
      <c r="I2750" s="51" t="s">
        <v>91</v>
      </c>
    </row>
    <row r="2751" spans="9:15" ht="11.25" customHeight="1">
      <c r="I2751" s="50"/>
      <c r="J2751" s="50"/>
    </row>
    <row r="2752" spans="9:15" ht="15.75">
      <c r="I2752" s="260" t="s">
        <v>1164</v>
      </c>
      <c r="O2752" s="52"/>
    </row>
    <row r="2753" spans="9:16" ht="15.75">
      <c r="I2753" s="53" t="s">
        <v>535</v>
      </c>
      <c r="O2753" s="53"/>
    </row>
    <row r="2754" spans="9:16" ht="16.5">
      <c r="I2754" s="894" t="s">
        <v>1078</v>
      </c>
      <c r="J2754" s="894"/>
      <c r="K2754" s="894"/>
      <c r="L2754" s="894"/>
      <c r="M2754" s="894"/>
      <c r="N2754" s="894"/>
      <c r="O2754" s="894"/>
      <c r="P2754" s="894"/>
    </row>
    <row r="2755" spans="9:16" ht="15.75" thickBot="1"/>
    <row r="2756" spans="9:16">
      <c r="I2756" s="895" t="s">
        <v>94</v>
      </c>
      <c r="J2756" s="897" t="s">
        <v>95</v>
      </c>
      <c r="K2756" s="897" t="s">
        <v>96</v>
      </c>
      <c r="L2756" s="897" t="s">
        <v>3</v>
      </c>
      <c r="M2756" s="897" t="s">
        <v>97</v>
      </c>
      <c r="N2756" s="897" t="s">
        <v>98</v>
      </c>
      <c r="O2756" s="897" t="s">
        <v>99</v>
      </c>
      <c r="P2756" s="899"/>
    </row>
    <row r="2757" spans="9:16" ht="15.75" thickBot="1">
      <c r="I2757" s="896"/>
      <c r="J2757" s="898"/>
      <c r="K2757" s="898"/>
      <c r="L2757" s="898"/>
      <c r="M2757" s="898"/>
      <c r="N2757" s="898"/>
      <c r="O2757" s="240" t="s">
        <v>100</v>
      </c>
      <c r="P2757" s="182" t="s">
        <v>101</v>
      </c>
    </row>
    <row r="2758" spans="9:16">
      <c r="I2758" s="881">
        <v>294</v>
      </c>
      <c r="J2758" s="875">
        <v>42657</v>
      </c>
      <c r="K2758" s="877" t="s">
        <v>1014</v>
      </c>
      <c r="L2758" s="879" t="s">
        <v>1167</v>
      </c>
      <c r="M2758" s="881" t="s">
        <v>115</v>
      </c>
      <c r="N2758" s="883">
        <v>110000</v>
      </c>
      <c r="O2758" s="55">
        <v>719</v>
      </c>
      <c r="P2758" s="78">
        <v>110000</v>
      </c>
    </row>
    <row r="2759" spans="9:16" ht="15.75" thickBot="1">
      <c r="I2759" s="882"/>
      <c r="J2759" s="876"/>
      <c r="K2759" s="878"/>
      <c r="L2759" s="880"/>
      <c r="M2759" s="882"/>
      <c r="N2759" s="884"/>
      <c r="O2759" s="56">
        <v>721</v>
      </c>
      <c r="P2759" s="79">
        <f>+N2758-P2758</f>
        <v>0</v>
      </c>
    </row>
    <row r="2760" spans="9:16" ht="15" customHeight="1">
      <c r="I2760" s="881">
        <v>295</v>
      </c>
      <c r="J2760" s="875">
        <v>42657</v>
      </c>
      <c r="K2760" s="877" t="s">
        <v>28</v>
      </c>
      <c r="L2760" s="879" t="s">
        <v>1166</v>
      </c>
      <c r="M2760" s="881" t="s">
        <v>115</v>
      </c>
      <c r="N2760" s="883">
        <v>70000</v>
      </c>
      <c r="O2760" s="55">
        <v>719</v>
      </c>
      <c r="P2760" s="78">
        <v>70000</v>
      </c>
    </row>
    <row r="2761" spans="9:16" ht="14.25" customHeight="1" thickBot="1">
      <c r="I2761" s="882"/>
      <c r="J2761" s="876"/>
      <c r="K2761" s="878"/>
      <c r="L2761" s="880"/>
      <c r="M2761" s="882"/>
      <c r="N2761" s="884"/>
      <c r="O2761" s="56">
        <v>721</v>
      </c>
      <c r="P2761" s="79">
        <f>+N2760-P2760</f>
        <v>0</v>
      </c>
    </row>
    <row r="2762" spans="9:16" ht="14.25" customHeight="1">
      <c r="I2762" s="881">
        <v>296</v>
      </c>
      <c r="J2762" s="875">
        <v>42657</v>
      </c>
      <c r="K2762" s="877" t="s">
        <v>120</v>
      </c>
      <c r="L2762" s="879" t="s">
        <v>1165</v>
      </c>
      <c r="M2762" s="881" t="s">
        <v>115</v>
      </c>
      <c r="N2762" s="883">
        <v>200000</v>
      </c>
      <c r="O2762" s="55">
        <v>719</v>
      </c>
      <c r="P2762" s="78">
        <v>200000</v>
      </c>
    </row>
    <row r="2763" spans="9:16" ht="15.75" customHeight="1" thickBot="1">
      <c r="I2763" s="882"/>
      <c r="J2763" s="876"/>
      <c r="K2763" s="878"/>
      <c r="L2763" s="880"/>
      <c r="M2763" s="882"/>
      <c r="N2763" s="884"/>
      <c r="O2763" s="56">
        <v>721</v>
      </c>
      <c r="P2763" s="79">
        <f>+N2762-P2762</f>
        <v>0</v>
      </c>
    </row>
    <row r="2764" spans="9:16">
      <c r="I2764" s="881"/>
      <c r="J2764" s="875"/>
      <c r="K2764" s="877"/>
      <c r="L2764" s="879"/>
      <c r="M2764" s="881"/>
      <c r="N2764" s="883"/>
      <c r="O2764" s="55">
        <v>719</v>
      </c>
      <c r="P2764" s="78">
        <v>0</v>
      </c>
    </row>
    <row r="2765" spans="9:16" ht="13.5" customHeight="1" thickBot="1">
      <c r="I2765" s="882"/>
      <c r="J2765" s="876"/>
      <c r="K2765" s="878"/>
      <c r="L2765" s="880"/>
      <c r="M2765" s="882"/>
      <c r="N2765" s="884"/>
      <c r="O2765" s="56">
        <v>721</v>
      </c>
      <c r="P2765" s="79">
        <f>+N2764-P2764</f>
        <v>0</v>
      </c>
    </row>
    <row r="2766" spans="9:16">
      <c r="I2766" s="881"/>
      <c r="J2766" s="875"/>
      <c r="K2766" s="877"/>
      <c r="L2766" s="879"/>
      <c r="M2766" s="881"/>
      <c r="N2766" s="883"/>
      <c r="O2766" s="55">
        <v>719</v>
      </c>
      <c r="P2766" s="78"/>
    </row>
    <row r="2767" spans="9:16" ht="14.25" customHeight="1" thickBot="1">
      <c r="I2767" s="882"/>
      <c r="J2767" s="876"/>
      <c r="K2767" s="878"/>
      <c r="L2767" s="880"/>
      <c r="M2767" s="882"/>
      <c r="N2767" s="884"/>
      <c r="O2767" s="56">
        <v>721</v>
      </c>
      <c r="P2767" s="79">
        <f>+N2766-P2766</f>
        <v>0</v>
      </c>
    </row>
    <row r="2768" spans="9:16" ht="16.5" thickBot="1">
      <c r="I2768" s="901" t="s">
        <v>102</v>
      </c>
      <c r="J2768" s="902"/>
      <c r="K2768" s="902"/>
      <c r="L2768" s="902"/>
      <c r="M2768" s="903"/>
      <c r="N2768" s="81">
        <f>SUM(N2758:N2767)</f>
        <v>380000</v>
      </c>
    </row>
    <row r="2769" spans="9:16" ht="16.5" thickBot="1">
      <c r="I2769" s="885" t="s">
        <v>103</v>
      </c>
      <c r="J2769" s="886"/>
      <c r="K2769" s="886"/>
      <c r="L2769" s="886"/>
      <c r="M2769" s="887"/>
      <c r="N2769" s="69">
        <f>+N2733</f>
        <v>542553335</v>
      </c>
      <c r="O2769" s="241" t="s">
        <v>561</v>
      </c>
      <c r="P2769" s="242">
        <f>328+189+267</f>
        <v>784</v>
      </c>
    </row>
    <row r="2770" spans="9:16" ht="16.5" thickBot="1">
      <c r="I2770" s="888" t="s">
        <v>104</v>
      </c>
      <c r="J2770" s="889"/>
      <c r="K2770" s="889"/>
      <c r="L2770" s="889"/>
      <c r="M2770" s="890"/>
      <c r="N2770" s="183">
        <f>SUM(N2768:N2769)</f>
        <v>542933335</v>
      </c>
    </row>
    <row r="2771" spans="9:16">
      <c r="I2771" s="61"/>
      <c r="J2771" s="61"/>
      <c r="K2771" s="61"/>
      <c r="L2771" s="61"/>
      <c r="M2771" s="61"/>
    </row>
    <row r="2772" spans="9:16">
      <c r="I2772" s="51" t="s">
        <v>1168</v>
      </c>
    </row>
    <row r="2773" spans="9:16" ht="12.75" customHeight="1">
      <c r="N2773" s="139"/>
    </row>
    <row r="2774" spans="9:16">
      <c r="I2774" s="50" t="s">
        <v>105</v>
      </c>
      <c r="L2774" s="146"/>
      <c r="N2774" s="139"/>
    </row>
    <row r="2775" spans="9:16" ht="13.5" customHeight="1" thickBot="1"/>
    <row r="2776" spans="9:16" ht="15.75" thickBot="1">
      <c r="I2776" s="891" t="s">
        <v>106</v>
      </c>
      <c r="J2776" s="892"/>
      <c r="K2776" s="892"/>
      <c r="L2776" s="893"/>
      <c r="N2776" s="50" t="s">
        <v>288</v>
      </c>
    </row>
    <row r="2777" spans="9:16" ht="30.75" thickBot="1">
      <c r="I2777" s="57" t="s">
        <v>100</v>
      </c>
      <c r="J2777" s="58" t="s">
        <v>108</v>
      </c>
      <c r="K2777" s="287" t="s">
        <v>109</v>
      </c>
      <c r="L2777" s="60" t="s">
        <v>110</v>
      </c>
    </row>
    <row r="2778" spans="9:16">
      <c r="I2778" s="71">
        <v>719</v>
      </c>
      <c r="J2778" s="73">
        <f>+P2758+P2760+P2762+P2764</f>
        <v>380000</v>
      </c>
      <c r="K2778" s="74">
        <f>+L2741</f>
        <v>39995000</v>
      </c>
      <c r="L2778" s="195">
        <f>+J2778+K2778</f>
        <v>40375000</v>
      </c>
    </row>
    <row r="2779" spans="9:16">
      <c r="I2779" s="72">
        <v>721</v>
      </c>
      <c r="J2779" s="80">
        <f>+P2759+P2761+P2763+P2765+P2767</f>
        <v>0</v>
      </c>
      <c r="K2779" s="74">
        <f>+L2742</f>
        <v>136300658</v>
      </c>
      <c r="L2779" s="195">
        <f>+J2779+K2779</f>
        <v>136300658</v>
      </c>
    </row>
    <row r="2780" spans="9:16">
      <c r="I2780" s="72">
        <v>722</v>
      </c>
      <c r="J2780" s="80"/>
      <c r="K2780" s="74">
        <f>+L2743</f>
        <v>2000000</v>
      </c>
      <c r="L2780" s="195">
        <f>+J2780+K2780</f>
        <v>2000000</v>
      </c>
    </row>
    <row r="2781" spans="9:16" ht="15.75">
      <c r="I2781" s="72">
        <v>723</v>
      </c>
      <c r="J2781" s="80"/>
      <c r="K2781" s="74">
        <f>+L2744</f>
        <v>397905551</v>
      </c>
      <c r="L2781" s="195">
        <f>+J2781+K2781</f>
        <v>397905551</v>
      </c>
      <c r="N2781" s="193" t="s">
        <v>289</v>
      </c>
      <c r="O2781" s="175"/>
    </row>
    <row r="2782" spans="9:16" ht="16.5" thickBot="1">
      <c r="I2782" s="164" t="s">
        <v>1077</v>
      </c>
      <c r="J2782" s="165"/>
      <c r="K2782" s="74">
        <f>+L2745</f>
        <v>797500</v>
      </c>
      <c r="L2782" s="196">
        <f>+J2782+K2782</f>
        <v>797500</v>
      </c>
      <c r="N2782" s="52"/>
    </row>
    <row r="2783" spans="9:16" ht="16.5" thickBot="1">
      <c r="I2783" s="169"/>
      <c r="J2783" s="197">
        <f>SUM(J2778:J2782)</f>
        <v>380000</v>
      </c>
      <c r="K2783" s="197">
        <f>SUM(K2778:K2782)</f>
        <v>576998709</v>
      </c>
      <c r="L2783" s="198">
        <f>SUM(L2778:L2782)</f>
        <v>577378709</v>
      </c>
    </row>
    <row r="2784" spans="9:16" ht="16.5">
      <c r="I2784" s="49" t="s">
        <v>88</v>
      </c>
      <c r="J2784" s="50"/>
    </row>
    <row r="2785" spans="9:16">
      <c r="I2785" s="51" t="s">
        <v>89</v>
      </c>
    </row>
    <row r="2786" spans="9:16">
      <c r="I2786" s="51" t="s">
        <v>90</v>
      </c>
    </row>
    <row r="2787" spans="9:16">
      <c r="I2787" s="51" t="s">
        <v>91</v>
      </c>
    </row>
    <row r="2788" spans="9:16" ht="10.5" customHeight="1">
      <c r="I2788" s="50"/>
      <c r="J2788" s="50"/>
    </row>
    <row r="2789" spans="9:16" ht="15.75">
      <c r="I2789" s="260" t="s">
        <v>1169</v>
      </c>
      <c r="O2789" s="52"/>
    </row>
    <row r="2790" spans="9:16" ht="15.75">
      <c r="I2790" s="53" t="s">
        <v>535</v>
      </c>
      <c r="O2790" s="53"/>
    </row>
    <row r="2791" spans="9:16" ht="16.5">
      <c r="I2791" s="894" t="s">
        <v>1205</v>
      </c>
      <c r="J2791" s="894"/>
      <c r="K2791" s="894"/>
      <c r="L2791" s="894"/>
      <c r="M2791" s="894"/>
      <c r="N2791" s="894"/>
      <c r="O2791" s="894"/>
      <c r="P2791" s="894"/>
    </row>
    <row r="2792" spans="9:16" ht="15.75" thickBot="1"/>
    <row r="2793" spans="9:16">
      <c r="I2793" s="895" t="s">
        <v>94</v>
      </c>
      <c r="J2793" s="897" t="s">
        <v>95</v>
      </c>
      <c r="K2793" s="897" t="s">
        <v>96</v>
      </c>
      <c r="L2793" s="897" t="s">
        <v>3</v>
      </c>
      <c r="M2793" s="897" t="s">
        <v>97</v>
      </c>
      <c r="N2793" s="897" t="s">
        <v>98</v>
      </c>
      <c r="O2793" s="897" t="s">
        <v>99</v>
      </c>
      <c r="P2793" s="899"/>
    </row>
    <row r="2794" spans="9:16" ht="15.75" thickBot="1">
      <c r="I2794" s="896"/>
      <c r="J2794" s="898"/>
      <c r="K2794" s="898"/>
      <c r="L2794" s="898"/>
      <c r="M2794" s="898"/>
      <c r="N2794" s="898"/>
      <c r="O2794" s="240" t="s">
        <v>100</v>
      </c>
      <c r="P2794" s="182" t="s">
        <v>101</v>
      </c>
    </row>
    <row r="2795" spans="9:16" ht="14.25" customHeight="1">
      <c r="I2795" s="881">
        <v>297</v>
      </c>
      <c r="J2795" s="875">
        <v>42660</v>
      </c>
      <c r="K2795" s="877" t="s">
        <v>350</v>
      </c>
      <c r="L2795" s="879" t="s">
        <v>921</v>
      </c>
      <c r="M2795" s="881" t="s">
        <v>148</v>
      </c>
      <c r="N2795" s="883">
        <v>260000</v>
      </c>
      <c r="O2795" s="55">
        <v>722</v>
      </c>
      <c r="P2795" s="78">
        <v>260000</v>
      </c>
    </row>
    <row r="2796" spans="9:16" ht="14.25" customHeight="1" thickBot="1">
      <c r="I2796" s="882"/>
      <c r="J2796" s="876"/>
      <c r="K2796" s="878"/>
      <c r="L2796" s="880"/>
      <c r="M2796" s="882"/>
      <c r="N2796" s="884"/>
      <c r="O2796" s="56">
        <v>721</v>
      </c>
      <c r="P2796" s="351">
        <f>+N2795-P2795</f>
        <v>0</v>
      </c>
    </row>
    <row r="2797" spans="9:16" ht="14.25" customHeight="1">
      <c r="I2797" s="881">
        <v>298</v>
      </c>
      <c r="J2797" s="875">
        <v>42660</v>
      </c>
      <c r="K2797" s="877" t="s">
        <v>1091</v>
      </c>
      <c r="L2797" s="879" t="s">
        <v>921</v>
      </c>
      <c r="M2797" s="881" t="s">
        <v>148</v>
      </c>
      <c r="N2797" s="883">
        <v>600000</v>
      </c>
      <c r="O2797" s="55">
        <v>722</v>
      </c>
      <c r="P2797" s="78">
        <v>600000</v>
      </c>
    </row>
    <row r="2798" spans="9:16" ht="13.5" customHeight="1" thickBot="1">
      <c r="I2798" s="882"/>
      <c r="J2798" s="876"/>
      <c r="K2798" s="878"/>
      <c r="L2798" s="880"/>
      <c r="M2798" s="882"/>
      <c r="N2798" s="884"/>
      <c r="O2798" s="56">
        <v>721</v>
      </c>
      <c r="P2798" s="352">
        <f>+N2797-P2797</f>
        <v>0</v>
      </c>
    </row>
    <row r="2799" spans="9:16" ht="15" customHeight="1">
      <c r="I2799" s="881">
        <v>299</v>
      </c>
      <c r="J2799" s="875">
        <v>42660</v>
      </c>
      <c r="K2799" s="877" t="s">
        <v>120</v>
      </c>
      <c r="L2799" s="879" t="s">
        <v>921</v>
      </c>
      <c r="M2799" s="881" t="s">
        <v>148</v>
      </c>
      <c r="N2799" s="883">
        <v>560000</v>
      </c>
      <c r="O2799" s="55">
        <v>722</v>
      </c>
      <c r="P2799" s="78">
        <v>560000</v>
      </c>
    </row>
    <row r="2800" spans="9:16" ht="13.5" customHeight="1" thickBot="1">
      <c r="I2800" s="882"/>
      <c r="J2800" s="876"/>
      <c r="K2800" s="878"/>
      <c r="L2800" s="880"/>
      <c r="M2800" s="882"/>
      <c r="N2800" s="884"/>
      <c r="O2800" s="56">
        <v>721</v>
      </c>
      <c r="P2800" s="352">
        <f>+N2799-P2799</f>
        <v>0</v>
      </c>
    </row>
    <row r="2801" spans="9:16" ht="15" customHeight="1">
      <c r="I2801" s="881">
        <v>300</v>
      </c>
      <c r="J2801" s="875">
        <v>42660</v>
      </c>
      <c r="K2801" s="877" t="s">
        <v>1171</v>
      </c>
      <c r="L2801" s="879" t="s">
        <v>921</v>
      </c>
      <c r="M2801" s="881" t="s">
        <v>148</v>
      </c>
      <c r="N2801" s="883">
        <v>1000000</v>
      </c>
      <c r="O2801" s="55">
        <v>722</v>
      </c>
      <c r="P2801" s="78">
        <v>1000000</v>
      </c>
    </row>
    <row r="2802" spans="9:16" ht="13.5" customHeight="1" thickBot="1">
      <c r="I2802" s="882"/>
      <c r="J2802" s="876"/>
      <c r="K2802" s="878"/>
      <c r="L2802" s="880"/>
      <c r="M2802" s="882"/>
      <c r="N2802" s="884"/>
      <c r="O2802" s="56">
        <v>721</v>
      </c>
      <c r="P2802" s="79">
        <f>+N2801-P2801</f>
        <v>0</v>
      </c>
    </row>
    <row r="2803" spans="9:16" ht="15" customHeight="1">
      <c r="I2803" s="881">
        <v>301</v>
      </c>
      <c r="J2803" s="875">
        <v>42660</v>
      </c>
      <c r="K2803" s="877" t="s">
        <v>40</v>
      </c>
      <c r="L2803" s="879" t="s">
        <v>921</v>
      </c>
      <c r="M2803" s="881" t="s">
        <v>148</v>
      </c>
      <c r="N2803" s="883">
        <v>200000</v>
      </c>
      <c r="O2803" s="55">
        <v>722</v>
      </c>
      <c r="P2803" s="78">
        <v>200000</v>
      </c>
    </row>
    <row r="2804" spans="9:16" ht="13.5" customHeight="1" thickBot="1">
      <c r="I2804" s="882"/>
      <c r="J2804" s="876"/>
      <c r="K2804" s="878"/>
      <c r="L2804" s="880"/>
      <c r="M2804" s="882"/>
      <c r="N2804" s="884"/>
      <c r="O2804" s="56">
        <v>721</v>
      </c>
      <c r="P2804" s="79">
        <f>+N2803-P2803</f>
        <v>0</v>
      </c>
    </row>
    <row r="2805" spans="9:16" ht="15" customHeight="1">
      <c r="I2805" s="881">
        <v>302</v>
      </c>
      <c r="J2805" s="875">
        <v>42660</v>
      </c>
      <c r="K2805" s="877" t="s">
        <v>1172</v>
      </c>
      <c r="L2805" s="879" t="s">
        <v>921</v>
      </c>
      <c r="M2805" s="881" t="s">
        <v>148</v>
      </c>
      <c r="N2805" s="883">
        <v>220000</v>
      </c>
      <c r="O2805" s="55">
        <v>722</v>
      </c>
      <c r="P2805" s="78">
        <v>220000</v>
      </c>
    </row>
    <row r="2806" spans="9:16" ht="13.5" customHeight="1" thickBot="1">
      <c r="I2806" s="882"/>
      <c r="J2806" s="876"/>
      <c r="K2806" s="878"/>
      <c r="L2806" s="880"/>
      <c r="M2806" s="882"/>
      <c r="N2806" s="884"/>
      <c r="O2806" s="56">
        <v>721</v>
      </c>
      <c r="P2806" s="79">
        <f>+N2805-P2805</f>
        <v>0</v>
      </c>
    </row>
    <row r="2807" spans="9:16" ht="15" customHeight="1" thickBot="1">
      <c r="I2807" s="901" t="s">
        <v>102</v>
      </c>
      <c r="J2807" s="902"/>
      <c r="K2807" s="902"/>
      <c r="L2807" s="902"/>
      <c r="M2807" s="903"/>
      <c r="N2807" s="81">
        <f>SUM(N2795:N2806)</f>
        <v>2840000</v>
      </c>
    </row>
    <row r="2808" spans="9:16" ht="16.5" thickBot="1">
      <c r="I2808" s="885" t="s">
        <v>103</v>
      </c>
      <c r="J2808" s="886"/>
      <c r="K2808" s="886"/>
      <c r="L2808" s="886"/>
      <c r="M2808" s="887"/>
      <c r="N2808" s="69">
        <f>+N2770</f>
        <v>542933335</v>
      </c>
      <c r="O2808" s="241" t="s">
        <v>561</v>
      </c>
      <c r="P2808" s="242"/>
    </row>
    <row r="2809" spans="9:16" ht="16.5" thickBot="1">
      <c r="I2809" s="888" t="s">
        <v>104</v>
      </c>
      <c r="J2809" s="889"/>
      <c r="K2809" s="889"/>
      <c r="L2809" s="889"/>
      <c r="M2809" s="890"/>
      <c r="N2809" s="183">
        <f>SUM(N2807:N2808)</f>
        <v>545773335</v>
      </c>
    </row>
    <row r="2810" spans="9:16" ht="12.75" customHeight="1">
      <c r="I2810" s="61"/>
      <c r="J2810" s="61"/>
      <c r="K2810" s="61"/>
      <c r="L2810" s="61"/>
      <c r="M2810" s="61"/>
    </row>
    <row r="2811" spans="9:16">
      <c r="I2811" s="51" t="s">
        <v>1173</v>
      </c>
    </row>
    <row r="2812" spans="9:16" ht="10.5" customHeight="1">
      <c r="N2812" s="139"/>
    </row>
    <row r="2813" spans="9:16">
      <c r="I2813" s="50" t="s">
        <v>105</v>
      </c>
      <c r="L2813" s="146"/>
      <c r="N2813" s="139"/>
    </row>
    <row r="2814" spans="9:16" ht="9" customHeight="1" thickBot="1"/>
    <row r="2815" spans="9:16" ht="15.75" thickBot="1">
      <c r="I2815" s="891" t="s">
        <v>106</v>
      </c>
      <c r="J2815" s="892"/>
      <c r="K2815" s="892"/>
      <c r="L2815" s="893"/>
      <c r="N2815" s="50" t="s">
        <v>288</v>
      </c>
    </row>
    <row r="2816" spans="9:16" ht="29.25" customHeight="1" thickBot="1">
      <c r="I2816" s="57" t="s">
        <v>100</v>
      </c>
      <c r="J2816" s="58" t="s">
        <v>108</v>
      </c>
      <c r="K2816" s="287" t="s">
        <v>109</v>
      </c>
      <c r="L2816" s="60" t="s">
        <v>110</v>
      </c>
    </row>
    <row r="2817" spans="9:16" ht="14.25" customHeight="1">
      <c r="I2817" s="71">
        <v>719</v>
      </c>
      <c r="J2817" s="73"/>
      <c r="K2817" s="74">
        <f>+L2778</f>
        <v>40375000</v>
      </c>
      <c r="L2817" s="195">
        <f>+J2817+K2817</f>
        <v>40375000</v>
      </c>
    </row>
    <row r="2818" spans="9:16">
      <c r="I2818" s="72">
        <v>721</v>
      </c>
      <c r="J2818" s="80">
        <f>+P2796+P2798+P2800+P2802+P2806+P2804</f>
        <v>0</v>
      </c>
      <c r="K2818" s="74">
        <f>+L2779</f>
        <v>136300658</v>
      </c>
      <c r="L2818" s="195">
        <f>+J2818+K2818</f>
        <v>136300658</v>
      </c>
    </row>
    <row r="2819" spans="9:16">
      <c r="I2819" s="72">
        <v>722</v>
      </c>
      <c r="J2819" s="80">
        <f>+P2795+P2797+P2799+P2801+P2803+P2805</f>
        <v>2840000</v>
      </c>
      <c r="K2819" s="74">
        <f>+L2780</f>
        <v>2000000</v>
      </c>
      <c r="L2819" s="195">
        <f>+J2819+K2819</f>
        <v>4840000</v>
      </c>
    </row>
    <row r="2820" spans="9:16" ht="15" customHeight="1">
      <c r="I2820" s="72">
        <v>723</v>
      </c>
      <c r="J2820" s="80"/>
      <c r="K2820" s="74">
        <f>+L2781</f>
        <v>397905551</v>
      </c>
      <c r="L2820" s="195">
        <f>+J2820+K2820</f>
        <v>397905551</v>
      </c>
      <c r="N2820" s="193" t="s">
        <v>289</v>
      </c>
      <c r="O2820" s="175"/>
    </row>
    <row r="2821" spans="9:16" ht="14.25" customHeight="1" thickBot="1">
      <c r="I2821" s="164" t="s">
        <v>1077</v>
      </c>
      <c r="J2821" s="165"/>
      <c r="K2821" s="74">
        <f>+L2782</f>
        <v>797500</v>
      </c>
      <c r="L2821" s="196">
        <f>+J2821+K2821</f>
        <v>797500</v>
      </c>
      <c r="N2821" s="52"/>
    </row>
    <row r="2822" spans="9:16" ht="16.5" thickBot="1">
      <c r="I2822" s="169"/>
      <c r="J2822" s="197">
        <f>SUM(J2817:J2821)</f>
        <v>2840000</v>
      </c>
      <c r="K2822" s="197">
        <f>SUM(K2817:K2821)</f>
        <v>577378709</v>
      </c>
      <c r="L2822" s="198">
        <f>SUM(L2817:L2821)</f>
        <v>580218709</v>
      </c>
    </row>
    <row r="2823" spans="9:16" ht="16.5">
      <c r="I2823" s="49" t="s">
        <v>88</v>
      </c>
      <c r="J2823" s="50"/>
    </row>
    <row r="2824" spans="9:16">
      <c r="I2824" s="51" t="s">
        <v>89</v>
      </c>
    </row>
    <row r="2825" spans="9:16">
      <c r="I2825" s="51" t="s">
        <v>90</v>
      </c>
    </row>
    <row r="2826" spans="9:16">
      <c r="I2826" s="51" t="s">
        <v>91</v>
      </c>
    </row>
    <row r="2827" spans="9:16" ht="10.5" customHeight="1">
      <c r="I2827" s="50"/>
      <c r="J2827" s="50"/>
    </row>
    <row r="2828" spans="9:16" ht="15.75">
      <c r="I2828" s="260" t="s">
        <v>1170</v>
      </c>
      <c r="O2828" s="52"/>
    </row>
    <row r="2829" spans="9:16" ht="15.75">
      <c r="I2829" s="53" t="s">
        <v>535</v>
      </c>
      <c r="O2829" s="53"/>
    </row>
    <row r="2830" spans="9:16" ht="16.5">
      <c r="I2830" s="894" t="s">
        <v>1205</v>
      </c>
      <c r="J2830" s="894"/>
      <c r="K2830" s="894"/>
      <c r="L2830" s="894"/>
      <c r="M2830" s="894"/>
      <c r="N2830" s="894"/>
      <c r="O2830" s="894"/>
      <c r="P2830" s="894"/>
    </row>
    <row r="2831" spans="9:16" ht="12.75" customHeight="1" thickBot="1"/>
    <row r="2832" spans="9:16">
      <c r="I2832" s="895" t="s">
        <v>94</v>
      </c>
      <c r="J2832" s="897" t="s">
        <v>95</v>
      </c>
      <c r="K2832" s="897" t="s">
        <v>96</v>
      </c>
      <c r="L2832" s="897" t="s">
        <v>3</v>
      </c>
      <c r="M2832" s="897" t="s">
        <v>97</v>
      </c>
      <c r="N2832" s="897" t="s">
        <v>98</v>
      </c>
      <c r="O2832" s="897" t="s">
        <v>99</v>
      </c>
      <c r="P2832" s="899"/>
    </row>
    <row r="2833" spans="9:16" ht="15.75" thickBot="1">
      <c r="I2833" s="896"/>
      <c r="J2833" s="898"/>
      <c r="K2833" s="898"/>
      <c r="L2833" s="898"/>
      <c r="M2833" s="898"/>
      <c r="N2833" s="898"/>
      <c r="O2833" s="240" t="s">
        <v>100</v>
      </c>
      <c r="P2833" s="182" t="s">
        <v>101</v>
      </c>
    </row>
    <row r="2834" spans="9:16" ht="14.25" customHeight="1">
      <c r="I2834" s="881">
        <v>303</v>
      </c>
      <c r="J2834" s="875">
        <v>42660</v>
      </c>
      <c r="K2834" s="877" t="s">
        <v>1174</v>
      </c>
      <c r="L2834" s="879" t="s">
        <v>921</v>
      </c>
      <c r="M2834" s="881" t="s">
        <v>148</v>
      </c>
      <c r="N2834" s="883">
        <v>180000</v>
      </c>
      <c r="O2834" s="55">
        <v>722</v>
      </c>
      <c r="P2834" s="78">
        <v>180000</v>
      </c>
    </row>
    <row r="2835" spans="9:16" ht="12.75" customHeight="1" thickBot="1">
      <c r="I2835" s="882"/>
      <c r="J2835" s="876"/>
      <c r="K2835" s="878"/>
      <c r="L2835" s="880"/>
      <c r="M2835" s="882"/>
      <c r="N2835" s="884"/>
      <c r="O2835" s="56">
        <v>721</v>
      </c>
      <c r="P2835" s="351">
        <f>+N2834-P2834</f>
        <v>0</v>
      </c>
    </row>
    <row r="2836" spans="9:16">
      <c r="I2836" s="881">
        <v>304</v>
      </c>
      <c r="J2836" s="875">
        <v>42660</v>
      </c>
      <c r="K2836" s="877" t="s">
        <v>1175</v>
      </c>
      <c r="L2836" s="879" t="s">
        <v>921</v>
      </c>
      <c r="M2836" s="881" t="s">
        <v>148</v>
      </c>
      <c r="N2836" s="883">
        <v>160000</v>
      </c>
      <c r="O2836" s="55">
        <v>722</v>
      </c>
      <c r="P2836" s="78">
        <v>160000</v>
      </c>
    </row>
    <row r="2837" spans="9:16" ht="13.5" customHeight="1" thickBot="1">
      <c r="I2837" s="882"/>
      <c r="J2837" s="876"/>
      <c r="K2837" s="878"/>
      <c r="L2837" s="880"/>
      <c r="M2837" s="882"/>
      <c r="N2837" s="884"/>
      <c r="O2837" s="56">
        <v>721</v>
      </c>
      <c r="P2837" s="352">
        <f>+N2836-P2836</f>
        <v>0</v>
      </c>
    </row>
    <row r="2838" spans="9:16" ht="13.5" customHeight="1">
      <c r="I2838" s="881">
        <v>305</v>
      </c>
      <c r="J2838" s="875">
        <v>42660</v>
      </c>
      <c r="K2838" s="877" t="s">
        <v>1177</v>
      </c>
      <c r="L2838" s="879" t="s">
        <v>921</v>
      </c>
      <c r="M2838" s="881" t="s">
        <v>148</v>
      </c>
      <c r="N2838" s="883">
        <v>220000</v>
      </c>
      <c r="O2838" s="55">
        <v>722</v>
      </c>
      <c r="P2838" s="78">
        <v>220000</v>
      </c>
    </row>
    <row r="2839" spans="9:16" ht="12.75" customHeight="1" thickBot="1">
      <c r="I2839" s="882"/>
      <c r="J2839" s="876"/>
      <c r="K2839" s="878"/>
      <c r="L2839" s="880"/>
      <c r="M2839" s="882"/>
      <c r="N2839" s="884"/>
      <c r="O2839" s="56">
        <v>721</v>
      </c>
      <c r="P2839" s="352">
        <f>+N2838-P2838</f>
        <v>0</v>
      </c>
    </row>
    <row r="2840" spans="9:16">
      <c r="I2840" s="881">
        <v>306</v>
      </c>
      <c r="J2840" s="875">
        <v>42660</v>
      </c>
      <c r="K2840" s="877" t="s">
        <v>1176</v>
      </c>
      <c r="L2840" s="879" t="s">
        <v>921</v>
      </c>
      <c r="M2840" s="881" t="s">
        <v>148</v>
      </c>
      <c r="N2840" s="883">
        <v>40000</v>
      </c>
      <c r="O2840" s="55">
        <v>722</v>
      </c>
      <c r="P2840" s="78">
        <v>40000</v>
      </c>
    </row>
    <row r="2841" spans="9:16" ht="12" customHeight="1" thickBot="1">
      <c r="I2841" s="882"/>
      <c r="J2841" s="876"/>
      <c r="K2841" s="878"/>
      <c r="L2841" s="880"/>
      <c r="M2841" s="882"/>
      <c r="N2841" s="884"/>
      <c r="O2841" s="56">
        <v>721</v>
      </c>
      <c r="P2841" s="79">
        <f>+N2840-P2840</f>
        <v>0</v>
      </c>
    </row>
    <row r="2842" spans="9:16">
      <c r="I2842" s="881">
        <v>307</v>
      </c>
      <c r="J2842" s="875">
        <v>42660</v>
      </c>
      <c r="K2842" s="877" t="s">
        <v>738</v>
      </c>
      <c r="L2842" s="879" t="s">
        <v>921</v>
      </c>
      <c r="M2842" s="881" t="s">
        <v>148</v>
      </c>
      <c r="N2842" s="883">
        <v>20000</v>
      </c>
      <c r="O2842" s="55">
        <v>722</v>
      </c>
      <c r="P2842" s="78">
        <v>20000</v>
      </c>
    </row>
    <row r="2843" spans="9:16" ht="14.25" customHeight="1" thickBot="1">
      <c r="I2843" s="882"/>
      <c r="J2843" s="876"/>
      <c r="K2843" s="878"/>
      <c r="L2843" s="880"/>
      <c r="M2843" s="882"/>
      <c r="N2843" s="884"/>
      <c r="O2843" s="56">
        <v>721</v>
      </c>
      <c r="P2843" s="79">
        <f>+N2842-P2842</f>
        <v>0</v>
      </c>
    </row>
    <row r="2844" spans="9:16" ht="14.25" customHeight="1">
      <c r="I2844" s="881">
        <v>308</v>
      </c>
      <c r="J2844" s="875">
        <v>42660</v>
      </c>
      <c r="K2844" s="877" t="s">
        <v>1178</v>
      </c>
      <c r="L2844" s="879" t="s">
        <v>921</v>
      </c>
      <c r="M2844" s="881" t="s">
        <v>148</v>
      </c>
      <c r="N2844" s="883">
        <v>120000</v>
      </c>
      <c r="O2844" s="55">
        <v>722</v>
      </c>
      <c r="P2844" s="78">
        <v>120000</v>
      </c>
    </row>
    <row r="2845" spans="9:16" ht="13.5" customHeight="1" thickBot="1">
      <c r="I2845" s="882"/>
      <c r="J2845" s="876"/>
      <c r="K2845" s="878"/>
      <c r="L2845" s="880"/>
      <c r="M2845" s="882"/>
      <c r="N2845" s="884"/>
      <c r="O2845" s="56">
        <v>721</v>
      </c>
      <c r="P2845" s="79">
        <f>+N2844-P2844</f>
        <v>0</v>
      </c>
    </row>
    <row r="2846" spans="9:16" ht="16.5" thickBot="1">
      <c r="I2846" s="901" t="s">
        <v>102</v>
      </c>
      <c r="J2846" s="902"/>
      <c r="K2846" s="902"/>
      <c r="L2846" s="902"/>
      <c r="M2846" s="903"/>
      <c r="N2846" s="81">
        <f>SUM(N2834:N2845)</f>
        <v>740000</v>
      </c>
    </row>
    <row r="2847" spans="9:16" ht="16.5" thickBot="1">
      <c r="I2847" s="885" t="s">
        <v>103</v>
      </c>
      <c r="J2847" s="886"/>
      <c r="K2847" s="886"/>
      <c r="L2847" s="886"/>
      <c r="M2847" s="887"/>
      <c r="N2847" s="69">
        <f>+N2809</f>
        <v>545773335</v>
      </c>
      <c r="O2847" s="241" t="s">
        <v>561</v>
      </c>
      <c r="P2847" s="242"/>
    </row>
    <row r="2848" spans="9:16" ht="14.25" customHeight="1" thickBot="1">
      <c r="I2848" s="888" t="s">
        <v>104</v>
      </c>
      <c r="J2848" s="889"/>
      <c r="K2848" s="889"/>
      <c r="L2848" s="889"/>
      <c r="M2848" s="890"/>
      <c r="N2848" s="183">
        <f>SUM(N2846:N2847)</f>
        <v>546513335</v>
      </c>
    </row>
    <row r="2849" spans="9:15" ht="12.75" customHeight="1">
      <c r="I2849" s="61"/>
      <c r="J2849" s="61"/>
      <c r="K2849" s="61"/>
      <c r="L2849" s="61"/>
      <c r="M2849" s="61"/>
    </row>
    <row r="2850" spans="9:15">
      <c r="I2850" s="51" t="s">
        <v>1179</v>
      </c>
    </row>
    <row r="2851" spans="9:15" ht="10.5" customHeight="1">
      <c r="N2851" s="139"/>
    </row>
    <row r="2852" spans="9:15">
      <c r="I2852" s="50" t="s">
        <v>105</v>
      </c>
      <c r="L2852" s="146"/>
      <c r="N2852" s="139"/>
    </row>
    <row r="2853" spans="9:15" ht="12" customHeight="1" thickBot="1"/>
    <row r="2854" spans="9:15" ht="15.75" thickBot="1">
      <c r="I2854" s="891" t="s">
        <v>106</v>
      </c>
      <c r="J2854" s="892"/>
      <c r="K2854" s="892"/>
      <c r="L2854" s="893"/>
      <c r="N2854" s="50" t="s">
        <v>288</v>
      </c>
    </row>
    <row r="2855" spans="9:15" ht="30.75" thickBot="1">
      <c r="I2855" s="57" t="s">
        <v>100</v>
      </c>
      <c r="J2855" s="58" t="s">
        <v>108</v>
      </c>
      <c r="K2855" s="287" t="s">
        <v>109</v>
      </c>
      <c r="L2855" s="60" t="s">
        <v>110</v>
      </c>
    </row>
    <row r="2856" spans="9:15">
      <c r="I2856" s="71">
        <v>719</v>
      </c>
      <c r="J2856" s="73"/>
      <c r="K2856" s="74">
        <f>+L2817</f>
        <v>40375000</v>
      </c>
      <c r="L2856" s="195">
        <f>+J2856+K2856</f>
        <v>40375000</v>
      </c>
    </row>
    <row r="2857" spans="9:15">
      <c r="I2857" s="72">
        <v>721</v>
      </c>
      <c r="J2857" s="80">
        <f>+P2835+P2837+P2839+P2841+P2845+P2843</f>
        <v>0</v>
      </c>
      <c r="K2857" s="74">
        <f>+L2818</f>
        <v>136300658</v>
      </c>
      <c r="L2857" s="195">
        <f>+J2857+K2857</f>
        <v>136300658</v>
      </c>
    </row>
    <row r="2858" spans="9:15">
      <c r="I2858" s="72">
        <v>722</v>
      </c>
      <c r="J2858" s="80">
        <f>+P2834+P2836+P2838+P2840+P2842+P2844</f>
        <v>740000</v>
      </c>
      <c r="K2858" s="74">
        <f>+L2819</f>
        <v>4840000</v>
      </c>
      <c r="L2858" s="195">
        <f>+J2858+K2858</f>
        <v>5580000</v>
      </c>
    </row>
    <row r="2859" spans="9:15" ht="15.75">
      <c r="I2859" s="72">
        <v>723</v>
      </c>
      <c r="J2859" s="80"/>
      <c r="K2859" s="74">
        <f>+L2820</f>
        <v>397905551</v>
      </c>
      <c r="L2859" s="195">
        <f>+J2859+K2859</f>
        <v>397905551</v>
      </c>
      <c r="N2859" s="193" t="s">
        <v>289</v>
      </c>
      <c r="O2859" s="175"/>
    </row>
    <row r="2860" spans="9:15" ht="16.5" thickBot="1">
      <c r="I2860" s="164" t="s">
        <v>1077</v>
      </c>
      <c r="J2860" s="165"/>
      <c r="K2860" s="74">
        <f>+L2821</f>
        <v>797500</v>
      </c>
      <c r="L2860" s="196">
        <f>+J2860+K2860</f>
        <v>797500</v>
      </c>
      <c r="N2860" s="52"/>
    </row>
    <row r="2861" spans="9:15" ht="16.5" thickBot="1">
      <c r="I2861" s="169"/>
      <c r="J2861" s="197">
        <f>SUM(J2856:J2860)</f>
        <v>740000</v>
      </c>
      <c r="K2861" s="197">
        <f>SUM(K2856:K2860)</f>
        <v>580218709</v>
      </c>
      <c r="L2861" s="198">
        <f>SUM(L2856:L2860)</f>
        <v>580958709</v>
      </c>
    </row>
    <row r="2862" spans="9:15" ht="16.5">
      <c r="I2862" s="49" t="s">
        <v>88</v>
      </c>
      <c r="J2862" s="50"/>
    </row>
    <row r="2863" spans="9:15">
      <c r="I2863" s="51" t="s">
        <v>89</v>
      </c>
    </row>
    <row r="2864" spans="9:15">
      <c r="I2864" s="51" t="s">
        <v>90</v>
      </c>
    </row>
    <row r="2865" spans="9:16">
      <c r="I2865" s="51" t="s">
        <v>91</v>
      </c>
    </row>
    <row r="2866" spans="9:16" ht="9.75" customHeight="1">
      <c r="I2866" s="50"/>
      <c r="J2866" s="50"/>
    </row>
    <row r="2867" spans="9:16" ht="15.75">
      <c r="I2867" s="260" t="s">
        <v>1186</v>
      </c>
      <c r="O2867" s="52"/>
    </row>
    <row r="2868" spans="9:16" ht="15.75">
      <c r="I2868" s="53" t="s">
        <v>535</v>
      </c>
      <c r="O2868" s="53"/>
    </row>
    <row r="2869" spans="9:16" ht="16.5">
      <c r="I2869" s="894" t="s">
        <v>1190</v>
      </c>
      <c r="J2869" s="894"/>
      <c r="K2869" s="894"/>
      <c r="L2869" s="894"/>
      <c r="M2869" s="894"/>
      <c r="N2869" s="894"/>
      <c r="O2869" s="894"/>
      <c r="P2869" s="894"/>
    </row>
    <row r="2870" spans="9:16" ht="15.75" thickBot="1"/>
    <row r="2871" spans="9:16">
      <c r="I2871" s="895" t="s">
        <v>94</v>
      </c>
      <c r="J2871" s="897" t="s">
        <v>95</v>
      </c>
      <c r="K2871" s="897" t="s">
        <v>96</v>
      </c>
      <c r="L2871" s="897" t="s">
        <v>3</v>
      </c>
      <c r="M2871" s="897" t="s">
        <v>97</v>
      </c>
      <c r="N2871" s="897" t="s">
        <v>98</v>
      </c>
      <c r="O2871" s="897" t="s">
        <v>99</v>
      </c>
      <c r="P2871" s="899"/>
    </row>
    <row r="2872" spans="9:16" ht="15.75" thickBot="1">
      <c r="I2872" s="896"/>
      <c r="J2872" s="898"/>
      <c r="K2872" s="898"/>
      <c r="L2872" s="898"/>
      <c r="M2872" s="898"/>
      <c r="N2872" s="898"/>
      <c r="O2872" s="240" t="s">
        <v>100</v>
      </c>
      <c r="P2872" s="182" t="s">
        <v>101</v>
      </c>
    </row>
    <row r="2873" spans="9:16">
      <c r="I2873" s="881">
        <v>309</v>
      </c>
      <c r="J2873" s="875">
        <v>42674</v>
      </c>
      <c r="K2873" s="877" t="s">
        <v>738</v>
      </c>
      <c r="L2873" s="879" t="s">
        <v>1184</v>
      </c>
      <c r="M2873" s="881" t="s">
        <v>148</v>
      </c>
      <c r="N2873" s="883">
        <v>2672700</v>
      </c>
      <c r="O2873" s="55">
        <v>722</v>
      </c>
      <c r="P2873" s="78">
        <v>0</v>
      </c>
    </row>
    <row r="2874" spans="9:16" ht="15.75" thickBot="1">
      <c r="I2874" s="882"/>
      <c r="J2874" s="876"/>
      <c r="K2874" s="878"/>
      <c r="L2874" s="880"/>
      <c r="M2874" s="882"/>
      <c r="N2874" s="884"/>
      <c r="O2874" s="56">
        <v>721</v>
      </c>
      <c r="P2874" s="351">
        <f>+N2873-P2873</f>
        <v>2672700</v>
      </c>
    </row>
    <row r="2875" spans="9:16" ht="15" customHeight="1">
      <c r="I2875" s="881">
        <v>310</v>
      </c>
      <c r="J2875" s="875">
        <v>42674</v>
      </c>
      <c r="K2875" s="877" t="s">
        <v>738</v>
      </c>
      <c r="L2875" s="879" t="s">
        <v>1185</v>
      </c>
      <c r="M2875" s="881" t="s">
        <v>148</v>
      </c>
      <c r="N2875" s="883">
        <v>28216212</v>
      </c>
      <c r="O2875" s="55">
        <v>722</v>
      </c>
      <c r="P2875" s="78"/>
    </row>
    <row r="2876" spans="9:16" ht="15.75" customHeight="1" thickBot="1">
      <c r="I2876" s="882"/>
      <c r="J2876" s="876"/>
      <c r="K2876" s="878"/>
      <c r="L2876" s="880"/>
      <c r="M2876" s="882"/>
      <c r="N2876" s="884"/>
      <c r="O2876" s="56">
        <v>721</v>
      </c>
      <c r="P2876" s="352">
        <f>+N2875-P2875</f>
        <v>28216212</v>
      </c>
    </row>
    <row r="2877" spans="9:16" ht="15" customHeight="1">
      <c r="I2877" s="881">
        <v>311</v>
      </c>
      <c r="J2877" s="875">
        <v>42674</v>
      </c>
      <c r="K2877" s="877" t="s">
        <v>738</v>
      </c>
      <c r="L2877" s="879" t="s">
        <v>1187</v>
      </c>
      <c r="M2877" s="881" t="s">
        <v>148</v>
      </c>
      <c r="N2877" s="883">
        <v>16677173</v>
      </c>
      <c r="O2877" s="55">
        <v>722</v>
      </c>
      <c r="P2877" s="78"/>
    </row>
    <row r="2878" spans="9:16" ht="15.75" customHeight="1" thickBot="1">
      <c r="I2878" s="882"/>
      <c r="J2878" s="876"/>
      <c r="K2878" s="878"/>
      <c r="L2878" s="880"/>
      <c r="M2878" s="882"/>
      <c r="N2878" s="884"/>
      <c r="O2878" s="56">
        <v>721</v>
      </c>
      <c r="P2878" s="352">
        <f>+N2877-P2877</f>
        <v>16677173</v>
      </c>
    </row>
    <row r="2879" spans="9:16" ht="15" customHeight="1">
      <c r="I2879" s="881">
        <v>312</v>
      </c>
      <c r="J2879" s="875">
        <v>42675</v>
      </c>
      <c r="K2879" s="877" t="s">
        <v>738</v>
      </c>
      <c r="L2879" s="879" t="s">
        <v>1188</v>
      </c>
      <c r="M2879" s="881" t="s">
        <v>148</v>
      </c>
      <c r="N2879" s="883">
        <v>24662327</v>
      </c>
      <c r="O2879" s="55">
        <v>722</v>
      </c>
      <c r="P2879" s="78"/>
    </row>
    <row r="2880" spans="9:16" ht="13.5" customHeight="1" thickBot="1">
      <c r="I2880" s="882"/>
      <c r="J2880" s="876"/>
      <c r="K2880" s="878"/>
      <c r="L2880" s="880"/>
      <c r="M2880" s="882"/>
      <c r="N2880" s="884"/>
      <c r="O2880" s="56">
        <v>721</v>
      </c>
      <c r="P2880" s="79">
        <f>+N2879-P2879</f>
        <v>24662327</v>
      </c>
    </row>
    <row r="2881" spans="9:16">
      <c r="I2881" s="881"/>
      <c r="J2881" s="875"/>
      <c r="K2881" s="877"/>
      <c r="L2881" s="879"/>
      <c r="M2881" s="881"/>
      <c r="N2881" s="883"/>
      <c r="O2881" s="55">
        <v>722</v>
      </c>
      <c r="P2881" s="78"/>
    </row>
    <row r="2882" spans="9:16" ht="13.5" customHeight="1" thickBot="1">
      <c r="I2882" s="882"/>
      <c r="J2882" s="876"/>
      <c r="K2882" s="878"/>
      <c r="L2882" s="880"/>
      <c r="M2882" s="882"/>
      <c r="N2882" s="884"/>
      <c r="O2882" s="56">
        <v>721</v>
      </c>
      <c r="P2882" s="79">
        <f>+N2881-P2881</f>
        <v>0</v>
      </c>
    </row>
    <row r="2883" spans="9:16" ht="16.5" thickBot="1">
      <c r="I2883" s="901" t="s">
        <v>102</v>
      </c>
      <c r="J2883" s="902"/>
      <c r="K2883" s="902"/>
      <c r="L2883" s="902"/>
      <c r="M2883" s="903"/>
      <c r="N2883" s="81">
        <f>SUM(N2873:N2882)</f>
        <v>72228412</v>
      </c>
    </row>
    <row r="2884" spans="9:16" ht="16.5" thickBot="1">
      <c r="I2884" s="885" t="s">
        <v>103</v>
      </c>
      <c r="J2884" s="886"/>
      <c r="K2884" s="886"/>
      <c r="L2884" s="886"/>
      <c r="M2884" s="887"/>
      <c r="N2884" s="69">
        <f>+N2848</f>
        <v>546513335</v>
      </c>
      <c r="O2884" s="241" t="s">
        <v>561</v>
      </c>
      <c r="P2884" s="242"/>
    </row>
    <row r="2885" spans="9:16" ht="16.5" thickBot="1">
      <c r="I2885" s="888" t="s">
        <v>104</v>
      </c>
      <c r="J2885" s="889"/>
      <c r="K2885" s="889"/>
      <c r="L2885" s="889"/>
      <c r="M2885" s="890"/>
      <c r="N2885" s="183">
        <f>SUM(N2883:N2884)</f>
        <v>618741747</v>
      </c>
    </row>
    <row r="2886" spans="9:16">
      <c r="I2886" s="61"/>
      <c r="J2886" s="61"/>
      <c r="K2886" s="61"/>
      <c r="L2886" s="61"/>
      <c r="M2886" s="61"/>
    </row>
    <row r="2887" spans="9:16">
      <c r="I2887" s="51" t="s">
        <v>1189</v>
      </c>
    </row>
    <row r="2888" spans="9:16">
      <c r="N2888" s="139"/>
    </row>
    <row r="2889" spans="9:16">
      <c r="I2889" s="50" t="s">
        <v>105</v>
      </c>
      <c r="L2889" s="146"/>
      <c r="N2889" s="139"/>
    </row>
    <row r="2890" spans="9:16" ht="13.5" customHeight="1" thickBot="1"/>
    <row r="2891" spans="9:16" ht="15.75" thickBot="1">
      <c r="I2891" s="891" t="s">
        <v>106</v>
      </c>
      <c r="J2891" s="892"/>
      <c r="K2891" s="892"/>
      <c r="L2891" s="893"/>
      <c r="N2891" s="50" t="s">
        <v>1126</v>
      </c>
    </row>
    <row r="2892" spans="9:16" ht="30.75" thickBot="1">
      <c r="I2892" s="57" t="s">
        <v>100</v>
      </c>
      <c r="J2892" s="58" t="s">
        <v>108</v>
      </c>
      <c r="K2892" s="287" t="s">
        <v>109</v>
      </c>
      <c r="L2892" s="60" t="s">
        <v>110</v>
      </c>
    </row>
    <row r="2893" spans="9:16">
      <c r="I2893" s="71">
        <v>719</v>
      </c>
      <c r="J2893" s="73"/>
      <c r="K2893" s="74">
        <f>+L2856</f>
        <v>40375000</v>
      </c>
      <c r="L2893" s="195">
        <f>+J2893+K2893</f>
        <v>40375000</v>
      </c>
    </row>
    <row r="2894" spans="9:16">
      <c r="I2894" s="72">
        <v>721</v>
      </c>
      <c r="J2894" s="80">
        <f>+P2874+P2876+P2878+P2880+P2882</f>
        <v>72228412</v>
      </c>
      <c r="K2894" s="74">
        <f>+L2857</f>
        <v>136300658</v>
      </c>
      <c r="L2894" s="195">
        <f>+J2894+K2894</f>
        <v>208529070</v>
      </c>
    </row>
    <row r="2895" spans="9:16">
      <c r="I2895" s="72">
        <v>722</v>
      </c>
      <c r="J2895" s="80">
        <f>+P2873+P2875+P2877+P2879+P2881</f>
        <v>0</v>
      </c>
      <c r="K2895" s="74">
        <f>+L2858</f>
        <v>5580000</v>
      </c>
      <c r="L2895" s="195">
        <f>+J2895+K2895</f>
        <v>5580000</v>
      </c>
    </row>
    <row r="2896" spans="9:16" ht="15.75">
      <c r="I2896" s="72">
        <v>723</v>
      </c>
      <c r="J2896" s="80"/>
      <c r="K2896" s="74">
        <f>+L2859</f>
        <v>397905551</v>
      </c>
      <c r="L2896" s="195">
        <f>+J2896+K2896</f>
        <v>397905551</v>
      </c>
      <c r="N2896" s="193" t="s">
        <v>1028</v>
      </c>
      <c r="O2896" s="175"/>
    </row>
    <row r="2897" spans="9:16" ht="16.5" thickBot="1">
      <c r="I2897" s="164" t="s">
        <v>1077</v>
      </c>
      <c r="J2897" s="165"/>
      <c r="K2897" s="74">
        <f>+L2860</f>
        <v>797500</v>
      </c>
      <c r="L2897" s="196">
        <f>+J2897+K2897</f>
        <v>797500</v>
      </c>
      <c r="N2897" s="52"/>
    </row>
    <row r="2898" spans="9:16" ht="16.5" thickBot="1">
      <c r="I2898" s="169"/>
      <c r="J2898" s="197">
        <f>SUM(J2893:J2897)</f>
        <v>72228412</v>
      </c>
      <c r="K2898" s="197">
        <f>SUM(K2893:K2897)</f>
        <v>580958709</v>
      </c>
      <c r="L2898" s="198">
        <f>SUM(L2893:L2897)</f>
        <v>653187121</v>
      </c>
    </row>
    <row r="2899" spans="9:16" ht="16.5">
      <c r="I2899" s="49" t="s">
        <v>88</v>
      </c>
      <c r="J2899" s="50"/>
    </row>
    <row r="2900" spans="9:16">
      <c r="I2900" s="51" t="s">
        <v>89</v>
      </c>
    </row>
    <row r="2901" spans="9:16">
      <c r="I2901" s="51" t="s">
        <v>90</v>
      </c>
    </row>
    <row r="2902" spans="9:16">
      <c r="I2902" s="51" t="s">
        <v>91</v>
      </c>
    </row>
    <row r="2903" spans="9:16" ht="10.5" customHeight="1">
      <c r="I2903" s="50"/>
      <c r="J2903" s="50"/>
    </row>
    <row r="2904" spans="9:16" ht="15.75">
      <c r="I2904" s="260" t="s">
        <v>1191</v>
      </c>
      <c r="O2904" s="52"/>
    </row>
    <row r="2905" spans="9:16" ht="15.75">
      <c r="I2905" s="53" t="s">
        <v>535</v>
      </c>
      <c r="O2905" s="53"/>
    </row>
    <row r="2906" spans="9:16" ht="16.5">
      <c r="I2906" s="894" t="s">
        <v>909</v>
      </c>
      <c r="J2906" s="894"/>
      <c r="K2906" s="894"/>
      <c r="L2906" s="894"/>
      <c r="M2906" s="894"/>
      <c r="N2906" s="894"/>
      <c r="O2906" s="894"/>
      <c r="P2906" s="894"/>
    </row>
    <row r="2907" spans="9:16" ht="15.75" thickBot="1"/>
    <row r="2908" spans="9:16">
      <c r="I2908" s="895" t="s">
        <v>94</v>
      </c>
      <c r="J2908" s="897" t="s">
        <v>95</v>
      </c>
      <c r="K2908" s="897" t="s">
        <v>96</v>
      </c>
      <c r="L2908" s="897" t="s">
        <v>3</v>
      </c>
      <c r="M2908" s="897" t="s">
        <v>97</v>
      </c>
      <c r="N2908" s="897" t="s">
        <v>98</v>
      </c>
      <c r="O2908" s="897" t="s">
        <v>99</v>
      </c>
      <c r="P2908" s="899"/>
    </row>
    <row r="2909" spans="9:16" ht="15.75" thickBot="1">
      <c r="I2909" s="896"/>
      <c r="J2909" s="898"/>
      <c r="K2909" s="898"/>
      <c r="L2909" s="898"/>
      <c r="M2909" s="898"/>
      <c r="N2909" s="898"/>
      <c r="O2909" s="240" t="s">
        <v>100</v>
      </c>
      <c r="P2909" s="182" t="s">
        <v>101</v>
      </c>
    </row>
    <row r="2910" spans="9:16">
      <c r="I2910" s="881">
        <v>313</v>
      </c>
      <c r="J2910" s="875">
        <v>42657</v>
      </c>
      <c r="K2910" s="877" t="s">
        <v>1014</v>
      </c>
      <c r="L2910" s="879" t="s">
        <v>1192</v>
      </c>
      <c r="M2910" s="881" t="s">
        <v>115</v>
      </c>
      <c r="N2910" s="883">
        <v>70000</v>
      </c>
      <c r="O2910" s="55">
        <v>719</v>
      </c>
      <c r="P2910" s="78">
        <v>70000</v>
      </c>
    </row>
    <row r="2911" spans="9:16" ht="15.75" thickBot="1">
      <c r="I2911" s="882"/>
      <c r="J2911" s="876"/>
      <c r="K2911" s="878"/>
      <c r="L2911" s="880"/>
      <c r="M2911" s="882"/>
      <c r="N2911" s="884"/>
      <c r="O2911" s="56">
        <v>721</v>
      </c>
      <c r="P2911" s="79">
        <f>+N2910-P2910</f>
        <v>0</v>
      </c>
    </row>
    <row r="2912" spans="9:16">
      <c r="I2912" s="881">
        <v>314</v>
      </c>
      <c r="J2912" s="875">
        <v>42657</v>
      </c>
      <c r="K2912" s="877" t="s">
        <v>28</v>
      </c>
      <c r="L2912" s="879" t="s">
        <v>1193</v>
      </c>
      <c r="M2912" s="881" t="s">
        <v>115</v>
      </c>
      <c r="N2912" s="883">
        <v>30000</v>
      </c>
      <c r="O2912" s="55">
        <v>719</v>
      </c>
      <c r="P2912" s="78">
        <v>30000</v>
      </c>
    </row>
    <row r="2913" spans="9:16" ht="15.75" thickBot="1">
      <c r="I2913" s="882"/>
      <c r="J2913" s="876"/>
      <c r="K2913" s="878"/>
      <c r="L2913" s="880"/>
      <c r="M2913" s="882"/>
      <c r="N2913" s="884"/>
      <c r="O2913" s="56">
        <v>721</v>
      </c>
      <c r="P2913" s="79">
        <f>+N2912-P2912</f>
        <v>0</v>
      </c>
    </row>
    <row r="2914" spans="9:16">
      <c r="I2914" s="881">
        <v>315</v>
      </c>
      <c r="J2914" s="875">
        <v>42657</v>
      </c>
      <c r="K2914" s="877" t="s">
        <v>120</v>
      </c>
      <c r="L2914" s="879" t="s">
        <v>1165</v>
      </c>
      <c r="M2914" s="881" t="s">
        <v>115</v>
      </c>
      <c r="N2914" s="883">
        <v>50000</v>
      </c>
      <c r="O2914" s="55">
        <v>719</v>
      </c>
      <c r="P2914" s="78">
        <v>50000</v>
      </c>
    </row>
    <row r="2915" spans="9:16" ht="15.75" thickBot="1">
      <c r="I2915" s="882"/>
      <c r="J2915" s="876"/>
      <c r="K2915" s="878"/>
      <c r="L2915" s="880"/>
      <c r="M2915" s="882"/>
      <c r="N2915" s="884"/>
      <c r="O2915" s="56">
        <v>721</v>
      </c>
      <c r="P2915" s="79">
        <f>+N2914-P2914</f>
        <v>0</v>
      </c>
    </row>
    <row r="2916" spans="9:16">
      <c r="I2916" s="881"/>
      <c r="J2916" s="875"/>
      <c r="K2916" s="877"/>
      <c r="L2916" s="879"/>
      <c r="M2916" s="881"/>
      <c r="N2916" s="883"/>
      <c r="O2916" s="55">
        <v>719</v>
      </c>
      <c r="P2916" s="78">
        <v>0</v>
      </c>
    </row>
    <row r="2917" spans="9:16" ht="14.25" customHeight="1" thickBot="1">
      <c r="I2917" s="882"/>
      <c r="J2917" s="876"/>
      <c r="K2917" s="878"/>
      <c r="L2917" s="880"/>
      <c r="M2917" s="882"/>
      <c r="N2917" s="884"/>
      <c r="O2917" s="56">
        <v>721</v>
      </c>
      <c r="P2917" s="79">
        <f>+N2916-P2916</f>
        <v>0</v>
      </c>
    </row>
    <row r="2918" spans="9:16" ht="13.5" customHeight="1">
      <c r="I2918" s="881"/>
      <c r="J2918" s="875"/>
      <c r="K2918" s="877"/>
      <c r="L2918" s="879"/>
      <c r="M2918" s="881"/>
      <c r="N2918" s="883"/>
      <c r="O2918" s="55">
        <v>719</v>
      </c>
      <c r="P2918" s="78"/>
    </row>
    <row r="2919" spans="9:16" ht="12.75" customHeight="1" thickBot="1">
      <c r="I2919" s="882"/>
      <c r="J2919" s="876"/>
      <c r="K2919" s="878"/>
      <c r="L2919" s="880"/>
      <c r="M2919" s="882"/>
      <c r="N2919" s="884"/>
      <c r="O2919" s="56">
        <v>721</v>
      </c>
      <c r="P2919" s="79">
        <f>+N2918-P2918</f>
        <v>0</v>
      </c>
    </row>
    <row r="2920" spans="9:16" ht="16.5" thickBot="1">
      <c r="I2920" s="901" t="s">
        <v>102</v>
      </c>
      <c r="J2920" s="902"/>
      <c r="K2920" s="902"/>
      <c r="L2920" s="902"/>
      <c r="M2920" s="903"/>
      <c r="N2920" s="81">
        <f>SUM(N2910:N2919)</f>
        <v>150000</v>
      </c>
    </row>
    <row r="2921" spans="9:16" ht="16.5" thickBot="1">
      <c r="I2921" s="885" t="s">
        <v>103</v>
      </c>
      <c r="J2921" s="886"/>
      <c r="K2921" s="886"/>
      <c r="L2921" s="886"/>
      <c r="M2921" s="887"/>
      <c r="N2921" s="69">
        <f>+N2885</f>
        <v>618741747</v>
      </c>
      <c r="O2921" s="241" t="s">
        <v>561</v>
      </c>
      <c r="P2921" s="242">
        <f>76+80+291</f>
        <v>447</v>
      </c>
    </row>
    <row r="2922" spans="9:16" ht="16.5" thickBot="1">
      <c r="I2922" s="888" t="s">
        <v>104</v>
      </c>
      <c r="J2922" s="889"/>
      <c r="K2922" s="889"/>
      <c r="L2922" s="889"/>
      <c r="M2922" s="890"/>
      <c r="N2922" s="183">
        <f>SUM(N2920:N2921)</f>
        <v>618891747</v>
      </c>
    </row>
    <row r="2923" spans="9:16">
      <c r="I2923" s="61"/>
      <c r="J2923" s="61"/>
      <c r="K2923" s="61"/>
      <c r="L2923" s="61"/>
      <c r="M2923" s="61"/>
    </row>
    <row r="2924" spans="9:16">
      <c r="I2924" s="51" t="s">
        <v>1194</v>
      </c>
    </row>
    <row r="2925" spans="9:16">
      <c r="N2925" s="139"/>
    </row>
    <row r="2926" spans="9:16">
      <c r="I2926" s="50" t="s">
        <v>105</v>
      </c>
      <c r="L2926" s="146"/>
      <c r="N2926" s="139"/>
    </row>
    <row r="2927" spans="9:16" ht="12.75" customHeight="1" thickBot="1"/>
    <row r="2928" spans="9:16" ht="15.75" thickBot="1">
      <c r="I2928" s="891" t="s">
        <v>106</v>
      </c>
      <c r="J2928" s="892"/>
      <c r="K2928" s="892"/>
      <c r="L2928" s="893"/>
      <c r="N2928" s="50" t="s">
        <v>1126</v>
      </c>
    </row>
    <row r="2929" spans="9:16" ht="30.75" thickBot="1">
      <c r="I2929" s="57" t="s">
        <v>100</v>
      </c>
      <c r="J2929" s="58" t="s">
        <v>108</v>
      </c>
      <c r="K2929" s="287" t="s">
        <v>109</v>
      </c>
      <c r="L2929" s="60" t="s">
        <v>110</v>
      </c>
    </row>
    <row r="2930" spans="9:16">
      <c r="I2930" s="71">
        <v>719</v>
      </c>
      <c r="J2930" s="73">
        <f>+P2910+P2912+P2914+P2916</f>
        <v>150000</v>
      </c>
      <c r="K2930" s="74">
        <f>+L2893</f>
        <v>40375000</v>
      </c>
      <c r="L2930" s="195">
        <f>+J2930+K2930</f>
        <v>40525000</v>
      </c>
    </row>
    <row r="2931" spans="9:16">
      <c r="I2931" s="72">
        <v>721</v>
      </c>
      <c r="J2931" s="80">
        <f>+P2911+P2913+P2915+P2917+P2919</f>
        <v>0</v>
      </c>
      <c r="K2931" s="74">
        <f>+L2894</f>
        <v>208529070</v>
      </c>
      <c r="L2931" s="195">
        <f>+J2931+K2931</f>
        <v>208529070</v>
      </c>
    </row>
    <row r="2932" spans="9:16">
      <c r="I2932" s="72">
        <v>722</v>
      </c>
      <c r="J2932" s="80"/>
      <c r="K2932" s="74">
        <f>+L2895</f>
        <v>5580000</v>
      </c>
      <c r="L2932" s="195">
        <f>+J2932+K2932</f>
        <v>5580000</v>
      </c>
    </row>
    <row r="2933" spans="9:16" ht="15.75">
      <c r="I2933" s="72">
        <v>723</v>
      </c>
      <c r="J2933" s="80"/>
      <c r="K2933" s="74">
        <f>+L2896</f>
        <v>397905551</v>
      </c>
      <c r="L2933" s="195">
        <f>+J2933+K2933</f>
        <v>397905551</v>
      </c>
      <c r="N2933" s="193" t="s">
        <v>1028</v>
      </c>
      <c r="O2933" s="175"/>
    </row>
    <row r="2934" spans="9:16" ht="16.5" thickBot="1">
      <c r="I2934" s="164" t="s">
        <v>1077</v>
      </c>
      <c r="J2934" s="165"/>
      <c r="K2934" s="74">
        <f>+L2897</f>
        <v>797500</v>
      </c>
      <c r="L2934" s="196">
        <f>+J2934+K2934</f>
        <v>797500</v>
      </c>
      <c r="N2934" s="52"/>
    </row>
    <row r="2935" spans="9:16" ht="16.5" thickBot="1">
      <c r="I2935" s="169"/>
      <c r="J2935" s="197">
        <f>SUM(J2930:J2934)</f>
        <v>150000</v>
      </c>
      <c r="K2935" s="197">
        <f>SUM(K2930:K2934)</f>
        <v>653187121</v>
      </c>
      <c r="L2935" s="198">
        <f>SUM(L2930:L2934)</f>
        <v>653337121</v>
      </c>
    </row>
    <row r="2936" spans="9:16" ht="16.5">
      <c r="I2936" s="49" t="s">
        <v>88</v>
      </c>
      <c r="J2936" s="50"/>
    </row>
    <row r="2937" spans="9:16">
      <c r="I2937" s="51" t="s">
        <v>89</v>
      </c>
    </row>
    <row r="2938" spans="9:16">
      <c r="I2938" s="51" t="s">
        <v>90</v>
      </c>
    </row>
    <row r="2939" spans="9:16">
      <c r="I2939" s="51" t="s">
        <v>91</v>
      </c>
    </row>
    <row r="2940" spans="9:16" ht="9.75" customHeight="1">
      <c r="I2940" s="50"/>
      <c r="J2940" s="50"/>
    </row>
    <row r="2941" spans="9:16" ht="15.75">
      <c r="I2941" s="260" t="s">
        <v>1197</v>
      </c>
      <c r="O2941" s="52"/>
    </row>
    <row r="2942" spans="9:16" ht="15.75">
      <c r="I2942" s="53" t="s">
        <v>535</v>
      </c>
      <c r="O2942" s="53"/>
    </row>
    <row r="2943" spans="9:16" ht="16.5">
      <c r="I2943" s="894" t="s">
        <v>909</v>
      </c>
      <c r="J2943" s="894"/>
      <c r="K2943" s="894"/>
      <c r="L2943" s="894"/>
      <c r="M2943" s="894"/>
      <c r="N2943" s="894"/>
      <c r="O2943" s="894"/>
      <c r="P2943" s="894"/>
    </row>
    <row r="2944" spans="9:16" ht="15.75" thickBot="1"/>
    <row r="2945" spans="9:16">
      <c r="I2945" s="895" t="s">
        <v>94</v>
      </c>
      <c r="J2945" s="897" t="s">
        <v>95</v>
      </c>
      <c r="K2945" s="897" t="s">
        <v>96</v>
      </c>
      <c r="L2945" s="897" t="s">
        <v>3</v>
      </c>
      <c r="M2945" s="897" t="s">
        <v>97</v>
      </c>
      <c r="N2945" s="897" t="s">
        <v>98</v>
      </c>
      <c r="O2945" s="897" t="s">
        <v>99</v>
      </c>
      <c r="P2945" s="899"/>
    </row>
    <row r="2946" spans="9:16" ht="15.75" thickBot="1">
      <c r="I2946" s="896"/>
      <c r="J2946" s="898"/>
      <c r="K2946" s="898"/>
      <c r="L2946" s="898"/>
      <c r="M2946" s="898"/>
      <c r="N2946" s="898"/>
      <c r="O2946" s="240" t="s">
        <v>100</v>
      </c>
      <c r="P2946" s="182" t="s">
        <v>101</v>
      </c>
    </row>
    <row r="2947" spans="9:16">
      <c r="I2947" s="881">
        <v>316</v>
      </c>
      <c r="J2947" s="875">
        <v>42684</v>
      </c>
      <c r="K2947" s="877" t="s">
        <v>267</v>
      </c>
      <c r="L2947" s="879" t="s">
        <v>1195</v>
      </c>
      <c r="M2947" s="881" t="s">
        <v>148</v>
      </c>
      <c r="N2947" s="883">
        <v>130000</v>
      </c>
      <c r="O2947" s="55">
        <v>719</v>
      </c>
      <c r="P2947" s="78">
        <v>100000</v>
      </c>
    </row>
    <row r="2948" spans="9:16" ht="15.75" thickBot="1">
      <c r="I2948" s="882"/>
      <c r="J2948" s="876"/>
      <c r="K2948" s="878"/>
      <c r="L2948" s="880"/>
      <c r="M2948" s="882"/>
      <c r="N2948" s="884"/>
      <c r="O2948" s="56">
        <v>721</v>
      </c>
      <c r="P2948" s="79">
        <f>+N2947-P2947</f>
        <v>30000</v>
      </c>
    </row>
    <row r="2949" spans="9:16" ht="15" customHeight="1">
      <c r="I2949" s="881">
        <v>317</v>
      </c>
      <c r="J2949" s="875">
        <v>42684</v>
      </c>
      <c r="K2949" s="877" t="s">
        <v>28</v>
      </c>
      <c r="L2949" s="879" t="s">
        <v>1196</v>
      </c>
      <c r="M2949" s="881" t="s">
        <v>148</v>
      </c>
      <c r="N2949" s="883">
        <v>559000</v>
      </c>
      <c r="O2949" s="55">
        <v>719</v>
      </c>
      <c r="P2949" s="78">
        <v>430000</v>
      </c>
    </row>
    <row r="2950" spans="9:16" ht="15.75" customHeight="1" thickBot="1">
      <c r="I2950" s="882"/>
      <c r="J2950" s="876"/>
      <c r="K2950" s="878"/>
      <c r="L2950" s="880"/>
      <c r="M2950" s="882"/>
      <c r="N2950" s="884"/>
      <c r="O2950" s="56">
        <v>721</v>
      </c>
      <c r="P2950" s="79">
        <f>+N2949-P2949</f>
        <v>129000</v>
      </c>
    </row>
    <row r="2951" spans="9:16" ht="15" customHeight="1">
      <c r="I2951" s="881">
        <v>318</v>
      </c>
      <c r="J2951" s="875">
        <v>42684</v>
      </c>
      <c r="K2951" s="877" t="s">
        <v>111</v>
      </c>
      <c r="L2951" s="879" t="s">
        <v>1198</v>
      </c>
      <c r="M2951" s="881" t="s">
        <v>148</v>
      </c>
      <c r="N2951" s="883">
        <v>104000</v>
      </c>
      <c r="O2951" s="55">
        <v>719</v>
      </c>
      <c r="P2951" s="78">
        <v>80000</v>
      </c>
    </row>
    <row r="2952" spans="9:16" ht="15.75" customHeight="1" thickBot="1">
      <c r="I2952" s="882"/>
      <c r="J2952" s="876"/>
      <c r="K2952" s="878"/>
      <c r="L2952" s="880"/>
      <c r="M2952" s="882"/>
      <c r="N2952" s="884"/>
      <c r="O2952" s="56">
        <v>721</v>
      </c>
      <c r="P2952" s="79">
        <f>+N2951-P2951</f>
        <v>24000</v>
      </c>
    </row>
    <row r="2953" spans="9:16" ht="15" customHeight="1">
      <c r="I2953" s="881">
        <v>319</v>
      </c>
      <c r="J2953" s="875">
        <v>42684</v>
      </c>
      <c r="K2953" s="877" t="s">
        <v>1014</v>
      </c>
      <c r="L2953" s="879" t="s">
        <v>1196</v>
      </c>
      <c r="M2953" s="881" t="s">
        <v>148</v>
      </c>
      <c r="N2953" s="883">
        <v>1105000</v>
      </c>
      <c r="O2953" s="55">
        <v>719</v>
      </c>
      <c r="P2953" s="78">
        <v>850000</v>
      </c>
    </row>
    <row r="2954" spans="9:16" ht="15.75" customHeight="1" thickBot="1">
      <c r="I2954" s="882"/>
      <c r="J2954" s="876"/>
      <c r="K2954" s="878"/>
      <c r="L2954" s="880"/>
      <c r="M2954" s="882"/>
      <c r="N2954" s="884"/>
      <c r="O2954" s="56">
        <v>721</v>
      </c>
      <c r="P2954" s="79">
        <f>+N2953-P2953</f>
        <v>255000</v>
      </c>
    </row>
    <row r="2955" spans="9:16">
      <c r="I2955" s="881"/>
      <c r="J2955" s="875"/>
      <c r="K2955" s="877"/>
      <c r="L2955" s="879"/>
      <c r="M2955" s="881"/>
      <c r="N2955" s="883"/>
      <c r="O2955" s="55">
        <v>719</v>
      </c>
      <c r="P2955" s="78"/>
    </row>
    <row r="2956" spans="9:16" ht="15.75" thickBot="1">
      <c r="I2956" s="882"/>
      <c r="J2956" s="876"/>
      <c r="K2956" s="878"/>
      <c r="L2956" s="880"/>
      <c r="M2956" s="882"/>
      <c r="N2956" s="884"/>
      <c r="O2956" s="56">
        <v>721</v>
      </c>
      <c r="P2956" s="79">
        <f>+N2955-P2955</f>
        <v>0</v>
      </c>
    </row>
    <row r="2957" spans="9:16" ht="16.5" thickBot="1">
      <c r="I2957" s="901" t="s">
        <v>102</v>
      </c>
      <c r="J2957" s="902"/>
      <c r="K2957" s="902"/>
      <c r="L2957" s="902"/>
      <c r="M2957" s="903"/>
      <c r="N2957" s="81">
        <f>SUM(N2947:N2956)</f>
        <v>1898000</v>
      </c>
    </row>
    <row r="2958" spans="9:16" ht="16.5" thickBot="1">
      <c r="I2958" s="885" t="s">
        <v>103</v>
      </c>
      <c r="J2958" s="886"/>
      <c r="K2958" s="886"/>
      <c r="L2958" s="886"/>
      <c r="M2958" s="887"/>
      <c r="N2958" s="69">
        <f>+N2922</f>
        <v>618891747</v>
      </c>
      <c r="O2958" s="241" t="s">
        <v>561</v>
      </c>
      <c r="P2958" s="242">
        <f>1061+35+841+56</f>
        <v>1993</v>
      </c>
    </row>
    <row r="2959" spans="9:16" ht="16.5" thickBot="1">
      <c r="I2959" s="888" t="s">
        <v>104</v>
      </c>
      <c r="J2959" s="889"/>
      <c r="K2959" s="889"/>
      <c r="L2959" s="889"/>
      <c r="M2959" s="890"/>
      <c r="N2959" s="183">
        <f>SUM(N2957:N2958)</f>
        <v>620789747</v>
      </c>
    </row>
    <row r="2960" spans="9:16">
      <c r="I2960" s="61"/>
      <c r="J2960" s="61"/>
      <c r="K2960" s="61"/>
      <c r="L2960" s="61"/>
      <c r="M2960" s="61"/>
    </row>
    <row r="2961" spans="9:15">
      <c r="I2961" s="51" t="s">
        <v>1199</v>
      </c>
    </row>
    <row r="2962" spans="9:15">
      <c r="N2962" s="139"/>
    </row>
    <row r="2963" spans="9:15">
      <c r="I2963" s="50" t="s">
        <v>105</v>
      </c>
      <c r="L2963" s="146"/>
      <c r="N2963" s="139"/>
    </row>
    <row r="2964" spans="9:15" ht="10.5" customHeight="1" thickBot="1"/>
    <row r="2965" spans="9:15" ht="15.75" thickBot="1">
      <c r="I2965" s="891" t="s">
        <v>106</v>
      </c>
      <c r="J2965" s="892"/>
      <c r="K2965" s="892"/>
      <c r="L2965" s="893"/>
      <c r="N2965" s="50" t="s">
        <v>1126</v>
      </c>
    </row>
    <row r="2966" spans="9:15" ht="30.75" thickBot="1">
      <c r="I2966" s="57" t="s">
        <v>100</v>
      </c>
      <c r="J2966" s="58" t="s">
        <v>108</v>
      </c>
      <c r="K2966" s="287" t="s">
        <v>109</v>
      </c>
      <c r="L2966" s="60" t="s">
        <v>110</v>
      </c>
    </row>
    <row r="2967" spans="9:15">
      <c r="I2967" s="71">
        <v>719</v>
      </c>
      <c r="J2967" s="73">
        <f>+P2947+P2949+P2951+P2953</f>
        <v>1460000</v>
      </c>
      <c r="K2967" s="74">
        <f>+L2930</f>
        <v>40525000</v>
      </c>
      <c r="L2967" s="195">
        <f>+J2967+K2967</f>
        <v>41985000</v>
      </c>
    </row>
    <row r="2968" spans="9:15">
      <c r="I2968" s="72">
        <v>721</v>
      </c>
      <c r="J2968" s="80">
        <f>+P2948+P2950+P2952+P2954+P2956</f>
        <v>438000</v>
      </c>
      <c r="K2968" s="74">
        <f>+L2931</f>
        <v>208529070</v>
      </c>
      <c r="L2968" s="195">
        <f>+J2968+K2968</f>
        <v>208967070</v>
      </c>
    </row>
    <row r="2969" spans="9:15">
      <c r="I2969" s="72">
        <v>722</v>
      </c>
      <c r="J2969" s="80"/>
      <c r="K2969" s="74">
        <f>+L2932</f>
        <v>5580000</v>
      </c>
      <c r="L2969" s="195">
        <f>+J2969+K2969</f>
        <v>5580000</v>
      </c>
    </row>
    <row r="2970" spans="9:15" ht="15.75">
      <c r="I2970" s="72">
        <v>723</v>
      </c>
      <c r="J2970" s="80"/>
      <c r="K2970" s="74">
        <f>+L2933</f>
        <v>397905551</v>
      </c>
      <c r="L2970" s="195">
        <f>+J2970+K2970</f>
        <v>397905551</v>
      </c>
      <c r="N2970" s="193" t="s">
        <v>1028</v>
      </c>
      <c r="O2970" s="175"/>
    </row>
    <row r="2971" spans="9:15" ht="16.5" thickBot="1">
      <c r="I2971" s="164" t="s">
        <v>1077</v>
      </c>
      <c r="J2971" s="165"/>
      <c r="K2971" s="74">
        <f>+L2934</f>
        <v>797500</v>
      </c>
      <c r="L2971" s="196">
        <f>+J2971+K2971</f>
        <v>797500</v>
      </c>
      <c r="N2971" s="52"/>
    </row>
    <row r="2972" spans="9:15" ht="16.5" thickBot="1">
      <c r="I2972" s="169"/>
      <c r="J2972" s="197">
        <f>SUM(J2967:J2971)</f>
        <v>1898000</v>
      </c>
      <c r="K2972" s="197">
        <f>SUM(K2967:K2971)</f>
        <v>653337121</v>
      </c>
      <c r="L2972" s="198">
        <f>SUM(L2967:L2971)</f>
        <v>655235121</v>
      </c>
    </row>
    <row r="2973" spans="9:15" ht="16.5">
      <c r="I2973" s="49" t="s">
        <v>88</v>
      </c>
      <c r="J2973" s="50"/>
    </row>
    <row r="2974" spans="9:15">
      <c r="I2974" s="51" t="s">
        <v>89</v>
      </c>
    </row>
    <row r="2975" spans="9:15">
      <c r="I2975" s="51" t="s">
        <v>90</v>
      </c>
    </row>
    <row r="2976" spans="9:15">
      <c r="I2976" s="51" t="s">
        <v>91</v>
      </c>
    </row>
    <row r="2977" spans="9:16" ht="12" customHeight="1">
      <c r="I2977" s="50"/>
      <c r="J2977" s="50"/>
    </row>
    <row r="2978" spans="9:16" ht="15.75">
      <c r="I2978" s="260" t="s">
        <v>1200</v>
      </c>
      <c r="O2978" s="52"/>
    </row>
    <row r="2979" spans="9:16" ht="15.75">
      <c r="I2979" s="53" t="s">
        <v>535</v>
      </c>
      <c r="O2979" s="53"/>
    </row>
    <row r="2980" spans="9:16" ht="16.5">
      <c r="I2980" s="894" t="s">
        <v>909</v>
      </c>
      <c r="J2980" s="894"/>
      <c r="K2980" s="894"/>
      <c r="L2980" s="894"/>
      <c r="M2980" s="894"/>
      <c r="N2980" s="894"/>
      <c r="O2980" s="894"/>
      <c r="P2980" s="894"/>
    </row>
    <row r="2981" spans="9:16" ht="15.75" thickBot="1"/>
    <row r="2982" spans="9:16">
      <c r="I2982" s="895" t="s">
        <v>94</v>
      </c>
      <c r="J2982" s="897" t="s">
        <v>95</v>
      </c>
      <c r="K2982" s="897" t="s">
        <v>96</v>
      </c>
      <c r="L2982" s="897" t="s">
        <v>3</v>
      </c>
      <c r="M2982" s="897" t="s">
        <v>97</v>
      </c>
      <c r="N2982" s="897" t="s">
        <v>98</v>
      </c>
      <c r="O2982" s="897" t="s">
        <v>99</v>
      </c>
      <c r="P2982" s="899"/>
    </row>
    <row r="2983" spans="9:16" ht="15.75" thickBot="1">
      <c r="I2983" s="896"/>
      <c r="J2983" s="898"/>
      <c r="K2983" s="898"/>
      <c r="L2983" s="898"/>
      <c r="M2983" s="898"/>
      <c r="N2983" s="898"/>
      <c r="O2983" s="240" t="s">
        <v>100</v>
      </c>
      <c r="P2983" s="182" t="s">
        <v>101</v>
      </c>
    </row>
    <row r="2984" spans="9:16">
      <c r="I2984" s="881">
        <v>320</v>
      </c>
      <c r="J2984" s="875">
        <v>42684</v>
      </c>
      <c r="K2984" s="877" t="s">
        <v>267</v>
      </c>
      <c r="L2984" s="879" t="s">
        <v>1201</v>
      </c>
      <c r="M2984" s="881" t="s">
        <v>148</v>
      </c>
      <c r="N2984" s="883">
        <v>52000</v>
      </c>
      <c r="O2984" s="55">
        <v>719</v>
      </c>
      <c r="P2984" s="78">
        <v>40000</v>
      </c>
    </row>
    <row r="2985" spans="9:16" ht="15.75" thickBot="1">
      <c r="I2985" s="882"/>
      <c r="J2985" s="876"/>
      <c r="K2985" s="878"/>
      <c r="L2985" s="880"/>
      <c r="M2985" s="882"/>
      <c r="N2985" s="884"/>
      <c r="O2985" s="56">
        <v>721</v>
      </c>
      <c r="P2985" s="79">
        <f>+N2984-P2984</f>
        <v>12000</v>
      </c>
    </row>
    <row r="2986" spans="9:16">
      <c r="I2986" s="881">
        <v>321</v>
      </c>
      <c r="J2986" s="875">
        <v>42684</v>
      </c>
      <c r="K2986" s="877" t="s">
        <v>28</v>
      </c>
      <c r="L2986" s="879" t="s">
        <v>1202</v>
      </c>
      <c r="M2986" s="881" t="s">
        <v>148</v>
      </c>
      <c r="N2986" s="883">
        <v>442000</v>
      </c>
      <c r="O2986" s="55">
        <v>719</v>
      </c>
      <c r="P2986" s="78">
        <v>340000</v>
      </c>
    </row>
    <row r="2987" spans="9:16" ht="15.75" thickBot="1">
      <c r="I2987" s="882"/>
      <c r="J2987" s="876"/>
      <c r="K2987" s="878"/>
      <c r="L2987" s="880"/>
      <c r="M2987" s="882"/>
      <c r="N2987" s="884"/>
      <c r="O2987" s="56">
        <v>721</v>
      </c>
      <c r="P2987" s="79">
        <f>+N2986-P2986</f>
        <v>102000</v>
      </c>
    </row>
    <row r="2988" spans="9:16">
      <c r="I2988" s="881">
        <v>322</v>
      </c>
      <c r="J2988" s="875">
        <v>42684</v>
      </c>
      <c r="K2988" s="877" t="s">
        <v>111</v>
      </c>
      <c r="L2988" s="879" t="s">
        <v>1203</v>
      </c>
      <c r="M2988" s="881" t="s">
        <v>148</v>
      </c>
      <c r="N2988" s="883">
        <v>104000</v>
      </c>
      <c r="O2988" s="55">
        <v>719</v>
      </c>
      <c r="P2988" s="78">
        <v>80000</v>
      </c>
    </row>
    <row r="2989" spans="9:16" ht="15.75" thickBot="1">
      <c r="I2989" s="882"/>
      <c r="J2989" s="876"/>
      <c r="K2989" s="878"/>
      <c r="L2989" s="880"/>
      <c r="M2989" s="882"/>
      <c r="N2989" s="884"/>
      <c r="O2989" s="56">
        <v>721</v>
      </c>
      <c r="P2989" s="79">
        <f>+N2988-P2988</f>
        <v>24000</v>
      </c>
    </row>
    <row r="2990" spans="9:16">
      <c r="I2990" s="881">
        <v>323</v>
      </c>
      <c r="J2990" s="875">
        <v>42684</v>
      </c>
      <c r="K2990" s="877" t="s">
        <v>1014</v>
      </c>
      <c r="L2990" s="879" t="s">
        <v>1202</v>
      </c>
      <c r="M2990" s="881" t="s">
        <v>148</v>
      </c>
      <c r="N2990" s="883">
        <v>1053000</v>
      </c>
      <c r="O2990" s="55">
        <v>719</v>
      </c>
      <c r="P2990" s="78">
        <v>810000</v>
      </c>
    </row>
    <row r="2991" spans="9:16" ht="15.75" thickBot="1">
      <c r="I2991" s="882"/>
      <c r="J2991" s="876"/>
      <c r="K2991" s="878"/>
      <c r="L2991" s="880"/>
      <c r="M2991" s="882"/>
      <c r="N2991" s="884"/>
      <c r="O2991" s="56">
        <v>721</v>
      </c>
      <c r="P2991" s="79">
        <f>+N2990-P2990</f>
        <v>243000</v>
      </c>
    </row>
    <row r="2992" spans="9:16">
      <c r="I2992" s="881"/>
      <c r="J2992" s="875"/>
      <c r="K2992" s="877"/>
      <c r="L2992" s="879"/>
      <c r="M2992" s="881"/>
      <c r="N2992" s="883"/>
      <c r="O2992" s="55">
        <v>719</v>
      </c>
      <c r="P2992" s="78"/>
    </row>
    <row r="2993" spans="9:16" ht="15.75" thickBot="1">
      <c r="I2993" s="882"/>
      <c r="J2993" s="876"/>
      <c r="K2993" s="878"/>
      <c r="L2993" s="880"/>
      <c r="M2993" s="882"/>
      <c r="N2993" s="884"/>
      <c r="O2993" s="56">
        <v>721</v>
      </c>
      <c r="P2993" s="79">
        <f>+N2992-P2992</f>
        <v>0</v>
      </c>
    </row>
    <row r="2994" spans="9:16" ht="16.5" thickBot="1">
      <c r="I2994" s="901" t="s">
        <v>102</v>
      </c>
      <c r="J2994" s="902"/>
      <c r="K2994" s="902"/>
      <c r="L2994" s="902"/>
      <c r="M2994" s="903"/>
      <c r="N2994" s="81">
        <f>SUM(N2984:N2993)</f>
        <v>1651000</v>
      </c>
    </row>
    <row r="2995" spans="9:16" ht="16.5" thickBot="1">
      <c r="I2995" s="885" t="s">
        <v>103</v>
      </c>
      <c r="J2995" s="886"/>
      <c r="K2995" s="886"/>
      <c r="L2995" s="886"/>
      <c r="M2995" s="887"/>
      <c r="N2995" s="69">
        <f>+N2959</f>
        <v>620789747</v>
      </c>
      <c r="O2995" s="241" t="s">
        <v>561</v>
      </c>
      <c r="P2995" s="242">
        <f>1174+29+720+29</f>
        <v>1952</v>
      </c>
    </row>
    <row r="2996" spans="9:16" ht="16.5" thickBot="1">
      <c r="I2996" s="888" t="s">
        <v>104</v>
      </c>
      <c r="J2996" s="889"/>
      <c r="K2996" s="889"/>
      <c r="L2996" s="889"/>
      <c r="M2996" s="890"/>
      <c r="N2996" s="183">
        <f>SUM(N2994:N2995)</f>
        <v>622440747</v>
      </c>
    </row>
    <row r="2997" spans="9:16" ht="11.25" customHeight="1">
      <c r="I2997" s="61"/>
      <c r="J2997" s="61"/>
      <c r="K2997" s="61"/>
      <c r="L2997" s="61"/>
      <c r="M2997" s="61"/>
    </row>
    <row r="2998" spans="9:16">
      <c r="I2998" s="51" t="s">
        <v>1204</v>
      </c>
    </row>
    <row r="2999" spans="9:16">
      <c r="N2999" s="139"/>
    </row>
    <row r="3000" spans="9:16">
      <c r="I3000" s="50" t="s">
        <v>105</v>
      </c>
      <c r="L3000" s="146"/>
      <c r="N3000" s="139"/>
    </row>
    <row r="3001" spans="9:16" ht="14.25" customHeight="1" thickBot="1"/>
    <row r="3002" spans="9:16" ht="15.75" thickBot="1">
      <c r="I3002" s="891" t="s">
        <v>106</v>
      </c>
      <c r="J3002" s="892"/>
      <c r="K3002" s="892"/>
      <c r="L3002" s="893"/>
      <c r="N3002" s="50" t="s">
        <v>1126</v>
      </c>
    </row>
    <row r="3003" spans="9:16" ht="30.75" thickBot="1">
      <c r="I3003" s="57" t="s">
        <v>100</v>
      </c>
      <c r="J3003" s="58" t="s">
        <v>108</v>
      </c>
      <c r="K3003" s="287" t="s">
        <v>109</v>
      </c>
      <c r="L3003" s="60" t="s">
        <v>110</v>
      </c>
    </row>
    <row r="3004" spans="9:16">
      <c r="I3004" s="71">
        <v>719</v>
      </c>
      <c r="J3004" s="73">
        <f>+P2984+P2986+P2988+P2990</f>
        <v>1270000</v>
      </c>
      <c r="K3004" s="74">
        <f>+L2967</f>
        <v>41985000</v>
      </c>
      <c r="L3004" s="195">
        <f>+J3004+K3004</f>
        <v>43255000</v>
      </c>
    </row>
    <row r="3005" spans="9:16">
      <c r="I3005" s="72">
        <v>721</v>
      </c>
      <c r="J3005" s="80">
        <f>+P2985+P2987+P2989+P2991+P2993</f>
        <v>381000</v>
      </c>
      <c r="K3005" s="74">
        <f>+L2968</f>
        <v>208967070</v>
      </c>
      <c r="L3005" s="195">
        <f>+J3005+K3005</f>
        <v>209348070</v>
      </c>
    </row>
    <row r="3006" spans="9:16">
      <c r="I3006" s="72">
        <v>722</v>
      </c>
      <c r="J3006" s="80"/>
      <c r="K3006" s="74">
        <f>+L2969</f>
        <v>5580000</v>
      </c>
      <c r="L3006" s="195">
        <f>+J3006+K3006</f>
        <v>5580000</v>
      </c>
    </row>
    <row r="3007" spans="9:16" ht="15.75">
      <c r="I3007" s="72">
        <v>723</v>
      </c>
      <c r="J3007" s="80"/>
      <c r="K3007" s="74">
        <f>+L2970</f>
        <v>397905551</v>
      </c>
      <c r="L3007" s="195">
        <f>+J3007+K3007</f>
        <v>397905551</v>
      </c>
      <c r="N3007" s="193" t="s">
        <v>1028</v>
      </c>
      <c r="O3007" s="175"/>
    </row>
    <row r="3008" spans="9:16" ht="16.5" thickBot="1">
      <c r="I3008" s="164" t="s">
        <v>1077</v>
      </c>
      <c r="J3008" s="165"/>
      <c r="K3008" s="74">
        <f>+L2971</f>
        <v>797500</v>
      </c>
      <c r="L3008" s="196">
        <f>+J3008+K3008</f>
        <v>797500</v>
      </c>
      <c r="N3008" s="52"/>
    </row>
    <row r="3009" spans="9:16" ht="16.5" thickBot="1">
      <c r="I3009" s="169"/>
      <c r="J3009" s="197">
        <f>SUM(J3004:J3008)</f>
        <v>1651000</v>
      </c>
      <c r="K3009" s="197">
        <f>SUM(K3004:K3008)</f>
        <v>655235121</v>
      </c>
      <c r="L3009" s="198">
        <f>SUM(L3004:L3008)</f>
        <v>656886121</v>
      </c>
    </row>
    <row r="3010" spans="9:16" ht="16.5">
      <c r="I3010" s="49" t="s">
        <v>88</v>
      </c>
      <c r="J3010" s="50"/>
    </row>
    <row r="3011" spans="9:16">
      <c r="I3011" s="51" t="s">
        <v>89</v>
      </c>
    </row>
    <row r="3012" spans="9:16">
      <c r="I3012" s="51" t="s">
        <v>90</v>
      </c>
    </row>
    <row r="3013" spans="9:16">
      <c r="I3013" s="51" t="s">
        <v>91</v>
      </c>
    </row>
    <row r="3014" spans="9:16" ht="12" customHeight="1">
      <c r="I3014" s="50"/>
      <c r="J3014" s="50"/>
    </row>
    <row r="3015" spans="9:16" ht="15.75">
      <c r="I3015" s="260" t="s">
        <v>1206</v>
      </c>
      <c r="O3015" s="52"/>
    </row>
    <row r="3016" spans="9:16" ht="15.75">
      <c r="I3016" s="53" t="s">
        <v>535</v>
      </c>
      <c r="O3016" s="53"/>
    </row>
    <row r="3017" spans="9:16" ht="16.5">
      <c r="I3017" s="894" t="s">
        <v>909</v>
      </c>
      <c r="J3017" s="894"/>
      <c r="K3017" s="894"/>
      <c r="L3017" s="894"/>
      <c r="M3017" s="894"/>
      <c r="N3017" s="894"/>
      <c r="O3017" s="894"/>
      <c r="P3017" s="894"/>
    </row>
    <row r="3018" spans="9:16" ht="15.75" thickBot="1"/>
    <row r="3019" spans="9:16">
      <c r="I3019" s="895" t="s">
        <v>94</v>
      </c>
      <c r="J3019" s="897" t="s">
        <v>95</v>
      </c>
      <c r="K3019" s="897" t="s">
        <v>96</v>
      </c>
      <c r="L3019" s="897" t="s">
        <v>3</v>
      </c>
      <c r="M3019" s="897" t="s">
        <v>97</v>
      </c>
      <c r="N3019" s="897" t="s">
        <v>98</v>
      </c>
      <c r="O3019" s="897" t="s">
        <v>99</v>
      </c>
      <c r="P3019" s="899"/>
    </row>
    <row r="3020" spans="9:16" ht="15.75" thickBot="1">
      <c r="I3020" s="896"/>
      <c r="J3020" s="898"/>
      <c r="K3020" s="898"/>
      <c r="L3020" s="898"/>
      <c r="M3020" s="898"/>
      <c r="N3020" s="898"/>
      <c r="O3020" s="240" t="s">
        <v>100</v>
      </c>
      <c r="P3020" s="182" t="s">
        <v>101</v>
      </c>
    </row>
    <row r="3021" spans="9:16">
      <c r="I3021" s="881">
        <v>324</v>
      </c>
      <c r="J3021" s="875">
        <v>42692</v>
      </c>
      <c r="K3021" s="877" t="s">
        <v>1014</v>
      </c>
      <c r="L3021" s="879" t="s">
        <v>1207</v>
      </c>
      <c r="M3021" s="881" t="s">
        <v>115</v>
      </c>
      <c r="N3021" s="883">
        <v>70000</v>
      </c>
      <c r="O3021" s="55">
        <v>719</v>
      </c>
      <c r="P3021" s="78">
        <v>70000</v>
      </c>
    </row>
    <row r="3022" spans="9:16" ht="15.75" thickBot="1">
      <c r="I3022" s="882"/>
      <c r="J3022" s="876"/>
      <c r="K3022" s="878"/>
      <c r="L3022" s="880"/>
      <c r="M3022" s="882"/>
      <c r="N3022" s="884"/>
      <c r="O3022" s="56">
        <v>721</v>
      </c>
      <c r="P3022" s="79">
        <f>+N3021-P3021</f>
        <v>0</v>
      </c>
    </row>
    <row r="3023" spans="9:16" ht="15" customHeight="1">
      <c r="I3023" s="881">
        <v>325</v>
      </c>
      <c r="J3023" s="875">
        <v>42692</v>
      </c>
      <c r="K3023" s="877" t="s">
        <v>28</v>
      </c>
      <c r="L3023" s="879" t="s">
        <v>1208</v>
      </c>
      <c r="M3023" s="881" t="s">
        <v>115</v>
      </c>
      <c r="N3023" s="883">
        <v>80000</v>
      </c>
      <c r="O3023" s="55">
        <v>719</v>
      </c>
      <c r="P3023" s="78">
        <v>80000</v>
      </c>
    </row>
    <row r="3024" spans="9:16" ht="15.75" customHeight="1" thickBot="1">
      <c r="I3024" s="882"/>
      <c r="J3024" s="876"/>
      <c r="K3024" s="878"/>
      <c r="L3024" s="880"/>
      <c r="M3024" s="882"/>
      <c r="N3024" s="884"/>
      <c r="O3024" s="56">
        <v>721</v>
      </c>
      <c r="P3024" s="79">
        <f>+N3023-P3023</f>
        <v>0</v>
      </c>
    </row>
    <row r="3025" spans="9:16" ht="15" customHeight="1">
      <c r="I3025" s="881">
        <v>326</v>
      </c>
      <c r="J3025" s="875">
        <v>42692</v>
      </c>
      <c r="K3025" s="877" t="s">
        <v>120</v>
      </c>
      <c r="L3025" s="879" t="s">
        <v>1209</v>
      </c>
      <c r="M3025" s="881" t="s">
        <v>115</v>
      </c>
      <c r="N3025" s="883">
        <v>110000</v>
      </c>
      <c r="O3025" s="55">
        <v>719</v>
      </c>
      <c r="P3025" s="78">
        <v>110000</v>
      </c>
    </row>
    <row r="3026" spans="9:16" ht="15.75" customHeight="1" thickBot="1">
      <c r="I3026" s="882"/>
      <c r="J3026" s="876"/>
      <c r="K3026" s="878"/>
      <c r="L3026" s="880"/>
      <c r="M3026" s="882"/>
      <c r="N3026" s="884"/>
      <c r="O3026" s="56">
        <v>721</v>
      </c>
      <c r="P3026" s="79">
        <f>+N3025-P3025</f>
        <v>0</v>
      </c>
    </row>
    <row r="3027" spans="9:16">
      <c r="I3027" s="881"/>
      <c r="J3027" s="875"/>
      <c r="K3027" s="877"/>
      <c r="L3027" s="879"/>
      <c r="M3027" s="881"/>
      <c r="N3027" s="883"/>
      <c r="O3027" s="55">
        <v>719</v>
      </c>
      <c r="P3027" s="78">
        <v>0</v>
      </c>
    </row>
    <row r="3028" spans="9:16" ht="15.75" thickBot="1">
      <c r="I3028" s="882"/>
      <c r="J3028" s="876"/>
      <c r="K3028" s="878"/>
      <c r="L3028" s="880"/>
      <c r="M3028" s="882"/>
      <c r="N3028" s="884"/>
      <c r="O3028" s="56">
        <v>721</v>
      </c>
      <c r="P3028" s="79">
        <f>+N3027-P3027</f>
        <v>0</v>
      </c>
    </row>
    <row r="3029" spans="9:16">
      <c r="I3029" s="881"/>
      <c r="J3029" s="875"/>
      <c r="K3029" s="877"/>
      <c r="L3029" s="879"/>
      <c r="M3029" s="881"/>
      <c r="N3029" s="883"/>
      <c r="O3029" s="55">
        <v>719</v>
      </c>
      <c r="P3029" s="78"/>
    </row>
    <row r="3030" spans="9:16" ht="15.75" thickBot="1">
      <c r="I3030" s="882"/>
      <c r="J3030" s="876"/>
      <c r="K3030" s="878"/>
      <c r="L3030" s="880"/>
      <c r="M3030" s="882"/>
      <c r="N3030" s="884"/>
      <c r="O3030" s="56">
        <v>721</v>
      </c>
      <c r="P3030" s="79">
        <f>+N3029-P3029</f>
        <v>0</v>
      </c>
    </row>
    <row r="3031" spans="9:16" ht="16.5" thickBot="1">
      <c r="I3031" s="901" t="s">
        <v>102</v>
      </c>
      <c r="J3031" s="902"/>
      <c r="K3031" s="902"/>
      <c r="L3031" s="902"/>
      <c r="M3031" s="903"/>
      <c r="N3031" s="81">
        <f>SUM(N3021:N3030)</f>
        <v>260000</v>
      </c>
    </row>
    <row r="3032" spans="9:16" ht="16.5" thickBot="1">
      <c r="I3032" s="885" t="s">
        <v>103</v>
      </c>
      <c r="J3032" s="886"/>
      <c r="K3032" s="886"/>
      <c r="L3032" s="886"/>
      <c r="M3032" s="887"/>
      <c r="N3032" s="69">
        <f>+N2996</f>
        <v>622440747</v>
      </c>
      <c r="O3032" s="241" t="s">
        <v>561</v>
      </c>
      <c r="P3032" s="242">
        <f>235+115+352</f>
        <v>702</v>
      </c>
    </row>
    <row r="3033" spans="9:16" ht="16.5" thickBot="1">
      <c r="I3033" s="888" t="s">
        <v>104</v>
      </c>
      <c r="J3033" s="889"/>
      <c r="K3033" s="889"/>
      <c r="L3033" s="889"/>
      <c r="M3033" s="890"/>
      <c r="N3033" s="183">
        <f>SUM(N3031:N3032)</f>
        <v>622700747</v>
      </c>
    </row>
    <row r="3034" spans="9:16">
      <c r="I3034" s="61"/>
      <c r="J3034" s="61"/>
      <c r="K3034" s="61"/>
      <c r="L3034" s="61"/>
      <c r="M3034" s="61"/>
    </row>
    <row r="3035" spans="9:16">
      <c r="I3035" s="51" t="s">
        <v>1210</v>
      </c>
    </row>
    <row r="3036" spans="9:16" ht="11.25" customHeight="1">
      <c r="N3036" s="139"/>
    </row>
    <row r="3037" spans="9:16">
      <c r="I3037" s="50" t="s">
        <v>105</v>
      </c>
      <c r="L3037" s="146"/>
      <c r="N3037" s="139"/>
    </row>
    <row r="3038" spans="9:16" ht="13.5" customHeight="1" thickBot="1"/>
    <row r="3039" spans="9:16" ht="15.75" thickBot="1">
      <c r="I3039" s="891" t="s">
        <v>106</v>
      </c>
      <c r="J3039" s="892"/>
      <c r="K3039" s="892"/>
      <c r="L3039" s="893"/>
      <c r="N3039" s="50" t="s">
        <v>1126</v>
      </c>
    </row>
    <row r="3040" spans="9:16" ht="30.75" thickBot="1">
      <c r="I3040" s="57" t="s">
        <v>100</v>
      </c>
      <c r="J3040" s="58" t="s">
        <v>108</v>
      </c>
      <c r="K3040" s="287" t="s">
        <v>109</v>
      </c>
      <c r="L3040" s="60" t="s">
        <v>110</v>
      </c>
    </row>
    <row r="3041" spans="9:16">
      <c r="I3041" s="71">
        <v>719</v>
      </c>
      <c r="J3041" s="73">
        <f>+P3021+P3023+P3025+P3027</f>
        <v>260000</v>
      </c>
      <c r="K3041" s="74">
        <f>+L3004</f>
        <v>43255000</v>
      </c>
      <c r="L3041" s="195">
        <f>+J3041+K3041</f>
        <v>43515000</v>
      </c>
    </row>
    <row r="3042" spans="9:16">
      <c r="I3042" s="72">
        <v>721</v>
      </c>
      <c r="J3042" s="80">
        <f>+P3022+P3024+P3026+P3028+P3030</f>
        <v>0</v>
      </c>
      <c r="K3042" s="74">
        <f>+L3005</f>
        <v>209348070</v>
      </c>
      <c r="L3042" s="195">
        <f>+J3042+K3042</f>
        <v>209348070</v>
      </c>
    </row>
    <row r="3043" spans="9:16">
      <c r="I3043" s="72">
        <v>722</v>
      </c>
      <c r="J3043" s="80"/>
      <c r="K3043" s="74">
        <f>+L3006</f>
        <v>5580000</v>
      </c>
      <c r="L3043" s="195">
        <f>+J3043+K3043</f>
        <v>5580000</v>
      </c>
    </row>
    <row r="3044" spans="9:16" ht="15.75">
      <c r="I3044" s="72">
        <v>723</v>
      </c>
      <c r="J3044" s="80"/>
      <c r="K3044" s="74">
        <f>+L3007</f>
        <v>397905551</v>
      </c>
      <c r="L3044" s="195">
        <f>+J3044+K3044</f>
        <v>397905551</v>
      </c>
      <c r="N3044" s="193" t="s">
        <v>1028</v>
      </c>
      <c r="O3044" s="175"/>
    </row>
    <row r="3045" spans="9:16" ht="16.5" thickBot="1">
      <c r="I3045" s="164" t="s">
        <v>1077</v>
      </c>
      <c r="J3045" s="165"/>
      <c r="K3045" s="74">
        <f>+L3008</f>
        <v>797500</v>
      </c>
      <c r="L3045" s="196">
        <f>+J3045+K3045</f>
        <v>797500</v>
      </c>
      <c r="N3045" s="52"/>
    </row>
    <row r="3046" spans="9:16" ht="16.5" thickBot="1">
      <c r="I3046" s="169"/>
      <c r="J3046" s="197">
        <f>SUM(J3041:J3045)</f>
        <v>260000</v>
      </c>
      <c r="K3046" s="197">
        <f>SUM(K3041:K3045)</f>
        <v>656886121</v>
      </c>
      <c r="L3046" s="198">
        <f>SUM(L3041:L3045)</f>
        <v>657146121</v>
      </c>
    </row>
    <row r="3047" spans="9:16" ht="16.5">
      <c r="I3047" s="49" t="s">
        <v>88</v>
      </c>
      <c r="J3047" s="50"/>
    </row>
    <row r="3048" spans="9:16">
      <c r="I3048" s="51" t="s">
        <v>89</v>
      </c>
    </row>
    <row r="3049" spans="9:16">
      <c r="I3049" s="51" t="s">
        <v>90</v>
      </c>
    </row>
    <row r="3050" spans="9:16">
      <c r="I3050" s="51" t="s">
        <v>91</v>
      </c>
    </row>
    <row r="3051" spans="9:16" ht="11.25" customHeight="1">
      <c r="I3051" s="50"/>
      <c r="J3051" s="50"/>
    </row>
    <row r="3052" spans="9:16" ht="15.75">
      <c r="I3052" s="260" t="s">
        <v>1217</v>
      </c>
      <c r="O3052" s="52"/>
    </row>
    <row r="3053" spans="9:16" ht="15.75">
      <c r="I3053" s="53" t="s">
        <v>535</v>
      </c>
      <c r="O3053" s="53"/>
    </row>
    <row r="3054" spans="9:16" ht="16.5">
      <c r="I3054" s="894" t="s">
        <v>909</v>
      </c>
      <c r="J3054" s="894"/>
      <c r="K3054" s="894"/>
      <c r="L3054" s="894"/>
      <c r="M3054" s="894"/>
      <c r="N3054" s="894"/>
      <c r="O3054" s="894"/>
      <c r="P3054" s="894"/>
    </row>
    <row r="3055" spans="9:16" ht="15.75" thickBot="1"/>
    <row r="3056" spans="9:16">
      <c r="I3056" s="895" t="s">
        <v>94</v>
      </c>
      <c r="J3056" s="897" t="s">
        <v>95</v>
      </c>
      <c r="K3056" s="897" t="s">
        <v>96</v>
      </c>
      <c r="L3056" s="897" t="s">
        <v>3</v>
      </c>
      <c r="M3056" s="897" t="s">
        <v>97</v>
      </c>
      <c r="N3056" s="897" t="s">
        <v>98</v>
      </c>
      <c r="O3056" s="897" t="s">
        <v>99</v>
      </c>
      <c r="P3056" s="899"/>
    </row>
    <row r="3057" spans="9:16" ht="15.75" thickBot="1">
      <c r="I3057" s="896"/>
      <c r="J3057" s="898"/>
      <c r="K3057" s="898"/>
      <c r="L3057" s="898"/>
      <c r="M3057" s="898"/>
      <c r="N3057" s="898"/>
      <c r="O3057" s="240" t="s">
        <v>100</v>
      </c>
      <c r="P3057" s="182" t="s">
        <v>101</v>
      </c>
    </row>
    <row r="3058" spans="9:16">
      <c r="I3058" s="881">
        <v>327</v>
      </c>
      <c r="J3058" s="875">
        <v>42703</v>
      </c>
      <c r="K3058" s="877" t="s">
        <v>1014</v>
      </c>
      <c r="L3058" s="879" t="s">
        <v>1218</v>
      </c>
      <c r="M3058" s="881" t="s">
        <v>115</v>
      </c>
      <c r="N3058" s="883">
        <v>50000</v>
      </c>
      <c r="O3058" s="55">
        <v>719</v>
      </c>
      <c r="P3058" s="78">
        <v>50000</v>
      </c>
    </row>
    <row r="3059" spans="9:16" ht="15.75" thickBot="1">
      <c r="I3059" s="882"/>
      <c r="J3059" s="876"/>
      <c r="K3059" s="878"/>
      <c r="L3059" s="880"/>
      <c r="M3059" s="882"/>
      <c r="N3059" s="884"/>
      <c r="O3059" s="56">
        <v>721</v>
      </c>
      <c r="P3059" s="79">
        <f>+N3058-P3058</f>
        <v>0</v>
      </c>
    </row>
    <row r="3060" spans="9:16" ht="15" customHeight="1">
      <c r="I3060" s="881">
        <v>328</v>
      </c>
      <c r="J3060" s="875">
        <v>42703</v>
      </c>
      <c r="K3060" s="877" t="s">
        <v>28</v>
      </c>
      <c r="L3060" s="879" t="s">
        <v>1218</v>
      </c>
      <c r="M3060" s="881" t="s">
        <v>115</v>
      </c>
      <c r="N3060" s="883">
        <v>50000</v>
      </c>
      <c r="O3060" s="55">
        <v>719</v>
      </c>
      <c r="P3060" s="78">
        <v>50000</v>
      </c>
    </row>
    <row r="3061" spans="9:16" ht="15.75" customHeight="1" thickBot="1">
      <c r="I3061" s="882"/>
      <c r="J3061" s="876"/>
      <c r="K3061" s="878"/>
      <c r="L3061" s="880"/>
      <c r="M3061" s="882"/>
      <c r="N3061" s="884"/>
      <c r="O3061" s="56">
        <v>721</v>
      </c>
      <c r="P3061" s="79">
        <f>+N3060-P3060</f>
        <v>0</v>
      </c>
    </row>
    <row r="3062" spans="9:16" ht="15" customHeight="1">
      <c r="I3062" s="881">
        <v>329</v>
      </c>
      <c r="J3062" s="875">
        <v>42703</v>
      </c>
      <c r="K3062" s="877" t="s">
        <v>120</v>
      </c>
      <c r="L3062" s="879" t="s">
        <v>1219</v>
      </c>
      <c r="M3062" s="881" t="s">
        <v>115</v>
      </c>
      <c r="N3062" s="883">
        <v>30000</v>
      </c>
      <c r="O3062" s="55">
        <v>719</v>
      </c>
      <c r="P3062" s="78">
        <v>30000</v>
      </c>
    </row>
    <row r="3063" spans="9:16" ht="15.75" customHeight="1" thickBot="1">
      <c r="I3063" s="882"/>
      <c r="J3063" s="876"/>
      <c r="K3063" s="878"/>
      <c r="L3063" s="880"/>
      <c r="M3063" s="882"/>
      <c r="N3063" s="884"/>
      <c r="O3063" s="56">
        <v>721</v>
      </c>
      <c r="P3063" s="79">
        <f>+N3062-P3062</f>
        <v>0</v>
      </c>
    </row>
    <row r="3064" spans="9:16">
      <c r="I3064" s="881">
        <v>330</v>
      </c>
      <c r="J3064" s="875">
        <v>42703</v>
      </c>
      <c r="K3064" s="877" t="s">
        <v>674</v>
      </c>
      <c r="L3064" s="879" t="s">
        <v>1221</v>
      </c>
      <c r="M3064" s="881" t="s">
        <v>148</v>
      </c>
      <c r="N3064" s="883">
        <v>1350000</v>
      </c>
      <c r="O3064" s="55">
        <v>719</v>
      </c>
      <c r="P3064" s="78">
        <v>0</v>
      </c>
    </row>
    <row r="3065" spans="9:16" ht="15.75" thickBot="1">
      <c r="I3065" s="882"/>
      <c r="J3065" s="876"/>
      <c r="K3065" s="878"/>
      <c r="L3065" s="880"/>
      <c r="M3065" s="882"/>
      <c r="N3065" s="884"/>
      <c r="O3065" s="56">
        <v>723</v>
      </c>
      <c r="P3065" s="79">
        <f>+N3064-P3064</f>
        <v>1350000</v>
      </c>
    </row>
    <row r="3066" spans="9:16">
      <c r="I3066" s="881"/>
      <c r="J3066" s="875"/>
      <c r="K3066" s="877"/>
      <c r="L3066" s="879"/>
      <c r="M3066" s="881"/>
      <c r="N3066" s="883"/>
      <c r="O3066" s="55">
        <v>719</v>
      </c>
      <c r="P3066" s="78"/>
    </row>
    <row r="3067" spans="9:16" ht="15.75" thickBot="1">
      <c r="I3067" s="882"/>
      <c r="J3067" s="876"/>
      <c r="K3067" s="878"/>
      <c r="L3067" s="880"/>
      <c r="M3067" s="882"/>
      <c r="N3067" s="884"/>
      <c r="O3067" s="56">
        <v>721</v>
      </c>
      <c r="P3067" s="79">
        <f>+N3066-P3066</f>
        <v>0</v>
      </c>
    </row>
    <row r="3068" spans="9:16" ht="16.5" thickBot="1">
      <c r="I3068" s="901" t="s">
        <v>102</v>
      </c>
      <c r="J3068" s="902"/>
      <c r="K3068" s="902"/>
      <c r="L3068" s="902"/>
      <c r="M3068" s="903"/>
      <c r="N3068" s="81">
        <f>SUM(N3058:N3067)</f>
        <v>1480000</v>
      </c>
    </row>
    <row r="3069" spans="9:16" ht="16.5" thickBot="1">
      <c r="I3069" s="885" t="s">
        <v>103</v>
      </c>
      <c r="J3069" s="886"/>
      <c r="K3069" s="886"/>
      <c r="L3069" s="886"/>
      <c r="M3069" s="887"/>
      <c r="N3069" s="69">
        <f>+N3033</f>
        <v>622700747</v>
      </c>
      <c r="O3069" s="241" t="s">
        <v>561</v>
      </c>
      <c r="P3069" s="242">
        <f>48+92+184</f>
        <v>324</v>
      </c>
    </row>
    <row r="3070" spans="9:16" ht="16.5" thickBot="1">
      <c r="I3070" s="888" t="s">
        <v>104</v>
      </c>
      <c r="J3070" s="889"/>
      <c r="K3070" s="889"/>
      <c r="L3070" s="889"/>
      <c r="M3070" s="890"/>
      <c r="N3070" s="183">
        <f>SUM(N3068:N3069)</f>
        <v>624180747</v>
      </c>
    </row>
    <row r="3071" spans="9:16" ht="12" customHeight="1">
      <c r="I3071" s="61"/>
      <c r="J3071" s="61"/>
      <c r="K3071" s="61"/>
      <c r="L3071" s="61"/>
      <c r="M3071" s="61"/>
    </row>
    <row r="3072" spans="9:16">
      <c r="I3072" s="51" t="s">
        <v>1220</v>
      </c>
    </row>
    <row r="3073" spans="9:15" ht="12" customHeight="1">
      <c r="N3073" s="139"/>
    </row>
    <row r="3074" spans="9:15">
      <c r="I3074" s="50" t="s">
        <v>105</v>
      </c>
      <c r="L3074" s="146"/>
      <c r="N3074" s="139"/>
    </row>
    <row r="3075" spans="9:15" ht="12.75" customHeight="1" thickBot="1"/>
    <row r="3076" spans="9:15" ht="15.75" thickBot="1">
      <c r="I3076" s="891" t="s">
        <v>106</v>
      </c>
      <c r="J3076" s="892"/>
      <c r="K3076" s="892"/>
      <c r="L3076" s="893"/>
      <c r="N3076" s="50" t="s">
        <v>288</v>
      </c>
    </row>
    <row r="3077" spans="9:15" ht="30.75" thickBot="1">
      <c r="I3077" s="57" t="s">
        <v>100</v>
      </c>
      <c r="J3077" s="58" t="s">
        <v>108</v>
      </c>
      <c r="K3077" s="287" t="s">
        <v>109</v>
      </c>
      <c r="L3077" s="60" t="s">
        <v>110</v>
      </c>
    </row>
    <row r="3078" spans="9:15">
      <c r="I3078" s="71">
        <v>719</v>
      </c>
      <c r="J3078" s="73">
        <f>+P3058+P3060+P3062+P3064</f>
        <v>130000</v>
      </c>
      <c r="K3078" s="74">
        <f>+L3041</f>
        <v>43515000</v>
      </c>
      <c r="L3078" s="195">
        <f>+J3078+K3078</f>
        <v>43645000</v>
      </c>
    </row>
    <row r="3079" spans="9:15">
      <c r="I3079" s="72">
        <v>721</v>
      </c>
      <c r="J3079" s="80"/>
      <c r="K3079" s="74">
        <f>+L3042</f>
        <v>209348070</v>
      </c>
      <c r="L3079" s="195">
        <f>+J3079+K3079</f>
        <v>209348070</v>
      </c>
    </row>
    <row r="3080" spans="9:15">
      <c r="I3080" s="72">
        <v>722</v>
      </c>
      <c r="J3080" s="80"/>
      <c r="K3080" s="74">
        <f>+L3043</f>
        <v>5580000</v>
      </c>
      <c r="L3080" s="195">
        <f>+J3080+K3080</f>
        <v>5580000</v>
      </c>
    </row>
    <row r="3081" spans="9:15" ht="15.75">
      <c r="I3081" s="72">
        <v>723</v>
      </c>
      <c r="J3081" s="80">
        <f>+P3065</f>
        <v>1350000</v>
      </c>
      <c r="K3081" s="74">
        <f>+L3044</f>
        <v>397905551</v>
      </c>
      <c r="L3081" s="195">
        <f>+J3081+K3081</f>
        <v>399255551</v>
      </c>
      <c r="N3081" s="193" t="s">
        <v>289</v>
      </c>
      <c r="O3081" s="175"/>
    </row>
    <row r="3082" spans="9:15" ht="16.5" thickBot="1">
      <c r="I3082" s="164" t="s">
        <v>1077</v>
      </c>
      <c r="J3082" s="165"/>
      <c r="K3082" s="74">
        <f>+L3045</f>
        <v>797500</v>
      </c>
      <c r="L3082" s="196">
        <f>+J3082+K3082</f>
        <v>797500</v>
      </c>
      <c r="N3082" s="52"/>
    </row>
    <row r="3083" spans="9:15" ht="16.5" thickBot="1">
      <c r="I3083" s="169"/>
      <c r="J3083" s="197">
        <f>SUM(J3078:J3082)</f>
        <v>1480000</v>
      </c>
      <c r="K3083" s="197">
        <f>SUM(K3078:K3082)</f>
        <v>657146121</v>
      </c>
      <c r="L3083" s="198">
        <f>SUM(L3078:L3082)</f>
        <v>658626121</v>
      </c>
    </row>
    <row r="3084" spans="9:15" ht="16.5">
      <c r="I3084" s="49" t="s">
        <v>88</v>
      </c>
      <c r="J3084" s="50"/>
    </row>
    <row r="3085" spans="9:15">
      <c r="I3085" s="51" t="s">
        <v>89</v>
      </c>
    </row>
    <row r="3086" spans="9:15">
      <c r="I3086" s="51" t="s">
        <v>90</v>
      </c>
    </row>
    <row r="3087" spans="9:15">
      <c r="I3087" s="51" t="s">
        <v>91</v>
      </c>
    </row>
    <row r="3088" spans="9:15" ht="12" customHeight="1">
      <c r="I3088" s="50"/>
      <c r="J3088" s="50"/>
    </row>
    <row r="3089" spans="9:16" ht="15.75">
      <c r="I3089" s="260" t="s">
        <v>1222</v>
      </c>
      <c r="O3089" s="52"/>
    </row>
    <row r="3090" spans="9:16" ht="15.75">
      <c r="I3090" s="53" t="s">
        <v>535</v>
      </c>
      <c r="O3090" s="53"/>
    </row>
    <row r="3091" spans="9:16" ht="16.5">
      <c r="I3091" s="894" t="s">
        <v>170</v>
      </c>
      <c r="J3091" s="894"/>
      <c r="K3091" s="894"/>
      <c r="L3091" s="894"/>
      <c r="M3091" s="894"/>
      <c r="N3091" s="894"/>
      <c r="O3091" s="894"/>
      <c r="P3091" s="894"/>
    </row>
    <row r="3092" spans="9:16" ht="15.75" thickBot="1"/>
    <row r="3093" spans="9:16">
      <c r="I3093" s="895" t="s">
        <v>94</v>
      </c>
      <c r="J3093" s="897" t="s">
        <v>95</v>
      </c>
      <c r="K3093" s="897" t="s">
        <v>96</v>
      </c>
      <c r="L3093" s="897" t="s">
        <v>3</v>
      </c>
      <c r="M3093" s="897" t="s">
        <v>97</v>
      </c>
      <c r="N3093" s="897" t="s">
        <v>98</v>
      </c>
      <c r="O3093" s="897" t="s">
        <v>99</v>
      </c>
      <c r="P3093" s="899"/>
    </row>
    <row r="3094" spans="9:16" ht="15.75" thickBot="1">
      <c r="I3094" s="896"/>
      <c r="J3094" s="898"/>
      <c r="K3094" s="898"/>
      <c r="L3094" s="898"/>
      <c r="M3094" s="898"/>
      <c r="N3094" s="898"/>
      <c r="O3094" s="240" t="s">
        <v>100</v>
      </c>
      <c r="P3094" s="182" t="s">
        <v>101</v>
      </c>
    </row>
    <row r="3095" spans="9:16">
      <c r="I3095" s="881">
        <v>331</v>
      </c>
      <c r="J3095" s="875">
        <v>42704</v>
      </c>
      <c r="K3095" s="877" t="s">
        <v>1014</v>
      </c>
      <c r="L3095" s="879" t="s">
        <v>1224</v>
      </c>
      <c r="M3095" s="881" t="s">
        <v>115</v>
      </c>
      <c r="N3095" s="883">
        <v>70000</v>
      </c>
      <c r="O3095" s="55">
        <v>719</v>
      </c>
      <c r="P3095" s="78">
        <v>70000</v>
      </c>
    </row>
    <row r="3096" spans="9:16" ht="15.75" thickBot="1">
      <c r="I3096" s="882"/>
      <c r="J3096" s="876"/>
      <c r="K3096" s="878"/>
      <c r="L3096" s="880"/>
      <c r="M3096" s="882"/>
      <c r="N3096" s="884"/>
      <c r="O3096" s="56">
        <v>721</v>
      </c>
      <c r="P3096" s="79">
        <f>+N3095-P3095</f>
        <v>0</v>
      </c>
    </row>
    <row r="3097" spans="9:16" ht="15" customHeight="1">
      <c r="I3097" s="881">
        <v>332</v>
      </c>
      <c r="J3097" s="875">
        <v>42704</v>
      </c>
      <c r="K3097" s="877" t="s">
        <v>28</v>
      </c>
      <c r="L3097" s="879" t="s">
        <v>1224</v>
      </c>
      <c r="M3097" s="881" t="s">
        <v>115</v>
      </c>
      <c r="N3097" s="883">
        <v>70000</v>
      </c>
      <c r="O3097" s="55">
        <v>719</v>
      </c>
      <c r="P3097" s="78">
        <v>70000</v>
      </c>
    </row>
    <row r="3098" spans="9:16" ht="15.75" customHeight="1" thickBot="1">
      <c r="I3098" s="882"/>
      <c r="J3098" s="876"/>
      <c r="K3098" s="878"/>
      <c r="L3098" s="880"/>
      <c r="M3098" s="882"/>
      <c r="N3098" s="884"/>
      <c r="O3098" s="56">
        <v>721</v>
      </c>
      <c r="P3098" s="79">
        <f>+N3097-P3097</f>
        <v>0</v>
      </c>
    </row>
    <row r="3099" spans="9:16" ht="15" customHeight="1">
      <c r="I3099" s="881">
        <v>333</v>
      </c>
      <c r="J3099" s="875">
        <v>42704</v>
      </c>
      <c r="K3099" s="877" t="s">
        <v>120</v>
      </c>
      <c r="L3099" s="879" t="s">
        <v>1224</v>
      </c>
      <c r="M3099" s="881" t="s">
        <v>115</v>
      </c>
      <c r="N3099" s="883">
        <v>110000</v>
      </c>
      <c r="O3099" s="55">
        <v>719</v>
      </c>
      <c r="P3099" s="78">
        <v>110000</v>
      </c>
    </row>
    <row r="3100" spans="9:16" ht="15.75" customHeight="1" thickBot="1">
      <c r="I3100" s="882"/>
      <c r="J3100" s="876"/>
      <c r="K3100" s="878"/>
      <c r="L3100" s="880"/>
      <c r="M3100" s="882"/>
      <c r="N3100" s="884"/>
      <c r="O3100" s="56">
        <v>721</v>
      </c>
      <c r="P3100" s="79">
        <f>+N3099-P3099</f>
        <v>0</v>
      </c>
    </row>
    <row r="3101" spans="9:16" ht="15" customHeight="1">
      <c r="I3101" s="881"/>
      <c r="J3101" s="875"/>
      <c r="K3101" s="877"/>
      <c r="L3101" s="879"/>
      <c r="M3101" s="881"/>
      <c r="N3101" s="883"/>
      <c r="O3101" s="55"/>
      <c r="P3101" s="78"/>
    </row>
    <row r="3102" spans="9:16" ht="15.75" customHeight="1" thickBot="1">
      <c r="I3102" s="882"/>
      <c r="J3102" s="876"/>
      <c r="K3102" s="878"/>
      <c r="L3102" s="880"/>
      <c r="M3102" s="882"/>
      <c r="N3102" s="884"/>
      <c r="O3102" s="56"/>
      <c r="P3102" s="79"/>
    </row>
    <row r="3103" spans="9:16" ht="14.25" customHeight="1">
      <c r="I3103" s="881"/>
      <c r="J3103" s="875"/>
      <c r="K3103" s="877"/>
      <c r="L3103" s="879"/>
      <c r="M3103" s="881"/>
      <c r="N3103" s="883"/>
      <c r="O3103" s="55">
        <v>719</v>
      </c>
      <c r="P3103" s="78"/>
    </row>
    <row r="3104" spans="9:16" ht="13.5" customHeight="1" thickBot="1">
      <c r="I3104" s="882"/>
      <c r="J3104" s="876"/>
      <c r="K3104" s="878"/>
      <c r="L3104" s="880"/>
      <c r="M3104" s="882"/>
      <c r="N3104" s="884"/>
      <c r="O3104" s="56">
        <v>721</v>
      </c>
      <c r="P3104" s="79">
        <f>+N3103-P3103</f>
        <v>0</v>
      </c>
    </row>
    <row r="3105" spans="9:16" ht="16.5" thickBot="1">
      <c r="I3105" s="901" t="s">
        <v>102</v>
      </c>
      <c r="J3105" s="902"/>
      <c r="K3105" s="902"/>
      <c r="L3105" s="902"/>
      <c r="M3105" s="903"/>
      <c r="N3105" s="81">
        <f>SUM(N3095:N3104)</f>
        <v>250000</v>
      </c>
    </row>
    <row r="3106" spans="9:16" ht="16.5" thickBot="1">
      <c r="I3106" s="885" t="s">
        <v>103</v>
      </c>
      <c r="J3106" s="886"/>
      <c r="K3106" s="886"/>
      <c r="L3106" s="886"/>
      <c r="M3106" s="887"/>
      <c r="N3106" s="69">
        <f>+N3070</f>
        <v>624180747</v>
      </c>
      <c r="O3106" s="241" t="s">
        <v>561</v>
      </c>
      <c r="P3106" s="242">
        <f>158+308+108</f>
        <v>574</v>
      </c>
    </row>
    <row r="3107" spans="9:16" ht="16.5" thickBot="1">
      <c r="I3107" s="888" t="s">
        <v>104</v>
      </c>
      <c r="J3107" s="889"/>
      <c r="K3107" s="889"/>
      <c r="L3107" s="889"/>
      <c r="M3107" s="890"/>
      <c r="N3107" s="183">
        <f>SUM(N3105:N3106)</f>
        <v>624430747</v>
      </c>
    </row>
    <row r="3108" spans="9:16">
      <c r="I3108" s="61"/>
      <c r="J3108" s="61"/>
      <c r="K3108" s="61"/>
      <c r="L3108" s="61"/>
      <c r="M3108" s="61"/>
    </row>
    <row r="3109" spans="9:16">
      <c r="I3109" s="51" t="s">
        <v>1228</v>
      </c>
    </row>
    <row r="3110" spans="9:16" ht="12.75" customHeight="1">
      <c r="N3110" s="139"/>
    </row>
    <row r="3111" spans="9:16">
      <c r="I3111" s="50" t="s">
        <v>105</v>
      </c>
      <c r="L3111" s="146"/>
      <c r="N3111" s="139"/>
    </row>
    <row r="3112" spans="9:16" ht="12.75" customHeight="1" thickBot="1"/>
    <row r="3113" spans="9:16" ht="15.75" thickBot="1">
      <c r="I3113" s="891" t="s">
        <v>106</v>
      </c>
      <c r="J3113" s="892"/>
      <c r="K3113" s="892"/>
      <c r="L3113" s="893"/>
      <c r="N3113" s="50" t="s">
        <v>288</v>
      </c>
    </row>
    <row r="3114" spans="9:16" ht="30.75" thickBot="1">
      <c r="I3114" s="57" t="s">
        <v>100</v>
      </c>
      <c r="J3114" s="58" t="s">
        <v>108</v>
      </c>
      <c r="K3114" s="287" t="s">
        <v>109</v>
      </c>
      <c r="L3114" s="60" t="s">
        <v>110</v>
      </c>
    </row>
    <row r="3115" spans="9:16">
      <c r="I3115" s="71">
        <v>719</v>
      </c>
      <c r="J3115" s="73">
        <f>+P3095+P3097+P3099+P3101</f>
        <v>250000</v>
      </c>
      <c r="K3115" s="74">
        <f>+L3078</f>
        <v>43645000</v>
      </c>
      <c r="L3115" s="195">
        <f>+J3115+K3115</f>
        <v>43895000</v>
      </c>
    </row>
    <row r="3116" spans="9:16">
      <c r="I3116" s="72">
        <v>721</v>
      </c>
      <c r="J3116" s="80"/>
      <c r="K3116" s="74">
        <f>+L3079</f>
        <v>209348070</v>
      </c>
      <c r="L3116" s="195">
        <f>+J3116+K3116</f>
        <v>209348070</v>
      </c>
    </row>
    <row r="3117" spans="9:16">
      <c r="I3117" s="72">
        <v>722</v>
      </c>
      <c r="J3117" s="80"/>
      <c r="K3117" s="74">
        <f>+L3080</f>
        <v>5580000</v>
      </c>
      <c r="L3117" s="195">
        <f>+J3117+K3117</f>
        <v>5580000</v>
      </c>
    </row>
    <row r="3118" spans="9:16" ht="15.75">
      <c r="I3118" s="72">
        <v>723</v>
      </c>
      <c r="J3118" s="80">
        <f>+P3102</f>
        <v>0</v>
      </c>
      <c r="K3118" s="74">
        <f>+L3081</f>
        <v>399255551</v>
      </c>
      <c r="L3118" s="195">
        <f>+J3118+K3118</f>
        <v>399255551</v>
      </c>
      <c r="N3118" s="193" t="s">
        <v>289</v>
      </c>
      <c r="O3118" s="175"/>
    </row>
    <row r="3119" spans="9:16" ht="16.5" thickBot="1">
      <c r="I3119" s="164" t="s">
        <v>1077</v>
      </c>
      <c r="J3119" s="165"/>
      <c r="K3119" s="74">
        <f>+L3082</f>
        <v>797500</v>
      </c>
      <c r="L3119" s="196">
        <f>+J3119+K3119</f>
        <v>797500</v>
      </c>
      <c r="N3119" s="52"/>
    </row>
    <row r="3120" spans="9:16" ht="16.5" thickBot="1">
      <c r="I3120" s="169"/>
      <c r="J3120" s="197">
        <f>SUM(J3115:J3119)</f>
        <v>250000</v>
      </c>
      <c r="K3120" s="197">
        <f>SUM(K3115:K3119)</f>
        <v>658626121</v>
      </c>
      <c r="L3120" s="198">
        <f>SUM(L3115:L3119)</f>
        <v>658876121</v>
      </c>
    </row>
    <row r="3121" spans="9:16" ht="16.5">
      <c r="I3121" s="49" t="s">
        <v>88</v>
      </c>
      <c r="J3121" s="50"/>
    </row>
    <row r="3122" spans="9:16">
      <c r="I3122" s="51" t="s">
        <v>89</v>
      </c>
    </row>
    <row r="3123" spans="9:16">
      <c r="I3123" s="51" t="s">
        <v>90</v>
      </c>
    </row>
    <row r="3124" spans="9:16">
      <c r="I3124" s="51" t="s">
        <v>91</v>
      </c>
    </row>
    <row r="3125" spans="9:16" ht="12" customHeight="1">
      <c r="I3125" s="50"/>
      <c r="J3125" s="50"/>
    </row>
    <row r="3126" spans="9:16" ht="15.75">
      <c r="I3126" s="260" t="s">
        <v>1227</v>
      </c>
      <c r="O3126" s="52"/>
    </row>
    <row r="3127" spans="9:16" ht="15.75">
      <c r="I3127" s="53" t="s">
        <v>535</v>
      </c>
      <c r="O3127" s="53"/>
    </row>
    <row r="3128" spans="9:16" ht="16.5">
      <c r="I3128" s="894" t="s">
        <v>1226</v>
      </c>
      <c r="J3128" s="894"/>
      <c r="K3128" s="894"/>
      <c r="L3128" s="894"/>
      <c r="M3128" s="894"/>
      <c r="N3128" s="894"/>
      <c r="O3128" s="894"/>
      <c r="P3128" s="894"/>
    </row>
    <row r="3129" spans="9:16" ht="15.75" thickBot="1"/>
    <row r="3130" spans="9:16">
      <c r="I3130" s="895" t="s">
        <v>94</v>
      </c>
      <c r="J3130" s="897" t="s">
        <v>95</v>
      </c>
      <c r="K3130" s="897" t="s">
        <v>96</v>
      </c>
      <c r="L3130" s="897" t="s">
        <v>3</v>
      </c>
      <c r="M3130" s="897" t="s">
        <v>97</v>
      </c>
      <c r="N3130" s="897" t="s">
        <v>98</v>
      </c>
      <c r="O3130" s="897" t="s">
        <v>99</v>
      </c>
      <c r="P3130" s="899"/>
    </row>
    <row r="3131" spans="9:16" ht="15.75" thickBot="1">
      <c r="I3131" s="896"/>
      <c r="J3131" s="898"/>
      <c r="K3131" s="898"/>
      <c r="L3131" s="898"/>
      <c r="M3131" s="898"/>
      <c r="N3131" s="898"/>
      <c r="O3131" s="240" t="s">
        <v>100</v>
      </c>
      <c r="P3131" s="182" t="s">
        <v>101</v>
      </c>
    </row>
    <row r="3132" spans="9:16">
      <c r="I3132" s="881">
        <v>334</v>
      </c>
      <c r="J3132" s="875">
        <v>42704</v>
      </c>
      <c r="K3132" s="877" t="s">
        <v>267</v>
      </c>
      <c r="L3132" s="879" t="s">
        <v>1233</v>
      </c>
      <c r="M3132" s="881" t="s">
        <v>148</v>
      </c>
      <c r="N3132" s="883">
        <v>65000</v>
      </c>
      <c r="O3132" s="55">
        <v>719</v>
      </c>
      <c r="P3132" s="78">
        <v>50000</v>
      </c>
    </row>
    <row r="3133" spans="9:16" ht="15.75" thickBot="1">
      <c r="I3133" s="882"/>
      <c r="J3133" s="876"/>
      <c r="K3133" s="878"/>
      <c r="L3133" s="880"/>
      <c r="M3133" s="882"/>
      <c r="N3133" s="884"/>
      <c r="O3133" s="56">
        <v>721</v>
      </c>
      <c r="P3133" s="79">
        <f>+N3132-P3132</f>
        <v>15000</v>
      </c>
    </row>
    <row r="3134" spans="9:16" ht="15" customHeight="1">
      <c r="I3134" s="881">
        <v>335</v>
      </c>
      <c r="J3134" s="875">
        <v>42704</v>
      </c>
      <c r="K3134" s="877" t="s">
        <v>28</v>
      </c>
      <c r="L3134" s="879" t="s">
        <v>1234</v>
      </c>
      <c r="M3134" s="881" t="s">
        <v>148</v>
      </c>
      <c r="N3134" s="883">
        <v>390000</v>
      </c>
      <c r="O3134" s="55">
        <v>719</v>
      </c>
      <c r="P3134" s="78">
        <v>300000</v>
      </c>
    </row>
    <row r="3135" spans="9:16" ht="15.75" customHeight="1" thickBot="1">
      <c r="I3135" s="882"/>
      <c r="J3135" s="876"/>
      <c r="K3135" s="878"/>
      <c r="L3135" s="880"/>
      <c r="M3135" s="882"/>
      <c r="N3135" s="884"/>
      <c r="O3135" s="56">
        <v>721</v>
      </c>
      <c r="P3135" s="79">
        <f>+N3134-P3134</f>
        <v>90000</v>
      </c>
    </row>
    <row r="3136" spans="9:16" ht="15" customHeight="1">
      <c r="I3136" s="881">
        <v>336</v>
      </c>
      <c r="J3136" s="875">
        <v>42704</v>
      </c>
      <c r="K3136" s="877" t="s">
        <v>111</v>
      </c>
      <c r="L3136" s="879" t="s">
        <v>1232</v>
      </c>
      <c r="M3136" s="881" t="s">
        <v>148</v>
      </c>
      <c r="N3136" s="883">
        <v>104000</v>
      </c>
      <c r="O3136" s="55">
        <v>719</v>
      </c>
      <c r="P3136" s="78">
        <v>80000</v>
      </c>
    </row>
    <row r="3137" spans="9:16" ht="15.75" customHeight="1" thickBot="1">
      <c r="I3137" s="882"/>
      <c r="J3137" s="876"/>
      <c r="K3137" s="878"/>
      <c r="L3137" s="880"/>
      <c r="M3137" s="882"/>
      <c r="N3137" s="884"/>
      <c r="O3137" s="56">
        <v>721</v>
      </c>
      <c r="P3137" s="79">
        <f>+N3136-P3136</f>
        <v>24000</v>
      </c>
    </row>
    <row r="3138" spans="9:16" ht="15" customHeight="1">
      <c r="I3138" s="881">
        <v>337</v>
      </c>
      <c r="J3138" s="875">
        <v>42704</v>
      </c>
      <c r="K3138" s="877" t="s">
        <v>1014</v>
      </c>
      <c r="L3138" s="879" t="s">
        <v>1231</v>
      </c>
      <c r="M3138" s="881" t="s">
        <v>148</v>
      </c>
      <c r="N3138" s="883">
        <v>676000</v>
      </c>
      <c r="O3138" s="55">
        <v>719</v>
      </c>
      <c r="P3138" s="78">
        <v>520000</v>
      </c>
    </row>
    <row r="3139" spans="9:16" ht="15.75" customHeight="1" thickBot="1">
      <c r="I3139" s="882"/>
      <c r="J3139" s="876"/>
      <c r="K3139" s="878"/>
      <c r="L3139" s="880"/>
      <c r="M3139" s="882"/>
      <c r="N3139" s="884"/>
      <c r="O3139" s="56">
        <v>721</v>
      </c>
      <c r="P3139" s="79">
        <f>+N3138-P3138</f>
        <v>156000</v>
      </c>
    </row>
    <row r="3140" spans="9:16" ht="15" customHeight="1">
      <c r="I3140" s="881">
        <v>338</v>
      </c>
      <c r="J3140" s="875">
        <v>42704</v>
      </c>
      <c r="K3140" s="877" t="s">
        <v>1223</v>
      </c>
      <c r="L3140" s="879" t="s">
        <v>1225</v>
      </c>
      <c r="M3140" s="881" t="s">
        <v>148</v>
      </c>
      <c r="N3140" s="883">
        <v>6240000</v>
      </c>
      <c r="O3140" s="55">
        <v>719</v>
      </c>
      <c r="P3140" s="78">
        <v>0</v>
      </c>
    </row>
    <row r="3141" spans="9:16" ht="15.75" customHeight="1" thickBot="1">
      <c r="I3141" s="882"/>
      <c r="J3141" s="876"/>
      <c r="K3141" s="878"/>
      <c r="L3141" s="880"/>
      <c r="M3141" s="882"/>
      <c r="N3141" s="884"/>
      <c r="O3141" s="56">
        <v>723</v>
      </c>
      <c r="P3141" s="79">
        <f>+N3140-P3140</f>
        <v>6240000</v>
      </c>
    </row>
    <row r="3142" spans="9:16" ht="16.5" thickBot="1">
      <c r="I3142" s="901" t="s">
        <v>102</v>
      </c>
      <c r="J3142" s="902"/>
      <c r="K3142" s="902"/>
      <c r="L3142" s="902"/>
      <c r="M3142" s="903"/>
      <c r="N3142" s="81">
        <f>SUM(N3132:N3141)</f>
        <v>7475000</v>
      </c>
    </row>
    <row r="3143" spans="9:16" ht="16.5" thickBot="1">
      <c r="I3143" s="885" t="s">
        <v>103</v>
      </c>
      <c r="J3143" s="886"/>
      <c r="K3143" s="886"/>
      <c r="L3143" s="886"/>
      <c r="M3143" s="887"/>
      <c r="N3143" s="69">
        <f>+N3107</f>
        <v>624430747</v>
      </c>
      <c r="O3143" s="241" t="s">
        <v>561</v>
      </c>
      <c r="P3143" s="242">
        <f>33+37+514+915</f>
        <v>1499</v>
      </c>
    </row>
    <row r="3144" spans="9:16" ht="16.5" thickBot="1">
      <c r="I3144" s="888" t="s">
        <v>104</v>
      </c>
      <c r="J3144" s="889"/>
      <c r="K3144" s="889"/>
      <c r="L3144" s="889"/>
      <c r="M3144" s="890"/>
      <c r="N3144" s="183">
        <f>SUM(N3142:N3143)</f>
        <v>631905747</v>
      </c>
    </row>
    <row r="3145" spans="9:16" ht="12.75" customHeight="1">
      <c r="I3145" s="61"/>
      <c r="J3145" s="61"/>
      <c r="K3145" s="61"/>
      <c r="L3145" s="61"/>
      <c r="M3145" s="61"/>
    </row>
    <row r="3146" spans="9:16">
      <c r="I3146" s="51" t="s">
        <v>1230</v>
      </c>
    </row>
    <row r="3147" spans="9:16" ht="13.5" customHeight="1">
      <c r="N3147" s="139"/>
    </row>
    <row r="3148" spans="9:16">
      <c r="I3148" s="50" t="s">
        <v>105</v>
      </c>
      <c r="L3148" s="146"/>
      <c r="N3148" s="139"/>
    </row>
    <row r="3149" spans="9:16" ht="13.5" customHeight="1" thickBot="1"/>
    <row r="3150" spans="9:16" ht="15.75" thickBot="1">
      <c r="I3150" s="891" t="s">
        <v>106</v>
      </c>
      <c r="J3150" s="892"/>
      <c r="K3150" s="892"/>
      <c r="L3150" s="893"/>
      <c r="N3150" s="50" t="s">
        <v>288</v>
      </c>
    </row>
    <row r="3151" spans="9:16" ht="30.75" thickBot="1">
      <c r="I3151" s="57" t="s">
        <v>100</v>
      </c>
      <c r="J3151" s="58" t="s">
        <v>108</v>
      </c>
      <c r="K3151" s="287" t="s">
        <v>109</v>
      </c>
      <c r="L3151" s="60" t="s">
        <v>110</v>
      </c>
    </row>
    <row r="3152" spans="9:16">
      <c r="I3152" s="71">
        <v>719</v>
      </c>
      <c r="J3152" s="73">
        <f>+P3132+P3134+P3136+P3138</f>
        <v>950000</v>
      </c>
      <c r="K3152" s="74">
        <f>+L3115</f>
        <v>43895000</v>
      </c>
      <c r="L3152" s="195">
        <f>+J3152+K3152</f>
        <v>44845000</v>
      </c>
    </row>
    <row r="3153" spans="9:16">
      <c r="I3153" s="72">
        <v>721</v>
      </c>
      <c r="J3153" s="80">
        <f>+P3139+P3137+P3135+P3133</f>
        <v>285000</v>
      </c>
      <c r="K3153" s="74">
        <f>+L3116</f>
        <v>209348070</v>
      </c>
      <c r="L3153" s="195">
        <f>+J3153+K3153</f>
        <v>209633070</v>
      </c>
    </row>
    <row r="3154" spans="9:16">
      <c r="I3154" s="72">
        <v>722</v>
      </c>
      <c r="J3154" s="80"/>
      <c r="K3154" s="74">
        <f>+L3117</f>
        <v>5580000</v>
      </c>
      <c r="L3154" s="195">
        <f>+J3154+K3154</f>
        <v>5580000</v>
      </c>
    </row>
    <row r="3155" spans="9:16" ht="15.75">
      <c r="I3155" s="72">
        <v>723</v>
      </c>
      <c r="J3155" s="80">
        <f>+P3141</f>
        <v>6240000</v>
      </c>
      <c r="K3155" s="74">
        <f>+L3118</f>
        <v>399255551</v>
      </c>
      <c r="L3155" s="195">
        <f>+J3155+K3155</f>
        <v>405495551</v>
      </c>
      <c r="N3155" s="193" t="s">
        <v>289</v>
      </c>
      <c r="O3155" s="175"/>
    </row>
    <row r="3156" spans="9:16" ht="16.5" thickBot="1">
      <c r="I3156" s="164" t="s">
        <v>1077</v>
      </c>
      <c r="J3156" s="165"/>
      <c r="K3156" s="74">
        <f>+L3119</f>
        <v>797500</v>
      </c>
      <c r="L3156" s="196">
        <f>+J3156+K3156</f>
        <v>797500</v>
      </c>
      <c r="N3156" s="52"/>
    </row>
    <row r="3157" spans="9:16" ht="16.5" thickBot="1">
      <c r="I3157" s="169"/>
      <c r="J3157" s="197">
        <f>SUM(J3152:J3156)</f>
        <v>7475000</v>
      </c>
      <c r="K3157" s="197">
        <f>SUM(K3152:K3156)</f>
        <v>658876121</v>
      </c>
      <c r="L3157" s="198">
        <f>SUM(L3152:L3156)</f>
        <v>666351121</v>
      </c>
    </row>
    <row r="3158" spans="9:16" ht="16.5">
      <c r="I3158" s="49" t="s">
        <v>88</v>
      </c>
      <c r="J3158" s="50"/>
    </row>
    <row r="3159" spans="9:16">
      <c r="I3159" s="51" t="s">
        <v>89</v>
      </c>
      <c r="L3159" s="139"/>
    </row>
    <row r="3160" spans="9:16">
      <c r="I3160" s="51" t="s">
        <v>90</v>
      </c>
    </row>
    <row r="3161" spans="9:16">
      <c r="I3161" s="51" t="s">
        <v>91</v>
      </c>
    </row>
    <row r="3162" spans="9:16" ht="9.75" customHeight="1">
      <c r="I3162" s="50"/>
      <c r="J3162" s="50"/>
    </row>
    <row r="3163" spans="9:16" ht="15.75">
      <c r="I3163" s="260" t="s">
        <v>1238</v>
      </c>
      <c r="O3163" s="52"/>
    </row>
    <row r="3164" spans="9:16" ht="15.75">
      <c r="I3164" s="53" t="s">
        <v>535</v>
      </c>
      <c r="O3164" s="53"/>
    </row>
    <row r="3165" spans="9:16" ht="16.5">
      <c r="I3165" s="894" t="s">
        <v>1243</v>
      </c>
      <c r="J3165" s="894"/>
      <c r="K3165" s="894"/>
      <c r="L3165" s="894"/>
      <c r="M3165" s="894"/>
      <c r="N3165" s="894"/>
      <c r="O3165" s="894"/>
      <c r="P3165" s="894"/>
    </row>
    <row r="3166" spans="9:16" ht="13.5" customHeight="1" thickBot="1"/>
    <row r="3167" spans="9:16">
      <c r="I3167" s="895" t="s">
        <v>94</v>
      </c>
      <c r="J3167" s="897" t="s">
        <v>95</v>
      </c>
      <c r="K3167" s="897" t="s">
        <v>96</v>
      </c>
      <c r="L3167" s="897" t="s">
        <v>3</v>
      </c>
      <c r="M3167" s="897" t="s">
        <v>97</v>
      </c>
      <c r="N3167" s="897" t="s">
        <v>98</v>
      </c>
      <c r="O3167" s="897" t="s">
        <v>99</v>
      </c>
      <c r="P3167" s="899"/>
    </row>
    <row r="3168" spans="9:16" ht="15.75" thickBot="1">
      <c r="I3168" s="896"/>
      <c r="J3168" s="898"/>
      <c r="K3168" s="898"/>
      <c r="L3168" s="898"/>
      <c r="M3168" s="898"/>
      <c r="N3168" s="898"/>
      <c r="O3168" s="240" t="s">
        <v>100</v>
      </c>
      <c r="P3168" s="182" t="s">
        <v>101</v>
      </c>
    </row>
    <row r="3169" spans="9:16" ht="13.5" customHeight="1">
      <c r="I3169" s="881">
        <v>339</v>
      </c>
      <c r="J3169" s="875">
        <v>42712</v>
      </c>
      <c r="K3169" s="877" t="s">
        <v>1014</v>
      </c>
      <c r="L3169" s="879" t="s">
        <v>1239</v>
      </c>
      <c r="M3169" s="881" t="s">
        <v>115</v>
      </c>
      <c r="N3169" s="883">
        <v>80000</v>
      </c>
      <c r="O3169" s="55">
        <v>719</v>
      </c>
      <c r="P3169" s="78">
        <v>80000</v>
      </c>
    </row>
    <row r="3170" spans="9:16" ht="13.5" customHeight="1" thickBot="1">
      <c r="I3170" s="882"/>
      <c r="J3170" s="876"/>
      <c r="K3170" s="878"/>
      <c r="L3170" s="880"/>
      <c r="M3170" s="882"/>
      <c r="N3170" s="884"/>
      <c r="O3170" s="56">
        <v>721</v>
      </c>
      <c r="P3170" s="79">
        <f>+N3169-P3169</f>
        <v>0</v>
      </c>
    </row>
    <row r="3171" spans="9:16" ht="14.25" customHeight="1">
      <c r="I3171" s="881">
        <v>340</v>
      </c>
      <c r="J3171" s="875">
        <v>42712</v>
      </c>
      <c r="K3171" s="877" t="s">
        <v>120</v>
      </c>
      <c r="L3171" s="879" t="s">
        <v>1239</v>
      </c>
      <c r="M3171" s="881" t="s">
        <v>115</v>
      </c>
      <c r="N3171" s="883">
        <v>140000</v>
      </c>
      <c r="O3171" s="55">
        <v>719</v>
      </c>
      <c r="P3171" s="78">
        <v>140000</v>
      </c>
    </row>
    <row r="3172" spans="9:16" ht="14.25" customHeight="1" thickBot="1">
      <c r="I3172" s="882"/>
      <c r="J3172" s="876"/>
      <c r="K3172" s="878"/>
      <c r="L3172" s="880"/>
      <c r="M3172" s="882"/>
      <c r="N3172" s="884"/>
      <c r="O3172" s="56">
        <v>721</v>
      </c>
      <c r="P3172" s="79">
        <f>+N3171-P3171</f>
        <v>0</v>
      </c>
    </row>
    <row r="3173" spans="9:16" ht="12.75" customHeight="1">
      <c r="I3173" s="881">
        <v>341</v>
      </c>
      <c r="J3173" s="875">
        <v>42712</v>
      </c>
      <c r="K3173" s="877" t="s">
        <v>28</v>
      </c>
      <c r="L3173" s="879" t="s">
        <v>1239</v>
      </c>
      <c r="M3173" s="881" t="s">
        <v>115</v>
      </c>
      <c r="N3173" s="883">
        <v>60000</v>
      </c>
      <c r="O3173" s="55">
        <v>719</v>
      </c>
      <c r="P3173" s="78">
        <v>60000</v>
      </c>
    </row>
    <row r="3174" spans="9:16" ht="13.5" customHeight="1" thickBot="1">
      <c r="I3174" s="882"/>
      <c r="J3174" s="876"/>
      <c r="K3174" s="878"/>
      <c r="L3174" s="880"/>
      <c r="M3174" s="882"/>
      <c r="N3174" s="884"/>
      <c r="O3174" s="56">
        <v>721</v>
      </c>
      <c r="P3174" s="79">
        <f>+N3173-P3173</f>
        <v>0</v>
      </c>
    </row>
    <row r="3175" spans="9:16" ht="13.5" customHeight="1">
      <c r="I3175" s="881">
        <v>342</v>
      </c>
      <c r="J3175" s="875">
        <v>42712</v>
      </c>
      <c r="K3175" s="877" t="s">
        <v>1174</v>
      </c>
      <c r="L3175" s="879" t="s">
        <v>1240</v>
      </c>
      <c r="M3175" s="881" t="s">
        <v>148</v>
      </c>
      <c r="N3175" s="883">
        <v>6287553</v>
      </c>
      <c r="O3175" s="55">
        <v>719</v>
      </c>
      <c r="P3175" s="78"/>
    </row>
    <row r="3176" spans="9:16" ht="15.75" customHeight="1" thickBot="1">
      <c r="I3176" s="882"/>
      <c r="J3176" s="876"/>
      <c r="K3176" s="878"/>
      <c r="L3176" s="880"/>
      <c r="M3176" s="882"/>
      <c r="N3176" s="884"/>
      <c r="O3176" s="56">
        <v>723</v>
      </c>
      <c r="P3176" s="79">
        <f>+N3175-P3175</f>
        <v>6287553</v>
      </c>
    </row>
    <row r="3177" spans="9:16" ht="14.25" customHeight="1">
      <c r="I3177" s="881">
        <v>343</v>
      </c>
      <c r="J3177" s="875">
        <v>42712</v>
      </c>
      <c r="K3177" s="877" t="s">
        <v>738</v>
      </c>
      <c r="L3177" s="879" t="s">
        <v>1244</v>
      </c>
      <c r="M3177" s="881" t="s">
        <v>148</v>
      </c>
      <c r="N3177" s="883">
        <v>5345430</v>
      </c>
      <c r="O3177" s="55">
        <v>719</v>
      </c>
      <c r="P3177" s="78">
        <v>0</v>
      </c>
    </row>
    <row r="3178" spans="9:16" ht="14.25" customHeight="1" thickBot="1">
      <c r="I3178" s="882"/>
      <c r="J3178" s="876"/>
      <c r="K3178" s="878"/>
      <c r="L3178" s="880"/>
      <c r="M3178" s="882"/>
      <c r="N3178" s="884"/>
      <c r="O3178" s="56">
        <v>721</v>
      </c>
      <c r="P3178" s="351">
        <f>+N3177-P3177</f>
        <v>5345430</v>
      </c>
    </row>
    <row r="3179" spans="9:16" ht="13.5" customHeight="1">
      <c r="I3179" s="881">
        <v>344</v>
      </c>
      <c r="J3179" s="875">
        <v>42712</v>
      </c>
      <c r="K3179" s="877" t="s">
        <v>738</v>
      </c>
      <c r="L3179" s="879" t="s">
        <v>1245</v>
      </c>
      <c r="M3179" s="881" t="s">
        <v>148</v>
      </c>
      <c r="N3179" s="883">
        <v>64517844</v>
      </c>
      <c r="O3179" s="55">
        <v>719</v>
      </c>
      <c r="P3179" s="78">
        <v>0</v>
      </c>
    </row>
    <row r="3180" spans="9:16" ht="13.5" customHeight="1" thickBot="1">
      <c r="I3180" s="882"/>
      <c r="J3180" s="876"/>
      <c r="K3180" s="878"/>
      <c r="L3180" s="880"/>
      <c r="M3180" s="882"/>
      <c r="N3180" s="884"/>
      <c r="O3180" s="56">
        <v>721</v>
      </c>
      <c r="P3180" s="351">
        <f>+N3179-P3179</f>
        <v>64517844</v>
      </c>
    </row>
    <row r="3181" spans="9:16" ht="16.5" thickBot="1">
      <c r="I3181" s="901" t="s">
        <v>102</v>
      </c>
      <c r="J3181" s="902"/>
      <c r="K3181" s="902"/>
      <c r="L3181" s="902"/>
      <c r="M3181" s="903"/>
      <c r="N3181" s="81">
        <f>SUM(N3169:N3180)</f>
        <v>76430827</v>
      </c>
    </row>
    <row r="3182" spans="9:16" ht="16.5" thickBot="1">
      <c r="I3182" s="885" t="s">
        <v>103</v>
      </c>
      <c r="J3182" s="886"/>
      <c r="K3182" s="886"/>
      <c r="L3182" s="886"/>
      <c r="M3182" s="887"/>
      <c r="N3182" s="69">
        <f>+N3144</f>
        <v>631905747</v>
      </c>
      <c r="O3182" s="241" t="s">
        <v>561</v>
      </c>
      <c r="P3182" s="242">
        <f>95+174+227</f>
        <v>496</v>
      </c>
    </row>
    <row r="3183" spans="9:16" ht="16.5" thickBot="1">
      <c r="I3183" s="888" t="s">
        <v>104</v>
      </c>
      <c r="J3183" s="889"/>
      <c r="K3183" s="889"/>
      <c r="L3183" s="889"/>
      <c r="M3183" s="890"/>
      <c r="N3183" s="183">
        <f>SUM(N3181:N3182)</f>
        <v>708336574</v>
      </c>
    </row>
    <row r="3184" spans="9:16" ht="13.5" customHeight="1">
      <c r="I3184" s="61"/>
      <c r="J3184" s="61"/>
      <c r="K3184" s="61"/>
      <c r="L3184" s="61"/>
      <c r="M3184" s="61"/>
    </row>
    <row r="3185" spans="9:15">
      <c r="I3185" s="51" t="s">
        <v>1246</v>
      </c>
    </row>
    <row r="3186" spans="9:15" ht="11.25" customHeight="1">
      <c r="N3186" s="139"/>
    </row>
    <row r="3187" spans="9:15">
      <c r="I3187" s="50" t="s">
        <v>105</v>
      </c>
      <c r="L3187" s="146"/>
      <c r="N3187" s="139"/>
    </row>
    <row r="3188" spans="9:15" ht="11.25" customHeight="1" thickBot="1"/>
    <row r="3189" spans="9:15" ht="15.75" thickBot="1">
      <c r="I3189" s="891" t="s">
        <v>106</v>
      </c>
      <c r="J3189" s="892"/>
      <c r="K3189" s="892"/>
      <c r="L3189" s="893"/>
      <c r="N3189" s="50" t="s">
        <v>1126</v>
      </c>
    </row>
    <row r="3190" spans="9:15" ht="30.75" thickBot="1">
      <c r="I3190" s="57" t="s">
        <v>100</v>
      </c>
      <c r="J3190" s="58" t="s">
        <v>108</v>
      </c>
      <c r="K3190" s="287" t="s">
        <v>109</v>
      </c>
      <c r="L3190" s="60" t="s">
        <v>110</v>
      </c>
    </row>
    <row r="3191" spans="9:15">
      <c r="I3191" s="71">
        <v>719</v>
      </c>
      <c r="J3191" s="73">
        <f>+P3169+P3173+P3175+P3171</f>
        <v>280000</v>
      </c>
      <c r="K3191" s="74">
        <f>+L3152</f>
        <v>44845000</v>
      </c>
      <c r="L3191" s="195">
        <f>+J3191+K3191</f>
        <v>45125000</v>
      </c>
    </row>
    <row r="3192" spans="9:15">
      <c r="I3192" s="72">
        <v>721</v>
      </c>
      <c r="J3192" s="80">
        <f>+P3180</f>
        <v>64517844</v>
      </c>
      <c r="K3192" s="74">
        <f>+L3153</f>
        <v>209633070</v>
      </c>
      <c r="L3192" s="195">
        <f>+J3192+K3192</f>
        <v>274150914</v>
      </c>
    </row>
    <row r="3193" spans="9:15" ht="13.5" customHeight="1">
      <c r="I3193" s="72">
        <v>722</v>
      </c>
      <c r="J3193" s="80"/>
      <c r="K3193" s="74">
        <f>+L3154</f>
        <v>5580000</v>
      </c>
      <c r="L3193" s="195">
        <f>+J3193+K3193</f>
        <v>5580000</v>
      </c>
    </row>
    <row r="3194" spans="9:15" ht="14.25" customHeight="1">
      <c r="I3194" s="72">
        <v>723</v>
      </c>
      <c r="J3194" s="80">
        <f>+P3176+P3178</f>
        <v>11632983</v>
      </c>
      <c r="K3194" s="74">
        <f>+L3155</f>
        <v>405495551</v>
      </c>
      <c r="L3194" s="195">
        <f>+J3194+K3194</f>
        <v>417128534</v>
      </c>
      <c r="M3194" s="139"/>
      <c r="N3194" s="193" t="s">
        <v>1125</v>
      </c>
      <c r="O3194" s="175"/>
    </row>
    <row r="3195" spans="9:15" ht="15" customHeight="1" thickBot="1">
      <c r="I3195" s="164" t="s">
        <v>1077</v>
      </c>
      <c r="J3195" s="165"/>
      <c r="K3195" s="74">
        <f>+L3156</f>
        <v>797500</v>
      </c>
      <c r="L3195" s="196">
        <f>+J3195+K3195</f>
        <v>797500</v>
      </c>
      <c r="N3195" s="52"/>
    </row>
    <row r="3196" spans="9:15" ht="16.5" thickBot="1">
      <c r="I3196" s="169"/>
      <c r="J3196" s="197">
        <f>SUM(J3191:J3195)</f>
        <v>76430827</v>
      </c>
      <c r="K3196" s="197">
        <f>SUM(K3191:K3195)</f>
        <v>666351121</v>
      </c>
      <c r="L3196" s="198">
        <f>SUM(L3191:L3195)</f>
        <v>742781948</v>
      </c>
    </row>
    <row r="3197" spans="9:15" ht="16.5">
      <c r="I3197" s="49" t="s">
        <v>88</v>
      </c>
      <c r="J3197" s="50"/>
    </row>
    <row r="3198" spans="9:15">
      <c r="I3198" s="51" t="s">
        <v>89</v>
      </c>
    </row>
    <row r="3199" spans="9:15">
      <c r="I3199" s="51" t="s">
        <v>90</v>
      </c>
    </row>
    <row r="3200" spans="9:15">
      <c r="I3200" s="51" t="s">
        <v>91</v>
      </c>
    </row>
    <row r="3201" spans="9:18" ht="17.25" customHeight="1">
      <c r="I3201" s="50"/>
      <c r="J3201" s="50"/>
    </row>
    <row r="3202" spans="9:18" ht="15.75">
      <c r="I3202" s="260" t="s">
        <v>1242</v>
      </c>
      <c r="O3202" s="52"/>
    </row>
    <row r="3203" spans="9:18" ht="18" customHeight="1">
      <c r="I3203" s="53" t="s">
        <v>535</v>
      </c>
      <c r="O3203" s="53"/>
    </row>
    <row r="3204" spans="9:18" ht="16.5">
      <c r="I3204" s="894" t="s">
        <v>1278</v>
      </c>
      <c r="J3204" s="894"/>
      <c r="K3204" s="894"/>
      <c r="L3204" s="894"/>
      <c r="M3204" s="894"/>
      <c r="N3204" s="894"/>
      <c r="O3204" s="894"/>
      <c r="P3204" s="894"/>
    </row>
    <row r="3205" spans="9:18" ht="15.75" thickBot="1"/>
    <row r="3206" spans="9:18">
      <c r="I3206" s="895" t="s">
        <v>94</v>
      </c>
      <c r="J3206" s="897" t="s">
        <v>95</v>
      </c>
      <c r="K3206" s="897" t="s">
        <v>96</v>
      </c>
      <c r="L3206" s="897" t="s">
        <v>3</v>
      </c>
      <c r="M3206" s="897" t="s">
        <v>97</v>
      </c>
      <c r="N3206" s="897" t="s">
        <v>98</v>
      </c>
      <c r="O3206" s="897" t="s">
        <v>99</v>
      </c>
      <c r="P3206" s="899"/>
    </row>
    <row r="3207" spans="9:18" ht="15.75" thickBot="1">
      <c r="I3207" s="896"/>
      <c r="J3207" s="898"/>
      <c r="K3207" s="898"/>
      <c r="L3207" s="898"/>
      <c r="M3207" s="898"/>
      <c r="N3207" s="898"/>
      <c r="O3207" s="240" t="s">
        <v>100</v>
      </c>
      <c r="P3207" s="182" t="s">
        <v>101</v>
      </c>
    </row>
    <row r="3208" spans="9:18">
      <c r="I3208" s="881">
        <v>345</v>
      </c>
      <c r="J3208" s="875">
        <v>42725</v>
      </c>
      <c r="K3208" s="877" t="s">
        <v>1014</v>
      </c>
      <c r="L3208" s="879" t="s">
        <v>1260</v>
      </c>
      <c r="M3208" s="881" t="s">
        <v>115</v>
      </c>
      <c r="N3208" s="883">
        <v>160000</v>
      </c>
      <c r="O3208" s="55">
        <v>719</v>
      </c>
      <c r="P3208" s="78">
        <v>160000</v>
      </c>
    </row>
    <row r="3209" spans="9:18" ht="15.75" thickBot="1">
      <c r="I3209" s="882"/>
      <c r="J3209" s="876"/>
      <c r="K3209" s="878"/>
      <c r="L3209" s="880"/>
      <c r="M3209" s="882"/>
      <c r="N3209" s="884"/>
      <c r="O3209" s="56">
        <v>721</v>
      </c>
      <c r="P3209" s="351">
        <f>+N3208-P3208</f>
        <v>0</v>
      </c>
    </row>
    <row r="3210" spans="9:18" ht="15" customHeight="1">
      <c r="I3210" s="881">
        <f>+I3208+1</f>
        <v>346</v>
      </c>
      <c r="J3210" s="875">
        <v>42725</v>
      </c>
      <c r="K3210" s="877" t="s">
        <v>28</v>
      </c>
      <c r="L3210" s="879" t="s">
        <v>1276</v>
      </c>
      <c r="M3210" s="881" t="s">
        <v>115</v>
      </c>
      <c r="N3210" s="883">
        <v>60000</v>
      </c>
      <c r="O3210" s="55">
        <v>722</v>
      </c>
      <c r="P3210" s="78">
        <v>60000</v>
      </c>
    </row>
    <row r="3211" spans="9:18" ht="15.75" customHeight="1" thickBot="1">
      <c r="I3211" s="882"/>
      <c r="J3211" s="876"/>
      <c r="K3211" s="878"/>
      <c r="L3211" s="880"/>
      <c r="M3211" s="882"/>
      <c r="N3211" s="884"/>
      <c r="O3211" s="56">
        <v>721</v>
      </c>
      <c r="P3211" s="352">
        <f>+N3210-P3210</f>
        <v>0</v>
      </c>
    </row>
    <row r="3212" spans="9:18" ht="15" customHeight="1">
      <c r="I3212" s="881">
        <f>+I3210+1</f>
        <v>347</v>
      </c>
      <c r="J3212" s="875">
        <v>42725</v>
      </c>
      <c r="K3212" s="877" t="s">
        <v>120</v>
      </c>
      <c r="L3212" s="879" t="s">
        <v>1276</v>
      </c>
      <c r="M3212" s="881" t="s">
        <v>115</v>
      </c>
      <c r="N3212" s="883">
        <v>140000</v>
      </c>
      <c r="O3212" s="55">
        <v>722</v>
      </c>
      <c r="P3212" s="78">
        <v>140000</v>
      </c>
      <c r="R3212" s="875"/>
    </row>
    <row r="3213" spans="9:18" ht="15.75" customHeight="1" thickBot="1">
      <c r="I3213" s="882"/>
      <c r="J3213" s="876"/>
      <c r="K3213" s="878"/>
      <c r="L3213" s="880"/>
      <c r="M3213" s="882"/>
      <c r="N3213" s="884"/>
      <c r="O3213" s="56">
        <v>721</v>
      </c>
      <c r="P3213" s="352">
        <f>+N3212-P3212</f>
        <v>0</v>
      </c>
      <c r="R3213" s="876"/>
    </row>
    <row r="3214" spans="9:18" ht="15" customHeight="1">
      <c r="I3214" s="881"/>
      <c r="J3214" s="875"/>
      <c r="K3214" s="877"/>
      <c r="L3214" s="879"/>
      <c r="M3214" s="881"/>
      <c r="N3214" s="883"/>
      <c r="O3214" s="55">
        <v>722</v>
      </c>
      <c r="P3214" s="78"/>
    </row>
    <row r="3215" spans="9:18" ht="15.75" customHeight="1" thickBot="1">
      <c r="I3215" s="882"/>
      <c r="J3215" s="876"/>
      <c r="K3215" s="878"/>
      <c r="L3215" s="880"/>
      <c r="M3215" s="882"/>
      <c r="N3215" s="884"/>
      <c r="O3215" s="56">
        <v>721</v>
      </c>
      <c r="P3215" s="79">
        <f>+N3214-P3214</f>
        <v>0</v>
      </c>
    </row>
    <row r="3216" spans="9:18" ht="16.5" thickBot="1">
      <c r="I3216" s="901" t="s">
        <v>102</v>
      </c>
      <c r="J3216" s="902"/>
      <c r="K3216" s="902"/>
      <c r="L3216" s="902"/>
      <c r="M3216" s="903"/>
      <c r="N3216" s="81">
        <f>SUM(N3208:N3215)</f>
        <v>360000</v>
      </c>
    </row>
    <row r="3217" spans="9:16" ht="16.5" thickBot="1">
      <c r="I3217" s="885" t="s">
        <v>103</v>
      </c>
      <c r="J3217" s="886"/>
      <c r="K3217" s="886"/>
      <c r="L3217" s="886"/>
      <c r="M3217" s="887"/>
      <c r="N3217" s="69">
        <f>+N3183</f>
        <v>708336574</v>
      </c>
      <c r="O3217" s="241" t="s">
        <v>561</v>
      </c>
      <c r="P3217" s="242">
        <f>108+107+310</f>
        <v>525</v>
      </c>
    </row>
    <row r="3218" spans="9:16" ht="16.5" thickBot="1">
      <c r="I3218" s="888" t="s">
        <v>104</v>
      </c>
      <c r="J3218" s="889"/>
      <c r="K3218" s="889"/>
      <c r="L3218" s="889"/>
      <c r="M3218" s="890"/>
      <c r="N3218" s="183">
        <f>SUM(N3216:N3217)</f>
        <v>708696574</v>
      </c>
    </row>
    <row r="3219" spans="9:16">
      <c r="I3219" s="61"/>
      <c r="J3219" s="61"/>
      <c r="K3219" s="61"/>
      <c r="L3219" s="61"/>
      <c r="M3219" s="61"/>
    </row>
    <row r="3220" spans="9:16">
      <c r="I3220" s="51" t="s">
        <v>1261</v>
      </c>
    </row>
    <row r="3221" spans="9:16" ht="19.5" customHeight="1">
      <c r="N3221" s="139"/>
    </row>
    <row r="3222" spans="9:16">
      <c r="I3222" s="50" t="s">
        <v>105</v>
      </c>
      <c r="L3222" s="146"/>
      <c r="N3222" s="139"/>
    </row>
    <row r="3223" spans="9:16" ht="15.75" thickBot="1"/>
    <row r="3224" spans="9:16" ht="15.75" thickBot="1">
      <c r="I3224" s="891" t="s">
        <v>106</v>
      </c>
      <c r="J3224" s="892"/>
      <c r="K3224" s="892"/>
      <c r="L3224" s="893"/>
      <c r="N3224" s="50" t="s">
        <v>288</v>
      </c>
    </row>
    <row r="3225" spans="9:16" ht="30.75" thickBot="1">
      <c r="I3225" s="57" t="s">
        <v>100</v>
      </c>
      <c r="J3225" s="58" t="s">
        <v>108</v>
      </c>
      <c r="K3225" s="287" t="s">
        <v>109</v>
      </c>
      <c r="L3225" s="60" t="s">
        <v>110</v>
      </c>
    </row>
    <row r="3226" spans="9:16">
      <c r="I3226" s="71">
        <v>719</v>
      </c>
      <c r="J3226" s="73">
        <f>+P3208+P3210+P3212+P3214</f>
        <v>360000</v>
      </c>
      <c r="K3226" s="74">
        <f>+L3191</f>
        <v>45125000</v>
      </c>
      <c r="L3226" s="195">
        <f>+J3226+K3226</f>
        <v>45485000</v>
      </c>
    </row>
    <row r="3227" spans="9:16">
      <c r="I3227" s="72">
        <v>721</v>
      </c>
      <c r="J3227" s="80"/>
      <c r="K3227" s="74">
        <f>+L3192</f>
        <v>274150914</v>
      </c>
      <c r="L3227" s="195">
        <f>+J3227+K3227</f>
        <v>274150914</v>
      </c>
    </row>
    <row r="3228" spans="9:16">
      <c r="I3228" s="72">
        <v>722</v>
      </c>
      <c r="J3228" s="80"/>
      <c r="K3228" s="74">
        <f>+L3193</f>
        <v>5580000</v>
      </c>
      <c r="L3228" s="195">
        <f>+J3228+K3228</f>
        <v>5580000</v>
      </c>
    </row>
    <row r="3229" spans="9:16" ht="15.75">
      <c r="I3229" s="72">
        <v>723</v>
      </c>
      <c r="J3229" s="80"/>
      <c r="K3229" s="74">
        <f>+L3194</f>
        <v>417128534</v>
      </c>
      <c r="L3229" s="195">
        <f>+J3229+K3229</f>
        <v>417128534</v>
      </c>
      <c r="N3229" s="193" t="s">
        <v>289</v>
      </c>
      <c r="O3229" s="175"/>
    </row>
    <row r="3230" spans="9:16" ht="16.5" thickBot="1">
      <c r="I3230" s="164" t="s">
        <v>1077</v>
      </c>
      <c r="J3230" s="165"/>
      <c r="K3230" s="74">
        <f>+L3195</f>
        <v>797500</v>
      </c>
      <c r="L3230" s="196">
        <f>+J3230+K3230</f>
        <v>797500</v>
      </c>
      <c r="N3230" s="52"/>
    </row>
    <row r="3231" spans="9:16" ht="16.5" thickBot="1">
      <c r="I3231" s="169"/>
      <c r="J3231" s="197">
        <f>SUM(J3226:J3230)</f>
        <v>360000</v>
      </c>
      <c r="K3231" s="197">
        <f>SUM(K3226:K3230)</f>
        <v>742781948</v>
      </c>
      <c r="L3231" s="198">
        <f>SUM(L3226:L3230)</f>
        <v>743141948</v>
      </c>
    </row>
    <row r="3232" spans="9:16" ht="16.5">
      <c r="I3232" s="49" t="s">
        <v>88</v>
      </c>
      <c r="J3232" s="50"/>
    </row>
    <row r="3233" spans="9:16">
      <c r="I3233" s="51" t="s">
        <v>89</v>
      </c>
    </row>
    <row r="3234" spans="9:16">
      <c r="I3234" s="51" t="s">
        <v>90</v>
      </c>
    </row>
    <row r="3235" spans="9:16">
      <c r="I3235" s="51" t="s">
        <v>91</v>
      </c>
    </row>
    <row r="3236" spans="9:16" ht="14.25" customHeight="1">
      <c r="I3236" s="50"/>
      <c r="J3236" s="50"/>
    </row>
    <row r="3237" spans="9:16" ht="15.75">
      <c r="I3237" s="260" t="s">
        <v>1264</v>
      </c>
      <c r="O3237" s="52"/>
    </row>
    <row r="3238" spans="9:16" ht="15.75">
      <c r="I3238" s="53" t="s">
        <v>535</v>
      </c>
      <c r="O3238" s="53"/>
    </row>
    <row r="3239" spans="9:16" ht="16.5">
      <c r="I3239" s="894" t="s">
        <v>1278</v>
      </c>
      <c r="J3239" s="894"/>
      <c r="K3239" s="894"/>
      <c r="L3239" s="894"/>
      <c r="M3239" s="894"/>
      <c r="N3239" s="894"/>
      <c r="O3239" s="894"/>
      <c r="P3239" s="894"/>
    </row>
    <row r="3240" spans="9:16" ht="15.75" thickBot="1"/>
    <row r="3241" spans="9:16">
      <c r="I3241" s="895" t="s">
        <v>94</v>
      </c>
      <c r="J3241" s="897" t="s">
        <v>95</v>
      </c>
      <c r="K3241" s="897" t="s">
        <v>96</v>
      </c>
      <c r="L3241" s="897" t="s">
        <v>3</v>
      </c>
      <c r="M3241" s="897" t="s">
        <v>97</v>
      </c>
      <c r="N3241" s="897" t="s">
        <v>98</v>
      </c>
      <c r="O3241" s="897" t="s">
        <v>99</v>
      </c>
      <c r="P3241" s="899"/>
    </row>
    <row r="3242" spans="9:16" ht="15.75" thickBot="1">
      <c r="I3242" s="896"/>
      <c r="J3242" s="898"/>
      <c r="K3242" s="898"/>
      <c r="L3242" s="898"/>
      <c r="M3242" s="898"/>
      <c r="N3242" s="898"/>
      <c r="O3242" s="240" t="s">
        <v>100</v>
      </c>
      <c r="P3242" s="182" t="s">
        <v>101</v>
      </c>
    </row>
    <row r="3243" spans="9:16">
      <c r="I3243" s="881">
        <v>348</v>
      </c>
      <c r="J3243" s="875">
        <v>42725</v>
      </c>
      <c r="K3243" s="877" t="s">
        <v>1014</v>
      </c>
      <c r="L3243" s="879" t="s">
        <v>1263</v>
      </c>
      <c r="M3243" s="881" t="s">
        <v>115</v>
      </c>
      <c r="N3243" s="883">
        <v>140000</v>
      </c>
      <c r="O3243" s="55">
        <v>719</v>
      </c>
      <c r="P3243" s="78">
        <v>140000</v>
      </c>
    </row>
    <row r="3244" spans="9:16" ht="15.75" thickBot="1">
      <c r="I3244" s="882"/>
      <c r="J3244" s="876"/>
      <c r="K3244" s="878"/>
      <c r="L3244" s="880"/>
      <c r="M3244" s="882"/>
      <c r="N3244" s="884"/>
      <c r="O3244" s="56">
        <v>721</v>
      </c>
      <c r="P3244" s="351">
        <f>+N3243-P3243</f>
        <v>0</v>
      </c>
    </row>
    <row r="3245" spans="9:16">
      <c r="I3245" s="881">
        <f>+I3243+1</f>
        <v>349</v>
      </c>
      <c r="J3245" s="875">
        <v>42725</v>
      </c>
      <c r="K3245" s="877" t="s">
        <v>28</v>
      </c>
      <c r="L3245" s="879" t="s">
        <v>1266</v>
      </c>
      <c r="M3245" s="881" t="s">
        <v>115</v>
      </c>
      <c r="N3245" s="883">
        <v>50000</v>
      </c>
      <c r="O3245" s="55">
        <v>722</v>
      </c>
      <c r="P3245" s="78">
        <v>50000</v>
      </c>
    </row>
    <row r="3246" spans="9:16" ht="15.75" thickBot="1">
      <c r="I3246" s="882"/>
      <c r="J3246" s="876"/>
      <c r="K3246" s="878"/>
      <c r="L3246" s="880"/>
      <c r="M3246" s="882"/>
      <c r="N3246" s="884"/>
      <c r="O3246" s="56">
        <v>721</v>
      </c>
      <c r="P3246" s="352"/>
    </row>
    <row r="3247" spans="9:16">
      <c r="I3247" s="881">
        <f>+I3245+1</f>
        <v>350</v>
      </c>
      <c r="J3247" s="875">
        <v>42725</v>
      </c>
      <c r="K3247" s="877" t="s">
        <v>120</v>
      </c>
      <c r="L3247" s="879" t="s">
        <v>1262</v>
      </c>
      <c r="M3247" s="881" t="s">
        <v>115</v>
      </c>
      <c r="N3247" s="883">
        <v>140000</v>
      </c>
      <c r="O3247" s="55">
        <v>722</v>
      </c>
      <c r="P3247" s="78">
        <v>140000</v>
      </c>
    </row>
    <row r="3248" spans="9:16" ht="15.75" thickBot="1">
      <c r="I3248" s="882"/>
      <c r="J3248" s="876"/>
      <c r="K3248" s="878"/>
      <c r="L3248" s="880"/>
      <c r="M3248" s="882"/>
      <c r="N3248" s="884"/>
      <c r="O3248" s="56">
        <v>721</v>
      </c>
      <c r="P3248" s="352">
        <f>+N3247-P3247</f>
        <v>0</v>
      </c>
    </row>
    <row r="3249" spans="9:16">
      <c r="I3249" s="881"/>
      <c r="J3249" s="875"/>
      <c r="K3249" s="877"/>
      <c r="L3249" s="879"/>
      <c r="M3249" s="881"/>
      <c r="N3249" s="883"/>
      <c r="O3249" s="55">
        <v>722</v>
      </c>
      <c r="P3249" s="78"/>
    </row>
    <row r="3250" spans="9:16" ht="15.75" thickBot="1">
      <c r="I3250" s="882"/>
      <c r="J3250" s="876"/>
      <c r="K3250" s="878"/>
      <c r="L3250" s="880"/>
      <c r="M3250" s="882"/>
      <c r="N3250" s="884"/>
      <c r="O3250" s="56">
        <v>721</v>
      </c>
      <c r="P3250" s="79">
        <f>+N3249-P3249</f>
        <v>0</v>
      </c>
    </row>
    <row r="3251" spans="9:16" ht="16.5" thickBot="1">
      <c r="I3251" s="901" t="s">
        <v>102</v>
      </c>
      <c r="J3251" s="902"/>
      <c r="K3251" s="902"/>
      <c r="L3251" s="902"/>
      <c r="M3251" s="903"/>
      <c r="N3251" s="81">
        <f>SUM(N3243:N3250)</f>
        <v>330000</v>
      </c>
    </row>
    <row r="3252" spans="9:16" ht="16.5" thickBot="1">
      <c r="I3252" s="885" t="s">
        <v>103</v>
      </c>
      <c r="J3252" s="886"/>
      <c r="K3252" s="886"/>
      <c r="L3252" s="886"/>
      <c r="M3252" s="887"/>
      <c r="N3252" s="69">
        <f>+N3218</f>
        <v>708696574</v>
      </c>
      <c r="O3252" s="241" t="s">
        <v>561</v>
      </c>
      <c r="P3252" s="242">
        <f>404+83+122</f>
        <v>609</v>
      </c>
    </row>
    <row r="3253" spans="9:16" ht="16.5" thickBot="1">
      <c r="I3253" s="888" t="s">
        <v>104</v>
      </c>
      <c r="J3253" s="889"/>
      <c r="K3253" s="889"/>
      <c r="L3253" s="889"/>
      <c r="M3253" s="890"/>
      <c r="N3253" s="183">
        <f>SUM(N3251:N3252)</f>
        <v>709026574</v>
      </c>
    </row>
    <row r="3254" spans="9:16">
      <c r="I3254" s="61"/>
      <c r="J3254" s="61"/>
      <c r="K3254" s="61"/>
      <c r="L3254" s="61"/>
      <c r="M3254" s="61"/>
    </row>
    <row r="3255" spans="9:16">
      <c r="I3255" s="51" t="s">
        <v>1265</v>
      </c>
    </row>
    <row r="3256" spans="9:16">
      <c r="N3256" s="139"/>
    </row>
    <row r="3257" spans="9:16">
      <c r="I3257" s="50" t="s">
        <v>105</v>
      </c>
      <c r="L3257" s="146"/>
      <c r="N3257" s="139"/>
    </row>
    <row r="3258" spans="9:16" ht="15.75" thickBot="1"/>
    <row r="3259" spans="9:16" ht="15.75" thickBot="1">
      <c r="I3259" s="891" t="s">
        <v>106</v>
      </c>
      <c r="J3259" s="892"/>
      <c r="K3259" s="892"/>
      <c r="L3259" s="893"/>
      <c r="N3259" s="50" t="s">
        <v>288</v>
      </c>
    </row>
    <row r="3260" spans="9:16" ht="30.75" thickBot="1">
      <c r="I3260" s="57" t="s">
        <v>100</v>
      </c>
      <c r="J3260" s="58" t="s">
        <v>108</v>
      </c>
      <c r="K3260" s="287" t="s">
        <v>109</v>
      </c>
      <c r="L3260" s="60" t="s">
        <v>110</v>
      </c>
    </row>
    <row r="3261" spans="9:16">
      <c r="I3261" s="71">
        <v>719</v>
      </c>
      <c r="J3261" s="73">
        <f>+P3243+P3245+P3247+P3249</f>
        <v>330000</v>
      </c>
      <c r="K3261" s="74">
        <f>+L3226</f>
        <v>45485000</v>
      </c>
      <c r="L3261" s="195">
        <f>+J3261+K3261</f>
        <v>45815000</v>
      </c>
    </row>
    <row r="3262" spans="9:16">
      <c r="I3262" s="72">
        <v>721</v>
      </c>
      <c r="J3262" s="80"/>
      <c r="K3262" s="74">
        <f>+L3227</f>
        <v>274150914</v>
      </c>
      <c r="L3262" s="195">
        <f>+J3262+K3262</f>
        <v>274150914</v>
      </c>
    </row>
    <row r="3263" spans="9:16">
      <c r="I3263" s="72">
        <v>722</v>
      </c>
      <c r="J3263" s="80"/>
      <c r="K3263" s="74">
        <f>+L3228</f>
        <v>5580000</v>
      </c>
      <c r="L3263" s="195">
        <f>+J3263+K3263</f>
        <v>5580000</v>
      </c>
    </row>
    <row r="3264" spans="9:16" ht="15.75">
      <c r="I3264" s="72">
        <v>723</v>
      </c>
      <c r="J3264" s="80"/>
      <c r="K3264" s="74">
        <f>+L3229</f>
        <v>417128534</v>
      </c>
      <c r="L3264" s="195">
        <f>+J3264+K3264</f>
        <v>417128534</v>
      </c>
      <c r="N3264" s="193" t="s">
        <v>289</v>
      </c>
      <c r="O3264" s="175"/>
    </row>
    <row r="3265" spans="9:16" ht="16.5" thickBot="1">
      <c r="I3265" s="164" t="s">
        <v>1077</v>
      </c>
      <c r="J3265" s="165"/>
      <c r="K3265" s="74">
        <f>+L3230</f>
        <v>797500</v>
      </c>
      <c r="L3265" s="196">
        <f>+J3265+K3265</f>
        <v>797500</v>
      </c>
      <c r="N3265" s="52"/>
    </row>
    <row r="3266" spans="9:16" ht="16.5" thickBot="1">
      <c r="I3266" s="169"/>
      <c r="J3266" s="197">
        <f>SUM(J3261:J3265)</f>
        <v>330000</v>
      </c>
      <c r="K3266" s="197">
        <f>SUM(K3261:K3265)</f>
        <v>743141948</v>
      </c>
      <c r="L3266" s="198">
        <f>SUM(L3261:L3265)</f>
        <v>743471948</v>
      </c>
    </row>
    <row r="3268" spans="9:16" ht="16.5">
      <c r="I3268" s="49" t="s">
        <v>88</v>
      </c>
      <c r="J3268" s="50"/>
    </row>
    <row r="3269" spans="9:16">
      <c r="I3269" s="51" t="s">
        <v>89</v>
      </c>
    </row>
    <row r="3270" spans="9:16">
      <c r="I3270" s="51" t="s">
        <v>90</v>
      </c>
    </row>
    <row r="3271" spans="9:16">
      <c r="I3271" s="51" t="s">
        <v>91</v>
      </c>
    </row>
    <row r="3272" spans="9:16">
      <c r="I3272" s="50"/>
      <c r="J3272" s="50"/>
    </row>
    <row r="3273" spans="9:16" ht="15.75">
      <c r="I3273" s="260" t="s">
        <v>1272</v>
      </c>
      <c r="O3273" s="52"/>
    </row>
    <row r="3274" spans="9:16" ht="15.75">
      <c r="I3274" s="53" t="s">
        <v>535</v>
      </c>
      <c r="O3274" s="53"/>
    </row>
    <row r="3275" spans="9:16" ht="16.5">
      <c r="I3275" s="894" t="s">
        <v>1277</v>
      </c>
      <c r="J3275" s="894"/>
      <c r="K3275" s="894"/>
      <c r="L3275" s="894"/>
      <c r="M3275" s="894"/>
      <c r="N3275" s="894"/>
      <c r="O3275" s="894"/>
      <c r="P3275" s="894"/>
    </row>
    <row r="3276" spans="9:16" ht="15.75" thickBot="1"/>
    <row r="3277" spans="9:16">
      <c r="I3277" s="895" t="s">
        <v>94</v>
      </c>
      <c r="J3277" s="897" t="s">
        <v>95</v>
      </c>
      <c r="K3277" s="897" t="s">
        <v>96</v>
      </c>
      <c r="L3277" s="897" t="s">
        <v>3</v>
      </c>
      <c r="M3277" s="897" t="s">
        <v>97</v>
      </c>
      <c r="N3277" s="897" t="s">
        <v>98</v>
      </c>
      <c r="O3277" s="897" t="s">
        <v>99</v>
      </c>
      <c r="P3277" s="899"/>
    </row>
    <row r="3278" spans="9:16" ht="15.75" thickBot="1">
      <c r="I3278" s="896"/>
      <c r="J3278" s="898"/>
      <c r="K3278" s="898"/>
      <c r="L3278" s="898"/>
      <c r="M3278" s="898"/>
      <c r="N3278" s="898"/>
      <c r="O3278" s="240" t="s">
        <v>100</v>
      </c>
      <c r="P3278" s="182" t="s">
        <v>101</v>
      </c>
    </row>
    <row r="3279" spans="9:16" ht="15" customHeight="1">
      <c r="I3279" s="881">
        <v>351</v>
      </c>
      <c r="J3279" s="875">
        <v>42732</v>
      </c>
      <c r="K3279" s="877" t="s">
        <v>1267</v>
      </c>
      <c r="L3279" s="879" t="s">
        <v>1270</v>
      </c>
      <c r="M3279" s="881" t="s">
        <v>115</v>
      </c>
      <c r="N3279" s="883">
        <v>14718204</v>
      </c>
      <c r="O3279" s="55">
        <v>719</v>
      </c>
      <c r="P3279" s="78">
        <v>0</v>
      </c>
    </row>
    <row r="3280" spans="9:16" ht="15.75" thickBot="1">
      <c r="I3280" s="882"/>
      <c r="J3280" s="876"/>
      <c r="K3280" s="900"/>
      <c r="L3280" s="880"/>
      <c r="M3280" s="882"/>
      <c r="N3280" s="884"/>
      <c r="O3280" s="56">
        <v>721</v>
      </c>
      <c r="P3280" s="351">
        <f>+N3279-P3279</f>
        <v>14718204</v>
      </c>
    </row>
    <row r="3281" spans="9:16" ht="15" customHeight="1">
      <c r="I3281" s="881">
        <f>+I3279+1</f>
        <v>352</v>
      </c>
      <c r="J3281" s="875">
        <v>42732</v>
      </c>
      <c r="K3281" s="900"/>
      <c r="L3281" s="879" t="s">
        <v>1271</v>
      </c>
      <c r="M3281" s="881" t="s">
        <v>115</v>
      </c>
      <c r="N3281" s="883">
        <v>3962065</v>
      </c>
      <c r="O3281" s="55">
        <v>722</v>
      </c>
      <c r="P3281" s="78">
        <v>0</v>
      </c>
    </row>
    <row r="3282" spans="9:16" ht="15.75" customHeight="1" thickBot="1">
      <c r="I3282" s="882"/>
      <c r="J3282" s="876"/>
      <c r="K3282" s="878"/>
      <c r="L3282" s="880"/>
      <c r="M3282" s="882"/>
      <c r="N3282" s="884"/>
      <c r="O3282" s="56">
        <v>721</v>
      </c>
      <c r="P3282" s="352">
        <f>+N3281-P3281</f>
        <v>3962065</v>
      </c>
    </row>
    <row r="3283" spans="9:16" ht="15" customHeight="1">
      <c r="I3283" s="881">
        <f>+I3281+1</f>
        <v>353</v>
      </c>
      <c r="J3283" s="875">
        <v>42732</v>
      </c>
      <c r="K3283" s="877" t="s">
        <v>1014</v>
      </c>
      <c r="L3283" s="879" t="s">
        <v>1273</v>
      </c>
      <c r="M3283" s="881" t="s">
        <v>115</v>
      </c>
      <c r="N3283" s="883">
        <v>90000</v>
      </c>
      <c r="O3283" s="55">
        <v>722</v>
      </c>
      <c r="P3283" s="78">
        <v>90000</v>
      </c>
    </row>
    <row r="3284" spans="9:16" ht="15.75" customHeight="1" thickBot="1">
      <c r="I3284" s="882"/>
      <c r="J3284" s="876"/>
      <c r="K3284" s="878"/>
      <c r="L3284" s="880"/>
      <c r="M3284" s="882"/>
      <c r="N3284" s="884"/>
      <c r="O3284" s="56">
        <v>721</v>
      </c>
      <c r="P3284" s="352">
        <f>+N3283-P3283</f>
        <v>0</v>
      </c>
    </row>
    <row r="3285" spans="9:16" ht="15" customHeight="1">
      <c r="I3285" s="881">
        <f>+I3283+1</f>
        <v>354</v>
      </c>
      <c r="J3285" s="875">
        <v>42732</v>
      </c>
      <c r="K3285" s="877" t="s">
        <v>120</v>
      </c>
      <c r="L3285" s="879" t="s">
        <v>1274</v>
      </c>
      <c r="M3285" s="881" t="s">
        <v>115</v>
      </c>
      <c r="N3285" s="883">
        <v>60000</v>
      </c>
      <c r="O3285" s="55">
        <v>722</v>
      </c>
      <c r="P3285" s="78">
        <v>60000</v>
      </c>
    </row>
    <row r="3286" spans="9:16" ht="15.75" customHeight="1" thickBot="1">
      <c r="I3286" s="882"/>
      <c r="J3286" s="876"/>
      <c r="K3286" s="878"/>
      <c r="L3286" s="880"/>
      <c r="M3286" s="882"/>
      <c r="N3286" s="884"/>
      <c r="O3286" s="56">
        <v>721</v>
      </c>
      <c r="P3286" s="79">
        <f>+N3285-P3285</f>
        <v>0</v>
      </c>
    </row>
    <row r="3287" spans="9:16" ht="16.5" thickBot="1">
      <c r="I3287" s="901" t="s">
        <v>102</v>
      </c>
      <c r="J3287" s="902"/>
      <c r="K3287" s="902"/>
      <c r="L3287" s="902"/>
      <c r="M3287" s="903"/>
      <c r="N3287" s="81">
        <f>SUM(N3279:N3286)</f>
        <v>18830269</v>
      </c>
    </row>
    <row r="3288" spans="9:16" ht="16.5" thickBot="1">
      <c r="I3288" s="885" t="s">
        <v>103</v>
      </c>
      <c r="J3288" s="886"/>
      <c r="K3288" s="886"/>
      <c r="L3288" s="886"/>
      <c r="M3288" s="887"/>
      <c r="N3288" s="69">
        <f>+N3253</f>
        <v>709026574</v>
      </c>
      <c r="O3288" s="241" t="s">
        <v>561</v>
      </c>
      <c r="P3288" s="242">
        <f>38+294</f>
        <v>332</v>
      </c>
    </row>
    <row r="3289" spans="9:16" ht="16.5" thickBot="1">
      <c r="I3289" s="888" t="s">
        <v>104</v>
      </c>
      <c r="J3289" s="889"/>
      <c r="K3289" s="889"/>
      <c r="L3289" s="889"/>
      <c r="M3289" s="890"/>
      <c r="N3289" s="183">
        <f>SUM(N3287:N3288)</f>
        <v>727856843</v>
      </c>
    </row>
    <row r="3290" spans="9:16">
      <c r="I3290" s="61"/>
      <c r="J3290" s="61"/>
      <c r="K3290" s="61"/>
      <c r="L3290" s="61"/>
      <c r="M3290" s="61"/>
    </row>
    <row r="3291" spans="9:16">
      <c r="I3291" s="51" t="s">
        <v>1275</v>
      </c>
    </row>
    <row r="3292" spans="9:16">
      <c r="N3292" s="139"/>
    </row>
    <row r="3293" spans="9:16">
      <c r="I3293" s="50" t="s">
        <v>105</v>
      </c>
      <c r="L3293" s="146"/>
      <c r="N3293" s="139"/>
    </row>
    <row r="3294" spans="9:16" ht="15.75" thickBot="1"/>
    <row r="3295" spans="9:16" ht="15.75" thickBot="1">
      <c r="I3295" s="891" t="s">
        <v>106</v>
      </c>
      <c r="J3295" s="892"/>
      <c r="K3295" s="892"/>
      <c r="L3295" s="893"/>
      <c r="N3295" s="50" t="s">
        <v>288</v>
      </c>
    </row>
    <row r="3296" spans="9:16" ht="30.75" thickBot="1">
      <c r="I3296" s="57" t="s">
        <v>100</v>
      </c>
      <c r="J3296" s="58" t="s">
        <v>108</v>
      </c>
      <c r="K3296" s="287" t="s">
        <v>109</v>
      </c>
      <c r="L3296" s="60" t="s">
        <v>110</v>
      </c>
    </row>
    <row r="3297" spans="9:16">
      <c r="I3297" s="71">
        <v>719</v>
      </c>
      <c r="J3297" s="73">
        <f>+P3279+P3281+P3283+P3285</f>
        <v>150000</v>
      </c>
      <c r="K3297" s="74">
        <f>+L3261</f>
        <v>45815000</v>
      </c>
      <c r="L3297" s="195">
        <f>+J3297+K3297</f>
        <v>45965000</v>
      </c>
    </row>
    <row r="3298" spans="9:16">
      <c r="I3298" s="72">
        <v>721</v>
      </c>
      <c r="J3298" s="80">
        <f>+P3280+P3282</f>
        <v>18680269</v>
      </c>
      <c r="K3298" s="74">
        <f>+L3262</f>
        <v>274150914</v>
      </c>
      <c r="L3298" s="195">
        <f>+J3298+K3298</f>
        <v>292831183</v>
      </c>
    </row>
    <row r="3299" spans="9:16">
      <c r="I3299" s="72">
        <v>722</v>
      </c>
      <c r="J3299" s="80"/>
      <c r="K3299" s="74">
        <f>+L3263</f>
        <v>5580000</v>
      </c>
      <c r="L3299" s="195">
        <f>+J3299+K3299</f>
        <v>5580000</v>
      </c>
    </row>
    <row r="3300" spans="9:16" ht="15.75">
      <c r="I3300" s="72">
        <v>723</v>
      </c>
      <c r="J3300" s="80"/>
      <c r="K3300" s="74">
        <f>+L3264</f>
        <v>417128534</v>
      </c>
      <c r="L3300" s="195">
        <f>+J3300+K3300</f>
        <v>417128534</v>
      </c>
      <c r="N3300" s="193" t="s">
        <v>289</v>
      </c>
      <c r="O3300" s="175"/>
    </row>
    <row r="3301" spans="9:16" ht="16.5" thickBot="1">
      <c r="I3301" s="164" t="s">
        <v>1077</v>
      </c>
      <c r="J3301" s="165"/>
      <c r="K3301" s="74">
        <f>+L3265</f>
        <v>797500</v>
      </c>
      <c r="L3301" s="196">
        <f>+J3301+K3301</f>
        <v>797500</v>
      </c>
      <c r="N3301" s="52"/>
    </row>
    <row r="3302" spans="9:16" ht="16.5" thickBot="1">
      <c r="I3302" s="169"/>
      <c r="J3302" s="197">
        <f>SUM(J3297:J3301)</f>
        <v>18830269</v>
      </c>
      <c r="K3302" s="197">
        <f>SUM(K3297:K3301)</f>
        <v>743471948</v>
      </c>
      <c r="L3302" s="198">
        <f>SUM(L3297:L3301)</f>
        <v>762302217</v>
      </c>
    </row>
    <row r="3303" spans="9:16" ht="16.5">
      <c r="I3303" s="49" t="s">
        <v>88</v>
      </c>
      <c r="J3303" s="50"/>
    </row>
    <row r="3304" spans="9:16">
      <c r="I3304" s="51" t="s">
        <v>89</v>
      </c>
    </row>
    <row r="3305" spans="9:16">
      <c r="I3305" s="51" t="s">
        <v>90</v>
      </c>
    </row>
    <row r="3306" spans="9:16">
      <c r="I3306" s="51" t="s">
        <v>91</v>
      </c>
    </row>
    <row r="3307" spans="9:16" ht="12" customHeight="1">
      <c r="I3307" s="50"/>
      <c r="J3307" s="50"/>
    </row>
    <row r="3308" spans="9:16" ht="15.75">
      <c r="I3308" s="260" t="s">
        <v>1279</v>
      </c>
      <c r="O3308" s="52"/>
    </row>
    <row r="3309" spans="9:16" ht="15.75">
      <c r="I3309" s="53" t="s">
        <v>535</v>
      </c>
      <c r="O3309" s="53"/>
    </row>
    <row r="3310" spans="9:16" ht="14.25" customHeight="1">
      <c r="I3310" s="894" t="s">
        <v>1288</v>
      </c>
      <c r="J3310" s="894"/>
      <c r="K3310" s="894"/>
      <c r="L3310" s="894"/>
      <c r="M3310" s="894"/>
      <c r="N3310" s="894"/>
      <c r="O3310" s="894"/>
      <c r="P3310" s="894"/>
    </row>
    <row r="3311" spans="9:16" ht="12.75" customHeight="1" thickBot="1"/>
    <row r="3312" spans="9:16">
      <c r="I3312" s="895" t="s">
        <v>94</v>
      </c>
      <c r="J3312" s="897" t="s">
        <v>95</v>
      </c>
      <c r="K3312" s="897" t="s">
        <v>96</v>
      </c>
      <c r="L3312" s="897" t="s">
        <v>3</v>
      </c>
      <c r="M3312" s="897" t="s">
        <v>97</v>
      </c>
      <c r="N3312" s="897" t="s">
        <v>98</v>
      </c>
      <c r="O3312" s="897" t="s">
        <v>99</v>
      </c>
      <c r="P3312" s="899"/>
    </row>
    <row r="3313" spans="9:16" ht="15.75" thickBot="1">
      <c r="I3313" s="896"/>
      <c r="J3313" s="898"/>
      <c r="K3313" s="898"/>
      <c r="L3313" s="898"/>
      <c r="M3313" s="898"/>
      <c r="N3313" s="898"/>
      <c r="O3313" s="240" t="s">
        <v>100</v>
      </c>
      <c r="P3313" s="182" t="s">
        <v>101</v>
      </c>
    </row>
    <row r="3314" spans="9:16" ht="12.75" customHeight="1">
      <c r="I3314" s="881">
        <v>355</v>
      </c>
      <c r="J3314" s="875">
        <v>42734</v>
      </c>
      <c r="K3314" s="877" t="s">
        <v>1280</v>
      </c>
      <c r="L3314" s="904">
        <v>42569</v>
      </c>
      <c r="M3314" s="881" t="s">
        <v>148</v>
      </c>
      <c r="N3314" s="883">
        <v>100000</v>
      </c>
      <c r="O3314" s="55">
        <v>719</v>
      </c>
      <c r="P3314" s="78">
        <v>0</v>
      </c>
    </row>
    <row r="3315" spans="9:16" ht="15.75" thickBot="1">
      <c r="I3315" s="882"/>
      <c r="J3315" s="876"/>
      <c r="K3315" s="878"/>
      <c r="L3315" s="880"/>
      <c r="M3315" s="882"/>
      <c r="N3315" s="884"/>
      <c r="O3315" s="56">
        <v>722</v>
      </c>
      <c r="P3315" s="351">
        <f>+N3314-P3314</f>
        <v>100000</v>
      </c>
    </row>
    <row r="3316" spans="9:16" ht="12" customHeight="1">
      <c r="I3316" s="881">
        <f>+I3314+1</f>
        <v>356</v>
      </c>
      <c r="J3316" s="875">
        <v>42734</v>
      </c>
      <c r="K3316" s="877" t="s">
        <v>1281</v>
      </c>
      <c r="L3316" s="904">
        <v>42569</v>
      </c>
      <c r="M3316" s="881" t="s">
        <v>148</v>
      </c>
      <c r="N3316" s="883">
        <v>100000</v>
      </c>
      <c r="O3316" s="55">
        <v>719</v>
      </c>
      <c r="P3316" s="78">
        <v>0</v>
      </c>
    </row>
    <row r="3317" spans="9:16" ht="15.75" customHeight="1" thickBot="1">
      <c r="I3317" s="882"/>
      <c r="J3317" s="876"/>
      <c r="K3317" s="878"/>
      <c r="L3317" s="880"/>
      <c r="M3317" s="882"/>
      <c r="N3317" s="884"/>
      <c r="O3317" s="56">
        <v>722</v>
      </c>
      <c r="P3317" s="352">
        <f>+N3316-P3316</f>
        <v>100000</v>
      </c>
    </row>
    <row r="3318" spans="9:16" ht="12.75" customHeight="1">
      <c r="I3318" s="881">
        <f>+I3316+1</f>
        <v>357</v>
      </c>
      <c r="J3318" s="875">
        <v>42734</v>
      </c>
      <c r="K3318" s="877" t="s">
        <v>1282</v>
      </c>
      <c r="L3318" s="904">
        <v>42569</v>
      </c>
      <c r="M3318" s="881" t="s">
        <v>148</v>
      </c>
      <c r="N3318" s="883">
        <v>100000</v>
      </c>
      <c r="O3318" s="55">
        <v>719</v>
      </c>
      <c r="P3318" s="78"/>
    </row>
    <row r="3319" spans="9:16" ht="15.75" customHeight="1" thickBot="1">
      <c r="I3319" s="882"/>
      <c r="J3319" s="876"/>
      <c r="K3319" s="878"/>
      <c r="L3319" s="880"/>
      <c r="M3319" s="882"/>
      <c r="N3319" s="884"/>
      <c r="O3319" s="56">
        <v>722</v>
      </c>
      <c r="P3319" s="352">
        <f>+N3318-P3318</f>
        <v>100000</v>
      </c>
    </row>
    <row r="3320" spans="9:16" ht="16.5" customHeight="1">
      <c r="I3320" s="881">
        <f>+I3318+1</f>
        <v>358</v>
      </c>
      <c r="J3320" s="875">
        <v>42734</v>
      </c>
      <c r="K3320" s="877" t="s">
        <v>1284</v>
      </c>
      <c r="L3320" s="904">
        <v>42569</v>
      </c>
      <c r="M3320" s="881" t="s">
        <v>148</v>
      </c>
      <c r="N3320" s="883">
        <v>100000</v>
      </c>
      <c r="O3320" s="55">
        <v>719</v>
      </c>
      <c r="P3320" s="78"/>
    </row>
    <row r="3321" spans="9:16" ht="15" customHeight="1" thickBot="1">
      <c r="I3321" s="882"/>
      <c r="J3321" s="876"/>
      <c r="K3321" s="878"/>
      <c r="L3321" s="907"/>
      <c r="M3321" s="882"/>
      <c r="N3321" s="884"/>
      <c r="O3321" s="56">
        <v>722</v>
      </c>
      <c r="P3321" s="352">
        <f>+N3320-P3320</f>
        <v>100000</v>
      </c>
    </row>
    <row r="3322" spans="9:16" ht="12.75" customHeight="1">
      <c r="I3322" s="881">
        <f>+I3320+1</f>
        <v>359</v>
      </c>
      <c r="J3322" s="875">
        <v>42734</v>
      </c>
      <c r="K3322" s="905" t="s">
        <v>1285</v>
      </c>
      <c r="L3322" s="904">
        <v>42570</v>
      </c>
      <c r="M3322" s="881" t="s">
        <v>148</v>
      </c>
      <c r="N3322" s="883">
        <v>100000</v>
      </c>
      <c r="O3322" s="55">
        <v>719</v>
      </c>
      <c r="P3322" s="78"/>
    </row>
    <row r="3323" spans="9:16" ht="14.25" customHeight="1" thickBot="1">
      <c r="I3323" s="882"/>
      <c r="J3323" s="876"/>
      <c r="K3323" s="906"/>
      <c r="L3323" s="907"/>
      <c r="M3323" s="882"/>
      <c r="N3323" s="884"/>
      <c r="O3323" s="56">
        <v>722</v>
      </c>
      <c r="P3323" s="352">
        <f>+N3322-P3322</f>
        <v>100000</v>
      </c>
    </row>
    <row r="3324" spans="9:16" ht="15" customHeight="1">
      <c r="I3324" s="881">
        <f>+I3322+1</f>
        <v>360</v>
      </c>
      <c r="J3324" s="875">
        <v>42734</v>
      </c>
      <c r="K3324" s="905" t="s">
        <v>1285</v>
      </c>
      <c r="L3324" s="904">
        <v>42570</v>
      </c>
      <c r="M3324" s="881" t="s">
        <v>148</v>
      </c>
      <c r="N3324" s="883">
        <v>100000</v>
      </c>
      <c r="O3324" s="55">
        <v>719</v>
      </c>
      <c r="P3324" s="78"/>
    </row>
    <row r="3325" spans="9:16" ht="15.75" customHeight="1" thickBot="1">
      <c r="I3325" s="882"/>
      <c r="J3325" s="876"/>
      <c r="K3325" s="906"/>
      <c r="L3325" s="907"/>
      <c r="M3325" s="882"/>
      <c r="N3325" s="884"/>
      <c r="O3325" s="56">
        <v>722</v>
      </c>
      <c r="P3325" s="79">
        <f>+N3324-P3324</f>
        <v>100000</v>
      </c>
    </row>
    <row r="3326" spans="9:16" ht="16.5" thickBot="1">
      <c r="I3326" s="901" t="s">
        <v>102</v>
      </c>
      <c r="J3326" s="902"/>
      <c r="K3326" s="902"/>
      <c r="L3326" s="902"/>
      <c r="M3326" s="903"/>
      <c r="N3326" s="81">
        <f>SUM(N3314:N3325)</f>
        <v>600000</v>
      </c>
    </row>
    <row r="3327" spans="9:16" ht="16.5" thickBot="1">
      <c r="I3327" s="885" t="s">
        <v>103</v>
      </c>
      <c r="J3327" s="886"/>
      <c r="K3327" s="886"/>
      <c r="L3327" s="886"/>
      <c r="M3327" s="887"/>
      <c r="N3327" s="69">
        <f>+N3289</f>
        <v>727856843</v>
      </c>
      <c r="O3327" s="241" t="s">
        <v>561</v>
      </c>
      <c r="P3327" s="242"/>
    </row>
    <row r="3328" spans="9:16" ht="16.5" thickBot="1">
      <c r="I3328" s="888" t="s">
        <v>104</v>
      </c>
      <c r="J3328" s="889"/>
      <c r="K3328" s="889"/>
      <c r="L3328" s="889"/>
      <c r="M3328" s="890"/>
      <c r="N3328" s="183">
        <f>SUM(N3326:N3327)</f>
        <v>728456843</v>
      </c>
    </row>
    <row r="3329" spans="9:15">
      <c r="I3329" s="61"/>
      <c r="J3329" s="61"/>
      <c r="K3329" s="61"/>
      <c r="L3329" s="61"/>
      <c r="M3329" s="61"/>
    </row>
    <row r="3330" spans="9:15">
      <c r="I3330" s="51" t="s">
        <v>1286</v>
      </c>
    </row>
    <row r="3331" spans="9:15" ht="11.25" customHeight="1">
      <c r="N3331" s="139"/>
    </row>
    <row r="3332" spans="9:15">
      <c r="I3332" s="50" t="s">
        <v>105</v>
      </c>
      <c r="L3332" s="146"/>
      <c r="N3332" s="139"/>
    </row>
    <row r="3333" spans="9:15" ht="13.5" customHeight="1" thickBot="1"/>
    <row r="3334" spans="9:15" ht="15.75" thickBot="1">
      <c r="I3334" s="891" t="s">
        <v>106</v>
      </c>
      <c r="J3334" s="892"/>
      <c r="K3334" s="892"/>
      <c r="L3334" s="893"/>
      <c r="N3334" s="50" t="s">
        <v>288</v>
      </c>
    </row>
    <row r="3335" spans="9:15" ht="30.75" thickBot="1">
      <c r="I3335" s="57" t="s">
        <v>100</v>
      </c>
      <c r="J3335" s="58" t="s">
        <v>108</v>
      </c>
      <c r="K3335" s="287" t="s">
        <v>109</v>
      </c>
      <c r="L3335" s="60" t="s">
        <v>110</v>
      </c>
    </row>
    <row r="3336" spans="9:15">
      <c r="I3336" s="71">
        <v>719</v>
      </c>
      <c r="J3336" s="73">
        <f>+P3314+P3316+P3322+P3324</f>
        <v>0</v>
      </c>
      <c r="K3336" s="74">
        <f>+L3297</f>
        <v>45965000</v>
      </c>
      <c r="L3336" s="195">
        <f>+J3336+K3336</f>
        <v>45965000</v>
      </c>
    </row>
    <row r="3337" spans="9:15">
      <c r="I3337" s="72">
        <v>721</v>
      </c>
      <c r="J3337" s="80"/>
      <c r="K3337" s="74">
        <f>+L3298</f>
        <v>292831183</v>
      </c>
      <c r="L3337" s="195">
        <f>+J3337+K3337</f>
        <v>292831183</v>
      </c>
    </row>
    <row r="3338" spans="9:15">
      <c r="I3338" s="72">
        <v>722</v>
      </c>
      <c r="J3338" s="80">
        <f>+P3325+P3323+P3319+P3317+P3315+P3321</f>
        <v>600000</v>
      </c>
      <c r="K3338" s="74">
        <f>+L3299</f>
        <v>5580000</v>
      </c>
      <c r="L3338" s="195">
        <f>+J3338+K3338</f>
        <v>6180000</v>
      </c>
    </row>
    <row r="3339" spans="9:15" ht="15.75">
      <c r="I3339" s="72">
        <v>723</v>
      </c>
      <c r="J3339" s="80"/>
      <c r="K3339" s="74">
        <f>+L3300</f>
        <v>417128534</v>
      </c>
      <c r="L3339" s="195">
        <f>+J3339+K3339</f>
        <v>417128534</v>
      </c>
      <c r="N3339" s="193" t="s">
        <v>289</v>
      </c>
      <c r="O3339" s="175"/>
    </row>
    <row r="3340" spans="9:15" ht="16.5" thickBot="1">
      <c r="I3340" s="164" t="s">
        <v>1077</v>
      </c>
      <c r="J3340" s="165"/>
      <c r="K3340" s="74">
        <f>+L3301</f>
        <v>797500</v>
      </c>
      <c r="L3340" s="196">
        <f>+J3340+K3340</f>
        <v>797500</v>
      </c>
      <c r="N3340" s="52"/>
    </row>
    <row r="3341" spans="9:15" ht="16.5" thickBot="1">
      <c r="I3341" s="169"/>
      <c r="J3341" s="197">
        <f>SUM(J3336:J3340)</f>
        <v>600000</v>
      </c>
      <c r="K3341" s="197">
        <f>SUM(K3336:K3340)</f>
        <v>762302217</v>
      </c>
      <c r="L3341" s="198">
        <f>SUM(L3336:L3340)</f>
        <v>762902217</v>
      </c>
    </row>
    <row r="3342" spans="9:15" ht="16.5">
      <c r="I3342" s="49" t="s">
        <v>88</v>
      </c>
      <c r="J3342" s="50"/>
    </row>
    <row r="3343" spans="9:15">
      <c r="I3343" s="51" t="s">
        <v>89</v>
      </c>
    </row>
    <row r="3344" spans="9:15">
      <c r="I3344" s="51" t="s">
        <v>90</v>
      </c>
    </row>
    <row r="3345" spans="9:16">
      <c r="I3345" s="51" t="s">
        <v>91</v>
      </c>
    </row>
    <row r="3346" spans="9:16">
      <c r="I3346" s="50"/>
      <c r="J3346" s="50"/>
    </row>
    <row r="3347" spans="9:16" ht="15.75">
      <c r="I3347" s="260" t="s">
        <v>1283</v>
      </c>
      <c r="O3347" s="52"/>
    </row>
    <row r="3348" spans="9:16" ht="15.75">
      <c r="I3348" s="53" t="s">
        <v>535</v>
      </c>
      <c r="O3348" s="53"/>
    </row>
    <row r="3349" spans="9:16" ht="16.5">
      <c r="I3349" s="894" t="s">
        <v>1288</v>
      </c>
      <c r="J3349" s="894"/>
      <c r="K3349" s="894"/>
      <c r="L3349" s="894"/>
      <c r="M3349" s="894"/>
      <c r="N3349" s="894"/>
      <c r="O3349" s="894"/>
      <c r="P3349" s="894"/>
    </row>
    <row r="3350" spans="9:16" ht="15.75" thickBot="1"/>
    <row r="3351" spans="9:16">
      <c r="I3351" s="895" t="s">
        <v>94</v>
      </c>
      <c r="J3351" s="897" t="s">
        <v>95</v>
      </c>
      <c r="K3351" s="897" t="s">
        <v>96</v>
      </c>
      <c r="L3351" s="897" t="s">
        <v>3</v>
      </c>
      <c r="M3351" s="897" t="s">
        <v>97</v>
      </c>
      <c r="N3351" s="897" t="s">
        <v>98</v>
      </c>
      <c r="O3351" s="897" t="s">
        <v>99</v>
      </c>
      <c r="P3351" s="899"/>
    </row>
    <row r="3352" spans="9:16" ht="15.75" thickBot="1">
      <c r="I3352" s="896"/>
      <c r="J3352" s="898"/>
      <c r="K3352" s="898"/>
      <c r="L3352" s="898"/>
      <c r="M3352" s="898"/>
      <c r="N3352" s="898"/>
      <c r="O3352" s="240" t="s">
        <v>100</v>
      </c>
      <c r="P3352" s="182" t="s">
        <v>101</v>
      </c>
    </row>
    <row r="3353" spans="9:16" ht="15" customHeight="1">
      <c r="I3353" s="873" t="s">
        <v>552</v>
      </c>
      <c r="J3353" s="875">
        <v>42735</v>
      </c>
      <c r="K3353" s="877" t="s">
        <v>790</v>
      </c>
      <c r="L3353" s="879" t="s">
        <v>1293</v>
      </c>
      <c r="M3353" s="881" t="s">
        <v>165</v>
      </c>
      <c r="N3353" s="883">
        <v>-401330</v>
      </c>
      <c r="O3353" s="55">
        <v>719</v>
      </c>
      <c r="P3353" s="78"/>
    </row>
    <row r="3354" spans="9:16" ht="15.75" thickBot="1">
      <c r="I3354" s="874"/>
      <c r="J3354" s="876"/>
      <c r="K3354" s="878"/>
      <c r="L3354" s="880"/>
      <c r="M3354" s="882"/>
      <c r="N3354" s="884"/>
      <c r="O3354" s="56">
        <v>723</v>
      </c>
      <c r="P3354" s="351">
        <f>+N3353-P3353</f>
        <v>-401330</v>
      </c>
    </row>
    <row r="3355" spans="9:16" ht="15" customHeight="1">
      <c r="I3355" s="873" t="s">
        <v>553</v>
      </c>
      <c r="J3355" s="875">
        <v>42735</v>
      </c>
      <c r="K3355" s="877" t="s">
        <v>791</v>
      </c>
      <c r="L3355" s="879" t="s">
        <v>1294</v>
      </c>
      <c r="M3355" s="881" t="s">
        <v>165</v>
      </c>
      <c r="N3355" s="883">
        <v>-164000</v>
      </c>
      <c r="O3355" s="55">
        <v>719</v>
      </c>
      <c r="P3355" s="78"/>
    </row>
    <row r="3356" spans="9:16" ht="15.75" customHeight="1" thickBot="1">
      <c r="I3356" s="874"/>
      <c r="J3356" s="876"/>
      <c r="K3356" s="878"/>
      <c r="L3356" s="880"/>
      <c r="M3356" s="882"/>
      <c r="N3356" s="884"/>
      <c r="O3356" s="56">
        <v>723</v>
      </c>
      <c r="P3356" s="352">
        <f>+N3355-P3355</f>
        <v>-164000</v>
      </c>
    </row>
    <row r="3357" spans="9:16" ht="15" customHeight="1">
      <c r="I3357" s="873"/>
      <c r="J3357" s="875"/>
      <c r="K3357" s="877"/>
      <c r="L3357" s="879"/>
      <c r="M3357" s="881"/>
      <c r="N3357" s="883"/>
      <c r="O3357" s="55">
        <v>719</v>
      </c>
      <c r="P3357" s="78"/>
    </row>
    <row r="3358" spans="9:16" ht="15.75" customHeight="1" thickBot="1">
      <c r="I3358" s="874"/>
      <c r="J3358" s="876"/>
      <c r="K3358" s="878"/>
      <c r="L3358" s="880"/>
      <c r="M3358" s="882"/>
      <c r="N3358" s="884"/>
      <c r="O3358" s="56">
        <v>722</v>
      </c>
      <c r="P3358" s="352"/>
    </row>
    <row r="3359" spans="9:16" ht="15" customHeight="1">
      <c r="I3359" s="873"/>
      <c r="J3359" s="875"/>
      <c r="K3359" s="877"/>
      <c r="L3359" s="879"/>
      <c r="M3359" s="881"/>
      <c r="N3359" s="883"/>
      <c r="O3359" s="55">
        <v>719</v>
      </c>
      <c r="P3359" s="78"/>
    </row>
    <row r="3360" spans="9:16" ht="15.75" customHeight="1" thickBot="1">
      <c r="I3360" s="874"/>
      <c r="J3360" s="876"/>
      <c r="K3360" s="878"/>
      <c r="L3360" s="880"/>
      <c r="M3360" s="882"/>
      <c r="N3360" s="884"/>
      <c r="O3360" s="56">
        <v>722</v>
      </c>
      <c r="P3360" s="79">
        <f>+N3359-P3359</f>
        <v>0</v>
      </c>
    </row>
    <row r="3361" spans="9:16" ht="16.5" thickBot="1">
      <c r="I3361" s="901" t="s">
        <v>102</v>
      </c>
      <c r="J3361" s="902"/>
      <c r="K3361" s="902"/>
      <c r="L3361" s="902"/>
      <c r="M3361" s="903"/>
      <c r="N3361" s="81">
        <f>SUM(N3353:N3360)</f>
        <v>-565330</v>
      </c>
    </row>
    <row r="3362" spans="9:16" ht="16.5" thickBot="1">
      <c r="I3362" s="885" t="s">
        <v>103</v>
      </c>
      <c r="J3362" s="886"/>
      <c r="K3362" s="886"/>
      <c r="L3362" s="886"/>
      <c r="M3362" s="887"/>
      <c r="N3362" s="69">
        <f>+N3328</f>
        <v>728456843</v>
      </c>
      <c r="O3362" s="241" t="s">
        <v>561</v>
      </c>
      <c r="P3362" s="242"/>
    </row>
    <row r="3363" spans="9:16" ht="16.5" thickBot="1">
      <c r="I3363" s="888" t="s">
        <v>104</v>
      </c>
      <c r="J3363" s="889"/>
      <c r="K3363" s="889"/>
      <c r="L3363" s="889"/>
      <c r="M3363" s="890"/>
      <c r="N3363" s="183">
        <f>SUM(N3361:N3362)</f>
        <v>727891513</v>
      </c>
    </row>
    <row r="3364" spans="9:16">
      <c r="I3364" s="61"/>
      <c r="J3364" s="61"/>
      <c r="K3364" s="61"/>
      <c r="L3364" s="61"/>
      <c r="M3364" s="61"/>
    </row>
    <row r="3365" spans="9:16">
      <c r="I3365" s="51" t="s">
        <v>1287</v>
      </c>
    </row>
    <row r="3366" spans="9:16">
      <c r="N3366" s="139"/>
    </row>
    <row r="3367" spans="9:16">
      <c r="I3367" s="50" t="s">
        <v>105</v>
      </c>
      <c r="L3367" s="146"/>
      <c r="N3367" s="139"/>
    </row>
    <row r="3368" spans="9:16" ht="15.75" thickBot="1"/>
    <row r="3369" spans="9:16" ht="15.75" thickBot="1">
      <c r="I3369" s="891" t="s">
        <v>106</v>
      </c>
      <c r="J3369" s="892"/>
      <c r="K3369" s="892"/>
      <c r="L3369" s="893"/>
      <c r="N3369" s="50" t="s">
        <v>288</v>
      </c>
    </row>
    <row r="3370" spans="9:16" ht="30.75" thickBot="1">
      <c r="I3370" s="57" t="s">
        <v>100</v>
      </c>
      <c r="J3370" s="58" t="s">
        <v>108</v>
      </c>
      <c r="K3370" s="287" t="s">
        <v>109</v>
      </c>
      <c r="L3370" s="60" t="s">
        <v>110</v>
      </c>
    </row>
    <row r="3371" spans="9:16">
      <c r="I3371" s="71">
        <v>719</v>
      </c>
      <c r="J3371" s="73">
        <f>+P3353+P3355+P3359</f>
        <v>0</v>
      </c>
      <c r="K3371" s="74">
        <f>+L3336</f>
        <v>45965000</v>
      </c>
      <c r="L3371" s="195">
        <f>+J3371+K3371</f>
        <v>45965000</v>
      </c>
    </row>
    <row r="3372" spans="9:16">
      <c r="I3372" s="72">
        <v>721</v>
      </c>
      <c r="J3372" s="80"/>
      <c r="K3372" s="74">
        <f>+L3337</f>
        <v>292831183</v>
      </c>
      <c r="L3372" s="195">
        <f>+J3372+K3372</f>
        <v>292831183</v>
      </c>
    </row>
    <row r="3373" spans="9:16">
      <c r="I3373" s="72">
        <v>722</v>
      </c>
      <c r="J3373" s="80"/>
      <c r="K3373" s="74">
        <f>+L3338</f>
        <v>6180000</v>
      </c>
      <c r="L3373" s="195">
        <f>+J3373+K3373</f>
        <v>6180000</v>
      </c>
    </row>
    <row r="3374" spans="9:16" ht="15.75">
      <c r="I3374" s="72">
        <v>723</v>
      </c>
      <c r="J3374" s="80">
        <f>+P3356+P3354</f>
        <v>-565330</v>
      </c>
      <c r="K3374" s="74">
        <f>+L3339</f>
        <v>417128534</v>
      </c>
      <c r="L3374" s="195">
        <f>+J3374+K3374</f>
        <v>416563204</v>
      </c>
      <c r="N3374" s="193" t="s">
        <v>289</v>
      </c>
      <c r="O3374" s="175"/>
    </row>
    <row r="3375" spans="9:16" ht="16.5" thickBot="1">
      <c r="I3375" s="164" t="s">
        <v>1077</v>
      </c>
      <c r="J3375" s="165"/>
      <c r="K3375" s="74">
        <f>+L3340</f>
        <v>797500</v>
      </c>
      <c r="L3375" s="196">
        <f>+J3375+K3375</f>
        <v>797500</v>
      </c>
      <c r="N3375" s="52"/>
    </row>
    <row r="3376" spans="9:16" ht="16.5" thickBot="1">
      <c r="I3376" s="169"/>
      <c r="J3376" s="197">
        <f>SUM(J3371:J3375)</f>
        <v>-565330</v>
      </c>
      <c r="K3376" s="197">
        <f>SUM(K3371:K3375)</f>
        <v>762902217</v>
      </c>
      <c r="L3376" s="198">
        <f>SUM(L3371:L3375)</f>
        <v>762336887</v>
      </c>
    </row>
    <row r="3377" spans="9:16" ht="15.75">
      <c r="I3377" s="397"/>
      <c r="J3377" s="398"/>
      <c r="K3377" s="398"/>
      <c r="L3377" s="399"/>
    </row>
    <row r="3378" spans="9:16" ht="16.5">
      <c r="I3378" s="49" t="s">
        <v>88</v>
      </c>
      <c r="J3378" s="50"/>
    </row>
    <row r="3379" spans="9:16">
      <c r="I3379" s="51" t="s">
        <v>89</v>
      </c>
    </row>
    <row r="3380" spans="9:16">
      <c r="I3380" s="51" t="s">
        <v>90</v>
      </c>
    </row>
    <row r="3381" spans="9:16">
      <c r="I3381" s="51" t="s">
        <v>91</v>
      </c>
    </row>
    <row r="3382" spans="9:16" ht="14.25" customHeight="1">
      <c r="I3382" s="50"/>
      <c r="J3382" s="50"/>
    </row>
    <row r="3383" spans="9:16" ht="15.75">
      <c r="I3383" s="260" t="s">
        <v>1289</v>
      </c>
      <c r="O3383" s="52"/>
    </row>
    <row r="3384" spans="9:16" ht="15.75">
      <c r="I3384" s="53" t="s">
        <v>535</v>
      </c>
      <c r="O3384" s="53"/>
    </row>
    <row r="3385" spans="9:16" ht="16.5">
      <c r="I3385" s="894" t="s">
        <v>1278</v>
      </c>
      <c r="J3385" s="894"/>
      <c r="K3385" s="894"/>
      <c r="L3385" s="894"/>
      <c r="M3385" s="894"/>
      <c r="N3385" s="894"/>
      <c r="O3385" s="894"/>
      <c r="P3385" s="894"/>
    </row>
    <row r="3386" spans="9:16" ht="15.75" thickBot="1"/>
    <row r="3387" spans="9:16">
      <c r="I3387" s="895" t="s">
        <v>94</v>
      </c>
      <c r="J3387" s="897" t="s">
        <v>95</v>
      </c>
      <c r="K3387" s="897" t="s">
        <v>96</v>
      </c>
      <c r="L3387" s="897" t="s">
        <v>3</v>
      </c>
      <c r="M3387" s="897" t="s">
        <v>97</v>
      </c>
      <c r="N3387" s="897" t="s">
        <v>98</v>
      </c>
      <c r="O3387" s="897" t="s">
        <v>99</v>
      </c>
      <c r="P3387" s="899"/>
    </row>
    <row r="3388" spans="9:16" ht="15.75" thickBot="1">
      <c r="I3388" s="896"/>
      <c r="J3388" s="898"/>
      <c r="K3388" s="898"/>
      <c r="L3388" s="898"/>
      <c r="M3388" s="898"/>
      <c r="N3388" s="898"/>
      <c r="O3388" s="240" t="s">
        <v>100</v>
      </c>
      <c r="P3388" s="182" t="s">
        <v>101</v>
      </c>
    </row>
    <row r="3389" spans="9:16" ht="15" customHeight="1">
      <c r="I3389" s="873" t="s">
        <v>1290</v>
      </c>
      <c r="J3389" s="875">
        <v>42734</v>
      </c>
      <c r="K3389" s="877" t="s">
        <v>1014</v>
      </c>
      <c r="L3389" s="879" t="s">
        <v>1293</v>
      </c>
      <c r="M3389" s="881" t="s">
        <v>115</v>
      </c>
      <c r="N3389" s="883">
        <v>50000</v>
      </c>
      <c r="O3389" s="55">
        <v>719</v>
      </c>
      <c r="P3389" s="78">
        <v>50000</v>
      </c>
    </row>
    <row r="3390" spans="9:16" ht="15.75" customHeight="1" thickBot="1">
      <c r="I3390" s="874"/>
      <c r="J3390" s="876"/>
      <c r="K3390" s="878"/>
      <c r="L3390" s="880"/>
      <c r="M3390" s="882"/>
      <c r="N3390" s="884"/>
      <c r="O3390" s="56">
        <v>723</v>
      </c>
      <c r="P3390" s="351">
        <f>+N3389-P3389</f>
        <v>0</v>
      </c>
    </row>
    <row r="3391" spans="9:16" ht="15" customHeight="1">
      <c r="I3391" s="873" t="s">
        <v>1291</v>
      </c>
      <c r="J3391" s="875">
        <v>42734</v>
      </c>
      <c r="K3391" s="877" t="s">
        <v>28</v>
      </c>
      <c r="L3391" s="879" t="s">
        <v>1294</v>
      </c>
      <c r="M3391" s="881" t="s">
        <v>115</v>
      </c>
      <c r="N3391" s="883">
        <v>50000</v>
      </c>
      <c r="O3391" s="55">
        <v>719</v>
      </c>
      <c r="P3391" s="78">
        <v>50000</v>
      </c>
    </row>
    <row r="3392" spans="9:16" ht="15.75" customHeight="1" thickBot="1">
      <c r="I3392" s="874"/>
      <c r="J3392" s="876"/>
      <c r="K3392" s="878"/>
      <c r="L3392" s="880"/>
      <c r="M3392" s="882"/>
      <c r="N3392" s="884"/>
      <c r="O3392" s="56">
        <v>723</v>
      </c>
      <c r="P3392" s="352">
        <f>+N3391-P3391</f>
        <v>0</v>
      </c>
    </row>
    <row r="3393" spans="9:16" ht="15" customHeight="1">
      <c r="I3393" s="873" t="s">
        <v>1292</v>
      </c>
      <c r="J3393" s="875">
        <v>42734</v>
      </c>
      <c r="K3393" s="877" t="s">
        <v>120</v>
      </c>
      <c r="L3393" s="879" t="s">
        <v>1294</v>
      </c>
      <c r="M3393" s="881" t="s">
        <v>115</v>
      </c>
      <c r="N3393" s="883">
        <v>140000</v>
      </c>
      <c r="O3393" s="55">
        <v>719</v>
      </c>
      <c r="P3393" s="78">
        <v>140000</v>
      </c>
    </row>
    <row r="3394" spans="9:16" ht="15.75" customHeight="1" thickBot="1">
      <c r="I3394" s="874"/>
      <c r="J3394" s="876"/>
      <c r="K3394" s="878"/>
      <c r="L3394" s="880"/>
      <c r="M3394" s="882"/>
      <c r="N3394" s="884"/>
      <c r="O3394" s="56">
        <v>722</v>
      </c>
      <c r="P3394" s="352">
        <f>+N3393-P3393</f>
        <v>0</v>
      </c>
    </row>
    <row r="3395" spans="9:16">
      <c r="I3395" s="881"/>
      <c r="J3395" s="875"/>
      <c r="K3395" s="877"/>
      <c r="L3395" s="904"/>
      <c r="M3395" s="881"/>
      <c r="N3395" s="883"/>
      <c r="O3395" s="55">
        <v>719</v>
      </c>
      <c r="P3395" s="78"/>
    </row>
    <row r="3396" spans="9:16" ht="15.75" thickBot="1">
      <c r="I3396" s="882"/>
      <c r="J3396" s="876"/>
      <c r="K3396" s="878"/>
      <c r="L3396" s="880"/>
      <c r="M3396" s="882"/>
      <c r="N3396" s="884"/>
      <c r="O3396" s="56">
        <v>722</v>
      </c>
      <c r="P3396" s="79">
        <f>+N3395-P3395</f>
        <v>0</v>
      </c>
    </row>
    <row r="3397" spans="9:16" ht="16.5" thickBot="1">
      <c r="I3397" s="901" t="s">
        <v>102</v>
      </c>
      <c r="J3397" s="902"/>
      <c r="K3397" s="902"/>
      <c r="L3397" s="902"/>
      <c r="M3397" s="903"/>
      <c r="N3397" s="81">
        <f>SUM(N3389:N3396)</f>
        <v>240000</v>
      </c>
    </row>
    <row r="3398" spans="9:16" ht="16.5" thickBot="1">
      <c r="I3398" s="885" t="s">
        <v>103</v>
      </c>
      <c r="J3398" s="886"/>
      <c r="K3398" s="886"/>
      <c r="L3398" s="886"/>
      <c r="M3398" s="887"/>
      <c r="N3398" s="69">
        <f>+N3363</f>
        <v>727891513</v>
      </c>
      <c r="O3398" s="241" t="s">
        <v>561</v>
      </c>
      <c r="P3398" s="242">
        <v>349</v>
      </c>
    </row>
    <row r="3399" spans="9:16" ht="16.5" thickBot="1">
      <c r="I3399" s="888" t="s">
        <v>104</v>
      </c>
      <c r="J3399" s="889"/>
      <c r="K3399" s="889"/>
      <c r="L3399" s="889"/>
      <c r="M3399" s="890"/>
      <c r="N3399" s="183">
        <f>SUM(N3397:N3398)</f>
        <v>728131513</v>
      </c>
    </row>
    <row r="3400" spans="9:16">
      <c r="I3400" s="61"/>
      <c r="J3400" s="61"/>
      <c r="K3400" s="61"/>
      <c r="L3400" s="61"/>
      <c r="M3400" s="61"/>
    </row>
    <row r="3401" spans="9:16">
      <c r="I3401" s="51" t="s">
        <v>1295</v>
      </c>
    </row>
    <row r="3402" spans="9:16">
      <c r="N3402" s="139"/>
    </row>
    <row r="3403" spans="9:16" ht="19.5" customHeight="1">
      <c r="I3403" s="50" t="s">
        <v>105</v>
      </c>
      <c r="L3403" s="146"/>
      <c r="N3403" s="139"/>
    </row>
    <row r="3404" spans="9:16" ht="18" customHeight="1" thickBot="1"/>
    <row r="3405" spans="9:16" ht="15.75" thickBot="1">
      <c r="I3405" s="891" t="s">
        <v>106</v>
      </c>
      <c r="J3405" s="892"/>
      <c r="K3405" s="892"/>
      <c r="L3405" s="893"/>
      <c r="N3405" s="50" t="s">
        <v>288</v>
      </c>
    </row>
    <row r="3406" spans="9:16" ht="30.75" thickBot="1">
      <c r="I3406" s="57" t="s">
        <v>100</v>
      </c>
      <c r="J3406" s="58" t="s">
        <v>108</v>
      </c>
      <c r="K3406" s="287" t="s">
        <v>109</v>
      </c>
      <c r="L3406" s="60" t="s">
        <v>110</v>
      </c>
    </row>
    <row r="3407" spans="9:16">
      <c r="I3407" s="71">
        <v>719</v>
      </c>
      <c r="J3407" s="73">
        <f>+P3389+P3391+P3395+P3393</f>
        <v>240000</v>
      </c>
      <c r="K3407" s="74">
        <f>+L3371</f>
        <v>45965000</v>
      </c>
      <c r="L3407" s="195">
        <f>+J3407+K3407</f>
        <v>46205000</v>
      </c>
    </row>
    <row r="3408" spans="9:16">
      <c r="I3408" s="72">
        <v>721</v>
      </c>
      <c r="J3408" s="80"/>
      <c r="K3408" s="74">
        <f>+L3372</f>
        <v>292831183</v>
      </c>
      <c r="L3408" s="195">
        <f>+J3408+K3408</f>
        <v>292831183</v>
      </c>
    </row>
    <row r="3409" spans="9:16">
      <c r="I3409" s="72">
        <v>722</v>
      </c>
      <c r="J3409" s="80"/>
      <c r="K3409" s="74">
        <f>+L3373</f>
        <v>6180000</v>
      </c>
      <c r="L3409" s="195">
        <f>+J3409+K3409</f>
        <v>6180000</v>
      </c>
    </row>
    <row r="3410" spans="9:16" ht="15.75">
      <c r="I3410" s="72">
        <v>723</v>
      </c>
      <c r="J3410" s="80">
        <f>+P3392+P3390</f>
        <v>0</v>
      </c>
      <c r="K3410" s="74">
        <f>+L3374</f>
        <v>416563204</v>
      </c>
      <c r="L3410" s="195">
        <f>+J3410+K3410</f>
        <v>416563204</v>
      </c>
      <c r="N3410" s="193" t="s">
        <v>289</v>
      </c>
      <c r="O3410" s="175"/>
    </row>
    <row r="3411" spans="9:16" ht="16.5" thickBot="1">
      <c r="I3411" s="164" t="s">
        <v>1077</v>
      </c>
      <c r="J3411" s="165"/>
      <c r="K3411" s="74">
        <f>+L3375</f>
        <v>797500</v>
      </c>
      <c r="L3411" s="196">
        <f>+J3411+K3411</f>
        <v>797500</v>
      </c>
      <c r="N3411" s="52"/>
    </row>
    <row r="3412" spans="9:16" ht="16.5" thickBot="1">
      <c r="I3412" s="169"/>
      <c r="J3412" s="197">
        <f>SUM(J3407:J3411)</f>
        <v>240000</v>
      </c>
      <c r="K3412" s="197">
        <f>SUM(K3407:K3411)</f>
        <v>762336887</v>
      </c>
      <c r="L3412" s="198">
        <f>SUM(L3407:L3411)</f>
        <v>762576887</v>
      </c>
    </row>
    <row r="3413" spans="9:16" ht="15.75">
      <c r="I3413" s="397"/>
      <c r="J3413" s="398"/>
      <c r="K3413" s="398"/>
      <c r="L3413" s="399"/>
    </row>
    <row r="3414" spans="9:16" ht="16.5">
      <c r="I3414" s="49" t="s">
        <v>88</v>
      </c>
      <c r="J3414" s="50"/>
    </row>
    <row r="3415" spans="9:16">
      <c r="I3415" s="50" t="s">
        <v>89</v>
      </c>
    </row>
    <row r="3416" spans="9:16">
      <c r="I3416" s="51" t="s">
        <v>90</v>
      </c>
    </row>
    <row r="3417" spans="9:16">
      <c r="I3417" s="51" t="s">
        <v>91</v>
      </c>
    </row>
    <row r="3418" spans="9:16" ht="9" customHeight="1">
      <c r="I3418" s="50"/>
      <c r="J3418" s="50"/>
    </row>
    <row r="3419" spans="9:16" ht="15.75">
      <c r="I3419" s="260" t="s">
        <v>1296</v>
      </c>
      <c r="O3419" s="52"/>
    </row>
    <row r="3420" spans="9:16" ht="15.75">
      <c r="I3420" s="53" t="s">
        <v>535</v>
      </c>
      <c r="O3420" s="53"/>
    </row>
    <row r="3421" spans="9:16" ht="15.75" customHeight="1">
      <c r="I3421" s="894" t="s">
        <v>1302</v>
      </c>
      <c r="J3421" s="894"/>
      <c r="K3421" s="894"/>
      <c r="L3421" s="894"/>
      <c r="M3421" s="894"/>
      <c r="N3421" s="894"/>
      <c r="O3421" s="894"/>
      <c r="P3421" s="894"/>
    </row>
    <row r="3422" spans="9:16" ht="12.75" customHeight="1" thickBot="1"/>
    <row r="3423" spans="9:16">
      <c r="I3423" s="895" t="s">
        <v>94</v>
      </c>
      <c r="J3423" s="897" t="s">
        <v>95</v>
      </c>
      <c r="K3423" s="897" t="s">
        <v>96</v>
      </c>
      <c r="L3423" s="897" t="s">
        <v>3</v>
      </c>
      <c r="M3423" s="897" t="s">
        <v>97</v>
      </c>
      <c r="N3423" s="897" t="s">
        <v>98</v>
      </c>
      <c r="O3423" s="897" t="s">
        <v>99</v>
      </c>
      <c r="P3423" s="899"/>
    </row>
    <row r="3424" spans="9:16" ht="15.75" thickBot="1">
      <c r="I3424" s="896"/>
      <c r="J3424" s="898"/>
      <c r="K3424" s="898"/>
      <c r="L3424" s="898"/>
      <c r="M3424" s="898"/>
      <c r="N3424" s="898"/>
      <c r="O3424" s="240" t="s">
        <v>100</v>
      </c>
      <c r="P3424" s="182" t="s">
        <v>101</v>
      </c>
    </row>
    <row r="3425" spans="9:16" ht="13.5" customHeight="1">
      <c r="I3425" s="873" t="s">
        <v>1297</v>
      </c>
      <c r="J3425" s="875">
        <v>42734</v>
      </c>
      <c r="K3425" s="400" t="s">
        <v>1267</v>
      </c>
      <c r="L3425" s="879" t="s">
        <v>1221</v>
      </c>
      <c r="M3425" s="881" t="s">
        <v>145</v>
      </c>
      <c r="N3425" s="883">
        <v>14718204</v>
      </c>
      <c r="O3425" s="55">
        <v>719</v>
      </c>
      <c r="P3425" s="78">
        <v>0</v>
      </c>
    </row>
    <row r="3426" spans="9:16" ht="14.25" customHeight="1" thickBot="1">
      <c r="I3426" s="874"/>
      <c r="J3426" s="876"/>
      <c r="K3426" s="402"/>
      <c r="L3426" s="880"/>
      <c r="M3426" s="882"/>
      <c r="N3426" s="884"/>
      <c r="O3426" s="56">
        <v>721</v>
      </c>
      <c r="P3426" s="351">
        <f>+N3425-P3425</f>
        <v>14718204</v>
      </c>
    </row>
    <row r="3427" spans="9:16" ht="13.5" customHeight="1">
      <c r="I3427" s="873" t="s">
        <v>1298</v>
      </c>
      <c r="J3427" s="875">
        <v>42734</v>
      </c>
      <c r="K3427" s="402"/>
      <c r="L3427" s="879" t="s">
        <v>1304</v>
      </c>
      <c r="M3427" s="881" t="s">
        <v>145</v>
      </c>
      <c r="N3427" s="883">
        <v>4941638</v>
      </c>
      <c r="O3427" s="55">
        <v>719</v>
      </c>
      <c r="P3427" s="78">
        <v>0</v>
      </c>
    </row>
    <row r="3428" spans="9:16" ht="15" customHeight="1" thickBot="1">
      <c r="I3428" s="874"/>
      <c r="J3428" s="876"/>
      <c r="K3428" s="402"/>
      <c r="L3428" s="880"/>
      <c r="M3428" s="882"/>
      <c r="N3428" s="884"/>
      <c r="O3428" s="56">
        <v>721</v>
      </c>
      <c r="P3428" s="352">
        <f>+N3427-P3427</f>
        <v>4941638</v>
      </c>
    </row>
    <row r="3429" spans="9:16" ht="15" customHeight="1">
      <c r="I3429" s="873" t="s">
        <v>1299</v>
      </c>
      <c r="J3429" s="875">
        <v>42734</v>
      </c>
      <c r="K3429" s="402"/>
      <c r="L3429" s="879" t="s">
        <v>1305</v>
      </c>
      <c r="M3429" s="881" t="s">
        <v>145</v>
      </c>
      <c r="N3429" s="883">
        <v>3962065</v>
      </c>
      <c r="O3429" s="55">
        <v>719</v>
      </c>
      <c r="P3429" s="78">
        <v>0</v>
      </c>
    </row>
    <row r="3430" spans="9:16" ht="15.75" customHeight="1" thickBot="1">
      <c r="I3430" s="874"/>
      <c r="J3430" s="876"/>
      <c r="K3430" s="402"/>
      <c r="L3430" s="880"/>
      <c r="M3430" s="882"/>
      <c r="N3430" s="884"/>
      <c r="O3430" s="56">
        <v>721</v>
      </c>
      <c r="P3430" s="352">
        <f>+N3429-P3429</f>
        <v>3962065</v>
      </c>
    </row>
    <row r="3431" spans="9:16" ht="14.25" customHeight="1">
      <c r="I3431" s="873" t="s">
        <v>1300</v>
      </c>
      <c r="J3431" s="875">
        <v>42734</v>
      </c>
      <c r="K3431" s="402"/>
      <c r="L3431" s="879" t="s">
        <v>1303</v>
      </c>
      <c r="M3431" s="881" t="s">
        <v>145</v>
      </c>
      <c r="N3431" s="883">
        <v>2449488</v>
      </c>
      <c r="O3431" s="55">
        <v>719</v>
      </c>
      <c r="P3431" s="78">
        <v>0</v>
      </c>
    </row>
    <row r="3432" spans="9:16" ht="14.25" customHeight="1" thickBot="1">
      <c r="I3432" s="874"/>
      <c r="J3432" s="876"/>
      <c r="K3432" s="402"/>
      <c r="L3432" s="880"/>
      <c r="M3432" s="882"/>
      <c r="N3432" s="884"/>
      <c r="O3432" s="56">
        <v>721</v>
      </c>
      <c r="P3432" s="352">
        <f>+N3431-P3431</f>
        <v>2449488</v>
      </c>
    </row>
    <row r="3433" spans="9:16" ht="13.5" customHeight="1">
      <c r="I3433" s="873" t="s">
        <v>1308</v>
      </c>
      <c r="J3433" s="875">
        <v>42734</v>
      </c>
      <c r="K3433" s="402"/>
      <c r="L3433" s="879" t="s">
        <v>1306</v>
      </c>
      <c r="M3433" s="881" t="s">
        <v>145</v>
      </c>
      <c r="N3433" s="883">
        <v>4151192</v>
      </c>
      <c r="O3433" s="55">
        <v>719</v>
      </c>
      <c r="P3433" s="78">
        <v>0</v>
      </c>
    </row>
    <row r="3434" spans="9:16" ht="15.75" customHeight="1" thickBot="1">
      <c r="I3434" s="874"/>
      <c r="J3434" s="876"/>
      <c r="K3434" s="402"/>
      <c r="L3434" s="880"/>
      <c r="M3434" s="882"/>
      <c r="N3434" s="884"/>
      <c r="O3434" s="56">
        <v>721</v>
      </c>
      <c r="P3434" s="352">
        <f>+N3433-P3433</f>
        <v>4151192</v>
      </c>
    </row>
    <row r="3435" spans="9:16" ht="12.75" customHeight="1">
      <c r="I3435" s="873" t="s">
        <v>1309</v>
      </c>
      <c r="J3435" s="875">
        <v>42734</v>
      </c>
      <c r="K3435" s="402"/>
      <c r="L3435" s="879" t="s">
        <v>1307</v>
      </c>
      <c r="M3435" s="881" t="s">
        <v>145</v>
      </c>
      <c r="N3435" s="883">
        <v>1734563</v>
      </c>
      <c r="O3435" s="55">
        <v>719</v>
      </c>
      <c r="P3435" s="78"/>
    </row>
    <row r="3436" spans="9:16" ht="12.75" customHeight="1" thickBot="1">
      <c r="I3436" s="874"/>
      <c r="J3436" s="876"/>
      <c r="K3436" s="401"/>
      <c r="L3436" s="880"/>
      <c r="M3436" s="882"/>
      <c r="N3436" s="884"/>
      <c r="O3436" s="56">
        <v>721</v>
      </c>
      <c r="P3436" s="79">
        <f>+N3435-P3435</f>
        <v>1734563</v>
      </c>
    </row>
    <row r="3437" spans="9:16" ht="16.5" thickBot="1">
      <c r="I3437" s="901" t="s">
        <v>102</v>
      </c>
      <c r="J3437" s="902"/>
      <c r="K3437" s="902"/>
      <c r="L3437" s="902"/>
      <c r="M3437" s="903"/>
      <c r="N3437" s="81">
        <f>SUM(N3425:N3436)</f>
        <v>31957150</v>
      </c>
    </row>
    <row r="3438" spans="9:16" ht="16.5" thickBot="1">
      <c r="I3438" s="885" t="s">
        <v>103</v>
      </c>
      <c r="J3438" s="886"/>
      <c r="K3438" s="886"/>
      <c r="L3438" s="886"/>
      <c r="M3438" s="887"/>
      <c r="N3438" s="69">
        <f>+N3399</f>
        <v>728131513</v>
      </c>
      <c r="O3438" s="241" t="s">
        <v>561</v>
      </c>
      <c r="P3438" s="242"/>
    </row>
    <row r="3439" spans="9:16" ht="16.5" thickBot="1">
      <c r="I3439" s="888" t="s">
        <v>104</v>
      </c>
      <c r="J3439" s="889"/>
      <c r="K3439" s="889"/>
      <c r="L3439" s="889"/>
      <c r="M3439" s="890"/>
      <c r="N3439" s="183">
        <f>SUM(N3437:N3438)</f>
        <v>760088663</v>
      </c>
    </row>
    <row r="3440" spans="9:16" ht="12.75" customHeight="1">
      <c r="I3440" s="61"/>
      <c r="J3440" s="61"/>
      <c r="K3440" s="61"/>
      <c r="L3440" s="61"/>
      <c r="M3440" s="61"/>
    </row>
    <row r="3441" spans="9:15">
      <c r="I3441" s="51" t="s">
        <v>1310</v>
      </c>
    </row>
    <row r="3442" spans="9:15" ht="8.25" customHeight="1">
      <c r="N3442" s="139"/>
    </row>
    <row r="3443" spans="9:15">
      <c r="I3443" s="50" t="s">
        <v>105</v>
      </c>
      <c r="L3443" s="146"/>
      <c r="N3443" s="139"/>
    </row>
    <row r="3444" spans="9:15" ht="9" customHeight="1" thickBot="1"/>
    <row r="3445" spans="9:15" ht="15.75" thickBot="1">
      <c r="I3445" s="891" t="s">
        <v>106</v>
      </c>
      <c r="J3445" s="892"/>
      <c r="K3445" s="892"/>
      <c r="L3445" s="893"/>
      <c r="N3445" s="50" t="s">
        <v>1126</v>
      </c>
    </row>
    <row r="3446" spans="9:15" ht="30.75" thickBot="1">
      <c r="I3446" s="57" t="s">
        <v>100</v>
      </c>
      <c r="J3446" s="58" t="s">
        <v>108</v>
      </c>
      <c r="K3446" s="287" t="s">
        <v>109</v>
      </c>
      <c r="L3446" s="60" t="s">
        <v>110</v>
      </c>
    </row>
    <row r="3447" spans="9:15">
      <c r="I3447" s="71">
        <v>719</v>
      </c>
      <c r="J3447" s="73">
        <f>+P3429+P3431+P3435+P3433</f>
        <v>0</v>
      </c>
      <c r="K3447" s="74">
        <f>+L3407</f>
        <v>46205000</v>
      </c>
      <c r="L3447" s="195">
        <f>+J3447+K3447</f>
        <v>46205000</v>
      </c>
    </row>
    <row r="3448" spans="9:15">
      <c r="I3448" s="72">
        <v>721</v>
      </c>
      <c r="J3448" s="80">
        <f>+P3436+P3434+P3432+P3430+P3428+P3426</f>
        <v>31957150</v>
      </c>
      <c r="K3448" s="74">
        <f>+L3408</f>
        <v>292831183</v>
      </c>
      <c r="L3448" s="195">
        <f>+J3448+K3448</f>
        <v>324788333</v>
      </c>
    </row>
    <row r="3449" spans="9:15">
      <c r="I3449" s="72">
        <v>722</v>
      </c>
      <c r="J3449" s="80"/>
      <c r="K3449" s="74">
        <f>+L3409</f>
        <v>6180000</v>
      </c>
      <c r="L3449" s="195">
        <f>+J3449+K3449</f>
        <v>6180000</v>
      </c>
    </row>
    <row r="3450" spans="9:15" ht="15.75">
      <c r="I3450" s="72">
        <v>723</v>
      </c>
      <c r="J3450" s="80"/>
      <c r="K3450" s="74">
        <f>+L3410</f>
        <v>416563204</v>
      </c>
      <c r="L3450" s="195">
        <f>+J3450+K3450</f>
        <v>416563204</v>
      </c>
      <c r="N3450" s="193" t="s">
        <v>1125</v>
      </c>
      <c r="O3450" s="175"/>
    </row>
    <row r="3451" spans="9:15" ht="16.5" thickBot="1">
      <c r="I3451" s="164" t="s">
        <v>1077</v>
      </c>
      <c r="J3451" s="165"/>
      <c r="K3451" s="74">
        <f>+L3411</f>
        <v>797500</v>
      </c>
      <c r="L3451" s="196">
        <f>+J3451+K3451</f>
        <v>797500</v>
      </c>
      <c r="N3451" s="52"/>
    </row>
    <row r="3452" spans="9:15" ht="16.5" thickBot="1">
      <c r="I3452" s="169"/>
      <c r="J3452" s="197">
        <f>SUM(J3447:J3451)</f>
        <v>31957150</v>
      </c>
      <c r="K3452" s="197">
        <f>SUM(K3447:K3451)</f>
        <v>762576887</v>
      </c>
      <c r="L3452" s="198">
        <f>SUM(L3447:L3451)</f>
        <v>794534037</v>
      </c>
    </row>
    <row r="3453" spans="9:15" ht="16.5">
      <c r="I3453" s="49" t="s">
        <v>88</v>
      </c>
      <c r="J3453" s="50"/>
    </row>
    <row r="3454" spans="9:15">
      <c r="I3454" s="51" t="s">
        <v>89</v>
      </c>
    </row>
    <row r="3455" spans="9:15">
      <c r="I3455" s="51" t="s">
        <v>90</v>
      </c>
    </row>
    <row r="3456" spans="9:15">
      <c r="I3456" s="51" t="s">
        <v>91</v>
      </c>
    </row>
    <row r="3457" spans="9:16">
      <c r="I3457" s="50"/>
      <c r="J3457" s="50"/>
    </row>
    <row r="3458" spans="9:16" ht="15.75">
      <c r="I3458" s="260" t="s">
        <v>1312</v>
      </c>
      <c r="O3458" s="52"/>
    </row>
    <row r="3459" spans="9:16" ht="15.75">
      <c r="I3459" s="53" t="s">
        <v>535</v>
      </c>
      <c r="O3459" s="53"/>
    </row>
    <row r="3460" spans="9:16" ht="16.5">
      <c r="I3460" s="894" t="s">
        <v>1316</v>
      </c>
      <c r="J3460" s="894"/>
      <c r="K3460" s="894"/>
      <c r="L3460" s="894"/>
      <c r="M3460" s="894"/>
      <c r="N3460" s="894"/>
      <c r="O3460" s="894"/>
      <c r="P3460" s="894"/>
    </row>
    <row r="3461" spans="9:16" ht="15.75" thickBot="1"/>
    <row r="3462" spans="9:16">
      <c r="I3462" s="895" t="s">
        <v>94</v>
      </c>
      <c r="J3462" s="897" t="s">
        <v>95</v>
      </c>
      <c r="K3462" s="897" t="s">
        <v>96</v>
      </c>
      <c r="L3462" s="897" t="s">
        <v>3</v>
      </c>
      <c r="M3462" s="897" t="s">
        <v>97</v>
      </c>
      <c r="N3462" s="897" t="s">
        <v>98</v>
      </c>
      <c r="O3462" s="897" t="s">
        <v>99</v>
      </c>
      <c r="P3462" s="899"/>
    </row>
    <row r="3463" spans="9:16" ht="15.75" thickBot="1">
      <c r="I3463" s="896"/>
      <c r="J3463" s="898"/>
      <c r="K3463" s="898"/>
      <c r="L3463" s="898"/>
      <c r="M3463" s="898"/>
      <c r="N3463" s="898"/>
      <c r="O3463" s="240" t="s">
        <v>100</v>
      </c>
      <c r="P3463" s="182" t="s">
        <v>101</v>
      </c>
    </row>
    <row r="3464" spans="9:16">
      <c r="I3464" s="873" t="s">
        <v>1311</v>
      </c>
      <c r="J3464" s="875">
        <v>42734</v>
      </c>
      <c r="K3464" s="877" t="s">
        <v>1315</v>
      </c>
      <c r="L3464" s="879" t="s">
        <v>1301</v>
      </c>
      <c r="M3464" s="881" t="s">
        <v>148</v>
      </c>
      <c r="N3464" s="883">
        <v>1817700</v>
      </c>
      <c r="O3464" s="55">
        <v>719</v>
      </c>
      <c r="P3464" s="78"/>
    </row>
    <row r="3465" spans="9:16" ht="15.75" thickBot="1">
      <c r="I3465" s="874"/>
      <c r="J3465" s="876"/>
      <c r="K3465" s="878"/>
      <c r="L3465" s="880"/>
      <c r="M3465" s="882"/>
      <c r="N3465" s="884"/>
      <c r="O3465" s="56">
        <v>723</v>
      </c>
      <c r="P3465" s="351">
        <f>+N3464-P3464</f>
        <v>1817700</v>
      </c>
    </row>
    <row r="3466" spans="9:16">
      <c r="I3466" s="873"/>
      <c r="J3466" s="875"/>
      <c r="K3466" s="877"/>
      <c r="L3466" s="879"/>
      <c r="M3466" s="881"/>
      <c r="N3466" s="883"/>
      <c r="O3466" s="55">
        <v>719</v>
      </c>
      <c r="P3466" s="78"/>
    </row>
    <row r="3467" spans="9:16" ht="15.75" thickBot="1">
      <c r="I3467" s="874"/>
      <c r="J3467" s="876"/>
      <c r="K3467" s="878"/>
      <c r="L3467" s="880"/>
      <c r="M3467" s="882"/>
      <c r="N3467" s="884"/>
      <c r="O3467" s="56">
        <v>723</v>
      </c>
      <c r="P3467" s="352">
        <f>+N3466-P3466</f>
        <v>0</v>
      </c>
    </row>
    <row r="3468" spans="9:16">
      <c r="I3468" s="873"/>
      <c r="J3468" s="875"/>
      <c r="K3468" s="877"/>
      <c r="L3468" s="879"/>
      <c r="M3468" s="881"/>
      <c r="N3468" s="883"/>
      <c r="O3468" s="55">
        <v>719</v>
      </c>
      <c r="P3468" s="78"/>
    </row>
    <row r="3469" spans="9:16" ht="15.75" thickBot="1">
      <c r="I3469" s="874"/>
      <c r="J3469" s="876"/>
      <c r="K3469" s="878"/>
      <c r="L3469" s="880"/>
      <c r="M3469" s="882"/>
      <c r="N3469" s="884"/>
      <c r="O3469" s="56">
        <v>722</v>
      </c>
      <c r="P3469" s="352">
        <f>+N3468-P3468</f>
        <v>0</v>
      </c>
    </row>
    <row r="3470" spans="9:16">
      <c r="I3470" s="881"/>
      <c r="J3470" s="875"/>
      <c r="K3470" s="877"/>
      <c r="L3470" s="904"/>
      <c r="M3470" s="881"/>
      <c r="N3470" s="883"/>
      <c r="O3470" s="55">
        <v>719</v>
      </c>
      <c r="P3470" s="78"/>
    </row>
    <row r="3471" spans="9:16" ht="15.75" thickBot="1">
      <c r="I3471" s="882"/>
      <c r="J3471" s="876"/>
      <c r="K3471" s="878"/>
      <c r="L3471" s="880"/>
      <c r="M3471" s="882"/>
      <c r="N3471" s="884"/>
      <c r="O3471" s="56">
        <v>722</v>
      </c>
      <c r="P3471" s="79">
        <f>+N3470-P3470</f>
        <v>0</v>
      </c>
    </row>
    <row r="3472" spans="9:16" ht="16.5" thickBot="1">
      <c r="I3472" s="901" t="s">
        <v>102</v>
      </c>
      <c r="J3472" s="902"/>
      <c r="K3472" s="902"/>
      <c r="L3472" s="902"/>
      <c r="M3472" s="903"/>
      <c r="N3472" s="81">
        <f>SUM(N3464:N3471)</f>
        <v>1817700</v>
      </c>
    </row>
    <row r="3473" spans="9:16" ht="16.5" thickBot="1">
      <c r="I3473" s="885" t="s">
        <v>103</v>
      </c>
      <c r="J3473" s="886"/>
      <c r="K3473" s="886"/>
      <c r="L3473" s="886"/>
      <c r="M3473" s="887"/>
      <c r="N3473" s="69">
        <f>+N3439</f>
        <v>760088663</v>
      </c>
      <c r="O3473" s="241" t="s">
        <v>561</v>
      </c>
      <c r="P3473" s="242"/>
    </row>
    <row r="3474" spans="9:16" ht="16.5" thickBot="1">
      <c r="I3474" s="888" t="s">
        <v>104</v>
      </c>
      <c r="J3474" s="889"/>
      <c r="K3474" s="889"/>
      <c r="L3474" s="889"/>
      <c r="M3474" s="890"/>
      <c r="N3474" s="183">
        <f>SUM(N3472:N3473)</f>
        <v>761906363</v>
      </c>
    </row>
    <row r="3475" spans="9:16">
      <c r="I3475" s="61"/>
      <c r="J3475" s="61"/>
      <c r="K3475" s="61"/>
      <c r="L3475" s="61"/>
      <c r="M3475" s="61"/>
    </row>
    <row r="3476" spans="9:16">
      <c r="I3476" s="51" t="s">
        <v>1314</v>
      </c>
    </row>
    <row r="3477" spans="9:16">
      <c r="N3477" s="139"/>
    </row>
    <row r="3478" spans="9:16">
      <c r="I3478" s="50" t="s">
        <v>105</v>
      </c>
      <c r="L3478" s="146"/>
      <c r="N3478" s="139"/>
    </row>
    <row r="3479" spans="9:16" ht="15.75" thickBot="1"/>
    <row r="3480" spans="9:16" ht="15.75" thickBot="1">
      <c r="I3480" s="891" t="s">
        <v>106</v>
      </c>
      <c r="J3480" s="892"/>
      <c r="K3480" s="892"/>
      <c r="L3480" s="893"/>
      <c r="N3480" s="50" t="s">
        <v>1313</v>
      </c>
    </row>
    <row r="3481" spans="9:16" ht="30.75" thickBot="1">
      <c r="I3481" s="57" t="s">
        <v>100</v>
      </c>
      <c r="J3481" s="58" t="s">
        <v>108</v>
      </c>
      <c r="K3481" s="287" t="s">
        <v>109</v>
      </c>
      <c r="L3481" s="60" t="s">
        <v>110</v>
      </c>
    </row>
    <row r="3482" spans="9:16">
      <c r="I3482" s="71">
        <v>719</v>
      </c>
      <c r="J3482" s="73"/>
      <c r="K3482" s="74">
        <f>+L3447</f>
        <v>46205000</v>
      </c>
      <c r="L3482" s="195">
        <f>+J3482+K3482</f>
        <v>46205000</v>
      </c>
    </row>
    <row r="3483" spans="9:16">
      <c r="I3483" s="72">
        <v>721</v>
      </c>
      <c r="J3483" s="80"/>
      <c r="K3483" s="74">
        <f>+L3448</f>
        <v>324788333</v>
      </c>
      <c r="L3483" s="195">
        <f>+J3483+K3483</f>
        <v>324788333</v>
      </c>
    </row>
    <row r="3484" spans="9:16">
      <c r="I3484" s="72">
        <v>722</v>
      </c>
      <c r="J3484" s="80"/>
      <c r="K3484" s="74">
        <f>+L3449</f>
        <v>6180000</v>
      </c>
      <c r="L3484" s="195">
        <f>+J3484+K3484</f>
        <v>6180000</v>
      </c>
    </row>
    <row r="3485" spans="9:16" ht="15.75">
      <c r="I3485" s="72">
        <v>723</v>
      </c>
      <c r="J3485" s="80">
        <f>+P3465</f>
        <v>1817700</v>
      </c>
      <c r="K3485" s="74">
        <f>+L3450</f>
        <v>416563204</v>
      </c>
      <c r="L3485" s="195">
        <f>+J3485+K3485</f>
        <v>418380904</v>
      </c>
      <c r="N3485" s="193" t="s">
        <v>1125</v>
      </c>
      <c r="O3485" s="175"/>
    </row>
    <row r="3486" spans="9:16" ht="16.5" thickBot="1">
      <c r="I3486" s="164" t="s">
        <v>1077</v>
      </c>
      <c r="J3486" s="165"/>
      <c r="K3486" s="74">
        <f>+L3451</f>
        <v>797500</v>
      </c>
      <c r="L3486" s="196">
        <f>+J3486+K3486</f>
        <v>797500</v>
      </c>
      <c r="N3486" s="52"/>
    </row>
    <row r="3487" spans="9:16" ht="16.5" thickBot="1">
      <c r="I3487" s="169"/>
      <c r="J3487" s="197">
        <f>SUM(J3482:J3486)</f>
        <v>1817700</v>
      </c>
      <c r="K3487" s="197">
        <f>SUM(K3482:K3486)</f>
        <v>794534037</v>
      </c>
      <c r="L3487" s="198">
        <f>SUM(L3482:L3486)</f>
        <v>796351737</v>
      </c>
    </row>
    <row r="3488" spans="9:16" ht="15.75">
      <c r="I3488" s="397"/>
      <c r="J3488" s="398"/>
      <c r="K3488" s="398"/>
      <c r="L3488" s="399"/>
    </row>
    <row r="3489" spans="9:16" ht="16.5">
      <c r="I3489" s="49" t="s">
        <v>88</v>
      </c>
      <c r="J3489" s="50"/>
    </row>
    <row r="3490" spans="9:16">
      <c r="I3490" s="51" t="s">
        <v>89</v>
      </c>
    </row>
    <row r="3491" spans="9:16">
      <c r="I3491" s="51" t="s">
        <v>90</v>
      </c>
    </row>
    <row r="3492" spans="9:16">
      <c r="I3492" s="51" t="s">
        <v>91</v>
      </c>
    </row>
    <row r="3493" spans="9:16">
      <c r="I3493" s="50"/>
      <c r="J3493" s="50"/>
    </row>
    <row r="3494" spans="9:16" ht="15.75">
      <c r="I3494" s="260" t="s">
        <v>1320</v>
      </c>
      <c r="O3494" s="52"/>
    </row>
    <row r="3495" spans="9:16" ht="15.75">
      <c r="I3495" s="53" t="s">
        <v>535</v>
      </c>
      <c r="O3495" s="53"/>
    </row>
    <row r="3496" spans="9:16" ht="16.5">
      <c r="I3496" s="894" t="s">
        <v>1317</v>
      </c>
      <c r="J3496" s="894"/>
      <c r="K3496" s="894"/>
      <c r="L3496" s="894"/>
      <c r="M3496" s="894"/>
      <c r="N3496" s="894"/>
      <c r="O3496" s="894"/>
      <c r="P3496" s="894"/>
    </row>
    <row r="3497" spans="9:16" ht="15.75" thickBot="1"/>
    <row r="3498" spans="9:16">
      <c r="I3498" s="895" t="s">
        <v>94</v>
      </c>
      <c r="J3498" s="897" t="s">
        <v>95</v>
      </c>
      <c r="K3498" s="897" t="s">
        <v>96</v>
      </c>
      <c r="L3498" s="897" t="s">
        <v>3</v>
      </c>
      <c r="M3498" s="897" t="s">
        <v>97</v>
      </c>
      <c r="N3498" s="897" t="s">
        <v>98</v>
      </c>
      <c r="O3498" s="897" t="s">
        <v>99</v>
      </c>
      <c r="P3498" s="899"/>
    </row>
    <row r="3499" spans="9:16" ht="15.75" thickBot="1">
      <c r="I3499" s="896"/>
      <c r="J3499" s="898"/>
      <c r="K3499" s="898"/>
      <c r="L3499" s="898"/>
      <c r="M3499" s="898"/>
      <c r="N3499" s="898"/>
      <c r="O3499" s="240" t="s">
        <v>100</v>
      </c>
      <c r="P3499" s="182" t="s">
        <v>101</v>
      </c>
    </row>
    <row r="3500" spans="9:16" ht="15" customHeight="1">
      <c r="I3500" s="873" t="s">
        <v>554</v>
      </c>
      <c r="J3500" s="875">
        <v>42735</v>
      </c>
      <c r="K3500" s="877" t="s">
        <v>1267</v>
      </c>
      <c r="L3500" s="879" t="s">
        <v>1221</v>
      </c>
      <c r="M3500" s="881" t="s">
        <v>145</v>
      </c>
      <c r="N3500" s="883">
        <v>-14718204</v>
      </c>
      <c r="O3500" s="55">
        <v>719</v>
      </c>
      <c r="P3500" s="78"/>
    </row>
    <row r="3501" spans="9:16" ht="15.75" customHeight="1" thickBot="1">
      <c r="I3501" s="874"/>
      <c r="J3501" s="876"/>
      <c r="K3501" s="900"/>
      <c r="L3501" s="880"/>
      <c r="M3501" s="882"/>
      <c r="N3501" s="884"/>
      <c r="O3501" s="56">
        <v>721</v>
      </c>
      <c r="P3501" s="351">
        <f>+N3500-P3500</f>
        <v>-14718204</v>
      </c>
    </row>
    <row r="3502" spans="9:16" ht="15" customHeight="1">
      <c r="I3502" s="873" t="s">
        <v>1318</v>
      </c>
      <c r="J3502" s="875">
        <v>42735</v>
      </c>
      <c r="K3502" s="900"/>
      <c r="L3502" s="879" t="s">
        <v>1305</v>
      </c>
      <c r="M3502" s="881" t="s">
        <v>145</v>
      </c>
      <c r="N3502" s="883">
        <v>-3962065</v>
      </c>
      <c r="O3502" s="55">
        <v>719</v>
      </c>
      <c r="P3502" s="78"/>
    </row>
    <row r="3503" spans="9:16" ht="15.75" customHeight="1" thickBot="1">
      <c r="I3503" s="874"/>
      <c r="J3503" s="876"/>
      <c r="K3503" s="878"/>
      <c r="L3503" s="880"/>
      <c r="M3503" s="882"/>
      <c r="N3503" s="884"/>
      <c r="O3503" s="56">
        <v>721</v>
      </c>
      <c r="P3503" s="352">
        <f>+N3502-P3502</f>
        <v>-3962065</v>
      </c>
    </row>
    <row r="3504" spans="9:16" ht="15.75" customHeight="1">
      <c r="I3504" s="462"/>
      <c r="J3504" s="252"/>
      <c r="K3504" s="253"/>
      <c r="L3504" s="463"/>
      <c r="M3504" s="251"/>
      <c r="N3504" s="254"/>
      <c r="O3504" s="255"/>
      <c r="P3504" s="464"/>
    </row>
    <row r="3505" spans="9:16" ht="15.75" customHeight="1">
      <c r="I3505" s="462"/>
      <c r="J3505" s="252"/>
      <c r="K3505" s="253"/>
      <c r="L3505" s="463"/>
      <c r="M3505" s="251"/>
      <c r="N3505" s="254"/>
      <c r="O3505" s="255"/>
      <c r="P3505" s="464"/>
    </row>
    <row r="3506" spans="9:16" ht="15.75" customHeight="1">
      <c r="I3506" s="462"/>
      <c r="J3506" s="252"/>
      <c r="K3506" s="253"/>
      <c r="L3506" s="463"/>
      <c r="M3506" s="251"/>
      <c r="N3506" s="254"/>
      <c r="O3506" s="255"/>
      <c r="P3506" s="464"/>
    </row>
    <row r="3507" spans="9:16" ht="15.75" customHeight="1" thickBot="1">
      <c r="I3507" s="462"/>
      <c r="J3507" s="252"/>
      <c r="K3507" s="253"/>
      <c r="L3507" s="463"/>
      <c r="M3507" s="251"/>
      <c r="N3507" s="254"/>
      <c r="O3507" s="255"/>
      <c r="P3507" s="464"/>
    </row>
    <row r="3508" spans="9:16" ht="15" customHeight="1">
      <c r="I3508" s="873"/>
      <c r="J3508" s="875"/>
      <c r="K3508" s="877"/>
      <c r="L3508" s="879"/>
      <c r="M3508" s="881"/>
      <c r="N3508" s="883"/>
      <c r="O3508" s="55">
        <v>719</v>
      </c>
      <c r="P3508" s="78"/>
    </row>
    <row r="3509" spans="9:16" ht="15.75" customHeight="1" thickBot="1">
      <c r="I3509" s="874"/>
      <c r="J3509" s="876"/>
      <c r="K3509" s="878"/>
      <c r="L3509" s="880"/>
      <c r="M3509" s="882"/>
      <c r="N3509" s="884"/>
      <c r="O3509" s="56">
        <v>722</v>
      </c>
      <c r="P3509" s="352"/>
    </row>
    <row r="3510" spans="9:16" ht="15" customHeight="1">
      <c r="I3510" s="873"/>
      <c r="J3510" s="875"/>
      <c r="K3510" s="877"/>
      <c r="L3510" s="879"/>
      <c r="M3510" s="881"/>
      <c r="N3510" s="883"/>
      <c r="O3510" s="55">
        <v>719</v>
      </c>
      <c r="P3510" s="78"/>
    </row>
    <row r="3511" spans="9:16" ht="15.75" customHeight="1" thickBot="1">
      <c r="I3511" s="874"/>
      <c r="J3511" s="876"/>
      <c r="K3511" s="878"/>
      <c r="L3511" s="880"/>
      <c r="M3511" s="882"/>
      <c r="N3511" s="884"/>
      <c r="O3511" s="56">
        <v>722</v>
      </c>
      <c r="P3511" s="79">
        <f>+N3510-P3510</f>
        <v>0</v>
      </c>
    </row>
    <row r="3512" spans="9:16" ht="16.5" thickBot="1">
      <c r="I3512" s="901" t="s">
        <v>102</v>
      </c>
      <c r="J3512" s="902"/>
      <c r="K3512" s="902"/>
      <c r="L3512" s="902"/>
      <c r="M3512" s="903"/>
      <c r="N3512" s="81">
        <f>SUM(N3500:N3511)</f>
        <v>-18680269</v>
      </c>
    </row>
    <row r="3513" spans="9:16" ht="16.5" thickBot="1">
      <c r="I3513" s="885" t="s">
        <v>103</v>
      </c>
      <c r="J3513" s="886"/>
      <c r="K3513" s="886"/>
      <c r="L3513" s="886"/>
      <c r="M3513" s="887"/>
      <c r="N3513" s="69">
        <f>+N3474</f>
        <v>761906363</v>
      </c>
      <c r="O3513" s="241" t="s">
        <v>561</v>
      </c>
      <c r="P3513" s="242"/>
    </row>
    <row r="3514" spans="9:16" ht="16.5" thickBot="1">
      <c r="I3514" s="888" t="s">
        <v>104</v>
      </c>
      <c r="J3514" s="889"/>
      <c r="K3514" s="889"/>
      <c r="L3514" s="889"/>
      <c r="M3514" s="890"/>
      <c r="N3514" s="183">
        <f>SUM(N3512:N3513)</f>
        <v>743226094</v>
      </c>
    </row>
    <row r="3515" spans="9:16">
      <c r="I3515" s="61"/>
      <c r="J3515" s="61"/>
      <c r="K3515" s="61"/>
      <c r="L3515" s="61"/>
      <c r="M3515" s="61"/>
    </row>
    <row r="3516" spans="9:16">
      <c r="I3516" s="51" t="s">
        <v>1319</v>
      </c>
    </row>
    <row r="3517" spans="9:16">
      <c r="N3517" s="139"/>
    </row>
    <row r="3518" spans="9:16">
      <c r="I3518" s="50" t="s">
        <v>105</v>
      </c>
      <c r="L3518" s="146"/>
      <c r="N3518" s="139"/>
    </row>
    <row r="3519" spans="9:16" ht="15.75" thickBot="1"/>
    <row r="3520" spans="9:16" ht="15.75" thickBot="1">
      <c r="I3520" s="891" t="s">
        <v>106</v>
      </c>
      <c r="J3520" s="892"/>
      <c r="K3520" s="892"/>
      <c r="L3520" s="893"/>
      <c r="N3520" s="50" t="s">
        <v>288</v>
      </c>
    </row>
    <row r="3521" spans="9:16" ht="30.75" thickBot="1">
      <c r="I3521" s="57" t="s">
        <v>100</v>
      </c>
      <c r="J3521" s="58" t="s">
        <v>108</v>
      </c>
      <c r="K3521" s="287" t="s">
        <v>109</v>
      </c>
      <c r="L3521" s="60" t="s">
        <v>110</v>
      </c>
    </row>
    <row r="3522" spans="9:16">
      <c r="I3522" s="71">
        <v>719</v>
      </c>
      <c r="J3522" s="73">
        <f>+P3500+P3502+P3510</f>
        <v>0</v>
      </c>
      <c r="K3522" s="74">
        <f>+L3482</f>
        <v>46205000</v>
      </c>
      <c r="L3522" s="195">
        <f>+J3522+K3522</f>
        <v>46205000</v>
      </c>
    </row>
    <row r="3523" spans="9:16">
      <c r="I3523" s="72">
        <v>721</v>
      </c>
      <c r="J3523" s="80">
        <f>+P3501+P3503</f>
        <v>-18680269</v>
      </c>
      <c r="K3523" s="74">
        <f>+L3483</f>
        <v>324788333</v>
      </c>
      <c r="L3523" s="195">
        <f>+J3523+K3523</f>
        <v>306108064</v>
      </c>
    </row>
    <row r="3524" spans="9:16" ht="15.75">
      <c r="I3524" s="72">
        <v>722</v>
      </c>
      <c r="J3524" s="80"/>
      <c r="K3524" s="74">
        <f>+L3484</f>
        <v>6180000</v>
      </c>
      <c r="L3524" s="195">
        <f>+J3524+K3524</f>
        <v>6180000</v>
      </c>
      <c r="N3524" s="193" t="s">
        <v>1125</v>
      </c>
    </row>
    <row r="3525" spans="9:16" ht="15.75">
      <c r="I3525" s="72">
        <v>723</v>
      </c>
      <c r="J3525" s="80"/>
      <c r="K3525" s="74">
        <f>+L3485</f>
        <v>418380904</v>
      </c>
      <c r="L3525" s="195">
        <f>+J3525+K3525</f>
        <v>418380904</v>
      </c>
      <c r="N3525" s="193"/>
      <c r="O3525" s="175"/>
    </row>
    <row r="3526" spans="9:16" ht="16.5" thickBot="1">
      <c r="I3526" s="164" t="s">
        <v>1077</v>
      </c>
      <c r="J3526" s="165"/>
      <c r="K3526" s="74">
        <f>+L3486</f>
        <v>797500</v>
      </c>
      <c r="L3526" s="196">
        <f>+J3526+K3526</f>
        <v>797500</v>
      </c>
      <c r="N3526" s="52"/>
    </row>
    <row r="3527" spans="9:16" ht="16.5" thickBot="1">
      <c r="I3527" s="169"/>
      <c r="J3527" s="197">
        <f>SUM(J3522:J3526)</f>
        <v>-18680269</v>
      </c>
      <c r="K3527" s="197">
        <f>SUM(K3522:K3526)</f>
        <v>796351737</v>
      </c>
      <c r="L3527" s="198">
        <f>SUM(L3522:L3526)</f>
        <v>777671468</v>
      </c>
    </row>
    <row r="3528" spans="9:16" ht="15.75">
      <c r="I3528" s="397"/>
      <c r="J3528" s="398"/>
      <c r="K3528" s="398"/>
      <c r="L3528" s="399"/>
    </row>
    <row r="3529" spans="9:16" ht="16.5">
      <c r="I3529" s="49" t="s">
        <v>88</v>
      </c>
      <c r="J3529" s="50"/>
    </row>
    <row r="3530" spans="9:16">
      <c r="I3530" s="51" t="s">
        <v>89</v>
      </c>
    </row>
    <row r="3531" spans="9:16">
      <c r="I3531" s="51" t="s">
        <v>90</v>
      </c>
    </row>
    <row r="3532" spans="9:16">
      <c r="I3532" s="51" t="s">
        <v>91</v>
      </c>
    </row>
    <row r="3533" spans="9:16">
      <c r="I3533" s="50"/>
      <c r="J3533" s="50"/>
    </row>
    <row r="3534" spans="9:16" ht="15.75">
      <c r="I3534" s="260" t="s">
        <v>1322</v>
      </c>
      <c r="O3534" s="52"/>
    </row>
    <row r="3535" spans="9:16" ht="15.75">
      <c r="I3535" s="53" t="s">
        <v>535</v>
      </c>
      <c r="O3535" s="53"/>
    </row>
    <row r="3536" spans="9:16" ht="16.5">
      <c r="I3536" s="894" t="s">
        <v>1328</v>
      </c>
      <c r="J3536" s="894"/>
      <c r="K3536" s="894"/>
      <c r="L3536" s="894"/>
      <c r="M3536" s="894"/>
      <c r="N3536" s="894"/>
      <c r="O3536" s="894"/>
      <c r="P3536" s="894"/>
    </row>
    <row r="3537" spans="9:16" ht="15.75" thickBot="1"/>
    <row r="3538" spans="9:16">
      <c r="I3538" s="895" t="s">
        <v>94</v>
      </c>
      <c r="J3538" s="897" t="s">
        <v>95</v>
      </c>
      <c r="K3538" s="897" t="s">
        <v>96</v>
      </c>
      <c r="L3538" s="897" t="s">
        <v>3</v>
      </c>
      <c r="M3538" s="897" t="s">
        <v>97</v>
      </c>
      <c r="N3538" s="897" t="s">
        <v>98</v>
      </c>
      <c r="O3538" s="897" t="s">
        <v>99</v>
      </c>
      <c r="P3538" s="899"/>
    </row>
    <row r="3539" spans="9:16" ht="15.75" thickBot="1">
      <c r="I3539" s="896"/>
      <c r="J3539" s="898"/>
      <c r="K3539" s="898"/>
      <c r="L3539" s="898"/>
      <c r="M3539" s="898"/>
      <c r="N3539" s="898"/>
      <c r="O3539" s="240" t="s">
        <v>100</v>
      </c>
      <c r="P3539" s="182" t="s">
        <v>101</v>
      </c>
    </row>
    <row r="3540" spans="9:16">
      <c r="I3540" s="873" t="s">
        <v>1323</v>
      </c>
      <c r="J3540" s="875">
        <v>42735</v>
      </c>
      <c r="K3540" s="877" t="s">
        <v>1267</v>
      </c>
      <c r="L3540" s="879" t="s">
        <v>1325</v>
      </c>
      <c r="M3540" s="881" t="s">
        <v>145</v>
      </c>
      <c r="N3540" s="883">
        <v>3379917</v>
      </c>
      <c r="O3540" s="55">
        <v>719</v>
      </c>
      <c r="P3540" s="78"/>
    </row>
    <row r="3541" spans="9:16" ht="15.75" thickBot="1">
      <c r="I3541" s="874"/>
      <c r="J3541" s="876"/>
      <c r="K3541" s="900"/>
      <c r="L3541" s="880"/>
      <c r="M3541" s="882"/>
      <c r="N3541" s="884"/>
      <c r="O3541" s="56">
        <v>721</v>
      </c>
      <c r="P3541" s="351">
        <f>+N3540-P3540</f>
        <v>3379917</v>
      </c>
    </row>
    <row r="3542" spans="9:16">
      <c r="I3542" s="873" t="s">
        <v>1324</v>
      </c>
      <c r="J3542" s="875">
        <v>42735</v>
      </c>
      <c r="K3542" s="900"/>
      <c r="L3542" s="879" t="s">
        <v>1326</v>
      </c>
      <c r="M3542" s="881" t="s">
        <v>145</v>
      </c>
      <c r="N3542" s="883">
        <v>1673382</v>
      </c>
      <c r="O3542" s="55">
        <v>719</v>
      </c>
      <c r="P3542" s="78"/>
    </row>
    <row r="3543" spans="9:16" ht="15.75" thickBot="1">
      <c r="I3543" s="874"/>
      <c r="J3543" s="876"/>
      <c r="K3543" s="878"/>
      <c r="L3543" s="880"/>
      <c r="M3543" s="882"/>
      <c r="N3543" s="884"/>
      <c r="O3543" s="56">
        <v>721</v>
      </c>
      <c r="P3543" s="352">
        <f>+N3542-P3542</f>
        <v>1673382</v>
      </c>
    </row>
    <row r="3544" spans="9:16" ht="17.25" thickBot="1">
      <c r="I3544" s="462"/>
      <c r="J3544" s="252"/>
      <c r="K3544" s="253"/>
      <c r="L3544" s="463"/>
      <c r="M3544" s="251"/>
      <c r="N3544" s="254"/>
      <c r="O3544" s="255"/>
      <c r="P3544" s="464"/>
    </row>
    <row r="3545" spans="9:16" ht="15" customHeight="1">
      <c r="I3545" s="873"/>
      <c r="J3545" s="875"/>
      <c r="K3545" s="877"/>
      <c r="L3545" s="879"/>
      <c r="M3545" s="881"/>
      <c r="N3545" s="883"/>
      <c r="O3545" s="55">
        <v>719</v>
      </c>
      <c r="P3545" s="78"/>
    </row>
    <row r="3546" spans="9:16" ht="15.75" customHeight="1" thickBot="1">
      <c r="I3546" s="874"/>
      <c r="J3546" s="876"/>
      <c r="K3546" s="878"/>
      <c r="L3546" s="880"/>
      <c r="M3546" s="882"/>
      <c r="N3546" s="884"/>
      <c r="O3546" s="56">
        <v>722</v>
      </c>
      <c r="P3546" s="352"/>
    </row>
    <row r="3547" spans="9:16" ht="15" customHeight="1">
      <c r="I3547" s="873"/>
      <c r="J3547" s="875"/>
      <c r="K3547" s="877"/>
      <c r="L3547" s="879"/>
      <c r="M3547" s="881"/>
      <c r="N3547" s="883"/>
      <c r="O3547" s="55">
        <v>719</v>
      </c>
      <c r="P3547" s="78"/>
    </row>
    <row r="3548" spans="9:16" ht="15.75" customHeight="1" thickBot="1">
      <c r="I3548" s="874"/>
      <c r="J3548" s="876"/>
      <c r="K3548" s="878"/>
      <c r="L3548" s="880"/>
      <c r="M3548" s="882"/>
      <c r="N3548" s="884"/>
      <c r="O3548" s="56">
        <v>722</v>
      </c>
      <c r="P3548" s="79">
        <f>+N3547-P3547</f>
        <v>0</v>
      </c>
    </row>
    <row r="3549" spans="9:16" ht="16.5" thickBot="1">
      <c r="I3549" s="901" t="s">
        <v>102</v>
      </c>
      <c r="J3549" s="902"/>
      <c r="K3549" s="902"/>
      <c r="L3549" s="902"/>
      <c r="M3549" s="903"/>
      <c r="N3549" s="81">
        <f>SUM(N3540:N3548)</f>
        <v>5053299</v>
      </c>
    </row>
    <row r="3550" spans="9:16" ht="16.5" thickBot="1">
      <c r="I3550" s="885" t="s">
        <v>103</v>
      </c>
      <c r="J3550" s="886"/>
      <c r="K3550" s="886"/>
      <c r="L3550" s="886"/>
      <c r="M3550" s="887"/>
      <c r="N3550" s="69">
        <f>+N3514</f>
        <v>743226094</v>
      </c>
      <c r="O3550" s="241" t="s">
        <v>561</v>
      </c>
      <c r="P3550" s="242"/>
    </row>
    <row r="3551" spans="9:16" ht="16.5" thickBot="1">
      <c r="I3551" s="888" t="s">
        <v>104</v>
      </c>
      <c r="J3551" s="889"/>
      <c r="K3551" s="889"/>
      <c r="L3551" s="889"/>
      <c r="M3551" s="890"/>
      <c r="N3551" s="183">
        <f>SUM(N3549:N3550)</f>
        <v>748279393</v>
      </c>
    </row>
    <row r="3552" spans="9:16">
      <c r="I3552" s="61"/>
      <c r="J3552" s="61"/>
      <c r="K3552" s="61"/>
      <c r="L3552" s="61"/>
      <c r="M3552" s="61"/>
    </row>
    <row r="3553" spans="9:15">
      <c r="I3553" s="51" t="s">
        <v>1327</v>
      </c>
    </row>
    <row r="3554" spans="9:15">
      <c r="N3554" s="139"/>
    </row>
    <row r="3555" spans="9:15">
      <c r="I3555" s="50" t="s">
        <v>105</v>
      </c>
      <c r="L3555" s="146"/>
      <c r="N3555" s="139"/>
    </row>
    <row r="3556" spans="9:15" ht="15.75" thickBot="1"/>
    <row r="3557" spans="9:15" ht="15.75" thickBot="1">
      <c r="I3557" s="891" t="s">
        <v>106</v>
      </c>
      <c r="J3557" s="892"/>
      <c r="K3557" s="892"/>
      <c r="L3557" s="893"/>
      <c r="N3557" s="50" t="s">
        <v>288</v>
      </c>
    </row>
    <row r="3558" spans="9:15" ht="30.75" thickBot="1">
      <c r="I3558" s="57" t="s">
        <v>100</v>
      </c>
      <c r="J3558" s="58" t="s">
        <v>108</v>
      </c>
      <c r="K3558" s="287" t="s">
        <v>109</v>
      </c>
      <c r="L3558" s="60" t="s">
        <v>110</v>
      </c>
    </row>
    <row r="3559" spans="9:15">
      <c r="I3559" s="71">
        <v>719</v>
      </c>
      <c r="J3559" s="73">
        <f>+P3540+P3542+P3547</f>
        <v>0</v>
      </c>
      <c r="K3559" s="74">
        <f>+L3522</f>
        <v>46205000</v>
      </c>
      <c r="L3559" s="195">
        <f>+J3559+K3559</f>
        <v>46205000</v>
      </c>
    </row>
    <row r="3560" spans="9:15">
      <c r="I3560" s="72">
        <v>721</v>
      </c>
      <c r="J3560" s="80">
        <f>+P3541+P3543</f>
        <v>5053299</v>
      </c>
      <c r="K3560" s="74">
        <f>+L3523</f>
        <v>306108064</v>
      </c>
      <c r="L3560" s="195">
        <f>+J3560+K3560</f>
        <v>311161363</v>
      </c>
    </row>
    <row r="3561" spans="9:15" ht="15.75">
      <c r="I3561" s="72">
        <v>722</v>
      </c>
      <c r="J3561" s="80"/>
      <c r="K3561" s="74">
        <f>+L3524</f>
        <v>6180000</v>
      </c>
      <c r="L3561" s="195">
        <f>+J3561+K3561</f>
        <v>6180000</v>
      </c>
      <c r="N3561" s="193" t="s">
        <v>23</v>
      </c>
    </row>
    <row r="3562" spans="9:15" ht="15.75">
      <c r="I3562" s="72">
        <v>723</v>
      </c>
      <c r="J3562" s="80"/>
      <c r="K3562" s="74">
        <f>+L3525</f>
        <v>418380904</v>
      </c>
      <c r="L3562" s="195">
        <f>+J3562+K3562</f>
        <v>418380904</v>
      </c>
      <c r="N3562" s="193"/>
      <c r="O3562" s="175"/>
    </row>
    <row r="3563" spans="9:15" ht="16.5" thickBot="1">
      <c r="I3563" s="164" t="s">
        <v>1077</v>
      </c>
      <c r="J3563" s="165"/>
      <c r="K3563" s="74">
        <f>+L3526</f>
        <v>797500</v>
      </c>
      <c r="L3563" s="196">
        <f>+J3563+K3563</f>
        <v>797500</v>
      </c>
      <c r="N3563" s="52"/>
    </row>
    <row r="3564" spans="9:15" ht="16.5" thickBot="1">
      <c r="I3564" s="169"/>
      <c r="J3564" s="197">
        <f>SUM(J3559:J3563)</f>
        <v>5053299</v>
      </c>
      <c r="K3564" s="197">
        <f>SUM(K3559:K3563)</f>
        <v>777671468</v>
      </c>
      <c r="L3564" s="198">
        <f>SUM(L3559:L3563)</f>
        <v>782724767</v>
      </c>
    </row>
    <row r="3565" spans="9:15" ht="16.5">
      <c r="I3565" s="49" t="s">
        <v>88</v>
      </c>
      <c r="J3565" s="50"/>
    </row>
    <row r="3566" spans="9:15">
      <c r="I3566" s="51" t="s">
        <v>89</v>
      </c>
    </row>
    <row r="3567" spans="9:15">
      <c r="I3567" s="51" t="s">
        <v>90</v>
      </c>
    </row>
    <row r="3568" spans="9:15">
      <c r="I3568" s="51" t="s">
        <v>91</v>
      </c>
    </row>
    <row r="3569" spans="9:16" ht="10.5" customHeight="1">
      <c r="I3569" s="50"/>
      <c r="J3569" s="50"/>
    </row>
    <row r="3570" spans="9:16" ht="15.75">
      <c r="I3570" s="260" t="s">
        <v>1699</v>
      </c>
      <c r="O3570" s="52"/>
    </row>
    <row r="3571" spans="9:16" ht="15.75">
      <c r="I3571" s="53" t="s">
        <v>1623</v>
      </c>
      <c r="O3571" s="53"/>
    </row>
    <row r="3572" spans="9:16" ht="16.5">
      <c r="I3572" s="894" t="s">
        <v>1700</v>
      </c>
      <c r="J3572" s="894"/>
      <c r="K3572" s="894"/>
      <c r="L3572" s="894"/>
      <c r="M3572" s="894"/>
      <c r="N3572" s="894"/>
      <c r="O3572" s="894"/>
      <c r="P3572" s="894"/>
    </row>
    <row r="3573" spans="9:16" ht="15.75" thickBot="1"/>
    <row r="3574" spans="9:16">
      <c r="I3574" s="895" t="s">
        <v>94</v>
      </c>
      <c r="J3574" s="897" t="s">
        <v>95</v>
      </c>
      <c r="K3574" s="897" t="s">
        <v>96</v>
      </c>
      <c r="L3574" s="897" t="s">
        <v>3</v>
      </c>
      <c r="M3574" s="897" t="s">
        <v>97</v>
      </c>
      <c r="N3574" s="897" t="s">
        <v>98</v>
      </c>
      <c r="O3574" s="897" t="s">
        <v>99</v>
      </c>
      <c r="P3574" s="899"/>
    </row>
    <row r="3575" spans="9:16" ht="15.75" thickBot="1">
      <c r="I3575" s="896"/>
      <c r="J3575" s="898"/>
      <c r="K3575" s="898"/>
      <c r="L3575" s="898"/>
      <c r="M3575" s="898"/>
      <c r="N3575" s="898"/>
      <c r="O3575" s="240" t="s">
        <v>100</v>
      </c>
      <c r="P3575" s="182" t="s">
        <v>101</v>
      </c>
    </row>
    <row r="3576" spans="9:16">
      <c r="I3576" s="873" t="s">
        <v>1698</v>
      </c>
      <c r="J3576" s="875">
        <v>43464</v>
      </c>
      <c r="K3576" s="877" t="s">
        <v>815</v>
      </c>
      <c r="L3576" s="879" t="s">
        <v>1697</v>
      </c>
      <c r="M3576" s="881" t="s">
        <v>115</v>
      </c>
      <c r="N3576" s="883">
        <v>681500</v>
      </c>
      <c r="O3576" s="55">
        <v>719</v>
      </c>
      <c r="P3576" s="78">
        <v>517000</v>
      </c>
    </row>
    <row r="3577" spans="9:16" ht="15.75" thickBot="1">
      <c r="I3577" s="874"/>
      <c r="J3577" s="876"/>
      <c r="K3577" s="900"/>
      <c r="L3577" s="880"/>
      <c r="M3577" s="882"/>
      <c r="N3577" s="884"/>
      <c r="O3577" s="56">
        <v>721</v>
      </c>
      <c r="P3577" s="351">
        <f>+N3576-P3576</f>
        <v>164500</v>
      </c>
    </row>
    <row r="3578" spans="9:16" ht="15" customHeight="1">
      <c r="I3578" s="873"/>
      <c r="J3578" s="875"/>
      <c r="K3578" s="877"/>
      <c r="L3578" s="879"/>
      <c r="M3578" s="881"/>
      <c r="N3578" s="883"/>
      <c r="O3578" s="55">
        <v>719</v>
      </c>
      <c r="P3578" s="78"/>
    </row>
    <row r="3579" spans="9:16" ht="15.75" customHeight="1" thickBot="1">
      <c r="I3579" s="874"/>
      <c r="J3579" s="876"/>
      <c r="K3579" s="878"/>
      <c r="L3579" s="880"/>
      <c r="M3579" s="882"/>
      <c r="N3579" s="884"/>
      <c r="O3579" s="56">
        <v>722</v>
      </c>
      <c r="P3579" s="352">
        <f>+N3578-P3578</f>
        <v>0</v>
      </c>
    </row>
    <row r="3580" spans="9:16">
      <c r="I3580" s="873"/>
      <c r="J3580" s="875"/>
      <c r="K3580" s="877"/>
      <c r="L3580" s="879"/>
      <c r="M3580" s="881"/>
      <c r="N3580" s="883"/>
      <c r="O3580" s="55">
        <v>719</v>
      </c>
      <c r="P3580" s="78"/>
    </row>
    <row r="3581" spans="9:16" ht="15.75" thickBot="1">
      <c r="I3581" s="874"/>
      <c r="J3581" s="876"/>
      <c r="K3581" s="878"/>
      <c r="L3581" s="880"/>
      <c r="M3581" s="882"/>
      <c r="N3581" s="884"/>
      <c r="O3581" s="56">
        <v>722</v>
      </c>
      <c r="P3581" s="79">
        <f>+N3580-P3580</f>
        <v>0</v>
      </c>
    </row>
    <row r="3582" spans="9:16" ht="16.5" thickBot="1">
      <c r="I3582" s="901" t="s">
        <v>102</v>
      </c>
      <c r="J3582" s="902"/>
      <c r="K3582" s="902"/>
      <c r="L3582" s="902"/>
      <c r="M3582" s="903"/>
      <c r="N3582" s="81">
        <f>SUM(N3576:N3581)</f>
        <v>681500</v>
      </c>
    </row>
    <row r="3583" spans="9:16" ht="16.5" thickBot="1">
      <c r="I3583" s="885" t="s">
        <v>103</v>
      </c>
      <c r="J3583" s="886"/>
      <c r="K3583" s="886"/>
      <c r="L3583" s="886"/>
      <c r="M3583" s="887"/>
      <c r="N3583" s="69">
        <v>514609750</v>
      </c>
      <c r="O3583" s="241" t="s">
        <v>561</v>
      </c>
      <c r="P3583" s="242">
        <v>904</v>
      </c>
    </row>
    <row r="3584" spans="9:16" ht="16.5" thickBot="1">
      <c r="I3584" s="888" t="s">
        <v>104</v>
      </c>
      <c r="J3584" s="889"/>
      <c r="K3584" s="889"/>
      <c r="L3584" s="889"/>
      <c r="M3584" s="890"/>
      <c r="N3584" s="183">
        <f>SUM(N3582:N3583)</f>
        <v>515291250</v>
      </c>
    </row>
    <row r="3585" spans="9:18">
      <c r="I3585" s="61"/>
      <c r="J3585" s="61"/>
      <c r="K3585" s="61"/>
      <c r="L3585" s="61"/>
      <c r="M3585" s="61"/>
    </row>
    <row r="3586" spans="9:18">
      <c r="I3586" s="51" t="s">
        <v>1701</v>
      </c>
    </row>
    <row r="3587" spans="9:18" ht="9.75" customHeight="1">
      <c r="N3587" s="139"/>
    </row>
    <row r="3588" spans="9:18">
      <c r="I3588" s="50" t="s">
        <v>105</v>
      </c>
      <c r="L3588" s="146"/>
      <c r="N3588" s="139"/>
    </row>
    <row r="3589" spans="9:18" ht="11.25" customHeight="1" thickBot="1"/>
    <row r="3590" spans="9:18" ht="15.75" thickBot="1">
      <c r="I3590" s="891" t="s">
        <v>106</v>
      </c>
      <c r="J3590" s="892"/>
      <c r="K3590" s="892"/>
      <c r="L3590" s="893"/>
      <c r="N3590" s="50" t="s">
        <v>288</v>
      </c>
    </row>
    <row r="3591" spans="9:18" ht="30.75" thickBot="1">
      <c r="I3591" s="57" t="s">
        <v>100</v>
      </c>
      <c r="J3591" s="58" t="s">
        <v>108</v>
      </c>
      <c r="K3591" s="287" t="s">
        <v>109</v>
      </c>
      <c r="L3591" s="60" t="s">
        <v>110</v>
      </c>
    </row>
    <row r="3592" spans="9:18">
      <c r="I3592" s="71">
        <v>719</v>
      </c>
      <c r="J3592" s="73">
        <f>+P3576+P3578+P3580</f>
        <v>517000</v>
      </c>
      <c r="K3592" s="74">
        <v>27970000</v>
      </c>
      <c r="L3592" s="195">
        <f>+J3592+K3592</f>
        <v>28487000</v>
      </c>
    </row>
    <row r="3593" spans="9:18">
      <c r="I3593" s="72">
        <v>721</v>
      </c>
      <c r="J3593" s="80">
        <f>+P3577</f>
        <v>164500</v>
      </c>
      <c r="K3593" s="74">
        <v>90116743</v>
      </c>
      <c r="L3593" s="195">
        <f>+J3593+K3593</f>
        <v>90281243</v>
      </c>
    </row>
    <row r="3594" spans="9:18" ht="15.75">
      <c r="I3594" s="72">
        <v>722</v>
      </c>
      <c r="J3594" s="80">
        <f>+P3579</f>
        <v>0</v>
      </c>
      <c r="K3594" s="74">
        <v>30732180</v>
      </c>
      <c r="L3594" s="195">
        <f>+J3594+K3594</f>
        <v>30732180</v>
      </c>
      <c r="N3594" s="872" t="s">
        <v>1696</v>
      </c>
      <c r="O3594" s="872"/>
    </row>
    <row r="3595" spans="9:18" ht="16.5" thickBot="1">
      <c r="I3595" s="72">
        <v>723</v>
      </c>
      <c r="J3595" s="80"/>
      <c r="K3595" s="74">
        <v>365790827</v>
      </c>
      <c r="L3595" s="195">
        <f>+J3595+K3595</f>
        <v>365790827</v>
      </c>
      <c r="N3595" s="193"/>
      <c r="O3595" s="175"/>
    </row>
    <row r="3596" spans="9:18" ht="16.5" hidden="1" thickBot="1">
      <c r="I3596" s="164" t="s">
        <v>1077</v>
      </c>
      <c r="J3596" s="165"/>
      <c r="K3596" s="74"/>
      <c r="L3596" s="196">
        <f>+J3596+K3596</f>
        <v>0</v>
      </c>
      <c r="N3596" s="52"/>
    </row>
    <row r="3597" spans="9:18" ht="16.5" thickBot="1">
      <c r="I3597" s="169"/>
      <c r="J3597" s="197">
        <f>SUM(J3592:J3596)</f>
        <v>681500</v>
      </c>
      <c r="K3597" s="197">
        <f>SUM(K3592:K3596)</f>
        <v>514609750</v>
      </c>
      <c r="L3597" s="198">
        <f>SUM(L3592:L3596)</f>
        <v>515291250</v>
      </c>
    </row>
    <row r="3598" spans="9:18">
      <c r="R3598" s="139">
        <f>+K3592+K3593+K3594+K3595</f>
        <v>514609750</v>
      </c>
    </row>
  </sheetData>
  <mergeCells count="5773">
    <mergeCell ref="J10:J11"/>
    <mergeCell ref="K10:K11"/>
    <mergeCell ref="L10:L11"/>
    <mergeCell ref="M10:M11"/>
    <mergeCell ref="N10:N11"/>
    <mergeCell ref="O10:P10"/>
    <mergeCell ref="A8:H8"/>
    <mergeCell ref="I8:P8"/>
    <mergeCell ref="A10:A11"/>
    <mergeCell ref="B10:B11"/>
    <mergeCell ref="C10:C11"/>
    <mergeCell ref="D10:D11"/>
    <mergeCell ref="E10:E11"/>
    <mergeCell ref="F10:F11"/>
    <mergeCell ref="G10:H10"/>
    <mergeCell ref="I10:I11"/>
    <mergeCell ref="N205:P205"/>
    <mergeCell ref="N14:N15"/>
    <mergeCell ref="A16:A17"/>
    <mergeCell ref="B16:B17"/>
    <mergeCell ref="C16:C17"/>
    <mergeCell ref="D16:D17"/>
    <mergeCell ref="E16:E17"/>
    <mergeCell ref="F16:F17"/>
    <mergeCell ref="I16:I17"/>
    <mergeCell ref="J16:J17"/>
    <mergeCell ref="K16:K17"/>
    <mergeCell ref="A14:A15"/>
    <mergeCell ref="B14:B15"/>
    <mergeCell ref="C14:C15"/>
    <mergeCell ref="D14:D15"/>
    <mergeCell ref="E14:E15"/>
    <mergeCell ref="F14:F15"/>
    <mergeCell ref="I12:I13"/>
    <mergeCell ref="J12:J13"/>
    <mergeCell ref="L12:L13"/>
    <mergeCell ref="M12:M13"/>
    <mergeCell ref="N12:N13"/>
    <mergeCell ref="I14:I15"/>
    <mergeCell ref="J14:J15"/>
    <mergeCell ref="L14:L15"/>
    <mergeCell ref="M14:M15"/>
    <mergeCell ref="A12:A13"/>
    <mergeCell ref="B12:B13"/>
    <mergeCell ref="C12:C13"/>
    <mergeCell ref="D12:D13"/>
    <mergeCell ref="E12:E13"/>
    <mergeCell ref="F12:F13"/>
    <mergeCell ref="J18:J19"/>
    <mergeCell ref="K18:K19"/>
    <mergeCell ref="L18:L19"/>
    <mergeCell ref="M18:M19"/>
    <mergeCell ref="N18:N19"/>
    <mergeCell ref="A20:E20"/>
    <mergeCell ref="I20:M20"/>
    <mergeCell ref="L16:L17"/>
    <mergeCell ref="M16:M17"/>
    <mergeCell ref="N16:N17"/>
    <mergeCell ref="A18:A19"/>
    <mergeCell ref="B18:B19"/>
    <mergeCell ref="C18:C19"/>
    <mergeCell ref="D18:D19"/>
    <mergeCell ref="E18:E19"/>
    <mergeCell ref="F18:F19"/>
    <mergeCell ref="I18:I19"/>
    <mergeCell ref="O45:P45"/>
    <mergeCell ref="A43:H43"/>
    <mergeCell ref="I43:P43"/>
    <mergeCell ref="A45:A46"/>
    <mergeCell ref="B45:B46"/>
    <mergeCell ref="C45:C46"/>
    <mergeCell ref="D45:D46"/>
    <mergeCell ref="E45:E46"/>
    <mergeCell ref="F45:F46"/>
    <mergeCell ref="G45:H45"/>
    <mergeCell ref="I45:I46"/>
    <mergeCell ref="A21:E21"/>
    <mergeCell ref="I21:M21"/>
    <mergeCell ref="A22:E22"/>
    <mergeCell ref="I22:M22"/>
    <mergeCell ref="A28:D28"/>
    <mergeCell ref="I28:L28"/>
    <mergeCell ref="I47:I48"/>
    <mergeCell ref="J47:J48"/>
    <mergeCell ref="K47:K48"/>
    <mergeCell ref="L47:L48"/>
    <mergeCell ref="M47:M48"/>
    <mergeCell ref="N47:N48"/>
    <mergeCell ref="A47:A48"/>
    <mergeCell ref="B47:B48"/>
    <mergeCell ref="C47:C48"/>
    <mergeCell ref="D47:D48"/>
    <mergeCell ref="E47:E48"/>
    <mergeCell ref="F47:F48"/>
    <mergeCell ref="J45:J46"/>
    <mergeCell ref="K45:K46"/>
    <mergeCell ref="L45:L46"/>
    <mergeCell ref="M45:M46"/>
    <mergeCell ref="N45:N46"/>
    <mergeCell ref="I51:I52"/>
    <mergeCell ref="J51:J52"/>
    <mergeCell ref="K51:K52"/>
    <mergeCell ref="L51:L52"/>
    <mergeCell ref="M51:M52"/>
    <mergeCell ref="N51:N52"/>
    <mergeCell ref="A51:A52"/>
    <mergeCell ref="B51:B52"/>
    <mergeCell ref="C51:C52"/>
    <mergeCell ref="D51:D52"/>
    <mergeCell ref="E51:E52"/>
    <mergeCell ref="F51:F52"/>
    <mergeCell ref="I49:I50"/>
    <mergeCell ref="J49:J50"/>
    <mergeCell ref="K49:K50"/>
    <mergeCell ref="L49:L50"/>
    <mergeCell ref="M49:M50"/>
    <mergeCell ref="N49:N50"/>
    <mergeCell ref="A49:A50"/>
    <mergeCell ref="B49:B50"/>
    <mergeCell ref="C49:C50"/>
    <mergeCell ref="D49:D50"/>
    <mergeCell ref="E49:E50"/>
    <mergeCell ref="F49:F50"/>
    <mergeCell ref="A63:D63"/>
    <mergeCell ref="I63:L63"/>
    <mergeCell ref="A78:H78"/>
    <mergeCell ref="I78:P78"/>
    <mergeCell ref="A80:A81"/>
    <mergeCell ref="B80:B81"/>
    <mergeCell ref="C80:C81"/>
    <mergeCell ref="D80:D81"/>
    <mergeCell ref="E80:E81"/>
    <mergeCell ref="F80:F81"/>
    <mergeCell ref="A55:E55"/>
    <mergeCell ref="I55:M55"/>
    <mergeCell ref="A56:E56"/>
    <mergeCell ref="I56:M56"/>
    <mergeCell ref="A57:E57"/>
    <mergeCell ref="I57:M57"/>
    <mergeCell ref="I53:I54"/>
    <mergeCell ref="J53:J54"/>
    <mergeCell ref="K53:K54"/>
    <mergeCell ref="L53:L54"/>
    <mergeCell ref="M53:M54"/>
    <mergeCell ref="N53:N54"/>
    <mergeCell ref="A53:A54"/>
    <mergeCell ref="B53:B54"/>
    <mergeCell ref="C53:C54"/>
    <mergeCell ref="D53:D54"/>
    <mergeCell ref="E53:E54"/>
    <mergeCell ref="F53:F54"/>
    <mergeCell ref="K82:K83"/>
    <mergeCell ref="L82:L83"/>
    <mergeCell ref="M82:M83"/>
    <mergeCell ref="N82:N83"/>
    <mergeCell ref="A84:A85"/>
    <mergeCell ref="B84:B85"/>
    <mergeCell ref="C84:C85"/>
    <mergeCell ref="D84:D85"/>
    <mergeCell ref="E84:E85"/>
    <mergeCell ref="F84:F85"/>
    <mergeCell ref="N80:N81"/>
    <mergeCell ref="O80:P80"/>
    <mergeCell ref="A82:A83"/>
    <mergeCell ref="B82:B83"/>
    <mergeCell ref="C82:C83"/>
    <mergeCell ref="D82:D83"/>
    <mergeCell ref="E82:E83"/>
    <mergeCell ref="F82:F83"/>
    <mergeCell ref="I82:I83"/>
    <mergeCell ref="J82:J83"/>
    <mergeCell ref="G80:H80"/>
    <mergeCell ref="I80:I81"/>
    <mergeCell ref="J80:J81"/>
    <mergeCell ref="K80:K81"/>
    <mergeCell ref="L80:L81"/>
    <mergeCell ref="M80:M81"/>
    <mergeCell ref="I86:I87"/>
    <mergeCell ref="J86:J87"/>
    <mergeCell ref="K86:K87"/>
    <mergeCell ref="L86:L87"/>
    <mergeCell ref="M86:M87"/>
    <mergeCell ref="N86:N87"/>
    <mergeCell ref="A86:A87"/>
    <mergeCell ref="B86:B87"/>
    <mergeCell ref="C86:C87"/>
    <mergeCell ref="D86:D87"/>
    <mergeCell ref="E86:E87"/>
    <mergeCell ref="F86:F87"/>
    <mergeCell ref="I84:I85"/>
    <mergeCell ref="J84:J85"/>
    <mergeCell ref="K84:K85"/>
    <mergeCell ref="L84:L85"/>
    <mergeCell ref="M84:M85"/>
    <mergeCell ref="N84:N85"/>
    <mergeCell ref="A92:E92"/>
    <mergeCell ref="I92:M92"/>
    <mergeCell ref="A93:E93"/>
    <mergeCell ref="I93:M93"/>
    <mergeCell ref="A94:E94"/>
    <mergeCell ref="I94:M94"/>
    <mergeCell ref="I90:I91"/>
    <mergeCell ref="J90:J91"/>
    <mergeCell ref="K90:K91"/>
    <mergeCell ref="L90:L91"/>
    <mergeCell ref="M90:M91"/>
    <mergeCell ref="N90:N91"/>
    <mergeCell ref="A90:A91"/>
    <mergeCell ref="B90:B91"/>
    <mergeCell ref="C90:C91"/>
    <mergeCell ref="D90:D91"/>
    <mergeCell ref="E90:E91"/>
    <mergeCell ref="F90:F91"/>
    <mergeCell ref="O117:P117"/>
    <mergeCell ref="A119:A120"/>
    <mergeCell ref="B119:B120"/>
    <mergeCell ref="C119:C120"/>
    <mergeCell ref="D119:D120"/>
    <mergeCell ref="E119:E120"/>
    <mergeCell ref="F119:F120"/>
    <mergeCell ref="I119:I120"/>
    <mergeCell ref="J119:J120"/>
    <mergeCell ref="G117:H117"/>
    <mergeCell ref="I117:I118"/>
    <mergeCell ref="J117:J118"/>
    <mergeCell ref="K117:K118"/>
    <mergeCell ref="L117:L118"/>
    <mergeCell ref="M117:M118"/>
    <mergeCell ref="A100:D100"/>
    <mergeCell ref="I100:L100"/>
    <mergeCell ref="A115:H115"/>
    <mergeCell ref="I115:P115"/>
    <mergeCell ref="A117:A118"/>
    <mergeCell ref="B117:B118"/>
    <mergeCell ref="C117:C118"/>
    <mergeCell ref="D117:D118"/>
    <mergeCell ref="E117:E118"/>
    <mergeCell ref="F117:F118"/>
    <mergeCell ref="I121:I122"/>
    <mergeCell ref="J121:J122"/>
    <mergeCell ref="K121:K122"/>
    <mergeCell ref="L121:L122"/>
    <mergeCell ref="M121:M122"/>
    <mergeCell ref="N121:N122"/>
    <mergeCell ref="K119:K120"/>
    <mergeCell ref="L119:L120"/>
    <mergeCell ref="M119:M120"/>
    <mergeCell ref="N119:N120"/>
    <mergeCell ref="A121:A122"/>
    <mergeCell ref="B121:B122"/>
    <mergeCell ref="C121:C122"/>
    <mergeCell ref="D121:D122"/>
    <mergeCell ref="E121:E122"/>
    <mergeCell ref="F121:F122"/>
    <mergeCell ref="N117:N118"/>
    <mergeCell ref="I125:I126"/>
    <mergeCell ref="J125:J126"/>
    <mergeCell ref="K125:K126"/>
    <mergeCell ref="L125:L126"/>
    <mergeCell ref="M125:M126"/>
    <mergeCell ref="N125:N126"/>
    <mergeCell ref="A125:A126"/>
    <mergeCell ref="B125:B126"/>
    <mergeCell ref="C125:C126"/>
    <mergeCell ref="D125:D126"/>
    <mergeCell ref="E125:E126"/>
    <mergeCell ref="F125:F126"/>
    <mergeCell ref="I123:I124"/>
    <mergeCell ref="J123:J124"/>
    <mergeCell ref="K123:K124"/>
    <mergeCell ref="L123:L124"/>
    <mergeCell ref="M123:M124"/>
    <mergeCell ref="N123:N124"/>
    <mergeCell ref="A123:A124"/>
    <mergeCell ref="B123:B124"/>
    <mergeCell ref="C123:C124"/>
    <mergeCell ref="D123:D124"/>
    <mergeCell ref="E123:E124"/>
    <mergeCell ref="F123:F124"/>
    <mergeCell ref="A135:D135"/>
    <mergeCell ref="I135:L135"/>
    <mergeCell ref="N135:P135"/>
    <mergeCell ref="A150:H150"/>
    <mergeCell ref="I150:P150"/>
    <mergeCell ref="A152:A153"/>
    <mergeCell ref="B152:B153"/>
    <mergeCell ref="C152:C153"/>
    <mergeCell ref="D152:D153"/>
    <mergeCell ref="E152:E153"/>
    <mergeCell ref="N140:P140"/>
    <mergeCell ref="A127:E127"/>
    <mergeCell ref="I127:M127"/>
    <mergeCell ref="A128:E128"/>
    <mergeCell ref="I128:M128"/>
    <mergeCell ref="A129:E129"/>
    <mergeCell ref="I129:M129"/>
    <mergeCell ref="J154:J155"/>
    <mergeCell ref="K154:K155"/>
    <mergeCell ref="L154:L155"/>
    <mergeCell ref="M154:M155"/>
    <mergeCell ref="N154:N155"/>
    <mergeCell ref="A156:A157"/>
    <mergeCell ref="B156:B157"/>
    <mergeCell ref="C156:C157"/>
    <mergeCell ref="D156:D157"/>
    <mergeCell ref="E156:E157"/>
    <mergeCell ref="M152:M153"/>
    <mergeCell ref="N152:N153"/>
    <mergeCell ref="O152:P152"/>
    <mergeCell ref="A154:A155"/>
    <mergeCell ref="B154:B155"/>
    <mergeCell ref="C154:C155"/>
    <mergeCell ref="D154:D155"/>
    <mergeCell ref="E154:E155"/>
    <mergeCell ref="F154:F155"/>
    <mergeCell ref="I154:I155"/>
    <mergeCell ref="F152:F153"/>
    <mergeCell ref="G152:H152"/>
    <mergeCell ref="I152:I153"/>
    <mergeCell ref="J152:J153"/>
    <mergeCell ref="K152:K153"/>
    <mergeCell ref="L152:L153"/>
    <mergeCell ref="A160:E160"/>
    <mergeCell ref="I160:M160"/>
    <mergeCell ref="A161:E161"/>
    <mergeCell ref="I161:M161"/>
    <mergeCell ref="A162:E162"/>
    <mergeCell ref="I162:M162"/>
    <mergeCell ref="L158:L159"/>
    <mergeCell ref="M158:M159"/>
    <mergeCell ref="N158:N159"/>
    <mergeCell ref="N156:N157"/>
    <mergeCell ref="A158:A159"/>
    <mergeCell ref="B158:B159"/>
    <mergeCell ref="C158:C159"/>
    <mergeCell ref="D158:D159"/>
    <mergeCell ref="E158:E159"/>
    <mergeCell ref="F158:F159"/>
    <mergeCell ref="I158:I159"/>
    <mergeCell ref="J158:J159"/>
    <mergeCell ref="K158:K159"/>
    <mergeCell ref="F156:F157"/>
    <mergeCell ref="I156:I157"/>
    <mergeCell ref="J156:J157"/>
    <mergeCell ref="K156:K157"/>
    <mergeCell ref="L156:L157"/>
    <mergeCell ref="M156:M157"/>
    <mergeCell ref="O185:P185"/>
    <mergeCell ref="A187:A188"/>
    <mergeCell ref="B187:B188"/>
    <mergeCell ref="C187:C188"/>
    <mergeCell ref="D187:D188"/>
    <mergeCell ref="E187:E188"/>
    <mergeCell ref="F187:F188"/>
    <mergeCell ref="I187:I188"/>
    <mergeCell ref="J187:J188"/>
    <mergeCell ref="G185:H185"/>
    <mergeCell ref="I185:I186"/>
    <mergeCell ref="J185:J186"/>
    <mergeCell ref="K185:K186"/>
    <mergeCell ref="L185:L186"/>
    <mergeCell ref="M185:M186"/>
    <mergeCell ref="A168:D168"/>
    <mergeCell ref="I168:L168"/>
    <mergeCell ref="A183:H183"/>
    <mergeCell ref="I183:P183"/>
    <mergeCell ref="A185:A186"/>
    <mergeCell ref="B185:B186"/>
    <mergeCell ref="C185:C186"/>
    <mergeCell ref="D185:D186"/>
    <mergeCell ref="E185:E186"/>
    <mergeCell ref="F185:F186"/>
    <mergeCell ref="N168:P168"/>
    <mergeCell ref="N172:P172"/>
    <mergeCell ref="I189:I190"/>
    <mergeCell ref="J189:J190"/>
    <mergeCell ref="K189:K190"/>
    <mergeCell ref="L189:L190"/>
    <mergeCell ref="M189:M190"/>
    <mergeCell ref="N189:N190"/>
    <mergeCell ref="K187:K188"/>
    <mergeCell ref="L187:L188"/>
    <mergeCell ref="M187:M188"/>
    <mergeCell ref="N187:N188"/>
    <mergeCell ref="A189:A190"/>
    <mergeCell ref="B189:B190"/>
    <mergeCell ref="C189:C190"/>
    <mergeCell ref="D189:D190"/>
    <mergeCell ref="E189:E190"/>
    <mergeCell ref="F189:F190"/>
    <mergeCell ref="N185:N186"/>
    <mergeCell ref="I193:I194"/>
    <mergeCell ref="J193:J194"/>
    <mergeCell ref="K193:K194"/>
    <mergeCell ref="L193:L194"/>
    <mergeCell ref="M193:M194"/>
    <mergeCell ref="N193:N194"/>
    <mergeCell ref="A193:A194"/>
    <mergeCell ref="B193:B194"/>
    <mergeCell ref="C193:C194"/>
    <mergeCell ref="D193:D194"/>
    <mergeCell ref="E193:E194"/>
    <mergeCell ref="F193:F194"/>
    <mergeCell ref="I191:I192"/>
    <mergeCell ref="J191:J192"/>
    <mergeCell ref="K191:K192"/>
    <mergeCell ref="L191:L192"/>
    <mergeCell ref="M191:M192"/>
    <mergeCell ref="N191:N192"/>
    <mergeCell ref="A191:A192"/>
    <mergeCell ref="B191:B192"/>
    <mergeCell ref="C191:C192"/>
    <mergeCell ref="D191:D192"/>
    <mergeCell ref="E191:E192"/>
    <mergeCell ref="F191:F192"/>
    <mergeCell ref="A197:E197"/>
    <mergeCell ref="I197:M197"/>
    <mergeCell ref="A198:E198"/>
    <mergeCell ref="I198:M198"/>
    <mergeCell ref="A199:E199"/>
    <mergeCell ref="I199:M199"/>
    <mergeCell ref="I195:I196"/>
    <mergeCell ref="J195:J196"/>
    <mergeCell ref="K195:K196"/>
    <mergeCell ref="L195:L196"/>
    <mergeCell ref="M195:M196"/>
    <mergeCell ref="N195:N196"/>
    <mergeCell ref="A195:A196"/>
    <mergeCell ref="B195:B196"/>
    <mergeCell ref="C195:C196"/>
    <mergeCell ref="D195:D196"/>
    <mergeCell ref="E195:E196"/>
    <mergeCell ref="F195:F196"/>
    <mergeCell ref="O222:P222"/>
    <mergeCell ref="A224:A225"/>
    <mergeCell ref="B224:B225"/>
    <mergeCell ref="C224:C225"/>
    <mergeCell ref="D224:D225"/>
    <mergeCell ref="E224:E225"/>
    <mergeCell ref="F224:F225"/>
    <mergeCell ref="I224:I225"/>
    <mergeCell ref="J224:J225"/>
    <mergeCell ref="G222:H222"/>
    <mergeCell ref="I222:I223"/>
    <mergeCell ref="J222:J223"/>
    <mergeCell ref="K222:K223"/>
    <mergeCell ref="L222:L223"/>
    <mergeCell ref="M222:M223"/>
    <mergeCell ref="A205:D205"/>
    <mergeCell ref="I205:L205"/>
    <mergeCell ref="A220:H220"/>
    <mergeCell ref="I220:P220"/>
    <mergeCell ref="A222:A223"/>
    <mergeCell ref="B222:B223"/>
    <mergeCell ref="C222:C223"/>
    <mergeCell ref="D222:D223"/>
    <mergeCell ref="E222:E223"/>
    <mergeCell ref="F222:F223"/>
    <mergeCell ref="N210:P210"/>
    <mergeCell ref="I226:I227"/>
    <mergeCell ref="J226:J227"/>
    <mergeCell ref="K226:K227"/>
    <mergeCell ref="L226:L227"/>
    <mergeCell ref="M226:M227"/>
    <mergeCell ref="N226:N227"/>
    <mergeCell ref="K224:K225"/>
    <mergeCell ref="L224:L225"/>
    <mergeCell ref="M224:M225"/>
    <mergeCell ref="N224:N225"/>
    <mergeCell ref="A226:A227"/>
    <mergeCell ref="B226:B227"/>
    <mergeCell ref="C226:C227"/>
    <mergeCell ref="D226:D227"/>
    <mergeCell ref="E226:E227"/>
    <mergeCell ref="F226:F227"/>
    <mergeCell ref="N222:N223"/>
    <mergeCell ref="I230:I231"/>
    <mergeCell ref="J230:J231"/>
    <mergeCell ref="K230:K231"/>
    <mergeCell ref="L230:L231"/>
    <mergeCell ref="M230:M231"/>
    <mergeCell ref="N230:N231"/>
    <mergeCell ref="A230:A231"/>
    <mergeCell ref="B230:B231"/>
    <mergeCell ref="C230:C231"/>
    <mergeCell ref="D230:D231"/>
    <mergeCell ref="E230:E231"/>
    <mergeCell ref="F230:F231"/>
    <mergeCell ref="I228:I229"/>
    <mergeCell ref="J228:J229"/>
    <mergeCell ref="K228:K229"/>
    <mergeCell ref="L228:L229"/>
    <mergeCell ref="M228:M229"/>
    <mergeCell ref="N228:N229"/>
    <mergeCell ref="A228:A229"/>
    <mergeCell ref="B228:B229"/>
    <mergeCell ref="C228:C229"/>
    <mergeCell ref="D228:D229"/>
    <mergeCell ref="E228:E229"/>
    <mergeCell ref="F228:F229"/>
    <mergeCell ref="A234:E234"/>
    <mergeCell ref="I234:M234"/>
    <mergeCell ref="A235:E235"/>
    <mergeCell ref="I235:M235"/>
    <mergeCell ref="A236:E236"/>
    <mergeCell ref="I236:M236"/>
    <mergeCell ref="I232:I233"/>
    <mergeCell ref="J232:J233"/>
    <mergeCell ref="K232:K233"/>
    <mergeCell ref="L232:L233"/>
    <mergeCell ref="M232:M233"/>
    <mergeCell ref="N232:N233"/>
    <mergeCell ref="A232:A233"/>
    <mergeCell ref="B232:B233"/>
    <mergeCell ref="C232:C233"/>
    <mergeCell ref="D232:D233"/>
    <mergeCell ref="E232:E233"/>
    <mergeCell ref="F232:F233"/>
    <mergeCell ref="O259:P259"/>
    <mergeCell ref="A261:A262"/>
    <mergeCell ref="B261:B262"/>
    <mergeCell ref="C261:C262"/>
    <mergeCell ref="D261:D262"/>
    <mergeCell ref="E261:E262"/>
    <mergeCell ref="F261:F262"/>
    <mergeCell ref="I261:I262"/>
    <mergeCell ref="J261:J262"/>
    <mergeCell ref="G259:H259"/>
    <mergeCell ref="I259:I260"/>
    <mergeCell ref="J259:J260"/>
    <mergeCell ref="K259:K260"/>
    <mergeCell ref="L259:L260"/>
    <mergeCell ref="M259:M260"/>
    <mergeCell ref="A242:D242"/>
    <mergeCell ref="I242:L242"/>
    <mergeCell ref="A257:H257"/>
    <mergeCell ref="I257:P257"/>
    <mergeCell ref="A259:A260"/>
    <mergeCell ref="B259:B260"/>
    <mergeCell ref="C259:C260"/>
    <mergeCell ref="D259:D260"/>
    <mergeCell ref="E259:E260"/>
    <mergeCell ref="F259:F260"/>
    <mergeCell ref="I263:I264"/>
    <mergeCell ref="J263:J264"/>
    <mergeCell ref="K263:K264"/>
    <mergeCell ref="L263:L264"/>
    <mergeCell ref="M263:M264"/>
    <mergeCell ref="N263:N264"/>
    <mergeCell ref="K261:K262"/>
    <mergeCell ref="L261:L262"/>
    <mergeCell ref="M261:M262"/>
    <mergeCell ref="N261:N262"/>
    <mergeCell ref="A263:A264"/>
    <mergeCell ref="B263:B264"/>
    <mergeCell ref="C263:C264"/>
    <mergeCell ref="D263:D264"/>
    <mergeCell ref="E263:E264"/>
    <mergeCell ref="F263:F264"/>
    <mergeCell ref="N259:N260"/>
    <mergeCell ref="I267:I268"/>
    <mergeCell ref="J267:J268"/>
    <mergeCell ref="K267:K268"/>
    <mergeCell ref="L267:L268"/>
    <mergeCell ref="M267:M268"/>
    <mergeCell ref="N267:N268"/>
    <mergeCell ref="A267:A268"/>
    <mergeCell ref="B267:B268"/>
    <mergeCell ref="C267:C268"/>
    <mergeCell ref="D267:D268"/>
    <mergeCell ref="E267:E268"/>
    <mergeCell ref="F267:F268"/>
    <mergeCell ref="I265:I266"/>
    <mergeCell ref="J265:J266"/>
    <mergeCell ref="K265:K266"/>
    <mergeCell ref="L265:L266"/>
    <mergeCell ref="M265:M266"/>
    <mergeCell ref="N265:N266"/>
    <mergeCell ref="A265:A266"/>
    <mergeCell ref="B265:B266"/>
    <mergeCell ref="C265:C266"/>
    <mergeCell ref="D265:D266"/>
    <mergeCell ref="E265:E266"/>
    <mergeCell ref="F265:F266"/>
    <mergeCell ref="A271:E271"/>
    <mergeCell ref="I271:M271"/>
    <mergeCell ref="A272:E272"/>
    <mergeCell ref="I272:M272"/>
    <mergeCell ref="A273:E273"/>
    <mergeCell ref="I273:M273"/>
    <mergeCell ref="I269:I270"/>
    <mergeCell ref="J269:J270"/>
    <mergeCell ref="K269:K270"/>
    <mergeCell ref="L269:L270"/>
    <mergeCell ref="M269:M270"/>
    <mergeCell ref="N269:N270"/>
    <mergeCell ref="A269:A270"/>
    <mergeCell ref="B269:B270"/>
    <mergeCell ref="C269:C270"/>
    <mergeCell ref="D269:D270"/>
    <mergeCell ref="E269:E270"/>
    <mergeCell ref="F269:F270"/>
    <mergeCell ref="O296:P296"/>
    <mergeCell ref="A298:A299"/>
    <mergeCell ref="B298:B299"/>
    <mergeCell ref="C298:C299"/>
    <mergeCell ref="D298:D299"/>
    <mergeCell ref="E298:E299"/>
    <mergeCell ref="F298:F299"/>
    <mergeCell ref="I298:I299"/>
    <mergeCell ref="J298:J299"/>
    <mergeCell ref="G296:H296"/>
    <mergeCell ref="I296:I297"/>
    <mergeCell ref="J296:J297"/>
    <mergeCell ref="K296:K297"/>
    <mergeCell ref="L296:L297"/>
    <mergeCell ref="M296:M297"/>
    <mergeCell ref="A279:D279"/>
    <mergeCell ref="I279:L279"/>
    <mergeCell ref="A294:H294"/>
    <mergeCell ref="I294:P294"/>
    <mergeCell ref="A296:A297"/>
    <mergeCell ref="B296:B297"/>
    <mergeCell ref="C296:C297"/>
    <mergeCell ref="D296:D297"/>
    <mergeCell ref="E296:E297"/>
    <mergeCell ref="F296:F297"/>
    <mergeCell ref="N279:O279"/>
    <mergeCell ref="I300:I301"/>
    <mergeCell ref="J300:J301"/>
    <mergeCell ref="K300:K301"/>
    <mergeCell ref="L300:L301"/>
    <mergeCell ref="M300:M301"/>
    <mergeCell ref="N300:N301"/>
    <mergeCell ref="K298:K299"/>
    <mergeCell ref="L298:L299"/>
    <mergeCell ref="M298:M299"/>
    <mergeCell ref="N298:N299"/>
    <mergeCell ref="A300:A301"/>
    <mergeCell ref="B300:B301"/>
    <mergeCell ref="C300:C301"/>
    <mergeCell ref="D300:D301"/>
    <mergeCell ref="E300:E301"/>
    <mergeCell ref="F300:F301"/>
    <mergeCell ref="N296:N297"/>
    <mergeCell ref="I304:I305"/>
    <mergeCell ref="J304:J305"/>
    <mergeCell ref="K304:K305"/>
    <mergeCell ref="L304:L305"/>
    <mergeCell ref="M304:M305"/>
    <mergeCell ref="N304:N305"/>
    <mergeCell ref="A304:A305"/>
    <mergeCell ref="B304:B305"/>
    <mergeCell ref="C304:C305"/>
    <mergeCell ref="D304:D305"/>
    <mergeCell ref="E304:E305"/>
    <mergeCell ref="F304:F305"/>
    <mergeCell ref="I302:I303"/>
    <mergeCell ref="J302:J303"/>
    <mergeCell ref="K302:K303"/>
    <mergeCell ref="L302:L303"/>
    <mergeCell ref="M302:M303"/>
    <mergeCell ref="N302:N303"/>
    <mergeCell ref="A302:A303"/>
    <mergeCell ref="B302:B303"/>
    <mergeCell ref="C302:C303"/>
    <mergeCell ref="D302:D303"/>
    <mergeCell ref="E302:E303"/>
    <mergeCell ref="F302:F303"/>
    <mergeCell ref="A316:D316"/>
    <mergeCell ref="I316:L316"/>
    <mergeCell ref="N316:P316"/>
    <mergeCell ref="N321:P321"/>
    <mergeCell ref="A331:H331"/>
    <mergeCell ref="I331:P331"/>
    <mergeCell ref="A308:E308"/>
    <mergeCell ref="I308:M308"/>
    <mergeCell ref="A309:E309"/>
    <mergeCell ref="I309:M309"/>
    <mergeCell ref="A310:E310"/>
    <mergeCell ref="I310:M310"/>
    <mergeCell ref="I306:I307"/>
    <mergeCell ref="J306:J307"/>
    <mergeCell ref="K306:K307"/>
    <mergeCell ref="L306:L307"/>
    <mergeCell ref="M306:M307"/>
    <mergeCell ref="N306:N307"/>
    <mergeCell ref="A306:A307"/>
    <mergeCell ref="B306:B307"/>
    <mergeCell ref="C306:C307"/>
    <mergeCell ref="D306:D307"/>
    <mergeCell ref="E306:E307"/>
    <mergeCell ref="F306:F307"/>
    <mergeCell ref="O333:P333"/>
    <mergeCell ref="A335:A336"/>
    <mergeCell ref="B335:B336"/>
    <mergeCell ref="C335:C336"/>
    <mergeCell ref="D335:D336"/>
    <mergeCell ref="E335:E336"/>
    <mergeCell ref="F335:F336"/>
    <mergeCell ref="I335:I336"/>
    <mergeCell ref="J335:J336"/>
    <mergeCell ref="G333:H333"/>
    <mergeCell ref="I333:I334"/>
    <mergeCell ref="J333:J334"/>
    <mergeCell ref="K333:K334"/>
    <mergeCell ref="L333:L334"/>
    <mergeCell ref="M333:M334"/>
    <mergeCell ref="A333:A334"/>
    <mergeCell ref="B333:B334"/>
    <mergeCell ref="C333:C334"/>
    <mergeCell ref="D333:D334"/>
    <mergeCell ref="E333:E334"/>
    <mergeCell ref="F333:F334"/>
    <mergeCell ref="I337:I338"/>
    <mergeCell ref="J337:J338"/>
    <mergeCell ref="K337:K338"/>
    <mergeCell ref="L337:L338"/>
    <mergeCell ref="M337:M338"/>
    <mergeCell ref="N337:N338"/>
    <mergeCell ref="K335:K336"/>
    <mergeCell ref="L335:L336"/>
    <mergeCell ref="M335:M336"/>
    <mergeCell ref="N335:N336"/>
    <mergeCell ref="A337:A338"/>
    <mergeCell ref="B337:B338"/>
    <mergeCell ref="C337:C338"/>
    <mergeCell ref="D337:D338"/>
    <mergeCell ref="E337:E338"/>
    <mergeCell ref="F337:F338"/>
    <mergeCell ref="N333:N334"/>
    <mergeCell ref="I341:I342"/>
    <mergeCell ref="J341:J342"/>
    <mergeCell ref="K341:K342"/>
    <mergeCell ref="L341:L342"/>
    <mergeCell ref="M341:M342"/>
    <mergeCell ref="N341:N342"/>
    <mergeCell ref="A341:A342"/>
    <mergeCell ref="B341:B342"/>
    <mergeCell ref="C341:C342"/>
    <mergeCell ref="D341:D342"/>
    <mergeCell ref="E341:E342"/>
    <mergeCell ref="F341:F342"/>
    <mergeCell ref="I339:I340"/>
    <mergeCell ref="J339:J340"/>
    <mergeCell ref="K339:K340"/>
    <mergeCell ref="L339:L340"/>
    <mergeCell ref="M339:M340"/>
    <mergeCell ref="N339:N340"/>
    <mergeCell ref="A339:A340"/>
    <mergeCell ref="B339:B340"/>
    <mergeCell ref="C339:C340"/>
    <mergeCell ref="D339:D340"/>
    <mergeCell ref="E339:E340"/>
    <mergeCell ref="F339:F340"/>
    <mergeCell ref="A353:D353"/>
    <mergeCell ref="I353:L353"/>
    <mergeCell ref="N353:P353"/>
    <mergeCell ref="N358:P358"/>
    <mergeCell ref="A368:H368"/>
    <mergeCell ref="I368:P368"/>
    <mergeCell ref="A345:E345"/>
    <mergeCell ref="I345:M345"/>
    <mergeCell ref="A346:E346"/>
    <mergeCell ref="I346:M346"/>
    <mergeCell ref="A347:E347"/>
    <mergeCell ref="I347:M347"/>
    <mergeCell ref="I343:I344"/>
    <mergeCell ref="J343:J344"/>
    <mergeCell ref="K343:K344"/>
    <mergeCell ref="L343:L344"/>
    <mergeCell ref="M343:M344"/>
    <mergeCell ref="N343:N344"/>
    <mergeCell ref="A343:A344"/>
    <mergeCell ref="B343:B344"/>
    <mergeCell ref="C343:C344"/>
    <mergeCell ref="D343:D344"/>
    <mergeCell ref="E343:E344"/>
    <mergeCell ref="F343:F344"/>
    <mergeCell ref="O370:P370"/>
    <mergeCell ref="A372:A373"/>
    <mergeCell ref="B372:B373"/>
    <mergeCell ref="C372:C373"/>
    <mergeCell ref="D372:D373"/>
    <mergeCell ref="E372:E373"/>
    <mergeCell ref="F372:F373"/>
    <mergeCell ref="I372:I373"/>
    <mergeCell ref="J372:J373"/>
    <mergeCell ref="G370:H370"/>
    <mergeCell ref="I370:I371"/>
    <mergeCell ref="J370:J371"/>
    <mergeCell ref="K370:K371"/>
    <mergeCell ref="L370:L371"/>
    <mergeCell ref="M370:M371"/>
    <mergeCell ref="A370:A371"/>
    <mergeCell ref="B370:B371"/>
    <mergeCell ref="C370:C371"/>
    <mergeCell ref="D370:D371"/>
    <mergeCell ref="E370:E371"/>
    <mergeCell ref="F370:F371"/>
    <mergeCell ref="I374:I375"/>
    <mergeCell ref="J374:J375"/>
    <mergeCell ref="K374:K375"/>
    <mergeCell ref="L374:L375"/>
    <mergeCell ref="M374:M375"/>
    <mergeCell ref="N374:N375"/>
    <mergeCell ref="K372:K373"/>
    <mergeCell ref="L372:L373"/>
    <mergeCell ref="M372:M373"/>
    <mergeCell ref="N372:N373"/>
    <mergeCell ref="A374:A375"/>
    <mergeCell ref="B374:B375"/>
    <mergeCell ref="C374:C375"/>
    <mergeCell ref="D374:D375"/>
    <mergeCell ref="E374:E375"/>
    <mergeCell ref="F374:F375"/>
    <mergeCell ref="N370:N371"/>
    <mergeCell ref="I378:I379"/>
    <mergeCell ref="J378:J379"/>
    <mergeCell ref="K378:K379"/>
    <mergeCell ref="L378:L379"/>
    <mergeCell ref="M378:M379"/>
    <mergeCell ref="N378:N379"/>
    <mergeCell ref="A378:A379"/>
    <mergeCell ref="B378:B379"/>
    <mergeCell ref="C378:C379"/>
    <mergeCell ref="D378:D379"/>
    <mergeCell ref="E378:E379"/>
    <mergeCell ref="F378:F379"/>
    <mergeCell ref="I376:I377"/>
    <mergeCell ref="J376:J377"/>
    <mergeCell ref="K376:K377"/>
    <mergeCell ref="L376:L377"/>
    <mergeCell ref="M376:M377"/>
    <mergeCell ref="N376:N377"/>
    <mergeCell ref="A376:A377"/>
    <mergeCell ref="B376:B377"/>
    <mergeCell ref="C376:C377"/>
    <mergeCell ref="D376:D377"/>
    <mergeCell ref="E376:E377"/>
    <mergeCell ref="F376:F377"/>
    <mergeCell ref="A390:D390"/>
    <mergeCell ref="I390:L390"/>
    <mergeCell ref="N390:P390"/>
    <mergeCell ref="N395:P395"/>
    <mergeCell ref="A405:H405"/>
    <mergeCell ref="I405:P405"/>
    <mergeCell ref="A382:E382"/>
    <mergeCell ref="I382:M382"/>
    <mergeCell ref="A383:E383"/>
    <mergeCell ref="I383:M383"/>
    <mergeCell ref="A384:E384"/>
    <mergeCell ref="I384:M384"/>
    <mergeCell ref="I380:I381"/>
    <mergeCell ref="J380:J381"/>
    <mergeCell ref="K380:K381"/>
    <mergeCell ref="L380:L381"/>
    <mergeCell ref="M380:M381"/>
    <mergeCell ref="N380:N381"/>
    <mergeCell ref="A380:A381"/>
    <mergeCell ref="B380:B381"/>
    <mergeCell ref="C380:C381"/>
    <mergeCell ref="D380:D381"/>
    <mergeCell ref="E380:E381"/>
    <mergeCell ref="F380:F381"/>
    <mergeCell ref="O407:P407"/>
    <mergeCell ref="A409:A410"/>
    <mergeCell ref="B409:B410"/>
    <mergeCell ref="C409:C410"/>
    <mergeCell ref="D409:D410"/>
    <mergeCell ref="E409:E410"/>
    <mergeCell ref="F409:F410"/>
    <mergeCell ref="I409:I410"/>
    <mergeCell ref="J409:J410"/>
    <mergeCell ref="G407:H407"/>
    <mergeCell ref="I407:I408"/>
    <mergeCell ref="J407:J408"/>
    <mergeCell ref="K407:K408"/>
    <mergeCell ref="L407:L408"/>
    <mergeCell ref="M407:M408"/>
    <mergeCell ref="A407:A408"/>
    <mergeCell ref="B407:B408"/>
    <mergeCell ref="C407:C408"/>
    <mergeCell ref="D407:D408"/>
    <mergeCell ref="E407:E408"/>
    <mergeCell ref="F407:F408"/>
    <mergeCell ref="I411:I412"/>
    <mergeCell ref="J411:J412"/>
    <mergeCell ref="K411:K412"/>
    <mergeCell ref="L411:L412"/>
    <mergeCell ref="M411:M412"/>
    <mergeCell ref="N411:N412"/>
    <mergeCell ref="K409:K410"/>
    <mergeCell ref="L409:L410"/>
    <mergeCell ref="M409:M410"/>
    <mergeCell ref="N409:N410"/>
    <mergeCell ref="A411:A412"/>
    <mergeCell ref="B411:B412"/>
    <mergeCell ref="C411:C412"/>
    <mergeCell ref="D411:D412"/>
    <mergeCell ref="E411:E412"/>
    <mergeCell ref="F411:F412"/>
    <mergeCell ref="N407:N408"/>
    <mergeCell ref="I415:I416"/>
    <mergeCell ref="J415:J416"/>
    <mergeCell ref="K415:K416"/>
    <mergeCell ref="L415:L416"/>
    <mergeCell ref="M415:M416"/>
    <mergeCell ref="N415:N416"/>
    <mergeCell ref="A415:A416"/>
    <mergeCell ref="B415:B416"/>
    <mergeCell ref="C415:C416"/>
    <mergeCell ref="D415:D416"/>
    <mergeCell ref="E415:E416"/>
    <mergeCell ref="F415:F416"/>
    <mergeCell ref="I413:I414"/>
    <mergeCell ref="J413:J414"/>
    <mergeCell ref="K413:K414"/>
    <mergeCell ref="L413:L414"/>
    <mergeCell ref="M413:M414"/>
    <mergeCell ref="N413:N414"/>
    <mergeCell ref="A413:A414"/>
    <mergeCell ref="B413:B414"/>
    <mergeCell ref="C413:C414"/>
    <mergeCell ref="D413:D414"/>
    <mergeCell ref="E413:E414"/>
    <mergeCell ref="F413:F414"/>
    <mergeCell ref="A427:D427"/>
    <mergeCell ref="I427:L427"/>
    <mergeCell ref="N427:P427"/>
    <mergeCell ref="N432:P432"/>
    <mergeCell ref="A442:H442"/>
    <mergeCell ref="I442:P442"/>
    <mergeCell ref="A419:E419"/>
    <mergeCell ref="I419:M419"/>
    <mergeCell ref="A420:E420"/>
    <mergeCell ref="I420:M420"/>
    <mergeCell ref="A421:E421"/>
    <mergeCell ref="I421:M421"/>
    <mergeCell ref="I417:I418"/>
    <mergeCell ref="J417:J418"/>
    <mergeCell ref="K417:K418"/>
    <mergeCell ref="L417:L418"/>
    <mergeCell ref="M417:M418"/>
    <mergeCell ref="N417:N418"/>
    <mergeCell ref="A417:A418"/>
    <mergeCell ref="B417:B418"/>
    <mergeCell ref="C417:C418"/>
    <mergeCell ref="D417:D418"/>
    <mergeCell ref="E417:E418"/>
    <mergeCell ref="F417:F418"/>
    <mergeCell ref="K446:K447"/>
    <mergeCell ref="L446:L447"/>
    <mergeCell ref="M446:M447"/>
    <mergeCell ref="N446:N447"/>
    <mergeCell ref="A448:A449"/>
    <mergeCell ref="B448:B449"/>
    <mergeCell ref="C448:C449"/>
    <mergeCell ref="D448:D449"/>
    <mergeCell ref="E448:E449"/>
    <mergeCell ref="F448:F449"/>
    <mergeCell ref="N444:N445"/>
    <mergeCell ref="O444:P444"/>
    <mergeCell ref="A446:A447"/>
    <mergeCell ref="B446:B447"/>
    <mergeCell ref="C446:C447"/>
    <mergeCell ref="D446:D447"/>
    <mergeCell ref="E446:E447"/>
    <mergeCell ref="F446:F447"/>
    <mergeCell ref="I446:I447"/>
    <mergeCell ref="J446:J447"/>
    <mergeCell ref="G444:H444"/>
    <mergeCell ref="I444:I445"/>
    <mergeCell ref="J444:J445"/>
    <mergeCell ref="K444:K445"/>
    <mergeCell ref="L444:L445"/>
    <mergeCell ref="M444:M445"/>
    <mergeCell ref="A444:A445"/>
    <mergeCell ref="B444:B445"/>
    <mergeCell ref="C444:C445"/>
    <mergeCell ref="D444:D445"/>
    <mergeCell ref="E444:E445"/>
    <mergeCell ref="F444:F445"/>
    <mergeCell ref="I450:I451"/>
    <mergeCell ref="J450:J451"/>
    <mergeCell ref="K450:K451"/>
    <mergeCell ref="L450:L451"/>
    <mergeCell ref="M450:M451"/>
    <mergeCell ref="N450:N451"/>
    <mergeCell ref="A450:A451"/>
    <mergeCell ref="B450:B451"/>
    <mergeCell ref="C450:C451"/>
    <mergeCell ref="D450:D451"/>
    <mergeCell ref="E450:E451"/>
    <mergeCell ref="F450:F451"/>
    <mergeCell ref="I448:I449"/>
    <mergeCell ref="J448:J449"/>
    <mergeCell ref="K448:K449"/>
    <mergeCell ref="L448:L449"/>
    <mergeCell ref="M448:M449"/>
    <mergeCell ref="N448:N449"/>
    <mergeCell ref="A462:D462"/>
    <mergeCell ref="I462:L462"/>
    <mergeCell ref="N462:P462"/>
    <mergeCell ref="N467:P467"/>
    <mergeCell ref="A477:H477"/>
    <mergeCell ref="I477:P477"/>
    <mergeCell ref="A454:E454"/>
    <mergeCell ref="I454:M454"/>
    <mergeCell ref="A455:E455"/>
    <mergeCell ref="I455:M455"/>
    <mergeCell ref="A456:E456"/>
    <mergeCell ref="I456:M456"/>
    <mergeCell ref="I452:I453"/>
    <mergeCell ref="J452:J453"/>
    <mergeCell ref="K452:K453"/>
    <mergeCell ref="L452:L453"/>
    <mergeCell ref="M452:M453"/>
    <mergeCell ref="N452:N453"/>
    <mergeCell ref="A452:A453"/>
    <mergeCell ref="B452:B453"/>
    <mergeCell ref="C452:C453"/>
    <mergeCell ref="D452:D453"/>
    <mergeCell ref="E452:E453"/>
    <mergeCell ref="F452:F453"/>
    <mergeCell ref="O479:P479"/>
    <mergeCell ref="A481:A482"/>
    <mergeCell ref="B481:B482"/>
    <mergeCell ref="C481:C482"/>
    <mergeCell ref="D481:D482"/>
    <mergeCell ref="E481:E482"/>
    <mergeCell ref="F481:F482"/>
    <mergeCell ref="I481:I482"/>
    <mergeCell ref="J481:J482"/>
    <mergeCell ref="G479:H479"/>
    <mergeCell ref="I479:I480"/>
    <mergeCell ref="J479:J480"/>
    <mergeCell ref="K479:K480"/>
    <mergeCell ref="L479:L480"/>
    <mergeCell ref="M479:M480"/>
    <mergeCell ref="A479:A480"/>
    <mergeCell ref="B479:B480"/>
    <mergeCell ref="C479:C480"/>
    <mergeCell ref="D479:D480"/>
    <mergeCell ref="E479:E480"/>
    <mergeCell ref="F479:F480"/>
    <mergeCell ref="I483:I484"/>
    <mergeCell ref="J483:J484"/>
    <mergeCell ref="K483:K484"/>
    <mergeCell ref="L483:L484"/>
    <mergeCell ref="M483:M484"/>
    <mergeCell ref="N483:N484"/>
    <mergeCell ref="K481:K482"/>
    <mergeCell ref="L481:L482"/>
    <mergeCell ref="M481:M482"/>
    <mergeCell ref="N481:N482"/>
    <mergeCell ref="A483:A484"/>
    <mergeCell ref="B483:B484"/>
    <mergeCell ref="C483:C484"/>
    <mergeCell ref="D483:D484"/>
    <mergeCell ref="E483:E484"/>
    <mergeCell ref="F483:F484"/>
    <mergeCell ref="N479:N480"/>
    <mergeCell ref="I487:I488"/>
    <mergeCell ref="J487:J488"/>
    <mergeCell ref="K487:K488"/>
    <mergeCell ref="L487:L488"/>
    <mergeCell ref="M487:M488"/>
    <mergeCell ref="N487:N488"/>
    <mergeCell ref="A487:A488"/>
    <mergeCell ref="B487:B488"/>
    <mergeCell ref="C487:C488"/>
    <mergeCell ref="D487:D488"/>
    <mergeCell ref="E487:E488"/>
    <mergeCell ref="F487:F488"/>
    <mergeCell ref="I485:I486"/>
    <mergeCell ref="J485:J486"/>
    <mergeCell ref="K485:K486"/>
    <mergeCell ref="L485:L486"/>
    <mergeCell ref="M485:M486"/>
    <mergeCell ref="N485:N486"/>
    <mergeCell ref="A485:A486"/>
    <mergeCell ref="B485:B486"/>
    <mergeCell ref="C485:C486"/>
    <mergeCell ref="D485:D486"/>
    <mergeCell ref="E485:E486"/>
    <mergeCell ref="F485:F486"/>
    <mergeCell ref="A499:D499"/>
    <mergeCell ref="I499:L499"/>
    <mergeCell ref="N499:P499"/>
    <mergeCell ref="N504:P504"/>
    <mergeCell ref="A514:H514"/>
    <mergeCell ref="I514:P514"/>
    <mergeCell ref="A491:E491"/>
    <mergeCell ref="I491:M491"/>
    <mergeCell ref="A492:E492"/>
    <mergeCell ref="I492:M492"/>
    <mergeCell ref="A493:E493"/>
    <mergeCell ref="I493:M493"/>
    <mergeCell ref="I489:I490"/>
    <mergeCell ref="J489:J490"/>
    <mergeCell ref="K489:K490"/>
    <mergeCell ref="L489:L490"/>
    <mergeCell ref="M489:M490"/>
    <mergeCell ref="N489:N490"/>
    <mergeCell ref="A489:A490"/>
    <mergeCell ref="B489:B490"/>
    <mergeCell ref="C489:C490"/>
    <mergeCell ref="D489:D490"/>
    <mergeCell ref="E489:E490"/>
    <mergeCell ref="F489:F490"/>
    <mergeCell ref="O516:P516"/>
    <mergeCell ref="A518:A519"/>
    <mergeCell ref="B518:B519"/>
    <mergeCell ref="C518:C519"/>
    <mergeCell ref="D518:D519"/>
    <mergeCell ref="E518:E519"/>
    <mergeCell ref="F518:F519"/>
    <mergeCell ref="I518:I519"/>
    <mergeCell ref="J518:J519"/>
    <mergeCell ref="G516:H516"/>
    <mergeCell ref="I516:I517"/>
    <mergeCell ref="J516:J517"/>
    <mergeCell ref="K516:K517"/>
    <mergeCell ref="L516:L517"/>
    <mergeCell ref="M516:M517"/>
    <mergeCell ref="A516:A517"/>
    <mergeCell ref="B516:B517"/>
    <mergeCell ref="C516:C517"/>
    <mergeCell ref="D516:D517"/>
    <mergeCell ref="E516:E517"/>
    <mergeCell ref="F516:F517"/>
    <mergeCell ref="I520:I521"/>
    <mergeCell ref="J520:J521"/>
    <mergeCell ref="K520:K521"/>
    <mergeCell ref="L520:L521"/>
    <mergeCell ref="M520:M521"/>
    <mergeCell ref="N520:N521"/>
    <mergeCell ref="K518:K519"/>
    <mergeCell ref="L518:L519"/>
    <mergeCell ref="M518:M519"/>
    <mergeCell ref="N518:N519"/>
    <mergeCell ref="A520:A521"/>
    <mergeCell ref="B520:B521"/>
    <mergeCell ref="C520:C521"/>
    <mergeCell ref="D520:D521"/>
    <mergeCell ref="E520:E521"/>
    <mergeCell ref="F520:F521"/>
    <mergeCell ref="N516:N517"/>
    <mergeCell ref="I524:I525"/>
    <mergeCell ref="J524:J525"/>
    <mergeCell ref="K524:K525"/>
    <mergeCell ref="L524:L525"/>
    <mergeCell ref="M524:M525"/>
    <mergeCell ref="N524:N525"/>
    <mergeCell ref="A524:A525"/>
    <mergeCell ref="B524:B525"/>
    <mergeCell ref="C524:C525"/>
    <mergeCell ref="D524:D525"/>
    <mergeCell ref="E524:E525"/>
    <mergeCell ref="F524:F525"/>
    <mergeCell ref="I522:I523"/>
    <mergeCell ref="J522:J523"/>
    <mergeCell ref="K522:K523"/>
    <mergeCell ref="L522:L523"/>
    <mergeCell ref="M522:M523"/>
    <mergeCell ref="N522:N523"/>
    <mergeCell ref="A522:A523"/>
    <mergeCell ref="B522:B523"/>
    <mergeCell ref="C522:C523"/>
    <mergeCell ref="D522:D523"/>
    <mergeCell ref="E522:E523"/>
    <mergeCell ref="F522:F523"/>
    <mergeCell ref="A528:E528"/>
    <mergeCell ref="I528:M528"/>
    <mergeCell ref="A529:E529"/>
    <mergeCell ref="I529:M529"/>
    <mergeCell ref="A530:E530"/>
    <mergeCell ref="I530:M530"/>
    <mergeCell ref="I526:I527"/>
    <mergeCell ref="J526:J527"/>
    <mergeCell ref="K526:K527"/>
    <mergeCell ref="L526:L527"/>
    <mergeCell ref="M526:M527"/>
    <mergeCell ref="N526:N527"/>
    <mergeCell ref="A526:A527"/>
    <mergeCell ref="B526:B527"/>
    <mergeCell ref="C526:C527"/>
    <mergeCell ref="D526:D527"/>
    <mergeCell ref="E526:E527"/>
    <mergeCell ref="F526:F527"/>
    <mergeCell ref="O553:P553"/>
    <mergeCell ref="A555:A556"/>
    <mergeCell ref="B555:B556"/>
    <mergeCell ref="C555:C556"/>
    <mergeCell ref="D555:D556"/>
    <mergeCell ref="E555:E556"/>
    <mergeCell ref="F555:F556"/>
    <mergeCell ref="I555:I556"/>
    <mergeCell ref="J555:J556"/>
    <mergeCell ref="G553:H553"/>
    <mergeCell ref="I553:I554"/>
    <mergeCell ref="J553:J554"/>
    <mergeCell ref="K553:K554"/>
    <mergeCell ref="L553:L554"/>
    <mergeCell ref="M553:M554"/>
    <mergeCell ref="A536:D536"/>
    <mergeCell ref="I536:L536"/>
    <mergeCell ref="A551:H551"/>
    <mergeCell ref="I551:P551"/>
    <mergeCell ref="A553:A554"/>
    <mergeCell ref="B553:B554"/>
    <mergeCell ref="C553:C554"/>
    <mergeCell ref="D553:D554"/>
    <mergeCell ref="E553:E554"/>
    <mergeCell ref="F553:F554"/>
    <mergeCell ref="N536:P536"/>
    <mergeCell ref="N541:P541"/>
    <mergeCell ref="I557:I558"/>
    <mergeCell ref="J557:J558"/>
    <mergeCell ref="K557:K558"/>
    <mergeCell ref="L557:L558"/>
    <mergeCell ref="M557:M558"/>
    <mergeCell ref="N557:N558"/>
    <mergeCell ref="K555:K556"/>
    <mergeCell ref="L555:L556"/>
    <mergeCell ref="M555:M556"/>
    <mergeCell ref="N555:N556"/>
    <mergeCell ref="A557:A558"/>
    <mergeCell ref="B557:B558"/>
    <mergeCell ref="C557:C558"/>
    <mergeCell ref="D557:D558"/>
    <mergeCell ref="E557:E558"/>
    <mergeCell ref="F557:F558"/>
    <mergeCell ref="N553:N554"/>
    <mergeCell ref="I561:I562"/>
    <mergeCell ref="J561:J562"/>
    <mergeCell ref="K561:K562"/>
    <mergeCell ref="L561:L562"/>
    <mergeCell ref="M561:M562"/>
    <mergeCell ref="N561:N562"/>
    <mergeCell ref="A561:A562"/>
    <mergeCell ref="B561:B562"/>
    <mergeCell ref="C561:C562"/>
    <mergeCell ref="D561:D562"/>
    <mergeCell ref="E561:E562"/>
    <mergeCell ref="F561:F562"/>
    <mergeCell ref="I559:I560"/>
    <mergeCell ref="J559:J560"/>
    <mergeCell ref="K559:K560"/>
    <mergeCell ref="L559:L560"/>
    <mergeCell ref="M559:M560"/>
    <mergeCell ref="N559:N560"/>
    <mergeCell ref="A559:A560"/>
    <mergeCell ref="B559:B560"/>
    <mergeCell ref="C559:C560"/>
    <mergeCell ref="D559:D560"/>
    <mergeCell ref="E559:E560"/>
    <mergeCell ref="F559:F560"/>
    <mergeCell ref="A565:E565"/>
    <mergeCell ref="I565:M565"/>
    <mergeCell ref="A566:E566"/>
    <mergeCell ref="I566:M566"/>
    <mergeCell ref="A567:E567"/>
    <mergeCell ref="I567:M567"/>
    <mergeCell ref="I563:I564"/>
    <mergeCell ref="J563:J564"/>
    <mergeCell ref="K563:K564"/>
    <mergeCell ref="L563:L564"/>
    <mergeCell ref="M563:M564"/>
    <mergeCell ref="N563:N564"/>
    <mergeCell ref="A563:A564"/>
    <mergeCell ref="B563:B564"/>
    <mergeCell ref="C563:C564"/>
    <mergeCell ref="D563:D564"/>
    <mergeCell ref="E563:E564"/>
    <mergeCell ref="F563:F564"/>
    <mergeCell ref="O590:P590"/>
    <mergeCell ref="A592:A593"/>
    <mergeCell ref="B592:B593"/>
    <mergeCell ref="C592:C593"/>
    <mergeCell ref="D592:D593"/>
    <mergeCell ref="E592:E593"/>
    <mergeCell ref="F592:F593"/>
    <mergeCell ref="I592:I593"/>
    <mergeCell ref="J592:J593"/>
    <mergeCell ref="G590:H590"/>
    <mergeCell ref="I590:I591"/>
    <mergeCell ref="J590:J591"/>
    <mergeCell ref="K590:K591"/>
    <mergeCell ref="L590:L591"/>
    <mergeCell ref="M590:M591"/>
    <mergeCell ref="A573:D573"/>
    <mergeCell ref="I573:L573"/>
    <mergeCell ref="A588:H588"/>
    <mergeCell ref="I588:P588"/>
    <mergeCell ref="A590:A591"/>
    <mergeCell ref="B590:B591"/>
    <mergeCell ref="C590:C591"/>
    <mergeCell ref="D590:D591"/>
    <mergeCell ref="E590:E591"/>
    <mergeCell ref="F590:F591"/>
    <mergeCell ref="I594:I595"/>
    <mergeCell ref="J594:J595"/>
    <mergeCell ref="K594:K595"/>
    <mergeCell ref="L594:L595"/>
    <mergeCell ref="M594:M595"/>
    <mergeCell ref="N594:N595"/>
    <mergeCell ref="K592:K593"/>
    <mergeCell ref="L592:L593"/>
    <mergeCell ref="M592:M593"/>
    <mergeCell ref="N592:N593"/>
    <mergeCell ref="A594:A595"/>
    <mergeCell ref="B594:B595"/>
    <mergeCell ref="C594:C595"/>
    <mergeCell ref="D594:D595"/>
    <mergeCell ref="E594:E595"/>
    <mergeCell ref="F594:F595"/>
    <mergeCell ref="N590:N591"/>
    <mergeCell ref="I598:I599"/>
    <mergeCell ref="J598:J599"/>
    <mergeCell ref="K598:K599"/>
    <mergeCell ref="L598:L599"/>
    <mergeCell ref="M598:M599"/>
    <mergeCell ref="N598:N599"/>
    <mergeCell ref="A598:A599"/>
    <mergeCell ref="B598:B599"/>
    <mergeCell ref="C598:C599"/>
    <mergeCell ref="D598:D599"/>
    <mergeCell ref="E598:E599"/>
    <mergeCell ref="F598:F599"/>
    <mergeCell ref="I596:I597"/>
    <mergeCell ref="J596:J597"/>
    <mergeCell ref="K596:K597"/>
    <mergeCell ref="L596:L597"/>
    <mergeCell ref="M596:M597"/>
    <mergeCell ref="N596:N597"/>
    <mergeCell ref="A596:A597"/>
    <mergeCell ref="B596:B597"/>
    <mergeCell ref="C596:C597"/>
    <mergeCell ref="D596:D597"/>
    <mergeCell ref="E596:E597"/>
    <mergeCell ref="F596:F597"/>
    <mergeCell ref="A602:E602"/>
    <mergeCell ref="I602:M602"/>
    <mergeCell ref="A603:E603"/>
    <mergeCell ref="I603:M603"/>
    <mergeCell ref="A604:E604"/>
    <mergeCell ref="I604:M604"/>
    <mergeCell ref="I600:I601"/>
    <mergeCell ref="J600:J601"/>
    <mergeCell ref="K600:K601"/>
    <mergeCell ref="L600:L601"/>
    <mergeCell ref="M600:M601"/>
    <mergeCell ref="N600:N601"/>
    <mergeCell ref="A600:A601"/>
    <mergeCell ref="B600:B601"/>
    <mergeCell ref="C600:C601"/>
    <mergeCell ref="D600:D601"/>
    <mergeCell ref="E600:E601"/>
    <mergeCell ref="F600:F601"/>
    <mergeCell ref="O627:P627"/>
    <mergeCell ref="A629:A630"/>
    <mergeCell ref="B629:B630"/>
    <mergeCell ref="C629:C630"/>
    <mergeCell ref="D629:D630"/>
    <mergeCell ref="E629:E630"/>
    <mergeCell ref="F629:F630"/>
    <mergeCell ref="I629:I630"/>
    <mergeCell ref="J629:J630"/>
    <mergeCell ref="G627:H627"/>
    <mergeCell ref="I627:I628"/>
    <mergeCell ref="J627:J628"/>
    <mergeCell ref="K627:K628"/>
    <mergeCell ref="L627:L628"/>
    <mergeCell ref="M627:M628"/>
    <mergeCell ref="A610:D610"/>
    <mergeCell ref="I610:L610"/>
    <mergeCell ref="A625:H625"/>
    <mergeCell ref="I625:P625"/>
    <mergeCell ref="A627:A628"/>
    <mergeCell ref="B627:B628"/>
    <mergeCell ref="C627:C628"/>
    <mergeCell ref="D627:D628"/>
    <mergeCell ref="E627:E628"/>
    <mergeCell ref="F627:F628"/>
    <mergeCell ref="I631:I632"/>
    <mergeCell ref="J631:J632"/>
    <mergeCell ref="K631:K632"/>
    <mergeCell ref="L631:L632"/>
    <mergeCell ref="M631:M632"/>
    <mergeCell ref="N631:N632"/>
    <mergeCell ref="K629:K630"/>
    <mergeCell ref="L629:L630"/>
    <mergeCell ref="M629:M630"/>
    <mergeCell ref="N629:N630"/>
    <mergeCell ref="A631:A632"/>
    <mergeCell ref="B631:B632"/>
    <mergeCell ref="C631:C632"/>
    <mergeCell ref="D631:D632"/>
    <mergeCell ref="E631:E632"/>
    <mergeCell ref="F631:F632"/>
    <mergeCell ref="N627:N628"/>
    <mergeCell ref="I635:I636"/>
    <mergeCell ref="J635:J636"/>
    <mergeCell ref="K635:K636"/>
    <mergeCell ref="L635:L636"/>
    <mergeCell ref="M635:M636"/>
    <mergeCell ref="N635:N636"/>
    <mergeCell ref="A635:A636"/>
    <mergeCell ref="B635:B636"/>
    <mergeCell ref="C635:C636"/>
    <mergeCell ref="D635:D636"/>
    <mergeCell ref="E635:E636"/>
    <mergeCell ref="F635:F636"/>
    <mergeCell ref="I633:I634"/>
    <mergeCell ref="J633:J634"/>
    <mergeCell ref="K633:K634"/>
    <mergeCell ref="L633:L634"/>
    <mergeCell ref="M633:M634"/>
    <mergeCell ref="N633:N634"/>
    <mergeCell ref="A633:A634"/>
    <mergeCell ref="B633:B634"/>
    <mergeCell ref="C633:C634"/>
    <mergeCell ref="D633:D634"/>
    <mergeCell ref="E633:E634"/>
    <mergeCell ref="F633:F634"/>
    <mergeCell ref="A647:D647"/>
    <mergeCell ref="I647:L647"/>
    <mergeCell ref="N648:P648"/>
    <mergeCell ref="N653:P653"/>
    <mergeCell ref="A662:H662"/>
    <mergeCell ref="I662:P662"/>
    <mergeCell ref="A639:E639"/>
    <mergeCell ref="I639:M639"/>
    <mergeCell ref="A640:E640"/>
    <mergeCell ref="I640:M640"/>
    <mergeCell ref="A641:E641"/>
    <mergeCell ref="I641:M641"/>
    <mergeCell ref="I637:I638"/>
    <mergeCell ref="J637:J638"/>
    <mergeCell ref="K637:K638"/>
    <mergeCell ref="L637:L638"/>
    <mergeCell ref="M637:M638"/>
    <mergeCell ref="N637:N638"/>
    <mergeCell ref="A637:A638"/>
    <mergeCell ref="B637:B638"/>
    <mergeCell ref="C637:C638"/>
    <mergeCell ref="D637:D638"/>
    <mergeCell ref="E637:E638"/>
    <mergeCell ref="F637:F638"/>
    <mergeCell ref="K666:K667"/>
    <mergeCell ref="L666:L667"/>
    <mergeCell ref="M666:M667"/>
    <mergeCell ref="N666:N667"/>
    <mergeCell ref="A668:A669"/>
    <mergeCell ref="B668:B669"/>
    <mergeCell ref="C668:C669"/>
    <mergeCell ref="D668:D669"/>
    <mergeCell ref="E668:E669"/>
    <mergeCell ref="F668:F669"/>
    <mergeCell ref="N664:N665"/>
    <mergeCell ref="O664:P664"/>
    <mergeCell ref="A666:A667"/>
    <mergeCell ref="B666:B667"/>
    <mergeCell ref="C666:C667"/>
    <mergeCell ref="D666:D667"/>
    <mergeCell ref="E666:E667"/>
    <mergeCell ref="F666:F667"/>
    <mergeCell ref="I666:I667"/>
    <mergeCell ref="J666:J667"/>
    <mergeCell ref="G664:H664"/>
    <mergeCell ref="I664:I665"/>
    <mergeCell ref="J664:J665"/>
    <mergeCell ref="K664:K665"/>
    <mergeCell ref="L664:L665"/>
    <mergeCell ref="M664:M665"/>
    <mergeCell ref="A664:A665"/>
    <mergeCell ref="B664:B665"/>
    <mergeCell ref="C664:C665"/>
    <mergeCell ref="D664:D665"/>
    <mergeCell ref="E664:E665"/>
    <mergeCell ref="F664:F665"/>
    <mergeCell ref="I670:I671"/>
    <mergeCell ref="J670:J671"/>
    <mergeCell ref="K670:K671"/>
    <mergeCell ref="L670:L671"/>
    <mergeCell ref="M670:M671"/>
    <mergeCell ref="N670:N671"/>
    <mergeCell ref="A670:A671"/>
    <mergeCell ref="B670:B671"/>
    <mergeCell ref="C670:C671"/>
    <mergeCell ref="D670:D671"/>
    <mergeCell ref="E670:E671"/>
    <mergeCell ref="F670:F671"/>
    <mergeCell ref="I668:I669"/>
    <mergeCell ref="J668:J669"/>
    <mergeCell ref="K668:K669"/>
    <mergeCell ref="L668:L669"/>
    <mergeCell ref="M668:M669"/>
    <mergeCell ref="N668:N669"/>
    <mergeCell ref="I674:I675"/>
    <mergeCell ref="J674:J675"/>
    <mergeCell ref="K674:K675"/>
    <mergeCell ref="L674:L675"/>
    <mergeCell ref="M674:M675"/>
    <mergeCell ref="N674:N675"/>
    <mergeCell ref="I672:I673"/>
    <mergeCell ref="J672:J673"/>
    <mergeCell ref="K672:K673"/>
    <mergeCell ref="L672:L673"/>
    <mergeCell ref="M672:M673"/>
    <mergeCell ref="N672:N673"/>
    <mergeCell ref="A672:A673"/>
    <mergeCell ref="B672:B673"/>
    <mergeCell ref="C672:C673"/>
    <mergeCell ref="D672:D673"/>
    <mergeCell ref="E672:E673"/>
    <mergeCell ref="F672:F673"/>
    <mergeCell ref="A686:D686"/>
    <mergeCell ref="I686:L686"/>
    <mergeCell ref="N686:P686"/>
    <mergeCell ref="N691:P691"/>
    <mergeCell ref="A701:H701"/>
    <mergeCell ref="I701:P701"/>
    <mergeCell ref="A678:E678"/>
    <mergeCell ref="I678:M678"/>
    <mergeCell ref="A679:E679"/>
    <mergeCell ref="I679:M679"/>
    <mergeCell ref="A680:E680"/>
    <mergeCell ref="I680:M680"/>
    <mergeCell ref="I676:I677"/>
    <mergeCell ref="J676:J677"/>
    <mergeCell ref="K676:K677"/>
    <mergeCell ref="L676:L677"/>
    <mergeCell ref="M676:M677"/>
    <mergeCell ref="N676:N677"/>
    <mergeCell ref="A676:A677"/>
    <mergeCell ref="B676:B677"/>
    <mergeCell ref="C676:C677"/>
    <mergeCell ref="D676:D677"/>
    <mergeCell ref="E676:E677"/>
    <mergeCell ref="F676:F677"/>
    <mergeCell ref="K705:K706"/>
    <mergeCell ref="L705:L706"/>
    <mergeCell ref="M705:M706"/>
    <mergeCell ref="N705:N706"/>
    <mergeCell ref="A707:A708"/>
    <mergeCell ref="B707:B708"/>
    <mergeCell ref="C707:C708"/>
    <mergeCell ref="D707:D708"/>
    <mergeCell ref="E707:E708"/>
    <mergeCell ref="F707:F708"/>
    <mergeCell ref="N703:N704"/>
    <mergeCell ref="O703:P703"/>
    <mergeCell ref="A705:A706"/>
    <mergeCell ref="B705:B706"/>
    <mergeCell ref="C705:C706"/>
    <mergeCell ref="D705:D706"/>
    <mergeCell ref="E705:E706"/>
    <mergeCell ref="F705:F706"/>
    <mergeCell ref="I705:I706"/>
    <mergeCell ref="J705:J706"/>
    <mergeCell ref="G703:H703"/>
    <mergeCell ref="I703:I704"/>
    <mergeCell ref="J703:J704"/>
    <mergeCell ref="K703:K704"/>
    <mergeCell ref="L703:L704"/>
    <mergeCell ref="M703:M704"/>
    <mergeCell ref="A703:A704"/>
    <mergeCell ref="B703:B704"/>
    <mergeCell ref="C703:C704"/>
    <mergeCell ref="D703:D704"/>
    <mergeCell ref="E703:E704"/>
    <mergeCell ref="F703:F704"/>
    <mergeCell ref="I709:I710"/>
    <mergeCell ref="J709:J710"/>
    <mergeCell ref="K709:K710"/>
    <mergeCell ref="L709:L710"/>
    <mergeCell ref="M709:M710"/>
    <mergeCell ref="N709:N710"/>
    <mergeCell ref="A709:A710"/>
    <mergeCell ref="B709:B710"/>
    <mergeCell ref="C709:C710"/>
    <mergeCell ref="D709:D710"/>
    <mergeCell ref="E709:E710"/>
    <mergeCell ref="F709:F710"/>
    <mergeCell ref="I707:I708"/>
    <mergeCell ref="J707:J708"/>
    <mergeCell ref="K707:K708"/>
    <mergeCell ref="L707:L708"/>
    <mergeCell ref="M707:M708"/>
    <mergeCell ref="N707:N708"/>
    <mergeCell ref="N713:N714"/>
    <mergeCell ref="A713:A714"/>
    <mergeCell ref="B713:B714"/>
    <mergeCell ref="C713:C714"/>
    <mergeCell ref="D713:D714"/>
    <mergeCell ref="E713:E714"/>
    <mergeCell ref="F713:F714"/>
    <mergeCell ref="I711:I712"/>
    <mergeCell ref="J711:J712"/>
    <mergeCell ref="K711:K712"/>
    <mergeCell ref="L711:L712"/>
    <mergeCell ref="M711:M712"/>
    <mergeCell ref="N711:N712"/>
    <mergeCell ref="A711:A712"/>
    <mergeCell ref="B711:B712"/>
    <mergeCell ref="C711:C712"/>
    <mergeCell ref="D711:D712"/>
    <mergeCell ref="E711:E712"/>
    <mergeCell ref="F711:F712"/>
    <mergeCell ref="I715:M715"/>
    <mergeCell ref="I716:M716"/>
    <mergeCell ref="A717:E717"/>
    <mergeCell ref="I717:M717"/>
    <mergeCell ref="A718:E718"/>
    <mergeCell ref="A719:E719"/>
    <mergeCell ref="A715:A716"/>
    <mergeCell ref="B715:B716"/>
    <mergeCell ref="C715:C716"/>
    <mergeCell ref="D715:D716"/>
    <mergeCell ref="E715:E716"/>
    <mergeCell ref="F715:F716"/>
    <mergeCell ref="I713:I714"/>
    <mergeCell ref="J713:J714"/>
    <mergeCell ref="K713:K714"/>
    <mergeCell ref="L713:L714"/>
    <mergeCell ref="M713:M714"/>
    <mergeCell ref="I742:I743"/>
    <mergeCell ref="J742:J743"/>
    <mergeCell ref="K742:K743"/>
    <mergeCell ref="L742:L743"/>
    <mergeCell ref="M742:M743"/>
    <mergeCell ref="N742:N743"/>
    <mergeCell ref="M740:M741"/>
    <mergeCell ref="N740:N741"/>
    <mergeCell ref="O740:P740"/>
    <mergeCell ref="A742:A743"/>
    <mergeCell ref="B742:B743"/>
    <mergeCell ref="C742:C743"/>
    <mergeCell ref="D742:D743"/>
    <mergeCell ref="E742:E743"/>
    <mergeCell ref="F742:F743"/>
    <mergeCell ref="G742:H742"/>
    <mergeCell ref="I723:L723"/>
    <mergeCell ref="N723:P723"/>
    <mergeCell ref="A725:D725"/>
    <mergeCell ref="N728:P728"/>
    <mergeCell ref="I738:P738"/>
    <mergeCell ref="A740:H740"/>
    <mergeCell ref="I740:I741"/>
    <mergeCell ref="J740:J741"/>
    <mergeCell ref="K740:K741"/>
    <mergeCell ref="L740:L741"/>
    <mergeCell ref="I746:I747"/>
    <mergeCell ref="J746:J747"/>
    <mergeCell ref="K746:K747"/>
    <mergeCell ref="L746:L747"/>
    <mergeCell ref="M746:M747"/>
    <mergeCell ref="N746:N747"/>
    <mergeCell ref="A746:A747"/>
    <mergeCell ref="B746:B747"/>
    <mergeCell ref="C746:C747"/>
    <mergeCell ref="D746:D747"/>
    <mergeCell ref="E746:E747"/>
    <mergeCell ref="F746:F747"/>
    <mergeCell ref="I744:I745"/>
    <mergeCell ref="J744:J745"/>
    <mergeCell ref="K744:K745"/>
    <mergeCell ref="L744:L745"/>
    <mergeCell ref="M744:M745"/>
    <mergeCell ref="N744:N745"/>
    <mergeCell ref="A744:A745"/>
    <mergeCell ref="B744:B745"/>
    <mergeCell ref="C744:C745"/>
    <mergeCell ref="D744:D745"/>
    <mergeCell ref="E744:E745"/>
    <mergeCell ref="F744:F745"/>
    <mergeCell ref="N750:N751"/>
    <mergeCell ref="A750:A751"/>
    <mergeCell ref="B750:B751"/>
    <mergeCell ref="C750:C751"/>
    <mergeCell ref="D750:D751"/>
    <mergeCell ref="E750:E751"/>
    <mergeCell ref="F750:F751"/>
    <mergeCell ref="I748:I749"/>
    <mergeCell ref="J748:J749"/>
    <mergeCell ref="K748:K749"/>
    <mergeCell ref="L748:L749"/>
    <mergeCell ref="M748:M749"/>
    <mergeCell ref="N748:N749"/>
    <mergeCell ref="A748:A749"/>
    <mergeCell ref="B748:B749"/>
    <mergeCell ref="C748:C749"/>
    <mergeCell ref="D748:D749"/>
    <mergeCell ref="E748:E749"/>
    <mergeCell ref="F748:F749"/>
    <mergeCell ref="I752:M752"/>
    <mergeCell ref="I753:M753"/>
    <mergeCell ref="A754:E754"/>
    <mergeCell ref="I754:M754"/>
    <mergeCell ref="A755:E755"/>
    <mergeCell ref="A756:E756"/>
    <mergeCell ref="A752:A753"/>
    <mergeCell ref="B752:B753"/>
    <mergeCell ref="C752:C753"/>
    <mergeCell ref="D752:D753"/>
    <mergeCell ref="E752:E753"/>
    <mergeCell ref="F752:F753"/>
    <mergeCell ref="I750:I751"/>
    <mergeCell ref="J750:J751"/>
    <mergeCell ref="K750:K751"/>
    <mergeCell ref="L750:L751"/>
    <mergeCell ref="M750:M751"/>
    <mergeCell ref="I779:I780"/>
    <mergeCell ref="J779:J780"/>
    <mergeCell ref="K779:K780"/>
    <mergeCell ref="L779:L780"/>
    <mergeCell ref="M779:M780"/>
    <mergeCell ref="N779:N780"/>
    <mergeCell ref="M777:M778"/>
    <mergeCell ref="N777:N778"/>
    <mergeCell ref="O777:P777"/>
    <mergeCell ref="A779:A780"/>
    <mergeCell ref="B779:B780"/>
    <mergeCell ref="C779:C780"/>
    <mergeCell ref="D779:D780"/>
    <mergeCell ref="E779:E780"/>
    <mergeCell ref="F779:F780"/>
    <mergeCell ref="G779:H779"/>
    <mergeCell ref="I760:L760"/>
    <mergeCell ref="N760:P760"/>
    <mergeCell ref="A762:D762"/>
    <mergeCell ref="N765:P765"/>
    <mergeCell ref="I775:P775"/>
    <mergeCell ref="A777:H777"/>
    <mergeCell ref="I777:I778"/>
    <mergeCell ref="J777:J778"/>
    <mergeCell ref="K777:K778"/>
    <mergeCell ref="L777:L778"/>
    <mergeCell ref="I783:I784"/>
    <mergeCell ref="J783:J784"/>
    <mergeCell ref="K783:K784"/>
    <mergeCell ref="L783:L784"/>
    <mergeCell ref="M783:M784"/>
    <mergeCell ref="N783:N784"/>
    <mergeCell ref="A783:A784"/>
    <mergeCell ref="B783:B784"/>
    <mergeCell ref="C783:C784"/>
    <mergeCell ref="D783:D784"/>
    <mergeCell ref="E783:E784"/>
    <mergeCell ref="F783:F784"/>
    <mergeCell ref="I781:I782"/>
    <mergeCell ref="J781:J782"/>
    <mergeCell ref="K781:K782"/>
    <mergeCell ref="L781:L782"/>
    <mergeCell ref="M781:M782"/>
    <mergeCell ref="N781:N782"/>
    <mergeCell ref="A781:A782"/>
    <mergeCell ref="B781:B782"/>
    <mergeCell ref="C781:C782"/>
    <mergeCell ref="D781:D782"/>
    <mergeCell ref="E781:E782"/>
    <mergeCell ref="F781:F782"/>
    <mergeCell ref="N787:N788"/>
    <mergeCell ref="A787:A788"/>
    <mergeCell ref="B787:B788"/>
    <mergeCell ref="C787:C788"/>
    <mergeCell ref="D787:D788"/>
    <mergeCell ref="E787:E788"/>
    <mergeCell ref="F787:F788"/>
    <mergeCell ref="I785:I786"/>
    <mergeCell ref="J785:J786"/>
    <mergeCell ref="K785:K786"/>
    <mergeCell ref="L785:L786"/>
    <mergeCell ref="M785:M786"/>
    <mergeCell ref="N785:N786"/>
    <mergeCell ref="A785:A786"/>
    <mergeCell ref="B785:B786"/>
    <mergeCell ref="C785:C786"/>
    <mergeCell ref="D785:D786"/>
    <mergeCell ref="E785:E786"/>
    <mergeCell ref="F785:F786"/>
    <mergeCell ref="I789:M789"/>
    <mergeCell ref="I790:M790"/>
    <mergeCell ref="A791:E791"/>
    <mergeCell ref="I791:M791"/>
    <mergeCell ref="A792:E792"/>
    <mergeCell ref="A793:E793"/>
    <mergeCell ref="A789:A790"/>
    <mergeCell ref="B789:B790"/>
    <mergeCell ref="C789:C790"/>
    <mergeCell ref="D789:D790"/>
    <mergeCell ref="E789:E790"/>
    <mergeCell ref="F789:F790"/>
    <mergeCell ref="I787:I788"/>
    <mergeCell ref="J787:J788"/>
    <mergeCell ref="K787:K788"/>
    <mergeCell ref="L787:L788"/>
    <mergeCell ref="M787:M788"/>
    <mergeCell ref="I816:I817"/>
    <mergeCell ref="J816:J817"/>
    <mergeCell ref="K816:K817"/>
    <mergeCell ref="L816:L817"/>
    <mergeCell ref="M816:M817"/>
    <mergeCell ref="N816:N817"/>
    <mergeCell ref="M814:M815"/>
    <mergeCell ref="N814:N815"/>
    <mergeCell ref="O814:P814"/>
    <mergeCell ref="A816:A817"/>
    <mergeCell ref="B816:B817"/>
    <mergeCell ref="C816:C817"/>
    <mergeCell ref="D816:D817"/>
    <mergeCell ref="E816:E817"/>
    <mergeCell ref="F816:F817"/>
    <mergeCell ref="G816:H816"/>
    <mergeCell ref="I797:L797"/>
    <mergeCell ref="N797:P797"/>
    <mergeCell ref="A799:D799"/>
    <mergeCell ref="N802:P802"/>
    <mergeCell ref="I812:P812"/>
    <mergeCell ref="A814:H814"/>
    <mergeCell ref="I814:I815"/>
    <mergeCell ref="J814:J815"/>
    <mergeCell ref="K814:K815"/>
    <mergeCell ref="L814:L815"/>
    <mergeCell ref="I820:I821"/>
    <mergeCell ref="J820:J821"/>
    <mergeCell ref="K820:K821"/>
    <mergeCell ref="L820:L821"/>
    <mergeCell ref="M820:M821"/>
    <mergeCell ref="N820:N821"/>
    <mergeCell ref="A820:A821"/>
    <mergeCell ref="B820:B821"/>
    <mergeCell ref="C820:C821"/>
    <mergeCell ref="D820:D821"/>
    <mergeCell ref="E820:E821"/>
    <mergeCell ref="F820:F821"/>
    <mergeCell ref="I818:I819"/>
    <mergeCell ref="J818:J819"/>
    <mergeCell ref="K818:K819"/>
    <mergeCell ref="L818:L819"/>
    <mergeCell ref="M818:M819"/>
    <mergeCell ref="N818:N819"/>
    <mergeCell ref="A818:A819"/>
    <mergeCell ref="B818:B819"/>
    <mergeCell ref="C818:C819"/>
    <mergeCell ref="D818:D819"/>
    <mergeCell ref="E818:E819"/>
    <mergeCell ref="F818:F819"/>
    <mergeCell ref="I824:I825"/>
    <mergeCell ref="J824:J825"/>
    <mergeCell ref="K824:K825"/>
    <mergeCell ref="L824:L825"/>
    <mergeCell ref="M824:M825"/>
    <mergeCell ref="N824:N825"/>
    <mergeCell ref="A824:A825"/>
    <mergeCell ref="B824:B825"/>
    <mergeCell ref="C824:C825"/>
    <mergeCell ref="D824:D825"/>
    <mergeCell ref="E824:E825"/>
    <mergeCell ref="F824:F825"/>
    <mergeCell ref="I822:I823"/>
    <mergeCell ref="J822:J823"/>
    <mergeCell ref="K822:K823"/>
    <mergeCell ref="L822:L823"/>
    <mergeCell ref="M822:M823"/>
    <mergeCell ref="N822:N823"/>
    <mergeCell ref="A822:A823"/>
    <mergeCell ref="B822:B823"/>
    <mergeCell ref="C822:C823"/>
    <mergeCell ref="D822:D823"/>
    <mergeCell ref="E822:E823"/>
    <mergeCell ref="F822:F823"/>
    <mergeCell ref="I849:P849"/>
    <mergeCell ref="A851:H851"/>
    <mergeCell ref="I851:I852"/>
    <mergeCell ref="J851:J852"/>
    <mergeCell ref="K851:K852"/>
    <mergeCell ref="L851:L852"/>
    <mergeCell ref="M851:M852"/>
    <mergeCell ref="N851:N852"/>
    <mergeCell ref="O851:P851"/>
    <mergeCell ref="I834:L834"/>
    <mergeCell ref="A836:D836"/>
    <mergeCell ref="N836:P836"/>
    <mergeCell ref="N838:P838"/>
    <mergeCell ref="N839:P839"/>
    <mergeCell ref="N840:P840"/>
    <mergeCell ref="I826:M826"/>
    <mergeCell ref="I827:M827"/>
    <mergeCell ref="A828:E828"/>
    <mergeCell ref="I828:M828"/>
    <mergeCell ref="A829:E829"/>
    <mergeCell ref="A830:E830"/>
    <mergeCell ref="A826:A827"/>
    <mergeCell ref="B826:B827"/>
    <mergeCell ref="C826:C827"/>
    <mergeCell ref="D826:D827"/>
    <mergeCell ref="E826:E827"/>
    <mergeCell ref="F826:F827"/>
    <mergeCell ref="N853:N854"/>
    <mergeCell ref="A855:A856"/>
    <mergeCell ref="B855:B856"/>
    <mergeCell ref="C855:C856"/>
    <mergeCell ref="D855:D856"/>
    <mergeCell ref="E855:E856"/>
    <mergeCell ref="F855:F856"/>
    <mergeCell ref="I855:I856"/>
    <mergeCell ref="J855:J856"/>
    <mergeCell ref="K855:K856"/>
    <mergeCell ref="G853:H853"/>
    <mergeCell ref="I853:I854"/>
    <mergeCell ref="J853:J854"/>
    <mergeCell ref="K853:K854"/>
    <mergeCell ref="L853:L854"/>
    <mergeCell ref="M853:M854"/>
    <mergeCell ref="A853:A854"/>
    <mergeCell ref="B853:B854"/>
    <mergeCell ref="C853:C854"/>
    <mergeCell ref="D853:D854"/>
    <mergeCell ref="E853:E854"/>
    <mergeCell ref="F853:F854"/>
    <mergeCell ref="J857:J858"/>
    <mergeCell ref="K857:K858"/>
    <mergeCell ref="L857:L858"/>
    <mergeCell ref="M857:M858"/>
    <mergeCell ref="N857:N858"/>
    <mergeCell ref="A859:A860"/>
    <mergeCell ref="B859:B860"/>
    <mergeCell ref="C859:C860"/>
    <mergeCell ref="D859:D860"/>
    <mergeCell ref="E859:E860"/>
    <mergeCell ref="L855:L856"/>
    <mergeCell ref="M855:M856"/>
    <mergeCell ref="N855:N856"/>
    <mergeCell ref="A857:A858"/>
    <mergeCell ref="B857:B858"/>
    <mergeCell ref="C857:C858"/>
    <mergeCell ref="D857:D858"/>
    <mergeCell ref="E857:E858"/>
    <mergeCell ref="F857:F858"/>
    <mergeCell ref="I857:I858"/>
    <mergeCell ref="L861:L862"/>
    <mergeCell ref="M861:M862"/>
    <mergeCell ref="N861:N862"/>
    <mergeCell ref="A863:A864"/>
    <mergeCell ref="B863:B864"/>
    <mergeCell ref="C863:C864"/>
    <mergeCell ref="D863:D864"/>
    <mergeCell ref="E863:E864"/>
    <mergeCell ref="F863:F864"/>
    <mergeCell ref="I863:M863"/>
    <mergeCell ref="N859:N860"/>
    <mergeCell ref="A861:A862"/>
    <mergeCell ref="B861:B862"/>
    <mergeCell ref="C861:C862"/>
    <mergeCell ref="D861:D862"/>
    <mergeCell ref="E861:E862"/>
    <mergeCell ref="F861:F862"/>
    <mergeCell ref="I861:I862"/>
    <mergeCell ref="J861:J862"/>
    <mergeCell ref="K861:K862"/>
    <mergeCell ref="F859:F860"/>
    <mergeCell ref="I859:I860"/>
    <mergeCell ref="J859:J860"/>
    <mergeCell ref="K859:K860"/>
    <mergeCell ref="L859:L860"/>
    <mergeCell ref="M859:M860"/>
    <mergeCell ref="I886:P886"/>
    <mergeCell ref="A888:H888"/>
    <mergeCell ref="I888:I889"/>
    <mergeCell ref="J888:J889"/>
    <mergeCell ref="K888:K889"/>
    <mergeCell ref="L888:L889"/>
    <mergeCell ref="M888:M889"/>
    <mergeCell ref="N888:N889"/>
    <mergeCell ref="O888:P888"/>
    <mergeCell ref="N871:P871"/>
    <mergeCell ref="A873:D873"/>
    <mergeCell ref="N873:P873"/>
    <mergeCell ref="N874:P874"/>
    <mergeCell ref="N875:P875"/>
    <mergeCell ref="N876:P876"/>
    <mergeCell ref="I864:M864"/>
    <mergeCell ref="A865:E865"/>
    <mergeCell ref="I865:M865"/>
    <mergeCell ref="A866:E866"/>
    <mergeCell ref="A867:E867"/>
    <mergeCell ref="I871:L871"/>
    <mergeCell ref="L892:L893"/>
    <mergeCell ref="M892:M893"/>
    <mergeCell ref="N892:N893"/>
    <mergeCell ref="A894:A895"/>
    <mergeCell ref="B894:B895"/>
    <mergeCell ref="C894:C895"/>
    <mergeCell ref="D894:D895"/>
    <mergeCell ref="E894:E895"/>
    <mergeCell ref="F894:F895"/>
    <mergeCell ref="I894:I895"/>
    <mergeCell ref="N890:N891"/>
    <mergeCell ref="A892:A893"/>
    <mergeCell ref="B892:B893"/>
    <mergeCell ref="C892:C893"/>
    <mergeCell ref="D892:D893"/>
    <mergeCell ref="E892:E893"/>
    <mergeCell ref="F892:F893"/>
    <mergeCell ref="I892:I893"/>
    <mergeCell ref="J892:J893"/>
    <mergeCell ref="K892:K893"/>
    <mergeCell ref="G890:H890"/>
    <mergeCell ref="I890:I891"/>
    <mergeCell ref="J890:J891"/>
    <mergeCell ref="K890:K891"/>
    <mergeCell ref="L890:L891"/>
    <mergeCell ref="M890:M891"/>
    <mergeCell ref="A890:A891"/>
    <mergeCell ref="B890:B891"/>
    <mergeCell ref="C890:C891"/>
    <mergeCell ref="D890:D891"/>
    <mergeCell ref="E890:E891"/>
    <mergeCell ref="F890:F891"/>
    <mergeCell ref="N896:N897"/>
    <mergeCell ref="A898:A899"/>
    <mergeCell ref="B898:B899"/>
    <mergeCell ref="C898:C899"/>
    <mergeCell ref="D898:D899"/>
    <mergeCell ref="E898:E899"/>
    <mergeCell ref="F898:F899"/>
    <mergeCell ref="I898:I899"/>
    <mergeCell ref="J898:J899"/>
    <mergeCell ref="K898:K899"/>
    <mergeCell ref="F896:F897"/>
    <mergeCell ref="I896:I897"/>
    <mergeCell ref="J896:J897"/>
    <mergeCell ref="K896:K897"/>
    <mergeCell ref="L896:L897"/>
    <mergeCell ref="M896:M897"/>
    <mergeCell ref="J894:J895"/>
    <mergeCell ref="K894:K895"/>
    <mergeCell ref="L894:L895"/>
    <mergeCell ref="M894:M895"/>
    <mergeCell ref="N894:N895"/>
    <mergeCell ref="A896:A897"/>
    <mergeCell ref="B896:B897"/>
    <mergeCell ref="C896:C897"/>
    <mergeCell ref="D896:D897"/>
    <mergeCell ref="E896:E897"/>
    <mergeCell ref="N908:P908"/>
    <mergeCell ref="A910:D910"/>
    <mergeCell ref="N913:P913"/>
    <mergeCell ref="I923:P923"/>
    <mergeCell ref="A925:H925"/>
    <mergeCell ref="I925:I926"/>
    <mergeCell ref="J925:J926"/>
    <mergeCell ref="K925:K926"/>
    <mergeCell ref="L925:L926"/>
    <mergeCell ref="M925:M926"/>
    <mergeCell ref="I901:M901"/>
    <mergeCell ref="A902:E902"/>
    <mergeCell ref="I902:M902"/>
    <mergeCell ref="A903:E903"/>
    <mergeCell ref="A904:E904"/>
    <mergeCell ref="I908:L908"/>
    <mergeCell ref="L898:L899"/>
    <mergeCell ref="M898:M899"/>
    <mergeCell ref="N898:N899"/>
    <mergeCell ref="A900:A901"/>
    <mergeCell ref="B900:B901"/>
    <mergeCell ref="C900:C901"/>
    <mergeCell ref="D900:D901"/>
    <mergeCell ref="E900:E901"/>
    <mergeCell ref="F900:F901"/>
    <mergeCell ref="I900:M900"/>
    <mergeCell ref="J927:J928"/>
    <mergeCell ref="K927:K928"/>
    <mergeCell ref="L927:L928"/>
    <mergeCell ref="M927:M928"/>
    <mergeCell ref="N927:N928"/>
    <mergeCell ref="A929:A930"/>
    <mergeCell ref="B929:B930"/>
    <mergeCell ref="C929:C930"/>
    <mergeCell ref="D929:D930"/>
    <mergeCell ref="E929:E930"/>
    <mergeCell ref="N925:N926"/>
    <mergeCell ref="O925:P925"/>
    <mergeCell ref="A927:A928"/>
    <mergeCell ref="B927:B928"/>
    <mergeCell ref="C927:C928"/>
    <mergeCell ref="D927:D928"/>
    <mergeCell ref="E927:E928"/>
    <mergeCell ref="F927:F928"/>
    <mergeCell ref="G927:H927"/>
    <mergeCell ref="I927:I928"/>
    <mergeCell ref="L931:L932"/>
    <mergeCell ref="M931:M932"/>
    <mergeCell ref="N931:N932"/>
    <mergeCell ref="I933:I934"/>
    <mergeCell ref="J933:J934"/>
    <mergeCell ref="K933:K934"/>
    <mergeCell ref="L933:L934"/>
    <mergeCell ref="M933:M934"/>
    <mergeCell ref="N933:N934"/>
    <mergeCell ref="N929:N930"/>
    <mergeCell ref="A931:A932"/>
    <mergeCell ref="B931:B932"/>
    <mergeCell ref="C931:C932"/>
    <mergeCell ref="D931:D932"/>
    <mergeCell ref="E931:E932"/>
    <mergeCell ref="F931:F932"/>
    <mergeCell ref="I931:I932"/>
    <mergeCell ref="J931:J932"/>
    <mergeCell ref="K931:K932"/>
    <mergeCell ref="F929:F930"/>
    <mergeCell ref="I929:I930"/>
    <mergeCell ref="J929:J930"/>
    <mergeCell ref="K929:K930"/>
    <mergeCell ref="L929:L930"/>
    <mergeCell ref="M929:M930"/>
    <mergeCell ref="I937:I938"/>
    <mergeCell ref="J937:J938"/>
    <mergeCell ref="K937:K938"/>
    <mergeCell ref="L937:L938"/>
    <mergeCell ref="M937:M938"/>
    <mergeCell ref="N937:N938"/>
    <mergeCell ref="A937:A938"/>
    <mergeCell ref="B937:B938"/>
    <mergeCell ref="C937:C938"/>
    <mergeCell ref="D937:D938"/>
    <mergeCell ref="E937:E938"/>
    <mergeCell ref="F937:F938"/>
    <mergeCell ref="I935:I936"/>
    <mergeCell ref="J935:J936"/>
    <mergeCell ref="K935:K936"/>
    <mergeCell ref="L935:L936"/>
    <mergeCell ref="M935:M936"/>
    <mergeCell ref="N935:N936"/>
    <mergeCell ref="A935:A936"/>
    <mergeCell ref="B935:B936"/>
    <mergeCell ref="C935:C936"/>
    <mergeCell ref="D935:D936"/>
    <mergeCell ref="E935:E936"/>
    <mergeCell ref="F935:F936"/>
    <mergeCell ref="I947:L947"/>
    <mergeCell ref="A949:D949"/>
    <mergeCell ref="N952:P952"/>
    <mergeCell ref="I962:P962"/>
    <mergeCell ref="A964:H964"/>
    <mergeCell ref="I964:I965"/>
    <mergeCell ref="J964:J965"/>
    <mergeCell ref="K964:K965"/>
    <mergeCell ref="L964:L965"/>
    <mergeCell ref="M964:M965"/>
    <mergeCell ref="I939:M939"/>
    <mergeCell ref="I940:M940"/>
    <mergeCell ref="A941:E941"/>
    <mergeCell ref="I941:M941"/>
    <mergeCell ref="A942:E942"/>
    <mergeCell ref="A943:E943"/>
    <mergeCell ref="A939:A940"/>
    <mergeCell ref="B939:B940"/>
    <mergeCell ref="C939:C940"/>
    <mergeCell ref="D939:D940"/>
    <mergeCell ref="E939:E940"/>
    <mergeCell ref="F939:F940"/>
    <mergeCell ref="J966:J967"/>
    <mergeCell ref="K966:K967"/>
    <mergeCell ref="L966:L967"/>
    <mergeCell ref="M966:M967"/>
    <mergeCell ref="N966:N967"/>
    <mergeCell ref="A968:A969"/>
    <mergeCell ref="B968:B969"/>
    <mergeCell ref="C968:C969"/>
    <mergeCell ref="D968:D969"/>
    <mergeCell ref="E968:E969"/>
    <mergeCell ref="N964:N965"/>
    <mergeCell ref="O964:P964"/>
    <mergeCell ref="A966:A967"/>
    <mergeCell ref="B966:B967"/>
    <mergeCell ref="C966:C967"/>
    <mergeCell ref="D966:D967"/>
    <mergeCell ref="E966:E967"/>
    <mergeCell ref="F966:F967"/>
    <mergeCell ref="G966:H966"/>
    <mergeCell ref="I966:I967"/>
    <mergeCell ref="L970:L971"/>
    <mergeCell ref="M970:M971"/>
    <mergeCell ref="N970:N971"/>
    <mergeCell ref="I972:I973"/>
    <mergeCell ref="J972:J973"/>
    <mergeCell ref="K972:K973"/>
    <mergeCell ref="L972:L973"/>
    <mergeCell ref="M972:M973"/>
    <mergeCell ref="N972:N973"/>
    <mergeCell ref="N968:N969"/>
    <mergeCell ref="A970:A971"/>
    <mergeCell ref="B970:B971"/>
    <mergeCell ref="C970:C971"/>
    <mergeCell ref="D970:D971"/>
    <mergeCell ref="E970:E971"/>
    <mergeCell ref="F970:F971"/>
    <mergeCell ref="I970:I971"/>
    <mergeCell ref="J970:J971"/>
    <mergeCell ref="K970:K971"/>
    <mergeCell ref="F968:F969"/>
    <mergeCell ref="I968:I969"/>
    <mergeCell ref="J968:J969"/>
    <mergeCell ref="K968:K969"/>
    <mergeCell ref="L968:L969"/>
    <mergeCell ref="M968:M969"/>
    <mergeCell ref="I976:I977"/>
    <mergeCell ref="J976:J977"/>
    <mergeCell ref="K976:K977"/>
    <mergeCell ref="L976:L977"/>
    <mergeCell ref="M976:M977"/>
    <mergeCell ref="N976:N977"/>
    <mergeCell ref="A976:A977"/>
    <mergeCell ref="B976:B977"/>
    <mergeCell ref="C976:C977"/>
    <mergeCell ref="D976:D977"/>
    <mergeCell ref="E976:E977"/>
    <mergeCell ref="F976:F977"/>
    <mergeCell ref="I974:I975"/>
    <mergeCell ref="J974:J975"/>
    <mergeCell ref="K974:K975"/>
    <mergeCell ref="L974:L975"/>
    <mergeCell ref="M974:M975"/>
    <mergeCell ref="N974:N975"/>
    <mergeCell ref="A974:A975"/>
    <mergeCell ref="B974:B975"/>
    <mergeCell ref="C974:C975"/>
    <mergeCell ref="D974:D975"/>
    <mergeCell ref="E974:E975"/>
    <mergeCell ref="F974:F975"/>
    <mergeCell ref="I986:L986"/>
    <mergeCell ref="A988:D988"/>
    <mergeCell ref="N991:P991"/>
    <mergeCell ref="I1001:P1001"/>
    <mergeCell ref="A1003:H1003"/>
    <mergeCell ref="I1003:I1004"/>
    <mergeCell ref="J1003:J1004"/>
    <mergeCell ref="K1003:K1004"/>
    <mergeCell ref="L1003:L1004"/>
    <mergeCell ref="M1003:M1004"/>
    <mergeCell ref="I978:M978"/>
    <mergeCell ref="I979:M979"/>
    <mergeCell ref="A980:E980"/>
    <mergeCell ref="I980:M980"/>
    <mergeCell ref="A981:E981"/>
    <mergeCell ref="A982:E982"/>
    <mergeCell ref="A978:A979"/>
    <mergeCell ref="B978:B979"/>
    <mergeCell ref="C978:C979"/>
    <mergeCell ref="D978:D979"/>
    <mergeCell ref="E978:E979"/>
    <mergeCell ref="F978:F979"/>
    <mergeCell ref="J1005:J1006"/>
    <mergeCell ref="K1005:K1006"/>
    <mergeCell ref="L1005:L1006"/>
    <mergeCell ref="M1005:M1006"/>
    <mergeCell ref="N1005:N1006"/>
    <mergeCell ref="A1007:A1008"/>
    <mergeCell ref="B1007:B1008"/>
    <mergeCell ref="C1007:C1008"/>
    <mergeCell ref="D1007:D1008"/>
    <mergeCell ref="E1007:E1008"/>
    <mergeCell ref="N1003:N1004"/>
    <mergeCell ref="O1003:P1003"/>
    <mergeCell ref="A1005:A1006"/>
    <mergeCell ref="B1005:B1006"/>
    <mergeCell ref="C1005:C1006"/>
    <mergeCell ref="D1005:D1006"/>
    <mergeCell ref="E1005:E1006"/>
    <mergeCell ref="F1005:F1006"/>
    <mergeCell ref="G1005:H1005"/>
    <mergeCell ref="I1005:I1006"/>
    <mergeCell ref="N1009:N1010"/>
    <mergeCell ref="A1011:A1012"/>
    <mergeCell ref="B1011:B1012"/>
    <mergeCell ref="C1011:C1012"/>
    <mergeCell ref="D1011:D1012"/>
    <mergeCell ref="E1011:E1012"/>
    <mergeCell ref="F1011:F1012"/>
    <mergeCell ref="K1011:K1012"/>
    <mergeCell ref="L1011:L1012"/>
    <mergeCell ref="M1011:M1012"/>
    <mergeCell ref="N1007:N1008"/>
    <mergeCell ref="A1009:A1010"/>
    <mergeCell ref="B1009:B1010"/>
    <mergeCell ref="C1009:C1010"/>
    <mergeCell ref="D1009:D1010"/>
    <mergeCell ref="E1009:E1010"/>
    <mergeCell ref="F1009:F1010"/>
    <mergeCell ref="K1009:K1010"/>
    <mergeCell ref="L1009:L1010"/>
    <mergeCell ref="M1009:M1010"/>
    <mergeCell ref="F1007:F1008"/>
    <mergeCell ref="I1007:I1008"/>
    <mergeCell ref="J1007:J1008"/>
    <mergeCell ref="K1007:K1008"/>
    <mergeCell ref="L1007:L1008"/>
    <mergeCell ref="M1007:M1008"/>
    <mergeCell ref="A1017:E1017"/>
    <mergeCell ref="I1017:M1017"/>
    <mergeCell ref="A1018:E1018"/>
    <mergeCell ref="A1019:E1019"/>
    <mergeCell ref="I1023:L1023"/>
    <mergeCell ref="A1025:D1025"/>
    <mergeCell ref="N1013:N1014"/>
    <mergeCell ref="A1015:A1016"/>
    <mergeCell ref="B1015:B1016"/>
    <mergeCell ref="C1015:C1016"/>
    <mergeCell ref="D1015:D1016"/>
    <mergeCell ref="E1015:E1016"/>
    <mergeCell ref="F1015:F1016"/>
    <mergeCell ref="I1015:M1015"/>
    <mergeCell ref="I1016:M1016"/>
    <mergeCell ref="N1011:N1012"/>
    <mergeCell ref="A1013:A1014"/>
    <mergeCell ref="B1013:B1014"/>
    <mergeCell ref="C1013:C1014"/>
    <mergeCell ref="D1013:D1014"/>
    <mergeCell ref="E1013:E1014"/>
    <mergeCell ref="F1013:F1014"/>
    <mergeCell ref="K1013:K1014"/>
    <mergeCell ref="L1013:L1014"/>
    <mergeCell ref="M1013:M1014"/>
    <mergeCell ref="O1040:P1040"/>
    <mergeCell ref="A1042:A1043"/>
    <mergeCell ref="B1042:B1043"/>
    <mergeCell ref="C1042:C1043"/>
    <mergeCell ref="D1042:D1043"/>
    <mergeCell ref="E1042:E1043"/>
    <mergeCell ref="F1042:F1043"/>
    <mergeCell ref="I1042:I1043"/>
    <mergeCell ref="J1042:J1043"/>
    <mergeCell ref="K1042:K1043"/>
    <mergeCell ref="I1040:I1041"/>
    <mergeCell ref="J1040:J1041"/>
    <mergeCell ref="K1040:K1041"/>
    <mergeCell ref="L1040:L1041"/>
    <mergeCell ref="M1040:M1041"/>
    <mergeCell ref="N1040:N1041"/>
    <mergeCell ref="N1028:P1028"/>
    <mergeCell ref="A1038:H1038"/>
    <mergeCell ref="I1038:P1038"/>
    <mergeCell ref="A1040:A1041"/>
    <mergeCell ref="B1040:B1041"/>
    <mergeCell ref="C1040:C1041"/>
    <mergeCell ref="D1040:D1041"/>
    <mergeCell ref="E1040:E1041"/>
    <mergeCell ref="F1040:F1041"/>
    <mergeCell ref="G1040:H1040"/>
    <mergeCell ref="J1044:J1045"/>
    <mergeCell ref="K1044:K1045"/>
    <mergeCell ref="L1044:L1045"/>
    <mergeCell ref="M1044:M1045"/>
    <mergeCell ref="N1044:N1045"/>
    <mergeCell ref="A1046:A1047"/>
    <mergeCell ref="B1046:B1047"/>
    <mergeCell ref="C1046:C1047"/>
    <mergeCell ref="D1046:D1047"/>
    <mergeCell ref="E1046:E1047"/>
    <mergeCell ref="L1042:L1043"/>
    <mergeCell ref="M1042:M1043"/>
    <mergeCell ref="N1042:N1043"/>
    <mergeCell ref="A1044:A1045"/>
    <mergeCell ref="B1044:B1045"/>
    <mergeCell ref="C1044:C1045"/>
    <mergeCell ref="D1044:D1045"/>
    <mergeCell ref="E1044:E1045"/>
    <mergeCell ref="F1044:F1045"/>
    <mergeCell ref="I1044:I1045"/>
    <mergeCell ref="L1048:L1049"/>
    <mergeCell ref="M1048:M1049"/>
    <mergeCell ref="N1048:N1049"/>
    <mergeCell ref="A1050:A1051"/>
    <mergeCell ref="B1050:B1051"/>
    <mergeCell ref="C1050:C1051"/>
    <mergeCell ref="D1050:D1051"/>
    <mergeCell ref="E1050:E1051"/>
    <mergeCell ref="F1050:F1051"/>
    <mergeCell ref="I1050:I1051"/>
    <mergeCell ref="N1046:N1047"/>
    <mergeCell ref="A1048:A1049"/>
    <mergeCell ref="B1048:B1049"/>
    <mergeCell ref="C1048:C1049"/>
    <mergeCell ref="D1048:D1049"/>
    <mergeCell ref="E1048:E1049"/>
    <mergeCell ref="F1048:F1049"/>
    <mergeCell ref="I1048:I1049"/>
    <mergeCell ref="J1048:J1049"/>
    <mergeCell ref="K1048:K1049"/>
    <mergeCell ref="F1046:F1047"/>
    <mergeCell ref="I1046:I1047"/>
    <mergeCell ref="J1046:J1047"/>
    <mergeCell ref="K1046:K1047"/>
    <mergeCell ref="L1046:L1047"/>
    <mergeCell ref="M1046:M1047"/>
    <mergeCell ref="N1065:P1065"/>
    <mergeCell ref="A1075:H1075"/>
    <mergeCell ref="I1075:P1075"/>
    <mergeCell ref="A1077:A1078"/>
    <mergeCell ref="B1077:B1078"/>
    <mergeCell ref="C1077:C1078"/>
    <mergeCell ref="D1077:D1078"/>
    <mergeCell ref="E1077:E1078"/>
    <mergeCell ref="F1077:F1078"/>
    <mergeCell ref="G1077:H1077"/>
    <mergeCell ref="A1053:E1053"/>
    <mergeCell ref="I1053:M1053"/>
    <mergeCell ref="A1054:E1054"/>
    <mergeCell ref="I1054:M1054"/>
    <mergeCell ref="A1060:D1060"/>
    <mergeCell ref="I1060:L1060"/>
    <mergeCell ref="J1050:J1051"/>
    <mergeCell ref="K1050:K1051"/>
    <mergeCell ref="L1050:L1051"/>
    <mergeCell ref="M1050:M1051"/>
    <mergeCell ref="N1050:N1051"/>
    <mergeCell ref="A1052:E1052"/>
    <mergeCell ref="I1052:M1052"/>
    <mergeCell ref="L1079:L1080"/>
    <mergeCell ref="M1079:M1080"/>
    <mergeCell ref="N1079:N1080"/>
    <mergeCell ref="A1081:A1082"/>
    <mergeCell ref="B1081:B1082"/>
    <mergeCell ref="C1081:C1082"/>
    <mergeCell ref="D1081:D1082"/>
    <mergeCell ref="E1081:E1082"/>
    <mergeCell ref="F1081:F1082"/>
    <mergeCell ref="I1081:I1082"/>
    <mergeCell ref="O1077:P1077"/>
    <mergeCell ref="A1079:A1080"/>
    <mergeCell ref="B1079:B1080"/>
    <mergeCell ref="C1079:C1080"/>
    <mergeCell ref="D1079:D1080"/>
    <mergeCell ref="E1079:E1080"/>
    <mergeCell ref="F1079:F1080"/>
    <mergeCell ref="I1079:I1080"/>
    <mergeCell ref="J1079:J1080"/>
    <mergeCell ref="K1079:K1080"/>
    <mergeCell ref="I1077:I1078"/>
    <mergeCell ref="J1077:J1078"/>
    <mergeCell ref="K1077:K1078"/>
    <mergeCell ref="L1077:L1078"/>
    <mergeCell ref="M1077:M1078"/>
    <mergeCell ref="N1077:N1078"/>
    <mergeCell ref="N1083:N1084"/>
    <mergeCell ref="A1085:A1086"/>
    <mergeCell ref="B1085:B1086"/>
    <mergeCell ref="C1085:C1086"/>
    <mergeCell ref="D1085:D1086"/>
    <mergeCell ref="E1085:E1086"/>
    <mergeCell ref="F1085:F1086"/>
    <mergeCell ref="I1085:I1086"/>
    <mergeCell ref="J1085:J1086"/>
    <mergeCell ref="K1085:K1086"/>
    <mergeCell ref="F1083:F1084"/>
    <mergeCell ref="I1083:I1084"/>
    <mergeCell ref="J1083:J1084"/>
    <mergeCell ref="K1083:K1084"/>
    <mergeCell ref="L1083:L1084"/>
    <mergeCell ref="M1083:M1084"/>
    <mergeCell ref="J1081:J1082"/>
    <mergeCell ref="K1081:K1082"/>
    <mergeCell ref="L1081:L1082"/>
    <mergeCell ref="M1081:M1082"/>
    <mergeCell ref="N1081:N1082"/>
    <mergeCell ref="A1083:A1084"/>
    <mergeCell ref="B1083:B1084"/>
    <mergeCell ref="C1083:C1084"/>
    <mergeCell ref="D1083:D1084"/>
    <mergeCell ref="E1083:E1084"/>
    <mergeCell ref="A1090:E1090"/>
    <mergeCell ref="I1090:M1090"/>
    <mergeCell ref="A1091:E1091"/>
    <mergeCell ref="I1091:M1091"/>
    <mergeCell ref="A1097:D1097"/>
    <mergeCell ref="I1097:L1097"/>
    <mergeCell ref="J1087:J1088"/>
    <mergeCell ref="K1087:K1088"/>
    <mergeCell ref="L1087:L1088"/>
    <mergeCell ref="M1087:M1088"/>
    <mergeCell ref="N1087:N1088"/>
    <mergeCell ref="A1089:E1089"/>
    <mergeCell ref="I1089:M1089"/>
    <mergeCell ref="L1085:L1086"/>
    <mergeCell ref="M1085:M1086"/>
    <mergeCell ref="N1085:N1086"/>
    <mergeCell ref="A1087:A1088"/>
    <mergeCell ref="B1087:B1088"/>
    <mergeCell ref="C1087:C1088"/>
    <mergeCell ref="D1087:D1088"/>
    <mergeCell ref="E1087:E1088"/>
    <mergeCell ref="F1087:F1088"/>
    <mergeCell ref="I1087:I1088"/>
    <mergeCell ref="O1114:P1114"/>
    <mergeCell ref="A1116:A1117"/>
    <mergeCell ref="B1116:B1117"/>
    <mergeCell ref="C1116:C1117"/>
    <mergeCell ref="D1116:D1117"/>
    <mergeCell ref="E1116:E1117"/>
    <mergeCell ref="F1116:F1117"/>
    <mergeCell ref="I1116:I1117"/>
    <mergeCell ref="J1116:J1117"/>
    <mergeCell ref="G1114:H1114"/>
    <mergeCell ref="I1114:I1115"/>
    <mergeCell ref="J1114:J1115"/>
    <mergeCell ref="K1114:K1115"/>
    <mergeCell ref="L1114:L1115"/>
    <mergeCell ref="M1114:M1115"/>
    <mergeCell ref="N1097:P1097"/>
    <mergeCell ref="N1102:P1102"/>
    <mergeCell ref="A1112:H1112"/>
    <mergeCell ref="I1112:P1112"/>
    <mergeCell ref="A1114:A1115"/>
    <mergeCell ref="B1114:B1115"/>
    <mergeCell ref="C1114:C1115"/>
    <mergeCell ref="D1114:D1115"/>
    <mergeCell ref="E1114:E1115"/>
    <mergeCell ref="F1114:F1115"/>
    <mergeCell ref="I1118:I1119"/>
    <mergeCell ref="J1118:J1119"/>
    <mergeCell ref="K1118:K1119"/>
    <mergeCell ref="L1118:L1119"/>
    <mergeCell ref="M1118:M1119"/>
    <mergeCell ref="N1118:N1119"/>
    <mergeCell ref="K1116:K1117"/>
    <mergeCell ref="L1116:L1117"/>
    <mergeCell ref="M1116:M1117"/>
    <mergeCell ref="N1116:N1117"/>
    <mergeCell ref="A1118:A1119"/>
    <mergeCell ref="B1118:B1119"/>
    <mergeCell ref="C1118:C1119"/>
    <mergeCell ref="D1118:D1119"/>
    <mergeCell ref="E1118:E1119"/>
    <mergeCell ref="F1118:F1119"/>
    <mergeCell ref="N1114:N1115"/>
    <mergeCell ref="I1122:I1123"/>
    <mergeCell ref="J1122:J1123"/>
    <mergeCell ref="K1122:K1123"/>
    <mergeCell ref="L1122:L1123"/>
    <mergeCell ref="M1122:M1123"/>
    <mergeCell ref="N1122:N1123"/>
    <mergeCell ref="A1122:A1123"/>
    <mergeCell ref="B1122:B1123"/>
    <mergeCell ref="C1122:C1123"/>
    <mergeCell ref="D1122:D1123"/>
    <mergeCell ref="E1122:E1123"/>
    <mergeCell ref="F1122:F1123"/>
    <mergeCell ref="I1120:I1121"/>
    <mergeCell ref="J1120:J1121"/>
    <mergeCell ref="K1120:K1121"/>
    <mergeCell ref="L1120:L1121"/>
    <mergeCell ref="M1120:M1121"/>
    <mergeCell ref="N1120:N1121"/>
    <mergeCell ref="A1120:A1121"/>
    <mergeCell ref="B1120:B1121"/>
    <mergeCell ref="C1120:C1121"/>
    <mergeCell ref="D1120:D1121"/>
    <mergeCell ref="E1120:E1121"/>
    <mergeCell ref="F1120:F1121"/>
    <mergeCell ref="A1134:D1134"/>
    <mergeCell ref="I1134:L1134"/>
    <mergeCell ref="N1134:P1134"/>
    <mergeCell ref="N1138:P1138"/>
    <mergeCell ref="A1149:H1149"/>
    <mergeCell ref="I1149:P1149"/>
    <mergeCell ref="A1126:E1126"/>
    <mergeCell ref="I1126:M1126"/>
    <mergeCell ref="A1127:E1127"/>
    <mergeCell ref="I1127:M1127"/>
    <mergeCell ref="A1128:E1128"/>
    <mergeCell ref="I1128:M1128"/>
    <mergeCell ref="I1124:I1125"/>
    <mergeCell ref="J1124:J1125"/>
    <mergeCell ref="K1124:K1125"/>
    <mergeCell ref="L1124:L1125"/>
    <mergeCell ref="M1124:M1125"/>
    <mergeCell ref="N1124:N1125"/>
    <mergeCell ref="A1124:A1125"/>
    <mergeCell ref="B1124:B1125"/>
    <mergeCell ref="C1124:C1125"/>
    <mergeCell ref="D1124:D1125"/>
    <mergeCell ref="E1124:E1125"/>
    <mergeCell ref="F1124:F1125"/>
    <mergeCell ref="O1151:P1151"/>
    <mergeCell ref="A1153:A1154"/>
    <mergeCell ref="B1153:B1154"/>
    <mergeCell ref="C1153:C1154"/>
    <mergeCell ref="D1153:D1154"/>
    <mergeCell ref="E1153:E1154"/>
    <mergeCell ref="F1153:F1154"/>
    <mergeCell ref="I1153:I1154"/>
    <mergeCell ref="J1153:J1154"/>
    <mergeCell ref="G1151:H1151"/>
    <mergeCell ref="I1151:I1152"/>
    <mergeCell ref="J1151:J1152"/>
    <mergeCell ref="K1151:K1152"/>
    <mergeCell ref="L1151:L1152"/>
    <mergeCell ref="M1151:M1152"/>
    <mergeCell ref="A1151:A1152"/>
    <mergeCell ref="B1151:B1152"/>
    <mergeCell ref="C1151:C1152"/>
    <mergeCell ref="D1151:D1152"/>
    <mergeCell ref="E1151:E1152"/>
    <mergeCell ref="F1151:F1152"/>
    <mergeCell ref="I1155:I1156"/>
    <mergeCell ref="J1155:J1156"/>
    <mergeCell ref="K1155:K1156"/>
    <mergeCell ref="L1155:L1156"/>
    <mergeCell ref="M1155:M1156"/>
    <mergeCell ref="N1155:N1156"/>
    <mergeCell ref="K1153:K1154"/>
    <mergeCell ref="L1153:L1154"/>
    <mergeCell ref="M1153:M1154"/>
    <mergeCell ref="N1153:N1154"/>
    <mergeCell ref="A1155:A1156"/>
    <mergeCell ref="B1155:B1156"/>
    <mergeCell ref="C1155:C1156"/>
    <mergeCell ref="D1155:D1156"/>
    <mergeCell ref="E1155:E1156"/>
    <mergeCell ref="F1155:F1156"/>
    <mergeCell ref="N1151:N1152"/>
    <mergeCell ref="I1159:I1160"/>
    <mergeCell ref="J1159:J1160"/>
    <mergeCell ref="K1159:K1160"/>
    <mergeCell ref="L1159:L1160"/>
    <mergeCell ref="M1159:M1160"/>
    <mergeCell ref="N1159:N1160"/>
    <mergeCell ref="A1159:A1160"/>
    <mergeCell ref="B1159:B1160"/>
    <mergeCell ref="C1159:C1160"/>
    <mergeCell ref="D1159:D1160"/>
    <mergeCell ref="E1159:E1160"/>
    <mergeCell ref="F1159:F1160"/>
    <mergeCell ref="I1157:I1158"/>
    <mergeCell ref="J1157:J1158"/>
    <mergeCell ref="K1157:K1158"/>
    <mergeCell ref="L1157:L1158"/>
    <mergeCell ref="M1157:M1158"/>
    <mergeCell ref="N1157:N1158"/>
    <mergeCell ref="A1157:A1158"/>
    <mergeCell ref="B1157:B1158"/>
    <mergeCell ref="C1157:C1158"/>
    <mergeCell ref="D1157:D1158"/>
    <mergeCell ref="E1157:E1158"/>
    <mergeCell ref="F1157:F1158"/>
    <mergeCell ref="A1171:D1171"/>
    <mergeCell ref="I1171:L1171"/>
    <mergeCell ref="N1171:P1171"/>
    <mergeCell ref="N1175:P1175"/>
    <mergeCell ref="A1186:H1186"/>
    <mergeCell ref="I1186:P1186"/>
    <mergeCell ref="A1163:E1163"/>
    <mergeCell ref="I1163:M1163"/>
    <mergeCell ref="A1164:E1164"/>
    <mergeCell ref="I1164:M1164"/>
    <mergeCell ref="A1165:E1165"/>
    <mergeCell ref="I1165:M1165"/>
    <mergeCell ref="I1161:I1162"/>
    <mergeCell ref="J1161:J1162"/>
    <mergeCell ref="K1161:K1162"/>
    <mergeCell ref="L1161:L1162"/>
    <mergeCell ref="M1161:M1162"/>
    <mergeCell ref="N1161:N1162"/>
    <mergeCell ref="A1161:A1162"/>
    <mergeCell ref="B1161:B1162"/>
    <mergeCell ref="C1161:C1162"/>
    <mergeCell ref="D1161:D1162"/>
    <mergeCell ref="E1161:E1162"/>
    <mergeCell ref="F1161:F1162"/>
    <mergeCell ref="K1190:K1191"/>
    <mergeCell ref="L1190:L1191"/>
    <mergeCell ref="M1190:M1191"/>
    <mergeCell ref="N1190:N1191"/>
    <mergeCell ref="A1192:A1193"/>
    <mergeCell ref="B1192:B1193"/>
    <mergeCell ref="C1192:C1193"/>
    <mergeCell ref="D1192:D1193"/>
    <mergeCell ref="E1192:E1193"/>
    <mergeCell ref="F1192:F1193"/>
    <mergeCell ref="N1188:N1189"/>
    <mergeCell ref="O1188:P1188"/>
    <mergeCell ref="A1190:A1191"/>
    <mergeCell ref="B1190:B1191"/>
    <mergeCell ref="C1190:C1191"/>
    <mergeCell ref="D1190:D1191"/>
    <mergeCell ref="E1190:E1191"/>
    <mergeCell ref="F1190:F1191"/>
    <mergeCell ref="I1190:I1191"/>
    <mergeCell ref="J1190:J1191"/>
    <mergeCell ref="G1188:H1188"/>
    <mergeCell ref="I1188:I1189"/>
    <mergeCell ref="J1188:J1189"/>
    <mergeCell ref="K1188:K1189"/>
    <mergeCell ref="L1188:L1189"/>
    <mergeCell ref="M1188:M1189"/>
    <mergeCell ref="A1188:A1189"/>
    <mergeCell ref="B1188:B1189"/>
    <mergeCell ref="C1188:C1189"/>
    <mergeCell ref="D1188:D1189"/>
    <mergeCell ref="E1188:E1189"/>
    <mergeCell ref="F1188:F1189"/>
    <mergeCell ref="I1194:I1195"/>
    <mergeCell ref="J1194:J1195"/>
    <mergeCell ref="K1194:K1195"/>
    <mergeCell ref="L1194:L1195"/>
    <mergeCell ref="M1194:M1195"/>
    <mergeCell ref="N1194:N1195"/>
    <mergeCell ref="A1194:A1195"/>
    <mergeCell ref="B1194:B1195"/>
    <mergeCell ref="C1194:C1195"/>
    <mergeCell ref="D1194:D1195"/>
    <mergeCell ref="E1194:E1195"/>
    <mergeCell ref="F1194:F1195"/>
    <mergeCell ref="I1192:I1193"/>
    <mergeCell ref="J1192:J1193"/>
    <mergeCell ref="K1192:K1193"/>
    <mergeCell ref="L1192:L1193"/>
    <mergeCell ref="M1192:M1193"/>
    <mergeCell ref="N1192:N1193"/>
    <mergeCell ref="I1198:I1199"/>
    <mergeCell ref="J1198:J1199"/>
    <mergeCell ref="K1198:K1199"/>
    <mergeCell ref="L1198:L1199"/>
    <mergeCell ref="M1198:M1199"/>
    <mergeCell ref="N1198:N1199"/>
    <mergeCell ref="I1196:I1197"/>
    <mergeCell ref="J1196:J1197"/>
    <mergeCell ref="K1196:K1197"/>
    <mergeCell ref="L1196:L1197"/>
    <mergeCell ref="M1196:M1197"/>
    <mergeCell ref="N1196:N1197"/>
    <mergeCell ref="A1196:A1197"/>
    <mergeCell ref="B1196:B1197"/>
    <mergeCell ref="C1196:C1197"/>
    <mergeCell ref="D1196:D1197"/>
    <mergeCell ref="E1196:E1197"/>
    <mergeCell ref="F1196:F1197"/>
    <mergeCell ref="A1210:D1210"/>
    <mergeCell ref="I1210:L1210"/>
    <mergeCell ref="N1210:P1210"/>
    <mergeCell ref="N1215:P1215"/>
    <mergeCell ref="A1225:H1225"/>
    <mergeCell ref="I1225:P1225"/>
    <mergeCell ref="A1202:E1202"/>
    <mergeCell ref="I1202:M1202"/>
    <mergeCell ref="A1203:E1203"/>
    <mergeCell ref="I1203:M1203"/>
    <mergeCell ref="A1204:E1204"/>
    <mergeCell ref="I1204:M1204"/>
    <mergeCell ref="I1200:I1201"/>
    <mergeCell ref="J1200:J1201"/>
    <mergeCell ref="K1200:K1201"/>
    <mergeCell ref="L1200:L1201"/>
    <mergeCell ref="M1200:M1201"/>
    <mergeCell ref="N1200:N1201"/>
    <mergeCell ref="A1200:A1201"/>
    <mergeCell ref="B1200:B1201"/>
    <mergeCell ref="C1200:C1201"/>
    <mergeCell ref="D1200:D1201"/>
    <mergeCell ref="E1200:E1201"/>
    <mergeCell ref="F1200:F1201"/>
    <mergeCell ref="O1227:P1227"/>
    <mergeCell ref="A1229:A1230"/>
    <mergeCell ref="B1229:B1230"/>
    <mergeCell ref="C1229:C1230"/>
    <mergeCell ref="D1229:D1230"/>
    <mergeCell ref="E1229:E1230"/>
    <mergeCell ref="F1229:F1230"/>
    <mergeCell ref="I1229:I1230"/>
    <mergeCell ref="J1229:J1230"/>
    <mergeCell ref="G1227:H1227"/>
    <mergeCell ref="I1227:I1228"/>
    <mergeCell ref="J1227:J1228"/>
    <mergeCell ref="K1227:K1228"/>
    <mergeCell ref="L1227:L1228"/>
    <mergeCell ref="M1227:M1228"/>
    <mergeCell ref="A1227:A1228"/>
    <mergeCell ref="B1227:B1228"/>
    <mergeCell ref="C1227:C1228"/>
    <mergeCell ref="D1227:D1228"/>
    <mergeCell ref="E1227:E1228"/>
    <mergeCell ref="F1227:F1228"/>
    <mergeCell ref="I1231:I1232"/>
    <mergeCell ref="J1231:J1232"/>
    <mergeCell ref="K1231:K1232"/>
    <mergeCell ref="L1231:L1232"/>
    <mergeCell ref="M1231:M1232"/>
    <mergeCell ref="N1231:N1232"/>
    <mergeCell ref="K1229:K1230"/>
    <mergeCell ref="L1229:L1230"/>
    <mergeCell ref="M1229:M1230"/>
    <mergeCell ref="N1229:N1230"/>
    <mergeCell ref="A1231:A1232"/>
    <mergeCell ref="B1231:B1232"/>
    <mergeCell ref="C1231:C1232"/>
    <mergeCell ref="D1231:D1232"/>
    <mergeCell ref="E1231:E1232"/>
    <mergeCell ref="F1231:F1232"/>
    <mergeCell ref="N1227:N1228"/>
    <mergeCell ref="I1235:I1236"/>
    <mergeCell ref="J1235:J1236"/>
    <mergeCell ref="K1235:K1236"/>
    <mergeCell ref="L1235:L1236"/>
    <mergeCell ref="M1235:M1236"/>
    <mergeCell ref="N1235:N1236"/>
    <mergeCell ref="A1235:A1236"/>
    <mergeCell ref="B1235:B1236"/>
    <mergeCell ref="C1235:C1236"/>
    <mergeCell ref="D1235:D1236"/>
    <mergeCell ref="E1235:E1236"/>
    <mergeCell ref="F1235:F1236"/>
    <mergeCell ref="I1233:I1234"/>
    <mergeCell ref="J1233:J1234"/>
    <mergeCell ref="K1233:K1234"/>
    <mergeCell ref="L1233:L1234"/>
    <mergeCell ref="M1233:M1234"/>
    <mergeCell ref="N1233:N1234"/>
    <mergeCell ref="A1233:A1234"/>
    <mergeCell ref="B1233:B1234"/>
    <mergeCell ref="C1233:C1234"/>
    <mergeCell ref="D1233:D1234"/>
    <mergeCell ref="E1233:E1234"/>
    <mergeCell ref="F1233:F1234"/>
    <mergeCell ref="A1247:D1247"/>
    <mergeCell ref="I1247:L1247"/>
    <mergeCell ref="N1247:P1247"/>
    <mergeCell ref="N1251:P1251"/>
    <mergeCell ref="N1252:P1252"/>
    <mergeCell ref="A1262:H1262"/>
    <mergeCell ref="I1262:P1262"/>
    <mergeCell ref="A1239:E1239"/>
    <mergeCell ref="I1239:M1239"/>
    <mergeCell ref="A1240:E1240"/>
    <mergeCell ref="I1240:M1240"/>
    <mergeCell ref="A1241:E1241"/>
    <mergeCell ref="I1241:M1241"/>
    <mergeCell ref="I1237:I1238"/>
    <mergeCell ref="J1237:J1238"/>
    <mergeCell ref="K1237:K1238"/>
    <mergeCell ref="L1237:L1238"/>
    <mergeCell ref="M1237:M1238"/>
    <mergeCell ref="N1237:N1238"/>
    <mergeCell ref="A1237:A1238"/>
    <mergeCell ref="B1237:B1238"/>
    <mergeCell ref="C1237:C1238"/>
    <mergeCell ref="D1237:D1238"/>
    <mergeCell ref="E1237:E1238"/>
    <mergeCell ref="F1237:F1238"/>
    <mergeCell ref="O1264:P1264"/>
    <mergeCell ref="A1266:A1267"/>
    <mergeCell ref="B1266:B1267"/>
    <mergeCell ref="C1266:C1267"/>
    <mergeCell ref="D1266:D1267"/>
    <mergeCell ref="E1266:E1267"/>
    <mergeCell ref="F1266:F1267"/>
    <mergeCell ref="I1266:I1267"/>
    <mergeCell ref="J1266:J1267"/>
    <mergeCell ref="G1264:H1264"/>
    <mergeCell ref="I1264:I1265"/>
    <mergeCell ref="J1264:J1265"/>
    <mergeCell ref="K1264:K1265"/>
    <mergeCell ref="L1264:L1265"/>
    <mergeCell ref="M1264:M1265"/>
    <mergeCell ref="A1264:A1265"/>
    <mergeCell ref="B1264:B1265"/>
    <mergeCell ref="C1264:C1265"/>
    <mergeCell ref="D1264:D1265"/>
    <mergeCell ref="E1264:E1265"/>
    <mergeCell ref="F1264:F1265"/>
    <mergeCell ref="I1268:I1269"/>
    <mergeCell ref="J1268:J1269"/>
    <mergeCell ref="K1268:K1269"/>
    <mergeCell ref="L1268:L1269"/>
    <mergeCell ref="M1268:M1269"/>
    <mergeCell ref="N1268:N1269"/>
    <mergeCell ref="K1266:K1267"/>
    <mergeCell ref="L1266:L1267"/>
    <mergeCell ref="M1266:M1267"/>
    <mergeCell ref="N1266:N1267"/>
    <mergeCell ref="A1268:A1269"/>
    <mergeCell ref="B1268:B1269"/>
    <mergeCell ref="C1268:C1269"/>
    <mergeCell ref="D1268:D1269"/>
    <mergeCell ref="E1268:E1269"/>
    <mergeCell ref="F1268:F1269"/>
    <mergeCell ref="N1264:N1265"/>
    <mergeCell ref="I1272:I1273"/>
    <mergeCell ref="J1272:J1273"/>
    <mergeCell ref="K1272:K1273"/>
    <mergeCell ref="L1272:L1273"/>
    <mergeCell ref="M1272:M1273"/>
    <mergeCell ref="N1272:N1273"/>
    <mergeCell ref="A1272:A1273"/>
    <mergeCell ref="B1272:B1273"/>
    <mergeCell ref="C1272:C1273"/>
    <mergeCell ref="D1272:D1273"/>
    <mergeCell ref="E1272:E1273"/>
    <mergeCell ref="F1272:F1273"/>
    <mergeCell ref="I1270:I1271"/>
    <mergeCell ref="J1270:J1271"/>
    <mergeCell ref="K1270:K1271"/>
    <mergeCell ref="L1270:L1271"/>
    <mergeCell ref="M1270:M1271"/>
    <mergeCell ref="N1270:N1271"/>
    <mergeCell ref="A1270:A1271"/>
    <mergeCell ref="B1270:B1271"/>
    <mergeCell ref="C1270:C1271"/>
    <mergeCell ref="D1270:D1271"/>
    <mergeCell ref="E1270:E1271"/>
    <mergeCell ref="F1270:F1271"/>
    <mergeCell ref="A1284:D1284"/>
    <mergeCell ref="I1284:L1284"/>
    <mergeCell ref="N1289:P1289"/>
    <mergeCell ref="A1299:H1299"/>
    <mergeCell ref="I1299:P1299"/>
    <mergeCell ref="A1301:A1302"/>
    <mergeCell ref="B1301:B1302"/>
    <mergeCell ref="C1301:C1302"/>
    <mergeCell ref="D1301:D1302"/>
    <mergeCell ref="E1301:E1302"/>
    <mergeCell ref="A1276:E1276"/>
    <mergeCell ref="I1276:M1276"/>
    <mergeCell ref="A1277:E1277"/>
    <mergeCell ref="I1277:M1277"/>
    <mergeCell ref="A1278:E1278"/>
    <mergeCell ref="I1278:M1278"/>
    <mergeCell ref="I1274:I1275"/>
    <mergeCell ref="J1274:J1275"/>
    <mergeCell ref="K1274:K1275"/>
    <mergeCell ref="L1274:L1275"/>
    <mergeCell ref="M1274:M1275"/>
    <mergeCell ref="N1274:N1275"/>
    <mergeCell ref="A1274:A1275"/>
    <mergeCell ref="B1274:B1275"/>
    <mergeCell ref="C1274:C1275"/>
    <mergeCell ref="D1274:D1275"/>
    <mergeCell ref="E1274:E1275"/>
    <mergeCell ref="F1274:F1275"/>
    <mergeCell ref="J1303:J1304"/>
    <mergeCell ref="K1303:K1304"/>
    <mergeCell ref="L1303:L1304"/>
    <mergeCell ref="M1303:M1304"/>
    <mergeCell ref="N1303:N1304"/>
    <mergeCell ref="A1305:A1306"/>
    <mergeCell ref="B1305:B1306"/>
    <mergeCell ref="C1305:C1306"/>
    <mergeCell ref="D1305:D1306"/>
    <mergeCell ref="E1305:E1306"/>
    <mergeCell ref="M1301:M1302"/>
    <mergeCell ref="N1301:N1302"/>
    <mergeCell ref="O1301:P1301"/>
    <mergeCell ref="A1303:A1304"/>
    <mergeCell ref="B1303:B1304"/>
    <mergeCell ref="C1303:C1304"/>
    <mergeCell ref="D1303:D1304"/>
    <mergeCell ref="E1303:E1304"/>
    <mergeCell ref="F1303:F1304"/>
    <mergeCell ref="I1303:I1304"/>
    <mergeCell ref="F1301:F1302"/>
    <mergeCell ref="G1301:H1301"/>
    <mergeCell ref="I1301:I1302"/>
    <mergeCell ref="J1301:J1302"/>
    <mergeCell ref="K1301:K1302"/>
    <mergeCell ref="L1301:L1302"/>
    <mergeCell ref="L1307:L1308"/>
    <mergeCell ref="M1307:M1308"/>
    <mergeCell ref="N1307:N1308"/>
    <mergeCell ref="A1309:A1310"/>
    <mergeCell ref="B1309:B1310"/>
    <mergeCell ref="C1309:C1310"/>
    <mergeCell ref="D1309:D1310"/>
    <mergeCell ref="E1309:E1310"/>
    <mergeCell ref="F1309:F1310"/>
    <mergeCell ref="I1309:I1310"/>
    <mergeCell ref="N1305:N1306"/>
    <mergeCell ref="A1307:A1308"/>
    <mergeCell ref="B1307:B1308"/>
    <mergeCell ref="C1307:C1308"/>
    <mergeCell ref="D1307:D1308"/>
    <mergeCell ref="E1307:E1308"/>
    <mergeCell ref="F1307:F1308"/>
    <mergeCell ref="I1307:I1308"/>
    <mergeCell ref="J1307:J1308"/>
    <mergeCell ref="K1307:K1308"/>
    <mergeCell ref="F1305:F1306"/>
    <mergeCell ref="I1305:I1306"/>
    <mergeCell ref="J1305:J1306"/>
    <mergeCell ref="K1305:K1306"/>
    <mergeCell ref="L1305:L1306"/>
    <mergeCell ref="M1305:M1306"/>
    <mergeCell ref="N1311:N1312"/>
    <mergeCell ref="A1313:E1313"/>
    <mergeCell ref="I1313:M1313"/>
    <mergeCell ref="A1314:E1314"/>
    <mergeCell ref="I1314:M1314"/>
    <mergeCell ref="A1315:E1315"/>
    <mergeCell ref="I1315:M1315"/>
    <mergeCell ref="F1311:F1312"/>
    <mergeCell ref="I1311:I1312"/>
    <mergeCell ref="J1311:J1312"/>
    <mergeCell ref="K1311:K1312"/>
    <mergeCell ref="L1311:L1312"/>
    <mergeCell ref="M1311:M1312"/>
    <mergeCell ref="J1309:J1310"/>
    <mergeCell ref="K1309:K1310"/>
    <mergeCell ref="L1309:L1310"/>
    <mergeCell ref="M1309:M1310"/>
    <mergeCell ref="N1309:N1310"/>
    <mergeCell ref="A1311:A1312"/>
    <mergeCell ref="B1311:B1312"/>
    <mergeCell ref="C1311:C1312"/>
    <mergeCell ref="D1311:D1312"/>
    <mergeCell ref="E1311:E1312"/>
    <mergeCell ref="M1338:M1339"/>
    <mergeCell ref="N1338:N1339"/>
    <mergeCell ref="O1338:P1338"/>
    <mergeCell ref="A1340:A1341"/>
    <mergeCell ref="B1340:B1341"/>
    <mergeCell ref="C1340:C1341"/>
    <mergeCell ref="D1340:D1341"/>
    <mergeCell ref="E1340:E1341"/>
    <mergeCell ref="F1340:F1341"/>
    <mergeCell ref="I1340:I1341"/>
    <mergeCell ref="F1338:F1339"/>
    <mergeCell ref="G1338:H1338"/>
    <mergeCell ref="I1338:I1339"/>
    <mergeCell ref="J1338:J1339"/>
    <mergeCell ref="K1338:K1339"/>
    <mergeCell ref="L1338:L1339"/>
    <mergeCell ref="A1321:D1321"/>
    <mergeCell ref="I1321:L1321"/>
    <mergeCell ref="N1326:P1326"/>
    <mergeCell ref="A1336:H1336"/>
    <mergeCell ref="I1336:P1336"/>
    <mergeCell ref="A1338:A1339"/>
    <mergeCell ref="B1338:B1339"/>
    <mergeCell ref="C1338:C1339"/>
    <mergeCell ref="D1338:D1339"/>
    <mergeCell ref="E1338:E1339"/>
    <mergeCell ref="N1342:N1343"/>
    <mergeCell ref="A1344:A1345"/>
    <mergeCell ref="B1344:B1345"/>
    <mergeCell ref="C1344:C1345"/>
    <mergeCell ref="D1344:D1345"/>
    <mergeCell ref="E1344:E1345"/>
    <mergeCell ref="F1344:F1345"/>
    <mergeCell ref="I1344:I1345"/>
    <mergeCell ref="J1344:J1345"/>
    <mergeCell ref="K1344:K1345"/>
    <mergeCell ref="F1342:F1343"/>
    <mergeCell ref="I1342:I1343"/>
    <mergeCell ref="J1342:J1343"/>
    <mergeCell ref="K1342:K1343"/>
    <mergeCell ref="L1342:L1343"/>
    <mergeCell ref="M1342:M1343"/>
    <mergeCell ref="J1340:J1341"/>
    <mergeCell ref="K1340:K1341"/>
    <mergeCell ref="L1340:L1341"/>
    <mergeCell ref="M1340:M1341"/>
    <mergeCell ref="N1340:N1341"/>
    <mergeCell ref="A1342:A1343"/>
    <mergeCell ref="B1342:B1343"/>
    <mergeCell ref="C1342:C1343"/>
    <mergeCell ref="D1342:D1343"/>
    <mergeCell ref="E1342:E1343"/>
    <mergeCell ref="J1346:J1347"/>
    <mergeCell ref="K1346:K1347"/>
    <mergeCell ref="L1346:L1347"/>
    <mergeCell ref="M1346:M1347"/>
    <mergeCell ref="N1346:N1347"/>
    <mergeCell ref="A1348:A1349"/>
    <mergeCell ref="B1348:B1349"/>
    <mergeCell ref="C1348:C1349"/>
    <mergeCell ref="D1348:D1349"/>
    <mergeCell ref="E1348:E1349"/>
    <mergeCell ref="L1344:L1345"/>
    <mergeCell ref="M1344:M1345"/>
    <mergeCell ref="N1344:N1345"/>
    <mergeCell ref="A1346:A1347"/>
    <mergeCell ref="B1346:B1347"/>
    <mergeCell ref="C1346:C1347"/>
    <mergeCell ref="D1346:D1347"/>
    <mergeCell ref="E1346:E1347"/>
    <mergeCell ref="F1346:F1347"/>
    <mergeCell ref="I1346:I1347"/>
    <mergeCell ref="N1363:P1363"/>
    <mergeCell ref="I1373:P1373"/>
    <mergeCell ref="A1375:H1375"/>
    <mergeCell ref="I1375:I1376"/>
    <mergeCell ref="J1375:J1376"/>
    <mergeCell ref="K1375:K1376"/>
    <mergeCell ref="L1375:L1376"/>
    <mergeCell ref="M1375:M1376"/>
    <mergeCell ref="N1375:N1376"/>
    <mergeCell ref="O1375:P1375"/>
    <mergeCell ref="A1352:E1352"/>
    <mergeCell ref="I1352:M1352"/>
    <mergeCell ref="A1353:E1353"/>
    <mergeCell ref="A1354:E1354"/>
    <mergeCell ref="I1358:L1358"/>
    <mergeCell ref="A1360:D1360"/>
    <mergeCell ref="N1348:N1349"/>
    <mergeCell ref="A1350:A1351"/>
    <mergeCell ref="B1350:B1351"/>
    <mergeCell ref="C1350:C1351"/>
    <mergeCell ref="D1350:D1351"/>
    <mergeCell ref="E1350:E1351"/>
    <mergeCell ref="F1350:F1351"/>
    <mergeCell ref="I1350:M1350"/>
    <mergeCell ref="I1351:M1351"/>
    <mergeCell ref="F1348:F1349"/>
    <mergeCell ref="I1348:I1349"/>
    <mergeCell ref="J1348:J1349"/>
    <mergeCell ref="K1348:K1349"/>
    <mergeCell ref="L1348:L1349"/>
    <mergeCell ref="M1348:M1349"/>
    <mergeCell ref="L1379:L1380"/>
    <mergeCell ref="M1379:M1380"/>
    <mergeCell ref="N1379:N1380"/>
    <mergeCell ref="A1381:A1382"/>
    <mergeCell ref="B1381:B1382"/>
    <mergeCell ref="C1381:C1382"/>
    <mergeCell ref="D1381:D1382"/>
    <mergeCell ref="E1381:E1382"/>
    <mergeCell ref="F1381:F1382"/>
    <mergeCell ref="I1381:I1382"/>
    <mergeCell ref="N1377:N1378"/>
    <mergeCell ref="A1379:A1380"/>
    <mergeCell ref="B1379:B1380"/>
    <mergeCell ref="C1379:C1380"/>
    <mergeCell ref="D1379:D1380"/>
    <mergeCell ref="E1379:E1380"/>
    <mergeCell ref="F1379:F1380"/>
    <mergeCell ref="I1379:I1380"/>
    <mergeCell ref="J1379:J1380"/>
    <mergeCell ref="K1379:K1380"/>
    <mergeCell ref="G1377:H1377"/>
    <mergeCell ref="I1377:I1378"/>
    <mergeCell ref="J1377:J1378"/>
    <mergeCell ref="K1377:K1378"/>
    <mergeCell ref="L1377:L1378"/>
    <mergeCell ref="M1377:M1378"/>
    <mergeCell ref="A1377:A1378"/>
    <mergeCell ref="B1377:B1378"/>
    <mergeCell ref="C1377:C1378"/>
    <mergeCell ref="D1377:D1378"/>
    <mergeCell ref="E1377:E1378"/>
    <mergeCell ref="F1377:F1378"/>
    <mergeCell ref="N1383:N1384"/>
    <mergeCell ref="A1385:A1386"/>
    <mergeCell ref="B1385:B1386"/>
    <mergeCell ref="C1385:C1386"/>
    <mergeCell ref="D1385:D1386"/>
    <mergeCell ref="E1385:E1386"/>
    <mergeCell ref="F1385:F1386"/>
    <mergeCell ref="I1385:I1386"/>
    <mergeCell ref="J1385:J1386"/>
    <mergeCell ref="K1385:K1386"/>
    <mergeCell ref="F1383:F1384"/>
    <mergeCell ref="I1383:I1384"/>
    <mergeCell ref="J1383:J1384"/>
    <mergeCell ref="K1383:K1384"/>
    <mergeCell ref="L1383:L1384"/>
    <mergeCell ref="M1383:M1384"/>
    <mergeCell ref="J1381:J1382"/>
    <mergeCell ref="K1381:K1382"/>
    <mergeCell ref="L1381:L1382"/>
    <mergeCell ref="M1381:M1382"/>
    <mergeCell ref="N1381:N1382"/>
    <mergeCell ref="A1383:A1384"/>
    <mergeCell ref="B1383:B1384"/>
    <mergeCell ref="C1383:C1384"/>
    <mergeCell ref="D1383:D1384"/>
    <mergeCell ref="E1383:E1384"/>
    <mergeCell ref="A1397:D1397"/>
    <mergeCell ref="N1400:P1400"/>
    <mergeCell ref="I1410:P1410"/>
    <mergeCell ref="A1412:H1412"/>
    <mergeCell ref="I1412:I1413"/>
    <mergeCell ref="J1412:J1413"/>
    <mergeCell ref="K1412:K1413"/>
    <mergeCell ref="L1412:L1413"/>
    <mergeCell ref="M1412:M1413"/>
    <mergeCell ref="N1412:N1413"/>
    <mergeCell ref="I1388:M1388"/>
    <mergeCell ref="A1389:E1389"/>
    <mergeCell ref="I1389:M1389"/>
    <mergeCell ref="A1390:E1390"/>
    <mergeCell ref="A1391:E1391"/>
    <mergeCell ref="I1395:L1395"/>
    <mergeCell ref="L1385:L1386"/>
    <mergeCell ref="M1385:M1386"/>
    <mergeCell ref="N1385:N1386"/>
    <mergeCell ref="A1387:A1388"/>
    <mergeCell ref="B1387:B1388"/>
    <mergeCell ref="C1387:C1388"/>
    <mergeCell ref="D1387:D1388"/>
    <mergeCell ref="E1387:E1388"/>
    <mergeCell ref="F1387:F1388"/>
    <mergeCell ref="I1387:M1387"/>
    <mergeCell ref="K1414:K1415"/>
    <mergeCell ref="L1414:L1415"/>
    <mergeCell ref="M1414:M1415"/>
    <mergeCell ref="N1414:N1415"/>
    <mergeCell ref="A1416:A1417"/>
    <mergeCell ref="B1416:B1417"/>
    <mergeCell ref="C1416:C1417"/>
    <mergeCell ref="D1416:D1417"/>
    <mergeCell ref="E1416:E1417"/>
    <mergeCell ref="F1416:F1417"/>
    <mergeCell ref="O1412:P1412"/>
    <mergeCell ref="A1414:A1415"/>
    <mergeCell ref="B1414:B1415"/>
    <mergeCell ref="C1414:C1415"/>
    <mergeCell ref="D1414:D1415"/>
    <mergeCell ref="E1414:E1415"/>
    <mergeCell ref="F1414:F1415"/>
    <mergeCell ref="G1414:H1414"/>
    <mergeCell ref="I1414:I1415"/>
    <mergeCell ref="J1414:J1415"/>
    <mergeCell ref="I1418:I1419"/>
    <mergeCell ref="J1418:J1419"/>
    <mergeCell ref="K1418:K1419"/>
    <mergeCell ref="L1418:L1419"/>
    <mergeCell ref="M1418:M1419"/>
    <mergeCell ref="N1418:N1419"/>
    <mergeCell ref="A1418:A1419"/>
    <mergeCell ref="B1418:B1419"/>
    <mergeCell ref="C1418:C1419"/>
    <mergeCell ref="D1418:D1419"/>
    <mergeCell ref="E1418:E1419"/>
    <mergeCell ref="F1418:F1419"/>
    <mergeCell ref="I1416:I1417"/>
    <mergeCell ref="J1416:J1417"/>
    <mergeCell ref="K1416:K1417"/>
    <mergeCell ref="L1416:L1417"/>
    <mergeCell ref="M1416:M1417"/>
    <mergeCell ref="N1416:N1417"/>
    <mergeCell ref="N1422:N1423"/>
    <mergeCell ref="A1422:A1423"/>
    <mergeCell ref="B1422:B1423"/>
    <mergeCell ref="C1422:C1423"/>
    <mergeCell ref="D1422:D1423"/>
    <mergeCell ref="E1422:E1423"/>
    <mergeCell ref="F1422:F1423"/>
    <mergeCell ref="I1420:I1421"/>
    <mergeCell ref="J1420:J1421"/>
    <mergeCell ref="K1420:K1421"/>
    <mergeCell ref="L1420:L1421"/>
    <mergeCell ref="M1420:M1421"/>
    <mergeCell ref="N1420:N1421"/>
    <mergeCell ref="A1420:A1421"/>
    <mergeCell ref="B1420:B1421"/>
    <mergeCell ref="C1420:C1421"/>
    <mergeCell ref="D1420:D1421"/>
    <mergeCell ref="E1420:E1421"/>
    <mergeCell ref="F1420:F1421"/>
    <mergeCell ref="I1424:M1424"/>
    <mergeCell ref="I1425:M1425"/>
    <mergeCell ref="A1426:E1426"/>
    <mergeCell ref="I1426:M1426"/>
    <mergeCell ref="A1427:E1427"/>
    <mergeCell ref="A1428:E1428"/>
    <mergeCell ref="A1424:A1425"/>
    <mergeCell ref="B1424:B1425"/>
    <mergeCell ref="C1424:C1425"/>
    <mergeCell ref="D1424:D1425"/>
    <mergeCell ref="E1424:E1425"/>
    <mergeCell ref="F1424:F1425"/>
    <mergeCell ref="I1422:I1423"/>
    <mergeCell ref="J1422:J1423"/>
    <mergeCell ref="K1422:K1423"/>
    <mergeCell ref="L1422:L1423"/>
    <mergeCell ref="M1422:M1423"/>
    <mergeCell ref="N1449:N1450"/>
    <mergeCell ref="O1449:P1449"/>
    <mergeCell ref="A1450:A1451"/>
    <mergeCell ref="B1450:B1451"/>
    <mergeCell ref="C1450:C1451"/>
    <mergeCell ref="D1450:D1451"/>
    <mergeCell ref="E1450:E1451"/>
    <mergeCell ref="F1450:F1451"/>
    <mergeCell ref="G1450:H1450"/>
    <mergeCell ref="I1451:I1452"/>
    <mergeCell ref="I1432:L1432"/>
    <mergeCell ref="A1434:D1434"/>
    <mergeCell ref="N1437:P1437"/>
    <mergeCell ref="I1447:P1447"/>
    <mergeCell ref="A1448:H1448"/>
    <mergeCell ref="I1449:I1450"/>
    <mergeCell ref="J1449:J1450"/>
    <mergeCell ref="K1449:K1450"/>
    <mergeCell ref="L1449:L1450"/>
    <mergeCell ref="M1449:M1450"/>
    <mergeCell ref="N1453:N1454"/>
    <mergeCell ref="A1454:A1455"/>
    <mergeCell ref="B1454:B1455"/>
    <mergeCell ref="C1454:C1455"/>
    <mergeCell ref="D1454:D1455"/>
    <mergeCell ref="E1454:E1455"/>
    <mergeCell ref="F1454:F1455"/>
    <mergeCell ref="I1455:I1456"/>
    <mergeCell ref="J1455:J1456"/>
    <mergeCell ref="K1455:K1456"/>
    <mergeCell ref="F1452:F1453"/>
    <mergeCell ref="I1453:I1454"/>
    <mergeCell ref="J1453:J1454"/>
    <mergeCell ref="K1453:K1454"/>
    <mergeCell ref="L1453:L1454"/>
    <mergeCell ref="M1453:M1454"/>
    <mergeCell ref="J1451:J1452"/>
    <mergeCell ref="K1451:K1452"/>
    <mergeCell ref="L1451:L1452"/>
    <mergeCell ref="M1451:M1452"/>
    <mergeCell ref="N1451:N1452"/>
    <mergeCell ref="A1452:A1453"/>
    <mergeCell ref="B1452:B1453"/>
    <mergeCell ref="C1452:C1453"/>
    <mergeCell ref="D1452:D1453"/>
    <mergeCell ref="E1452:E1453"/>
    <mergeCell ref="J1457:J1458"/>
    <mergeCell ref="K1457:K1458"/>
    <mergeCell ref="L1457:L1458"/>
    <mergeCell ref="M1457:M1458"/>
    <mergeCell ref="N1457:N1458"/>
    <mergeCell ref="I1459:I1460"/>
    <mergeCell ref="J1459:J1460"/>
    <mergeCell ref="K1459:K1460"/>
    <mergeCell ref="L1459:L1460"/>
    <mergeCell ref="M1459:M1460"/>
    <mergeCell ref="L1455:L1456"/>
    <mergeCell ref="M1455:M1456"/>
    <mergeCell ref="N1455:N1456"/>
    <mergeCell ref="A1456:A1459"/>
    <mergeCell ref="B1456:B1459"/>
    <mergeCell ref="C1456:C1459"/>
    <mergeCell ref="D1456:D1459"/>
    <mergeCell ref="E1456:E1459"/>
    <mergeCell ref="F1456:F1459"/>
    <mergeCell ref="I1457:I1458"/>
    <mergeCell ref="L1461:L1462"/>
    <mergeCell ref="M1461:M1462"/>
    <mergeCell ref="N1461:N1462"/>
    <mergeCell ref="A1462:A1463"/>
    <mergeCell ref="B1462:B1463"/>
    <mergeCell ref="C1462:C1463"/>
    <mergeCell ref="D1462:D1463"/>
    <mergeCell ref="E1462:E1463"/>
    <mergeCell ref="F1462:F1463"/>
    <mergeCell ref="I1463:M1463"/>
    <mergeCell ref="N1459:N1460"/>
    <mergeCell ref="A1460:A1461"/>
    <mergeCell ref="B1460:B1461"/>
    <mergeCell ref="C1460:C1461"/>
    <mergeCell ref="D1460:D1461"/>
    <mergeCell ref="E1460:E1461"/>
    <mergeCell ref="F1460:F1461"/>
    <mergeCell ref="I1461:I1462"/>
    <mergeCell ref="J1461:J1462"/>
    <mergeCell ref="K1461:K1462"/>
    <mergeCell ref="I1490:I1491"/>
    <mergeCell ref="J1490:J1491"/>
    <mergeCell ref="K1490:K1491"/>
    <mergeCell ref="L1490:L1491"/>
    <mergeCell ref="M1490:M1491"/>
    <mergeCell ref="N1490:N1491"/>
    <mergeCell ref="A1472:D1472"/>
    <mergeCell ref="N1476:P1476"/>
    <mergeCell ref="I1486:P1486"/>
    <mergeCell ref="I1488:I1489"/>
    <mergeCell ref="J1488:J1489"/>
    <mergeCell ref="K1488:K1489"/>
    <mergeCell ref="L1488:L1489"/>
    <mergeCell ref="M1488:M1489"/>
    <mergeCell ref="N1488:N1489"/>
    <mergeCell ref="O1488:P1488"/>
    <mergeCell ref="A1464:E1464"/>
    <mergeCell ref="I1464:M1464"/>
    <mergeCell ref="A1465:E1465"/>
    <mergeCell ref="I1465:M1465"/>
    <mergeCell ref="A1466:E1466"/>
    <mergeCell ref="I1471:L1471"/>
    <mergeCell ref="I1496:I1497"/>
    <mergeCell ref="J1496:J1497"/>
    <mergeCell ref="K1496:K1497"/>
    <mergeCell ref="L1496:L1497"/>
    <mergeCell ref="M1496:M1497"/>
    <mergeCell ref="N1496:N1497"/>
    <mergeCell ref="I1494:I1495"/>
    <mergeCell ref="J1494:J1495"/>
    <mergeCell ref="K1494:K1495"/>
    <mergeCell ref="L1494:L1495"/>
    <mergeCell ref="M1494:M1495"/>
    <mergeCell ref="N1494:N1495"/>
    <mergeCell ref="I1492:I1493"/>
    <mergeCell ref="J1492:J1493"/>
    <mergeCell ref="K1492:K1493"/>
    <mergeCell ref="L1492:L1493"/>
    <mergeCell ref="M1492:M1493"/>
    <mergeCell ref="N1492:N1493"/>
    <mergeCell ref="I1502:M1502"/>
    <mergeCell ref="I1503:M1503"/>
    <mergeCell ref="I1504:M1504"/>
    <mergeCell ref="I1510:L1510"/>
    <mergeCell ref="N1515:P1515"/>
    <mergeCell ref="I1525:P1525"/>
    <mergeCell ref="I1500:I1501"/>
    <mergeCell ref="J1500:J1501"/>
    <mergeCell ref="K1500:K1501"/>
    <mergeCell ref="L1500:L1501"/>
    <mergeCell ref="M1500:M1501"/>
    <mergeCell ref="N1500:N1501"/>
    <mergeCell ref="I1498:I1499"/>
    <mergeCell ref="J1498:J1499"/>
    <mergeCell ref="K1498:K1499"/>
    <mergeCell ref="L1498:L1499"/>
    <mergeCell ref="M1498:M1499"/>
    <mergeCell ref="N1498:N1499"/>
    <mergeCell ref="I1533:I1534"/>
    <mergeCell ref="J1533:J1534"/>
    <mergeCell ref="K1533:K1534"/>
    <mergeCell ref="L1533:L1534"/>
    <mergeCell ref="M1533:M1534"/>
    <mergeCell ref="N1533:N1534"/>
    <mergeCell ref="I1531:I1532"/>
    <mergeCell ref="J1531:J1532"/>
    <mergeCell ref="K1531:K1532"/>
    <mergeCell ref="L1531:L1532"/>
    <mergeCell ref="M1531:M1532"/>
    <mergeCell ref="N1531:N1532"/>
    <mergeCell ref="O1527:P1527"/>
    <mergeCell ref="I1529:I1530"/>
    <mergeCell ref="J1529:J1530"/>
    <mergeCell ref="K1529:K1530"/>
    <mergeCell ref="L1529:L1530"/>
    <mergeCell ref="M1529:M1530"/>
    <mergeCell ref="N1529:N1530"/>
    <mergeCell ref="I1527:I1528"/>
    <mergeCell ref="J1527:J1528"/>
    <mergeCell ref="K1527:K1528"/>
    <mergeCell ref="L1527:L1528"/>
    <mergeCell ref="M1527:M1528"/>
    <mergeCell ref="N1527:N1528"/>
    <mergeCell ref="I1539:M1539"/>
    <mergeCell ref="I1540:M1540"/>
    <mergeCell ref="I1541:M1541"/>
    <mergeCell ref="I1547:L1547"/>
    <mergeCell ref="I1562:P1562"/>
    <mergeCell ref="I1564:I1565"/>
    <mergeCell ref="J1564:J1565"/>
    <mergeCell ref="K1564:K1565"/>
    <mergeCell ref="L1564:L1565"/>
    <mergeCell ref="M1564:M1565"/>
    <mergeCell ref="I1537:I1538"/>
    <mergeCell ref="J1537:J1538"/>
    <mergeCell ref="K1537:K1538"/>
    <mergeCell ref="L1537:L1538"/>
    <mergeCell ref="M1537:M1538"/>
    <mergeCell ref="N1537:N1538"/>
    <mergeCell ref="I1535:I1536"/>
    <mergeCell ref="J1535:J1536"/>
    <mergeCell ref="K1535:K1536"/>
    <mergeCell ref="L1535:L1536"/>
    <mergeCell ref="M1535:M1536"/>
    <mergeCell ref="N1535:N1536"/>
    <mergeCell ref="I1570:I1571"/>
    <mergeCell ref="J1570:J1571"/>
    <mergeCell ref="K1570:K1571"/>
    <mergeCell ref="L1570:L1571"/>
    <mergeCell ref="M1570:M1571"/>
    <mergeCell ref="N1570:N1571"/>
    <mergeCell ref="I1568:I1569"/>
    <mergeCell ref="J1568:J1569"/>
    <mergeCell ref="K1568:K1569"/>
    <mergeCell ref="L1568:L1569"/>
    <mergeCell ref="M1568:M1569"/>
    <mergeCell ref="N1568:N1569"/>
    <mergeCell ref="N1564:N1565"/>
    <mergeCell ref="O1564:P1564"/>
    <mergeCell ref="I1566:I1567"/>
    <mergeCell ref="J1566:J1567"/>
    <mergeCell ref="K1566:K1567"/>
    <mergeCell ref="L1566:L1567"/>
    <mergeCell ref="M1566:M1567"/>
    <mergeCell ref="N1566:N1567"/>
    <mergeCell ref="I1576:M1576"/>
    <mergeCell ref="I1577:M1577"/>
    <mergeCell ref="I1578:M1578"/>
    <mergeCell ref="I1584:L1584"/>
    <mergeCell ref="I1599:P1599"/>
    <mergeCell ref="I1601:I1602"/>
    <mergeCell ref="J1601:J1602"/>
    <mergeCell ref="K1601:K1602"/>
    <mergeCell ref="L1601:L1602"/>
    <mergeCell ref="M1601:M1602"/>
    <mergeCell ref="I1574:I1575"/>
    <mergeCell ref="J1574:J1575"/>
    <mergeCell ref="K1574:K1575"/>
    <mergeCell ref="L1574:L1575"/>
    <mergeCell ref="M1574:M1575"/>
    <mergeCell ref="N1574:N1575"/>
    <mergeCell ref="I1572:I1573"/>
    <mergeCell ref="J1572:J1573"/>
    <mergeCell ref="K1572:K1573"/>
    <mergeCell ref="L1572:L1573"/>
    <mergeCell ref="M1572:M1573"/>
    <mergeCell ref="N1572:N1573"/>
    <mergeCell ref="I1607:I1608"/>
    <mergeCell ref="J1607:J1608"/>
    <mergeCell ref="K1607:K1608"/>
    <mergeCell ref="L1607:L1608"/>
    <mergeCell ref="M1607:M1608"/>
    <mergeCell ref="N1607:N1608"/>
    <mergeCell ref="I1605:I1606"/>
    <mergeCell ref="J1605:J1606"/>
    <mergeCell ref="K1605:K1606"/>
    <mergeCell ref="L1605:L1606"/>
    <mergeCell ref="M1605:M1606"/>
    <mergeCell ref="N1605:N1606"/>
    <mergeCell ref="N1601:N1602"/>
    <mergeCell ref="O1601:P1601"/>
    <mergeCell ref="I1603:I1604"/>
    <mergeCell ref="J1603:J1604"/>
    <mergeCell ref="K1603:K1604"/>
    <mergeCell ref="L1603:L1604"/>
    <mergeCell ref="M1603:M1604"/>
    <mergeCell ref="N1603:N1604"/>
    <mergeCell ref="I1613:M1613"/>
    <mergeCell ref="I1614:M1614"/>
    <mergeCell ref="I1615:M1615"/>
    <mergeCell ref="I1621:L1621"/>
    <mergeCell ref="I1636:P1636"/>
    <mergeCell ref="I1638:I1639"/>
    <mergeCell ref="J1638:J1639"/>
    <mergeCell ref="K1638:K1639"/>
    <mergeCell ref="L1638:L1639"/>
    <mergeCell ref="M1638:M1639"/>
    <mergeCell ref="I1611:I1612"/>
    <mergeCell ref="J1611:J1612"/>
    <mergeCell ref="K1611:K1612"/>
    <mergeCell ref="L1611:L1612"/>
    <mergeCell ref="M1611:M1612"/>
    <mergeCell ref="N1611:N1612"/>
    <mergeCell ref="I1609:I1610"/>
    <mergeCell ref="J1609:J1610"/>
    <mergeCell ref="K1609:K1610"/>
    <mergeCell ref="L1609:L1610"/>
    <mergeCell ref="M1609:M1610"/>
    <mergeCell ref="N1609:N1610"/>
    <mergeCell ref="I1644:I1645"/>
    <mergeCell ref="J1644:J1645"/>
    <mergeCell ref="K1644:K1645"/>
    <mergeCell ref="L1644:L1645"/>
    <mergeCell ref="M1644:M1645"/>
    <mergeCell ref="N1644:N1645"/>
    <mergeCell ref="I1642:I1643"/>
    <mergeCell ref="J1642:J1643"/>
    <mergeCell ref="K1642:K1643"/>
    <mergeCell ref="L1642:L1643"/>
    <mergeCell ref="M1642:M1643"/>
    <mergeCell ref="N1642:N1643"/>
    <mergeCell ref="N1638:N1639"/>
    <mergeCell ref="O1638:P1638"/>
    <mergeCell ref="I1640:I1641"/>
    <mergeCell ref="J1640:J1641"/>
    <mergeCell ref="K1640:K1641"/>
    <mergeCell ref="L1640:L1641"/>
    <mergeCell ref="M1640:M1641"/>
    <mergeCell ref="N1640:N1641"/>
    <mergeCell ref="I1650:M1650"/>
    <mergeCell ref="I1651:M1651"/>
    <mergeCell ref="I1652:M1652"/>
    <mergeCell ref="I1658:L1658"/>
    <mergeCell ref="I1673:P1673"/>
    <mergeCell ref="I1675:I1676"/>
    <mergeCell ref="J1675:J1676"/>
    <mergeCell ref="K1675:K1676"/>
    <mergeCell ref="L1675:L1676"/>
    <mergeCell ref="M1675:M1676"/>
    <mergeCell ref="I1648:I1649"/>
    <mergeCell ref="J1648:J1649"/>
    <mergeCell ref="K1648:K1649"/>
    <mergeCell ref="L1648:L1649"/>
    <mergeCell ref="M1648:M1649"/>
    <mergeCell ref="N1648:N1649"/>
    <mergeCell ref="I1646:I1647"/>
    <mergeCell ref="J1646:J1647"/>
    <mergeCell ref="K1646:K1647"/>
    <mergeCell ref="L1646:L1647"/>
    <mergeCell ref="M1646:M1647"/>
    <mergeCell ref="N1646:N1647"/>
    <mergeCell ref="I1681:I1682"/>
    <mergeCell ref="J1681:J1682"/>
    <mergeCell ref="K1681:K1682"/>
    <mergeCell ref="L1681:L1682"/>
    <mergeCell ref="M1681:M1682"/>
    <mergeCell ref="N1681:N1682"/>
    <mergeCell ref="I1679:I1680"/>
    <mergeCell ref="J1679:J1680"/>
    <mergeCell ref="K1679:K1680"/>
    <mergeCell ref="L1679:L1680"/>
    <mergeCell ref="M1679:M1680"/>
    <mergeCell ref="N1679:N1680"/>
    <mergeCell ref="N1675:N1676"/>
    <mergeCell ref="O1675:P1675"/>
    <mergeCell ref="I1677:I1678"/>
    <mergeCell ref="J1677:J1678"/>
    <mergeCell ref="K1677:K1678"/>
    <mergeCell ref="L1677:L1678"/>
    <mergeCell ref="M1677:M1678"/>
    <mergeCell ref="N1677:N1678"/>
    <mergeCell ref="I1687:M1687"/>
    <mergeCell ref="I1688:M1688"/>
    <mergeCell ref="I1689:M1689"/>
    <mergeCell ref="I1695:L1695"/>
    <mergeCell ref="I1710:P1710"/>
    <mergeCell ref="I1712:I1713"/>
    <mergeCell ref="J1712:J1713"/>
    <mergeCell ref="K1712:K1713"/>
    <mergeCell ref="L1712:L1713"/>
    <mergeCell ref="M1712:M1713"/>
    <mergeCell ref="I1685:I1686"/>
    <mergeCell ref="J1685:J1686"/>
    <mergeCell ref="K1685:K1686"/>
    <mergeCell ref="L1685:L1686"/>
    <mergeCell ref="M1685:M1686"/>
    <mergeCell ref="N1685:N1686"/>
    <mergeCell ref="I1683:I1684"/>
    <mergeCell ref="J1683:J1684"/>
    <mergeCell ref="K1683:K1684"/>
    <mergeCell ref="L1683:L1684"/>
    <mergeCell ref="M1683:M1684"/>
    <mergeCell ref="N1683:N1684"/>
    <mergeCell ref="I1718:I1719"/>
    <mergeCell ref="J1718:J1719"/>
    <mergeCell ref="K1718:K1719"/>
    <mergeCell ref="L1718:L1719"/>
    <mergeCell ref="M1718:M1719"/>
    <mergeCell ref="N1718:N1719"/>
    <mergeCell ref="I1716:I1717"/>
    <mergeCell ref="J1716:J1717"/>
    <mergeCell ref="K1716:K1717"/>
    <mergeCell ref="L1716:L1717"/>
    <mergeCell ref="M1716:M1717"/>
    <mergeCell ref="N1716:N1717"/>
    <mergeCell ref="N1712:N1713"/>
    <mergeCell ref="O1712:P1712"/>
    <mergeCell ref="I1714:I1715"/>
    <mergeCell ref="J1714:J1715"/>
    <mergeCell ref="K1714:K1715"/>
    <mergeCell ref="L1714:L1715"/>
    <mergeCell ref="M1714:M1715"/>
    <mergeCell ref="N1714:N1715"/>
    <mergeCell ref="I1724:I1725"/>
    <mergeCell ref="J1724:J1725"/>
    <mergeCell ref="K1724:K1725"/>
    <mergeCell ref="L1724:L1725"/>
    <mergeCell ref="M1724:M1725"/>
    <mergeCell ref="N1724:N1725"/>
    <mergeCell ref="I1722:I1723"/>
    <mergeCell ref="J1722:J1723"/>
    <mergeCell ref="K1722:K1723"/>
    <mergeCell ref="L1722:L1723"/>
    <mergeCell ref="M1722:M1723"/>
    <mergeCell ref="N1722:N1723"/>
    <mergeCell ref="I1720:I1721"/>
    <mergeCell ref="J1720:J1721"/>
    <mergeCell ref="K1720:K1721"/>
    <mergeCell ref="L1720:L1721"/>
    <mergeCell ref="M1720:M1721"/>
    <mergeCell ref="N1720:N1721"/>
    <mergeCell ref="I1755:I1756"/>
    <mergeCell ref="J1755:J1756"/>
    <mergeCell ref="K1755:K1756"/>
    <mergeCell ref="L1755:L1756"/>
    <mergeCell ref="M1755:M1756"/>
    <mergeCell ref="N1755:N1756"/>
    <mergeCell ref="N1751:N1752"/>
    <mergeCell ref="O1751:P1751"/>
    <mergeCell ref="I1753:I1754"/>
    <mergeCell ref="J1753:J1754"/>
    <mergeCell ref="K1753:K1754"/>
    <mergeCell ref="L1753:L1754"/>
    <mergeCell ref="M1753:M1754"/>
    <mergeCell ref="N1753:N1754"/>
    <mergeCell ref="I1726:M1726"/>
    <mergeCell ref="I1727:M1727"/>
    <mergeCell ref="I1728:M1728"/>
    <mergeCell ref="I1734:L1734"/>
    <mergeCell ref="I1749:P1749"/>
    <mergeCell ref="I1751:I1752"/>
    <mergeCell ref="J1751:J1752"/>
    <mergeCell ref="K1751:K1752"/>
    <mergeCell ref="L1751:L1752"/>
    <mergeCell ref="M1751:M1752"/>
    <mergeCell ref="I1761:I1762"/>
    <mergeCell ref="J1761:J1762"/>
    <mergeCell ref="K1761:K1762"/>
    <mergeCell ref="L1761:L1762"/>
    <mergeCell ref="M1761:M1762"/>
    <mergeCell ref="N1761:N1762"/>
    <mergeCell ref="I1759:I1760"/>
    <mergeCell ref="J1759:J1760"/>
    <mergeCell ref="K1759:K1760"/>
    <mergeCell ref="L1759:L1760"/>
    <mergeCell ref="M1759:M1760"/>
    <mergeCell ref="N1759:N1760"/>
    <mergeCell ref="I1757:I1758"/>
    <mergeCell ref="J1757:J1758"/>
    <mergeCell ref="K1757:K1758"/>
    <mergeCell ref="L1757:L1758"/>
    <mergeCell ref="M1757:M1758"/>
    <mergeCell ref="N1757:N1758"/>
    <mergeCell ref="I1792:I1793"/>
    <mergeCell ref="J1792:J1793"/>
    <mergeCell ref="K1792:K1793"/>
    <mergeCell ref="L1792:L1793"/>
    <mergeCell ref="M1792:M1793"/>
    <mergeCell ref="N1792:N1793"/>
    <mergeCell ref="N1788:N1789"/>
    <mergeCell ref="O1788:P1788"/>
    <mergeCell ref="I1790:I1791"/>
    <mergeCell ref="J1790:J1791"/>
    <mergeCell ref="K1790:K1791"/>
    <mergeCell ref="L1790:L1791"/>
    <mergeCell ref="M1790:M1791"/>
    <mergeCell ref="N1790:N1791"/>
    <mergeCell ref="I1763:M1763"/>
    <mergeCell ref="I1764:M1764"/>
    <mergeCell ref="I1765:M1765"/>
    <mergeCell ref="I1771:L1771"/>
    <mergeCell ref="I1786:P1786"/>
    <mergeCell ref="I1788:I1789"/>
    <mergeCell ref="J1788:J1789"/>
    <mergeCell ref="K1788:K1789"/>
    <mergeCell ref="L1788:L1789"/>
    <mergeCell ref="M1788:M1789"/>
    <mergeCell ref="I1798:I1799"/>
    <mergeCell ref="J1798:J1799"/>
    <mergeCell ref="K1798:K1799"/>
    <mergeCell ref="L1798:L1799"/>
    <mergeCell ref="M1798:M1799"/>
    <mergeCell ref="N1798:N1799"/>
    <mergeCell ref="I1796:I1797"/>
    <mergeCell ref="J1796:J1797"/>
    <mergeCell ref="K1796:K1797"/>
    <mergeCell ref="L1796:L1797"/>
    <mergeCell ref="M1796:M1797"/>
    <mergeCell ref="N1796:N1797"/>
    <mergeCell ref="I1794:I1795"/>
    <mergeCell ref="J1794:J1795"/>
    <mergeCell ref="K1794:K1795"/>
    <mergeCell ref="L1794:L1795"/>
    <mergeCell ref="M1794:M1795"/>
    <mergeCell ref="N1794:N1795"/>
    <mergeCell ref="I1829:I1830"/>
    <mergeCell ref="J1829:J1830"/>
    <mergeCell ref="K1829:K1830"/>
    <mergeCell ref="L1829:L1830"/>
    <mergeCell ref="M1829:M1830"/>
    <mergeCell ref="N1829:N1830"/>
    <mergeCell ref="N1825:N1826"/>
    <mergeCell ref="O1825:P1825"/>
    <mergeCell ref="I1827:I1828"/>
    <mergeCell ref="J1827:J1828"/>
    <mergeCell ref="K1827:K1828"/>
    <mergeCell ref="L1827:L1828"/>
    <mergeCell ref="M1827:M1828"/>
    <mergeCell ref="N1827:N1828"/>
    <mergeCell ref="I1800:M1800"/>
    <mergeCell ref="I1801:M1801"/>
    <mergeCell ref="I1802:M1802"/>
    <mergeCell ref="I1808:L1808"/>
    <mergeCell ref="I1823:P1823"/>
    <mergeCell ref="I1825:I1826"/>
    <mergeCell ref="J1825:J1826"/>
    <mergeCell ref="K1825:K1826"/>
    <mergeCell ref="L1825:L1826"/>
    <mergeCell ref="M1825:M1826"/>
    <mergeCell ref="I1835:I1836"/>
    <mergeCell ref="J1835:J1836"/>
    <mergeCell ref="K1835:K1836"/>
    <mergeCell ref="L1835:L1836"/>
    <mergeCell ref="M1835:M1836"/>
    <mergeCell ref="N1835:N1836"/>
    <mergeCell ref="I1833:I1834"/>
    <mergeCell ref="J1833:J1834"/>
    <mergeCell ref="K1833:K1834"/>
    <mergeCell ref="L1833:L1834"/>
    <mergeCell ref="M1833:M1834"/>
    <mergeCell ref="N1833:N1834"/>
    <mergeCell ref="I1831:I1832"/>
    <mergeCell ref="J1831:J1832"/>
    <mergeCell ref="K1831:K1832"/>
    <mergeCell ref="L1831:L1832"/>
    <mergeCell ref="M1831:M1832"/>
    <mergeCell ref="N1831:N1832"/>
    <mergeCell ref="I1866:I1867"/>
    <mergeCell ref="J1866:J1867"/>
    <mergeCell ref="K1866:K1867"/>
    <mergeCell ref="L1866:L1867"/>
    <mergeCell ref="M1866:M1867"/>
    <mergeCell ref="N1866:N1867"/>
    <mergeCell ref="N1862:N1863"/>
    <mergeCell ref="O1862:P1862"/>
    <mergeCell ref="I1864:I1865"/>
    <mergeCell ref="J1864:J1865"/>
    <mergeCell ref="K1864:K1865"/>
    <mergeCell ref="L1864:L1865"/>
    <mergeCell ref="M1864:M1865"/>
    <mergeCell ref="N1864:N1865"/>
    <mergeCell ref="I1837:M1837"/>
    <mergeCell ref="I1838:M1838"/>
    <mergeCell ref="I1839:M1839"/>
    <mergeCell ref="I1845:L1845"/>
    <mergeCell ref="I1860:P1860"/>
    <mergeCell ref="I1862:I1863"/>
    <mergeCell ref="J1862:J1863"/>
    <mergeCell ref="K1862:K1863"/>
    <mergeCell ref="L1862:L1863"/>
    <mergeCell ref="M1862:M1863"/>
    <mergeCell ref="I1872:I1873"/>
    <mergeCell ref="J1872:J1873"/>
    <mergeCell ref="K1872:K1873"/>
    <mergeCell ref="L1872:L1873"/>
    <mergeCell ref="M1872:M1873"/>
    <mergeCell ref="N1872:N1873"/>
    <mergeCell ref="I1870:I1871"/>
    <mergeCell ref="J1870:J1871"/>
    <mergeCell ref="K1870:K1871"/>
    <mergeCell ref="L1870:L1871"/>
    <mergeCell ref="M1870:M1871"/>
    <mergeCell ref="N1870:N1871"/>
    <mergeCell ref="I1868:I1869"/>
    <mergeCell ref="J1868:J1869"/>
    <mergeCell ref="K1868:K1869"/>
    <mergeCell ref="L1868:L1869"/>
    <mergeCell ref="M1868:M1869"/>
    <mergeCell ref="N1868:N1869"/>
    <mergeCell ref="I1903:I1904"/>
    <mergeCell ref="J1903:J1904"/>
    <mergeCell ref="K1903:K1904"/>
    <mergeCell ref="L1903:L1904"/>
    <mergeCell ref="M1903:M1904"/>
    <mergeCell ref="N1903:N1904"/>
    <mergeCell ref="N1899:N1900"/>
    <mergeCell ref="O1899:P1899"/>
    <mergeCell ref="I1901:I1902"/>
    <mergeCell ref="J1901:J1902"/>
    <mergeCell ref="K1901:K1902"/>
    <mergeCell ref="L1901:L1902"/>
    <mergeCell ref="M1901:M1902"/>
    <mergeCell ref="N1901:N1902"/>
    <mergeCell ref="I1874:M1874"/>
    <mergeCell ref="I1875:M1875"/>
    <mergeCell ref="I1876:M1876"/>
    <mergeCell ref="I1882:L1882"/>
    <mergeCell ref="I1897:P1897"/>
    <mergeCell ref="I1899:I1900"/>
    <mergeCell ref="J1899:J1900"/>
    <mergeCell ref="K1899:K1900"/>
    <mergeCell ref="L1899:L1900"/>
    <mergeCell ref="M1899:M1900"/>
    <mergeCell ref="I1909:I1910"/>
    <mergeCell ref="J1909:J1910"/>
    <mergeCell ref="K1909:K1910"/>
    <mergeCell ref="L1909:L1910"/>
    <mergeCell ref="M1909:M1910"/>
    <mergeCell ref="N1909:N1910"/>
    <mergeCell ref="I1907:I1908"/>
    <mergeCell ref="J1907:J1908"/>
    <mergeCell ref="K1907:K1908"/>
    <mergeCell ref="L1907:L1908"/>
    <mergeCell ref="M1907:M1908"/>
    <mergeCell ref="N1907:N1908"/>
    <mergeCell ref="I1905:I1906"/>
    <mergeCell ref="J1905:J1906"/>
    <mergeCell ref="K1905:K1906"/>
    <mergeCell ref="L1905:L1906"/>
    <mergeCell ref="M1905:M1906"/>
    <mergeCell ref="N1905:N1906"/>
    <mergeCell ref="I1940:I1941"/>
    <mergeCell ref="J1940:J1941"/>
    <mergeCell ref="K1940:K1941"/>
    <mergeCell ref="L1940:L1941"/>
    <mergeCell ref="M1940:M1941"/>
    <mergeCell ref="N1940:N1941"/>
    <mergeCell ref="N1936:N1937"/>
    <mergeCell ref="O1936:P1936"/>
    <mergeCell ref="I1938:I1939"/>
    <mergeCell ref="J1938:J1939"/>
    <mergeCell ref="K1938:K1939"/>
    <mergeCell ref="L1938:L1939"/>
    <mergeCell ref="M1938:M1939"/>
    <mergeCell ref="N1938:N1939"/>
    <mergeCell ref="I1911:M1911"/>
    <mergeCell ref="I1912:M1912"/>
    <mergeCell ref="I1913:M1913"/>
    <mergeCell ref="I1919:L1919"/>
    <mergeCell ref="I1934:P1934"/>
    <mergeCell ref="I1936:I1937"/>
    <mergeCell ref="J1936:J1937"/>
    <mergeCell ref="K1936:K1937"/>
    <mergeCell ref="L1936:L1937"/>
    <mergeCell ref="M1936:M1937"/>
    <mergeCell ref="I1946:I1947"/>
    <mergeCell ref="J1946:J1947"/>
    <mergeCell ref="K1946:K1947"/>
    <mergeCell ref="L1946:L1947"/>
    <mergeCell ref="M1946:M1947"/>
    <mergeCell ref="N1946:N1947"/>
    <mergeCell ref="I1944:I1945"/>
    <mergeCell ref="J1944:J1945"/>
    <mergeCell ref="K1944:K1945"/>
    <mergeCell ref="L1944:L1945"/>
    <mergeCell ref="M1944:M1945"/>
    <mergeCell ref="N1944:N1945"/>
    <mergeCell ref="I1942:I1943"/>
    <mergeCell ref="J1942:J1943"/>
    <mergeCell ref="K1942:K1943"/>
    <mergeCell ref="L1942:L1943"/>
    <mergeCell ref="M1942:M1943"/>
    <mergeCell ref="N1942:N1943"/>
    <mergeCell ref="I1977:I1978"/>
    <mergeCell ref="J1977:J1978"/>
    <mergeCell ref="K1977:K1978"/>
    <mergeCell ref="L1977:L1978"/>
    <mergeCell ref="M1977:M1978"/>
    <mergeCell ref="N1977:N1978"/>
    <mergeCell ref="N1973:N1974"/>
    <mergeCell ref="O1973:P1973"/>
    <mergeCell ref="I1975:I1976"/>
    <mergeCell ref="J1975:J1976"/>
    <mergeCell ref="K1975:K1976"/>
    <mergeCell ref="L1975:L1976"/>
    <mergeCell ref="M1975:M1976"/>
    <mergeCell ref="N1975:N1976"/>
    <mergeCell ref="I1948:M1948"/>
    <mergeCell ref="I1949:M1949"/>
    <mergeCell ref="I1950:M1950"/>
    <mergeCell ref="I1956:L1956"/>
    <mergeCell ref="I1971:P1971"/>
    <mergeCell ref="I1973:I1974"/>
    <mergeCell ref="J1973:J1974"/>
    <mergeCell ref="K1973:K1974"/>
    <mergeCell ref="L1973:L1974"/>
    <mergeCell ref="M1973:M1974"/>
    <mergeCell ref="I1983:I1984"/>
    <mergeCell ref="J1983:J1984"/>
    <mergeCell ref="K1983:K1984"/>
    <mergeCell ref="L1983:L1984"/>
    <mergeCell ref="M1983:M1984"/>
    <mergeCell ref="N1983:N1984"/>
    <mergeCell ref="I1981:I1982"/>
    <mergeCell ref="J1981:J1982"/>
    <mergeCell ref="K1981:K1982"/>
    <mergeCell ref="L1981:L1982"/>
    <mergeCell ref="M1981:M1982"/>
    <mergeCell ref="N1981:N1982"/>
    <mergeCell ref="I1979:I1980"/>
    <mergeCell ref="J1979:J1980"/>
    <mergeCell ref="K1979:K1980"/>
    <mergeCell ref="L1979:L1980"/>
    <mergeCell ref="M1979:M1980"/>
    <mergeCell ref="N1979:N1980"/>
    <mergeCell ref="I2014:I2015"/>
    <mergeCell ref="J2014:J2015"/>
    <mergeCell ref="K2014:K2015"/>
    <mergeCell ref="L2014:L2015"/>
    <mergeCell ref="M2014:M2015"/>
    <mergeCell ref="N2014:N2015"/>
    <mergeCell ref="N2010:N2011"/>
    <mergeCell ref="O2010:P2010"/>
    <mergeCell ref="I2012:I2013"/>
    <mergeCell ref="J2012:J2013"/>
    <mergeCell ref="K2012:K2013"/>
    <mergeCell ref="L2012:L2013"/>
    <mergeCell ref="M2012:M2013"/>
    <mergeCell ref="N2012:N2013"/>
    <mergeCell ref="I1985:M1985"/>
    <mergeCell ref="I1986:M1986"/>
    <mergeCell ref="I1987:M1987"/>
    <mergeCell ref="I1993:L1993"/>
    <mergeCell ref="I2008:P2008"/>
    <mergeCell ref="I2010:I2011"/>
    <mergeCell ref="J2010:J2011"/>
    <mergeCell ref="K2010:K2011"/>
    <mergeCell ref="L2010:L2011"/>
    <mergeCell ref="M2010:M2011"/>
    <mergeCell ref="I2020:I2021"/>
    <mergeCell ref="J2020:J2021"/>
    <mergeCell ref="K2020:K2021"/>
    <mergeCell ref="L2020:L2021"/>
    <mergeCell ref="M2020:M2021"/>
    <mergeCell ref="N2020:N2021"/>
    <mergeCell ref="I2018:I2019"/>
    <mergeCell ref="J2018:J2019"/>
    <mergeCell ref="K2018:K2019"/>
    <mergeCell ref="L2018:L2019"/>
    <mergeCell ref="M2018:M2019"/>
    <mergeCell ref="N2018:N2019"/>
    <mergeCell ref="I2016:I2017"/>
    <mergeCell ref="J2016:J2017"/>
    <mergeCell ref="K2016:K2017"/>
    <mergeCell ref="L2016:L2017"/>
    <mergeCell ref="M2016:M2017"/>
    <mergeCell ref="N2016:N2017"/>
    <mergeCell ref="I2051:I2052"/>
    <mergeCell ref="J2051:J2052"/>
    <mergeCell ref="K2051:K2052"/>
    <mergeCell ref="L2051:L2052"/>
    <mergeCell ref="M2051:M2052"/>
    <mergeCell ref="N2051:N2052"/>
    <mergeCell ref="N2047:N2048"/>
    <mergeCell ref="O2047:P2047"/>
    <mergeCell ref="I2049:I2050"/>
    <mergeCell ref="J2049:J2050"/>
    <mergeCell ref="K2049:K2050"/>
    <mergeCell ref="L2049:L2050"/>
    <mergeCell ref="M2049:M2050"/>
    <mergeCell ref="N2049:N2050"/>
    <mergeCell ref="I2022:M2022"/>
    <mergeCell ref="I2023:M2023"/>
    <mergeCell ref="I2024:M2024"/>
    <mergeCell ref="I2030:L2030"/>
    <mergeCell ref="I2045:P2045"/>
    <mergeCell ref="I2047:I2048"/>
    <mergeCell ref="J2047:J2048"/>
    <mergeCell ref="K2047:K2048"/>
    <mergeCell ref="L2047:L2048"/>
    <mergeCell ref="M2047:M2048"/>
    <mergeCell ref="I2057:I2058"/>
    <mergeCell ref="J2057:J2058"/>
    <mergeCell ref="K2057:K2058"/>
    <mergeCell ref="L2057:L2058"/>
    <mergeCell ref="M2057:M2058"/>
    <mergeCell ref="N2057:N2058"/>
    <mergeCell ref="I2055:I2056"/>
    <mergeCell ref="J2055:J2056"/>
    <mergeCell ref="K2055:K2056"/>
    <mergeCell ref="L2055:L2056"/>
    <mergeCell ref="M2055:M2056"/>
    <mergeCell ref="N2055:N2056"/>
    <mergeCell ref="I2053:I2054"/>
    <mergeCell ref="J2053:J2054"/>
    <mergeCell ref="K2053:K2054"/>
    <mergeCell ref="L2053:L2054"/>
    <mergeCell ref="M2053:M2054"/>
    <mergeCell ref="N2053:N2054"/>
    <mergeCell ref="I2088:I2089"/>
    <mergeCell ref="J2088:J2089"/>
    <mergeCell ref="K2088:K2089"/>
    <mergeCell ref="L2088:L2089"/>
    <mergeCell ref="M2088:M2089"/>
    <mergeCell ref="N2088:N2089"/>
    <mergeCell ref="N2084:N2085"/>
    <mergeCell ref="O2084:P2084"/>
    <mergeCell ref="I2086:I2087"/>
    <mergeCell ref="J2086:J2087"/>
    <mergeCell ref="K2086:K2087"/>
    <mergeCell ref="L2086:L2087"/>
    <mergeCell ref="M2086:M2087"/>
    <mergeCell ref="N2086:N2087"/>
    <mergeCell ref="I2059:M2059"/>
    <mergeCell ref="I2060:M2060"/>
    <mergeCell ref="I2061:M2061"/>
    <mergeCell ref="I2067:L2067"/>
    <mergeCell ref="I2082:P2082"/>
    <mergeCell ref="I2084:I2085"/>
    <mergeCell ref="J2084:J2085"/>
    <mergeCell ref="K2084:K2085"/>
    <mergeCell ref="L2084:L2085"/>
    <mergeCell ref="M2084:M2085"/>
    <mergeCell ref="I2094:I2095"/>
    <mergeCell ref="J2094:J2095"/>
    <mergeCell ref="K2094:K2095"/>
    <mergeCell ref="L2094:L2095"/>
    <mergeCell ref="M2094:M2095"/>
    <mergeCell ref="N2094:N2095"/>
    <mergeCell ref="I2092:I2093"/>
    <mergeCell ref="J2092:J2093"/>
    <mergeCell ref="K2092:K2093"/>
    <mergeCell ref="L2092:L2093"/>
    <mergeCell ref="M2092:M2093"/>
    <mergeCell ref="N2092:N2093"/>
    <mergeCell ref="I2090:I2091"/>
    <mergeCell ref="J2090:J2091"/>
    <mergeCell ref="K2090:K2091"/>
    <mergeCell ref="L2090:L2091"/>
    <mergeCell ref="M2090:M2091"/>
    <mergeCell ref="N2090:N2091"/>
    <mergeCell ref="I2125:I2126"/>
    <mergeCell ref="J2125:J2126"/>
    <mergeCell ref="K2125:K2126"/>
    <mergeCell ref="L2125:L2126"/>
    <mergeCell ref="M2125:M2126"/>
    <mergeCell ref="N2125:N2126"/>
    <mergeCell ref="N2121:N2122"/>
    <mergeCell ref="O2121:P2121"/>
    <mergeCell ref="I2123:I2124"/>
    <mergeCell ref="J2123:J2124"/>
    <mergeCell ref="K2123:K2124"/>
    <mergeCell ref="L2123:L2124"/>
    <mergeCell ref="M2123:M2124"/>
    <mergeCell ref="N2123:N2124"/>
    <mergeCell ref="I2096:M2096"/>
    <mergeCell ref="I2097:M2097"/>
    <mergeCell ref="I2098:M2098"/>
    <mergeCell ref="I2104:L2104"/>
    <mergeCell ref="I2119:P2119"/>
    <mergeCell ref="I2121:I2122"/>
    <mergeCell ref="J2121:J2122"/>
    <mergeCell ref="K2121:K2122"/>
    <mergeCell ref="L2121:L2122"/>
    <mergeCell ref="M2121:M2122"/>
    <mergeCell ref="I2131:I2132"/>
    <mergeCell ref="J2131:J2132"/>
    <mergeCell ref="K2131:K2132"/>
    <mergeCell ref="L2131:L2132"/>
    <mergeCell ref="M2131:M2132"/>
    <mergeCell ref="N2131:N2132"/>
    <mergeCell ref="I2129:I2130"/>
    <mergeCell ref="J2129:J2130"/>
    <mergeCell ref="K2129:K2130"/>
    <mergeCell ref="L2129:L2130"/>
    <mergeCell ref="M2129:M2130"/>
    <mergeCell ref="N2129:N2130"/>
    <mergeCell ref="I2127:I2128"/>
    <mergeCell ref="J2127:J2128"/>
    <mergeCell ref="K2127:K2128"/>
    <mergeCell ref="L2127:L2128"/>
    <mergeCell ref="M2127:M2128"/>
    <mergeCell ref="N2127:N2128"/>
    <mergeCell ref="N2158:N2159"/>
    <mergeCell ref="O2158:P2158"/>
    <mergeCell ref="I2160:I2161"/>
    <mergeCell ref="J2160:J2161"/>
    <mergeCell ref="K2160:K2161"/>
    <mergeCell ref="L2160:L2161"/>
    <mergeCell ref="M2160:M2161"/>
    <mergeCell ref="N2160:N2161"/>
    <mergeCell ref="I2133:M2133"/>
    <mergeCell ref="I2134:M2134"/>
    <mergeCell ref="I2135:M2135"/>
    <mergeCell ref="I2141:L2141"/>
    <mergeCell ref="I2156:P2156"/>
    <mergeCell ref="I2158:I2159"/>
    <mergeCell ref="J2158:J2159"/>
    <mergeCell ref="K2158:K2159"/>
    <mergeCell ref="L2158:L2159"/>
    <mergeCell ref="M2158:M2159"/>
    <mergeCell ref="I2166:I2167"/>
    <mergeCell ref="J2166:J2167"/>
    <mergeCell ref="K2166:K2167"/>
    <mergeCell ref="L2166:L2167"/>
    <mergeCell ref="M2166:M2167"/>
    <mergeCell ref="N2166:N2167"/>
    <mergeCell ref="I2164:I2165"/>
    <mergeCell ref="J2164:J2165"/>
    <mergeCell ref="K2164:K2165"/>
    <mergeCell ref="L2164:L2165"/>
    <mergeCell ref="M2164:M2165"/>
    <mergeCell ref="N2164:N2165"/>
    <mergeCell ref="I2162:I2163"/>
    <mergeCell ref="J2162:J2163"/>
    <mergeCell ref="K2162:K2163"/>
    <mergeCell ref="L2162:L2163"/>
    <mergeCell ref="M2162:M2163"/>
    <mergeCell ref="N2162:N2163"/>
    <mergeCell ref="I2172:M2172"/>
    <mergeCell ref="I2173:M2173"/>
    <mergeCell ref="I2174:M2174"/>
    <mergeCell ref="I2180:L2180"/>
    <mergeCell ref="I2195:P2195"/>
    <mergeCell ref="I2197:I2198"/>
    <mergeCell ref="J2197:J2198"/>
    <mergeCell ref="K2197:K2198"/>
    <mergeCell ref="L2197:L2198"/>
    <mergeCell ref="M2197:M2198"/>
    <mergeCell ref="I2170:I2171"/>
    <mergeCell ref="J2170:J2171"/>
    <mergeCell ref="K2170:K2171"/>
    <mergeCell ref="L2170:L2171"/>
    <mergeCell ref="M2170:M2171"/>
    <mergeCell ref="N2170:N2171"/>
    <mergeCell ref="I2168:I2169"/>
    <mergeCell ref="J2168:J2169"/>
    <mergeCell ref="K2168:K2169"/>
    <mergeCell ref="L2168:L2169"/>
    <mergeCell ref="M2168:M2169"/>
    <mergeCell ref="N2168:N2169"/>
    <mergeCell ref="I2203:I2204"/>
    <mergeCell ref="J2203:J2204"/>
    <mergeCell ref="K2203:K2204"/>
    <mergeCell ref="L2203:L2204"/>
    <mergeCell ref="M2203:M2204"/>
    <mergeCell ref="N2203:N2204"/>
    <mergeCell ref="I2201:I2202"/>
    <mergeCell ref="J2201:J2202"/>
    <mergeCell ref="K2201:K2202"/>
    <mergeCell ref="L2201:L2202"/>
    <mergeCell ref="M2201:M2202"/>
    <mergeCell ref="N2201:N2202"/>
    <mergeCell ref="N2197:N2198"/>
    <mergeCell ref="O2197:P2197"/>
    <mergeCell ref="I2199:I2200"/>
    <mergeCell ref="J2199:J2200"/>
    <mergeCell ref="K2199:K2200"/>
    <mergeCell ref="L2199:L2200"/>
    <mergeCell ref="M2199:M2200"/>
    <mergeCell ref="N2199:N2200"/>
    <mergeCell ref="I2209:M2209"/>
    <mergeCell ref="I2210:M2210"/>
    <mergeCell ref="I2211:M2211"/>
    <mergeCell ref="I2217:L2217"/>
    <mergeCell ref="I2232:P2232"/>
    <mergeCell ref="I2234:I2235"/>
    <mergeCell ref="J2234:J2235"/>
    <mergeCell ref="K2234:K2235"/>
    <mergeCell ref="L2234:L2235"/>
    <mergeCell ref="M2234:M2235"/>
    <mergeCell ref="I2207:I2208"/>
    <mergeCell ref="J2207:J2208"/>
    <mergeCell ref="K2207:K2208"/>
    <mergeCell ref="L2207:L2208"/>
    <mergeCell ref="M2207:M2208"/>
    <mergeCell ref="N2207:N2208"/>
    <mergeCell ref="I2205:I2206"/>
    <mergeCell ref="J2205:J2206"/>
    <mergeCell ref="K2205:K2206"/>
    <mergeCell ref="L2205:L2206"/>
    <mergeCell ref="M2205:M2206"/>
    <mergeCell ref="N2205:N2206"/>
    <mergeCell ref="I2240:I2241"/>
    <mergeCell ref="J2240:J2241"/>
    <mergeCell ref="K2240:K2241"/>
    <mergeCell ref="L2240:L2241"/>
    <mergeCell ref="M2240:M2241"/>
    <mergeCell ref="N2240:N2241"/>
    <mergeCell ref="I2238:I2239"/>
    <mergeCell ref="J2238:J2239"/>
    <mergeCell ref="K2238:K2239"/>
    <mergeCell ref="L2238:L2239"/>
    <mergeCell ref="M2238:M2239"/>
    <mergeCell ref="N2238:N2239"/>
    <mergeCell ref="N2234:N2235"/>
    <mergeCell ref="O2234:P2234"/>
    <mergeCell ref="I2236:I2237"/>
    <mergeCell ref="J2236:J2237"/>
    <mergeCell ref="K2236:K2237"/>
    <mergeCell ref="L2236:L2237"/>
    <mergeCell ref="M2236:M2237"/>
    <mergeCell ref="N2236:N2237"/>
    <mergeCell ref="I2246:M2246"/>
    <mergeCell ref="I2247:M2247"/>
    <mergeCell ref="I2248:M2248"/>
    <mergeCell ref="I2254:L2254"/>
    <mergeCell ref="I2269:P2269"/>
    <mergeCell ref="I2271:I2272"/>
    <mergeCell ref="J2271:J2272"/>
    <mergeCell ref="K2271:K2272"/>
    <mergeCell ref="L2271:L2272"/>
    <mergeCell ref="M2271:M2272"/>
    <mergeCell ref="I2244:I2245"/>
    <mergeCell ref="J2244:J2245"/>
    <mergeCell ref="K2244:K2245"/>
    <mergeCell ref="L2244:L2245"/>
    <mergeCell ref="M2244:M2245"/>
    <mergeCell ref="N2244:N2245"/>
    <mergeCell ref="I2242:I2243"/>
    <mergeCell ref="J2242:J2243"/>
    <mergeCell ref="K2242:K2243"/>
    <mergeCell ref="L2242:L2243"/>
    <mergeCell ref="M2242:M2243"/>
    <mergeCell ref="N2242:N2243"/>
    <mergeCell ref="I2277:I2278"/>
    <mergeCell ref="J2277:J2278"/>
    <mergeCell ref="K2277:K2278"/>
    <mergeCell ref="L2277:L2278"/>
    <mergeCell ref="M2277:M2278"/>
    <mergeCell ref="N2277:N2278"/>
    <mergeCell ref="I2275:I2276"/>
    <mergeCell ref="J2275:J2276"/>
    <mergeCell ref="K2275:K2276"/>
    <mergeCell ref="L2275:L2276"/>
    <mergeCell ref="M2275:M2276"/>
    <mergeCell ref="N2275:N2276"/>
    <mergeCell ref="N2271:N2272"/>
    <mergeCell ref="O2271:P2271"/>
    <mergeCell ref="I2273:I2274"/>
    <mergeCell ref="J2273:J2274"/>
    <mergeCell ref="K2273:K2274"/>
    <mergeCell ref="L2273:L2274"/>
    <mergeCell ref="M2273:M2274"/>
    <mergeCell ref="N2273:N2274"/>
    <mergeCell ref="I2283:M2283"/>
    <mergeCell ref="I2284:M2284"/>
    <mergeCell ref="I2285:M2285"/>
    <mergeCell ref="I2291:L2291"/>
    <mergeCell ref="I2306:P2306"/>
    <mergeCell ref="I2308:I2309"/>
    <mergeCell ref="J2308:J2309"/>
    <mergeCell ref="K2308:K2309"/>
    <mergeCell ref="L2308:L2309"/>
    <mergeCell ref="M2308:M2309"/>
    <mergeCell ref="I2281:I2282"/>
    <mergeCell ref="J2281:J2282"/>
    <mergeCell ref="K2281:K2282"/>
    <mergeCell ref="L2281:L2282"/>
    <mergeCell ref="M2281:M2282"/>
    <mergeCell ref="N2281:N2282"/>
    <mergeCell ref="I2279:I2280"/>
    <mergeCell ref="J2279:J2280"/>
    <mergeCell ref="K2279:K2280"/>
    <mergeCell ref="L2279:L2280"/>
    <mergeCell ref="M2279:M2280"/>
    <mergeCell ref="N2279:N2280"/>
    <mergeCell ref="I2314:I2315"/>
    <mergeCell ref="J2314:J2315"/>
    <mergeCell ref="K2314:K2315"/>
    <mergeCell ref="L2314:L2315"/>
    <mergeCell ref="M2314:M2315"/>
    <mergeCell ref="N2314:N2315"/>
    <mergeCell ref="I2312:I2313"/>
    <mergeCell ref="J2312:J2313"/>
    <mergeCell ref="K2312:K2313"/>
    <mergeCell ref="L2312:L2313"/>
    <mergeCell ref="M2312:M2313"/>
    <mergeCell ref="N2312:N2313"/>
    <mergeCell ref="N2308:N2309"/>
    <mergeCell ref="O2308:P2308"/>
    <mergeCell ref="I2310:I2311"/>
    <mergeCell ref="J2310:J2311"/>
    <mergeCell ref="K2310:K2311"/>
    <mergeCell ref="L2310:L2311"/>
    <mergeCell ref="M2310:M2311"/>
    <mergeCell ref="N2310:N2311"/>
    <mergeCell ref="I2320:M2320"/>
    <mergeCell ref="I2321:M2321"/>
    <mergeCell ref="I2322:M2322"/>
    <mergeCell ref="I2328:L2328"/>
    <mergeCell ref="I2343:P2343"/>
    <mergeCell ref="I2345:I2346"/>
    <mergeCell ref="J2345:J2346"/>
    <mergeCell ref="K2345:K2346"/>
    <mergeCell ref="L2345:L2346"/>
    <mergeCell ref="M2345:M2346"/>
    <mergeCell ref="I2318:I2319"/>
    <mergeCell ref="J2318:J2319"/>
    <mergeCell ref="K2318:K2319"/>
    <mergeCell ref="L2318:L2319"/>
    <mergeCell ref="M2318:M2319"/>
    <mergeCell ref="N2318:N2319"/>
    <mergeCell ref="I2316:I2317"/>
    <mergeCell ref="J2316:J2317"/>
    <mergeCell ref="K2316:K2317"/>
    <mergeCell ref="L2316:L2317"/>
    <mergeCell ref="M2316:M2317"/>
    <mergeCell ref="N2316:N2317"/>
    <mergeCell ref="I2351:I2352"/>
    <mergeCell ref="J2351:J2352"/>
    <mergeCell ref="K2351:K2352"/>
    <mergeCell ref="L2351:L2352"/>
    <mergeCell ref="M2351:M2352"/>
    <mergeCell ref="N2351:N2352"/>
    <mergeCell ref="I2349:I2350"/>
    <mergeCell ref="J2349:J2350"/>
    <mergeCell ref="K2349:K2350"/>
    <mergeCell ref="L2349:L2350"/>
    <mergeCell ref="M2349:M2350"/>
    <mergeCell ref="N2349:N2350"/>
    <mergeCell ref="N2345:N2346"/>
    <mergeCell ref="O2345:P2345"/>
    <mergeCell ref="I2347:I2348"/>
    <mergeCell ref="J2347:J2348"/>
    <mergeCell ref="K2347:K2348"/>
    <mergeCell ref="L2347:L2348"/>
    <mergeCell ref="M2347:M2348"/>
    <mergeCell ref="N2347:N2348"/>
    <mergeCell ref="I2357:M2357"/>
    <mergeCell ref="I2358:M2358"/>
    <mergeCell ref="I2359:M2359"/>
    <mergeCell ref="I2365:L2365"/>
    <mergeCell ref="I2380:P2380"/>
    <mergeCell ref="I2382:I2383"/>
    <mergeCell ref="J2382:J2383"/>
    <mergeCell ref="K2382:K2383"/>
    <mergeCell ref="L2382:L2383"/>
    <mergeCell ref="M2382:M2383"/>
    <mergeCell ref="I2355:I2356"/>
    <mergeCell ref="J2355:J2356"/>
    <mergeCell ref="K2355:K2356"/>
    <mergeCell ref="L2355:L2356"/>
    <mergeCell ref="M2355:M2356"/>
    <mergeCell ref="N2355:N2356"/>
    <mergeCell ref="I2353:I2354"/>
    <mergeCell ref="J2353:J2354"/>
    <mergeCell ref="K2353:K2354"/>
    <mergeCell ref="L2353:L2354"/>
    <mergeCell ref="M2353:M2354"/>
    <mergeCell ref="N2353:N2354"/>
    <mergeCell ref="I2388:I2389"/>
    <mergeCell ref="J2388:J2389"/>
    <mergeCell ref="K2388:K2389"/>
    <mergeCell ref="L2388:L2389"/>
    <mergeCell ref="M2388:M2389"/>
    <mergeCell ref="N2388:N2389"/>
    <mergeCell ref="I2386:I2387"/>
    <mergeCell ref="J2386:J2387"/>
    <mergeCell ref="K2386:K2387"/>
    <mergeCell ref="L2386:L2387"/>
    <mergeCell ref="M2386:M2387"/>
    <mergeCell ref="N2386:N2387"/>
    <mergeCell ref="N2382:N2383"/>
    <mergeCell ref="O2382:P2382"/>
    <mergeCell ref="I2384:I2385"/>
    <mergeCell ref="J2384:J2385"/>
    <mergeCell ref="K2384:K2385"/>
    <mergeCell ref="L2384:L2385"/>
    <mergeCell ref="M2384:M2385"/>
    <mergeCell ref="N2384:N2385"/>
    <mergeCell ref="I2394:M2394"/>
    <mergeCell ref="I2395:M2395"/>
    <mergeCell ref="I2396:M2396"/>
    <mergeCell ref="I2402:L2402"/>
    <mergeCell ref="I2417:P2417"/>
    <mergeCell ref="I2419:I2420"/>
    <mergeCell ref="J2419:J2420"/>
    <mergeCell ref="K2419:K2420"/>
    <mergeCell ref="L2419:L2420"/>
    <mergeCell ref="M2419:M2420"/>
    <mergeCell ref="I2392:I2393"/>
    <mergeCell ref="J2392:J2393"/>
    <mergeCell ref="K2392:K2393"/>
    <mergeCell ref="L2392:L2393"/>
    <mergeCell ref="M2392:M2393"/>
    <mergeCell ref="N2392:N2393"/>
    <mergeCell ref="I2390:I2391"/>
    <mergeCell ref="J2390:J2391"/>
    <mergeCell ref="K2390:K2391"/>
    <mergeCell ref="L2390:L2391"/>
    <mergeCell ref="M2390:M2391"/>
    <mergeCell ref="N2390:N2391"/>
    <mergeCell ref="I2425:I2426"/>
    <mergeCell ref="J2425:J2426"/>
    <mergeCell ref="K2425:K2426"/>
    <mergeCell ref="L2425:L2426"/>
    <mergeCell ref="M2425:M2426"/>
    <mergeCell ref="N2425:N2426"/>
    <mergeCell ref="I2423:I2424"/>
    <mergeCell ref="J2423:J2424"/>
    <mergeCell ref="K2423:K2424"/>
    <mergeCell ref="L2423:L2424"/>
    <mergeCell ref="M2423:M2424"/>
    <mergeCell ref="N2423:N2424"/>
    <mergeCell ref="N2419:N2420"/>
    <mergeCell ref="O2419:P2419"/>
    <mergeCell ref="I2421:I2422"/>
    <mergeCell ref="J2421:J2422"/>
    <mergeCell ref="K2421:K2422"/>
    <mergeCell ref="L2421:L2422"/>
    <mergeCell ref="M2421:M2422"/>
    <mergeCell ref="N2421:N2422"/>
    <mergeCell ref="I2431:M2431"/>
    <mergeCell ref="I2432:M2432"/>
    <mergeCell ref="I2433:M2433"/>
    <mergeCell ref="I2439:L2439"/>
    <mergeCell ref="I2454:P2454"/>
    <mergeCell ref="I2456:I2457"/>
    <mergeCell ref="J2456:J2457"/>
    <mergeCell ref="K2456:K2457"/>
    <mergeCell ref="L2456:L2457"/>
    <mergeCell ref="M2456:M2457"/>
    <mergeCell ref="I2429:I2430"/>
    <mergeCell ref="J2429:J2430"/>
    <mergeCell ref="K2429:K2430"/>
    <mergeCell ref="L2429:L2430"/>
    <mergeCell ref="M2429:M2430"/>
    <mergeCell ref="N2429:N2430"/>
    <mergeCell ref="I2427:I2428"/>
    <mergeCell ref="J2427:J2428"/>
    <mergeCell ref="K2427:K2428"/>
    <mergeCell ref="L2427:L2428"/>
    <mergeCell ref="M2427:M2428"/>
    <mergeCell ref="N2427:N2428"/>
    <mergeCell ref="I2462:I2463"/>
    <mergeCell ref="J2462:J2463"/>
    <mergeCell ref="K2462:K2463"/>
    <mergeCell ref="L2462:L2463"/>
    <mergeCell ref="M2462:M2463"/>
    <mergeCell ref="N2462:N2463"/>
    <mergeCell ref="I2460:I2461"/>
    <mergeCell ref="J2460:J2461"/>
    <mergeCell ref="K2460:K2461"/>
    <mergeCell ref="L2460:L2461"/>
    <mergeCell ref="M2460:M2461"/>
    <mergeCell ref="N2460:N2461"/>
    <mergeCell ref="N2456:N2457"/>
    <mergeCell ref="O2456:P2456"/>
    <mergeCell ref="I2458:I2459"/>
    <mergeCell ref="J2458:J2459"/>
    <mergeCell ref="K2458:K2459"/>
    <mergeCell ref="L2458:L2459"/>
    <mergeCell ref="M2458:M2459"/>
    <mergeCell ref="N2458:N2459"/>
    <mergeCell ref="I2468:I2469"/>
    <mergeCell ref="J2468:J2469"/>
    <mergeCell ref="K2468:K2469"/>
    <mergeCell ref="L2468:L2469"/>
    <mergeCell ref="M2468:M2469"/>
    <mergeCell ref="N2468:N2469"/>
    <mergeCell ref="I2466:I2467"/>
    <mergeCell ref="J2466:J2467"/>
    <mergeCell ref="K2466:K2467"/>
    <mergeCell ref="L2466:L2467"/>
    <mergeCell ref="M2466:M2467"/>
    <mergeCell ref="N2466:N2467"/>
    <mergeCell ref="I2464:I2465"/>
    <mergeCell ref="J2464:J2465"/>
    <mergeCell ref="K2464:K2465"/>
    <mergeCell ref="L2464:L2465"/>
    <mergeCell ref="M2464:M2465"/>
    <mergeCell ref="N2464:N2465"/>
    <mergeCell ref="I2499:I2500"/>
    <mergeCell ref="J2499:J2500"/>
    <mergeCell ref="K2499:K2500"/>
    <mergeCell ref="L2499:L2500"/>
    <mergeCell ref="M2499:M2500"/>
    <mergeCell ref="N2499:N2500"/>
    <mergeCell ref="N2495:N2496"/>
    <mergeCell ref="O2495:P2495"/>
    <mergeCell ref="I2497:I2498"/>
    <mergeCell ref="J2497:J2498"/>
    <mergeCell ref="K2497:K2498"/>
    <mergeCell ref="L2497:L2498"/>
    <mergeCell ref="M2497:M2498"/>
    <mergeCell ref="N2497:N2498"/>
    <mergeCell ref="I2470:M2470"/>
    <mergeCell ref="I2471:M2471"/>
    <mergeCell ref="I2472:M2472"/>
    <mergeCell ref="I2478:L2478"/>
    <mergeCell ref="I2493:P2493"/>
    <mergeCell ref="I2495:I2496"/>
    <mergeCell ref="J2495:J2496"/>
    <mergeCell ref="K2495:K2496"/>
    <mergeCell ref="L2495:L2496"/>
    <mergeCell ref="M2495:M2496"/>
    <mergeCell ref="I2505:I2506"/>
    <mergeCell ref="J2505:J2506"/>
    <mergeCell ref="K2505:K2506"/>
    <mergeCell ref="L2505:L2506"/>
    <mergeCell ref="M2505:M2506"/>
    <mergeCell ref="N2505:N2506"/>
    <mergeCell ref="I2503:I2504"/>
    <mergeCell ref="J2503:J2504"/>
    <mergeCell ref="K2503:K2504"/>
    <mergeCell ref="L2503:L2504"/>
    <mergeCell ref="M2503:M2504"/>
    <mergeCell ref="N2503:N2504"/>
    <mergeCell ref="I2501:I2502"/>
    <mergeCell ref="J2501:J2502"/>
    <mergeCell ref="K2501:K2502"/>
    <mergeCell ref="L2501:L2502"/>
    <mergeCell ref="M2501:M2502"/>
    <mergeCell ref="N2501:N2502"/>
    <mergeCell ref="I2536:I2537"/>
    <mergeCell ref="J2536:J2537"/>
    <mergeCell ref="K2536:K2537"/>
    <mergeCell ref="L2536:L2537"/>
    <mergeCell ref="M2536:M2537"/>
    <mergeCell ref="N2536:N2537"/>
    <mergeCell ref="N2532:N2533"/>
    <mergeCell ref="O2532:P2532"/>
    <mergeCell ref="I2534:I2535"/>
    <mergeCell ref="J2534:J2535"/>
    <mergeCell ref="K2534:K2535"/>
    <mergeCell ref="L2534:L2535"/>
    <mergeCell ref="M2534:M2535"/>
    <mergeCell ref="N2534:N2535"/>
    <mergeCell ref="I2507:M2507"/>
    <mergeCell ref="I2508:M2508"/>
    <mergeCell ref="I2509:M2509"/>
    <mergeCell ref="I2515:L2515"/>
    <mergeCell ref="I2530:P2530"/>
    <mergeCell ref="I2532:I2533"/>
    <mergeCell ref="J2532:J2533"/>
    <mergeCell ref="K2532:K2533"/>
    <mergeCell ref="L2532:L2533"/>
    <mergeCell ref="M2532:M2533"/>
    <mergeCell ref="I2542:I2543"/>
    <mergeCell ref="J2542:J2543"/>
    <mergeCell ref="K2542:K2543"/>
    <mergeCell ref="L2542:L2543"/>
    <mergeCell ref="M2542:M2543"/>
    <mergeCell ref="N2542:N2543"/>
    <mergeCell ref="I2540:I2541"/>
    <mergeCell ref="J2540:J2541"/>
    <mergeCell ref="K2540:K2541"/>
    <mergeCell ref="L2540:L2541"/>
    <mergeCell ref="M2540:M2541"/>
    <mergeCell ref="N2540:N2541"/>
    <mergeCell ref="I2538:I2539"/>
    <mergeCell ref="J2538:J2539"/>
    <mergeCell ref="K2538:K2539"/>
    <mergeCell ref="L2538:L2539"/>
    <mergeCell ref="M2538:M2539"/>
    <mergeCell ref="N2538:N2539"/>
    <mergeCell ref="I2573:I2574"/>
    <mergeCell ref="J2573:J2574"/>
    <mergeCell ref="K2573:K2574"/>
    <mergeCell ref="L2573:L2574"/>
    <mergeCell ref="M2573:M2574"/>
    <mergeCell ref="N2573:N2574"/>
    <mergeCell ref="N2569:N2570"/>
    <mergeCell ref="O2569:P2569"/>
    <mergeCell ref="I2571:I2572"/>
    <mergeCell ref="J2571:J2572"/>
    <mergeCell ref="K2571:K2572"/>
    <mergeCell ref="L2571:L2572"/>
    <mergeCell ref="M2571:M2572"/>
    <mergeCell ref="N2571:N2572"/>
    <mergeCell ref="I2544:M2544"/>
    <mergeCell ref="I2545:M2545"/>
    <mergeCell ref="I2546:M2546"/>
    <mergeCell ref="I2552:L2552"/>
    <mergeCell ref="I2567:P2567"/>
    <mergeCell ref="I2569:I2570"/>
    <mergeCell ref="J2569:J2570"/>
    <mergeCell ref="K2569:K2570"/>
    <mergeCell ref="L2569:L2570"/>
    <mergeCell ref="M2569:M2570"/>
    <mergeCell ref="I2579:I2580"/>
    <mergeCell ref="J2579:J2580"/>
    <mergeCell ref="K2579:K2580"/>
    <mergeCell ref="L2579:L2580"/>
    <mergeCell ref="M2579:M2580"/>
    <mergeCell ref="N2579:N2580"/>
    <mergeCell ref="I2577:I2578"/>
    <mergeCell ref="J2577:J2578"/>
    <mergeCell ref="K2577:K2578"/>
    <mergeCell ref="L2577:L2578"/>
    <mergeCell ref="M2577:M2578"/>
    <mergeCell ref="N2577:N2578"/>
    <mergeCell ref="I2575:I2576"/>
    <mergeCell ref="J2575:J2576"/>
    <mergeCell ref="K2575:K2576"/>
    <mergeCell ref="L2575:L2576"/>
    <mergeCell ref="M2575:M2576"/>
    <mergeCell ref="N2575:N2576"/>
    <mergeCell ref="I2608:I2609"/>
    <mergeCell ref="J2608:J2609"/>
    <mergeCell ref="K2608:K2609"/>
    <mergeCell ref="L2608:L2609"/>
    <mergeCell ref="M2608:M2609"/>
    <mergeCell ref="N2608:N2609"/>
    <mergeCell ref="I2604:P2604"/>
    <mergeCell ref="I2606:I2607"/>
    <mergeCell ref="J2606:J2607"/>
    <mergeCell ref="K2606:K2607"/>
    <mergeCell ref="L2606:L2607"/>
    <mergeCell ref="M2606:M2607"/>
    <mergeCell ref="N2606:N2607"/>
    <mergeCell ref="O2606:P2606"/>
    <mergeCell ref="I2581:M2581"/>
    <mergeCell ref="I2582:M2582"/>
    <mergeCell ref="I2583:M2583"/>
    <mergeCell ref="I2589:L2589"/>
    <mergeCell ref="N2589:P2589"/>
    <mergeCell ref="N2594:P2594"/>
    <mergeCell ref="I2614:I2615"/>
    <mergeCell ref="J2614:J2615"/>
    <mergeCell ref="K2614:K2615"/>
    <mergeCell ref="L2614:L2615"/>
    <mergeCell ref="M2614:M2615"/>
    <mergeCell ref="N2614:N2615"/>
    <mergeCell ref="I2612:I2613"/>
    <mergeCell ref="J2612:J2613"/>
    <mergeCell ref="K2612:K2613"/>
    <mergeCell ref="L2612:L2613"/>
    <mergeCell ref="M2612:M2613"/>
    <mergeCell ref="N2612:N2613"/>
    <mergeCell ref="I2610:I2611"/>
    <mergeCell ref="J2610:J2611"/>
    <mergeCell ref="K2610:K2611"/>
    <mergeCell ref="L2610:L2611"/>
    <mergeCell ref="M2610:M2611"/>
    <mergeCell ref="N2610:N2611"/>
    <mergeCell ref="I2620:M2620"/>
    <mergeCell ref="I2621:M2621"/>
    <mergeCell ref="I2622:M2622"/>
    <mergeCell ref="I2628:L2628"/>
    <mergeCell ref="I2643:P2643"/>
    <mergeCell ref="I2645:I2646"/>
    <mergeCell ref="J2645:J2646"/>
    <mergeCell ref="K2645:K2646"/>
    <mergeCell ref="L2645:L2646"/>
    <mergeCell ref="M2645:M2646"/>
    <mergeCell ref="I2618:I2619"/>
    <mergeCell ref="J2618:J2619"/>
    <mergeCell ref="K2618:K2619"/>
    <mergeCell ref="L2618:L2619"/>
    <mergeCell ref="M2618:M2619"/>
    <mergeCell ref="N2618:N2619"/>
    <mergeCell ref="I2616:I2617"/>
    <mergeCell ref="J2616:J2617"/>
    <mergeCell ref="K2616:K2617"/>
    <mergeCell ref="L2616:L2617"/>
    <mergeCell ref="M2616:M2617"/>
    <mergeCell ref="N2616:N2617"/>
    <mergeCell ref="I2651:I2652"/>
    <mergeCell ref="J2651:J2652"/>
    <mergeCell ref="K2651:K2652"/>
    <mergeCell ref="L2651:L2652"/>
    <mergeCell ref="M2651:M2652"/>
    <mergeCell ref="N2651:N2652"/>
    <mergeCell ref="I2649:I2650"/>
    <mergeCell ref="J2649:J2650"/>
    <mergeCell ref="K2649:K2650"/>
    <mergeCell ref="L2649:L2650"/>
    <mergeCell ref="M2649:M2650"/>
    <mergeCell ref="N2649:N2650"/>
    <mergeCell ref="N2645:N2646"/>
    <mergeCell ref="O2645:P2645"/>
    <mergeCell ref="I2647:I2648"/>
    <mergeCell ref="J2647:J2648"/>
    <mergeCell ref="K2647:K2648"/>
    <mergeCell ref="L2647:L2648"/>
    <mergeCell ref="M2647:M2648"/>
    <mergeCell ref="N2647:N2648"/>
    <mergeCell ref="I2657:M2657"/>
    <mergeCell ref="I2658:M2658"/>
    <mergeCell ref="I2659:M2659"/>
    <mergeCell ref="I2665:L2665"/>
    <mergeCell ref="I2680:P2680"/>
    <mergeCell ref="I2682:I2683"/>
    <mergeCell ref="J2682:J2683"/>
    <mergeCell ref="K2682:K2683"/>
    <mergeCell ref="L2682:L2683"/>
    <mergeCell ref="M2682:M2683"/>
    <mergeCell ref="I2655:I2656"/>
    <mergeCell ref="J2655:J2656"/>
    <mergeCell ref="K2655:K2656"/>
    <mergeCell ref="L2655:L2656"/>
    <mergeCell ref="M2655:M2656"/>
    <mergeCell ref="N2655:N2656"/>
    <mergeCell ref="I2653:I2654"/>
    <mergeCell ref="J2653:J2654"/>
    <mergeCell ref="K2653:K2654"/>
    <mergeCell ref="L2653:L2654"/>
    <mergeCell ref="M2653:M2654"/>
    <mergeCell ref="N2653:N2654"/>
    <mergeCell ref="I2688:I2689"/>
    <mergeCell ref="J2688:J2689"/>
    <mergeCell ref="K2688:K2689"/>
    <mergeCell ref="L2688:L2689"/>
    <mergeCell ref="M2688:M2689"/>
    <mergeCell ref="N2688:N2689"/>
    <mergeCell ref="I2686:I2687"/>
    <mergeCell ref="J2686:J2687"/>
    <mergeCell ref="K2686:K2687"/>
    <mergeCell ref="L2686:L2687"/>
    <mergeCell ref="M2686:M2687"/>
    <mergeCell ref="N2686:N2687"/>
    <mergeCell ref="N2682:N2683"/>
    <mergeCell ref="O2682:P2682"/>
    <mergeCell ref="I2684:I2685"/>
    <mergeCell ref="J2684:J2685"/>
    <mergeCell ref="K2684:K2685"/>
    <mergeCell ref="L2684:L2685"/>
    <mergeCell ref="M2684:M2685"/>
    <mergeCell ref="N2684:N2685"/>
    <mergeCell ref="I2694:M2694"/>
    <mergeCell ref="I2695:M2695"/>
    <mergeCell ref="I2696:M2696"/>
    <mergeCell ref="I2702:L2702"/>
    <mergeCell ref="I2717:P2717"/>
    <mergeCell ref="I2719:I2720"/>
    <mergeCell ref="J2719:J2720"/>
    <mergeCell ref="K2719:K2720"/>
    <mergeCell ref="L2719:L2720"/>
    <mergeCell ref="M2719:M2720"/>
    <mergeCell ref="I2692:I2693"/>
    <mergeCell ref="J2692:J2693"/>
    <mergeCell ref="K2692:K2693"/>
    <mergeCell ref="L2692:L2693"/>
    <mergeCell ref="M2692:M2693"/>
    <mergeCell ref="N2692:N2693"/>
    <mergeCell ref="I2690:I2691"/>
    <mergeCell ref="J2690:J2691"/>
    <mergeCell ref="K2690:K2691"/>
    <mergeCell ref="L2690:L2691"/>
    <mergeCell ref="M2690:M2691"/>
    <mergeCell ref="N2690:N2691"/>
    <mergeCell ref="I2725:I2726"/>
    <mergeCell ref="J2725:J2726"/>
    <mergeCell ref="K2725:K2726"/>
    <mergeCell ref="L2725:L2726"/>
    <mergeCell ref="M2725:M2726"/>
    <mergeCell ref="N2725:N2726"/>
    <mergeCell ref="I2723:I2724"/>
    <mergeCell ref="J2723:J2724"/>
    <mergeCell ref="K2723:K2724"/>
    <mergeCell ref="L2723:L2724"/>
    <mergeCell ref="M2723:M2724"/>
    <mergeCell ref="N2723:N2724"/>
    <mergeCell ref="N2719:N2720"/>
    <mergeCell ref="O2719:P2719"/>
    <mergeCell ref="I2721:I2722"/>
    <mergeCell ref="J2721:J2722"/>
    <mergeCell ref="K2721:K2722"/>
    <mergeCell ref="L2721:L2722"/>
    <mergeCell ref="M2721:M2722"/>
    <mergeCell ref="N2721:N2722"/>
    <mergeCell ref="I2731:M2731"/>
    <mergeCell ref="I2732:M2732"/>
    <mergeCell ref="I2733:M2733"/>
    <mergeCell ref="I2739:L2739"/>
    <mergeCell ref="I2754:P2754"/>
    <mergeCell ref="I2756:I2757"/>
    <mergeCell ref="J2756:J2757"/>
    <mergeCell ref="K2756:K2757"/>
    <mergeCell ref="L2756:L2757"/>
    <mergeCell ref="M2756:M2757"/>
    <mergeCell ref="I2729:I2730"/>
    <mergeCell ref="J2729:J2730"/>
    <mergeCell ref="K2729:K2730"/>
    <mergeCell ref="L2729:L2730"/>
    <mergeCell ref="M2729:M2730"/>
    <mergeCell ref="N2729:N2730"/>
    <mergeCell ref="I2727:I2728"/>
    <mergeCell ref="J2727:J2728"/>
    <mergeCell ref="K2727:K2728"/>
    <mergeCell ref="L2727:L2728"/>
    <mergeCell ref="M2727:M2728"/>
    <mergeCell ref="N2727:N2728"/>
    <mergeCell ref="I2762:I2763"/>
    <mergeCell ref="J2762:J2763"/>
    <mergeCell ref="K2762:K2763"/>
    <mergeCell ref="L2762:L2763"/>
    <mergeCell ref="M2762:M2763"/>
    <mergeCell ref="N2762:N2763"/>
    <mergeCell ref="I2760:I2761"/>
    <mergeCell ref="J2760:J2761"/>
    <mergeCell ref="K2760:K2761"/>
    <mergeCell ref="L2760:L2761"/>
    <mergeCell ref="M2760:M2761"/>
    <mergeCell ref="N2760:N2761"/>
    <mergeCell ref="N2756:N2757"/>
    <mergeCell ref="O2756:P2756"/>
    <mergeCell ref="I2758:I2759"/>
    <mergeCell ref="J2758:J2759"/>
    <mergeCell ref="K2758:K2759"/>
    <mergeCell ref="L2758:L2759"/>
    <mergeCell ref="M2758:M2759"/>
    <mergeCell ref="N2758:N2759"/>
    <mergeCell ref="I2768:M2768"/>
    <mergeCell ref="I2769:M2769"/>
    <mergeCell ref="I2770:M2770"/>
    <mergeCell ref="I2776:L2776"/>
    <mergeCell ref="I2791:P2791"/>
    <mergeCell ref="I2793:I2794"/>
    <mergeCell ref="J2793:J2794"/>
    <mergeCell ref="K2793:K2794"/>
    <mergeCell ref="L2793:L2794"/>
    <mergeCell ref="M2793:M2794"/>
    <mergeCell ref="I2766:I2767"/>
    <mergeCell ref="J2766:J2767"/>
    <mergeCell ref="K2766:K2767"/>
    <mergeCell ref="L2766:L2767"/>
    <mergeCell ref="M2766:M2767"/>
    <mergeCell ref="N2766:N2767"/>
    <mergeCell ref="I2764:I2765"/>
    <mergeCell ref="J2764:J2765"/>
    <mergeCell ref="K2764:K2765"/>
    <mergeCell ref="L2764:L2765"/>
    <mergeCell ref="M2764:M2765"/>
    <mergeCell ref="N2764:N2765"/>
    <mergeCell ref="I2799:I2800"/>
    <mergeCell ref="J2799:J2800"/>
    <mergeCell ref="K2799:K2800"/>
    <mergeCell ref="L2799:L2800"/>
    <mergeCell ref="M2799:M2800"/>
    <mergeCell ref="N2799:N2800"/>
    <mergeCell ref="I2797:I2798"/>
    <mergeCell ref="J2797:J2798"/>
    <mergeCell ref="K2797:K2798"/>
    <mergeCell ref="L2797:L2798"/>
    <mergeCell ref="M2797:M2798"/>
    <mergeCell ref="N2797:N2798"/>
    <mergeCell ref="N2793:N2794"/>
    <mergeCell ref="O2793:P2793"/>
    <mergeCell ref="I2795:I2796"/>
    <mergeCell ref="J2795:J2796"/>
    <mergeCell ref="K2795:K2796"/>
    <mergeCell ref="L2795:L2796"/>
    <mergeCell ref="M2795:M2796"/>
    <mergeCell ref="N2795:N2796"/>
    <mergeCell ref="I2805:I2806"/>
    <mergeCell ref="J2805:J2806"/>
    <mergeCell ref="K2805:K2806"/>
    <mergeCell ref="L2805:L2806"/>
    <mergeCell ref="M2805:M2806"/>
    <mergeCell ref="N2805:N2806"/>
    <mergeCell ref="I2803:I2804"/>
    <mergeCell ref="J2803:J2804"/>
    <mergeCell ref="K2803:K2804"/>
    <mergeCell ref="L2803:L2804"/>
    <mergeCell ref="M2803:M2804"/>
    <mergeCell ref="N2803:N2804"/>
    <mergeCell ref="I2801:I2802"/>
    <mergeCell ref="J2801:J2802"/>
    <mergeCell ref="K2801:K2802"/>
    <mergeCell ref="L2801:L2802"/>
    <mergeCell ref="M2801:M2802"/>
    <mergeCell ref="N2801:N2802"/>
    <mergeCell ref="N2832:N2833"/>
    <mergeCell ref="O2832:P2832"/>
    <mergeCell ref="I2834:I2835"/>
    <mergeCell ref="J2834:J2835"/>
    <mergeCell ref="K2834:K2835"/>
    <mergeCell ref="L2834:L2835"/>
    <mergeCell ref="M2834:M2835"/>
    <mergeCell ref="N2834:N2835"/>
    <mergeCell ref="I2807:M2807"/>
    <mergeCell ref="I2808:M2808"/>
    <mergeCell ref="I2809:M2809"/>
    <mergeCell ref="I2815:L2815"/>
    <mergeCell ref="I2830:P2830"/>
    <mergeCell ref="I2832:I2833"/>
    <mergeCell ref="J2832:J2833"/>
    <mergeCell ref="K2832:K2833"/>
    <mergeCell ref="L2832:L2833"/>
    <mergeCell ref="M2832:M2833"/>
    <mergeCell ref="I2840:I2841"/>
    <mergeCell ref="J2840:J2841"/>
    <mergeCell ref="K2840:K2841"/>
    <mergeCell ref="L2840:L2841"/>
    <mergeCell ref="M2840:M2841"/>
    <mergeCell ref="N2840:N2841"/>
    <mergeCell ref="I2838:I2839"/>
    <mergeCell ref="J2838:J2839"/>
    <mergeCell ref="K2838:K2839"/>
    <mergeCell ref="L2838:L2839"/>
    <mergeCell ref="M2838:M2839"/>
    <mergeCell ref="N2838:N2839"/>
    <mergeCell ref="I2836:I2837"/>
    <mergeCell ref="J2836:J2837"/>
    <mergeCell ref="K2836:K2837"/>
    <mergeCell ref="L2836:L2837"/>
    <mergeCell ref="M2836:M2837"/>
    <mergeCell ref="N2836:N2837"/>
    <mergeCell ref="I2846:M2846"/>
    <mergeCell ref="I2847:M2847"/>
    <mergeCell ref="I2848:M2848"/>
    <mergeCell ref="I2854:L2854"/>
    <mergeCell ref="I2869:P2869"/>
    <mergeCell ref="I2871:I2872"/>
    <mergeCell ref="J2871:J2872"/>
    <mergeCell ref="K2871:K2872"/>
    <mergeCell ref="L2871:L2872"/>
    <mergeCell ref="M2871:M2872"/>
    <mergeCell ref="I2844:I2845"/>
    <mergeCell ref="J2844:J2845"/>
    <mergeCell ref="K2844:K2845"/>
    <mergeCell ref="L2844:L2845"/>
    <mergeCell ref="M2844:M2845"/>
    <mergeCell ref="N2844:N2845"/>
    <mergeCell ref="I2842:I2843"/>
    <mergeCell ref="J2842:J2843"/>
    <mergeCell ref="K2842:K2843"/>
    <mergeCell ref="L2842:L2843"/>
    <mergeCell ref="M2842:M2843"/>
    <mergeCell ref="N2842:N2843"/>
    <mergeCell ref="I2877:I2878"/>
    <mergeCell ref="J2877:J2878"/>
    <mergeCell ref="K2877:K2878"/>
    <mergeCell ref="L2877:L2878"/>
    <mergeCell ref="M2877:M2878"/>
    <mergeCell ref="N2877:N2878"/>
    <mergeCell ref="I2875:I2876"/>
    <mergeCell ref="J2875:J2876"/>
    <mergeCell ref="K2875:K2876"/>
    <mergeCell ref="L2875:L2876"/>
    <mergeCell ref="M2875:M2876"/>
    <mergeCell ref="N2875:N2876"/>
    <mergeCell ref="N2871:N2872"/>
    <mergeCell ref="O2871:P2871"/>
    <mergeCell ref="I2873:I2874"/>
    <mergeCell ref="J2873:J2874"/>
    <mergeCell ref="K2873:K2874"/>
    <mergeCell ref="L2873:L2874"/>
    <mergeCell ref="M2873:M2874"/>
    <mergeCell ref="N2873:N2874"/>
    <mergeCell ref="I2883:M2883"/>
    <mergeCell ref="I2884:M2884"/>
    <mergeCell ref="I2885:M2885"/>
    <mergeCell ref="I2891:L2891"/>
    <mergeCell ref="I2906:P2906"/>
    <mergeCell ref="I2908:I2909"/>
    <mergeCell ref="J2908:J2909"/>
    <mergeCell ref="K2908:K2909"/>
    <mergeCell ref="L2908:L2909"/>
    <mergeCell ref="M2908:M2909"/>
    <mergeCell ref="I2881:I2882"/>
    <mergeCell ref="J2881:J2882"/>
    <mergeCell ref="K2881:K2882"/>
    <mergeCell ref="L2881:L2882"/>
    <mergeCell ref="M2881:M2882"/>
    <mergeCell ref="N2881:N2882"/>
    <mergeCell ref="I2879:I2880"/>
    <mergeCell ref="J2879:J2880"/>
    <mergeCell ref="K2879:K2880"/>
    <mergeCell ref="L2879:L2880"/>
    <mergeCell ref="M2879:M2880"/>
    <mergeCell ref="N2879:N2880"/>
    <mergeCell ref="I2914:I2915"/>
    <mergeCell ref="J2914:J2915"/>
    <mergeCell ref="K2914:K2915"/>
    <mergeCell ref="L2914:L2915"/>
    <mergeCell ref="M2914:M2915"/>
    <mergeCell ref="N2914:N2915"/>
    <mergeCell ref="I2912:I2913"/>
    <mergeCell ref="J2912:J2913"/>
    <mergeCell ref="K2912:K2913"/>
    <mergeCell ref="L2912:L2913"/>
    <mergeCell ref="M2912:M2913"/>
    <mergeCell ref="N2912:N2913"/>
    <mergeCell ref="N2908:N2909"/>
    <mergeCell ref="O2908:P2908"/>
    <mergeCell ref="I2910:I2911"/>
    <mergeCell ref="J2910:J2911"/>
    <mergeCell ref="K2910:K2911"/>
    <mergeCell ref="L2910:L2911"/>
    <mergeCell ref="M2910:M2911"/>
    <mergeCell ref="N2910:N2911"/>
    <mergeCell ref="I2920:M2920"/>
    <mergeCell ref="I2921:M2921"/>
    <mergeCell ref="I2922:M2922"/>
    <mergeCell ref="I2928:L2928"/>
    <mergeCell ref="I2943:P2943"/>
    <mergeCell ref="I2945:I2946"/>
    <mergeCell ref="J2945:J2946"/>
    <mergeCell ref="K2945:K2946"/>
    <mergeCell ref="L2945:L2946"/>
    <mergeCell ref="M2945:M2946"/>
    <mergeCell ref="I2918:I2919"/>
    <mergeCell ref="J2918:J2919"/>
    <mergeCell ref="K2918:K2919"/>
    <mergeCell ref="L2918:L2919"/>
    <mergeCell ref="M2918:M2919"/>
    <mergeCell ref="N2918:N2919"/>
    <mergeCell ref="I2916:I2917"/>
    <mergeCell ref="J2916:J2917"/>
    <mergeCell ref="K2916:K2917"/>
    <mergeCell ref="L2916:L2917"/>
    <mergeCell ref="M2916:M2917"/>
    <mergeCell ref="N2916:N2917"/>
    <mergeCell ref="I2951:I2952"/>
    <mergeCell ref="J2951:J2952"/>
    <mergeCell ref="K2951:K2952"/>
    <mergeCell ref="L2951:L2952"/>
    <mergeCell ref="M2951:M2952"/>
    <mergeCell ref="N2951:N2952"/>
    <mergeCell ref="I2949:I2950"/>
    <mergeCell ref="J2949:J2950"/>
    <mergeCell ref="K2949:K2950"/>
    <mergeCell ref="L2949:L2950"/>
    <mergeCell ref="M2949:M2950"/>
    <mergeCell ref="N2949:N2950"/>
    <mergeCell ref="N2945:N2946"/>
    <mergeCell ref="O2945:P2945"/>
    <mergeCell ref="I2947:I2948"/>
    <mergeCell ref="J2947:J2948"/>
    <mergeCell ref="K2947:K2948"/>
    <mergeCell ref="L2947:L2948"/>
    <mergeCell ref="M2947:M2948"/>
    <mergeCell ref="N2947:N2948"/>
    <mergeCell ref="I2957:M2957"/>
    <mergeCell ref="I2958:M2958"/>
    <mergeCell ref="I2959:M2959"/>
    <mergeCell ref="I2965:L2965"/>
    <mergeCell ref="I2980:P2980"/>
    <mergeCell ref="I2982:I2983"/>
    <mergeCell ref="J2982:J2983"/>
    <mergeCell ref="K2982:K2983"/>
    <mergeCell ref="L2982:L2983"/>
    <mergeCell ref="M2982:M2983"/>
    <mergeCell ref="I2955:I2956"/>
    <mergeCell ref="J2955:J2956"/>
    <mergeCell ref="K2955:K2956"/>
    <mergeCell ref="L2955:L2956"/>
    <mergeCell ref="M2955:M2956"/>
    <mergeCell ref="N2955:N2956"/>
    <mergeCell ref="I2953:I2954"/>
    <mergeCell ref="J2953:J2954"/>
    <mergeCell ref="K2953:K2954"/>
    <mergeCell ref="L2953:L2954"/>
    <mergeCell ref="M2953:M2954"/>
    <mergeCell ref="N2953:N2954"/>
    <mergeCell ref="I2988:I2989"/>
    <mergeCell ref="J2988:J2989"/>
    <mergeCell ref="K2988:K2989"/>
    <mergeCell ref="L2988:L2989"/>
    <mergeCell ref="M2988:M2989"/>
    <mergeCell ref="N2988:N2989"/>
    <mergeCell ref="I2986:I2987"/>
    <mergeCell ref="J2986:J2987"/>
    <mergeCell ref="K2986:K2987"/>
    <mergeCell ref="L2986:L2987"/>
    <mergeCell ref="M2986:M2987"/>
    <mergeCell ref="N2986:N2987"/>
    <mergeCell ref="N2982:N2983"/>
    <mergeCell ref="O2982:P2982"/>
    <mergeCell ref="I2984:I2985"/>
    <mergeCell ref="J2984:J2985"/>
    <mergeCell ref="K2984:K2985"/>
    <mergeCell ref="L2984:L2985"/>
    <mergeCell ref="M2984:M2985"/>
    <mergeCell ref="N2984:N2985"/>
    <mergeCell ref="I2994:M2994"/>
    <mergeCell ref="I2995:M2995"/>
    <mergeCell ref="I2996:M2996"/>
    <mergeCell ref="I3002:L3002"/>
    <mergeCell ref="I3017:P3017"/>
    <mergeCell ref="I3019:I3020"/>
    <mergeCell ref="J3019:J3020"/>
    <mergeCell ref="K3019:K3020"/>
    <mergeCell ref="L3019:L3020"/>
    <mergeCell ref="M3019:M3020"/>
    <mergeCell ref="I2992:I2993"/>
    <mergeCell ref="J2992:J2993"/>
    <mergeCell ref="K2992:K2993"/>
    <mergeCell ref="L2992:L2993"/>
    <mergeCell ref="M2992:M2993"/>
    <mergeCell ref="N2992:N2993"/>
    <mergeCell ref="I2990:I2991"/>
    <mergeCell ref="J2990:J2991"/>
    <mergeCell ref="K2990:K2991"/>
    <mergeCell ref="L2990:L2991"/>
    <mergeCell ref="M2990:M2991"/>
    <mergeCell ref="N2990:N2991"/>
    <mergeCell ref="I3025:I3026"/>
    <mergeCell ref="J3025:J3026"/>
    <mergeCell ref="K3025:K3026"/>
    <mergeCell ref="L3025:L3026"/>
    <mergeCell ref="M3025:M3026"/>
    <mergeCell ref="N3025:N3026"/>
    <mergeCell ref="I3023:I3024"/>
    <mergeCell ref="J3023:J3024"/>
    <mergeCell ref="K3023:K3024"/>
    <mergeCell ref="L3023:L3024"/>
    <mergeCell ref="M3023:M3024"/>
    <mergeCell ref="N3023:N3024"/>
    <mergeCell ref="N3019:N3020"/>
    <mergeCell ref="O3019:P3019"/>
    <mergeCell ref="I3021:I3022"/>
    <mergeCell ref="J3021:J3022"/>
    <mergeCell ref="K3021:K3022"/>
    <mergeCell ref="L3021:L3022"/>
    <mergeCell ref="M3021:M3022"/>
    <mergeCell ref="N3021:N3022"/>
    <mergeCell ref="I3031:M3031"/>
    <mergeCell ref="I3032:M3032"/>
    <mergeCell ref="I3033:M3033"/>
    <mergeCell ref="I3039:L3039"/>
    <mergeCell ref="I3054:P3054"/>
    <mergeCell ref="I3056:I3057"/>
    <mergeCell ref="J3056:J3057"/>
    <mergeCell ref="K3056:K3057"/>
    <mergeCell ref="L3056:L3057"/>
    <mergeCell ref="M3056:M3057"/>
    <mergeCell ref="I3029:I3030"/>
    <mergeCell ref="J3029:J3030"/>
    <mergeCell ref="K3029:K3030"/>
    <mergeCell ref="L3029:L3030"/>
    <mergeCell ref="M3029:M3030"/>
    <mergeCell ref="N3029:N3030"/>
    <mergeCell ref="I3027:I3028"/>
    <mergeCell ref="J3027:J3028"/>
    <mergeCell ref="K3027:K3028"/>
    <mergeCell ref="L3027:L3028"/>
    <mergeCell ref="M3027:M3028"/>
    <mergeCell ref="N3027:N3028"/>
    <mergeCell ref="I3062:I3063"/>
    <mergeCell ref="J3062:J3063"/>
    <mergeCell ref="K3062:K3063"/>
    <mergeCell ref="L3062:L3063"/>
    <mergeCell ref="M3062:M3063"/>
    <mergeCell ref="N3062:N3063"/>
    <mergeCell ref="I3060:I3061"/>
    <mergeCell ref="J3060:J3061"/>
    <mergeCell ref="K3060:K3061"/>
    <mergeCell ref="L3060:L3061"/>
    <mergeCell ref="M3060:M3061"/>
    <mergeCell ref="N3060:N3061"/>
    <mergeCell ref="N3056:N3057"/>
    <mergeCell ref="O3056:P3056"/>
    <mergeCell ref="I3058:I3059"/>
    <mergeCell ref="J3058:J3059"/>
    <mergeCell ref="K3058:K3059"/>
    <mergeCell ref="L3058:L3059"/>
    <mergeCell ref="M3058:M3059"/>
    <mergeCell ref="N3058:N3059"/>
    <mergeCell ref="I3068:M3068"/>
    <mergeCell ref="I3069:M3069"/>
    <mergeCell ref="I3070:M3070"/>
    <mergeCell ref="I3076:L3076"/>
    <mergeCell ref="I3091:P3091"/>
    <mergeCell ref="I3093:I3094"/>
    <mergeCell ref="J3093:J3094"/>
    <mergeCell ref="K3093:K3094"/>
    <mergeCell ref="L3093:L3094"/>
    <mergeCell ref="M3093:M3094"/>
    <mergeCell ref="I3066:I3067"/>
    <mergeCell ref="J3066:J3067"/>
    <mergeCell ref="K3066:K3067"/>
    <mergeCell ref="L3066:L3067"/>
    <mergeCell ref="M3066:M3067"/>
    <mergeCell ref="N3066:N3067"/>
    <mergeCell ref="I3064:I3065"/>
    <mergeCell ref="J3064:J3065"/>
    <mergeCell ref="K3064:K3065"/>
    <mergeCell ref="L3064:L3065"/>
    <mergeCell ref="M3064:M3065"/>
    <mergeCell ref="N3064:N3065"/>
    <mergeCell ref="I3099:I3100"/>
    <mergeCell ref="J3099:J3100"/>
    <mergeCell ref="K3099:K3100"/>
    <mergeCell ref="L3099:L3100"/>
    <mergeCell ref="M3099:M3100"/>
    <mergeCell ref="N3099:N3100"/>
    <mergeCell ref="I3097:I3098"/>
    <mergeCell ref="J3097:J3098"/>
    <mergeCell ref="K3097:K3098"/>
    <mergeCell ref="L3097:L3098"/>
    <mergeCell ref="M3097:M3098"/>
    <mergeCell ref="N3097:N3098"/>
    <mergeCell ref="N3093:N3094"/>
    <mergeCell ref="O3093:P3093"/>
    <mergeCell ref="I3095:I3096"/>
    <mergeCell ref="J3095:J3096"/>
    <mergeCell ref="K3095:K3096"/>
    <mergeCell ref="L3095:L3096"/>
    <mergeCell ref="M3095:M3096"/>
    <mergeCell ref="N3095:N3096"/>
    <mergeCell ref="I3105:M3105"/>
    <mergeCell ref="I3106:M3106"/>
    <mergeCell ref="I3107:M3107"/>
    <mergeCell ref="I3113:L3113"/>
    <mergeCell ref="I3128:P3128"/>
    <mergeCell ref="I3130:I3131"/>
    <mergeCell ref="J3130:J3131"/>
    <mergeCell ref="K3130:K3131"/>
    <mergeCell ref="L3130:L3131"/>
    <mergeCell ref="M3130:M3131"/>
    <mergeCell ref="I3103:I3104"/>
    <mergeCell ref="J3103:J3104"/>
    <mergeCell ref="K3103:K3104"/>
    <mergeCell ref="L3103:L3104"/>
    <mergeCell ref="M3103:M3104"/>
    <mergeCell ref="N3103:N3104"/>
    <mergeCell ref="I3101:I3102"/>
    <mergeCell ref="J3101:J3102"/>
    <mergeCell ref="K3101:K3102"/>
    <mergeCell ref="L3101:L3102"/>
    <mergeCell ref="M3101:M3102"/>
    <mergeCell ref="N3101:N3102"/>
    <mergeCell ref="I3136:I3137"/>
    <mergeCell ref="J3136:J3137"/>
    <mergeCell ref="K3136:K3137"/>
    <mergeCell ref="L3136:L3137"/>
    <mergeCell ref="M3136:M3137"/>
    <mergeCell ref="N3136:N3137"/>
    <mergeCell ref="I3134:I3135"/>
    <mergeCell ref="J3134:J3135"/>
    <mergeCell ref="K3134:K3135"/>
    <mergeCell ref="L3134:L3135"/>
    <mergeCell ref="M3134:M3135"/>
    <mergeCell ref="N3134:N3135"/>
    <mergeCell ref="N3130:N3131"/>
    <mergeCell ref="O3130:P3130"/>
    <mergeCell ref="I3132:I3133"/>
    <mergeCell ref="J3132:J3133"/>
    <mergeCell ref="K3132:K3133"/>
    <mergeCell ref="L3132:L3133"/>
    <mergeCell ref="M3132:M3133"/>
    <mergeCell ref="N3132:N3133"/>
    <mergeCell ref="I3142:M3142"/>
    <mergeCell ref="I3143:M3143"/>
    <mergeCell ref="I3144:M3144"/>
    <mergeCell ref="I3150:L3150"/>
    <mergeCell ref="I3165:P3165"/>
    <mergeCell ref="I3167:I3168"/>
    <mergeCell ref="J3167:J3168"/>
    <mergeCell ref="K3167:K3168"/>
    <mergeCell ref="L3167:L3168"/>
    <mergeCell ref="M3167:M3168"/>
    <mergeCell ref="I3140:I3141"/>
    <mergeCell ref="J3140:J3141"/>
    <mergeCell ref="K3140:K3141"/>
    <mergeCell ref="L3140:L3141"/>
    <mergeCell ref="M3140:M3141"/>
    <mergeCell ref="N3140:N3141"/>
    <mergeCell ref="I3138:I3139"/>
    <mergeCell ref="J3138:J3139"/>
    <mergeCell ref="K3138:K3139"/>
    <mergeCell ref="L3138:L3139"/>
    <mergeCell ref="M3138:M3139"/>
    <mergeCell ref="N3138:N3139"/>
    <mergeCell ref="I3173:I3174"/>
    <mergeCell ref="J3173:J3174"/>
    <mergeCell ref="K3173:K3174"/>
    <mergeCell ref="L3173:L3174"/>
    <mergeCell ref="M3173:M3174"/>
    <mergeCell ref="N3173:N3174"/>
    <mergeCell ref="I3171:I3172"/>
    <mergeCell ref="J3171:J3172"/>
    <mergeCell ref="K3171:K3172"/>
    <mergeCell ref="L3171:L3172"/>
    <mergeCell ref="M3171:M3172"/>
    <mergeCell ref="N3171:N3172"/>
    <mergeCell ref="N3167:N3168"/>
    <mergeCell ref="O3167:P3167"/>
    <mergeCell ref="I3169:I3170"/>
    <mergeCell ref="J3169:J3170"/>
    <mergeCell ref="K3169:K3170"/>
    <mergeCell ref="L3169:L3170"/>
    <mergeCell ref="M3169:M3170"/>
    <mergeCell ref="N3169:N3170"/>
    <mergeCell ref="I3179:I3180"/>
    <mergeCell ref="J3179:J3180"/>
    <mergeCell ref="K3179:K3180"/>
    <mergeCell ref="L3179:L3180"/>
    <mergeCell ref="M3179:M3180"/>
    <mergeCell ref="N3179:N3180"/>
    <mergeCell ref="I3177:I3178"/>
    <mergeCell ref="J3177:J3178"/>
    <mergeCell ref="K3177:K3178"/>
    <mergeCell ref="L3177:L3178"/>
    <mergeCell ref="M3177:M3178"/>
    <mergeCell ref="N3177:N3178"/>
    <mergeCell ref="I3175:I3176"/>
    <mergeCell ref="J3175:J3176"/>
    <mergeCell ref="K3175:K3176"/>
    <mergeCell ref="L3175:L3176"/>
    <mergeCell ref="M3175:M3176"/>
    <mergeCell ref="N3175:N3176"/>
    <mergeCell ref="N3206:N3207"/>
    <mergeCell ref="O3206:P3206"/>
    <mergeCell ref="I3208:I3209"/>
    <mergeCell ref="J3208:J3209"/>
    <mergeCell ref="K3208:K3209"/>
    <mergeCell ref="L3208:L3209"/>
    <mergeCell ref="M3208:M3209"/>
    <mergeCell ref="N3208:N3209"/>
    <mergeCell ref="I3181:M3181"/>
    <mergeCell ref="I3182:M3182"/>
    <mergeCell ref="I3183:M3183"/>
    <mergeCell ref="I3189:L3189"/>
    <mergeCell ref="I3204:P3204"/>
    <mergeCell ref="I3206:I3207"/>
    <mergeCell ref="J3206:J3207"/>
    <mergeCell ref="K3206:K3207"/>
    <mergeCell ref="L3206:L3207"/>
    <mergeCell ref="M3206:M3207"/>
    <mergeCell ref="R3212:R3213"/>
    <mergeCell ref="I3214:I3215"/>
    <mergeCell ref="J3214:J3215"/>
    <mergeCell ref="K3214:K3215"/>
    <mergeCell ref="L3214:L3215"/>
    <mergeCell ref="M3214:M3215"/>
    <mergeCell ref="N3214:N3215"/>
    <mergeCell ref="I3212:I3213"/>
    <mergeCell ref="J3212:J3213"/>
    <mergeCell ref="K3212:K3213"/>
    <mergeCell ref="L3212:L3213"/>
    <mergeCell ref="M3212:M3213"/>
    <mergeCell ref="N3212:N3213"/>
    <mergeCell ref="I3210:I3211"/>
    <mergeCell ref="J3210:J3211"/>
    <mergeCell ref="K3210:K3211"/>
    <mergeCell ref="L3210:L3211"/>
    <mergeCell ref="M3210:M3211"/>
    <mergeCell ref="N3210:N3211"/>
    <mergeCell ref="N3241:N3242"/>
    <mergeCell ref="O3241:P3241"/>
    <mergeCell ref="I3243:I3244"/>
    <mergeCell ref="J3243:J3244"/>
    <mergeCell ref="K3243:K3244"/>
    <mergeCell ref="L3243:L3244"/>
    <mergeCell ref="M3243:M3244"/>
    <mergeCell ref="N3243:N3244"/>
    <mergeCell ref="I3216:M3216"/>
    <mergeCell ref="I3217:M3217"/>
    <mergeCell ref="I3218:M3218"/>
    <mergeCell ref="I3224:L3224"/>
    <mergeCell ref="I3239:P3239"/>
    <mergeCell ref="I3241:I3242"/>
    <mergeCell ref="J3241:J3242"/>
    <mergeCell ref="K3241:K3242"/>
    <mergeCell ref="L3241:L3242"/>
    <mergeCell ref="M3241:M3242"/>
    <mergeCell ref="I3249:I3250"/>
    <mergeCell ref="J3249:J3250"/>
    <mergeCell ref="K3249:K3250"/>
    <mergeCell ref="L3249:L3250"/>
    <mergeCell ref="M3249:M3250"/>
    <mergeCell ref="N3249:N3250"/>
    <mergeCell ref="I3247:I3248"/>
    <mergeCell ref="J3247:J3248"/>
    <mergeCell ref="K3247:K3248"/>
    <mergeCell ref="L3247:L3248"/>
    <mergeCell ref="M3247:M3248"/>
    <mergeCell ref="N3247:N3248"/>
    <mergeCell ref="I3245:I3246"/>
    <mergeCell ref="J3245:J3246"/>
    <mergeCell ref="K3245:K3246"/>
    <mergeCell ref="L3245:L3246"/>
    <mergeCell ref="M3245:M3246"/>
    <mergeCell ref="N3245:N3246"/>
    <mergeCell ref="N3277:N3278"/>
    <mergeCell ref="O3277:P3277"/>
    <mergeCell ref="I3279:I3280"/>
    <mergeCell ref="J3279:J3280"/>
    <mergeCell ref="K3279:K3282"/>
    <mergeCell ref="L3279:L3280"/>
    <mergeCell ref="M3279:M3280"/>
    <mergeCell ref="N3279:N3280"/>
    <mergeCell ref="I3281:I3282"/>
    <mergeCell ref="J3281:J3282"/>
    <mergeCell ref="I3251:M3251"/>
    <mergeCell ref="I3252:M3252"/>
    <mergeCell ref="I3253:M3253"/>
    <mergeCell ref="I3259:L3259"/>
    <mergeCell ref="I3275:P3275"/>
    <mergeCell ref="I3277:I3278"/>
    <mergeCell ref="J3277:J3278"/>
    <mergeCell ref="K3277:K3278"/>
    <mergeCell ref="L3277:L3278"/>
    <mergeCell ref="M3277:M3278"/>
    <mergeCell ref="I3287:M3287"/>
    <mergeCell ref="I3288:M3288"/>
    <mergeCell ref="I3289:M3289"/>
    <mergeCell ref="I3295:L3295"/>
    <mergeCell ref="I3310:P3310"/>
    <mergeCell ref="I3312:I3313"/>
    <mergeCell ref="J3312:J3313"/>
    <mergeCell ref="K3312:K3313"/>
    <mergeCell ref="L3312:L3313"/>
    <mergeCell ref="M3312:M3313"/>
    <mergeCell ref="I3285:I3286"/>
    <mergeCell ref="J3285:J3286"/>
    <mergeCell ref="K3285:K3286"/>
    <mergeCell ref="L3285:L3286"/>
    <mergeCell ref="M3285:M3286"/>
    <mergeCell ref="N3285:N3286"/>
    <mergeCell ref="L3281:L3282"/>
    <mergeCell ref="M3281:M3282"/>
    <mergeCell ref="N3281:N3282"/>
    <mergeCell ref="I3283:I3284"/>
    <mergeCell ref="J3283:J3284"/>
    <mergeCell ref="K3283:K3284"/>
    <mergeCell ref="L3283:L3284"/>
    <mergeCell ref="M3283:M3284"/>
    <mergeCell ref="N3283:N3284"/>
    <mergeCell ref="I3318:I3319"/>
    <mergeCell ref="J3318:J3319"/>
    <mergeCell ref="K3318:K3319"/>
    <mergeCell ref="L3318:L3319"/>
    <mergeCell ref="M3318:M3319"/>
    <mergeCell ref="N3318:N3319"/>
    <mergeCell ref="I3316:I3317"/>
    <mergeCell ref="J3316:J3317"/>
    <mergeCell ref="K3316:K3317"/>
    <mergeCell ref="L3316:L3317"/>
    <mergeCell ref="M3316:M3317"/>
    <mergeCell ref="N3316:N3317"/>
    <mergeCell ref="N3312:N3313"/>
    <mergeCell ref="O3312:P3312"/>
    <mergeCell ref="I3314:I3315"/>
    <mergeCell ref="J3314:J3315"/>
    <mergeCell ref="K3314:K3315"/>
    <mergeCell ref="L3314:L3315"/>
    <mergeCell ref="M3314:M3315"/>
    <mergeCell ref="N3314:N3315"/>
    <mergeCell ref="I3324:I3325"/>
    <mergeCell ref="J3324:J3325"/>
    <mergeCell ref="K3324:K3325"/>
    <mergeCell ref="L3324:L3325"/>
    <mergeCell ref="M3324:M3325"/>
    <mergeCell ref="N3324:N3325"/>
    <mergeCell ref="I3322:I3323"/>
    <mergeCell ref="J3322:J3323"/>
    <mergeCell ref="K3322:K3323"/>
    <mergeCell ref="L3322:L3323"/>
    <mergeCell ref="M3322:M3323"/>
    <mergeCell ref="N3322:N3323"/>
    <mergeCell ref="I3320:I3321"/>
    <mergeCell ref="J3320:J3321"/>
    <mergeCell ref="K3320:K3321"/>
    <mergeCell ref="L3320:L3321"/>
    <mergeCell ref="M3320:M3321"/>
    <mergeCell ref="N3320:N3321"/>
    <mergeCell ref="N3351:N3352"/>
    <mergeCell ref="O3351:P3351"/>
    <mergeCell ref="I3353:I3354"/>
    <mergeCell ref="J3353:J3354"/>
    <mergeCell ref="K3353:K3354"/>
    <mergeCell ref="L3353:L3354"/>
    <mergeCell ref="M3353:M3354"/>
    <mergeCell ref="N3353:N3354"/>
    <mergeCell ref="I3326:M3326"/>
    <mergeCell ref="I3327:M3327"/>
    <mergeCell ref="I3328:M3328"/>
    <mergeCell ref="I3334:L3334"/>
    <mergeCell ref="I3349:P3349"/>
    <mergeCell ref="I3351:I3352"/>
    <mergeCell ref="J3351:J3352"/>
    <mergeCell ref="K3351:K3352"/>
    <mergeCell ref="L3351:L3352"/>
    <mergeCell ref="M3351:M3352"/>
    <mergeCell ref="I3359:I3360"/>
    <mergeCell ref="J3359:J3360"/>
    <mergeCell ref="K3359:K3360"/>
    <mergeCell ref="L3359:L3360"/>
    <mergeCell ref="M3359:M3360"/>
    <mergeCell ref="N3359:N3360"/>
    <mergeCell ref="I3357:I3358"/>
    <mergeCell ref="J3357:J3358"/>
    <mergeCell ref="K3357:K3358"/>
    <mergeCell ref="L3357:L3358"/>
    <mergeCell ref="M3357:M3358"/>
    <mergeCell ref="N3357:N3358"/>
    <mergeCell ref="I3355:I3356"/>
    <mergeCell ref="J3355:J3356"/>
    <mergeCell ref="K3355:K3356"/>
    <mergeCell ref="L3355:L3356"/>
    <mergeCell ref="M3355:M3356"/>
    <mergeCell ref="N3355:N3356"/>
    <mergeCell ref="N3387:N3388"/>
    <mergeCell ref="O3387:P3387"/>
    <mergeCell ref="I3389:I3390"/>
    <mergeCell ref="J3389:J3390"/>
    <mergeCell ref="K3389:K3390"/>
    <mergeCell ref="L3389:L3390"/>
    <mergeCell ref="M3389:M3390"/>
    <mergeCell ref="N3389:N3390"/>
    <mergeCell ref="I3361:M3361"/>
    <mergeCell ref="I3362:M3362"/>
    <mergeCell ref="I3363:M3363"/>
    <mergeCell ref="I3369:L3369"/>
    <mergeCell ref="I3385:P3385"/>
    <mergeCell ref="I3387:I3388"/>
    <mergeCell ref="J3387:J3388"/>
    <mergeCell ref="K3387:K3388"/>
    <mergeCell ref="L3387:L3388"/>
    <mergeCell ref="M3387:M3388"/>
    <mergeCell ref="I3395:I3396"/>
    <mergeCell ref="J3395:J3396"/>
    <mergeCell ref="K3395:K3396"/>
    <mergeCell ref="L3395:L3396"/>
    <mergeCell ref="M3395:M3396"/>
    <mergeCell ref="N3395:N3396"/>
    <mergeCell ref="I3393:I3394"/>
    <mergeCell ref="J3393:J3394"/>
    <mergeCell ref="K3393:K3394"/>
    <mergeCell ref="L3393:L3394"/>
    <mergeCell ref="M3393:M3394"/>
    <mergeCell ref="N3393:N3394"/>
    <mergeCell ref="I3391:I3392"/>
    <mergeCell ref="J3391:J3392"/>
    <mergeCell ref="K3391:K3392"/>
    <mergeCell ref="L3391:L3392"/>
    <mergeCell ref="M3391:M3392"/>
    <mergeCell ref="N3391:N3392"/>
    <mergeCell ref="N3423:N3424"/>
    <mergeCell ref="O3423:P3423"/>
    <mergeCell ref="I3425:I3426"/>
    <mergeCell ref="J3425:J3426"/>
    <mergeCell ref="L3425:L3426"/>
    <mergeCell ref="M3425:M3426"/>
    <mergeCell ref="N3425:N3426"/>
    <mergeCell ref="I3397:M3397"/>
    <mergeCell ref="I3398:M3398"/>
    <mergeCell ref="I3399:M3399"/>
    <mergeCell ref="I3405:L3405"/>
    <mergeCell ref="I3421:P3421"/>
    <mergeCell ref="I3423:I3424"/>
    <mergeCell ref="J3423:J3424"/>
    <mergeCell ref="K3423:K3424"/>
    <mergeCell ref="L3423:L3424"/>
    <mergeCell ref="M3423:M3424"/>
    <mergeCell ref="I3435:I3436"/>
    <mergeCell ref="J3435:J3436"/>
    <mergeCell ref="L3435:L3436"/>
    <mergeCell ref="M3435:M3436"/>
    <mergeCell ref="N3435:N3436"/>
    <mergeCell ref="I3437:M3437"/>
    <mergeCell ref="I3431:I3432"/>
    <mergeCell ref="J3431:J3432"/>
    <mergeCell ref="L3431:L3432"/>
    <mergeCell ref="M3431:M3432"/>
    <mergeCell ref="N3431:N3432"/>
    <mergeCell ref="I3433:I3434"/>
    <mergeCell ref="J3433:J3434"/>
    <mergeCell ref="L3433:L3434"/>
    <mergeCell ref="M3433:M3434"/>
    <mergeCell ref="N3433:N3434"/>
    <mergeCell ref="I3427:I3428"/>
    <mergeCell ref="J3427:J3428"/>
    <mergeCell ref="L3427:L3428"/>
    <mergeCell ref="M3427:M3428"/>
    <mergeCell ref="N3427:N3428"/>
    <mergeCell ref="I3429:I3430"/>
    <mergeCell ref="J3429:J3430"/>
    <mergeCell ref="L3429:L3430"/>
    <mergeCell ref="M3429:M3430"/>
    <mergeCell ref="N3429:N3430"/>
    <mergeCell ref="O3462:P3462"/>
    <mergeCell ref="I3464:I3465"/>
    <mergeCell ref="J3464:J3465"/>
    <mergeCell ref="K3464:K3465"/>
    <mergeCell ref="L3464:L3465"/>
    <mergeCell ref="M3464:M3465"/>
    <mergeCell ref="N3464:N3465"/>
    <mergeCell ref="I3438:M3438"/>
    <mergeCell ref="I3439:M3439"/>
    <mergeCell ref="I3445:L3445"/>
    <mergeCell ref="I3460:P3460"/>
    <mergeCell ref="I3462:I3463"/>
    <mergeCell ref="J3462:J3463"/>
    <mergeCell ref="K3462:K3463"/>
    <mergeCell ref="L3462:L3463"/>
    <mergeCell ref="M3462:M3463"/>
    <mergeCell ref="N3462:N3463"/>
    <mergeCell ref="I3470:I3471"/>
    <mergeCell ref="J3470:J3471"/>
    <mergeCell ref="K3470:K3471"/>
    <mergeCell ref="L3470:L3471"/>
    <mergeCell ref="M3470:M3471"/>
    <mergeCell ref="N3470:N3471"/>
    <mergeCell ref="I3468:I3469"/>
    <mergeCell ref="J3468:J3469"/>
    <mergeCell ref="K3468:K3469"/>
    <mergeCell ref="L3468:L3469"/>
    <mergeCell ref="M3468:M3469"/>
    <mergeCell ref="N3468:N3469"/>
    <mergeCell ref="I3466:I3467"/>
    <mergeCell ref="J3466:J3467"/>
    <mergeCell ref="K3466:K3467"/>
    <mergeCell ref="L3466:L3467"/>
    <mergeCell ref="M3466:M3467"/>
    <mergeCell ref="N3466:N3467"/>
    <mergeCell ref="N3498:N3499"/>
    <mergeCell ref="O3498:P3498"/>
    <mergeCell ref="I3500:I3501"/>
    <mergeCell ref="J3500:J3501"/>
    <mergeCell ref="K3500:K3503"/>
    <mergeCell ref="L3500:L3501"/>
    <mergeCell ref="M3500:M3501"/>
    <mergeCell ref="N3500:N3501"/>
    <mergeCell ref="I3502:I3503"/>
    <mergeCell ref="J3502:J3503"/>
    <mergeCell ref="I3472:M3472"/>
    <mergeCell ref="I3473:M3473"/>
    <mergeCell ref="I3474:M3474"/>
    <mergeCell ref="I3480:L3480"/>
    <mergeCell ref="I3496:P3496"/>
    <mergeCell ref="I3498:I3499"/>
    <mergeCell ref="J3498:J3499"/>
    <mergeCell ref="K3498:K3499"/>
    <mergeCell ref="L3498:L3499"/>
    <mergeCell ref="M3498:M3499"/>
    <mergeCell ref="I3512:M3512"/>
    <mergeCell ref="I3513:M3513"/>
    <mergeCell ref="I3514:M3514"/>
    <mergeCell ref="I3520:L3520"/>
    <mergeCell ref="I3536:P3536"/>
    <mergeCell ref="I3538:I3539"/>
    <mergeCell ref="J3538:J3539"/>
    <mergeCell ref="K3538:K3539"/>
    <mergeCell ref="L3538:L3539"/>
    <mergeCell ref="M3538:M3539"/>
    <mergeCell ref="I3510:I3511"/>
    <mergeCell ref="J3510:J3511"/>
    <mergeCell ref="K3510:K3511"/>
    <mergeCell ref="L3510:L3511"/>
    <mergeCell ref="M3510:M3511"/>
    <mergeCell ref="N3510:N3511"/>
    <mergeCell ref="L3502:L3503"/>
    <mergeCell ref="M3502:M3503"/>
    <mergeCell ref="N3502:N3503"/>
    <mergeCell ref="I3508:I3509"/>
    <mergeCell ref="J3508:J3509"/>
    <mergeCell ref="K3508:K3509"/>
    <mergeCell ref="L3508:L3509"/>
    <mergeCell ref="M3508:M3509"/>
    <mergeCell ref="N3508:N3509"/>
    <mergeCell ref="L3542:L3543"/>
    <mergeCell ref="M3542:M3543"/>
    <mergeCell ref="N3542:N3543"/>
    <mergeCell ref="I3545:I3546"/>
    <mergeCell ref="J3545:J3546"/>
    <mergeCell ref="K3545:K3546"/>
    <mergeCell ref="L3545:L3546"/>
    <mergeCell ref="M3545:M3546"/>
    <mergeCell ref="N3545:N3546"/>
    <mergeCell ref="N3538:N3539"/>
    <mergeCell ref="O3538:P3538"/>
    <mergeCell ref="I3540:I3541"/>
    <mergeCell ref="J3540:J3541"/>
    <mergeCell ref="K3540:K3543"/>
    <mergeCell ref="L3540:L3541"/>
    <mergeCell ref="M3540:M3541"/>
    <mergeCell ref="N3540:N3541"/>
    <mergeCell ref="I3542:I3543"/>
    <mergeCell ref="J3542:J3543"/>
    <mergeCell ref="J3578:J3579"/>
    <mergeCell ref="I3549:M3549"/>
    <mergeCell ref="I3550:M3550"/>
    <mergeCell ref="I3551:M3551"/>
    <mergeCell ref="I3557:L3557"/>
    <mergeCell ref="I3572:P3572"/>
    <mergeCell ref="I3574:I3575"/>
    <mergeCell ref="J3574:J3575"/>
    <mergeCell ref="K3574:K3575"/>
    <mergeCell ref="L3574:L3575"/>
    <mergeCell ref="M3574:M3575"/>
    <mergeCell ref="K3576:K3577"/>
    <mergeCell ref="K3578:K3579"/>
    <mergeCell ref="I3547:I3548"/>
    <mergeCell ref="J3547:J3548"/>
    <mergeCell ref="K3547:K3548"/>
    <mergeCell ref="L3547:L3548"/>
    <mergeCell ref="M3547:M3548"/>
    <mergeCell ref="N3547:N3548"/>
    <mergeCell ref="N3594:O3594"/>
    <mergeCell ref="M88:M89"/>
    <mergeCell ref="N88:N89"/>
    <mergeCell ref="N100:P100"/>
    <mergeCell ref="N105:P105"/>
    <mergeCell ref="I3582:M3582"/>
    <mergeCell ref="I3583:M3583"/>
    <mergeCell ref="I3584:M3584"/>
    <mergeCell ref="I3590:L3590"/>
    <mergeCell ref="K12:K13"/>
    <mergeCell ref="K14:K15"/>
    <mergeCell ref="I88:I89"/>
    <mergeCell ref="J88:J89"/>
    <mergeCell ref="K88:K89"/>
    <mergeCell ref="L88:L89"/>
    <mergeCell ref="I3580:I3581"/>
    <mergeCell ref="J3580:J3581"/>
    <mergeCell ref="K3580:K3581"/>
    <mergeCell ref="L3580:L3581"/>
    <mergeCell ref="M3580:M3581"/>
    <mergeCell ref="N3580:N3581"/>
    <mergeCell ref="L3578:L3579"/>
    <mergeCell ref="M3578:M3579"/>
    <mergeCell ref="N3578:N3579"/>
    <mergeCell ref="N3574:N3575"/>
    <mergeCell ref="O3574:P3574"/>
    <mergeCell ref="I3576:I3577"/>
    <mergeCell ref="J3576:J3577"/>
    <mergeCell ref="L3576:L3577"/>
    <mergeCell ref="M3576:M3577"/>
    <mergeCell ref="N3576:N3577"/>
    <mergeCell ref="I3578:I3579"/>
  </mergeCells>
  <pageMargins left="0.7" right="0.7" top="0.75" bottom="0.75" header="0.3" footer="0.3"/>
  <pageSetup paperSize="9" orientation="landscape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98"/>
  <sheetViews>
    <sheetView topLeftCell="I280" workbookViewId="0">
      <selection activeCell="I323" sqref="I323"/>
    </sheetView>
  </sheetViews>
  <sheetFormatPr baseColWidth="10" defaultRowHeight="15"/>
  <cols>
    <col min="1" max="1" width="13.28515625" style="51" hidden="1" customWidth="1"/>
    <col min="2" max="2" width="21.140625" style="51" hidden="1" customWidth="1"/>
    <col min="3" max="3" width="19.7109375" style="51" hidden="1" customWidth="1"/>
    <col min="4" max="4" width="19.140625" style="51" hidden="1" customWidth="1"/>
    <col min="5" max="5" width="18.28515625" style="51" hidden="1" customWidth="1"/>
    <col min="6" max="6" width="22.140625" style="51" hidden="1" customWidth="1"/>
    <col min="7" max="7" width="7.140625" style="51" hidden="1" customWidth="1"/>
    <col min="8" max="8" width="14.42578125" style="51" hidden="1" customWidth="1"/>
    <col min="9" max="9" width="13.28515625" style="51" customWidth="1"/>
    <col min="10" max="10" width="21" style="51" customWidth="1"/>
    <col min="11" max="11" width="18.85546875" style="51" customWidth="1"/>
    <col min="12" max="12" width="20.28515625" style="51" customWidth="1"/>
    <col min="13" max="13" width="14.7109375" style="51" customWidth="1"/>
    <col min="14" max="14" width="22" style="51" customWidth="1"/>
    <col min="15" max="15" width="8.28515625" style="51" customWidth="1"/>
    <col min="16" max="16" width="13" style="51" customWidth="1"/>
    <col min="17" max="16384" width="11.42578125" style="51"/>
  </cols>
  <sheetData>
    <row r="1" spans="1:16" ht="16.5">
      <c r="A1" s="49" t="s">
        <v>88</v>
      </c>
      <c r="B1" s="50"/>
      <c r="I1" s="49" t="s">
        <v>88</v>
      </c>
      <c r="J1" s="50"/>
    </row>
    <row r="2" spans="1:16">
      <c r="A2" s="51" t="s">
        <v>89</v>
      </c>
      <c r="I2" s="51" t="s">
        <v>89</v>
      </c>
    </row>
    <row r="3" spans="1:16">
      <c r="A3" s="51" t="s">
        <v>90</v>
      </c>
      <c r="I3" s="51" t="s">
        <v>90</v>
      </c>
    </row>
    <row r="4" spans="1:16">
      <c r="A4" s="51" t="s">
        <v>91</v>
      </c>
      <c r="I4" s="51" t="s">
        <v>91</v>
      </c>
    </row>
    <row r="5" spans="1:16" ht="10.5" customHeight="1">
      <c r="A5" s="50"/>
      <c r="B5" s="50"/>
      <c r="I5" s="50"/>
      <c r="J5" s="50"/>
    </row>
    <row r="6" spans="1:16" ht="16.5">
      <c r="A6" s="52" t="s">
        <v>172</v>
      </c>
      <c r="G6" s="52"/>
      <c r="I6" s="52" t="s">
        <v>534</v>
      </c>
      <c r="O6" s="52"/>
    </row>
    <row r="7" spans="1:16" ht="15.75">
      <c r="A7" s="53" t="s">
        <v>92</v>
      </c>
      <c r="G7" s="53"/>
      <c r="I7" s="53" t="s">
        <v>1333</v>
      </c>
      <c r="O7" s="53"/>
    </row>
    <row r="8" spans="1:16" ht="13.5" customHeight="1">
      <c r="A8" s="894" t="s">
        <v>93</v>
      </c>
      <c r="B8" s="894"/>
      <c r="C8" s="894"/>
      <c r="D8" s="894"/>
      <c r="E8" s="894"/>
      <c r="F8" s="894"/>
      <c r="G8" s="894"/>
      <c r="H8" s="894"/>
      <c r="I8" s="894" t="s">
        <v>1332</v>
      </c>
      <c r="J8" s="894"/>
      <c r="K8" s="894"/>
      <c r="L8" s="894"/>
      <c r="M8" s="894"/>
      <c r="N8" s="894"/>
      <c r="O8" s="894"/>
      <c r="P8" s="894"/>
    </row>
    <row r="9" spans="1:16" ht="12" customHeight="1" thickBot="1"/>
    <row r="10" spans="1:16">
      <c r="A10" s="895" t="s">
        <v>94</v>
      </c>
      <c r="B10" s="897" t="s">
        <v>95</v>
      </c>
      <c r="C10" s="897" t="s">
        <v>96</v>
      </c>
      <c r="D10" s="897" t="s">
        <v>3</v>
      </c>
      <c r="E10" s="897" t="s">
        <v>97</v>
      </c>
      <c r="F10" s="897" t="s">
        <v>98</v>
      </c>
      <c r="G10" s="897" t="s">
        <v>99</v>
      </c>
      <c r="H10" s="899"/>
      <c r="I10" s="895" t="s">
        <v>94</v>
      </c>
      <c r="J10" s="897" t="s">
        <v>95</v>
      </c>
      <c r="K10" s="897" t="s">
        <v>96</v>
      </c>
      <c r="L10" s="897" t="s">
        <v>3</v>
      </c>
      <c r="M10" s="897" t="s">
        <v>97</v>
      </c>
      <c r="N10" s="897" t="s">
        <v>98</v>
      </c>
      <c r="O10" s="897" t="s">
        <v>99</v>
      </c>
      <c r="P10" s="899"/>
    </row>
    <row r="11" spans="1:16" ht="15.75" thickBot="1">
      <c r="A11" s="896"/>
      <c r="B11" s="898"/>
      <c r="C11" s="898"/>
      <c r="D11" s="898"/>
      <c r="E11" s="898"/>
      <c r="F11" s="898"/>
      <c r="G11" s="240" t="s">
        <v>100</v>
      </c>
      <c r="H11" s="182" t="s">
        <v>101</v>
      </c>
      <c r="I11" s="896"/>
      <c r="J11" s="898"/>
      <c r="K11" s="898"/>
      <c r="L11" s="898"/>
      <c r="M11" s="898"/>
      <c r="N11" s="898"/>
      <c r="O11" s="240" t="s">
        <v>100</v>
      </c>
      <c r="P11" s="182" t="s">
        <v>101</v>
      </c>
    </row>
    <row r="12" spans="1:16" ht="13.5" customHeight="1">
      <c r="A12" s="881">
        <v>237</v>
      </c>
      <c r="B12" s="875">
        <v>42228</v>
      </c>
      <c r="C12" s="942" t="s">
        <v>31</v>
      </c>
      <c r="D12" s="881" t="s">
        <v>174</v>
      </c>
      <c r="E12" s="881" t="s">
        <v>115</v>
      </c>
      <c r="F12" s="883">
        <v>120000</v>
      </c>
      <c r="G12" s="55">
        <v>719</v>
      </c>
      <c r="H12" s="78">
        <v>120000</v>
      </c>
      <c r="I12" s="873" t="s">
        <v>545</v>
      </c>
      <c r="J12" s="875">
        <v>42767</v>
      </c>
      <c r="K12" s="877" t="s">
        <v>674</v>
      </c>
      <c r="L12" s="881" t="s">
        <v>1330</v>
      </c>
      <c r="M12" s="881" t="s">
        <v>148</v>
      </c>
      <c r="N12" s="883">
        <v>2050000</v>
      </c>
      <c r="O12" s="55">
        <v>719</v>
      </c>
      <c r="P12" s="78"/>
    </row>
    <row r="13" spans="1:16" ht="14.25" customHeight="1" thickBot="1">
      <c r="A13" s="882"/>
      <c r="B13" s="934"/>
      <c r="C13" s="943"/>
      <c r="D13" s="882"/>
      <c r="E13" s="882"/>
      <c r="F13" s="884"/>
      <c r="G13" s="56">
        <v>721</v>
      </c>
      <c r="H13" s="79">
        <f>+F12-H12</f>
        <v>0</v>
      </c>
      <c r="I13" s="874"/>
      <c r="J13" s="876"/>
      <c r="K13" s="900"/>
      <c r="L13" s="882"/>
      <c r="M13" s="882"/>
      <c r="N13" s="884"/>
      <c r="O13" s="56">
        <v>723</v>
      </c>
      <c r="P13" s="79">
        <f>+N12-P12</f>
        <v>2050000</v>
      </c>
    </row>
    <row r="14" spans="1:16" ht="13.5" customHeight="1">
      <c r="A14" s="881">
        <f>+A12+1</f>
        <v>238</v>
      </c>
      <c r="B14" s="875">
        <v>42228</v>
      </c>
      <c r="C14" s="935" t="s">
        <v>28</v>
      </c>
      <c r="D14" s="881" t="s">
        <v>175</v>
      </c>
      <c r="E14" s="881" t="s">
        <v>115</v>
      </c>
      <c r="F14" s="883">
        <v>90000</v>
      </c>
      <c r="G14" s="55">
        <v>719</v>
      </c>
      <c r="H14" s="78">
        <v>90000</v>
      </c>
      <c r="I14" s="873" t="s">
        <v>547</v>
      </c>
      <c r="J14" s="875">
        <v>42767</v>
      </c>
      <c r="K14" s="900"/>
      <c r="L14" s="881" t="s">
        <v>1331</v>
      </c>
      <c r="M14" s="881" t="s">
        <v>148</v>
      </c>
      <c r="N14" s="883">
        <v>2470000</v>
      </c>
      <c r="O14" s="55">
        <v>719</v>
      </c>
      <c r="P14" s="78">
        <v>0</v>
      </c>
    </row>
    <row r="15" spans="1:16" ht="14.25" customHeight="1" thickBot="1">
      <c r="A15" s="882"/>
      <c r="B15" s="876"/>
      <c r="C15" s="936"/>
      <c r="D15" s="882"/>
      <c r="E15" s="882"/>
      <c r="F15" s="884"/>
      <c r="G15" s="56">
        <v>721</v>
      </c>
      <c r="H15" s="79"/>
      <c r="I15" s="874"/>
      <c r="J15" s="876"/>
      <c r="K15" s="878"/>
      <c r="L15" s="882"/>
      <c r="M15" s="882"/>
      <c r="N15" s="884"/>
      <c r="O15" s="56">
        <v>723</v>
      </c>
      <c r="P15" s="79">
        <f>+N14-P14</f>
        <v>2470000</v>
      </c>
    </row>
    <row r="16" spans="1:16" ht="14.25" customHeight="1">
      <c r="A16" s="881"/>
      <c r="B16" s="875"/>
      <c r="C16" s="935"/>
      <c r="D16" s="881"/>
      <c r="E16" s="881"/>
      <c r="F16" s="883"/>
      <c r="G16" s="55">
        <v>719</v>
      </c>
      <c r="H16" s="78"/>
      <c r="I16" s="873"/>
      <c r="J16" s="875"/>
      <c r="K16" s="877"/>
      <c r="L16" s="881"/>
      <c r="M16" s="881"/>
      <c r="N16" s="883"/>
      <c r="O16" s="55">
        <v>719</v>
      </c>
      <c r="P16" s="78">
        <v>0</v>
      </c>
    </row>
    <row r="17" spans="1:16" ht="12.75" customHeight="1" thickBot="1">
      <c r="A17" s="882"/>
      <c r="B17" s="934"/>
      <c r="C17" s="936"/>
      <c r="D17" s="882"/>
      <c r="E17" s="882"/>
      <c r="F17" s="884"/>
      <c r="G17" s="56">
        <v>721</v>
      </c>
      <c r="H17" s="79">
        <f>+F16-H16</f>
        <v>0</v>
      </c>
      <c r="I17" s="882"/>
      <c r="J17" s="876"/>
      <c r="K17" s="878"/>
      <c r="L17" s="882"/>
      <c r="M17" s="882"/>
      <c r="N17" s="884"/>
      <c r="O17" s="56">
        <v>721</v>
      </c>
      <c r="P17" s="79">
        <f>+N16-P16</f>
        <v>0</v>
      </c>
    </row>
    <row r="18" spans="1:16" ht="14.25" customHeight="1">
      <c r="A18" s="881"/>
      <c r="B18" s="875"/>
      <c r="C18" s="935"/>
      <c r="D18" s="877"/>
      <c r="E18" s="881"/>
      <c r="F18" s="883"/>
      <c r="G18" s="55">
        <v>719</v>
      </c>
      <c r="H18" s="78"/>
      <c r="I18" s="873"/>
      <c r="J18" s="875"/>
      <c r="K18" s="877"/>
      <c r="L18" s="881"/>
      <c r="M18" s="881"/>
      <c r="N18" s="883"/>
      <c r="O18" s="55">
        <v>719</v>
      </c>
      <c r="P18" s="78">
        <v>0</v>
      </c>
    </row>
    <row r="19" spans="1:16" ht="15" customHeight="1" thickBot="1">
      <c r="A19" s="882"/>
      <c r="B19" s="934"/>
      <c r="C19" s="936"/>
      <c r="D19" s="878"/>
      <c r="E19" s="882"/>
      <c r="F19" s="884"/>
      <c r="G19" s="56">
        <v>721</v>
      </c>
      <c r="H19" s="79">
        <f>+F18-H18</f>
        <v>0</v>
      </c>
      <c r="I19" s="882"/>
      <c r="J19" s="876"/>
      <c r="K19" s="878"/>
      <c r="L19" s="882"/>
      <c r="M19" s="882"/>
      <c r="N19" s="884"/>
      <c r="O19" s="56">
        <v>721</v>
      </c>
      <c r="P19" s="79">
        <f>+N18-P18</f>
        <v>0</v>
      </c>
    </row>
    <row r="20" spans="1:16" ht="16.5" thickBot="1">
      <c r="A20" s="901" t="s">
        <v>102</v>
      </c>
      <c r="B20" s="902"/>
      <c r="C20" s="902"/>
      <c r="D20" s="902"/>
      <c r="E20" s="903"/>
      <c r="F20" s="81">
        <f>SUM(F12:F19)</f>
        <v>210000</v>
      </c>
      <c r="I20" s="901" t="s">
        <v>102</v>
      </c>
      <c r="J20" s="902"/>
      <c r="K20" s="902"/>
      <c r="L20" s="902"/>
      <c r="M20" s="903"/>
      <c r="N20" s="81">
        <f>SUM(N12:N19)</f>
        <v>4520000</v>
      </c>
    </row>
    <row r="21" spans="1:16" ht="16.5" thickBot="1">
      <c r="A21" s="885" t="s">
        <v>103</v>
      </c>
      <c r="B21" s="886"/>
      <c r="C21" s="886"/>
      <c r="D21" s="886"/>
      <c r="E21" s="887"/>
      <c r="F21" s="69">
        <f>+C35</f>
        <v>610857841</v>
      </c>
      <c r="I21" s="885" t="s">
        <v>103</v>
      </c>
      <c r="J21" s="886"/>
      <c r="K21" s="886"/>
      <c r="L21" s="886"/>
      <c r="M21" s="887"/>
      <c r="N21" s="69">
        <v>0</v>
      </c>
    </row>
    <row r="22" spans="1:16" ht="16.5" thickBot="1">
      <c r="A22" s="888" t="s">
        <v>104</v>
      </c>
      <c r="B22" s="889"/>
      <c r="C22" s="889"/>
      <c r="D22" s="889"/>
      <c r="E22" s="890"/>
      <c r="F22" s="183">
        <f>SUM(F20:F21)</f>
        <v>611067841</v>
      </c>
      <c r="I22" s="888" t="s">
        <v>104</v>
      </c>
      <c r="J22" s="889"/>
      <c r="K22" s="889"/>
      <c r="L22" s="889"/>
      <c r="M22" s="890"/>
      <c r="N22" s="183">
        <f>SUM(N20:N21)</f>
        <v>4520000</v>
      </c>
    </row>
    <row r="23" spans="1:16" ht="12" customHeight="1">
      <c r="A23" s="61"/>
      <c r="B23" s="61"/>
      <c r="C23" s="61"/>
      <c r="D23" s="61"/>
      <c r="E23" s="61"/>
      <c r="I23" s="61"/>
      <c r="J23" s="61"/>
      <c r="K23" s="61"/>
      <c r="L23" s="61"/>
      <c r="M23" s="61"/>
    </row>
    <row r="24" spans="1:16" ht="16.5" customHeight="1">
      <c r="A24" s="51" t="s">
        <v>176</v>
      </c>
      <c r="I24" s="51" t="s">
        <v>1334</v>
      </c>
    </row>
    <row r="25" spans="1:16" ht="10.5" customHeight="1">
      <c r="F25" s="139"/>
      <c r="N25" s="139"/>
    </row>
    <row r="26" spans="1:16" ht="18.75" customHeight="1">
      <c r="A26" s="50" t="s">
        <v>105</v>
      </c>
      <c r="D26" s="146"/>
      <c r="F26" s="139"/>
      <c r="I26" s="50" t="s">
        <v>105</v>
      </c>
      <c r="L26" s="146"/>
      <c r="N26" s="139"/>
    </row>
    <row r="27" spans="1:16" ht="13.5" customHeight="1" thickBot="1"/>
    <row r="28" spans="1:16" ht="15.75" thickBot="1">
      <c r="A28" s="891" t="s">
        <v>106</v>
      </c>
      <c r="B28" s="892"/>
      <c r="C28" s="892"/>
      <c r="D28" s="893"/>
      <c r="F28" s="50" t="s">
        <v>107</v>
      </c>
      <c r="I28" s="891" t="s">
        <v>106</v>
      </c>
      <c r="J28" s="892"/>
      <c r="K28" s="892"/>
      <c r="L28" s="893"/>
      <c r="N28" s="50" t="s">
        <v>288</v>
      </c>
    </row>
    <row r="29" spans="1:16" ht="38.25" customHeight="1" thickBot="1">
      <c r="A29" s="57" t="s">
        <v>100</v>
      </c>
      <c r="B29" s="58" t="s">
        <v>108</v>
      </c>
      <c r="C29" s="59" t="s">
        <v>109</v>
      </c>
      <c r="D29" s="60" t="s">
        <v>110</v>
      </c>
      <c r="I29" s="57" t="s">
        <v>100</v>
      </c>
      <c r="J29" s="58" t="s">
        <v>108</v>
      </c>
      <c r="K29" s="59" t="s">
        <v>109</v>
      </c>
      <c r="L29" s="60" t="s">
        <v>110</v>
      </c>
    </row>
    <row r="30" spans="1:16">
      <c r="A30" s="71">
        <v>719</v>
      </c>
      <c r="B30" s="73">
        <v>210000</v>
      </c>
      <c r="C30" s="74">
        <v>28120000</v>
      </c>
      <c r="D30" s="76">
        <f>+B30+C30</f>
        <v>28330000</v>
      </c>
      <c r="I30" s="71">
        <v>719</v>
      </c>
      <c r="J30" s="73"/>
      <c r="K30" s="74">
        <v>0</v>
      </c>
      <c r="L30" s="195">
        <f>+J30+K30</f>
        <v>0</v>
      </c>
    </row>
    <row r="31" spans="1:16" ht="15" customHeight="1">
      <c r="A31" s="72">
        <v>721</v>
      </c>
      <c r="B31" s="80"/>
      <c r="C31" s="75">
        <v>36156092</v>
      </c>
      <c r="D31" s="76">
        <f>+B31+C31</f>
        <v>36156092</v>
      </c>
      <c r="I31" s="72">
        <v>721</v>
      </c>
      <c r="J31" s="80"/>
      <c r="K31" s="74">
        <v>0</v>
      </c>
      <c r="L31" s="195">
        <f>+J31+K31</f>
        <v>0</v>
      </c>
    </row>
    <row r="32" spans="1:16" ht="14.25" customHeight="1">
      <c r="A32" s="72">
        <v>722</v>
      </c>
      <c r="B32" s="80"/>
      <c r="C32" s="75">
        <v>224787287</v>
      </c>
      <c r="D32" s="76">
        <f>+B32+C32</f>
        <v>224787287</v>
      </c>
      <c r="I32" s="72">
        <v>722</v>
      </c>
      <c r="J32" s="80"/>
      <c r="K32" s="74">
        <v>0</v>
      </c>
      <c r="L32" s="195">
        <f>+J32+K32</f>
        <v>0</v>
      </c>
    </row>
    <row r="33" spans="1:22" ht="13.5" customHeight="1">
      <c r="A33" s="72">
        <v>723</v>
      </c>
      <c r="B33" s="80"/>
      <c r="C33" s="75">
        <v>319828837</v>
      </c>
      <c r="D33" s="76">
        <f>+B33+C33</f>
        <v>319828837</v>
      </c>
      <c r="F33" s="174" t="s">
        <v>23</v>
      </c>
      <c r="G33" s="175"/>
      <c r="I33" s="72">
        <v>723</v>
      </c>
      <c r="J33" s="80">
        <f>+P13+P15</f>
        <v>4520000</v>
      </c>
      <c r="K33" s="74">
        <v>0</v>
      </c>
      <c r="L33" s="195">
        <f>+J33+K33</f>
        <v>4520000</v>
      </c>
      <c r="N33" s="193" t="s">
        <v>289</v>
      </c>
      <c r="O33" s="175"/>
    </row>
    <row r="34" spans="1:22" ht="16.5" thickBot="1">
      <c r="A34" s="164" t="s">
        <v>181</v>
      </c>
      <c r="B34" s="165"/>
      <c r="C34" s="166">
        <v>1965625</v>
      </c>
      <c r="D34" s="168">
        <f>+B34+C34</f>
        <v>1965625</v>
      </c>
      <c r="F34" s="52"/>
      <c r="I34" s="164" t="s">
        <v>181</v>
      </c>
      <c r="J34" s="165"/>
      <c r="K34" s="74">
        <v>0</v>
      </c>
      <c r="L34" s="196">
        <f>+J34+K34</f>
        <v>0</v>
      </c>
      <c r="N34" s="52"/>
    </row>
    <row r="35" spans="1:22" ht="16.5" thickBot="1">
      <c r="A35" s="169"/>
      <c r="B35" s="170">
        <f>SUM(B30:B34)</f>
        <v>210000</v>
      </c>
      <c r="C35" s="171">
        <f>SUM(C30:C34)</f>
        <v>610857841</v>
      </c>
      <c r="D35" s="172">
        <f>SUM(D30:D34)</f>
        <v>611067841</v>
      </c>
      <c r="I35" s="169"/>
      <c r="J35" s="197">
        <f>SUM(J30:J34)</f>
        <v>4520000</v>
      </c>
      <c r="K35" s="197">
        <f>SUM(K30:K34)</f>
        <v>0</v>
      </c>
      <c r="L35" s="198">
        <f>SUM(L30:L34)</f>
        <v>4520000</v>
      </c>
    </row>
    <row r="36" spans="1:22" ht="16.5">
      <c r="A36" s="49" t="s">
        <v>88</v>
      </c>
      <c r="B36" s="50"/>
      <c r="I36" s="49" t="s">
        <v>88</v>
      </c>
      <c r="J36" s="50"/>
    </row>
    <row r="37" spans="1:22">
      <c r="A37" s="51" t="s">
        <v>89</v>
      </c>
      <c r="I37" s="51" t="s">
        <v>89</v>
      </c>
    </row>
    <row r="38" spans="1:22">
      <c r="A38" s="51" t="s">
        <v>90</v>
      </c>
      <c r="I38" s="51" t="s">
        <v>90</v>
      </c>
    </row>
    <row r="39" spans="1:22" ht="15" customHeight="1">
      <c r="A39" s="51" t="s">
        <v>91</v>
      </c>
      <c r="I39" s="51" t="s">
        <v>91</v>
      </c>
    </row>
    <row r="40" spans="1:22" ht="10.5" customHeight="1">
      <c r="A40" s="50"/>
      <c r="B40" s="50"/>
      <c r="I40" s="50"/>
      <c r="J40" s="50"/>
    </row>
    <row r="41" spans="1:22" ht="16.5" customHeight="1">
      <c r="A41" s="52" t="s">
        <v>222</v>
      </c>
      <c r="G41" s="52"/>
      <c r="I41" s="52" t="s">
        <v>536</v>
      </c>
      <c r="O41" s="52"/>
    </row>
    <row r="42" spans="1:22" ht="15.75" customHeight="1">
      <c r="A42" s="53" t="s">
        <v>92</v>
      </c>
      <c r="G42" s="53"/>
      <c r="I42" s="53" t="s">
        <v>535</v>
      </c>
      <c r="O42" s="53"/>
    </row>
    <row r="43" spans="1:22" ht="15.75" customHeight="1">
      <c r="A43" s="894" t="s">
        <v>93</v>
      </c>
      <c r="B43" s="894"/>
      <c r="C43" s="894"/>
      <c r="D43" s="894"/>
      <c r="E43" s="894"/>
      <c r="F43" s="894"/>
      <c r="G43" s="894"/>
      <c r="H43" s="894"/>
      <c r="I43" s="894" t="s">
        <v>261</v>
      </c>
      <c r="J43" s="894"/>
      <c r="K43" s="894"/>
      <c r="L43" s="894"/>
      <c r="M43" s="894"/>
      <c r="N43" s="894"/>
      <c r="O43" s="894"/>
      <c r="P43" s="894"/>
      <c r="V43" s="51">
        <v>189000000</v>
      </c>
    </row>
    <row r="44" spans="1:22" ht="12" customHeight="1" thickBot="1"/>
    <row r="45" spans="1:22">
      <c r="A45" s="895" t="s">
        <v>94</v>
      </c>
      <c r="B45" s="897" t="s">
        <v>95</v>
      </c>
      <c r="C45" s="897" t="s">
        <v>96</v>
      </c>
      <c r="D45" s="897" t="s">
        <v>3</v>
      </c>
      <c r="E45" s="897" t="s">
        <v>97</v>
      </c>
      <c r="F45" s="897" t="s">
        <v>98</v>
      </c>
      <c r="G45" s="897" t="s">
        <v>99</v>
      </c>
      <c r="H45" s="899"/>
      <c r="I45" s="895" t="s">
        <v>94</v>
      </c>
      <c r="J45" s="897" t="s">
        <v>95</v>
      </c>
      <c r="K45" s="897" t="s">
        <v>96</v>
      </c>
      <c r="L45" s="897" t="s">
        <v>3</v>
      </c>
      <c r="M45" s="897" t="s">
        <v>97</v>
      </c>
      <c r="N45" s="897" t="s">
        <v>98</v>
      </c>
      <c r="O45" s="897" t="s">
        <v>99</v>
      </c>
      <c r="P45" s="899"/>
    </row>
    <row r="46" spans="1:22" ht="15.75" thickBot="1">
      <c r="A46" s="896"/>
      <c r="B46" s="898"/>
      <c r="C46" s="898"/>
      <c r="D46" s="898"/>
      <c r="E46" s="898"/>
      <c r="F46" s="898"/>
      <c r="G46" s="240" t="s">
        <v>100</v>
      </c>
      <c r="H46" s="182" t="s">
        <v>101</v>
      </c>
      <c r="I46" s="896"/>
      <c r="J46" s="898"/>
      <c r="K46" s="898"/>
      <c r="L46" s="898"/>
      <c r="M46" s="898"/>
      <c r="N46" s="898"/>
      <c r="O46" s="240" t="s">
        <v>100</v>
      </c>
      <c r="P46" s="182" t="s">
        <v>101</v>
      </c>
    </row>
    <row r="47" spans="1:22" ht="13.5" customHeight="1">
      <c r="A47" s="881">
        <f>+A14+1</f>
        <v>239</v>
      </c>
      <c r="B47" s="875">
        <v>42240</v>
      </c>
      <c r="C47" s="935" t="s">
        <v>28</v>
      </c>
      <c r="D47" s="881" t="s">
        <v>223</v>
      </c>
      <c r="E47" s="881" t="s">
        <v>115</v>
      </c>
      <c r="F47" s="883">
        <v>60000</v>
      </c>
      <c r="G47" s="55">
        <v>719</v>
      </c>
      <c r="H47" s="78">
        <v>60000</v>
      </c>
      <c r="I47" s="873" t="s">
        <v>550</v>
      </c>
      <c r="J47" s="875">
        <v>42380</v>
      </c>
      <c r="K47" s="877" t="s">
        <v>40</v>
      </c>
      <c r="L47" s="881" t="s">
        <v>531</v>
      </c>
      <c r="M47" s="881" t="s">
        <v>148</v>
      </c>
      <c r="N47" s="883">
        <v>31900000</v>
      </c>
      <c r="O47" s="55">
        <v>719</v>
      </c>
      <c r="P47" s="78">
        <v>10000</v>
      </c>
    </row>
    <row r="48" spans="1:22" ht="12.75" customHeight="1" thickBot="1">
      <c r="A48" s="882"/>
      <c r="B48" s="934"/>
      <c r="C48" s="936"/>
      <c r="D48" s="882"/>
      <c r="E48" s="882"/>
      <c r="F48" s="884"/>
      <c r="G48" s="56">
        <v>721</v>
      </c>
      <c r="H48" s="79">
        <f>+F47-H47</f>
        <v>0</v>
      </c>
      <c r="I48" s="874"/>
      <c r="J48" s="876"/>
      <c r="K48" s="878"/>
      <c r="L48" s="882"/>
      <c r="M48" s="882"/>
      <c r="N48" s="884"/>
      <c r="O48" s="56">
        <v>721</v>
      </c>
      <c r="P48" s="79">
        <f>+N47-P47</f>
        <v>31890000</v>
      </c>
    </row>
    <row r="49" spans="1:16" ht="12" customHeight="1">
      <c r="A49" s="881">
        <f>+A47+1</f>
        <v>240</v>
      </c>
      <c r="B49" s="875">
        <v>42240</v>
      </c>
      <c r="C49" s="942" t="s">
        <v>31</v>
      </c>
      <c r="D49" s="881" t="s">
        <v>224</v>
      </c>
      <c r="E49" s="881" t="s">
        <v>115</v>
      </c>
      <c r="F49" s="883">
        <v>140000</v>
      </c>
      <c r="G49" s="55">
        <v>719</v>
      </c>
      <c r="H49" s="78">
        <v>140000</v>
      </c>
      <c r="I49" s="873" t="s">
        <v>551</v>
      </c>
      <c r="J49" s="875">
        <v>42380</v>
      </c>
      <c r="K49" s="881" t="s">
        <v>28</v>
      </c>
      <c r="L49" s="881" t="s">
        <v>532</v>
      </c>
      <c r="M49" s="881" t="s">
        <v>148</v>
      </c>
      <c r="N49" s="883">
        <v>21530865</v>
      </c>
      <c r="O49" s="55">
        <v>719</v>
      </c>
      <c r="P49" s="78">
        <v>60000</v>
      </c>
    </row>
    <row r="50" spans="1:16" ht="15" customHeight="1" thickBot="1">
      <c r="A50" s="882"/>
      <c r="B50" s="934"/>
      <c r="C50" s="943"/>
      <c r="D50" s="882"/>
      <c r="E50" s="882"/>
      <c r="F50" s="884"/>
      <c r="G50" s="56">
        <v>721</v>
      </c>
      <c r="H50" s="79"/>
      <c r="I50" s="874"/>
      <c r="J50" s="876"/>
      <c r="K50" s="882"/>
      <c r="L50" s="882"/>
      <c r="M50" s="882"/>
      <c r="N50" s="884"/>
      <c r="O50" s="56">
        <v>721</v>
      </c>
      <c r="P50" s="79">
        <f>+N49-P49</f>
        <v>21470865</v>
      </c>
    </row>
    <row r="51" spans="1:16" ht="13.5" customHeight="1">
      <c r="A51" s="881">
        <f>+A49+1</f>
        <v>241</v>
      </c>
      <c r="B51" s="875">
        <v>42240</v>
      </c>
      <c r="C51" s="942" t="s">
        <v>32</v>
      </c>
      <c r="D51" s="881" t="s">
        <v>225</v>
      </c>
      <c r="E51" s="881" t="s">
        <v>115</v>
      </c>
      <c r="F51" s="883">
        <v>50000</v>
      </c>
      <c r="G51" s="55">
        <v>719</v>
      </c>
      <c r="H51" s="78">
        <v>50000</v>
      </c>
      <c r="I51" s="873" t="s">
        <v>552</v>
      </c>
      <c r="J51" s="875">
        <v>42380</v>
      </c>
      <c r="K51" s="877" t="s">
        <v>32</v>
      </c>
      <c r="L51" s="881" t="s">
        <v>533</v>
      </c>
      <c r="M51" s="881" t="s">
        <v>148</v>
      </c>
      <c r="N51" s="883">
        <v>6615000</v>
      </c>
      <c r="O51" s="55">
        <v>719</v>
      </c>
      <c r="P51" s="78">
        <v>30000</v>
      </c>
    </row>
    <row r="52" spans="1:16" ht="15" customHeight="1" thickBot="1">
      <c r="A52" s="882"/>
      <c r="B52" s="934"/>
      <c r="C52" s="943"/>
      <c r="D52" s="882"/>
      <c r="E52" s="882"/>
      <c r="F52" s="884"/>
      <c r="G52" s="56">
        <v>721</v>
      </c>
      <c r="H52" s="79">
        <f>+F51-H51</f>
        <v>0</v>
      </c>
      <c r="I52" s="874"/>
      <c r="J52" s="876"/>
      <c r="K52" s="878"/>
      <c r="L52" s="882"/>
      <c r="M52" s="882"/>
      <c r="N52" s="884"/>
      <c r="O52" s="56">
        <v>721</v>
      </c>
      <c r="P52" s="79">
        <f>+N51-P51</f>
        <v>6585000</v>
      </c>
    </row>
    <row r="53" spans="1:16" ht="15.75" customHeight="1">
      <c r="A53" s="881"/>
      <c r="B53" s="875"/>
      <c r="C53" s="935"/>
      <c r="D53" s="877"/>
      <c r="E53" s="881"/>
      <c r="F53" s="883"/>
      <c r="G53" s="55">
        <v>719</v>
      </c>
      <c r="H53" s="78"/>
      <c r="I53" s="873" t="s">
        <v>553</v>
      </c>
      <c r="J53" s="875">
        <v>42380</v>
      </c>
      <c r="K53" s="877" t="s">
        <v>111</v>
      </c>
      <c r="L53" s="881" t="s">
        <v>542</v>
      </c>
      <c r="M53" s="881" t="s">
        <v>148</v>
      </c>
      <c r="N53" s="883">
        <v>630000</v>
      </c>
      <c r="O53" s="55">
        <v>719</v>
      </c>
      <c r="P53" s="78">
        <v>20000</v>
      </c>
    </row>
    <row r="54" spans="1:16" ht="12.75" customHeight="1" thickBot="1">
      <c r="A54" s="882"/>
      <c r="B54" s="934"/>
      <c r="C54" s="936"/>
      <c r="D54" s="878"/>
      <c r="E54" s="882"/>
      <c r="F54" s="884"/>
      <c r="G54" s="56">
        <v>721</v>
      </c>
      <c r="H54" s="79">
        <f>+F53-H53</f>
        <v>0</v>
      </c>
      <c r="I54" s="874"/>
      <c r="J54" s="876"/>
      <c r="K54" s="878"/>
      <c r="L54" s="882"/>
      <c r="M54" s="882"/>
      <c r="N54" s="884"/>
      <c r="O54" s="56">
        <v>721</v>
      </c>
      <c r="P54" s="79">
        <f>+N53-P53</f>
        <v>610000</v>
      </c>
    </row>
    <row r="55" spans="1:16" ht="12.75" customHeight="1">
      <c r="A55" s="881"/>
      <c r="B55" s="875"/>
      <c r="C55" s="935"/>
      <c r="D55" s="877"/>
      <c r="E55" s="881"/>
      <c r="F55" s="883"/>
      <c r="G55" s="55">
        <v>719</v>
      </c>
      <c r="H55" s="78"/>
      <c r="I55" s="873" t="s">
        <v>554</v>
      </c>
      <c r="J55" s="875">
        <v>42380</v>
      </c>
      <c r="K55" s="877" t="s">
        <v>272</v>
      </c>
      <c r="L55" s="881" t="s">
        <v>532</v>
      </c>
      <c r="M55" s="881" t="s">
        <v>148</v>
      </c>
      <c r="N55" s="883">
        <v>30947490</v>
      </c>
      <c r="O55" s="55">
        <v>719</v>
      </c>
      <c r="P55" s="78">
        <v>90000</v>
      </c>
    </row>
    <row r="56" spans="1:16" ht="13.5" customHeight="1" thickBot="1">
      <c r="A56" s="882"/>
      <c r="B56" s="934"/>
      <c r="C56" s="936"/>
      <c r="D56" s="878"/>
      <c r="E56" s="882"/>
      <c r="F56" s="884"/>
      <c r="G56" s="56">
        <v>721</v>
      </c>
      <c r="H56" s="79">
        <f>+F55-H55</f>
        <v>0</v>
      </c>
      <c r="I56" s="874"/>
      <c r="J56" s="876"/>
      <c r="K56" s="878"/>
      <c r="L56" s="882"/>
      <c r="M56" s="882"/>
      <c r="N56" s="884"/>
      <c r="O56" s="56">
        <v>721</v>
      </c>
      <c r="P56" s="79">
        <f>+N55-P55</f>
        <v>30857490</v>
      </c>
    </row>
    <row r="57" spans="1:16" ht="15.75" customHeight="1" thickBot="1">
      <c r="A57" s="901" t="s">
        <v>102</v>
      </c>
      <c r="B57" s="902"/>
      <c r="C57" s="902"/>
      <c r="D57" s="902"/>
      <c r="E57" s="903"/>
      <c r="F57" s="81">
        <f>SUM(F47:F56)</f>
        <v>250000</v>
      </c>
      <c r="I57" s="901" t="s">
        <v>102</v>
      </c>
      <c r="J57" s="902"/>
      <c r="K57" s="902"/>
      <c r="L57" s="902"/>
      <c r="M57" s="903"/>
      <c r="N57" s="81">
        <f>SUM(N47:N56)</f>
        <v>91623355</v>
      </c>
    </row>
    <row r="58" spans="1:16" ht="16.5" thickBot="1">
      <c r="A58" s="885" t="s">
        <v>103</v>
      </c>
      <c r="B58" s="886"/>
      <c r="C58" s="886"/>
      <c r="D58" s="886"/>
      <c r="E58" s="887"/>
      <c r="F58" s="69">
        <f>+C72</f>
        <v>611067841</v>
      </c>
      <c r="I58" s="885" t="s">
        <v>103</v>
      </c>
      <c r="J58" s="886"/>
      <c r="K58" s="886"/>
      <c r="L58" s="886"/>
      <c r="M58" s="887"/>
      <c r="N58" s="69">
        <f>+N22</f>
        <v>4520000</v>
      </c>
    </row>
    <row r="59" spans="1:16" ht="15" customHeight="1" thickBot="1">
      <c r="A59" s="888" t="s">
        <v>104</v>
      </c>
      <c r="B59" s="889"/>
      <c r="C59" s="889"/>
      <c r="D59" s="889"/>
      <c r="E59" s="890"/>
      <c r="F59" s="183">
        <f>SUM(F57:F58)</f>
        <v>611317841</v>
      </c>
      <c r="I59" s="888" t="s">
        <v>104</v>
      </c>
      <c r="J59" s="889"/>
      <c r="K59" s="889"/>
      <c r="L59" s="889"/>
      <c r="M59" s="890"/>
      <c r="N59" s="183">
        <f>SUM(N57:N58)</f>
        <v>96143355</v>
      </c>
    </row>
    <row r="60" spans="1:16" ht="11.25" customHeight="1">
      <c r="A60" s="61"/>
      <c r="B60" s="61"/>
      <c r="C60" s="61"/>
      <c r="D60" s="61"/>
      <c r="E60" s="61"/>
      <c r="I60" s="61"/>
      <c r="J60" s="61"/>
      <c r="K60" s="61"/>
      <c r="L60" s="61"/>
      <c r="M60" s="61"/>
    </row>
    <row r="61" spans="1:16">
      <c r="A61" s="51" t="s">
        <v>226</v>
      </c>
      <c r="I61" s="51" t="s">
        <v>543</v>
      </c>
    </row>
    <row r="62" spans="1:16" ht="9.75" customHeight="1">
      <c r="F62" s="139"/>
      <c r="N62" s="139"/>
    </row>
    <row r="63" spans="1:16">
      <c r="A63" s="50" t="s">
        <v>105</v>
      </c>
      <c r="D63" s="146"/>
      <c r="F63" s="139"/>
      <c r="I63" s="50" t="s">
        <v>105</v>
      </c>
      <c r="L63" s="146"/>
      <c r="N63" s="139"/>
    </row>
    <row r="64" spans="1:16" ht="12" customHeight="1" thickBot="1"/>
    <row r="65" spans="1:16" ht="15.75" thickBot="1">
      <c r="A65" s="891" t="s">
        <v>106</v>
      </c>
      <c r="B65" s="892"/>
      <c r="C65" s="892"/>
      <c r="D65" s="893"/>
      <c r="F65" s="50" t="s">
        <v>107</v>
      </c>
      <c r="I65" s="891" t="s">
        <v>106</v>
      </c>
      <c r="J65" s="892"/>
      <c r="K65" s="892"/>
      <c r="L65" s="893"/>
      <c r="N65" s="50" t="s">
        <v>288</v>
      </c>
    </row>
    <row r="66" spans="1:16" ht="30.75" thickBot="1">
      <c r="A66" s="57" t="s">
        <v>100</v>
      </c>
      <c r="B66" s="58" t="s">
        <v>108</v>
      </c>
      <c r="C66" s="59" t="s">
        <v>109</v>
      </c>
      <c r="D66" s="60" t="s">
        <v>110</v>
      </c>
      <c r="I66" s="57" t="s">
        <v>100</v>
      </c>
      <c r="J66" s="58" t="s">
        <v>108</v>
      </c>
      <c r="K66" s="59" t="s">
        <v>109</v>
      </c>
      <c r="L66" s="60" t="s">
        <v>110</v>
      </c>
    </row>
    <row r="67" spans="1:16" ht="14.25" customHeight="1">
      <c r="A67" s="71">
        <v>719</v>
      </c>
      <c r="B67" s="73">
        <f>+H47+H49+H51</f>
        <v>250000</v>
      </c>
      <c r="C67" s="74">
        <f>+D30</f>
        <v>28330000</v>
      </c>
      <c r="D67" s="76">
        <f>+B67+C67</f>
        <v>28580000</v>
      </c>
      <c r="I67" s="71">
        <v>719</v>
      </c>
      <c r="J67" s="73"/>
      <c r="K67" s="74">
        <f>+L30</f>
        <v>0</v>
      </c>
      <c r="L67" s="195">
        <f>+J67+K67</f>
        <v>0</v>
      </c>
    </row>
    <row r="68" spans="1:16" ht="13.5" customHeight="1">
      <c r="A68" s="72">
        <v>721</v>
      </c>
      <c r="B68" s="80"/>
      <c r="C68" s="74">
        <f>+D31</f>
        <v>36156092</v>
      </c>
      <c r="D68" s="76">
        <f>+B68+C68</f>
        <v>36156092</v>
      </c>
      <c r="I68" s="72">
        <v>721</v>
      </c>
      <c r="J68" s="80"/>
      <c r="K68" s="74">
        <f>+L31</f>
        <v>0</v>
      </c>
      <c r="L68" s="195">
        <f>+J68+K68</f>
        <v>0</v>
      </c>
    </row>
    <row r="69" spans="1:16" ht="12.75" customHeight="1">
      <c r="A69" s="72">
        <v>722</v>
      </c>
      <c r="B69" s="80"/>
      <c r="C69" s="74">
        <f>+D32</f>
        <v>224787287</v>
      </c>
      <c r="D69" s="76">
        <f>+B69+C69</f>
        <v>224787287</v>
      </c>
      <c r="I69" s="72">
        <v>722</v>
      </c>
      <c r="J69" s="80"/>
      <c r="K69" s="74">
        <f>+L32</f>
        <v>0</v>
      </c>
      <c r="L69" s="195">
        <f>+J69+K69</f>
        <v>0</v>
      </c>
    </row>
    <row r="70" spans="1:16" ht="14.25" customHeight="1">
      <c r="A70" s="72">
        <v>723</v>
      </c>
      <c r="B70" s="80"/>
      <c r="C70" s="74">
        <f>+D33</f>
        <v>319828837</v>
      </c>
      <c r="D70" s="76">
        <f>+B70+C70</f>
        <v>319828837</v>
      </c>
      <c r="F70" s="174" t="s">
        <v>23</v>
      </c>
      <c r="G70" s="175"/>
      <c r="I70" s="72">
        <v>723</v>
      </c>
      <c r="J70" s="80">
        <f>+N57</f>
        <v>91623355</v>
      </c>
      <c r="K70" s="74">
        <f>+L33</f>
        <v>4520000</v>
      </c>
      <c r="L70" s="195">
        <f>+J70+K70</f>
        <v>96143355</v>
      </c>
      <c r="N70" s="193" t="s">
        <v>289</v>
      </c>
      <c r="O70" s="175"/>
    </row>
    <row r="71" spans="1:16" ht="14.25" customHeight="1" thickBot="1">
      <c r="A71" s="164" t="s">
        <v>181</v>
      </c>
      <c r="B71" s="165"/>
      <c r="C71" s="74">
        <f>+D34</f>
        <v>1965625</v>
      </c>
      <c r="D71" s="168">
        <f>+B71+C71</f>
        <v>1965625</v>
      </c>
      <c r="F71" s="52"/>
      <c r="I71" s="164" t="s">
        <v>181</v>
      </c>
      <c r="J71" s="165"/>
      <c r="K71" s="74">
        <f>+L34</f>
        <v>0</v>
      </c>
      <c r="L71" s="196">
        <f>+J71+K71</f>
        <v>0</v>
      </c>
      <c r="N71" s="52"/>
    </row>
    <row r="72" spans="1:16" ht="16.5" thickBot="1">
      <c r="A72" s="169"/>
      <c r="B72" s="170">
        <f>SUM(B67:B71)</f>
        <v>250000</v>
      </c>
      <c r="C72" s="171">
        <f>SUM(C67:C71)</f>
        <v>611067841</v>
      </c>
      <c r="D72" s="172">
        <f>SUM(D67:D71)</f>
        <v>611317841</v>
      </c>
      <c r="I72" s="169"/>
      <c r="J72" s="197">
        <f>SUM(J67:J71)</f>
        <v>91623355</v>
      </c>
      <c r="K72" s="197">
        <f>SUM(K67:K71)</f>
        <v>4520000</v>
      </c>
      <c r="L72" s="198">
        <f>SUM(L67:L71)</f>
        <v>96143355</v>
      </c>
    </row>
    <row r="73" spans="1:16" ht="16.5">
      <c r="A73" s="49" t="s">
        <v>88</v>
      </c>
      <c r="B73" s="50"/>
      <c r="I73" s="49" t="s">
        <v>88</v>
      </c>
      <c r="J73" s="50"/>
    </row>
    <row r="74" spans="1:16">
      <c r="A74" s="51" t="s">
        <v>89</v>
      </c>
      <c r="I74" s="51" t="s">
        <v>89</v>
      </c>
    </row>
    <row r="75" spans="1:16">
      <c r="A75" s="51" t="s">
        <v>90</v>
      </c>
      <c r="I75" s="51" t="s">
        <v>90</v>
      </c>
    </row>
    <row r="76" spans="1:16" ht="15" customHeight="1">
      <c r="A76" s="51" t="s">
        <v>91</v>
      </c>
      <c r="I76" s="51" t="s">
        <v>91</v>
      </c>
    </row>
    <row r="77" spans="1:16" ht="12" customHeight="1">
      <c r="A77" s="50"/>
      <c r="B77" s="50"/>
      <c r="I77" s="50"/>
      <c r="J77" s="50"/>
    </row>
    <row r="78" spans="1:16" ht="15" customHeight="1">
      <c r="A78" s="52" t="s">
        <v>227</v>
      </c>
      <c r="B78" s="50"/>
      <c r="G78" s="52"/>
      <c r="I78" s="52" t="s">
        <v>539</v>
      </c>
      <c r="O78" s="52"/>
    </row>
    <row r="79" spans="1:16" ht="15.75" customHeight="1">
      <c r="A79" s="53" t="s">
        <v>92</v>
      </c>
      <c r="G79" s="53"/>
      <c r="I79" s="53" t="s">
        <v>1333</v>
      </c>
      <c r="O79" s="53"/>
    </row>
    <row r="80" spans="1:16" ht="15" customHeight="1">
      <c r="A80" s="894" t="s">
        <v>228</v>
      </c>
      <c r="B80" s="894"/>
      <c r="C80" s="894"/>
      <c r="D80" s="894"/>
      <c r="E80" s="894"/>
      <c r="F80" s="894"/>
      <c r="G80" s="894"/>
      <c r="H80" s="894"/>
      <c r="I80" s="894" t="s">
        <v>261</v>
      </c>
      <c r="J80" s="894"/>
      <c r="K80" s="894"/>
      <c r="L80" s="894"/>
      <c r="M80" s="894"/>
      <c r="N80" s="894"/>
      <c r="O80" s="894"/>
      <c r="P80" s="894"/>
    </row>
    <row r="81" spans="1:16" ht="12.75" customHeight="1" thickBot="1"/>
    <row r="82" spans="1:16" ht="15" customHeight="1">
      <c r="A82" s="895" t="s">
        <v>94</v>
      </c>
      <c r="B82" s="897" t="s">
        <v>95</v>
      </c>
      <c r="C82" s="897" t="s">
        <v>96</v>
      </c>
      <c r="D82" s="897" t="s">
        <v>3</v>
      </c>
      <c r="E82" s="897" t="s">
        <v>97</v>
      </c>
      <c r="F82" s="897" t="s">
        <v>98</v>
      </c>
      <c r="G82" s="897" t="s">
        <v>99</v>
      </c>
      <c r="H82" s="899"/>
      <c r="I82" s="895" t="s">
        <v>94</v>
      </c>
      <c r="J82" s="897" t="s">
        <v>95</v>
      </c>
      <c r="K82" s="897" t="s">
        <v>96</v>
      </c>
      <c r="L82" s="897" t="s">
        <v>3</v>
      </c>
      <c r="M82" s="897" t="s">
        <v>97</v>
      </c>
      <c r="N82" s="897" t="s">
        <v>98</v>
      </c>
      <c r="O82" s="897" t="s">
        <v>99</v>
      </c>
      <c r="P82" s="899"/>
    </row>
    <row r="83" spans="1:16" ht="15.75" customHeight="1" thickBot="1">
      <c r="A83" s="896"/>
      <c r="B83" s="898"/>
      <c r="C83" s="898"/>
      <c r="D83" s="898"/>
      <c r="E83" s="898"/>
      <c r="F83" s="898"/>
      <c r="G83" s="240" t="s">
        <v>100</v>
      </c>
      <c r="H83" s="182" t="s">
        <v>101</v>
      </c>
      <c r="I83" s="896"/>
      <c r="J83" s="898"/>
      <c r="K83" s="898"/>
      <c r="L83" s="898"/>
      <c r="M83" s="898"/>
      <c r="N83" s="898"/>
      <c r="O83" s="240" t="s">
        <v>100</v>
      </c>
      <c r="P83" s="182" t="s">
        <v>101</v>
      </c>
    </row>
    <row r="84" spans="1:16" ht="13.5" customHeight="1">
      <c r="A84" s="881">
        <f>+A51+1</f>
        <v>242</v>
      </c>
      <c r="B84" s="875">
        <v>42242</v>
      </c>
      <c r="C84" s="877" t="s">
        <v>230</v>
      </c>
      <c r="D84" s="881" t="s">
        <v>244</v>
      </c>
      <c r="E84" s="881" t="s">
        <v>148</v>
      </c>
      <c r="F84" s="883">
        <v>182000</v>
      </c>
      <c r="G84" s="55">
        <v>719</v>
      </c>
      <c r="H84" s="78">
        <v>130000</v>
      </c>
      <c r="I84" s="873">
        <f>+I55+1</f>
        <v>10</v>
      </c>
      <c r="J84" s="875">
        <v>42387</v>
      </c>
      <c r="K84" s="910" t="s">
        <v>555</v>
      </c>
      <c r="L84" s="910" t="s">
        <v>556</v>
      </c>
      <c r="M84" s="881" t="s">
        <v>163</v>
      </c>
      <c r="N84" s="883">
        <v>2205000</v>
      </c>
      <c r="O84" s="55">
        <v>719</v>
      </c>
      <c r="P84" s="78"/>
    </row>
    <row r="85" spans="1:16" ht="14.25" customHeight="1" thickBot="1">
      <c r="A85" s="882"/>
      <c r="B85" s="934"/>
      <c r="C85" s="878"/>
      <c r="D85" s="882"/>
      <c r="E85" s="882"/>
      <c r="F85" s="884"/>
      <c r="G85" s="56">
        <v>721</v>
      </c>
      <c r="H85" s="79">
        <f>+F84-H84</f>
        <v>52000</v>
      </c>
      <c r="I85" s="882"/>
      <c r="J85" s="876"/>
      <c r="K85" s="911"/>
      <c r="L85" s="911"/>
      <c r="M85" s="882"/>
      <c r="N85" s="884"/>
      <c r="O85" s="56">
        <v>723</v>
      </c>
      <c r="P85" s="79">
        <f>+N84-P84</f>
        <v>2205000</v>
      </c>
    </row>
    <row r="86" spans="1:16" ht="15" customHeight="1">
      <c r="A86" s="881">
        <f>+A84+1</f>
        <v>243</v>
      </c>
      <c r="B86" s="875">
        <v>42242</v>
      </c>
      <c r="C86" s="881" t="s">
        <v>28</v>
      </c>
      <c r="D86" s="881" t="s">
        <v>229</v>
      </c>
      <c r="E86" s="881" t="s">
        <v>148</v>
      </c>
      <c r="F86" s="883">
        <v>336000</v>
      </c>
      <c r="G86" s="55">
        <v>719</v>
      </c>
      <c r="H86" s="78">
        <v>240000</v>
      </c>
      <c r="I86" s="881"/>
      <c r="J86" s="875"/>
      <c r="K86" s="881"/>
      <c r="L86" s="881"/>
      <c r="M86" s="881"/>
      <c r="N86" s="883">
        <v>8820000</v>
      </c>
      <c r="O86" s="55">
        <v>719</v>
      </c>
      <c r="P86" s="78"/>
    </row>
    <row r="87" spans="1:16" ht="14.25" customHeight="1" thickBot="1">
      <c r="A87" s="882"/>
      <c r="B87" s="934"/>
      <c r="C87" s="882"/>
      <c r="D87" s="882"/>
      <c r="E87" s="882"/>
      <c r="F87" s="884"/>
      <c r="G87" s="56">
        <v>721</v>
      </c>
      <c r="H87" s="79">
        <f>+F86-H86</f>
        <v>96000</v>
      </c>
      <c r="I87" s="882"/>
      <c r="J87" s="876"/>
      <c r="K87" s="882"/>
      <c r="L87" s="882"/>
      <c r="M87" s="882"/>
      <c r="N87" s="884"/>
      <c r="O87" s="56">
        <v>721</v>
      </c>
      <c r="P87" s="79">
        <f>+N86-P86</f>
        <v>8820000</v>
      </c>
    </row>
    <row r="88" spans="1:16" ht="15" customHeight="1">
      <c r="A88" s="881">
        <f>+A86+1</f>
        <v>244</v>
      </c>
      <c r="B88" s="875">
        <v>42242</v>
      </c>
      <c r="C88" s="877" t="s">
        <v>32</v>
      </c>
      <c r="D88" s="881" t="s">
        <v>229</v>
      </c>
      <c r="E88" s="881" t="s">
        <v>148</v>
      </c>
      <c r="F88" s="883">
        <v>56000</v>
      </c>
      <c r="G88" s="55">
        <v>719</v>
      </c>
      <c r="H88" s="78">
        <v>40000</v>
      </c>
      <c r="I88" s="881"/>
      <c r="J88" s="875"/>
      <c r="K88" s="877"/>
      <c r="L88" s="881"/>
      <c r="M88" s="881"/>
      <c r="N88" s="883">
        <v>2142000</v>
      </c>
      <c r="O88" s="55">
        <v>719</v>
      </c>
      <c r="P88" s="78"/>
    </row>
    <row r="89" spans="1:16" ht="14.25" customHeight="1" thickBot="1">
      <c r="A89" s="882"/>
      <c r="B89" s="934"/>
      <c r="C89" s="878"/>
      <c r="D89" s="882"/>
      <c r="E89" s="882"/>
      <c r="F89" s="884"/>
      <c r="G89" s="56">
        <v>721</v>
      </c>
      <c r="H89" s="79">
        <f>+F88-H88</f>
        <v>16000</v>
      </c>
      <c r="I89" s="882"/>
      <c r="J89" s="876"/>
      <c r="K89" s="878"/>
      <c r="L89" s="882"/>
      <c r="M89" s="882"/>
      <c r="N89" s="884"/>
      <c r="O89" s="56">
        <v>721</v>
      </c>
      <c r="P89" s="79">
        <f>+N88-P88</f>
        <v>2142000</v>
      </c>
    </row>
    <row r="90" spans="1:16" ht="15" customHeight="1">
      <c r="A90" s="881" t="e">
        <f>+#REF!+1</f>
        <v>#REF!</v>
      </c>
      <c r="B90" s="875">
        <v>42242</v>
      </c>
      <c r="C90" s="881" t="s">
        <v>31</v>
      </c>
      <c r="D90" s="881" t="s">
        <v>229</v>
      </c>
      <c r="E90" s="881" t="s">
        <v>148</v>
      </c>
      <c r="F90" s="883">
        <v>588000</v>
      </c>
      <c r="G90" s="55">
        <v>719</v>
      </c>
      <c r="H90" s="78">
        <v>420000</v>
      </c>
      <c r="I90" s="881"/>
      <c r="J90" s="875"/>
      <c r="K90" s="877"/>
      <c r="L90" s="881"/>
      <c r="M90" s="881"/>
      <c r="N90" s="883">
        <v>3150000</v>
      </c>
      <c r="O90" s="55">
        <v>719</v>
      </c>
      <c r="P90" s="78"/>
    </row>
    <row r="91" spans="1:16" ht="15" customHeight="1" thickBot="1">
      <c r="A91" s="882"/>
      <c r="B91" s="934"/>
      <c r="C91" s="882"/>
      <c r="D91" s="882"/>
      <c r="E91" s="882"/>
      <c r="F91" s="884"/>
      <c r="G91" s="56">
        <v>721</v>
      </c>
      <c r="H91" s="79">
        <f>+F90-H90</f>
        <v>168000</v>
      </c>
      <c r="I91" s="882"/>
      <c r="J91" s="876"/>
      <c r="K91" s="878"/>
      <c r="L91" s="882"/>
      <c r="M91" s="882"/>
      <c r="N91" s="884"/>
      <c r="O91" s="56">
        <v>721</v>
      </c>
      <c r="P91" s="79">
        <f>+N90-P90</f>
        <v>3150000</v>
      </c>
    </row>
    <row r="92" spans="1:16" ht="16.5" thickBot="1">
      <c r="A92" s="901" t="s">
        <v>102</v>
      </c>
      <c r="B92" s="902"/>
      <c r="C92" s="902"/>
      <c r="D92" s="902"/>
      <c r="E92" s="903"/>
      <c r="F92" s="81">
        <f>SUM(F84:F91)</f>
        <v>1162000</v>
      </c>
      <c r="I92" s="901" t="s">
        <v>102</v>
      </c>
      <c r="J92" s="902"/>
      <c r="K92" s="902"/>
      <c r="L92" s="902"/>
      <c r="M92" s="903"/>
      <c r="N92" s="81">
        <v>20727000</v>
      </c>
    </row>
    <row r="93" spans="1:16" ht="16.5" thickBot="1">
      <c r="A93" s="885" t="s">
        <v>103</v>
      </c>
      <c r="B93" s="886"/>
      <c r="C93" s="886"/>
      <c r="D93" s="886"/>
      <c r="E93" s="887"/>
      <c r="F93" s="184">
        <f>+C107</f>
        <v>611317841</v>
      </c>
      <c r="I93" s="885" t="s">
        <v>103</v>
      </c>
      <c r="J93" s="886"/>
      <c r="K93" s="886"/>
      <c r="L93" s="886"/>
      <c r="M93" s="887"/>
      <c r="N93" s="69">
        <f>+N59</f>
        <v>96143355</v>
      </c>
    </row>
    <row r="94" spans="1:16" ht="16.5" thickBot="1">
      <c r="A94" s="888" t="s">
        <v>104</v>
      </c>
      <c r="B94" s="889"/>
      <c r="C94" s="889"/>
      <c r="D94" s="889"/>
      <c r="E94" s="890"/>
      <c r="F94" s="183">
        <f>SUM(F92:F93)</f>
        <v>612479841</v>
      </c>
      <c r="I94" s="888" t="s">
        <v>104</v>
      </c>
      <c r="J94" s="889"/>
      <c r="K94" s="889"/>
      <c r="L94" s="889"/>
      <c r="M94" s="890"/>
      <c r="N94" s="183">
        <f>SUM(N92:N93)</f>
        <v>116870355</v>
      </c>
    </row>
    <row r="95" spans="1:16" ht="14.25" customHeight="1">
      <c r="A95" s="61"/>
      <c r="B95" s="61"/>
      <c r="C95" s="61"/>
      <c r="D95" s="61"/>
      <c r="E95" s="61"/>
      <c r="I95" s="61"/>
      <c r="J95" s="61"/>
      <c r="K95" s="61"/>
      <c r="L95" s="61"/>
      <c r="M95" s="61"/>
    </row>
    <row r="96" spans="1:16">
      <c r="A96" s="51" t="s">
        <v>232</v>
      </c>
      <c r="I96" s="51" t="s">
        <v>557</v>
      </c>
    </row>
    <row r="97" spans="1:15" ht="15" customHeight="1">
      <c r="F97" s="139"/>
      <c r="N97" s="139"/>
    </row>
    <row r="98" spans="1:15">
      <c r="A98" s="50" t="s">
        <v>105</v>
      </c>
      <c r="D98" s="146"/>
      <c r="I98" s="50" t="s">
        <v>105</v>
      </c>
      <c r="L98" s="146"/>
      <c r="N98" s="139"/>
    </row>
    <row r="99" spans="1:15" ht="13.5" customHeight="1" thickBot="1"/>
    <row r="100" spans="1:15" ht="15.75" thickBot="1">
      <c r="A100" s="891" t="s">
        <v>106</v>
      </c>
      <c r="B100" s="892"/>
      <c r="C100" s="892"/>
      <c r="D100" s="893"/>
      <c r="F100" s="50" t="s">
        <v>107</v>
      </c>
      <c r="I100" s="891" t="s">
        <v>106</v>
      </c>
      <c r="J100" s="892"/>
      <c r="K100" s="892"/>
      <c r="L100" s="893"/>
      <c r="N100" s="50" t="s">
        <v>288</v>
      </c>
    </row>
    <row r="101" spans="1:15" ht="30.75" thickBot="1">
      <c r="A101" s="57" t="s">
        <v>100</v>
      </c>
      <c r="B101" s="58" t="s">
        <v>108</v>
      </c>
      <c r="C101" s="59" t="s">
        <v>109</v>
      </c>
      <c r="D101" s="60" t="s">
        <v>110</v>
      </c>
      <c r="I101" s="57" t="s">
        <v>100</v>
      </c>
      <c r="J101" s="58" t="s">
        <v>108</v>
      </c>
      <c r="K101" s="59" t="s">
        <v>109</v>
      </c>
      <c r="L101" s="60" t="s">
        <v>110</v>
      </c>
    </row>
    <row r="102" spans="1:15" ht="12.75" customHeight="1">
      <c r="A102" s="71">
        <v>719</v>
      </c>
      <c r="B102" s="73" t="e">
        <f>+H84+H86+H88+#REF!+H90</f>
        <v>#REF!</v>
      </c>
      <c r="C102" s="74">
        <f>+D67</f>
        <v>28580000</v>
      </c>
      <c r="D102" s="76" t="e">
        <f>+B102+C102</f>
        <v>#REF!</v>
      </c>
      <c r="I102" s="71">
        <v>719</v>
      </c>
      <c r="J102" s="73">
        <v>0</v>
      </c>
      <c r="K102" s="74"/>
      <c r="L102" s="195"/>
    </row>
    <row r="103" spans="1:15" ht="13.5" customHeight="1">
      <c r="A103" s="72">
        <v>721</v>
      </c>
      <c r="B103" s="80" t="e">
        <f>+H91+#REF!+H89+H87+H85</f>
        <v>#REF!</v>
      </c>
      <c r="C103" s="74">
        <f>+D68</f>
        <v>36156092</v>
      </c>
      <c r="D103" s="76" t="e">
        <f>+B103+C103</f>
        <v>#REF!</v>
      </c>
      <c r="I103" s="72">
        <v>721</v>
      </c>
      <c r="J103" s="80"/>
      <c r="K103" s="74"/>
      <c r="L103" s="195"/>
    </row>
    <row r="104" spans="1:15">
      <c r="A104" s="72">
        <v>722</v>
      </c>
      <c r="B104" s="80"/>
      <c r="C104" s="74">
        <f>+D69</f>
        <v>224787287</v>
      </c>
      <c r="D104" s="76">
        <f>+B104+C104</f>
        <v>224787287</v>
      </c>
      <c r="I104" s="72">
        <v>722</v>
      </c>
      <c r="J104" s="80">
        <v>0</v>
      </c>
      <c r="K104" s="74">
        <f>+L69</f>
        <v>0</v>
      </c>
      <c r="L104" s="195"/>
    </row>
    <row r="105" spans="1:15" ht="15.75">
      <c r="A105" s="72">
        <v>723</v>
      </c>
      <c r="B105" s="80"/>
      <c r="C105" s="74">
        <f>+D70</f>
        <v>319828837</v>
      </c>
      <c r="D105" s="76">
        <f>+B105+C105</f>
        <v>319828837</v>
      </c>
      <c r="F105" s="174" t="s">
        <v>23</v>
      </c>
      <c r="I105" s="72">
        <v>723</v>
      </c>
      <c r="J105" s="80">
        <f>+N93</f>
        <v>96143355</v>
      </c>
      <c r="K105" s="74">
        <v>20727000</v>
      </c>
      <c r="L105" s="195">
        <f>+J105+K105</f>
        <v>116870355</v>
      </c>
      <c r="N105" s="174" t="s">
        <v>558</v>
      </c>
      <c r="O105" s="175"/>
    </row>
    <row r="106" spans="1:15" ht="16.5" thickBot="1">
      <c r="A106" s="164" t="s">
        <v>181</v>
      </c>
      <c r="B106" s="165"/>
      <c r="C106" s="74">
        <f>+D71</f>
        <v>1965625</v>
      </c>
      <c r="D106" s="168">
        <f>+B106+C106</f>
        <v>1965625</v>
      </c>
      <c r="F106" s="52"/>
      <c r="I106" s="164" t="s">
        <v>181</v>
      </c>
      <c r="J106" s="165"/>
      <c r="K106" s="74">
        <f>+L71</f>
        <v>0</v>
      </c>
      <c r="L106" s="196">
        <f>+J106+K106</f>
        <v>0</v>
      </c>
      <c r="N106" s="52"/>
    </row>
    <row r="107" spans="1:15" ht="16.5" thickBot="1">
      <c r="A107" s="169"/>
      <c r="B107" s="170" t="e">
        <f>SUM(B102:B106)</f>
        <v>#REF!</v>
      </c>
      <c r="C107" s="171">
        <f>SUM(C102:C106)</f>
        <v>611317841</v>
      </c>
      <c r="D107" s="172" t="e">
        <f>SUM(D102:D106)</f>
        <v>#REF!</v>
      </c>
      <c r="I107" s="169"/>
      <c r="J107" s="197">
        <f>SUM(J102:J106)</f>
        <v>96143355</v>
      </c>
      <c r="K107" s="197">
        <f>SUM(K102:K106)</f>
        <v>20727000</v>
      </c>
      <c r="L107" s="198">
        <f>SUM(L102:L106)</f>
        <v>116870355</v>
      </c>
    </row>
    <row r="108" spans="1:15" ht="16.5">
      <c r="A108" s="49" t="s">
        <v>88</v>
      </c>
      <c r="B108" s="50"/>
      <c r="I108" s="49" t="s">
        <v>88</v>
      </c>
      <c r="J108" s="50"/>
    </row>
    <row r="109" spans="1:15">
      <c r="A109" s="51" t="s">
        <v>89</v>
      </c>
      <c r="I109" s="51" t="s">
        <v>89</v>
      </c>
    </row>
    <row r="110" spans="1:15">
      <c r="A110" s="51" t="s">
        <v>90</v>
      </c>
      <c r="I110" s="51" t="s">
        <v>90</v>
      </c>
    </row>
    <row r="111" spans="1:15" ht="18.75" customHeight="1">
      <c r="A111" s="51" t="s">
        <v>91</v>
      </c>
      <c r="I111" s="51" t="s">
        <v>91</v>
      </c>
    </row>
    <row r="112" spans="1:15" ht="10.5" customHeight="1">
      <c r="A112" s="50"/>
      <c r="B112" s="50"/>
      <c r="I112" s="50"/>
      <c r="J112" s="50"/>
    </row>
    <row r="113" spans="1:16" ht="15.75" customHeight="1">
      <c r="A113" s="52" t="s">
        <v>233</v>
      </c>
      <c r="B113" s="50"/>
      <c r="G113" s="52"/>
      <c r="I113" s="52" t="s">
        <v>540</v>
      </c>
      <c r="O113" s="52"/>
    </row>
    <row r="114" spans="1:16" ht="15.75">
      <c r="A114" s="53" t="s">
        <v>92</v>
      </c>
      <c r="G114" s="53"/>
      <c r="I114" s="53" t="s">
        <v>1333</v>
      </c>
      <c r="O114" s="53"/>
    </row>
    <row r="115" spans="1:16" ht="15.75" customHeight="1">
      <c r="A115" s="894" t="s">
        <v>228</v>
      </c>
      <c r="B115" s="894"/>
      <c r="C115" s="894"/>
      <c r="D115" s="894"/>
      <c r="E115" s="894"/>
      <c r="F115" s="894"/>
      <c r="G115" s="894"/>
      <c r="H115" s="894"/>
      <c r="I115" s="894" t="s">
        <v>261</v>
      </c>
      <c r="J115" s="894"/>
      <c r="K115" s="894"/>
      <c r="L115" s="894"/>
      <c r="M115" s="894"/>
      <c r="N115" s="894"/>
      <c r="O115" s="894"/>
      <c r="P115" s="894"/>
    </row>
    <row r="116" spans="1:16" ht="15.75" thickBot="1"/>
    <row r="117" spans="1:16" ht="15.75" customHeight="1">
      <c r="A117" s="895" t="s">
        <v>94</v>
      </c>
      <c r="B117" s="897" t="s">
        <v>95</v>
      </c>
      <c r="C117" s="897" t="s">
        <v>96</v>
      </c>
      <c r="D117" s="897" t="s">
        <v>3</v>
      </c>
      <c r="E117" s="897" t="s">
        <v>97</v>
      </c>
      <c r="F117" s="897" t="s">
        <v>98</v>
      </c>
      <c r="G117" s="897" t="s">
        <v>99</v>
      </c>
      <c r="H117" s="899"/>
      <c r="I117" s="895" t="s">
        <v>94</v>
      </c>
      <c r="J117" s="897" t="s">
        <v>95</v>
      </c>
      <c r="K117" s="897" t="s">
        <v>96</v>
      </c>
      <c r="L117" s="897" t="s">
        <v>3</v>
      </c>
      <c r="M117" s="897" t="s">
        <v>97</v>
      </c>
      <c r="N117" s="897" t="s">
        <v>98</v>
      </c>
      <c r="O117" s="897" t="s">
        <v>99</v>
      </c>
      <c r="P117" s="899"/>
    </row>
    <row r="118" spans="1:16" ht="15" customHeight="1" thickBot="1">
      <c r="A118" s="896"/>
      <c r="B118" s="898"/>
      <c r="C118" s="898"/>
      <c r="D118" s="898"/>
      <c r="E118" s="898"/>
      <c r="F118" s="898"/>
      <c r="G118" s="240" t="s">
        <v>100</v>
      </c>
      <c r="H118" s="182" t="s">
        <v>101</v>
      </c>
      <c r="I118" s="896"/>
      <c r="J118" s="898"/>
      <c r="K118" s="898"/>
      <c r="L118" s="898"/>
      <c r="M118" s="898"/>
      <c r="N118" s="898"/>
      <c r="O118" s="240" t="s">
        <v>100</v>
      </c>
      <c r="P118" s="182" t="s">
        <v>101</v>
      </c>
    </row>
    <row r="119" spans="1:16" ht="13.5" customHeight="1">
      <c r="A119" s="881" t="e">
        <f>+A90+1</f>
        <v>#REF!</v>
      </c>
      <c r="B119" s="875">
        <v>42242</v>
      </c>
      <c r="C119" s="942" t="s">
        <v>230</v>
      </c>
      <c r="D119" s="881" t="s">
        <v>234</v>
      </c>
      <c r="E119" s="881" t="s">
        <v>148</v>
      </c>
      <c r="F119" s="883">
        <v>196000</v>
      </c>
      <c r="G119" s="55">
        <v>719</v>
      </c>
      <c r="H119" s="78">
        <v>140000</v>
      </c>
      <c r="I119" s="873" t="s">
        <v>1344</v>
      </c>
      <c r="J119" s="875">
        <v>42795</v>
      </c>
      <c r="K119" s="877" t="s">
        <v>272</v>
      </c>
      <c r="L119" s="881" t="s">
        <v>1338</v>
      </c>
      <c r="M119" s="881" t="s">
        <v>115</v>
      </c>
      <c r="N119" s="883">
        <v>871000</v>
      </c>
      <c r="O119" s="55">
        <v>719</v>
      </c>
      <c r="P119" s="78">
        <v>670000</v>
      </c>
    </row>
    <row r="120" spans="1:16" ht="13.5" customHeight="1" thickBot="1">
      <c r="A120" s="882"/>
      <c r="B120" s="934"/>
      <c r="C120" s="943"/>
      <c r="D120" s="882"/>
      <c r="E120" s="882"/>
      <c r="F120" s="884"/>
      <c r="G120" s="56">
        <v>721</v>
      </c>
      <c r="H120" s="79">
        <f>+F119-H119</f>
        <v>56000</v>
      </c>
      <c r="I120" s="882"/>
      <c r="J120" s="876"/>
      <c r="K120" s="878"/>
      <c r="L120" s="882"/>
      <c r="M120" s="882"/>
      <c r="N120" s="884"/>
      <c r="O120" s="56">
        <v>721</v>
      </c>
      <c r="P120" s="79">
        <f>+N119-P119</f>
        <v>201000</v>
      </c>
    </row>
    <row r="121" spans="1:16" ht="13.5" customHeight="1">
      <c r="A121" s="881" t="e">
        <f>+A119+1</f>
        <v>#REF!</v>
      </c>
      <c r="B121" s="875">
        <v>42242</v>
      </c>
      <c r="C121" s="935" t="s">
        <v>28</v>
      </c>
      <c r="D121" s="881" t="s">
        <v>234</v>
      </c>
      <c r="E121" s="881" t="s">
        <v>148</v>
      </c>
      <c r="F121" s="883">
        <v>364000</v>
      </c>
      <c r="G121" s="55">
        <v>719</v>
      </c>
      <c r="H121" s="78">
        <v>260000</v>
      </c>
      <c r="I121" s="873" t="s">
        <v>1345</v>
      </c>
      <c r="J121" s="875">
        <v>42795</v>
      </c>
      <c r="K121" s="881" t="s">
        <v>28</v>
      </c>
      <c r="L121" s="881" t="s">
        <v>1336</v>
      </c>
      <c r="M121" s="881" t="s">
        <v>115</v>
      </c>
      <c r="N121" s="883">
        <v>312000</v>
      </c>
      <c r="O121" s="55">
        <v>719</v>
      </c>
      <c r="P121" s="78">
        <v>240000</v>
      </c>
    </row>
    <row r="122" spans="1:16" ht="12.75" customHeight="1" thickBot="1">
      <c r="A122" s="882"/>
      <c r="B122" s="934"/>
      <c r="C122" s="936"/>
      <c r="D122" s="882"/>
      <c r="E122" s="882"/>
      <c r="F122" s="884"/>
      <c r="G122" s="56">
        <v>721</v>
      </c>
      <c r="H122" s="79">
        <f>+F121-H121</f>
        <v>104000</v>
      </c>
      <c r="I122" s="882"/>
      <c r="J122" s="876"/>
      <c r="K122" s="882"/>
      <c r="L122" s="882"/>
      <c r="M122" s="882"/>
      <c r="N122" s="884"/>
      <c r="O122" s="56">
        <v>721</v>
      </c>
      <c r="P122" s="79">
        <f>+N121-P121</f>
        <v>72000</v>
      </c>
    </row>
    <row r="123" spans="1:16" ht="13.5" customHeight="1">
      <c r="A123" s="881" t="e">
        <f>+A121+1</f>
        <v>#REF!</v>
      </c>
      <c r="B123" s="875">
        <v>42242</v>
      </c>
      <c r="C123" s="942" t="s">
        <v>32</v>
      </c>
      <c r="D123" s="881" t="s">
        <v>235</v>
      </c>
      <c r="E123" s="881" t="s">
        <v>148</v>
      </c>
      <c r="F123" s="883">
        <v>70000</v>
      </c>
      <c r="G123" s="55">
        <v>719</v>
      </c>
      <c r="H123" s="78">
        <v>50000</v>
      </c>
      <c r="I123" s="873" t="s">
        <v>1346</v>
      </c>
      <c r="J123" s="875">
        <v>42795</v>
      </c>
      <c r="K123" s="877" t="s">
        <v>815</v>
      </c>
      <c r="L123" s="881" t="s">
        <v>1349</v>
      </c>
      <c r="M123" s="881" t="s">
        <v>115</v>
      </c>
      <c r="N123" s="883">
        <v>1118000</v>
      </c>
      <c r="O123" s="55">
        <v>719</v>
      </c>
      <c r="P123" s="78">
        <v>860000</v>
      </c>
    </row>
    <row r="124" spans="1:16" ht="12.75" customHeight="1" thickBot="1">
      <c r="A124" s="882"/>
      <c r="B124" s="934"/>
      <c r="C124" s="943"/>
      <c r="D124" s="882"/>
      <c r="E124" s="882"/>
      <c r="F124" s="884"/>
      <c r="G124" s="56">
        <v>721</v>
      </c>
      <c r="H124" s="79">
        <f>+F123-H123</f>
        <v>20000</v>
      </c>
      <c r="I124" s="882"/>
      <c r="J124" s="876"/>
      <c r="K124" s="878"/>
      <c r="L124" s="882"/>
      <c r="M124" s="882"/>
      <c r="N124" s="884"/>
      <c r="O124" s="56">
        <v>721</v>
      </c>
      <c r="P124" s="79">
        <f>+N123-P123</f>
        <v>258000</v>
      </c>
    </row>
    <row r="125" spans="1:16" ht="13.5" customHeight="1">
      <c r="A125" s="881" t="e">
        <f>+A123+1</f>
        <v>#REF!</v>
      </c>
      <c r="B125" s="875">
        <v>42242</v>
      </c>
      <c r="C125" s="935" t="s">
        <v>169</v>
      </c>
      <c r="D125" s="881" t="s">
        <v>236</v>
      </c>
      <c r="E125" s="881" t="s">
        <v>148</v>
      </c>
      <c r="F125" s="883">
        <v>56000</v>
      </c>
      <c r="G125" s="55">
        <v>719</v>
      </c>
      <c r="H125" s="78">
        <v>40000</v>
      </c>
      <c r="I125" s="873" t="s">
        <v>1347</v>
      </c>
      <c r="J125" s="875">
        <v>42795</v>
      </c>
      <c r="K125" s="877" t="s">
        <v>1339</v>
      </c>
      <c r="L125" s="881" t="s">
        <v>1340</v>
      </c>
      <c r="M125" s="881" t="s">
        <v>148</v>
      </c>
      <c r="N125" s="883">
        <v>478550</v>
      </c>
      <c r="O125" s="55">
        <v>719</v>
      </c>
      <c r="P125" s="78">
        <v>350000</v>
      </c>
    </row>
    <row r="126" spans="1:16" ht="12.75" customHeight="1" thickBot="1">
      <c r="A126" s="882"/>
      <c r="B126" s="934"/>
      <c r="C126" s="936"/>
      <c r="D126" s="882"/>
      <c r="E126" s="882"/>
      <c r="F126" s="884"/>
      <c r="G126" s="56">
        <v>721</v>
      </c>
      <c r="H126" s="79">
        <f>+F125-H125</f>
        <v>16000</v>
      </c>
      <c r="I126" s="882"/>
      <c r="J126" s="876"/>
      <c r="K126" s="878"/>
      <c r="L126" s="882"/>
      <c r="M126" s="882"/>
      <c r="N126" s="884"/>
      <c r="O126" s="56">
        <v>721</v>
      </c>
      <c r="P126" s="79">
        <f>+N125-P125</f>
        <v>128550</v>
      </c>
    </row>
    <row r="127" spans="1:16" ht="14.25" customHeight="1">
      <c r="A127" s="881" t="e">
        <f>+A125+1</f>
        <v>#REF!</v>
      </c>
      <c r="B127" s="875">
        <v>42242</v>
      </c>
      <c r="C127" s="935" t="s">
        <v>31</v>
      </c>
      <c r="D127" s="881" t="s">
        <v>234</v>
      </c>
      <c r="E127" s="881" t="s">
        <v>148</v>
      </c>
      <c r="F127" s="883">
        <v>476000</v>
      </c>
      <c r="G127" s="55">
        <v>719</v>
      </c>
      <c r="H127" s="78">
        <v>340000</v>
      </c>
      <c r="I127" s="873" t="s">
        <v>1348</v>
      </c>
      <c r="J127" s="875">
        <v>42795</v>
      </c>
      <c r="K127" s="877" t="s">
        <v>1315</v>
      </c>
      <c r="L127" s="926" t="s">
        <v>1343</v>
      </c>
      <c r="M127" s="881" t="s">
        <v>148</v>
      </c>
      <c r="N127" s="883">
        <v>3946700</v>
      </c>
      <c r="O127" s="55">
        <v>719</v>
      </c>
      <c r="P127" s="78">
        <f>+N127</f>
        <v>3946700</v>
      </c>
    </row>
    <row r="128" spans="1:16" ht="12.75" customHeight="1" thickBot="1">
      <c r="A128" s="882"/>
      <c r="B128" s="934"/>
      <c r="C128" s="936"/>
      <c r="D128" s="882"/>
      <c r="E128" s="882"/>
      <c r="F128" s="884"/>
      <c r="G128" s="56">
        <v>721</v>
      </c>
      <c r="H128" s="79">
        <f>+F127-H127</f>
        <v>136000</v>
      </c>
      <c r="I128" s="882"/>
      <c r="J128" s="876"/>
      <c r="K128" s="878"/>
      <c r="L128" s="927"/>
      <c r="M128" s="882"/>
      <c r="N128" s="884"/>
      <c r="O128" s="56">
        <v>721</v>
      </c>
      <c r="P128" s="79">
        <f>+N127-P127</f>
        <v>0</v>
      </c>
    </row>
    <row r="129" spans="1:16" ht="16.5" thickBot="1">
      <c r="A129" s="901" t="s">
        <v>102</v>
      </c>
      <c r="B129" s="902"/>
      <c r="C129" s="902"/>
      <c r="D129" s="902"/>
      <c r="E129" s="903"/>
      <c r="F129" s="81">
        <f>SUM(F119:F128)</f>
        <v>1162000</v>
      </c>
      <c r="I129" s="901" t="s">
        <v>102</v>
      </c>
      <c r="J129" s="902"/>
      <c r="K129" s="902"/>
      <c r="L129" s="902"/>
      <c r="M129" s="903"/>
      <c r="N129" s="81">
        <f>SUM(N119:N128)</f>
        <v>6726250</v>
      </c>
    </row>
    <row r="130" spans="1:16" ht="16.5" thickBot="1">
      <c r="A130" s="885" t="s">
        <v>103</v>
      </c>
      <c r="B130" s="886"/>
      <c r="C130" s="886"/>
      <c r="D130" s="886"/>
      <c r="E130" s="887"/>
      <c r="F130" s="184">
        <f>+F94</f>
        <v>612479841</v>
      </c>
      <c r="I130" s="885" t="s">
        <v>103</v>
      </c>
      <c r="J130" s="886"/>
      <c r="K130" s="886"/>
      <c r="L130" s="886"/>
      <c r="M130" s="887"/>
      <c r="N130" s="239">
        <f>+N94</f>
        <v>116870355</v>
      </c>
      <c r="O130" s="241" t="s">
        <v>561</v>
      </c>
      <c r="P130" s="242">
        <f>1004+1717+363</f>
        <v>3084</v>
      </c>
    </row>
    <row r="131" spans="1:16" ht="15" customHeight="1" thickBot="1">
      <c r="A131" s="888" t="s">
        <v>104</v>
      </c>
      <c r="B131" s="889"/>
      <c r="C131" s="889"/>
      <c r="D131" s="889"/>
      <c r="E131" s="890"/>
      <c r="F131" s="183">
        <f>SUM(F129:F130)</f>
        <v>613641841</v>
      </c>
      <c r="I131" s="888" t="s">
        <v>104</v>
      </c>
      <c r="J131" s="889"/>
      <c r="K131" s="889"/>
      <c r="L131" s="889"/>
      <c r="M131" s="890"/>
      <c r="N131" s="183">
        <f>SUM(N129:N130)</f>
        <v>123596605</v>
      </c>
    </row>
    <row r="132" spans="1:16">
      <c r="A132" s="61"/>
      <c r="B132" s="61"/>
      <c r="C132" s="61"/>
      <c r="D132" s="61"/>
      <c r="E132" s="61"/>
      <c r="I132" s="61"/>
      <c r="J132" s="61"/>
      <c r="K132" s="61"/>
      <c r="L132" s="61"/>
      <c r="M132" s="61"/>
    </row>
    <row r="133" spans="1:16" ht="15" customHeight="1">
      <c r="A133" s="51" t="s">
        <v>238</v>
      </c>
      <c r="I133" s="51" t="s">
        <v>1351</v>
      </c>
    </row>
    <row r="134" spans="1:16" ht="12" customHeight="1">
      <c r="F134" s="139"/>
      <c r="N134" s="139"/>
    </row>
    <row r="135" spans="1:16">
      <c r="A135" s="50" t="s">
        <v>105</v>
      </c>
      <c r="D135" s="146"/>
      <c r="I135" s="50" t="s">
        <v>105</v>
      </c>
      <c r="L135" s="146"/>
      <c r="N135" s="139"/>
    </row>
    <row r="136" spans="1:16" ht="12" customHeight="1" thickBot="1"/>
    <row r="137" spans="1:16" ht="15.75" thickBot="1">
      <c r="A137" s="891" t="s">
        <v>106</v>
      </c>
      <c r="B137" s="892"/>
      <c r="C137" s="892"/>
      <c r="D137" s="893"/>
      <c r="F137" s="50" t="s">
        <v>107</v>
      </c>
      <c r="I137" s="891" t="s">
        <v>106</v>
      </c>
      <c r="J137" s="892"/>
      <c r="K137" s="892"/>
      <c r="L137" s="893"/>
      <c r="N137" s="925" t="s">
        <v>288</v>
      </c>
      <c r="O137" s="925"/>
      <c r="P137" s="925"/>
    </row>
    <row r="138" spans="1:16" ht="30.75" thickBot="1">
      <c r="A138" s="57" t="s">
        <v>100</v>
      </c>
      <c r="B138" s="58" t="s">
        <v>108</v>
      </c>
      <c r="C138" s="59" t="s">
        <v>109</v>
      </c>
      <c r="D138" s="60" t="s">
        <v>110</v>
      </c>
      <c r="I138" s="57" t="s">
        <v>100</v>
      </c>
      <c r="J138" s="58" t="s">
        <v>108</v>
      </c>
      <c r="K138" s="59" t="s">
        <v>109</v>
      </c>
      <c r="L138" s="60" t="s">
        <v>110</v>
      </c>
    </row>
    <row r="139" spans="1:16">
      <c r="A139" s="71">
        <v>719</v>
      </c>
      <c r="B139" s="73">
        <f>+H119+H121+H123+H125+H127</f>
        <v>830000</v>
      </c>
      <c r="C139" s="74" t="e">
        <f>+D102</f>
        <v>#REF!</v>
      </c>
      <c r="D139" s="76" t="e">
        <f>+B139+C139</f>
        <v>#REF!</v>
      </c>
      <c r="I139" s="71">
        <v>719</v>
      </c>
      <c r="J139" s="73">
        <f>+P119+P121+P123+P125+P127</f>
        <v>6066700</v>
      </c>
      <c r="K139" s="74"/>
      <c r="L139" s="195">
        <f>+J139+K139</f>
        <v>6066700</v>
      </c>
    </row>
    <row r="140" spans="1:16" ht="13.5" customHeight="1">
      <c r="A140" s="72">
        <v>721</v>
      </c>
      <c r="B140" s="80">
        <f>+H128+H126+H124+H122+H120</f>
        <v>332000</v>
      </c>
      <c r="C140" s="74" t="e">
        <f>+D103</f>
        <v>#REF!</v>
      </c>
      <c r="D140" s="76" t="e">
        <f>+B140+C140</f>
        <v>#REF!</v>
      </c>
      <c r="I140" s="72">
        <v>721</v>
      </c>
      <c r="J140" s="80">
        <f>+P120+P122+P124+P126+P128</f>
        <v>659550</v>
      </c>
      <c r="K140" s="74"/>
      <c r="L140" s="195">
        <f>+J140+K140</f>
        <v>659550</v>
      </c>
    </row>
    <row r="141" spans="1:16" ht="15.75" customHeight="1">
      <c r="A141" s="72">
        <v>722</v>
      </c>
      <c r="B141" s="80"/>
      <c r="C141" s="74">
        <f>+D104</f>
        <v>224787287</v>
      </c>
      <c r="D141" s="76">
        <f>+B141+C141</f>
        <v>224787287</v>
      </c>
      <c r="I141" s="72">
        <v>722</v>
      </c>
      <c r="J141" s="80"/>
      <c r="K141" s="74">
        <v>0</v>
      </c>
      <c r="L141" s="195">
        <f>+J141+K141</f>
        <v>0</v>
      </c>
    </row>
    <row r="142" spans="1:16" ht="13.5" customHeight="1">
      <c r="A142" s="72">
        <v>723</v>
      </c>
      <c r="B142" s="80"/>
      <c r="C142" s="74">
        <f>+D105</f>
        <v>319828837</v>
      </c>
      <c r="D142" s="76">
        <f>+B142+C142</f>
        <v>319828837</v>
      </c>
      <c r="F142" s="174" t="s">
        <v>23</v>
      </c>
      <c r="I142" s="72">
        <v>723</v>
      </c>
      <c r="J142" s="80"/>
      <c r="K142" s="74">
        <f>+L105</f>
        <v>116870355</v>
      </c>
      <c r="L142" s="195">
        <f>+J142+K142</f>
        <v>116870355</v>
      </c>
      <c r="N142" s="174" t="s">
        <v>1350</v>
      </c>
      <c r="O142" s="175"/>
    </row>
    <row r="143" spans="1:16" ht="13.5" customHeight="1" thickBot="1">
      <c r="A143" s="164" t="s">
        <v>181</v>
      </c>
      <c r="B143" s="165"/>
      <c r="C143" s="74">
        <f>+D106</f>
        <v>1965625</v>
      </c>
      <c r="D143" s="168">
        <f>+B143+C143</f>
        <v>1965625</v>
      </c>
      <c r="F143" s="52"/>
      <c r="I143" s="164" t="s">
        <v>181</v>
      </c>
      <c r="J143" s="165"/>
      <c r="K143" s="74">
        <f>+L106</f>
        <v>0</v>
      </c>
      <c r="L143" s="196">
        <f>+J143+K143</f>
        <v>0</v>
      </c>
      <c r="N143" s="52"/>
    </row>
    <row r="144" spans="1:16" ht="15.75" customHeight="1" thickBot="1">
      <c r="A144" s="169"/>
      <c r="B144" s="170">
        <f>SUM(B139:B143)</f>
        <v>1162000</v>
      </c>
      <c r="C144" s="171" t="e">
        <f>SUM(C139:C143)</f>
        <v>#REF!</v>
      </c>
      <c r="D144" s="172" t="e">
        <f>SUM(D139:D143)</f>
        <v>#REF!</v>
      </c>
      <c r="I144" s="169"/>
      <c r="J144" s="197">
        <f>SUM(J139:J143)</f>
        <v>6726250</v>
      </c>
      <c r="K144" s="197">
        <f>SUM(K139:K143)</f>
        <v>116870355</v>
      </c>
      <c r="L144" s="198">
        <f>SUM(L139:L143)</f>
        <v>123596605</v>
      </c>
    </row>
    <row r="145" spans="1:16" ht="16.5">
      <c r="A145" s="49" t="s">
        <v>88</v>
      </c>
      <c r="B145" s="50"/>
      <c r="I145" s="49" t="s">
        <v>88</v>
      </c>
      <c r="J145" s="50"/>
    </row>
    <row r="146" spans="1:16">
      <c r="A146" s="51" t="s">
        <v>89</v>
      </c>
      <c r="I146" s="51" t="s">
        <v>89</v>
      </c>
    </row>
    <row r="147" spans="1:16">
      <c r="A147" s="51" t="s">
        <v>90</v>
      </c>
      <c r="I147" s="51" t="s">
        <v>90</v>
      </c>
    </row>
    <row r="148" spans="1:16">
      <c r="A148" s="51" t="s">
        <v>91</v>
      </c>
      <c r="I148" s="51" t="s">
        <v>91</v>
      </c>
    </row>
    <row r="149" spans="1:16" ht="8.25" customHeight="1">
      <c r="A149" s="50"/>
      <c r="B149" s="50"/>
      <c r="I149" s="50"/>
      <c r="J149" s="50"/>
    </row>
    <row r="150" spans="1:16" ht="15.75" customHeight="1">
      <c r="A150" s="52" t="s">
        <v>237</v>
      </c>
      <c r="B150" s="50"/>
      <c r="G150" s="52"/>
      <c r="I150" s="52" t="s">
        <v>564</v>
      </c>
      <c r="O150" s="52"/>
    </row>
    <row r="151" spans="1:16" ht="15" customHeight="1">
      <c r="A151" s="53" t="s">
        <v>92</v>
      </c>
      <c r="G151" s="53"/>
      <c r="I151" s="53" t="s">
        <v>1333</v>
      </c>
      <c r="O151" s="53"/>
    </row>
    <row r="152" spans="1:16" ht="15.75" customHeight="1">
      <c r="A152" s="894" t="s">
        <v>228</v>
      </c>
      <c r="B152" s="894"/>
      <c r="C152" s="894"/>
      <c r="D152" s="894"/>
      <c r="E152" s="894"/>
      <c r="F152" s="894"/>
      <c r="G152" s="894"/>
      <c r="H152" s="894"/>
      <c r="I152" s="894" t="s">
        <v>212</v>
      </c>
      <c r="J152" s="894"/>
      <c r="K152" s="894"/>
      <c r="L152" s="894"/>
      <c r="M152" s="894"/>
      <c r="N152" s="894"/>
      <c r="O152" s="894"/>
      <c r="P152" s="894"/>
    </row>
    <row r="153" spans="1:16" ht="15" customHeight="1" thickBot="1"/>
    <row r="154" spans="1:16" ht="15.75" customHeight="1">
      <c r="A154" s="895" t="s">
        <v>94</v>
      </c>
      <c r="B154" s="897" t="s">
        <v>95</v>
      </c>
      <c r="C154" s="897" t="s">
        <v>96</v>
      </c>
      <c r="D154" s="897" t="s">
        <v>3</v>
      </c>
      <c r="E154" s="897" t="s">
        <v>97</v>
      </c>
      <c r="F154" s="897" t="s">
        <v>98</v>
      </c>
      <c r="G154" s="897" t="s">
        <v>99</v>
      </c>
      <c r="H154" s="899"/>
      <c r="I154" s="895" t="s">
        <v>94</v>
      </c>
      <c r="J154" s="897" t="s">
        <v>95</v>
      </c>
      <c r="K154" s="897" t="s">
        <v>96</v>
      </c>
      <c r="L154" s="897" t="s">
        <v>3</v>
      </c>
      <c r="M154" s="897" t="s">
        <v>97</v>
      </c>
      <c r="N154" s="897" t="s">
        <v>98</v>
      </c>
      <c r="O154" s="897" t="s">
        <v>99</v>
      </c>
      <c r="P154" s="899"/>
    </row>
    <row r="155" spans="1:16" ht="15" customHeight="1" thickBot="1">
      <c r="A155" s="896"/>
      <c r="B155" s="898"/>
      <c r="C155" s="898"/>
      <c r="D155" s="898"/>
      <c r="E155" s="898"/>
      <c r="F155" s="898"/>
      <c r="G155" s="240" t="s">
        <v>100</v>
      </c>
      <c r="H155" s="182" t="s">
        <v>101</v>
      </c>
      <c r="I155" s="896"/>
      <c r="J155" s="898"/>
      <c r="K155" s="898"/>
      <c r="L155" s="898"/>
      <c r="M155" s="898"/>
      <c r="N155" s="898"/>
      <c r="O155" s="240" t="s">
        <v>100</v>
      </c>
      <c r="P155" s="182" t="s">
        <v>101</v>
      </c>
    </row>
    <row r="156" spans="1:16" ht="12" customHeight="1">
      <c r="A156" s="881" t="e">
        <f>+A127+1</f>
        <v>#REF!</v>
      </c>
      <c r="B156" s="875">
        <v>42242</v>
      </c>
      <c r="C156" s="942" t="s">
        <v>230</v>
      </c>
      <c r="D156" s="881" t="s">
        <v>242</v>
      </c>
      <c r="E156" s="881" t="s">
        <v>148</v>
      </c>
      <c r="F156" s="883">
        <v>182000</v>
      </c>
      <c r="G156" s="55">
        <v>719</v>
      </c>
      <c r="H156" s="78">
        <v>130000</v>
      </c>
      <c r="I156" s="873" t="s">
        <v>1352</v>
      </c>
      <c r="J156" s="875">
        <v>42797</v>
      </c>
      <c r="K156" s="877" t="s">
        <v>272</v>
      </c>
      <c r="L156" s="881" t="s">
        <v>1365</v>
      </c>
      <c r="M156" s="881" t="s">
        <v>115</v>
      </c>
      <c r="N156" s="883">
        <v>4920000</v>
      </c>
      <c r="O156" s="55">
        <v>719</v>
      </c>
      <c r="P156" s="78"/>
    </row>
    <row r="157" spans="1:16" ht="15" customHeight="1" thickBot="1">
      <c r="A157" s="882"/>
      <c r="B157" s="934"/>
      <c r="C157" s="943"/>
      <c r="D157" s="882"/>
      <c r="E157" s="882"/>
      <c r="F157" s="884"/>
      <c r="G157" s="56">
        <v>721</v>
      </c>
      <c r="H157" s="79">
        <f>+F156-H156</f>
        <v>52000</v>
      </c>
      <c r="I157" s="882"/>
      <c r="J157" s="876"/>
      <c r="K157" s="878"/>
      <c r="L157" s="882"/>
      <c r="M157" s="882"/>
      <c r="N157" s="884"/>
      <c r="O157" s="56">
        <v>723</v>
      </c>
      <c r="P157" s="79">
        <f>+N156</f>
        <v>4920000</v>
      </c>
    </row>
    <row r="158" spans="1:16" ht="14.25" customHeight="1">
      <c r="A158" s="881" t="e">
        <f>+A156+1</f>
        <v>#REF!</v>
      </c>
      <c r="B158" s="875">
        <v>42242</v>
      </c>
      <c r="C158" s="935" t="s">
        <v>28</v>
      </c>
      <c r="D158" s="881" t="s">
        <v>240</v>
      </c>
      <c r="E158" s="881" t="s">
        <v>148</v>
      </c>
      <c r="F158" s="883">
        <v>364000</v>
      </c>
      <c r="G158" s="55">
        <v>719</v>
      </c>
      <c r="H158" s="78">
        <v>260000</v>
      </c>
      <c r="I158" s="873" t="s">
        <v>1353</v>
      </c>
      <c r="J158" s="875">
        <v>42797</v>
      </c>
      <c r="K158" s="881" t="s">
        <v>776</v>
      </c>
      <c r="L158" s="881" t="s">
        <v>1365</v>
      </c>
      <c r="M158" s="881" t="s">
        <v>115</v>
      </c>
      <c r="N158" s="883">
        <v>1008000</v>
      </c>
      <c r="O158" s="55">
        <v>719</v>
      </c>
      <c r="P158" s="78"/>
    </row>
    <row r="159" spans="1:16" ht="13.5" customHeight="1" thickBot="1">
      <c r="A159" s="882"/>
      <c r="B159" s="934"/>
      <c r="C159" s="936"/>
      <c r="D159" s="882"/>
      <c r="E159" s="882"/>
      <c r="F159" s="884"/>
      <c r="G159" s="56">
        <v>721</v>
      </c>
      <c r="H159" s="79">
        <f>+F158-H158</f>
        <v>104000</v>
      </c>
      <c r="I159" s="882"/>
      <c r="J159" s="876"/>
      <c r="K159" s="882"/>
      <c r="L159" s="882"/>
      <c r="M159" s="882"/>
      <c r="N159" s="884"/>
      <c r="O159" s="56">
        <v>723</v>
      </c>
      <c r="P159" s="79">
        <f>+N158</f>
        <v>1008000</v>
      </c>
    </row>
    <row r="160" spans="1:16" ht="12" customHeight="1">
      <c r="A160" s="881" t="e">
        <f>+A158+1</f>
        <v>#REF!</v>
      </c>
      <c r="B160" s="875">
        <v>42242</v>
      </c>
      <c r="C160" s="942" t="s">
        <v>32</v>
      </c>
      <c r="D160" s="881" t="s">
        <v>241</v>
      </c>
      <c r="E160" s="881" t="s">
        <v>148</v>
      </c>
      <c r="F160" s="883">
        <v>84000</v>
      </c>
      <c r="G160" s="55">
        <v>719</v>
      </c>
      <c r="H160" s="78">
        <v>60000</v>
      </c>
      <c r="I160" s="873" t="s">
        <v>1354</v>
      </c>
      <c r="J160" s="875">
        <v>42797</v>
      </c>
      <c r="K160" s="877" t="s">
        <v>28</v>
      </c>
      <c r="L160" s="881" t="s">
        <v>1365</v>
      </c>
      <c r="M160" s="881" t="s">
        <v>115</v>
      </c>
      <c r="N160" s="883">
        <v>546672</v>
      </c>
      <c r="O160" s="55">
        <v>719</v>
      </c>
      <c r="P160" s="78"/>
    </row>
    <row r="161" spans="1:16" ht="12.75" customHeight="1" thickBot="1">
      <c r="A161" s="882"/>
      <c r="B161" s="934"/>
      <c r="C161" s="943"/>
      <c r="D161" s="882"/>
      <c r="E161" s="882"/>
      <c r="F161" s="884"/>
      <c r="G161" s="56">
        <v>721</v>
      </c>
      <c r="H161" s="79">
        <f>+F160-H160</f>
        <v>24000</v>
      </c>
      <c r="I161" s="882"/>
      <c r="J161" s="876"/>
      <c r="K161" s="878"/>
      <c r="L161" s="882"/>
      <c r="M161" s="882"/>
      <c r="N161" s="884"/>
      <c r="O161" s="56">
        <v>723</v>
      </c>
      <c r="P161" s="79">
        <f>+N160</f>
        <v>546672</v>
      </c>
    </row>
    <row r="162" spans="1:16" ht="12.75" customHeight="1">
      <c r="A162" s="881" t="e">
        <f>+A160+1</f>
        <v>#REF!</v>
      </c>
      <c r="B162" s="875">
        <v>42242</v>
      </c>
      <c r="C162" s="935" t="s">
        <v>169</v>
      </c>
      <c r="D162" s="881" t="s">
        <v>239</v>
      </c>
      <c r="E162" s="881" t="s">
        <v>148</v>
      </c>
      <c r="F162" s="883">
        <v>56000</v>
      </c>
      <c r="G162" s="55">
        <v>719</v>
      </c>
      <c r="H162" s="78">
        <v>40000</v>
      </c>
      <c r="I162" s="873" t="s">
        <v>1355</v>
      </c>
      <c r="J162" s="875">
        <v>42797</v>
      </c>
      <c r="K162" s="877" t="s">
        <v>1357</v>
      </c>
      <c r="L162" s="881" t="s">
        <v>1365</v>
      </c>
      <c r="M162" s="881" t="s">
        <v>115</v>
      </c>
      <c r="N162" s="883">
        <v>4500000</v>
      </c>
      <c r="O162" s="55">
        <v>719</v>
      </c>
      <c r="P162" s="78"/>
    </row>
    <row r="163" spans="1:16" ht="13.5" customHeight="1" thickBot="1">
      <c r="A163" s="882"/>
      <c r="B163" s="934"/>
      <c r="C163" s="936"/>
      <c r="D163" s="882"/>
      <c r="E163" s="882"/>
      <c r="F163" s="884"/>
      <c r="G163" s="56">
        <v>721</v>
      </c>
      <c r="H163" s="79">
        <f>+F162-H162</f>
        <v>16000</v>
      </c>
      <c r="I163" s="882"/>
      <c r="J163" s="876"/>
      <c r="K163" s="878"/>
      <c r="L163" s="882"/>
      <c r="M163" s="882"/>
      <c r="N163" s="884"/>
      <c r="O163" s="56">
        <v>723</v>
      </c>
      <c r="P163" s="79">
        <f>+N162</f>
        <v>4500000</v>
      </c>
    </row>
    <row r="164" spans="1:16" ht="13.5" customHeight="1">
      <c r="A164" s="881" t="e">
        <f>+A162+1</f>
        <v>#REF!</v>
      </c>
      <c r="B164" s="875">
        <v>42242</v>
      </c>
      <c r="C164" s="935" t="s">
        <v>31</v>
      </c>
      <c r="D164" s="881" t="s">
        <v>241</v>
      </c>
      <c r="E164" s="881" t="s">
        <v>148</v>
      </c>
      <c r="F164" s="883">
        <v>308000</v>
      </c>
      <c r="G164" s="55">
        <v>719</v>
      </c>
      <c r="H164" s="78">
        <v>220000</v>
      </c>
      <c r="I164" s="873" t="s">
        <v>1356</v>
      </c>
      <c r="J164" s="875">
        <v>42797</v>
      </c>
      <c r="K164" s="881" t="s">
        <v>117</v>
      </c>
      <c r="L164" s="881" t="s">
        <v>1365</v>
      </c>
      <c r="M164" s="881" t="s">
        <v>115</v>
      </c>
      <c r="N164" s="883">
        <v>870000</v>
      </c>
      <c r="O164" s="55">
        <v>719</v>
      </c>
      <c r="P164" s="78"/>
    </row>
    <row r="165" spans="1:16" ht="15.75" customHeight="1" thickBot="1">
      <c r="A165" s="882"/>
      <c r="B165" s="934"/>
      <c r="C165" s="936"/>
      <c r="D165" s="882"/>
      <c r="E165" s="882"/>
      <c r="F165" s="884"/>
      <c r="G165" s="56">
        <v>721</v>
      </c>
      <c r="H165" s="79">
        <f>+F164-H164</f>
        <v>88000</v>
      </c>
      <c r="I165" s="882"/>
      <c r="J165" s="876"/>
      <c r="K165" s="882"/>
      <c r="L165" s="882"/>
      <c r="M165" s="882"/>
      <c r="N165" s="884"/>
      <c r="O165" s="56">
        <v>723</v>
      </c>
      <c r="P165" s="79">
        <f>+N164</f>
        <v>870000</v>
      </c>
    </row>
    <row r="166" spans="1:16" ht="17.25" customHeight="1" thickBot="1">
      <c r="A166" s="901" t="s">
        <v>102</v>
      </c>
      <c r="B166" s="902"/>
      <c r="C166" s="902"/>
      <c r="D166" s="902"/>
      <c r="E166" s="903"/>
      <c r="F166" s="81">
        <f>SUM(F156:F165)</f>
        <v>994000</v>
      </c>
      <c r="I166" s="901" t="s">
        <v>102</v>
      </c>
      <c r="J166" s="902"/>
      <c r="K166" s="902"/>
      <c r="L166" s="902"/>
      <c r="M166" s="903"/>
      <c r="N166" s="81">
        <f>SUM(N156:N165)</f>
        <v>11844672</v>
      </c>
    </row>
    <row r="167" spans="1:16" ht="16.5" thickBot="1">
      <c r="A167" s="885" t="s">
        <v>103</v>
      </c>
      <c r="B167" s="886"/>
      <c r="C167" s="886"/>
      <c r="D167" s="886"/>
      <c r="E167" s="887"/>
      <c r="F167" s="69">
        <f>+F131</f>
        <v>613641841</v>
      </c>
      <c r="I167" s="885" t="s">
        <v>103</v>
      </c>
      <c r="J167" s="886"/>
      <c r="K167" s="886"/>
      <c r="L167" s="886"/>
      <c r="M167" s="887"/>
      <c r="N167" s="239">
        <f>+N131</f>
        <v>123596605</v>
      </c>
      <c r="O167" s="241" t="s">
        <v>561</v>
      </c>
      <c r="P167" s="242"/>
    </row>
    <row r="168" spans="1:16" ht="15.75" customHeight="1" thickBot="1">
      <c r="A168" s="888" t="s">
        <v>104</v>
      </c>
      <c r="B168" s="889"/>
      <c r="C168" s="889"/>
      <c r="D168" s="889"/>
      <c r="E168" s="890"/>
      <c r="F168" s="70">
        <f>SUM(F166:F167)</f>
        <v>614635841</v>
      </c>
      <c r="I168" s="888" t="s">
        <v>104</v>
      </c>
      <c r="J168" s="889"/>
      <c r="K168" s="889"/>
      <c r="L168" s="889"/>
      <c r="M168" s="890"/>
      <c r="N168" s="183">
        <f>SUM(N166:N167)</f>
        <v>135441277</v>
      </c>
    </row>
    <row r="169" spans="1:16" ht="12.75" customHeight="1">
      <c r="A169" s="61"/>
      <c r="B169" s="61"/>
      <c r="C169" s="61"/>
      <c r="D169" s="61"/>
      <c r="E169" s="61"/>
      <c r="I169" s="61"/>
      <c r="J169" s="61"/>
      <c r="K169" s="61"/>
      <c r="L169" s="61"/>
      <c r="M169" s="61"/>
    </row>
    <row r="170" spans="1:16" ht="13.5" customHeight="1">
      <c r="A170" s="51" t="s">
        <v>243</v>
      </c>
      <c r="I170" s="51" t="s">
        <v>1358</v>
      </c>
    </row>
    <row r="171" spans="1:16" ht="11.25" customHeight="1">
      <c r="F171" s="139"/>
      <c r="N171" s="139"/>
    </row>
    <row r="172" spans="1:16" ht="18" customHeight="1">
      <c r="A172" s="50" t="s">
        <v>105</v>
      </c>
      <c r="D172" s="146"/>
      <c r="I172" s="50" t="s">
        <v>105</v>
      </c>
      <c r="L172" s="146"/>
      <c r="N172" s="139"/>
    </row>
    <row r="173" spans="1:16" ht="12" customHeight="1" thickBot="1"/>
    <row r="174" spans="1:16" ht="15.75" thickBot="1">
      <c r="A174" s="891" t="s">
        <v>106</v>
      </c>
      <c r="B174" s="892"/>
      <c r="C174" s="892"/>
      <c r="D174" s="893"/>
      <c r="F174" s="50" t="s">
        <v>107</v>
      </c>
      <c r="I174" s="891" t="s">
        <v>106</v>
      </c>
      <c r="J174" s="892"/>
      <c r="K174" s="892"/>
      <c r="L174" s="893"/>
      <c r="N174" s="50" t="s">
        <v>288</v>
      </c>
    </row>
    <row r="175" spans="1:16" ht="30.75" thickBot="1">
      <c r="A175" s="57" t="s">
        <v>100</v>
      </c>
      <c r="B175" s="58" t="s">
        <v>108</v>
      </c>
      <c r="C175" s="59" t="s">
        <v>109</v>
      </c>
      <c r="D175" s="60" t="s">
        <v>110</v>
      </c>
      <c r="I175" s="57" t="s">
        <v>100</v>
      </c>
      <c r="J175" s="58" t="s">
        <v>108</v>
      </c>
      <c r="K175" s="59" t="s">
        <v>109</v>
      </c>
      <c r="L175" s="60" t="s">
        <v>110</v>
      </c>
    </row>
    <row r="176" spans="1:16">
      <c r="A176" s="71">
        <v>719</v>
      </c>
      <c r="B176" s="73">
        <f>+H156+H158+H160+H162+H164</f>
        <v>710000</v>
      </c>
      <c r="C176" s="74" t="e">
        <f>+D139</f>
        <v>#REF!</v>
      </c>
      <c r="D176" s="76" t="e">
        <f>+B176+C176</f>
        <v>#REF!</v>
      </c>
      <c r="I176" s="71">
        <v>719</v>
      </c>
      <c r="J176" s="73">
        <f>+P156+P158+P160+P162+P164</f>
        <v>0</v>
      </c>
      <c r="K176" s="74">
        <f>+L139</f>
        <v>6066700</v>
      </c>
      <c r="L176" s="195">
        <f>+J176+K176</f>
        <v>6066700</v>
      </c>
    </row>
    <row r="177" spans="1:16">
      <c r="A177" s="72">
        <v>721</v>
      </c>
      <c r="B177" s="80">
        <f>+H165+H163+H161+H159+H157</f>
        <v>284000</v>
      </c>
      <c r="C177" s="74" t="e">
        <f>+D140</f>
        <v>#REF!</v>
      </c>
      <c r="D177" s="76" t="e">
        <f>+B177+C177</f>
        <v>#REF!</v>
      </c>
      <c r="I177" s="72">
        <v>721</v>
      </c>
      <c r="J177" s="80">
        <v>0</v>
      </c>
      <c r="K177" s="74">
        <f>+L140</f>
        <v>659550</v>
      </c>
      <c r="L177" s="195">
        <f>+J177+K177</f>
        <v>659550</v>
      </c>
    </row>
    <row r="178" spans="1:16" ht="15.75">
      <c r="A178" s="72">
        <v>722</v>
      </c>
      <c r="B178" s="80"/>
      <c r="C178" s="74">
        <f>+D141</f>
        <v>224787287</v>
      </c>
      <c r="D178" s="76">
        <f>+B178+C178</f>
        <v>224787287</v>
      </c>
      <c r="I178" s="72">
        <v>722</v>
      </c>
      <c r="J178" s="80"/>
      <c r="K178" s="74">
        <f>+L141</f>
        <v>0</v>
      </c>
      <c r="L178" s="195">
        <f>+J178+K178</f>
        <v>0</v>
      </c>
      <c r="N178" s="193" t="s">
        <v>1359</v>
      </c>
    </row>
    <row r="179" spans="1:16" ht="15.75">
      <c r="A179" s="72">
        <v>723</v>
      </c>
      <c r="B179" s="80"/>
      <c r="C179" s="74">
        <f>+D142</f>
        <v>319828837</v>
      </c>
      <c r="D179" s="76">
        <f>+B179+C179</f>
        <v>319828837</v>
      </c>
      <c r="F179" s="174" t="s">
        <v>23</v>
      </c>
      <c r="I179" s="72">
        <v>723</v>
      </c>
      <c r="J179" s="80">
        <f>+P165+P163+P161+P159+P157</f>
        <v>11844672</v>
      </c>
      <c r="K179" s="74">
        <f>+L142</f>
        <v>116870355</v>
      </c>
      <c r="L179" s="195">
        <f>+J179+K179</f>
        <v>128715027</v>
      </c>
      <c r="N179" s="193"/>
      <c r="O179" s="175"/>
    </row>
    <row r="180" spans="1:16" ht="15" customHeight="1" thickBot="1">
      <c r="A180" s="164" t="s">
        <v>181</v>
      </c>
      <c r="B180" s="165"/>
      <c r="C180" s="74">
        <f>+D143</f>
        <v>1965625</v>
      </c>
      <c r="D180" s="168">
        <f>+B180+C180</f>
        <v>1965625</v>
      </c>
      <c r="F180" s="52"/>
      <c r="I180" s="164" t="s">
        <v>181</v>
      </c>
      <c r="J180" s="165"/>
      <c r="K180" s="74">
        <f>+L143</f>
        <v>0</v>
      </c>
      <c r="L180" s="196">
        <f>+J180+K180</f>
        <v>0</v>
      </c>
      <c r="N180" s="52"/>
    </row>
    <row r="181" spans="1:16" ht="16.5" thickBot="1">
      <c r="A181" s="169"/>
      <c r="B181" s="170">
        <f>SUM(B176:B180)</f>
        <v>994000</v>
      </c>
      <c r="C181" s="171" t="e">
        <f>SUM(C176:C180)</f>
        <v>#REF!</v>
      </c>
      <c r="D181" s="172" t="e">
        <f>SUM(D176:D180)</f>
        <v>#REF!</v>
      </c>
      <c r="I181" s="169"/>
      <c r="J181" s="197">
        <f>SUM(J176:J180)</f>
        <v>11844672</v>
      </c>
      <c r="K181" s="197">
        <f>SUM(K176:K180)</f>
        <v>123596605</v>
      </c>
      <c r="L181" s="198">
        <f>SUM(L176:L180)</f>
        <v>135441277</v>
      </c>
    </row>
    <row r="182" spans="1:16" ht="16.5">
      <c r="A182" s="49" t="s">
        <v>88</v>
      </c>
      <c r="B182" s="50"/>
      <c r="I182" s="49" t="s">
        <v>88</v>
      </c>
      <c r="J182" s="50"/>
    </row>
    <row r="183" spans="1:16">
      <c r="A183" s="51" t="s">
        <v>89</v>
      </c>
      <c r="I183" s="51" t="s">
        <v>89</v>
      </c>
    </row>
    <row r="184" spans="1:16">
      <c r="A184" s="51" t="s">
        <v>90</v>
      </c>
      <c r="I184" s="51" t="s">
        <v>90</v>
      </c>
    </row>
    <row r="185" spans="1:16">
      <c r="A185" s="51" t="s">
        <v>91</v>
      </c>
      <c r="I185" s="51" t="s">
        <v>91</v>
      </c>
    </row>
    <row r="186" spans="1:16" ht="11.25" customHeight="1">
      <c r="A186" s="50"/>
      <c r="B186" s="50"/>
      <c r="I186" s="50"/>
      <c r="J186" s="50"/>
    </row>
    <row r="187" spans="1:16" ht="16.5">
      <c r="A187" s="52" t="s">
        <v>245</v>
      </c>
      <c r="G187" s="52"/>
      <c r="I187" s="52" t="s">
        <v>571</v>
      </c>
      <c r="O187" s="52"/>
    </row>
    <row r="188" spans="1:16" ht="15.75">
      <c r="A188" s="53" t="s">
        <v>92</v>
      </c>
      <c r="G188" s="53"/>
      <c r="I188" s="53" t="s">
        <v>1333</v>
      </c>
      <c r="O188" s="53"/>
    </row>
    <row r="189" spans="1:16" ht="16.5">
      <c r="A189" s="894" t="s">
        <v>255</v>
      </c>
      <c r="B189" s="894"/>
      <c r="C189" s="894"/>
      <c r="D189" s="894"/>
      <c r="E189" s="894"/>
      <c r="F189" s="894"/>
      <c r="G189" s="894"/>
      <c r="H189" s="894"/>
      <c r="I189" s="894" t="s">
        <v>212</v>
      </c>
      <c r="J189" s="894"/>
      <c r="K189" s="894"/>
      <c r="L189" s="894"/>
      <c r="M189" s="894"/>
      <c r="N189" s="894"/>
      <c r="O189" s="894"/>
      <c r="P189" s="894"/>
    </row>
    <row r="190" spans="1:16" ht="12" customHeight="1" thickBot="1"/>
    <row r="191" spans="1:16">
      <c r="A191" s="895" t="s">
        <v>94</v>
      </c>
      <c r="B191" s="897" t="s">
        <v>95</v>
      </c>
      <c r="C191" s="897" t="s">
        <v>96</v>
      </c>
      <c r="D191" s="897" t="s">
        <v>3</v>
      </c>
      <c r="E191" s="897" t="s">
        <v>97</v>
      </c>
      <c r="F191" s="897" t="s">
        <v>98</v>
      </c>
      <c r="G191" s="897" t="s">
        <v>99</v>
      </c>
      <c r="H191" s="899"/>
      <c r="I191" s="895" t="s">
        <v>94</v>
      </c>
      <c r="J191" s="897" t="s">
        <v>95</v>
      </c>
      <c r="K191" s="897" t="s">
        <v>96</v>
      </c>
      <c r="L191" s="897" t="s">
        <v>3</v>
      </c>
      <c r="M191" s="897" t="s">
        <v>97</v>
      </c>
      <c r="N191" s="897" t="s">
        <v>98</v>
      </c>
      <c r="O191" s="897" t="s">
        <v>99</v>
      </c>
      <c r="P191" s="899"/>
    </row>
    <row r="192" spans="1:16" ht="15.75" thickBot="1">
      <c r="A192" s="896"/>
      <c r="B192" s="898"/>
      <c r="C192" s="898"/>
      <c r="D192" s="898"/>
      <c r="E192" s="898"/>
      <c r="F192" s="898"/>
      <c r="G192" s="240" t="s">
        <v>100</v>
      </c>
      <c r="H192" s="182" t="s">
        <v>101</v>
      </c>
      <c r="I192" s="896"/>
      <c r="J192" s="898"/>
      <c r="K192" s="898"/>
      <c r="L192" s="898"/>
      <c r="M192" s="898"/>
      <c r="N192" s="898"/>
      <c r="O192" s="240" t="s">
        <v>100</v>
      </c>
      <c r="P192" s="182" t="s">
        <v>101</v>
      </c>
    </row>
    <row r="193" spans="1:16" ht="12.75" customHeight="1">
      <c r="A193" s="881" t="e">
        <f>+A164+1</f>
        <v>#REF!</v>
      </c>
      <c r="B193" s="875">
        <v>42243</v>
      </c>
      <c r="C193" s="942" t="s">
        <v>31</v>
      </c>
      <c r="D193" s="881" t="s">
        <v>246</v>
      </c>
      <c r="E193" s="881" t="s">
        <v>115</v>
      </c>
      <c r="F193" s="883">
        <v>120000</v>
      </c>
      <c r="G193" s="55">
        <v>719</v>
      </c>
      <c r="H193" s="78">
        <v>120000</v>
      </c>
      <c r="I193" s="873" t="s">
        <v>1360</v>
      </c>
      <c r="J193" s="875">
        <v>42797</v>
      </c>
      <c r="K193" s="905" t="s">
        <v>778</v>
      </c>
      <c r="L193" s="881" t="s">
        <v>1225</v>
      </c>
      <c r="M193" s="881" t="s">
        <v>115</v>
      </c>
      <c r="N193" s="883">
        <v>441000</v>
      </c>
      <c r="O193" s="55">
        <v>719</v>
      </c>
      <c r="P193" s="78"/>
    </row>
    <row r="194" spans="1:16" ht="12.75" customHeight="1" thickBot="1">
      <c r="A194" s="882"/>
      <c r="B194" s="934"/>
      <c r="C194" s="943"/>
      <c r="D194" s="882"/>
      <c r="E194" s="882"/>
      <c r="F194" s="884"/>
      <c r="G194" s="56">
        <v>721</v>
      </c>
      <c r="H194" s="79">
        <f>+F193-H193</f>
        <v>0</v>
      </c>
      <c r="I194" s="874"/>
      <c r="J194" s="876"/>
      <c r="K194" s="906"/>
      <c r="L194" s="882"/>
      <c r="M194" s="882"/>
      <c r="N194" s="884"/>
      <c r="O194" s="56">
        <v>723</v>
      </c>
      <c r="P194" s="79">
        <f>+N193</f>
        <v>441000</v>
      </c>
    </row>
    <row r="195" spans="1:16" ht="12.75" customHeight="1">
      <c r="A195" s="881" t="e">
        <f>+A193+1</f>
        <v>#REF!</v>
      </c>
      <c r="B195" s="875">
        <v>42243</v>
      </c>
      <c r="C195" s="935" t="s">
        <v>28</v>
      </c>
      <c r="D195" s="881" t="s">
        <v>247</v>
      </c>
      <c r="E195" s="881" t="s">
        <v>115</v>
      </c>
      <c r="F195" s="883">
        <v>50000</v>
      </c>
      <c r="G195" s="55">
        <v>719</v>
      </c>
      <c r="H195" s="78">
        <v>50000</v>
      </c>
      <c r="I195" s="873" t="s">
        <v>1361</v>
      </c>
      <c r="J195" s="875">
        <v>42797</v>
      </c>
      <c r="K195" s="877" t="s">
        <v>779</v>
      </c>
      <c r="L195" s="881" t="s">
        <v>1225</v>
      </c>
      <c r="M195" s="881" t="s">
        <v>115</v>
      </c>
      <c r="N195" s="883">
        <v>1974320</v>
      </c>
      <c r="O195" s="55">
        <v>719</v>
      </c>
      <c r="P195" s="78"/>
    </row>
    <row r="196" spans="1:16" ht="12.75" customHeight="1" thickBot="1">
      <c r="A196" s="882"/>
      <c r="B196" s="934"/>
      <c r="C196" s="936"/>
      <c r="D196" s="882"/>
      <c r="E196" s="882"/>
      <c r="F196" s="884"/>
      <c r="G196" s="56">
        <v>721</v>
      </c>
      <c r="H196" s="79"/>
      <c r="I196" s="874"/>
      <c r="J196" s="876"/>
      <c r="K196" s="878"/>
      <c r="L196" s="882"/>
      <c r="M196" s="882"/>
      <c r="N196" s="884"/>
      <c r="O196" s="56">
        <v>723</v>
      </c>
      <c r="P196" s="79">
        <f>+N195</f>
        <v>1974320</v>
      </c>
    </row>
    <row r="197" spans="1:16" ht="12" customHeight="1">
      <c r="A197" s="881" t="e">
        <f>+A195+1</f>
        <v>#REF!</v>
      </c>
      <c r="B197" s="875">
        <v>42243</v>
      </c>
      <c r="C197" s="877" t="s">
        <v>250</v>
      </c>
      <c r="D197" s="877" t="s">
        <v>248</v>
      </c>
      <c r="E197" s="881" t="s">
        <v>145</v>
      </c>
      <c r="F197" s="883">
        <v>4280256</v>
      </c>
      <c r="G197" s="55">
        <v>719</v>
      </c>
      <c r="H197" s="78"/>
      <c r="I197" s="873" t="s">
        <v>1362</v>
      </c>
      <c r="J197" s="875">
        <v>42797</v>
      </c>
      <c r="K197" s="877" t="s">
        <v>780</v>
      </c>
      <c r="L197" s="881" t="s">
        <v>1225</v>
      </c>
      <c r="M197" s="881" t="s">
        <v>115</v>
      </c>
      <c r="N197" s="883">
        <v>6114500</v>
      </c>
      <c r="O197" s="55">
        <v>719</v>
      </c>
      <c r="P197" s="78"/>
    </row>
    <row r="198" spans="1:16" ht="13.5" customHeight="1" thickBot="1">
      <c r="A198" s="882"/>
      <c r="B198" s="934"/>
      <c r="C198" s="878"/>
      <c r="D198" s="878"/>
      <c r="E198" s="882"/>
      <c r="F198" s="884"/>
      <c r="G198" s="56">
        <v>722</v>
      </c>
      <c r="H198" s="79">
        <f>+F197-H197</f>
        <v>4280256</v>
      </c>
      <c r="I198" s="874"/>
      <c r="J198" s="876"/>
      <c r="K198" s="878"/>
      <c r="L198" s="882"/>
      <c r="M198" s="882"/>
      <c r="N198" s="884"/>
      <c r="O198" s="56">
        <v>723</v>
      </c>
      <c r="P198" s="79">
        <f>+N197</f>
        <v>6114500</v>
      </c>
    </row>
    <row r="199" spans="1:16" ht="12" customHeight="1">
      <c r="A199" s="881" t="e">
        <f>+A197+1</f>
        <v>#REF!</v>
      </c>
      <c r="B199" s="875">
        <v>42243</v>
      </c>
      <c r="C199" s="877" t="s">
        <v>249</v>
      </c>
      <c r="D199" s="877" t="s">
        <v>248</v>
      </c>
      <c r="E199" s="881" t="s">
        <v>145</v>
      </c>
      <c r="F199" s="883">
        <v>2140128</v>
      </c>
      <c r="G199" s="55">
        <v>719</v>
      </c>
      <c r="H199" s="78"/>
      <c r="I199" s="873" t="s">
        <v>1363</v>
      </c>
      <c r="J199" s="875">
        <v>42797</v>
      </c>
      <c r="K199" s="877" t="s">
        <v>1366</v>
      </c>
      <c r="L199" s="881" t="s">
        <v>1225</v>
      </c>
      <c r="M199" s="881" t="s">
        <v>115</v>
      </c>
      <c r="N199" s="883">
        <v>635200</v>
      </c>
      <c r="O199" s="55">
        <v>719</v>
      </c>
      <c r="P199" s="78"/>
    </row>
    <row r="200" spans="1:16" ht="13.5" customHeight="1" thickBot="1">
      <c r="A200" s="882"/>
      <c r="B200" s="934"/>
      <c r="C200" s="878"/>
      <c r="D200" s="878"/>
      <c r="E200" s="882"/>
      <c r="F200" s="884"/>
      <c r="G200" s="56">
        <v>722</v>
      </c>
      <c r="H200" s="79">
        <f>+F199-H199</f>
        <v>2140128</v>
      </c>
      <c r="I200" s="874"/>
      <c r="J200" s="876"/>
      <c r="K200" s="878"/>
      <c r="L200" s="882"/>
      <c r="M200" s="882"/>
      <c r="N200" s="884"/>
      <c r="O200" s="56">
        <v>723</v>
      </c>
      <c r="P200" s="79">
        <f>+N199</f>
        <v>635200</v>
      </c>
    </row>
    <row r="201" spans="1:16" ht="13.5" customHeight="1">
      <c r="A201" s="881"/>
      <c r="B201" s="875"/>
      <c r="C201" s="935"/>
      <c r="D201" s="877"/>
      <c r="E201" s="881"/>
      <c r="F201" s="883"/>
      <c r="G201" s="55">
        <v>719</v>
      </c>
      <c r="H201" s="78"/>
      <c r="I201" s="873" t="s">
        <v>1364</v>
      </c>
      <c r="J201" s="875">
        <v>42797</v>
      </c>
      <c r="K201" s="881" t="s">
        <v>1367</v>
      </c>
      <c r="L201" s="881" t="s">
        <v>1225</v>
      </c>
      <c r="M201" s="881" t="s">
        <v>115</v>
      </c>
      <c r="N201" s="883">
        <v>675000</v>
      </c>
      <c r="O201" s="55">
        <v>719</v>
      </c>
      <c r="P201" s="78"/>
    </row>
    <row r="202" spans="1:16" ht="12.75" customHeight="1" thickBot="1">
      <c r="A202" s="882"/>
      <c r="B202" s="934"/>
      <c r="C202" s="936"/>
      <c r="D202" s="878"/>
      <c r="E202" s="882"/>
      <c r="F202" s="884"/>
      <c r="G202" s="56">
        <v>721</v>
      </c>
      <c r="H202" s="79">
        <f>+F201-H201</f>
        <v>0</v>
      </c>
      <c r="I202" s="874"/>
      <c r="J202" s="876"/>
      <c r="K202" s="882"/>
      <c r="L202" s="882"/>
      <c r="M202" s="882"/>
      <c r="N202" s="884"/>
      <c r="O202" s="56">
        <v>723</v>
      </c>
      <c r="P202" s="79">
        <f>+N201</f>
        <v>675000</v>
      </c>
    </row>
    <row r="203" spans="1:16" ht="16.5" thickBot="1">
      <c r="A203" s="901" t="s">
        <v>102</v>
      </c>
      <c r="B203" s="902"/>
      <c r="C203" s="902"/>
      <c r="D203" s="902"/>
      <c r="E203" s="903"/>
      <c r="F203" s="81">
        <f>SUM(F193:F202)</f>
        <v>6590384</v>
      </c>
      <c r="I203" s="901" t="s">
        <v>102</v>
      </c>
      <c r="J203" s="902"/>
      <c r="K203" s="902"/>
      <c r="L203" s="902"/>
      <c r="M203" s="903"/>
      <c r="N203" s="81">
        <f>SUM(N193:N202)</f>
        <v>9840020</v>
      </c>
    </row>
    <row r="204" spans="1:16" ht="16.5" thickBot="1">
      <c r="A204" s="885" t="s">
        <v>103</v>
      </c>
      <c r="B204" s="886"/>
      <c r="C204" s="886"/>
      <c r="D204" s="886"/>
      <c r="E204" s="887"/>
      <c r="F204" s="69">
        <f>+F168</f>
        <v>614635841</v>
      </c>
      <c r="I204" s="885" t="s">
        <v>103</v>
      </c>
      <c r="J204" s="886"/>
      <c r="K204" s="886"/>
      <c r="L204" s="886"/>
      <c r="M204" s="887"/>
      <c r="N204" s="239">
        <f>+N168</f>
        <v>135441277</v>
      </c>
      <c r="O204" s="241" t="s">
        <v>561</v>
      </c>
      <c r="P204" s="242"/>
    </row>
    <row r="205" spans="1:16" ht="16.5" thickBot="1">
      <c r="A205" s="888" t="s">
        <v>104</v>
      </c>
      <c r="B205" s="889"/>
      <c r="C205" s="889"/>
      <c r="D205" s="889"/>
      <c r="E205" s="890"/>
      <c r="F205" s="183">
        <f>SUM(F203:F204)</f>
        <v>621226225</v>
      </c>
      <c r="I205" s="888" t="s">
        <v>104</v>
      </c>
      <c r="J205" s="889"/>
      <c r="K205" s="889"/>
      <c r="L205" s="889"/>
      <c r="M205" s="890"/>
      <c r="N205" s="183">
        <f>SUM(N203:N204)</f>
        <v>145281297</v>
      </c>
    </row>
    <row r="206" spans="1:16" ht="12" customHeight="1">
      <c r="A206" s="61"/>
      <c r="B206" s="61"/>
      <c r="C206" s="61"/>
      <c r="D206" s="61"/>
      <c r="E206" s="61"/>
      <c r="I206" s="61"/>
      <c r="J206" s="61"/>
      <c r="K206" s="61"/>
      <c r="L206" s="61"/>
      <c r="M206" s="61"/>
    </row>
    <row r="207" spans="1:16">
      <c r="A207" s="51" t="s">
        <v>254</v>
      </c>
      <c r="I207" s="51" t="s">
        <v>1368</v>
      </c>
    </row>
    <row r="208" spans="1:16">
      <c r="F208" s="139"/>
      <c r="N208" s="139"/>
    </row>
    <row r="209" spans="1:15">
      <c r="A209" s="50" t="s">
        <v>105</v>
      </c>
      <c r="D209" s="146"/>
      <c r="F209" s="139"/>
      <c r="I209" s="50" t="s">
        <v>105</v>
      </c>
      <c r="L209" s="146"/>
      <c r="N209" s="139"/>
    </row>
    <row r="210" spans="1:15" ht="13.5" customHeight="1" thickBot="1"/>
    <row r="211" spans="1:15" ht="15.75" thickBot="1">
      <c r="A211" s="891" t="s">
        <v>106</v>
      </c>
      <c r="B211" s="892"/>
      <c r="C211" s="892"/>
      <c r="D211" s="893"/>
      <c r="F211" s="50" t="s">
        <v>107</v>
      </c>
      <c r="I211" s="891" t="s">
        <v>106</v>
      </c>
      <c r="J211" s="892"/>
      <c r="K211" s="892"/>
      <c r="L211" s="893"/>
      <c r="N211" s="50" t="s">
        <v>288</v>
      </c>
    </row>
    <row r="212" spans="1:15" ht="30.75" thickBot="1">
      <c r="A212" s="57" t="s">
        <v>100</v>
      </c>
      <c r="B212" s="58" t="s">
        <v>108</v>
      </c>
      <c r="C212" s="59" t="s">
        <v>109</v>
      </c>
      <c r="D212" s="60" t="s">
        <v>110</v>
      </c>
      <c r="I212" s="57" t="s">
        <v>100</v>
      </c>
      <c r="J212" s="58" t="s">
        <v>108</v>
      </c>
      <c r="K212" s="59" t="s">
        <v>109</v>
      </c>
      <c r="L212" s="60" t="s">
        <v>110</v>
      </c>
    </row>
    <row r="213" spans="1:15">
      <c r="A213" s="71">
        <v>719</v>
      </c>
      <c r="B213" s="73">
        <f>+H193+H195</f>
        <v>170000</v>
      </c>
      <c r="C213" s="74" t="e">
        <f>+D176</f>
        <v>#REF!</v>
      </c>
      <c r="D213" s="76" t="e">
        <f>+B213+C213</f>
        <v>#REF!</v>
      </c>
      <c r="I213" s="71">
        <v>719</v>
      </c>
      <c r="J213" s="73"/>
      <c r="K213" s="74">
        <f>+L176</f>
        <v>6066700</v>
      </c>
      <c r="L213" s="195">
        <f>+J213+K213</f>
        <v>6066700</v>
      </c>
    </row>
    <row r="214" spans="1:15" ht="12.75" customHeight="1">
      <c r="A214" s="72">
        <v>721</v>
      </c>
      <c r="B214" s="80"/>
      <c r="C214" s="74" t="e">
        <f>+D177</f>
        <v>#REF!</v>
      </c>
      <c r="D214" s="76" t="e">
        <f>+B214+C214</f>
        <v>#REF!</v>
      </c>
      <c r="I214" s="72">
        <v>721</v>
      </c>
      <c r="J214" s="80"/>
      <c r="K214" s="74">
        <f>+L177</f>
        <v>659550</v>
      </c>
      <c r="L214" s="195">
        <f>+J214+K214</f>
        <v>659550</v>
      </c>
    </row>
    <row r="215" spans="1:15">
      <c r="A215" s="72">
        <v>722</v>
      </c>
      <c r="B215" s="80">
        <f>+H198+H200</f>
        <v>6420384</v>
      </c>
      <c r="C215" s="74">
        <f>+D178</f>
        <v>224787287</v>
      </c>
      <c r="D215" s="76">
        <f>+B215+C215</f>
        <v>231207671</v>
      </c>
      <c r="I215" s="72">
        <v>722</v>
      </c>
      <c r="J215" s="80"/>
      <c r="K215" s="74">
        <f>+L178</f>
        <v>0</v>
      </c>
      <c r="L215" s="195">
        <f>+J215+K215</f>
        <v>0</v>
      </c>
    </row>
    <row r="216" spans="1:15" ht="15" customHeight="1">
      <c r="A216" s="72">
        <v>723</v>
      </c>
      <c r="B216" s="80"/>
      <c r="C216" s="74">
        <f>+D179</f>
        <v>319828837</v>
      </c>
      <c r="D216" s="76">
        <f>+B216+C216</f>
        <v>319828837</v>
      </c>
      <c r="F216" s="174" t="s">
        <v>23</v>
      </c>
      <c r="G216" s="175"/>
      <c r="I216" s="72">
        <v>723</v>
      </c>
      <c r="J216" s="80">
        <f>+P194+P196+P198+P200+P202</f>
        <v>9840020</v>
      </c>
      <c r="K216" s="74">
        <f>+L179</f>
        <v>128715027</v>
      </c>
      <c r="L216" s="195">
        <f>+J216+K216</f>
        <v>138555047</v>
      </c>
      <c r="N216" s="260" t="s">
        <v>1359</v>
      </c>
    </row>
    <row r="217" spans="1:15" ht="16.5" thickBot="1">
      <c r="A217" s="164" t="s">
        <v>181</v>
      </c>
      <c r="B217" s="165"/>
      <c r="C217" s="74">
        <f>+D180</f>
        <v>1965625</v>
      </c>
      <c r="D217" s="168">
        <f>+B217+C217</f>
        <v>1965625</v>
      </c>
      <c r="F217" s="52"/>
      <c r="I217" s="164" t="s">
        <v>181</v>
      </c>
      <c r="J217" s="165"/>
      <c r="K217" s="74">
        <f>+L180</f>
        <v>0</v>
      </c>
      <c r="L217" s="196">
        <f>+J217+K217</f>
        <v>0</v>
      </c>
      <c r="N217" s="52"/>
    </row>
    <row r="218" spans="1:15" ht="16.5" thickBot="1">
      <c r="A218" s="169"/>
      <c r="B218" s="170">
        <f>SUM(B213:B217)</f>
        <v>6590384</v>
      </c>
      <c r="C218" s="171" t="e">
        <f>SUM(C213:C217)</f>
        <v>#REF!</v>
      </c>
      <c r="D218" s="172" t="e">
        <f>SUM(D213:D217)</f>
        <v>#REF!</v>
      </c>
      <c r="I218" s="169"/>
      <c r="J218" s="197">
        <f>SUM(J213:J217)</f>
        <v>9840020</v>
      </c>
      <c r="K218" s="197">
        <f>SUM(K213:K217)</f>
        <v>135441277</v>
      </c>
      <c r="L218" s="198">
        <f>SUM(L213:L217)</f>
        <v>145281297</v>
      </c>
    </row>
    <row r="219" spans="1:15" ht="16.5">
      <c r="A219" s="49" t="s">
        <v>88</v>
      </c>
      <c r="B219" s="50"/>
      <c r="I219" s="49" t="s">
        <v>88</v>
      </c>
      <c r="J219" s="50"/>
    </row>
    <row r="220" spans="1:15">
      <c r="A220" s="51" t="s">
        <v>89</v>
      </c>
      <c r="I220" s="51" t="s">
        <v>89</v>
      </c>
    </row>
    <row r="221" spans="1:15">
      <c r="A221" s="51" t="s">
        <v>90</v>
      </c>
      <c r="I221" s="51" t="s">
        <v>90</v>
      </c>
    </row>
    <row r="222" spans="1:15">
      <c r="A222" s="51" t="s">
        <v>91</v>
      </c>
      <c r="I222" s="51" t="s">
        <v>91</v>
      </c>
    </row>
    <row r="223" spans="1:15" ht="11.25" customHeight="1">
      <c r="A223" s="50"/>
      <c r="B223" s="50"/>
      <c r="I223" s="50"/>
      <c r="J223" s="50"/>
    </row>
    <row r="224" spans="1:15" ht="16.5">
      <c r="A224" s="52" t="s">
        <v>256</v>
      </c>
      <c r="G224" s="52"/>
      <c r="I224" s="52" t="s">
        <v>572</v>
      </c>
      <c r="J224" s="243" t="s">
        <v>552</v>
      </c>
      <c r="O224" s="52"/>
    </row>
    <row r="225" spans="1:16" ht="15.75">
      <c r="A225" s="53" t="s">
        <v>92</v>
      </c>
      <c r="G225" s="53"/>
      <c r="I225" s="53" t="s">
        <v>1333</v>
      </c>
      <c r="O225" s="53"/>
    </row>
    <row r="226" spans="1:16" ht="16.5">
      <c r="A226" s="894" t="s">
        <v>261</v>
      </c>
      <c r="B226" s="894"/>
      <c r="C226" s="894"/>
      <c r="D226" s="894"/>
      <c r="E226" s="894"/>
      <c r="F226" s="894"/>
      <c r="G226" s="894"/>
      <c r="H226" s="894"/>
      <c r="I226" s="894" t="s">
        <v>212</v>
      </c>
      <c r="J226" s="894"/>
      <c r="K226" s="894"/>
      <c r="L226" s="894"/>
      <c r="M226" s="894"/>
      <c r="N226" s="894"/>
      <c r="O226" s="894"/>
      <c r="P226" s="894"/>
    </row>
    <row r="227" spans="1:16" ht="12" customHeight="1" thickBot="1"/>
    <row r="228" spans="1:16">
      <c r="A228" s="895" t="s">
        <v>94</v>
      </c>
      <c r="B228" s="897" t="s">
        <v>95</v>
      </c>
      <c r="C228" s="897" t="s">
        <v>96</v>
      </c>
      <c r="D228" s="897" t="s">
        <v>3</v>
      </c>
      <c r="E228" s="897" t="s">
        <v>97</v>
      </c>
      <c r="F228" s="897" t="s">
        <v>98</v>
      </c>
      <c r="G228" s="897" t="s">
        <v>99</v>
      </c>
      <c r="H228" s="899"/>
      <c r="I228" s="895" t="s">
        <v>94</v>
      </c>
      <c r="J228" s="897" t="s">
        <v>95</v>
      </c>
      <c r="K228" s="897" t="s">
        <v>96</v>
      </c>
      <c r="L228" s="897" t="s">
        <v>3</v>
      </c>
      <c r="M228" s="897" t="s">
        <v>97</v>
      </c>
      <c r="N228" s="897" t="s">
        <v>98</v>
      </c>
      <c r="O228" s="897" t="s">
        <v>99</v>
      </c>
      <c r="P228" s="899"/>
    </row>
    <row r="229" spans="1:16" ht="15.75" thickBot="1">
      <c r="A229" s="896"/>
      <c r="B229" s="898"/>
      <c r="C229" s="898"/>
      <c r="D229" s="898"/>
      <c r="E229" s="898"/>
      <c r="F229" s="898"/>
      <c r="G229" s="240" t="s">
        <v>100</v>
      </c>
      <c r="H229" s="182" t="s">
        <v>101</v>
      </c>
      <c r="I229" s="896"/>
      <c r="J229" s="898"/>
      <c r="K229" s="898"/>
      <c r="L229" s="898"/>
      <c r="M229" s="898"/>
      <c r="N229" s="898"/>
      <c r="O229" s="240" t="s">
        <v>100</v>
      </c>
      <c r="P229" s="182" t="s">
        <v>101</v>
      </c>
    </row>
    <row r="230" spans="1:16" ht="13.5" customHeight="1">
      <c r="A230" s="881" t="e">
        <f>+A199+1</f>
        <v>#REF!</v>
      </c>
      <c r="B230" s="875">
        <v>42252</v>
      </c>
      <c r="C230" s="942" t="s">
        <v>31</v>
      </c>
      <c r="D230" s="881" t="s">
        <v>257</v>
      </c>
      <c r="E230" s="881" t="s">
        <v>115</v>
      </c>
      <c r="F230" s="883">
        <v>90000</v>
      </c>
      <c r="G230" s="55">
        <v>719</v>
      </c>
      <c r="H230" s="78">
        <v>90000</v>
      </c>
      <c r="I230" s="873" t="s">
        <v>1374</v>
      </c>
      <c r="J230" s="875">
        <v>42797</v>
      </c>
      <c r="K230" s="877" t="s">
        <v>1380</v>
      </c>
      <c r="L230" s="881" t="s">
        <v>1225</v>
      </c>
      <c r="M230" s="881" t="s">
        <v>115</v>
      </c>
      <c r="N230" s="883">
        <v>1259900</v>
      </c>
      <c r="O230" s="55">
        <v>719</v>
      </c>
      <c r="P230" s="78"/>
    </row>
    <row r="231" spans="1:16" ht="14.25" customHeight="1" thickBot="1">
      <c r="A231" s="882"/>
      <c r="B231" s="934"/>
      <c r="C231" s="943"/>
      <c r="D231" s="882"/>
      <c r="E231" s="882"/>
      <c r="F231" s="884"/>
      <c r="G231" s="56">
        <v>721</v>
      </c>
      <c r="H231" s="79">
        <f>+F230-H230</f>
        <v>0</v>
      </c>
      <c r="I231" s="882"/>
      <c r="J231" s="876"/>
      <c r="K231" s="878"/>
      <c r="L231" s="882"/>
      <c r="M231" s="882"/>
      <c r="N231" s="884"/>
      <c r="O231" s="56">
        <v>723</v>
      </c>
      <c r="P231" s="79">
        <f>+N230</f>
        <v>1259900</v>
      </c>
    </row>
    <row r="232" spans="1:16" ht="12.75" customHeight="1">
      <c r="A232" s="881" t="e">
        <f>+A230+1</f>
        <v>#REF!</v>
      </c>
      <c r="B232" s="875">
        <v>42252</v>
      </c>
      <c r="C232" s="935" t="s">
        <v>28</v>
      </c>
      <c r="D232" s="881" t="s">
        <v>258</v>
      </c>
      <c r="E232" s="881" t="s">
        <v>115</v>
      </c>
      <c r="F232" s="883">
        <v>40000</v>
      </c>
      <c r="G232" s="55">
        <v>719</v>
      </c>
      <c r="H232" s="78">
        <f>+F232</f>
        <v>40000</v>
      </c>
      <c r="I232" s="873" t="s">
        <v>1375</v>
      </c>
      <c r="J232" s="875">
        <v>42797</v>
      </c>
      <c r="K232" s="877" t="s">
        <v>1381</v>
      </c>
      <c r="L232" s="881" t="s">
        <v>1225</v>
      </c>
      <c r="M232" s="881" t="s">
        <v>145</v>
      </c>
      <c r="N232" s="883">
        <v>5000000</v>
      </c>
      <c r="O232" s="55">
        <v>719</v>
      </c>
      <c r="P232" s="78"/>
    </row>
    <row r="233" spans="1:16" ht="13.5" customHeight="1" thickBot="1">
      <c r="A233" s="882"/>
      <c r="B233" s="934"/>
      <c r="C233" s="936"/>
      <c r="D233" s="882"/>
      <c r="E233" s="882"/>
      <c r="F233" s="884"/>
      <c r="G233" s="56">
        <v>721</v>
      </c>
      <c r="H233" s="79"/>
      <c r="I233" s="882"/>
      <c r="J233" s="876"/>
      <c r="K233" s="878"/>
      <c r="L233" s="882"/>
      <c r="M233" s="882"/>
      <c r="N233" s="884"/>
      <c r="O233" s="56">
        <v>723</v>
      </c>
      <c r="P233" s="79">
        <f>+N232</f>
        <v>5000000</v>
      </c>
    </row>
    <row r="234" spans="1:16" ht="12.75" customHeight="1">
      <c r="A234" s="881" t="e">
        <f>+A232+1</f>
        <v>#REF!</v>
      </c>
      <c r="B234" s="875">
        <v>42252</v>
      </c>
      <c r="C234" s="877" t="s">
        <v>32</v>
      </c>
      <c r="D234" s="881" t="s">
        <v>259</v>
      </c>
      <c r="E234" s="881" t="s">
        <v>115</v>
      </c>
      <c r="F234" s="883">
        <v>80000</v>
      </c>
      <c r="G234" s="55">
        <v>719</v>
      </c>
      <c r="H234" s="78">
        <v>80000</v>
      </c>
      <c r="I234" s="873" t="s">
        <v>1376</v>
      </c>
      <c r="J234" s="875">
        <v>42797</v>
      </c>
      <c r="K234" s="881" t="s">
        <v>31</v>
      </c>
      <c r="L234" s="881" t="s">
        <v>1225</v>
      </c>
      <c r="M234" s="881" t="s">
        <v>783</v>
      </c>
      <c r="N234" s="883">
        <v>1760000</v>
      </c>
      <c r="O234" s="55">
        <v>719</v>
      </c>
      <c r="P234" s="78"/>
    </row>
    <row r="235" spans="1:16" ht="13.5" customHeight="1" thickBot="1">
      <c r="A235" s="882"/>
      <c r="B235" s="934"/>
      <c r="C235" s="878"/>
      <c r="D235" s="882"/>
      <c r="E235" s="882"/>
      <c r="F235" s="884"/>
      <c r="G235" s="56">
        <v>721</v>
      </c>
      <c r="H235" s="79">
        <f>+F234-H234</f>
        <v>0</v>
      </c>
      <c r="I235" s="882"/>
      <c r="J235" s="876"/>
      <c r="K235" s="882"/>
      <c r="L235" s="882"/>
      <c r="M235" s="882"/>
      <c r="N235" s="884"/>
      <c r="O235" s="56">
        <v>723</v>
      </c>
      <c r="P235" s="79">
        <f>+N234-P234</f>
        <v>1760000</v>
      </c>
    </row>
    <row r="236" spans="1:16" ht="13.5" customHeight="1">
      <c r="A236" s="881"/>
      <c r="B236" s="875"/>
      <c r="C236" s="877"/>
      <c r="D236" s="877"/>
      <c r="E236" s="881"/>
      <c r="F236" s="883"/>
      <c r="G236" s="55">
        <v>719</v>
      </c>
      <c r="H236" s="78"/>
      <c r="I236" s="873" t="s">
        <v>1377</v>
      </c>
      <c r="J236" s="875">
        <v>42797</v>
      </c>
      <c r="K236" s="877" t="s">
        <v>685</v>
      </c>
      <c r="L236" s="881" t="s">
        <v>1225</v>
      </c>
      <c r="M236" s="881" t="s">
        <v>148</v>
      </c>
      <c r="N236" s="883">
        <v>3150000</v>
      </c>
      <c r="O236" s="55">
        <v>719</v>
      </c>
      <c r="P236" s="78"/>
    </row>
    <row r="237" spans="1:16" ht="12.75" customHeight="1" thickBot="1">
      <c r="A237" s="882"/>
      <c r="B237" s="934"/>
      <c r="C237" s="878"/>
      <c r="D237" s="878"/>
      <c r="E237" s="882"/>
      <c r="F237" s="884"/>
      <c r="G237" s="56">
        <v>721</v>
      </c>
      <c r="H237" s="79">
        <f>+F236-H236</f>
        <v>0</v>
      </c>
      <c r="I237" s="882"/>
      <c r="J237" s="876"/>
      <c r="K237" s="878"/>
      <c r="L237" s="882"/>
      <c r="M237" s="882"/>
      <c r="N237" s="884"/>
      <c r="O237" s="56">
        <v>723</v>
      </c>
      <c r="P237" s="79">
        <f>+N236-P236</f>
        <v>3150000</v>
      </c>
    </row>
    <row r="238" spans="1:16" ht="12.75" customHeight="1">
      <c r="A238" s="881"/>
      <c r="B238" s="875"/>
      <c r="C238" s="935"/>
      <c r="D238" s="877"/>
      <c r="E238" s="881"/>
      <c r="F238" s="883"/>
      <c r="G238" s="55">
        <v>719</v>
      </c>
      <c r="H238" s="78"/>
      <c r="I238" s="873" t="s">
        <v>1378</v>
      </c>
      <c r="J238" s="875">
        <v>42797</v>
      </c>
      <c r="K238" s="877" t="s">
        <v>1385</v>
      </c>
      <c r="L238" s="881" t="s">
        <v>1225</v>
      </c>
      <c r="M238" s="881" t="s">
        <v>148</v>
      </c>
      <c r="N238" s="883">
        <v>46252500</v>
      </c>
      <c r="O238" s="55">
        <v>719</v>
      </c>
      <c r="P238" s="78"/>
    </row>
    <row r="239" spans="1:16" ht="13.5" customHeight="1" thickBot="1">
      <c r="A239" s="882"/>
      <c r="B239" s="934"/>
      <c r="C239" s="936"/>
      <c r="D239" s="878"/>
      <c r="E239" s="882"/>
      <c r="F239" s="884"/>
      <c r="G239" s="56">
        <v>721</v>
      </c>
      <c r="H239" s="79">
        <f>+F238-H238</f>
        <v>0</v>
      </c>
      <c r="I239" s="882"/>
      <c r="J239" s="876"/>
      <c r="K239" s="878"/>
      <c r="L239" s="882"/>
      <c r="M239" s="882"/>
      <c r="N239" s="884"/>
      <c r="O239" s="56">
        <v>723</v>
      </c>
      <c r="P239" s="79">
        <f>+N238-P238</f>
        <v>46252500</v>
      </c>
    </row>
    <row r="240" spans="1:16" ht="16.5" thickBot="1">
      <c r="A240" s="901" t="s">
        <v>102</v>
      </c>
      <c r="B240" s="902"/>
      <c r="C240" s="902"/>
      <c r="D240" s="902"/>
      <c r="E240" s="903"/>
      <c r="F240" s="81">
        <f>SUM(F230:F239)</f>
        <v>210000</v>
      </c>
      <c r="I240" s="901" t="s">
        <v>102</v>
      </c>
      <c r="J240" s="902"/>
      <c r="K240" s="902"/>
      <c r="L240" s="902"/>
      <c r="M240" s="903"/>
      <c r="N240" s="81">
        <f>SUM(N230:N239)</f>
        <v>57422400</v>
      </c>
    </row>
    <row r="241" spans="1:16" ht="16.5" thickBot="1">
      <c r="A241" s="885" t="s">
        <v>103</v>
      </c>
      <c r="B241" s="886"/>
      <c r="C241" s="886"/>
      <c r="D241" s="886"/>
      <c r="E241" s="887"/>
      <c r="F241" s="69">
        <f>+F205</f>
        <v>621226225</v>
      </c>
      <c r="I241" s="885" t="s">
        <v>103</v>
      </c>
      <c r="J241" s="886"/>
      <c r="K241" s="886"/>
      <c r="L241" s="886"/>
      <c r="M241" s="887"/>
      <c r="N241" s="239">
        <f>+N205</f>
        <v>145281297</v>
      </c>
      <c r="O241" s="241" t="s">
        <v>561</v>
      </c>
      <c r="P241" s="242"/>
    </row>
    <row r="242" spans="1:16" ht="16.5" thickBot="1">
      <c r="A242" s="888" t="s">
        <v>104</v>
      </c>
      <c r="B242" s="889"/>
      <c r="C242" s="889"/>
      <c r="D242" s="889"/>
      <c r="E242" s="890"/>
      <c r="F242" s="183">
        <f>SUM(F240:F241)</f>
        <v>621436225</v>
      </c>
      <c r="I242" s="888" t="s">
        <v>104</v>
      </c>
      <c r="J242" s="889"/>
      <c r="K242" s="889"/>
      <c r="L242" s="889"/>
      <c r="M242" s="890"/>
      <c r="N242" s="183">
        <f>SUM(N240:N241)</f>
        <v>202703697</v>
      </c>
    </row>
    <row r="243" spans="1:16">
      <c r="A243" s="61"/>
      <c r="B243" s="61"/>
      <c r="C243" s="61"/>
      <c r="D243" s="61"/>
      <c r="E243" s="61"/>
      <c r="I243" s="61"/>
      <c r="J243" s="61"/>
      <c r="K243" s="61"/>
      <c r="L243" s="61"/>
      <c r="M243" s="61"/>
    </row>
    <row r="244" spans="1:16">
      <c r="A244" s="51" t="s">
        <v>260</v>
      </c>
      <c r="I244" s="51" t="s">
        <v>1386</v>
      </c>
    </row>
    <row r="245" spans="1:16" ht="10.5" customHeight="1">
      <c r="F245" s="139"/>
      <c r="N245" s="139"/>
    </row>
    <row r="246" spans="1:16">
      <c r="A246" s="50" t="s">
        <v>105</v>
      </c>
      <c r="D246" s="146"/>
      <c r="F246" s="139"/>
      <c r="I246" s="50" t="s">
        <v>105</v>
      </c>
      <c r="L246" s="146"/>
      <c r="N246" s="139"/>
    </row>
    <row r="247" spans="1:16" ht="12" customHeight="1" thickBot="1"/>
    <row r="248" spans="1:16" ht="15.75" thickBot="1">
      <c r="A248" s="891" t="s">
        <v>106</v>
      </c>
      <c r="B248" s="892"/>
      <c r="C248" s="892"/>
      <c r="D248" s="893"/>
      <c r="F248" s="50" t="s">
        <v>263</v>
      </c>
      <c r="I248" s="891" t="s">
        <v>106</v>
      </c>
      <c r="J248" s="892"/>
      <c r="K248" s="892"/>
      <c r="L248" s="893"/>
      <c r="N248" s="50" t="s">
        <v>288</v>
      </c>
    </row>
    <row r="249" spans="1:16" ht="30.75" thickBot="1">
      <c r="A249" s="57" t="s">
        <v>100</v>
      </c>
      <c r="B249" s="58" t="s">
        <v>108</v>
      </c>
      <c r="C249" s="59" t="s">
        <v>109</v>
      </c>
      <c r="D249" s="60" t="s">
        <v>110</v>
      </c>
      <c r="I249" s="57" t="s">
        <v>100</v>
      </c>
      <c r="J249" s="58" t="s">
        <v>108</v>
      </c>
      <c r="K249" s="59" t="s">
        <v>109</v>
      </c>
      <c r="L249" s="60" t="s">
        <v>110</v>
      </c>
    </row>
    <row r="250" spans="1:16">
      <c r="A250" s="71">
        <v>719</v>
      </c>
      <c r="B250" s="73">
        <f>+H230+H232+H234</f>
        <v>210000</v>
      </c>
      <c r="C250" s="74" t="e">
        <f>+D213</f>
        <v>#REF!</v>
      </c>
      <c r="D250" s="76" t="e">
        <f>+B250+C250</f>
        <v>#REF!</v>
      </c>
      <c r="I250" s="71">
        <v>719</v>
      </c>
      <c r="J250" s="73">
        <f>+P230+P232+P234+P236+P238</f>
        <v>0</v>
      </c>
      <c r="K250" s="74">
        <f>+L213</f>
        <v>6066700</v>
      </c>
      <c r="L250" s="195">
        <f>+J250+K250</f>
        <v>6066700</v>
      </c>
    </row>
    <row r="251" spans="1:16">
      <c r="A251" s="72">
        <v>721</v>
      </c>
      <c r="B251" s="80"/>
      <c r="C251" s="74" t="e">
        <f>+D214</f>
        <v>#REF!</v>
      </c>
      <c r="D251" s="76" t="e">
        <f>+B251+C251</f>
        <v>#REF!</v>
      </c>
      <c r="I251" s="72">
        <v>721</v>
      </c>
      <c r="J251" s="80">
        <v>0</v>
      </c>
      <c r="K251" s="74">
        <f>+L214</f>
        <v>659550</v>
      </c>
      <c r="L251" s="195">
        <f>+J251+K251</f>
        <v>659550</v>
      </c>
    </row>
    <row r="252" spans="1:16" ht="14.25" customHeight="1">
      <c r="A252" s="72">
        <v>722</v>
      </c>
      <c r="B252" s="80"/>
      <c r="C252" s="74">
        <f>+D215</f>
        <v>231207671</v>
      </c>
      <c r="D252" s="76">
        <f>+B252+C252</f>
        <v>231207671</v>
      </c>
      <c r="I252" s="72">
        <v>722</v>
      </c>
      <c r="J252" s="80"/>
      <c r="K252" s="74">
        <f>+L215</f>
        <v>0</v>
      </c>
      <c r="L252" s="195">
        <f>+J252+K252</f>
        <v>0</v>
      </c>
    </row>
    <row r="253" spans="1:16" ht="15.75" customHeight="1">
      <c r="A253" s="72">
        <v>723</v>
      </c>
      <c r="B253" s="80"/>
      <c r="C253" s="74">
        <f>+D216</f>
        <v>319828837</v>
      </c>
      <c r="D253" s="76">
        <f>+B253+C253</f>
        <v>319828837</v>
      </c>
      <c r="F253" s="174" t="s">
        <v>262</v>
      </c>
      <c r="G253" s="175"/>
      <c r="I253" s="72">
        <v>723</v>
      </c>
      <c r="J253" s="80">
        <f>+P231+P233+P235+P237+P239</f>
        <v>57422400</v>
      </c>
      <c r="K253" s="74">
        <f>+L216</f>
        <v>138555047</v>
      </c>
      <c r="L253" s="195">
        <f>+J253+K253</f>
        <v>195977447</v>
      </c>
      <c r="N253" s="260" t="s">
        <v>1359</v>
      </c>
      <c r="O253" s="175"/>
    </row>
    <row r="254" spans="1:16" ht="15.75" customHeight="1" thickBot="1">
      <c r="A254" s="164" t="s">
        <v>181</v>
      </c>
      <c r="B254" s="165"/>
      <c r="C254" s="74">
        <f>+D217</f>
        <v>1965625</v>
      </c>
      <c r="D254" s="168">
        <f>+B254+C254</f>
        <v>1965625</v>
      </c>
      <c r="F254" s="52"/>
      <c r="I254" s="164" t="s">
        <v>181</v>
      </c>
      <c r="J254" s="165"/>
      <c r="K254" s="74">
        <f>+L217</f>
        <v>0</v>
      </c>
      <c r="L254" s="196">
        <f>+J254+K254</f>
        <v>0</v>
      </c>
      <c r="N254" s="52"/>
    </row>
    <row r="255" spans="1:16" ht="16.5" thickBot="1">
      <c r="A255" s="169"/>
      <c r="B255" s="170">
        <f>SUM(B250:B254)</f>
        <v>210000</v>
      </c>
      <c r="C255" s="171" t="e">
        <f>SUM(C250:C254)</f>
        <v>#REF!</v>
      </c>
      <c r="D255" s="172" t="e">
        <f>SUM(D250:D254)</f>
        <v>#REF!</v>
      </c>
      <c r="I255" s="169"/>
      <c r="J255" s="197">
        <f>SUM(J250:J254)</f>
        <v>57422400</v>
      </c>
      <c r="K255" s="197">
        <f>SUM(K250:K254)</f>
        <v>145281297</v>
      </c>
      <c r="L255" s="198">
        <f>SUM(L250:L254)</f>
        <v>202703697</v>
      </c>
    </row>
    <row r="256" spans="1:16" ht="16.5">
      <c r="A256" s="49" t="s">
        <v>88</v>
      </c>
      <c r="B256" s="50"/>
      <c r="I256" s="49" t="s">
        <v>88</v>
      </c>
      <c r="J256" s="50"/>
    </row>
    <row r="257" spans="1:16">
      <c r="A257" s="51" t="s">
        <v>89</v>
      </c>
      <c r="I257" s="51" t="s">
        <v>89</v>
      </c>
    </row>
    <row r="258" spans="1:16">
      <c r="A258" s="51" t="s">
        <v>90</v>
      </c>
      <c r="I258" s="51" t="s">
        <v>90</v>
      </c>
    </row>
    <row r="259" spans="1:16">
      <c r="A259" s="51" t="s">
        <v>91</v>
      </c>
      <c r="I259" s="51" t="s">
        <v>91</v>
      </c>
    </row>
    <row r="260" spans="1:16" ht="10.5" customHeight="1">
      <c r="A260" s="50"/>
      <c r="B260" s="50"/>
      <c r="I260" s="50"/>
      <c r="J260" s="50"/>
    </row>
    <row r="261" spans="1:16" ht="16.5">
      <c r="A261" s="52" t="s">
        <v>264</v>
      </c>
      <c r="G261" s="52"/>
      <c r="I261" s="52" t="s">
        <v>564</v>
      </c>
      <c r="J261" s="244" t="s">
        <v>553</v>
      </c>
      <c r="O261" s="52"/>
    </row>
    <row r="262" spans="1:16" ht="15.75">
      <c r="A262" s="53" t="s">
        <v>92</v>
      </c>
      <c r="G262" s="53"/>
      <c r="I262" s="53" t="s">
        <v>1333</v>
      </c>
      <c r="O262" s="53"/>
    </row>
    <row r="263" spans="1:16" ht="16.5">
      <c r="A263" s="894" t="s">
        <v>261</v>
      </c>
      <c r="B263" s="894"/>
      <c r="C263" s="894"/>
      <c r="D263" s="894"/>
      <c r="E263" s="894"/>
      <c r="F263" s="894"/>
      <c r="G263" s="894"/>
      <c r="H263" s="894"/>
      <c r="I263" s="894" t="s">
        <v>212</v>
      </c>
      <c r="J263" s="894"/>
      <c r="K263" s="894"/>
      <c r="L263" s="894"/>
      <c r="M263" s="894"/>
      <c r="N263" s="894"/>
      <c r="O263" s="894"/>
      <c r="P263" s="894"/>
    </row>
    <row r="264" spans="1:16" ht="11.25" customHeight="1" thickBot="1"/>
    <row r="265" spans="1:16">
      <c r="A265" s="895" t="s">
        <v>94</v>
      </c>
      <c r="B265" s="897" t="s">
        <v>95</v>
      </c>
      <c r="C265" s="897" t="s">
        <v>96</v>
      </c>
      <c r="D265" s="897" t="s">
        <v>3</v>
      </c>
      <c r="E265" s="897" t="s">
        <v>97</v>
      </c>
      <c r="F265" s="897" t="s">
        <v>98</v>
      </c>
      <c r="G265" s="897" t="s">
        <v>99</v>
      </c>
      <c r="H265" s="899"/>
      <c r="I265" s="895" t="s">
        <v>94</v>
      </c>
      <c r="J265" s="897" t="s">
        <v>95</v>
      </c>
      <c r="K265" s="897" t="s">
        <v>96</v>
      </c>
      <c r="L265" s="897" t="s">
        <v>3</v>
      </c>
      <c r="M265" s="897" t="s">
        <v>97</v>
      </c>
      <c r="N265" s="897" t="s">
        <v>98</v>
      </c>
      <c r="O265" s="897" t="s">
        <v>99</v>
      </c>
      <c r="P265" s="899"/>
    </row>
    <row r="266" spans="1:16" ht="15.75" thickBot="1">
      <c r="A266" s="896"/>
      <c r="B266" s="898"/>
      <c r="C266" s="898"/>
      <c r="D266" s="898"/>
      <c r="E266" s="898"/>
      <c r="F266" s="898"/>
      <c r="G266" s="240" t="s">
        <v>100</v>
      </c>
      <c r="H266" s="182" t="s">
        <v>101</v>
      </c>
      <c r="I266" s="896"/>
      <c r="J266" s="898"/>
      <c r="K266" s="898"/>
      <c r="L266" s="898"/>
      <c r="M266" s="898"/>
      <c r="N266" s="898"/>
      <c r="O266" s="240" t="s">
        <v>100</v>
      </c>
      <c r="P266" s="182" t="s">
        <v>101</v>
      </c>
    </row>
    <row r="267" spans="1:16" ht="13.5" customHeight="1">
      <c r="A267" s="881" t="e">
        <f>+A234+1</f>
        <v>#REF!</v>
      </c>
      <c r="B267" s="875">
        <v>42254</v>
      </c>
      <c r="C267" s="877" t="s">
        <v>267</v>
      </c>
      <c r="D267" s="881" t="s">
        <v>266</v>
      </c>
      <c r="E267" s="881" t="s">
        <v>148</v>
      </c>
      <c r="F267" s="883">
        <v>252000</v>
      </c>
      <c r="G267" s="55">
        <v>719</v>
      </c>
      <c r="H267" s="78">
        <v>180000</v>
      </c>
      <c r="I267" s="873" t="s">
        <v>1387</v>
      </c>
      <c r="J267" s="875">
        <v>42802</v>
      </c>
      <c r="K267" s="877" t="s">
        <v>688</v>
      </c>
      <c r="L267" s="881" t="s">
        <v>1225</v>
      </c>
      <c r="M267" s="881" t="s">
        <v>148</v>
      </c>
      <c r="N267" s="883">
        <v>630000</v>
      </c>
      <c r="O267" s="55">
        <v>719</v>
      </c>
      <c r="P267" s="78"/>
    </row>
    <row r="268" spans="1:16" ht="14.25" customHeight="1" thickBot="1">
      <c r="A268" s="882"/>
      <c r="B268" s="934"/>
      <c r="C268" s="878"/>
      <c r="D268" s="882"/>
      <c r="E268" s="882"/>
      <c r="F268" s="884"/>
      <c r="G268" s="56">
        <v>721</v>
      </c>
      <c r="H268" s="79">
        <f>+F267-H267</f>
        <v>72000</v>
      </c>
      <c r="I268" s="882"/>
      <c r="J268" s="876"/>
      <c r="K268" s="878"/>
      <c r="L268" s="882"/>
      <c r="M268" s="882"/>
      <c r="N268" s="884"/>
      <c r="O268" s="56">
        <v>723</v>
      </c>
      <c r="P268" s="79">
        <f>+N267</f>
        <v>630000</v>
      </c>
    </row>
    <row r="269" spans="1:16" ht="12" customHeight="1">
      <c r="A269" s="881" t="e">
        <f>+A267+1</f>
        <v>#REF!</v>
      </c>
      <c r="B269" s="875">
        <v>42254</v>
      </c>
      <c r="C269" s="881" t="s">
        <v>28</v>
      </c>
      <c r="D269" s="881" t="s">
        <v>258</v>
      </c>
      <c r="E269" s="881" t="s">
        <v>148</v>
      </c>
      <c r="F269" s="883">
        <v>560000</v>
      </c>
      <c r="G269" s="55">
        <v>719</v>
      </c>
      <c r="H269" s="78">
        <v>400000</v>
      </c>
      <c r="I269" s="873" t="s">
        <v>1388</v>
      </c>
      <c r="J269" s="875">
        <v>42802</v>
      </c>
      <c r="K269" s="881" t="s">
        <v>28</v>
      </c>
      <c r="L269" s="881" t="s">
        <v>1225</v>
      </c>
      <c r="M269" s="881" t="s">
        <v>148</v>
      </c>
      <c r="N269" s="883">
        <v>1544550</v>
      </c>
      <c r="O269" s="55">
        <v>719</v>
      </c>
      <c r="P269" s="78"/>
    </row>
    <row r="270" spans="1:16" ht="15.75" customHeight="1" thickBot="1">
      <c r="A270" s="882"/>
      <c r="B270" s="934"/>
      <c r="C270" s="882"/>
      <c r="D270" s="882"/>
      <c r="E270" s="882"/>
      <c r="F270" s="884"/>
      <c r="G270" s="56">
        <v>721</v>
      </c>
      <c r="H270" s="79">
        <f>+F269-H269</f>
        <v>160000</v>
      </c>
      <c r="I270" s="882"/>
      <c r="J270" s="876"/>
      <c r="K270" s="882"/>
      <c r="L270" s="882"/>
      <c r="M270" s="882"/>
      <c r="N270" s="884"/>
      <c r="O270" s="56">
        <v>723</v>
      </c>
      <c r="P270" s="79">
        <f>+N269</f>
        <v>1544550</v>
      </c>
    </row>
    <row r="271" spans="1:16" ht="13.5" customHeight="1">
      <c r="A271" s="881" t="e">
        <f>+A269+1</f>
        <v>#REF!</v>
      </c>
      <c r="B271" s="875">
        <v>42254</v>
      </c>
      <c r="C271" s="877" t="s">
        <v>32</v>
      </c>
      <c r="D271" s="881" t="s">
        <v>265</v>
      </c>
      <c r="E271" s="881" t="s">
        <v>148</v>
      </c>
      <c r="F271" s="883">
        <v>154000</v>
      </c>
      <c r="G271" s="55">
        <v>719</v>
      </c>
      <c r="H271" s="78">
        <v>110000</v>
      </c>
      <c r="I271" s="873" t="s">
        <v>1389</v>
      </c>
      <c r="J271" s="875">
        <v>42802</v>
      </c>
      <c r="K271" s="910" t="s">
        <v>1395</v>
      </c>
      <c r="L271" s="881" t="s">
        <v>1225</v>
      </c>
      <c r="M271" s="881" t="s">
        <v>148</v>
      </c>
      <c r="N271" s="883">
        <v>36000000</v>
      </c>
      <c r="O271" s="55">
        <v>719</v>
      </c>
      <c r="P271" s="78"/>
    </row>
    <row r="272" spans="1:16" ht="15.75" customHeight="1" thickBot="1">
      <c r="A272" s="882"/>
      <c r="B272" s="934"/>
      <c r="C272" s="878"/>
      <c r="D272" s="882"/>
      <c r="E272" s="882"/>
      <c r="F272" s="884"/>
      <c r="G272" s="56">
        <v>721</v>
      </c>
      <c r="H272" s="79">
        <f>+F271-H271</f>
        <v>44000</v>
      </c>
      <c r="I272" s="882"/>
      <c r="J272" s="876"/>
      <c r="K272" s="911"/>
      <c r="L272" s="882"/>
      <c r="M272" s="882"/>
      <c r="N272" s="884"/>
      <c r="O272" s="56">
        <v>723</v>
      </c>
      <c r="P272" s="79">
        <f>+N271</f>
        <v>36000000</v>
      </c>
    </row>
    <row r="273" spans="1:16" ht="13.5" customHeight="1">
      <c r="A273" s="881" t="e">
        <f>+A271+1</f>
        <v>#REF!</v>
      </c>
      <c r="B273" s="875">
        <v>42254</v>
      </c>
      <c r="C273" s="877" t="s">
        <v>31</v>
      </c>
      <c r="D273" s="881" t="s">
        <v>265</v>
      </c>
      <c r="E273" s="881" t="s">
        <v>148</v>
      </c>
      <c r="F273" s="883">
        <v>1078000</v>
      </c>
      <c r="G273" s="55">
        <v>719</v>
      </c>
      <c r="H273" s="78">
        <v>770000</v>
      </c>
      <c r="I273" s="873" t="s">
        <v>1390</v>
      </c>
      <c r="J273" s="875">
        <v>42802</v>
      </c>
      <c r="K273" s="877" t="s">
        <v>690</v>
      </c>
      <c r="L273" s="881" t="s">
        <v>1225</v>
      </c>
      <c r="M273" s="881" t="s">
        <v>148</v>
      </c>
      <c r="N273" s="883">
        <v>17995950</v>
      </c>
      <c r="O273" s="55">
        <v>719</v>
      </c>
      <c r="P273" s="78"/>
    </row>
    <row r="274" spans="1:16" ht="14.25" customHeight="1" thickBot="1">
      <c r="A274" s="882"/>
      <c r="B274" s="934"/>
      <c r="C274" s="878"/>
      <c r="D274" s="882"/>
      <c r="E274" s="882"/>
      <c r="F274" s="884"/>
      <c r="G274" s="56">
        <v>721</v>
      </c>
      <c r="H274" s="79">
        <f>+F273-H273</f>
        <v>308000</v>
      </c>
      <c r="I274" s="882"/>
      <c r="J274" s="876"/>
      <c r="K274" s="878"/>
      <c r="L274" s="882"/>
      <c r="M274" s="882"/>
      <c r="N274" s="884"/>
      <c r="O274" s="56">
        <v>723</v>
      </c>
      <c r="P274" s="79">
        <f>+N273</f>
        <v>17995950</v>
      </c>
    </row>
    <row r="275" spans="1:16" ht="13.5" customHeight="1">
      <c r="A275" s="881" t="e">
        <f>+A273+1</f>
        <v>#REF!</v>
      </c>
      <c r="B275" s="875">
        <v>42254</v>
      </c>
      <c r="C275" s="877" t="s">
        <v>111</v>
      </c>
      <c r="D275" s="881" t="s">
        <v>268</v>
      </c>
      <c r="E275" s="881" t="s">
        <v>148</v>
      </c>
      <c r="F275" s="883">
        <v>112000</v>
      </c>
      <c r="G275" s="55">
        <v>719</v>
      </c>
      <c r="H275" s="78">
        <v>80000</v>
      </c>
      <c r="I275" s="873" t="s">
        <v>1391</v>
      </c>
      <c r="J275" s="875">
        <v>42802</v>
      </c>
      <c r="K275" s="877" t="s">
        <v>691</v>
      </c>
      <c r="L275" s="881" t="s">
        <v>1225</v>
      </c>
      <c r="M275" s="881" t="s">
        <v>148</v>
      </c>
      <c r="N275" s="883">
        <v>1260000</v>
      </c>
      <c r="O275" s="55">
        <v>719</v>
      </c>
      <c r="P275" s="78"/>
    </row>
    <row r="276" spans="1:16" ht="14.25" customHeight="1" thickBot="1">
      <c r="A276" s="882"/>
      <c r="B276" s="934"/>
      <c r="C276" s="878"/>
      <c r="D276" s="882"/>
      <c r="E276" s="882"/>
      <c r="F276" s="884"/>
      <c r="G276" s="56">
        <v>721</v>
      </c>
      <c r="H276" s="79">
        <f>+F275-H275</f>
        <v>32000</v>
      </c>
      <c r="I276" s="882"/>
      <c r="J276" s="876"/>
      <c r="K276" s="878"/>
      <c r="L276" s="882"/>
      <c r="M276" s="882"/>
      <c r="N276" s="884"/>
      <c r="O276" s="56">
        <v>723</v>
      </c>
      <c r="P276" s="79">
        <f>+N275-P275</f>
        <v>1260000</v>
      </c>
    </row>
    <row r="277" spans="1:16" ht="16.5" thickBot="1">
      <c r="A277" s="901" t="s">
        <v>102</v>
      </c>
      <c r="B277" s="902"/>
      <c r="C277" s="902"/>
      <c r="D277" s="902"/>
      <c r="E277" s="903"/>
      <c r="F277" s="81">
        <f>SUM(F267:F276)</f>
        <v>2156000</v>
      </c>
      <c r="I277" s="901" t="s">
        <v>102</v>
      </c>
      <c r="J277" s="902"/>
      <c r="K277" s="902"/>
      <c r="L277" s="902"/>
      <c r="M277" s="903"/>
      <c r="N277" s="81">
        <f>SUM(N267:N276)</f>
        <v>57430500</v>
      </c>
    </row>
    <row r="278" spans="1:16" ht="16.5" thickBot="1">
      <c r="A278" s="885" t="s">
        <v>103</v>
      </c>
      <c r="B278" s="886"/>
      <c r="C278" s="886"/>
      <c r="D278" s="886"/>
      <c r="E278" s="887"/>
      <c r="F278" s="69">
        <f>+F242</f>
        <v>621436225</v>
      </c>
      <c r="I278" s="885" t="s">
        <v>103</v>
      </c>
      <c r="J278" s="886"/>
      <c r="K278" s="886"/>
      <c r="L278" s="886"/>
      <c r="M278" s="887"/>
      <c r="N278" s="239">
        <f>+N242</f>
        <v>202703697</v>
      </c>
      <c r="O278" s="241" t="s">
        <v>561</v>
      </c>
      <c r="P278" s="242"/>
    </row>
    <row r="279" spans="1:16" ht="16.5" thickBot="1">
      <c r="A279" s="888" t="s">
        <v>104</v>
      </c>
      <c r="B279" s="889"/>
      <c r="C279" s="889"/>
      <c r="D279" s="889"/>
      <c r="E279" s="890"/>
      <c r="F279" s="183">
        <f>SUM(F277:F278)</f>
        <v>623592225</v>
      </c>
      <c r="I279" s="888" t="s">
        <v>104</v>
      </c>
      <c r="J279" s="889"/>
      <c r="K279" s="889"/>
      <c r="L279" s="889"/>
      <c r="M279" s="890"/>
      <c r="N279" s="183">
        <f>SUM(N277:N278)</f>
        <v>260134197</v>
      </c>
    </row>
    <row r="280" spans="1:16" ht="12.75" customHeight="1">
      <c r="A280" s="61"/>
      <c r="B280" s="61"/>
      <c r="C280" s="61"/>
      <c r="D280" s="61"/>
      <c r="E280" s="61"/>
      <c r="I280" s="61"/>
      <c r="J280" s="61"/>
      <c r="K280" s="61"/>
      <c r="L280" s="61"/>
      <c r="M280" s="61"/>
    </row>
    <row r="281" spans="1:16">
      <c r="A281" s="51" t="s">
        <v>269</v>
      </c>
      <c r="I281" s="51" t="s">
        <v>1396</v>
      </c>
    </row>
    <row r="282" spans="1:16" ht="10.5" customHeight="1">
      <c r="F282" s="139"/>
      <c r="N282" s="139"/>
    </row>
    <row r="283" spans="1:16">
      <c r="A283" s="50" t="s">
        <v>105</v>
      </c>
      <c r="D283" s="146"/>
      <c r="F283" s="139"/>
      <c r="I283" s="50" t="s">
        <v>105</v>
      </c>
      <c r="L283" s="146"/>
      <c r="N283" s="139"/>
    </row>
    <row r="284" spans="1:16" ht="10.5" customHeight="1" thickBot="1"/>
    <row r="285" spans="1:16" ht="15.75" thickBot="1">
      <c r="A285" s="891" t="s">
        <v>106</v>
      </c>
      <c r="B285" s="892"/>
      <c r="C285" s="892"/>
      <c r="D285" s="893"/>
      <c r="F285" s="50" t="s">
        <v>270</v>
      </c>
      <c r="I285" s="891" t="s">
        <v>106</v>
      </c>
      <c r="J285" s="892"/>
      <c r="K285" s="892"/>
      <c r="L285" s="893"/>
      <c r="N285" s="50" t="s">
        <v>288</v>
      </c>
    </row>
    <row r="286" spans="1:16" ht="30.75" thickBot="1">
      <c r="A286" s="57" t="s">
        <v>100</v>
      </c>
      <c r="B286" s="58" t="s">
        <v>108</v>
      </c>
      <c r="C286" s="59" t="s">
        <v>109</v>
      </c>
      <c r="D286" s="60" t="s">
        <v>110</v>
      </c>
      <c r="I286" s="57" t="s">
        <v>100</v>
      </c>
      <c r="J286" s="58" t="s">
        <v>108</v>
      </c>
      <c r="K286" s="59" t="s">
        <v>109</v>
      </c>
      <c r="L286" s="60" t="s">
        <v>110</v>
      </c>
    </row>
    <row r="287" spans="1:16">
      <c r="A287" s="71">
        <v>719</v>
      </c>
      <c r="B287" s="73">
        <f>+H267+H269+H271+H273+H275</f>
        <v>1540000</v>
      </c>
      <c r="C287" s="74" t="e">
        <f>+D250</f>
        <v>#REF!</v>
      </c>
      <c r="D287" s="76" t="e">
        <f>+B287+C287</f>
        <v>#REF!</v>
      </c>
      <c r="I287" s="71">
        <v>719</v>
      </c>
      <c r="J287" s="73">
        <f>+P267+P269+P271+P273+P275</f>
        <v>0</v>
      </c>
      <c r="K287" s="74">
        <f>+L250</f>
        <v>6066700</v>
      </c>
      <c r="L287" s="195">
        <f>+J287+K287</f>
        <v>6066700</v>
      </c>
    </row>
    <row r="288" spans="1:16" ht="13.5" customHeight="1">
      <c r="A288" s="72">
        <v>721</v>
      </c>
      <c r="B288" s="80">
        <f>+H274+H272+H270+H268+H276</f>
        <v>616000</v>
      </c>
      <c r="C288" s="74" t="e">
        <f>+D251</f>
        <v>#REF!</v>
      </c>
      <c r="D288" s="76" t="e">
        <f>+B288+C288</f>
        <v>#REF!</v>
      </c>
      <c r="I288" s="72">
        <v>721</v>
      </c>
      <c r="J288" s="80"/>
      <c r="K288" s="74">
        <f>+L251</f>
        <v>659550</v>
      </c>
      <c r="L288" s="195">
        <f>+J288+K288</f>
        <v>659550</v>
      </c>
    </row>
    <row r="289" spans="1:16">
      <c r="A289" s="72">
        <v>722</v>
      </c>
      <c r="B289" s="80"/>
      <c r="C289" s="74">
        <f>+D252</f>
        <v>231207671</v>
      </c>
      <c r="D289" s="76">
        <f>+B289+C289</f>
        <v>231207671</v>
      </c>
      <c r="I289" s="72">
        <v>722</v>
      </c>
      <c r="J289" s="80"/>
      <c r="K289" s="74">
        <f>+L252</f>
        <v>0</v>
      </c>
      <c r="L289" s="195">
        <f>+J289+K289</f>
        <v>0</v>
      </c>
    </row>
    <row r="290" spans="1:16" ht="14.25" customHeight="1">
      <c r="A290" s="72">
        <v>723</v>
      </c>
      <c r="B290" s="80"/>
      <c r="C290" s="74">
        <f>+D253</f>
        <v>319828837</v>
      </c>
      <c r="D290" s="76">
        <f>+B290+C290</f>
        <v>319828837</v>
      </c>
      <c r="F290" s="174" t="s">
        <v>262</v>
      </c>
      <c r="G290" s="175"/>
      <c r="I290" s="72">
        <v>723</v>
      </c>
      <c r="J290" s="80">
        <f>+P276+P274+P272+P270+P268</f>
        <v>57430500</v>
      </c>
      <c r="K290" s="74">
        <f>+L253</f>
        <v>195977447</v>
      </c>
      <c r="L290" s="195">
        <f>+J290+K290</f>
        <v>253407947</v>
      </c>
      <c r="N290" s="193" t="s">
        <v>289</v>
      </c>
      <c r="O290" s="175"/>
    </row>
    <row r="291" spans="1:16" ht="14.25" customHeight="1" thickBot="1">
      <c r="A291" s="164" t="s">
        <v>181</v>
      </c>
      <c r="B291" s="165"/>
      <c r="C291" s="74">
        <f>+D254</f>
        <v>1965625</v>
      </c>
      <c r="D291" s="168">
        <f>+B291+C291</f>
        <v>1965625</v>
      </c>
      <c r="F291" s="52"/>
      <c r="I291" s="164" t="s">
        <v>181</v>
      </c>
      <c r="J291" s="165"/>
      <c r="K291" s="74">
        <f>+L254</f>
        <v>0</v>
      </c>
      <c r="L291" s="196">
        <f>+J291+K291</f>
        <v>0</v>
      </c>
      <c r="N291" s="52"/>
    </row>
    <row r="292" spans="1:16" ht="16.5" thickBot="1">
      <c r="A292" s="169"/>
      <c r="B292" s="170">
        <f>SUM(B287:B291)</f>
        <v>2156000</v>
      </c>
      <c r="C292" s="171" t="e">
        <f>SUM(C287:C291)</f>
        <v>#REF!</v>
      </c>
      <c r="D292" s="172" t="e">
        <f>SUM(D287:D291)</f>
        <v>#REF!</v>
      </c>
      <c r="I292" s="169"/>
      <c r="J292" s="197">
        <f>SUM(J287:J291)</f>
        <v>57430500</v>
      </c>
      <c r="K292" s="197">
        <f>SUM(K287:K291)</f>
        <v>202703697</v>
      </c>
      <c r="L292" s="198">
        <f>SUM(L287:L291)</f>
        <v>260134197</v>
      </c>
    </row>
    <row r="293" spans="1:16" ht="16.5">
      <c r="A293" s="49" t="s">
        <v>88</v>
      </c>
      <c r="B293" s="50"/>
      <c r="I293" s="49" t="s">
        <v>88</v>
      </c>
      <c r="J293" s="50"/>
    </row>
    <row r="294" spans="1:16">
      <c r="A294" s="51" t="s">
        <v>89</v>
      </c>
      <c r="I294" s="51" t="s">
        <v>89</v>
      </c>
    </row>
    <row r="295" spans="1:16">
      <c r="A295" s="51" t="s">
        <v>90</v>
      </c>
      <c r="I295" s="51" t="s">
        <v>90</v>
      </c>
    </row>
    <row r="296" spans="1:16">
      <c r="A296" s="51" t="s">
        <v>91</v>
      </c>
      <c r="I296" s="51" t="s">
        <v>91</v>
      </c>
    </row>
    <row r="297" spans="1:16" ht="12" customHeight="1">
      <c r="A297" s="50"/>
      <c r="B297" s="50"/>
      <c r="I297" s="50"/>
      <c r="J297" s="50"/>
    </row>
    <row r="298" spans="1:16" ht="16.5">
      <c r="A298" s="52" t="s">
        <v>271</v>
      </c>
      <c r="G298" s="52"/>
      <c r="I298" s="52" t="s">
        <v>573</v>
      </c>
      <c r="O298" s="52"/>
    </row>
    <row r="299" spans="1:16" ht="15.75">
      <c r="A299" s="53" t="s">
        <v>92</v>
      </c>
      <c r="G299" s="53"/>
      <c r="I299" s="53" t="s">
        <v>1333</v>
      </c>
      <c r="O299" s="53"/>
    </row>
    <row r="300" spans="1:16" ht="16.5">
      <c r="A300" s="894" t="s">
        <v>261</v>
      </c>
      <c r="B300" s="894"/>
      <c r="C300" s="894"/>
      <c r="D300" s="894"/>
      <c r="E300" s="894"/>
      <c r="F300" s="894"/>
      <c r="G300" s="894"/>
      <c r="H300" s="894"/>
      <c r="I300" s="894" t="s">
        <v>212</v>
      </c>
      <c r="J300" s="894"/>
      <c r="K300" s="894"/>
      <c r="L300" s="894"/>
      <c r="M300" s="894"/>
      <c r="N300" s="894"/>
      <c r="O300" s="894"/>
      <c r="P300" s="894"/>
    </row>
    <row r="301" spans="1:16" ht="13.5" customHeight="1" thickBot="1"/>
    <row r="302" spans="1:16">
      <c r="A302" s="895" t="s">
        <v>94</v>
      </c>
      <c r="B302" s="897" t="s">
        <v>95</v>
      </c>
      <c r="C302" s="897" t="s">
        <v>96</v>
      </c>
      <c r="D302" s="897" t="s">
        <v>3</v>
      </c>
      <c r="E302" s="897" t="s">
        <v>97</v>
      </c>
      <c r="F302" s="897" t="s">
        <v>98</v>
      </c>
      <c r="G302" s="897" t="s">
        <v>99</v>
      </c>
      <c r="H302" s="899"/>
      <c r="I302" s="895" t="s">
        <v>94</v>
      </c>
      <c r="J302" s="897" t="s">
        <v>95</v>
      </c>
      <c r="K302" s="897" t="s">
        <v>96</v>
      </c>
      <c r="L302" s="897" t="s">
        <v>3</v>
      </c>
      <c r="M302" s="897" t="s">
        <v>97</v>
      </c>
      <c r="N302" s="897" t="s">
        <v>98</v>
      </c>
      <c r="O302" s="897" t="s">
        <v>99</v>
      </c>
      <c r="P302" s="899"/>
    </row>
    <row r="303" spans="1:16" ht="15.75" thickBot="1">
      <c r="A303" s="896"/>
      <c r="B303" s="898"/>
      <c r="C303" s="898"/>
      <c r="D303" s="898"/>
      <c r="E303" s="898"/>
      <c r="F303" s="898"/>
      <c r="G303" s="240" t="s">
        <v>100</v>
      </c>
      <c r="H303" s="182" t="s">
        <v>101</v>
      </c>
      <c r="I303" s="896"/>
      <c r="J303" s="898"/>
      <c r="K303" s="898"/>
      <c r="L303" s="898"/>
      <c r="M303" s="898"/>
      <c r="N303" s="898"/>
      <c r="O303" s="240" t="s">
        <v>100</v>
      </c>
      <c r="P303" s="182" t="s">
        <v>101</v>
      </c>
    </row>
    <row r="304" spans="1:16" ht="12.75" customHeight="1">
      <c r="A304" s="881" t="e">
        <f>+A275+1</f>
        <v>#REF!</v>
      </c>
      <c r="B304" s="875">
        <v>42261</v>
      </c>
      <c r="C304" s="877" t="s">
        <v>267</v>
      </c>
      <c r="D304" s="881" t="s">
        <v>273</v>
      </c>
      <c r="E304" s="881" t="s">
        <v>148</v>
      </c>
      <c r="F304" s="883">
        <v>154000</v>
      </c>
      <c r="G304" s="55">
        <v>719</v>
      </c>
      <c r="H304" s="78">
        <v>110000</v>
      </c>
      <c r="I304" s="873" t="s">
        <v>1399</v>
      </c>
      <c r="J304" s="875">
        <v>42802</v>
      </c>
      <c r="K304" s="877" t="s">
        <v>1357</v>
      </c>
      <c r="L304" s="881" t="s">
        <v>1225</v>
      </c>
      <c r="M304" s="881" t="s">
        <v>148</v>
      </c>
      <c r="N304" s="883">
        <v>5250000</v>
      </c>
      <c r="O304" s="55">
        <v>719</v>
      </c>
      <c r="P304" s="78">
        <v>0</v>
      </c>
    </row>
    <row r="305" spans="1:16" ht="13.5" customHeight="1" thickBot="1">
      <c r="A305" s="882"/>
      <c r="B305" s="934"/>
      <c r="C305" s="878"/>
      <c r="D305" s="882"/>
      <c r="E305" s="882"/>
      <c r="F305" s="884"/>
      <c r="G305" s="56">
        <v>721</v>
      </c>
      <c r="H305" s="79">
        <f>+F304-H304</f>
        <v>44000</v>
      </c>
      <c r="I305" s="882"/>
      <c r="J305" s="876"/>
      <c r="K305" s="878"/>
      <c r="L305" s="882"/>
      <c r="M305" s="882"/>
      <c r="N305" s="884"/>
      <c r="O305" s="56">
        <v>723</v>
      </c>
      <c r="P305" s="79">
        <f>+N304-P304</f>
        <v>5250000</v>
      </c>
    </row>
    <row r="306" spans="1:16" ht="12.75" customHeight="1">
      <c r="A306" s="881" t="e">
        <f>+A304+1</f>
        <v>#REF!</v>
      </c>
      <c r="B306" s="875">
        <v>42261</v>
      </c>
      <c r="C306" s="881" t="s">
        <v>28</v>
      </c>
      <c r="D306" s="881" t="s">
        <v>274</v>
      </c>
      <c r="E306" s="881" t="s">
        <v>148</v>
      </c>
      <c r="F306" s="883">
        <v>238000</v>
      </c>
      <c r="G306" s="55">
        <v>719</v>
      </c>
      <c r="H306" s="78">
        <v>170000</v>
      </c>
      <c r="I306" s="873" t="s">
        <v>1400</v>
      </c>
      <c r="J306" s="875">
        <v>42802</v>
      </c>
      <c r="K306" s="881" t="s">
        <v>694</v>
      </c>
      <c r="L306" s="881" t="s">
        <v>1225</v>
      </c>
      <c r="M306" s="881" t="s">
        <v>148</v>
      </c>
      <c r="N306" s="883">
        <v>26075228</v>
      </c>
      <c r="O306" s="55">
        <v>719</v>
      </c>
      <c r="P306" s="78"/>
    </row>
    <row r="307" spans="1:16" ht="14.25" customHeight="1" thickBot="1">
      <c r="A307" s="882"/>
      <c r="B307" s="934"/>
      <c r="C307" s="882"/>
      <c r="D307" s="882"/>
      <c r="E307" s="882"/>
      <c r="F307" s="884"/>
      <c r="G307" s="56">
        <v>721</v>
      </c>
      <c r="H307" s="79">
        <f>+F306-H306</f>
        <v>68000</v>
      </c>
      <c r="I307" s="882"/>
      <c r="J307" s="876"/>
      <c r="K307" s="882"/>
      <c r="L307" s="882"/>
      <c r="M307" s="882"/>
      <c r="N307" s="884"/>
      <c r="O307" s="56">
        <v>723</v>
      </c>
      <c r="P307" s="79">
        <f>+N306-P306</f>
        <v>26075228</v>
      </c>
    </row>
    <row r="308" spans="1:16" ht="12" customHeight="1">
      <c r="A308" s="881" t="e">
        <f>+A306+1</f>
        <v>#REF!</v>
      </c>
      <c r="B308" s="875">
        <v>42261</v>
      </c>
      <c r="C308" s="877" t="s">
        <v>32</v>
      </c>
      <c r="D308" s="881" t="s">
        <v>275</v>
      </c>
      <c r="E308" s="881" t="s">
        <v>148</v>
      </c>
      <c r="F308" s="883">
        <v>98000</v>
      </c>
      <c r="G308" s="55">
        <v>719</v>
      </c>
      <c r="H308" s="78">
        <v>70000</v>
      </c>
      <c r="I308" s="873" t="s">
        <v>1401</v>
      </c>
      <c r="J308" s="875">
        <v>42802</v>
      </c>
      <c r="K308" s="877" t="s">
        <v>1404</v>
      </c>
      <c r="L308" s="881" t="s">
        <v>1225</v>
      </c>
      <c r="M308" s="881" t="s">
        <v>148</v>
      </c>
      <c r="N308" s="883">
        <v>1512000</v>
      </c>
      <c r="O308" s="55">
        <v>719</v>
      </c>
      <c r="P308" s="78"/>
    </row>
    <row r="309" spans="1:16" ht="15.75" customHeight="1" thickBot="1">
      <c r="A309" s="882"/>
      <c r="B309" s="934"/>
      <c r="C309" s="878"/>
      <c r="D309" s="882"/>
      <c r="E309" s="882"/>
      <c r="F309" s="884"/>
      <c r="G309" s="56">
        <v>721</v>
      </c>
      <c r="H309" s="79">
        <f>+F308-H308</f>
        <v>28000</v>
      </c>
      <c r="I309" s="882"/>
      <c r="J309" s="876"/>
      <c r="K309" s="878"/>
      <c r="L309" s="882"/>
      <c r="M309" s="882"/>
      <c r="N309" s="884"/>
      <c r="O309" s="56">
        <v>723</v>
      </c>
      <c r="P309" s="79">
        <f>+N308-P308</f>
        <v>1512000</v>
      </c>
    </row>
    <row r="310" spans="1:16" ht="12.75" customHeight="1">
      <c r="A310" s="881" t="e">
        <f>+A308+1</f>
        <v>#REF!</v>
      </c>
      <c r="B310" s="875">
        <v>42261</v>
      </c>
      <c r="C310" s="877" t="s">
        <v>111</v>
      </c>
      <c r="D310" s="881" t="s">
        <v>273</v>
      </c>
      <c r="E310" s="881" t="s">
        <v>148</v>
      </c>
      <c r="F310" s="883">
        <v>42000</v>
      </c>
      <c r="G310" s="55">
        <v>719</v>
      </c>
      <c r="H310" s="78">
        <v>30000</v>
      </c>
      <c r="I310" s="873" t="s">
        <v>1402</v>
      </c>
      <c r="J310" s="875">
        <v>42802</v>
      </c>
      <c r="K310" s="877" t="s">
        <v>695</v>
      </c>
      <c r="L310" s="881" t="s">
        <v>1225</v>
      </c>
      <c r="M310" s="881" t="s">
        <v>148</v>
      </c>
      <c r="N310" s="883">
        <v>7139940</v>
      </c>
      <c r="O310" s="55">
        <v>719</v>
      </c>
      <c r="P310" s="78"/>
    </row>
    <row r="311" spans="1:16" ht="13.5" customHeight="1" thickBot="1">
      <c r="A311" s="882"/>
      <c r="B311" s="934"/>
      <c r="C311" s="878"/>
      <c r="D311" s="882"/>
      <c r="E311" s="882"/>
      <c r="F311" s="884"/>
      <c r="G311" s="56">
        <v>721</v>
      </c>
      <c r="H311" s="79">
        <f>+F310-H310</f>
        <v>12000</v>
      </c>
      <c r="I311" s="882"/>
      <c r="J311" s="876"/>
      <c r="K311" s="878"/>
      <c r="L311" s="882"/>
      <c r="M311" s="882"/>
      <c r="N311" s="884"/>
      <c r="O311" s="56">
        <v>723</v>
      </c>
      <c r="P311" s="79">
        <f>+N310-P310</f>
        <v>7139940</v>
      </c>
    </row>
    <row r="312" spans="1:16" ht="13.5" customHeight="1">
      <c r="A312" s="881" t="e">
        <f>+A310+1</f>
        <v>#REF!</v>
      </c>
      <c r="B312" s="875">
        <v>42261</v>
      </c>
      <c r="C312" s="877" t="s">
        <v>272</v>
      </c>
      <c r="D312" s="881" t="s">
        <v>274</v>
      </c>
      <c r="E312" s="881" t="s">
        <v>148</v>
      </c>
      <c r="F312" s="883">
        <v>378000</v>
      </c>
      <c r="G312" s="55">
        <v>719</v>
      </c>
      <c r="H312" s="78">
        <v>270000</v>
      </c>
      <c r="I312" s="873" t="s">
        <v>1403</v>
      </c>
      <c r="J312" s="875">
        <v>42802</v>
      </c>
      <c r="K312" s="877" t="s">
        <v>674</v>
      </c>
      <c r="L312" s="881" t="s">
        <v>1225</v>
      </c>
      <c r="M312" s="881" t="s">
        <v>148</v>
      </c>
      <c r="N312" s="883">
        <v>6000000</v>
      </c>
      <c r="O312" s="55">
        <v>719</v>
      </c>
      <c r="P312" s="78"/>
    </row>
    <row r="313" spans="1:16" ht="13.5" customHeight="1" thickBot="1">
      <c r="A313" s="882"/>
      <c r="B313" s="934"/>
      <c r="C313" s="878"/>
      <c r="D313" s="882"/>
      <c r="E313" s="882"/>
      <c r="F313" s="884"/>
      <c r="G313" s="56">
        <v>721</v>
      </c>
      <c r="H313" s="79">
        <f>+F312-H312</f>
        <v>108000</v>
      </c>
      <c r="I313" s="882"/>
      <c r="J313" s="876"/>
      <c r="K313" s="878"/>
      <c r="L313" s="882"/>
      <c r="M313" s="882"/>
      <c r="N313" s="884"/>
      <c r="O313" s="56">
        <v>723</v>
      </c>
      <c r="P313" s="79">
        <f>+N312-P312</f>
        <v>6000000</v>
      </c>
    </row>
    <row r="314" spans="1:16" ht="16.5" thickBot="1">
      <c r="A314" s="901" t="s">
        <v>102</v>
      </c>
      <c r="B314" s="902"/>
      <c r="C314" s="902"/>
      <c r="D314" s="902"/>
      <c r="E314" s="903"/>
      <c r="F314" s="81">
        <f>SUM(F304:F313)</f>
        <v>910000</v>
      </c>
      <c r="I314" s="901" t="s">
        <v>102</v>
      </c>
      <c r="J314" s="902"/>
      <c r="K314" s="902"/>
      <c r="L314" s="902"/>
      <c r="M314" s="903"/>
      <c r="N314" s="81">
        <f>SUM(N304:N313)</f>
        <v>45977168</v>
      </c>
    </row>
    <row r="315" spans="1:16" ht="16.5" thickBot="1">
      <c r="A315" s="885" t="s">
        <v>103</v>
      </c>
      <c r="B315" s="886"/>
      <c r="C315" s="886"/>
      <c r="D315" s="886"/>
      <c r="E315" s="887"/>
      <c r="F315" s="69">
        <f>+F279</f>
        <v>623592225</v>
      </c>
      <c r="I315" s="885" t="s">
        <v>103</v>
      </c>
      <c r="J315" s="886"/>
      <c r="K315" s="886"/>
      <c r="L315" s="886"/>
      <c r="M315" s="887"/>
      <c r="N315" s="239">
        <f>+N279</f>
        <v>260134197</v>
      </c>
      <c r="O315" s="241" t="s">
        <v>561</v>
      </c>
      <c r="P315" s="242"/>
    </row>
    <row r="316" spans="1:16" ht="16.5" thickBot="1">
      <c r="A316" s="888" t="s">
        <v>104</v>
      </c>
      <c r="B316" s="889"/>
      <c r="C316" s="889"/>
      <c r="D316" s="889"/>
      <c r="E316" s="890"/>
      <c r="F316" s="183">
        <f>SUM(F314:F315)</f>
        <v>624502225</v>
      </c>
      <c r="I316" s="888" t="s">
        <v>104</v>
      </c>
      <c r="J316" s="889"/>
      <c r="K316" s="889"/>
      <c r="L316" s="889"/>
      <c r="M316" s="890"/>
      <c r="N316" s="183">
        <f>SUM(N314:N315)</f>
        <v>306111365</v>
      </c>
    </row>
    <row r="317" spans="1:16">
      <c r="A317" s="61"/>
      <c r="B317" s="61"/>
      <c r="C317" s="61"/>
      <c r="D317" s="61"/>
      <c r="E317" s="61"/>
      <c r="I317" s="61"/>
      <c r="J317" s="61"/>
      <c r="K317" s="61"/>
      <c r="L317" s="61"/>
      <c r="M317" s="61"/>
    </row>
    <row r="318" spans="1:16">
      <c r="A318" s="51" t="s">
        <v>276</v>
      </c>
      <c r="I318" s="51" t="s">
        <v>1405</v>
      </c>
    </row>
    <row r="319" spans="1:16" ht="11.25" customHeight="1">
      <c r="F319" s="139"/>
      <c r="N319" s="139"/>
    </row>
    <row r="320" spans="1:16">
      <c r="A320" s="50" t="s">
        <v>105</v>
      </c>
      <c r="D320" s="146"/>
      <c r="F320" s="139"/>
      <c r="I320" s="50" t="s">
        <v>105</v>
      </c>
      <c r="L320" s="146"/>
      <c r="N320" s="139"/>
    </row>
    <row r="321" spans="1:17" ht="12.75" customHeight="1" thickBot="1"/>
    <row r="322" spans="1:17" ht="15.75" thickBot="1">
      <c r="A322" s="891" t="s">
        <v>106</v>
      </c>
      <c r="B322" s="892"/>
      <c r="C322" s="892"/>
      <c r="D322" s="893"/>
      <c r="F322" s="50" t="s">
        <v>270</v>
      </c>
      <c r="I322" s="891" t="s">
        <v>106</v>
      </c>
      <c r="J322" s="892"/>
      <c r="K322" s="892"/>
      <c r="L322" s="893"/>
      <c r="N322" s="925" t="s">
        <v>1126</v>
      </c>
      <c r="O322" s="925"/>
      <c r="P322" s="925"/>
    </row>
    <row r="323" spans="1:17" ht="30.75" thickBot="1">
      <c r="A323" s="57" t="s">
        <v>100</v>
      </c>
      <c r="B323" s="58" t="s">
        <v>108</v>
      </c>
      <c r="C323" s="59" t="s">
        <v>109</v>
      </c>
      <c r="D323" s="60" t="s">
        <v>110</v>
      </c>
      <c r="I323" s="57" t="s">
        <v>100</v>
      </c>
      <c r="J323" s="58" t="s">
        <v>108</v>
      </c>
      <c r="K323" s="59" t="s">
        <v>109</v>
      </c>
      <c r="L323" s="60" t="s">
        <v>110</v>
      </c>
    </row>
    <row r="324" spans="1:17" ht="14.25" customHeight="1">
      <c r="A324" s="71">
        <v>719</v>
      </c>
      <c r="B324" s="73">
        <f>+H304+H306+H308+H310+H312</f>
        <v>650000</v>
      </c>
      <c r="C324" s="74" t="e">
        <f>+D287</f>
        <v>#REF!</v>
      </c>
      <c r="D324" s="76" t="e">
        <f>+B324+C324</f>
        <v>#REF!</v>
      </c>
      <c r="I324" s="71">
        <v>719</v>
      </c>
      <c r="J324" s="73">
        <f>+P304+P306+P308+P310+P312</f>
        <v>0</v>
      </c>
      <c r="K324" s="74">
        <f>+L287</f>
        <v>6066700</v>
      </c>
      <c r="L324" s="195">
        <f>+J324+K324</f>
        <v>6066700</v>
      </c>
    </row>
    <row r="325" spans="1:17">
      <c r="A325" s="72">
        <v>721</v>
      </c>
      <c r="B325" s="80">
        <f>+H311+H309+H307+H305+H313</f>
        <v>260000</v>
      </c>
      <c r="C325" s="74" t="e">
        <f>+D288</f>
        <v>#REF!</v>
      </c>
      <c r="D325" s="76" t="e">
        <f>+B325+C325</f>
        <v>#REF!</v>
      </c>
      <c r="I325" s="72">
        <v>721</v>
      </c>
      <c r="J325" s="80"/>
      <c r="K325" s="74">
        <f>+L288</f>
        <v>659550</v>
      </c>
      <c r="L325" s="195">
        <f>+J325+K325</f>
        <v>659550</v>
      </c>
    </row>
    <row r="326" spans="1:17" ht="14.25" customHeight="1">
      <c r="A326" s="72">
        <v>722</v>
      </c>
      <c r="B326" s="80"/>
      <c r="C326" s="74">
        <f>+D289</f>
        <v>231207671</v>
      </c>
      <c r="D326" s="76">
        <f>+B326+C326</f>
        <v>231207671</v>
      </c>
      <c r="I326" s="72">
        <v>722</v>
      </c>
      <c r="J326" s="80"/>
      <c r="K326" s="74"/>
      <c r="L326" s="195">
        <f>+J326+K326</f>
        <v>0</v>
      </c>
    </row>
    <row r="327" spans="1:17" ht="14.25" customHeight="1">
      <c r="A327" s="72">
        <v>723</v>
      </c>
      <c r="B327" s="80"/>
      <c r="C327" s="74">
        <f>+D290</f>
        <v>319828837</v>
      </c>
      <c r="D327" s="76">
        <f>+B327+C327</f>
        <v>319828837</v>
      </c>
      <c r="F327" s="174" t="s">
        <v>262</v>
      </c>
      <c r="G327" s="175"/>
      <c r="I327" s="72">
        <v>723</v>
      </c>
      <c r="J327" s="80">
        <f>+P313+P311+P309+P307+P305</f>
        <v>45977168</v>
      </c>
      <c r="K327" s="74">
        <f>+L290</f>
        <v>253407947</v>
      </c>
      <c r="L327" s="195">
        <f>+J327+K327</f>
        <v>299385115</v>
      </c>
      <c r="N327" s="644" t="s">
        <v>558</v>
      </c>
      <c r="O327" s="644"/>
      <c r="P327" s="644"/>
      <c r="Q327" s="259"/>
    </row>
    <row r="328" spans="1:17" ht="13.5" customHeight="1" thickBot="1">
      <c r="A328" s="164" t="s">
        <v>181</v>
      </c>
      <c r="B328" s="165"/>
      <c r="C328" s="74">
        <f>+D291</f>
        <v>1965625</v>
      </c>
      <c r="D328" s="168">
        <f>+B328+C328</f>
        <v>1965625</v>
      </c>
      <c r="F328" s="52"/>
      <c r="I328" s="164" t="s">
        <v>181</v>
      </c>
      <c r="J328" s="165"/>
      <c r="K328" s="74">
        <f>+L291</f>
        <v>0</v>
      </c>
      <c r="L328" s="196">
        <f>+J328+K328</f>
        <v>0</v>
      </c>
      <c r="N328" s="52"/>
    </row>
    <row r="329" spans="1:17" ht="16.5" thickBot="1">
      <c r="A329" s="169"/>
      <c r="B329" s="170">
        <f>SUM(B324:B328)</f>
        <v>910000</v>
      </c>
      <c r="C329" s="171" t="e">
        <f>SUM(C324:C328)</f>
        <v>#REF!</v>
      </c>
      <c r="D329" s="172" t="e">
        <f>SUM(D324:D328)</f>
        <v>#REF!</v>
      </c>
      <c r="I329" s="169"/>
      <c r="J329" s="197">
        <f>SUM(J324:J328)</f>
        <v>45977168</v>
      </c>
      <c r="K329" s="197">
        <f>SUM(K324:K328)</f>
        <v>260134197</v>
      </c>
      <c r="L329" s="198">
        <f>SUM(L324:L328)</f>
        <v>306111365</v>
      </c>
    </row>
    <row r="330" spans="1:17" ht="16.5">
      <c r="A330" s="49" t="s">
        <v>88</v>
      </c>
      <c r="B330" s="50"/>
      <c r="I330" s="49" t="s">
        <v>88</v>
      </c>
      <c r="J330" s="50"/>
    </row>
    <row r="331" spans="1:17">
      <c r="A331" s="51" t="s">
        <v>89</v>
      </c>
      <c r="I331" s="51" t="s">
        <v>89</v>
      </c>
    </row>
    <row r="332" spans="1:17">
      <c r="A332" s="51" t="s">
        <v>90</v>
      </c>
      <c r="I332" s="51" t="s">
        <v>90</v>
      </c>
    </row>
    <row r="333" spans="1:17">
      <c r="A333" s="51" t="s">
        <v>91</v>
      </c>
      <c r="I333" s="51" t="s">
        <v>91</v>
      </c>
    </row>
    <row r="334" spans="1:17" ht="11.25" customHeight="1">
      <c r="A334" s="50"/>
      <c r="B334" s="50"/>
      <c r="I334" s="50"/>
      <c r="J334" s="50"/>
    </row>
    <row r="335" spans="1:17" ht="16.5">
      <c r="A335" s="52" t="s">
        <v>277</v>
      </c>
      <c r="G335" s="52"/>
      <c r="I335" s="52" t="s">
        <v>590</v>
      </c>
      <c r="O335" s="52"/>
    </row>
    <row r="336" spans="1:17" ht="15.75">
      <c r="A336" s="53" t="s">
        <v>92</v>
      </c>
      <c r="G336" s="53"/>
      <c r="I336" s="53" t="s">
        <v>1333</v>
      </c>
      <c r="O336" s="53"/>
    </row>
    <row r="337" spans="1:16" ht="16.5">
      <c r="A337" s="894" t="s">
        <v>278</v>
      </c>
      <c r="B337" s="894"/>
      <c r="C337" s="894"/>
      <c r="D337" s="894"/>
      <c r="E337" s="894"/>
      <c r="F337" s="894"/>
      <c r="G337" s="894"/>
      <c r="H337" s="894"/>
      <c r="I337" s="894" t="s">
        <v>212</v>
      </c>
      <c r="J337" s="894"/>
      <c r="K337" s="894"/>
      <c r="L337" s="894"/>
      <c r="M337" s="894"/>
      <c r="N337" s="894"/>
      <c r="O337" s="894"/>
      <c r="P337" s="894"/>
    </row>
    <row r="338" spans="1:16" ht="13.5" customHeight="1" thickBot="1"/>
    <row r="339" spans="1:16">
      <c r="A339" s="895" t="s">
        <v>94</v>
      </c>
      <c r="B339" s="897" t="s">
        <v>95</v>
      </c>
      <c r="C339" s="897" t="s">
        <v>96</v>
      </c>
      <c r="D339" s="897" t="s">
        <v>3</v>
      </c>
      <c r="E339" s="897" t="s">
        <v>97</v>
      </c>
      <c r="F339" s="897" t="s">
        <v>98</v>
      </c>
      <c r="G339" s="897" t="s">
        <v>99</v>
      </c>
      <c r="H339" s="899"/>
      <c r="I339" s="895" t="s">
        <v>94</v>
      </c>
      <c r="J339" s="897" t="s">
        <v>95</v>
      </c>
      <c r="K339" s="897" t="s">
        <v>96</v>
      </c>
      <c r="L339" s="897" t="s">
        <v>3</v>
      </c>
      <c r="M339" s="897" t="s">
        <v>97</v>
      </c>
      <c r="N339" s="897" t="s">
        <v>98</v>
      </c>
      <c r="O339" s="897" t="s">
        <v>99</v>
      </c>
      <c r="P339" s="899"/>
    </row>
    <row r="340" spans="1:16" ht="15.75" thickBot="1">
      <c r="A340" s="896"/>
      <c r="B340" s="898"/>
      <c r="C340" s="898"/>
      <c r="D340" s="898"/>
      <c r="E340" s="898"/>
      <c r="F340" s="898"/>
      <c r="G340" s="240" t="s">
        <v>100</v>
      </c>
      <c r="H340" s="182" t="s">
        <v>101</v>
      </c>
      <c r="I340" s="896"/>
      <c r="J340" s="898"/>
      <c r="K340" s="898"/>
      <c r="L340" s="898"/>
      <c r="M340" s="898"/>
      <c r="N340" s="898"/>
      <c r="O340" s="240" t="s">
        <v>100</v>
      </c>
      <c r="P340" s="182" t="s">
        <v>101</v>
      </c>
    </row>
    <row r="341" spans="1:16" ht="12.75" customHeight="1">
      <c r="A341" s="881" t="e">
        <f>+A312+1</f>
        <v>#REF!</v>
      </c>
      <c r="B341" s="875">
        <v>42261</v>
      </c>
      <c r="C341" s="877" t="s">
        <v>267</v>
      </c>
      <c r="D341" s="881" t="s">
        <v>284</v>
      </c>
      <c r="E341" s="881" t="s">
        <v>115</v>
      </c>
      <c r="F341" s="883">
        <v>130000</v>
      </c>
      <c r="G341" s="55">
        <v>719</v>
      </c>
      <c r="H341" s="78">
        <v>130000</v>
      </c>
      <c r="I341" s="873" t="s">
        <v>1407</v>
      </c>
      <c r="J341" s="875">
        <v>42802</v>
      </c>
      <c r="K341" s="877" t="s">
        <v>1412</v>
      </c>
      <c r="L341" s="881" t="s">
        <v>1225</v>
      </c>
      <c r="M341" s="881" t="s">
        <v>148</v>
      </c>
      <c r="N341" s="883">
        <v>945000</v>
      </c>
      <c r="O341" s="55">
        <v>719</v>
      </c>
      <c r="P341" s="78"/>
    </row>
    <row r="342" spans="1:16" ht="14.25" customHeight="1" thickBot="1">
      <c r="A342" s="882"/>
      <c r="B342" s="934"/>
      <c r="C342" s="878"/>
      <c r="D342" s="882"/>
      <c r="E342" s="882"/>
      <c r="F342" s="884"/>
      <c r="G342" s="56">
        <v>721</v>
      </c>
      <c r="H342" s="79">
        <f>+F341-H341</f>
        <v>0</v>
      </c>
      <c r="I342" s="882"/>
      <c r="J342" s="876"/>
      <c r="K342" s="878"/>
      <c r="L342" s="882"/>
      <c r="M342" s="882"/>
      <c r="N342" s="884"/>
      <c r="O342" s="56">
        <v>723</v>
      </c>
      <c r="P342" s="79">
        <f>+N341-P341</f>
        <v>945000</v>
      </c>
    </row>
    <row r="343" spans="1:16" ht="13.5" customHeight="1">
      <c r="A343" s="881" t="e">
        <f>+A341+1</f>
        <v>#REF!</v>
      </c>
      <c r="B343" s="875">
        <v>42261</v>
      </c>
      <c r="C343" s="881" t="s">
        <v>28</v>
      </c>
      <c r="D343" s="881" t="s">
        <v>283</v>
      </c>
      <c r="E343" s="881" t="s">
        <v>115</v>
      </c>
      <c r="F343" s="883">
        <v>70000</v>
      </c>
      <c r="G343" s="55">
        <v>719</v>
      </c>
      <c r="H343" s="78">
        <v>70000</v>
      </c>
      <c r="I343" s="873" t="s">
        <v>1408</v>
      </c>
      <c r="J343" s="875">
        <v>42802</v>
      </c>
      <c r="K343" s="877" t="s">
        <v>699</v>
      </c>
      <c r="L343" s="881" t="s">
        <v>1225</v>
      </c>
      <c r="M343" s="881" t="s">
        <v>148</v>
      </c>
      <c r="N343" s="883">
        <v>3150000</v>
      </c>
      <c r="O343" s="55">
        <v>719</v>
      </c>
      <c r="P343" s="78"/>
    </row>
    <row r="344" spans="1:16" ht="15.75" customHeight="1" thickBot="1">
      <c r="A344" s="882"/>
      <c r="B344" s="934"/>
      <c r="C344" s="882"/>
      <c r="D344" s="882"/>
      <c r="E344" s="882"/>
      <c r="F344" s="884"/>
      <c r="G344" s="56">
        <v>721</v>
      </c>
      <c r="H344" s="79">
        <f>+F343-H343</f>
        <v>0</v>
      </c>
      <c r="I344" s="882"/>
      <c r="J344" s="876"/>
      <c r="K344" s="878"/>
      <c r="L344" s="882"/>
      <c r="M344" s="882"/>
      <c r="N344" s="884"/>
      <c r="O344" s="56">
        <v>723</v>
      </c>
      <c r="P344" s="79">
        <f>+N343-P343</f>
        <v>3150000</v>
      </c>
    </row>
    <row r="345" spans="1:16" ht="13.5" customHeight="1">
      <c r="A345" s="881" t="e">
        <f>+A343+1</f>
        <v>#REF!</v>
      </c>
      <c r="B345" s="875">
        <v>42261</v>
      </c>
      <c r="C345" s="877" t="s">
        <v>32</v>
      </c>
      <c r="D345" s="881" t="s">
        <v>283</v>
      </c>
      <c r="E345" s="881" t="s">
        <v>115</v>
      </c>
      <c r="F345" s="883">
        <v>50000</v>
      </c>
      <c r="G345" s="55">
        <v>719</v>
      </c>
      <c r="H345" s="78">
        <v>50000</v>
      </c>
      <c r="I345" s="873" t="s">
        <v>1409</v>
      </c>
      <c r="J345" s="875">
        <v>42802</v>
      </c>
      <c r="K345" s="877" t="s">
        <v>700</v>
      </c>
      <c r="L345" s="881" t="s">
        <v>1225</v>
      </c>
      <c r="M345" s="881" t="s">
        <v>148</v>
      </c>
      <c r="N345" s="883">
        <v>504000</v>
      </c>
      <c r="O345" s="55">
        <v>719</v>
      </c>
      <c r="P345" s="78"/>
    </row>
    <row r="346" spans="1:16" ht="13.5" customHeight="1" thickBot="1">
      <c r="A346" s="882"/>
      <c r="B346" s="934"/>
      <c r="C346" s="878"/>
      <c r="D346" s="882"/>
      <c r="E346" s="882"/>
      <c r="F346" s="884"/>
      <c r="G346" s="56">
        <v>721</v>
      </c>
      <c r="H346" s="79">
        <f>+F345-H345</f>
        <v>0</v>
      </c>
      <c r="I346" s="882"/>
      <c r="J346" s="876"/>
      <c r="K346" s="878"/>
      <c r="L346" s="882"/>
      <c r="M346" s="882"/>
      <c r="N346" s="884"/>
      <c r="O346" s="56">
        <v>723</v>
      </c>
      <c r="P346" s="79">
        <f>+N345-P345</f>
        <v>504000</v>
      </c>
    </row>
    <row r="347" spans="1:16" ht="13.5" customHeight="1">
      <c r="A347" s="881" t="e">
        <f>+A345+1</f>
        <v>#REF!</v>
      </c>
      <c r="B347" s="875">
        <v>42261</v>
      </c>
      <c r="C347" s="910" t="s">
        <v>281</v>
      </c>
      <c r="D347" s="881" t="s">
        <v>280</v>
      </c>
      <c r="E347" s="881" t="s">
        <v>148</v>
      </c>
      <c r="F347" s="883">
        <v>1100000</v>
      </c>
      <c r="G347" s="55">
        <v>719</v>
      </c>
      <c r="H347" s="78"/>
      <c r="I347" s="873" t="s">
        <v>1410</v>
      </c>
      <c r="J347" s="875">
        <v>42802</v>
      </c>
      <c r="K347" s="877" t="s">
        <v>1413</v>
      </c>
      <c r="L347" s="881" t="s">
        <v>1225</v>
      </c>
      <c r="M347" s="881" t="s">
        <v>148</v>
      </c>
      <c r="N347" s="883">
        <v>3129600</v>
      </c>
      <c r="O347" s="55">
        <v>719</v>
      </c>
      <c r="P347" s="78"/>
    </row>
    <row r="348" spans="1:16" ht="14.25" customHeight="1" thickBot="1">
      <c r="A348" s="882"/>
      <c r="B348" s="934"/>
      <c r="C348" s="911"/>
      <c r="D348" s="882"/>
      <c r="E348" s="882"/>
      <c r="F348" s="884"/>
      <c r="G348" s="56">
        <v>723</v>
      </c>
      <c r="H348" s="79">
        <f>+F347-H347</f>
        <v>1100000</v>
      </c>
      <c r="I348" s="882"/>
      <c r="J348" s="876"/>
      <c r="K348" s="878"/>
      <c r="L348" s="882"/>
      <c r="M348" s="882"/>
      <c r="N348" s="884"/>
      <c r="O348" s="56">
        <v>723</v>
      </c>
      <c r="P348" s="79">
        <f>+N347-P347</f>
        <v>3129600</v>
      </c>
    </row>
    <row r="349" spans="1:16" ht="12.75" customHeight="1">
      <c r="A349" s="881" t="e">
        <f>+A347+1</f>
        <v>#REF!</v>
      </c>
      <c r="B349" s="875">
        <v>42261</v>
      </c>
      <c r="C349" s="910" t="s">
        <v>282</v>
      </c>
      <c r="D349" s="881" t="s">
        <v>279</v>
      </c>
      <c r="E349" s="881" t="s">
        <v>165</v>
      </c>
      <c r="F349" s="883">
        <v>300000</v>
      </c>
      <c r="G349" s="55">
        <v>719</v>
      </c>
      <c r="H349" s="78"/>
      <c r="I349" s="873" t="s">
        <v>1411</v>
      </c>
      <c r="J349" s="875">
        <v>42802</v>
      </c>
      <c r="K349" s="877" t="s">
        <v>117</v>
      </c>
      <c r="L349" s="881" t="s">
        <v>1225</v>
      </c>
      <c r="M349" s="881" t="s">
        <v>148</v>
      </c>
      <c r="N349" s="883">
        <v>1512000</v>
      </c>
      <c r="O349" s="55">
        <v>719</v>
      </c>
      <c r="P349" s="78"/>
    </row>
    <row r="350" spans="1:16" ht="13.5" customHeight="1" thickBot="1">
      <c r="A350" s="882"/>
      <c r="B350" s="934"/>
      <c r="C350" s="911"/>
      <c r="D350" s="882"/>
      <c r="E350" s="882"/>
      <c r="F350" s="884"/>
      <c r="G350" s="56">
        <v>723</v>
      </c>
      <c r="H350" s="79">
        <f>+F349-H349</f>
        <v>300000</v>
      </c>
      <c r="I350" s="882"/>
      <c r="J350" s="876"/>
      <c r="K350" s="878"/>
      <c r="L350" s="882"/>
      <c r="M350" s="882"/>
      <c r="N350" s="884"/>
      <c r="O350" s="56">
        <v>723</v>
      </c>
      <c r="P350" s="79">
        <f>+N349-P349</f>
        <v>1512000</v>
      </c>
    </row>
    <row r="351" spans="1:16" ht="16.5" thickBot="1">
      <c r="A351" s="901" t="s">
        <v>102</v>
      </c>
      <c r="B351" s="902"/>
      <c r="C351" s="902"/>
      <c r="D351" s="902"/>
      <c r="E351" s="903"/>
      <c r="F351" s="81">
        <f>SUM(F341:F350)</f>
        <v>1650000</v>
      </c>
      <c r="I351" s="901" t="s">
        <v>102</v>
      </c>
      <c r="J351" s="902"/>
      <c r="K351" s="902"/>
      <c r="L351" s="902"/>
      <c r="M351" s="903"/>
      <c r="N351" s="81">
        <f>SUM(N341:N350)</f>
        <v>9240600</v>
      </c>
    </row>
    <row r="352" spans="1:16" ht="16.5" thickBot="1">
      <c r="A352" s="885" t="s">
        <v>103</v>
      </c>
      <c r="B352" s="886"/>
      <c r="C352" s="886"/>
      <c r="D352" s="886"/>
      <c r="E352" s="887"/>
      <c r="F352" s="69">
        <f>+F316</f>
        <v>624502225</v>
      </c>
      <c r="I352" s="885" t="s">
        <v>103</v>
      </c>
      <c r="J352" s="886"/>
      <c r="K352" s="886"/>
      <c r="L352" s="886"/>
      <c r="M352" s="887"/>
      <c r="N352" s="239">
        <f>+N316</f>
        <v>306111365</v>
      </c>
      <c r="O352" s="241" t="s">
        <v>561</v>
      </c>
      <c r="P352" s="242"/>
    </row>
    <row r="353" spans="1:16" ht="16.5" thickBot="1">
      <c r="A353" s="888" t="s">
        <v>104</v>
      </c>
      <c r="B353" s="889"/>
      <c r="C353" s="889"/>
      <c r="D353" s="889"/>
      <c r="E353" s="890"/>
      <c r="F353" s="183">
        <f>SUM(F351:F352)</f>
        <v>626152225</v>
      </c>
      <c r="I353" s="888" t="s">
        <v>104</v>
      </c>
      <c r="J353" s="889"/>
      <c r="K353" s="889"/>
      <c r="L353" s="889"/>
      <c r="M353" s="890"/>
      <c r="N353" s="183">
        <f>SUM(N351:N352)</f>
        <v>315351965</v>
      </c>
    </row>
    <row r="354" spans="1:16" ht="12.75" customHeight="1">
      <c r="A354" s="61"/>
      <c r="B354" s="61"/>
      <c r="C354" s="61"/>
      <c r="D354" s="61"/>
      <c r="E354" s="61"/>
      <c r="I354" s="61"/>
      <c r="J354" s="61"/>
      <c r="K354" s="61"/>
      <c r="L354" s="61"/>
      <c r="M354" s="61"/>
    </row>
    <row r="355" spans="1:16">
      <c r="A355" s="51" t="s">
        <v>285</v>
      </c>
      <c r="I355" s="51" t="s">
        <v>1414</v>
      </c>
    </row>
    <row r="356" spans="1:16" ht="11.25" customHeight="1">
      <c r="F356" s="139"/>
      <c r="N356" s="139"/>
    </row>
    <row r="357" spans="1:16">
      <c r="A357" s="50" t="s">
        <v>105</v>
      </c>
      <c r="D357" s="146"/>
      <c r="F357" s="139"/>
      <c r="I357" s="50" t="s">
        <v>105</v>
      </c>
      <c r="L357" s="146"/>
      <c r="N357" s="139" t="s">
        <v>631</v>
      </c>
    </row>
    <row r="358" spans="1:16" ht="11.25" customHeight="1" thickBot="1"/>
    <row r="359" spans="1:16" ht="15.75" thickBot="1">
      <c r="A359" s="891" t="s">
        <v>106</v>
      </c>
      <c r="B359" s="892"/>
      <c r="C359" s="892"/>
      <c r="D359" s="893"/>
      <c r="F359" s="50" t="s">
        <v>270</v>
      </c>
      <c r="I359" s="891" t="s">
        <v>106</v>
      </c>
      <c r="J359" s="892"/>
      <c r="K359" s="892"/>
      <c r="L359" s="893"/>
      <c r="N359" s="925" t="s">
        <v>1126</v>
      </c>
      <c r="O359" s="925"/>
      <c r="P359" s="925"/>
    </row>
    <row r="360" spans="1:16" ht="30.75" thickBot="1">
      <c r="A360" s="57" t="s">
        <v>100</v>
      </c>
      <c r="B360" s="58" t="s">
        <v>108</v>
      </c>
      <c r="C360" s="59" t="s">
        <v>109</v>
      </c>
      <c r="D360" s="60" t="s">
        <v>110</v>
      </c>
      <c r="I360" s="57" t="s">
        <v>100</v>
      </c>
      <c r="J360" s="58" t="s">
        <v>108</v>
      </c>
      <c r="K360" s="59" t="s">
        <v>109</v>
      </c>
      <c r="L360" s="60" t="s">
        <v>110</v>
      </c>
    </row>
    <row r="361" spans="1:16" ht="14.25" customHeight="1">
      <c r="A361" s="71">
        <v>719</v>
      </c>
      <c r="B361" s="73">
        <f>+H341+H343+H345+H347+H349</f>
        <v>250000</v>
      </c>
      <c r="C361" s="74" t="e">
        <f>+D324</f>
        <v>#REF!</v>
      </c>
      <c r="D361" s="76" t="e">
        <f>+B361+C361</f>
        <v>#REF!</v>
      </c>
      <c r="I361" s="71">
        <v>719</v>
      </c>
      <c r="J361" s="73">
        <f>+P341+P343+P345+P347+P349</f>
        <v>0</v>
      </c>
      <c r="K361" s="74">
        <f>+L324</f>
        <v>6066700</v>
      </c>
      <c r="L361" s="195">
        <f>+J361+K361</f>
        <v>6066700</v>
      </c>
    </row>
    <row r="362" spans="1:16">
      <c r="A362" s="72">
        <v>721</v>
      </c>
      <c r="B362" s="80"/>
      <c r="C362" s="74" t="e">
        <f>+D325</f>
        <v>#REF!</v>
      </c>
      <c r="D362" s="76" t="e">
        <f>+B362+C362</f>
        <v>#REF!</v>
      </c>
      <c r="I362" s="72">
        <v>721</v>
      </c>
      <c r="J362" s="80"/>
      <c r="K362" s="74">
        <f>+L325</f>
        <v>659550</v>
      </c>
      <c r="L362" s="195">
        <f>+J362+K362</f>
        <v>659550</v>
      </c>
    </row>
    <row r="363" spans="1:16" ht="13.5" customHeight="1">
      <c r="A363" s="72">
        <v>722</v>
      </c>
      <c r="B363" s="80"/>
      <c r="C363" s="74">
        <f>+D326</f>
        <v>231207671</v>
      </c>
      <c r="D363" s="76">
        <f>+B363+C363</f>
        <v>231207671</v>
      </c>
      <c r="I363" s="72">
        <v>722</v>
      </c>
      <c r="J363" s="80"/>
      <c r="K363" s="74">
        <f>+L326</f>
        <v>0</v>
      </c>
      <c r="L363" s="195">
        <f>+J363+K363</f>
        <v>0</v>
      </c>
    </row>
    <row r="364" spans="1:16" ht="14.25" customHeight="1">
      <c r="A364" s="72">
        <v>723</v>
      </c>
      <c r="B364" s="80">
        <f>+H348+H350</f>
        <v>1400000</v>
      </c>
      <c r="C364" s="74">
        <f>+D327</f>
        <v>319828837</v>
      </c>
      <c r="D364" s="76">
        <f>+B364+C364</f>
        <v>321228837</v>
      </c>
      <c r="F364" s="174" t="s">
        <v>262</v>
      </c>
      <c r="G364" s="175"/>
      <c r="I364" s="72">
        <v>723</v>
      </c>
      <c r="J364" s="80">
        <f>+P350+P348+P346+P344+P342</f>
        <v>9240600</v>
      </c>
      <c r="K364" s="74">
        <f>+L327</f>
        <v>299385115</v>
      </c>
      <c r="L364" s="195">
        <f>+J364+K364</f>
        <v>308625715</v>
      </c>
      <c r="N364" s="644" t="s">
        <v>558</v>
      </c>
      <c r="O364" s="644"/>
      <c r="P364" s="644"/>
    </row>
    <row r="365" spans="1:16" ht="13.5" customHeight="1" thickBot="1">
      <c r="A365" s="164" t="s">
        <v>181</v>
      </c>
      <c r="B365" s="165"/>
      <c r="C365" s="74">
        <f>+D328</f>
        <v>1965625</v>
      </c>
      <c r="D365" s="168">
        <f>+B365+C365</f>
        <v>1965625</v>
      </c>
      <c r="F365" s="52"/>
      <c r="I365" s="164" t="s">
        <v>181</v>
      </c>
      <c r="J365" s="165"/>
      <c r="K365" s="74">
        <f>+L328</f>
        <v>0</v>
      </c>
      <c r="L365" s="196">
        <f>+J365+K365</f>
        <v>0</v>
      </c>
      <c r="N365" s="52"/>
    </row>
    <row r="366" spans="1:16" ht="16.5" thickBot="1">
      <c r="A366" s="169"/>
      <c r="B366" s="170">
        <f>SUM(B361:B365)</f>
        <v>1650000</v>
      </c>
      <c r="C366" s="171" t="e">
        <f>SUM(C361:C365)</f>
        <v>#REF!</v>
      </c>
      <c r="D366" s="172" t="e">
        <f>SUM(D361:D365)</f>
        <v>#REF!</v>
      </c>
      <c r="I366" s="169"/>
      <c r="J366" s="197">
        <f>SUM(J361:J365)</f>
        <v>9240600</v>
      </c>
      <c r="K366" s="197">
        <f>SUM(K361:K365)</f>
        <v>306111365</v>
      </c>
      <c r="L366" s="198">
        <f>SUM(L361:L365)</f>
        <v>315351965</v>
      </c>
    </row>
    <row r="367" spans="1:16" ht="16.5">
      <c r="A367" s="49" t="s">
        <v>88</v>
      </c>
      <c r="B367" s="50"/>
      <c r="I367" s="49" t="s">
        <v>88</v>
      </c>
      <c r="J367" s="50"/>
    </row>
    <row r="368" spans="1:16">
      <c r="A368" s="51" t="s">
        <v>89</v>
      </c>
      <c r="I368" s="51" t="s">
        <v>89</v>
      </c>
    </row>
    <row r="369" spans="1:16">
      <c r="A369" s="51" t="s">
        <v>90</v>
      </c>
      <c r="I369" s="51" t="s">
        <v>90</v>
      </c>
    </row>
    <row r="370" spans="1:16">
      <c r="A370" s="51" t="s">
        <v>91</v>
      </c>
      <c r="I370" s="51" t="s">
        <v>91</v>
      </c>
    </row>
    <row r="371" spans="1:16" ht="9" customHeight="1">
      <c r="A371" s="50"/>
      <c r="B371" s="50"/>
      <c r="I371" s="50"/>
      <c r="J371" s="50"/>
    </row>
    <row r="372" spans="1:16" ht="16.5">
      <c r="A372" s="52" t="s">
        <v>287</v>
      </c>
      <c r="G372" s="52"/>
      <c r="I372" s="52" t="s">
        <v>606</v>
      </c>
      <c r="O372" s="52"/>
    </row>
    <row r="373" spans="1:16" ht="15.75">
      <c r="A373" s="53" t="s">
        <v>92</v>
      </c>
      <c r="G373" s="53"/>
      <c r="I373" s="53" t="s">
        <v>535</v>
      </c>
      <c r="O373" s="53"/>
    </row>
    <row r="374" spans="1:16" ht="16.5">
      <c r="A374" s="894" t="s">
        <v>261</v>
      </c>
      <c r="B374" s="894"/>
      <c r="C374" s="894"/>
      <c r="D374" s="894"/>
      <c r="E374" s="894"/>
      <c r="F374" s="894"/>
      <c r="G374" s="894"/>
      <c r="H374" s="894"/>
      <c r="I374" s="894" t="s">
        <v>261</v>
      </c>
      <c r="J374" s="894"/>
      <c r="K374" s="894"/>
      <c r="L374" s="894"/>
      <c r="M374" s="894"/>
      <c r="N374" s="894"/>
      <c r="O374" s="894"/>
      <c r="P374" s="894"/>
    </row>
    <row r="375" spans="1:16" ht="14.25" customHeight="1" thickBot="1"/>
    <row r="376" spans="1:16">
      <c r="A376" s="895" t="s">
        <v>94</v>
      </c>
      <c r="B376" s="897" t="s">
        <v>95</v>
      </c>
      <c r="C376" s="897" t="s">
        <v>96</v>
      </c>
      <c r="D376" s="897" t="s">
        <v>3</v>
      </c>
      <c r="E376" s="897" t="s">
        <v>97</v>
      </c>
      <c r="F376" s="897" t="s">
        <v>98</v>
      </c>
      <c r="G376" s="897" t="s">
        <v>99</v>
      </c>
      <c r="H376" s="899"/>
      <c r="I376" s="895" t="s">
        <v>94</v>
      </c>
      <c r="J376" s="897" t="s">
        <v>95</v>
      </c>
      <c r="K376" s="897" t="s">
        <v>96</v>
      </c>
      <c r="L376" s="897" t="s">
        <v>3</v>
      </c>
      <c r="M376" s="897" t="s">
        <v>97</v>
      </c>
      <c r="N376" s="897" t="s">
        <v>98</v>
      </c>
      <c r="O376" s="897" t="s">
        <v>99</v>
      </c>
      <c r="P376" s="899"/>
    </row>
    <row r="377" spans="1:16" ht="15.75" thickBot="1">
      <c r="A377" s="896"/>
      <c r="B377" s="898"/>
      <c r="C377" s="898"/>
      <c r="D377" s="898"/>
      <c r="E377" s="898"/>
      <c r="F377" s="898"/>
      <c r="G377" s="240" t="s">
        <v>100</v>
      </c>
      <c r="H377" s="182" t="s">
        <v>101</v>
      </c>
      <c r="I377" s="896"/>
      <c r="J377" s="898"/>
      <c r="K377" s="898"/>
      <c r="L377" s="898"/>
      <c r="M377" s="898"/>
      <c r="N377" s="898"/>
      <c r="O377" s="240" t="s">
        <v>100</v>
      </c>
      <c r="P377" s="182" t="s">
        <v>101</v>
      </c>
    </row>
    <row r="378" spans="1:16" ht="13.5" customHeight="1">
      <c r="A378" s="881" t="e">
        <f>+A349+1</f>
        <v>#REF!</v>
      </c>
      <c r="B378" s="875">
        <v>42264</v>
      </c>
      <c r="C378" s="877" t="s">
        <v>267</v>
      </c>
      <c r="D378" s="881" t="s">
        <v>290</v>
      </c>
      <c r="E378" s="881" t="s">
        <v>148</v>
      </c>
      <c r="F378" s="883">
        <v>168000</v>
      </c>
      <c r="G378" s="55">
        <v>719</v>
      </c>
      <c r="H378" s="78">
        <v>120000</v>
      </c>
      <c r="I378" s="873" t="s">
        <v>1420</v>
      </c>
      <c r="J378" s="875">
        <v>42803</v>
      </c>
      <c r="K378" s="877" t="s">
        <v>1415</v>
      </c>
      <c r="L378" s="881" t="s">
        <v>1225</v>
      </c>
      <c r="M378" s="881" t="s">
        <v>148</v>
      </c>
      <c r="N378" s="883">
        <v>2500000</v>
      </c>
      <c r="O378" s="55">
        <v>719</v>
      </c>
      <c r="P378" s="78"/>
    </row>
    <row r="379" spans="1:16" ht="12.75" customHeight="1" thickBot="1">
      <c r="A379" s="882"/>
      <c r="B379" s="934"/>
      <c r="C379" s="878"/>
      <c r="D379" s="882"/>
      <c r="E379" s="882"/>
      <c r="F379" s="884"/>
      <c r="G379" s="56">
        <v>721</v>
      </c>
      <c r="H379" s="79">
        <f>+F378-H378</f>
        <v>48000</v>
      </c>
      <c r="I379" s="882"/>
      <c r="J379" s="876"/>
      <c r="K379" s="878"/>
      <c r="L379" s="882"/>
      <c r="M379" s="882"/>
      <c r="N379" s="884"/>
      <c r="O379" s="56">
        <v>723</v>
      </c>
      <c r="P379" s="79">
        <f>+N378-P378</f>
        <v>2500000</v>
      </c>
    </row>
    <row r="380" spans="1:16" ht="14.25" customHeight="1">
      <c r="A380" s="881" t="e">
        <f>+A378+1</f>
        <v>#REF!</v>
      </c>
      <c r="B380" s="875">
        <v>42264</v>
      </c>
      <c r="C380" s="881" t="s">
        <v>28</v>
      </c>
      <c r="D380" s="881" t="s">
        <v>292</v>
      </c>
      <c r="E380" s="881" t="s">
        <v>148</v>
      </c>
      <c r="F380" s="883">
        <v>238000</v>
      </c>
      <c r="G380" s="55">
        <v>719</v>
      </c>
      <c r="H380" s="78">
        <v>170000</v>
      </c>
      <c r="I380" s="873" t="s">
        <v>1421</v>
      </c>
      <c r="J380" s="875">
        <v>42803</v>
      </c>
      <c r="K380" s="881" t="s">
        <v>1174</v>
      </c>
      <c r="L380" s="881" t="s">
        <v>1225</v>
      </c>
      <c r="M380" s="881" t="s">
        <v>148</v>
      </c>
      <c r="N380" s="883">
        <v>8383404</v>
      </c>
      <c r="O380" s="55">
        <v>719</v>
      </c>
      <c r="P380" s="78"/>
    </row>
    <row r="381" spans="1:16" ht="14.25" customHeight="1" thickBot="1">
      <c r="A381" s="882"/>
      <c r="B381" s="934"/>
      <c r="C381" s="882"/>
      <c r="D381" s="882"/>
      <c r="E381" s="882"/>
      <c r="F381" s="884"/>
      <c r="G381" s="56">
        <v>721</v>
      </c>
      <c r="H381" s="79">
        <f>+F380-H380</f>
        <v>68000</v>
      </c>
      <c r="I381" s="882"/>
      <c r="J381" s="876"/>
      <c r="K381" s="882"/>
      <c r="L381" s="882"/>
      <c r="M381" s="882"/>
      <c r="N381" s="884"/>
      <c r="O381" s="56">
        <v>723</v>
      </c>
      <c r="P381" s="79">
        <f>+N380-P380</f>
        <v>8383404</v>
      </c>
    </row>
    <row r="382" spans="1:16" ht="12.75" customHeight="1">
      <c r="A382" s="881" t="e">
        <f>+A380+1</f>
        <v>#REF!</v>
      </c>
      <c r="B382" s="875">
        <v>42264</v>
      </c>
      <c r="C382" s="877" t="s">
        <v>32</v>
      </c>
      <c r="D382" s="881" t="s">
        <v>292</v>
      </c>
      <c r="E382" s="881" t="s">
        <v>148</v>
      </c>
      <c r="F382" s="883">
        <v>126000</v>
      </c>
      <c r="G382" s="55">
        <v>719</v>
      </c>
      <c r="H382" s="78">
        <v>90000</v>
      </c>
      <c r="I382" s="873" t="s">
        <v>1422</v>
      </c>
      <c r="J382" s="875">
        <v>42803</v>
      </c>
      <c r="K382" s="877" t="s">
        <v>723</v>
      </c>
      <c r="L382" s="881" t="s">
        <v>1225</v>
      </c>
      <c r="M382" s="881" t="s">
        <v>148</v>
      </c>
      <c r="N382" s="883">
        <v>630000</v>
      </c>
      <c r="O382" s="55">
        <v>719</v>
      </c>
      <c r="P382" s="78"/>
    </row>
    <row r="383" spans="1:16" ht="13.5" customHeight="1" thickBot="1">
      <c r="A383" s="882"/>
      <c r="B383" s="934"/>
      <c r="C383" s="878"/>
      <c r="D383" s="882"/>
      <c r="E383" s="882"/>
      <c r="F383" s="884"/>
      <c r="G383" s="56">
        <v>721</v>
      </c>
      <c r="H383" s="79">
        <f>+F382-H382</f>
        <v>36000</v>
      </c>
      <c r="I383" s="882"/>
      <c r="J383" s="876"/>
      <c r="K383" s="878"/>
      <c r="L383" s="882"/>
      <c r="M383" s="882"/>
      <c r="N383" s="884"/>
      <c r="O383" s="56">
        <v>723</v>
      </c>
      <c r="P383" s="79">
        <f>+N382-P382</f>
        <v>630000</v>
      </c>
    </row>
    <row r="384" spans="1:16" ht="13.5" customHeight="1">
      <c r="A384" s="881" t="e">
        <f>+A382+1</f>
        <v>#REF!</v>
      </c>
      <c r="B384" s="875">
        <v>42264</v>
      </c>
      <c r="C384" s="877" t="s">
        <v>111</v>
      </c>
      <c r="D384" s="881" t="s">
        <v>291</v>
      </c>
      <c r="E384" s="881" t="s">
        <v>148</v>
      </c>
      <c r="F384" s="883">
        <v>84000</v>
      </c>
      <c r="G384" s="55">
        <v>719</v>
      </c>
      <c r="H384" s="78">
        <v>60000</v>
      </c>
      <c r="I384" s="873" t="s">
        <v>1423</v>
      </c>
      <c r="J384" s="875">
        <v>42803</v>
      </c>
      <c r="K384" s="877" t="s">
        <v>738</v>
      </c>
      <c r="L384" s="881" t="s">
        <v>1225</v>
      </c>
      <c r="M384" s="881" t="s">
        <v>148</v>
      </c>
      <c r="N384" s="883">
        <v>3750000</v>
      </c>
      <c r="O384" s="55">
        <v>719</v>
      </c>
      <c r="P384" s="78"/>
    </row>
    <row r="385" spans="1:16" ht="15" customHeight="1" thickBot="1">
      <c r="A385" s="882"/>
      <c r="B385" s="934"/>
      <c r="C385" s="878"/>
      <c r="D385" s="882"/>
      <c r="E385" s="882"/>
      <c r="F385" s="884"/>
      <c r="G385" s="56">
        <v>721</v>
      </c>
      <c r="H385" s="79">
        <f>+F384-H384</f>
        <v>24000</v>
      </c>
      <c r="I385" s="882"/>
      <c r="J385" s="876"/>
      <c r="K385" s="878"/>
      <c r="L385" s="882"/>
      <c r="M385" s="882"/>
      <c r="N385" s="884"/>
      <c r="O385" s="56">
        <v>723</v>
      </c>
      <c r="P385" s="79">
        <f>+N384-P384</f>
        <v>3750000</v>
      </c>
    </row>
    <row r="386" spans="1:16" ht="13.5" customHeight="1">
      <c r="A386" s="881" t="e">
        <f>+A384+1</f>
        <v>#REF!</v>
      </c>
      <c r="B386" s="875">
        <v>42264</v>
      </c>
      <c r="C386" s="877" t="s">
        <v>272</v>
      </c>
      <c r="D386" s="881" t="s">
        <v>290</v>
      </c>
      <c r="E386" s="881" t="s">
        <v>148</v>
      </c>
      <c r="F386" s="883">
        <v>532000</v>
      </c>
      <c r="G386" s="55">
        <v>719</v>
      </c>
      <c r="H386" s="78">
        <v>380000</v>
      </c>
      <c r="I386" s="873" t="s">
        <v>1424</v>
      </c>
      <c r="J386" s="875">
        <v>42803</v>
      </c>
      <c r="K386" s="877" t="s">
        <v>267</v>
      </c>
      <c r="L386" s="881" t="s">
        <v>1225</v>
      </c>
      <c r="M386" s="881" t="s">
        <v>148</v>
      </c>
      <c r="N386" s="883">
        <v>4830000</v>
      </c>
      <c r="O386" s="55">
        <v>719</v>
      </c>
      <c r="P386" s="78"/>
    </row>
    <row r="387" spans="1:16" ht="14.25" customHeight="1" thickBot="1">
      <c r="A387" s="882"/>
      <c r="B387" s="934"/>
      <c r="C387" s="878"/>
      <c r="D387" s="882"/>
      <c r="E387" s="882"/>
      <c r="F387" s="884"/>
      <c r="G387" s="56">
        <v>721</v>
      </c>
      <c r="H387" s="79">
        <f>+F386-H386</f>
        <v>152000</v>
      </c>
      <c r="I387" s="882"/>
      <c r="J387" s="876"/>
      <c r="K387" s="878"/>
      <c r="L387" s="882"/>
      <c r="M387" s="882"/>
      <c r="N387" s="884"/>
      <c r="O387" s="56">
        <v>723</v>
      </c>
      <c r="P387" s="79">
        <f>+N386-P386</f>
        <v>4830000</v>
      </c>
    </row>
    <row r="388" spans="1:16" ht="16.5" thickBot="1">
      <c r="A388" s="901" t="s">
        <v>102</v>
      </c>
      <c r="B388" s="902"/>
      <c r="C388" s="902"/>
      <c r="D388" s="902"/>
      <c r="E388" s="903"/>
      <c r="F388" s="81">
        <f>SUM(F378:F387)</f>
        <v>1148000</v>
      </c>
      <c r="I388" s="901" t="s">
        <v>102</v>
      </c>
      <c r="J388" s="902"/>
      <c r="K388" s="902"/>
      <c r="L388" s="902"/>
      <c r="M388" s="903"/>
      <c r="N388" s="81">
        <f>SUM(N378:N387)</f>
        <v>20093404</v>
      </c>
    </row>
    <row r="389" spans="1:16" ht="16.5" thickBot="1">
      <c r="A389" s="885" t="s">
        <v>103</v>
      </c>
      <c r="B389" s="886"/>
      <c r="C389" s="886"/>
      <c r="D389" s="886"/>
      <c r="E389" s="887"/>
      <c r="F389" s="69">
        <f>+F353</f>
        <v>626152225</v>
      </c>
      <c r="I389" s="885" t="s">
        <v>103</v>
      </c>
      <c r="J389" s="886"/>
      <c r="K389" s="886"/>
      <c r="L389" s="886"/>
      <c r="M389" s="887"/>
      <c r="N389" s="239">
        <f>+N353</f>
        <v>315351965</v>
      </c>
      <c r="O389" s="241" t="s">
        <v>561</v>
      </c>
      <c r="P389" s="242"/>
    </row>
    <row r="390" spans="1:16" ht="16.5" thickBot="1">
      <c r="A390" s="888" t="s">
        <v>104</v>
      </c>
      <c r="B390" s="889"/>
      <c r="C390" s="889"/>
      <c r="D390" s="889"/>
      <c r="E390" s="890"/>
      <c r="F390" s="183">
        <f>SUM(F388:F389)</f>
        <v>627300225</v>
      </c>
      <c r="I390" s="888" t="s">
        <v>104</v>
      </c>
      <c r="J390" s="889"/>
      <c r="K390" s="889"/>
      <c r="L390" s="889"/>
      <c r="M390" s="890"/>
      <c r="N390" s="183">
        <f>SUM(N388:N389)</f>
        <v>335445369</v>
      </c>
    </row>
    <row r="391" spans="1:16">
      <c r="A391" s="61"/>
      <c r="B391" s="61"/>
      <c r="C391" s="61"/>
      <c r="D391" s="61"/>
      <c r="E391" s="61"/>
      <c r="I391" s="61"/>
      <c r="J391" s="61"/>
      <c r="K391" s="61"/>
      <c r="L391" s="61"/>
      <c r="M391" s="61"/>
    </row>
    <row r="392" spans="1:16">
      <c r="A392" s="51" t="s">
        <v>294</v>
      </c>
      <c r="I392" s="51" t="s">
        <v>1425</v>
      </c>
    </row>
    <row r="393" spans="1:16" ht="9" customHeight="1">
      <c r="F393" s="139"/>
      <c r="N393" s="139"/>
    </row>
    <row r="394" spans="1:16">
      <c r="A394" s="50" t="s">
        <v>105</v>
      </c>
      <c r="D394" s="146"/>
      <c r="F394" s="139"/>
      <c r="I394" s="50" t="s">
        <v>105</v>
      </c>
      <c r="L394" s="146"/>
      <c r="N394" s="139"/>
    </row>
    <row r="395" spans="1:16" ht="12.75" customHeight="1" thickBot="1"/>
    <row r="396" spans="1:16" ht="15.75" thickBot="1">
      <c r="A396" s="891" t="s">
        <v>106</v>
      </c>
      <c r="B396" s="892"/>
      <c r="C396" s="892"/>
      <c r="D396" s="893"/>
      <c r="F396" s="50" t="s">
        <v>288</v>
      </c>
      <c r="I396" s="891" t="s">
        <v>106</v>
      </c>
      <c r="J396" s="892"/>
      <c r="K396" s="892"/>
      <c r="L396" s="893"/>
      <c r="N396" s="925" t="s">
        <v>1126</v>
      </c>
      <c r="O396" s="925"/>
      <c r="P396" s="925"/>
    </row>
    <row r="397" spans="1:16" ht="30.75" thickBot="1">
      <c r="A397" s="57" t="s">
        <v>100</v>
      </c>
      <c r="B397" s="58" t="s">
        <v>108</v>
      </c>
      <c r="C397" s="59" t="s">
        <v>109</v>
      </c>
      <c r="D397" s="60" t="s">
        <v>110</v>
      </c>
      <c r="I397" s="57" t="s">
        <v>100</v>
      </c>
      <c r="J397" s="58" t="s">
        <v>108</v>
      </c>
      <c r="K397" s="59" t="s">
        <v>109</v>
      </c>
      <c r="L397" s="60" t="s">
        <v>110</v>
      </c>
    </row>
    <row r="398" spans="1:16">
      <c r="A398" s="71">
        <v>719</v>
      </c>
      <c r="B398" s="73">
        <f>+H378+H380+H382+H384+H386</f>
        <v>820000</v>
      </c>
      <c r="C398" s="74" t="e">
        <f>+D361</f>
        <v>#REF!</v>
      </c>
      <c r="D398" s="76" t="e">
        <f>+B398+C398</f>
        <v>#REF!</v>
      </c>
      <c r="I398" s="71">
        <v>719</v>
      </c>
      <c r="J398" s="73">
        <f>+P378+P380+P382+P384+P386</f>
        <v>0</v>
      </c>
      <c r="K398" s="74">
        <f>+L361</f>
        <v>6066700</v>
      </c>
      <c r="L398" s="195">
        <f>+J398+K398</f>
        <v>6066700</v>
      </c>
    </row>
    <row r="399" spans="1:16">
      <c r="A399" s="72">
        <v>721</v>
      </c>
      <c r="B399" s="80">
        <f>+H379+H381+H383+H385+H387</f>
        <v>328000</v>
      </c>
      <c r="C399" s="74" t="e">
        <f>+D362</f>
        <v>#REF!</v>
      </c>
      <c r="D399" s="76" t="e">
        <f>+B399+C399</f>
        <v>#REF!</v>
      </c>
      <c r="I399" s="72">
        <v>721</v>
      </c>
      <c r="J399" s="80"/>
      <c r="K399" s="74">
        <f>+L362</f>
        <v>659550</v>
      </c>
      <c r="L399" s="195">
        <f>+J399+K399</f>
        <v>659550</v>
      </c>
    </row>
    <row r="400" spans="1:16">
      <c r="A400" s="72">
        <v>722</v>
      </c>
      <c r="B400" s="80"/>
      <c r="C400" s="74">
        <f>+D363</f>
        <v>231207671</v>
      </c>
      <c r="D400" s="76">
        <f>+B400+C400</f>
        <v>231207671</v>
      </c>
      <c r="I400" s="72">
        <v>722</v>
      </c>
      <c r="J400" s="80"/>
      <c r="K400" s="74">
        <f>+L363</f>
        <v>0</v>
      </c>
      <c r="L400" s="195">
        <f>+J400+K400</f>
        <v>0</v>
      </c>
    </row>
    <row r="401" spans="1:16" ht="13.5" customHeight="1">
      <c r="A401" s="72">
        <v>723</v>
      </c>
      <c r="B401" s="80"/>
      <c r="C401" s="74">
        <f>+D364</f>
        <v>321228837</v>
      </c>
      <c r="D401" s="76">
        <f>+B401+C401</f>
        <v>321228837</v>
      </c>
      <c r="F401" s="193" t="s">
        <v>289</v>
      </c>
      <c r="G401" s="175"/>
      <c r="I401" s="72">
        <v>723</v>
      </c>
      <c r="J401" s="80">
        <f>+P387+P385+P383+P381+P379</f>
        <v>20093404</v>
      </c>
      <c r="K401" s="74">
        <f>+L364</f>
        <v>308625715</v>
      </c>
      <c r="L401" s="195">
        <f>+J401+K401</f>
        <v>328719119</v>
      </c>
      <c r="N401" s="644" t="s">
        <v>558</v>
      </c>
      <c r="O401" s="644"/>
      <c r="P401" s="644"/>
    </row>
    <row r="402" spans="1:16" ht="13.5" customHeight="1" thickBot="1">
      <c r="A402" s="164" t="s">
        <v>181</v>
      </c>
      <c r="B402" s="165"/>
      <c r="C402" s="74">
        <f>+D365</f>
        <v>1965625</v>
      </c>
      <c r="D402" s="168">
        <f>+B402+C402</f>
        <v>1965625</v>
      </c>
      <c r="F402" s="52"/>
      <c r="I402" s="164" t="s">
        <v>181</v>
      </c>
      <c r="J402" s="165"/>
      <c r="K402" s="74">
        <f>+L365</f>
        <v>0</v>
      </c>
      <c r="L402" s="196">
        <f>+J402+K402</f>
        <v>0</v>
      </c>
      <c r="N402" s="52"/>
    </row>
    <row r="403" spans="1:16" ht="16.5" thickBot="1">
      <c r="A403" s="169"/>
      <c r="B403" s="170">
        <f>SUM(B398:B402)</f>
        <v>1148000</v>
      </c>
      <c r="C403" s="171" t="e">
        <f>SUM(C398:C402)</f>
        <v>#REF!</v>
      </c>
      <c r="D403" s="172" t="e">
        <f>SUM(D398:D402)</f>
        <v>#REF!</v>
      </c>
      <c r="I403" s="169"/>
      <c r="J403" s="197">
        <f>SUM(J398:J402)</f>
        <v>20093404</v>
      </c>
      <c r="K403" s="197">
        <f>SUM(K398:K402)</f>
        <v>315351965</v>
      </c>
      <c r="L403" s="198">
        <f>SUM(L398:L402)</f>
        <v>335445369</v>
      </c>
    </row>
    <row r="404" spans="1:16" ht="16.5">
      <c r="A404" s="49" t="s">
        <v>88</v>
      </c>
      <c r="B404" s="50"/>
      <c r="I404" s="49" t="s">
        <v>88</v>
      </c>
      <c r="J404" s="50"/>
    </row>
    <row r="405" spans="1:16">
      <c r="A405" s="51" t="s">
        <v>89</v>
      </c>
      <c r="I405" s="51" t="s">
        <v>89</v>
      </c>
    </row>
    <row r="406" spans="1:16">
      <c r="A406" s="51" t="s">
        <v>90</v>
      </c>
      <c r="I406" s="51" t="s">
        <v>90</v>
      </c>
    </row>
    <row r="407" spans="1:16">
      <c r="A407" s="51" t="s">
        <v>91</v>
      </c>
      <c r="I407" s="51" t="s">
        <v>91</v>
      </c>
    </row>
    <row r="408" spans="1:16" ht="11.25" customHeight="1">
      <c r="A408" s="50"/>
      <c r="B408" s="50"/>
      <c r="I408" s="50"/>
      <c r="J408" s="50"/>
    </row>
    <row r="409" spans="1:16" ht="16.5">
      <c r="A409" s="52" t="s">
        <v>295</v>
      </c>
      <c r="G409" s="52"/>
      <c r="I409" s="52" t="s">
        <v>635</v>
      </c>
      <c r="O409" s="52"/>
    </row>
    <row r="410" spans="1:16" ht="15.75">
      <c r="A410" s="53" t="s">
        <v>92</v>
      </c>
      <c r="G410" s="53"/>
      <c r="I410" s="53" t="s">
        <v>1333</v>
      </c>
      <c r="O410" s="53"/>
    </row>
    <row r="411" spans="1:16" ht="16.5">
      <c r="A411" s="894" t="s">
        <v>261</v>
      </c>
      <c r="B411" s="894"/>
      <c r="C411" s="894"/>
      <c r="D411" s="894"/>
      <c r="E411" s="894"/>
      <c r="F411" s="894"/>
      <c r="G411" s="894"/>
      <c r="H411" s="894"/>
      <c r="I411" s="894" t="s">
        <v>212</v>
      </c>
      <c r="J411" s="894"/>
      <c r="K411" s="894"/>
      <c r="L411" s="894"/>
      <c r="M411" s="894"/>
      <c r="N411" s="894"/>
      <c r="O411" s="894"/>
      <c r="P411" s="894"/>
    </row>
    <row r="412" spans="1:16" ht="13.5" customHeight="1" thickBot="1"/>
    <row r="413" spans="1:16">
      <c r="A413" s="895" t="s">
        <v>94</v>
      </c>
      <c r="B413" s="897" t="s">
        <v>95</v>
      </c>
      <c r="C413" s="897" t="s">
        <v>96</v>
      </c>
      <c r="D413" s="897" t="s">
        <v>3</v>
      </c>
      <c r="E413" s="897" t="s">
        <v>97</v>
      </c>
      <c r="F413" s="897" t="s">
        <v>98</v>
      </c>
      <c r="G413" s="897" t="s">
        <v>99</v>
      </c>
      <c r="H413" s="899"/>
      <c r="I413" s="895" t="s">
        <v>94</v>
      </c>
      <c r="J413" s="897" t="s">
        <v>95</v>
      </c>
      <c r="K413" s="897" t="s">
        <v>96</v>
      </c>
      <c r="L413" s="897" t="s">
        <v>3</v>
      </c>
      <c r="M413" s="897" t="s">
        <v>97</v>
      </c>
      <c r="N413" s="897" t="s">
        <v>98</v>
      </c>
      <c r="O413" s="897" t="s">
        <v>99</v>
      </c>
      <c r="P413" s="899"/>
    </row>
    <row r="414" spans="1:16" ht="15.75" thickBot="1">
      <c r="A414" s="896"/>
      <c r="B414" s="898"/>
      <c r="C414" s="898"/>
      <c r="D414" s="898"/>
      <c r="E414" s="898"/>
      <c r="F414" s="898"/>
      <c r="G414" s="240" t="s">
        <v>100</v>
      </c>
      <c r="H414" s="182" t="s">
        <v>101</v>
      </c>
      <c r="I414" s="896"/>
      <c r="J414" s="898"/>
      <c r="K414" s="898"/>
      <c r="L414" s="898"/>
      <c r="M414" s="898"/>
      <c r="N414" s="898"/>
      <c r="O414" s="240" t="s">
        <v>100</v>
      </c>
      <c r="P414" s="182" t="s">
        <v>101</v>
      </c>
    </row>
    <row r="415" spans="1:16" ht="12.75" customHeight="1">
      <c r="A415" s="881" t="e">
        <f>+A386+1</f>
        <v>#REF!</v>
      </c>
      <c r="B415" s="875">
        <v>42275</v>
      </c>
      <c r="C415" s="877" t="s">
        <v>267</v>
      </c>
      <c r="D415" s="881" t="s">
        <v>296</v>
      </c>
      <c r="E415" s="935" t="s">
        <v>31</v>
      </c>
      <c r="F415" s="883">
        <v>100000</v>
      </c>
      <c r="G415" s="55">
        <v>719</v>
      </c>
      <c r="H415" s="78">
        <v>100000</v>
      </c>
      <c r="I415" s="873" t="s">
        <v>1431</v>
      </c>
      <c r="J415" s="875">
        <v>42804</v>
      </c>
      <c r="K415" s="877" t="s">
        <v>1437</v>
      </c>
      <c r="L415" s="881" t="s">
        <v>1439</v>
      </c>
      <c r="M415" s="881" t="s">
        <v>148</v>
      </c>
      <c r="N415" s="883">
        <v>1440000</v>
      </c>
      <c r="O415" s="55">
        <v>723</v>
      </c>
      <c r="P415" s="78">
        <f>+N415</f>
        <v>1440000</v>
      </c>
    </row>
    <row r="416" spans="1:16" ht="14.25" customHeight="1" thickBot="1">
      <c r="A416" s="882"/>
      <c r="B416" s="934"/>
      <c r="C416" s="878"/>
      <c r="D416" s="882"/>
      <c r="E416" s="936"/>
      <c r="F416" s="884"/>
      <c r="G416" s="56">
        <v>721</v>
      </c>
      <c r="H416" s="79"/>
      <c r="I416" s="882"/>
      <c r="J416" s="876"/>
      <c r="K416" s="878"/>
      <c r="L416" s="882"/>
      <c r="M416" s="882"/>
      <c r="N416" s="884"/>
      <c r="O416" s="56">
        <v>721</v>
      </c>
      <c r="P416" s="79">
        <f>+N415-P415</f>
        <v>0</v>
      </c>
    </row>
    <row r="417" spans="1:16" ht="13.5" customHeight="1">
      <c r="A417" s="881" t="e">
        <f>+A415+1</f>
        <v>#REF!</v>
      </c>
      <c r="B417" s="875">
        <v>42275</v>
      </c>
      <c r="C417" s="881" t="s">
        <v>28</v>
      </c>
      <c r="D417" s="881" t="s">
        <v>297</v>
      </c>
      <c r="E417" s="935" t="s">
        <v>28</v>
      </c>
      <c r="F417" s="883">
        <v>50000</v>
      </c>
      <c r="G417" s="55">
        <v>719</v>
      </c>
      <c r="H417" s="78">
        <v>50000</v>
      </c>
      <c r="I417" s="873" t="s">
        <v>1432</v>
      </c>
      <c r="J417" s="875">
        <v>42804</v>
      </c>
      <c r="K417" s="877" t="s">
        <v>740</v>
      </c>
      <c r="L417" s="881" t="s">
        <v>1439</v>
      </c>
      <c r="M417" s="881" t="s">
        <v>148</v>
      </c>
      <c r="N417" s="883">
        <v>900000</v>
      </c>
      <c r="O417" s="55">
        <v>723</v>
      </c>
      <c r="P417" s="78">
        <f>+N417</f>
        <v>900000</v>
      </c>
    </row>
    <row r="418" spans="1:16" ht="14.25" customHeight="1" thickBot="1">
      <c r="A418" s="882"/>
      <c r="B418" s="934"/>
      <c r="C418" s="882"/>
      <c r="D418" s="882"/>
      <c r="E418" s="936"/>
      <c r="F418" s="884"/>
      <c r="G418" s="56">
        <v>721</v>
      </c>
      <c r="H418" s="79">
        <f>+F417-H417</f>
        <v>0</v>
      </c>
      <c r="I418" s="882"/>
      <c r="J418" s="876"/>
      <c r="K418" s="878"/>
      <c r="L418" s="882"/>
      <c r="M418" s="882"/>
      <c r="N418" s="884"/>
      <c r="O418" s="56">
        <v>721</v>
      </c>
      <c r="P418" s="79">
        <f>+N417-P417</f>
        <v>0</v>
      </c>
    </row>
    <row r="419" spans="1:16" ht="14.25" customHeight="1">
      <c r="A419" s="881" t="e">
        <f>+A417+1</f>
        <v>#REF!</v>
      </c>
      <c r="B419" s="875">
        <v>42275</v>
      </c>
      <c r="C419" s="877" t="s">
        <v>32</v>
      </c>
      <c r="D419" s="881" t="s">
        <v>297</v>
      </c>
      <c r="E419" s="877" t="s">
        <v>32</v>
      </c>
      <c r="F419" s="883">
        <v>30000</v>
      </c>
      <c r="G419" s="55">
        <v>719</v>
      </c>
      <c r="H419" s="78">
        <v>30000</v>
      </c>
      <c r="I419" s="873" t="s">
        <v>1433</v>
      </c>
      <c r="J419" s="875">
        <v>42804</v>
      </c>
      <c r="K419" s="877" t="s">
        <v>1438</v>
      </c>
      <c r="L419" s="881" t="s">
        <v>1439</v>
      </c>
      <c r="M419" s="881" t="s">
        <v>148</v>
      </c>
      <c r="N419" s="883">
        <v>7875000</v>
      </c>
      <c r="O419" s="55">
        <v>723</v>
      </c>
      <c r="P419" s="78">
        <f>+N419</f>
        <v>7875000</v>
      </c>
    </row>
    <row r="420" spans="1:16" ht="12.75" customHeight="1" thickBot="1">
      <c r="A420" s="882"/>
      <c r="B420" s="934"/>
      <c r="C420" s="878"/>
      <c r="D420" s="882"/>
      <c r="E420" s="878"/>
      <c r="F420" s="884"/>
      <c r="G420" s="56">
        <v>721</v>
      </c>
      <c r="H420" s="79">
        <f>+F419-H419</f>
        <v>0</v>
      </c>
      <c r="I420" s="882"/>
      <c r="J420" s="876"/>
      <c r="K420" s="878"/>
      <c r="L420" s="882"/>
      <c r="M420" s="882"/>
      <c r="N420" s="884"/>
      <c r="O420" s="56">
        <v>721</v>
      </c>
      <c r="P420" s="79">
        <f>+N419-P419</f>
        <v>0</v>
      </c>
    </row>
    <row r="421" spans="1:16" ht="12.75" customHeight="1">
      <c r="A421" s="881"/>
      <c r="B421" s="875"/>
      <c r="C421" s="877"/>
      <c r="D421" s="881"/>
      <c r="E421" s="881"/>
      <c r="F421" s="883"/>
      <c r="G421" s="55">
        <v>719</v>
      </c>
      <c r="H421" s="78"/>
      <c r="I421" s="873" t="s">
        <v>1434</v>
      </c>
      <c r="J421" s="875">
        <v>42804</v>
      </c>
      <c r="K421" s="877" t="s">
        <v>1440</v>
      </c>
      <c r="L421" s="881" t="s">
        <v>1439</v>
      </c>
      <c r="M421" s="881" t="s">
        <v>148</v>
      </c>
      <c r="N421" s="883">
        <v>5000000</v>
      </c>
      <c r="O421" s="55">
        <v>723</v>
      </c>
      <c r="P421" s="78">
        <f>+N421</f>
        <v>5000000</v>
      </c>
    </row>
    <row r="422" spans="1:16" ht="13.5" customHeight="1" thickBot="1">
      <c r="A422" s="882"/>
      <c r="B422" s="934"/>
      <c r="C422" s="878"/>
      <c r="D422" s="882"/>
      <c r="E422" s="882"/>
      <c r="F422" s="884"/>
      <c r="G422" s="56">
        <v>721</v>
      </c>
      <c r="H422" s="79">
        <f>+F421-H421</f>
        <v>0</v>
      </c>
      <c r="I422" s="882"/>
      <c r="J422" s="876"/>
      <c r="K422" s="878"/>
      <c r="L422" s="882"/>
      <c r="M422" s="882"/>
      <c r="N422" s="884"/>
      <c r="O422" s="56">
        <v>721</v>
      </c>
      <c r="P422" s="79">
        <f>+N421-P421</f>
        <v>0</v>
      </c>
    </row>
    <row r="423" spans="1:16" ht="13.5" customHeight="1">
      <c r="A423" s="881"/>
      <c r="B423" s="875"/>
      <c r="C423" s="877"/>
      <c r="D423" s="881"/>
      <c r="E423" s="881"/>
      <c r="F423" s="883"/>
      <c r="G423" s="55">
        <v>719</v>
      </c>
      <c r="H423" s="78"/>
      <c r="I423" s="873" t="s">
        <v>1435</v>
      </c>
      <c r="J423" s="875">
        <v>42804</v>
      </c>
      <c r="K423" s="877" t="s">
        <v>1441</v>
      </c>
      <c r="L423" s="881" t="s">
        <v>1439</v>
      </c>
      <c r="M423" s="881" t="s">
        <v>148</v>
      </c>
      <c r="N423" s="883">
        <v>3529416</v>
      </c>
      <c r="O423" s="55">
        <v>723</v>
      </c>
      <c r="P423" s="78">
        <f>+N423</f>
        <v>3529416</v>
      </c>
    </row>
    <row r="424" spans="1:16" ht="13.5" customHeight="1" thickBot="1">
      <c r="A424" s="882"/>
      <c r="B424" s="934"/>
      <c r="C424" s="878"/>
      <c r="D424" s="882"/>
      <c r="E424" s="882"/>
      <c r="F424" s="884"/>
      <c r="G424" s="56">
        <v>721</v>
      </c>
      <c r="H424" s="79">
        <f>+F423-H423</f>
        <v>0</v>
      </c>
      <c r="I424" s="882"/>
      <c r="J424" s="876"/>
      <c r="K424" s="878"/>
      <c r="L424" s="882"/>
      <c r="M424" s="882"/>
      <c r="N424" s="884"/>
      <c r="O424" s="56">
        <v>721</v>
      </c>
      <c r="P424" s="79">
        <f>+N423-P423</f>
        <v>0</v>
      </c>
    </row>
    <row r="425" spans="1:16" ht="15.75" customHeight="1" thickBot="1">
      <c r="A425" s="901" t="s">
        <v>102</v>
      </c>
      <c r="B425" s="902"/>
      <c r="C425" s="902"/>
      <c r="D425" s="902"/>
      <c r="E425" s="903"/>
      <c r="F425" s="81">
        <f>SUM(F415:F424)</f>
        <v>180000</v>
      </c>
      <c r="I425" s="901" t="s">
        <v>102</v>
      </c>
      <c r="J425" s="902"/>
      <c r="K425" s="902"/>
      <c r="L425" s="902"/>
      <c r="M425" s="903"/>
      <c r="N425" s="81">
        <f>SUM(N415:N424)</f>
        <v>18744416</v>
      </c>
    </row>
    <row r="426" spans="1:16" ht="16.5" thickBot="1">
      <c r="A426" s="885" t="s">
        <v>103</v>
      </c>
      <c r="B426" s="886"/>
      <c r="C426" s="886"/>
      <c r="D426" s="886"/>
      <c r="E426" s="887"/>
      <c r="F426" s="69">
        <f>+F390</f>
        <v>627300225</v>
      </c>
      <c r="I426" s="885" t="s">
        <v>103</v>
      </c>
      <c r="J426" s="886"/>
      <c r="K426" s="886"/>
      <c r="L426" s="886"/>
      <c r="M426" s="887"/>
      <c r="N426" s="239">
        <f>+N390</f>
        <v>335445369</v>
      </c>
      <c r="O426" s="241" t="s">
        <v>561</v>
      </c>
      <c r="P426" s="242"/>
    </row>
    <row r="427" spans="1:16" ht="16.5" thickBot="1">
      <c r="A427" s="888" t="s">
        <v>104</v>
      </c>
      <c r="B427" s="889"/>
      <c r="C427" s="889"/>
      <c r="D427" s="889"/>
      <c r="E427" s="890"/>
      <c r="F427" s="183">
        <f>SUM(F425:F426)</f>
        <v>627480225</v>
      </c>
      <c r="I427" s="888" t="s">
        <v>104</v>
      </c>
      <c r="J427" s="889"/>
      <c r="K427" s="889"/>
      <c r="L427" s="889"/>
      <c r="M427" s="890"/>
      <c r="N427" s="183">
        <f>SUM(N425:N426)</f>
        <v>354189785</v>
      </c>
    </row>
    <row r="428" spans="1:16" ht="12" customHeight="1">
      <c r="A428" s="61"/>
      <c r="B428" s="61"/>
      <c r="C428" s="61"/>
      <c r="D428" s="61"/>
      <c r="E428" s="61"/>
      <c r="I428" s="61"/>
      <c r="J428" s="61"/>
      <c r="K428" s="61"/>
      <c r="L428" s="61"/>
      <c r="M428" s="61"/>
    </row>
    <row r="429" spans="1:16">
      <c r="A429" s="51" t="s">
        <v>298</v>
      </c>
      <c r="I429" s="51" t="s">
        <v>1442</v>
      </c>
    </row>
    <row r="430" spans="1:16" ht="10.5" customHeight="1">
      <c r="F430" s="139"/>
      <c r="N430" s="139"/>
    </row>
    <row r="431" spans="1:16">
      <c r="A431" s="50" t="s">
        <v>105</v>
      </c>
      <c r="D431" s="146"/>
      <c r="F431" s="139"/>
      <c r="I431" s="50" t="s">
        <v>105</v>
      </c>
      <c r="L431" s="146"/>
      <c r="N431" s="139"/>
    </row>
    <row r="432" spans="1:16" ht="14.25" customHeight="1" thickBot="1"/>
    <row r="433" spans="1:16" ht="17.25" thickBot="1">
      <c r="A433" s="891" t="s">
        <v>106</v>
      </c>
      <c r="B433" s="892"/>
      <c r="C433" s="892"/>
      <c r="D433" s="893"/>
      <c r="F433" s="50" t="s">
        <v>288</v>
      </c>
      <c r="I433" s="891" t="s">
        <v>106</v>
      </c>
      <c r="J433" s="892"/>
      <c r="K433" s="892"/>
      <c r="L433" s="893"/>
      <c r="N433" s="605" t="s">
        <v>288</v>
      </c>
      <c r="O433" s="605"/>
      <c r="P433" s="605"/>
    </row>
    <row r="434" spans="1:16" ht="30.75" thickBot="1">
      <c r="A434" s="57" t="s">
        <v>100</v>
      </c>
      <c r="B434" s="58" t="s">
        <v>108</v>
      </c>
      <c r="C434" s="59" t="s">
        <v>109</v>
      </c>
      <c r="D434" s="60" t="s">
        <v>110</v>
      </c>
      <c r="I434" s="57" t="s">
        <v>100</v>
      </c>
      <c r="J434" s="58" t="s">
        <v>108</v>
      </c>
      <c r="K434" s="59" t="s">
        <v>109</v>
      </c>
      <c r="L434" s="60" t="s">
        <v>110</v>
      </c>
      <c r="N434" s="202"/>
      <c r="O434" s="202"/>
      <c r="P434" s="202"/>
    </row>
    <row r="435" spans="1:16" ht="15" customHeight="1">
      <c r="A435" s="71">
        <v>719</v>
      </c>
      <c r="B435" s="73">
        <f>+H415+H417+H419+H421+H423</f>
        <v>180000</v>
      </c>
      <c r="C435" s="74" t="e">
        <f>+D398</f>
        <v>#REF!</v>
      </c>
      <c r="D435" s="76" t="e">
        <f>+B435+C435</f>
        <v>#REF!</v>
      </c>
      <c r="I435" s="71">
        <v>719</v>
      </c>
      <c r="J435" s="73">
        <v>0</v>
      </c>
      <c r="K435" s="74">
        <f>+L398</f>
        <v>6066700</v>
      </c>
      <c r="L435" s="195">
        <f>+J435+K435</f>
        <v>6066700</v>
      </c>
      <c r="N435" s="202"/>
      <c r="O435" s="202"/>
      <c r="P435" s="202"/>
    </row>
    <row r="436" spans="1:16" ht="15" customHeight="1">
      <c r="A436" s="72">
        <v>721</v>
      </c>
      <c r="B436" s="80">
        <f>+H416+H418+H420+H422+H424</f>
        <v>0</v>
      </c>
      <c r="C436" s="74" t="e">
        <f>+D399</f>
        <v>#REF!</v>
      </c>
      <c r="D436" s="76" t="e">
        <f>+B436+C436</f>
        <v>#REF!</v>
      </c>
      <c r="I436" s="72">
        <v>721</v>
      </c>
      <c r="J436" s="80">
        <f>+P416+P418+P420+P422+P424</f>
        <v>0</v>
      </c>
      <c r="K436" s="74">
        <f>+L399</f>
        <v>659550</v>
      </c>
      <c r="L436" s="195">
        <f>+J436+K436</f>
        <v>659550</v>
      </c>
      <c r="N436" s="202"/>
      <c r="O436" s="202"/>
      <c r="P436" s="202"/>
    </row>
    <row r="437" spans="1:16" ht="14.25" customHeight="1">
      <c r="A437" s="72">
        <v>722</v>
      </c>
      <c r="B437" s="80"/>
      <c r="C437" s="74">
        <f>+D400</f>
        <v>231207671</v>
      </c>
      <c r="D437" s="76">
        <f>+B437+C437</f>
        <v>231207671</v>
      </c>
      <c r="I437" s="72">
        <v>722</v>
      </c>
      <c r="J437" s="80"/>
      <c r="K437" s="74">
        <f>+L400</f>
        <v>0</v>
      </c>
      <c r="L437" s="195">
        <f>+J437+K437</f>
        <v>0</v>
      </c>
      <c r="N437" s="202"/>
      <c r="O437" s="202"/>
      <c r="P437" s="202"/>
    </row>
    <row r="438" spans="1:16" ht="14.25" customHeight="1">
      <c r="A438" s="72">
        <v>723</v>
      </c>
      <c r="B438" s="80"/>
      <c r="C438" s="74">
        <f>+D401</f>
        <v>321228837</v>
      </c>
      <c r="D438" s="76">
        <f>+B438+C438</f>
        <v>321228837</v>
      </c>
      <c r="F438" s="193" t="s">
        <v>289</v>
      </c>
      <c r="G438" s="175"/>
      <c r="I438" s="72">
        <v>723</v>
      </c>
      <c r="J438" s="80">
        <f>+P415+P417+P419+P421+P423</f>
        <v>18744416</v>
      </c>
      <c r="K438" s="74">
        <f>+L401</f>
        <v>328719119</v>
      </c>
      <c r="L438" s="195">
        <f>+J438+K438</f>
        <v>347463535</v>
      </c>
      <c r="N438" s="608" t="s">
        <v>1436</v>
      </c>
      <c r="O438" s="608"/>
      <c r="P438" s="608"/>
    </row>
    <row r="439" spans="1:16" ht="13.5" customHeight="1" thickBot="1">
      <c r="A439" s="164" t="s">
        <v>181</v>
      </c>
      <c r="B439" s="165"/>
      <c r="C439" s="74">
        <f>+D402</f>
        <v>1965625</v>
      </c>
      <c r="D439" s="168">
        <f>+B439+C439</f>
        <v>1965625</v>
      </c>
      <c r="F439" s="52"/>
      <c r="I439" s="164" t="s">
        <v>181</v>
      </c>
      <c r="J439" s="165"/>
      <c r="K439" s="74">
        <f>+L402</f>
        <v>0</v>
      </c>
      <c r="L439" s="196">
        <f>+J439+K439</f>
        <v>0</v>
      </c>
      <c r="N439" s="52"/>
    </row>
    <row r="440" spans="1:16" ht="16.5" customHeight="1" thickBot="1">
      <c r="A440" s="169"/>
      <c r="B440" s="170">
        <f>SUM(B435:B439)</f>
        <v>180000</v>
      </c>
      <c r="C440" s="171" t="e">
        <f>SUM(C435:C439)</f>
        <v>#REF!</v>
      </c>
      <c r="D440" s="172" t="e">
        <f>SUM(D435:D439)</f>
        <v>#REF!</v>
      </c>
      <c r="I440" s="169"/>
      <c r="J440" s="197">
        <f>SUM(J435:J439)</f>
        <v>18744416</v>
      </c>
      <c r="K440" s="197">
        <f>SUM(K435:K439)</f>
        <v>335445369</v>
      </c>
      <c r="L440" s="198">
        <f>SUM(L435:L439)</f>
        <v>354189785</v>
      </c>
    </row>
    <row r="441" spans="1:16" ht="16.5">
      <c r="A441" s="49" t="s">
        <v>88</v>
      </c>
      <c r="B441" s="50"/>
      <c r="I441" s="49" t="s">
        <v>88</v>
      </c>
      <c r="J441" s="50"/>
    </row>
    <row r="442" spans="1:16">
      <c r="A442" s="51" t="s">
        <v>89</v>
      </c>
      <c r="I442" s="51" t="s">
        <v>89</v>
      </c>
    </row>
    <row r="443" spans="1:16">
      <c r="A443" s="51" t="s">
        <v>90</v>
      </c>
      <c r="I443" s="51" t="s">
        <v>90</v>
      </c>
    </row>
    <row r="444" spans="1:16">
      <c r="A444" s="51" t="s">
        <v>91</v>
      </c>
      <c r="I444" s="51" t="s">
        <v>91</v>
      </c>
    </row>
    <row r="445" spans="1:16" ht="11.25" customHeight="1">
      <c r="A445" s="50"/>
      <c r="B445" s="50"/>
      <c r="I445" s="50"/>
      <c r="J445" s="50"/>
    </row>
    <row r="446" spans="1:16" ht="16.5">
      <c r="A446" s="52" t="s">
        <v>299</v>
      </c>
      <c r="G446" s="52"/>
      <c r="I446" s="52" t="s">
        <v>636</v>
      </c>
      <c r="O446" s="52"/>
    </row>
    <row r="447" spans="1:16" ht="15.75">
      <c r="A447" s="53" t="s">
        <v>92</v>
      </c>
      <c r="G447" s="53"/>
      <c r="I447" s="53" t="s">
        <v>1333</v>
      </c>
      <c r="O447" s="53"/>
    </row>
    <row r="448" spans="1:16" ht="16.5">
      <c r="A448" s="894" t="s">
        <v>261</v>
      </c>
      <c r="B448" s="894"/>
      <c r="C448" s="894"/>
      <c r="D448" s="894"/>
      <c r="E448" s="894"/>
      <c r="F448" s="894"/>
      <c r="G448" s="894"/>
      <c r="H448" s="894"/>
      <c r="I448" s="894" t="s">
        <v>212</v>
      </c>
      <c r="J448" s="894"/>
      <c r="K448" s="894"/>
      <c r="L448" s="894"/>
      <c r="M448" s="894"/>
      <c r="N448" s="894"/>
      <c r="O448" s="894"/>
      <c r="P448" s="894"/>
    </row>
    <row r="449" spans="1:16" ht="14.25" customHeight="1" thickBot="1"/>
    <row r="450" spans="1:16">
      <c r="A450" s="895" t="s">
        <v>94</v>
      </c>
      <c r="B450" s="897" t="s">
        <v>95</v>
      </c>
      <c r="C450" s="897" t="s">
        <v>96</v>
      </c>
      <c r="D450" s="897" t="s">
        <v>3</v>
      </c>
      <c r="E450" s="897" t="s">
        <v>97</v>
      </c>
      <c r="F450" s="897" t="s">
        <v>98</v>
      </c>
      <c r="G450" s="897" t="s">
        <v>99</v>
      </c>
      <c r="H450" s="899"/>
      <c r="I450" s="895" t="s">
        <v>94</v>
      </c>
      <c r="J450" s="897" t="s">
        <v>95</v>
      </c>
      <c r="K450" s="897" t="s">
        <v>96</v>
      </c>
      <c r="L450" s="897" t="s">
        <v>3</v>
      </c>
      <c r="M450" s="897" t="s">
        <v>97</v>
      </c>
      <c r="N450" s="897" t="s">
        <v>98</v>
      </c>
      <c r="O450" s="897" t="s">
        <v>99</v>
      </c>
      <c r="P450" s="899"/>
    </row>
    <row r="451" spans="1:16" ht="15.75" thickBot="1">
      <c r="A451" s="896"/>
      <c r="B451" s="898"/>
      <c r="C451" s="898"/>
      <c r="D451" s="898"/>
      <c r="E451" s="898"/>
      <c r="F451" s="898"/>
      <c r="G451" s="240" t="s">
        <v>100</v>
      </c>
      <c r="H451" s="182" t="s">
        <v>101</v>
      </c>
      <c r="I451" s="896"/>
      <c r="J451" s="898"/>
      <c r="K451" s="898"/>
      <c r="L451" s="898"/>
      <c r="M451" s="898"/>
      <c r="N451" s="898"/>
      <c r="O451" s="240" t="s">
        <v>100</v>
      </c>
      <c r="P451" s="182" t="s">
        <v>101</v>
      </c>
    </row>
    <row r="452" spans="1:16" ht="14.25" customHeight="1">
      <c r="A452" s="881" t="e">
        <f>+A419+1</f>
        <v>#REF!</v>
      </c>
      <c r="B452" s="875">
        <v>42278</v>
      </c>
      <c r="C452" s="877" t="s">
        <v>267</v>
      </c>
      <c r="D452" s="881" t="s">
        <v>300</v>
      </c>
      <c r="E452" s="881" t="s">
        <v>148</v>
      </c>
      <c r="F452" s="883">
        <v>196000</v>
      </c>
      <c r="G452" s="55">
        <v>719</v>
      </c>
      <c r="H452" s="78">
        <v>160000</v>
      </c>
      <c r="I452" s="873" t="s">
        <v>1443</v>
      </c>
      <c r="J452" s="875">
        <v>42804</v>
      </c>
      <c r="K452" s="877" t="s">
        <v>747</v>
      </c>
      <c r="L452" s="881" t="s">
        <v>671</v>
      </c>
      <c r="M452" s="881" t="s">
        <v>148</v>
      </c>
      <c r="N452" s="883">
        <v>3300000</v>
      </c>
      <c r="O452" s="55">
        <v>723</v>
      </c>
      <c r="P452" s="78">
        <v>3300000</v>
      </c>
    </row>
    <row r="453" spans="1:16" ht="13.5" customHeight="1" thickBot="1">
      <c r="A453" s="882"/>
      <c r="B453" s="934"/>
      <c r="C453" s="878"/>
      <c r="D453" s="882"/>
      <c r="E453" s="882"/>
      <c r="F453" s="884"/>
      <c r="G453" s="56">
        <v>721</v>
      </c>
      <c r="H453" s="79">
        <f>+F452-H452</f>
        <v>36000</v>
      </c>
      <c r="I453" s="882"/>
      <c r="J453" s="876"/>
      <c r="K453" s="878"/>
      <c r="L453" s="882"/>
      <c r="M453" s="882"/>
      <c r="N453" s="884"/>
      <c r="O453" s="56">
        <v>721</v>
      </c>
      <c r="P453" s="79">
        <f>+N452-P452</f>
        <v>0</v>
      </c>
    </row>
    <row r="454" spans="1:16" ht="12.75" customHeight="1">
      <c r="A454" s="881" t="e">
        <f>+A452+1</f>
        <v>#REF!</v>
      </c>
      <c r="B454" s="875">
        <v>42278</v>
      </c>
      <c r="C454" s="881" t="s">
        <v>28</v>
      </c>
      <c r="D454" s="881" t="s">
        <v>301</v>
      </c>
      <c r="E454" s="881" t="s">
        <v>148</v>
      </c>
      <c r="F454" s="883">
        <v>224000</v>
      </c>
      <c r="G454" s="55">
        <v>719</v>
      </c>
      <c r="H454" s="78">
        <v>160000</v>
      </c>
      <c r="I454" s="873" t="s">
        <v>1444</v>
      </c>
      <c r="J454" s="875">
        <v>42804</v>
      </c>
      <c r="K454" s="905" t="s">
        <v>555</v>
      </c>
      <c r="L454" s="881" t="s">
        <v>671</v>
      </c>
      <c r="M454" s="881" t="s">
        <v>148</v>
      </c>
      <c r="N454" s="883">
        <v>7623000</v>
      </c>
      <c r="O454" s="55">
        <v>723</v>
      </c>
      <c r="P454" s="78">
        <v>7623000</v>
      </c>
    </row>
    <row r="455" spans="1:16" ht="13.5" customHeight="1" thickBot="1">
      <c r="A455" s="882"/>
      <c r="B455" s="934"/>
      <c r="C455" s="882"/>
      <c r="D455" s="882"/>
      <c r="E455" s="882"/>
      <c r="F455" s="884"/>
      <c r="G455" s="56">
        <v>721</v>
      </c>
      <c r="H455" s="79">
        <f>+F454-H454</f>
        <v>64000</v>
      </c>
      <c r="I455" s="882"/>
      <c r="J455" s="876"/>
      <c r="K455" s="906"/>
      <c r="L455" s="882"/>
      <c r="M455" s="882"/>
      <c r="N455" s="884"/>
      <c r="O455" s="56">
        <v>721</v>
      </c>
      <c r="P455" s="79">
        <f>+N454-P454</f>
        <v>0</v>
      </c>
    </row>
    <row r="456" spans="1:16" ht="13.5" customHeight="1">
      <c r="A456" s="881" t="e">
        <f>+A454+1</f>
        <v>#REF!</v>
      </c>
      <c r="B456" s="875">
        <v>42278</v>
      </c>
      <c r="C456" s="877" t="s">
        <v>32</v>
      </c>
      <c r="D456" s="881" t="s">
        <v>301</v>
      </c>
      <c r="E456" s="881" t="s">
        <v>148</v>
      </c>
      <c r="F456" s="883">
        <v>112000</v>
      </c>
      <c r="G456" s="55">
        <v>719</v>
      </c>
      <c r="H456" s="78">
        <v>80000</v>
      </c>
      <c r="I456" s="873" t="s">
        <v>1445</v>
      </c>
      <c r="J456" s="875">
        <v>42804</v>
      </c>
      <c r="K456" s="877" t="s">
        <v>1448</v>
      </c>
      <c r="L456" s="881" t="s">
        <v>671</v>
      </c>
      <c r="M456" s="881" t="s">
        <v>148</v>
      </c>
      <c r="N456" s="883">
        <v>3150000</v>
      </c>
      <c r="O456" s="55">
        <v>723</v>
      </c>
      <c r="P456" s="78">
        <v>3150000</v>
      </c>
    </row>
    <row r="457" spans="1:16" ht="13.5" customHeight="1" thickBot="1">
      <c r="A457" s="882"/>
      <c r="B457" s="934"/>
      <c r="C457" s="878"/>
      <c r="D457" s="882"/>
      <c r="E457" s="882"/>
      <c r="F457" s="884"/>
      <c r="G457" s="56">
        <v>721</v>
      </c>
      <c r="H457" s="79">
        <f>+F456-H456</f>
        <v>32000</v>
      </c>
      <c r="I457" s="882"/>
      <c r="J457" s="876"/>
      <c r="K457" s="878"/>
      <c r="L457" s="882"/>
      <c r="M457" s="882"/>
      <c r="N457" s="884"/>
      <c r="O457" s="56">
        <v>721</v>
      </c>
      <c r="P457" s="79">
        <f>+N456-P456</f>
        <v>0</v>
      </c>
    </row>
    <row r="458" spans="1:16" ht="12.75" customHeight="1">
      <c r="A458" s="881" t="e">
        <f>+A456+1</f>
        <v>#REF!</v>
      </c>
      <c r="B458" s="875">
        <v>42278</v>
      </c>
      <c r="C458" s="877" t="s">
        <v>111</v>
      </c>
      <c r="D458" s="881" t="s">
        <v>302</v>
      </c>
      <c r="E458" s="881" t="s">
        <v>148</v>
      </c>
      <c r="F458" s="883">
        <v>84000</v>
      </c>
      <c r="G458" s="55">
        <v>719</v>
      </c>
      <c r="H458" s="78">
        <v>60000</v>
      </c>
      <c r="I458" s="873" t="s">
        <v>1446</v>
      </c>
      <c r="J458" s="875">
        <v>42804</v>
      </c>
      <c r="K458" s="877" t="s">
        <v>31</v>
      </c>
      <c r="L458" s="881" t="s">
        <v>671</v>
      </c>
      <c r="M458" s="881" t="s">
        <v>783</v>
      </c>
      <c r="N458" s="883">
        <v>1760000</v>
      </c>
      <c r="O458" s="55">
        <v>723</v>
      </c>
      <c r="P458" s="78">
        <f>+N458</f>
        <v>1760000</v>
      </c>
    </row>
    <row r="459" spans="1:16" ht="14.25" customHeight="1" thickBot="1">
      <c r="A459" s="882"/>
      <c r="B459" s="934"/>
      <c r="C459" s="878"/>
      <c r="D459" s="882"/>
      <c r="E459" s="882"/>
      <c r="F459" s="884"/>
      <c r="G459" s="56">
        <v>721</v>
      </c>
      <c r="H459" s="79">
        <f>+F458-H458</f>
        <v>24000</v>
      </c>
      <c r="I459" s="882"/>
      <c r="J459" s="876"/>
      <c r="K459" s="878"/>
      <c r="L459" s="882"/>
      <c r="M459" s="882"/>
      <c r="N459" s="884"/>
      <c r="O459" s="56">
        <v>721</v>
      </c>
      <c r="P459" s="79">
        <f>+N458-P458</f>
        <v>0</v>
      </c>
    </row>
    <row r="460" spans="1:16" ht="13.5" customHeight="1">
      <c r="A460" s="881" t="e">
        <f>+A458+1</f>
        <v>#REF!</v>
      </c>
      <c r="B460" s="875">
        <v>42278</v>
      </c>
      <c r="C460" s="877" t="s">
        <v>272</v>
      </c>
      <c r="D460" s="881" t="s">
        <v>301</v>
      </c>
      <c r="E460" s="881" t="s">
        <v>148</v>
      </c>
      <c r="F460" s="883">
        <v>560000</v>
      </c>
      <c r="G460" s="55">
        <v>719</v>
      </c>
      <c r="H460" s="78">
        <v>400000</v>
      </c>
      <c r="I460" s="873" t="s">
        <v>1447</v>
      </c>
      <c r="J460" s="875">
        <v>42804</v>
      </c>
      <c r="K460" s="877" t="s">
        <v>1449</v>
      </c>
      <c r="L460" s="881" t="s">
        <v>671</v>
      </c>
      <c r="M460" s="881" t="s">
        <v>165</v>
      </c>
      <c r="N460" s="883">
        <v>1600000</v>
      </c>
      <c r="O460" s="55">
        <v>723</v>
      </c>
      <c r="P460" s="78">
        <f>+N460</f>
        <v>1600000</v>
      </c>
    </row>
    <row r="461" spans="1:16" ht="13.5" customHeight="1" thickBot="1">
      <c r="A461" s="882"/>
      <c r="B461" s="934"/>
      <c r="C461" s="878"/>
      <c r="D461" s="882"/>
      <c r="E461" s="882"/>
      <c r="F461" s="884"/>
      <c r="G461" s="56">
        <v>721</v>
      </c>
      <c r="H461" s="79">
        <f>+F460-H460</f>
        <v>160000</v>
      </c>
      <c r="I461" s="882"/>
      <c r="J461" s="876"/>
      <c r="K461" s="878"/>
      <c r="L461" s="882"/>
      <c r="M461" s="882"/>
      <c r="N461" s="884"/>
      <c r="O461" s="56">
        <v>721</v>
      </c>
      <c r="P461" s="79">
        <f>+N460-P460</f>
        <v>0</v>
      </c>
    </row>
    <row r="462" spans="1:16" ht="16.5" thickBot="1">
      <c r="A462" s="901" t="s">
        <v>102</v>
      </c>
      <c r="B462" s="902"/>
      <c r="C462" s="902"/>
      <c r="D462" s="902"/>
      <c r="E462" s="903"/>
      <c r="F462" s="81">
        <f>SUM(F452:F461)</f>
        <v>1176000</v>
      </c>
      <c r="I462" s="901" t="s">
        <v>102</v>
      </c>
      <c r="J462" s="902"/>
      <c r="K462" s="902"/>
      <c r="L462" s="902"/>
      <c r="M462" s="903"/>
      <c r="N462" s="81">
        <f>SUM(N452:N461)</f>
        <v>17433000</v>
      </c>
    </row>
    <row r="463" spans="1:16" ht="16.5" thickBot="1">
      <c r="A463" s="885" t="s">
        <v>103</v>
      </c>
      <c r="B463" s="886"/>
      <c r="C463" s="886"/>
      <c r="D463" s="886"/>
      <c r="E463" s="887"/>
      <c r="F463" s="69">
        <f>+F427</f>
        <v>627480225</v>
      </c>
      <c r="I463" s="885" t="s">
        <v>103</v>
      </c>
      <c r="J463" s="886"/>
      <c r="K463" s="886"/>
      <c r="L463" s="886"/>
      <c r="M463" s="887"/>
      <c r="N463" s="239">
        <f>+N427</f>
        <v>354189785</v>
      </c>
      <c r="O463" s="241" t="s">
        <v>561</v>
      </c>
      <c r="P463" s="242"/>
    </row>
    <row r="464" spans="1:16" ht="16.5" thickBot="1">
      <c r="A464" s="888" t="s">
        <v>104</v>
      </c>
      <c r="B464" s="889"/>
      <c r="C464" s="889"/>
      <c r="D464" s="889"/>
      <c r="E464" s="890"/>
      <c r="F464" s="183">
        <f>SUM(F462:F463)</f>
        <v>628656225</v>
      </c>
      <c r="I464" s="888" t="s">
        <v>104</v>
      </c>
      <c r="J464" s="889"/>
      <c r="K464" s="889"/>
      <c r="L464" s="889"/>
      <c r="M464" s="890"/>
      <c r="N464" s="183">
        <f>SUM(N462:N463)</f>
        <v>371622785</v>
      </c>
    </row>
    <row r="465" spans="1:16" ht="13.5" customHeight="1">
      <c r="A465" s="61"/>
      <c r="B465" s="61"/>
      <c r="C465" s="61"/>
      <c r="D465" s="61"/>
      <c r="E465" s="61"/>
      <c r="I465" s="61"/>
      <c r="J465" s="61"/>
      <c r="K465" s="61"/>
      <c r="L465" s="61"/>
      <c r="M465" s="61"/>
    </row>
    <row r="466" spans="1:16">
      <c r="A466" s="51" t="s">
        <v>303</v>
      </c>
      <c r="I466" s="51" t="s">
        <v>1450</v>
      </c>
    </row>
    <row r="467" spans="1:16" ht="11.25" customHeight="1">
      <c r="F467" s="139"/>
      <c r="N467" s="139"/>
    </row>
    <row r="468" spans="1:16">
      <c r="A468" s="50" t="s">
        <v>105</v>
      </c>
      <c r="D468" s="146"/>
      <c r="F468" s="139"/>
      <c r="I468" s="50" t="s">
        <v>105</v>
      </c>
      <c r="L468" s="146"/>
      <c r="N468" s="139"/>
    </row>
    <row r="469" spans="1:16" ht="13.5" customHeight="1" thickBot="1"/>
    <row r="470" spans="1:16" ht="17.25" thickBot="1">
      <c r="A470" s="891" t="s">
        <v>106</v>
      </c>
      <c r="B470" s="892"/>
      <c r="C470" s="892"/>
      <c r="D470" s="893"/>
      <c r="F470" s="50" t="s">
        <v>288</v>
      </c>
      <c r="I470" s="891" t="s">
        <v>106</v>
      </c>
      <c r="J470" s="892"/>
      <c r="K470" s="892"/>
      <c r="L470" s="893"/>
      <c r="N470" s="605" t="s">
        <v>288</v>
      </c>
      <c r="O470" s="605"/>
      <c r="P470" s="605"/>
    </row>
    <row r="471" spans="1:16" ht="28.5" customHeight="1" thickBot="1">
      <c r="A471" s="57" t="s">
        <v>100</v>
      </c>
      <c r="B471" s="58" t="s">
        <v>108</v>
      </c>
      <c r="C471" s="59" t="s">
        <v>109</v>
      </c>
      <c r="D471" s="60" t="s">
        <v>110</v>
      </c>
      <c r="I471" s="57" t="s">
        <v>100</v>
      </c>
      <c r="J471" s="58" t="s">
        <v>108</v>
      </c>
      <c r="K471" s="59" t="s">
        <v>109</v>
      </c>
      <c r="L471" s="60" t="s">
        <v>110</v>
      </c>
      <c r="N471" s="202"/>
      <c r="O471" s="202"/>
      <c r="P471" s="202"/>
    </row>
    <row r="472" spans="1:16" ht="15" customHeight="1">
      <c r="A472" s="71">
        <v>719</v>
      </c>
      <c r="B472" s="73">
        <f>+H452+H454+H456+H458+H460</f>
        <v>860000</v>
      </c>
      <c r="C472" s="74" t="e">
        <f>+D435</f>
        <v>#REF!</v>
      </c>
      <c r="D472" s="195" t="e">
        <f>+B472+C472</f>
        <v>#REF!</v>
      </c>
      <c r="I472" s="71">
        <v>719</v>
      </c>
      <c r="J472" s="73">
        <v>0</v>
      </c>
      <c r="K472" s="74">
        <f>+L435</f>
        <v>6066700</v>
      </c>
      <c r="L472" s="195">
        <f>+J472+K472</f>
        <v>6066700</v>
      </c>
      <c r="N472" s="202"/>
      <c r="O472" s="202"/>
      <c r="P472" s="202"/>
    </row>
    <row r="473" spans="1:16" ht="13.5" customHeight="1">
      <c r="A473" s="72">
        <v>721</v>
      </c>
      <c r="B473" s="80">
        <f>+H453+H455+H457+H459+H461</f>
        <v>316000</v>
      </c>
      <c r="C473" s="74" t="e">
        <f>+D436</f>
        <v>#REF!</v>
      </c>
      <c r="D473" s="195" t="e">
        <f>+B473+C473</f>
        <v>#REF!</v>
      </c>
      <c r="I473" s="72">
        <v>721</v>
      </c>
      <c r="J473" s="80">
        <f>+P453+P455+P457+P459+P461</f>
        <v>0</v>
      </c>
      <c r="K473" s="74">
        <f>+L436</f>
        <v>659550</v>
      </c>
      <c r="L473" s="195">
        <f>+J473+K473</f>
        <v>659550</v>
      </c>
      <c r="N473" s="202"/>
      <c r="O473" s="202"/>
      <c r="P473" s="202"/>
    </row>
    <row r="474" spans="1:16" ht="15" customHeight="1">
      <c r="A474" s="72">
        <v>722</v>
      </c>
      <c r="B474" s="80"/>
      <c r="C474" s="74">
        <f>+D437</f>
        <v>231207671</v>
      </c>
      <c r="D474" s="195">
        <f>+B474+C474</f>
        <v>231207671</v>
      </c>
      <c r="I474" s="72">
        <v>722</v>
      </c>
      <c r="J474" s="80"/>
      <c r="K474" s="74">
        <f>+L437</f>
        <v>0</v>
      </c>
      <c r="L474" s="195">
        <f>+J474+K474</f>
        <v>0</v>
      </c>
      <c r="N474" s="202"/>
      <c r="O474" s="202"/>
      <c r="P474" s="202"/>
    </row>
    <row r="475" spans="1:16" ht="14.25" customHeight="1">
      <c r="A475" s="72">
        <v>723</v>
      </c>
      <c r="B475" s="80"/>
      <c r="C475" s="74">
        <f>+D438</f>
        <v>321228837</v>
      </c>
      <c r="D475" s="195">
        <f>+B475+C475</f>
        <v>321228837</v>
      </c>
      <c r="F475" s="193" t="s">
        <v>289</v>
      </c>
      <c r="G475" s="175"/>
      <c r="I475" s="72">
        <v>723</v>
      </c>
      <c r="J475" s="80">
        <f>+P452+P454+P456+P458+P460</f>
        <v>17433000</v>
      </c>
      <c r="K475" s="74">
        <f>+L438</f>
        <v>347463535</v>
      </c>
      <c r="L475" s="195">
        <f>+J475+K475</f>
        <v>364896535</v>
      </c>
      <c r="N475" s="608" t="s">
        <v>1436</v>
      </c>
      <c r="O475" s="608"/>
      <c r="P475" s="608"/>
    </row>
    <row r="476" spans="1:16" ht="15" customHeight="1" thickBot="1">
      <c r="A476" s="164" t="s">
        <v>181</v>
      </c>
      <c r="B476" s="165"/>
      <c r="C476" s="74">
        <f>+D439</f>
        <v>1965625</v>
      </c>
      <c r="D476" s="196">
        <f>+B476+C476</f>
        <v>1965625</v>
      </c>
      <c r="F476" s="52"/>
      <c r="I476" s="164" t="s">
        <v>181</v>
      </c>
      <c r="J476" s="165"/>
      <c r="K476" s="74">
        <f>+L439</f>
        <v>0</v>
      </c>
      <c r="L476" s="196">
        <f>+J476+K476</f>
        <v>0</v>
      </c>
      <c r="N476" s="52"/>
    </row>
    <row r="477" spans="1:16" ht="15" customHeight="1" thickBot="1">
      <c r="A477" s="169"/>
      <c r="B477" s="170">
        <f>SUM(B472:B476)</f>
        <v>1176000</v>
      </c>
      <c r="C477" s="171" t="e">
        <f>SUM(C472:C476)</f>
        <v>#REF!</v>
      </c>
      <c r="D477" s="172" t="e">
        <f>SUM(D472:D476)</f>
        <v>#REF!</v>
      </c>
      <c r="I477" s="169"/>
      <c r="J477" s="197">
        <f>SUM(J472:J476)</f>
        <v>17433000</v>
      </c>
      <c r="K477" s="197">
        <f>SUM(K472:K476)</f>
        <v>354189785</v>
      </c>
      <c r="L477" s="198">
        <f>SUM(L472:L476)</f>
        <v>371622785</v>
      </c>
    </row>
    <row r="478" spans="1:16" ht="16.5">
      <c r="A478" s="49" t="s">
        <v>88</v>
      </c>
      <c r="B478" s="50"/>
      <c r="I478" s="49" t="s">
        <v>88</v>
      </c>
      <c r="J478" s="50"/>
    </row>
    <row r="479" spans="1:16" ht="13.5" customHeight="1">
      <c r="A479" s="51" t="s">
        <v>89</v>
      </c>
      <c r="I479" s="51" t="s">
        <v>89</v>
      </c>
    </row>
    <row r="480" spans="1:16">
      <c r="A480" s="51" t="s">
        <v>90</v>
      </c>
      <c r="I480" s="51" t="s">
        <v>90</v>
      </c>
    </row>
    <row r="481" spans="1:16">
      <c r="A481" s="51" t="s">
        <v>91</v>
      </c>
      <c r="I481" s="51" t="s">
        <v>91</v>
      </c>
    </row>
    <row r="482" spans="1:16" ht="10.5" customHeight="1">
      <c r="A482" s="50"/>
      <c r="B482" s="50"/>
      <c r="I482" s="50"/>
      <c r="J482" s="50"/>
    </row>
    <row r="483" spans="1:16" ht="16.5">
      <c r="A483" s="52" t="s">
        <v>307</v>
      </c>
      <c r="G483" s="52"/>
      <c r="I483" s="52" t="s">
        <v>637</v>
      </c>
      <c r="O483" s="52"/>
    </row>
    <row r="484" spans="1:16" ht="15.75">
      <c r="A484" s="53" t="s">
        <v>92</v>
      </c>
      <c r="G484" s="53"/>
      <c r="I484" s="53" t="s">
        <v>1333</v>
      </c>
      <c r="O484" s="53"/>
    </row>
    <row r="485" spans="1:16" ht="16.5">
      <c r="A485" s="894" t="s">
        <v>261</v>
      </c>
      <c r="B485" s="894"/>
      <c r="C485" s="894"/>
      <c r="D485" s="894"/>
      <c r="E485" s="894"/>
      <c r="F485" s="894"/>
      <c r="G485" s="894"/>
      <c r="H485" s="894"/>
      <c r="I485" s="894" t="s">
        <v>212</v>
      </c>
      <c r="J485" s="894"/>
      <c r="K485" s="894"/>
      <c r="L485" s="894"/>
      <c r="M485" s="894"/>
      <c r="N485" s="894"/>
      <c r="O485" s="894"/>
      <c r="P485" s="894"/>
    </row>
    <row r="486" spans="1:16" ht="12.75" customHeight="1" thickBot="1"/>
    <row r="487" spans="1:16">
      <c r="A487" s="895" t="s">
        <v>94</v>
      </c>
      <c r="B487" s="897" t="s">
        <v>95</v>
      </c>
      <c r="C487" s="897" t="s">
        <v>96</v>
      </c>
      <c r="D487" s="897" t="s">
        <v>3</v>
      </c>
      <c r="E487" s="897" t="s">
        <v>97</v>
      </c>
      <c r="F487" s="897" t="s">
        <v>98</v>
      </c>
      <c r="G487" s="897" t="s">
        <v>99</v>
      </c>
      <c r="H487" s="899"/>
      <c r="I487" s="895" t="s">
        <v>94</v>
      </c>
      <c r="J487" s="897" t="s">
        <v>95</v>
      </c>
      <c r="K487" s="897" t="s">
        <v>96</v>
      </c>
      <c r="L487" s="897" t="s">
        <v>3</v>
      </c>
      <c r="M487" s="897" t="s">
        <v>97</v>
      </c>
      <c r="N487" s="897" t="s">
        <v>98</v>
      </c>
      <c r="O487" s="897" t="s">
        <v>99</v>
      </c>
      <c r="P487" s="899"/>
    </row>
    <row r="488" spans="1:16" ht="15.75" thickBot="1">
      <c r="A488" s="896"/>
      <c r="B488" s="898"/>
      <c r="C488" s="898"/>
      <c r="D488" s="898"/>
      <c r="E488" s="898"/>
      <c r="F488" s="898"/>
      <c r="G488" s="240" t="s">
        <v>100</v>
      </c>
      <c r="H488" s="182" t="s">
        <v>101</v>
      </c>
      <c r="I488" s="896"/>
      <c r="J488" s="898"/>
      <c r="K488" s="898"/>
      <c r="L488" s="898"/>
      <c r="M488" s="898"/>
      <c r="N488" s="898"/>
      <c r="O488" s="240" t="s">
        <v>100</v>
      </c>
      <c r="P488" s="182" t="s">
        <v>101</v>
      </c>
    </row>
    <row r="489" spans="1:16" ht="13.5" customHeight="1">
      <c r="A489" s="881" t="e">
        <f>+A460+1</f>
        <v>#REF!</v>
      </c>
      <c r="B489" s="875">
        <v>42278</v>
      </c>
      <c r="C489" s="877" t="s">
        <v>272</v>
      </c>
      <c r="D489" s="881" t="s">
        <v>305</v>
      </c>
      <c r="E489" s="881" t="s">
        <v>148</v>
      </c>
      <c r="F489" s="883">
        <v>100000</v>
      </c>
      <c r="G489" s="55">
        <v>719</v>
      </c>
      <c r="H489" s="78">
        <v>100000</v>
      </c>
      <c r="I489" s="873" t="s">
        <v>1451</v>
      </c>
      <c r="J489" s="875">
        <v>42808</v>
      </c>
      <c r="K489" s="877" t="s">
        <v>682</v>
      </c>
      <c r="L489" s="881" t="s">
        <v>671</v>
      </c>
      <c r="M489" s="881" t="s">
        <v>148</v>
      </c>
      <c r="N489" s="883">
        <v>2142000</v>
      </c>
      <c r="O489" s="55">
        <v>723</v>
      </c>
      <c r="P489" s="78">
        <v>2142000</v>
      </c>
    </row>
    <row r="490" spans="1:16" ht="14.25" customHeight="1" thickBot="1">
      <c r="A490" s="882"/>
      <c r="B490" s="934"/>
      <c r="C490" s="878"/>
      <c r="D490" s="882"/>
      <c r="E490" s="882"/>
      <c r="F490" s="884"/>
      <c r="G490" s="56">
        <v>721</v>
      </c>
      <c r="H490" s="79">
        <f>+F489-H489</f>
        <v>0</v>
      </c>
      <c r="I490" s="882"/>
      <c r="J490" s="876"/>
      <c r="K490" s="878"/>
      <c r="L490" s="882"/>
      <c r="M490" s="882"/>
      <c r="N490" s="884"/>
      <c r="O490" s="56">
        <v>721</v>
      </c>
      <c r="P490" s="79">
        <f>+N489-P489</f>
        <v>0</v>
      </c>
    </row>
    <row r="491" spans="1:16" ht="15" customHeight="1">
      <c r="A491" s="881" t="e">
        <f>+A489+1</f>
        <v>#REF!</v>
      </c>
      <c r="B491" s="875">
        <v>42278</v>
      </c>
      <c r="C491" s="881" t="s">
        <v>28</v>
      </c>
      <c r="D491" s="881" t="s">
        <v>304</v>
      </c>
      <c r="E491" s="881" t="s">
        <v>115</v>
      </c>
      <c r="F491" s="883">
        <v>80000</v>
      </c>
      <c r="G491" s="55">
        <v>719</v>
      </c>
      <c r="H491" s="78">
        <v>80000</v>
      </c>
      <c r="I491" s="873" t="s">
        <v>1452</v>
      </c>
      <c r="J491" s="875">
        <v>42808</v>
      </c>
      <c r="K491" s="877" t="s">
        <v>683</v>
      </c>
      <c r="L491" s="881" t="s">
        <v>671</v>
      </c>
      <c r="M491" s="881" t="s">
        <v>148</v>
      </c>
      <c r="N491" s="883">
        <v>3150000</v>
      </c>
      <c r="O491" s="55">
        <v>723</v>
      </c>
      <c r="P491" s="78">
        <v>3150000</v>
      </c>
    </row>
    <row r="492" spans="1:16" ht="14.25" customHeight="1" thickBot="1">
      <c r="A492" s="882"/>
      <c r="B492" s="934"/>
      <c r="C492" s="882"/>
      <c r="D492" s="882"/>
      <c r="E492" s="882"/>
      <c r="F492" s="884"/>
      <c r="G492" s="56">
        <v>721</v>
      </c>
      <c r="H492" s="79">
        <f>+F491-H491</f>
        <v>0</v>
      </c>
      <c r="I492" s="882"/>
      <c r="J492" s="876"/>
      <c r="K492" s="878"/>
      <c r="L492" s="882"/>
      <c r="M492" s="882"/>
      <c r="N492" s="884"/>
      <c r="O492" s="56">
        <v>721</v>
      </c>
      <c r="P492" s="79">
        <f>+N491-P491</f>
        <v>0</v>
      </c>
    </row>
    <row r="493" spans="1:16" ht="14.25" customHeight="1">
      <c r="A493" s="881" t="e">
        <f>+A491+1</f>
        <v>#REF!</v>
      </c>
      <c r="B493" s="875">
        <v>42278</v>
      </c>
      <c r="C493" s="877" t="s">
        <v>120</v>
      </c>
      <c r="D493" s="881" t="s">
        <v>304</v>
      </c>
      <c r="E493" s="881" t="s">
        <v>115</v>
      </c>
      <c r="F493" s="883">
        <v>80000</v>
      </c>
      <c r="G493" s="55">
        <v>719</v>
      </c>
      <c r="H493" s="78">
        <v>80000</v>
      </c>
      <c r="I493" s="873" t="s">
        <v>1453</v>
      </c>
      <c r="J493" s="875">
        <v>42808</v>
      </c>
      <c r="K493" s="877" t="s">
        <v>684</v>
      </c>
      <c r="L493" s="881" t="s">
        <v>671</v>
      </c>
      <c r="M493" s="881" t="s">
        <v>148</v>
      </c>
      <c r="N493" s="883">
        <v>4410000</v>
      </c>
      <c r="O493" s="55">
        <v>723</v>
      </c>
      <c r="P493" s="78">
        <v>4410000</v>
      </c>
    </row>
    <row r="494" spans="1:16" ht="13.5" customHeight="1" thickBot="1">
      <c r="A494" s="882"/>
      <c r="B494" s="934"/>
      <c r="C494" s="878"/>
      <c r="D494" s="882"/>
      <c r="E494" s="882"/>
      <c r="F494" s="884"/>
      <c r="G494" s="56">
        <v>721</v>
      </c>
      <c r="H494" s="79">
        <f>+F493-H493</f>
        <v>0</v>
      </c>
      <c r="I494" s="882"/>
      <c r="J494" s="876"/>
      <c r="K494" s="878"/>
      <c r="L494" s="882"/>
      <c r="M494" s="882"/>
      <c r="N494" s="884"/>
      <c r="O494" s="56">
        <v>721</v>
      </c>
      <c r="P494" s="79">
        <f>+N493-P493</f>
        <v>0</v>
      </c>
    </row>
    <row r="495" spans="1:16" ht="14.25" customHeight="1">
      <c r="A495" s="881"/>
      <c r="B495" s="875"/>
      <c r="C495" s="877"/>
      <c r="D495" s="881"/>
      <c r="E495" s="881"/>
      <c r="F495" s="883"/>
      <c r="G495" s="55">
        <v>719</v>
      </c>
      <c r="H495" s="78"/>
      <c r="I495" s="873" t="s">
        <v>1454</v>
      </c>
      <c r="J495" s="875">
        <v>42808</v>
      </c>
      <c r="K495" s="877" t="s">
        <v>685</v>
      </c>
      <c r="L495" s="881" t="s">
        <v>671</v>
      </c>
      <c r="M495" s="881" t="s">
        <v>148</v>
      </c>
      <c r="N495" s="883">
        <v>3150000</v>
      </c>
      <c r="O495" s="55">
        <v>723</v>
      </c>
      <c r="P495" s="78">
        <v>3150000</v>
      </c>
    </row>
    <row r="496" spans="1:16" ht="12.75" customHeight="1" thickBot="1">
      <c r="A496" s="882"/>
      <c r="B496" s="934"/>
      <c r="C496" s="878"/>
      <c r="D496" s="882"/>
      <c r="E496" s="882"/>
      <c r="F496" s="884"/>
      <c r="G496" s="56">
        <v>721</v>
      </c>
      <c r="H496" s="79">
        <f>+F495-H495</f>
        <v>0</v>
      </c>
      <c r="I496" s="882"/>
      <c r="J496" s="876"/>
      <c r="K496" s="878"/>
      <c r="L496" s="882"/>
      <c r="M496" s="882"/>
      <c r="N496" s="884"/>
      <c r="O496" s="56">
        <v>721</v>
      </c>
      <c r="P496" s="79">
        <f>+N495-P495</f>
        <v>0</v>
      </c>
    </row>
    <row r="497" spans="1:16" ht="15" customHeight="1">
      <c r="A497" s="881"/>
      <c r="B497" s="875"/>
      <c r="C497" s="877"/>
      <c r="D497" s="881"/>
      <c r="E497" s="881"/>
      <c r="F497" s="883"/>
      <c r="G497" s="55">
        <v>719</v>
      </c>
      <c r="H497" s="78"/>
      <c r="I497" s="873" t="s">
        <v>1455</v>
      </c>
      <c r="J497" s="875">
        <v>42808</v>
      </c>
      <c r="K497" s="877" t="s">
        <v>686</v>
      </c>
      <c r="L497" s="881" t="s">
        <v>671</v>
      </c>
      <c r="M497" s="881" t="s">
        <v>148</v>
      </c>
      <c r="N497" s="883">
        <v>46252500</v>
      </c>
      <c r="O497" s="55">
        <v>723</v>
      </c>
      <c r="P497" s="78">
        <v>46252500</v>
      </c>
    </row>
    <row r="498" spans="1:16" ht="14.25" customHeight="1" thickBot="1">
      <c r="A498" s="882"/>
      <c r="B498" s="934"/>
      <c r="C498" s="878"/>
      <c r="D498" s="882"/>
      <c r="E498" s="882"/>
      <c r="F498" s="884"/>
      <c r="G498" s="56">
        <v>721</v>
      </c>
      <c r="H498" s="79">
        <f>+F497-H497</f>
        <v>0</v>
      </c>
      <c r="I498" s="882"/>
      <c r="J498" s="876"/>
      <c r="K498" s="878"/>
      <c r="L498" s="882"/>
      <c r="M498" s="882"/>
      <c r="N498" s="884"/>
      <c r="O498" s="56">
        <v>721</v>
      </c>
      <c r="P498" s="79">
        <f>+N497-P497</f>
        <v>0</v>
      </c>
    </row>
    <row r="499" spans="1:16" ht="16.5" thickBot="1">
      <c r="A499" s="901" t="s">
        <v>102</v>
      </c>
      <c r="B499" s="902"/>
      <c r="C499" s="902"/>
      <c r="D499" s="902"/>
      <c r="E499" s="903"/>
      <c r="F499" s="81">
        <f>SUM(F489:F498)</f>
        <v>260000</v>
      </c>
      <c r="I499" s="901" t="s">
        <v>102</v>
      </c>
      <c r="J499" s="902"/>
      <c r="K499" s="902"/>
      <c r="L499" s="902"/>
      <c r="M499" s="903"/>
      <c r="N499" s="81">
        <f>SUM(N489:N498)</f>
        <v>59104500</v>
      </c>
    </row>
    <row r="500" spans="1:16" ht="16.5" thickBot="1">
      <c r="A500" s="885" t="s">
        <v>103</v>
      </c>
      <c r="B500" s="886"/>
      <c r="C500" s="886"/>
      <c r="D500" s="886"/>
      <c r="E500" s="887"/>
      <c r="F500" s="69">
        <f>+F464</f>
        <v>628656225</v>
      </c>
      <c r="I500" s="885" t="s">
        <v>103</v>
      </c>
      <c r="J500" s="886"/>
      <c r="K500" s="886"/>
      <c r="L500" s="886"/>
      <c r="M500" s="887"/>
      <c r="N500" s="239">
        <f>+N464</f>
        <v>371622785</v>
      </c>
      <c r="O500" s="241" t="s">
        <v>561</v>
      </c>
      <c r="P500" s="242"/>
    </row>
    <row r="501" spans="1:16" ht="16.5" thickBot="1">
      <c r="A501" s="888" t="s">
        <v>104</v>
      </c>
      <c r="B501" s="889"/>
      <c r="C501" s="889"/>
      <c r="D501" s="889"/>
      <c r="E501" s="890"/>
      <c r="F501" s="183">
        <f>SUM(F499:F500)</f>
        <v>628916225</v>
      </c>
      <c r="I501" s="888" t="s">
        <v>104</v>
      </c>
      <c r="J501" s="889"/>
      <c r="K501" s="889"/>
      <c r="L501" s="889"/>
      <c r="M501" s="890"/>
      <c r="N501" s="183">
        <f>SUM(N499:N500)</f>
        <v>430727285</v>
      </c>
    </row>
    <row r="502" spans="1:16" ht="13.5" customHeight="1">
      <c r="A502" s="61"/>
      <c r="B502" s="61"/>
      <c r="C502" s="61"/>
      <c r="D502" s="61"/>
      <c r="E502" s="61"/>
      <c r="I502" s="61"/>
      <c r="J502" s="61"/>
      <c r="K502" s="61"/>
      <c r="L502" s="61"/>
      <c r="M502" s="61"/>
    </row>
    <row r="503" spans="1:16">
      <c r="A503" s="51" t="s">
        <v>306</v>
      </c>
      <c r="I503" s="51" t="s">
        <v>687</v>
      </c>
    </row>
    <row r="504" spans="1:16" ht="9.75" customHeight="1">
      <c r="F504" s="139"/>
      <c r="N504" s="139"/>
    </row>
    <row r="505" spans="1:16">
      <c r="A505" s="50" t="s">
        <v>105</v>
      </c>
      <c r="D505" s="146"/>
      <c r="F505" s="139"/>
      <c r="I505" s="50" t="s">
        <v>105</v>
      </c>
      <c r="L505" s="146"/>
      <c r="N505" s="139"/>
    </row>
    <row r="506" spans="1:16" ht="12.75" customHeight="1" thickBot="1"/>
    <row r="507" spans="1:16" ht="16.5" customHeight="1" thickBot="1">
      <c r="A507" s="891" t="s">
        <v>106</v>
      </c>
      <c r="B507" s="892"/>
      <c r="C507" s="892"/>
      <c r="D507" s="893"/>
      <c r="F507" s="50" t="s">
        <v>288</v>
      </c>
      <c r="I507" s="891" t="s">
        <v>106</v>
      </c>
      <c r="J507" s="892"/>
      <c r="K507" s="892"/>
      <c r="L507" s="893"/>
      <c r="N507" s="605" t="s">
        <v>288</v>
      </c>
      <c r="O507" s="605"/>
      <c r="P507" s="605"/>
    </row>
    <row r="508" spans="1:16" ht="27" customHeight="1" thickBot="1">
      <c r="A508" s="57" t="s">
        <v>100</v>
      </c>
      <c r="B508" s="58" t="s">
        <v>108</v>
      </c>
      <c r="C508" s="59" t="s">
        <v>109</v>
      </c>
      <c r="D508" s="60" t="s">
        <v>110</v>
      </c>
      <c r="I508" s="57" t="s">
        <v>100</v>
      </c>
      <c r="J508" s="58" t="s">
        <v>108</v>
      </c>
      <c r="K508" s="59" t="s">
        <v>109</v>
      </c>
      <c r="L508" s="60" t="s">
        <v>110</v>
      </c>
      <c r="N508" s="202"/>
      <c r="O508" s="202"/>
      <c r="P508" s="202"/>
    </row>
    <row r="509" spans="1:16" ht="13.5" customHeight="1">
      <c r="A509" s="71">
        <v>719</v>
      </c>
      <c r="B509" s="73">
        <f>+H489+H491+H493+H495+H497</f>
        <v>260000</v>
      </c>
      <c r="C509" s="74" t="e">
        <f>+D472</f>
        <v>#REF!</v>
      </c>
      <c r="D509" s="195" t="e">
        <f>+B509+C509</f>
        <v>#REF!</v>
      </c>
      <c r="I509" s="71">
        <v>719</v>
      </c>
      <c r="J509" s="73">
        <v>0</v>
      </c>
      <c r="K509" s="74">
        <f>+L472</f>
        <v>6066700</v>
      </c>
      <c r="L509" s="195">
        <f>+J509+K509</f>
        <v>6066700</v>
      </c>
      <c r="N509" s="202"/>
      <c r="O509" s="202"/>
      <c r="P509" s="202"/>
    </row>
    <row r="510" spans="1:16" ht="14.25" customHeight="1">
      <c r="A510" s="72">
        <v>721</v>
      </c>
      <c r="B510" s="80">
        <f>+H490+H492+H494+H496+H498</f>
        <v>0</v>
      </c>
      <c r="C510" s="74" t="e">
        <f>+D473</f>
        <v>#REF!</v>
      </c>
      <c r="D510" s="195" t="e">
        <f>+B510+C510</f>
        <v>#REF!</v>
      </c>
      <c r="I510" s="72">
        <v>721</v>
      </c>
      <c r="J510" s="80">
        <v>0</v>
      </c>
      <c r="K510" s="74">
        <f>+L473</f>
        <v>659550</v>
      </c>
      <c r="L510" s="195">
        <f>+J510+K510</f>
        <v>659550</v>
      </c>
      <c r="N510" s="202"/>
      <c r="O510" s="202"/>
      <c r="P510" s="202"/>
    </row>
    <row r="511" spans="1:16" ht="14.25" customHeight="1">
      <c r="A511" s="72">
        <v>722</v>
      </c>
      <c r="B511" s="80"/>
      <c r="C511" s="74">
        <f>+D474</f>
        <v>231207671</v>
      </c>
      <c r="D511" s="195">
        <f>+B511+C511</f>
        <v>231207671</v>
      </c>
      <c r="I511" s="72">
        <v>722</v>
      </c>
      <c r="J511" s="80"/>
      <c r="K511" s="74">
        <f>+L474</f>
        <v>0</v>
      </c>
      <c r="L511" s="195">
        <f>+J511+K511</f>
        <v>0</v>
      </c>
      <c r="N511" s="202"/>
      <c r="O511" s="202"/>
      <c r="P511" s="202"/>
    </row>
    <row r="512" spans="1:16" ht="14.25" customHeight="1">
      <c r="A512" s="72">
        <v>723</v>
      </c>
      <c r="B512" s="80"/>
      <c r="C512" s="74">
        <f>+D475</f>
        <v>321228837</v>
      </c>
      <c r="D512" s="195">
        <f>+B512+C512</f>
        <v>321228837</v>
      </c>
      <c r="F512" s="193" t="s">
        <v>289</v>
      </c>
      <c r="G512" s="175"/>
      <c r="I512" s="72">
        <v>723</v>
      </c>
      <c r="J512" s="80">
        <f>+P489+P491+P493+P495+P497</f>
        <v>59104500</v>
      </c>
      <c r="K512" s="74">
        <f>+L475</f>
        <v>364896535</v>
      </c>
      <c r="L512" s="195">
        <f>+J512+K512</f>
        <v>424001035</v>
      </c>
      <c r="N512" s="608" t="s">
        <v>1436</v>
      </c>
      <c r="O512" s="608"/>
      <c r="P512" s="608"/>
    </row>
    <row r="513" spans="1:16" ht="15.75" customHeight="1" thickBot="1">
      <c r="A513" s="164" t="s">
        <v>181</v>
      </c>
      <c r="B513" s="165"/>
      <c r="C513" s="74">
        <f>+D476</f>
        <v>1965625</v>
      </c>
      <c r="D513" s="196">
        <f>+B513+C513</f>
        <v>1965625</v>
      </c>
      <c r="F513" s="52"/>
      <c r="I513" s="164" t="s">
        <v>181</v>
      </c>
      <c r="J513" s="165"/>
      <c r="K513" s="74">
        <f>+L476</f>
        <v>0</v>
      </c>
      <c r="L513" s="196">
        <f>+J513+K513</f>
        <v>0</v>
      </c>
      <c r="N513" s="52"/>
    </row>
    <row r="514" spans="1:16" ht="15.75" customHeight="1" thickBot="1">
      <c r="A514" s="169"/>
      <c r="B514" s="170">
        <f>SUM(B509:B513)</f>
        <v>260000</v>
      </c>
      <c r="C514" s="171" t="e">
        <f>SUM(C509:C513)</f>
        <v>#REF!</v>
      </c>
      <c r="D514" s="172" t="e">
        <f>SUM(D509:D513)</f>
        <v>#REF!</v>
      </c>
      <c r="I514" s="169"/>
      <c r="J514" s="197">
        <f>SUM(J509:J513)</f>
        <v>59104500</v>
      </c>
      <c r="K514" s="197">
        <f>SUM(K509:K513)</f>
        <v>371622785</v>
      </c>
      <c r="L514" s="198">
        <f>SUM(L509:L513)</f>
        <v>430727285</v>
      </c>
    </row>
    <row r="515" spans="1:16" ht="16.5">
      <c r="A515" s="49" t="s">
        <v>88</v>
      </c>
      <c r="B515" s="50"/>
      <c r="I515" s="49" t="s">
        <v>88</v>
      </c>
      <c r="J515" s="50"/>
    </row>
    <row r="516" spans="1:16">
      <c r="A516" s="51" t="s">
        <v>89</v>
      </c>
      <c r="I516" s="51" t="s">
        <v>89</v>
      </c>
    </row>
    <row r="517" spans="1:16">
      <c r="A517" s="51" t="s">
        <v>90</v>
      </c>
      <c r="I517" s="51" t="s">
        <v>90</v>
      </c>
    </row>
    <row r="518" spans="1:16">
      <c r="A518" s="51" t="s">
        <v>91</v>
      </c>
      <c r="I518" s="51" t="s">
        <v>91</v>
      </c>
    </row>
    <row r="519" spans="1:16" ht="11.25" customHeight="1">
      <c r="A519" s="50"/>
      <c r="B519" s="50"/>
      <c r="I519" s="50"/>
      <c r="J519" s="50"/>
    </row>
    <row r="520" spans="1:16" ht="16.5">
      <c r="A520" s="52" t="s">
        <v>308</v>
      </c>
      <c r="G520" s="52"/>
      <c r="I520" s="52" t="s">
        <v>638</v>
      </c>
      <c r="O520" s="52"/>
    </row>
    <row r="521" spans="1:16" ht="15.75">
      <c r="A521" s="53" t="s">
        <v>92</v>
      </c>
      <c r="G521" s="53"/>
      <c r="I521" s="53" t="s">
        <v>535</v>
      </c>
      <c r="O521" s="53"/>
    </row>
    <row r="522" spans="1:16" ht="16.5">
      <c r="A522" s="894" t="s">
        <v>261</v>
      </c>
      <c r="B522" s="894"/>
      <c r="C522" s="894"/>
      <c r="D522" s="894"/>
      <c r="E522" s="894"/>
      <c r="F522" s="894"/>
      <c r="G522" s="894"/>
      <c r="H522" s="894"/>
      <c r="I522" s="894" t="s">
        <v>212</v>
      </c>
      <c r="J522" s="894"/>
      <c r="K522" s="894"/>
      <c r="L522" s="894"/>
      <c r="M522" s="894"/>
      <c r="N522" s="894"/>
      <c r="O522" s="894"/>
      <c r="P522" s="894"/>
    </row>
    <row r="523" spans="1:16" ht="15.75" thickBot="1"/>
    <row r="524" spans="1:16">
      <c r="A524" s="895" t="s">
        <v>94</v>
      </c>
      <c r="B524" s="897" t="s">
        <v>95</v>
      </c>
      <c r="C524" s="897" t="s">
        <v>96</v>
      </c>
      <c r="D524" s="897" t="s">
        <v>3</v>
      </c>
      <c r="E524" s="897" t="s">
        <v>97</v>
      </c>
      <c r="F524" s="897" t="s">
        <v>98</v>
      </c>
      <c r="G524" s="897" t="s">
        <v>99</v>
      </c>
      <c r="H524" s="899"/>
      <c r="I524" s="895" t="s">
        <v>94</v>
      </c>
      <c r="J524" s="897" t="s">
        <v>95</v>
      </c>
      <c r="K524" s="897" t="s">
        <v>96</v>
      </c>
      <c r="L524" s="897" t="s">
        <v>3</v>
      </c>
      <c r="M524" s="897" t="s">
        <v>97</v>
      </c>
      <c r="N524" s="897" t="s">
        <v>98</v>
      </c>
      <c r="O524" s="897" t="s">
        <v>99</v>
      </c>
      <c r="P524" s="899"/>
    </row>
    <row r="525" spans="1:16" ht="15.75" thickBot="1">
      <c r="A525" s="896"/>
      <c r="B525" s="898"/>
      <c r="C525" s="898"/>
      <c r="D525" s="898"/>
      <c r="E525" s="898"/>
      <c r="F525" s="898"/>
      <c r="G525" s="240" t="s">
        <v>100</v>
      </c>
      <c r="H525" s="182" t="s">
        <v>101</v>
      </c>
      <c r="I525" s="896"/>
      <c r="J525" s="898"/>
      <c r="K525" s="898"/>
      <c r="L525" s="898"/>
      <c r="M525" s="898"/>
      <c r="N525" s="898"/>
      <c r="O525" s="240" t="s">
        <v>100</v>
      </c>
      <c r="P525" s="182" t="s">
        <v>101</v>
      </c>
    </row>
    <row r="526" spans="1:16" ht="15" customHeight="1">
      <c r="A526" s="881" t="e">
        <f>+A493+1</f>
        <v>#REF!</v>
      </c>
      <c r="B526" s="875">
        <v>42286</v>
      </c>
      <c r="C526" s="877" t="s">
        <v>267</v>
      </c>
      <c r="D526" s="881" t="s">
        <v>310</v>
      </c>
      <c r="E526" s="881" t="s">
        <v>148</v>
      </c>
      <c r="F526" s="883">
        <v>224000</v>
      </c>
      <c r="G526" s="55">
        <v>719</v>
      </c>
      <c r="H526" s="78">
        <v>160000</v>
      </c>
      <c r="I526" s="873" t="s">
        <v>656</v>
      </c>
      <c r="J526" s="875">
        <v>42422</v>
      </c>
      <c r="K526" s="877" t="s">
        <v>688</v>
      </c>
      <c r="L526" s="881" t="s">
        <v>671</v>
      </c>
      <c r="M526" s="881" t="s">
        <v>148</v>
      </c>
      <c r="N526" s="883">
        <v>630000</v>
      </c>
      <c r="O526" s="55">
        <v>723</v>
      </c>
      <c r="P526" s="78">
        <v>630000</v>
      </c>
    </row>
    <row r="527" spans="1:16" ht="15.75" customHeight="1" thickBot="1">
      <c r="A527" s="882"/>
      <c r="B527" s="934"/>
      <c r="C527" s="878"/>
      <c r="D527" s="882"/>
      <c r="E527" s="882"/>
      <c r="F527" s="884"/>
      <c r="G527" s="56">
        <v>721</v>
      </c>
      <c r="H527" s="79">
        <f>+F526-H526</f>
        <v>64000</v>
      </c>
      <c r="I527" s="882"/>
      <c r="J527" s="876"/>
      <c r="K527" s="878"/>
      <c r="L527" s="882"/>
      <c r="M527" s="882"/>
      <c r="N527" s="884"/>
      <c r="O527" s="56">
        <v>721</v>
      </c>
      <c r="P527" s="79">
        <f>+N526-P526</f>
        <v>0</v>
      </c>
    </row>
    <row r="528" spans="1:16" ht="15" customHeight="1">
      <c r="A528" s="881" t="e">
        <f>+A526+1</f>
        <v>#REF!</v>
      </c>
      <c r="B528" s="875">
        <v>42286</v>
      </c>
      <c r="C528" s="881" t="s">
        <v>28</v>
      </c>
      <c r="D528" s="881" t="s">
        <v>310</v>
      </c>
      <c r="E528" s="881" t="s">
        <v>148</v>
      </c>
      <c r="F528" s="883">
        <v>392000</v>
      </c>
      <c r="G528" s="55">
        <v>719</v>
      </c>
      <c r="H528" s="78">
        <v>280000</v>
      </c>
      <c r="I528" s="873" t="s">
        <v>657</v>
      </c>
      <c r="J528" s="875">
        <v>42422</v>
      </c>
      <c r="K528" s="881" t="s">
        <v>28</v>
      </c>
      <c r="L528" s="881" t="s">
        <v>671</v>
      </c>
      <c r="M528" s="881" t="s">
        <v>148</v>
      </c>
      <c r="N528" s="883">
        <v>1544550</v>
      </c>
      <c r="O528" s="55">
        <v>723</v>
      </c>
      <c r="P528" s="78">
        <v>1544550</v>
      </c>
    </row>
    <row r="529" spans="1:16" ht="15.75" customHeight="1" thickBot="1">
      <c r="A529" s="882"/>
      <c r="B529" s="934"/>
      <c r="C529" s="882"/>
      <c r="D529" s="882"/>
      <c r="E529" s="882"/>
      <c r="F529" s="884"/>
      <c r="G529" s="56">
        <v>721</v>
      </c>
      <c r="H529" s="79">
        <f>+F528-H528</f>
        <v>112000</v>
      </c>
      <c r="I529" s="882"/>
      <c r="J529" s="876"/>
      <c r="K529" s="882"/>
      <c r="L529" s="882"/>
      <c r="M529" s="882"/>
      <c r="N529" s="884"/>
      <c r="O529" s="56">
        <v>721</v>
      </c>
      <c r="P529" s="79">
        <f>+N528-P528</f>
        <v>0</v>
      </c>
    </row>
    <row r="530" spans="1:16" ht="15" customHeight="1">
      <c r="A530" s="881" t="e">
        <f>+A528+1</f>
        <v>#REF!</v>
      </c>
      <c r="B530" s="875">
        <v>42286</v>
      </c>
      <c r="C530" s="877" t="s">
        <v>32</v>
      </c>
      <c r="D530" s="881" t="s">
        <v>310</v>
      </c>
      <c r="E530" s="881" t="s">
        <v>148</v>
      </c>
      <c r="F530" s="883">
        <v>140000</v>
      </c>
      <c r="G530" s="55">
        <v>719</v>
      </c>
      <c r="H530" s="78">
        <v>100000</v>
      </c>
      <c r="I530" s="873" t="s">
        <v>658</v>
      </c>
      <c r="J530" s="875">
        <v>42422</v>
      </c>
      <c r="K530" s="877" t="s">
        <v>689</v>
      </c>
      <c r="L530" s="881" t="s">
        <v>671</v>
      </c>
      <c r="M530" s="881" t="s">
        <v>148</v>
      </c>
      <c r="N530" s="883">
        <v>12600000</v>
      </c>
      <c r="O530" s="55">
        <v>723</v>
      </c>
      <c r="P530" s="78">
        <v>12600000</v>
      </c>
    </row>
    <row r="531" spans="1:16" ht="15.75" customHeight="1" thickBot="1">
      <c r="A531" s="882"/>
      <c r="B531" s="934"/>
      <c r="C531" s="878"/>
      <c r="D531" s="882"/>
      <c r="E531" s="882"/>
      <c r="F531" s="884"/>
      <c r="G531" s="56">
        <v>721</v>
      </c>
      <c r="H531" s="79">
        <f>+F530-H530</f>
        <v>40000</v>
      </c>
      <c r="I531" s="882"/>
      <c r="J531" s="876"/>
      <c r="K531" s="878"/>
      <c r="L531" s="882"/>
      <c r="M531" s="882"/>
      <c r="N531" s="884"/>
      <c r="O531" s="56">
        <v>721</v>
      </c>
      <c r="P531" s="79">
        <f>+N530-P530</f>
        <v>0</v>
      </c>
    </row>
    <row r="532" spans="1:16" ht="15" customHeight="1">
      <c r="A532" s="881" t="e">
        <f>+A530+1</f>
        <v>#REF!</v>
      </c>
      <c r="B532" s="875">
        <v>42286</v>
      </c>
      <c r="C532" s="877" t="s">
        <v>111</v>
      </c>
      <c r="D532" s="881" t="s">
        <v>311</v>
      </c>
      <c r="E532" s="881" t="s">
        <v>148</v>
      </c>
      <c r="F532" s="883">
        <v>84000</v>
      </c>
      <c r="G532" s="55">
        <v>719</v>
      </c>
      <c r="H532" s="78">
        <v>60000</v>
      </c>
      <c r="I532" s="873" t="s">
        <v>659</v>
      </c>
      <c r="J532" s="875">
        <v>42422</v>
      </c>
      <c r="K532" s="877" t="s">
        <v>690</v>
      </c>
      <c r="L532" s="881" t="s">
        <v>671</v>
      </c>
      <c r="M532" s="881" t="s">
        <v>148</v>
      </c>
      <c r="N532" s="883">
        <v>17995950</v>
      </c>
      <c r="O532" s="55">
        <v>723</v>
      </c>
      <c r="P532" s="78">
        <v>17995950</v>
      </c>
    </row>
    <row r="533" spans="1:16" ht="15.75" customHeight="1" thickBot="1">
      <c r="A533" s="882"/>
      <c r="B533" s="934"/>
      <c r="C533" s="878"/>
      <c r="D533" s="882"/>
      <c r="E533" s="882"/>
      <c r="F533" s="884"/>
      <c r="G533" s="56">
        <v>721</v>
      </c>
      <c r="H533" s="79">
        <f>+F532-H532</f>
        <v>24000</v>
      </c>
      <c r="I533" s="882"/>
      <c r="J533" s="876"/>
      <c r="K533" s="878"/>
      <c r="L533" s="882"/>
      <c r="M533" s="882"/>
      <c r="N533" s="884"/>
      <c r="O533" s="56">
        <v>721</v>
      </c>
      <c r="P533" s="79">
        <f>+N532-P532</f>
        <v>0</v>
      </c>
    </row>
    <row r="534" spans="1:16" ht="15" customHeight="1">
      <c r="A534" s="881" t="e">
        <f>+A532+1</f>
        <v>#REF!</v>
      </c>
      <c r="B534" s="875">
        <v>42286</v>
      </c>
      <c r="C534" s="877" t="s">
        <v>272</v>
      </c>
      <c r="D534" s="881" t="s">
        <v>310</v>
      </c>
      <c r="E534" s="881" t="s">
        <v>148</v>
      </c>
      <c r="F534" s="883">
        <v>868000</v>
      </c>
      <c r="G534" s="55">
        <v>719</v>
      </c>
      <c r="H534" s="78">
        <v>620000</v>
      </c>
      <c r="I534" s="873" t="s">
        <v>660</v>
      </c>
      <c r="J534" s="875">
        <v>42422</v>
      </c>
      <c r="K534" s="877" t="s">
        <v>691</v>
      </c>
      <c r="L534" s="881" t="s">
        <v>671</v>
      </c>
      <c r="M534" s="881" t="s">
        <v>148</v>
      </c>
      <c r="N534" s="883">
        <v>1260000</v>
      </c>
      <c r="O534" s="55">
        <v>723</v>
      </c>
      <c r="P534" s="78">
        <v>1260000</v>
      </c>
    </row>
    <row r="535" spans="1:16" ht="11.25" customHeight="1" thickBot="1">
      <c r="A535" s="882"/>
      <c r="B535" s="934"/>
      <c r="C535" s="878"/>
      <c r="D535" s="882"/>
      <c r="E535" s="882"/>
      <c r="F535" s="884"/>
      <c r="G535" s="56">
        <v>721</v>
      </c>
      <c r="H535" s="79">
        <f>+F534-H534</f>
        <v>248000</v>
      </c>
      <c r="I535" s="882"/>
      <c r="J535" s="876"/>
      <c r="K535" s="878"/>
      <c r="L535" s="882"/>
      <c r="M535" s="882"/>
      <c r="N535" s="884"/>
      <c r="O535" s="56">
        <v>721</v>
      </c>
      <c r="P535" s="79">
        <f>+N534-P534</f>
        <v>0</v>
      </c>
    </row>
    <row r="536" spans="1:16" ht="16.5" thickBot="1">
      <c r="A536" s="901" t="s">
        <v>102</v>
      </c>
      <c r="B536" s="902"/>
      <c r="C536" s="902"/>
      <c r="D536" s="902"/>
      <c r="E536" s="903"/>
      <c r="F536" s="81">
        <f>SUM(F526:F535)</f>
        <v>1708000</v>
      </c>
      <c r="I536" s="901" t="s">
        <v>102</v>
      </c>
      <c r="J536" s="902"/>
      <c r="K536" s="902"/>
      <c r="L536" s="902"/>
      <c r="M536" s="903"/>
      <c r="N536" s="81">
        <f>SUM(N526:N535)</f>
        <v>34030500</v>
      </c>
    </row>
    <row r="537" spans="1:16" ht="16.5" thickBot="1">
      <c r="A537" s="885" t="s">
        <v>103</v>
      </c>
      <c r="B537" s="886"/>
      <c r="C537" s="886"/>
      <c r="D537" s="886"/>
      <c r="E537" s="887"/>
      <c r="F537" s="69">
        <f>+F501</f>
        <v>628916225</v>
      </c>
      <c r="I537" s="885" t="s">
        <v>103</v>
      </c>
      <c r="J537" s="886"/>
      <c r="K537" s="886"/>
      <c r="L537" s="886"/>
      <c r="M537" s="887"/>
      <c r="N537" s="239">
        <f>+N501</f>
        <v>430727285</v>
      </c>
      <c r="O537" s="241" t="s">
        <v>561</v>
      </c>
      <c r="P537" s="242"/>
    </row>
    <row r="538" spans="1:16" ht="16.5" thickBot="1">
      <c r="A538" s="888" t="s">
        <v>104</v>
      </c>
      <c r="B538" s="889"/>
      <c r="C538" s="889"/>
      <c r="D538" s="889"/>
      <c r="E538" s="890"/>
      <c r="F538" s="183">
        <f>SUM(F536:F537)</f>
        <v>630624225</v>
      </c>
      <c r="I538" s="888" t="s">
        <v>104</v>
      </c>
      <c r="J538" s="889"/>
      <c r="K538" s="889"/>
      <c r="L538" s="889"/>
      <c r="M538" s="890"/>
      <c r="N538" s="183">
        <f>SUM(N536:N537)</f>
        <v>464757785</v>
      </c>
    </row>
    <row r="539" spans="1:16" ht="6.75" customHeight="1">
      <c r="A539" s="61"/>
      <c r="B539" s="61"/>
      <c r="C539" s="61"/>
      <c r="D539" s="61"/>
      <c r="E539" s="61"/>
      <c r="I539" s="61"/>
      <c r="J539" s="61"/>
      <c r="K539" s="61"/>
      <c r="L539" s="61"/>
      <c r="M539" s="61"/>
    </row>
    <row r="540" spans="1:16">
      <c r="A540" s="51" t="s">
        <v>312</v>
      </c>
      <c r="I540" s="51" t="s">
        <v>692</v>
      </c>
    </row>
    <row r="541" spans="1:16" ht="5.25" customHeight="1">
      <c r="F541" s="139"/>
      <c r="N541" s="139"/>
    </row>
    <row r="542" spans="1:16">
      <c r="A542" s="50" t="s">
        <v>105</v>
      </c>
      <c r="D542" s="146"/>
      <c r="F542" s="139"/>
      <c r="I542" s="50" t="s">
        <v>105</v>
      </c>
      <c r="L542" s="146"/>
      <c r="N542" s="139"/>
    </row>
    <row r="543" spans="1:16" ht="12.75" customHeight="1" thickBot="1"/>
    <row r="544" spans="1:16" ht="15.75" thickBot="1">
      <c r="A544" s="891" t="s">
        <v>106</v>
      </c>
      <c r="B544" s="892"/>
      <c r="C544" s="892"/>
      <c r="D544" s="893"/>
      <c r="F544" s="50" t="s">
        <v>288</v>
      </c>
      <c r="I544" s="891" t="s">
        <v>106</v>
      </c>
      <c r="J544" s="892"/>
      <c r="K544" s="892"/>
      <c r="L544" s="893"/>
      <c r="N544" s="50" t="s">
        <v>270</v>
      </c>
    </row>
    <row r="545" spans="1:16" ht="30.75" thickBot="1">
      <c r="A545" s="57" t="s">
        <v>100</v>
      </c>
      <c r="B545" s="58" t="s">
        <v>108</v>
      </c>
      <c r="C545" s="59" t="s">
        <v>109</v>
      </c>
      <c r="D545" s="60" t="s">
        <v>110</v>
      </c>
      <c r="I545" s="57" t="s">
        <v>100</v>
      </c>
      <c r="J545" s="58" t="s">
        <v>108</v>
      </c>
      <c r="K545" s="59" t="s">
        <v>109</v>
      </c>
      <c r="L545" s="60" t="s">
        <v>110</v>
      </c>
    </row>
    <row r="546" spans="1:16" ht="14.25" customHeight="1">
      <c r="A546" s="71">
        <v>719</v>
      </c>
      <c r="B546" s="73">
        <f>+H526+H528+H530+H532+H534</f>
        <v>1220000</v>
      </c>
      <c r="C546" s="74" t="e">
        <f>+D509</f>
        <v>#REF!</v>
      </c>
      <c r="D546" s="195" t="e">
        <f>+B546+C546</f>
        <v>#REF!</v>
      </c>
      <c r="I546" s="71">
        <v>719</v>
      </c>
      <c r="J546" s="73"/>
      <c r="K546" s="74">
        <f>+L509</f>
        <v>6066700</v>
      </c>
      <c r="L546" s="195">
        <f>+J546+K546</f>
        <v>6066700</v>
      </c>
    </row>
    <row r="547" spans="1:16">
      <c r="A547" s="72">
        <v>721</v>
      </c>
      <c r="B547" s="80">
        <f>+H527+H529+H531+H533+H535</f>
        <v>488000</v>
      </c>
      <c r="C547" s="74" t="e">
        <f>+D510</f>
        <v>#REF!</v>
      </c>
      <c r="D547" s="195" t="e">
        <f>+B547+C547</f>
        <v>#REF!</v>
      </c>
      <c r="I547" s="72">
        <v>721</v>
      </c>
      <c r="J547" s="80"/>
      <c r="K547" s="74">
        <f>+L510</f>
        <v>659550</v>
      </c>
      <c r="L547" s="195">
        <f>+J547+K547</f>
        <v>659550</v>
      </c>
    </row>
    <row r="548" spans="1:16" ht="12" customHeight="1">
      <c r="A548" s="72">
        <v>722</v>
      </c>
      <c r="B548" s="80"/>
      <c r="C548" s="74">
        <f>+D511</f>
        <v>231207671</v>
      </c>
      <c r="D548" s="195">
        <f>+B548+C548</f>
        <v>231207671</v>
      </c>
      <c r="I548" s="72">
        <v>722</v>
      </c>
      <c r="J548" s="80"/>
      <c r="K548" s="74">
        <f>+L511</f>
        <v>0</v>
      </c>
      <c r="L548" s="195">
        <f>+J548+K548</f>
        <v>0</v>
      </c>
    </row>
    <row r="549" spans="1:16" ht="15.75">
      <c r="A549" s="72">
        <v>723</v>
      </c>
      <c r="B549" s="80"/>
      <c r="C549" s="74">
        <f>+D512</f>
        <v>321228837</v>
      </c>
      <c r="D549" s="195">
        <f>+B549+C549</f>
        <v>321228837</v>
      </c>
      <c r="F549" s="193" t="s">
        <v>289</v>
      </c>
      <c r="G549" s="175"/>
      <c r="I549" s="72">
        <v>723</v>
      </c>
      <c r="J549" s="80">
        <f>+P526+P528+P530+P532+P534</f>
        <v>34030500</v>
      </c>
      <c r="K549" s="74">
        <f>+L512</f>
        <v>424001035</v>
      </c>
      <c r="L549" s="195">
        <f>+J549+K549</f>
        <v>458031535</v>
      </c>
      <c r="N549" s="174" t="s">
        <v>558</v>
      </c>
      <c r="O549" s="175"/>
    </row>
    <row r="550" spans="1:16" ht="12.75" customHeight="1" thickBot="1">
      <c r="A550" s="164" t="s">
        <v>181</v>
      </c>
      <c r="B550" s="165"/>
      <c r="C550" s="74">
        <f>+D513</f>
        <v>1965625</v>
      </c>
      <c r="D550" s="196">
        <f>+B550+C550</f>
        <v>1965625</v>
      </c>
      <c r="F550" s="52"/>
      <c r="I550" s="164" t="s">
        <v>181</v>
      </c>
      <c r="J550" s="165"/>
      <c r="K550" s="74">
        <f>+L513</f>
        <v>0</v>
      </c>
      <c r="L550" s="196">
        <f>+J550+K550</f>
        <v>0</v>
      </c>
      <c r="N550" s="52"/>
    </row>
    <row r="551" spans="1:16" ht="12.75" customHeight="1" thickBot="1">
      <c r="A551" s="169"/>
      <c r="B551" s="170">
        <f>SUM(B546:B550)</f>
        <v>1708000</v>
      </c>
      <c r="C551" s="171" t="e">
        <f>SUM(C546:C550)</f>
        <v>#REF!</v>
      </c>
      <c r="D551" s="172" t="e">
        <f>SUM(D546:D550)</f>
        <v>#REF!</v>
      </c>
      <c r="I551" s="169"/>
      <c r="J551" s="197">
        <f>SUM(J546:J550)</f>
        <v>34030500</v>
      </c>
      <c r="K551" s="197">
        <f>SUM(K546:K550)</f>
        <v>430727285</v>
      </c>
      <c r="L551" s="198">
        <f>SUM(L546:L550)</f>
        <v>464757785</v>
      </c>
    </row>
    <row r="552" spans="1:16" ht="16.5">
      <c r="A552" s="49" t="s">
        <v>88</v>
      </c>
      <c r="B552" s="50"/>
      <c r="I552" s="49" t="s">
        <v>88</v>
      </c>
      <c r="J552" s="50"/>
    </row>
    <row r="553" spans="1:16">
      <c r="A553" s="51" t="s">
        <v>89</v>
      </c>
      <c r="I553" s="51" t="s">
        <v>89</v>
      </c>
    </row>
    <row r="554" spans="1:16">
      <c r="A554" s="51" t="s">
        <v>90</v>
      </c>
      <c r="I554" s="51" t="s">
        <v>90</v>
      </c>
    </row>
    <row r="555" spans="1:16">
      <c r="A555" s="51" t="s">
        <v>91</v>
      </c>
      <c r="I555" s="51" t="s">
        <v>91</v>
      </c>
    </row>
    <row r="556" spans="1:16" ht="9.75" customHeight="1">
      <c r="A556" s="50"/>
      <c r="B556" s="50"/>
      <c r="I556" s="50"/>
      <c r="J556" s="50"/>
    </row>
    <row r="557" spans="1:16" ht="16.5">
      <c r="A557" s="52" t="s">
        <v>309</v>
      </c>
      <c r="G557" s="52"/>
      <c r="I557" s="52" t="s">
        <v>639</v>
      </c>
      <c r="O557" s="52"/>
    </row>
    <row r="558" spans="1:16" ht="15.75">
      <c r="A558" s="53" t="s">
        <v>92</v>
      </c>
      <c r="G558" s="53"/>
      <c r="I558" s="53" t="s">
        <v>535</v>
      </c>
      <c r="O558" s="53"/>
    </row>
    <row r="559" spans="1:16" ht="16.5">
      <c r="A559" s="894" t="s">
        <v>261</v>
      </c>
      <c r="B559" s="894"/>
      <c r="C559" s="894"/>
      <c r="D559" s="894"/>
      <c r="E559" s="894"/>
      <c r="F559" s="894"/>
      <c r="G559" s="894"/>
      <c r="H559" s="894"/>
      <c r="I559" s="894" t="s">
        <v>212</v>
      </c>
      <c r="J559" s="894"/>
      <c r="K559" s="894"/>
      <c r="L559" s="894"/>
      <c r="M559" s="894"/>
      <c r="N559" s="894"/>
      <c r="O559" s="894"/>
      <c r="P559" s="894"/>
    </row>
    <row r="560" spans="1:16" ht="12.75" customHeight="1" thickBot="1"/>
    <row r="561" spans="1:16">
      <c r="A561" s="895" t="s">
        <v>94</v>
      </c>
      <c r="B561" s="897" t="s">
        <v>95</v>
      </c>
      <c r="C561" s="897" t="s">
        <v>96</v>
      </c>
      <c r="D561" s="897" t="s">
        <v>3</v>
      </c>
      <c r="E561" s="897" t="s">
        <v>97</v>
      </c>
      <c r="F561" s="897" t="s">
        <v>98</v>
      </c>
      <c r="G561" s="897" t="s">
        <v>99</v>
      </c>
      <c r="H561" s="899"/>
      <c r="I561" s="895" t="s">
        <v>94</v>
      </c>
      <c r="J561" s="897" t="s">
        <v>95</v>
      </c>
      <c r="K561" s="897" t="s">
        <v>96</v>
      </c>
      <c r="L561" s="897" t="s">
        <v>3</v>
      </c>
      <c r="M561" s="897" t="s">
        <v>97</v>
      </c>
      <c r="N561" s="897" t="s">
        <v>98</v>
      </c>
      <c r="O561" s="897" t="s">
        <v>99</v>
      </c>
      <c r="P561" s="899"/>
    </row>
    <row r="562" spans="1:16" ht="15.75" thickBot="1">
      <c r="A562" s="896"/>
      <c r="B562" s="898"/>
      <c r="C562" s="898"/>
      <c r="D562" s="898"/>
      <c r="E562" s="898"/>
      <c r="F562" s="898"/>
      <c r="G562" s="240" t="s">
        <v>100</v>
      </c>
      <c r="H562" s="182" t="s">
        <v>101</v>
      </c>
      <c r="I562" s="896"/>
      <c r="J562" s="898"/>
      <c r="K562" s="898"/>
      <c r="L562" s="898"/>
      <c r="M562" s="898"/>
      <c r="N562" s="898"/>
      <c r="O562" s="240" t="s">
        <v>100</v>
      </c>
      <c r="P562" s="182" t="s">
        <v>101</v>
      </c>
    </row>
    <row r="563" spans="1:16" ht="15" customHeight="1">
      <c r="A563" s="881" t="e">
        <f>+A534+1</f>
        <v>#REF!</v>
      </c>
      <c r="B563" s="875">
        <v>42286</v>
      </c>
      <c r="C563" s="877" t="s">
        <v>272</v>
      </c>
      <c r="D563" s="881" t="s">
        <v>313</v>
      </c>
      <c r="E563" s="881" t="s">
        <v>115</v>
      </c>
      <c r="F563" s="883">
        <v>50000</v>
      </c>
      <c r="G563" s="55">
        <v>719</v>
      </c>
      <c r="H563" s="78">
        <v>50000</v>
      </c>
      <c r="I563" s="873" t="s">
        <v>661</v>
      </c>
      <c r="J563" s="875">
        <v>42422</v>
      </c>
      <c r="K563" s="877" t="s">
        <v>693</v>
      </c>
      <c r="L563" s="881" t="s">
        <v>671</v>
      </c>
      <c r="M563" s="881" t="s">
        <v>148</v>
      </c>
      <c r="N563" s="883">
        <v>5250000</v>
      </c>
      <c r="O563" s="55">
        <v>723</v>
      </c>
      <c r="P563" s="78">
        <v>5250000</v>
      </c>
    </row>
    <row r="564" spans="1:16" ht="15.75" customHeight="1" thickBot="1">
      <c r="A564" s="882"/>
      <c r="B564" s="876"/>
      <c r="C564" s="878"/>
      <c r="D564" s="882"/>
      <c r="E564" s="882"/>
      <c r="F564" s="884"/>
      <c r="G564" s="56">
        <v>721</v>
      </c>
      <c r="H564" s="79">
        <f>+F563-H563</f>
        <v>0</v>
      </c>
      <c r="I564" s="882"/>
      <c r="J564" s="876"/>
      <c r="K564" s="878"/>
      <c r="L564" s="882"/>
      <c r="M564" s="882"/>
      <c r="N564" s="884"/>
      <c r="O564" s="56">
        <v>721</v>
      </c>
      <c r="P564" s="79">
        <f>+N563-P563</f>
        <v>0</v>
      </c>
    </row>
    <row r="565" spans="1:16" ht="15" customHeight="1">
      <c r="A565" s="881" t="e">
        <f>+A563+1</f>
        <v>#REF!</v>
      </c>
      <c r="B565" s="875">
        <v>42286</v>
      </c>
      <c r="C565" s="881" t="s">
        <v>28</v>
      </c>
      <c r="D565" s="881" t="s">
        <v>314</v>
      </c>
      <c r="E565" s="881" t="s">
        <v>115</v>
      </c>
      <c r="F565" s="883">
        <v>20000</v>
      </c>
      <c r="G565" s="55">
        <v>719</v>
      </c>
      <c r="H565" s="78">
        <v>20000</v>
      </c>
      <c r="I565" s="873" t="s">
        <v>662</v>
      </c>
      <c r="J565" s="875">
        <v>42422</v>
      </c>
      <c r="K565" s="881" t="s">
        <v>694</v>
      </c>
      <c r="L565" s="881" t="s">
        <v>671</v>
      </c>
      <c r="M565" s="881" t="s">
        <v>148</v>
      </c>
      <c r="N565" s="883">
        <v>26075228</v>
      </c>
      <c r="O565" s="55">
        <v>723</v>
      </c>
      <c r="P565" s="78">
        <v>26075228</v>
      </c>
    </row>
    <row r="566" spans="1:16" ht="15.75" customHeight="1" thickBot="1">
      <c r="A566" s="882"/>
      <c r="B566" s="876"/>
      <c r="C566" s="882"/>
      <c r="D566" s="882"/>
      <c r="E566" s="882"/>
      <c r="F566" s="884"/>
      <c r="G566" s="56">
        <v>721</v>
      </c>
      <c r="H566" s="79">
        <f>+F565-H565</f>
        <v>0</v>
      </c>
      <c r="I566" s="882"/>
      <c r="J566" s="876"/>
      <c r="K566" s="882"/>
      <c r="L566" s="882"/>
      <c r="M566" s="882"/>
      <c r="N566" s="884"/>
      <c r="O566" s="56">
        <v>721</v>
      </c>
      <c r="P566" s="79">
        <f>+N565-P565</f>
        <v>0</v>
      </c>
    </row>
    <row r="567" spans="1:16" ht="15" customHeight="1">
      <c r="A567" s="881" t="e">
        <f>+A565+1</f>
        <v>#REF!</v>
      </c>
      <c r="B567" s="875">
        <v>42286</v>
      </c>
      <c r="C567" s="877" t="s">
        <v>32</v>
      </c>
      <c r="D567" s="881" t="s">
        <v>315</v>
      </c>
      <c r="E567" s="881" t="s">
        <v>115</v>
      </c>
      <c r="F567" s="883">
        <v>60000</v>
      </c>
      <c r="G567" s="55">
        <v>719</v>
      </c>
      <c r="H567" s="78">
        <v>60000</v>
      </c>
      <c r="I567" s="873" t="s">
        <v>663</v>
      </c>
      <c r="J567" s="875">
        <v>42422</v>
      </c>
      <c r="K567" s="877" t="s">
        <v>122</v>
      </c>
      <c r="L567" s="881" t="s">
        <v>671</v>
      </c>
      <c r="M567" s="881" t="s">
        <v>148</v>
      </c>
      <c r="N567" s="883">
        <v>1512000</v>
      </c>
      <c r="O567" s="55">
        <v>723</v>
      </c>
      <c r="P567" s="78">
        <v>1512000</v>
      </c>
    </row>
    <row r="568" spans="1:16" ht="15.75" customHeight="1" thickBot="1">
      <c r="A568" s="882"/>
      <c r="B568" s="876"/>
      <c r="C568" s="878"/>
      <c r="D568" s="882"/>
      <c r="E568" s="882"/>
      <c r="F568" s="884"/>
      <c r="G568" s="56">
        <v>721</v>
      </c>
      <c r="H568" s="79">
        <f>+F567-H567</f>
        <v>0</v>
      </c>
      <c r="I568" s="882"/>
      <c r="J568" s="876"/>
      <c r="K568" s="878"/>
      <c r="L568" s="882"/>
      <c r="M568" s="882"/>
      <c r="N568" s="884"/>
      <c r="O568" s="56">
        <v>721</v>
      </c>
      <c r="P568" s="79">
        <f>+N567-P567</f>
        <v>0</v>
      </c>
    </row>
    <row r="569" spans="1:16" ht="15" customHeight="1">
      <c r="A569" s="881" t="e">
        <f>+A567+1</f>
        <v>#REF!</v>
      </c>
      <c r="B569" s="875">
        <v>42286</v>
      </c>
      <c r="C569" s="877" t="s">
        <v>120</v>
      </c>
      <c r="D569" s="881" t="s">
        <v>316</v>
      </c>
      <c r="E569" s="881" t="s">
        <v>115</v>
      </c>
      <c r="F569" s="883">
        <v>10000</v>
      </c>
      <c r="G569" s="55">
        <v>719</v>
      </c>
      <c r="H569" s="78">
        <v>10000</v>
      </c>
      <c r="I569" s="873" t="s">
        <v>664</v>
      </c>
      <c r="J569" s="875">
        <v>42422</v>
      </c>
      <c r="K569" s="877" t="s">
        <v>695</v>
      </c>
      <c r="L569" s="881" t="s">
        <v>671</v>
      </c>
      <c r="M569" s="881" t="s">
        <v>148</v>
      </c>
      <c r="N569" s="883">
        <v>5066040</v>
      </c>
      <c r="O569" s="55">
        <v>723</v>
      </c>
      <c r="P569" s="78">
        <v>5066040</v>
      </c>
    </row>
    <row r="570" spans="1:16" ht="15.75" customHeight="1" thickBot="1">
      <c r="A570" s="882"/>
      <c r="B570" s="876"/>
      <c r="C570" s="878"/>
      <c r="D570" s="882"/>
      <c r="E570" s="882"/>
      <c r="F570" s="884"/>
      <c r="G570" s="56">
        <v>721</v>
      </c>
      <c r="H570" s="79">
        <f>+F569-H569</f>
        <v>0</v>
      </c>
      <c r="I570" s="882"/>
      <c r="J570" s="876"/>
      <c r="K570" s="878"/>
      <c r="L570" s="882"/>
      <c r="M570" s="882"/>
      <c r="N570" s="884"/>
      <c r="O570" s="56">
        <v>721</v>
      </c>
      <c r="P570" s="79">
        <f>+N569-P569</f>
        <v>0</v>
      </c>
    </row>
    <row r="571" spans="1:16" ht="15" customHeight="1">
      <c r="A571" s="881"/>
      <c r="B571" s="875"/>
      <c r="C571" s="877"/>
      <c r="D571" s="881"/>
      <c r="E571" s="881"/>
      <c r="F571" s="883"/>
      <c r="G571" s="55">
        <v>719</v>
      </c>
      <c r="H571" s="78"/>
      <c r="I571" s="873" t="s">
        <v>665</v>
      </c>
      <c r="J571" s="875">
        <v>42422</v>
      </c>
      <c r="K571" s="877" t="s">
        <v>696</v>
      </c>
      <c r="L571" s="881" t="s">
        <v>671</v>
      </c>
      <c r="M571" s="881" t="s">
        <v>148</v>
      </c>
      <c r="N571" s="883">
        <v>3150000</v>
      </c>
      <c r="O571" s="55">
        <v>723</v>
      </c>
      <c r="P571" s="78">
        <v>3150000</v>
      </c>
    </row>
    <row r="572" spans="1:16" ht="15.75" customHeight="1" thickBot="1">
      <c r="A572" s="882"/>
      <c r="B572" s="876"/>
      <c r="C572" s="878"/>
      <c r="D572" s="882"/>
      <c r="E572" s="882"/>
      <c r="F572" s="884"/>
      <c r="G572" s="56">
        <v>721</v>
      </c>
      <c r="H572" s="79">
        <f>+F571-H571</f>
        <v>0</v>
      </c>
      <c r="I572" s="882"/>
      <c r="J572" s="876"/>
      <c r="K572" s="878"/>
      <c r="L572" s="882"/>
      <c r="M572" s="882"/>
      <c r="N572" s="884"/>
      <c r="O572" s="56">
        <v>721</v>
      </c>
      <c r="P572" s="79">
        <f>+N571-P571</f>
        <v>0</v>
      </c>
    </row>
    <row r="573" spans="1:16" ht="16.5" thickBot="1">
      <c r="A573" s="901" t="s">
        <v>102</v>
      </c>
      <c r="B573" s="902"/>
      <c r="C573" s="902"/>
      <c r="D573" s="902"/>
      <c r="E573" s="903"/>
      <c r="F573" s="81">
        <f>SUM(F563:F572)</f>
        <v>140000</v>
      </c>
      <c r="I573" s="901" t="s">
        <v>102</v>
      </c>
      <c r="J573" s="902"/>
      <c r="K573" s="902"/>
      <c r="L573" s="902"/>
      <c r="M573" s="903"/>
      <c r="N573" s="81">
        <f>SUM(N563:N572)</f>
        <v>41053268</v>
      </c>
    </row>
    <row r="574" spans="1:16" ht="16.5" thickBot="1">
      <c r="A574" s="885" t="s">
        <v>103</v>
      </c>
      <c r="B574" s="886"/>
      <c r="C574" s="886"/>
      <c r="D574" s="886"/>
      <c r="E574" s="887"/>
      <c r="F574" s="69">
        <f>+F538</f>
        <v>630624225</v>
      </c>
      <c r="I574" s="885" t="s">
        <v>103</v>
      </c>
      <c r="J574" s="886"/>
      <c r="K574" s="886"/>
      <c r="L574" s="886"/>
      <c r="M574" s="887"/>
      <c r="N574" s="239">
        <f>+N538</f>
        <v>464757785</v>
      </c>
      <c r="O574" s="241" t="s">
        <v>561</v>
      </c>
      <c r="P574" s="242"/>
    </row>
    <row r="575" spans="1:16" ht="14.25" customHeight="1" thickBot="1">
      <c r="A575" s="888" t="s">
        <v>104</v>
      </c>
      <c r="B575" s="889"/>
      <c r="C575" s="889"/>
      <c r="D575" s="889"/>
      <c r="E575" s="890"/>
      <c r="F575" s="183">
        <f>SUM(F573:F574)</f>
        <v>630764225</v>
      </c>
      <c r="I575" s="888" t="s">
        <v>104</v>
      </c>
      <c r="J575" s="889"/>
      <c r="K575" s="889"/>
      <c r="L575" s="889"/>
      <c r="M575" s="890"/>
      <c r="N575" s="183">
        <f>SUM(N573:N574)</f>
        <v>505811053</v>
      </c>
    </row>
    <row r="576" spans="1:16" ht="9.75" customHeight="1">
      <c r="A576" s="61"/>
      <c r="B576" s="61"/>
      <c r="C576" s="61"/>
      <c r="D576" s="61"/>
      <c r="E576" s="61"/>
      <c r="I576" s="61"/>
      <c r="J576" s="61"/>
      <c r="K576" s="61"/>
      <c r="L576" s="61"/>
      <c r="M576" s="61"/>
    </row>
    <row r="577" spans="1:15">
      <c r="A577" s="51" t="s">
        <v>317</v>
      </c>
      <c r="I577" s="51" t="s">
        <v>697</v>
      </c>
    </row>
    <row r="578" spans="1:15" ht="11.25" customHeight="1">
      <c r="F578" s="139"/>
      <c r="N578" s="139"/>
    </row>
    <row r="579" spans="1:15">
      <c r="A579" s="50" t="s">
        <v>105</v>
      </c>
      <c r="D579" s="146"/>
      <c r="F579" s="139"/>
      <c r="I579" s="50" t="s">
        <v>105</v>
      </c>
      <c r="L579" s="146"/>
      <c r="N579" s="139"/>
    </row>
    <row r="580" spans="1:15" ht="12.75" customHeight="1" thickBot="1"/>
    <row r="581" spans="1:15" ht="15.75" thickBot="1">
      <c r="A581" s="891" t="s">
        <v>106</v>
      </c>
      <c r="B581" s="892"/>
      <c r="C581" s="892"/>
      <c r="D581" s="893"/>
      <c r="F581" s="50" t="s">
        <v>288</v>
      </c>
      <c r="I581" s="891" t="s">
        <v>106</v>
      </c>
      <c r="J581" s="892"/>
      <c r="K581" s="892"/>
      <c r="L581" s="893"/>
      <c r="N581" s="50" t="s">
        <v>270</v>
      </c>
    </row>
    <row r="582" spans="1:15" ht="30.75" thickBot="1">
      <c r="A582" s="57" t="s">
        <v>100</v>
      </c>
      <c r="B582" s="58" t="s">
        <v>108</v>
      </c>
      <c r="C582" s="59" t="s">
        <v>109</v>
      </c>
      <c r="D582" s="60" t="s">
        <v>110</v>
      </c>
      <c r="I582" s="57" t="s">
        <v>100</v>
      </c>
      <c r="J582" s="58" t="s">
        <v>108</v>
      </c>
      <c r="K582" s="59" t="s">
        <v>109</v>
      </c>
      <c r="L582" s="60" t="s">
        <v>110</v>
      </c>
    </row>
    <row r="583" spans="1:15">
      <c r="A583" s="71">
        <v>719</v>
      </c>
      <c r="B583" s="73">
        <f>+H563+H565+H567+H569+H571</f>
        <v>140000</v>
      </c>
      <c r="C583" s="74" t="e">
        <f t="shared" ref="C583:C588" si="0">+D546</f>
        <v>#REF!</v>
      </c>
      <c r="D583" s="195" t="e">
        <f>+B583+C583</f>
        <v>#REF!</v>
      </c>
      <c r="I583" s="71">
        <v>719</v>
      </c>
      <c r="J583" s="73"/>
      <c r="K583" s="74">
        <f>+L546</f>
        <v>6066700</v>
      </c>
      <c r="L583" s="195">
        <f>+J583+K583</f>
        <v>6066700</v>
      </c>
    </row>
    <row r="584" spans="1:15" ht="12.75" customHeight="1">
      <c r="A584" s="72">
        <v>721</v>
      </c>
      <c r="B584" s="80">
        <f>+H564+H566+H568+H570+H572</f>
        <v>0</v>
      </c>
      <c r="C584" s="74" t="e">
        <f t="shared" si="0"/>
        <v>#REF!</v>
      </c>
      <c r="D584" s="195" t="e">
        <f>+B584+C584</f>
        <v>#REF!</v>
      </c>
      <c r="I584" s="72">
        <v>721</v>
      </c>
      <c r="J584" s="80"/>
      <c r="K584" s="74">
        <f>+L547</f>
        <v>659550</v>
      </c>
      <c r="L584" s="195">
        <f>+J584+K584</f>
        <v>659550</v>
      </c>
    </row>
    <row r="585" spans="1:15" ht="12.75" customHeight="1">
      <c r="A585" s="72">
        <v>722</v>
      </c>
      <c r="B585" s="80"/>
      <c r="C585" s="74">
        <f t="shared" si="0"/>
        <v>231207671</v>
      </c>
      <c r="D585" s="195">
        <f>+B585+C585</f>
        <v>231207671</v>
      </c>
      <c r="I585" s="72">
        <v>722</v>
      </c>
      <c r="J585" s="80"/>
      <c r="K585" s="74">
        <f>+L548</f>
        <v>0</v>
      </c>
      <c r="L585" s="195">
        <f>+J585+K585</f>
        <v>0</v>
      </c>
    </row>
    <row r="586" spans="1:15" ht="12.75" customHeight="1">
      <c r="A586" s="72">
        <v>723</v>
      </c>
      <c r="B586" s="80"/>
      <c r="C586" s="74">
        <f t="shared" si="0"/>
        <v>321228837</v>
      </c>
      <c r="D586" s="195">
        <f>+B586+C586</f>
        <v>321228837</v>
      </c>
      <c r="F586" s="193" t="s">
        <v>289</v>
      </c>
      <c r="G586" s="175"/>
      <c r="I586" s="72">
        <v>723</v>
      </c>
      <c r="J586" s="80">
        <f>+P563+P565+P567+P569+P571</f>
        <v>41053268</v>
      </c>
      <c r="K586" s="74">
        <f>+L549</f>
        <v>458031535</v>
      </c>
      <c r="L586" s="195">
        <f>+J586+K586</f>
        <v>499084803</v>
      </c>
      <c r="N586" s="174" t="s">
        <v>558</v>
      </c>
      <c r="O586" s="175"/>
    </row>
    <row r="587" spans="1:15" ht="12.75" customHeight="1" thickBot="1">
      <c r="A587" s="164" t="s">
        <v>181</v>
      </c>
      <c r="B587" s="165"/>
      <c r="C587" s="199">
        <f t="shared" si="0"/>
        <v>1965625</v>
      </c>
      <c r="D587" s="196">
        <f>+B587+C587</f>
        <v>1965625</v>
      </c>
      <c r="F587" s="52"/>
      <c r="I587" s="164" t="s">
        <v>181</v>
      </c>
      <c r="J587" s="165"/>
      <c r="K587" s="74">
        <f>+L550</f>
        <v>0</v>
      </c>
      <c r="L587" s="196">
        <f>+J587+K587</f>
        <v>0</v>
      </c>
      <c r="N587" s="52"/>
    </row>
    <row r="588" spans="1:15" ht="12.75" customHeight="1" thickBot="1">
      <c r="A588" s="169"/>
      <c r="B588" s="197">
        <f>SUM(B583:B587)</f>
        <v>140000</v>
      </c>
      <c r="C588" s="200" t="e">
        <f t="shared" si="0"/>
        <v>#REF!</v>
      </c>
      <c r="D588" s="198" t="e">
        <f>SUM(D583:D587)</f>
        <v>#REF!</v>
      </c>
      <c r="I588" s="169"/>
      <c r="J588" s="197">
        <f>SUM(J583:J587)</f>
        <v>41053268</v>
      </c>
      <c r="K588" s="197">
        <f>SUM(K583:K587)</f>
        <v>464757785</v>
      </c>
      <c r="L588" s="198">
        <f>SUM(L583:L587)</f>
        <v>505811053</v>
      </c>
    </row>
    <row r="589" spans="1:15" ht="16.5">
      <c r="A589" s="49" t="s">
        <v>88</v>
      </c>
      <c r="B589" s="50"/>
      <c r="I589" s="49" t="s">
        <v>88</v>
      </c>
      <c r="J589" s="50"/>
    </row>
    <row r="590" spans="1:15">
      <c r="A590" s="51" t="s">
        <v>89</v>
      </c>
      <c r="I590" s="51" t="s">
        <v>89</v>
      </c>
    </row>
    <row r="591" spans="1:15">
      <c r="A591" s="51" t="s">
        <v>90</v>
      </c>
      <c r="I591" s="51" t="s">
        <v>90</v>
      </c>
    </row>
    <row r="592" spans="1:15">
      <c r="A592" s="51" t="s">
        <v>91</v>
      </c>
      <c r="I592" s="51" t="s">
        <v>91</v>
      </c>
    </row>
    <row r="593" spans="1:16" ht="12" customHeight="1">
      <c r="A593" s="50"/>
      <c r="B593" s="50"/>
      <c r="I593" s="50"/>
      <c r="J593" s="50"/>
    </row>
    <row r="594" spans="1:16" ht="16.5">
      <c r="A594" s="52" t="s">
        <v>318</v>
      </c>
      <c r="G594" s="52"/>
      <c r="I594" s="52" t="s">
        <v>640</v>
      </c>
      <c r="O594" s="52"/>
    </row>
    <row r="595" spans="1:16" ht="15.75">
      <c r="A595" s="53" t="s">
        <v>92</v>
      </c>
      <c r="G595" s="53"/>
      <c r="I595" s="53" t="s">
        <v>535</v>
      </c>
      <c r="O595" s="53"/>
    </row>
    <row r="596" spans="1:16" ht="16.5">
      <c r="A596" s="894" t="s">
        <v>261</v>
      </c>
      <c r="B596" s="894"/>
      <c r="C596" s="894"/>
      <c r="D596" s="894"/>
      <c r="E596" s="894"/>
      <c r="F596" s="894"/>
      <c r="G596" s="894"/>
      <c r="H596" s="894"/>
      <c r="I596" s="894" t="s">
        <v>212</v>
      </c>
      <c r="J596" s="894"/>
      <c r="K596" s="894"/>
      <c r="L596" s="894"/>
      <c r="M596" s="894"/>
      <c r="N596" s="894"/>
      <c r="O596" s="894"/>
      <c r="P596" s="894"/>
    </row>
    <row r="597" spans="1:16" ht="15.75" thickBot="1"/>
    <row r="598" spans="1:16">
      <c r="A598" s="895" t="s">
        <v>94</v>
      </c>
      <c r="B598" s="897" t="s">
        <v>95</v>
      </c>
      <c r="C598" s="897" t="s">
        <v>96</v>
      </c>
      <c r="D598" s="897" t="s">
        <v>3</v>
      </c>
      <c r="E598" s="897" t="s">
        <v>97</v>
      </c>
      <c r="F598" s="897" t="s">
        <v>98</v>
      </c>
      <c r="G598" s="897" t="s">
        <v>99</v>
      </c>
      <c r="H598" s="899"/>
      <c r="I598" s="895" t="s">
        <v>94</v>
      </c>
      <c r="J598" s="897" t="s">
        <v>95</v>
      </c>
      <c r="K598" s="897" t="s">
        <v>96</v>
      </c>
      <c r="L598" s="897" t="s">
        <v>3</v>
      </c>
      <c r="M598" s="897" t="s">
        <v>97</v>
      </c>
      <c r="N598" s="897" t="s">
        <v>98</v>
      </c>
      <c r="O598" s="897" t="s">
        <v>99</v>
      </c>
      <c r="P598" s="899"/>
    </row>
    <row r="599" spans="1:16" ht="15.75" thickBot="1">
      <c r="A599" s="896"/>
      <c r="B599" s="898"/>
      <c r="C599" s="898"/>
      <c r="D599" s="898"/>
      <c r="E599" s="898"/>
      <c r="F599" s="898"/>
      <c r="G599" s="240" t="s">
        <v>100</v>
      </c>
      <c r="H599" s="182" t="s">
        <v>101</v>
      </c>
      <c r="I599" s="896"/>
      <c r="J599" s="898"/>
      <c r="K599" s="898"/>
      <c r="L599" s="898"/>
      <c r="M599" s="898"/>
      <c r="N599" s="898"/>
      <c r="O599" s="240" t="s">
        <v>100</v>
      </c>
      <c r="P599" s="182" t="s">
        <v>101</v>
      </c>
    </row>
    <row r="600" spans="1:16" ht="14.25" customHeight="1">
      <c r="A600" s="881" t="e">
        <f>+A569+1</f>
        <v>#REF!</v>
      </c>
      <c r="B600" s="875">
        <v>42286</v>
      </c>
      <c r="C600" s="877" t="s">
        <v>267</v>
      </c>
      <c r="D600" s="881" t="s">
        <v>320</v>
      </c>
      <c r="E600" s="881" t="s">
        <v>148</v>
      </c>
      <c r="F600" s="883">
        <v>70000</v>
      </c>
      <c r="G600" s="55">
        <v>719</v>
      </c>
      <c r="H600" s="78">
        <v>50000</v>
      </c>
      <c r="I600" s="873" t="s">
        <v>1458</v>
      </c>
      <c r="J600" s="875">
        <v>42814</v>
      </c>
      <c r="K600" s="877" t="s">
        <v>31</v>
      </c>
      <c r="L600" s="881" t="s">
        <v>1439</v>
      </c>
      <c r="M600" s="881" t="s">
        <v>783</v>
      </c>
      <c r="N600" s="883">
        <v>-1760000</v>
      </c>
      <c r="O600" s="55">
        <v>721</v>
      </c>
      <c r="P600" s="78">
        <v>0</v>
      </c>
    </row>
    <row r="601" spans="1:16" ht="13.5" customHeight="1" thickBot="1">
      <c r="A601" s="882"/>
      <c r="B601" s="934"/>
      <c r="C601" s="878"/>
      <c r="D601" s="882"/>
      <c r="E601" s="882"/>
      <c r="F601" s="884"/>
      <c r="G601" s="56">
        <v>721</v>
      </c>
      <c r="H601" s="79">
        <f>+F600-H600</f>
        <v>20000</v>
      </c>
      <c r="I601" s="882"/>
      <c r="J601" s="876"/>
      <c r="K601" s="878"/>
      <c r="L601" s="882"/>
      <c r="M601" s="882"/>
      <c r="N601" s="884"/>
      <c r="O601" s="56">
        <v>723</v>
      </c>
      <c r="P601" s="79">
        <f>+N600-0</f>
        <v>-1760000</v>
      </c>
    </row>
    <row r="602" spans="1:16" ht="13.5" customHeight="1">
      <c r="A602" s="881" t="e">
        <f>+A600+1</f>
        <v>#REF!</v>
      </c>
      <c r="B602" s="875">
        <v>42286</v>
      </c>
      <c r="C602" s="881" t="s">
        <v>28</v>
      </c>
      <c r="D602" s="881" t="s">
        <v>321</v>
      </c>
      <c r="E602" s="881" t="s">
        <v>148</v>
      </c>
      <c r="F602" s="883">
        <v>182000</v>
      </c>
      <c r="G602" s="55">
        <v>719</v>
      </c>
      <c r="H602" s="78">
        <v>130000</v>
      </c>
      <c r="I602" s="873"/>
      <c r="J602" s="875"/>
      <c r="K602" s="877"/>
      <c r="L602" s="881"/>
      <c r="M602" s="881"/>
      <c r="N602" s="883"/>
      <c r="O602" s="55">
        <v>723</v>
      </c>
      <c r="P602" s="78"/>
    </row>
    <row r="603" spans="1:16" ht="12" customHeight="1" thickBot="1">
      <c r="A603" s="882"/>
      <c r="B603" s="934"/>
      <c r="C603" s="882"/>
      <c r="D603" s="882"/>
      <c r="E603" s="882"/>
      <c r="F603" s="884"/>
      <c r="G603" s="56">
        <v>721</v>
      </c>
      <c r="H603" s="79">
        <f>+F602-H602</f>
        <v>52000</v>
      </c>
      <c r="I603" s="882"/>
      <c r="J603" s="876"/>
      <c r="K603" s="878"/>
      <c r="L603" s="882"/>
      <c r="M603" s="882"/>
      <c r="N603" s="884"/>
      <c r="O603" s="56">
        <v>721</v>
      </c>
      <c r="P603" s="79">
        <f>+N602-P602</f>
        <v>0</v>
      </c>
    </row>
    <row r="604" spans="1:16" ht="13.5" customHeight="1">
      <c r="A604" s="881" t="e">
        <f>+A602+1</f>
        <v>#REF!</v>
      </c>
      <c r="B604" s="875">
        <v>42286</v>
      </c>
      <c r="C604" s="877" t="s">
        <v>32</v>
      </c>
      <c r="D604" s="881" t="s">
        <v>322</v>
      </c>
      <c r="E604" s="881" t="s">
        <v>148</v>
      </c>
      <c r="F604" s="883">
        <v>70000</v>
      </c>
      <c r="G604" s="55">
        <v>719</v>
      </c>
      <c r="H604" s="78">
        <v>50000</v>
      </c>
      <c r="I604" s="873"/>
      <c r="J604" s="875"/>
      <c r="K604" s="877"/>
      <c r="L604" s="881"/>
      <c r="M604" s="881"/>
      <c r="N604" s="883"/>
      <c r="O604" s="55">
        <v>723</v>
      </c>
      <c r="P604" s="78"/>
    </row>
    <row r="605" spans="1:16" ht="12.75" customHeight="1" thickBot="1">
      <c r="A605" s="882"/>
      <c r="B605" s="934"/>
      <c r="C605" s="878"/>
      <c r="D605" s="882"/>
      <c r="E605" s="882"/>
      <c r="F605" s="884"/>
      <c r="G605" s="56">
        <v>721</v>
      </c>
      <c r="H605" s="79">
        <f>+F604-H604</f>
        <v>20000</v>
      </c>
      <c r="I605" s="882"/>
      <c r="J605" s="876"/>
      <c r="K605" s="878"/>
      <c r="L605" s="882"/>
      <c r="M605" s="882"/>
      <c r="N605" s="884"/>
      <c r="O605" s="56">
        <v>721</v>
      </c>
      <c r="P605" s="79"/>
    </row>
    <row r="606" spans="1:16" ht="12" customHeight="1">
      <c r="A606" s="881" t="e">
        <f>+A604+1</f>
        <v>#REF!</v>
      </c>
      <c r="B606" s="875">
        <v>42286</v>
      </c>
      <c r="C606" s="877" t="s">
        <v>111</v>
      </c>
      <c r="D606" s="881" t="s">
        <v>319</v>
      </c>
      <c r="E606" s="881" t="s">
        <v>148</v>
      </c>
      <c r="F606" s="883">
        <v>28000</v>
      </c>
      <c r="G606" s="55">
        <v>719</v>
      </c>
      <c r="H606" s="78">
        <v>20000</v>
      </c>
      <c r="I606" s="873"/>
      <c r="J606" s="875"/>
      <c r="K606" s="877"/>
      <c r="L606" s="881"/>
      <c r="M606" s="881"/>
      <c r="N606" s="883"/>
      <c r="O606" s="55">
        <v>723</v>
      </c>
      <c r="P606" s="78"/>
    </row>
    <row r="607" spans="1:16" ht="12.75" customHeight="1" thickBot="1">
      <c r="A607" s="882"/>
      <c r="B607" s="934"/>
      <c r="C607" s="878"/>
      <c r="D607" s="882"/>
      <c r="E607" s="882"/>
      <c r="F607" s="884"/>
      <c r="G607" s="56">
        <v>721</v>
      </c>
      <c r="H607" s="79">
        <f>+F606-H606</f>
        <v>8000</v>
      </c>
      <c r="I607" s="882"/>
      <c r="J607" s="876"/>
      <c r="K607" s="878"/>
      <c r="L607" s="882"/>
      <c r="M607" s="882"/>
      <c r="N607" s="884"/>
      <c r="O607" s="56">
        <v>721</v>
      </c>
      <c r="P607" s="79">
        <f>+N606-P606</f>
        <v>0</v>
      </c>
    </row>
    <row r="608" spans="1:16" ht="15" customHeight="1">
      <c r="A608" s="881" t="e">
        <f>+A606+1</f>
        <v>#REF!</v>
      </c>
      <c r="B608" s="875">
        <v>42286</v>
      </c>
      <c r="C608" s="877" t="s">
        <v>272</v>
      </c>
      <c r="D608" s="881" t="s">
        <v>322</v>
      </c>
      <c r="E608" s="881" t="s">
        <v>148</v>
      </c>
      <c r="F608" s="883">
        <v>322000</v>
      </c>
      <c r="G608" s="55">
        <v>719</v>
      </c>
      <c r="H608" s="78">
        <v>230000</v>
      </c>
      <c r="I608" s="873"/>
      <c r="J608" s="875"/>
      <c r="K608" s="877"/>
      <c r="L608" s="881"/>
      <c r="M608" s="881"/>
      <c r="N608" s="883"/>
      <c r="O608" s="55">
        <v>723</v>
      </c>
      <c r="P608" s="78"/>
    </row>
    <row r="609" spans="1:16" ht="15.75" customHeight="1" thickBot="1">
      <c r="A609" s="882"/>
      <c r="B609" s="934"/>
      <c r="C609" s="878"/>
      <c r="D609" s="882"/>
      <c r="E609" s="882"/>
      <c r="F609" s="884"/>
      <c r="G609" s="56">
        <v>721</v>
      </c>
      <c r="H609" s="79">
        <f>+F608-H608</f>
        <v>92000</v>
      </c>
      <c r="I609" s="882"/>
      <c r="J609" s="876"/>
      <c r="K609" s="878"/>
      <c r="L609" s="882"/>
      <c r="M609" s="882"/>
      <c r="N609" s="884"/>
      <c r="O609" s="56">
        <v>721</v>
      </c>
      <c r="P609" s="79">
        <f>+N608-P608</f>
        <v>0</v>
      </c>
    </row>
    <row r="610" spans="1:16" ht="16.5" thickBot="1">
      <c r="A610" s="901" t="s">
        <v>102</v>
      </c>
      <c r="B610" s="902"/>
      <c r="C610" s="902"/>
      <c r="D610" s="902"/>
      <c r="E610" s="903"/>
      <c r="F610" s="81">
        <f>SUM(F600:F609)</f>
        <v>672000</v>
      </c>
      <c r="I610" s="901" t="s">
        <v>102</v>
      </c>
      <c r="J610" s="902"/>
      <c r="K610" s="902"/>
      <c r="L610" s="902"/>
      <c r="M610" s="903"/>
      <c r="N610" s="81">
        <f>SUM(N600:N609)</f>
        <v>-1760000</v>
      </c>
    </row>
    <row r="611" spans="1:16" ht="16.5" thickBot="1">
      <c r="A611" s="885" t="s">
        <v>103</v>
      </c>
      <c r="B611" s="886"/>
      <c r="C611" s="886"/>
      <c r="D611" s="886"/>
      <c r="E611" s="887"/>
      <c r="F611" s="69">
        <f>+F575</f>
        <v>630764225</v>
      </c>
      <c r="I611" s="885" t="s">
        <v>103</v>
      </c>
      <c r="J611" s="886"/>
      <c r="K611" s="886"/>
      <c r="L611" s="886"/>
      <c r="M611" s="887"/>
      <c r="N611" s="239">
        <v>383067017</v>
      </c>
      <c r="O611" s="241" t="s">
        <v>561</v>
      </c>
      <c r="P611" s="242"/>
    </row>
    <row r="612" spans="1:16" ht="16.5" thickBot="1">
      <c r="A612" s="888" t="s">
        <v>104</v>
      </c>
      <c r="B612" s="889"/>
      <c r="C612" s="889"/>
      <c r="D612" s="889"/>
      <c r="E612" s="890"/>
      <c r="F612" s="183">
        <f>SUM(F610:F611)</f>
        <v>631436225</v>
      </c>
      <c r="I612" s="888" t="s">
        <v>104</v>
      </c>
      <c r="J612" s="889"/>
      <c r="K612" s="889"/>
      <c r="L612" s="889"/>
      <c r="M612" s="890"/>
      <c r="N612" s="183">
        <f>SUM(N610:N611)</f>
        <v>381307017</v>
      </c>
    </row>
    <row r="613" spans="1:16" ht="13.5" customHeight="1">
      <c r="A613" s="61"/>
      <c r="B613" s="61"/>
      <c r="C613" s="61"/>
      <c r="D613" s="61"/>
      <c r="E613" s="61"/>
      <c r="I613" s="61"/>
      <c r="J613" s="61"/>
      <c r="K613" s="61"/>
      <c r="L613" s="61"/>
      <c r="M613" s="61"/>
    </row>
    <row r="614" spans="1:16">
      <c r="A614" s="51" t="s">
        <v>323</v>
      </c>
      <c r="I614" s="51" t="s">
        <v>702</v>
      </c>
    </row>
    <row r="615" spans="1:16" ht="10.5" customHeight="1">
      <c r="F615" s="139"/>
      <c r="N615" s="139"/>
    </row>
    <row r="616" spans="1:16">
      <c r="A616" s="50" t="s">
        <v>105</v>
      </c>
      <c r="D616" s="146"/>
      <c r="F616" s="139"/>
      <c r="I616" s="50" t="s">
        <v>105</v>
      </c>
      <c r="L616" s="146"/>
      <c r="N616" s="139"/>
    </row>
    <row r="617" spans="1:16" ht="10.5" customHeight="1" thickBot="1"/>
    <row r="618" spans="1:16" ht="15.75" thickBot="1">
      <c r="A618" s="891" t="s">
        <v>106</v>
      </c>
      <c r="B618" s="892"/>
      <c r="C618" s="892"/>
      <c r="D618" s="893"/>
      <c r="F618" s="50" t="s">
        <v>288</v>
      </c>
      <c r="I618" s="891" t="s">
        <v>106</v>
      </c>
      <c r="J618" s="892"/>
      <c r="K618" s="892"/>
      <c r="L618" s="893"/>
      <c r="N618" s="50" t="s">
        <v>270</v>
      </c>
    </row>
    <row r="619" spans="1:16" ht="30.75" thickBot="1">
      <c r="A619" s="57" t="s">
        <v>100</v>
      </c>
      <c r="B619" s="58" t="s">
        <v>108</v>
      </c>
      <c r="C619" s="59" t="s">
        <v>109</v>
      </c>
      <c r="D619" s="60" t="s">
        <v>110</v>
      </c>
      <c r="I619" s="57" t="s">
        <v>100</v>
      </c>
      <c r="J619" s="58" t="s">
        <v>108</v>
      </c>
      <c r="K619" s="59" t="s">
        <v>109</v>
      </c>
      <c r="L619" s="60" t="s">
        <v>110</v>
      </c>
    </row>
    <row r="620" spans="1:16" ht="12.75" customHeight="1">
      <c r="A620" s="71">
        <v>719</v>
      </c>
      <c r="B620" s="73">
        <f>+H600+H602+H604+H606+H608</f>
        <v>480000</v>
      </c>
      <c r="C620" s="74" t="e">
        <f>+D583</f>
        <v>#REF!</v>
      </c>
      <c r="D620" s="195" t="e">
        <f>+B620+C620</f>
        <v>#REF!</v>
      </c>
      <c r="I620" s="71">
        <v>719</v>
      </c>
      <c r="J620" s="73"/>
      <c r="K620" s="74">
        <f>+L583</f>
        <v>6066700</v>
      </c>
      <c r="L620" s="195">
        <f>+J620+K620</f>
        <v>6066700</v>
      </c>
    </row>
    <row r="621" spans="1:16" ht="12.75" customHeight="1">
      <c r="A621" s="72">
        <v>721</v>
      </c>
      <c r="B621" s="80">
        <f>+H601+H603+H605+H607+H609</f>
        <v>192000</v>
      </c>
      <c r="C621" s="74" t="e">
        <f>+D584</f>
        <v>#REF!</v>
      </c>
      <c r="D621" s="195" t="e">
        <f>+B621+C621</f>
        <v>#REF!</v>
      </c>
      <c r="I621" s="72">
        <v>721</v>
      </c>
      <c r="J621" s="80"/>
      <c r="K621" s="74">
        <f>+L584</f>
        <v>659550</v>
      </c>
      <c r="L621" s="195">
        <f>+J621+K621</f>
        <v>659550</v>
      </c>
    </row>
    <row r="622" spans="1:16" ht="12.75" customHeight="1">
      <c r="A622" s="72">
        <v>722</v>
      </c>
      <c r="B622" s="80"/>
      <c r="C622" s="74">
        <f>+D585</f>
        <v>231207671</v>
      </c>
      <c r="D622" s="195">
        <f>+B622+C622</f>
        <v>231207671</v>
      </c>
      <c r="I622" s="72">
        <v>722</v>
      </c>
      <c r="J622" s="80"/>
      <c r="K622" s="74">
        <f>+L585</f>
        <v>0</v>
      </c>
      <c r="L622" s="195">
        <f>+J622+K622</f>
        <v>0</v>
      </c>
    </row>
    <row r="623" spans="1:16" ht="15.75">
      <c r="A623" s="72">
        <v>723</v>
      </c>
      <c r="B623" s="80"/>
      <c r="C623" s="74">
        <f>+D586</f>
        <v>321228837</v>
      </c>
      <c r="D623" s="195">
        <f>+B623+C623</f>
        <v>321228837</v>
      </c>
      <c r="F623" s="193" t="s">
        <v>289</v>
      </c>
      <c r="G623" s="175"/>
      <c r="I623" s="72">
        <v>723</v>
      </c>
      <c r="J623" s="80">
        <f>+P601</f>
        <v>-1760000</v>
      </c>
      <c r="K623" s="74">
        <v>376340767</v>
      </c>
      <c r="L623" s="195">
        <f>+J623+K623</f>
        <v>374580767</v>
      </c>
      <c r="N623" s="174" t="s">
        <v>558</v>
      </c>
      <c r="O623" s="175"/>
    </row>
    <row r="624" spans="1:16" ht="16.5" thickBot="1">
      <c r="A624" s="164" t="s">
        <v>181</v>
      </c>
      <c r="B624" s="165"/>
      <c r="C624" s="74">
        <f>+D587</f>
        <v>1965625</v>
      </c>
      <c r="D624" s="196">
        <f>+B624+C624</f>
        <v>1965625</v>
      </c>
      <c r="F624" s="52"/>
      <c r="I624" s="164" t="s">
        <v>181</v>
      </c>
      <c r="J624" s="165"/>
      <c r="K624" s="74">
        <f>+L587</f>
        <v>0</v>
      </c>
      <c r="L624" s="196">
        <f>+J624+K624</f>
        <v>0</v>
      </c>
      <c r="N624" s="52"/>
    </row>
    <row r="625" spans="1:16" ht="16.5" thickBot="1">
      <c r="A625" s="169"/>
      <c r="B625" s="170">
        <f>SUM(B620:B624)</f>
        <v>672000</v>
      </c>
      <c r="C625" s="171" t="e">
        <f>SUM(C620:C624)</f>
        <v>#REF!</v>
      </c>
      <c r="D625" s="172" t="e">
        <f>SUM(D620:D624)</f>
        <v>#REF!</v>
      </c>
      <c r="I625" s="169"/>
      <c r="J625" s="197">
        <f>SUM(J620:J624)</f>
        <v>-1760000</v>
      </c>
      <c r="K625" s="197">
        <f>SUM(K620:K624)</f>
        <v>383067017</v>
      </c>
      <c r="L625" s="198">
        <f>SUM(L620:L624)</f>
        <v>381307017</v>
      </c>
    </row>
    <row r="626" spans="1:16" ht="16.5">
      <c r="A626" s="49" t="s">
        <v>88</v>
      </c>
      <c r="B626" s="50"/>
      <c r="I626" s="49" t="s">
        <v>88</v>
      </c>
      <c r="J626" s="50"/>
    </row>
    <row r="627" spans="1:16">
      <c r="A627" s="51" t="s">
        <v>89</v>
      </c>
      <c r="I627" s="51" t="s">
        <v>89</v>
      </c>
    </row>
    <row r="628" spans="1:16">
      <c r="A628" s="51" t="s">
        <v>90</v>
      </c>
      <c r="I628" s="51" t="s">
        <v>90</v>
      </c>
    </row>
    <row r="629" spans="1:16">
      <c r="A629" s="51" t="s">
        <v>91</v>
      </c>
      <c r="I629" s="51" t="s">
        <v>91</v>
      </c>
    </row>
    <row r="630" spans="1:16" ht="13.5" customHeight="1">
      <c r="A630" s="50"/>
      <c r="B630" s="50"/>
      <c r="I630" s="50"/>
      <c r="J630" s="50"/>
    </row>
    <row r="631" spans="1:16" ht="16.5">
      <c r="A631" s="52" t="s">
        <v>344</v>
      </c>
      <c r="G631" s="52"/>
      <c r="I631" s="52" t="s">
        <v>725</v>
      </c>
      <c r="O631" s="52"/>
    </row>
    <row r="632" spans="1:16" ht="15.75">
      <c r="A632" s="53" t="s">
        <v>92</v>
      </c>
      <c r="G632" s="53"/>
      <c r="I632" s="53" t="s">
        <v>1333</v>
      </c>
      <c r="O632" s="53"/>
    </row>
    <row r="633" spans="1:16" ht="16.5">
      <c r="A633" s="894" t="s">
        <v>347</v>
      </c>
      <c r="B633" s="894"/>
      <c r="C633" s="894"/>
      <c r="D633" s="894"/>
      <c r="E633" s="894"/>
      <c r="F633" s="894"/>
      <c r="G633" s="894"/>
      <c r="H633" s="894"/>
      <c r="I633" s="894" t="s">
        <v>1460</v>
      </c>
      <c r="J633" s="894"/>
      <c r="K633" s="894"/>
      <c r="L633" s="894"/>
      <c r="M633" s="894"/>
      <c r="N633" s="894"/>
      <c r="O633" s="894"/>
      <c r="P633" s="894"/>
    </row>
    <row r="634" spans="1:16" ht="13.5" customHeight="1" thickBot="1"/>
    <row r="635" spans="1:16">
      <c r="A635" s="895" t="s">
        <v>94</v>
      </c>
      <c r="B635" s="897" t="s">
        <v>95</v>
      </c>
      <c r="C635" s="897" t="s">
        <v>96</v>
      </c>
      <c r="D635" s="897" t="s">
        <v>3</v>
      </c>
      <c r="E635" s="897" t="s">
        <v>97</v>
      </c>
      <c r="F635" s="897" t="s">
        <v>98</v>
      </c>
      <c r="G635" s="897" t="s">
        <v>99</v>
      </c>
      <c r="H635" s="899"/>
      <c r="I635" s="895" t="s">
        <v>94</v>
      </c>
      <c r="J635" s="897" t="s">
        <v>95</v>
      </c>
      <c r="K635" s="897" t="s">
        <v>96</v>
      </c>
      <c r="L635" s="897" t="s">
        <v>3</v>
      </c>
      <c r="M635" s="897" t="s">
        <v>97</v>
      </c>
      <c r="N635" s="897" t="s">
        <v>98</v>
      </c>
      <c r="O635" s="897" t="s">
        <v>99</v>
      </c>
      <c r="P635" s="899"/>
    </row>
    <row r="636" spans="1:16" ht="15.75" thickBot="1">
      <c r="A636" s="896"/>
      <c r="B636" s="898"/>
      <c r="C636" s="898"/>
      <c r="D636" s="898"/>
      <c r="E636" s="898"/>
      <c r="F636" s="898"/>
      <c r="G636" s="240" t="s">
        <v>100</v>
      </c>
      <c r="H636" s="182" t="s">
        <v>101</v>
      </c>
      <c r="I636" s="896"/>
      <c r="J636" s="898"/>
      <c r="K636" s="898"/>
      <c r="L636" s="898"/>
      <c r="M636" s="898"/>
      <c r="N636" s="898"/>
      <c r="O636" s="240" t="s">
        <v>100</v>
      </c>
      <c r="P636" s="182" t="s">
        <v>101</v>
      </c>
    </row>
    <row r="637" spans="1:16" ht="12.75" customHeight="1">
      <c r="A637" s="881" t="e">
        <f>+A608+1</f>
        <v>#REF!</v>
      </c>
      <c r="B637" s="875">
        <v>42293</v>
      </c>
      <c r="C637" s="877" t="s">
        <v>325</v>
      </c>
      <c r="D637" s="877" t="s">
        <v>324</v>
      </c>
      <c r="E637" s="881" t="s">
        <v>145</v>
      </c>
      <c r="F637" s="883">
        <v>20276705</v>
      </c>
      <c r="G637" s="55">
        <v>719</v>
      </c>
      <c r="H637" s="78"/>
      <c r="I637" s="873" t="s">
        <v>717</v>
      </c>
      <c r="J637" s="875">
        <v>42843</v>
      </c>
      <c r="K637" s="877" t="s">
        <v>1459</v>
      </c>
      <c r="L637" s="881" t="s">
        <v>1439</v>
      </c>
      <c r="M637" s="881" t="s">
        <v>215</v>
      </c>
      <c r="N637" s="883">
        <v>2025956</v>
      </c>
      <c r="O637" s="55">
        <v>721</v>
      </c>
      <c r="P637" s="258"/>
    </row>
    <row r="638" spans="1:16" ht="14.25" customHeight="1" thickBot="1">
      <c r="A638" s="882"/>
      <c r="B638" s="876"/>
      <c r="C638" s="878"/>
      <c r="D638" s="878"/>
      <c r="E638" s="882"/>
      <c r="F638" s="884"/>
      <c r="G638" s="56">
        <v>721</v>
      </c>
      <c r="H638" s="79">
        <f>+F637-H637</f>
        <v>20276705</v>
      </c>
      <c r="I638" s="882"/>
      <c r="J638" s="876"/>
      <c r="K638" s="878"/>
      <c r="L638" s="882"/>
      <c r="M638" s="882"/>
      <c r="N638" s="884"/>
      <c r="O638" s="56">
        <v>723</v>
      </c>
      <c r="P638" s="79">
        <f>+N637-P637</f>
        <v>2025956</v>
      </c>
    </row>
    <row r="639" spans="1:16" ht="12.75" customHeight="1">
      <c r="A639" s="881" t="e">
        <f>+A637+1</f>
        <v>#REF!</v>
      </c>
      <c r="B639" s="875">
        <v>42293</v>
      </c>
      <c r="C639" s="877" t="s">
        <v>345</v>
      </c>
      <c r="D639" s="877" t="s">
        <v>346</v>
      </c>
      <c r="E639" s="881" t="s">
        <v>165</v>
      </c>
      <c r="F639" s="883">
        <v>200000</v>
      </c>
      <c r="G639" s="55">
        <v>719</v>
      </c>
      <c r="H639" s="78"/>
      <c r="I639" s="873" t="s">
        <v>718</v>
      </c>
      <c r="J639" s="875">
        <v>42843</v>
      </c>
      <c r="K639" s="877" t="s">
        <v>31</v>
      </c>
      <c r="L639" s="881" t="s">
        <v>1439</v>
      </c>
      <c r="M639" s="881" t="s">
        <v>148</v>
      </c>
      <c r="N639" s="883">
        <v>9240000</v>
      </c>
      <c r="O639" s="55">
        <v>721</v>
      </c>
      <c r="P639" s="78"/>
    </row>
    <row r="640" spans="1:16" ht="13.5" customHeight="1" thickBot="1">
      <c r="A640" s="882"/>
      <c r="B640" s="876"/>
      <c r="C640" s="878"/>
      <c r="D640" s="878"/>
      <c r="E640" s="882"/>
      <c r="F640" s="884"/>
      <c r="G640" s="56">
        <v>723</v>
      </c>
      <c r="H640" s="79">
        <f>+F639-H639</f>
        <v>200000</v>
      </c>
      <c r="I640" s="882"/>
      <c r="J640" s="876"/>
      <c r="K640" s="878"/>
      <c r="L640" s="882"/>
      <c r="M640" s="882"/>
      <c r="N640" s="884"/>
      <c r="O640" s="56">
        <v>723</v>
      </c>
      <c r="P640" s="79">
        <f>+N639-P639</f>
        <v>9240000</v>
      </c>
    </row>
    <row r="641" spans="1:16" ht="12.75" customHeight="1">
      <c r="A641" s="881"/>
      <c r="B641" s="875"/>
      <c r="C641" s="877"/>
      <c r="D641" s="881"/>
      <c r="E641" s="881"/>
      <c r="F641" s="883"/>
      <c r="G641" s="55">
        <v>719</v>
      </c>
      <c r="H641" s="78"/>
      <c r="I641" s="873" t="s">
        <v>719</v>
      </c>
      <c r="J641" s="875">
        <v>42843</v>
      </c>
      <c r="K641" s="877" t="s">
        <v>40</v>
      </c>
      <c r="L641" s="881" t="s">
        <v>1439</v>
      </c>
      <c r="M641" s="881" t="s">
        <v>148</v>
      </c>
      <c r="N641" s="883">
        <v>7821240</v>
      </c>
      <c r="O641" s="55">
        <v>721</v>
      </c>
      <c r="P641" s="78"/>
    </row>
    <row r="642" spans="1:16" ht="12.75" customHeight="1" thickBot="1">
      <c r="A642" s="882"/>
      <c r="B642" s="876"/>
      <c r="C642" s="878"/>
      <c r="D642" s="882"/>
      <c r="E642" s="882"/>
      <c r="F642" s="884"/>
      <c r="G642" s="56">
        <v>721</v>
      </c>
      <c r="H642" s="79">
        <f>+F641-H641</f>
        <v>0</v>
      </c>
      <c r="I642" s="882"/>
      <c r="J642" s="876"/>
      <c r="K642" s="878"/>
      <c r="L642" s="882"/>
      <c r="M642" s="882"/>
      <c r="N642" s="884"/>
      <c r="O642" s="56">
        <v>723</v>
      </c>
      <c r="P642" s="79">
        <f>+N641-P641</f>
        <v>7821240</v>
      </c>
    </row>
    <row r="643" spans="1:16" ht="12.75" customHeight="1">
      <c r="A643" s="881"/>
      <c r="B643" s="875"/>
      <c r="C643" s="877"/>
      <c r="D643" s="881"/>
      <c r="E643" s="881"/>
      <c r="F643" s="883"/>
      <c r="G643" s="55">
        <v>719</v>
      </c>
      <c r="H643" s="78"/>
      <c r="I643" s="873" t="s">
        <v>720</v>
      </c>
      <c r="J643" s="875">
        <v>42843</v>
      </c>
      <c r="K643" s="877" t="s">
        <v>31</v>
      </c>
      <c r="L643" s="881" t="s">
        <v>1461</v>
      </c>
      <c r="M643" s="881" t="s">
        <v>148</v>
      </c>
      <c r="N643" s="883">
        <v>390000</v>
      </c>
      <c r="O643" s="55">
        <v>719</v>
      </c>
      <c r="P643" s="78">
        <v>300000</v>
      </c>
    </row>
    <row r="644" spans="1:16" ht="12.75" customHeight="1" thickBot="1">
      <c r="A644" s="882"/>
      <c r="B644" s="876"/>
      <c r="C644" s="878"/>
      <c r="D644" s="882"/>
      <c r="E644" s="882"/>
      <c r="F644" s="884"/>
      <c r="G644" s="56">
        <v>721</v>
      </c>
      <c r="H644" s="79">
        <f>+F643-H643</f>
        <v>0</v>
      </c>
      <c r="I644" s="882"/>
      <c r="J644" s="876"/>
      <c r="K644" s="878"/>
      <c r="L644" s="882"/>
      <c r="M644" s="882"/>
      <c r="N644" s="884"/>
      <c r="O644" s="56">
        <v>721</v>
      </c>
      <c r="P644" s="79">
        <f>+N643-P643</f>
        <v>90000</v>
      </c>
    </row>
    <row r="645" spans="1:16" ht="12.75" customHeight="1">
      <c r="A645" s="881"/>
      <c r="B645" s="875"/>
      <c r="C645" s="877"/>
      <c r="D645" s="881"/>
      <c r="E645" s="881"/>
      <c r="F645" s="883"/>
      <c r="G645" s="55">
        <v>719</v>
      </c>
      <c r="H645" s="78"/>
      <c r="I645" s="873" t="s">
        <v>721</v>
      </c>
      <c r="J645" s="875">
        <v>42843</v>
      </c>
      <c r="K645" s="877" t="s">
        <v>120</v>
      </c>
      <c r="L645" s="881" t="s">
        <v>1462</v>
      </c>
      <c r="M645" s="881" t="s">
        <v>148</v>
      </c>
      <c r="N645" s="883">
        <v>520000</v>
      </c>
      <c r="O645" s="55">
        <v>719</v>
      </c>
      <c r="P645" s="78">
        <v>400000</v>
      </c>
    </row>
    <row r="646" spans="1:16" ht="12.75" customHeight="1" thickBot="1">
      <c r="A646" s="882"/>
      <c r="B646" s="876"/>
      <c r="C646" s="878"/>
      <c r="D646" s="882"/>
      <c r="E646" s="882"/>
      <c r="F646" s="884"/>
      <c r="G646" s="56">
        <v>721</v>
      </c>
      <c r="H646" s="79">
        <f>+F645-H645</f>
        <v>0</v>
      </c>
      <c r="I646" s="882"/>
      <c r="J646" s="876"/>
      <c r="K646" s="878"/>
      <c r="L646" s="882"/>
      <c r="M646" s="882"/>
      <c r="N646" s="884"/>
      <c r="O646" s="56">
        <v>721</v>
      </c>
      <c r="P646" s="79">
        <f>+N645-P645</f>
        <v>120000</v>
      </c>
    </row>
    <row r="647" spans="1:16" ht="16.5" thickBot="1">
      <c r="A647" s="901" t="s">
        <v>102</v>
      </c>
      <c r="B647" s="902"/>
      <c r="C647" s="902"/>
      <c r="D647" s="902"/>
      <c r="E647" s="903"/>
      <c r="F647" s="81">
        <f>SUM(F637:F646)</f>
        <v>20476705</v>
      </c>
      <c r="I647" s="901" t="s">
        <v>102</v>
      </c>
      <c r="J647" s="902"/>
      <c r="K647" s="902"/>
      <c r="L647" s="902"/>
      <c r="M647" s="903"/>
      <c r="N647" s="81">
        <f>SUM(N637:N646)</f>
        <v>19997196</v>
      </c>
    </row>
    <row r="648" spans="1:16" ht="16.5" thickBot="1">
      <c r="A648" s="885" t="s">
        <v>103</v>
      </c>
      <c r="B648" s="886"/>
      <c r="C648" s="886"/>
      <c r="D648" s="886"/>
      <c r="E648" s="887"/>
      <c r="F648" s="69">
        <f>+F612</f>
        <v>631436225</v>
      </c>
      <c r="I648" s="885" t="s">
        <v>103</v>
      </c>
      <c r="J648" s="886"/>
      <c r="K648" s="886"/>
      <c r="L648" s="886"/>
      <c r="M648" s="887"/>
      <c r="N648" s="239">
        <f>+N612</f>
        <v>381307017</v>
      </c>
      <c r="O648" s="241" t="s">
        <v>561</v>
      </c>
      <c r="P648" s="242">
        <f>336+951</f>
        <v>1287</v>
      </c>
    </row>
    <row r="649" spans="1:16" ht="16.5" thickBot="1">
      <c r="A649" s="888" t="s">
        <v>104</v>
      </c>
      <c r="B649" s="889"/>
      <c r="C649" s="889"/>
      <c r="D649" s="889"/>
      <c r="E649" s="890"/>
      <c r="F649" s="183">
        <f>SUM(F647:F648)</f>
        <v>651912930</v>
      </c>
      <c r="I649" s="888" t="s">
        <v>104</v>
      </c>
      <c r="J649" s="889"/>
      <c r="K649" s="889"/>
      <c r="L649" s="889"/>
      <c r="M649" s="890"/>
      <c r="N649" s="183">
        <f>SUM(N647:N648)</f>
        <v>401304213</v>
      </c>
    </row>
    <row r="650" spans="1:16">
      <c r="A650" s="61"/>
      <c r="B650" s="61"/>
      <c r="C650" s="61"/>
      <c r="D650" s="61"/>
      <c r="E650" s="61"/>
      <c r="I650" s="61"/>
      <c r="J650" s="61"/>
      <c r="K650" s="61"/>
      <c r="L650" s="61"/>
      <c r="M650" s="61"/>
    </row>
    <row r="651" spans="1:16">
      <c r="A651" s="51" t="s">
        <v>349</v>
      </c>
      <c r="I651" s="51" t="s">
        <v>1463</v>
      </c>
    </row>
    <row r="652" spans="1:16" ht="12" customHeight="1">
      <c r="F652" s="139"/>
      <c r="N652" s="139"/>
    </row>
    <row r="653" spans="1:16">
      <c r="A653" s="50" t="s">
        <v>105</v>
      </c>
      <c r="D653" s="146"/>
      <c r="F653" s="139"/>
      <c r="I653" s="50" t="s">
        <v>105</v>
      </c>
      <c r="L653" s="146"/>
      <c r="N653" s="139"/>
    </row>
    <row r="654" spans="1:16" ht="10.5" customHeight="1" thickBot="1"/>
    <row r="655" spans="1:16" ht="15.75" thickBot="1">
      <c r="A655" s="891" t="s">
        <v>106</v>
      </c>
      <c r="B655" s="892"/>
      <c r="C655" s="892"/>
      <c r="D655" s="893"/>
      <c r="F655" s="50" t="s">
        <v>270</v>
      </c>
      <c r="I655" s="891" t="s">
        <v>106</v>
      </c>
      <c r="J655" s="892"/>
      <c r="K655" s="892"/>
      <c r="L655" s="893"/>
    </row>
    <row r="656" spans="1:16" ht="30.75" thickBot="1">
      <c r="A656" s="57" t="s">
        <v>100</v>
      </c>
      <c r="B656" s="58" t="s">
        <v>108</v>
      </c>
      <c r="C656" s="59" t="s">
        <v>109</v>
      </c>
      <c r="D656" s="60" t="s">
        <v>110</v>
      </c>
      <c r="I656" s="57" t="s">
        <v>100</v>
      </c>
      <c r="J656" s="58" t="s">
        <v>108</v>
      </c>
      <c r="K656" s="59" t="s">
        <v>109</v>
      </c>
      <c r="L656" s="60" t="s">
        <v>110</v>
      </c>
      <c r="N656" s="605" t="s">
        <v>288</v>
      </c>
      <c r="O656" s="605"/>
      <c r="P656" s="605"/>
    </row>
    <row r="657" spans="1:16" ht="13.5" customHeight="1">
      <c r="A657" s="71">
        <v>719</v>
      </c>
      <c r="B657" s="73">
        <f>+H637+H639+H641+H643+H645</f>
        <v>0</v>
      </c>
      <c r="C657" s="74" t="e">
        <f>+D620</f>
        <v>#REF!</v>
      </c>
      <c r="D657" s="195" t="e">
        <f>+B657+C657</f>
        <v>#REF!</v>
      </c>
      <c r="I657" s="71">
        <v>719</v>
      </c>
      <c r="J657" s="73">
        <f>+P645+P643</f>
        <v>700000</v>
      </c>
      <c r="K657" s="74">
        <f>+L620</f>
        <v>6066700</v>
      </c>
      <c r="L657" s="195">
        <f>+J657+K657</f>
        <v>6766700</v>
      </c>
      <c r="N657" s="202"/>
      <c r="O657" s="202"/>
      <c r="P657" s="202"/>
    </row>
    <row r="658" spans="1:16" ht="12.75" customHeight="1">
      <c r="A658" s="72">
        <v>721</v>
      </c>
      <c r="B658" s="80">
        <f>+H638</f>
        <v>20276705</v>
      </c>
      <c r="C658" s="74" t="e">
        <f>+D621</f>
        <v>#REF!</v>
      </c>
      <c r="D658" s="195" t="e">
        <f>+B658+C658</f>
        <v>#REF!</v>
      </c>
      <c r="I658" s="72">
        <v>721</v>
      </c>
      <c r="J658" s="80">
        <f>+P646+P644</f>
        <v>210000</v>
      </c>
      <c r="K658" s="74">
        <f>+L621</f>
        <v>659550</v>
      </c>
      <c r="L658" s="195">
        <f>+J658+K658</f>
        <v>869550</v>
      </c>
      <c r="N658" s="202"/>
      <c r="O658" s="202"/>
      <c r="P658" s="202"/>
    </row>
    <row r="659" spans="1:16" ht="14.25" customHeight="1">
      <c r="A659" s="72">
        <v>722</v>
      </c>
      <c r="B659" s="80"/>
      <c r="C659" s="74">
        <f>+D622</f>
        <v>231207671</v>
      </c>
      <c r="D659" s="195">
        <f>+B659+C659</f>
        <v>231207671</v>
      </c>
      <c r="I659" s="72">
        <v>722</v>
      </c>
      <c r="J659" s="80"/>
      <c r="K659" s="74">
        <f>+L622</f>
        <v>0</v>
      </c>
      <c r="L659" s="195">
        <f>+J659+K659</f>
        <v>0</v>
      </c>
      <c r="N659" s="202"/>
      <c r="O659" s="202"/>
      <c r="P659" s="202"/>
    </row>
    <row r="660" spans="1:16" ht="16.5">
      <c r="A660" s="72">
        <v>723</v>
      </c>
      <c r="B660" s="80">
        <f>+H640</f>
        <v>200000</v>
      </c>
      <c r="C660" s="74">
        <f>+D623</f>
        <v>321228837</v>
      </c>
      <c r="D660" s="195">
        <f>+B660+C660</f>
        <v>321428837</v>
      </c>
      <c r="F660" s="193" t="s">
        <v>348</v>
      </c>
      <c r="G660" s="175"/>
      <c r="I660" s="72">
        <v>723</v>
      </c>
      <c r="J660" s="80">
        <f>+P642+P640+P638</f>
        <v>19087196</v>
      </c>
      <c r="K660" s="74">
        <f>+L623</f>
        <v>374580767</v>
      </c>
      <c r="L660" s="195">
        <f>+J660+K660</f>
        <v>393667963</v>
      </c>
      <c r="N660" s="202"/>
      <c r="O660" s="202"/>
      <c r="P660" s="202"/>
    </row>
    <row r="661" spans="1:16" ht="16.5" thickBot="1">
      <c r="A661" s="164" t="s">
        <v>181</v>
      </c>
      <c r="B661" s="165"/>
      <c r="C661" s="74">
        <f>+D624</f>
        <v>1965625</v>
      </c>
      <c r="D661" s="196">
        <f>+B661+C661</f>
        <v>1965625</v>
      </c>
      <c r="F661" s="52"/>
      <c r="I661" s="164" t="s">
        <v>181</v>
      </c>
      <c r="J661" s="165"/>
      <c r="K661" s="74">
        <f>+L624</f>
        <v>0</v>
      </c>
      <c r="L661" s="196">
        <f>+J661+K661</f>
        <v>0</v>
      </c>
      <c r="N661" s="608" t="s">
        <v>1436</v>
      </c>
      <c r="O661" s="608"/>
      <c r="P661" s="608"/>
    </row>
    <row r="662" spans="1:16" ht="16.5" thickBot="1">
      <c r="A662" s="169"/>
      <c r="B662" s="170">
        <f>SUM(B657:B661)</f>
        <v>20476705</v>
      </c>
      <c r="C662" s="171" t="e">
        <f>SUM(C657:C661)</f>
        <v>#REF!</v>
      </c>
      <c r="D662" s="172" t="e">
        <f>SUM(D657:D661)</f>
        <v>#REF!</v>
      </c>
      <c r="I662" s="169"/>
      <c r="J662" s="197">
        <f>SUM(J657:J661)</f>
        <v>19997196</v>
      </c>
      <c r="K662" s="197">
        <f>SUM(K657:K661)</f>
        <v>381307017</v>
      </c>
      <c r="L662" s="198">
        <f>SUM(L657:L661)</f>
        <v>401304213</v>
      </c>
    </row>
    <row r="663" spans="1:16" ht="16.5">
      <c r="A663" s="49" t="s">
        <v>88</v>
      </c>
      <c r="B663" s="50"/>
      <c r="I663" s="49" t="s">
        <v>88</v>
      </c>
      <c r="J663" s="50"/>
    </row>
    <row r="664" spans="1:16" ht="13.5" customHeight="1">
      <c r="A664" s="51" t="s">
        <v>89</v>
      </c>
      <c r="I664" s="51" t="s">
        <v>89</v>
      </c>
    </row>
    <row r="665" spans="1:16" ht="13.5" customHeight="1">
      <c r="A665" s="51" t="s">
        <v>90</v>
      </c>
      <c r="I665" s="51" t="s">
        <v>90</v>
      </c>
    </row>
    <row r="666" spans="1:16" ht="14.25" customHeight="1">
      <c r="A666" s="51" t="s">
        <v>91</v>
      </c>
      <c r="I666" s="51" t="s">
        <v>91</v>
      </c>
    </row>
    <row r="667" spans="1:16" ht="11.25" customHeight="1">
      <c r="A667" s="50"/>
      <c r="B667" s="50"/>
      <c r="I667" s="50"/>
      <c r="J667" s="50"/>
    </row>
    <row r="668" spans="1:16" ht="16.5">
      <c r="A668" s="52" t="s">
        <v>351</v>
      </c>
      <c r="G668" s="52"/>
      <c r="I668" s="52" t="s">
        <v>731</v>
      </c>
      <c r="O668" s="52"/>
    </row>
    <row r="669" spans="1:16" ht="15.75">
      <c r="A669" s="53" t="s">
        <v>92</v>
      </c>
      <c r="G669" s="53"/>
      <c r="I669" s="53" t="s">
        <v>1333</v>
      </c>
      <c r="O669" s="53"/>
    </row>
    <row r="670" spans="1:16" ht="15" customHeight="1">
      <c r="A670" s="894" t="s">
        <v>93</v>
      </c>
      <c r="B670" s="894"/>
      <c r="C670" s="894"/>
      <c r="D670" s="894"/>
      <c r="E670" s="894"/>
      <c r="F670" s="894"/>
      <c r="G670" s="894"/>
      <c r="H670" s="894"/>
      <c r="I670" s="894" t="s">
        <v>1278</v>
      </c>
      <c r="J670" s="894"/>
      <c r="K670" s="894"/>
      <c r="L670" s="894"/>
      <c r="M670" s="894"/>
      <c r="N670" s="894"/>
      <c r="O670" s="894"/>
      <c r="P670" s="894"/>
    </row>
    <row r="671" spans="1:16" ht="11.25" customHeight="1" thickBot="1"/>
    <row r="672" spans="1:16">
      <c r="A672" s="895" t="s">
        <v>94</v>
      </c>
      <c r="B672" s="897" t="s">
        <v>95</v>
      </c>
      <c r="C672" s="897" t="s">
        <v>96</v>
      </c>
      <c r="D672" s="897" t="s">
        <v>3</v>
      </c>
      <c r="E672" s="897" t="s">
        <v>97</v>
      </c>
      <c r="F672" s="897" t="s">
        <v>98</v>
      </c>
      <c r="G672" s="897" t="s">
        <v>99</v>
      </c>
      <c r="H672" s="899"/>
      <c r="I672" s="895" t="s">
        <v>94</v>
      </c>
      <c r="J672" s="897" t="s">
        <v>95</v>
      </c>
      <c r="K672" s="897" t="s">
        <v>96</v>
      </c>
      <c r="L672" s="897" t="s">
        <v>3</v>
      </c>
      <c r="M672" s="897" t="s">
        <v>97</v>
      </c>
      <c r="N672" s="897" t="s">
        <v>98</v>
      </c>
      <c r="O672" s="897" t="s">
        <v>99</v>
      </c>
      <c r="P672" s="899"/>
    </row>
    <row r="673" spans="1:16" ht="15.75" thickBot="1">
      <c r="A673" s="896"/>
      <c r="B673" s="898"/>
      <c r="C673" s="898"/>
      <c r="D673" s="898"/>
      <c r="E673" s="898"/>
      <c r="F673" s="898"/>
      <c r="G673" s="240" t="s">
        <v>100</v>
      </c>
      <c r="H673" s="182" t="s">
        <v>101</v>
      </c>
      <c r="I673" s="896"/>
      <c r="J673" s="898"/>
      <c r="K673" s="898"/>
      <c r="L673" s="898"/>
      <c r="M673" s="898"/>
      <c r="N673" s="898"/>
      <c r="O673" s="240" t="s">
        <v>100</v>
      </c>
      <c r="P673" s="182" t="s">
        <v>101</v>
      </c>
    </row>
    <row r="674" spans="1:16" ht="14.25" customHeight="1">
      <c r="A674" s="881" t="e">
        <f>+A639+1</f>
        <v>#REF!</v>
      </c>
      <c r="B674" s="875">
        <v>42296</v>
      </c>
      <c r="C674" s="877" t="s">
        <v>267</v>
      </c>
      <c r="D674" s="881" t="s">
        <v>359</v>
      </c>
      <c r="E674" s="881" t="s">
        <v>148</v>
      </c>
      <c r="F674" s="883">
        <v>154000</v>
      </c>
      <c r="G674" s="55">
        <v>719</v>
      </c>
      <c r="H674" s="78">
        <v>110000</v>
      </c>
      <c r="I674" s="873" t="s">
        <v>732</v>
      </c>
      <c r="J674" s="875">
        <v>42845</v>
      </c>
      <c r="K674" s="877" t="s">
        <v>31</v>
      </c>
      <c r="L674" s="881" t="s">
        <v>1470</v>
      </c>
      <c r="M674" s="881" t="s">
        <v>148</v>
      </c>
      <c r="N674" s="883">
        <v>598000</v>
      </c>
      <c r="O674" s="55">
        <v>719</v>
      </c>
      <c r="P674" s="78">
        <v>460000</v>
      </c>
    </row>
    <row r="675" spans="1:16" ht="13.5" customHeight="1" thickBot="1">
      <c r="A675" s="882"/>
      <c r="B675" s="876"/>
      <c r="C675" s="878"/>
      <c r="D675" s="882"/>
      <c r="E675" s="882"/>
      <c r="F675" s="884"/>
      <c r="G675" s="56">
        <v>721</v>
      </c>
      <c r="H675" s="79">
        <f>+F674-H674</f>
        <v>44000</v>
      </c>
      <c r="I675" s="882"/>
      <c r="J675" s="876"/>
      <c r="K675" s="878"/>
      <c r="L675" s="882"/>
      <c r="M675" s="882"/>
      <c r="N675" s="884"/>
      <c r="O675" s="56">
        <v>721</v>
      </c>
      <c r="P675" s="79">
        <f>+N674-P674</f>
        <v>138000</v>
      </c>
    </row>
    <row r="676" spans="1:16" ht="12.75" customHeight="1">
      <c r="A676" s="881" t="e">
        <f>+A674+1</f>
        <v>#REF!</v>
      </c>
      <c r="B676" s="875">
        <v>42296</v>
      </c>
      <c r="C676" s="881" t="s">
        <v>28</v>
      </c>
      <c r="D676" s="881" t="s">
        <v>357</v>
      </c>
      <c r="E676" s="881" t="s">
        <v>148</v>
      </c>
      <c r="F676" s="883">
        <v>280000</v>
      </c>
      <c r="G676" s="55">
        <v>719</v>
      </c>
      <c r="H676" s="78">
        <v>200000</v>
      </c>
      <c r="I676" s="873" t="s">
        <v>733</v>
      </c>
      <c r="J676" s="875">
        <v>42845</v>
      </c>
      <c r="K676" s="877" t="s">
        <v>28</v>
      </c>
      <c r="L676" s="881" t="s">
        <v>1469</v>
      </c>
      <c r="M676" s="881" t="s">
        <v>148</v>
      </c>
      <c r="N676" s="883">
        <v>481000</v>
      </c>
      <c r="O676" s="55">
        <v>719</v>
      </c>
      <c r="P676" s="78">
        <v>370000</v>
      </c>
    </row>
    <row r="677" spans="1:16" ht="12.75" customHeight="1" thickBot="1">
      <c r="A677" s="882"/>
      <c r="B677" s="876"/>
      <c r="C677" s="882"/>
      <c r="D677" s="882"/>
      <c r="E677" s="882"/>
      <c r="F677" s="884"/>
      <c r="G677" s="56">
        <v>721</v>
      </c>
      <c r="H677" s="79">
        <f>+F676-H676</f>
        <v>80000</v>
      </c>
      <c r="I677" s="882"/>
      <c r="J677" s="876"/>
      <c r="K677" s="878"/>
      <c r="L677" s="882"/>
      <c r="M677" s="882"/>
      <c r="N677" s="884"/>
      <c r="O677" s="56">
        <v>721</v>
      </c>
      <c r="P677" s="79">
        <f>+N676-P676</f>
        <v>111000</v>
      </c>
    </row>
    <row r="678" spans="1:16" ht="12" customHeight="1">
      <c r="A678" s="881" t="e">
        <f>+A676+1</f>
        <v>#REF!</v>
      </c>
      <c r="B678" s="875">
        <v>42296</v>
      </c>
      <c r="C678" s="877" t="s">
        <v>32</v>
      </c>
      <c r="D678" s="881" t="s">
        <v>357</v>
      </c>
      <c r="E678" s="881" t="s">
        <v>148</v>
      </c>
      <c r="F678" s="883">
        <v>98000</v>
      </c>
      <c r="G678" s="55">
        <v>719</v>
      </c>
      <c r="H678" s="78">
        <v>70000</v>
      </c>
      <c r="I678" s="873" t="s">
        <v>734</v>
      </c>
      <c r="J678" s="875">
        <v>42845</v>
      </c>
      <c r="K678" s="877" t="s">
        <v>28</v>
      </c>
      <c r="L678" s="926" t="s">
        <v>1467</v>
      </c>
      <c r="M678" s="881" t="s">
        <v>148</v>
      </c>
      <c r="N678" s="883">
        <v>416000</v>
      </c>
      <c r="O678" s="55">
        <v>719</v>
      </c>
      <c r="P678" s="78">
        <v>320000</v>
      </c>
    </row>
    <row r="679" spans="1:16" ht="14.25" customHeight="1" thickBot="1">
      <c r="A679" s="882"/>
      <c r="B679" s="876"/>
      <c r="C679" s="878"/>
      <c r="D679" s="882"/>
      <c r="E679" s="882"/>
      <c r="F679" s="884"/>
      <c r="G679" s="56">
        <v>721</v>
      </c>
      <c r="H679" s="79">
        <f>+F678-H678</f>
        <v>28000</v>
      </c>
      <c r="I679" s="882"/>
      <c r="J679" s="876"/>
      <c r="K679" s="878"/>
      <c r="L679" s="927"/>
      <c r="M679" s="882"/>
      <c r="N679" s="884"/>
      <c r="O679" s="56">
        <v>721</v>
      </c>
      <c r="P679" s="79">
        <f>+N678-P678</f>
        <v>96000</v>
      </c>
    </row>
    <row r="680" spans="1:16" ht="13.5" customHeight="1">
      <c r="A680" s="881" t="e">
        <f>+A678+1</f>
        <v>#REF!</v>
      </c>
      <c r="B680" s="875">
        <v>42296</v>
      </c>
      <c r="C680" s="877" t="s">
        <v>111</v>
      </c>
      <c r="D680" s="881" t="s">
        <v>358</v>
      </c>
      <c r="E680" s="881" t="s">
        <v>148</v>
      </c>
      <c r="F680" s="883">
        <v>56000</v>
      </c>
      <c r="G680" s="55">
        <v>719</v>
      </c>
      <c r="H680" s="78">
        <v>40000</v>
      </c>
      <c r="I680" s="873" t="s">
        <v>735</v>
      </c>
      <c r="J680" s="875">
        <v>42845</v>
      </c>
      <c r="K680" s="877" t="s">
        <v>28</v>
      </c>
      <c r="L680" s="881" t="s">
        <v>1472</v>
      </c>
      <c r="M680" s="881" t="s">
        <v>148</v>
      </c>
      <c r="N680" s="883">
        <v>936000</v>
      </c>
      <c r="O680" s="55">
        <v>719</v>
      </c>
      <c r="P680" s="78">
        <v>720000</v>
      </c>
    </row>
    <row r="681" spans="1:16" ht="13.5" customHeight="1" thickBot="1">
      <c r="A681" s="882"/>
      <c r="B681" s="876"/>
      <c r="C681" s="878"/>
      <c r="D681" s="882"/>
      <c r="E681" s="882"/>
      <c r="F681" s="884"/>
      <c r="G681" s="56">
        <v>721</v>
      </c>
      <c r="H681" s="79">
        <f>+F680-H680</f>
        <v>16000</v>
      </c>
      <c r="I681" s="882"/>
      <c r="J681" s="876"/>
      <c r="K681" s="878"/>
      <c r="L681" s="882"/>
      <c r="M681" s="882"/>
      <c r="N681" s="884"/>
      <c r="O681" s="56">
        <v>721</v>
      </c>
      <c r="P681" s="79">
        <f>+N680-P680</f>
        <v>216000</v>
      </c>
    </row>
    <row r="682" spans="1:16" ht="12" customHeight="1">
      <c r="A682" s="251"/>
      <c r="B682" s="252"/>
      <c r="C682" s="253"/>
      <c r="D682" s="251"/>
      <c r="E682" s="251"/>
      <c r="F682" s="254"/>
      <c r="G682" s="255"/>
      <c r="H682" s="256"/>
      <c r="I682" s="873" t="s">
        <v>736</v>
      </c>
      <c r="J682" s="875">
        <v>42845</v>
      </c>
      <c r="K682" s="881" t="s">
        <v>1470</v>
      </c>
      <c r="L682" s="881" t="s">
        <v>1471</v>
      </c>
      <c r="M682" s="881" t="s">
        <v>148</v>
      </c>
      <c r="N682" s="883">
        <v>715000</v>
      </c>
      <c r="O682" s="55">
        <v>719</v>
      </c>
      <c r="P682" s="78">
        <v>550000</v>
      </c>
    </row>
    <row r="683" spans="1:16" ht="12.75" customHeight="1" thickBot="1">
      <c r="A683" s="251"/>
      <c r="B683" s="252"/>
      <c r="C683" s="253"/>
      <c r="D683" s="251"/>
      <c r="E683" s="251"/>
      <c r="F683" s="254"/>
      <c r="G683" s="255"/>
      <c r="H683" s="256"/>
      <c r="I683" s="882"/>
      <c r="J683" s="876"/>
      <c r="K683" s="882"/>
      <c r="L683" s="882"/>
      <c r="M683" s="882"/>
      <c r="N683" s="884"/>
      <c r="O683" s="56">
        <v>721</v>
      </c>
      <c r="P683" s="79">
        <f>+N682-P682</f>
        <v>165000</v>
      </c>
    </row>
    <row r="684" spans="1:16" ht="12.75" customHeight="1">
      <c r="A684" s="881" t="e">
        <f>+A680+1</f>
        <v>#REF!</v>
      </c>
      <c r="B684" s="875">
        <v>42296</v>
      </c>
      <c r="C684" s="877" t="s">
        <v>272</v>
      </c>
      <c r="D684" s="881" t="s">
        <v>357</v>
      </c>
      <c r="E684" s="881" t="s">
        <v>148</v>
      </c>
      <c r="F684" s="883">
        <v>616000</v>
      </c>
      <c r="G684" s="55">
        <v>719</v>
      </c>
      <c r="H684" s="78">
        <v>440000</v>
      </c>
      <c r="I684" s="873" t="s">
        <v>737</v>
      </c>
      <c r="J684" s="875">
        <v>42845</v>
      </c>
      <c r="K684" s="877" t="s">
        <v>28</v>
      </c>
      <c r="L684" s="881" t="s">
        <v>1468</v>
      </c>
      <c r="M684" s="881" t="s">
        <v>148</v>
      </c>
      <c r="N684" s="883">
        <v>754000</v>
      </c>
      <c r="O684" s="55">
        <v>719</v>
      </c>
      <c r="P684" s="78">
        <v>580000</v>
      </c>
    </row>
    <row r="685" spans="1:16" ht="12.75" customHeight="1" thickBot="1">
      <c r="A685" s="882"/>
      <c r="B685" s="876"/>
      <c r="C685" s="878"/>
      <c r="D685" s="882"/>
      <c r="E685" s="882"/>
      <c r="F685" s="884"/>
      <c r="G685" s="56">
        <v>721</v>
      </c>
      <c r="H685" s="79">
        <f>+F684-H684</f>
        <v>176000</v>
      </c>
      <c r="I685" s="882"/>
      <c r="J685" s="876"/>
      <c r="K685" s="878"/>
      <c r="L685" s="882"/>
      <c r="M685" s="882"/>
      <c r="N685" s="884"/>
      <c r="O685" s="56">
        <v>721</v>
      </c>
      <c r="P685" s="79">
        <f>+N684-P684</f>
        <v>174000</v>
      </c>
    </row>
    <row r="686" spans="1:16" ht="16.5" thickBot="1">
      <c r="A686" s="901" t="s">
        <v>102</v>
      </c>
      <c r="B686" s="902"/>
      <c r="C686" s="902"/>
      <c r="D686" s="902"/>
      <c r="E686" s="903"/>
      <c r="F686" s="81">
        <f>SUM(F674:F685)</f>
        <v>1204000</v>
      </c>
      <c r="I686" s="901" t="s">
        <v>102</v>
      </c>
      <c r="J686" s="902"/>
      <c r="K686" s="902"/>
      <c r="L686" s="902"/>
      <c r="M686" s="903"/>
      <c r="N686" s="81">
        <f>SUM(N674:N685)</f>
        <v>3900000</v>
      </c>
    </row>
    <row r="687" spans="1:16" ht="16.5" thickBot="1">
      <c r="A687" s="885" t="s">
        <v>103</v>
      </c>
      <c r="B687" s="886"/>
      <c r="C687" s="886"/>
      <c r="D687" s="886"/>
      <c r="E687" s="887"/>
      <c r="F687" s="69">
        <f>+F649</f>
        <v>651912930</v>
      </c>
      <c r="I687" s="885" t="s">
        <v>103</v>
      </c>
      <c r="J687" s="886"/>
      <c r="K687" s="886"/>
      <c r="L687" s="886"/>
      <c r="M687" s="887"/>
      <c r="N687" s="239">
        <f>+N649</f>
        <v>401304213</v>
      </c>
      <c r="O687" s="241" t="s">
        <v>561</v>
      </c>
      <c r="P687" s="242">
        <f>1053+1107+1528+151+789</f>
        <v>4628</v>
      </c>
    </row>
    <row r="688" spans="1:16" ht="16.5" thickBot="1">
      <c r="A688" s="888" t="s">
        <v>104</v>
      </c>
      <c r="B688" s="889"/>
      <c r="C688" s="889"/>
      <c r="D688" s="889"/>
      <c r="E688" s="890"/>
      <c r="F688" s="183">
        <f>SUM(F686:F687)</f>
        <v>653116930</v>
      </c>
      <c r="I688" s="888" t="s">
        <v>104</v>
      </c>
      <c r="J688" s="889"/>
      <c r="K688" s="889"/>
      <c r="L688" s="889"/>
      <c r="M688" s="890"/>
      <c r="N688" s="183">
        <f>SUM(N686:N687)</f>
        <v>405204213</v>
      </c>
    </row>
    <row r="689" spans="1:16" ht="12" customHeight="1">
      <c r="A689" s="61"/>
      <c r="B689" s="61"/>
      <c r="C689" s="61"/>
      <c r="D689" s="61"/>
      <c r="E689" s="61"/>
      <c r="I689" s="61"/>
      <c r="J689" s="61"/>
      <c r="K689" s="61"/>
      <c r="L689" s="61"/>
      <c r="M689" s="61"/>
    </row>
    <row r="690" spans="1:16">
      <c r="A690" s="51" t="s">
        <v>353</v>
      </c>
      <c r="I690" s="51" t="s">
        <v>1473</v>
      </c>
    </row>
    <row r="691" spans="1:16" ht="8.25" customHeight="1">
      <c r="F691" s="139"/>
      <c r="N691" s="139"/>
    </row>
    <row r="692" spans="1:16">
      <c r="A692" s="50" t="s">
        <v>105</v>
      </c>
      <c r="D692" s="146"/>
      <c r="F692" s="139"/>
      <c r="I692" s="50" t="s">
        <v>105</v>
      </c>
      <c r="L692" s="146"/>
      <c r="N692" s="139"/>
    </row>
    <row r="693" spans="1:16" ht="12" customHeight="1" thickBot="1"/>
    <row r="694" spans="1:16" ht="15.75" customHeight="1" thickBot="1">
      <c r="A694" s="891" t="s">
        <v>106</v>
      </c>
      <c r="B694" s="892"/>
      <c r="C694" s="892"/>
      <c r="D694" s="893"/>
      <c r="F694" s="50" t="s">
        <v>270</v>
      </c>
      <c r="I694" s="891" t="s">
        <v>106</v>
      </c>
      <c r="J694" s="892"/>
      <c r="K694" s="892"/>
      <c r="L694" s="893"/>
      <c r="N694" s="605" t="s">
        <v>288</v>
      </c>
      <c r="O694" s="605"/>
      <c r="P694" s="605"/>
    </row>
    <row r="695" spans="1:16" ht="28.5" customHeight="1" thickBot="1">
      <c r="A695" s="57" t="s">
        <v>100</v>
      </c>
      <c r="B695" s="58" t="s">
        <v>108</v>
      </c>
      <c r="C695" s="59" t="s">
        <v>109</v>
      </c>
      <c r="D695" s="60" t="s">
        <v>110</v>
      </c>
      <c r="I695" s="57" t="s">
        <v>100</v>
      </c>
      <c r="J695" s="58" t="s">
        <v>108</v>
      </c>
      <c r="K695" s="59" t="s">
        <v>109</v>
      </c>
      <c r="L695" s="60" t="s">
        <v>110</v>
      </c>
      <c r="N695" s="202"/>
      <c r="O695" s="202"/>
      <c r="P695" s="202"/>
    </row>
    <row r="696" spans="1:16" ht="14.25" customHeight="1">
      <c r="A696" s="71">
        <v>719</v>
      </c>
      <c r="B696" s="73">
        <f>+H674+H676+H678+H680+H684</f>
        <v>860000</v>
      </c>
      <c r="C696" s="74" t="e">
        <f>+D657</f>
        <v>#REF!</v>
      </c>
      <c r="D696" s="195" t="e">
        <f>+B696+C696</f>
        <v>#REF!</v>
      </c>
      <c r="I696" s="71">
        <v>719</v>
      </c>
      <c r="J696" s="73">
        <f>+P674+P676+P678+P680+P682+P684</f>
        <v>3000000</v>
      </c>
      <c r="K696" s="74">
        <f>+L657</f>
        <v>6766700</v>
      </c>
      <c r="L696" s="195">
        <f>+J696+K696</f>
        <v>9766700</v>
      </c>
      <c r="N696" s="202"/>
      <c r="O696" s="202"/>
      <c r="P696" s="202"/>
    </row>
    <row r="697" spans="1:16" ht="12.75" customHeight="1">
      <c r="A697" s="72">
        <v>721</v>
      </c>
      <c r="B697" s="80">
        <f>+H675+H677+H679+H681+H685</f>
        <v>344000</v>
      </c>
      <c r="C697" s="74" t="e">
        <f>+D658</f>
        <v>#REF!</v>
      </c>
      <c r="D697" s="195" t="e">
        <f>+B697+C697</f>
        <v>#REF!</v>
      </c>
      <c r="I697" s="72">
        <v>721</v>
      </c>
      <c r="J697" s="80">
        <f>+P675+P677+P679+P681+P683+P685</f>
        <v>900000</v>
      </c>
      <c r="K697" s="74">
        <f>+L658</f>
        <v>869550</v>
      </c>
      <c r="L697" s="195">
        <f>+J697+K697</f>
        <v>1769550</v>
      </c>
      <c r="N697" s="202"/>
      <c r="O697" s="202"/>
      <c r="P697" s="202"/>
    </row>
    <row r="698" spans="1:16" ht="12.75" customHeight="1">
      <c r="A698" s="72">
        <v>722</v>
      </c>
      <c r="B698" s="80"/>
      <c r="C698" s="74">
        <f>+D659</f>
        <v>231207671</v>
      </c>
      <c r="D698" s="195">
        <f>+B698+C698</f>
        <v>231207671</v>
      </c>
      <c r="I698" s="72">
        <v>722</v>
      </c>
      <c r="J698" s="80"/>
      <c r="K698" s="74">
        <f>+L659</f>
        <v>0</v>
      </c>
      <c r="L698" s="195">
        <f>+J698+K698</f>
        <v>0</v>
      </c>
      <c r="N698" s="202"/>
      <c r="O698" s="202"/>
      <c r="P698" s="202"/>
    </row>
    <row r="699" spans="1:16" ht="13.5" customHeight="1">
      <c r="A699" s="72">
        <v>723</v>
      </c>
      <c r="B699" s="80"/>
      <c r="C699" s="74">
        <f>+D660</f>
        <v>321428837</v>
      </c>
      <c r="D699" s="195">
        <f>+B699+C699</f>
        <v>321428837</v>
      </c>
      <c r="F699" s="193" t="s">
        <v>348</v>
      </c>
      <c r="G699" s="175"/>
      <c r="I699" s="72">
        <v>723</v>
      </c>
      <c r="J699" s="80"/>
      <c r="K699" s="74">
        <f>+L660</f>
        <v>393667963</v>
      </c>
      <c r="L699" s="195">
        <f>+J699+K699</f>
        <v>393667963</v>
      </c>
      <c r="N699" s="608" t="s">
        <v>1436</v>
      </c>
      <c r="O699" s="608"/>
      <c r="P699" s="608"/>
    </row>
    <row r="700" spans="1:16" ht="12.75" customHeight="1" thickBot="1">
      <c r="A700" s="164" t="s">
        <v>181</v>
      </c>
      <c r="B700" s="165"/>
      <c r="C700" s="74">
        <f>+D661</f>
        <v>1965625</v>
      </c>
      <c r="D700" s="196">
        <f>+B700+C700</f>
        <v>1965625</v>
      </c>
      <c r="F700" s="52"/>
      <c r="I700" s="164" t="s">
        <v>181</v>
      </c>
      <c r="J700" s="165"/>
      <c r="K700" s="74">
        <f>+L661</f>
        <v>0</v>
      </c>
      <c r="L700" s="196">
        <f>+J700+K700</f>
        <v>0</v>
      </c>
      <c r="N700" s="52"/>
    </row>
    <row r="701" spans="1:16" ht="16.5" thickBot="1">
      <c r="A701" s="169"/>
      <c r="B701" s="170">
        <f>SUM(B696:B700)</f>
        <v>1204000</v>
      </c>
      <c r="C701" s="171" t="e">
        <f>SUM(C696:C700)</f>
        <v>#REF!</v>
      </c>
      <c r="D701" s="172" t="e">
        <f>SUM(D696:D700)</f>
        <v>#REF!</v>
      </c>
      <c r="I701" s="169"/>
      <c r="J701" s="197">
        <f>SUM(J696:J700)</f>
        <v>3900000</v>
      </c>
      <c r="K701" s="197">
        <f>SUM(K696:K700)</f>
        <v>401304213</v>
      </c>
      <c r="L701" s="198">
        <f>SUM(L696:L700)</f>
        <v>405204213</v>
      </c>
    </row>
    <row r="702" spans="1:16" ht="16.5">
      <c r="A702" s="49" t="s">
        <v>88</v>
      </c>
      <c r="B702" s="50"/>
      <c r="I702" s="49" t="s">
        <v>88</v>
      </c>
      <c r="J702" s="50"/>
    </row>
    <row r="703" spans="1:16">
      <c r="A703" s="51" t="s">
        <v>89</v>
      </c>
      <c r="I703" s="51" t="s">
        <v>89</v>
      </c>
    </row>
    <row r="704" spans="1:16">
      <c r="A704" s="51" t="s">
        <v>90</v>
      </c>
      <c r="I704" s="51" t="s">
        <v>90</v>
      </c>
    </row>
    <row r="705" spans="1:16">
      <c r="A705" s="51" t="s">
        <v>91</v>
      </c>
      <c r="I705" s="51" t="s">
        <v>91</v>
      </c>
    </row>
    <row r="706" spans="1:16" ht="12" customHeight="1">
      <c r="A706" s="50"/>
      <c r="B706" s="50"/>
      <c r="I706" s="50"/>
      <c r="J706" s="50"/>
    </row>
    <row r="707" spans="1:16" ht="16.5">
      <c r="A707" s="52" t="s">
        <v>352</v>
      </c>
      <c r="G707" s="52"/>
      <c r="I707" s="260" t="s">
        <v>743</v>
      </c>
      <c r="J707" s="262"/>
      <c r="O707" s="52"/>
    </row>
    <row r="708" spans="1:16" ht="15.75">
      <c r="A708" s="53" t="s">
        <v>92</v>
      </c>
      <c r="G708" s="53"/>
      <c r="I708" s="261" t="s">
        <v>1333</v>
      </c>
      <c r="J708" s="262"/>
      <c r="O708" s="53"/>
    </row>
    <row r="709" spans="1:16" ht="17.25" customHeight="1">
      <c r="A709" s="894" t="s">
        <v>93</v>
      </c>
      <c r="B709" s="894"/>
      <c r="C709" s="894"/>
      <c r="D709" s="894"/>
      <c r="E709" s="894"/>
      <c r="F709" s="894"/>
      <c r="G709" s="894"/>
      <c r="H709" s="894"/>
      <c r="I709" s="894" t="s">
        <v>749</v>
      </c>
      <c r="J709" s="894"/>
      <c r="K709" s="894"/>
      <c r="L709" s="894"/>
      <c r="M709" s="894"/>
      <c r="N709" s="894"/>
      <c r="O709" s="894"/>
      <c r="P709" s="894"/>
    </row>
    <row r="710" spans="1:16" ht="12.75" customHeight="1" thickBot="1"/>
    <row r="711" spans="1:16">
      <c r="A711" s="895" t="s">
        <v>94</v>
      </c>
      <c r="B711" s="897" t="s">
        <v>95</v>
      </c>
      <c r="C711" s="897" t="s">
        <v>96</v>
      </c>
      <c r="D711" s="897" t="s">
        <v>3</v>
      </c>
      <c r="E711" s="897" t="s">
        <v>97</v>
      </c>
      <c r="F711" s="897" t="s">
        <v>98</v>
      </c>
      <c r="G711" s="897" t="s">
        <v>99</v>
      </c>
      <c r="H711" s="899"/>
      <c r="I711" s="895" t="s">
        <v>94</v>
      </c>
      <c r="J711" s="897" t="s">
        <v>95</v>
      </c>
      <c r="K711" s="897" t="s">
        <v>96</v>
      </c>
      <c r="L711" s="897" t="s">
        <v>3</v>
      </c>
      <c r="M711" s="897" t="s">
        <v>97</v>
      </c>
      <c r="N711" s="897" t="s">
        <v>98</v>
      </c>
      <c r="O711" s="897" t="s">
        <v>99</v>
      </c>
      <c r="P711" s="899"/>
    </row>
    <row r="712" spans="1:16" ht="15.75" thickBot="1">
      <c r="A712" s="896"/>
      <c r="B712" s="898"/>
      <c r="C712" s="898"/>
      <c r="D712" s="898"/>
      <c r="E712" s="898"/>
      <c r="F712" s="898"/>
      <c r="G712" s="240" t="s">
        <v>100</v>
      </c>
      <c r="H712" s="182" t="s">
        <v>101</v>
      </c>
      <c r="I712" s="896"/>
      <c r="J712" s="898"/>
      <c r="K712" s="898"/>
      <c r="L712" s="898"/>
      <c r="M712" s="898"/>
      <c r="N712" s="898"/>
      <c r="O712" s="240" t="s">
        <v>100</v>
      </c>
      <c r="P712" s="182" t="s">
        <v>101</v>
      </c>
    </row>
    <row r="713" spans="1:16" ht="12" customHeight="1">
      <c r="A713" s="881" t="e">
        <f>+A684+1</f>
        <v>#REF!</v>
      </c>
      <c r="B713" s="875">
        <v>42296</v>
      </c>
      <c r="C713" s="877" t="s">
        <v>272</v>
      </c>
      <c r="D713" s="881" t="s">
        <v>356</v>
      </c>
      <c r="E713" s="881" t="s">
        <v>115</v>
      </c>
      <c r="F713" s="883">
        <v>100000</v>
      </c>
      <c r="G713" s="55">
        <v>719</v>
      </c>
      <c r="H713" s="78">
        <v>100000</v>
      </c>
      <c r="I713" s="873" t="s">
        <v>744</v>
      </c>
      <c r="J713" s="875">
        <v>42845</v>
      </c>
      <c r="K713" s="877" t="s">
        <v>40</v>
      </c>
      <c r="L713" s="926" t="s">
        <v>1474</v>
      </c>
      <c r="M713" s="881" t="s">
        <v>148</v>
      </c>
      <c r="N713" s="883">
        <v>299000</v>
      </c>
      <c r="O713" s="55">
        <v>719</v>
      </c>
      <c r="P713" s="78">
        <v>230000</v>
      </c>
    </row>
    <row r="714" spans="1:16" ht="13.5" customHeight="1" thickBot="1">
      <c r="A714" s="882"/>
      <c r="B714" s="876"/>
      <c r="C714" s="878"/>
      <c r="D714" s="882"/>
      <c r="E714" s="882"/>
      <c r="F714" s="884"/>
      <c r="G714" s="56">
        <v>721</v>
      </c>
      <c r="H714" s="79">
        <f>+F713-H713</f>
        <v>0</v>
      </c>
      <c r="I714" s="882"/>
      <c r="J714" s="876"/>
      <c r="K714" s="878"/>
      <c r="L714" s="927"/>
      <c r="M714" s="882"/>
      <c r="N714" s="884"/>
      <c r="O714" s="56">
        <v>721</v>
      </c>
      <c r="P714" s="79">
        <f>+N713-P713</f>
        <v>69000</v>
      </c>
    </row>
    <row r="715" spans="1:16" ht="13.5" customHeight="1">
      <c r="A715" s="881" t="e">
        <f>+A713+1</f>
        <v>#REF!</v>
      </c>
      <c r="B715" s="875">
        <v>42296</v>
      </c>
      <c r="C715" s="881" t="s">
        <v>28</v>
      </c>
      <c r="D715" s="881" t="s">
        <v>355</v>
      </c>
      <c r="E715" s="881" t="s">
        <v>115</v>
      </c>
      <c r="F715" s="883">
        <v>50000</v>
      </c>
      <c r="G715" s="55">
        <v>719</v>
      </c>
      <c r="H715" s="78">
        <v>50000</v>
      </c>
      <c r="I715" s="873" t="s">
        <v>745</v>
      </c>
      <c r="J715" s="875">
        <v>42845</v>
      </c>
      <c r="K715" s="959" t="s">
        <v>1475</v>
      </c>
      <c r="L715" s="881" t="s">
        <v>1477</v>
      </c>
      <c r="M715" s="881" t="s">
        <v>148</v>
      </c>
      <c r="N715" s="883">
        <v>150000</v>
      </c>
      <c r="O715" s="55">
        <v>723</v>
      </c>
      <c r="P715" s="78">
        <v>150000</v>
      </c>
    </row>
    <row r="716" spans="1:16" ht="12.75" customHeight="1" thickBot="1">
      <c r="A716" s="882"/>
      <c r="B716" s="876"/>
      <c r="C716" s="882"/>
      <c r="D716" s="882"/>
      <c r="E716" s="882"/>
      <c r="F716" s="884"/>
      <c r="G716" s="56">
        <v>721</v>
      </c>
      <c r="H716" s="79">
        <f>+F715-H715</f>
        <v>0</v>
      </c>
      <c r="I716" s="882"/>
      <c r="J716" s="876"/>
      <c r="K716" s="960"/>
      <c r="L716" s="882"/>
      <c r="M716" s="882"/>
      <c r="N716" s="884"/>
      <c r="O716" s="56">
        <v>721</v>
      </c>
      <c r="P716" s="79">
        <f>+N715-P715</f>
        <v>0</v>
      </c>
    </row>
    <row r="717" spans="1:16" ht="15" customHeight="1">
      <c r="A717" s="881" t="e">
        <f>+A715+1</f>
        <v>#REF!</v>
      </c>
      <c r="B717" s="875">
        <v>42296</v>
      </c>
      <c r="C717" s="877" t="s">
        <v>32</v>
      </c>
      <c r="D717" s="881" t="s">
        <v>355</v>
      </c>
      <c r="E717" s="881" t="s">
        <v>115</v>
      </c>
      <c r="F717" s="883">
        <v>30000</v>
      </c>
      <c r="G717" s="55">
        <v>719</v>
      </c>
      <c r="H717" s="78">
        <v>30000</v>
      </c>
      <c r="I717" s="873"/>
      <c r="J717" s="875"/>
      <c r="K717" s="877"/>
      <c r="L717" s="881"/>
      <c r="M717" s="881"/>
      <c r="N717" s="883"/>
      <c r="O717" s="55">
        <v>719</v>
      </c>
      <c r="P717" s="78"/>
    </row>
    <row r="718" spans="1:16" ht="11.25" customHeight="1" thickBot="1">
      <c r="A718" s="882"/>
      <c r="B718" s="876"/>
      <c r="C718" s="878"/>
      <c r="D718" s="882"/>
      <c r="E718" s="882"/>
      <c r="F718" s="884"/>
      <c r="G718" s="56">
        <v>721</v>
      </c>
      <c r="H718" s="79">
        <f>+F717-H717</f>
        <v>0</v>
      </c>
      <c r="I718" s="882"/>
      <c r="J718" s="876"/>
      <c r="K718" s="878"/>
      <c r="L718" s="882"/>
      <c r="M718" s="882"/>
      <c r="N718" s="884"/>
      <c r="O718" s="56">
        <v>721</v>
      </c>
      <c r="P718" s="79">
        <f>+N717-P717</f>
        <v>0</v>
      </c>
    </row>
    <row r="719" spans="1:16" ht="13.5" customHeight="1">
      <c r="A719" s="881" t="e">
        <f>+A717+1</f>
        <v>#REF!</v>
      </c>
      <c r="B719" s="875">
        <v>42296</v>
      </c>
      <c r="C719" s="877" t="s">
        <v>120</v>
      </c>
      <c r="D719" s="881" t="s">
        <v>354</v>
      </c>
      <c r="E719" s="881" t="s">
        <v>115</v>
      </c>
      <c r="F719" s="883">
        <v>20000</v>
      </c>
      <c r="G719" s="55">
        <v>719</v>
      </c>
      <c r="H719" s="78">
        <v>20000</v>
      </c>
      <c r="I719" s="873"/>
      <c r="J719" s="875"/>
      <c r="K719" s="877"/>
      <c r="L719" s="881"/>
      <c r="M719" s="881"/>
      <c r="N719" s="883"/>
      <c r="O719" s="55">
        <v>719</v>
      </c>
      <c r="P719" s="78"/>
    </row>
    <row r="720" spans="1:16" ht="12.75" customHeight="1" thickBot="1">
      <c r="A720" s="882"/>
      <c r="B720" s="876"/>
      <c r="C720" s="878"/>
      <c r="D720" s="882"/>
      <c r="E720" s="882"/>
      <c r="F720" s="884"/>
      <c r="G720" s="56">
        <v>721</v>
      </c>
      <c r="H720" s="79">
        <f>+F719-H719</f>
        <v>0</v>
      </c>
      <c r="I720" s="882"/>
      <c r="J720" s="876"/>
      <c r="K720" s="878"/>
      <c r="L720" s="882"/>
      <c r="M720" s="882"/>
      <c r="N720" s="884"/>
      <c r="O720" s="56">
        <v>721</v>
      </c>
      <c r="P720" s="79">
        <f>+N719-P719</f>
        <v>0</v>
      </c>
    </row>
    <row r="721" spans="1:16" ht="15" customHeight="1">
      <c r="A721" s="881" t="e">
        <f>+A719+1</f>
        <v>#REF!</v>
      </c>
      <c r="B721" s="875">
        <v>42296</v>
      </c>
      <c r="C721" s="877" t="s">
        <v>272</v>
      </c>
      <c r="D721" s="881" t="s">
        <v>427</v>
      </c>
      <c r="E721" s="881" t="s">
        <v>115</v>
      </c>
      <c r="F721" s="883">
        <v>90000</v>
      </c>
      <c r="G721" s="55">
        <v>719</v>
      </c>
      <c r="H721" s="78">
        <f>+F721</f>
        <v>90000</v>
      </c>
      <c r="I721" s="873"/>
      <c r="J721" s="875"/>
      <c r="K721" s="877"/>
      <c r="L721" s="881"/>
      <c r="M721" s="881"/>
      <c r="N721" s="883"/>
      <c r="O721" s="55">
        <v>719</v>
      </c>
      <c r="P721" s="78"/>
    </row>
    <row r="722" spans="1:16" ht="12.75" customHeight="1" thickBot="1">
      <c r="A722" s="882"/>
      <c r="B722" s="876"/>
      <c r="C722" s="878"/>
      <c r="D722" s="882"/>
      <c r="E722" s="882"/>
      <c r="F722" s="884"/>
      <c r="G722" s="56">
        <v>721</v>
      </c>
      <c r="H722" s="79"/>
      <c r="I722" s="882"/>
      <c r="J722" s="876"/>
      <c r="K722" s="878"/>
      <c r="L722" s="882"/>
      <c r="M722" s="882"/>
      <c r="N722" s="884"/>
      <c r="O722" s="56">
        <v>721</v>
      </c>
      <c r="P722" s="79">
        <f>+N721-P721</f>
        <v>0</v>
      </c>
    </row>
    <row r="723" spans="1:16" ht="15" customHeight="1" thickBot="1">
      <c r="A723" s="881" t="e">
        <f>+A721+1</f>
        <v>#REF!</v>
      </c>
      <c r="B723" s="875">
        <v>42296</v>
      </c>
      <c r="C723" s="881" t="s">
        <v>28</v>
      </c>
      <c r="D723" s="881" t="s">
        <v>355</v>
      </c>
      <c r="E723" s="881" t="s">
        <v>115</v>
      </c>
      <c r="F723" s="883">
        <v>50000</v>
      </c>
      <c r="G723" s="55">
        <v>719</v>
      </c>
      <c r="H723" s="78">
        <v>50000</v>
      </c>
      <c r="I723" s="901" t="s">
        <v>102</v>
      </c>
      <c r="J723" s="902"/>
      <c r="K723" s="902"/>
      <c r="L723" s="902"/>
      <c r="M723" s="903"/>
      <c r="N723" s="81">
        <f>SUM(N713:N722)</f>
        <v>449000</v>
      </c>
    </row>
    <row r="724" spans="1:16" ht="12.75" customHeight="1" thickBot="1">
      <c r="A724" s="882"/>
      <c r="B724" s="876"/>
      <c r="C724" s="882"/>
      <c r="D724" s="882"/>
      <c r="E724" s="882"/>
      <c r="F724" s="884"/>
      <c r="G724" s="56">
        <v>721</v>
      </c>
      <c r="H724" s="79">
        <f>+F723-H723</f>
        <v>0</v>
      </c>
      <c r="I724" s="885" t="s">
        <v>103</v>
      </c>
      <c r="J724" s="886"/>
      <c r="K724" s="886"/>
      <c r="L724" s="886"/>
      <c r="M724" s="887"/>
      <c r="N724" s="239">
        <f>+N688</f>
        <v>405204213</v>
      </c>
      <c r="O724" s="241" t="s">
        <v>561</v>
      </c>
      <c r="P724" s="242">
        <v>156</v>
      </c>
    </row>
    <row r="725" spans="1:16" ht="16.5" thickBot="1">
      <c r="A725" s="901" t="s">
        <v>102</v>
      </c>
      <c r="B725" s="902"/>
      <c r="C725" s="902"/>
      <c r="D725" s="902"/>
      <c r="E725" s="903"/>
      <c r="F725" s="81">
        <f>SUM(F713:F724)</f>
        <v>340000</v>
      </c>
      <c r="I725" s="888" t="s">
        <v>104</v>
      </c>
      <c r="J725" s="889"/>
      <c r="K725" s="889"/>
      <c r="L725" s="889"/>
      <c r="M725" s="890"/>
      <c r="N725" s="183">
        <f>SUM(N723:N724)</f>
        <v>405653213</v>
      </c>
    </row>
    <row r="726" spans="1:16" ht="16.5" thickBot="1">
      <c r="A726" s="885" t="s">
        <v>103</v>
      </c>
      <c r="B726" s="886"/>
      <c r="C726" s="886"/>
      <c r="D726" s="886"/>
      <c r="E726" s="887"/>
      <c r="F726" s="69">
        <f>+F688</f>
        <v>653116930</v>
      </c>
      <c r="I726" s="61"/>
      <c r="J726" s="61"/>
      <c r="K726" s="61"/>
      <c r="L726" s="61"/>
      <c r="M726" s="61"/>
    </row>
    <row r="727" spans="1:16" ht="18" customHeight="1" thickBot="1">
      <c r="A727" s="888" t="s">
        <v>104</v>
      </c>
      <c r="B727" s="889"/>
      <c r="C727" s="889"/>
      <c r="D727" s="889"/>
      <c r="E727" s="890"/>
      <c r="F727" s="183">
        <f>SUM(F725:F726)</f>
        <v>653456930</v>
      </c>
      <c r="I727" s="51" t="s">
        <v>1476</v>
      </c>
    </row>
    <row r="728" spans="1:16" ht="12.75" customHeight="1">
      <c r="A728" s="61"/>
      <c r="B728" s="61"/>
      <c r="C728" s="61"/>
      <c r="D728" s="61"/>
      <c r="E728" s="61"/>
      <c r="N728" s="139"/>
    </row>
    <row r="729" spans="1:16">
      <c r="A729" s="51" t="s">
        <v>428</v>
      </c>
      <c r="I729" s="50" t="s">
        <v>105</v>
      </c>
      <c r="L729" s="146"/>
      <c r="N729" s="139"/>
    </row>
    <row r="730" spans="1:16" ht="15.75" customHeight="1" thickBot="1">
      <c r="F730" s="139"/>
    </row>
    <row r="731" spans="1:16" ht="17.25" thickBot="1">
      <c r="A731" s="50" t="s">
        <v>105</v>
      </c>
      <c r="D731" s="146"/>
      <c r="F731" s="139"/>
      <c r="I731" s="891" t="s">
        <v>106</v>
      </c>
      <c r="J731" s="892"/>
      <c r="K731" s="892"/>
      <c r="L731" s="893"/>
      <c r="N731" s="605" t="s">
        <v>288</v>
      </c>
      <c r="O731" s="605"/>
      <c r="P731" s="605"/>
    </row>
    <row r="732" spans="1:16" ht="26.25" customHeight="1" thickBot="1">
      <c r="I732" s="57" t="s">
        <v>100</v>
      </c>
      <c r="J732" s="58" t="s">
        <v>108</v>
      </c>
      <c r="K732" s="59" t="s">
        <v>109</v>
      </c>
      <c r="L732" s="60" t="s">
        <v>110</v>
      </c>
      <c r="N732" s="202"/>
      <c r="O732" s="202"/>
      <c r="P732" s="202"/>
    </row>
    <row r="733" spans="1:16" ht="15" customHeight="1" thickBot="1">
      <c r="A733" s="891" t="s">
        <v>106</v>
      </c>
      <c r="B733" s="892"/>
      <c r="C733" s="892"/>
      <c r="D733" s="893"/>
      <c r="F733" s="50" t="s">
        <v>288</v>
      </c>
      <c r="I733" s="71">
        <v>719</v>
      </c>
      <c r="J733" s="73">
        <f>+P713</f>
        <v>230000</v>
      </c>
      <c r="K733" s="74">
        <f>+L696</f>
        <v>9766700</v>
      </c>
      <c r="L733" s="195">
        <f>+J733+K733</f>
        <v>9996700</v>
      </c>
      <c r="N733" s="202"/>
      <c r="O733" s="202"/>
      <c r="P733" s="202"/>
    </row>
    <row r="734" spans="1:16" ht="14.25" customHeight="1" thickBot="1">
      <c r="A734" s="57" t="s">
        <v>100</v>
      </c>
      <c r="B734" s="58" t="s">
        <v>108</v>
      </c>
      <c r="C734" s="59" t="s">
        <v>109</v>
      </c>
      <c r="D734" s="60" t="s">
        <v>110</v>
      </c>
      <c r="I734" s="72">
        <v>721</v>
      </c>
      <c r="J734" s="257">
        <f>+P714</f>
        <v>69000</v>
      </c>
      <c r="K734" s="74">
        <f>+L697</f>
        <v>1769550</v>
      </c>
      <c r="L734" s="195">
        <f>+J734+K734</f>
        <v>1838550</v>
      </c>
      <c r="N734" s="202"/>
      <c r="O734" s="202"/>
      <c r="P734" s="202"/>
    </row>
    <row r="735" spans="1:16" ht="13.5" customHeight="1">
      <c r="A735" s="71">
        <v>719</v>
      </c>
      <c r="B735" s="73">
        <f>+H713+H715+H717+H719+H723+H721</f>
        <v>340000</v>
      </c>
      <c r="C735" s="74" t="e">
        <f>+D696</f>
        <v>#REF!</v>
      </c>
      <c r="D735" s="195" t="e">
        <f>+B735+C735</f>
        <v>#REF!</v>
      </c>
      <c r="I735" s="72">
        <v>722</v>
      </c>
      <c r="J735" s="257"/>
      <c r="K735" s="74">
        <f>+L698</f>
        <v>0</v>
      </c>
      <c r="L735" s="195">
        <f>+J735+K735</f>
        <v>0</v>
      </c>
      <c r="N735" s="202"/>
      <c r="O735" s="202"/>
      <c r="P735" s="202"/>
    </row>
    <row r="736" spans="1:16" ht="14.25" customHeight="1">
      <c r="A736" s="72">
        <v>721</v>
      </c>
      <c r="B736" s="80">
        <f>+H714</f>
        <v>0</v>
      </c>
      <c r="C736" s="74" t="e">
        <f>+D697</f>
        <v>#REF!</v>
      </c>
      <c r="D736" s="195" t="e">
        <f>+B736+C736</f>
        <v>#REF!</v>
      </c>
      <c r="I736" s="72">
        <v>723</v>
      </c>
      <c r="J736" s="257">
        <f>+P715</f>
        <v>150000</v>
      </c>
      <c r="K736" s="74">
        <f>+L699</f>
        <v>393667963</v>
      </c>
      <c r="L736" s="195">
        <f>+J736+K736</f>
        <v>393817963</v>
      </c>
      <c r="N736" s="608" t="s">
        <v>1436</v>
      </c>
      <c r="O736" s="608"/>
      <c r="P736" s="608"/>
    </row>
    <row r="737" spans="1:16" ht="15" customHeight="1" thickBot="1">
      <c r="A737" s="72">
        <v>722</v>
      </c>
      <c r="B737" s="80"/>
      <c r="C737" s="74">
        <f>+D698</f>
        <v>231207671</v>
      </c>
      <c r="D737" s="195">
        <f>+B737+C737</f>
        <v>231207671</v>
      </c>
      <c r="I737" s="164" t="s">
        <v>181</v>
      </c>
      <c r="J737" s="165"/>
      <c r="K737" s="74">
        <f>+L700</f>
        <v>0</v>
      </c>
      <c r="L737" s="196">
        <f>+J737+K737</f>
        <v>0</v>
      </c>
      <c r="N737" s="52"/>
    </row>
    <row r="738" spans="1:16" ht="16.5" thickBot="1">
      <c r="A738" s="72">
        <v>723</v>
      </c>
      <c r="B738" s="80">
        <f>+H716</f>
        <v>0</v>
      </c>
      <c r="C738" s="74">
        <f>+D699</f>
        <v>321428837</v>
      </c>
      <c r="D738" s="195">
        <f>+B738+C738</f>
        <v>321428837</v>
      </c>
      <c r="F738" s="193" t="s">
        <v>23</v>
      </c>
      <c r="G738" s="175"/>
      <c r="I738" s="169"/>
      <c r="J738" s="197">
        <f>SUM(J733:J737)</f>
        <v>449000</v>
      </c>
      <c r="K738" s="197">
        <f>SUM(K733:K737)</f>
        <v>405204213</v>
      </c>
      <c r="L738" s="198">
        <f>SUM(L733:L737)</f>
        <v>405653213</v>
      </c>
    </row>
    <row r="739" spans="1:16" ht="17.25" thickBot="1">
      <c r="A739" s="164" t="s">
        <v>181</v>
      </c>
      <c r="B739" s="165"/>
      <c r="C739" s="74">
        <f>+D700</f>
        <v>1965625</v>
      </c>
      <c r="D739" s="196">
        <f>+B739+C739</f>
        <v>1965625</v>
      </c>
      <c r="F739" s="52"/>
      <c r="I739" s="49" t="s">
        <v>88</v>
      </c>
      <c r="J739" s="50"/>
    </row>
    <row r="740" spans="1:16" ht="15" customHeight="1" thickBot="1">
      <c r="A740" s="169"/>
      <c r="B740" s="170">
        <f>SUM(B735:B739)</f>
        <v>340000</v>
      </c>
      <c r="C740" s="171" t="e">
        <f>SUM(C735:C739)</f>
        <v>#REF!</v>
      </c>
      <c r="D740" s="172" t="e">
        <f>SUM(D735:D739)</f>
        <v>#REF!</v>
      </c>
      <c r="I740" s="51" t="s">
        <v>89</v>
      </c>
    </row>
    <row r="741" spans="1:16" ht="13.5" customHeight="1">
      <c r="A741" s="49" t="s">
        <v>88</v>
      </c>
      <c r="B741" s="50"/>
      <c r="I741" s="51" t="s">
        <v>90</v>
      </c>
    </row>
    <row r="742" spans="1:16" ht="13.5" customHeight="1">
      <c r="A742" s="51" t="s">
        <v>89</v>
      </c>
      <c r="I742" s="51" t="s">
        <v>91</v>
      </c>
    </row>
    <row r="743" spans="1:16" ht="12.75" customHeight="1">
      <c r="A743" s="51" t="s">
        <v>90</v>
      </c>
      <c r="I743" s="50"/>
      <c r="J743" s="50"/>
    </row>
    <row r="744" spans="1:16" ht="16.5">
      <c r="A744" s="51" t="s">
        <v>91</v>
      </c>
      <c r="I744" s="260" t="s">
        <v>761</v>
      </c>
      <c r="J744" s="262"/>
      <c r="O744" s="52"/>
    </row>
    <row r="745" spans="1:16" ht="15.75" customHeight="1">
      <c r="A745" s="50"/>
      <c r="B745" s="50"/>
      <c r="I745" s="261" t="s">
        <v>1333</v>
      </c>
      <c r="J745" s="262"/>
      <c r="O745" s="53"/>
    </row>
    <row r="746" spans="1:16" ht="16.5">
      <c r="A746" s="52" t="s">
        <v>431</v>
      </c>
      <c r="G746" s="52"/>
      <c r="I746" s="894" t="s">
        <v>788</v>
      </c>
      <c r="J746" s="894"/>
      <c r="K746" s="894"/>
      <c r="L746" s="894"/>
      <c r="M746" s="894"/>
      <c r="N746" s="894"/>
      <c r="O746" s="894"/>
      <c r="P746" s="894"/>
    </row>
    <row r="747" spans="1:16" ht="14.25" customHeight="1" thickBot="1">
      <c r="A747" s="53" t="s">
        <v>92</v>
      </c>
      <c r="G747" s="53"/>
    </row>
    <row r="748" spans="1:16" ht="16.5">
      <c r="A748" s="894" t="s">
        <v>93</v>
      </c>
      <c r="B748" s="894"/>
      <c r="C748" s="894"/>
      <c r="D748" s="894"/>
      <c r="E748" s="894"/>
      <c r="F748" s="894"/>
      <c r="G748" s="894"/>
      <c r="H748" s="894"/>
      <c r="I748" s="895" t="s">
        <v>94</v>
      </c>
      <c r="J748" s="897" t="s">
        <v>95</v>
      </c>
      <c r="K748" s="897" t="s">
        <v>96</v>
      </c>
      <c r="L748" s="897" t="s">
        <v>3</v>
      </c>
      <c r="M748" s="897" t="s">
        <v>97</v>
      </c>
      <c r="N748" s="897" t="s">
        <v>98</v>
      </c>
      <c r="O748" s="897" t="s">
        <v>99</v>
      </c>
      <c r="P748" s="899"/>
    </row>
    <row r="749" spans="1:16" ht="13.5" customHeight="1" thickBot="1">
      <c r="I749" s="896"/>
      <c r="J749" s="898"/>
      <c r="K749" s="898"/>
      <c r="L749" s="898"/>
      <c r="M749" s="898"/>
      <c r="N749" s="898"/>
      <c r="O749" s="240" t="s">
        <v>100</v>
      </c>
      <c r="P749" s="182" t="s">
        <v>101</v>
      </c>
    </row>
    <row r="750" spans="1:16" ht="13.5" customHeight="1">
      <c r="A750" s="895" t="s">
        <v>94</v>
      </c>
      <c r="B750" s="897" t="s">
        <v>95</v>
      </c>
      <c r="C750" s="897" t="s">
        <v>96</v>
      </c>
      <c r="D750" s="897" t="s">
        <v>3</v>
      </c>
      <c r="E750" s="897" t="s">
        <v>97</v>
      </c>
      <c r="F750" s="897" t="s">
        <v>98</v>
      </c>
      <c r="G750" s="897" t="s">
        <v>99</v>
      </c>
      <c r="H750" s="899"/>
      <c r="I750" s="873" t="s">
        <v>757</v>
      </c>
      <c r="J750" s="875">
        <v>42845</v>
      </c>
      <c r="K750" s="877" t="s">
        <v>350</v>
      </c>
      <c r="L750" s="881" t="s">
        <v>1482</v>
      </c>
      <c r="M750" s="881" t="s">
        <v>775</v>
      </c>
      <c r="N750" s="883">
        <v>195000</v>
      </c>
      <c r="O750" s="55">
        <v>719</v>
      </c>
      <c r="P750" s="78">
        <v>150000</v>
      </c>
    </row>
    <row r="751" spans="1:16" ht="13.5" customHeight="1" thickBot="1">
      <c r="A751" s="896"/>
      <c r="B751" s="898"/>
      <c r="C751" s="898"/>
      <c r="D751" s="898"/>
      <c r="E751" s="898"/>
      <c r="F751" s="898"/>
      <c r="G751" s="240" t="s">
        <v>100</v>
      </c>
      <c r="H751" s="182" t="s">
        <v>101</v>
      </c>
      <c r="I751" s="882"/>
      <c r="J751" s="876"/>
      <c r="K751" s="878"/>
      <c r="L751" s="882"/>
      <c r="M751" s="882"/>
      <c r="N751" s="884"/>
      <c r="O751" s="56">
        <v>721</v>
      </c>
      <c r="P751" s="79">
        <f>+N750-P750</f>
        <v>45000</v>
      </c>
    </row>
    <row r="752" spans="1:16" ht="12.75" customHeight="1">
      <c r="A752" s="881" t="e">
        <f>+A723+1</f>
        <v>#REF!</v>
      </c>
      <c r="B752" s="875">
        <v>42306</v>
      </c>
      <c r="C752" s="877" t="s">
        <v>267</v>
      </c>
      <c r="D752" s="881" t="s">
        <v>436</v>
      </c>
      <c r="E752" s="881" t="s">
        <v>148</v>
      </c>
      <c r="F752" s="883">
        <v>112000</v>
      </c>
      <c r="G752" s="55">
        <v>719</v>
      </c>
      <c r="H752" s="78">
        <v>80000</v>
      </c>
      <c r="I752" s="873" t="s">
        <v>758</v>
      </c>
      <c r="J752" s="875">
        <v>42845</v>
      </c>
      <c r="K752" s="877" t="s">
        <v>28</v>
      </c>
      <c r="L752" s="881" t="s">
        <v>1483</v>
      </c>
      <c r="M752" s="881" t="s">
        <v>775</v>
      </c>
      <c r="N752" s="883">
        <v>273000</v>
      </c>
      <c r="O752" s="55">
        <v>719</v>
      </c>
      <c r="P752" s="78">
        <v>210000</v>
      </c>
    </row>
    <row r="753" spans="1:16" ht="13.5" customHeight="1" thickBot="1">
      <c r="A753" s="882"/>
      <c r="B753" s="876"/>
      <c r="C753" s="878"/>
      <c r="D753" s="882"/>
      <c r="E753" s="882"/>
      <c r="F753" s="884"/>
      <c r="G753" s="56">
        <v>721</v>
      </c>
      <c r="H753" s="79">
        <f>+F752-H752</f>
        <v>32000</v>
      </c>
      <c r="I753" s="882"/>
      <c r="J753" s="876"/>
      <c r="K753" s="878"/>
      <c r="L753" s="882"/>
      <c r="M753" s="882"/>
      <c r="N753" s="884"/>
      <c r="O753" s="56">
        <v>721</v>
      </c>
      <c r="P753" s="79">
        <f>+N752-P752</f>
        <v>63000</v>
      </c>
    </row>
    <row r="754" spans="1:16" ht="13.5" customHeight="1">
      <c r="A754" s="881" t="e">
        <f>+A752+1</f>
        <v>#REF!</v>
      </c>
      <c r="B754" s="875">
        <v>42306</v>
      </c>
      <c r="C754" s="881" t="s">
        <v>28</v>
      </c>
      <c r="D754" s="881" t="s">
        <v>437</v>
      </c>
      <c r="E754" s="881" t="s">
        <v>148</v>
      </c>
      <c r="F754" s="883">
        <v>210000</v>
      </c>
      <c r="G754" s="55">
        <v>719</v>
      </c>
      <c r="H754" s="78">
        <v>150000</v>
      </c>
      <c r="I754" s="873" t="s">
        <v>759</v>
      </c>
      <c r="J754" s="875">
        <v>42845</v>
      </c>
      <c r="K754" s="877" t="s">
        <v>120</v>
      </c>
      <c r="L754" s="881" t="s">
        <v>1484</v>
      </c>
      <c r="M754" s="881" t="s">
        <v>775</v>
      </c>
      <c r="N754" s="883">
        <v>273000</v>
      </c>
      <c r="O754" s="55">
        <v>719</v>
      </c>
      <c r="P754" s="78">
        <v>210000</v>
      </c>
    </row>
    <row r="755" spans="1:16" ht="13.5" customHeight="1" thickBot="1">
      <c r="A755" s="882"/>
      <c r="B755" s="876"/>
      <c r="C755" s="882"/>
      <c r="D755" s="882"/>
      <c r="E755" s="882"/>
      <c r="F755" s="884"/>
      <c r="G755" s="56">
        <v>721</v>
      </c>
      <c r="H755" s="79">
        <f>+F754-H754</f>
        <v>60000</v>
      </c>
      <c r="I755" s="882"/>
      <c r="J755" s="876"/>
      <c r="K755" s="878"/>
      <c r="L755" s="882"/>
      <c r="M755" s="882"/>
      <c r="N755" s="884"/>
      <c r="O755" s="56">
        <v>721</v>
      </c>
      <c r="P755" s="79">
        <f>+N754-P754</f>
        <v>63000</v>
      </c>
    </row>
    <row r="756" spans="1:16" ht="15" customHeight="1">
      <c r="A756" s="881" t="e">
        <f>+A754+1</f>
        <v>#REF!</v>
      </c>
      <c r="B756" s="875">
        <v>42306</v>
      </c>
      <c r="C756" s="877" t="s">
        <v>32</v>
      </c>
      <c r="D756" s="881" t="s">
        <v>438</v>
      </c>
      <c r="E756" s="881" t="s">
        <v>148</v>
      </c>
      <c r="F756" s="883">
        <v>14000</v>
      </c>
      <c r="G756" s="55">
        <v>719</v>
      </c>
      <c r="H756" s="78">
        <v>10000</v>
      </c>
      <c r="I756" s="873"/>
      <c r="J756" s="875"/>
      <c r="K756" s="877"/>
      <c r="L756" s="881"/>
      <c r="M756" s="881"/>
      <c r="N756" s="883"/>
      <c r="O756" s="55">
        <v>723</v>
      </c>
      <c r="P756" s="78"/>
    </row>
    <row r="757" spans="1:16" ht="15.75" customHeight="1" thickBot="1">
      <c r="A757" s="882"/>
      <c r="B757" s="876"/>
      <c r="C757" s="878"/>
      <c r="D757" s="882"/>
      <c r="E757" s="882"/>
      <c r="F757" s="884"/>
      <c r="G757" s="56">
        <v>721</v>
      </c>
      <c r="H757" s="79">
        <f>+F756-H756</f>
        <v>4000</v>
      </c>
      <c r="I757" s="882"/>
      <c r="J757" s="876"/>
      <c r="K757" s="878"/>
      <c r="L757" s="882"/>
      <c r="M757" s="882"/>
      <c r="N757" s="884"/>
      <c r="O757" s="56">
        <v>721</v>
      </c>
      <c r="P757" s="79">
        <f>+N756-P756</f>
        <v>0</v>
      </c>
    </row>
    <row r="758" spans="1:16" ht="15" customHeight="1">
      <c r="A758" s="881" t="e">
        <f>+A756+1</f>
        <v>#REF!</v>
      </c>
      <c r="B758" s="875">
        <v>42306</v>
      </c>
      <c r="C758" s="877" t="s">
        <v>111</v>
      </c>
      <c r="D758" s="881" t="s">
        <v>439</v>
      </c>
      <c r="E758" s="881" t="s">
        <v>148</v>
      </c>
      <c r="F758" s="883">
        <v>56000</v>
      </c>
      <c r="G758" s="55">
        <v>719</v>
      </c>
      <c r="H758" s="78">
        <v>40000</v>
      </c>
      <c r="I758" s="873"/>
      <c r="J758" s="875"/>
      <c r="K758" s="877"/>
      <c r="L758" s="881"/>
      <c r="M758" s="881"/>
      <c r="N758" s="883"/>
      <c r="O758" s="55">
        <v>723</v>
      </c>
      <c r="P758" s="78"/>
    </row>
    <row r="759" spans="1:16" ht="15.75" customHeight="1" thickBot="1">
      <c r="A759" s="882"/>
      <c r="B759" s="876"/>
      <c r="C759" s="878"/>
      <c r="D759" s="882"/>
      <c r="E759" s="882"/>
      <c r="F759" s="884"/>
      <c r="G759" s="56">
        <v>721</v>
      </c>
      <c r="H759" s="79">
        <f>+F758-H758</f>
        <v>16000</v>
      </c>
      <c r="I759" s="882"/>
      <c r="J759" s="876"/>
      <c r="K759" s="878"/>
      <c r="L759" s="882"/>
      <c r="M759" s="882"/>
      <c r="N759" s="884"/>
      <c r="O759" s="56">
        <v>721</v>
      </c>
      <c r="P759" s="79">
        <f>+N758-P758</f>
        <v>0</v>
      </c>
    </row>
    <row r="760" spans="1:16" ht="15" customHeight="1" thickBot="1">
      <c r="A760" s="881" t="e">
        <f>+A758+1</f>
        <v>#REF!</v>
      </c>
      <c r="B760" s="875">
        <v>42306</v>
      </c>
      <c r="C760" s="877" t="s">
        <v>272</v>
      </c>
      <c r="D760" s="881" t="s">
        <v>437</v>
      </c>
      <c r="E760" s="881" t="s">
        <v>115</v>
      </c>
      <c r="F760" s="931">
        <v>714000</v>
      </c>
      <c r="G760" s="55">
        <v>719</v>
      </c>
      <c r="H760" s="78">
        <v>510000</v>
      </c>
      <c r="I760" s="901" t="s">
        <v>102</v>
      </c>
      <c r="J760" s="902"/>
      <c r="K760" s="902"/>
      <c r="L760" s="902"/>
      <c r="M760" s="903"/>
      <c r="N760" s="81">
        <f>SUM(N750:N759)</f>
        <v>741000</v>
      </c>
    </row>
    <row r="761" spans="1:16" ht="15.75" customHeight="1" thickBot="1">
      <c r="A761" s="882"/>
      <c r="B761" s="876"/>
      <c r="C761" s="878"/>
      <c r="D761" s="882"/>
      <c r="E761" s="882"/>
      <c r="F761" s="932"/>
      <c r="G761" s="56">
        <v>721</v>
      </c>
      <c r="H761" s="79">
        <f>+F760-H760</f>
        <v>204000</v>
      </c>
      <c r="I761" s="885" t="s">
        <v>103</v>
      </c>
      <c r="J761" s="886"/>
      <c r="K761" s="886"/>
      <c r="L761" s="886"/>
      <c r="M761" s="887"/>
      <c r="N761" s="239">
        <f>+N725</f>
        <v>405653213</v>
      </c>
      <c r="O761" s="241" t="s">
        <v>561</v>
      </c>
      <c r="P761" s="242">
        <f>195+274+546</f>
        <v>1015</v>
      </c>
    </row>
    <row r="762" spans="1:16" ht="16.5" thickBot="1">
      <c r="A762" s="901" t="s">
        <v>102</v>
      </c>
      <c r="B762" s="902"/>
      <c r="C762" s="902"/>
      <c r="D762" s="902"/>
      <c r="E762" s="903"/>
      <c r="F762" s="81">
        <f>SUM(F752:F761)</f>
        <v>1106000</v>
      </c>
      <c r="I762" s="888" t="s">
        <v>104</v>
      </c>
      <c r="J762" s="889"/>
      <c r="K762" s="889"/>
      <c r="L762" s="889"/>
      <c r="M762" s="890"/>
      <c r="N762" s="183">
        <f>SUM(N760:N761)</f>
        <v>406394213</v>
      </c>
    </row>
    <row r="763" spans="1:16" ht="13.5" customHeight="1" thickBot="1">
      <c r="A763" s="885" t="s">
        <v>103</v>
      </c>
      <c r="B763" s="886"/>
      <c r="C763" s="886"/>
      <c r="D763" s="886"/>
      <c r="E763" s="887"/>
      <c r="F763" s="69">
        <f>+F727</f>
        <v>653456930</v>
      </c>
      <c r="I763" s="61"/>
      <c r="J763" s="61"/>
      <c r="K763" s="61"/>
      <c r="L763" s="61"/>
      <c r="M763" s="61"/>
    </row>
    <row r="764" spans="1:16" ht="16.5" thickBot="1">
      <c r="A764" s="888" t="s">
        <v>104</v>
      </c>
      <c r="B764" s="889"/>
      <c r="C764" s="889"/>
      <c r="D764" s="889"/>
      <c r="E764" s="890"/>
      <c r="F764" s="183">
        <f>SUM(F762:F763)</f>
        <v>654562930</v>
      </c>
      <c r="I764" s="51" t="s">
        <v>777</v>
      </c>
    </row>
    <row r="765" spans="1:16" ht="12" customHeight="1">
      <c r="A765" s="61"/>
      <c r="B765" s="61"/>
      <c r="C765" s="61"/>
      <c r="D765" s="61"/>
      <c r="E765" s="61"/>
      <c r="N765" s="139"/>
    </row>
    <row r="766" spans="1:16">
      <c r="A766" s="51" t="s">
        <v>440</v>
      </c>
      <c r="I766" s="50" t="s">
        <v>105</v>
      </c>
      <c r="L766" s="146"/>
      <c r="N766" s="139"/>
    </row>
    <row r="767" spans="1:16" ht="12.75" customHeight="1" thickBot="1">
      <c r="F767" s="139"/>
    </row>
    <row r="768" spans="1:16" ht="17.25" thickBot="1">
      <c r="A768" s="50" t="s">
        <v>105</v>
      </c>
      <c r="D768" s="146"/>
      <c r="F768" s="139"/>
      <c r="I768" s="891" t="s">
        <v>106</v>
      </c>
      <c r="J768" s="892"/>
      <c r="K768" s="892"/>
      <c r="L768" s="893"/>
      <c r="N768" s="605" t="s">
        <v>288</v>
      </c>
      <c r="O768" s="605"/>
      <c r="P768" s="605"/>
    </row>
    <row r="769" spans="1:16" ht="29.25" customHeight="1" thickBot="1">
      <c r="I769" s="57" t="s">
        <v>100</v>
      </c>
      <c r="J769" s="58" t="s">
        <v>108</v>
      </c>
      <c r="K769" s="263" t="s">
        <v>109</v>
      </c>
      <c r="L769" s="60" t="s">
        <v>110</v>
      </c>
      <c r="N769" s="202"/>
      <c r="O769" s="202"/>
      <c r="P769" s="202"/>
    </row>
    <row r="770" spans="1:16" ht="13.5" customHeight="1" thickBot="1">
      <c r="A770" s="891" t="s">
        <v>106</v>
      </c>
      <c r="B770" s="892"/>
      <c r="C770" s="892"/>
      <c r="D770" s="893"/>
      <c r="F770" s="50" t="s">
        <v>288</v>
      </c>
      <c r="I770" s="71">
        <v>719</v>
      </c>
      <c r="J770" s="73">
        <f>+P750+P752+P754</f>
        <v>570000</v>
      </c>
      <c r="K770" s="74">
        <f>+L733</f>
        <v>9996700</v>
      </c>
      <c r="L770" s="195">
        <f>+J770+K770</f>
        <v>10566700</v>
      </c>
      <c r="N770" s="202"/>
      <c r="O770" s="202"/>
      <c r="P770" s="202"/>
    </row>
    <row r="771" spans="1:16" ht="13.5" customHeight="1" thickBot="1">
      <c r="A771" s="57" t="s">
        <v>100</v>
      </c>
      <c r="B771" s="58" t="s">
        <v>108</v>
      </c>
      <c r="C771" s="59" t="s">
        <v>109</v>
      </c>
      <c r="D771" s="60" t="s">
        <v>110</v>
      </c>
      <c r="I771" s="72">
        <v>721</v>
      </c>
      <c r="J771" s="257">
        <f>+P755+P753+P751</f>
        <v>171000</v>
      </c>
      <c r="K771" s="74">
        <f>+L734</f>
        <v>1838550</v>
      </c>
      <c r="L771" s="195">
        <f>+J771+K771</f>
        <v>2009550</v>
      </c>
      <c r="N771" s="202"/>
      <c r="O771" s="202"/>
      <c r="P771" s="202"/>
    </row>
    <row r="772" spans="1:16" ht="12" customHeight="1">
      <c r="A772" s="71">
        <v>719</v>
      </c>
      <c r="B772" s="73">
        <f>+H752+H754+H756+H758+H760</f>
        <v>790000</v>
      </c>
      <c r="C772" s="74" t="e">
        <f>+D735</f>
        <v>#REF!</v>
      </c>
      <c r="D772" s="195" t="e">
        <f>+B772+C772</f>
        <v>#REF!</v>
      </c>
      <c r="I772" s="72">
        <v>722</v>
      </c>
      <c r="J772" s="257"/>
      <c r="K772" s="74">
        <f>+L735</f>
        <v>0</v>
      </c>
      <c r="L772" s="195">
        <f>+J772+K772</f>
        <v>0</v>
      </c>
      <c r="N772" s="202"/>
      <c r="O772" s="202"/>
      <c r="P772" s="202"/>
    </row>
    <row r="773" spans="1:16" ht="12.75" customHeight="1">
      <c r="A773" s="72">
        <v>721</v>
      </c>
      <c r="B773" s="80">
        <f>+H753+H755+H757+H759+H761</f>
        <v>316000</v>
      </c>
      <c r="C773" s="74" t="e">
        <f>+D736</f>
        <v>#REF!</v>
      </c>
      <c r="D773" s="195" t="e">
        <f>+B773+C773</f>
        <v>#REF!</v>
      </c>
      <c r="I773" s="72">
        <v>723</v>
      </c>
      <c r="J773" s="257"/>
      <c r="K773" s="74">
        <f>+L736</f>
        <v>393817963</v>
      </c>
      <c r="L773" s="195">
        <f>+J773+K773</f>
        <v>393817963</v>
      </c>
      <c r="N773" s="918" t="s">
        <v>1481</v>
      </c>
      <c r="O773" s="918"/>
      <c r="P773" s="918"/>
    </row>
    <row r="774" spans="1:16" ht="12.75" customHeight="1" thickBot="1">
      <c r="A774" s="72">
        <v>722</v>
      </c>
      <c r="B774" s="80"/>
      <c r="C774" s="74">
        <f>+D737</f>
        <v>231207671</v>
      </c>
      <c r="D774" s="195">
        <f>+B774+C774</f>
        <v>231207671</v>
      </c>
      <c r="I774" s="164" t="s">
        <v>181</v>
      </c>
      <c r="J774" s="165"/>
      <c r="K774" s="74">
        <f>+L737</f>
        <v>0</v>
      </c>
      <c r="L774" s="196">
        <f>+J774+K774</f>
        <v>0</v>
      </c>
      <c r="N774" s="52"/>
    </row>
    <row r="775" spans="1:16" ht="16.5" thickBot="1">
      <c r="A775" s="72">
        <v>723</v>
      </c>
      <c r="B775" s="80"/>
      <c r="C775" s="74">
        <f>+D738</f>
        <v>321428837</v>
      </c>
      <c r="D775" s="195">
        <f>+B775+C775</f>
        <v>321428837</v>
      </c>
      <c r="F775" s="174" t="s">
        <v>23</v>
      </c>
      <c r="G775" s="175"/>
      <c r="I775" s="169"/>
      <c r="J775" s="197">
        <f>SUM(J770:J774)</f>
        <v>741000</v>
      </c>
      <c r="K775" s="197">
        <f>SUM(K770:K774)</f>
        <v>405653213</v>
      </c>
      <c r="L775" s="198">
        <f>SUM(L770:L774)</f>
        <v>406394213</v>
      </c>
    </row>
    <row r="776" spans="1:16" ht="17.25" thickBot="1">
      <c r="A776" s="164" t="s">
        <v>181</v>
      </c>
      <c r="B776" s="165"/>
      <c r="C776" s="74">
        <f>+D739</f>
        <v>1965625</v>
      </c>
      <c r="D776" s="196">
        <f>+B776+C776</f>
        <v>1965625</v>
      </c>
      <c r="F776" s="52"/>
      <c r="I776" s="49" t="s">
        <v>88</v>
      </c>
      <c r="J776" s="50"/>
    </row>
    <row r="777" spans="1:16" ht="16.5" thickBot="1">
      <c r="A777" s="169"/>
      <c r="B777" s="170">
        <f>SUM(B772:B776)</f>
        <v>1106000</v>
      </c>
      <c r="C777" s="171" t="e">
        <f>SUM(C772:C776)</f>
        <v>#REF!</v>
      </c>
      <c r="D777" s="172" t="e">
        <f>SUM(D772:D776)</f>
        <v>#REF!</v>
      </c>
      <c r="I777" s="51" t="s">
        <v>89</v>
      </c>
    </row>
    <row r="778" spans="1:16" ht="16.5">
      <c r="A778" s="49" t="s">
        <v>88</v>
      </c>
      <c r="B778" s="50"/>
      <c r="I778" s="51" t="s">
        <v>90</v>
      </c>
    </row>
    <row r="779" spans="1:16">
      <c r="A779" s="51" t="s">
        <v>89</v>
      </c>
      <c r="I779" s="51" t="s">
        <v>91</v>
      </c>
    </row>
    <row r="780" spans="1:16" ht="10.5" customHeight="1">
      <c r="A780" s="51" t="s">
        <v>90</v>
      </c>
      <c r="I780" s="50"/>
      <c r="J780" s="50"/>
    </row>
    <row r="781" spans="1:16" ht="16.5">
      <c r="A781" s="51" t="s">
        <v>91</v>
      </c>
      <c r="I781" s="260" t="s">
        <v>762</v>
      </c>
      <c r="J781" s="262"/>
      <c r="O781" s="52"/>
    </row>
    <row r="782" spans="1:16" ht="15" customHeight="1">
      <c r="A782" s="50"/>
      <c r="B782" s="50"/>
      <c r="I782" s="261" t="s">
        <v>1333</v>
      </c>
      <c r="J782" s="262"/>
      <c r="O782" s="53"/>
    </row>
    <row r="783" spans="1:16" ht="16.5">
      <c r="A783" s="52" t="s">
        <v>432</v>
      </c>
      <c r="G783" s="52"/>
      <c r="I783" s="894" t="s">
        <v>1486</v>
      </c>
      <c r="J783" s="894"/>
      <c r="K783" s="894"/>
      <c r="L783" s="894"/>
      <c r="M783" s="894"/>
      <c r="N783" s="894"/>
      <c r="O783" s="894"/>
      <c r="P783" s="894"/>
    </row>
    <row r="784" spans="1:16" ht="13.5" customHeight="1" thickBot="1">
      <c r="A784" s="53" t="s">
        <v>92</v>
      </c>
      <c r="G784" s="53"/>
    </row>
    <row r="785" spans="1:16" ht="16.5">
      <c r="A785" s="894" t="s">
        <v>93</v>
      </c>
      <c r="B785" s="894"/>
      <c r="C785" s="894"/>
      <c r="D785" s="894"/>
      <c r="E785" s="894"/>
      <c r="F785" s="894"/>
      <c r="G785" s="894"/>
      <c r="H785" s="894"/>
      <c r="I785" s="895" t="s">
        <v>94</v>
      </c>
      <c r="J785" s="897" t="s">
        <v>95</v>
      </c>
      <c r="K785" s="897" t="s">
        <v>96</v>
      </c>
      <c r="L785" s="897" t="s">
        <v>3</v>
      </c>
      <c r="M785" s="897" t="s">
        <v>97</v>
      </c>
      <c r="N785" s="897" t="s">
        <v>98</v>
      </c>
      <c r="O785" s="897" t="s">
        <v>99</v>
      </c>
      <c r="P785" s="899"/>
    </row>
    <row r="786" spans="1:16" ht="13.5" customHeight="1" thickBot="1">
      <c r="I786" s="896"/>
      <c r="J786" s="898"/>
      <c r="K786" s="898"/>
      <c r="L786" s="898"/>
      <c r="M786" s="898"/>
      <c r="N786" s="898"/>
      <c r="O786" s="240" t="s">
        <v>100</v>
      </c>
      <c r="P786" s="182" t="s">
        <v>101</v>
      </c>
    </row>
    <row r="787" spans="1:16" ht="13.5" customHeight="1">
      <c r="A787" s="895" t="s">
        <v>94</v>
      </c>
      <c r="B787" s="897" t="s">
        <v>95</v>
      </c>
      <c r="C787" s="897" t="s">
        <v>96</v>
      </c>
      <c r="D787" s="897" t="s">
        <v>3</v>
      </c>
      <c r="E787" s="897" t="s">
        <v>97</v>
      </c>
      <c r="F787" s="897" t="s">
        <v>98</v>
      </c>
      <c r="G787" s="897" t="s">
        <v>99</v>
      </c>
      <c r="H787" s="899"/>
      <c r="I787" s="873" t="s">
        <v>769</v>
      </c>
      <c r="J787" s="875">
        <v>42429</v>
      </c>
      <c r="K787" s="877" t="s">
        <v>690</v>
      </c>
      <c r="L787" s="881" t="s">
        <v>671</v>
      </c>
      <c r="M787" s="881" t="s">
        <v>148</v>
      </c>
      <c r="N787" s="883">
        <v>-8997975</v>
      </c>
      <c r="O787" s="55">
        <v>723</v>
      </c>
      <c r="P787" s="78">
        <f>+N787</f>
        <v>-8997975</v>
      </c>
    </row>
    <row r="788" spans="1:16" ht="14.25" customHeight="1" thickBot="1">
      <c r="A788" s="896"/>
      <c r="B788" s="898"/>
      <c r="C788" s="898"/>
      <c r="D788" s="898"/>
      <c r="E788" s="898"/>
      <c r="F788" s="898"/>
      <c r="G788" s="240" t="s">
        <v>100</v>
      </c>
      <c r="H788" s="182" t="s">
        <v>101</v>
      </c>
      <c r="I788" s="882"/>
      <c r="J788" s="876"/>
      <c r="K788" s="878"/>
      <c r="L788" s="882"/>
      <c r="M788" s="882"/>
      <c r="N788" s="884"/>
      <c r="O788" s="56">
        <v>721</v>
      </c>
      <c r="P788" s="79">
        <f>+N787-P787</f>
        <v>0</v>
      </c>
    </row>
    <row r="789" spans="1:16" ht="12.75" customHeight="1">
      <c r="A789" s="881" t="e">
        <f>+A760+1</f>
        <v>#REF!</v>
      </c>
      <c r="B789" s="875">
        <v>42306</v>
      </c>
      <c r="C789" s="877" t="s">
        <v>272</v>
      </c>
      <c r="D789" s="881" t="s">
        <v>433</v>
      </c>
      <c r="E789" s="881" t="s">
        <v>115</v>
      </c>
      <c r="F789" s="883">
        <v>40000</v>
      </c>
      <c r="G789" s="55">
        <v>719</v>
      </c>
      <c r="H789" s="78">
        <v>40000</v>
      </c>
      <c r="I789" s="873"/>
      <c r="J789" s="875"/>
      <c r="K789" s="877"/>
      <c r="L789" s="881"/>
      <c r="M789" s="881"/>
      <c r="N789" s="883"/>
      <c r="O789" s="55">
        <v>723</v>
      </c>
      <c r="P789" s="78"/>
    </row>
    <row r="790" spans="1:16" ht="14.25" customHeight="1" thickBot="1">
      <c r="A790" s="882"/>
      <c r="B790" s="876"/>
      <c r="C790" s="878"/>
      <c r="D790" s="882"/>
      <c r="E790" s="882"/>
      <c r="F790" s="884"/>
      <c r="G790" s="56">
        <v>721</v>
      </c>
      <c r="H790" s="79">
        <f>+F789-H789</f>
        <v>0</v>
      </c>
      <c r="I790" s="882"/>
      <c r="J790" s="876"/>
      <c r="K790" s="878"/>
      <c r="L790" s="882"/>
      <c r="M790" s="882"/>
      <c r="N790" s="884"/>
      <c r="O790" s="56">
        <v>721</v>
      </c>
      <c r="P790" s="79">
        <f>+N789-P789</f>
        <v>0</v>
      </c>
    </row>
    <row r="791" spans="1:16" ht="12.75" customHeight="1">
      <c r="A791" s="881" t="e">
        <f>+A789+1</f>
        <v>#REF!</v>
      </c>
      <c r="B791" s="875">
        <v>42306</v>
      </c>
      <c r="C791" s="881" t="s">
        <v>28</v>
      </c>
      <c r="D791" s="881" t="s">
        <v>434</v>
      </c>
      <c r="E791" s="881" t="s">
        <v>115</v>
      </c>
      <c r="F791" s="883">
        <v>80000</v>
      </c>
      <c r="G791" s="55">
        <v>719</v>
      </c>
      <c r="H791" s="78">
        <v>80000</v>
      </c>
      <c r="I791" s="873"/>
      <c r="J791" s="875"/>
      <c r="K791" s="877"/>
      <c r="L791" s="881"/>
      <c r="M791" s="881"/>
      <c r="N791" s="883"/>
      <c r="O791" s="55">
        <v>723</v>
      </c>
      <c r="P791" s="78"/>
    </row>
    <row r="792" spans="1:16" ht="14.25" customHeight="1" thickBot="1">
      <c r="A792" s="882"/>
      <c r="B792" s="876"/>
      <c r="C792" s="882"/>
      <c r="D792" s="882"/>
      <c r="E792" s="882"/>
      <c r="F792" s="884"/>
      <c r="G792" s="56">
        <v>721</v>
      </c>
      <c r="H792" s="79">
        <f>+F791-H791</f>
        <v>0</v>
      </c>
      <c r="I792" s="882"/>
      <c r="J792" s="876"/>
      <c r="K792" s="878"/>
      <c r="L792" s="882"/>
      <c r="M792" s="882"/>
      <c r="N792" s="884"/>
      <c r="O792" s="56">
        <v>721</v>
      </c>
      <c r="P792" s="79">
        <f>+N791-P791</f>
        <v>0</v>
      </c>
    </row>
    <row r="793" spans="1:16" ht="13.5" customHeight="1">
      <c r="A793" s="881" t="e">
        <f>+A791+1</f>
        <v>#REF!</v>
      </c>
      <c r="B793" s="875">
        <v>42306</v>
      </c>
      <c r="C793" s="877" t="s">
        <v>32</v>
      </c>
      <c r="D793" s="881" t="s">
        <v>435</v>
      </c>
      <c r="E793" s="881" t="s">
        <v>115</v>
      </c>
      <c r="F793" s="883">
        <v>30000</v>
      </c>
      <c r="G793" s="55">
        <v>719</v>
      </c>
      <c r="H793" s="78">
        <v>30000</v>
      </c>
      <c r="I793" s="873"/>
      <c r="J793" s="875"/>
      <c r="K793" s="877"/>
      <c r="L793" s="881"/>
      <c r="M793" s="881"/>
      <c r="N793" s="883"/>
      <c r="O793" s="55">
        <v>723</v>
      </c>
      <c r="P793" s="78"/>
    </row>
    <row r="794" spans="1:16" ht="13.5" customHeight="1" thickBot="1">
      <c r="A794" s="882"/>
      <c r="B794" s="876"/>
      <c r="C794" s="878"/>
      <c r="D794" s="882"/>
      <c r="E794" s="882"/>
      <c r="F794" s="884"/>
      <c r="G794" s="56">
        <v>721</v>
      </c>
      <c r="H794" s="79">
        <f>+F793-H793</f>
        <v>0</v>
      </c>
      <c r="I794" s="882"/>
      <c r="J794" s="876"/>
      <c r="K794" s="878"/>
      <c r="L794" s="882"/>
      <c r="M794" s="882"/>
      <c r="N794" s="884"/>
      <c r="O794" s="56">
        <v>721</v>
      </c>
      <c r="P794" s="79">
        <f>+N793-P793</f>
        <v>0</v>
      </c>
    </row>
    <row r="795" spans="1:16" ht="12" customHeight="1">
      <c r="A795" s="881"/>
      <c r="B795" s="875"/>
      <c r="C795" s="877"/>
      <c r="D795" s="881"/>
      <c r="E795" s="881"/>
      <c r="F795" s="883"/>
      <c r="G795" s="55">
        <v>719</v>
      </c>
      <c r="H795" s="78"/>
      <c r="I795" s="873"/>
      <c r="J795" s="875"/>
      <c r="K795" s="877"/>
      <c r="L795" s="881"/>
      <c r="M795" s="881"/>
      <c r="N795" s="883"/>
      <c r="O795" s="55">
        <v>723</v>
      </c>
      <c r="P795" s="78"/>
    </row>
    <row r="796" spans="1:16" ht="12.75" customHeight="1" thickBot="1">
      <c r="A796" s="882"/>
      <c r="B796" s="876"/>
      <c r="C796" s="878"/>
      <c r="D796" s="882"/>
      <c r="E796" s="882"/>
      <c r="F796" s="884"/>
      <c r="G796" s="56">
        <v>721</v>
      </c>
      <c r="H796" s="79">
        <f>+F795-H795</f>
        <v>0</v>
      </c>
      <c r="I796" s="882"/>
      <c r="J796" s="876"/>
      <c r="K796" s="878"/>
      <c r="L796" s="882"/>
      <c r="M796" s="882"/>
      <c r="N796" s="884"/>
      <c r="O796" s="56">
        <v>721</v>
      </c>
      <c r="P796" s="79">
        <f>+N795-P795</f>
        <v>0</v>
      </c>
    </row>
    <row r="797" spans="1:16" ht="15" customHeight="1" thickBot="1">
      <c r="A797" s="881"/>
      <c r="B797" s="875"/>
      <c r="C797" s="881"/>
      <c r="D797" s="881"/>
      <c r="E797" s="881"/>
      <c r="F797" s="883"/>
      <c r="G797" s="55">
        <v>719</v>
      </c>
      <c r="H797" s="78"/>
      <c r="I797" s="901" t="s">
        <v>102</v>
      </c>
      <c r="J797" s="902"/>
      <c r="K797" s="902"/>
      <c r="L797" s="902"/>
      <c r="M797" s="903"/>
      <c r="N797" s="81">
        <f>SUM(N787:N796)</f>
        <v>-8997975</v>
      </c>
    </row>
    <row r="798" spans="1:16" ht="15.75" customHeight="1" thickBot="1">
      <c r="A798" s="882"/>
      <c r="B798" s="876"/>
      <c r="C798" s="882"/>
      <c r="D798" s="882"/>
      <c r="E798" s="882"/>
      <c r="F798" s="884"/>
      <c r="G798" s="56">
        <v>721</v>
      </c>
      <c r="H798" s="79">
        <f>+F797-H797</f>
        <v>0</v>
      </c>
      <c r="I798" s="885" t="s">
        <v>103</v>
      </c>
      <c r="J798" s="886"/>
      <c r="K798" s="886"/>
      <c r="L798" s="886"/>
      <c r="M798" s="887"/>
      <c r="N798" s="239">
        <f>+N762</f>
        <v>406394213</v>
      </c>
      <c r="O798" s="241" t="s">
        <v>561</v>
      </c>
      <c r="P798" s="242"/>
    </row>
    <row r="799" spans="1:16" ht="16.5" thickBot="1">
      <c r="A799" s="901" t="s">
        <v>102</v>
      </c>
      <c r="B799" s="902"/>
      <c r="C799" s="902"/>
      <c r="D799" s="902"/>
      <c r="E799" s="903"/>
      <c r="F799" s="81">
        <f>SUM(F789:F798)</f>
        <v>150000</v>
      </c>
      <c r="I799" s="888" t="s">
        <v>104</v>
      </c>
      <c r="J799" s="889"/>
      <c r="K799" s="889"/>
      <c r="L799" s="889"/>
      <c r="M799" s="890"/>
      <c r="N799" s="183">
        <f>SUM(N797:N798)</f>
        <v>397396238</v>
      </c>
    </row>
    <row r="800" spans="1:16" ht="13.5" customHeight="1" thickBot="1">
      <c r="A800" s="885" t="s">
        <v>103</v>
      </c>
      <c r="B800" s="886"/>
      <c r="C800" s="886"/>
      <c r="D800" s="886"/>
      <c r="E800" s="887"/>
      <c r="F800" s="69">
        <f>+F764</f>
        <v>654562930</v>
      </c>
      <c r="I800" s="61"/>
      <c r="J800" s="61"/>
      <c r="K800" s="61"/>
      <c r="L800" s="61"/>
      <c r="M800" s="61"/>
    </row>
    <row r="801" spans="1:16" ht="16.5" thickBot="1">
      <c r="A801" s="888" t="s">
        <v>104</v>
      </c>
      <c r="B801" s="889"/>
      <c r="C801" s="889"/>
      <c r="D801" s="889"/>
      <c r="E801" s="890"/>
      <c r="F801" s="183">
        <f>SUM(F799:F800)</f>
        <v>654712930</v>
      </c>
      <c r="I801" s="51" t="s">
        <v>1485</v>
      </c>
    </row>
    <row r="802" spans="1:16" ht="12.75" customHeight="1">
      <c r="A802" s="61"/>
      <c r="B802" s="61"/>
      <c r="C802" s="61"/>
      <c r="D802" s="61"/>
      <c r="E802" s="61"/>
      <c r="N802" s="139"/>
    </row>
    <row r="803" spans="1:16">
      <c r="A803" s="51" t="s">
        <v>441</v>
      </c>
      <c r="I803" s="50" t="s">
        <v>105</v>
      </c>
      <c r="L803" s="146"/>
      <c r="N803" s="139"/>
    </row>
    <row r="804" spans="1:16" ht="12.75" customHeight="1" thickBot="1">
      <c r="F804" s="139"/>
    </row>
    <row r="805" spans="1:16" ht="17.25" thickBot="1">
      <c r="A805" s="50" t="s">
        <v>105</v>
      </c>
      <c r="D805" s="146"/>
      <c r="F805" s="139"/>
      <c r="I805" s="891" t="s">
        <v>106</v>
      </c>
      <c r="J805" s="892"/>
      <c r="K805" s="892"/>
      <c r="L805" s="893"/>
      <c r="N805" s="605" t="s">
        <v>288</v>
      </c>
      <c r="O805" s="605"/>
      <c r="P805" s="605"/>
    </row>
    <row r="806" spans="1:16" ht="27" customHeight="1" thickBot="1">
      <c r="I806" s="57" t="s">
        <v>100</v>
      </c>
      <c r="J806" s="58" t="s">
        <v>108</v>
      </c>
      <c r="K806" s="264" t="s">
        <v>109</v>
      </c>
      <c r="L806" s="60" t="s">
        <v>110</v>
      </c>
      <c r="N806" s="202"/>
      <c r="O806" s="202"/>
      <c r="P806" s="202"/>
    </row>
    <row r="807" spans="1:16" ht="13.5" customHeight="1" thickBot="1">
      <c r="A807" s="891" t="s">
        <v>106</v>
      </c>
      <c r="B807" s="892"/>
      <c r="C807" s="892"/>
      <c r="D807" s="893"/>
      <c r="F807" s="50" t="s">
        <v>288</v>
      </c>
      <c r="I807" s="71">
        <v>719</v>
      </c>
      <c r="J807" s="73">
        <f>0</f>
        <v>0</v>
      </c>
      <c r="K807" s="74">
        <f>+L770</f>
        <v>10566700</v>
      </c>
      <c r="L807" s="195">
        <f>+J807+K807</f>
        <v>10566700</v>
      </c>
      <c r="N807" s="202"/>
      <c r="O807" s="202"/>
      <c r="P807" s="202"/>
    </row>
    <row r="808" spans="1:16" ht="15" customHeight="1" thickBot="1">
      <c r="A808" s="57" t="s">
        <v>100</v>
      </c>
      <c r="B808" s="58" t="s">
        <v>108</v>
      </c>
      <c r="C808" s="59" t="s">
        <v>109</v>
      </c>
      <c r="D808" s="60" t="s">
        <v>110</v>
      </c>
      <c r="I808" s="72">
        <v>721</v>
      </c>
      <c r="J808" s="257"/>
      <c r="K808" s="74">
        <f>+L771</f>
        <v>2009550</v>
      </c>
      <c r="L808" s="195">
        <f>+J808+K808</f>
        <v>2009550</v>
      </c>
      <c r="N808" s="202"/>
      <c r="O808" s="202"/>
      <c r="P808" s="202"/>
    </row>
    <row r="809" spans="1:16" ht="12" customHeight="1">
      <c r="A809" s="71">
        <v>719</v>
      </c>
      <c r="B809" s="73">
        <f>+H789+H791+H793+H795+H797</f>
        <v>150000</v>
      </c>
      <c r="C809" s="74" t="e">
        <f>+D772</f>
        <v>#REF!</v>
      </c>
      <c r="D809" s="195" t="e">
        <f>+B809+C809</f>
        <v>#REF!</v>
      </c>
      <c r="I809" s="72">
        <v>722</v>
      </c>
      <c r="J809" s="257"/>
      <c r="K809" s="74">
        <f>+L772</f>
        <v>0</v>
      </c>
      <c r="L809" s="195">
        <f>+J809+K809</f>
        <v>0</v>
      </c>
      <c r="N809" s="202"/>
      <c r="O809" s="202"/>
      <c r="P809" s="202"/>
    </row>
    <row r="810" spans="1:16" ht="13.5" customHeight="1">
      <c r="A810" s="72">
        <v>721</v>
      </c>
      <c r="B810" s="80">
        <f>+H790</f>
        <v>0</v>
      </c>
      <c r="C810" s="74" t="e">
        <f>+D773</f>
        <v>#REF!</v>
      </c>
      <c r="D810" s="195" t="e">
        <f>+B810+C810</f>
        <v>#REF!</v>
      </c>
      <c r="I810" s="72">
        <v>723</v>
      </c>
      <c r="J810" s="257">
        <f>+P787+P789+P791+P793+P795</f>
        <v>-8997975</v>
      </c>
      <c r="K810" s="74">
        <f>+L773</f>
        <v>393817963</v>
      </c>
      <c r="L810" s="195">
        <f>+J810+K810</f>
        <v>384819988</v>
      </c>
      <c r="N810" s="918" t="s">
        <v>1481</v>
      </c>
      <c r="O810" s="918"/>
      <c r="P810" s="918"/>
    </row>
    <row r="811" spans="1:16" ht="13.5" customHeight="1" thickBot="1">
      <c r="A811" s="72">
        <v>722</v>
      </c>
      <c r="B811" s="80"/>
      <c r="C811" s="74">
        <f>+D774</f>
        <v>231207671</v>
      </c>
      <c r="D811" s="195">
        <f>+B811+C811</f>
        <v>231207671</v>
      </c>
      <c r="I811" s="164" t="s">
        <v>181</v>
      </c>
      <c r="J811" s="165"/>
      <c r="K811" s="74">
        <f>+L774</f>
        <v>0</v>
      </c>
      <c r="L811" s="196">
        <f>+J811+K811</f>
        <v>0</v>
      </c>
      <c r="N811" s="52"/>
    </row>
    <row r="812" spans="1:16" ht="16.5" thickBot="1">
      <c r="A812" s="72">
        <v>723</v>
      </c>
      <c r="B812" s="80">
        <f>+H792</f>
        <v>0</v>
      </c>
      <c r="C812" s="74">
        <f>+D775</f>
        <v>321428837</v>
      </c>
      <c r="D812" s="195">
        <f>+B812+C812</f>
        <v>321428837</v>
      </c>
      <c r="F812" s="174" t="s">
        <v>23</v>
      </c>
      <c r="G812" s="175"/>
      <c r="I812" s="169"/>
      <c r="J812" s="197">
        <f>SUM(J807:J811)</f>
        <v>-8997975</v>
      </c>
      <c r="K812" s="197">
        <f>SUM(K807:K811)</f>
        <v>406394213</v>
      </c>
      <c r="L812" s="198">
        <f>SUM(L807:L811)</f>
        <v>397396238</v>
      </c>
    </row>
    <row r="813" spans="1:16" ht="17.25" thickBot="1">
      <c r="A813" s="164" t="s">
        <v>181</v>
      </c>
      <c r="B813" s="165"/>
      <c r="C813" s="74">
        <f>+D776</f>
        <v>1965625</v>
      </c>
      <c r="D813" s="196">
        <f>+B813+C813</f>
        <v>1965625</v>
      </c>
      <c r="F813" s="52"/>
      <c r="I813" s="49" t="s">
        <v>88</v>
      </c>
      <c r="J813" s="50"/>
    </row>
    <row r="814" spans="1:16" ht="16.5" thickBot="1">
      <c r="A814" s="169"/>
      <c r="B814" s="170">
        <f>SUM(B809:B813)</f>
        <v>150000</v>
      </c>
      <c r="C814" s="171" t="e">
        <f>SUM(C809:C813)</f>
        <v>#REF!</v>
      </c>
      <c r="D814" s="172" t="e">
        <f>SUM(D809:D813)</f>
        <v>#REF!</v>
      </c>
      <c r="I814" s="51" t="s">
        <v>89</v>
      </c>
    </row>
    <row r="815" spans="1:16" ht="16.5">
      <c r="A815" s="49" t="s">
        <v>88</v>
      </c>
      <c r="B815" s="50"/>
      <c r="I815" s="51" t="s">
        <v>90</v>
      </c>
    </row>
    <row r="816" spans="1:16">
      <c r="A816" s="51" t="s">
        <v>89</v>
      </c>
      <c r="I816" s="51" t="s">
        <v>91</v>
      </c>
    </row>
    <row r="817" spans="1:16" ht="12.75" customHeight="1">
      <c r="A817" s="51" t="s">
        <v>90</v>
      </c>
      <c r="I817" s="50"/>
      <c r="J817" s="50"/>
    </row>
    <row r="818" spans="1:16" ht="16.5">
      <c r="A818" s="51" t="s">
        <v>91</v>
      </c>
      <c r="I818" s="260" t="s">
        <v>763</v>
      </c>
      <c r="J818" s="262"/>
      <c r="O818" s="52"/>
    </row>
    <row r="819" spans="1:16" ht="14.25" customHeight="1">
      <c r="A819" s="50"/>
      <c r="B819" s="50"/>
      <c r="I819" s="261" t="s">
        <v>1333</v>
      </c>
      <c r="J819" s="262"/>
      <c r="O819" s="53"/>
    </row>
    <row r="820" spans="1:16" ht="16.5">
      <c r="A820" s="52" t="s">
        <v>442</v>
      </c>
      <c r="G820" s="52"/>
      <c r="I820" s="894" t="s">
        <v>1487</v>
      </c>
      <c r="J820" s="894"/>
      <c r="K820" s="894"/>
      <c r="L820" s="894"/>
      <c r="M820" s="894"/>
      <c r="N820" s="894"/>
      <c r="O820" s="894"/>
      <c r="P820" s="894"/>
    </row>
    <row r="821" spans="1:16" ht="12.75" customHeight="1" thickBot="1">
      <c r="A821" s="53" t="s">
        <v>92</v>
      </c>
      <c r="G821" s="53"/>
    </row>
    <row r="822" spans="1:16" ht="16.5">
      <c r="A822" s="894" t="s">
        <v>93</v>
      </c>
      <c r="B822" s="894"/>
      <c r="C822" s="894"/>
      <c r="D822" s="894"/>
      <c r="E822" s="894"/>
      <c r="F822" s="894"/>
      <c r="G822" s="894"/>
      <c r="H822" s="894"/>
      <c r="I822" s="895" t="s">
        <v>94</v>
      </c>
      <c r="J822" s="897" t="s">
        <v>95</v>
      </c>
      <c r="K822" s="897" t="s">
        <v>96</v>
      </c>
      <c r="L822" s="897" t="s">
        <v>3</v>
      </c>
      <c r="M822" s="897" t="s">
        <v>97</v>
      </c>
      <c r="N822" s="897" t="s">
        <v>98</v>
      </c>
      <c r="O822" s="897" t="s">
        <v>99</v>
      </c>
      <c r="P822" s="899"/>
    </row>
    <row r="823" spans="1:16" ht="15.75" thickBot="1">
      <c r="I823" s="896"/>
      <c r="J823" s="898"/>
      <c r="K823" s="898"/>
      <c r="L823" s="898"/>
      <c r="M823" s="898"/>
      <c r="N823" s="898"/>
      <c r="O823" s="240" t="s">
        <v>100</v>
      </c>
      <c r="P823" s="182" t="s">
        <v>101</v>
      </c>
    </row>
    <row r="824" spans="1:16" ht="13.5" customHeight="1">
      <c r="A824" s="895" t="s">
        <v>94</v>
      </c>
      <c r="B824" s="897" t="s">
        <v>95</v>
      </c>
      <c r="C824" s="897" t="s">
        <v>96</v>
      </c>
      <c r="D824" s="897" t="s">
        <v>3</v>
      </c>
      <c r="E824" s="897" t="s">
        <v>97</v>
      </c>
      <c r="F824" s="897" t="s">
        <v>98</v>
      </c>
      <c r="G824" s="897" t="s">
        <v>99</v>
      </c>
      <c r="H824" s="899"/>
      <c r="I824" s="928">
        <v>100</v>
      </c>
      <c r="J824" s="875">
        <v>43004</v>
      </c>
      <c r="K824" s="877" t="s">
        <v>350</v>
      </c>
      <c r="L824" s="881" t="s">
        <v>1488</v>
      </c>
      <c r="M824" s="881" t="s">
        <v>148</v>
      </c>
      <c r="N824" s="883">
        <v>1001000</v>
      </c>
      <c r="O824" s="55">
        <v>719</v>
      </c>
      <c r="P824" s="78">
        <v>770000</v>
      </c>
    </row>
    <row r="825" spans="1:16" ht="12.75" customHeight="1" thickBot="1">
      <c r="A825" s="896"/>
      <c r="B825" s="898"/>
      <c r="C825" s="898"/>
      <c r="D825" s="898"/>
      <c r="E825" s="898"/>
      <c r="F825" s="898"/>
      <c r="G825" s="240" t="s">
        <v>100</v>
      </c>
      <c r="H825" s="182" t="s">
        <v>101</v>
      </c>
      <c r="I825" s="929"/>
      <c r="J825" s="876"/>
      <c r="K825" s="878"/>
      <c r="L825" s="882"/>
      <c r="M825" s="882"/>
      <c r="N825" s="884"/>
      <c r="O825" s="56">
        <v>721</v>
      </c>
      <c r="P825" s="79">
        <f>+N824-P824</f>
        <v>231000</v>
      </c>
    </row>
    <row r="826" spans="1:16" ht="14.25" customHeight="1">
      <c r="A826" s="881" t="e">
        <f>+A793+1</f>
        <v>#REF!</v>
      </c>
      <c r="B826" s="875">
        <v>42317</v>
      </c>
      <c r="C826" s="877" t="s">
        <v>267</v>
      </c>
      <c r="D826" s="881" t="s">
        <v>444</v>
      </c>
      <c r="E826" s="881" t="s">
        <v>148</v>
      </c>
      <c r="F826" s="883">
        <v>252000</v>
      </c>
      <c r="G826" s="55">
        <v>719</v>
      </c>
      <c r="H826" s="78">
        <v>180000</v>
      </c>
      <c r="I826" s="928">
        <f>+I824+1</f>
        <v>101</v>
      </c>
      <c r="J826" s="875">
        <v>43004</v>
      </c>
      <c r="K826" s="877" t="s">
        <v>350</v>
      </c>
      <c r="L826" s="881" t="s">
        <v>1491</v>
      </c>
      <c r="M826" s="881" t="s">
        <v>148</v>
      </c>
      <c r="N826" s="883">
        <v>559000</v>
      </c>
      <c r="O826" s="55">
        <v>719</v>
      </c>
      <c r="P826" s="78">
        <v>430000</v>
      </c>
    </row>
    <row r="827" spans="1:16" ht="12.75" customHeight="1" thickBot="1">
      <c r="A827" s="882"/>
      <c r="B827" s="876"/>
      <c r="C827" s="878"/>
      <c r="D827" s="882"/>
      <c r="E827" s="882"/>
      <c r="F827" s="884"/>
      <c r="G827" s="56">
        <v>721</v>
      </c>
      <c r="H827" s="79">
        <f>+F826-H826</f>
        <v>72000</v>
      </c>
      <c r="I827" s="929"/>
      <c r="J827" s="876"/>
      <c r="K827" s="878"/>
      <c r="L827" s="882"/>
      <c r="M827" s="882"/>
      <c r="N827" s="884"/>
      <c r="O827" s="56">
        <v>721</v>
      </c>
      <c r="P827" s="79">
        <f>+N826-P826</f>
        <v>129000</v>
      </c>
    </row>
    <row r="828" spans="1:16" ht="15" customHeight="1">
      <c r="A828" s="881" t="e">
        <f>+A826+1</f>
        <v>#REF!</v>
      </c>
      <c r="B828" s="875">
        <v>42317</v>
      </c>
      <c r="C828" s="881" t="s">
        <v>28</v>
      </c>
      <c r="D828" s="881" t="s">
        <v>445</v>
      </c>
      <c r="E828" s="881" t="s">
        <v>148</v>
      </c>
      <c r="F828" s="883">
        <v>574000</v>
      </c>
      <c r="G828" s="55">
        <v>719</v>
      </c>
      <c r="H828" s="78">
        <v>410000</v>
      </c>
      <c r="I828" s="928">
        <f>+I826+1</f>
        <v>102</v>
      </c>
      <c r="J828" s="875">
        <v>43004</v>
      </c>
      <c r="K828" s="877" t="s">
        <v>350</v>
      </c>
      <c r="L828" s="881" t="s">
        <v>1490</v>
      </c>
      <c r="M828" s="881" t="s">
        <v>148</v>
      </c>
      <c r="N828" s="883">
        <v>806000</v>
      </c>
      <c r="O828" s="55">
        <v>719</v>
      </c>
      <c r="P828" s="78">
        <v>620000</v>
      </c>
    </row>
    <row r="829" spans="1:16" ht="12.75" customHeight="1" thickBot="1">
      <c r="A829" s="882"/>
      <c r="B829" s="876"/>
      <c r="C829" s="882"/>
      <c r="D829" s="882"/>
      <c r="E829" s="882"/>
      <c r="F829" s="884"/>
      <c r="G829" s="56">
        <v>721</v>
      </c>
      <c r="H829" s="79">
        <f>+F828-H828</f>
        <v>164000</v>
      </c>
      <c r="I829" s="929"/>
      <c r="J829" s="876"/>
      <c r="K829" s="878"/>
      <c r="L829" s="882"/>
      <c r="M829" s="882"/>
      <c r="N829" s="884"/>
      <c r="O829" s="56">
        <v>721</v>
      </c>
      <c r="P829" s="79">
        <f>+N828-P828</f>
        <v>186000</v>
      </c>
    </row>
    <row r="830" spans="1:16" ht="12.75" customHeight="1">
      <c r="A830" s="881" t="e">
        <f>+A828+1</f>
        <v>#REF!</v>
      </c>
      <c r="B830" s="875">
        <v>42317</v>
      </c>
      <c r="C830" s="877" t="s">
        <v>32</v>
      </c>
      <c r="D830" s="881" t="s">
        <v>446</v>
      </c>
      <c r="E830" s="881" t="s">
        <v>148</v>
      </c>
      <c r="F830" s="883">
        <v>28000</v>
      </c>
      <c r="G830" s="55">
        <v>719</v>
      </c>
      <c r="H830" s="78">
        <v>20000</v>
      </c>
      <c r="I830" s="928">
        <f>+I828+1</f>
        <v>103</v>
      </c>
      <c r="J830" s="875">
        <v>43004</v>
      </c>
      <c r="K830" s="877" t="s">
        <v>350</v>
      </c>
      <c r="L830" s="881" t="s">
        <v>1489</v>
      </c>
      <c r="M830" s="881" t="s">
        <v>148</v>
      </c>
      <c r="N830" s="883">
        <v>494000</v>
      </c>
      <c r="O830" s="55">
        <v>719</v>
      </c>
      <c r="P830" s="78">
        <v>380000</v>
      </c>
    </row>
    <row r="831" spans="1:16" ht="13.5" customHeight="1" thickBot="1">
      <c r="A831" s="882"/>
      <c r="B831" s="876"/>
      <c r="C831" s="878"/>
      <c r="D831" s="882"/>
      <c r="E831" s="882"/>
      <c r="F831" s="884"/>
      <c r="G831" s="56">
        <v>721</v>
      </c>
      <c r="H831" s="79">
        <f>+F830-H830</f>
        <v>8000</v>
      </c>
      <c r="I831" s="929"/>
      <c r="J831" s="876"/>
      <c r="K831" s="878"/>
      <c r="L831" s="882"/>
      <c r="M831" s="882"/>
      <c r="N831" s="884"/>
      <c r="O831" s="56">
        <v>721</v>
      </c>
      <c r="P831" s="79">
        <f>+N830-P830</f>
        <v>114000</v>
      </c>
    </row>
    <row r="832" spans="1:16" ht="14.25" customHeight="1">
      <c r="A832" s="881" t="e">
        <f>+A830+1</f>
        <v>#REF!</v>
      </c>
      <c r="B832" s="875">
        <v>42317</v>
      </c>
      <c r="C832" s="877" t="s">
        <v>111</v>
      </c>
      <c r="D832" s="881" t="s">
        <v>447</v>
      </c>
      <c r="E832" s="881" t="s">
        <v>148</v>
      </c>
      <c r="F832" s="883">
        <v>140000</v>
      </c>
      <c r="G832" s="55">
        <v>719</v>
      </c>
      <c r="H832" s="78">
        <v>100000</v>
      </c>
      <c r="I832" s="928">
        <f>+I830+1</f>
        <v>104</v>
      </c>
      <c r="J832" s="875">
        <v>43004</v>
      </c>
      <c r="K832" s="877" t="s">
        <v>350</v>
      </c>
      <c r="L832" s="881" t="s">
        <v>1492</v>
      </c>
      <c r="M832" s="881" t="s">
        <v>148</v>
      </c>
      <c r="N832" s="883">
        <v>416000</v>
      </c>
      <c r="O832" s="55">
        <v>719</v>
      </c>
      <c r="P832" s="78">
        <v>320000</v>
      </c>
    </row>
    <row r="833" spans="1:16" ht="12.75" customHeight="1" thickBot="1">
      <c r="A833" s="882"/>
      <c r="B833" s="876"/>
      <c r="C833" s="878"/>
      <c r="D833" s="882"/>
      <c r="E833" s="882"/>
      <c r="F833" s="884"/>
      <c r="G833" s="56">
        <v>721</v>
      </c>
      <c r="H833" s="79">
        <f>+F832-H832</f>
        <v>40000</v>
      </c>
      <c r="I833" s="929"/>
      <c r="J833" s="876"/>
      <c r="K833" s="878"/>
      <c r="L833" s="882"/>
      <c r="M833" s="882"/>
      <c r="N833" s="884"/>
      <c r="O833" s="56">
        <v>721</v>
      </c>
      <c r="P833" s="79">
        <f>+N832-P832</f>
        <v>96000</v>
      </c>
    </row>
    <row r="834" spans="1:16" ht="15" customHeight="1" thickBot="1">
      <c r="A834" s="881" t="e">
        <f>+A832+1</f>
        <v>#REF!</v>
      </c>
      <c r="B834" s="875">
        <v>42317</v>
      </c>
      <c r="C834" s="877" t="s">
        <v>272</v>
      </c>
      <c r="D834" s="881" t="s">
        <v>444</v>
      </c>
      <c r="E834" s="881" t="s">
        <v>148</v>
      </c>
      <c r="F834" s="883">
        <v>756000</v>
      </c>
      <c r="G834" s="55">
        <v>719</v>
      </c>
      <c r="H834" s="78">
        <v>540000</v>
      </c>
      <c r="I834" s="901" t="s">
        <v>102</v>
      </c>
      <c r="J834" s="902"/>
      <c r="K834" s="902"/>
      <c r="L834" s="902"/>
      <c r="M834" s="903"/>
      <c r="N834" s="81">
        <f>SUM(N824:N833)</f>
        <v>3276000</v>
      </c>
    </row>
    <row r="835" spans="1:16" ht="15.75" customHeight="1" thickBot="1">
      <c r="A835" s="882"/>
      <c r="B835" s="876"/>
      <c r="C835" s="878"/>
      <c r="D835" s="882"/>
      <c r="E835" s="882"/>
      <c r="F835" s="884"/>
      <c r="G835" s="56">
        <v>721</v>
      </c>
      <c r="H835" s="79">
        <f>+F834-H834</f>
        <v>216000</v>
      </c>
      <c r="I835" s="885" t="s">
        <v>103</v>
      </c>
      <c r="J835" s="886"/>
      <c r="K835" s="886"/>
      <c r="L835" s="886"/>
      <c r="M835" s="887"/>
      <c r="N835" s="239">
        <f>+N799</f>
        <v>397396238</v>
      </c>
      <c r="O835" s="241" t="s">
        <v>561</v>
      </c>
      <c r="P835" s="242">
        <f>571+682+1060+667+1036</f>
        <v>4016</v>
      </c>
    </row>
    <row r="836" spans="1:16" ht="16.5" thickBot="1">
      <c r="A836" s="901" t="s">
        <v>102</v>
      </c>
      <c r="B836" s="902"/>
      <c r="C836" s="902"/>
      <c r="D836" s="902"/>
      <c r="E836" s="903"/>
      <c r="F836" s="81">
        <f>SUM(F826:F835)</f>
        <v>1750000</v>
      </c>
      <c r="I836" s="888" t="s">
        <v>104</v>
      </c>
      <c r="J836" s="889"/>
      <c r="K836" s="889"/>
      <c r="L836" s="889"/>
      <c r="M836" s="890"/>
      <c r="N836" s="183">
        <f>SUM(N834:N835)</f>
        <v>400672238</v>
      </c>
    </row>
    <row r="837" spans="1:16" ht="11.25" customHeight="1" thickBot="1">
      <c r="A837" s="885" t="s">
        <v>103</v>
      </c>
      <c r="B837" s="886"/>
      <c r="C837" s="886"/>
      <c r="D837" s="886"/>
      <c r="E837" s="887"/>
      <c r="F837" s="69">
        <f>+F801</f>
        <v>654712930</v>
      </c>
      <c r="I837" s="61"/>
      <c r="J837" s="61"/>
      <c r="K837" s="61"/>
      <c r="L837" s="61"/>
      <c r="M837" s="61"/>
    </row>
    <row r="838" spans="1:16" ht="16.5" thickBot="1">
      <c r="A838" s="888" t="s">
        <v>104</v>
      </c>
      <c r="B838" s="889"/>
      <c r="C838" s="889"/>
      <c r="D838" s="889"/>
      <c r="E838" s="890"/>
      <c r="F838" s="183">
        <f>SUM(F836:F837)</f>
        <v>656462930</v>
      </c>
      <c r="I838" s="51" t="s">
        <v>1497</v>
      </c>
    </row>
    <row r="839" spans="1:16" ht="10.5" customHeight="1">
      <c r="A839" s="61"/>
      <c r="B839" s="61"/>
      <c r="C839" s="61"/>
      <c r="D839" s="61"/>
      <c r="E839" s="61"/>
      <c r="N839" s="139"/>
    </row>
    <row r="840" spans="1:16">
      <c r="A840" s="51" t="s">
        <v>448</v>
      </c>
      <c r="I840" s="50" t="s">
        <v>105</v>
      </c>
      <c r="L840" s="146"/>
      <c r="N840" s="139"/>
    </row>
    <row r="841" spans="1:16" ht="12" customHeight="1" thickBot="1">
      <c r="F841" s="139"/>
    </row>
    <row r="842" spans="1:16" ht="15.75" thickBot="1">
      <c r="A842" s="50" t="s">
        <v>105</v>
      </c>
      <c r="D842" s="146"/>
      <c r="F842" s="139"/>
      <c r="I842" s="891" t="s">
        <v>106</v>
      </c>
      <c r="J842" s="892"/>
      <c r="K842" s="892"/>
      <c r="L842" s="893"/>
    </row>
    <row r="843" spans="1:16" ht="28.5" customHeight="1" thickBot="1">
      <c r="I843" s="57" t="s">
        <v>100</v>
      </c>
      <c r="J843" s="58" t="s">
        <v>108</v>
      </c>
      <c r="K843" s="263" t="s">
        <v>109</v>
      </c>
      <c r="L843" s="60" t="s">
        <v>110</v>
      </c>
      <c r="N843" s="202"/>
      <c r="O843" s="202"/>
      <c r="P843" s="202"/>
    </row>
    <row r="844" spans="1:16" ht="15" customHeight="1" thickBot="1">
      <c r="A844" s="891" t="s">
        <v>106</v>
      </c>
      <c r="B844" s="892"/>
      <c r="C844" s="892"/>
      <c r="D844" s="893"/>
      <c r="F844" s="50" t="s">
        <v>288</v>
      </c>
      <c r="I844" s="71">
        <v>719</v>
      </c>
      <c r="J844" s="73">
        <f>+P824+P826+P828+P830+P832</f>
        <v>2520000</v>
      </c>
      <c r="K844" s="74">
        <f>+L807</f>
        <v>10566700</v>
      </c>
      <c r="L844" s="195">
        <f>+J844+K844</f>
        <v>13086700</v>
      </c>
      <c r="N844" s="605" t="s">
        <v>288</v>
      </c>
      <c r="O844" s="605"/>
      <c r="P844" s="605"/>
    </row>
    <row r="845" spans="1:16" ht="14.25" customHeight="1" thickBot="1">
      <c r="A845" s="57" t="s">
        <v>100</v>
      </c>
      <c r="B845" s="58" t="s">
        <v>108</v>
      </c>
      <c r="C845" s="59" t="s">
        <v>109</v>
      </c>
      <c r="D845" s="60" t="s">
        <v>110</v>
      </c>
      <c r="I845" s="72">
        <v>721</v>
      </c>
      <c r="J845" s="257">
        <f>+P825+P827+P829+P831+P833</f>
        <v>756000</v>
      </c>
      <c r="K845" s="74">
        <f>+L808</f>
        <v>2009550</v>
      </c>
      <c r="L845" s="195">
        <f>+J845+K845</f>
        <v>2765550</v>
      </c>
      <c r="N845" s="202"/>
      <c r="O845" s="202"/>
      <c r="P845" s="202"/>
    </row>
    <row r="846" spans="1:16" ht="14.25" customHeight="1">
      <c r="A846" s="71">
        <v>719</v>
      </c>
      <c r="B846" s="73">
        <f>+H826+H828+H830+H832+H834</f>
        <v>1250000</v>
      </c>
      <c r="C846" s="74" t="e">
        <f>+D809</f>
        <v>#REF!</v>
      </c>
      <c r="D846" s="195" t="e">
        <f>+B846+C846</f>
        <v>#REF!</v>
      </c>
      <c r="I846" s="72">
        <v>722</v>
      </c>
      <c r="J846" s="257"/>
      <c r="K846" s="74">
        <f>+L809</f>
        <v>0</v>
      </c>
      <c r="L846" s="195">
        <f>+J846+K846</f>
        <v>0</v>
      </c>
      <c r="N846" s="918"/>
      <c r="O846" s="918"/>
      <c r="P846" s="918"/>
    </row>
    <row r="847" spans="1:16" ht="14.25" customHeight="1">
      <c r="A847" s="72">
        <v>721</v>
      </c>
      <c r="B847" s="80">
        <f>+H827+H829+H831+H833+H835</f>
        <v>500000</v>
      </c>
      <c r="C847" s="74" t="e">
        <f>+D810</f>
        <v>#REF!</v>
      </c>
      <c r="D847" s="195" t="e">
        <f>+B847+C847</f>
        <v>#REF!</v>
      </c>
      <c r="I847" s="72">
        <v>723</v>
      </c>
      <c r="J847" s="257"/>
      <c r="K847" s="74">
        <f>+L810</f>
        <v>384819988</v>
      </c>
      <c r="L847" s="195">
        <f>+J847+K847</f>
        <v>384819988</v>
      </c>
      <c r="N847" s="918"/>
      <c r="O847" s="918"/>
      <c r="P847" s="918"/>
    </row>
    <row r="848" spans="1:16" ht="15" customHeight="1" thickBot="1">
      <c r="A848" s="72">
        <v>722</v>
      </c>
      <c r="B848" s="80"/>
      <c r="C848" s="74">
        <f>+D811</f>
        <v>231207671</v>
      </c>
      <c r="D848" s="195">
        <f>+B848+C848</f>
        <v>231207671</v>
      </c>
      <c r="I848" s="164" t="s">
        <v>181</v>
      </c>
      <c r="J848" s="165"/>
      <c r="K848" s="74">
        <f>+L811</f>
        <v>0</v>
      </c>
      <c r="L848" s="196">
        <f>+J848+K848</f>
        <v>0</v>
      </c>
      <c r="N848" s="918" t="s">
        <v>1481</v>
      </c>
      <c r="O848" s="918"/>
      <c r="P848" s="918"/>
    </row>
    <row r="849" spans="1:16" ht="16.5" thickBot="1">
      <c r="A849" s="72">
        <v>723</v>
      </c>
      <c r="B849" s="80"/>
      <c r="C849" s="74">
        <f>+D812</f>
        <v>321428837</v>
      </c>
      <c r="D849" s="195">
        <f>+B849+C849</f>
        <v>321428837</v>
      </c>
      <c r="F849" s="174" t="s">
        <v>23</v>
      </c>
      <c r="G849" s="175"/>
      <c r="I849" s="169"/>
      <c r="J849" s="197">
        <f>SUM(J844:J848)</f>
        <v>3276000</v>
      </c>
      <c r="K849" s="197">
        <f>SUM(K844:K848)</f>
        <v>397396238</v>
      </c>
      <c r="L849" s="198">
        <f>SUM(L844:L848)</f>
        <v>400672238</v>
      </c>
    </row>
    <row r="850" spans="1:16" ht="17.25" thickBot="1">
      <c r="A850" s="164" t="s">
        <v>181</v>
      </c>
      <c r="B850" s="165"/>
      <c r="C850" s="74">
        <f>+D813</f>
        <v>1965625</v>
      </c>
      <c r="D850" s="196">
        <f>+B850+C850</f>
        <v>1965625</v>
      </c>
      <c r="F850" s="52"/>
      <c r="I850" s="49" t="s">
        <v>88</v>
      </c>
      <c r="J850" s="50"/>
    </row>
    <row r="851" spans="1:16" ht="16.5" thickBot="1">
      <c r="A851" s="169"/>
      <c r="B851" s="170">
        <f>SUM(B846:B850)</f>
        <v>1750000</v>
      </c>
      <c r="C851" s="171" t="e">
        <f>SUM(C846:C850)</f>
        <v>#REF!</v>
      </c>
      <c r="D851" s="172" t="e">
        <f>SUM(D846:D850)</f>
        <v>#REF!</v>
      </c>
      <c r="I851" s="51" t="s">
        <v>89</v>
      </c>
    </row>
    <row r="852" spans="1:16" ht="16.5">
      <c r="A852" s="49" t="s">
        <v>88</v>
      </c>
      <c r="B852" s="50"/>
      <c r="I852" s="51" t="s">
        <v>90</v>
      </c>
    </row>
    <row r="853" spans="1:16">
      <c r="A853" s="51" t="s">
        <v>89</v>
      </c>
      <c r="I853" s="51" t="s">
        <v>91</v>
      </c>
    </row>
    <row r="854" spans="1:16" ht="12.75" customHeight="1">
      <c r="A854" s="51" t="s">
        <v>90</v>
      </c>
      <c r="I854" s="50"/>
      <c r="J854" s="50"/>
    </row>
    <row r="855" spans="1:16" ht="16.5">
      <c r="A855" s="51" t="s">
        <v>91</v>
      </c>
      <c r="I855" s="260" t="s">
        <v>789</v>
      </c>
      <c r="J855" s="262"/>
      <c r="O855" s="52"/>
    </row>
    <row r="856" spans="1:16" ht="14.25" customHeight="1">
      <c r="A856" s="50"/>
      <c r="B856" s="50"/>
      <c r="I856" s="261" t="s">
        <v>1333</v>
      </c>
      <c r="J856" s="262"/>
      <c r="O856" s="53"/>
    </row>
    <row r="857" spans="1:16" ht="16.5">
      <c r="A857" s="52" t="s">
        <v>443</v>
      </c>
      <c r="G857" s="52"/>
      <c r="I857" s="894" t="s">
        <v>1278</v>
      </c>
      <c r="J857" s="894"/>
      <c r="K857" s="894"/>
      <c r="L857" s="894"/>
      <c r="M857" s="894"/>
      <c r="N857" s="894"/>
      <c r="O857" s="894"/>
      <c r="P857" s="894"/>
    </row>
    <row r="858" spans="1:16" ht="13.5" customHeight="1" thickBot="1">
      <c r="A858" s="53" t="s">
        <v>92</v>
      </c>
      <c r="G858" s="53"/>
    </row>
    <row r="859" spans="1:16" ht="16.5">
      <c r="A859" s="894" t="s">
        <v>93</v>
      </c>
      <c r="B859" s="894"/>
      <c r="C859" s="894"/>
      <c r="D859" s="894"/>
      <c r="E859" s="894"/>
      <c r="F859" s="894"/>
      <c r="G859" s="894"/>
      <c r="H859" s="894"/>
      <c r="I859" s="895" t="s">
        <v>94</v>
      </c>
      <c r="J859" s="897" t="s">
        <v>95</v>
      </c>
      <c r="K859" s="897" t="s">
        <v>96</v>
      </c>
      <c r="L859" s="897" t="s">
        <v>3</v>
      </c>
      <c r="M859" s="897" t="s">
        <v>97</v>
      </c>
      <c r="N859" s="897" t="s">
        <v>98</v>
      </c>
      <c r="O859" s="897" t="s">
        <v>99</v>
      </c>
      <c r="P859" s="899"/>
    </row>
    <row r="860" spans="1:16" ht="12.75" customHeight="1" thickBot="1">
      <c r="I860" s="896"/>
      <c r="J860" s="898"/>
      <c r="K860" s="898"/>
      <c r="L860" s="898"/>
      <c r="M860" s="898"/>
      <c r="N860" s="898"/>
      <c r="O860" s="240" t="s">
        <v>100</v>
      </c>
      <c r="P860" s="182" t="s">
        <v>101</v>
      </c>
    </row>
    <row r="861" spans="1:16" ht="14.25" customHeight="1">
      <c r="A861" s="895" t="s">
        <v>94</v>
      </c>
      <c r="B861" s="897" t="s">
        <v>95</v>
      </c>
      <c r="C861" s="897" t="s">
        <v>96</v>
      </c>
      <c r="D861" s="897" t="s">
        <v>3</v>
      </c>
      <c r="E861" s="897" t="s">
        <v>97</v>
      </c>
      <c r="F861" s="897" t="s">
        <v>98</v>
      </c>
      <c r="G861" s="897" t="s">
        <v>99</v>
      </c>
      <c r="H861" s="899"/>
      <c r="I861" s="928">
        <f>+I832+1</f>
        <v>105</v>
      </c>
      <c r="J861" s="875">
        <v>43004</v>
      </c>
      <c r="K861" s="877" t="s">
        <v>350</v>
      </c>
      <c r="L861" s="881" t="s">
        <v>1493</v>
      </c>
      <c r="M861" s="881" t="s">
        <v>148</v>
      </c>
      <c r="N861" s="883">
        <v>494000</v>
      </c>
      <c r="O861" s="55">
        <v>719</v>
      </c>
      <c r="P861" s="78">
        <v>380000</v>
      </c>
    </row>
    <row r="862" spans="1:16" ht="12" customHeight="1" thickBot="1">
      <c r="A862" s="896"/>
      <c r="B862" s="898"/>
      <c r="C862" s="898"/>
      <c r="D862" s="898"/>
      <c r="E862" s="898"/>
      <c r="F862" s="898"/>
      <c r="G862" s="240" t="s">
        <v>100</v>
      </c>
      <c r="H862" s="182" t="s">
        <v>101</v>
      </c>
      <c r="I862" s="929"/>
      <c r="J862" s="876"/>
      <c r="K862" s="878"/>
      <c r="L862" s="882"/>
      <c r="M862" s="882"/>
      <c r="N862" s="884"/>
      <c r="O862" s="56">
        <v>721</v>
      </c>
      <c r="P862" s="79">
        <f>+N861-P861</f>
        <v>114000</v>
      </c>
    </row>
    <row r="863" spans="1:16" ht="13.5" customHeight="1">
      <c r="A863" s="881" t="e">
        <f>+A834+1</f>
        <v>#REF!</v>
      </c>
      <c r="B863" s="875">
        <v>42317</v>
      </c>
      <c r="C863" s="877" t="s">
        <v>272</v>
      </c>
      <c r="D863" s="881" t="s">
        <v>449</v>
      </c>
      <c r="E863" s="881" t="s">
        <v>115</v>
      </c>
      <c r="F863" s="883">
        <v>210000</v>
      </c>
      <c r="G863" s="55">
        <v>719</v>
      </c>
      <c r="H863" s="78">
        <v>210000</v>
      </c>
      <c r="I863" s="928">
        <f>+I861+1</f>
        <v>106</v>
      </c>
      <c r="J863" s="875">
        <v>43004</v>
      </c>
      <c r="K863" s="877" t="s">
        <v>350</v>
      </c>
      <c r="L863" s="881" t="s">
        <v>1498</v>
      </c>
      <c r="M863" s="881" t="s">
        <v>148</v>
      </c>
      <c r="N863" s="883">
        <v>429000</v>
      </c>
      <c r="O863" s="55">
        <v>719</v>
      </c>
      <c r="P863" s="78">
        <v>330000</v>
      </c>
    </row>
    <row r="864" spans="1:16" ht="13.5" customHeight="1" thickBot="1">
      <c r="A864" s="882"/>
      <c r="B864" s="876"/>
      <c r="C864" s="878"/>
      <c r="D864" s="882"/>
      <c r="E864" s="882"/>
      <c r="F864" s="884"/>
      <c r="G864" s="56">
        <v>721</v>
      </c>
      <c r="H864" s="79">
        <f>+F863-H863</f>
        <v>0</v>
      </c>
      <c r="I864" s="929"/>
      <c r="J864" s="876"/>
      <c r="K864" s="878"/>
      <c r="L864" s="882"/>
      <c r="M864" s="882"/>
      <c r="N864" s="884"/>
      <c r="O864" s="56">
        <v>721</v>
      </c>
      <c r="P864" s="79">
        <f>+N863-P863</f>
        <v>99000</v>
      </c>
    </row>
    <row r="865" spans="1:16" ht="13.5" customHeight="1">
      <c r="A865" s="881" t="e">
        <f>+A863+1</f>
        <v>#REF!</v>
      </c>
      <c r="B865" s="875">
        <v>42317</v>
      </c>
      <c r="C865" s="881" t="s">
        <v>28</v>
      </c>
      <c r="D865" s="881" t="s">
        <v>450</v>
      </c>
      <c r="E865" s="881" t="s">
        <v>115</v>
      </c>
      <c r="F865" s="883">
        <v>20000</v>
      </c>
      <c r="G865" s="55">
        <v>719</v>
      </c>
      <c r="H865" s="78">
        <v>20000</v>
      </c>
      <c r="I865" s="928">
        <f>+I863+1</f>
        <v>107</v>
      </c>
      <c r="J865" s="875">
        <v>43004</v>
      </c>
      <c r="K865" s="877" t="s">
        <v>350</v>
      </c>
      <c r="L865" s="881" t="s">
        <v>1499</v>
      </c>
      <c r="M865" s="881" t="s">
        <v>148</v>
      </c>
      <c r="N865" s="883">
        <v>325000</v>
      </c>
      <c r="O865" s="55">
        <v>719</v>
      </c>
      <c r="P865" s="78">
        <v>250000</v>
      </c>
    </row>
    <row r="866" spans="1:16" ht="12.75" customHeight="1" thickBot="1">
      <c r="A866" s="882"/>
      <c r="B866" s="876"/>
      <c r="C866" s="882"/>
      <c r="D866" s="882"/>
      <c r="E866" s="882"/>
      <c r="F866" s="884"/>
      <c r="G866" s="56">
        <v>721</v>
      </c>
      <c r="H866" s="79">
        <f>+F865-H865</f>
        <v>0</v>
      </c>
      <c r="I866" s="929"/>
      <c r="J866" s="876"/>
      <c r="K866" s="878"/>
      <c r="L866" s="882"/>
      <c r="M866" s="882"/>
      <c r="N866" s="884"/>
      <c r="O866" s="56">
        <v>721</v>
      </c>
      <c r="P866" s="79">
        <f>+N865-P865</f>
        <v>75000</v>
      </c>
    </row>
    <row r="867" spans="1:16" ht="13.5" customHeight="1">
      <c r="A867" s="881" t="e">
        <f>+A865+1</f>
        <v>#REF!</v>
      </c>
      <c r="B867" s="875">
        <v>42317</v>
      </c>
      <c r="C867" s="877" t="s">
        <v>32</v>
      </c>
      <c r="D867" s="881" t="s">
        <v>451</v>
      </c>
      <c r="E867" s="881" t="s">
        <v>115</v>
      </c>
      <c r="F867" s="883">
        <v>30000</v>
      </c>
      <c r="G867" s="55">
        <v>719</v>
      </c>
      <c r="H867" s="78">
        <v>30000</v>
      </c>
      <c r="I867" s="928">
        <f>+I865+1</f>
        <v>108</v>
      </c>
      <c r="J867" s="875">
        <v>43004</v>
      </c>
      <c r="K867" s="877" t="s">
        <v>350</v>
      </c>
      <c r="L867" s="881" t="s">
        <v>1500</v>
      </c>
      <c r="M867" s="881" t="s">
        <v>148</v>
      </c>
      <c r="N867" s="883">
        <v>247000</v>
      </c>
      <c r="O867" s="55">
        <v>719</v>
      </c>
      <c r="P867" s="78">
        <v>190000</v>
      </c>
    </row>
    <row r="868" spans="1:16" ht="13.5" customHeight="1" thickBot="1">
      <c r="A868" s="882"/>
      <c r="B868" s="876"/>
      <c r="C868" s="878"/>
      <c r="D868" s="882"/>
      <c r="E868" s="882"/>
      <c r="F868" s="884"/>
      <c r="G868" s="56">
        <v>721</v>
      </c>
      <c r="H868" s="79">
        <f>+F867-H867</f>
        <v>0</v>
      </c>
      <c r="I868" s="929"/>
      <c r="J868" s="876"/>
      <c r="K868" s="878"/>
      <c r="L868" s="882"/>
      <c r="M868" s="882"/>
      <c r="N868" s="884"/>
      <c r="O868" s="56">
        <v>721</v>
      </c>
      <c r="P868" s="79">
        <f>+N867-P867</f>
        <v>57000</v>
      </c>
    </row>
    <row r="869" spans="1:16" ht="13.5" customHeight="1">
      <c r="A869" s="881" t="e">
        <f>+A867+1</f>
        <v>#REF!</v>
      </c>
      <c r="B869" s="875">
        <v>42317</v>
      </c>
      <c r="C869" s="881" t="s">
        <v>28</v>
      </c>
      <c r="D869" s="881" t="s">
        <v>452</v>
      </c>
      <c r="E869" s="881" t="s">
        <v>115</v>
      </c>
      <c r="F869" s="883">
        <v>30000</v>
      </c>
      <c r="G869" s="55">
        <v>719</v>
      </c>
      <c r="H869" s="78">
        <v>30000</v>
      </c>
      <c r="I869" s="928">
        <f>+I867+1</f>
        <v>109</v>
      </c>
      <c r="J869" s="875">
        <v>43004</v>
      </c>
      <c r="K869" s="877" t="s">
        <v>350</v>
      </c>
      <c r="L869" s="881" t="s">
        <v>1501</v>
      </c>
      <c r="M869" s="881" t="s">
        <v>148</v>
      </c>
      <c r="N869" s="883">
        <v>286000</v>
      </c>
      <c r="O869" s="55">
        <v>719</v>
      </c>
      <c r="P869" s="78">
        <v>220000</v>
      </c>
    </row>
    <row r="870" spans="1:16" ht="12" customHeight="1" thickBot="1">
      <c r="A870" s="882"/>
      <c r="B870" s="876"/>
      <c r="C870" s="882"/>
      <c r="D870" s="882"/>
      <c r="E870" s="882"/>
      <c r="F870" s="884"/>
      <c r="G870" s="56">
        <v>721</v>
      </c>
      <c r="H870" s="79">
        <f>+F869-H869</f>
        <v>0</v>
      </c>
      <c r="I870" s="929"/>
      <c r="J870" s="876"/>
      <c r="K870" s="878"/>
      <c r="L870" s="882"/>
      <c r="M870" s="882"/>
      <c r="N870" s="884"/>
      <c r="O870" s="56">
        <v>721</v>
      </c>
      <c r="P870" s="79">
        <f>+N869-P869</f>
        <v>66000</v>
      </c>
    </row>
    <row r="871" spans="1:16" ht="15" customHeight="1" thickBot="1">
      <c r="A871" s="881" t="e">
        <f>+A869+1</f>
        <v>#REF!</v>
      </c>
      <c r="B871" s="875">
        <v>42317</v>
      </c>
      <c r="C871" s="877" t="s">
        <v>272</v>
      </c>
      <c r="D871" s="881" t="s">
        <v>453</v>
      </c>
      <c r="E871" s="881" t="s">
        <v>115</v>
      </c>
      <c r="F871" s="883">
        <v>50000</v>
      </c>
      <c r="G871" s="55">
        <v>719</v>
      </c>
      <c r="H871" s="78">
        <v>50000</v>
      </c>
      <c r="I871" s="901" t="s">
        <v>102</v>
      </c>
      <c r="J871" s="902"/>
      <c r="K871" s="902"/>
      <c r="L871" s="902"/>
      <c r="M871" s="903"/>
      <c r="N871" s="81">
        <f>SUM(N861:N870)</f>
        <v>1781000</v>
      </c>
    </row>
    <row r="872" spans="1:16" ht="15.75" customHeight="1" thickBot="1">
      <c r="A872" s="882"/>
      <c r="B872" s="876"/>
      <c r="C872" s="878"/>
      <c r="D872" s="882"/>
      <c r="E872" s="882"/>
      <c r="F872" s="884"/>
      <c r="G872" s="56">
        <v>721</v>
      </c>
      <c r="H872" s="79">
        <f>+F871-H871</f>
        <v>0</v>
      </c>
      <c r="I872" s="885" t="s">
        <v>103</v>
      </c>
      <c r="J872" s="886"/>
      <c r="K872" s="886"/>
      <c r="L872" s="886"/>
      <c r="M872" s="887"/>
      <c r="N872" s="239">
        <f>+N836</f>
        <v>400672238</v>
      </c>
      <c r="O872" s="241" t="s">
        <v>561</v>
      </c>
      <c r="P872" s="242">
        <f>807+624+497+291+422</f>
        <v>2641</v>
      </c>
    </row>
    <row r="873" spans="1:16" ht="16.5" thickBot="1">
      <c r="A873" s="901" t="s">
        <v>102</v>
      </c>
      <c r="B873" s="902"/>
      <c r="C873" s="902"/>
      <c r="D873" s="902"/>
      <c r="E873" s="903"/>
      <c r="F873" s="81">
        <f>SUM(F863:F872)</f>
        <v>340000</v>
      </c>
      <c r="I873" s="888" t="s">
        <v>104</v>
      </c>
      <c r="J873" s="889"/>
      <c r="K873" s="889"/>
      <c r="L873" s="889"/>
      <c r="M873" s="890"/>
      <c r="N873" s="183">
        <f>SUM(N871:N872)</f>
        <v>402453238</v>
      </c>
    </row>
    <row r="874" spans="1:16" ht="12.75" customHeight="1" thickBot="1">
      <c r="A874" s="885" t="s">
        <v>103</v>
      </c>
      <c r="B874" s="886"/>
      <c r="C874" s="886"/>
      <c r="D874" s="886"/>
      <c r="E874" s="887"/>
      <c r="F874" s="69">
        <f>+F838</f>
        <v>656462930</v>
      </c>
      <c r="I874" s="61"/>
      <c r="J874" s="61"/>
      <c r="K874" s="61"/>
      <c r="L874" s="61"/>
      <c r="M874" s="61"/>
    </row>
    <row r="875" spans="1:16" ht="16.5" thickBot="1">
      <c r="A875" s="888" t="s">
        <v>104</v>
      </c>
      <c r="B875" s="889"/>
      <c r="C875" s="889"/>
      <c r="D875" s="889"/>
      <c r="E875" s="890"/>
      <c r="F875" s="183">
        <f>SUM(F873:F874)</f>
        <v>656802930</v>
      </c>
      <c r="I875" s="51" t="s">
        <v>1502</v>
      </c>
    </row>
    <row r="876" spans="1:16" ht="11.25" customHeight="1">
      <c r="A876" s="61"/>
      <c r="B876" s="61"/>
      <c r="C876" s="61"/>
      <c r="D876" s="61"/>
      <c r="E876" s="61"/>
      <c r="N876" s="139"/>
    </row>
    <row r="877" spans="1:16">
      <c r="A877" s="51" t="s">
        <v>454</v>
      </c>
      <c r="I877" s="50" t="s">
        <v>105</v>
      </c>
      <c r="L877" s="146"/>
      <c r="N877" s="139"/>
    </row>
    <row r="878" spans="1:16" ht="12.75" customHeight="1" thickBot="1">
      <c r="F878" s="139"/>
    </row>
    <row r="879" spans="1:16" ht="17.25" thickBot="1">
      <c r="A879" s="50" t="s">
        <v>105</v>
      </c>
      <c r="D879" s="146"/>
      <c r="F879" s="139"/>
      <c r="I879" s="891" t="s">
        <v>106</v>
      </c>
      <c r="J879" s="892"/>
      <c r="K879" s="892"/>
      <c r="L879" s="893"/>
      <c r="N879" s="605" t="s">
        <v>288</v>
      </c>
      <c r="O879" s="605"/>
      <c r="P879" s="605"/>
    </row>
    <row r="880" spans="1:16" ht="30.75" thickBot="1">
      <c r="I880" s="57" t="s">
        <v>100</v>
      </c>
      <c r="J880" s="58" t="s">
        <v>108</v>
      </c>
      <c r="K880" s="59" t="s">
        <v>109</v>
      </c>
      <c r="L880" s="60" t="s">
        <v>110</v>
      </c>
      <c r="N880" s="202"/>
      <c r="O880" s="202"/>
      <c r="P880" s="202"/>
    </row>
    <row r="881" spans="1:16" ht="15.75" customHeight="1" thickBot="1">
      <c r="A881" s="891" t="s">
        <v>106</v>
      </c>
      <c r="B881" s="892"/>
      <c r="C881" s="892"/>
      <c r="D881" s="893"/>
      <c r="F881" s="50" t="s">
        <v>288</v>
      </c>
      <c r="I881" s="71">
        <v>719</v>
      </c>
      <c r="J881" s="73">
        <f>+P861+P863+P865+P867+P869</f>
        <v>1370000</v>
      </c>
      <c r="K881" s="74">
        <f>+L844</f>
        <v>13086700</v>
      </c>
      <c r="L881" s="195">
        <f>+J881+K881</f>
        <v>14456700</v>
      </c>
      <c r="N881" s="918"/>
      <c r="O881" s="918"/>
      <c r="P881" s="918"/>
    </row>
    <row r="882" spans="1:16" ht="12.75" customHeight="1" thickBot="1">
      <c r="A882" s="57" t="s">
        <v>100</v>
      </c>
      <c r="B882" s="58" t="s">
        <v>108</v>
      </c>
      <c r="C882" s="59" t="s">
        <v>109</v>
      </c>
      <c r="D882" s="60" t="s">
        <v>110</v>
      </c>
      <c r="I882" s="72">
        <v>721</v>
      </c>
      <c r="J882" s="257">
        <f>+P862+P864+P866+P868+P870</f>
        <v>411000</v>
      </c>
      <c r="K882" s="74">
        <f>+L845</f>
        <v>2765550</v>
      </c>
      <c r="L882" s="195">
        <f>+J882+K882</f>
        <v>3176550</v>
      </c>
      <c r="N882" s="918"/>
      <c r="O882" s="918"/>
      <c r="P882" s="918"/>
    </row>
    <row r="883" spans="1:16" ht="14.25" customHeight="1">
      <c r="A883" s="71">
        <v>719</v>
      </c>
      <c r="B883" s="73">
        <f>+H863+H865+H867+H869+H871</f>
        <v>340000</v>
      </c>
      <c r="C883" s="74" t="e">
        <f>+D846</f>
        <v>#REF!</v>
      </c>
      <c r="D883" s="195" t="e">
        <f>+B883+C883</f>
        <v>#REF!</v>
      </c>
      <c r="I883" s="72">
        <v>722</v>
      </c>
      <c r="J883" s="257"/>
      <c r="K883" s="74">
        <f>+L846</f>
        <v>0</v>
      </c>
      <c r="L883" s="195">
        <f>+J883+K883</f>
        <v>0</v>
      </c>
      <c r="N883" s="918" t="s">
        <v>1481</v>
      </c>
      <c r="O883" s="918"/>
      <c r="P883" s="918"/>
    </row>
    <row r="884" spans="1:16" ht="13.5" customHeight="1">
      <c r="A884" s="72">
        <v>721</v>
      </c>
      <c r="B884" s="80">
        <f>+H864</f>
        <v>0</v>
      </c>
      <c r="C884" s="74" t="e">
        <f>+D847</f>
        <v>#REF!</v>
      </c>
      <c r="D884" s="195" t="e">
        <f>+B884+C884</f>
        <v>#REF!</v>
      </c>
      <c r="I884" s="72">
        <v>723</v>
      </c>
      <c r="J884" s="257"/>
      <c r="K884" s="74">
        <f>+L847</f>
        <v>384819988</v>
      </c>
      <c r="L884" s="195">
        <f>+J884+K884</f>
        <v>384819988</v>
      </c>
      <c r="N884" s="930"/>
      <c r="O884" s="930"/>
      <c r="P884" s="930"/>
    </row>
    <row r="885" spans="1:16" ht="15" customHeight="1" thickBot="1">
      <c r="A885" s="72">
        <v>722</v>
      </c>
      <c r="B885" s="80"/>
      <c r="C885" s="74">
        <f>+D848</f>
        <v>231207671</v>
      </c>
      <c r="D885" s="195">
        <f>+B885+C885</f>
        <v>231207671</v>
      </c>
      <c r="I885" s="164" t="s">
        <v>181</v>
      </c>
      <c r="J885" s="165"/>
      <c r="K885" s="74">
        <f>+L848</f>
        <v>0</v>
      </c>
      <c r="L885" s="196">
        <f>+J885+K885</f>
        <v>0</v>
      </c>
      <c r="N885" s="52"/>
    </row>
    <row r="886" spans="1:16" ht="16.5" thickBot="1">
      <c r="A886" s="72">
        <v>723</v>
      </c>
      <c r="B886" s="80">
        <f>+H866</f>
        <v>0</v>
      </c>
      <c r="C886" s="74">
        <f>+D849</f>
        <v>321428837</v>
      </c>
      <c r="D886" s="195">
        <f>+B886+C886</f>
        <v>321428837</v>
      </c>
      <c r="F886" s="174" t="s">
        <v>23</v>
      </c>
      <c r="G886" s="175"/>
      <c r="I886" s="169"/>
      <c r="J886" s="197">
        <f>SUM(J881:J885)</f>
        <v>1781000</v>
      </c>
      <c r="K886" s="197">
        <f>SUM(K881:K885)</f>
        <v>400672238</v>
      </c>
      <c r="L886" s="198">
        <f>SUM(L881:L885)</f>
        <v>402453238</v>
      </c>
    </row>
    <row r="887" spans="1:16" ht="17.25" thickBot="1">
      <c r="A887" s="164" t="s">
        <v>181</v>
      </c>
      <c r="B887" s="165"/>
      <c r="C887" s="74">
        <f>+D850</f>
        <v>1965625</v>
      </c>
      <c r="D887" s="196">
        <f>+B887+C887</f>
        <v>1965625</v>
      </c>
      <c r="F887" s="52"/>
      <c r="I887" s="49" t="s">
        <v>88</v>
      </c>
      <c r="J887" s="50"/>
    </row>
    <row r="888" spans="1:16" ht="14.25" customHeight="1" thickBot="1">
      <c r="A888" s="169"/>
      <c r="B888" s="170">
        <f>SUM(B883:B887)</f>
        <v>340000</v>
      </c>
      <c r="C888" s="171" t="e">
        <f>SUM(C883:C887)</f>
        <v>#REF!</v>
      </c>
      <c r="D888" s="172" t="e">
        <f>SUM(D883:D887)</f>
        <v>#REF!</v>
      </c>
      <c r="I888" s="51" t="s">
        <v>89</v>
      </c>
    </row>
    <row r="889" spans="1:16" ht="14.25" customHeight="1">
      <c r="A889" s="49" t="s">
        <v>88</v>
      </c>
      <c r="B889" s="50"/>
      <c r="I889" s="51" t="s">
        <v>90</v>
      </c>
    </row>
    <row r="890" spans="1:16">
      <c r="A890" s="51" t="s">
        <v>89</v>
      </c>
      <c r="I890" s="51" t="s">
        <v>91</v>
      </c>
    </row>
    <row r="891" spans="1:16" ht="6" customHeight="1">
      <c r="A891" s="51" t="s">
        <v>90</v>
      </c>
      <c r="I891" s="50"/>
      <c r="J891" s="50"/>
    </row>
    <row r="892" spans="1:16" ht="16.5">
      <c r="A892" s="51" t="s">
        <v>91</v>
      </c>
      <c r="I892" s="260" t="s">
        <v>795</v>
      </c>
      <c r="O892" s="52"/>
    </row>
    <row r="893" spans="1:16" ht="15" customHeight="1">
      <c r="A893" s="50"/>
      <c r="B893" s="50"/>
      <c r="I893" s="261" t="s">
        <v>1333</v>
      </c>
      <c r="O893" s="53"/>
    </row>
    <row r="894" spans="1:16" ht="15" customHeight="1">
      <c r="A894" s="52" t="s">
        <v>455</v>
      </c>
      <c r="G894" s="52"/>
      <c r="I894" s="894" t="s">
        <v>1278</v>
      </c>
      <c r="J894" s="894"/>
      <c r="K894" s="894"/>
      <c r="L894" s="894"/>
      <c r="M894" s="894"/>
      <c r="N894" s="894"/>
      <c r="O894" s="894"/>
      <c r="P894" s="894"/>
    </row>
    <row r="895" spans="1:16" ht="14.25" customHeight="1" thickBot="1">
      <c r="A895" s="53" t="s">
        <v>92</v>
      </c>
      <c r="G895" s="53"/>
    </row>
    <row r="896" spans="1:16" ht="16.5">
      <c r="A896" s="894" t="s">
        <v>93</v>
      </c>
      <c r="B896" s="894"/>
      <c r="C896" s="894"/>
      <c r="D896" s="894"/>
      <c r="E896" s="894"/>
      <c r="F896" s="894"/>
      <c r="G896" s="894"/>
      <c r="H896" s="894"/>
      <c r="I896" s="895" t="s">
        <v>94</v>
      </c>
      <c r="J896" s="897" t="s">
        <v>95</v>
      </c>
      <c r="K896" s="897" t="s">
        <v>96</v>
      </c>
      <c r="L896" s="897" t="s">
        <v>3</v>
      </c>
      <c r="M896" s="897" t="s">
        <v>97</v>
      </c>
      <c r="N896" s="897" t="s">
        <v>98</v>
      </c>
      <c r="O896" s="897" t="s">
        <v>99</v>
      </c>
      <c r="P896" s="899"/>
    </row>
    <row r="897" spans="1:16" ht="15.75" thickBot="1">
      <c r="I897" s="896"/>
      <c r="J897" s="898"/>
      <c r="K897" s="898"/>
      <c r="L897" s="898"/>
      <c r="M897" s="898"/>
      <c r="N897" s="898"/>
      <c r="O897" s="240" t="s">
        <v>100</v>
      </c>
      <c r="P897" s="182" t="s">
        <v>101</v>
      </c>
    </row>
    <row r="898" spans="1:16" ht="15" customHeight="1">
      <c r="A898" s="895" t="s">
        <v>94</v>
      </c>
      <c r="B898" s="897" t="s">
        <v>95</v>
      </c>
      <c r="C898" s="897" t="s">
        <v>96</v>
      </c>
      <c r="D898" s="897" t="s">
        <v>3</v>
      </c>
      <c r="E898" s="897" t="s">
        <v>97</v>
      </c>
      <c r="F898" s="897" t="s">
        <v>98</v>
      </c>
      <c r="G898" s="897" t="s">
        <v>99</v>
      </c>
      <c r="H898" s="899"/>
      <c r="I898" s="928">
        <f>+I869+1</f>
        <v>110</v>
      </c>
      <c r="J898" s="875">
        <v>43005</v>
      </c>
      <c r="K898" s="877" t="s">
        <v>350</v>
      </c>
      <c r="L898" s="881" t="s">
        <v>1503</v>
      </c>
      <c r="M898" s="881" t="s">
        <v>148</v>
      </c>
      <c r="N898" s="883">
        <v>481000</v>
      </c>
      <c r="O898" s="55">
        <v>719</v>
      </c>
      <c r="P898" s="78">
        <v>370000</v>
      </c>
    </row>
    <row r="899" spans="1:16" ht="15.75" customHeight="1" thickBot="1">
      <c r="A899" s="896"/>
      <c r="B899" s="898"/>
      <c r="C899" s="898"/>
      <c r="D899" s="898"/>
      <c r="E899" s="898"/>
      <c r="F899" s="898"/>
      <c r="G899" s="240" t="s">
        <v>100</v>
      </c>
      <c r="H899" s="182" t="s">
        <v>101</v>
      </c>
      <c r="I899" s="929"/>
      <c r="J899" s="876"/>
      <c r="K899" s="878"/>
      <c r="L899" s="882"/>
      <c r="M899" s="882"/>
      <c r="N899" s="884"/>
      <c r="O899" s="56">
        <v>721</v>
      </c>
      <c r="P899" s="79">
        <f>+N898-P898</f>
        <v>111000</v>
      </c>
    </row>
    <row r="900" spans="1:16" ht="15" customHeight="1">
      <c r="A900" s="881" t="e">
        <f>+A871+1</f>
        <v>#REF!</v>
      </c>
      <c r="B900" s="875">
        <v>42320</v>
      </c>
      <c r="C900" s="877" t="s">
        <v>272</v>
      </c>
      <c r="D900" s="881" t="s">
        <v>456</v>
      </c>
      <c r="E900" s="881" t="s">
        <v>115</v>
      </c>
      <c r="F900" s="883">
        <v>60000</v>
      </c>
      <c r="G900" s="55">
        <v>719</v>
      </c>
      <c r="H900" s="78">
        <v>60000</v>
      </c>
      <c r="I900" s="928">
        <f>+I898+1</f>
        <v>111</v>
      </c>
      <c r="J900" s="875">
        <v>43005</v>
      </c>
      <c r="K900" s="877" t="s">
        <v>350</v>
      </c>
      <c r="L900" s="881" t="s">
        <v>1504</v>
      </c>
      <c r="M900" s="881" t="s">
        <v>148</v>
      </c>
      <c r="N900" s="883">
        <v>429000</v>
      </c>
      <c r="O900" s="55">
        <v>719</v>
      </c>
      <c r="P900" s="78">
        <v>330000</v>
      </c>
    </row>
    <row r="901" spans="1:16" ht="15.75" customHeight="1" thickBot="1">
      <c r="A901" s="882"/>
      <c r="B901" s="876"/>
      <c r="C901" s="878"/>
      <c r="D901" s="882"/>
      <c r="E901" s="882"/>
      <c r="F901" s="884"/>
      <c r="G901" s="56">
        <v>721</v>
      </c>
      <c r="H901" s="79">
        <f>+F900-H900</f>
        <v>0</v>
      </c>
      <c r="I901" s="929"/>
      <c r="J901" s="876"/>
      <c r="K901" s="878"/>
      <c r="L901" s="882"/>
      <c r="M901" s="882"/>
      <c r="N901" s="884"/>
      <c r="O901" s="56">
        <v>721</v>
      </c>
      <c r="P901" s="79">
        <f>+N900-P900</f>
        <v>99000</v>
      </c>
    </row>
    <row r="902" spans="1:16" ht="15" customHeight="1">
      <c r="A902" s="881" t="e">
        <f>+A900+1</f>
        <v>#REF!</v>
      </c>
      <c r="B902" s="875">
        <v>42320</v>
      </c>
      <c r="C902" s="881" t="s">
        <v>28</v>
      </c>
      <c r="D902" s="881" t="s">
        <v>456</v>
      </c>
      <c r="E902" s="881" t="s">
        <v>115</v>
      </c>
      <c r="F902" s="883">
        <v>30000</v>
      </c>
      <c r="G902" s="55">
        <v>719</v>
      </c>
      <c r="H902" s="78">
        <v>30000</v>
      </c>
      <c r="I902" s="928">
        <f>+I900+1</f>
        <v>112</v>
      </c>
      <c r="J902" s="875">
        <v>43005</v>
      </c>
      <c r="K902" s="877" t="s">
        <v>350</v>
      </c>
      <c r="L902" s="881" t="s">
        <v>1505</v>
      </c>
      <c r="M902" s="881" t="s">
        <v>115</v>
      </c>
      <c r="N902" s="883">
        <v>140000</v>
      </c>
      <c r="O902" s="55">
        <v>719</v>
      </c>
      <c r="P902" s="78">
        <v>140000</v>
      </c>
    </row>
    <row r="903" spans="1:16" ht="15.75" customHeight="1" thickBot="1">
      <c r="A903" s="882"/>
      <c r="B903" s="876"/>
      <c r="C903" s="882"/>
      <c r="D903" s="882"/>
      <c r="E903" s="882"/>
      <c r="F903" s="884"/>
      <c r="G903" s="56">
        <v>721</v>
      </c>
      <c r="H903" s="79">
        <f>+F902-H902</f>
        <v>0</v>
      </c>
      <c r="I903" s="929"/>
      <c r="J903" s="876"/>
      <c r="K903" s="878"/>
      <c r="L903" s="882"/>
      <c r="M903" s="882"/>
      <c r="N903" s="884"/>
      <c r="O903" s="56">
        <v>721</v>
      </c>
      <c r="P903" s="79">
        <f>+N902-P902</f>
        <v>0</v>
      </c>
    </row>
    <row r="904" spans="1:16" ht="15" customHeight="1">
      <c r="A904" s="881" t="e">
        <f>+A902+1</f>
        <v>#REF!</v>
      </c>
      <c r="B904" s="875">
        <v>42320</v>
      </c>
      <c r="C904" s="877" t="s">
        <v>32</v>
      </c>
      <c r="D904" s="881" t="s">
        <v>457</v>
      </c>
      <c r="E904" s="881" t="s">
        <v>115</v>
      </c>
      <c r="F904" s="883">
        <v>20000</v>
      </c>
      <c r="G904" s="55">
        <v>719</v>
      </c>
      <c r="H904" s="78">
        <v>20000</v>
      </c>
      <c r="I904" s="928">
        <f>+I902+1</f>
        <v>113</v>
      </c>
      <c r="J904" s="875">
        <v>43005</v>
      </c>
      <c r="K904" s="877" t="s">
        <v>350</v>
      </c>
      <c r="L904" s="881" t="s">
        <v>1506</v>
      </c>
      <c r="M904" s="881" t="s">
        <v>148</v>
      </c>
      <c r="N904" s="883">
        <v>403000</v>
      </c>
      <c r="O904" s="55">
        <v>719</v>
      </c>
      <c r="P904" s="78">
        <v>310000</v>
      </c>
    </row>
    <row r="905" spans="1:16" ht="15.75" customHeight="1" thickBot="1">
      <c r="A905" s="882"/>
      <c r="B905" s="876"/>
      <c r="C905" s="878"/>
      <c r="D905" s="882"/>
      <c r="E905" s="882"/>
      <c r="F905" s="884"/>
      <c r="G905" s="56">
        <v>721</v>
      </c>
      <c r="H905" s="79">
        <f>+F904-H904</f>
        <v>0</v>
      </c>
      <c r="I905" s="929"/>
      <c r="J905" s="876"/>
      <c r="K905" s="878"/>
      <c r="L905" s="882"/>
      <c r="M905" s="882"/>
      <c r="N905" s="884"/>
      <c r="O905" s="56">
        <v>721</v>
      </c>
      <c r="P905" s="79">
        <f>+N904-P904</f>
        <v>93000</v>
      </c>
    </row>
    <row r="906" spans="1:16" ht="12" customHeight="1">
      <c r="A906" s="881"/>
      <c r="B906" s="875"/>
      <c r="C906" s="881"/>
      <c r="D906" s="881"/>
      <c r="E906" s="881"/>
      <c r="F906" s="883"/>
      <c r="G906" s="55">
        <v>719</v>
      </c>
      <c r="H906" s="78"/>
      <c r="I906" s="928">
        <f>+I904+1</f>
        <v>114</v>
      </c>
      <c r="J906" s="875">
        <v>43005</v>
      </c>
      <c r="K906" s="877" t="s">
        <v>28</v>
      </c>
      <c r="L906" s="881" t="s">
        <v>1507</v>
      </c>
      <c r="M906" s="881" t="s">
        <v>165</v>
      </c>
      <c r="N906" s="883">
        <v>481000</v>
      </c>
      <c r="O906" s="55">
        <v>719</v>
      </c>
      <c r="P906" s="78">
        <v>370000</v>
      </c>
    </row>
    <row r="907" spans="1:16" ht="12.75" customHeight="1" thickBot="1">
      <c r="A907" s="882"/>
      <c r="B907" s="876"/>
      <c r="C907" s="882"/>
      <c r="D907" s="882"/>
      <c r="E907" s="882"/>
      <c r="F907" s="884"/>
      <c r="G907" s="56">
        <v>721</v>
      </c>
      <c r="H907" s="79">
        <f>+F906-H906</f>
        <v>0</v>
      </c>
      <c r="I907" s="929"/>
      <c r="J907" s="876"/>
      <c r="K907" s="878"/>
      <c r="L907" s="882"/>
      <c r="M907" s="882"/>
      <c r="N907" s="884"/>
      <c r="O907" s="56">
        <v>721</v>
      </c>
      <c r="P907" s="79">
        <f>+N906-P906</f>
        <v>111000</v>
      </c>
    </row>
    <row r="908" spans="1:16" ht="16.5" thickBot="1">
      <c r="A908" s="881"/>
      <c r="B908" s="875"/>
      <c r="C908" s="877"/>
      <c r="D908" s="881"/>
      <c r="E908" s="881"/>
      <c r="F908" s="883"/>
      <c r="G908" s="55">
        <v>719</v>
      </c>
      <c r="H908" s="78"/>
      <c r="I908" s="901" t="s">
        <v>102</v>
      </c>
      <c r="J908" s="902"/>
      <c r="K908" s="902"/>
      <c r="L908" s="902"/>
      <c r="M908" s="903"/>
      <c r="N908" s="81">
        <f>SUM(N898:N907)</f>
        <v>1934000</v>
      </c>
    </row>
    <row r="909" spans="1:16" ht="16.5" thickBot="1">
      <c r="A909" s="882"/>
      <c r="B909" s="876"/>
      <c r="C909" s="878"/>
      <c r="D909" s="882"/>
      <c r="E909" s="882"/>
      <c r="F909" s="884"/>
      <c r="G909" s="56">
        <v>721</v>
      </c>
      <c r="H909" s="79">
        <f>+F908-H908</f>
        <v>0</v>
      </c>
      <c r="I909" s="885" t="s">
        <v>103</v>
      </c>
      <c r="J909" s="886"/>
      <c r="K909" s="886"/>
      <c r="L909" s="886"/>
      <c r="M909" s="887"/>
      <c r="N909" s="239">
        <f>+N873</f>
        <v>402453238</v>
      </c>
      <c r="O909" s="241" t="s">
        <v>561</v>
      </c>
      <c r="P909" s="242">
        <f>518+627+398+320+502</f>
        <v>2365</v>
      </c>
    </row>
    <row r="910" spans="1:16" ht="15" customHeight="1" thickBot="1">
      <c r="A910" s="901" t="s">
        <v>102</v>
      </c>
      <c r="B910" s="902"/>
      <c r="C910" s="902"/>
      <c r="D910" s="902"/>
      <c r="E910" s="903"/>
      <c r="F910" s="81">
        <f>SUM(F900:F909)</f>
        <v>110000</v>
      </c>
      <c r="I910" s="888" t="s">
        <v>104</v>
      </c>
      <c r="J910" s="889"/>
      <c r="K910" s="889"/>
      <c r="L910" s="889"/>
      <c r="M910" s="890"/>
      <c r="N910" s="183">
        <f>SUM(N908:N909)</f>
        <v>404387238</v>
      </c>
    </row>
    <row r="911" spans="1:16" ht="13.5" customHeight="1" thickBot="1">
      <c r="A911" s="885" t="s">
        <v>103</v>
      </c>
      <c r="B911" s="886"/>
      <c r="C911" s="886"/>
      <c r="D911" s="886"/>
      <c r="E911" s="887"/>
      <c r="F911" s="69">
        <f>+F875</f>
        <v>656802930</v>
      </c>
      <c r="I911" s="61"/>
      <c r="J911" s="61"/>
      <c r="K911" s="61"/>
      <c r="L911" s="61"/>
      <c r="M911" s="61"/>
    </row>
    <row r="912" spans="1:16" ht="16.5" thickBot="1">
      <c r="A912" s="888" t="s">
        <v>104</v>
      </c>
      <c r="B912" s="889"/>
      <c r="C912" s="889"/>
      <c r="D912" s="889"/>
      <c r="E912" s="890"/>
      <c r="F912" s="183">
        <f>SUM(F910:F911)</f>
        <v>656912930</v>
      </c>
      <c r="I912" s="51" t="s">
        <v>1508</v>
      </c>
    </row>
    <row r="913" spans="1:16" ht="6.75" customHeight="1">
      <c r="A913" s="61"/>
      <c r="B913" s="61"/>
      <c r="C913" s="61"/>
      <c r="D913" s="61"/>
      <c r="E913" s="61"/>
      <c r="N913" s="139"/>
    </row>
    <row r="914" spans="1:16">
      <c r="A914" s="51" t="s">
        <v>458</v>
      </c>
      <c r="I914" s="50" t="s">
        <v>105</v>
      </c>
      <c r="L914" s="146"/>
      <c r="N914" s="139"/>
    </row>
    <row r="915" spans="1:16" ht="8.25" customHeight="1" thickBot="1">
      <c r="F915" s="139"/>
    </row>
    <row r="916" spans="1:16" ht="15.75" thickBot="1">
      <c r="A916" s="50" t="s">
        <v>105</v>
      </c>
      <c r="D916" s="146"/>
      <c r="F916" s="139"/>
      <c r="I916" s="891" t="s">
        <v>106</v>
      </c>
      <c r="J916" s="892"/>
      <c r="K916" s="892"/>
      <c r="L916" s="893"/>
      <c r="N916" s="925" t="s">
        <v>288</v>
      </c>
      <c r="O916" s="925"/>
      <c r="P916" s="925"/>
    </row>
    <row r="917" spans="1:16" ht="28.5" customHeight="1" thickBot="1">
      <c r="I917" s="57" t="s">
        <v>100</v>
      </c>
      <c r="J917" s="58" t="s">
        <v>108</v>
      </c>
      <c r="K917" s="59" t="s">
        <v>109</v>
      </c>
      <c r="L917" s="60" t="s">
        <v>110</v>
      </c>
    </row>
    <row r="918" spans="1:16" ht="14.25" customHeight="1" thickBot="1">
      <c r="A918" s="891" t="s">
        <v>106</v>
      </c>
      <c r="B918" s="892"/>
      <c r="C918" s="892"/>
      <c r="D918" s="893"/>
      <c r="F918" s="50" t="s">
        <v>288</v>
      </c>
      <c r="I918" s="71">
        <v>719</v>
      </c>
      <c r="J918" s="73">
        <f>+P898+P900+P902+P904+P906</f>
        <v>1520000</v>
      </c>
      <c r="K918" s="74">
        <f>+L881</f>
        <v>14456700</v>
      </c>
      <c r="L918" s="195">
        <f>+J918+K918</f>
        <v>15976700</v>
      </c>
    </row>
    <row r="919" spans="1:16" ht="16.5" customHeight="1" thickBot="1">
      <c r="A919" s="57" t="s">
        <v>100</v>
      </c>
      <c r="B919" s="58" t="s">
        <v>108</v>
      </c>
      <c r="C919" s="59" t="s">
        <v>109</v>
      </c>
      <c r="D919" s="60" t="s">
        <v>110</v>
      </c>
      <c r="I919" s="72">
        <v>721</v>
      </c>
      <c r="J919" s="257">
        <f>+P899+P901+P903+P905+P907</f>
        <v>414000</v>
      </c>
      <c r="K919" s="74">
        <f>+L882</f>
        <v>3176550</v>
      </c>
      <c r="L919" s="195">
        <f>+J919+K919</f>
        <v>3590550</v>
      </c>
    </row>
    <row r="920" spans="1:16" ht="13.5" customHeight="1">
      <c r="A920" s="71">
        <v>719</v>
      </c>
      <c r="B920" s="73">
        <f>+H900+H902+H904+H906+H908</f>
        <v>110000</v>
      </c>
      <c r="C920" s="74" t="e">
        <f>+D883</f>
        <v>#REF!</v>
      </c>
      <c r="D920" s="195" t="e">
        <f>+B920+C920</f>
        <v>#REF!</v>
      </c>
      <c r="I920" s="72">
        <v>722</v>
      </c>
      <c r="J920" s="257"/>
      <c r="K920" s="74">
        <f>+L883</f>
        <v>0</v>
      </c>
      <c r="L920" s="195">
        <f>+J920+K920</f>
        <v>0</v>
      </c>
    </row>
    <row r="921" spans="1:16" ht="15.75">
      <c r="A921" s="72">
        <v>721</v>
      </c>
      <c r="B921" s="80">
        <f>+H901</f>
        <v>0</v>
      </c>
      <c r="C921" s="74" t="e">
        <f>+D884</f>
        <v>#REF!</v>
      </c>
      <c r="D921" s="195" t="e">
        <f>+B921+C921</f>
        <v>#REF!</v>
      </c>
      <c r="I921" s="72">
        <v>723</v>
      </c>
      <c r="J921" s="257"/>
      <c r="K921" s="74">
        <f>+L884</f>
        <v>384819988</v>
      </c>
      <c r="L921" s="195">
        <f>+J921+K921</f>
        <v>384819988</v>
      </c>
      <c r="N921" s="918" t="s">
        <v>1481</v>
      </c>
      <c r="O921" s="918"/>
      <c r="P921" s="918"/>
    </row>
    <row r="922" spans="1:16" ht="14.25" customHeight="1" thickBot="1">
      <c r="A922" s="72">
        <v>722</v>
      </c>
      <c r="B922" s="80"/>
      <c r="C922" s="74">
        <f>+D885</f>
        <v>231207671</v>
      </c>
      <c r="D922" s="195">
        <f>+B922+C922</f>
        <v>231207671</v>
      </c>
      <c r="I922" s="164" t="s">
        <v>181</v>
      </c>
      <c r="J922" s="165"/>
      <c r="K922" s="74">
        <f>+L885</f>
        <v>0</v>
      </c>
      <c r="L922" s="196">
        <f>+J922+K922</f>
        <v>0</v>
      </c>
      <c r="N922" s="52"/>
    </row>
    <row r="923" spans="1:16" ht="16.5" thickBot="1">
      <c r="A923" s="72">
        <v>723</v>
      </c>
      <c r="B923" s="80">
        <f>+H903</f>
        <v>0</v>
      </c>
      <c r="C923" s="74">
        <f>+D886</f>
        <v>321428837</v>
      </c>
      <c r="D923" s="195">
        <f>+B923+C923</f>
        <v>321428837</v>
      </c>
      <c r="F923" s="174" t="s">
        <v>23</v>
      </c>
      <c r="G923" s="175"/>
      <c r="I923" s="169"/>
      <c r="J923" s="197">
        <f>SUM(J918:J922)</f>
        <v>1934000</v>
      </c>
      <c r="K923" s="197">
        <f>SUM(K918:K922)</f>
        <v>402453238</v>
      </c>
      <c r="L923" s="198">
        <f>SUM(L918:L922)</f>
        <v>404387238</v>
      </c>
    </row>
    <row r="924" spans="1:16" ht="17.25" thickBot="1">
      <c r="A924" s="164" t="s">
        <v>181</v>
      </c>
      <c r="B924" s="165"/>
      <c r="C924" s="74">
        <f>+D887</f>
        <v>1965625</v>
      </c>
      <c r="D924" s="196">
        <f>+B924+C924</f>
        <v>1965625</v>
      </c>
      <c r="F924" s="52"/>
      <c r="I924" s="49" t="s">
        <v>88</v>
      </c>
      <c r="J924" s="50"/>
    </row>
    <row r="925" spans="1:16" ht="15" customHeight="1" thickBot="1">
      <c r="A925" s="169"/>
      <c r="B925" s="170">
        <f>SUM(B920:B924)</f>
        <v>110000</v>
      </c>
      <c r="C925" s="171" t="e">
        <f>SUM(C920:C924)</f>
        <v>#REF!</v>
      </c>
      <c r="D925" s="172" t="e">
        <f>SUM(D920:D924)</f>
        <v>#REF!</v>
      </c>
      <c r="I925" s="51" t="s">
        <v>89</v>
      </c>
    </row>
    <row r="926" spans="1:16" ht="15" customHeight="1">
      <c r="A926" s="49" t="s">
        <v>88</v>
      </c>
      <c r="B926" s="50"/>
      <c r="I926" s="51" t="s">
        <v>90</v>
      </c>
    </row>
    <row r="927" spans="1:16" ht="12.75" customHeight="1">
      <c r="A927" s="51" t="s">
        <v>89</v>
      </c>
      <c r="I927" s="51" t="s">
        <v>91</v>
      </c>
    </row>
    <row r="928" spans="1:16" ht="12.75" customHeight="1">
      <c r="A928" s="51" t="s">
        <v>90</v>
      </c>
      <c r="I928" s="50"/>
      <c r="J928" s="50"/>
    </row>
    <row r="929" spans="1:16" ht="16.5">
      <c r="A929" s="51" t="s">
        <v>91</v>
      </c>
      <c r="I929" s="52" t="s">
        <v>813</v>
      </c>
      <c r="O929" s="52"/>
    </row>
    <row r="930" spans="1:16" ht="13.5" customHeight="1">
      <c r="A930" s="50"/>
      <c r="B930" s="50"/>
      <c r="I930" s="53" t="s">
        <v>1333</v>
      </c>
      <c r="O930" s="53"/>
    </row>
    <row r="931" spans="1:16" ht="16.5">
      <c r="A931" s="52" t="s">
        <v>460</v>
      </c>
      <c r="G931" s="52"/>
      <c r="I931" s="894" t="s">
        <v>261</v>
      </c>
      <c r="J931" s="894"/>
      <c r="K931" s="894"/>
      <c r="L931" s="894"/>
      <c r="M931" s="894"/>
      <c r="N931" s="894"/>
      <c r="O931" s="894"/>
      <c r="P931" s="894"/>
    </row>
    <row r="932" spans="1:16" ht="13.5" customHeight="1" thickBot="1">
      <c r="A932" s="53" t="s">
        <v>92</v>
      </c>
      <c r="G932" s="53"/>
    </row>
    <row r="933" spans="1:16" ht="16.5">
      <c r="A933" s="894" t="s">
        <v>462</v>
      </c>
      <c r="B933" s="894"/>
      <c r="C933" s="894"/>
      <c r="D933" s="894"/>
      <c r="E933" s="894"/>
      <c r="F933" s="894"/>
      <c r="G933" s="894"/>
      <c r="H933" s="894"/>
      <c r="I933" s="895" t="s">
        <v>94</v>
      </c>
      <c r="J933" s="897" t="s">
        <v>95</v>
      </c>
      <c r="K933" s="897" t="s">
        <v>96</v>
      </c>
      <c r="L933" s="897" t="s">
        <v>3</v>
      </c>
      <c r="M933" s="897" t="s">
        <v>97</v>
      </c>
      <c r="N933" s="897" t="s">
        <v>98</v>
      </c>
      <c r="O933" s="897" t="s">
        <v>99</v>
      </c>
      <c r="P933" s="899"/>
    </row>
    <row r="934" spans="1:16" ht="15.75" thickBot="1">
      <c r="I934" s="896"/>
      <c r="J934" s="898"/>
      <c r="K934" s="898"/>
      <c r="L934" s="898"/>
      <c r="M934" s="898"/>
      <c r="N934" s="898"/>
      <c r="O934" s="240" t="s">
        <v>100</v>
      </c>
      <c r="P934" s="182" t="s">
        <v>101</v>
      </c>
    </row>
    <row r="935" spans="1:16" ht="12.75" customHeight="1">
      <c r="A935" s="895" t="s">
        <v>94</v>
      </c>
      <c r="B935" s="897" t="s">
        <v>95</v>
      </c>
      <c r="C935" s="897" t="s">
        <v>96</v>
      </c>
      <c r="D935" s="897" t="s">
        <v>3</v>
      </c>
      <c r="E935" s="897" t="s">
        <v>97</v>
      </c>
      <c r="F935" s="897" t="s">
        <v>98</v>
      </c>
      <c r="G935" s="897" t="s">
        <v>99</v>
      </c>
      <c r="H935" s="899"/>
      <c r="I935" s="873" t="s">
        <v>1509</v>
      </c>
      <c r="J935" s="875">
        <v>43005</v>
      </c>
      <c r="K935" s="881" t="s">
        <v>28</v>
      </c>
      <c r="L935" s="881" t="s">
        <v>1510</v>
      </c>
      <c r="M935" s="881" t="s">
        <v>148</v>
      </c>
      <c r="N935" s="883">
        <v>429000</v>
      </c>
      <c r="O935" s="55">
        <v>719</v>
      </c>
      <c r="P935" s="78">
        <v>330000</v>
      </c>
    </row>
    <row r="936" spans="1:16" ht="13.5" customHeight="1" thickBot="1">
      <c r="A936" s="896"/>
      <c r="B936" s="898"/>
      <c r="C936" s="898"/>
      <c r="D936" s="898"/>
      <c r="E936" s="898"/>
      <c r="F936" s="898"/>
      <c r="G936" s="240" t="s">
        <v>100</v>
      </c>
      <c r="H936" s="182" t="s">
        <v>101</v>
      </c>
      <c r="I936" s="882"/>
      <c r="J936" s="876"/>
      <c r="K936" s="882"/>
      <c r="L936" s="882"/>
      <c r="M936" s="882"/>
      <c r="N936" s="884"/>
      <c r="O936" s="56">
        <v>721</v>
      </c>
      <c r="P936" s="79">
        <f>+N935-P935</f>
        <v>99000</v>
      </c>
    </row>
    <row r="937" spans="1:16" ht="12" customHeight="1">
      <c r="A937" s="881" t="e">
        <f>+A904+1</f>
        <v>#REF!</v>
      </c>
      <c r="B937" s="875">
        <v>42328</v>
      </c>
      <c r="C937" s="877" t="s">
        <v>469</v>
      </c>
      <c r="D937" s="881" t="s">
        <v>459</v>
      </c>
      <c r="E937" s="881" t="s">
        <v>148</v>
      </c>
      <c r="F937" s="883">
        <v>1764708</v>
      </c>
      <c r="G937" s="55">
        <v>723</v>
      </c>
      <c r="H937" s="78">
        <f>+F937</f>
        <v>1764708</v>
      </c>
      <c r="I937" s="881">
        <f>+I935+1</f>
        <v>116</v>
      </c>
      <c r="J937" s="875">
        <v>43005</v>
      </c>
      <c r="K937" s="881" t="s">
        <v>40</v>
      </c>
      <c r="L937" s="881" t="s">
        <v>1511</v>
      </c>
      <c r="M937" s="881" t="s">
        <v>148</v>
      </c>
      <c r="N937" s="883">
        <v>195000</v>
      </c>
      <c r="O937" s="55">
        <v>719</v>
      </c>
      <c r="P937" s="78">
        <v>150000</v>
      </c>
    </row>
    <row r="938" spans="1:16" ht="13.5" customHeight="1" thickBot="1">
      <c r="A938" s="882"/>
      <c r="B938" s="876"/>
      <c r="C938" s="878"/>
      <c r="D938" s="882"/>
      <c r="E938" s="882"/>
      <c r="F938" s="884"/>
      <c r="G938" s="56">
        <v>721</v>
      </c>
      <c r="H938" s="79">
        <f>+F937-H937</f>
        <v>0</v>
      </c>
      <c r="I938" s="882"/>
      <c r="J938" s="876"/>
      <c r="K938" s="882"/>
      <c r="L938" s="882"/>
      <c r="M938" s="882"/>
      <c r="N938" s="884"/>
      <c r="O938" s="56">
        <v>721</v>
      </c>
      <c r="P938" s="79">
        <f>+N937-P937</f>
        <v>45000</v>
      </c>
    </row>
    <row r="939" spans="1:16" ht="15" customHeight="1">
      <c r="A939" s="881"/>
      <c r="B939" s="875"/>
      <c r="C939" s="881"/>
      <c r="D939" s="881"/>
      <c r="E939" s="881"/>
      <c r="F939" s="883"/>
      <c r="G939" s="55">
        <v>719</v>
      </c>
      <c r="H939" s="78"/>
      <c r="I939" s="881">
        <f t="shared" ref="I939:I945" si="1">+I937+1</f>
        <v>117</v>
      </c>
      <c r="J939" s="875">
        <v>43005</v>
      </c>
      <c r="K939" s="881" t="s">
        <v>40</v>
      </c>
      <c r="L939" s="881" t="s">
        <v>1514</v>
      </c>
      <c r="M939" s="881" t="s">
        <v>148</v>
      </c>
      <c r="N939" s="883">
        <v>169000</v>
      </c>
      <c r="O939" s="55">
        <v>719</v>
      </c>
      <c r="P939" s="78">
        <v>130000</v>
      </c>
    </row>
    <row r="940" spans="1:16" ht="13.5" customHeight="1" thickBot="1">
      <c r="A940" s="882"/>
      <c r="B940" s="876"/>
      <c r="C940" s="882"/>
      <c r="D940" s="882"/>
      <c r="E940" s="882"/>
      <c r="F940" s="884"/>
      <c r="G940" s="56">
        <v>721</v>
      </c>
      <c r="H940" s="79">
        <f>+F939-H939</f>
        <v>0</v>
      </c>
      <c r="I940" s="882"/>
      <c r="J940" s="876"/>
      <c r="K940" s="882"/>
      <c r="L940" s="882"/>
      <c r="M940" s="882"/>
      <c r="N940" s="884"/>
      <c r="O940" s="56">
        <v>721</v>
      </c>
      <c r="P940" s="79">
        <f>+N939-P939</f>
        <v>39000</v>
      </c>
    </row>
    <row r="941" spans="1:16" ht="14.25" customHeight="1">
      <c r="A941" s="251"/>
      <c r="B941" s="252"/>
      <c r="C941" s="251"/>
      <c r="D941" s="251"/>
      <c r="E941" s="251"/>
      <c r="F941" s="254"/>
      <c r="G941" s="255"/>
      <c r="H941" s="256"/>
      <c r="I941" s="881">
        <f t="shared" si="1"/>
        <v>118</v>
      </c>
      <c r="J941" s="875">
        <v>43005</v>
      </c>
      <c r="K941" s="881" t="s">
        <v>40</v>
      </c>
      <c r="L941" s="881" t="s">
        <v>1512</v>
      </c>
      <c r="M941" s="881" t="s">
        <v>148</v>
      </c>
      <c r="N941" s="883">
        <v>117000</v>
      </c>
      <c r="O941" s="55">
        <v>719</v>
      </c>
      <c r="P941" s="78">
        <v>90000</v>
      </c>
    </row>
    <row r="942" spans="1:16" ht="14.25" customHeight="1" thickBot="1">
      <c r="A942" s="251"/>
      <c r="B942" s="252"/>
      <c r="C942" s="251"/>
      <c r="D942" s="251"/>
      <c r="E942" s="251"/>
      <c r="F942" s="254"/>
      <c r="G942" s="255"/>
      <c r="H942" s="256"/>
      <c r="I942" s="882"/>
      <c r="J942" s="876"/>
      <c r="K942" s="882"/>
      <c r="L942" s="882"/>
      <c r="M942" s="882"/>
      <c r="N942" s="884"/>
      <c r="O942" s="56">
        <v>721</v>
      </c>
      <c r="P942" s="79">
        <f>+N941-P941</f>
        <v>27000</v>
      </c>
    </row>
    <row r="943" spans="1:16" ht="15" customHeight="1">
      <c r="A943" s="881"/>
      <c r="B943" s="875"/>
      <c r="C943" s="877"/>
      <c r="D943" s="881"/>
      <c r="E943" s="881"/>
      <c r="F943" s="883"/>
      <c r="G943" s="55">
        <v>719</v>
      </c>
      <c r="H943" s="78"/>
      <c r="I943" s="881">
        <f t="shared" si="1"/>
        <v>119</v>
      </c>
      <c r="J943" s="875">
        <v>43005</v>
      </c>
      <c r="K943" s="881" t="s">
        <v>40</v>
      </c>
      <c r="L943" s="881" t="s">
        <v>1513</v>
      </c>
      <c r="M943" s="881" t="s">
        <v>148</v>
      </c>
      <c r="N943" s="883">
        <v>26000</v>
      </c>
      <c r="O943" s="55">
        <v>719</v>
      </c>
      <c r="P943" s="78">
        <v>20000</v>
      </c>
    </row>
    <row r="944" spans="1:16" ht="12" customHeight="1" thickBot="1">
      <c r="A944" s="882"/>
      <c r="B944" s="876"/>
      <c r="C944" s="878"/>
      <c r="D944" s="882"/>
      <c r="E944" s="882"/>
      <c r="F944" s="884"/>
      <c r="G944" s="56">
        <v>721</v>
      </c>
      <c r="H944" s="79">
        <f>+F943-H943</f>
        <v>0</v>
      </c>
      <c r="I944" s="882"/>
      <c r="J944" s="876"/>
      <c r="K944" s="882"/>
      <c r="L944" s="882"/>
      <c r="M944" s="882"/>
      <c r="N944" s="884"/>
      <c r="O944" s="56">
        <v>721</v>
      </c>
      <c r="P944" s="79">
        <f>+N943-P943</f>
        <v>6000</v>
      </c>
    </row>
    <row r="945" spans="1:16" ht="12" customHeight="1">
      <c r="A945" s="881"/>
      <c r="B945" s="875"/>
      <c r="C945" s="881"/>
      <c r="D945" s="881"/>
      <c r="E945" s="881"/>
      <c r="F945" s="883"/>
      <c r="G945" s="55">
        <v>719</v>
      </c>
      <c r="H945" s="78"/>
      <c r="I945" s="881">
        <f t="shared" si="1"/>
        <v>120</v>
      </c>
      <c r="J945" s="875">
        <v>43005</v>
      </c>
      <c r="K945" s="881" t="s">
        <v>28</v>
      </c>
      <c r="L945" s="881" t="s">
        <v>1516</v>
      </c>
      <c r="M945" s="881" t="s">
        <v>115</v>
      </c>
      <c r="N945" s="883">
        <v>70000</v>
      </c>
      <c r="O945" s="55">
        <v>719</v>
      </c>
      <c r="P945" s="78">
        <v>70000</v>
      </c>
    </row>
    <row r="946" spans="1:16" ht="13.5" customHeight="1" thickBot="1">
      <c r="A946" s="882"/>
      <c r="B946" s="876"/>
      <c r="C946" s="882"/>
      <c r="D946" s="882"/>
      <c r="E946" s="882"/>
      <c r="F946" s="884"/>
      <c r="G946" s="56">
        <v>721</v>
      </c>
      <c r="H946" s="79">
        <f>+F945-H945</f>
        <v>0</v>
      </c>
      <c r="I946" s="882"/>
      <c r="J946" s="876"/>
      <c r="K946" s="882"/>
      <c r="L946" s="882"/>
      <c r="M946" s="882"/>
      <c r="N946" s="884"/>
      <c r="O946" s="56">
        <v>721</v>
      </c>
      <c r="P946" s="79">
        <f>+N945-P945</f>
        <v>0</v>
      </c>
    </row>
    <row r="947" spans="1:16" ht="16.5" thickBot="1">
      <c r="A947" s="881"/>
      <c r="B947" s="875"/>
      <c r="C947" s="877"/>
      <c r="D947" s="881"/>
      <c r="E947" s="881"/>
      <c r="F947" s="883"/>
      <c r="G947" s="55">
        <v>719</v>
      </c>
      <c r="H947" s="78"/>
      <c r="I947" s="901" t="s">
        <v>102</v>
      </c>
      <c r="J947" s="902"/>
      <c r="K947" s="902"/>
      <c r="L947" s="902"/>
      <c r="M947" s="903"/>
      <c r="N947" s="81">
        <f>SUM(N935:N946)</f>
        <v>1006000</v>
      </c>
    </row>
    <row r="948" spans="1:16" ht="16.5" thickBot="1">
      <c r="A948" s="882"/>
      <c r="B948" s="876"/>
      <c r="C948" s="878"/>
      <c r="D948" s="882"/>
      <c r="E948" s="882"/>
      <c r="F948" s="884"/>
      <c r="G948" s="56">
        <v>721</v>
      </c>
      <c r="H948" s="79">
        <f>+F947-H947</f>
        <v>0</v>
      </c>
      <c r="I948" s="885" t="s">
        <v>103</v>
      </c>
      <c r="J948" s="886"/>
      <c r="K948" s="886"/>
      <c r="L948" s="886"/>
      <c r="M948" s="887"/>
      <c r="N948" s="239">
        <f>+N910</f>
        <v>404387238</v>
      </c>
      <c r="O948" s="241" t="s">
        <v>561</v>
      </c>
      <c r="P948" s="242">
        <f>426+85+72+16+624</f>
        <v>1223</v>
      </c>
    </row>
    <row r="949" spans="1:16" ht="16.5" thickBot="1">
      <c r="A949" s="901" t="s">
        <v>102</v>
      </c>
      <c r="B949" s="902"/>
      <c r="C949" s="902"/>
      <c r="D949" s="902"/>
      <c r="E949" s="903"/>
      <c r="F949" s="81">
        <f>SUM(F937:F948)</f>
        <v>1764708</v>
      </c>
      <c r="I949" s="888" t="s">
        <v>104</v>
      </c>
      <c r="J949" s="889"/>
      <c r="K949" s="889"/>
      <c r="L949" s="889"/>
      <c r="M949" s="890"/>
      <c r="N949" s="183">
        <f>SUM(N947:N948)</f>
        <v>405393238</v>
      </c>
    </row>
    <row r="950" spans="1:16" ht="12" customHeight="1" thickBot="1">
      <c r="A950" s="885" t="s">
        <v>103</v>
      </c>
      <c r="B950" s="886"/>
      <c r="C950" s="886"/>
      <c r="D950" s="886"/>
      <c r="E950" s="887"/>
      <c r="F950" s="69">
        <f>+F912</f>
        <v>656912930</v>
      </c>
      <c r="I950" s="61"/>
      <c r="J950" s="61"/>
      <c r="K950" s="61"/>
      <c r="L950" s="61"/>
      <c r="M950" s="61"/>
    </row>
    <row r="951" spans="1:16" ht="16.5" thickBot="1">
      <c r="A951" s="888" t="s">
        <v>104</v>
      </c>
      <c r="B951" s="889"/>
      <c r="C951" s="889"/>
      <c r="D951" s="889"/>
      <c r="E951" s="890"/>
      <c r="F951" s="183">
        <f>SUM(F949:F950)</f>
        <v>658677638</v>
      </c>
      <c r="I951" s="51" t="s">
        <v>1518</v>
      </c>
    </row>
    <row r="952" spans="1:16" ht="9" customHeight="1">
      <c r="A952" s="61"/>
      <c r="B952" s="61"/>
      <c r="C952" s="61"/>
      <c r="D952" s="61"/>
      <c r="E952" s="61"/>
      <c r="N952" s="139"/>
    </row>
    <row r="953" spans="1:16">
      <c r="A953" s="51" t="s">
        <v>461</v>
      </c>
      <c r="I953" s="50" t="s">
        <v>105</v>
      </c>
      <c r="L953" s="146"/>
      <c r="N953" s="139"/>
    </row>
    <row r="954" spans="1:16" ht="12.75" customHeight="1" thickBot="1">
      <c r="F954" s="139"/>
    </row>
    <row r="955" spans="1:16" ht="15.75" thickBot="1">
      <c r="A955" s="50" t="s">
        <v>105</v>
      </c>
      <c r="D955" s="146"/>
      <c r="F955" s="139"/>
      <c r="I955" s="891" t="s">
        <v>106</v>
      </c>
      <c r="J955" s="892"/>
      <c r="K955" s="892"/>
      <c r="L955" s="893"/>
      <c r="N955" s="50" t="s">
        <v>288</v>
      </c>
    </row>
    <row r="956" spans="1:16" ht="12.75" customHeight="1" thickBot="1">
      <c r="I956" s="57" t="s">
        <v>100</v>
      </c>
      <c r="J956" s="58" t="s">
        <v>108</v>
      </c>
      <c r="K956" s="59" t="s">
        <v>109</v>
      </c>
      <c r="L956" s="60" t="s">
        <v>110</v>
      </c>
    </row>
    <row r="957" spans="1:16" ht="13.5" customHeight="1" thickBot="1">
      <c r="A957" s="891" t="s">
        <v>106</v>
      </c>
      <c r="B957" s="892"/>
      <c r="C957" s="892"/>
      <c r="D957" s="893"/>
      <c r="F957" s="50" t="s">
        <v>288</v>
      </c>
      <c r="I957" s="71">
        <v>719</v>
      </c>
      <c r="J957" s="73">
        <f>+P935+P937+P939+P943+P945+P941</f>
        <v>790000</v>
      </c>
      <c r="K957" s="74">
        <f>+L918</f>
        <v>15976700</v>
      </c>
      <c r="L957" s="195">
        <f>+J957+K957</f>
        <v>16766700</v>
      </c>
    </row>
    <row r="958" spans="1:16" ht="13.5" customHeight="1" thickBot="1">
      <c r="A958" s="57" t="s">
        <v>100</v>
      </c>
      <c r="B958" s="58" t="s">
        <v>108</v>
      </c>
      <c r="C958" s="59" t="s">
        <v>109</v>
      </c>
      <c r="D958" s="60" t="s">
        <v>110</v>
      </c>
      <c r="I958" s="72">
        <v>721</v>
      </c>
      <c r="J958" s="80">
        <f>+P936+P938+P940+P944+P946+P942</f>
        <v>216000</v>
      </c>
      <c r="K958" s="74">
        <f>+L919</f>
        <v>3590550</v>
      </c>
      <c r="L958" s="195">
        <f>+J958+K958</f>
        <v>3806550</v>
      </c>
    </row>
    <row r="959" spans="1:16" ht="12.75" customHeight="1">
      <c r="A959" s="71">
        <v>719</v>
      </c>
      <c r="B959" s="73">
        <f>0</f>
        <v>0</v>
      </c>
      <c r="C959" s="74" t="e">
        <f>+D920</f>
        <v>#REF!</v>
      </c>
      <c r="D959" s="195" t="e">
        <f>+B959+C959</f>
        <v>#REF!</v>
      </c>
      <c r="I959" s="72">
        <v>722</v>
      </c>
      <c r="J959" s="80"/>
      <c r="K959" s="74">
        <f>+L920</f>
        <v>0</v>
      </c>
      <c r="L959" s="195">
        <f>+J959+K959</f>
        <v>0</v>
      </c>
    </row>
    <row r="960" spans="1:16" ht="14.25" customHeight="1">
      <c r="A960" s="72">
        <v>721</v>
      </c>
      <c r="B960" s="80">
        <f>+H938</f>
        <v>0</v>
      </c>
      <c r="C960" s="74" t="e">
        <f>+D921</f>
        <v>#REF!</v>
      </c>
      <c r="D960" s="195" t="e">
        <f>+B960+C960</f>
        <v>#REF!</v>
      </c>
      <c r="I960" s="72">
        <v>723</v>
      </c>
      <c r="J960" s="80"/>
      <c r="K960" s="74">
        <f>+L921</f>
        <v>384819988</v>
      </c>
      <c r="L960" s="195">
        <f>+J960+K960</f>
        <v>384819988</v>
      </c>
      <c r="N960" s="918" t="s">
        <v>1481</v>
      </c>
      <c r="O960" s="918"/>
      <c r="P960" s="918"/>
    </row>
    <row r="961" spans="1:16" ht="13.5" customHeight="1" thickBot="1">
      <c r="A961" s="72">
        <v>722</v>
      </c>
      <c r="B961" s="80"/>
      <c r="C961" s="74">
        <f>+D922</f>
        <v>231207671</v>
      </c>
      <c r="D961" s="195">
        <f>+B961+C961</f>
        <v>231207671</v>
      </c>
      <c r="I961" s="164" t="s">
        <v>181</v>
      </c>
      <c r="J961" s="165"/>
      <c r="K961" s="74">
        <f>+L922</f>
        <v>0</v>
      </c>
      <c r="L961" s="196">
        <f>+J961+K961</f>
        <v>0</v>
      </c>
      <c r="N961" s="52"/>
    </row>
    <row r="962" spans="1:16" ht="16.5" thickBot="1">
      <c r="A962" s="72">
        <v>723</v>
      </c>
      <c r="B962" s="80">
        <f>+H937</f>
        <v>1764708</v>
      </c>
      <c r="C962" s="74">
        <f>+D923</f>
        <v>321428837</v>
      </c>
      <c r="D962" s="195">
        <f>+B962+C962</f>
        <v>323193545</v>
      </c>
      <c r="F962" s="174" t="s">
        <v>23</v>
      </c>
      <c r="G962" s="175"/>
      <c r="I962" s="169"/>
      <c r="J962" s="197">
        <f>SUM(J957:J961)</f>
        <v>1006000</v>
      </c>
      <c r="K962" s="197">
        <f>SUM(K957:K961)</f>
        <v>404387238</v>
      </c>
      <c r="L962" s="198">
        <f>SUM(L957:L961)</f>
        <v>405393238</v>
      </c>
    </row>
    <row r="963" spans="1:16" ht="17.25" thickBot="1">
      <c r="A963" s="164" t="s">
        <v>181</v>
      </c>
      <c r="B963" s="165"/>
      <c r="C963" s="74">
        <f>+D924</f>
        <v>1965625</v>
      </c>
      <c r="D963" s="196">
        <f>+B963+C963</f>
        <v>1965625</v>
      </c>
      <c r="F963" s="52"/>
      <c r="I963" s="49" t="s">
        <v>88</v>
      </c>
      <c r="J963" s="50"/>
    </row>
    <row r="964" spans="1:16" ht="16.5" thickBot="1">
      <c r="A964" s="169"/>
      <c r="B964" s="170">
        <f>SUM(B959:B963)</f>
        <v>1764708</v>
      </c>
      <c r="C964" s="171" t="e">
        <f>SUM(C959:C963)</f>
        <v>#REF!</v>
      </c>
      <c r="D964" s="172" t="e">
        <f>SUM(D959:D963)</f>
        <v>#REF!</v>
      </c>
      <c r="I964" s="51" t="s">
        <v>89</v>
      </c>
    </row>
    <row r="965" spans="1:16" ht="16.5">
      <c r="A965" s="49" t="s">
        <v>88</v>
      </c>
      <c r="B965" s="50"/>
      <c r="I965" s="51" t="s">
        <v>90</v>
      </c>
    </row>
    <row r="966" spans="1:16">
      <c r="A966" s="51" t="s">
        <v>89</v>
      </c>
      <c r="I966" s="51" t="s">
        <v>91</v>
      </c>
    </row>
    <row r="967" spans="1:16" ht="13.5" customHeight="1">
      <c r="A967" s="51" t="s">
        <v>90</v>
      </c>
      <c r="I967" s="50"/>
      <c r="J967" s="50"/>
    </row>
    <row r="968" spans="1:16" ht="16.5">
      <c r="A968" s="51" t="s">
        <v>91</v>
      </c>
      <c r="I968" s="52" t="s">
        <v>814</v>
      </c>
      <c r="O968" s="52"/>
    </row>
    <row r="969" spans="1:16" ht="13.5" customHeight="1">
      <c r="A969" s="50"/>
      <c r="B969" s="50"/>
      <c r="I969" s="53" t="s">
        <v>1333</v>
      </c>
      <c r="O969" s="53"/>
    </row>
    <row r="970" spans="1:16" ht="16.5">
      <c r="A970" s="52" t="s">
        <v>463</v>
      </c>
      <c r="G970" s="52"/>
      <c r="I970" s="894" t="s">
        <v>261</v>
      </c>
      <c r="J970" s="894"/>
      <c r="K970" s="894"/>
      <c r="L970" s="894"/>
      <c r="M970" s="894"/>
      <c r="N970" s="894"/>
      <c r="O970" s="894"/>
      <c r="P970" s="894"/>
    </row>
    <row r="971" spans="1:16" ht="13.5" customHeight="1" thickBot="1">
      <c r="A971" s="53" t="s">
        <v>92</v>
      </c>
      <c r="G971" s="53"/>
    </row>
    <row r="972" spans="1:16" ht="16.5">
      <c r="A972" s="894" t="s">
        <v>462</v>
      </c>
      <c r="B972" s="894"/>
      <c r="C972" s="894"/>
      <c r="D972" s="894"/>
      <c r="E972" s="894"/>
      <c r="F972" s="894"/>
      <c r="G972" s="894"/>
      <c r="H972" s="894"/>
      <c r="I972" s="895" t="s">
        <v>94</v>
      </c>
      <c r="J972" s="897" t="s">
        <v>95</v>
      </c>
      <c r="K972" s="897" t="s">
        <v>96</v>
      </c>
      <c r="L972" s="897" t="s">
        <v>3</v>
      </c>
      <c r="M972" s="897" t="s">
        <v>97</v>
      </c>
      <c r="N972" s="897" t="s">
        <v>98</v>
      </c>
      <c r="O972" s="897" t="s">
        <v>99</v>
      </c>
      <c r="P972" s="899"/>
    </row>
    <row r="973" spans="1:16" ht="15.75" thickBot="1">
      <c r="I973" s="896"/>
      <c r="J973" s="898"/>
      <c r="K973" s="898"/>
      <c r="L973" s="898"/>
      <c r="M973" s="898"/>
      <c r="N973" s="898"/>
      <c r="O973" s="240" t="s">
        <v>100</v>
      </c>
      <c r="P973" s="182" t="s">
        <v>101</v>
      </c>
    </row>
    <row r="974" spans="1:16" ht="12.75" customHeight="1">
      <c r="A974" s="895" t="s">
        <v>94</v>
      </c>
      <c r="B974" s="897" t="s">
        <v>95</v>
      </c>
      <c r="C974" s="897" t="s">
        <v>96</v>
      </c>
      <c r="D974" s="897" t="s">
        <v>3</v>
      </c>
      <c r="E974" s="897" t="s">
        <v>97</v>
      </c>
      <c r="F974" s="897" t="s">
        <v>98</v>
      </c>
      <c r="G974" s="897" t="s">
        <v>99</v>
      </c>
      <c r="H974" s="899"/>
      <c r="I974" s="873" t="s">
        <v>1519</v>
      </c>
      <c r="J974" s="875">
        <v>43007</v>
      </c>
      <c r="K974" s="881" t="s">
        <v>28</v>
      </c>
      <c r="L974" s="881" t="s">
        <v>1520</v>
      </c>
      <c r="M974" s="881" t="s">
        <v>115</v>
      </c>
      <c r="N974" s="883">
        <v>170000</v>
      </c>
      <c r="O974" s="55">
        <v>719</v>
      </c>
      <c r="P974" s="78">
        <v>170000</v>
      </c>
    </row>
    <row r="975" spans="1:16" ht="12.75" customHeight="1" thickBot="1">
      <c r="A975" s="896"/>
      <c r="B975" s="898"/>
      <c r="C975" s="898"/>
      <c r="D975" s="898"/>
      <c r="E975" s="898"/>
      <c r="F975" s="898"/>
      <c r="G975" s="240" t="s">
        <v>100</v>
      </c>
      <c r="H975" s="182" t="s">
        <v>101</v>
      </c>
      <c r="I975" s="874"/>
      <c r="J975" s="876"/>
      <c r="K975" s="882"/>
      <c r="L975" s="882"/>
      <c r="M975" s="882"/>
      <c r="N975" s="884"/>
      <c r="O975" s="56">
        <v>721</v>
      </c>
      <c r="P975" s="79">
        <f>+N974-P974</f>
        <v>0</v>
      </c>
    </row>
    <row r="976" spans="1:16" ht="13.5" customHeight="1">
      <c r="A976" s="881" t="e">
        <f>+A937+1</f>
        <v>#REF!</v>
      </c>
      <c r="B976" s="875">
        <v>42332</v>
      </c>
      <c r="C976" s="877" t="s">
        <v>272</v>
      </c>
      <c r="D976" s="881" t="s">
        <v>467</v>
      </c>
      <c r="E976" s="881" t="s">
        <v>115</v>
      </c>
      <c r="F976" s="883">
        <v>120000</v>
      </c>
      <c r="G976" s="55">
        <v>719</v>
      </c>
      <c r="H976" s="78">
        <f>+F976</f>
        <v>120000</v>
      </c>
      <c r="I976" s="881">
        <f>+I974+1</f>
        <v>122</v>
      </c>
      <c r="J976" s="875">
        <v>43007</v>
      </c>
      <c r="K976" s="881" t="s">
        <v>28</v>
      </c>
      <c r="L976" s="881" t="s">
        <v>1517</v>
      </c>
      <c r="M976" s="881" t="s">
        <v>115</v>
      </c>
      <c r="N976" s="883">
        <v>160000</v>
      </c>
      <c r="O976" s="55">
        <v>719</v>
      </c>
      <c r="P976" s="78">
        <v>160000</v>
      </c>
    </row>
    <row r="977" spans="1:16" ht="13.5" customHeight="1" thickBot="1">
      <c r="A977" s="882"/>
      <c r="B977" s="876"/>
      <c r="C977" s="878"/>
      <c r="D977" s="882"/>
      <c r="E977" s="882"/>
      <c r="F977" s="884"/>
      <c r="G977" s="56">
        <v>721</v>
      </c>
      <c r="H977" s="79">
        <f>+F976-H976</f>
        <v>0</v>
      </c>
      <c r="I977" s="882"/>
      <c r="J977" s="876"/>
      <c r="K977" s="882"/>
      <c r="L977" s="882"/>
      <c r="M977" s="882"/>
      <c r="N977" s="884"/>
      <c r="O977" s="56">
        <v>721</v>
      </c>
      <c r="P977" s="79">
        <f>+N976-P976</f>
        <v>0</v>
      </c>
    </row>
    <row r="978" spans="1:16" ht="12.75" customHeight="1">
      <c r="A978" s="881" t="e">
        <f>+A976+1</f>
        <v>#REF!</v>
      </c>
      <c r="B978" s="875">
        <v>42332</v>
      </c>
      <c r="C978" s="881" t="s">
        <v>28</v>
      </c>
      <c r="D978" s="881" t="s">
        <v>466</v>
      </c>
      <c r="E978" s="881" t="s">
        <v>115</v>
      </c>
      <c r="F978" s="883">
        <v>50000</v>
      </c>
      <c r="G978" s="55">
        <v>719</v>
      </c>
      <c r="H978" s="78">
        <v>50000</v>
      </c>
      <c r="I978" s="881">
        <f>+I976+1</f>
        <v>123</v>
      </c>
      <c r="J978" s="875">
        <v>43007</v>
      </c>
      <c r="K978" s="881" t="s">
        <v>815</v>
      </c>
      <c r="L978" s="881" t="s">
        <v>1521</v>
      </c>
      <c r="M978" s="881" t="s">
        <v>115</v>
      </c>
      <c r="N978" s="883">
        <v>240000</v>
      </c>
      <c r="O978" s="55">
        <v>719</v>
      </c>
      <c r="P978" s="78">
        <v>240000</v>
      </c>
    </row>
    <row r="979" spans="1:16" ht="10.5" customHeight="1" thickBot="1">
      <c r="A979" s="882"/>
      <c r="B979" s="876"/>
      <c r="C979" s="882"/>
      <c r="D979" s="882"/>
      <c r="E979" s="882"/>
      <c r="F979" s="884"/>
      <c r="G979" s="56">
        <v>721</v>
      </c>
      <c r="H979" s="79">
        <f>+F978-H978</f>
        <v>0</v>
      </c>
      <c r="I979" s="882"/>
      <c r="J979" s="876"/>
      <c r="K979" s="882"/>
      <c r="L979" s="882"/>
      <c r="M979" s="882"/>
      <c r="N979" s="884"/>
      <c r="O979" s="56">
        <v>721</v>
      </c>
      <c r="P979" s="79">
        <f>+N978-P978</f>
        <v>0</v>
      </c>
    </row>
    <row r="980" spans="1:16" ht="11.25" customHeight="1">
      <c r="A980" s="251"/>
      <c r="B980" s="252"/>
      <c r="C980" s="251"/>
      <c r="D980" s="251"/>
      <c r="E980" s="251"/>
      <c r="F980" s="254"/>
      <c r="G980" s="255"/>
      <c r="H980" s="256"/>
      <c r="I980" s="881">
        <f>+I978+1</f>
        <v>124</v>
      </c>
      <c r="J980" s="875">
        <v>43007</v>
      </c>
      <c r="K980" s="881" t="s">
        <v>815</v>
      </c>
      <c r="L980" s="881" t="s">
        <v>1522</v>
      </c>
      <c r="M980" s="881" t="s">
        <v>115</v>
      </c>
      <c r="N980" s="883">
        <v>350000</v>
      </c>
      <c r="O980" s="55">
        <v>719</v>
      </c>
      <c r="P980" s="78">
        <v>350000</v>
      </c>
    </row>
    <row r="981" spans="1:16" ht="12" customHeight="1" thickBot="1">
      <c r="A981" s="251"/>
      <c r="B981" s="252"/>
      <c r="C981" s="251"/>
      <c r="D981" s="251"/>
      <c r="E981" s="251"/>
      <c r="F981" s="254"/>
      <c r="G981" s="255"/>
      <c r="H981" s="256"/>
      <c r="I981" s="882"/>
      <c r="J981" s="876"/>
      <c r="K981" s="882"/>
      <c r="L981" s="882"/>
      <c r="M981" s="882"/>
      <c r="N981" s="884"/>
      <c r="O981" s="56">
        <v>721</v>
      </c>
      <c r="P981" s="79">
        <f>+N980-P980</f>
        <v>0</v>
      </c>
    </row>
    <row r="982" spans="1:16" ht="11.25" customHeight="1">
      <c r="A982" s="881" t="e">
        <f>+A978+1</f>
        <v>#REF!</v>
      </c>
      <c r="B982" s="875">
        <v>42332</v>
      </c>
      <c r="C982" s="877" t="s">
        <v>32</v>
      </c>
      <c r="D982" s="881" t="s">
        <v>465</v>
      </c>
      <c r="E982" s="881" t="s">
        <v>115</v>
      </c>
      <c r="F982" s="883">
        <v>20000</v>
      </c>
      <c r="G982" s="55">
        <v>719</v>
      </c>
      <c r="H982" s="78">
        <v>20000</v>
      </c>
      <c r="I982" s="881">
        <f>+I980+1</f>
        <v>125</v>
      </c>
      <c r="J982" s="875">
        <v>43007</v>
      </c>
      <c r="K982" s="881" t="s">
        <v>815</v>
      </c>
      <c r="L982" s="881" t="s">
        <v>1523</v>
      </c>
      <c r="M982" s="881" t="s">
        <v>115</v>
      </c>
      <c r="N982" s="883">
        <v>320000</v>
      </c>
      <c r="O982" s="55">
        <v>719</v>
      </c>
      <c r="P982" s="78">
        <v>320000</v>
      </c>
    </row>
    <row r="983" spans="1:16" ht="12.75" customHeight="1" thickBot="1">
      <c r="A983" s="882"/>
      <c r="B983" s="876"/>
      <c r="C983" s="878"/>
      <c r="D983" s="882"/>
      <c r="E983" s="882"/>
      <c r="F983" s="884"/>
      <c r="G983" s="56">
        <v>721</v>
      </c>
      <c r="H983" s="79">
        <f>+F982-H982</f>
        <v>0</v>
      </c>
      <c r="I983" s="882"/>
      <c r="J983" s="876"/>
      <c r="K983" s="882"/>
      <c r="L983" s="882"/>
      <c r="M983" s="882"/>
      <c r="N983" s="884"/>
      <c r="O983" s="56">
        <v>721</v>
      </c>
      <c r="P983" s="79">
        <f>+N982-P982</f>
        <v>0</v>
      </c>
    </row>
    <row r="984" spans="1:16" ht="13.5" customHeight="1">
      <c r="A984" s="881" t="e">
        <f>+A982+1</f>
        <v>#REF!</v>
      </c>
      <c r="B984" s="875">
        <v>42332</v>
      </c>
      <c r="C984" s="877" t="s">
        <v>120</v>
      </c>
      <c r="D984" s="881" t="s">
        <v>464</v>
      </c>
      <c r="E984" s="881" t="s">
        <v>115</v>
      </c>
      <c r="F984" s="883">
        <v>120000</v>
      </c>
      <c r="G984" s="55">
        <v>719</v>
      </c>
      <c r="H984" s="78">
        <v>120000</v>
      </c>
      <c r="I984" s="881"/>
      <c r="J984" s="875"/>
      <c r="K984" s="881"/>
      <c r="L984" s="881"/>
      <c r="M984" s="881"/>
      <c r="N984" s="883"/>
      <c r="O984" s="55">
        <v>719</v>
      </c>
      <c r="P984" s="78">
        <v>0</v>
      </c>
    </row>
    <row r="985" spans="1:16" ht="13.5" customHeight="1" thickBot="1">
      <c r="A985" s="882"/>
      <c r="B985" s="876"/>
      <c r="C985" s="878"/>
      <c r="D985" s="882"/>
      <c r="E985" s="882"/>
      <c r="F985" s="884"/>
      <c r="G985" s="56">
        <v>721</v>
      </c>
      <c r="H985" s="79">
        <f>+F984-H984</f>
        <v>0</v>
      </c>
      <c r="I985" s="882"/>
      <c r="J985" s="876"/>
      <c r="K985" s="882"/>
      <c r="L985" s="882"/>
      <c r="M985" s="882"/>
      <c r="N985" s="884"/>
      <c r="O985" s="56">
        <v>721</v>
      </c>
      <c r="P985" s="79">
        <f>+N984-P984</f>
        <v>0</v>
      </c>
    </row>
    <row r="986" spans="1:16" ht="16.5" thickBot="1">
      <c r="A986" s="881"/>
      <c r="B986" s="875"/>
      <c r="C986" s="877"/>
      <c r="D986" s="881"/>
      <c r="E986" s="881"/>
      <c r="F986" s="883"/>
      <c r="G986" s="55">
        <v>719</v>
      </c>
      <c r="H986" s="78"/>
      <c r="I986" s="901" t="s">
        <v>102</v>
      </c>
      <c r="J986" s="902"/>
      <c r="K986" s="902"/>
      <c r="L986" s="902"/>
      <c r="M986" s="903"/>
      <c r="N986" s="81">
        <f>SUM(N974:N985)</f>
        <v>1240000</v>
      </c>
    </row>
    <row r="987" spans="1:16" ht="16.5" thickBot="1">
      <c r="A987" s="882"/>
      <c r="B987" s="876"/>
      <c r="C987" s="878"/>
      <c r="D987" s="882"/>
      <c r="E987" s="882"/>
      <c r="F987" s="884"/>
      <c r="G987" s="56">
        <v>721</v>
      </c>
      <c r="H987" s="79">
        <f>+F986-H986</f>
        <v>0</v>
      </c>
      <c r="I987" s="885" t="s">
        <v>103</v>
      </c>
      <c r="J987" s="886"/>
      <c r="K987" s="886"/>
      <c r="L987" s="886"/>
      <c r="M987" s="887"/>
      <c r="N987" s="239">
        <f>+N949</f>
        <v>405393238</v>
      </c>
      <c r="O987" s="241" t="s">
        <v>561</v>
      </c>
      <c r="P987" s="242">
        <f>701+647+663+279+406+423</f>
        <v>3119</v>
      </c>
    </row>
    <row r="988" spans="1:16" ht="16.5" thickBot="1">
      <c r="A988" s="901" t="s">
        <v>102</v>
      </c>
      <c r="B988" s="902"/>
      <c r="C988" s="902"/>
      <c r="D988" s="902"/>
      <c r="E988" s="903"/>
      <c r="F988" s="81">
        <f>SUM(F976:F987)</f>
        <v>310000</v>
      </c>
      <c r="I988" s="888" t="s">
        <v>104</v>
      </c>
      <c r="J988" s="889"/>
      <c r="K988" s="889"/>
      <c r="L988" s="889"/>
      <c r="M988" s="890"/>
      <c r="N988" s="183">
        <f>SUM(N986:N987)</f>
        <v>406633238</v>
      </c>
    </row>
    <row r="989" spans="1:16" ht="12.75" customHeight="1" thickBot="1">
      <c r="A989" s="885" t="s">
        <v>103</v>
      </c>
      <c r="B989" s="886"/>
      <c r="C989" s="886"/>
      <c r="D989" s="886"/>
      <c r="E989" s="887"/>
      <c r="F989" s="69">
        <f>+F951</f>
        <v>658677638</v>
      </c>
      <c r="I989" s="61"/>
      <c r="J989" s="61"/>
      <c r="K989" s="61"/>
      <c r="L989" s="61"/>
      <c r="M989" s="61"/>
    </row>
    <row r="990" spans="1:16" ht="16.5" thickBot="1">
      <c r="A990" s="888" t="s">
        <v>104</v>
      </c>
      <c r="B990" s="889"/>
      <c r="C990" s="889"/>
      <c r="D990" s="889"/>
      <c r="E990" s="890"/>
      <c r="F990" s="183">
        <f>SUM(F988:F989)</f>
        <v>658987638</v>
      </c>
      <c r="I990" s="51" t="s">
        <v>1525</v>
      </c>
    </row>
    <row r="991" spans="1:16" ht="7.5" customHeight="1">
      <c r="A991" s="61"/>
      <c r="B991" s="61"/>
      <c r="C991" s="61"/>
      <c r="D991" s="61"/>
      <c r="E991" s="61"/>
      <c r="N991" s="139"/>
    </row>
    <row r="992" spans="1:16">
      <c r="A992" s="51" t="s">
        <v>468</v>
      </c>
      <c r="I992" s="50" t="s">
        <v>105</v>
      </c>
      <c r="L992" s="146"/>
      <c r="N992" s="139"/>
    </row>
    <row r="993" spans="1:16" ht="12" customHeight="1" thickBot="1">
      <c r="F993" s="139"/>
    </row>
    <row r="994" spans="1:16" ht="15.75" customHeight="1" thickBot="1">
      <c r="A994" s="50" t="s">
        <v>105</v>
      </c>
      <c r="D994" s="146"/>
      <c r="F994" s="139"/>
      <c r="I994" s="891" t="s">
        <v>106</v>
      </c>
      <c r="J994" s="892"/>
      <c r="K994" s="892"/>
      <c r="L994" s="893"/>
      <c r="N994" s="50" t="s">
        <v>288</v>
      </c>
    </row>
    <row r="995" spans="1:16" ht="12" customHeight="1" thickBot="1">
      <c r="I995" s="57" t="s">
        <v>100</v>
      </c>
      <c r="J995" s="58" t="s">
        <v>108</v>
      </c>
      <c r="K995" s="59" t="s">
        <v>109</v>
      </c>
      <c r="L995" s="60" t="s">
        <v>110</v>
      </c>
    </row>
    <row r="996" spans="1:16" ht="14.25" customHeight="1" thickBot="1">
      <c r="A996" s="891" t="s">
        <v>106</v>
      </c>
      <c r="B996" s="892"/>
      <c r="C996" s="892"/>
      <c r="D996" s="893"/>
      <c r="F996" s="50" t="s">
        <v>288</v>
      </c>
      <c r="I996" s="71">
        <v>719</v>
      </c>
      <c r="J996" s="73">
        <f>+P974+P976+P978+P982+P984+P980</f>
        <v>1240000</v>
      </c>
      <c r="K996" s="74">
        <f>+L957</f>
        <v>16766700</v>
      </c>
      <c r="L996" s="195">
        <f>+J996+K996</f>
        <v>18006700</v>
      </c>
    </row>
    <row r="997" spans="1:16" ht="14.25" customHeight="1" thickBot="1">
      <c r="A997" s="57" t="s">
        <v>100</v>
      </c>
      <c r="B997" s="58" t="s">
        <v>108</v>
      </c>
      <c r="C997" s="59" t="s">
        <v>109</v>
      </c>
      <c r="D997" s="60" t="s">
        <v>110</v>
      </c>
      <c r="I997" s="72">
        <v>721</v>
      </c>
      <c r="J997" s="80">
        <f>+P975+P977+P979+P983+P985</f>
        <v>0</v>
      </c>
      <c r="K997" s="74">
        <f>+L958</f>
        <v>3806550</v>
      </c>
      <c r="L997" s="195">
        <f>+J997+K997</f>
        <v>3806550</v>
      </c>
    </row>
    <row r="998" spans="1:16" ht="15.75" customHeight="1">
      <c r="A998" s="71">
        <v>719</v>
      </c>
      <c r="B998" s="73">
        <f>+H976+H978+H982+H984</f>
        <v>310000</v>
      </c>
      <c r="C998" s="74" t="e">
        <f>+D959</f>
        <v>#REF!</v>
      </c>
      <c r="D998" s="195" t="e">
        <f>+B998+C998</f>
        <v>#REF!</v>
      </c>
      <c r="I998" s="72">
        <v>722</v>
      </c>
      <c r="J998" s="80"/>
      <c r="K998" s="74">
        <f>+L959</f>
        <v>0</v>
      </c>
      <c r="L998" s="195">
        <f>+J998+K998</f>
        <v>0</v>
      </c>
    </row>
    <row r="999" spans="1:16" ht="13.5" customHeight="1">
      <c r="A999" s="72">
        <v>721</v>
      </c>
      <c r="B999" s="80">
        <f>+H977</f>
        <v>0</v>
      </c>
      <c r="C999" s="74" t="e">
        <f>+D960</f>
        <v>#REF!</v>
      </c>
      <c r="D999" s="195" t="e">
        <f>+B999+C999</f>
        <v>#REF!</v>
      </c>
      <c r="I999" s="72">
        <v>723</v>
      </c>
      <c r="J999" s="80"/>
      <c r="K999" s="74">
        <f>+L960</f>
        <v>384819988</v>
      </c>
      <c r="L999" s="195">
        <f>+J999+K999</f>
        <v>384819988</v>
      </c>
      <c r="N999" s="918" t="s">
        <v>1481</v>
      </c>
      <c r="O999" s="918"/>
      <c r="P999" s="918"/>
    </row>
    <row r="1000" spans="1:16" ht="14.25" customHeight="1" thickBot="1">
      <c r="A1000" s="72">
        <v>722</v>
      </c>
      <c r="B1000" s="80"/>
      <c r="C1000" s="74">
        <f>+D961</f>
        <v>231207671</v>
      </c>
      <c r="D1000" s="195">
        <f>+B1000+C1000</f>
        <v>231207671</v>
      </c>
      <c r="I1000" s="164" t="s">
        <v>181</v>
      </c>
      <c r="J1000" s="165"/>
      <c r="K1000" s="74">
        <f>+L961</f>
        <v>0</v>
      </c>
      <c r="L1000" s="196">
        <f>+J1000+K1000</f>
        <v>0</v>
      </c>
      <c r="N1000" s="52"/>
    </row>
    <row r="1001" spans="1:16" ht="16.5" customHeight="1" thickBot="1">
      <c r="A1001" s="72">
        <v>723</v>
      </c>
      <c r="B1001" s="80"/>
      <c r="C1001" s="74">
        <f>+D962</f>
        <v>323193545</v>
      </c>
      <c r="D1001" s="195">
        <f>+B1001+C1001</f>
        <v>323193545</v>
      </c>
      <c r="F1001" s="174" t="s">
        <v>23</v>
      </c>
      <c r="G1001" s="175"/>
      <c r="I1001" s="169"/>
      <c r="J1001" s="197">
        <f>SUM(J996:J1000)</f>
        <v>1240000</v>
      </c>
      <c r="K1001" s="197">
        <f>SUM(K996:K1000)</f>
        <v>405393238</v>
      </c>
      <c r="L1001" s="198">
        <f>SUM(L996:L1000)</f>
        <v>406633238</v>
      </c>
    </row>
    <row r="1002" spans="1:16" ht="16.5" customHeight="1" thickBot="1">
      <c r="A1002" s="164" t="s">
        <v>181</v>
      </c>
      <c r="B1002" s="165"/>
      <c r="C1002" s="74">
        <f>+D963</f>
        <v>1965625</v>
      </c>
      <c r="D1002" s="196">
        <f>+B1002+C1002</f>
        <v>1965625</v>
      </c>
      <c r="F1002" s="52"/>
      <c r="I1002" s="49" t="s">
        <v>88</v>
      </c>
      <c r="J1002" s="50"/>
    </row>
    <row r="1003" spans="1:16" ht="16.5" thickBot="1">
      <c r="A1003" s="169"/>
      <c r="B1003" s="170">
        <f>SUM(B998:B1002)</f>
        <v>310000</v>
      </c>
      <c r="C1003" s="171" t="e">
        <f>SUM(C998:C1002)</f>
        <v>#REF!</v>
      </c>
      <c r="D1003" s="172" t="e">
        <f>SUM(D998:D1002)</f>
        <v>#REF!</v>
      </c>
      <c r="I1003" s="51" t="s">
        <v>89</v>
      </c>
    </row>
    <row r="1004" spans="1:16" ht="16.5">
      <c r="A1004" s="49" t="s">
        <v>88</v>
      </c>
      <c r="B1004" s="50"/>
      <c r="I1004" s="51" t="s">
        <v>90</v>
      </c>
    </row>
    <row r="1005" spans="1:16">
      <c r="A1005" s="51" t="s">
        <v>89</v>
      </c>
      <c r="I1005" s="51" t="s">
        <v>91</v>
      </c>
    </row>
    <row r="1006" spans="1:16" ht="15" customHeight="1">
      <c r="A1006" s="51" t="s">
        <v>90</v>
      </c>
      <c r="I1006" s="50"/>
      <c r="J1006" s="50"/>
    </row>
    <row r="1007" spans="1:16" ht="16.5">
      <c r="A1007" s="51" t="s">
        <v>91</v>
      </c>
      <c r="I1007" s="52" t="s">
        <v>836</v>
      </c>
      <c r="O1007" s="52"/>
    </row>
    <row r="1008" spans="1:16" ht="14.25" customHeight="1">
      <c r="A1008" s="50"/>
      <c r="B1008" s="50"/>
      <c r="I1008" s="53" t="s">
        <v>535</v>
      </c>
      <c r="O1008" s="53"/>
    </row>
    <row r="1009" spans="1:16" ht="16.5">
      <c r="A1009" s="52" t="s">
        <v>470</v>
      </c>
      <c r="G1009" s="52"/>
      <c r="I1009" s="894" t="s">
        <v>261</v>
      </c>
      <c r="J1009" s="894"/>
      <c r="K1009" s="894"/>
      <c r="L1009" s="894"/>
      <c r="M1009" s="894"/>
      <c r="N1009" s="894"/>
      <c r="O1009" s="894"/>
      <c r="P1009" s="894"/>
    </row>
    <row r="1010" spans="1:16" ht="17.25" customHeight="1" thickBot="1">
      <c r="A1010" s="53" t="s">
        <v>92</v>
      </c>
      <c r="G1010" s="53"/>
    </row>
    <row r="1011" spans="1:16" ht="16.5">
      <c r="A1011" s="894" t="s">
        <v>462</v>
      </c>
      <c r="B1011" s="894"/>
      <c r="C1011" s="894"/>
      <c r="D1011" s="894"/>
      <c r="E1011" s="894"/>
      <c r="F1011" s="894"/>
      <c r="G1011" s="894"/>
      <c r="H1011" s="894"/>
      <c r="I1011" s="895" t="s">
        <v>94</v>
      </c>
      <c r="J1011" s="897" t="s">
        <v>95</v>
      </c>
      <c r="K1011" s="897" t="s">
        <v>96</v>
      </c>
      <c r="L1011" s="897" t="s">
        <v>3</v>
      </c>
      <c r="M1011" s="897" t="s">
        <v>97</v>
      </c>
      <c r="N1011" s="897" t="s">
        <v>98</v>
      </c>
      <c r="O1011" s="897" t="s">
        <v>99</v>
      </c>
      <c r="P1011" s="899"/>
    </row>
    <row r="1012" spans="1:16" ht="15.75" thickBot="1">
      <c r="I1012" s="896"/>
      <c r="J1012" s="898"/>
      <c r="K1012" s="898"/>
      <c r="L1012" s="898"/>
      <c r="M1012" s="898"/>
      <c r="N1012" s="898"/>
      <c r="O1012" s="240" t="s">
        <v>100</v>
      </c>
      <c r="P1012" s="182" t="s">
        <v>101</v>
      </c>
    </row>
    <row r="1013" spans="1:16" ht="14.25" customHeight="1">
      <c r="A1013" s="895" t="s">
        <v>94</v>
      </c>
      <c r="B1013" s="897" t="s">
        <v>95</v>
      </c>
      <c r="C1013" s="897" t="s">
        <v>96</v>
      </c>
      <c r="D1013" s="897" t="s">
        <v>3</v>
      </c>
      <c r="E1013" s="897" t="s">
        <v>97</v>
      </c>
      <c r="F1013" s="897" t="s">
        <v>98</v>
      </c>
      <c r="G1013" s="897" t="s">
        <v>99</v>
      </c>
      <c r="H1013" s="899"/>
      <c r="I1013" s="881">
        <v>126</v>
      </c>
      <c r="J1013" s="875">
        <v>43007</v>
      </c>
      <c r="K1013" s="881" t="s">
        <v>28</v>
      </c>
      <c r="L1013" s="881" t="s">
        <v>1524</v>
      </c>
      <c r="M1013" s="881" t="s">
        <v>148</v>
      </c>
      <c r="N1013" s="883">
        <v>1001000</v>
      </c>
      <c r="O1013" s="55">
        <v>719</v>
      </c>
      <c r="P1013" s="78">
        <v>770000</v>
      </c>
    </row>
    <row r="1014" spans="1:16" ht="12" customHeight="1" thickBot="1">
      <c r="A1014" s="896"/>
      <c r="B1014" s="898"/>
      <c r="C1014" s="898"/>
      <c r="D1014" s="898"/>
      <c r="E1014" s="898"/>
      <c r="F1014" s="898"/>
      <c r="G1014" s="240" t="s">
        <v>100</v>
      </c>
      <c r="H1014" s="182" t="s">
        <v>101</v>
      </c>
      <c r="I1014" s="882"/>
      <c r="J1014" s="876"/>
      <c r="K1014" s="882"/>
      <c r="L1014" s="882"/>
      <c r="M1014" s="882"/>
      <c r="N1014" s="884"/>
      <c r="O1014" s="56">
        <v>721</v>
      </c>
      <c r="P1014" s="79">
        <f>+N1013-P1013</f>
        <v>231000</v>
      </c>
    </row>
    <row r="1015" spans="1:16" ht="12.75" customHeight="1">
      <c r="A1015" s="881" t="e">
        <f>+A976+1</f>
        <v>#REF!</v>
      </c>
      <c r="B1015" s="875">
        <v>42345</v>
      </c>
      <c r="C1015" s="877" t="s">
        <v>267</v>
      </c>
      <c r="D1015" s="881" t="s">
        <v>475</v>
      </c>
      <c r="E1015" s="881" t="s">
        <v>148</v>
      </c>
      <c r="F1015" s="883">
        <v>420000</v>
      </c>
      <c r="G1015" s="55">
        <v>719</v>
      </c>
      <c r="H1015" s="78">
        <f>+F1015-H1016</f>
        <v>300000</v>
      </c>
      <c r="I1015" s="873" t="s">
        <v>1526</v>
      </c>
      <c r="J1015" s="875">
        <v>43007</v>
      </c>
      <c r="K1015" s="881" t="s">
        <v>28</v>
      </c>
      <c r="L1015" s="881" t="s">
        <v>1522</v>
      </c>
      <c r="M1015" s="881" t="s">
        <v>148</v>
      </c>
      <c r="N1015" s="883">
        <v>637000</v>
      </c>
      <c r="O1015" s="55">
        <v>719</v>
      </c>
      <c r="P1015" s="78">
        <v>430000</v>
      </c>
    </row>
    <row r="1016" spans="1:16" ht="13.5" customHeight="1" thickBot="1">
      <c r="A1016" s="882"/>
      <c r="B1016" s="876"/>
      <c r="C1016" s="878"/>
      <c r="D1016" s="882"/>
      <c r="E1016" s="882"/>
      <c r="F1016" s="884"/>
      <c r="G1016" s="56">
        <v>721</v>
      </c>
      <c r="H1016" s="79">
        <v>120000</v>
      </c>
      <c r="I1016" s="874"/>
      <c r="J1016" s="876"/>
      <c r="K1016" s="882"/>
      <c r="L1016" s="882"/>
      <c r="M1016" s="882"/>
      <c r="N1016" s="884"/>
      <c r="O1016" s="56">
        <v>721</v>
      </c>
      <c r="P1016" s="79">
        <f>+N1015-P1015</f>
        <v>207000</v>
      </c>
    </row>
    <row r="1017" spans="1:16" ht="13.5" customHeight="1">
      <c r="A1017" s="881" t="e">
        <f>+A1015+1</f>
        <v>#REF!</v>
      </c>
      <c r="B1017" s="875">
        <v>42345</v>
      </c>
      <c r="C1017" s="881" t="s">
        <v>28</v>
      </c>
      <c r="D1017" s="881" t="s">
        <v>476</v>
      </c>
      <c r="E1017" s="881" t="s">
        <v>148</v>
      </c>
      <c r="F1017" s="883">
        <v>714000</v>
      </c>
      <c r="G1017" s="55">
        <v>719</v>
      </c>
      <c r="H1017" s="78">
        <v>510000</v>
      </c>
      <c r="I1017" s="431">
        <f>+I1015+1</f>
        <v>128</v>
      </c>
      <c r="J1017" s="429">
        <v>43007</v>
      </c>
      <c r="K1017" s="881" t="s">
        <v>28</v>
      </c>
      <c r="L1017" s="881" t="s">
        <v>1527</v>
      </c>
      <c r="M1017" s="881" t="s">
        <v>148</v>
      </c>
      <c r="N1017" s="883">
        <v>559000</v>
      </c>
      <c r="O1017" s="55">
        <v>719</v>
      </c>
      <c r="P1017" s="78">
        <v>440000</v>
      </c>
    </row>
    <row r="1018" spans="1:16" ht="13.5" customHeight="1" thickBot="1">
      <c r="A1018" s="882"/>
      <c r="B1018" s="876"/>
      <c r="C1018" s="882"/>
      <c r="D1018" s="882"/>
      <c r="E1018" s="882"/>
      <c r="F1018" s="884"/>
      <c r="G1018" s="56">
        <v>721</v>
      </c>
      <c r="H1018" s="79">
        <f>+F1017-H1017</f>
        <v>204000</v>
      </c>
      <c r="I1018" s="432"/>
      <c r="J1018" s="430"/>
      <c r="K1018" s="882"/>
      <c r="L1018" s="882"/>
      <c r="M1018" s="882"/>
      <c r="N1018" s="884"/>
      <c r="O1018" s="56">
        <v>721</v>
      </c>
      <c r="P1018" s="79">
        <f>+N1017-P1017</f>
        <v>119000</v>
      </c>
    </row>
    <row r="1019" spans="1:16" ht="13.5" customHeight="1">
      <c r="A1019" s="881" t="e">
        <f>+A1017+1</f>
        <v>#REF!</v>
      </c>
      <c r="B1019" s="875">
        <v>42345</v>
      </c>
      <c r="C1019" s="877" t="s">
        <v>32</v>
      </c>
      <c r="D1019" s="881" t="s">
        <v>476</v>
      </c>
      <c r="E1019" s="881" t="s">
        <v>148</v>
      </c>
      <c r="F1019" s="883">
        <v>140000</v>
      </c>
      <c r="G1019" s="55">
        <v>719</v>
      </c>
      <c r="H1019" s="78">
        <v>100000</v>
      </c>
      <c r="I1019" s="431">
        <f>+I1017+1</f>
        <v>129</v>
      </c>
      <c r="J1019" s="429">
        <v>43007</v>
      </c>
      <c r="K1019" s="881" t="s">
        <v>28</v>
      </c>
      <c r="L1019" s="881" t="s">
        <v>1528</v>
      </c>
      <c r="M1019" s="881" t="s">
        <v>148</v>
      </c>
      <c r="N1019" s="883">
        <v>572000</v>
      </c>
      <c r="O1019" s="55">
        <v>719</v>
      </c>
      <c r="P1019" s="78">
        <v>480000</v>
      </c>
    </row>
    <row r="1020" spans="1:16" ht="12.75" customHeight="1" thickBot="1">
      <c r="A1020" s="882"/>
      <c r="B1020" s="876"/>
      <c r="C1020" s="878"/>
      <c r="D1020" s="882"/>
      <c r="E1020" s="882"/>
      <c r="F1020" s="884"/>
      <c r="G1020" s="56">
        <v>721</v>
      </c>
      <c r="H1020" s="79">
        <f>+F1019-H1019</f>
        <v>40000</v>
      </c>
      <c r="I1020" s="432"/>
      <c r="J1020" s="430"/>
      <c r="K1020" s="882"/>
      <c r="L1020" s="882"/>
      <c r="M1020" s="882"/>
      <c r="N1020" s="884"/>
      <c r="O1020" s="56">
        <v>721</v>
      </c>
      <c r="P1020" s="79">
        <f>+N1019-P1019</f>
        <v>92000</v>
      </c>
    </row>
    <row r="1021" spans="1:16" ht="13.5" customHeight="1">
      <c r="A1021" s="881" t="e">
        <f>+A1019+1</f>
        <v>#REF!</v>
      </c>
      <c r="B1021" s="875">
        <v>42345</v>
      </c>
      <c r="C1021" s="877" t="s">
        <v>111</v>
      </c>
      <c r="D1021" s="881" t="s">
        <v>474</v>
      </c>
      <c r="E1021" s="881" t="s">
        <v>148</v>
      </c>
      <c r="F1021" s="883">
        <v>336000</v>
      </c>
      <c r="G1021" s="55">
        <v>719</v>
      </c>
      <c r="H1021" s="78">
        <v>240000</v>
      </c>
      <c r="I1021" s="431">
        <f>+I1019+1</f>
        <v>130</v>
      </c>
      <c r="J1021" s="429">
        <v>43007</v>
      </c>
      <c r="K1021" s="881" t="s">
        <v>28</v>
      </c>
      <c r="L1021" s="881" t="s">
        <v>1529</v>
      </c>
      <c r="M1021" s="881" t="s">
        <v>148</v>
      </c>
      <c r="N1021" s="883">
        <v>624000</v>
      </c>
      <c r="O1021" s="55">
        <v>719</v>
      </c>
      <c r="P1021" s="78">
        <v>480000</v>
      </c>
    </row>
    <row r="1022" spans="1:16" ht="14.25" customHeight="1" thickBot="1">
      <c r="A1022" s="882"/>
      <c r="B1022" s="876"/>
      <c r="C1022" s="878"/>
      <c r="D1022" s="882"/>
      <c r="E1022" s="882"/>
      <c r="F1022" s="884"/>
      <c r="G1022" s="56">
        <v>721</v>
      </c>
      <c r="H1022" s="79">
        <f>+F1021-H1021</f>
        <v>96000</v>
      </c>
      <c r="I1022" s="432"/>
      <c r="J1022" s="430"/>
      <c r="K1022" s="882"/>
      <c r="L1022" s="882"/>
      <c r="M1022" s="882"/>
      <c r="N1022" s="884"/>
      <c r="O1022" s="56">
        <v>721</v>
      </c>
      <c r="P1022" s="79">
        <f>+N1021-P1021</f>
        <v>144000</v>
      </c>
    </row>
    <row r="1023" spans="1:16" ht="16.5" customHeight="1" thickBot="1">
      <c r="A1023" s="881" t="e">
        <f>+A1021+1</f>
        <v>#REF!</v>
      </c>
      <c r="B1023" s="875">
        <v>42345</v>
      </c>
      <c r="C1023" s="877" t="s">
        <v>272</v>
      </c>
      <c r="D1023" s="881" t="s">
        <v>474</v>
      </c>
      <c r="E1023" s="881" t="s">
        <v>148</v>
      </c>
      <c r="F1023" s="883">
        <v>2058000</v>
      </c>
      <c r="G1023" s="55">
        <v>719</v>
      </c>
      <c r="H1023" s="78">
        <v>1470000</v>
      </c>
      <c r="I1023" s="901" t="s">
        <v>102</v>
      </c>
      <c r="J1023" s="902"/>
      <c r="K1023" s="902"/>
      <c r="L1023" s="902"/>
      <c r="M1023" s="903"/>
      <c r="N1023" s="81">
        <f>SUM(N1013:N1022)</f>
        <v>3393000</v>
      </c>
    </row>
    <row r="1024" spans="1:16" ht="16.5" customHeight="1" thickBot="1">
      <c r="A1024" s="882"/>
      <c r="B1024" s="876"/>
      <c r="C1024" s="878"/>
      <c r="D1024" s="882"/>
      <c r="E1024" s="882"/>
      <c r="F1024" s="884"/>
      <c r="G1024" s="56">
        <v>721</v>
      </c>
      <c r="H1024" s="79">
        <f>+F1023-H1023</f>
        <v>588000</v>
      </c>
      <c r="I1024" s="885" t="s">
        <v>103</v>
      </c>
      <c r="J1024" s="886"/>
      <c r="K1024" s="886"/>
      <c r="L1024" s="886"/>
      <c r="M1024" s="887"/>
      <c r="N1024" s="69">
        <f>+N988</f>
        <v>406633238</v>
      </c>
      <c r="O1024" s="241" t="s">
        <v>561</v>
      </c>
      <c r="P1024" s="242">
        <v>3326</v>
      </c>
    </row>
    <row r="1025" spans="1:16" ht="16.5" thickBot="1">
      <c r="A1025" s="901" t="s">
        <v>102</v>
      </c>
      <c r="B1025" s="902"/>
      <c r="C1025" s="902"/>
      <c r="D1025" s="902"/>
      <c r="E1025" s="903"/>
      <c r="F1025" s="81">
        <f>SUM(F1015:F1024)</f>
        <v>3668000</v>
      </c>
      <c r="I1025" s="888" t="s">
        <v>104</v>
      </c>
      <c r="J1025" s="889"/>
      <c r="K1025" s="889"/>
      <c r="L1025" s="889"/>
      <c r="M1025" s="890"/>
      <c r="N1025" s="183">
        <f>SUM(N1023:N1024)</f>
        <v>410026238</v>
      </c>
    </row>
    <row r="1026" spans="1:16" ht="16.5" thickBot="1">
      <c r="A1026" s="885" t="s">
        <v>103</v>
      </c>
      <c r="B1026" s="886"/>
      <c r="C1026" s="886"/>
      <c r="D1026" s="886"/>
      <c r="E1026" s="887"/>
      <c r="F1026" s="69">
        <f>+F990</f>
        <v>658987638</v>
      </c>
      <c r="I1026" s="61"/>
      <c r="J1026" s="61"/>
      <c r="K1026" s="61"/>
      <c r="L1026" s="61"/>
      <c r="M1026" s="61"/>
    </row>
    <row r="1027" spans="1:16" ht="16.5" thickBot="1">
      <c r="A1027" s="888" t="s">
        <v>104</v>
      </c>
      <c r="B1027" s="889"/>
      <c r="C1027" s="889"/>
      <c r="D1027" s="889"/>
      <c r="E1027" s="890"/>
      <c r="F1027" s="183">
        <f>SUM(F1025:F1026)</f>
        <v>662655638</v>
      </c>
      <c r="I1027" s="51" t="s">
        <v>843</v>
      </c>
    </row>
    <row r="1028" spans="1:16" ht="8.25" customHeight="1">
      <c r="A1028" s="61"/>
      <c r="B1028" s="61"/>
      <c r="C1028" s="61"/>
      <c r="D1028" s="61"/>
      <c r="E1028" s="61"/>
      <c r="N1028" s="139"/>
    </row>
    <row r="1029" spans="1:16" ht="18" customHeight="1">
      <c r="A1029" s="51" t="s">
        <v>477</v>
      </c>
      <c r="I1029" s="50" t="s">
        <v>105</v>
      </c>
      <c r="L1029" s="146"/>
      <c r="N1029" s="139"/>
    </row>
    <row r="1030" spans="1:16" ht="9.75" customHeight="1" thickBot="1">
      <c r="F1030" s="139"/>
    </row>
    <row r="1031" spans="1:16" ht="16.5" customHeight="1" thickBot="1">
      <c r="A1031" s="50" t="s">
        <v>105</v>
      </c>
      <c r="D1031" s="146"/>
      <c r="F1031" s="139"/>
      <c r="I1031" s="891" t="s">
        <v>106</v>
      </c>
      <c r="J1031" s="892"/>
      <c r="K1031" s="892"/>
      <c r="L1031" s="893"/>
      <c r="N1031" s="50" t="s">
        <v>288</v>
      </c>
    </row>
    <row r="1032" spans="1:16" ht="11.25" customHeight="1" thickBot="1">
      <c r="I1032" s="57" t="s">
        <v>100</v>
      </c>
      <c r="J1032" s="58" t="s">
        <v>108</v>
      </c>
      <c r="K1032" s="59" t="s">
        <v>109</v>
      </c>
      <c r="L1032" s="60" t="s">
        <v>110</v>
      </c>
    </row>
    <row r="1033" spans="1:16" ht="15.75" thickBot="1">
      <c r="A1033" s="891" t="s">
        <v>106</v>
      </c>
      <c r="B1033" s="892"/>
      <c r="C1033" s="892"/>
      <c r="D1033" s="893"/>
      <c r="F1033" s="50" t="s">
        <v>288</v>
      </c>
      <c r="I1033" s="71">
        <v>719</v>
      </c>
      <c r="J1033" s="73">
        <f>+P1013+P1015+P1017+P1019+P1021</f>
        <v>2600000</v>
      </c>
      <c r="K1033" s="74">
        <f>+L996</f>
        <v>18006700</v>
      </c>
      <c r="L1033" s="195">
        <f>+J1033+K1033</f>
        <v>20606700</v>
      </c>
    </row>
    <row r="1034" spans="1:16" ht="15.75" customHeight="1" thickBot="1">
      <c r="A1034" s="57" t="s">
        <v>100</v>
      </c>
      <c r="B1034" s="58" t="s">
        <v>108</v>
      </c>
      <c r="C1034" s="59" t="s">
        <v>109</v>
      </c>
      <c r="D1034" s="60" t="s">
        <v>110</v>
      </c>
      <c r="I1034" s="72">
        <v>721</v>
      </c>
      <c r="J1034" s="80">
        <f>+P1014+P1016+P1018+P1020+P1022</f>
        <v>793000</v>
      </c>
      <c r="K1034" s="74">
        <f>+L997</f>
        <v>3806550</v>
      </c>
      <c r="L1034" s="195">
        <f>+J1034+K1034</f>
        <v>4599550</v>
      </c>
    </row>
    <row r="1035" spans="1:16">
      <c r="A1035" s="71">
        <v>719</v>
      </c>
      <c r="B1035" s="73">
        <f>+H1015+H1017+H1019+H1021+H1023</f>
        <v>2620000</v>
      </c>
      <c r="C1035" s="74" t="e">
        <f>+D998</f>
        <v>#REF!</v>
      </c>
      <c r="D1035" s="195" t="e">
        <f>+B1035+C1035</f>
        <v>#REF!</v>
      </c>
      <c r="I1035" s="72">
        <v>722</v>
      </c>
      <c r="J1035" s="80"/>
      <c r="K1035" s="74">
        <f>+L998</f>
        <v>0</v>
      </c>
      <c r="L1035" s="195">
        <f>+J1035+K1035</f>
        <v>0</v>
      </c>
    </row>
    <row r="1036" spans="1:16" ht="15.75">
      <c r="A1036" s="72">
        <v>721</v>
      </c>
      <c r="B1036" s="80">
        <f>+H1024+H1022+H1020+H1018+H1016</f>
        <v>1048000</v>
      </c>
      <c r="C1036" s="74" t="e">
        <f>+D999</f>
        <v>#REF!</v>
      </c>
      <c r="D1036" s="195" t="e">
        <f>+B1036+C1036</f>
        <v>#REF!</v>
      </c>
      <c r="I1036" s="72">
        <v>723</v>
      </c>
      <c r="J1036" s="80"/>
      <c r="K1036" s="74">
        <f>+L999</f>
        <v>384819988</v>
      </c>
      <c r="L1036" s="195">
        <f>+J1036+K1036</f>
        <v>384819988</v>
      </c>
      <c r="N1036" s="918" t="s">
        <v>1481</v>
      </c>
      <c r="O1036" s="918"/>
      <c r="P1036" s="918"/>
    </row>
    <row r="1037" spans="1:16" ht="16.5" thickBot="1">
      <c r="A1037" s="72">
        <v>722</v>
      </c>
      <c r="B1037" s="80"/>
      <c r="C1037" s="74">
        <f>+D1000</f>
        <v>231207671</v>
      </c>
      <c r="D1037" s="195">
        <f>+B1037+C1037</f>
        <v>231207671</v>
      </c>
      <c r="I1037" s="164" t="s">
        <v>181</v>
      </c>
      <c r="J1037" s="165"/>
      <c r="K1037" s="74">
        <f>+L1000</f>
        <v>0</v>
      </c>
      <c r="L1037" s="196">
        <f>+J1037+K1037</f>
        <v>0</v>
      </c>
      <c r="N1037" s="52"/>
    </row>
    <row r="1038" spans="1:16" ht="16.5" thickBot="1">
      <c r="A1038" s="72">
        <v>723</v>
      </c>
      <c r="B1038" s="80"/>
      <c r="C1038" s="74">
        <f>+D1001</f>
        <v>323193545</v>
      </c>
      <c r="D1038" s="195">
        <f>+B1038+C1038</f>
        <v>323193545</v>
      </c>
      <c r="F1038" s="174" t="s">
        <v>23</v>
      </c>
      <c r="G1038" s="175"/>
      <c r="I1038" s="169"/>
      <c r="J1038" s="197">
        <f>SUM(J1033:J1037)</f>
        <v>3393000</v>
      </c>
      <c r="K1038" s="197">
        <f>SUM(K1033:K1037)</f>
        <v>406633238</v>
      </c>
      <c r="L1038" s="198">
        <f>SUM(L1033:L1037)</f>
        <v>410026238</v>
      </c>
    </row>
    <row r="1039" spans="1:16" ht="16.5">
      <c r="A1039" s="49" t="s">
        <v>88</v>
      </c>
      <c r="B1039" s="50"/>
      <c r="I1039" s="49" t="s">
        <v>88</v>
      </c>
      <c r="J1039" s="50"/>
    </row>
    <row r="1040" spans="1:16">
      <c r="A1040" s="51" t="s">
        <v>89</v>
      </c>
      <c r="I1040" s="51" t="s">
        <v>89</v>
      </c>
    </row>
    <row r="1041" spans="1:16">
      <c r="A1041" s="51" t="s">
        <v>90</v>
      </c>
      <c r="I1041" s="51" t="s">
        <v>90</v>
      </c>
    </row>
    <row r="1042" spans="1:16">
      <c r="A1042" s="51" t="s">
        <v>91</v>
      </c>
      <c r="I1042" s="51" t="s">
        <v>91</v>
      </c>
    </row>
    <row r="1043" spans="1:16" ht="12" customHeight="1">
      <c r="A1043" s="50"/>
      <c r="B1043" s="50"/>
      <c r="I1043" s="50"/>
      <c r="J1043" s="50"/>
    </row>
    <row r="1044" spans="1:16" ht="16.5">
      <c r="A1044" s="52" t="s">
        <v>471</v>
      </c>
      <c r="G1044" s="52"/>
      <c r="I1044" s="260" t="s">
        <v>840</v>
      </c>
      <c r="O1044" s="52"/>
    </row>
    <row r="1045" spans="1:16" ht="15.75">
      <c r="A1045" s="53" t="s">
        <v>92</v>
      </c>
      <c r="G1045" s="53"/>
      <c r="I1045" s="53" t="s">
        <v>1333</v>
      </c>
      <c r="O1045" s="53"/>
    </row>
    <row r="1046" spans="1:16" ht="16.5">
      <c r="A1046" s="894" t="s">
        <v>462</v>
      </c>
      <c r="B1046" s="894"/>
      <c r="C1046" s="894"/>
      <c r="D1046" s="894"/>
      <c r="E1046" s="894"/>
      <c r="F1046" s="894"/>
      <c r="G1046" s="894"/>
      <c r="H1046" s="894"/>
      <c r="I1046" s="894" t="s">
        <v>261</v>
      </c>
      <c r="J1046" s="894"/>
      <c r="K1046" s="894"/>
      <c r="L1046" s="894"/>
      <c r="M1046" s="894"/>
      <c r="N1046" s="894"/>
      <c r="O1046" s="894"/>
      <c r="P1046" s="894"/>
    </row>
    <row r="1047" spans="1:16" ht="11.25" customHeight="1" thickBot="1"/>
    <row r="1048" spans="1:16">
      <c r="A1048" s="895" t="s">
        <v>94</v>
      </c>
      <c r="B1048" s="897" t="s">
        <v>95</v>
      </c>
      <c r="C1048" s="897" t="s">
        <v>96</v>
      </c>
      <c r="D1048" s="897" t="s">
        <v>3</v>
      </c>
      <c r="E1048" s="897" t="s">
        <v>97</v>
      </c>
      <c r="F1048" s="897" t="s">
        <v>98</v>
      </c>
      <c r="G1048" s="897" t="s">
        <v>99</v>
      </c>
      <c r="H1048" s="899"/>
      <c r="I1048" s="895" t="s">
        <v>94</v>
      </c>
      <c r="J1048" s="897" t="s">
        <v>95</v>
      </c>
      <c r="K1048" s="897" t="s">
        <v>96</v>
      </c>
      <c r="L1048" s="897" t="s">
        <v>3</v>
      </c>
      <c r="M1048" s="897" t="s">
        <v>97</v>
      </c>
      <c r="N1048" s="897" t="s">
        <v>98</v>
      </c>
      <c r="O1048" s="897" t="s">
        <v>99</v>
      </c>
      <c r="P1048" s="899"/>
    </row>
    <row r="1049" spans="1:16" ht="15.75" thickBot="1">
      <c r="A1049" s="896"/>
      <c r="B1049" s="898"/>
      <c r="C1049" s="898"/>
      <c r="D1049" s="898"/>
      <c r="E1049" s="898"/>
      <c r="F1049" s="898"/>
      <c r="G1049" s="240" t="s">
        <v>100</v>
      </c>
      <c r="H1049" s="182" t="s">
        <v>101</v>
      </c>
      <c r="I1049" s="896"/>
      <c r="J1049" s="898"/>
      <c r="K1049" s="898"/>
      <c r="L1049" s="898"/>
      <c r="M1049" s="898"/>
      <c r="N1049" s="898"/>
      <c r="O1049" s="240" t="s">
        <v>100</v>
      </c>
      <c r="P1049" s="182" t="s">
        <v>101</v>
      </c>
    </row>
    <row r="1050" spans="1:16" ht="15" customHeight="1">
      <c r="A1050" s="881" t="e">
        <f>+A1023+1</f>
        <v>#REF!</v>
      </c>
      <c r="B1050" s="875">
        <v>42345</v>
      </c>
      <c r="C1050" s="877" t="s">
        <v>31</v>
      </c>
      <c r="D1050" s="881" t="s">
        <v>478</v>
      </c>
      <c r="E1050" s="881" t="s">
        <v>115</v>
      </c>
      <c r="F1050" s="883">
        <v>110000</v>
      </c>
      <c r="G1050" s="55">
        <v>719</v>
      </c>
      <c r="H1050" s="78">
        <f>+F1050</f>
        <v>110000</v>
      </c>
      <c r="I1050" s="873" t="s">
        <v>837</v>
      </c>
      <c r="J1050" s="875">
        <v>43007</v>
      </c>
      <c r="K1050" s="877" t="s">
        <v>40</v>
      </c>
      <c r="L1050" s="881" t="s">
        <v>1439</v>
      </c>
      <c r="M1050" s="881" t="s">
        <v>148</v>
      </c>
      <c r="N1050" s="883">
        <v>7821240</v>
      </c>
      <c r="O1050" s="55">
        <v>723</v>
      </c>
      <c r="P1050" s="78">
        <v>7821240</v>
      </c>
    </row>
    <row r="1051" spans="1:16" ht="15.75" customHeight="1" thickBot="1">
      <c r="A1051" s="882"/>
      <c r="B1051" s="876"/>
      <c r="C1051" s="878"/>
      <c r="D1051" s="882"/>
      <c r="E1051" s="882"/>
      <c r="F1051" s="884"/>
      <c r="G1051" s="56">
        <v>721</v>
      </c>
      <c r="H1051" s="79">
        <f>+F1050-H1050</f>
        <v>0</v>
      </c>
      <c r="I1051" s="874"/>
      <c r="J1051" s="876"/>
      <c r="K1051" s="878"/>
      <c r="L1051" s="882"/>
      <c r="M1051" s="882"/>
      <c r="N1051" s="884"/>
      <c r="O1051" s="56">
        <v>721</v>
      </c>
      <c r="P1051" s="79">
        <f>+N1050-P1050</f>
        <v>0</v>
      </c>
    </row>
    <row r="1052" spans="1:16" ht="12.75" customHeight="1">
      <c r="A1052" s="881" t="e">
        <f>+A1050+1</f>
        <v>#REF!</v>
      </c>
      <c r="B1052" s="875">
        <v>42345</v>
      </c>
      <c r="C1052" s="881" t="s">
        <v>472</v>
      </c>
      <c r="D1052" s="881" t="s">
        <v>479</v>
      </c>
      <c r="E1052" s="881" t="s">
        <v>115</v>
      </c>
      <c r="F1052" s="883">
        <v>60000</v>
      </c>
      <c r="G1052" s="55">
        <v>719</v>
      </c>
      <c r="H1052" s="78">
        <v>60000</v>
      </c>
      <c r="I1052" s="881">
        <f>+I1050+1</f>
        <v>132</v>
      </c>
      <c r="J1052" s="875">
        <v>43007</v>
      </c>
      <c r="K1052" s="877" t="s">
        <v>28</v>
      </c>
      <c r="L1052" s="881" t="s">
        <v>1439</v>
      </c>
      <c r="M1052" s="881" t="s">
        <v>148</v>
      </c>
      <c r="N1052" s="883">
        <v>8509200</v>
      </c>
      <c r="O1052" s="55">
        <v>723</v>
      </c>
      <c r="P1052" s="78">
        <v>8509200</v>
      </c>
    </row>
    <row r="1053" spans="1:16" ht="15.75" customHeight="1" thickBot="1">
      <c r="A1053" s="882"/>
      <c r="B1053" s="876"/>
      <c r="C1053" s="882"/>
      <c r="D1053" s="882"/>
      <c r="E1053" s="882"/>
      <c r="F1053" s="884"/>
      <c r="G1053" s="56">
        <v>721</v>
      </c>
      <c r="H1053" s="79">
        <f>+F1052-H1052</f>
        <v>0</v>
      </c>
      <c r="I1053" s="882"/>
      <c r="J1053" s="876"/>
      <c r="K1053" s="878"/>
      <c r="L1053" s="882"/>
      <c r="M1053" s="882"/>
      <c r="N1053" s="884"/>
      <c r="O1053" s="56">
        <v>721</v>
      </c>
      <c r="P1053" s="79">
        <f>+N1052-P1052</f>
        <v>0</v>
      </c>
    </row>
    <row r="1054" spans="1:16" ht="15" customHeight="1">
      <c r="A1054" s="881"/>
      <c r="B1054" s="875"/>
      <c r="C1054" s="877"/>
      <c r="D1054" s="881"/>
      <c r="E1054" s="881"/>
      <c r="F1054" s="883"/>
      <c r="G1054" s="55">
        <v>719</v>
      </c>
      <c r="H1054" s="78"/>
      <c r="I1054" s="881">
        <f>+I1052+1</f>
        <v>133</v>
      </c>
      <c r="J1054" s="875">
        <v>43007</v>
      </c>
      <c r="K1054" s="877" t="s">
        <v>1494</v>
      </c>
      <c r="L1054" s="881" t="s">
        <v>1439</v>
      </c>
      <c r="M1054" s="881" t="s">
        <v>215</v>
      </c>
      <c r="N1054" s="883">
        <v>1440000</v>
      </c>
      <c r="O1054" s="55">
        <v>723</v>
      </c>
      <c r="P1054" s="78">
        <v>1440000</v>
      </c>
    </row>
    <row r="1055" spans="1:16" ht="15" customHeight="1" thickBot="1">
      <c r="A1055" s="882"/>
      <c r="B1055" s="876"/>
      <c r="C1055" s="878"/>
      <c r="D1055" s="882"/>
      <c r="E1055" s="882"/>
      <c r="F1055" s="884"/>
      <c r="G1055" s="56">
        <v>721</v>
      </c>
      <c r="H1055" s="79">
        <f>+F1054-H1054</f>
        <v>0</v>
      </c>
      <c r="I1055" s="882"/>
      <c r="J1055" s="876"/>
      <c r="K1055" s="878"/>
      <c r="L1055" s="882"/>
      <c r="M1055" s="882"/>
      <c r="N1055" s="884"/>
      <c r="O1055" s="56">
        <v>721</v>
      </c>
      <c r="P1055" s="79">
        <f>+N1054-P1054</f>
        <v>0</v>
      </c>
    </row>
    <row r="1056" spans="1:16" ht="14.25" customHeight="1">
      <c r="A1056" s="881"/>
      <c r="B1056" s="875"/>
      <c r="C1056" s="877"/>
      <c r="D1056" s="881"/>
      <c r="E1056" s="881"/>
      <c r="F1056" s="883"/>
      <c r="G1056" s="55">
        <v>719</v>
      </c>
      <c r="H1056" s="78"/>
      <c r="I1056" s="881">
        <f>+I1054+1</f>
        <v>134</v>
      </c>
      <c r="J1056" s="875">
        <v>43007</v>
      </c>
      <c r="K1056" s="877" t="s">
        <v>1496</v>
      </c>
      <c r="L1056" s="881" t="s">
        <v>1495</v>
      </c>
      <c r="M1056" s="881" t="s">
        <v>148</v>
      </c>
      <c r="N1056" s="883">
        <v>8049500</v>
      </c>
      <c r="O1056" s="55">
        <v>723</v>
      </c>
      <c r="P1056" s="78">
        <v>8049500</v>
      </c>
    </row>
    <row r="1057" spans="1:16" ht="12.75" customHeight="1" thickBot="1">
      <c r="A1057" s="882"/>
      <c r="B1057" s="876"/>
      <c r="C1057" s="878"/>
      <c r="D1057" s="882"/>
      <c r="E1057" s="882"/>
      <c r="F1057" s="884"/>
      <c r="G1057" s="56">
        <v>721</v>
      </c>
      <c r="H1057" s="79">
        <f>+F1056-H1056</f>
        <v>0</v>
      </c>
      <c r="I1057" s="882"/>
      <c r="J1057" s="876"/>
      <c r="K1057" s="878"/>
      <c r="L1057" s="882"/>
      <c r="M1057" s="882"/>
      <c r="N1057" s="884"/>
      <c r="O1057" s="56">
        <v>721</v>
      </c>
      <c r="P1057" s="79">
        <f>+N1056-P1056</f>
        <v>0</v>
      </c>
    </row>
    <row r="1058" spans="1:16" ht="13.5" customHeight="1">
      <c r="A1058" s="881"/>
      <c r="B1058" s="875"/>
      <c r="C1058" s="877"/>
      <c r="D1058" s="881"/>
      <c r="E1058" s="881"/>
      <c r="F1058" s="883"/>
      <c r="G1058" s="55">
        <v>719</v>
      </c>
      <c r="H1058" s="78"/>
      <c r="I1058" s="881">
        <f>+I1056+1</f>
        <v>135</v>
      </c>
      <c r="J1058" s="875">
        <v>43007</v>
      </c>
      <c r="K1058" s="877" t="s">
        <v>899</v>
      </c>
      <c r="L1058" s="881" t="s">
        <v>1495</v>
      </c>
      <c r="M1058" s="881" t="s">
        <v>165</v>
      </c>
      <c r="N1058" s="883">
        <v>1050000</v>
      </c>
      <c r="O1058" s="55">
        <v>723</v>
      </c>
      <c r="P1058" s="78">
        <v>1050000</v>
      </c>
    </row>
    <row r="1059" spans="1:16" ht="14.25" customHeight="1" thickBot="1">
      <c r="A1059" s="882"/>
      <c r="B1059" s="876"/>
      <c r="C1059" s="878"/>
      <c r="D1059" s="882"/>
      <c r="E1059" s="882"/>
      <c r="F1059" s="884"/>
      <c r="G1059" s="56">
        <v>721</v>
      </c>
      <c r="H1059" s="79">
        <f>+F1058-H1058</f>
        <v>0</v>
      </c>
      <c r="I1059" s="882"/>
      <c r="J1059" s="876"/>
      <c r="K1059" s="878"/>
      <c r="L1059" s="882"/>
      <c r="M1059" s="882"/>
      <c r="N1059" s="884"/>
      <c r="O1059" s="56">
        <v>721</v>
      </c>
      <c r="P1059" s="79">
        <f>+N1058-P1058</f>
        <v>0</v>
      </c>
    </row>
    <row r="1060" spans="1:16" ht="16.5" thickBot="1">
      <c r="A1060" s="901" t="s">
        <v>102</v>
      </c>
      <c r="B1060" s="902"/>
      <c r="C1060" s="902"/>
      <c r="D1060" s="902"/>
      <c r="E1060" s="903"/>
      <c r="F1060" s="81">
        <f>SUM(F1050:F1059)</f>
        <v>170000</v>
      </c>
      <c r="I1060" s="901" t="s">
        <v>102</v>
      </c>
      <c r="J1060" s="902"/>
      <c r="K1060" s="902"/>
      <c r="L1060" s="902"/>
      <c r="M1060" s="903"/>
      <c r="N1060" s="81">
        <f>SUM(N1050:N1059)</f>
        <v>26869940</v>
      </c>
    </row>
    <row r="1061" spans="1:16" ht="16.5" thickBot="1">
      <c r="A1061" s="885" t="s">
        <v>103</v>
      </c>
      <c r="B1061" s="886"/>
      <c r="C1061" s="886"/>
      <c r="D1061" s="886"/>
      <c r="E1061" s="887"/>
      <c r="F1061" s="69">
        <f>+F1027</f>
        <v>662655638</v>
      </c>
      <c r="I1061" s="885" t="s">
        <v>103</v>
      </c>
      <c r="J1061" s="886"/>
      <c r="K1061" s="886"/>
      <c r="L1061" s="886"/>
      <c r="M1061" s="887"/>
      <c r="N1061" s="69">
        <f>+N1025</f>
        <v>410026238</v>
      </c>
      <c r="O1061" s="241" t="s">
        <v>561</v>
      </c>
      <c r="P1061" s="242"/>
    </row>
    <row r="1062" spans="1:16" ht="16.5" thickBot="1">
      <c r="A1062" s="888" t="s">
        <v>104</v>
      </c>
      <c r="B1062" s="889"/>
      <c r="C1062" s="889"/>
      <c r="D1062" s="889"/>
      <c r="E1062" s="890"/>
      <c r="F1062" s="183">
        <f>SUM(F1060:F1061)</f>
        <v>662825638</v>
      </c>
      <c r="I1062" s="888" t="s">
        <v>104</v>
      </c>
      <c r="J1062" s="889"/>
      <c r="K1062" s="889"/>
      <c r="L1062" s="889"/>
      <c r="M1062" s="890"/>
      <c r="N1062" s="183">
        <f>SUM(N1060:N1061)</f>
        <v>436896178</v>
      </c>
    </row>
    <row r="1063" spans="1:16" ht="11.25" customHeight="1">
      <c r="A1063" s="61"/>
      <c r="B1063" s="61"/>
      <c r="C1063" s="61"/>
      <c r="D1063" s="61"/>
      <c r="E1063" s="61"/>
      <c r="I1063" s="61"/>
      <c r="J1063" s="61"/>
      <c r="K1063" s="61"/>
      <c r="L1063" s="61"/>
      <c r="M1063" s="61"/>
    </row>
    <row r="1064" spans="1:16">
      <c r="A1064" s="51" t="s">
        <v>480</v>
      </c>
      <c r="I1064" s="51" t="s">
        <v>849</v>
      </c>
    </row>
    <row r="1065" spans="1:16" ht="9.75" customHeight="1">
      <c r="F1065" s="139"/>
      <c r="N1065" s="139"/>
    </row>
    <row r="1066" spans="1:16">
      <c r="A1066" s="50" t="s">
        <v>105</v>
      </c>
      <c r="D1066" s="146"/>
      <c r="F1066" s="139"/>
      <c r="I1066" s="50" t="s">
        <v>105</v>
      </c>
      <c r="L1066" s="146"/>
      <c r="N1066" s="139"/>
    </row>
    <row r="1067" spans="1:16" ht="12" customHeight="1" thickBot="1"/>
    <row r="1068" spans="1:16" ht="15.75" thickBot="1">
      <c r="A1068" s="891" t="s">
        <v>106</v>
      </c>
      <c r="B1068" s="892"/>
      <c r="C1068" s="892"/>
      <c r="D1068" s="893"/>
      <c r="F1068" s="50" t="s">
        <v>288</v>
      </c>
      <c r="I1068" s="891" t="s">
        <v>106</v>
      </c>
      <c r="J1068" s="892"/>
      <c r="K1068" s="892"/>
      <c r="L1068" s="893"/>
      <c r="N1068" s="50" t="s">
        <v>288</v>
      </c>
    </row>
    <row r="1069" spans="1:16" ht="30.75" thickBot="1">
      <c r="A1069" s="57" t="s">
        <v>100</v>
      </c>
      <c r="B1069" s="58" t="s">
        <v>108</v>
      </c>
      <c r="C1069" s="59" t="s">
        <v>109</v>
      </c>
      <c r="D1069" s="60" t="s">
        <v>110</v>
      </c>
      <c r="I1069" s="57" t="s">
        <v>100</v>
      </c>
      <c r="J1069" s="58" t="s">
        <v>108</v>
      </c>
      <c r="K1069" s="59" t="s">
        <v>109</v>
      </c>
      <c r="L1069" s="60" t="s">
        <v>110</v>
      </c>
    </row>
    <row r="1070" spans="1:16" ht="13.5" customHeight="1">
      <c r="A1070" s="71">
        <v>719</v>
      </c>
      <c r="B1070" s="73">
        <f>+H1050+H1052+H1054+H1056</f>
        <v>170000</v>
      </c>
      <c r="C1070" s="74" t="e">
        <f>+D1035</f>
        <v>#REF!</v>
      </c>
      <c r="D1070" s="195" t="e">
        <f>+B1070+C1070</f>
        <v>#REF!</v>
      </c>
      <c r="I1070" s="71">
        <v>719</v>
      </c>
      <c r="J1070" s="73"/>
      <c r="K1070" s="74">
        <f>+L1033</f>
        <v>20606700</v>
      </c>
      <c r="L1070" s="195">
        <f>+J1070+K1070</f>
        <v>20606700</v>
      </c>
    </row>
    <row r="1071" spans="1:16" ht="13.5" customHeight="1">
      <c r="A1071" s="72">
        <v>721</v>
      </c>
      <c r="B1071" s="80">
        <f>+H1051</f>
        <v>0</v>
      </c>
      <c r="C1071" s="74" t="e">
        <f>+D1036</f>
        <v>#REF!</v>
      </c>
      <c r="D1071" s="195" t="e">
        <f>+B1071+C1071</f>
        <v>#REF!</v>
      </c>
      <c r="I1071" s="72">
        <v>721</v>
      </c>
      <c r="J1071" s="80">
        <f>+P1051+P1053+P1055+P1057+P1059</f>
        <v>0</v>
      </c>
      <c r="K1071" s="74">
        <f>+L1034</f>
        <v>4599550</v>
      </c>
      <c r="L1071" s="195">
        <f>+J1071+K1071</f>
        <v>4599550</v>
      </c>
    </row>
    <row r="1072" spans="1:16">
      <c r="A1072" s="72">
        <v>722</v>
      </c>
      <c r="B1072" s="80"/>
      <c r="C1072" s="74">
        <f>+D1037</f>
        <v>231207671</v>
      </c>
      <c r="D1072" s="195">
        <f>+B1072+C1072</f>
        <v>231207671</v>
      </c>
      <c r="I1072" s="72">
        <v>722</v>
      </c>
      <c r="J1072" s="80"/>
      <c r="K1072" s="74">
        <f>+L1035</f>
        <v>0</v>
      </c>
      <c r="L1072" s="195">
        <f>+J1072+K1072</f>
        <v>0</v>
      </c>
    </row>
    <row r="1073" spans="1:16" ht="14.25" customHeight="1">
      <c r="A1073" s="72">
        <v>723</v>
      </c>
      <c r="B1073" s="80"/>
      <c r="C1073" s="74">
        <f>+D1038</f>
        <v>323193545</v>
      </c>
      <c r="D1073" s="195">
        <f>+B1073+C1073</f>
        <v>323193545</v>
      </c>
      <c r="F1073" s="174" t="s">
        <v>23</v>
      </c>
      <c r="G1073" s="175"/>
      <c r="I1073" s="72">
        <v>723</v>
      </c>
      <c r="J1073" s="80">
        <f>+P1050+P1052+P1054+P1056+P1058</f>
        <v>26869940</v>
      </c>
      <c r="K1073" s="74">
        <f>+L1036</f>
        <v>384819988</v>
      </c>
      <c r="L1073" s="195">
        <f>+J1073+K1073</f>
        <v>411689928</v>
      </c>
      <c r="N1073" s="918" t="s">
        <v>1481</v>
      </c>
      <c r="O1073" s="918"/>
      <c r="P1073" s="918"/>
    </row>
    <row r="1074" spans="1:16" ht="13.5" customHeight="1" thickBot="1">
      <c r="A1074" s="164" t="s">
        <v>181</v>
      </c>
      <c r="B1074" s="165"/>
      <c r="C1074" s="74" t="e">
        <f>+#REF!</f>
        <v>#REF!</v>
      </c>
      <c r="D1074" s="196" t="e">
        <f>+B1074+C1074</f>
        <v>#REF!</v>
      </c>
      <c r="F1074" s="52"/>
      <c r="I1074" s="164" t="s">
        <v>181</v>
      </c>
      <c r="J1074" s="165"/>
      <c r="K1074" s="74">
        <f>+L1037</f>
        <v>0</v>
      </c>
      <c r="L1074" s="196">
        <f>+J1074+K1074</f>
        <v>0</v>
      </c>
      <c r="N1074" s="52"/>
    </row>
    <row r="1075" spans="1:16" ht="16.5" thickBot="1">
      <c r="A1075" s="169"/>
      <c r="B1075" s="170">
        <f>SUM(B1070:B1074)</f>
        <v>170000</v>
      </c>
      <c r="C1075" s="171" t="e">
        <f>SUM(C1070:C1074)</f>
        <v>#REF!</v>
      </c>
      <c r="D1075" s="172" t="e">
        <f>SUM(D1070:D1074)</f>
        <v>#REF!</v>
      </c>
      <c r="I1075" s="169"/>
      <c r="J1075" s="197">
        <f>SUM(J1070:J1074)</f>
        <v>26869940</v>
      </c>
      <c r="K1075" s="197">
        <f>SUM(K1070:K1074)</f>
        <v>410026238</v>
      </c>
      <c r="L1075" s="198">
        <f>SUM(L1070:L1074)</f>
        <v>436896178</v>
      </c>
    </row>
    <row r="1076" spans="1:16" ht="16.5">
      <c r="A1076" s="49" t="s">
        <v>88</v>
      </c>
      <c r="B1076" s="50"/>
      <c r="I1076" s="49" t="s">
        <v>88</v>
      </c>
      <c r="J1076" s="50"/>
    </row>
    <row r="1077" spans="1:16">
      <c r="A1077" s="51" t="s">
        <v>89</v>
      </c>
      <c r="I1077" s="51" t="s">
        <v>89</v>
      </c>
    </row>
    <row r="1078" spans="1:16">
      <c r="A1078" s="51" t="s">
        <v>90</v>
      </c>
      <c r="I1078" s="51" t="s">
        <v>90</v>
      </c>
    </row>
    <row r="1079" spans="1:16">
      <c r="A1079" s="51" t="s">
        <v>91</v>
      </c>
      <c r="I1079" s="51" t="s">
        <v>91</v>
      </c>
    </row>
    <row r="1080" spans="1:16" ht="12.75" customHeight="1">
      <c r="A1080" s="50"/>
      <c r="B1080" s="50"/>
      <c r="I1080" s="50"/>
      <c r="J1080" s="50"/>
    </row>
    <row r="1081" spans="1:16" ht="16.5">
      <c r="A1081" s="52" t="s">
        <v>473</v>
      </c>
      <c r="G1081" s="52"/>
      <c r="I1081" s="260" t="s">
        <v>841</v>
      </c>
      <c r="O1081" s="52"/>
    </row>
    <row r="1082" spans="1:16" ht="15.75">
      <c r="A1082" s="53" t="s">
        <v>92</v>
      </c>
      <c r="G1082" s="53"/>
      <c r="I1082" s="53" t="s">
        <v>1333</v>
      </c>
      <c r="O1082" s="53"/>
    </row>
    <row r="1083" spans="1:16" ht="16.5">
      <c r="A1083" s="894" t="s">
        <v>462</v>
      </c>
      <c r="B1083" s="894"/>
      <c r="C1083" s="894"/>
      <c r="D1083" s="894"/>
      <c r="E1083" s="894"/>
      <c r="F1083" s="894"/>
      <c r="G1083" s="894"/>
      <c r="H1083" s="894"/>
      <c r="I1083" s="894" t="s">
        <v>261</v>
      </c>
      <c r="J1083" s="894"/>
      <c r="K1083" s="894"/>
      <c r="L1083" s="894"/>
      <c r="M1083" s="894"/>
      <c r="N1083" s="894"/>
      <c r="O1083" s="894"/>
      <c r="P1083" s="894"/>
    </row>
    <row r="1084" spans="1:16" ht="15.75" thickBot="1"/>
    <row r="1085" spans="1:16">
      <c r="A1085" s="895" t="s">
        <v>94</v>
      </c>
      <c r="B1085" s="897" t="s">
        <v>95</v>
      </c>
      <c r="C1085" s="897" t="s">
        <v>96</v>
      </c>
      <c r="D1085" s="897" t="s">
        <v>3</v>
      </c>
      <c r="E1085" s="897" t="s">
        <v>97</v>
      </c>
      <c r="F1085" s="897" t="s">
        <v>98</v>
      </c>
      <c r="G1085" s="897" t="s">
        <v>99</v>
      </c>
      <c r="H1085" s="899"/>
      <c r="I1085" s="895" t="s">
        <v>94</v>
      </c>
      <c r="J1085" s="897" t="s">
        <v>95</v>
      </c>
      <c r="K1085" s="897" t="s">
        <v>96</v>
      </c>
      <c r="L1085" s="897" t="s">
        <v>3</v>
      </c>
      <c r="M1085" s="897" t="s">
        <v>97</v>
      </c>
      <c r="N1085" s="897" t="s">
        <v>98</v>
      </c>
      <c r="O1085" s="897" t="s">
        <v>99</v>
      </c>
      <c r="P1085" s="899"/>
    </row>
    <row r="1086" spans="1:16" ht="15.75" thickBot="1">
      <c r="A1086" s="896"/>
      <c r="B1086" s="898"/>
      <c r="C1086" s="898"/>
      <c r="D1086" s="898"/>
      <c r="E1086" s="898"/>
      <c r="F1086" s="898"/>
      <c r="G1086" s="240" t="s">
        <v>100</v>
      </c>
      <c r="H1086" s="182" t="s">
        <v>101</v>
      </c>
      <c r="I1086" s="896"/>
      <c r="J1086" s="898"/>
      <c r="K1086" s="898"/>
      <c r="L1086" s="898"/>
      <c r="M1086" s="898"/>
      <c r="N1086" s="898"/>
      <c r="O1086" s="240" t="s">
        <v>100</v>
      </c>
      <c r="P1086" s="182" t="s">
        <v>101</v>
      </c>
    </row>
    <row r="1087" spans="1:16" ht="15" customHeight="1">
      <c r="A1087" s="881" t="e">
        <f>+A1052+1</f>
        <v>#REF!</v>
      </c>
      <c r="B1087" s="875">
        <v>42345</v>
      </c>
      <c r="C1087" s="877" t="s">
        <v>267</v>
      </c>
      <c r="D1087" s="881" t="s">
        <v>481</v>
      </c>
      <c r="E1087" s="881" t="s">
        <v>148</v>
      </c>
      <c r="F1087" s="883">
        <v>182000</v>
      </c>
      <c r="G1087" s="55">
        <v>719</v>
      </c>
      <c r="H1087" s="78">
        <v>130000</v>
      </c>
      <c r="I1087" s="873" t="s">
        <v>838</v>
      </c>
      <c r="J1087" s="875">
        <v>43007</v>
      </c>
      <c r="K1087" s="881" t="s">
        <v>1537</v>
      </c>
      <c r="L1087" s="881" t="s">
        <v>1539</v>
      </c>
      <c r="M1087" s="881" t="s">
        <v>148</v>
      </c>
      <c r="N1087" s="883">
        <v>720000</v>
      </c>
      <c r="O1087" s="55">
        <v>723</v>
      </c>
      <c r="P1087" s="78">
        <v>720000</v>
      </c>
    </row>
    <row r="1088" spans="1:16" ht="12" customHeight="1" thickBot="1">
      <c r="A1088" s="882"/>
      <c r="B1088" s="876"/>
      <c r="C1088" s="878"/>
      <c r="D1088" s="882"/>
      <c r="E1088" s="882"/>
      <c r="F1088" s="884"/>
      <c r="G1088" s="56">
        <v>721</v>
      </c>
      <c r="H1088" s="79">
        <f>+F1087-H1087</f>
        <v>52000</v>
      </c>
      <c r="I1088" s="874"/>
      <c r="J1088" s="876"/>
      <c r="K1088" s="882"/>
      <c r="L1088" s="882"/>
      <c r="M1088" s="882"/>
      <c r="N1088" s="884"/>
      <c r="O1088" s="56">
        <v>721</v>
      </c>
      <c r="P1088" s="79">
        <f>+N1087-P1087</f>
        <v>0</v>
      </c>
    </row>
    <row r="1089" spans="1:16" ht="12.75" customHeight="1">
      <c r="A1089" s="881" t="e">
        <f>+A1087+1</f>
        <v>#REF!</v>
      </c>
      <c r="B1089" s="875">
        <v>42345</v>
      </c>
      <c r="C1089" s="881" t="s">
        <v>28</v>
      </c>
      <c r="D1089" s="881" t="s">
        <v>482</v>
      </c>
      <c r="E1089" s="881" t="s">
        <v>148</v>
      </c>
      <c r="F1089" s="883">
        <v>266000</v>
      </c>
      <c r="G1089" s="55">
        <v>719</v>
      </c>
      <c r="H1089" s="78">
        <v>190000</v>
      </c>
      <c r="I1089" s="881">
        <f>+I1087+1</f>
        <v>137</v>
      </c>
      <c r="J1089" s="875">
        <v>43007</v>
      </c>
      <c r="K1089" s="877" t="s">
        <v>1339</v>
      </c>
      <c r="L1089" s="881" t="s">
        <v>1340</v>
      </c>
      <c r="M1089" s="881" t="s">
        <v>148</v>
      </c>
      <c r="N1089" s="883">
        <v>530900</v>
      </c>
      <c r="O1089" s="55">
        <v>719</v>
      </c>
      <c r="P1089" s="78">
        <v>395000</v>
      </c>
    </row>
    <row r="1090" spans="1:16" ht="13.5" customHeight="1" thickBot="1">
      <c r="A1090" s="882"/>
      <c r="B1090" s="876"/>
      <c r="C1090" s="882"/>
      <c r="D1090" s="882"/>
      <c r="E1090" s="882"/>
      <c r="F1090" s="884"/>
      <c r="G1090" s="56">
        <v>721</v>
      </c>
      <c r="H1090" s="79">
        <f>+F1089-H1089</f>
        <v>76000</v>
      </c>
      <c r="I1090" s="882"/>
      <c r="J1090" s="876"/>
      <c r="K1090" s="878"/>
      <c r="L1090" s="882"/>
      <c r="M1090" s="882"/>
      <c r="N1090" s="884"/>
      <c r="O1090" s="56">
        <v>721</v>
      </c>
      <c r="P1090" s="79">
        <f>+N1089-P1089</f>
        <v>135900</v>
      </c>
    </row>
    <row r="1091" spans="1:16" ht="13.5" customHeight="1">
      <c r="A1091" s="881" t="e">
        <f>+A1089+1</f>
        <v>#REF!</v>
      </c>
      <c r="B1091" s="875">
        <v>42345</v>
      </c>
      <c r="C1091" s="877" t="s">
        <v>32</v>
      </c>
      <c r="D1091" s="881" t="s">
        <v>481</v>
      </c>
      <c r="E1091" s="881" t="s">
        <v>148</v>
      </c>
      <c r="F1091" s="883">
        <v>70000</v>
      </c>
      <c r="G1091" s="55">
        <v>719</v>
      </c>
      <c r="H1091" s="78">
        <v>50000</v>
      </c>
      <c r="I1091" s="881">
        <f>+I1089+1</f>
        <v>138</v>
      </c>
      <c r="J1091" s="875">
        <v>43007</v>
      </c>
      <c r="K1091" s="877" t="s">
        <v>1315</v>
      </c>
      <c r="L1091" s="881" t="s">
        <v>1540</v>
      </c>
      <c r="M1091" s="881" t="s">
        <v>148</v>
      </c>
      <c r="N1091" s="883">
        <v>200000</v>
      </c>
      <c r="O1091" s="55">
        <v>723</v>
      </c>
      <c r="P1091" s="78">
        <v>200000</v>
      </c>
    </row>
    <row r="1092" spans="1:16" ht="12.75" customHeight="1" thickBot="1">
      <c r="A1092" s="882"/>
      <c r="B1092" s="876"/>
      <c r="C1092" s="878"/>
      <c r="D1092" s="882"/>
      <c r="E1092" s="882"/>
      <c r="F1092" s="884"/>
      <c r="G1092" s="56">
        <v>721</v>
      </c>
      <c r="H1092" s="79">
        <f>+F1091-H1091</f>
        <v>20000</v>
      </c>
      <c r="I1092" s="882"/>
      <c r="J1092" s="876"/>
      <c r="K1092" s="878"/>
      <c r="L1092" s="882"/>
      <c r="M1092" s="882"/>
      <c r="N1092" s="884"/>
      <c r="O1092" s="56">
        <v>721</v>
      </c>
      <c r="P1092" s="79">
        <f>+N1091-P1091</f>
        <v>0</v>
      </c>
    </row>
    <row r="1093" spans="1:16" ht="15" customHeight="1">
      <c r="A1093" s="881" t="e">
        <f>+A1091+1</f>
        <v>#REF!</v>
      </c>
      <c r="B1093" s="875">
        <v>42345</v>
      </c>
      <c r="C1093" s="877" t="s">
        <v>111</v>
      </c>
      <c r="D1093" s="881" t="s">
        <v>483</v>
      </c>
      <c r="E1093" s="881" t="s">
        <v>148</v>
      </c>
      <c r="F1093" s="883">
        <v>140000</v>
      </c>
      <c r="G1093" s="55">
        <v>719</v>
      </c>
      <c r="H1093" s="78">
        <v>100000</v>
      </c>
      <c r="I1093" s="881">
        <f>+I1091+1</f>
        <v>139</v>
      </c>
      <c r="J1093" s="875">
        <v>43007</v>
      </c>
      <c r="K1093" s="877" t="s">
        <v>1538</v>
      </c>
      <c r="L1093" s="881" t="s">
        <v>1541</v>
      </c>
      <c r="M1093" s="881" t="s">
        <v>148</v>
      </c>
      <c r="N1093" s="883">
        <v>12541900</v>
      </c>
      <c r="O1093" s="55">
        <v>723</v>
      </c>
      <c r="P1093" s="78">
        <v>12541900</v>
      </c>
    </row>
    <row r="1094" spans="1:16" ht="12.75" customHeight="1" thickBot="1">
      <c r="A1094" s="882"/>
      <c r="B1094" s="876"/>
      <c r="C1094" s="878"/>
      <c r="D1094" s="882"/>
      <c r="E1094" s="882"/>
      <c r="F1094" s="884"/>
      <c r="G1094" s="56">
        <v>721</v>
      </c>
      <c r="H1094" s="79">
        <f>+F1093-H1093</f>
        <v>40000</v>
      </c>
      <c r="I1094" s="882"/>
      <c r="J1094" s="876"/>
      <c r="K1094" s="878"/>
      <c r="L1094" s="882"/>
      <c r="M1094" s="882"/>
      <c r="N1094" s="884"/>
      <c r="O1094" s="56">
        <v>721</v>
      </c>
      <c r="P1094" s="79">
        <f>+N1093-P1093</f>
        <v>0</v>
      </c>
    </row>
    <row r="1095" spans="1:16" ht="15" customHeight="1">
      <c r="A1095" s="881" t="e">
        <f>+A1093+1</f>
        <v>#REF!</v>
      </c>
      <c r="B1095" s="875">
        <v>42345</v>
      </c>
      <c r="C1095" s="877" t="s">
        <v>272</v>
      </c>
      <c r="D1095" s="881" t="s">
        <v>481</v>
      </c>
      <c r="E1095" s="881" t="s">
        <v>148</v>
      </c>
      <c r="F1095" s="883">
        <v>700000</v>
      </c>
      <c r="G1095" s="55">
        <v>719</v>
      </c>
      <c r="H1095" s="78">
        <v>500000</v>
      </c>
      <c r="I1095" s="881"/>
      <c r="J1095" s="875"/>
      <c r="K1095" s="877"/>
      <c r="L1095" s="881"/>
      <c r="M1095" s="881"/>
      <c r="N1095" s="883"/>
      <c r="O1095" s="55">
        <v>719</v>
      </c>
      <c r="P1095" s="78"/>
    </row>
    <row r="1096" spans="1:16" ht="15.75" customHeight="1" thickBot="1">
      <c r="A1096" s="882"/>
      <c r="B1096" s="876"/>
      <c r="C1096" s="878"/>
      <c r="D1096" s="882"/>
      <c r="E1096" s="882"/>
      <c r="F1096" s="884"/>
      <c r="G1096" s="56">
        <v>721</v>
      </c>
      <c r="H1096" s="79">
        <f>+F1095-H1095</f>
        <v>200000</v>
      </c>
      <c r="I1096" s="882"/>
      <c r="J1096" s="876"/>
      <c r="K1096" s="878"/>
      <c r="L1096" s="882"/>
      <c r="M1096" s="882"/>
      <c r="N1096" s="884"/>
      <c r="O1096" s="56">
        <v>721</v>
      </c>
      <c r="P1096" s="79">
        <f>+N1095-P1095</f>
        <v>0</v>
      </c>
    </row>
    <row r="1097" spans="1:16" ht="16.5" thickBot="1">
      <c r="A1097" s="901" t="s">
        <v>102</v>
      </c>
      <c r="B1097" s="902"/>
      <c r="C1097" s="902"/>
      <c r="D1097" s="902"/>
      <c r="E1097" s="903"/>
      <c r="F1097" s="81">
        <f>SUM(F1087:F1096)</f>
        <v>1358000</v>
      </c>
      <c r="I1097" s="901" t="s">
        <v>102</v>
      </c>
      <c r="J1097" s="902"/>
      <c r="K1097" s="902"/>
      <c r="L1097" s="902"/>
      <c r="M1097" s="903"/>
      <c r="N1097" s="81">
        <f>SUM(N1087:N1096)</f>
        <v>13992800</v>
      </c>
    </row>
    <row r="1098" spans="1:16" ht="16.5" thickBot="1">
      <c r="A1098" s="885" t="s">
        <v>103</v>
      </c>
      <c r="B1098" s="886"/>
      <c r="C1098" s="886"/>
      <c r="D1098" s="886"/>
      <c r="E1098" s="887"/>
      <c r="F1098" s="69">
        <f>+F1062</f>
        <v>662825638</v>
      </c>
      <c r="I1098" s="885" t="s">
        <v>103</v>
      </c>
      <c r="J1098" s="886"/>
      <c r="K1098" s="886"/>
      <c r="L1098" s="886"/>
      <c r="M1098" s="887"/>
      <c r="N1098" s="69">
        <f>+N1062</f>
        <v>436896178</v>
      </c>
      <c r="O1098" s="241" t="s">
        <v>561</v>
      </c>
      <c r="P1098" s="242"/>
    </row>
    <row r="1099" spans="1:16" ht="16.5" thickBot="1">
      <c r="A1099" s="888" t="s">
        <v>104</v>
      </c>
      <c r="B1099" s="889"/>
      <c r="C1099" s="889"/>
      <c r="D1099" s="889"/>
      <c r="E1099" s="890"/>
      <c r="F1099" s="183">
        <f>SUM(F1097:F1098)</f>
        <v>664183638</v>
      </c>
      <c r="I1099" s="888" t="s">
        <v>104</v>
      </c>
      <c r="J1099" s="889"/>
      <c r="K1099" s="889"/>
      <c r="L1099" s="889"/>
      <c r="M1099" s="890"/>
      <c r="N1099" s="183">
        <f>SUM(N1097:N1098)</f>
        <v>450888978</v>
      </c>
    </row>
    <row r="1100" spans="1:16" ht="12.75" customHeight="1">
      <c r="A1100" s="61"/>
      <c r="B1100" s="61"/>
      <c r="C1100" s="61"/>
      <c r="D1100" s="61"/>
      <c r="E1100" s="61"/>
      <c r="I1100" s="61"/>
      <c r="J1100" s="61"/>
      <c r="K1100" s="61"/>
      <c r="L1100" s="61"/>
      <c r="M1100" s="61"/>
    </row>
    <row r="1101" spans="1:16">
      <c r="A1101" s="51" t="s">
        <v>484</v>
      </c>
      <c r="I1101" s="51" t="s">
        <v>852</v>
      </c>
    </row>
    <row r="1102" spans="1:16" ht="7.5" customHeight="1">
      <c r="F1102" s="139"/>
      <c r="N1102" s="139"/>
    </row>
    <row r="1103" spans="1:16">
      <c r="A1103" s="50" t="s">
        <v>105</v>
      </c>
      <c r="D1103" s="146"/>
      <c r="F1103" s="139"/>
      <c r="I1103" s="50" t="s">
        <v>105</v>
      </c>
      <c r="L1103" s="146"/>
      <c r="N1103" s="139"/>
    </row>
    <row r="1104" spans="1:16" ht="13.5" customHeight="1" thickBot="1"/>
    <row r="1105" spans="1:16" ht="15.75" thickBot="1">
      <c r="A1105" s="891" t="s">
        <v>106</v>
      </c>
      <c r="B1105" s="892"/>
      <c r="C1105" s="892"/>
      <c r="D1105" s="893"/>
      <c r="F1105" s="50" t="s">
        <v>288</v>
      </c>
      <c r="I1105" s="891" t="s">
        <v>106</v>
      </c>
      <c r="J1105" s="892"/>
      <c r="K1105" s="892"/>
      <c r="L1105" s="893"/>
      <c r="N1105" s="925" t="s">
        <v>288</v>
      </c>
      <c r="O1105" s="925"/>
      <c r="P1105" s="925"/>
    </row>
    <row r="1106" spans="1:16" ht="30.75" thickBot="1">
      <c r="A1106" s="57" t="s">
        <v>100</v>
      </c>
      <c r="B1106" s="58" t="s">
        <v>108</v>
      </c>
      <c r="C1106" s="59" t="s">
        <v>109</v>
      </c>
      <c r="D1106" s="60" t="s">
        <v>110</v>
      </c>
      <c r="I1106" s="57" t="s">
        <v>100</v>
      </c>
      <c r="J1106" s="58" t="s">
        <v>108</v>
      </c>
      <c r="K1106" s="59" t="s">
        <v>109</v>
      </c>
      <c r="L1106" s="60" t="s">
        <v>110</v>
      </c>
    </row>
    <row r="1107" spans="1:16">
      <c r="A1107" s="71">
        <v>719</v>
      </c>
      <c r="B1107" s="73">
        <f>+H1087+H1089+H1091+H1093+H1095</f>
        <v>970000</v>
      </c>
      <c r="C1107" s="74" t="e">
        <f>+D1070</f>
        <v>#REF!</v>
      </c>
      <c r="D1107" s="195" t="e">
        <f>+B1107+C1107</f>
        <v>#REF!</v>
      </c>
      <c r="I1107" s="71">
        <v>719</v>
      </c>
      <c r="J1107" s="73">
        <f>+P1089</f>
        <v>395000</v>
      </c>
      <c r="K1107" s="74">
        <f>+L1070</f>
        <v>20606700</v>
      </c>
      <c r="L1107" s="195">
        <f>+J1107+K1107</f>
        <v>21001700</v>
      </c>
    </row>
    <row r="1108" spans="1:16" ht="12.75" customHeight="1">
      <c r="A1108" s="72">
        <v>721</v>
      </c>
      <c r="B1108" s="80">
        <f>+H1096+H1094+H1092+H1090+H1088</f>
        <v>388000</v>
      </c>
      <c r="C1108" s="74" t="e">
        <f>+D1071</f>
        <v>#REF!</v>
      </c>
      <c r="D1108" s="195" t="e">
        <f>+B1108+C1108</f>
        <v>#REF!</v>
      </c>
      <c r="I1108" s="72">
        <v>721</v>
      </c>
      <c r="J1108" s="80">
        <f>+P1088+P1090+P1092+P1094+P1096</f>
        <v>135900</v>
      </c>
      <c r="K1108" s="74">
        <f>+L1071</f>
        <v>4599550</v>
      </c>
      <c r="L1108" s="195">
        <f>+J1108+K1108</f>
        <v>4735450</v>
      </c>
    </row>
    <row r="1109" spans="1:16" ht="13.5" customHeight="1">
      <c r="A1109" s="72">
        <v>722</v>
      </c>
      <c r="B1109" s="80"/>
      <c r="C1109" s="74">
        <f>+D1072</f>
        <v>231207671</v>
      </c>
      <c r="D1109" s="195">
        <f>+B1109+C1109</f>
        <v>231207671</v>
      </c>
      <c r="I1109" s="72">
        <v>722</v>
      </c>
      <c r="J1109" s="80"/>
      <c r="K1109" s="74">
        <f>+L1072</f>
        <v>0</v>
      </c>
      <c r="L1109" s="195">
        <f>+J1109+K1109</f>
        <v>0</v>
      </c>
    </row>
    <row r="1110" spans="1:16" ht="13.5" customHeight="1">
      <c r="A1110" s="72">
        <v>723</v>
      </c>
      <c r="B1110" s="80"/>
      <c r="C1110" s="74">
        <f>+D1073</f>
        <v>323193545</v>
      </c>
      <c r="D1110" s="195">
        <f>+B1110+C1110</f>
        <v>323193545</v>
      </c>
      <c r="F1110" s="174" t="s">
        <v>23</v>
      </c>
      <c r="G1110" s="175"/>
      <c r="I1110" s="72">
        <v>723</v>
      </c>
      <c r="J1110" s="80">
        <f>+P1087+P1091+P1093</f>
        <v>13461900</v>
      </c>
      <c r="K1110" s="74">
        <f>+L1073</f>
        <v>411689928</v>
      </c>
      <c r="L1110" s="195">
        <f>+J1110+K1110</f>
        <v>425151828</v>
      </c>
      <c r="N1110" s="918" t="s">
        <v>1481</v>
      </c>
      <c r="O1110" s="918"/>
      <c r="P1110" s="918"/>
    </row>
    <row r="1111" spans="1:16" ht="14.25" customHeight="1" thickBot="1">
      <c r="A1111" s="164" t="s">
        <v>181</v>
      </c>
      <c r="B1111" s="165"/>
      <c r="C1111" s="74" t="e">
        <f>+D1074</f>
        <v>#REF!</v>
      </c>
      <c r="D1111" s="196" t="e">
        <f>+B1111+C1111</f>
        <v>#REF!</v>
      </c>
      <c r="F1111" s="52"/>
      <c r="I1111" s="164" t="s">
        <v>181</v>
      </c>
      <c r="J1111" s="165"/>
      <c r="K1111" s="74">
        <f>+L1074</f>
        <v>0</v>
      </c>
      <c r="L1111" s="196">
        <f>+J1111+K1111</f>
        <v>0</v>
      </c>
      <c r="N1111" s="52"/>
    </row>
    <row r="1112" spans="1:16" ht="16.5" thickBot="1">
      <c r="A1112" s="169"/>
      <c r="B1112" s="170">
        <f>SUM(B1107:B1111)</f>
        <v>1358000</v>
      </c>
      <c r="C1112" s="171" t="e">
        <f>SUM(C1107:C1111)</f>
        <v>#REF!</v>
      </c>
      <c r="D1112" s="172" t="e">
        <f>SUM(D1107:D1111)</f>
        <v>#REF!</v>
      </c>
      <c r="I1112" s="169"/>
      <c r="J1112" s="197">
        <f>SUM(J1107:J1111)</f>
        <v>13992800</v>
      </c>
      <c r="K1112" s="197">
        <f>SUM(K1107:K1111)</f>
        <v>436896178</v>
      </c>
      <c r="L1112" s="198">
        <f>SUM(L1107:L1111)</f>
        <v>450888978</v>
      </c>
    </row>
    <row r="1113" spans="1:16" ht="16.5">
      <c r="A1113" s="49" t="s">
        <v>88</v>
      </c>
      <c r="B1113" s="50"/>
      <c r="I1113" s="49" t="s">
        <v>88</v>
      </c>
      <c r="J1113" s="50"/>
    </row>
    <row r="1114" spans="1:16">
      <c r="A1114" s="51" t="s">
        <v>89</v>
      </c>
      <c r="I1114" s="51" t="s">
        <v>89</v>
      </c>
    </row>
    <row r="1115" spans="1:16">
      <c r="A1115" s="51" t="s">
        <v>90</v>
      </c>
      <c r="I1115" s="51" t="s">
        <v>90</v>
      </c>
    </row>
    <row r="1116" spans="1:16">
      <c r="A1116" s="51" t="s">
        <v>91</v>
      </c>
      <c r="I1116" s="51" t="s">
        <v>91</v>
      </c>
    </row>
    <row r="1117" spans="1:16" ht="10.5" customHeight="1">
      <c r="A1117" s="50"/>
      <c r="B1117" s="50"/>
      <c r="I1117" s="50"/>
      <c r="J1117" s="50"/>
    </row>
    <row r="1118" spans="1:16" ht="16.5">
      <c r="A1118" s="52" t="s">
        <v>486</v>
      </c>
      <c r="G1118" s="52"/>
      <c r="I1118" s="260" t="s">
        <v>855</v>
      </c>
      <c r="O1118" s="52"/>
    </row>
    <row r="1119" spans="1:16" ht="15.75">
      <c r="A1119" s="53" t="s">
        <v>92</v>
      </c>
      <c r="G1119" s="53"/>
      <c r="I1119" s="53" t="s">
        <v>1333</v>
      </c>
      <c r="O1119" s="53"/>
    </row>
    <row r="1120" spans="1:16" ht="16.5">
      <c r="A1120" s="894" t="s">
        <v>485</v>
      </c>
      <c r="B1120" s="894"/>
      <c r="C1120" s="894"/>
      <c r="D1120" s="894"/>
      <c r="E1120" s="894"/>
      <c r="F1120" s="894"/>
      <c r="G1120" s="894"/>
      <c r="H1120" s="894"/>
      <c r="I1120" s="894" t="s">
        <v>1546</v>
      </c>
      <c r="J1120" s="894"/>
      <c r="K1120" s="894"/>
      <c r="L1120" s="894"/>
      <c r="M1120" s="894"/>
      <c r="N1120" s="894"/>
      <c r="O1120" s="894"/>
      <c r="P1120" s="894"/>
    </row>
    <row r="1121" spans="1:16" ht="15.75" thickBot="1"/>
    <row r="1122" spans="1:16">
      <c r="A1122" s="895" t="s">
        <v>94</v>
      </c>
      <c r="B1122" s="897" t="s">
        <v>95</v>
      </c>
      <c r="C1122" s="897" t="s">
        <v>96</v>
      </c>
      <c r="D1122" s="897" t="s">
        <v>3</v>
      </c>
      <c r="E1122" s="897" t="s">
        <v>97</v>
      </c>
      <c r="F1122" s="897" t="s">
        <v>98</v>
      </c>
      <c r="G1122" s="897" t="s">
        <v>99</v>
      </c>
      <c r="H1122" s="899"/>
      <c r="I1122" s="895" t="s">
        <v>94</v>
      </c>
      <c r="J1122" s="897" t="s">
        <v>95</v>
      </c>
      <c r="K1122" s="897" t="s">
        <v>96</v>
      </c>
      <c r="L1122" s="897" t="s">
        <v>3</v>
      </c>
      <c r="M1122" s="897" t="s">
        <v>97</v>
      </c>
      <c r="N1122" s="897" t="s">
        <v>98</v>
      </c>
      <c r="O1122" s="897" t="s">
        <v>99</v>
      </c>
      <c r="P1122" s="899"/>
    </row>
    <row r="1123" spans="1:16" ht="15.75" thickBot="1">
      <c r="A1123" s="896"/>
      <c r="B1123" s="898"/>
      <c r="C1123" s="898"/>
      <c r="D1123" s="898"/>
      <c r="E1123" s="898"/>
      <c r="F1123" s="898"/>
      <c r="G1123" s="240" t="s">
        <v>100</v>
      </c>
      <c r="H1123" s="182" t="s">
        <v>101</v>
      </c>
      <c r="I1123" s="896"/>
      <c r="J1123" s="898"/>
      <c r="K1123" s="898"/>
      <c r="L1123" s="898"/>
      <c r="M1123" s="898"/>
      <c r="N1123" s="898"/>
      <c r="O1123" s="240" t="s">
        <v>100</v>
      </c>
      <c r="P1123" s="182" t="s">
        <v>101</v>
      </c>
    </row>
    <row r="1124" spans="1:16" ht="13.5" customHeight="1">
      <c r="A1124" s="919">
        <v>1</v>
      </c>
      <c r="B1124" s="875">
        <v>42345</v>
      </c>
      <c r="C1124" s="877" t="s">
        <v>487</v>
      </c>
      <c r="D1124" s="877" t="s">
        <v>251</v>
      </c>
      <c r="E1124" s="881" t="s">
        <v>145</v>
      </c>
      <c r="F1124" s="883">
        <v>-4280256</v>
      </c>
      <c r="G1124" s="55">
        <v>719</v>
      </c>
      <c r="H1124" s="78"/>
      <c r="I1124" s="873" t="s">
        <v>1542</v>
      </c>
      <c r="J1124" s="875">
        <v>43062</v>
      </c>
      <c r="K1124" s="881" t="s">
        <v>1544</v>
      </c>
      <c r="L1124" s="881" t="s">
        <v>1548</v>
      </c>
      <c r="M1124" s="881" t="s">
        <v>115</v>
      </c>
      <c r="N1124" s="883">
        <v>250000</v>
      </c>
      <c r="O1124" s="55">
        <v>719</v>
      </c>
      <c r="P1124" s="78">
        <f>+N1124</f>
        <v>250000</v>
      </c>
    </row>
    <row r="1125" spans="1:16" ht="12.75" customHeight="1" thickBot="1">
      <c r="A1125" s="920"/>
      <c r="B1125" s="876"/>
      <c r="C1125" s="878"/>
      <c r="D1125" s="878"/>
      <c r="E1125" s="882"/>
      <c r="F1125" s="884"/>
      <c r="G1125" s="56">
        <v>721</v>
      </c>
      <c r="H1125" s="79">
        <f>+F1124-H1124</f>
        <v>-4280256</v>
      </c>
      <c r="I1125" s="874"/>
      <c r="J1125" s="876"/>
      <c r="K1125" s="882"/>
      <c r="L1125" s="882"/>
      <c r="M1125" s="882"/>
      <c r="N1125" s="884"/>
      <c r="O1125" s="56">
        <v>721</v>
      </c>
      <c r="P1125" s="79">
        <f>+N1124-P1124</f>
        <v>0</v>
      </c>
    </row>
    <row r="1126" spans="1:16" ht="13.5" customHeight="1">
      <c r="A1126" s="919">
        <v>2</v>
      </c>
      <c r="B1126" s="875">
        <v>42345</v>
      </c>
      <c r="C1126" s="877" t="s">
        <v>249</v>
      </c>
      <c r="D1126" s="877" t="s">
        <v>251</v>
      </c>
      <c r="E1126" s="881" t="s">
        <v>145</v>
      </c>
      <c r="F1126" s="883">
        <v>-2140128</v>
      </c>
      <c r="G1126" s="55">
        <v>719</v>
      </c>
      <c r="H1126" s="78"/>
      <c r="I1126" s="881">
        <f>+I1124+1</f>
        <v>141</v>
      </c>
      <c r="J1126" s="875">
        <v>43062</v>
      </c>
      <c r="K1126" s="881" t="s">
        <v>1544</v>
      </c>
      <c r="L1126" s="879" t="s">
        <v>1549</v>
      </c>
      <c r="M1126" s="881" t="s">
        <v>115</v>
      </c>
      <c r="N1126" s="883">
        <v>100000</v>
      </c>
      <c r="O1126" s="55">
        <v>719</v>
      </c>
      <c r="P1126" s="78">
        <v>100000</v>
      </c>
    </row>
    <row r="1127" spans="1:16" ht="12.75" customHeight="1" thickBot="1">
      <c r="A1127" s="920"/>
      <c r="B1127" s="876"/>
      <c r="C1127" s="878"/>
      <c r="D1127" s="878"/>
      <c r="E1127" s="882"/>
      <c r="F1127" s="884"/>
      <c r="G1127" s="56">
        <v>721</v>
      </c>
      <c r="H1127" s="79">
        <f>+F1126-H1126</f>
        <v>-2140128</v>
      </c>
      <c r="I1127" s="882"/>
      <c r="J1127" s="876"/>
      <c r="K1127" s="882"/>
      <c r="L1127" s="880"/>
      <c r="M1127" s="882"/>
      <c r="N1127" s="884"/>
      <c r="O1127" s="56">
        <v>721</v>
      </c>
      <c r="P1127" s="79">
        <v>0</v>
      </c>
    </row>
    <row r="1128" spans="1:16" ht="13.5" customHeight="1">
      <c r="A1128" s="881"/>
      <c r="B1128" s="875"/>
      <c r="C1128" s="877"/>
      <c r="D1128" s="881"/>
      <c r="E1128" s="881"/>
      <c r="F1128" s="883"/>
      <c r="G1128" s="55">
        <v>719</v>
      </c>
      <c r="H1128" s="78"/>
      <c r="I1128" s="881">
        <f>+I1126+1</f>
        <v>142</v>
      </c>
      <c r="J1128" s="875">
        <v>43062</v>
      </c>
      <c r="K1128" s="877" t="s">
        <v>28</v>
      </c>
      <c r="L1128" s="879" t="s">
        <v>1543</v>
      </c>
      <c r="M1128" s="881" t="s">
        <v>115</v>
      </c>
      <c r="N1128" s="883">
        <v>80000</v>
      </c>
      <c r="O1128" s="55">
        <v>719</v>
      </c>
      <c r="P1128" s="78">
        <v>80000</v>
      </c>
    </row>
    <row r="1129" spans="1:16" ht="13.5" customHeight="1" thickBot="1">
      <c r="A1129" s="882"/>
      <c r="B1129" s="876"/>
      <c r="C1129" s="878"/>
      <c r="D1129" s="882"/>
      <c r="E1129" s="882"/>
      <c r="F1129" s="884"/>
      <c r="G1129" s="56">
        <v>721</v>
      </c>
      <c r="H1129" s="79"/>
      <c r="I1129" s="882"/>
      <c r="J1129" s="876"/>
      <c r="K1129" s="878"/>
      <c r="L1129" s="880"/>
      <c r="M1129" s="882"/>
      <c r="N1129" s="884"/>
      <c r="O1129" s="56">
        <v>721</v>
      </c>
      <c r="P1129" s="79">
        <f>+N1128-P1128</f>
        <v>0</v>
      </c>
    </row>
    <row r="1130" spans="1:16" ht="12.75" customHeight="1">
      <c r="A1130" s="881"/>
      <c r="B1130" s="875"/>
      <c r="C1130" s="877"/>
      <c r="D1130" s="881"/>
      <c r="E1130" s="881"/>
      <c r="F1130" s="883"/>
      <c r="G1130" s="55">
        <v>719</v>
      </c>
      <c r="H1130" s="78"/>
      <c r="I1130" s="881">
        <f>+I1128+1</f>
        <v>143</v>
      </c>
      <c r="J1130" s="875">
        <v>43062</v>
      </c>
      <c r="K1130" s="877" t="s">
        <v>28</v>
      </c>
      <c r="L1130" s="879" t="s">
        <v>1550</v>
      </c>
      <c r="M1130" s="881" t="s">
        <v>115</v>
      </c>
      <c r="N1130" s="883">
        <v>200000</v>
      </c>
      <c r="O1130" s="55">
        <v>719</v>
      </c>
      <c r="P1130" s="78">
        <v>200000</v>
      </c>
    </row>
    <row r="1131" spans="1:16" ht="12.75" customHeight="1" thickBot="1">
      <c r="A1131" s="882"/>
      <c r="B1131" s="876"/>
      <c r="C1131" s="878"/>
      <c r="D1131" s="882"/>
      <c r="E1131" s="882"/>
      <c r="F1131" s="884"/>
      <c r="G1131" s="56">
        <v>721</v>
      </c>
      <c r="H1131" s="79">
        <f>+F1130-H1130</f>
        <v>0</v>
      </c>
      <c r="I1131" s="882"/>
      <c r="J1131" s="876"/>
      <c r="K1131" s="878"/>
      <c r="L1131" s="880"/>
      <c r="M1131" s="882"/>
      <c r="N1131" s="884"/>
      <c r="O1131" s="56">
        <v>721</v>
      </c>
      <c r="P1131" s="79">
        <f>+N1130-P1130</f>
        <v>0</v>
      </c>
    </row>
    <row r="1132" spans="1:16" ht="14.25" customHeight="1">
      <c r="A1132" s="881"/>
      <c r="B1132" s="875"/>
      <c r="C1132" s="877"/>
      <c r="D1132" s="881"/>
      <c r="E1132" s="881"/>
      <c r="F1132" s="883"/>
      <c r="G1132" s="55">
        <v>719</v>
      </c>
      <c r="H1132" s="78"/>
      <c r="I1132" s="881">
        <f>+I1130+1</f>
        <v>144</v>
      </c>
      <c r="J1132" s="875">
        <v>43062</v>
      </c>
      <c r="K1132" s="877" t="s">
        <v>28</v>
      </c>
      <c r="L1132" s="879" t="s">
        <v>1552</v>
      </c>
      <c r="M1132" s="881" t="s">
        <v>115</v>
      </c>
      <c r="N1132" s="883">
        <v>290000</v>
      </c>
      <c r="O1132" s="55">
        <v>719</v>
      </c>
      <c r="P1132" s="78">
        <v>290000</v>
      </c>
    </row>
    <row r="1133" spans="1:16" ht="13.5" customHeight="1" thickBot="1">
      <c r="A1133" s="882"/>
      <c r="B1133" s="876"/>
      <c r="C1133" s="878"/>
      <c r="D1133" s="882"/>
      <c r="E1133" s="882"/>
      <c r="F1133" s="884"/>
      <c r="G1133" s="56">
        <v>721</v>
      </c>
      <c r="H1133" s="79">
        <f>+F1132-H1132</f>
        <v>0</v>
      </c>
      <c r="I1133" s="882"/>
      <c r="J1133" s="876"/>
      <c r="K1133" s="878"/>
      <c r="L1133" s="880"/>
      <c r="M1133" s="882"/>
      <c r="N1133" s="884"/>
      <c r="O1133" s="56">
        <v>721</v>
      </c>
      <c r="P1133" s="79">
        <f>+N1132-P1132</f>
        <v>0</v>
      </c>
    </row>
    <row r="1134" spans="1:16" ht="16.5" thickBot="1">
      <c r="A1134" s="901" t="s">
        <v>102</v>
      </c>
      <c r="B1134" s="902"/>
      <c r="C1134" s="902"/>
      <c r="D1134" s="902"/>
      <c r="E1134" s="903"/>
      <c r="F1134" s="81">
        <f>SUM(F1124:F1133)</f>
        <v>-6420384</v>
      </c>
      <c r="I1134" s="901" t="s">
        <v>102</v>
      </c>
      <c r="J1134" s="902"/>
      <c r="K1134" s="902"/>
      <c r="L1134" s="902"/>
      <c r="M1134" s="903"/>
      <c r="N1134" s="81">
        <f>SUM(N1124:N1133)</f>
        <v>920000</v>
      </c>
    </row>
    <row r="1135" spans="1:16" ht="16.5" thickBot="1">
      <c r="A1135" s="885" t="s">
        <v>103</v>
      </c>
      <c r="B1135" s="886"/>
      <c r="C1135" s="886"/>
      <c r="D1135" s="886"/>
      <c r="E1135" s="887"/>
      <c r="F1135" s="69">
        <f>+F1099</f>
        <v>664183638</v>
      </c>
      <c r="I1135" s="885" t="s">
        <v>103</v>
      </c>
      <c r="J1135" s="886"/>
      <c r="K1135" s="886"/>
      <c r="L1135" s="886"/>
      <c r="M1135" s="887"/>
      <c r="N1135" s="69">
        <f>+N1099</f>
        <v>450888978</v>
      </c>
      <c r="O1135" s="241" t="s">
        <v>561</v>
      </c>
      <c r="P1135" s="242"/>
    </row>
    <row r="1136" spans="1:16" ht="16.5" thickBot="1">
      <c r="A1136" s="888" t="s">
        <v>104</v>
      </c>
      <c r="B1136" s="889"/>
      <c r="C1136" s="889"/>
      <c r="D1136" s="889"/>
      <c r="E1136" s="890"/>
      <c r="F1136" s="183">
        <f>SUM(F1134:F1135)</f>
        <v>657763254</v>
      </c>
      <c r="I1136" s="888" t="s">
        <v>104</v>
      </c>
      <c r="J1136" s="889"/>
      <c r="K1136" s="889"/>
      <c r="L1136" s="889"/>
      <c r="M1136" s="890"/>
      <c r="N1136" s="183">
        <f>SUM(N1134:N1135)</f>
        <v>451808978</v>
      </c>
    </row>
    <row r="1137" spans="1:16" ht="12.75" customHeight="1">
      <c r="A1137" s="61"/>
      <c r="B1137" s="61"/>
      <c r="C1137" s="61"/>
      <c r="D1137" s="61"/>
      <c r="E1137" s="61"/>
      <c r="I1137" s="61"/>
      <c r="J1137" s="61"/>
      <c r="K1137" s="61"/>
      <c r="L1137" s="61"/>
      <c r="M1137" s="61"/>
    </row>
    <row r="1138" spans="1:16">
      <c r="A1138" s="51" t="s">
        <v>488</v>
      </c>
      <c r="I1138" s="51" t="s">
        <v>1551</v>
      </c>
    </row>
    <row r="1139" spans="1:16" ht="12" customHeight="1">
      <c r="F1139" s="139"/>
      <c r="N1139" s="139"/>
    </row>
    <row r="1140" spans="1:16">
      <c r="A1140" s="50" t="s">
        <v>105</v>
      </c>
      <c r="D1140" s="146"/>
      <c r="F1140" s="139"/>
      <c r="I1140" s="50" t="s">
        <v>105</v>
      </c>
      <c r="L1140" s="146"/>
      <c r="N1140" s="139"/>
    </row>
    <row r="1141" spans="1:16" ht="12.75" customHeight="1" thickBot="1"/>
    <row r="1142" spans="1:16" ht="15.75" thickBot="1">
      <c r="A1142" s="891" t="s">
        <v>106</v>
      </c>
      <c r="B1142" s="892"/>
      <c r="C1142" s="892"/>
      <c r="D1142" s="893"/>
      <c r="F1142" s="50" t="s">
        <v>288</v>
      </c>
      <c r="I1142" s="891" t="s">
        <v>106</v>
      </c>
      <c r="J1142" s="892"/>
      <c r="K1142" s="892"/>
      <c r="L1142" s="893"/>
      <c r="N1142" s="925" t="s">
        <v>288</v>
      </c>
      <c r="O1142" s="925"/>
      <c r="P1142" s="925"/>
    </row>
    <row r="1143" spans="1:16" ht="30.75" thickBot="1">
      <c r="A1143" s="57" t="s">
        <v>100</v>
      </c>
      <c r="B1143" s="58" t="s">
        <v>108</v>
      </c>
      <c r="C1143" s="59" t="s">
        <v>109</v>
      </c>
      <c r="D1143" s="60" t="s">
        <v>110</v>
      </c>
      <c r="I1143" s="57" t="s">
        <v>100</v>
      </c>
      <c r="J1143" s="58" t="s">
        <v>108</v>
      </c>
      <c r="K1143" s="59" t="s">
        <v>109</v>
      </c>
      <c r="L1143" s="60" t="s">
        <v>110</v>
      </c>
    </row>
    <row r="1144" spans="1:16">
      <c r="A1144" s="71">
        <v>719</v>
      </c>
      <c r="B1144" s="73">
        <f>+H1124+H1126+H1128+H1130+H1132</f>
        <v>0</v>
      </c>
      <c r="C1144" s="74" t="e">
        <f>+D1107</f>
        <v>#REF!</v>
      </c>
      <c r="D1144" s="195" t="e">
        <f>+B1144+C1144</f>
        <v>#REF!</v>
      </c>
      <c r="I1144" s="71">
        <v>719</v>
      </c>
      <c r="J1144" s="73">
        <f>+P1124+P1126+P1128+P1132+P1130</f>
        <v>920000</v>
      </c>
      <c r="K1144" s="74">
        <f>+L1107</f>
        <v>21001700</v>
      </c>
      <c r="L1144" s="195">
        <f>+J1144+K1144</f>
        <v>21921700</v>
      </c>
    </row>
    <row r="1145" spans="1:16">
      <c r="A1145" s="72">
        <v>721</v>
      </c>
      <c r="B1145" s="80">
        <f>(+H1133+H1131+H1129+H1127+H1125)</f>
        <v>-6420384</v>
      </c>
      <c r="C1145" s="74" t="e">
        <f>+D1108</f>
        <v>#REF!</v>
      </c>
      <c r="D1145" s="195" t="e">
        <f>+B1145+C1145</f>
        <v>#REF!</v>
      </c>
      <c r="I1145" s="72">
        <v>721</v>
      </c>
      <c r="J1145" s="80">
        <f>+P1125+P1127+P1129+P1131+P1133</f>
        <v>0</v>
      </c>
      <c r="K1145" s="74">
        <f>+L1108</f>
        <v>4735450</v>
      </c>
      <c r="L1145" s="195">
        <f>+J1145+K1145</f>
        <v>4735450</v>
      </c>
    </row>
    <row r="1146" spans="1:16" ht="15.75">
      <c r="A1146" s="72">
        <v>722</v>
      </c>
      <c r="B1146" s="80"/>
      <c r="C1146" s="74">
        <f>+D1109</f>
        <v>231207671</v>
      </c>
      <c r="D1146" s="195">
        <f>+B1146+C1146</f>
        <v>231207671</v>
      </c>
      <c r="I1146" s="72">
        <v>722</v>
      </c>
      <c r="J1146" s="80"/>
      <c r="K1146" s="74">
        <f>+L1109</f>
        <v>0</v>
      </c>
      <c r="L1146" s="195">
        <f>+J1146+K1146</f>
        <v>0</v>
      </c>
      <c r="N1146" s="918" t="s">
        <v>1481</v>
      </c>
      <c r="O1146" s="918"/>
      <c r="P1146" s="918"/>
    </row>
    <row r="1147" spans="1:16" ht="14.25" customHeight="1">
      <c r="A1147" s="72">
        <v>723</v>
      </c>
      <c r="B1147" s="80"/>
      <c r="C1147" s="74">
        <f>+D1110</f>
        <v>323193545</v>
      </c>
      <c r="D1147" s="195">
        <f>+B1147+C1147</f>
        <v>323193545</v>
      </c>
      <c r="F1147" s="174" t="s">
        <v>23</v>
      </c>
      <c r="G1147" s="175"/>
      <c r="I1147" s="72">
        <v>723</v>
      </c>
      <c r="J1147" s="80"/>
      <c r="K1147" s="74">
        <f>+L1110</f>
        <v>425151828</v>
      </c>
      <c r="L1147" s="195">
        <f>+J1147+K1147</f>
        <v>425151828</v>
      </c>
      <c r="N1147" s="193"/>
      <c r="O1147" s="175"/>
    </row>
    <row r="1148" spans="1:16" ht="13.5" customHeight="1" thickBot="1">
      <c r="A1148" s="164" t="s">
        <v>181</v>
      </c>
      <c r="B1148" s="165"/>
      <c r="C1148" s="74" t="e">
        <f>+D1111</f>
        <v>#REF!</v>
      </c>
      <c r="D1148" s="196" t="e">
        <f>+B1148+C1148</f>
        <v>#REF!</v>
      </c>
      <c r="F1148" s="52"/>
      <c r="I1148" s="164" t="s">
        <v>181</v>
      </c>
      <c r="J1148" s="165"/>
      <c r="K1148" s="74">
        <f>+L1111</f>
        <v>0</v>
      </c>
      <c r="L1148" s="196">
        <f>+J1148+K1148</f>
        <v>0</v>
      </c>
      <c r="N1148" s="52"/>
    </row>
    <row r="1149" spans="1:16" ht="16.5" thickBot="1">
      <c r="A1149" s="169"/>
      <c r="B1149" s="170">
        <f>SUM(B1144:B1148)</f>
        <v>-6420384</v>
      </c>
      <c r="C1149" s="171" t="e">
        <f>SUM(C1144:C1148)</f>
        <v>#REF!</v>
      </c>
      <c r="D1149" s="172" t="e">
        <f>SUM(D1144:D1148)</f>
        <v>#REF!</v>
      </c>
      <c r="I1149" s="169"/>
      <c r="J1149" s="197">
        <f>SUM(J1144:J1148)</f>
        <v>920000</v>
      </c>
      <c r="K1149" s="197">
        <f>SUM(K1144:K1148)</f>
        <v>450888978</v>
      </c>
      <c r="L1149" s="198">
        <f>SUM(L1144:L1148)</f>
        <v>451808978</v>
      </c>
    </row>
    <row r="1150" spans="1:16" ht="16.5">
      <c r="A1150" s="49" t="s">
        <v>88</v>
      </c>
      <c r="B1150" s="50"/>
      <c r="I1150" s="49" t="s">
        <v>88</v>
      </c>
      <c r="J1150" s="50"/>
    </row>
    <row r="1151" spans="1:16" ht="14.25" customHeight="1">
      <c r="A1151" s="51" t="s">
        <v>89</v>
      </c>
      <c r="I1151" s="51" t="s">
        <v>89</v>
      </c>
    </row>
    <row r="1152" spans="1:16" ht="12.75" customHeight="1">
      <c r="A1152" s="51" t="s">
        <v>90</v>
      </c>
      <c r="I1152" s="51" t="s">
        <v>90</v>
      </c>
    </row>
    <row r="1153" spans="1:16">
      <c r="A1153" s="51" t="s">
        <v>91</v>
      </c>
      <c r="I1153" s="51" t="s">
        <v>91</v>
      </c>
    </row>
    <row r="1154" spans="1:16" ht="11.25" customHeight="1">
      <c r="A1154" s="50"/>
      <c r="B1154" s="50"/>
      <c r="I1154" s="50"/>
      <c r="J1154" s="50"/>
    </row>
    <row r="1155" spans="1:16" ht="16.5">
      <c r="A1155" s="52" t="s">
        <v>489</v>
      </c>
      <c r="G1155" s="52"/>
      <c r="I1155" s="260" t="s">
        <v>185</v>
      </c>
      <c r="O1155" s="52"/>
    </row>
    <row r="1156" spans="1:16" ht="15.75">
      <c r="A1156" s="53" t="s">
        <v>92</v>
      </c>
      <c r="G1156" s="53"/>
      <c r="I1156" s="53" t="s">
        <v>1333</v>
      </c>
      <c r="O1156" s="53"/>
    </row>
    <row r="1157" spans="1:16" ht="16.5">
      <c r="A1157" s="894" t="s">
        <v>462</v>
      </c>
      <c r="B1157" s="894"/>
      <c r="C1157" s="894"/>
      <c r="D1157" s="894"/>
      <c r="E1157" s="894"/>
      <c r="F1157" s="894"/>
      <c r="G1157" s="894"/>
      <c r="H1157" s="894"/>
      <c r="I1157" s="894" t="s">
        <v>1547</v>
      </c>
      <c r="J1157" s="894"/>
      <c r="K1157" s="894"/>
      <c r="L1157" s="894"/>
      <c r="M1157" s="894"/>
      <c r="N1157" s="894"/>
      <c r="O1157" s="894"/>
      <c r="P1157" s="894"/>
    </row>
    <row r="1158" spans="1:16" ht="15.75" thickBot="1"/>
    <row r="1159" spans="1:16">
      <c r="A1159" s="895" t="s">
        <v>94</v>
      </c>
      <c r="B1159" s="897" t="s">
        <v>95</v>
      </c>
      <c r="C1159" s="897" t="s">
        <v>96</v>
      </c>
      <c r="D1159" s="897" t="s">
        <v>3</v>
      </c>
      <c r="E1159" s="897" t="s">
        <v>97</v>
      </c>
      <c r="F1159" s="897" t="s">
        <v>98</v>
      </c>
      <c r="G1159" s="897" t="s">
        <v>99</v>
      </c>
      <c r="H1159" s="899"/>
      <c r="I1159" s="895" t="s">
        <v>94</v>
      </c>
      <c r="J1159" s="897" t="s">
        <v>95</v>
      </c>
      <c r="K1159" s="897" t="s">
        <v>96</v>
      </c>
      <c r="L1159" s="897" t="s">
        <v>3</v>
      </c>
      <c r="M1159" s="897" t="s">
        <v>97</v>
      </c>
      <c r="N1159" s="897" t="s">
        <v>98</v>
      </c>
      <c r="O1159" s="897" t="s">
        <v>99</v>
      </c>
      <c r="P1159" s="899"/>
    </row>
    <row r="1160" spans="1:16" ht="15.75" thickBot="1">
      <c r="A1160" s="896"/>
      <c r="B1160" s="898"/>
      <c r="C1160" s="898"/>
      <c r="D1160" s="898"/>
      <c r="E1160" s="898"/>
      <c r="F1160" s="898"/>
      <c r="G1160" s="240" t="s">
        <v>100</v>
      </c>
      <c r="H1160" s="182" t="s">
        <v>101</v>
      </c>
      <c r="I1160" s="896"/>
      <c r="J1160" s="898"/>
      <c r="K1160" s="898"/>
      <c r="L1160" s="898"/>
      <c r="M1160" s="898"/>
      <c r="N1160" s="898"/>
      <c r="O1160" s="240" t="s">
        <v>100</v>
      </c>
      <c r="P1160" s="182" t="s">
        <v>101</v>
      </c>
    </row>
    <row r="1161" spans="1:16" ht="12" customHeight="1">
      <c r="A1161" s="919" t="e">
        <f>+A1095+1</f>
        <v>#REF!</v>
      </c>
      <c r="B1161" s="875">
        <v>42355</v>
      </c>
      <c r="C1161" s="877" t="s">
        <v>31</v>
      </c>
      <c r="D1161" s="877" t="s">
        <v>490</v>
      </c>
      <c r="E1161" s="881" t="s">
        <v>115</v>
      </c>
      <c r="F1161" s="883">
        <v>50000</v>
      </c>
      <c r="G1161" s="55">
        <v>719</v>
      </c>
      <c r="H1161" s="78">
        <v>50000</v>
      </c>
      <c r="I1161" s="873" t="s">
        <v>856</v>
      </c>
      <c r="J1161" s="875">
        <v>43062</v>
      </c>
      <c r="K1161" s="881" t="s">
        <v>472</v>
      </c>
      <c r="L1161" s="879" t="s">
        <v>1553</v>
      </c>
      <c r="M1161" s="881" t="s">
        <v>148</v>
      </c>
      <c r="N1161" s="883">
        <v>364000</v>
      </c>
      <c r="O1161" s="55">
        <v>719</v>
      </c>
      <c r="P1161" s="78">
        <f>+N1161-P1162</f>
        <v>280000</v>
      </c>
    </row>
    <row r="1162" spans="1:16" ht="14.25" customHeight="1" thickBot="1">
      <c r="A1162" s="920"/>
      <c r="B1162" s="876"/>
      <c r="C1162" s="878"/>
      <c r="D1162" s="878"/>
      <c r="E1162" s="882"/>
      <c r="F1162" s="884"/>
      <c r="G1162" s="56">
        <v>721</v>
      </c>
      <c r="H1162" s="79">
        <f>+F1161-H1161</f>
        <v>0</v>
      </c>
      <c r="I1162" s="874"/>
      <c r="J1162" s="876"/>
      <c r="K1162" s="882"/>
      <c r="L1162" s="880"/>
      <c r="M1162" s="882"/>
      <c r="N1162" s="884"/>
      <c r="O1162" s="56">
        <v>721</v>
      </c>
      <c r="P1162" s="79">
        <v>84000</v>
      </c>
    </row>
    <row r="1163" spans="1:16" ht="11.25" customHeight="1">
      <c r="A1163" s="919" t="e">
        <f>+A1161+1</f>
        <v>#REF!</v>
      </c>
      <c r="B1163" s="875">
        <v>42355</v>
      </c>
      <c r="C1163" s="877" t="s">
        <v>32</v>
      </c>
      <c r="D1163" s="877" t="s">
        <v>491</v>
      </c>
      <c r="E1163" s="881" t="s">
        <v>115</v>
      </c>
      <c r="F1163" s="883">
        <v>20000</v>
      </c>
      <c r="G1163" s="55">
        <v>719</v>
      </c>
      <c r="H1163" s="78">
        <v>20000</v>
      </c>
      <c r="I1163" s="881">
        <f>+I1161+1</f>
        <v>146</v>
      </c>
      <c r="J1163" s="875">
        <v>43062</v>
      </c>
      <c r="K1163" s="877" t="s">
        <v>40</v>
      </c>
      <c r="L1163" s="881" t="s">
        <v>1439</v>
      </c>
      <c r="M1163" s="881" t="s">
        <v>148</v>
      </c>
      <c r="N1163" s="883">
        <v>-7821240</v>
      </c>
      <c r="O1163" s="55">
        <v>719</v>
      </c>
      <c r="P1163" s="78"/>
    </row>
    <row r="1164" spans="1:16" ht="15.75" customHeight="1" thickBot="1">
      <c r="A1164" s="920"/>
      <c r="B1164" s="876"/>
      <c r="C1164" s="878"/>
      <c r="D1164" s="878"/>
      <c r="E1164" s="882"/>
      <c r="F1164" s="884"/>
      <c r="G1164" s="56">
        <v>721</v>
      </c>
      <c r="H1164" s="79">
        <f>+F1163-H1163</f>
        <v>0</v>
      </c>
      <c r="I1164" s="882"/>
      <c r="J1164" s="876"/>
      <c r="K1164" s="878"/>
      <c r="L1164" s="882"/>
      <c r="M1164" s="882"/>
      <c r="N1164" s="884"/>
      <c r="O1164" s="56">
        <v>723</v>
      </c>
      <c r="P1164" s="79">
        <f>+N1163-P1163</f>
        <v>-7821240</v>
      </c>
    </row>
    <row r="1165" spans="1:16" ht="12.75" customHeight="1">
      <c r="A1165" s="919"/>
      <c r="B1165" s="875"/>
      <c r="C1165" s="877"/>
      <c r="D1165" s="881"/>
      <c r="E1165" s="881"/>
      <c r="F1165" s="883"/>
      <c r="G1165" s="55">
        <v>719</v>
      </c>
      <c r="H1165" s="78"/>
      <c r="I1165" s="881">
        <f>+I1163+1</f>
        <v>147</v>
      </c>
      <c r="J1165" s="875">
        <v>43062</v>
      </c>
      <c r="K1165" s="881" t="s">
        <v>472</v>
      </c>
      <c r="L1165" s="879" t="s">
        <v>1554</v>
      </c>
      <c r="M1165" s="881" t="s">
        <v>148</v>
      </c>
      <c r="N1165" s="883">
        <v>299000</v>
      </c>
      <c r="O1165" s="55">
        <v>719</v>
      </c>
      <c r="P1165" s="78">
        <f>+N1165-P1166</f>
        <v>230000</v>
      </c>
    </row>
    <row r="1166" spans="1:16" ht="13.5" customHeight="1" thickBot="1">
      <c r="A1166" s="920"/>
      <c r="B1166" s="876"/>
      <c r="C1166" s="878"/>
      <c r="D1166" s="882"/>
      <c r="E1166" s="882"/>
      <c r="F1166" s="884"/>
      <c r="G1166" s="56">
        <v>721</v>
      </c>
      <c r="H1166" s="79"/>
      <c r="I1166" s="882"/>
      <c r="J1166" s="876"/>
      <c r="K1166" s="882"/>
      <c r="L1166" s="880"/>
      <c r="M1166" s="882"/>
      <c r="N1166" s="884"/>
      <c r="O1166" s="56">
        <v>721</v>
      </c>
      <c r="P1166" s="79">
        <v>69000</v>
      </c>
    </row>
    <row r="1167" spans="1:16" ht="12" customHeight="1">
      <c r="A1167" s="881"/>
      <c r="B1167" s="875"/>
      <c r="C1167" s="877"/>
      <c r="D1167" s="881"/>
      <c r="E1167" s="881"/>
      <c r="F1167" s="883"/>
      <c r="G1167" s="55">
        <v>719</v>
      </c>
      <c r="H1167" s="78"/>
      <c r="I1167" s="881">
        <f>+I1165+1</f>
        <v>148</v>
      </c>
      <c r="J1167" s="875">
        <v>43062</v>
      </c>
      <c r="K1167" s="881" t="s">
        <v>472</v>
      </c>
      <c r="L1167" s="879" t="s">
        <v>1555</v>
      </c>
      <c r="M1167" s="881" t="s">
        <v>148</v>
      </c>
      <c r="N1167" s="883">
        <v>559000</v>
      </c>
      <c r="O1167" s="55">
        <v>719</v>
      </c>
      <c r="P1167" s="78">
        <f>+N1167-P1168</f>
        <v>430000</v>
      </c>
    </row>
    <row r="1168" spans="1:16" ht="12.75" customHeight="1" thickBot="1">
      <c r="A1168" s="882"/>
      <c r="B1168" s="876"/>
      <c r="C1168" s="878"/>
      <c r="D1168" s="882"/>
      <c r="E1168" s="882"/>
      <c r="F1168" s="884"/>
      <c r="G1168" s="56">
        <v>721</v>
      </c>
      <c r="H1168" s="79">
        <f>+F1167-H1167</f>
        <v>0</v>
      </c>
      <c r="I1168" s="882"/>
      <c r="J1168" s="876"/>
      <c r="K1168" s="882"/>
      <c r="L1168" s="880"/>
      <c r="M1168" s="882"/>
      <c r="N1168" s="884"/>
      <c r="O1168" s="56">
        <v>721</v>
      </c>
      <c r="P1168" s="79">
        <v>129000</v>
      </c>
    </row>
    <row r="1169" spans="1:16" ht="12.75" customHeight="1">
      <c r="A1169" s="881"/>
      <c r="B1169" s="875"/>
      <c r="C1169" s="877"/>
      <c r="D1169" s="881"/>
      <c r="E1169" s="881"/>
      <c r="F1169" s="883"/>
      <c r="G1169" s="55">
        <v>719</v>
      </c>
      <c r="H1169" s="78"/>
      <c r="I1169" s="881">
        <f>+I1167+1</f>
        <v>149</v>
      </c>
      <c r="J1169" s="875">
        <v>43062</v>
      </c>
      <c r="K1169" s="881" t="s">
        <v>472</v>
      </c>
      <c r="L1169" s="879" t="s">
        <v>1556</v>
      </c>
      <c r="M1169" s="881" t="s">
        <v>148</v>
      </c>
      <c r="N1169" s="883">
        <v>637000</v>
      </c>
      <c r="O1169" s="55">
        <v>719</v>
      </c>
      <c r="P1169" s="78">
        <f>+N1169-P1170</f>
        <v>490000</v>
      </c>
    </row>
    <row r="1170" spans="1:16" ht="13.5" customHeight="1" thickBot="1">
      <c r="A1170" s="882"/>
      <c r="B1170" s="876"/>
      <c r="C1170" s="878"/>
      <c r="D1170" s="882"/>
      <c r="E1170" s="882"/>
      <c r="F1170" s="884"/>
      <c r="G1170" s="56">
        <v>721</v>
      </c>
      <c r="H1170" s="79">
        <f>+F1169-H1169</f>
        <v>0</v>
      </c>
      <c r="I1170" s="882"/>
      <c r="J1170" s="876"/>
      <c r="K1170" s="882"/>
      <c r="L1170" s="880"/>
      <c r="M1170" s="882"/>
      <c r="N1170" s="884"/>
      <c r="O1170" s="56">
        <v>721</v>
      </c>
      <c r="P1170" s="79">
        <v>147000</v>
      </c>
    </row>
    <row r="1171" spans="1:16" ht="16.5" thickBot="1">
      <c r="A1171" s="901" t="s">
        <v>102</v>
      </c>
      <c r="B1171" s="902"/>
      <c r="C1171" s="902"/>
      <c r="D1171" s="902"/>
      <c r="E1171" s="903"/>
      <c r="F1171" s="81">
        <f>SUM(F1161:F1170)</f>
        <v>70000</v>
      </c>
      <c r="I1171" s="901" t="s">
        <v>102</v>
      </c>
      <c r="J1171" s="902"/>
      <c r="K1171" s="902"/>
      <c r="L1171" s="902"/>
      <c r="M1171" s="903"/>
      <c r="N1171" s="81">
        <f>SUM(N1161:N1170)</f>
        <v>-5962240</v>
      </c>
    </row>
    <row r="1172" spans="1:16" ht="16.5" thickBot="1">
      <c r="A1172" s="885" t="s">
        <v>103</v>
      </c>
      <c r="B1172" s="886"/>
      <c r="C1172" s="886"/>
      <c r="D1172" s="886"/>
      <c r="E1172" s="887"/>
      <c r="F1172" s="69">
        <f>+F1136</f>
        <v>657763254</v>
      </c>
      <c r="I1172" s="885" t="s">
        <v>103</v>
      </c>
      <c r="J1172" s="886"/>
      <c r="K1172" s="886"/>
      <c r="L1172" s="886"/>
      <c r="M1172" s="887"/>
      <c r="N1172" s="69">
        <f>+N1136</f>
        <v>451808978</v>
      </c>
      <c r="O1172" s="241" t="s">
        <v>561</v>
      </c>
      <c r="P1172" s="242"/>
    </row>
    <row r="1173" spans="1:16" ht="16.5" thickBot="1">
      <c r="A1173" s="888" t="s">
        <v>104</v>
      </c>
      <c r="B1173" s="889"/>
      <c r="C1173" s="889"/>
      <c r="D1173" s="889"/>
      <c r="E1173" s="890"/>
      <c r="F1173" s="183">
        <f>SUM(F1171:F1172)</f>
        <v>657833254</v>
      </c>
      <c r="I1173" s="888" t="s">
        <v>104</v>
      </c>
      <c r="J1173" s="889"/>
      <c r="K1173" s="889"/>
      <c r="L1173" s="889"/>
      <c r="M1173" s="890"/>
      <c r="N1173" s="183">
        <f>SUM(N1171:N1172)</f>
        <v>445846738</v>
      </c>
    </row>
    <row r="1174" spans="1:16" ht="13.5" customHeight="1">
      <c r="A1174" s="61"/>
      <c r="B1174" s="61"/>
      <c r="C1174" s="61"/>
      <c r="D1174" s="61"/>
      <c r="E1174" s="61"/>
      <c r="I1174" s="61"/>
      <c r="J1174" s="61"/>
      <c r="K1174" s="61"/>
      <c r="L1174" s="61"/>
      <c r="M1174" s="61"/>
    </row>
    <row r="1175" spans="1:16">
      <c r="A1175" s="51" t="s">
        <v>492</v>
      </c>
      <c r="I1175" s="51" t="s">
        <v>1557</v>
      </c>
    </row>
    <row r="1176" spans="1:16" ht="11.25" customHeight="1">
      <c r="F1176" s="139"/>
      <c r="N1176" s="139"/>
    </row>
    <row r="1177" spans="1:16">
      <c r="A1177" s="50" t="s">
        <v>105</v>
      </c>
      <c r="D1177" s="146"/>
      <c r="F1177" s="139"/>
      <c r="I1177" s="50" t="s">
        <v>105</v>
      </c>
      <c r="L1177" s="146"/>
      <c r="N1177" s="139"/>
    </row>
    <row r="1178" spans="1:16" ht="13.5" customHeight="1" thickBot="1"/>
    <row r="1179" spans="1:16" ht="15.75" thickBot="1">
      <c r="A1179" s="891" t="s">
        <v>106</v>
      </c>
      <c r="B1179" s="892"/>
      <c r="C1179" s="892"/>
      <c r="D1179" s="893"/>
      <c r="F1179" s="50" t="s">
        <v>288</v>
      </c>
      <c r="I1179" s="891" t="s">
        <v>106</v>
      </c>
      <c r="J1179" s="892"/>
      <c r="K1179" s="892"/>
      <c r="L1179" s="893"/>
      <c r="N1179" s="925" t="s">
        <v>288</v>
      </c>
      <c r="O1179" s="925"/>
      <c r="P1179" s="925"/>
    </row>
    <row r="1180" spans="1:16" ht="30.75" thickBot="1">
      <c r="A1180" s="57" t="s">
        <v>100</v>
      </c>
      <c r="B1180" s="58" t="s">
        <v>108</v>
      </c>
      <c r="C1180" s="59" t="s">
        <v>109</v>
      </c>
      <c r="D1180" s="60" t="s">
        <v>110</v>
      </c>
      <c r="I1180" s="57" t="s">
        <v>100</v>
      </c>
      <c r="J1180" s="58" t="s">
        <v>108</v>
      </c>
      <c r="K1180" s="59" t="s">
        <v>109</v>
      </c>
      <c r="L1180" s="60" t="s">
        <v>110</v>
      </c>
    </row>
    <row r="1181" spans="1:16" ht="13.5" customHeight="1">
      <c r="A1181" s="71">
        <v>719</v>
      </c>
      <c r="B1181" s="73">
        <f>+H1161+H1163+H1165+H1167+H1169</f>
        <v>70000</v>
      </c>
      <c r="C1181" s="74" t="e">
        <f>+D1144</f>
        <v>#REF!</v>
      </c>
      <c r="D1181" s="195" t="e">
        <f>+B1181+C1181</f>
        <v>#REF!</v>
      </c>
      <c r="I1181" s="71">
        <v>719</v>
      </c>
      <c r="J1181" s="73">
        <f>+P1161+P1163+P1165+P1167+P1169</f>
        <v>1430000</v>
      </c>
      <c r="K1181" s="74">
        <f>+L1144</f>
        <v>21921700</v>
      </c>
      <c r="L1181" s="195">
        <f>+J1181+K1181</f>
        <v>23351700</v>
      </c>
    </row>
    <row r="1182" spans="1:16">
      <c r="A1182" s="72">
        <v>721</v>
      </c>
      <c r="B1182" s="80">
        <f>(+H1170+H1168+H1166+H1164+H1162)</f>
        <v>0</v>
      </c>
      <c r="C1182" s="74" t="e">
        <f>+D1145</f>
        <v>#REF!</v>
      </c>
      <c r="D1182" s="195" t="e">
        <f>+B1182+C1182</f>
        <v>#REF!</v>
      </c>
      <c r="I1182" s="72">
        <v>721</v>
      </c>
      <c r="J1182" s="80">
        <f>+P1162+P1166+P1168+P1170</f>
        <v>429000</v>
      </c>
      <c r="K1182" s="74">
        <f>+L1145</f>
        <v>4735450</v>
      </c>
      <c r="L1182" s="195">
        <f>+J1182+K1182</f>
        <v>5164450</v>
      </c>
    </row>
    <row r="1183" spans="1:16" ht="13.5" customHeight="1">
      <c r="A1183" s="72">
        <v>722</v>
      </c>
      <c r="B1183" s="80"/>
      <c r="C1183" s="74">
        <f>+D1146</f>
        <v>231207671</v>
      </c>
      <c r="D1183" s="195">
        <f>+B1183+C1183</f>
        <v>231207671</v>
      </c>
      <c r="I1183" s="72">
        <v>722</v>
      </c>
      <c r="J1183" s="80"/>
      <c r="K1183" s="74">
        <f>+L1146</f>
        <v>0</v>
      </c>
      <c r="L1183" s="195">
        <f>+J1183+K1183</f>
        <v>0</v>
      </c>
      <c r="N1183" s="918" t="s">
        <v>1481</v>
      </c>
      <c r="O1183" s="918"/>
      <c r="P1183" s="918"/>
    </row>
    <row r="1184" spans="1:16" ht="15.75">
      <c r="A1184" s="72">
        <v>723</v>
      </c>
      <c r="B1184" s="80"/>
      <c r="C1184" s="74">
        <f>+D1147</f>
        <v>323193545</v>
      </c>
      <c r="D1184" s="195">
        <f>+B1184+C1184</f>
        <v>323193545</v>
      </c>
      <c r="F1184" s="174" t="s">
        <v>23</v>
      </c>
      <c r="G1184" s="175"/>
      <c r="I1184" s="72">
        <v>723</v>
      </c>
      <c r="J1184" s="80">
        <f>+P1164</f>
        <v>-7821240</v>
      </c>
      <c r="K1184" s="74">
        <f>+L1147</f>
        <v>425151828</v>
      </c>
      <c r="L1184" s="195">
        <f>+J1184+K1184</f>
        <v>417330588</v>
      </c>
      <c r="N1184" s="193"/>
      <c r="O1184" s="175"/>
    </row>
    <row r="1185" spans="1:16" ht="14.25" customHeight="1" thickBot="1">
      <c r="A1185" s="164" t="s">
        <v>181</v>
      </c>
      <c r="B1185" s="165"/>
      <c r="C1185" s="74" t="e">
        <f>+D1148</f>
        <v>#REF!</v>
      </c>
      <c r="D1185" s="196" t="e">
        <f>+B1185+C1185</f>
        <v>#REF!</v>
      </c>
      <c r="F1185" s="52"/>
      <c r="I1185" s="164" t="s">
        <v>181</v>
      </c>
      <c r="J1185" s="165"/>
      <c r="K1185" s="74">
        <f>+L1148</f>
        <v>0</v>
      </c>
      <c r="L1185" s="196">
        <f>+J1185+K1185</f>
        <v>0</v>
      </c>
      <c r="N1185" s="52"/>
    </row>
    <row r="1186" spans="1:16" ht="16.5" thickBot="1">
      <c r="A1186" s="169"/>
      <c r="B1186" s="170">
        <f>SUM(B1181:B1185)</f>
        <v>70000</v>
      </c>
      <c r="C1186" s="171" t="e">
        <f>SUM(C1181:C1185)</f>
        <v>#REF!</v>
      </c>
      <c r="D1186" s="172" t="e">
        <f>SUM(D1181:D1185)</f>
        <v>#REF!</v>
      </c>
      <c r="I1186" s="169"/>
      <c r="J1186" s="197">
        <f>SUM(J1181:J1185)</f>
        <v>-5962240</v>
      </c>
      <c r="K1186" s="197">
        <f>SUM(K1181:K1185)</f>
        <v>451808978</v>
      </c>
      <c r="L1186" s="198">
        <f>SUM(L1181:L1185)</f>
        <v>445846738</v>
      </c>
    </row>
    <row r="1187" spans="1:16" ht="16.5">
      <c r="A1187" s="49" t="s">
        <v>88</v>
      </c>
      <c r="B1187" s="50"/>
      <c r="I1187" s="49" t="s">
        <v>88</v>
      </c>
      <c r="J1187" s="50"/>
    </row>
    <row r="1188" spans="1:16">
      <c r="A1188" s="51" t="s">
        <v>89</v>
      </c>
      <c r="I1188" s="51" t="s">
        <v>89</v>
      </c>
    </row>
    <row r="1189" spans="1:16">
      <c r="A1189" s="51" t="s">
        <v>90</v>
      </c>
      <c r="I1189" s="51" t="s">
        <v>90</v>
      </c>
    </row>
    <row r="1190" spans="1:16" ht="14.25" customHeight="1">
      <c r="A1190" s="51" t="s">
        <v>91</v>
      </c>
      <c r="I1190" s="51" t="s">
        <v>91</v>
      </c>
    </row>
    <row r="1191" spans="1:16" ht="10.5" customHeight="1">
      <c r="A1191" s="50"/>
      <c r="B1191" s="50"/>
      <c r="I1191" s="50"/>
      <c r="J1191" s="50"/>
    </row>
    <row r="1192" spans="1:16" ht="16.5">
      <c r="A1192" s="52" t="s">
        <v>493</v>
      </c>
      <c r="G1192" s="52"/>
      <c r="I1192" s="260" t="s">
        <v>870</v>
      </c>
      <c r="O1192" s="52"/>
    </row>
    <row r="1193" spans="1:16" ht="15.75">
      <c r="A1193" s="53" t="s">
        <v>92</v>
      </c>
      <c r="G1193" s="53"/>
      <c r="I1193" s="53" t="s">
        <v>1333</v>
      </c>
      <c r="O1193" s="53"/>
    </row>
    <row r="1194" spans="1:16" ht="16.5">
      <c r="A1194" s="894" t="s">
        <v>261</v>
      </c>
      <c r="B1194" s="894"/>
      <c r="C1194" s="894"/>
      <c r="D1194" s="894"/>
      <c r="E1194" s="894"/>
      <c r="F1194" s="894"/>
      <c r="G1194" s="894"/>
      <c r="H1194" s="894"/>
      <c r="I1194" s="894" t="s">
        <v>261</v>
      </c>
      <c r="J1194" s="894"/>
      <c r="K1194" s="894"/>
      <c r="L1194" s="894"/>
      <c r="M1194" s="894"/>
      <c r="N1194" s="894"/>
      <c r="O1194" s="894"/>
      <c r="P1194" s="894"/>
    </row>
    <row r="1195" spans="1:16" ht="15.75" thickBot="1"/>
    <row r="1196" spans="1:16">
      <c r="A1196" s="895" t="s">
        <v>94</v>
      </c>
      <c r="B1196" s="897" t="s">
        <v>95</v>
      </c>
      <c r="C1196" s="897" t="s">
        <v>96</v>
      </c>
      <c r="D1196" s="897" t="s">
        <v>3</v>
      </c>
      <c r="E1196" s="897" t="s">
        <v>97</v>
      </c>
      <c r="F1196" s="897" t="s">
        <v>98</v>
      </c>
      <c r="G1196" s="897" t="s">
        <v>99</v>
      </c>
      <c r="H1196" s="899"/>
      <c r="I1196" s="895" t="s">
        <v>94</v>
      </c>
      <c r="J1196" s="897" t="s">
        <v>95</v>
      </c>
      <c r="K1196" s="897" t="s">
        <v>96</v>
      </c>
      <c r="L1196" s="897" t="s">
        <v>3</v>
      </c>
      <c r="M1196" s="897" t="s">
        <v>97</v>
      </c>
      <c r="N1196" s="897" t="s">
        <v>98</v>
      </c>
      <c r="O1196" s="897" t="s">
        <v>99</v>
      </c>
      <c r="P1196" s="899"/>
    </row>
    <row r="1197" spans="1:16" ht="15.75" thickBot="1">
      <c r="A1197" s="896"/>
      <c r="B1197" s="898"/>
      <c r="C1197" s="898"/>
      <c r="D1197" s="898"/>
      <c r="E1197" s="898"/>
      <c r="F1197" s="898"/>
      <c r="G1197" s="240" t="s">
        <v>100</v>
      </c>
      <c r="H1197" s="182" t="s">
        <v>101</v>
      </c>
      <c r="I1197" s="896"/>
      <c r="J1197" s="898"/>
      <c r="K1197" s="898"/>
      <c r="L1197" s="898"/>
      <c r="M1197" s="898"/>
      <c r="N1197" s="898"/>
      <c r="O1197" s="240" t="s">
        <v>100</v>
      </c>
      <c r="P1197" s="182" t="s">
        <v>101</v>
      </c>
    </row>
    <row r="1198" spans="1:16" ht="12.75" customHeight="1">
      <c r="A1198" s="919" t="e">
        <f>+A1163+1</f>
        <v>#REF!</v>
      </c>
      <c r="B1198" s="875">
        <v>42360</v>
      </c>
      <c r="C1198" s="877" t="s">
        <v>31</v>
      </c>
      <c r="D1198" s="877" t="s">
        <v>494</v>
      </c>
      <c r="E1198" s="881" t="s">
        <v>115</v>
      </c>
      <c r="F1198" s="883">
        <v>70000</v>
      </c>
      <c r="G1198" s="55">
        <v>719</v>
      </c>
      <c r="H1198" s="78">
        <v>70000</v>
      </c>
      <c r="I1198" s="873" t="s">
        <v>863</v>
      </c>
      <c r="J1198" s="875">
        <v>43062</v>
      </c>
      <c r="K1198" s="881" t="s">
        <v>28</v>
      </c>
      <c r="L1198" s="881" t="s">
        <v>1558</v>
      </c>
      <c r="M1198" s="881" t="s">
        <v>148</v>
      </c>
      <c r="N1198" s="883">
        <v>741000</v>
      </c>
      <c r="O1198" s="55">
        <v>719</v>
      </c>
      <c r="P1198" s="78">
        <f>+N1198-P1199</f>
        <v>570000</v>
      </c>
    </row>
    <row r="1199" spans="1:16" ht="12.75" customHeight="1" thickBot="1">
      <c r="A1199" s="920"/>
      <c r="B1199" s="876"/>
      <c r="C1199" s="878"/>
      <c r="D1199" s="878"/>
      <c r="E1199" s="882"/>
      <c r="F1199" s="884"/>
      <c r="G1199" s="56">
        <v>721</v>
      </c>
      <c r="H1199" s="79">
        <f>+F1198-H1198</f>
        <v>0</v>
      </c>
      <c r="I1199" s="874"/>
      <c r="J1199" s="876"/>
      <c r="K1199" s="882"/>
      <c r="L1199" s="882"/>
      <c r="M1199" s="882"/>
      <c r="N1199" s="884"/>
      <c r="O1199" s="56">
        <v>721</v>
      </c>
      <c r="P1199" s="79">
        <v>171000</v>
      </c>
    </row>
    <row r="1200" spans="1:16" ht="12" customHeight="1">
      <c r="A1200" s="919" t="e">
        <f>+A1198+1</f>
        <v>#REF!</v>
      </c>
      <c r="B1200" s="875">
        <v>42360</v>
      </c>
      <c r="C1200" s="877" t="s">
        <v>472</v>
      </c>
      <c r="D1200" s="877" t="s">
        <v>495</v>
      </c>
      <c r="E1200" s="881" t="s">
        <v>115</v>
      </c>
      <c r="F1200" s="883">
        <v>60000</v>
      </c>
      <c r="G1200" s="55">
        <v>719</v>
      </c>
      <c r="H1200" s="78">
        <v>60000</v>
      </c>
      <c r="I1200" s="873">
        <f>+I1198+1</f>
        <v>151</v>
      </c>
      <c r="J1200" s="875">
        <v>43062</v>
      </c>
      <c r="K1200" s="881" t="s">
        <v>28</v>
      </c>
      <c r="L1200" s="881" t="s">
        <v>1559</v>
      </c>
      <c r="M1200" s="881" t="s">
        <v>148</v>
      </c>
      <c r="N1200" s="883">
        <v>299000</v>
      </c>
      <c r="O1200" s="55">
        <v>719</v>
      </c>
      <c r="P1200" s="78">
        <f>+N1200-P1201</f>
        <v>230000</v>
      </c>
    </row>
    <row r="1201" spans="1:16" ht="12" customHeight="1" thickBot="1">
      <c r="A1201" s="920"/>
      <c r="B1201" s="876"/>
      <c r="C1201" s="878"/>
      <c r="D1201" s="878"/>
      <c r="E1201" s="882"/>
      <c r="F1201" s="884"/>
      <c r="G1201" s="56">
        <v>721</v>
      </c>
      <c r="H1201" s="79">
        <f>+F1200-H1200</f>
        <v>0</v>
      </c>
      <c r="I1201" s="882"/>
      <c r="J1201" s="876"/>
      <c r="K1201" s="882"/>
      <c r="L1201" s="882"/>
      <c r="M1201" s="882"/>
      <c r="N1201" s="884"/>
      <c r="O1201" s="56">
        <v>721</v>
      </c>
      <c r="P1201" s="79">
        <v>69000</v>
      </c>
    </row>
    <row r="1202" spans="1:16" ht="12" customHeight="1">
      <c r="A1202" s="919" t="e">
        <f>+A1200+1</f>
        <v>#REF!</v>
      </c>
      <c r="B1202" s="875">
        <v>42360</v>
      </c>
      <c r="C1202" s="877" t="s">
        <v>32</v>
      </c>
      <c r="D1202" s="877" t="s">
        <v>496</v>
      </c>
      <c r="E1202" s="881" t="s">
        <v>115</v>
      </c>
      <c r="F1202" s="883">
        <v>50000</v>
      </c>
      <c r="G1202" s="55">
        <v>719</v>
      </c>
      <c r="H1202" s="78">
        <v>50000</v>
      </c>
      <c r="I1202" s="873">
        <f>+I1200+1</f>
        <v>152</v>
      </c>
      <c r="J1202" s="875">
        <v>43062</v>
      </c>
      <c r="K1202" s="881" t="s">
        <v>120</v>
      </c>
      <c r="L1202" s="881" t="s">
        <v>1560</v>
      </c>
      <c r="M1202" s="881" t="s">
        <v>115</v>
      </c>
      <c r="N1202" s="883">
        <v>320000</v>
      </c>
      <c r="O1202" s="55">
        <v>719</v>
      </c>
      <c r="P1202" s="78">
        <v>320000</v>
      </c>
    </row>
    <row r="1203" spans="1:16" ht="10.5" customHeight="1" thickBot="1">
      <c r="A1203" s="920"/>
      <c r="B1203" s="876"/>
      <c r="C1203" s="878"/>
      <c r="D1203" s="878"/>
      <c r="E1203" s="882"/>
      <c r="F1203" s="884"/>
      <c r="G1203" s="56">
        <v>721</v>
      </c>
      <c r="H1203" s="79">
        <f>+F1202-H1202</f>
        <v>0</v>
      </c>
      <c r="I1203" s="882"/>
      <c r="J1203" s="876"/>
      <c r="K1203" s="882"/>
      <c r="L1203" s="882"/>
      <c r="M1203" s="882"/>
      <c r="N1203" s="884"/>
      <c r="O1203" s="56">
        <v>721</v>
      </c>
      <c r="P1203" s="79">
        <v>0</v>
      </c>
    </row>
    <row r="1204" spans="1:16" ht="12" customHeight="1">
      <c r="A1204" s="919"/>
      <c r="B1204" s="875"/>
      <c r="C1204" s="877"/>
      <c r="D1204" s="881"/>
      <c r="E1204" s="881"/>
      <c r="F1204" s="883"/>
      <c r="G1204" s="55">
        <v>719</v>
      </c>
      <c r="H1204" s="78"/>
      <c r="I1204" s="873">
        <f>+I1202+1</f>
        <v>153</v>
      </c>
      <c r="J1204" s="875">
        <v>43062</v>
      </c>
      <c r="K1204" s="881" t="s">
        <v>120</v>
      </c>
      <c r="L1204" s="881" t="s">
        <v>1561</v>
      </c>
      <c r="M1204" s="881" t="s">
        <v>115</v>
      </c>
      <c r="N1204" s="883">
        <v>230000</v>
      </c>
      <c r="O1204" s="55">
        <v>719</v>
      </c>
      <c r="P1204" s="78">
        <v>230000</v>
      </c>
    </row>
    <row r="1205" spans="1:16" ht="11.25" customHeight="1" thickBot="1">
      <c r="A1205" s="920"/>
      <c r="B1205" s="876"/>
      <c r="C1205" s="878"/>
      <c r="D1205" s="882"/>
      <c r="E1205" s="882"/>
      <c r="F1205" s="884"/>
      <c r="G1205" s="56">
        <v>721</v>
      </c>
      <c r="H1205" s="79">
        <f>+F1204-H1204</f>
        <v>0</v>
      </c>
      <c r="I1205" s="882"/>
      <c r="J1205" s="876"/>
      <c r="K1205" s="882"/>
      <c r="L1205" s="882"/>
      <c r="M1205" s="882"/>
      <c r="N1205" s="884"/>
      <c r="O1205" s="56">
        <v>721</v>
      </c>
      <c r="P1205" s="79">
        <v>0</v>
      </c>
    </row>
    <row r="1206" spans="1:16" ht="13.5" customHeight="1">
      <c r="A1206" s="439"/>
      <c r="B1206" s="252"/>
      <c r="C1206" s="253"/>
      <c r="D1206" s="251"/>
      <c r="E1206" s="251"/>
      <c r="F1206" s="254"/>
      <c r="G1206" s="255"/>
      <c r="H1206" s="256"/>
      <c r="I1206" s="873">
        <f>+I1202+1</f>
        <v>153</v>
      </c>
      <c r="J1206" s="875">
        <v>43062</v>
      </c>
      <c r="K1206" s="881" t="s">
        <v>120</v>
      </c>
      <c r="L1206" s="879" t="s">
        <v>1562</v>
      </c>
      <c r="M1206" s="881" t="s">
        <v>115</v>
      </c>
      <c r="N1206" s="883">
        <v>320000</v>
      </c>
      <c r="O1206" s="55">
        <v>719</v>
      </c>
      <c r="P1206" s="78">
        <v>320000</v>
      </c>
    </row>
    <row r="1207" spans="1:16" ht="13.5" customHeight="1" thickBot="1">
      <c r="A1207" s="439"/>
      <c r="B1207" s="252"/>
      <c r="C1207" s="253"/>
      <c r="D1207" s="251"/>
      <c r="E1207" s="251"/>
      <c r="F1207" s="254"/>
      <c r="G1207" s="255"/>
      <c r="H1207" s="256"/>
      <c r="I1207" s="882"/>
      <c r="J1207" s="876"/>
      <c r="K1207" s="882"/>
      <c r="L1207" s="880"/>
      <c r="M1207" s="882"/>
      <c r="N1207" s="884"/>
      <c r="O1207" s="56">
        <v>721</v>
      </c>
      <c r="P1207" s="79">
        <f>+N1206-P1206</f>
        <v>0</v>
      </c>
    </row>
    <row r="1208" spans="1:16" ht="12" customHeight="1">
      <c r="A1208" s="881"/>
      <c r="B1208" s="875"/>
      <c r="C1208" s="877"/>
      <c r="D1208" s="881"/>
      <c r="E1208" s="881"/>
      <c r="F1208" s="883"/>
      <c r="G1208" s="55">
        <v>719</v>
      </c>
      <c r="H1208" s="78"/>
      <c r="I1208" s="873" t="s">
        <v>872</v>
      </c>
      <c r="J1208" s="875">
        <v>43062</v>
      </c>
      <c r="K1208" s="881" t="s">
        <v>120</v>
      </c>
      <c r="L1208" s="881" t="s">
        <v>1545</v>
      </c>
      <c r="M1208" s="881" t="s">
        <v>115</v>
      </c>
      <c r="N1208" s="883">
        <v>160000</v>
      </c>
      <c r="O1208" s="55">
        <v>719</v>
      </c>
      <c r="P1208" s="78">
        <v>160000</v>
      </c>
    </row>
    <row r="1209" spans="1:16" ht="12" customHeight="1" thickBot="1">
      <c r="A1209" s="882"/>
      <c r="B1209" s="876"/>
      <c r="C1209" s="878"/>
      <c r="D1209" s="882"/>
      <c r="E1209" s="882"/>
      <c r="F1209" s="884"/>
      <c r="G1209" s="56">
        <v>721</v>
      </c>
      <c r="H1209" s="79">
        <f>+F1208-H1208</f>
        <v>0</v>
      </c>
      <c r="I1209" s="874"/>
      <c r="J1209" s="876"/>
      <c r="K1209" s="882"/>
      <c r="L1209" s="882"/>
      <c r="M1209" s="882"/>
      <c r="N1209" s="884"/>
      <c r="O1209" s="56">
        <v>721</v>
      </c>
      <c r="P1209" s="79">
        <v>0</v>
      </c>
    </row>
    <row r="1210" spans="1:16" ht="15" customHeight="1" thickBot="1">
      <c r="A1210" s="901" t="s">
        <v>102</v>
      </c>
      <c r="B1210" s="902"/>
      <c r="C1210" s="902"/>
      <c r="D1210" s="902"/>
      <c r="E1210" s="903"/>
      <c r="F1210" s="81">
        <f>SUM(F1198:F1209)</f>
        <v>180000</v>
      </c>
      <c r="I1210" s="901" t="s">
        <v>102</v>
      </c>
      <c r="J1210" s="902"/>
      <c r="K1210" s="902"/>
      <c r="L1210" s="902"/>
      <c r="M1210" s="903"/>
      <c r="N1210" s="81">
        <f>SUM(N1198:N1209)</f>
        <v>2070000</v>
      </c>
    </row>
    <row r="1211" spans="1:16" ht="16.5" thickBot="1">
      <c r="A1211" s="885" t="s">
        <v>103</v>
      </c>
      <c r="B1211" s="886"/>
      <c r="C1211" s="886"/>
      <c r="D1211" s="886"/>
      <c r="E1211" s="887"/>
      <c r="F1211" s="69">
        <f>+F1173</f>
        <v>657833254</v>
      </c>
      <c r="I1211" s="885" t="s">
        <v>103</v>
      </c>
      <c r="J1211" s="886"/>
      <c r="K1211" s="886"/>
      <c r="L1211" s="886"/>
      <c r="M1211" s="887"/>
      <c r="N1211" s="69">
        <f>+N1173</f>
        <v>445846738</v>
      </c>
      <c r="O1211" s="241" t="s">
        <v>561</v>
      </c>
      <c r="P1211" s="242">
        <f>557+418+511+644</f>
        <v>2130</v>
      </c>
    </row>
    <row r="1212" spans="1:16" ht="16.5" thickBot="1">
      <c r="A1212" s="888" t="s">
        <v>104</v>
      </c>
      <c r="B1212" s="889"/>
      <c r="C1212" s="889"/>
      <c r="D1212" s="889"/>
      <c r="E1212" s="890"/>
      <c r="F1212" s="183">
        <f>SUM(F1210:F1211)</f>
        <v>658013254</v>
      </c>
      <c r="I1212" s="888" t="s">
        <v>104</v>
      </c>
      <c r="J1212" s="889"/>
      <c r="K1212" s="889"/>
      <c r="L1212" s="889"/>
      <c r="M1212" s="890"/>
      <c r="N1212" s="183">
        <f>SUM(N1210:N1211)</f>
        <v>447916738</v>
      </c>
    </row>
    <row r="1213" spans="1:16" ht="11.25" customHeight="1">
      <c r="A1213" s="61"/>
      <c r="B1213" s="61"/>
      <c r="C1213" s="61"/>
      <c r="D1213" s="61"/>
      <c r="E1213" s="61"/>
      <c r="I1213" s="61"/>
      <c r="J1213" s="61"/>
      <c r="K1213" s="61"/>
      <c r="L1213" s="61"/>
      <c r="M1213" s="61"/>
    </row>
    <row r="1214" spans="1:16">
      <c r="A1214" s="51" t="s">
        <v>497</v>
      </c>
      <c r="I1214" s="51" t="s">
        <v>1577</v>
      </c>
    </row>
    <row r="1215" spans="1:16" ht="9.75" customHeight="1">
      <c r="F1215" s="139"/>
      <c r="N1215" s="139"/>
    </row>
    <row r="1216" spans="1:16">
      <c r="A1216" s="50" t="s">
        <v>105</v>
      </c>
      <c r="D1216" s="146"/>
      <c r="F1216" s="139"/>
      <c r="I1216" s="50" t="s">
        <v>105</v>
      </c>
      <c r="L1216" s="146"/>
      <c r="N1216" s="139"/>
    </row>
    <row r="1217" spans="1:16" ht="9.75" customHeight="1" thickBot="1"/>
    <row r="1218" spans="1:16" ht="17.25" thickBot="1">
      <c r="A1218" s="891" t="s">
        <v>106</v>
      </c>
      <c r="B1218" s="892"/>
      <c r="C1218" s="892"/>
      <c r="D1218" s="893"/>
      <c r="F1218" s="50" t="s">
        <v>288</v>
      </c>
      <c r="I1218" s="891" t="s">
        <v>106</v>
      </c>
      <c r="J1218" s="892"/>
      <c r="K1218" s="892"/>
      <c r="L1218" s="893"/>
      <c r="N1218" s="604" t="s">
        <v>288</v>
      </c>
      <c r="O1218" s="604"/>
      <c r="P1218" s="604"/>
    </row>
    <row r="1219" spans="1:16" ht="30.75" thickBot="1">
      <c r="A1219" s="57" t="s">
        <v>100</v>
      </c>
      <c r="B1219" s="58" t="s">
        <v>108</v>
      </c>
      <c r="C1219" s="59" t="s">
        <v>109</v>
      </c>
      <c r="D1219" s="60" t="s">
        <v>110</v>
      </c>
      <c r="I1219" s="57" t="s">
        <v>100</v>
      </c>
      <c r="J1219" s="58" t="s">
        <v>108</v>
      </c>
      <c r="K1219" s="59" t="s">
        <v>109</v>
      </c>
      <c r="L1219" s="60" t="s">
        <v>110</v>
      </c>
    </row>
    <row r="1220" spans="1:16" ht="14.25" customHeight="1">
      <c r="A1220" s="71">
        <v>719</v>
      </c>
      <c r="B1220" s="73">
        <f>+H1198+H1200+H1202+H1204+H1208</f>
        <v>180000</v>
      </c>
      <c r="C1220" s="74" t="e">
        <f>+D1181</f>
        <v>#REF!</v>
      </c>
      <c r="D1220" s="195" t="e">
        <f>+B1220+C1220</f>
        <v>#REF!</v>
      </c>
      <c r="I1220" s="71">
        <v>719</v>
      </c>
      <c r="J1220" s="73">
        <f>+P1198+P1200+P1202+P1204+P1208+P1206</f>
        <v>1830000</v>
      </c>
      <c r="K1220" s="74">
        <f>+L1181</f>
        <v>23351700</v>
      </c>
      <c r="L1220" s="195">
        <f>+J1220+K1220</f>
        <v>25181700</v>
      </c>
    </row>
    <row r="1221" spans="1:16" ht="13.5" customHeight="1">
      <c r="A1221" s="72">
        <v>721</v>
      </c>
      <c r="B1221" s="80">
        <f>(+H1209+H1205+H1203+H1201+H1199)</f>
        <v>0</v>
      </c>
      <c r="C1221" s="74" t="e">
        <f>+D1182</f>
        <v>#REF!</v>
      </c>
      <c r="D1221" s="195" t="e">
        <f>+B1221+C1221</f>
        <v>#REF!</v>
      </c>
      <c r="I1221" s="72">
        <v>721</v>
      </c>
      <c r="J1221" s="80">
        <f>+P1209+P1205+P1203+P1201+P1199</f>
        <v>240000</v>
      </c>
      <c r="K1221" s="74">
        <f>+L1182</f>
        <v>5164450</v>
      </c>
      <c r="L1221" s="195">
        <f>+J1221+K1221</f>
        <v>5404450</v>
      </c>
    </row>
    <row r="1222" spans="1:16" ht="12.75" customHeight="1">
      <c r="A1222" s="72">
        <v>722</v>
      </c>
      <c r="B1222" s="80"/>
      <c r="C1222" s="74">
        <f>+D1183</f>
        <v>231207671</v>
      </c>
      <c r="D1222" s="195">
        <f>+B1222+C1222</f>
        <v>231207671</v>
      </c>
      <c r="I1222" s="72">
        <v>722</v>
      </c>
      <c r="J1222" s="80"/>
      <c r="K1222" s="74">
        <f>+L1183</f>
        <v>0</v>
      </c>
      <c r="L1222" s="195">
        <f>+J1222+K1222</f>
        <v>0</v>
      </c>
    </row>
    <row r="1223" spans="1:16" ht="14.25" customHeight="1">
      <c r="A1223" s="72">
        <v>723</v>
      </c>
      <c r="B1223" s="80"/>
      <c r="C1223" s="74">
        <f>+D1184</f>
        <v>323193545</v>
      </c>
      <c r="D1223" s="195">
        <f>+B1223+C1223</f>
        <v>323193545</v>
      </c>
      <c r="F1223" s="174" t="s">
        <v>23</v>
      </c>
      <c r="G1223" s="175"/>
      <c r="I1223" s="72">
        <v>723</v>
      </c>
      <c r="J1223" s="80"/>
      <c r="K1223" s="74">
        <f>+L1184</f>
        <v>417330588</v>
      </c>
      <c r="L1223" s="195">
        <f>+J1223+K1223</f>
        <v>417330588</v>
      </c>
      <c r="N1223" s="918" t="s">
        <v>1481</v>
      </c>
      <c r="O1223" s="918"/>
      <c r="P1223" s="918"/>
    </row>
    <row r="1224" spans="1:16" ht="14.25" customHeight="1" thickBot="1">
      <c r="A1224" s="164" t="s">
        <v>181</v>
      </c>
      <c r="B1224" s="165"/>
      <c r="C1224" s="74" t="e">
        <f>+D1185</f>
        <v>#REF!</v>
      </c>
      <c r="D1224" s="196" t="e">
        <f>+B1224+C1224</f>
        <v>#REF!</v>
      </c>
      <c r="F1224" s="52"/>
      <c r="I1224" s="164" t="s">
        <v>181</v>
      </c>
      <c r="J1224" s="165"/>
      <c r="K1224" s="74">
        <f>+L1185</f>
        <v>0</v>
      </c>
      <c r="L1224" s="196">
        <f>+J1224+K1224</f>
        <v>0</v>
      </c>
      <c r="N1224" s="52"/>
    </row>
    <row r="1225" spans="1:16" ht="15" customHeight="1" thickBot="1">
      <c r="A1225" s="169"/>
      <c r="B1225" s="170">
        <f>SUM(B1220:B1224)</f>
        <v>180000</v>
      </c>
      <c r="C1225" s="171" t="e">
        <f>SUM(C1220:C1224)</f>
        <v>#REF!</v>
      </c>
      <c r="D1225" s="172" t="e">
        <f>SUM(D1220:D1224)</f>
        <v>#REF!</v>
      </c>
      <c r="I1225" s="169"/>
      <c r="J1225" s="197">
        <f>SUM(J1220:J1224)</f>
        <v>2070000</v>
      </c>
      <c r="K1225" s="197">
        <f>SUM(K1220:K1224)</f>
        <v>445846738</v>
      </c>
      <c r="L1225" s="198">
        <f>SUM(L1220:L1224)</f>
        <v>447916738</v>
      </c>
    </row>
    <row r="1226" spans="1:16" ht="16.5">
      <c r="A1226" s="49" t="s">
        <v>88</v>
      </c>
      <c r="B1226" s="50"/>
      <c r="I1226" s="49" t="s">
        <v>88</v>
      </c>
      <c r="J1226" s="50"/>
    </row>
    <row r="1227" spans="1:16">
      <c r="A1227" s="51" t="s">
        <v>89</v>
      </c>
      <c r="I1227" s="51" t="s">
        <v>89</v>
      </c>
    </row>
    <row r="1228" spans="1:16">
      <c r="A1228" s="51" t="s">
        <v>90</v>
      </c>
      <c r="I1228" s="51" t="s">
        <v>90</v>
      </c>
    </row>
    <row r="1229" spans="1:16">
      <c r="A1229" s="51" t="s">
        <v>91</v>
      </c>
      <c r="I1229" s="51" t="s">
        <v>91</v>
      </c>
    </row>
    <row r="1230" spans="1:16" ht="12" customHeight="1">
      <c r="A1230" s="50"/>
      <c r="B1230" s="50"/>
      <c r="I1230" s="50"/>
      <c r="J1230" s="50"/>
    </row>
    <row r="1231" spans="1:16" ht="16.5">
      <c r="A1231" s="52" t="s">
        <v>498</v>
      </c>
      <c r="G1231" s="52"/>
      <c r="I1231" s="260" t="s">
        <v>200</v>
      </c>
      <c r="O1231" s="52"/>
    </row>
    <row r="1232" spans="1:16" ht="15.75">
      <c r="A1232" s="53" t="s">
        <v>92</v>
      </c>
      <c r="G1232" s="53"/>
      <c r="I1232" s="53" t="s">
        <v>1333</v>
      </c>
      <c r="O1232" s="53"/>
    </row>
    <row r="1233" spans="1:16" ht="16.5">
      <c r="A1233" s="894" t="s">
        <v>261</v>
      </c>
      <c r="B1233" s="894"/>
      <c r="C1233" s="894"/>
      <c r="D1233" s="894"/>
      <c r="E1233" s="894"/>
      <c r="F1233" s="894"/>
      <c r="G1233" s="894"/>
      <c r="H1233" s="894"/>
      <c r="I1233" s="894" t="s">
        <v>1564</v>
      </c>
      <c r="J1233" s="894"/>
      <c r="K1233" s="894"/>
      <c r="L1233" s="894"/>
      <c r="M1233" s="894"/>
      <c r="N1233" s="894"/>
      <c r="O1233" s="894"/>
      <c r="P1233" s="894"/>
    </row>
    <row r="1234" spans="1:16" ht="15.75" thickBot="1"/>
    <row r="1235" spans="1:16">
      <c r="A1235" s="895" t="s">
        <v>94</v>
      </c>
      <c r="B1235" s="897" t="s">
        <v>95</v>
      </c>
      <c r="C1235" s="897" t="s">
        <v>96</v>
      </c>
      <c r="D1235" s="897" t="s">
        <v>3</v>
      </c>
      <c r="E1235" s="897" t="s">
        <v>97</v>
      </c>
      <c r="F1235" s="897" t="s">
        <v>98</v>
      </c>
      <c r="G1235" s="897" t="s">
        <v>99</v>
      </c>
      <c r="H1235" s="899"/>
      <c r="I1235" s="895" t="s">
        <v>94</v>
      </c>
      <c r="J1235" s="897" t="s">
        <v>95</v>
      </c>
      <c r="K1235" s="897" t="s">
        <v>96</v>
      </c>
      <c r="L1235" s="897" t="s">
        <v>3</v>
      </c>
      <c r="M1235" s="897" t="s">
        <v>97</v>
      </c>
      <c r="N1235" s="897" t="s">
        <v>98</v>
      </c>
      <c r="O1235" s="897" t="s">
        <v>99</v>
      </c>
      <c r="P1235" s="899"/>
    </row>
    <row r="1236" spans="1:16" ht="15.75" thickBot="1">
      <c r="A1236" s="896"/>
      <c r="B1236" s="898"/>
      <c r="C1236" s="898"/>
      <c r="D1236" s="898"/>
      <c r="E1236" s="898"/>
      <c r="F1236" s="898"/>
      <c r="G1236" s="240" t="s">
        <v>100</v>
      </c>
      <c r="H1236" s="182" t="s">
        <v>101</v>
      </c>
      <c r="I1236" s="896"/>
      <c r="J1236" s="898"/>
      <c r="K1236" s="898"/>
      <c r="L1236" s="898"/>
      <c r="M1236" s="898"/>
      <c r="N1236" s="898"/>
      <c r="O1236" s="240" t="s">
        <v>100</v>
      </c>
      <c r="P1236" s="182" t="s">
        <v>101</v>
      </c>
    </row>
    <row r="1237" spans="1:16" ht="12" customHeight="1">
      <c r="A1237" s="919" t="e">
        <f>+A1202+1</f>
        <v>#REF!</v>
      </c>
      <c r="B1237" s="875">
        <v>42361</v>
      </c>
      <c r="C1237" s="877" t="s">
        <v>267</v>
      </c>
      <c r="D1237" s="877" t="s">
        <v>499</v>
      </c>
      <c r="E1237" s="881" t="s">
        <v>148</v>
      </c>
      <c r="F1237" s="883">
        <v>126000</v>
      </c>
      <c r="G1237" s="55">
        <v>719</v>
      </c>
      <c r="H1237" s="78">
        <v>90000</v>
      </c>
      <c r="I1237" s="873" t="s">
        <v>1569</v>
      </c>
      <c r="J1237" s="875">
        <v>43062</v>
      </c>
      <c r="K1237" s="881" t="s">
        <v>28</v>
      </c>
      <c r="L1237" s="879" t="s">
        <v>1566</v>
      </c>
      <c r="M1237" s="881" t="s">
        <v>115</v>
      </c>
      <c r="N1237" s="883">
        <v>50000</v>
      </c>
      <c r="O1237" s="55">
        <v>719</v>
      </c>
      <c r="P1237" s="78">
        <f>+N1237</f>
        <v>50000</v>
      </c>
    </row>
    <row r="1238" spans="1:16" ht="14.25" customHeight="1" thickBot="1">
      <c r="A1238" s="920"/>
      <c r="B1238" s="876"/>
      <c r="C1238" s="878"/>
      <c r="D1238" s="878"/>
      <c r="E1238" s="882"/>
      <c r="F1238" s="884"/>
      <c r="G1238" s="56">
        <v>721</v>
      </c>
      <c r="H1238" s="79">
        <f>+F1237-H1237</f>
        <v>36000</v>
      </c>
      <c r="I1238" s="874"/>
      <c r="J1238" s="876"/>
      <c r="K1238" s="882"/>
      <c r="L1238" s="880"/>
      <c r="M1238" s="882"/>
      <c r="N1238" s="884"/>
      <c r="O1238" s="56">
        <v>721</v>
      </c>
      <c r="P1238" s="79"/>
    </row>
    <row r="1239" spans="1:16" ht="15" customHeight="1">
      <c r="A1239" s="919" t="e">
        <f>+A1237+1</f>
        <v>#REF!</v>
      </c>
      <c r="B1239" s="875">
        <v>42361</v>
      </c>
      <c r="C1239" s="881" t="s">
        <v>28</v>
      </c>
      <c r="D1239" s="877" t="s">
        <v>500</v>
      </c>
      <c r="E1239" s="881" t="s">
        <v>148</v>
      </c>
      <c r="F1239" s="883">
        <v>196000</v>
      </c>
      <c r="G1239" s="55">
        <v>719</v>
      </c>
      <c r="H1239" s="78">
        <v>140000</v>
      </c>
      <c r="I1239" s="873" t="s">
        <v>1570</v>
      </c>
      <c r="J1239" s="875">
        <v>43062</v>
      </c>
      <c r="K1239" s="881" t="s">
        <v>120</v>
      </c>
      <c r="L1239" s="879" t="s">
        <v>1567</v>
      </c>
      <c r="M1239" s="881" t="s">
        <v>115</v>
      </c>
      <c r="N1239" s="883">
        <v>190000</v>
      </c>
      <c r="O1239" s="55">
        <v>719</v>
      </c>
      <c r="P1239" s="78">
        <f>+N1239</f>
        <v>190000</v>
      </c>
    </row>
    <row r="1240" spans="1:16" ht="13.5" customHeight="1" thickBot="1">
      <c r="A1240" s="920"/>
      <c r="B1240" s="876"/>
      <c r="C1240" s="882"/>
      <c r="D1240" s="878"/>
      <c r="E1240" s="882"/>
      <c r="F1240" s="884"/>
      <c r="G1240" s="56">
        <v>721</v>
      </c>
      <c r="H1240" s="79">
        <f>+F1239-H1239</f>
        <v>56000</v>
      </c>
      <c r="I1240" s="882"/>
      <c r="J1240" s="876"/>
      <c r="K1240" s="882"/>
      <c r="L1240" s="880"/>
      <c r="M1240" s="882"/>
      <c r="N1240" s="884"/>
      <c r="O1240" s="56">
        <v>721</v>
      </c>
      <c r="P1240" s="79"/>
    </row>
    <row r="1241" spans="1:16" ht="12.75" customHeight="1">
      <c r="A1241" s="919" t="e">
        <f>+A1239+1</f>
        <v>#REF!</v>
      </c>
      <c r="B1241" s="875">
        <v>42361</v>
      </c>
      <c r="C1241" s="877" t="s">
        <v>32</v>
      </c>
      <c r="D1241" s="877" t="s">
        <v>500</v>
      </c>
      <c r="E1241" s="881" t="s">
        <v>148</v>
      </c>
      <c r="F1241" s="883">
        <v>42000</v>
      </c>
      <c r="G1241" s="55">
        <v>719</v>
      </c>
      <c r="H1241" s="78">
        <v>30000</v>
      </c>
      <c r="I1241" s="873" t="s">
        <v>1568</v>
      </c>
      <c r="J1241" s="875">
        <v>43062</v>
      </c>
      <c r="K1241" s="877" t="s">
        <v>1571</v>
      </c>
      <c r="L1241" s="879" t="s">
        <v>1225</v>
      </c>
      <c r="M1241" s="881" t="s">
        <v>115</v>
      </c>
      <c r="N1241" s="883">
        <v>3980000</v>
      </c>
      <c r="O1241" s="55">
        <v>719</v>
      </c>
      <c r="P1241" s="78"/>
    </row>
    <row r="1242" spans="1:16" ht="15.75" customHeight="1" thickBot="1">
      <c r="A1242" s="920"/>
      <c r="B1242" s="876"/>
      <c r="C1242" s="878"/>
      <c r="D1242" s="878"/>
      <c r="E1242" s="882"/>
      <c r="F1242" s="884"/>
      <c r="G1242" s="56">
        <v>721</v>
      </c>
      <c r="H1242" s="79">
        <f>+F1241-H1241</f>
        <v>12000</v>
      </c>
      <c r="I1242" s="882"/>
      <c r="J1242" s="876"/>
      <c r="K1242" s="878"/>
      <c r="L1242" s="880"/>
      <c r="M1242" s="882"/>
      <c r="N1242" s="884"/>
      <c r="O1242" s="56">
        <v>723</v>
      </c>
      <c r="P1242" s="79">
        <f>+N1241</f>
        <v>3980000</v>
      </c>
    </row>
    <row r="1243" spans="1:16" ht="12" customHeight="1">
      <c r="A1243" s="919" t="e">
        <f>+A1241+1</f>
        <v>#REF!</v>
      </c>
      <c r="B1243" s="875">
        <v>42361</v>
      </c>
      <c r="C1243" s="877" t="s">
        <v>111</v>
      </c>
      <c r="D1243" s="877" t="s">
        <v>499</v>
      </c>
      <c r="E1243" s="881" t="s">
        <v>148</v>
      </c>
      <c r="F1243" s="883">
        <v>112000</v>
      </c>
      <c r="G1243" s="55">
        <v>719</v>
      </c>
      <c r="H1243" s="78">
        <v>80000</v>
      </c>
      <c r="I1243" s="873" t="s">
        <v>1563</v>
      </c>
      <c r="J1243" s="875">
        <v>43062</v>
      </c>
      <c r="K1243" s="881" t="s">
        <v>385</v>
      </c>
      <c r="L1243" s="879" t="s">
        <v>1188</v>
      </c>
      <c r="M1243" s="881" t="s">
        <v>148</v>
      </c>
      <c r="N1243" s="883">
        <v>22479749</v>
      </c>
      <c r="O1243" s="55">
        <v>719</v>
      </c>
      <c r="P1243" s="78"/>
    </row>
    <row r="1244" spans="1:16" ht="14.25" customHeight="1" thickBot="1">
      <c r="A1244" s="920"/>
      <c r="B1244" s="876"/>
      <c r="C1244" s="878"/>
      <c r="D1244" s="878"/>
      <c r="E1244" s="882"/>
      <c r="F1244" s="884"/>
      <c r="G1244" s="56">
        <v>721</v>
      </c>
      <c r="H1244" s="79">
        <f>+F1243-H1243</f>
        <v>32000</v>
      </c>
      <c r="I1244" s="882"/>
      <c r="J1244" s="876"/>
      <c r="K1244" s="882"/>
      <c r="L1244" s="880"/>
      <c r="M1244" s="882"/>
      <c r="N1244" s="884"/>
      <c r="O1244" s="56">
        <v>721</v>
      </c>
      <c r="P1244" s="79">
        <f>+N1243</f>
        <v>22479749</v>
      </c>
    </row>
    <row r="1245" spans="1:16" ht="12" customHeight="1">
      <c r="A1245" s="919" t="e">
        <f>+A1243+1</f>
        <v>#REF!</v>
      </c>
      <c r="B1245" s="875">
        <v>42361</v>
      </c>
      <c r="C1245" s="877" t="s">
        <v>272</v>
      </c>
      <c r="D1245" s="877" t="s">
        <v>500</v>
      </c>
      <c r="E1245" s="881" t="s">
        <v>148</v>
      </c>
      <c r="F1245" s="883">
        <v>588000</v>
      </c>
      <c r="G1245" s="55">
        <v>719</v>
      </c>
      <c r="H1245" s="78">
        <v>420000</v>
      </c>
      <c r="I1245" s="873" t="s">
        <v>873</v>
      </c>
      <c r="J1245" s="875">
        <v>43062</v>
      </c>
      <c r="K1245" s="881" t="s">
        <v>385</v>
      </c>
      <c r="L1245" s="879" t="s">
        <v>1245</v>
      </c>
      <c r="M1245" s="881" t="s">
        <v>148</v>
      </c>
      <c r="N1245" s="883">
        <v>55554732</v>
      </c>
      <c r="O1245" s="55">
        <v>719</v>
      </c>
      <c r="P1245" s="78"/>
    </row>
    <row r="1246" spans="1:16" ht="13.5" customHeight="1" thickBot="1">
      <c r="A1246" s="920"/>
      <c r="B1246" s="876"/>
      <c r="C1246" s="878"/>
      <c r="D1246" s="878"/>
      <c r="E1246" s="882"/>
      <c r="F1246" s="884"/>
      <c r="G1246" s="56">
        <v>721</v>
      </c>
      <c r="H1246" s="79">
        <f>+F1245-H1245</f>
        <v>168000</v>
      </c>
      <c r="I1246" s="882"/>
      <c r="J1246" s="876"/>
      <c r="K1246" s="882"/>
      <c r="L1246" s="880"/>
      <c r="M1246" s="882"/>
      <c r="N1246" s="884"/>
      <c r="O1246" s="56">
        <v>721</v>
      </c>
      <c r="P1246" s="79">
        <f>+N1245-P1245</f>
        <v>55554732</v>
      </c>
    </row>
    <row r="1247" spans="1:16" ht="16.5" thickBot="1">
      <c r="A1247" s="901" t="s">
        <v>102</v>
      </c>
      <c r="B1247" s="902"/>
      <c r="C1247" s="902"/>
      <c r="D1247" s="902"/>
      <c r="E1247" s="903"/>
      <c r="F1247" s="81">
        <f>SUM(F1237:F1246)</f>
        <v>1064000</v>
      </c>
      <c r="I1247" s="901" t="s">
        <v>102</v>
      </c>
      <c r="J1247" s="902"/>
      <c r="K1247" s="902"/>
      <c r="L1247" s="902"/>
      <c r="M1247" s="903"/>
      <c r="N1247" s="81">
        <f>SUM(N1237:N1246)</f>
        <v>82254481</v>
      </c>
    </row>
    <row r="1248" spans="1:16" ht="16.5" thickBot="1">
      <c r="A1248" s="885" t="s">
        <v>103</v>
      </c>
      <c r="B1248" s="886"/>
      <c r="C1248" s="886"/>
      <c r="D1248" s="886"/>
      <c r="E1248" s="887"/>
      <c r="F1248" s="69">
        <f>+F1212</f>
        <v>658013254</v>
      </c>
      <c r="I1248" s="885" t="s">
        <v>103</v>
      </c>
      <c r="J1248" s="886"/>
      <c r="K1248" s="886"/>
      <c r="L1248" s="886"/>
      <c r="M1248" s="887"/>
      <c r="N1248" s="69">
        <f>+N1212</f>
        <v>447916738</v>
      </c>
      <c r="O1248" s="241" t="s">
        <v>561</v>
      </c>
      <c r="P1248" s="242"/>
    </row>
    <row r="1249" spans="1:16" ht="16.5" thickBot="1">
      <c r="A1249" s="888" t="s">
        <v>104</v>
      </c>
      <c r="B1249" s="889"/>
      <c r="C1249" s="889"/>
      <c r="D1249" s="889"/>
      <c r="E1249" s="890"/>
      <c r="F1249" s="183">
        <f>SUM(F1247:F1248)</f>
        <v>659077254</v>
      </c>
      <c r="I1249" s="888" t="s">
        <v>104</v>
      </c>
      <c r="J1249" s="889"/>
      <c r="K1249" s="889"/>
      <c r="L1249" s="889"/>
      <c r="M1249" s="890"/>
      <c r="N1249" s="183">
        <f>SUM(N1247:N1248)</f>
        <v>530171219</v>
      </c>
    </row>
    <row r="1250" spans="1:16">
      <c r="A1250" s="61"/>
      <c r="B1250" s="61"/>
      <c r="C1250" s="61"/>
      <c r="D1250" s="61"/>
      <c r="E1250" s="61"/>
      <c r="I1250" s="61"/>
      <c r="J1250" s="61"/>
      <c r="K1250" s="61"/>
      <c r="L1250" s="61"/>
      <c r="M1250" s="61"/>
    </row>
    <row r="1251" spans="1:16">
      <c r="A1251" s="51" t="s">
        <v>501</v>
      </c>
      <c r="I1251" s="51" t="s">
        <v>1565</v>
      </c>
    </row>
    <row r="1252" spans="1:16" ht="11.25" customHeight="1">
      <c r="F1252" s="139"/>
      <c r="N1252" s="139"/>
    </row>
    <row r="1253" spans="1:16">
      <c r="A1253" s="50" t="s">
        <v>105</v>
      </c>
      <c r="D1253" s="146"/>
      <c r="F1253" s="139"/>
      <c r="I1253" s="50" t="s">
        <v>105</v>
      </c>
      <c r="L1253" s="146"/>
      <c r="N1253" s="139"/>
    </row>
    <row r="1254" spans="1:16" ht="13.5" customHeight="1" thickBot="1"/>
    <row r="1255" spans="1:16" ht="17.25" thickBot="1">
      <c r="A1255" s="891" t="s">
        <v>106</v>
      </c>
      <c r="B1255" s="892"/>
      <c r="C1255" s="892"/>
      <c r="D1255" s="893"/>
      <c r="F1255" s="50" t="s">
        <v>288</v>
      </c>
      <c r="I1255" s="891" t="s">
        <v>106</v>
      </c>
      <c r="J1255" s="892"/>
      <c r="K1255" s="892"/>
      <c r="L1255" s="893"/>
      <c r="N1255" s="604" t="s">
        <v>288</v>
      </c>
      <c r="O1255" s="604"/>
      <c r="P1255" s="604"/>
    </row>
    <row r="1256" spans="1:16" ht="26.25" customHeight="1" thickBot="1">
      <c r="A1256" s="57" t="s">
        <v>100</v>
      </c>
      <c r="B1256" s="58" t="s">
        <v>108</v>
      </c>
      <c r="C1256" s="59" t="s">
        <v>109</v>
      </c>
      <c r="D1256" s="60" t="s">
        <v>110</v>
      </c>
      <c r="I1256" s="57" t="s">
        <v>100</v>
      </c>
      <c r="J1256" s="58" t="s">
        <v>108</v>
      </c>
      <c r="K1256" s="59" t="s">
        <v>109</v>
      </c>
      <c r="L1256" s="60" t="s">
        <v>110</v>
      </c>
    </row>
    <row r="1257" spans="1:16">
      <c r="A1257" s="71">
        <v>719</v>
      </c>
      <c r="B1257" s="73">
        <f>+H1237+H1239+H1241+H1243+H1245</f>
        <v>760000</v>
      </c>
      <c r="C1257" s="74" t="e">
        <f>+D1220</f>
        <v>#REF!</v>
      </c>
      <c r="D1257" s="195" t="e">
        <f>+B1257+C1257</f>
        <v>#REF!</v>
      </c>
      <c r="I1257" s="71">
        <v>719</v>
      </c>
      <c r="J1257" s="73">
        <f>+P1237+P1239+P1241+P1243+P1245</f>
        <v>240000</v>
      </c>
      <c r="K1257" s="74">
        <f>+L1220</f>
        <v>25181700</v>
      </c>
      <c r="L1257" s="195">
        <f>+J1257+K1257</f>
        <v>25421700</v>
      </c>
    </row>
    <row r="1258" spans="1:16" ht="14.25" customHeight="1">
      <c r="A1258" s="72">
        <v>721</v>
      </c>
      <c r="B1258" s="80">
        <f>(+H1246+H1244+H1242+H1240+H1238)</f>
        <v>304000</v>
      </c>
      <c r="C1258" s="74" t="e">
        <f>+D1221</f>
        <v>#REF!</v>
      </c>
      <c r="D1258" s="195" t="e">
        <f>+B1258+C1258</f>
        <v>#REF!</v>
      </c>
      <c r="I1258" s="72">
        <v>721</v>
      </c>
      <c r="J1258" s="80">
        <f>+P1238+P1240++P1244+P1246</f>
        <v>78034481</v>
      </c>
      <c r="K1258" s="74">
        <f>+L1221</f>
        <v>5404450</v>
      </c>
      <c r="L1258" s="195">
        <f>+J1258+K1258</f>
        <v>83438931</v>
      </c>
    </row>
    <row r="1259" spans="1:16" ht="12.75" customHeight="1">
      <c r="A1259" s="72">
        <v>722</v>
      </c>
      <c r="B1259" s="80"/>
      <c r="C1259" s="74">
        <f>+D1222</f>
        <v>231207671</v>
      </c>
      <c r="D1259" s="195">
        <f>+B1259+C1259</f>
        <v>231207671</v>
      </c>
      <c r="I1259" s="72">
        <v>722</v>
      </c>
      <c r="J1259" s="80"/>
      <c r="K1259" s="74">
        <f>+L1222</f>
        <v>0</v>
      </c>
      <c r="L1259" s="195">
        <f>+J1259+K1259</f>
        <v>0</v>
      </c>
      <c r="N1259" s="918" t="s">
        <v>1481</v>
      </c>
      <c r="O1259" s="918"/>
      <c r="P1259" s="918"/>
    </row>
    <row r="1260" spans="1:16" ht="14.25" customHeight="1">
      <c r="A1260" s="72">
        <v>723</v>
      </c>
      <c r="B1260" s="80"/>
      <c r="C1260" s="74">
        <f>+D1223</f>
        <v>323193545</v>
      </c>
      <c r="D1260" s="195">
        <f>+B1260+C1260</f>
        <v>323193545</v>
      </c>
      <c r="F1260" s="174" t="s">
        <v>23</v>
      </c>
      <c r="G1260" s="175"/>
      <c r="I1260" s="72">
        <v>723</v>
      </c>
      <c r="J1260" s="80">
        <f>+P1242</f>
        <v>3980000</v>
      </c>
      <c r="K1260" s="74">
        <f>+L1223</f>
        <v>417330588</v>
      </c>
      <c r="L1260" s="195">
        <f>+J1260+K1260</f>
        <v>421310588</v>
      </c>
      <c r="N1260" s="918"/>
      <c r="O1260" s="918"/>
      <c r="P1260" s="918"/>
    </row>
    <row r="1261" spans="1:16" ht="14.25" customHeight="1" thickBot="1">
      <c r="A1261" s="164" t="s">
        <v>181</v>
      </c>
      <c r="B1261" s="165"/>
      <c r="C1261" s="74" t="e">
        <f>+D1224</f>
        <v>#REF!</v>
      </c>
      <c r="D1261" s="196" t="e">
        <f>+B1261+C1261</f>
        <v>#REF!</v>
      </c>
      <c r="F1261" s="52"/>
      <c r="I1261" s="164" t="s">
        <v>181</v>
      </c>
      <c r="J1261" s="165"/>
      <c r="K1261" s="74">
        <f>+L1224</f>
        <v>0</v>
      </c>
      <c r="L1261" s="196">
        <f>+J1261+K1261</f>
        <v>0</v>
      </c>
      <c r="N1261" s="52"/>
    </row>
    <row r="1262" spans="1:16" ht="16.5" thickBot="1">
      <c r="A1262" s="169"/>
      <c r="B1262" s="170">
        <f>SUM(B1257:B1261)</f>
        <v>1064000</v>
      </c>
      <c r="C1262" s="171" t="e">
        <f>SUM(C1257:C1261)</f>
        <v>#REF!</v>
      </c>
      <c r="D1262" s="172" t="e">
        <f>SUM(D1257:D1261)</f>
        <v>#REF!</v>
      </c>
      <c r="I1262" s="169"/>
      <c r="J1262" s="197">
        <f>SUM(J1257:J1261)</f>
        <v>82254481</v>
      </c>
      <c r="K1262" s="197">
        <f>SUM(K1257:K1261)</f>
        <v>447916738</v>
      </c>
      <c r="L1262" s="198">
        <f>SUM(L1257:L1261)</f>
        <v>530171219</v>
      </c>
    </row>
    <row r="1263" spans="1:16" ht="16.5">
      <c r="A1263" s="49" t="s">
        <v>88</v>
      </c>
      <c r="B1263" s="50"/>
      <c r="I1263" s="49" t="s">
        <v>88</v>
      </c>
      <c r="J1263" s="50"/>
    </row>
    <row r="1264" spans="1:16">
      <c r="A1264" s="51" t="s">
        <v>89</v>
      </c>
      <c r="I1264" s="51" t="s">
        <v>89</v>
      </c>
    </row>
    <row r="1265" spans="1:16">
      <c r="A1265" s="51" t="s">
        <v>90</v>
      </c>
      <c r="I1265" s="51" t="s">
        <v>90</v>
      </c>
    </row>
    <row r="1266" spans="1:16">
      <c r="A1266" s="51" t="s">
        <v>91</v>
      </c>
      <c r="I1266" s="51" t="s">
        <v>91</v>
      </c>
    </row>
    <row r="1267" spans="1:16" ht="12" customHeight="1">
      <c r="A1267" s="50"/>
      <c r="B1267" s="50"/>
      <c r="I1267" s="50"/>
      <c r="J1267" s="50"/>
    </row>
    <row r="1268" spans="1:16" ht="16.5">
      <c r="A1268" s="52" t="s">
        <v>502</v>
      </c>
      <c r="G1268" s="52"/>
      <c r="I1268" s="260" t="s">
        <v>871</v>
      </c>
      <c r="O1268" s="52"/>
    </row>
    <row r="1269" spans="1:16" ht="15.75">
      <c r="A1269" s="53" t="s">
        <v>92</v>
      </c>
      <c r="G1269" s="53"/>
      <c r="I1269" s="53" t="s">
        <v>1333</v>
      </c>
      <c r="O1269" s="53"/>
    </row>
    <row r="1270" spans="1:16" ht="16.5">
      <c r="A1270" s="894" t="s">
        <v>261</v>
      </c>
      <c r="B1270" s="894"/>
      <c r="C1270" s="894"/>
      <c r="D1270" s="894"/>
      <c r="E1270" s="894"/>
      <c r="F1270" s="894"/>
      <c r="G1270" s="894"/>
      <c r="H1270" s="894"/>
      <c r="I1270" s="894" t="s">
        <v>903</v>
      </c>
      <c r="J1270" s="894"/>
      <c r="K1270" s="894"/>
      <c r="L1270" s="894"/>
      <c r="M1270" s="894"/>
      <c r="N1270" s="894"/>
      <c r="O1270" s="894"/>
      <c r="P1270" s="894"/>
    </row>
    <row r="1271" spans="1:16" ht="12.75" customHeight="1" thickBot="1"/>
    <row r="1272" spans="1:16">
      <c r="A1272" s="895" t="s">
        <v>94</v>
      </c>
      <c r="B1272" s="897" t="s">
        <v>95</v>
      </c>
      <c r="C1272" s="897" t="s">
        <v>96</v>
      </c>
      <c r="D1272" s="897" t="s">
        <v>3</v>
      </c>
      <c r="E1272" s="897" t="s">
        <v>97</v>
      </c>
      <c r="F1272" s="897" t="s">
        <v>98</v>
      </c>
      <c r="G1272" s="897" t="s">
        <v>99</v>
      </c>
      <c r="H1272" s="899"/>
      <c r="I1272" s="895" t="s">
        <v>94</v>
      </c>
      <c r="J1272" s="897" t="s">
        <v>95</v>
      </c>
      <c r="K1272" s="897" t="s">
        <v>96</v>
      </c>
      <c r="L1272" s="897" t="s">
        <v>3</v>
      </c>
      <c r="M1272" s="897" t="s">
        <v>97</v>
      </c>
      <c r="N1272" s="897" t="s">
        <v>98</v>
      </c>
      <c r="O1272" s="897" t="s">
        <v>99</v>
      </c>
      <c r="P1272" s="899"/>
    </row>
    <row r="1273" spans="1:16" ht="15.75" thickBot="1">
      <c r="A1273" s="896"/>
      <c r="B1273" s="898"/>
      <c r="C1273" s="898"/>
      <c r="D1273" s="898"/>
      <c r="E1273" s="898"/>
      <c r="F1273" s="898"/>
      <c r="G1273" s="240" t="s">
        <v>100</v>
      </c>
      <c r="H1273" s="182" t="s">
        <v>101</v>
      </c>
      <c r="I1273" s="896"/>
      <c r="J1273" s="898"/>
      <c r="K1273" s="898"/>
      <c r="L1273" s="898"/>
      <c r="M1273" s="898"/>
      <c r="N1273" s="898"/>
      <c r="O1273" s="240" t="s">
        <v>100</v>
      </c>
      <c r="P1273" s="182" t="s">
        <v>101</v>
      </c>
    </row>
    <row r="1274" spans="1:16" ht="15" customHeight="1">
      <c r="A1274" s="919" t="e">
        <f>+A1245+1</f>
        <v>#REF!</v>
      </c>
      <c r="B1274" s="875">
        <v>42361</v>
      </c>
      <c r="C1274" s="877" t="s">
        <v>267</v>
      </c>
      <c r="D1274" s="877" t="s">
        <v>490</v>
      </c>
      <c r="E1274" s="881" t="s">
        <v>148</v>
      </c>
      <c r="F1274" s="883">
        <v>168000</v>
      </c>
      <c r="G1274" s="55">
        <v>719</v>
      </c>
      <c r="H1274" s="78">
        <v>120000</v>
      </c>
      <c r="I1274" s="873" t="s">
        <v>1578</v>
      </c>
      <c r="J1274" s="875">
        <v>43062</v>
      </c>
      <c r="K1274" s="877" t="s">
        <v>28</v>
      </c>
      <c r="L1274" s="881" t="s">
        <v>1582</v>
      </c>
      <c r="M1274" s="881" t="s">
        <v>115</v>
      </c>
      <c r="N1274" s="883">
        <v>80000</v>
      </c>
      <c r="O1274" s="55">
        <v>719</v>
      </c>
      <c r="P1274" s="78">
        <f>+N1274</f>
        <v>80000</v>
      </c>
    </row>
    <row r="1275" spans="1:16" ht="15.75" customHeight="1" thickBot="1">
      <c r="A1275" s="920"/>
      <c r="B1275" s="876"/>
      <c r="C1275" s="878"/>
      <c r="D1275" s="878"/>
      <c r="E1275" s="882"/>
      <c r="F1275" s="884"/>
      <c r="G1275" s="56">
        <v>721</v>
      </c>
      <c r="H1275" s="79">
        <f>+F1274-H1274</f>
        <v>48000</v>
      </c>
      <c r="I1275" s="874"/>
      <c r="J1275" s="876"/>
      <c r="K1275" s="878"/>
      <c r="L1275" s="882"/>
      <c r="M1275" s="882"/>
      <c r="N1275" s="884"/>
      <c r="O1275" s="56">
        <v>723</v>
      </c>
      <c r="P1275" s="79"/>
    </row>
    <row r="1276" spans="1:16" ht="15" customHeight="1">
      <c r="A1276" s="919" t="e">
        <f>+A1274+1</f>
        <v>#REF!</v>
      </c>
      <c r="B1276" s="875">
        <v>42361</v>
      </c>
      <c r="C1276" s="881" t="s">
        <v>28</v>
      </c>
      <c r="D1276" s="877" t="s">
        <v>503</v>
      </c>
      <c r="E1276" s="881" t="s">
        <v>148</v>
      </c>
      <c r="F1276" s="883">
        <v>182000</v>
      </c>
      <c r="G1276" s="55">
        <v>719</v>
      </c>
      <c r="H1276" s="78">
        <v>130000</v>
      </c>
      <c r="I1276" s="873" t="s">
        <v>1579</v>
      </c>
      <c r="J1276" s="875">
        <v>43062</v>
      </c>
      <c r="K1276" s="881" t="s">
        <v>120</v>
      </c>
      <c r="L1276" s="881" t="s">
        <v>1581</v>
      </c>
      <c r="M1276" s="881" t="s">
        <v>115</v>
      </c>
      <c r="N1276" s="883">
        <v>300000</v>
      </c>
      <c r="O1276" s="55">
        <v>719</v>
      </c>
      <c r="P1276" s="78">
        <f>+N1276</f>
        <v>300000</v>
      </c>
    </row>
    <row r="1277" spans="1:16" ht="15.75" customHeight="1" thickBot="1">
      <c r="A1277" s="920"/>
      <c r="B1277" s="876"/>
      <c r="C1277" s="882"/>
      <c r="D1277" s="878"/>
      <c r="E1277" s="882"/>
      <c r="F1277" s="884"/>
      <c r="G1277" s="56">
        <v>721</v>
      </c>
      <c r="H1277" s="79">
        <f>+F1276-H1276</f>
        <v>52000</v>
      </c>
      <c r="I1277" s="874"/>
      <c r="J1277" s="876"/>
      <c r="K1277" s="882"/>
      <c r="L1277" s="882"/>
      <c r="M1277" s="882"/>
      <c r="N1277" s="884"/>
      <c r="O1277" s="56">
        <v>723</v>
      </c>
      <c r="P1277" s="79">
        <v>0</v>
      </c>
    </row>
    <row r="1278" spans="1:16" ht="12.75" customHeight="1">
      <c r="A1278" s="919" t="e">
        <f>+A1276+1</f>
        <v>#REF!</v>
      </c>
      <c r="B1278" s="875">
        <v>42361</v>
      </c>
      <c r="C1278" s="877" t="s">
        <v>32</v>
      </c>
      <c r="D1278" s="877" t="s">
        <v>504</v>
      </c>
      <c r="E1278" s="881" t="s">
        <v>148</v>
      </c>
      <c r="F1278" s="883">
        <v>98000</v>
      </c>
      <c r="G1278" s="55">
        <v>719</v>
      </c>
      <c r="H1278" s="78">
        <v>70000</v>
      </c>
      <c r="I1278" s="881"/>
      <c r="J1278" s="875"/>
      <c r="K1278" s="877"/>
      <c r="L1278" s="881"/>
      <c r="M1278" s="881"/>
      <c r="N1278" s="883"/>
      <c r="O1278" s="55"/>
      <c r="P1278" s="78"/>
    </row>
    <row r="1279" spans="1:16" ht="12" customHeight="1" thickBot="1">
      <c r="A1279" s="920"/>
      <c r="B1279" s="876"/>
      <c r="C1279" s="878"/>
      <c r="D1279" s="878"/>
      <c r="E1279" s="882"/>
      <c r="F1279" s="884"/>
      <c r="G1279" s="56">
        <v>721</v>
      </c>
      <c r="H1279" s="79">
        <f>+F1278-H1278</f>
        <v>28000</v>
      </c>
      <c r="I1279" s="882"/>
      <c r="J1279" s="876"/>
      <c r="K1279" s="878"/>
      <c r="L1279" s="882"/>
      <c r="M1279" s="882"/>
      <c r="N1279" s="884"/>
      <c r="O1279" s="56"/>
      <c r="P1279" s="79"/>
    </row>
    <row r="1280" spans="1:16" ht="12.75" customHeight="1">
      <c r="A1280" s="919" t="e">
        <f>+A1278+1</f>
        <v>#REF!</v>
      </c>
      <c r="B1280" s="875">
        <v>42361</v>
      </c>
      <c r="C1280" s="877" t="s">
        <v>111</v>
      </c>
      <c r="D1280" s="877" t="s">
        <v>505</v>
      </c>
      <c r="E1280" s="881" t="s">
        <v>148</v>
      </c>
      <c r="F1280" s="883">
        <v>168000</v>
      </c>
      <c r="G1280" s="55">
        <v>719</v>
      </c>
      <c r="H1280" s="78">
        <v>120000</v>
      </c>
      <c r="I1280" s="881"/>
      <c r="J1280" s="875"/>
      <c r="K1280" s="877"/>
      <c r="L1280" s="881"/>
      <c r="M1280" s="881"/>
      <c r="N1280" s="883"/>
      <c r="O1280" s="55"/>
      <c r="P1280" s="78"/>
    </row>
    <row r="1281" spans="1:16" ht="12" customHeight="1" thickBot="1">
      <c r="A1281" s="920"/>
      <c r="B1281" s="876"/>
      <c r="C1281" s="878"/>
      <c r="D1281" s="878"/>
      <c r="E1281" s="882"/>
      <c r="F1281" s="884"/>
      <c r="G1281" s="56">
        <v>721</v>
      </c>
      <c r="H1281" s="79">
        <f>+F1280-H1280</f>
        <v>48000</v>
      </c>
      <c r="I1281" s="882"/>
      <c r="J1281" s="876"/>
      <c r="K1281" s="878"/>
      <c r="L1281" s="882"/>
      <c r="M1281" s="882"/>
      <c r="N1281" s="884"/>
      <c r="O1281" s="56"/>
      <c r="P1281" s="79"/>
    </row>
    <row r="1282" spans="1:16" ht="12" customHeight="1">
      <c r="A1282" s="919" t="e">
        <f>+A1280+1</f>
        <v>#REF!</v>
      </c>
      <c r="B1282" s="875">
        <v>42361</v>
      </c>
      <c r="C1282" s="877" t="s">
        <v>272</v>
      </c>
      <c r="D1282" s="877" t="s">
        <v>504</v>
      </c>
      <c r="E1282" s="881" t="s">
        <v>148</v>
      </c>
      <c r="F1282" s="883">
        <v>700000</v>
      </c>
      <c r="G1282" s="55">
        <v>719</v>
      </c>
      <c r="H1282" s="78">
        <v>500000</v>
      </c>
      <c r="I1282" s="881"/>
      <c r="J1282" s="875"/>
      <c r="K1282" s="877"/>
      <c r="L1282" s="881"/>
      <c r="M1282" s="881"/>
      <c r="N1282" s="883"/>
      <c r="O1282" s="55"/>
      <c r="P1282" s="78"/>
    </row>
    <row r="1283" spans="1:16" ht="13.5" customHeight="1" thickBot="1">
      <c r="A1283" s="920"/>
      <c r="B1283" s="876"/>
      <c r="C1283" s="878"/>
      <c r="D1283" s="878"/>
      <c r="E1283" s="882"/>
      <c r="F1283" s="884"/>
      <c r="G1283" s="56">
        <v>721</v>
      </c>
      <c r="H1283" s="79">
        <f>+F1282-H1282</f>
        <v>200000</v>
      </c>
      <c r="I1283" s="882"/>
      <c r="J1283" s="876"/>
      <c r="K1283" s="878"/>
      <c r="L1283" s="882"/>
      <c r="M1283" s="882"/>
      <c r="N1283" s="884"/>
      <c r="O1283" s="56"/>
      <c r="P1283" s="79"/>
    </row>
    <row r="1284" spans="1:16" ht="16.5" thickBot="1">
      <c r="A1284" s="901" t="s">
        <v>102</v>
      </c>
      <c r="B1284" s="902"/>
      <c r="C1284" s="902"/>
      <c r="D1284" s="902"/>
      <c r="E1284" s="903"/>
      <c r="F1284" s="81">
        <f>SUM(F1274:F1283)</f>
        <v>1316000</v>
      </c>
      <c r="I1284" s="901" t="s">
        <v>102</v>
      </c>
      <c r="J1284" s="902"/>
      <c r="K1284" s="902"/>
      <c r="L1284" s="902"/>
      <c r="M1284" s="903"/>
      <c r="N1284" s="81">
        <f>SUM(N1274:N1283)</f>
        <v>380000</v>
      </c>
    </row>
    <row r="1285" spans="1:16" ht="16.5" thickBot="1">
      <c r="A1285" s="885" t="s">
        <v>103</v>
      </c>
      <c r="B1285" s="886"/>
      <c r="C1285" s="886"/>
      <c r="D1285" s="886"/>
      <c r="E1285" s="887"/>
      <c r="F1285" s="69">
        <f>+F1249</f>
        <v>659077254</v>
      </c>
      <c r="I1285" s="885" t="s">
        <v>103</v>
      </c>
      <c r="J1285" s="886"/>
      <c r="K1285" s="886"/>
      <c r="L1285" s="886"/>
      <c r="M1285" s="887"/>
      <c r="N1285" s="69">
        <f>+N1249</f>
        <v>530171219</v>
      </c>
      <c r="O1285" s="241" t="s">
        <v>561</v>
      </c>
      <c r="P1285" s="242"/>
    </row>
    <row r="1286" spans="1:16" ht="16.5" thickBot="1">
      <c r="A1286" s="888" t="s">
        <v>104</v>
      </c>
      <c r="B1286" s="889"/>
      <c r="C1286" s="889"/>
      <c r="D1286" s="889"/>
      <c r="E1286" s="890"/>
      <c r="F1286" s="183">
        <f>SUM(F1284:F1285)</f>
        <v>660393254</v>
      </c>
      <c r="I1286" s="888" t="s">
        <v>104</v>
      </c>
      <c r="J1286" s="889"/>
      <c r="K1286" s="889"/>
      <c r="L1286" s="889"/>
      <c r="M1286" s="890"/>
      <c r="N1286" s="183">
        <f>SUM(N1284:N1285)</f>
        <v>530551219</v>
      </c>
    </row>
    <row r="1287" spans="1:16">
      <c r="A1287" s="61"/>
      <c r="B1287" s="61"/>
      <c r="C1287" s="61"/>
      <c r="D1287" s="61"/>
      <c r="E1287" s="61"/>
      <c r="I1287" s="61"/>
      <c r="J1287" s="61"/>
      <c r="K1287" s="61"/>
      <c r="L1287" s="61"/>
      <c r="M1287" s="61"/>
    </row>
    <row r="1288" spans="1:16">
      <c r="A1288" s="51" t="s">
        <v>506</v>
      </c>
      <c r="I1288" s="51" t="s">
        <v>1580</v>
      </c>
    </row>
    <row r="1289" spans="1:16" ht="12" customHeight="1">
      <c r="F1289" s="139"/>
      <c r="N1289" s="139"/>
    </row>
    <row r="1290" spans="1:16">
      <c r="A1290" s="50" t="s">
        <v>105</v>
      </c>
      <c r="D1290" s="146"/>
      <c r="F1290" s="139"/>
      <c r="I1290" s="50" t="s">
        <v>105</v>
      </c>
      <c r="L1290" s="146"/>
      <c r="N1290" s="139"/>
    </row>
    <row r="1291" spans="1:16" ht="12" customHeight="1" thickBot="1"/>
    <row r="1292" spans="1:16" ht="15.75" thickBot="1">
      <c r="A1292" s="891" t="s">
        <v>106</v>
      </c>
      <c r="B1292" s="892"/>
      <c r="C1292" s="892"/>
      <c r="D1292" s="893"/>
      <c r="F1292" s="50" t="s">
        <v>288</v>
      </c>
      <c r="I1292" s="891" t="s">
        <v>106</v>
      </c>
      <c r="J1292" s="892"/>
      <c r="K1292" s="892"/>
      <c r="L1292" s="893"/>
      <c r="N1292" s="50" t="s">
        <v>288</v>
      </c>
    </row>
    <row r="1293" spans="1:16" ht="30.75" thickBot="1">
      <c r="A1293" s="57" t="s">
        <v>100</v>
      </c>
      <c r="B1293" s="58" t="s">
        <v>108</v>
      </c>
      <c r="C1293" s="59" t="s">
        <v>109</v>
      </c>
      <c r="D1293" s="60" t="s">
        <v>110</v>
      </c>
      <c r="I1293" s="57" t="s">
        <v>100</v>
      </c>
      <c r="J1293" s="58" t="s">
        <v>108</v>
      </c>
      <c r="K1293" s="59" t="s">
        <v>109</v>
      </c>
      <c r="L1293" s="60" t="s">
        <v>110</v>
      </c>
    </row>
    <row r="1294" spans="1:16" ht="12.75" customHeight="1">
      <c r="A1294" s="71">
        <v>719</v>
      </c>
      <c r="B1294" s="73">
        <f>+H1274+H1276+H1278+H1280+H1282</f>
        <v>940000</v>
      </c>
      <c r="C1294" s="74" t="e">
        <f>+D1257</f>
        <v>#REF!</v>
      </c>
      <c r="D1294" s="195" t="e">
        <f>+B1294+C1294</f>
        <v>#REF!</v>
      </c>
      <c r="I1294" s="71">
        <v>719</v>
      </c>
      <c r="J1294" s="73">
        <f>+P1274+P1276+P1278+P1280+P1282</f>
        <v>380000</v>
      </c>
      <c r="K1294" s="74">
        <f>+L1257</f>
        <v>25421700</v>
      </c>
      <c r="L1294" s="195">
        <f>+J1294+K1294</f>
        <v>25801700</v>
      </c>
    </row>
    <row r="1295" spans="1:16" ht="13.5" customHeight="1">
      <c r="A1295" s="72">
        <v>721</v>
      </c>
      <c r="B1295" s="80">
        <f>(+H1283+H1281+H1279+H1277+H1275)</f>
        <v>376000</v>
      </c>
      <c r="C1295" s="74" t="e">
        <f>+D1258</f>
        <v>#REF!</v>
      </c>
      <c r="D1295" s="195" t="e">
        <f>+B1295+C1295</f>
        <v>#REF!</v>
      </c>
      <c r="I1295" s="72">
        <v>721</v>
      </c>
      <c r="J1295" s="80">
        <v>0</v>
      </c>
      <c r="K1295" s="74">
        <f>+L1258</f>
        <v>83438931</v>
      </c>
      <c r="L1295" s="195">
        <f>+J1295+K1295</f>
        <v>83438931</v>
      </c>
    </row>
    <row r="1296" spans="1:16" ht="14.25" customHeight="1">
      <c r="A1296" s="72">
        <v>722</v>
      </c>
      <c r="B1296" s="80"/>
      <c r="C1296" s="74">
        <f>+D1259</f>
        <v>231207671</v>
      </c>
      <c r="D1296" s="195">
        <f>+B1296+C1296</f>
        <v>231207671</v>
      </c>
      <c r="I1296" s="72">
        <v>722</v>
      </c>
      <c r="J1296" s="80"/>
      <c r="K1296" s="74">
        <f>+L1259</f>
        <v>0</v>
      </c>
      <c r="L1296" s="195">
        <f>+J1296+K1296</f>
        <v>0</v>
      </c>
    </row>
    <row r="1297" spans="1:16" ht="15.75">
      <c r="A1297" s="72">
        <v>723</v>
      </c>
      <c r="B1297" s="80"/>
      <c r="C1297" s="74">
        <f>+D1260</f>
        <v>323193545</v>
      </c>
      <c r="D1297" s="195">
        <f>+B1297+C1297</f>
        <v>323193545</v>
      </c>
      <c r="F1297" s="174" t="s">
        <v>23</v>
      </c>
      <c r="G1297" s="175"/>
      <c r="I1297" s="72">
        <v>723</v>
      </c>
      <c r="J1297" s="80">
        <f>+P1283+P1281+P1279+P1277+P1275</f>
        <v>0</v>
      </c>
      <c r="K1297" s="74">
        <f>+L1260</f>
        <v>421310588</v>
      </c>
      <c r="L1297" s="195">
        <f>+J1297+K1297</f>
        <v>421310588</v>
      </c>
      <c r="N1297" s="918" t="s">
        <v>1481</v>
      </c>
      <c r="O1297" s="918"/>
      <c r="P1297" s="918"/>
    </row>
    <row r="1298" spans="1:16" ht="13.5" customHeight="1" thickBot="1">
      <c r="A1298" s="164" t="s">
        <v>181</v>
      </c>
      <c r="B1298" s="165"/>
      <c r="C1298" s="74" t="e">
        <f>+D1261</f>
        <v>#REF!</v>
      </c>
      <c r="D1298" s="196" t="e">
        <f>+B1298+C1298</f>
        <v>#REF!</v>
      </c>
      <c r="F1298" s="52"/>
      <c r="I1298" s="164" t="s">
        <v>181</v>
      </c>
      <c r="J1298" s="165"/>
      <c r="K1298" s="74">
        <f>+L1261</f>
        <v>0</v>
      </c>
      <c r="L1298" s="196">
        <f>+J1298+K1298</f>
        <v>0</v>
      </c>
      <c r="N1298" s="52"/>
    </row>
    <row r="1299" spans="1:16" ht="16.5" thickBot="1">
      <c r="A1299" s="169"/>
      <c r="B1299" s="170">
        <f>SUM(B1294:B1298)</f>
        <v>1316000</v>
      </c>
      <c r="C1299" s="171" t="e">
        <f>SUM(C1294:C1298)</f>
        <v>#REF!</v>
      </c>
      <c r="D1299" s="172" t="e">
        <f>SUM(D1294:D1298)</f>
        <v>#REF!</v>
      </c>
      <c r="I1299" s="169"/>
      <c r="J1299" s="197">
        <f>SUM(J1294:J1298)</f>
        <v>380000</v>
      </c>
      <c r="K1299" s="197">
        <f>SUM(K1294:K1298)</f>
        <v>530171219</v>
      </c>
      <c r="L1299" s="198">
        <f>SUM(L1294:L1298)</f>
        <v>530551219</v>
      </c>
    </row>
    <row r="1300" spans="1:16" ht="16.5">
      <c r="A1300" s="49" t="s">
        <v>88</v>
      </c>
      <c r="B1300" s="50"/>
      <c r="I1300" s="49" t="s">
        <v>88</v>
      </c>
      <c r="J1300" s="50"/>
    </row>
    <row r="1301" spans="1:16">
      <c r="A1301" s="51" t="s">
        <v>89</v>
      </c>
      <c r="I1301" s="51" t="s">
        <v>89</v>
      </c>
    </row>
    <row r="1302" spans="1:16">
      <c r="A1302" s="51" t="s">
        <v>90</v>
      </c>
      <c r="I1302" s="51" t="s">
        <v>90</v>
      </c>
    </row>
    <row r="1303" spans="1:16">
      <c r="A1303" s="51" t="s">
        <v>91</v>
      </c>
      <c r="I1303" s="51" t="s">
        <v>91</v>
      </c>
    </row>
    <row r="1304" spans="1:16" ht="12" customHeight="1">
      <c r="A1304" s="50"/>
      <c r="B1304" s="50"/>
      <c r="I1304" s="50"/>
      <c r="J1304" s="50"/>
    </row>
    <row r="1305" spans="1:16" ht="16.5">
      <c r="A1305" s="52" t="s">
        <v>507</v>
      </c>
      <c r="G1305" s="52"/>
      <c r="I1305" s="260" t="s">
        <v>209</v>
      </c>
      <c r="O1305" s="52"/>
    </row>
    <row r="1306" spans="1:16" ht="15.75">
      <c r="A1306" s="53" t="s">
        <v>92</v>
      </c>
      <c r="G1306" s="53"/>
      <c r="I1306" s="53" t="s">
        <v>1333</v>
      </c>
      <c r="O1306" s="53"/>
    </row>
    <row r="1307" spans="1:16" ht="16.5">
      <c r="A1307" s="894" t="s">
        <v>261</v>
      </c>
      <c r="B1307" s="894"/>
      <c r="C1307" s="894"/>
      <c r="D1307" s="894"/>
      <c r="E1307" s="894"/>
      <c r="F1307" s="894"/>
      <c r="G1307" s="894"/>
      <c r="H1307" s="894"/>
      <c r="I1307" s="894" t="s">
        <v>903</v>
      </c>
      <c r="J1307" s="894"/>
      <c r="K1307" s="894"/>
      <c r="L1307" s="894"/>
      <c r="M1307" s="894"/>
      <c r="N1307" s="894"/>
      <c r="O1307" s="894"/>
      <c r="P1307" s="894"/>
    </row>
    <row r="1308" spans="1:16" ht="15.75" thickBot="1"/>
    <row r="1309" spans="1:16">
      <c r="A1309" s="895" t="s">
        <v>94</v>
      </c>
      <c r="B1309" s="897" t="s">
        <v>95</v>
      </c>
      <c r="C1309" s="897" t="s">
        <v>96</v>
      </c>
      <c r="D1309" s="897" t="s">
        <v>3</v>
      </c>
      <c r="E1309" s="897" t="s">
        <v>97</v>
      </c>
      <c r="F1309" s="897" t="s">
        <v>98</v>
      </c>
      <c r="G1309" s="897" t="s">
        <v>99</v>
      </c>
      <c r="H1309" s="899"/>
      <c r="I1309" s="895" t="s">
        <v>94</v>
      </c>
      <c r="J1309" s="897" t="s">
        <v>95</v>
      </c>
      <c r="K1309" s="897" t="s">
        <v>96</v>
      </c>
      <c r="L1309" s="897" t="s">
        <v>3</v>
      </c>
      <c r="M1309" s="897" t="s">
        <v>97</v>
      </c>
      <c r="N1309" s="897" t="s">
        <v>98</v>
      </c>
      <c r="O1309" s="897" t="s">
        <v>99</v>
      </c>
      <c r="P1309" s="899"/>
    </row>
    <row r="1310" spans="1:16" ht="15.75" thickBot="1">
      <c r="A1310" s="896"/>
      <c r="B1310" s="898"/>
      <c r="C1310" s="898"/>
      <c r="D1310" s="898"/>
      <c r="E1310" s="898"/>
      <c r="F1310" s="898"/>
      <c r="G1310" s="240" t="s">
        <v>100</v>
      </c>
      <c r="H1310" s="182" t="s">
        <v>101</v>
      </c>
      <c r="I1310" s="896"/>
      <c r="J1310" s="898"/>
      <c r="K1310" s="898"/>
      <c r="L1310" s="898"/>
      <c r="M1310" s="898"/>
      <c r="N1310" s="898"/>
      <c r="O1310" s="240" t="s">
        <v>100</v>
      </c>
      <c r="P1310" s="182" t="s">
        <v>101</v>
      </c>
    </row>
    <row r="1311" spans="1:16" ht="13.5" customHeight="1">
      <c r="A1311" s="919" t="e">
        <f>+A1282+1</f>
        <v>#REF!</v>
      </c>
      <c r="B1311" s="875">
        <v>42364</v>
      </c>
      <c r="C1311" s="877" t="s">
        <v>267</v>
      </c>
      <c r="D1311" s="877" t="s">
        <v>509</v>
      </c>
      <c r="E1311" s="881" t="s">
        <v>148</v>
      </c>
      <c r="F1311" s="883">
        <v>112000</v>
      </c>
      <c r="G1311" s="55">
        <v>719</v>
      </c>
      <c r="H1311" s="78">
        <v>80000</v>
      </c>
      <c r="I1311" s="873" t="s">
        <v>1589</v>
      </c>
      <c r="J1311" s="875">
        <v>43088</v>
      </c>
      <c r="K1311" s="877" t="s">
        <v>472</v>
      </c>
      <c r="L1311" s="881" t="s">
        <v>1522</v>
      </c>
      <c r="M1311" s="881" t="s">
        <v>148</v>
      </c>
      <c r="N1311" s="883">
        <v>325000</v>
      </c>
      <c r="O1311" s="55">
        <v>719</v>
      </c>
      <c r="P1311" s="78">
        <v>250000</v>
      </c>
    </row>
    <row r="1312" spans="1:16" ht="12.75" customHeight="1" thickBot="1">
      <c r="A1312" s="920"/>
      <c r="B1312" s="876"/>
      <c r="C1312" s="878"/>
      <c r="D1312" s="878"/>
      <c r="E1312" s="882"/>
      <c r="F1312" s="884"/>
      <c r="G1312" s="56">
        <v>721</v>
      </c>
      <c r="H1312" s="79">
        <f>+F1311-H1311</f>
        <v>32000</v>
      </c>
      <c r="I1312" s="874"/>
      <c r="J1312" s="876"/>
      <c r="K1312" s="878"/>
      <c r="L1312" s="882"/>
      <c r="M1312" s="882"/>
      <c r="N1312" s="884"/>
      <c r="O1312" s="56">
        <v>723</v>
      </c>
      <c r="P1312" s="79">
        <f>+N1311-P1311</f>
        <v>75000</v>
      </c>
    </row>
    <row r="1313" spans="1:16" ht="12" customHeight="1">
      <c r="A1313" s="919" t="e">
        <f>+A1311+1</f>
        <v>#REF!</v>
      </c>
      <c r="B1313" s="875">
        <v>42364</v>
      </c>
      <c r="C1313" s="881" t="s">
        <v>28</v>
      </c>
      <c r="D1313" s="877" t="s">
        <v>510</v>
      </c>
      <c r="E1313" s="881" t="s">
        <v>148</v>
      </c>
      <c r="F1313" s="883">
        <v>238000</v>
      </c>
      <c r="G1313" s="55">
        <v>719</v>
      </c>
      <c r="H1313" s="78">
        <v>170000</v>
      </c>
      <c r="I1313" s="881">
        <f>+I1311+1</f>
        <v>164</v>
      </c>
      <c r="J1313" s="875">
        <v>43088</v>
      </c>
      <c r="K1313" s="877" t="s">
        <v>472</v>
      </c>
      <c r="L1313" s="881" t="s">
        <v>1590</v>
      </c>
      <c r="M1313" s="881" t="s">
        <v>148</v>
      </c>
      <c r="N1313" s="883">
        <v>312000</v>
      </c>
      <c r="O1313" s="55">
        <v>719</v>
      </c>
      <c r="P1313" s="78">
        <v>240000</v>
      </c>
    </row>
    <row r="1314" spans="1:16" ht="13.5" customHeight="1" thickBot="1">
      <c r="A1314" s="920"/>
      <c r="B1314" s="876"/>
      <c r="C1314" s="882"/>
      <c r="D1314" s="878"/>
      <c r="E1314" s="882"/>
      <c r="F1314" s="884"/>
      <c r="G1314" s="56">
        <v>721</v>
      </c>
      <c r="H1314" s="79">
        <f>+F1313-H1313</f>
        <v>68000</v>
      </c>
      <c r="I1314" s="882"/>
      <c r="J1314" s="876"/>
      <c r="K1314" s="878"/>
      <c r="L1314" s="882"/>
      <c r="M1314" s="882"/>
      <c r="N1314" s="884"/>
      <c r="O1314" s="56">
        <v>723</v>
      </c>
      <c r="P1314" s="79">
        <f>+N1313-P1313</f>
        <v>72000</v>
      </c>
    </row>
    <row r="1315" spans="1:16" ht="12.75" customHeight="1">
      <c r="A1315" s="919" t="e">
        <f>+A1313+1</f>
        <v>#REF!</v>
      </c>
      <c r="B1315" s="875">
        <v>42364</v>
      </c>
      <c r="C1315" s="877" t="s">
        <v>32</v>
      </c>
      <c r="D1315" s="877" t="s">
        <v>510</v>
      </c>
      <c r="E1315" s="881" t="s">
        <v>148</v>
      </c>
      <c r="F1315" s="883">
        <v>112000</v>
      </c>
      <c r="G1315" s="55">
        <v>719</v>
      </c>
      <c r="H1315" s="78">
        <v>80000</v>
      </c>
      <c r="I1315" s="881">
        <f>+I1313+1</f>
        <v>165</v>
      </c>
      <c r="J1315" s="875">
        <v>43088</v>
      </c>
      <c r="K1315" s="877" t="s">
        <v>472</v>
      </c>
      <c r="L1315" s="881" t="s">
        <v>1507</v>
      </c>
      <c r="M1315" s="881" t="s">
        <v>148</v>
      </c>
      <c r="N1315" s="883">
        <v>247000</v>
      </c>
      <c r="O1315" s="55">
        <v>719</v>
      </c>
      <c r="P1315" s="78">
        <v>190000</v>
      </c>
    </row>
    <row r="1316" spans="1:16" ht="12.75" customHeight="1" thickBot="1">
      <c r="A1316" s="920"/>
      <c r="B1316" s="876"/>
      <c r="C1316" s="878"/>
      <c r="D1316" s="878"/>
      <c r="E1316" s="882"/>
      <c r="F1316" s="884"/>
      <c r="G1316" s="56">
        <v>721</v>
      </c>
      <c r="H1316" s="79">
        <f>+F1315-H1315</f>
        <v>32000</v>
      </c>
      <c r="I1316" s="882"/>
      <c r="J1316" s="876"/>
      <c r="K1316" s="878"/>
      <c r="L1316" s="882"/>
      <c r="M1316" s="882"/>
      <c r="N1316" s="884"/>
      <c r="O1316" s="56">
        <v>723</v>
      </c>
      <c r="P1316" s="79">
        <f>+N1315-P1315</f>
        <v>57000</v>
      </c>
    </row>
    <row r="1317" spans="1:16" ht="13.5" customHeight="1">
      <c r="A1317" s="919" t="e">
        <f>+A1315+1</f>
        <v>#REF!</v>
      </c>
      <c r="B1317" s="875">
        <v>42364</v>
      </c>
      <c r="C1317" s="877" t="s">
        <v>111</v>
      </c>
      <c r="D1317" s="877" t="s">
        <v>511</v>
      </c>
      <c r="E1317" s="881" t="s">
        <v>148</v>
      </c>
      <c r="F1317" s="883">
        <v>112000</v>
      </c>
      <c r="G1317" s="55">
        <v>719</v>
      </c>
      <c r="H1317" s="78">
        <v>80000</v>
      </c>
      <c r="I1317" s="881">
        <f>+I1315+1</f>
        <v>166</v>
      </c>
      <c r="J1317" s="875">
        <v>43088</v>
      </c>
      <c r="K1317" s="877" t="s">
        <v>472</v>
      </c>
      <c r="L1317" s="881" t="s">
        <v>1506</v>
      </c>
      <c r="M1317" s="881" t="s">
        <v>148</v>
      </c>
      <c r="N1317" s="883">
        <v>208000</v>
      </c>
      <c r="O1317" s="55">
        <v>719</v>
      </c>
      <c r="P1317" s="78">
        <v>160000</v>
      </c>
    </row>
    <row r="1318" spans="1:16" ht="13.5" customHeight="1" thickBot="1">
      <c r="A1318" s="920"/>
      <c r="B1318" s="876"/>
      <c r="C1318" s="878"/>
      <c r="D1318" s="878"/>
      <c r="E1318" s="882"/>
      <c r="F1318" s="884"/>
      <c r="G1318" s="56">
        <v>721</v>
      </c>
      <c r="H1318" s="79">
        <f>+F1317-H1317</f>
        <v>32000</v>
      </c>
      <c r="I1318" s="882"/>
      <c r="J1318" s="876"/>
      <c r="K1318" s="878"/>
      <c r="L1318" s="882"/>
      <c r="M1318" s="882"/>
      <c r="N1318" s="884"/>
      <c r="O1318" s="56">
        <v>723</v>
      </c>
      <c r="P1318" s="79">
        <f>+N1317-P1317</f>
        <v>48000</v>
      </c>
    </row>
    <row r="1319" spans="1:16" ht="12.75" customHeight="1">
      <c r="A1319" s="919" t="e">
        <f>+A1317+1</f>
        <v>#REF!</v>
      </c>
      <c r="B1319" s="875">
        <v>42364</v>
      </c>
      <c r="C1319" s="877" t="s">
        <v>272</v>
      </c>
      <c r="D1319" s="877" t="s">
        <v>510</v>
      </c>
      <c r="E1319" s="881" t="s">
        <v>148</v>
      </c>
      <c r="F1319" s="883">
        <v>616000</v>
      </c>
      <c r="G1319" s="55">
        <v>719</v>
      </c>
      <c r="H1319" s="78">
        <v>440000</v>
      </c>
      <c r="I1319" s="881">
        <f>+I1317+1</f>
        <v>167</v>
      </c>
      <c r="J1319" s="875">
        <v>43088</v>
      </c>
      <c r="K1319" s="877" t="s">
        <v>472</v>
      </c>
      <c r="L1319" s="881" t="s">
        <v>1510</v>
      </c>
      <c r="M1319" s="881" t="s">
        <v>148</v>
      </c>
      <c r="N1319" s="883">
        <v>234000</v>
      </c>
      <c r="O1319" s="55">
        <v>719</v>
      </c>
      <c r="P1319" s="78">
        <v>180000</v>
      </c>
    </row>
    <row r="1320" spans="1:16" ht="12.75" customHeight="1" thickBot="1">
      <c r="A1320" s="920"/>
      <c r="B1320" s="876"/>
      <c r="C1320" s="878"/>
      <c r="D1320" s="878"/>
      <c r="E1320" s="882"/>
      <c r="F1320" s="884"/>
      <c r="G1320" s="56">
        <v>721</v>
      </c>
      <c r="H1320" s="79">
        <f>+F1319-H1319</f>
        <v>176000</v>
      </c>
      <c r="I1320" s="882"/>
      <c r="J1320" s="876"/>
      <c r="K1320" s="878"/>
      <c r="L1320" s="882"/>
      <c r="M1320" s="882"/>
      <c r="N1320" s="884"/>
      <c r="O1320" s="56">
        <v>723</v>
      </c>
      <c r="P1320" s="79">
        <f>+N1319-P1319</f>
        <v>54000</v>
      </c>
    </row>
    <row r="1321" spans="1:16" ht="16.5" thickBot="1">
      <c r="A1321" s="901" t="s">
        <v>102</v>
      </c>
      <c r="B1321" s="902"/>
      <c r="C1321" s="902"/>
      <c r="D1321" s="902"/>
      <c r="E1321" s="903"/>
      <c r="F1321" s="81">
        <f>SUM(F1311:F1320)</f>
        <v>1190000</v>
      </c>
      <c r="I1321" s="901" t="s">
        <v>102</v>
      </c>
      <c r="J1321" s="902"/>
      <c r="K1321" s="902"/>
      <c r="L1321" s="902"/>
      <c r="M1321" s="903"/>
      <c r="N1321" s="81">
        <f>SUM(N1311:N1320)</f>
        <v>1326000</v>
      </c>
    </row>
    <row r="1322" spans="1:16" ht="16.5" thickBot="1">
      <c r="A1322" s="885" t="s">
        <v>103</v>
      </c>
      <c r="B1322" s="886"/>
      <c r="C1322" s="886"/>
      <c r="D1322" s="886"/>
      <c r="E1322" s="887"/>
      <c r="F1322" s="69">
        <f>+F1286</f>
        <v>660393254</v>
      </c>
      <c r="I1322" s="885" t="s">
        <v>103</v>
      </c>
      <c r="J1322" s="886"/>
      <c r="K1322" s="886"/>
      <c r="L1322" s="886"/>
      <c r="M1322" s="887"/>
      <c r="N1322" s="69">
        <f>+N1286</f>
        <v>530551219</v>
      </c>
      <c r="O1322" s="241" t="s">
        <v>561</v>
      </c>
      <c r="P1322" s="242">
        <f>426+320+398+660+676</f>
        <v>2480</v>
      </c>
    </row>
    <row r="1323" spans="1:16" ht="16.5" thickBot="1">
      <c r="A1323" s="888" t="s">
        <v>104</v>
      </c>
      <c r="B1323" s="889"/>
      <c r="C1323" s="889"/>
      <c r="D1323" s="889"/>
      <c r="E1323" s="890"/>
      <c r="F1323" s="183">
        <f>SUM(F1321:F1322)</f>
        <v>661583254</v>
      </c>
      <c r="I1323" s="888" t="s">
        <v>104</v>
      </c>
      <c r="J1323" s="889"/>
      <c r="K1323" s="889"/>
      <c r="L1323" s="889"/>
      <c r="M1323" s="890"/>
      <c r="N1323" s="183">
        <f>SUM(N1321:N1322)</f>
        <v>531877219</v>
      </c>
    </row>
    <row r="1324" spans="1:16">
      <c r="A1324" s="61"/>
      <c r="B1324" s="61"/>
      <c r="C1324" s="61"/>
      <c r="D1324" s="61"/>
      <c r="E1324" s="61"/>
      <c r="I1324" s="61"/>
      <c r="J1324" s="61"/>
      <c r="K1324" s="61"/>
      <c r="L1324" s="61"/>
      <c r="M1324" s="61"/>
    </row>
    <row r="1325" spans="1:16">
      <c r="A1325" s="51" t="s">
        <v>512</v>
      </c>
      <c r="I1325" s="51" t="s">
        <v>1598</v>
      </c>
    </row>
    <row r="1326" spans="1:16" ht="9.75" customHeight="1">
      <c r="F1326" s="139"/>
      <c r="N1326" s="139"/>
    </row>
    <row r="1327" spans="1:16">
      <c r="A1327" s="50" t="s">
        <v>105</v>
      </c>
      <c r="D1327" s="146"/>
      <c r="F1327" s="139"/>
      <c r="I1327" s="50" t="s">
        <v>105</v>
      </c>
      <c r="L1327" s="146"/>
      <c r="N1327" s="139"/>
    </row>
    <row r="1328" spans="1:16" ht="10.5" customHeight="1" thickBot="1"/>
    <row r="1329" spans="1:16" ht="15.75" thickBot="1">
      <c r="A1329" s="891" t="s">
        <v>106</v>
      </c>
      <c r="B1329" s="892"/>
      <c r="C1329" s="892"/>
      <c r="D1329" s="893"/>
      <c r="F1329" s="50" t="s">
        <v>288</v>
      </c>
      <c r="I1329" s="891" t="s">
        <v>106</v>
      </c>
      <c r="J1329" s="892"/>
      <c r="K1329" s="892"/>
      <c r="L1329" s="893"/>
      <c r="N1329" s="50" t="s">
        <v>288</v>
      </c>
    </row>
    <row r="1330" spans="1:16" ht="30.75" thickBot="1">
      <c r="A1330" s="57" t="s">
        <v>100</v>
      </c>
      <c r="B1330" s="58" t="s">
        <v>108</v>
      </c>
      <c r="C1330" s="59" t="s">
        <v>109</v>
      </c>
      <c r="D1330" s="60" t="s">
        <v>110</v>
      </c>
      <c r="I1330" s="57" t="s">
        <v>100</v>
      </c>
      <c r="J1330" s="58" t="s">
        <v>108</v>
      </c>
      <c r="K1330" s="59" t="s">
        <v>109</v>
      </c>
      <c r="L1330" s="60" t="s">
        <v>110</v>
      </c>
    </row>
    <row r="1331" spans="1:16">
      <c r="A1331" s="71">
        <v>719</v>
      </c>
      <c r="B1331" s="73">
        <f>+H1311+H1313+H1315+H1317+H1319</f>
        <v>850000</v>
      </c>
      <c r="C1331" s="74" t="e">
        <f>+D1294</f>
        <v>#REF!</v>
      </c>
      <c r="D1331" s="195" t="e">
        <f>+B1331+C1331</f>
        <v>#REF!</v>
      </c>
      <c r="I1331" s="71">
        <v>719</v>
      </c>
      <c r="J1331" s="73">
        <f>+P1311+P1313+P1315+P1317+P1319</f>
        <v>1020000</v>
      </c>
      <c r="K1331" s="74">
        <f>+L1294</f>
        <v>25801700</v>
      </c>
      <c r="L1331" s="195">
        <f>+J1331+K1331</f>
        <v>26821700</v>
      </c>
    </row>
    <row r="1332" spans="1:16">
      <c r="A1332" s="72">
        <v>721</v>
      </c>
      <c r="B1332" s="80">
        <f>(+H1320+H1318+H1316+H1314+H1312)</f>
        <v>340000</v>
      </c>
      <c r="C1332" s="74" t="e">
        <f>+D1295</f>
        <v>#REF!</v>
      </c>
      <c r="D1332" s="195" t="e">
        <f>+B1332+C1332</f>
        <v>#REF!</v>
      </c>
      <c r="I1332" s="72">
        <v>721</v>
      </c>
      <c r="J1332" s="80">
        <f>+P1312+P1314+P1316+P1318+P1320</f>
        <v>306000</v>
      </c>
      <c r="K1332" s="74">
        <f>+L1295</f>
        <v>83438931</v>
      </c>
      <c r="L1332" s="195">
        <f>+J1332+K1332</f>
        <v>83744931</v>
      </c>
    </row>
    <row r="1333" spans="1:16" ht="13.5" customHeight="1">
      <c r="A1333" s="72">
        <v>722</v>
      </c>
      <c r="B1333" s="80"/>
      <c r="C1333" s="74">
        <f>+D1296</f>
        <v>231207671</v>
      </c>
      <c r="D1333" s="195">
        <f>+B1333+C1333</f>
        <v>231207671</v>
      </c>
      <c r="I1333" s="72">
        <v>722</v>
      </c>
      <c r="J1333" s="80"/>
      <c r="K1333" s="74">
        <f>+L1296</f>
        <v>0</v>
      </c>
      <c r="L1333" s="195">
        <f>+J1333+K1333</f>
        <v>0</v>
      </c>
    </row>
    <row r="1334" spans="1:16" ht="15.75">
      <c r="A1334" s="72">
        <v>723</v>
      </c>
      <c r="B1334" s="80"/>
      <c r="C1334" s="74">
        <f>+D1297</f>
        <v>323193545</v>
      </c>
      <c r="D1334" s="195">
        <f>+B1334+C1334</f>
        <v>323193545</v>
      </c>
      <c r="F1334" s="174" t="s">
        <v>23</v>
      </c>
      <c r="G1334" s="175"/>
      <c r="I1334" s="72">
        <v>723</v>
      </c>
      <c r="J1334" s="80"/>
      <c r="K1334" s="74">
        <f>+L1297</f>
        <v>421310588</v>
      </c>
      <c r="L1334" s="195">
        <f>+J1334+K1334</f>
        <v>421310588</v>
      </c>
      <c r="N1334" s="918" t="s">
        <v>1481</v>
      </c>
      <c r="O1334" s="918"/>
      <c r="P1334" s="918"/>
    </row>
    <row r="1335" spans="1:16" ht="15" customHeight="1" thickBot="1">
      <c r="A1335" s="164" t="s">
        <v>181</v>
      </c>
      <c r="B1335" s="165"/>
      <c r="C1335" s="74" t="e">
        <f>+D1298</f>
        <v>#REF!</v>
      </c>
      <c r="D1335" s="196" t="e">
        <f>+B1335+C1335</f>
        <v>#REF!</v>
      </c>
      <c r="F1335" s="52"/>
      <c r="I1335" s="164" t="s">
        <v>181</v>
      </c>
      <c r="J1335" s="165"/>
      <c r="K1335" s="74">
        <f>+L1298</f>
        <v>0</v>
      </c>
      <c r="L1335" s="196">
        <f>+J1335+K1335</f>
        <v>0</v>
      </c>
      <c r="N1335" s="52"/>
    </row>
    <row r="1336" spans="1:16" ht="16.5" thickBot="1">
      <c r="A1336" s="169"/>
      <c r="B1336" s="170">
        <f>SUM(B1331:B1335)</f>
        <v>1190000</v>
      </c>
      <c r="C1336" s="171" t="e">
        <f>SUM(C1331:C1335)</f>
        <v>#REF!</v>
      </c>
      <c r="D1336" s="172" t="e">
        <f>SUM(D1331:D1335)</f>
        <v>#REF!</v>
      </c>
      <c r="I1336" s="169"/>
      <c r="J1336" s="197">
        <f>SUM(J1331:J1335)</f>
        <v>1326000</v>
      </c>
      <c r="K1336" s="197">
        <f>SUM(K1331:K1335)</f>
        <v>530551219</v>
      </c>
      <c r="L1336" s="198">
        <f>SUM(L1331:L1335)</f>
        <v>531877219</v>
      </c>
    </row>
    <row r="1337" spans="1:16" ht="16.5">
      <c r="A1337" s="49" t="s">
        <v>88</v>
      </c>
      <c r="B1337" s="50"/>
      <c r="I1337" s="49" t="s">
        <v>88</v>
      </c>
      <c r="J1337" s="50"/>
    </row>
    <row r="1338" spans="1:16">
      <c r="A1338" s="51" t="s">
        <v>89</v>
      </c>
      <c r="I1338" s="51" t="s">
        <v>89</v>
      </c>
    </row>
    <row r="1339" spans="1:16">
      <c r="A1339" s="51" t="s">
        <v>90</v>
      </c>
      <c r="I1339" s="51" t="s">
        <v>90</v>
      </c>
    </row>
    <row r="1340" spans="1:16">
      <c r="A1340" s="51" t="s">
        <v>91</v>
      </c>
      <c r="I1340" s="51" t="s">
        <v>91</v>
      </c>
    </row>
    <row r="1341" spans="1:16" ht="9.75" customHeight="1">
      <c r="A1341" s="50"/>
      <c r="B1341" s="50"/>
      <c r="I1341" s="50"/>
      <c r="J1341" s="50"/>
    </row>
    <row r="1342" spans="1:16" ht="16.5">
      <c r="A1342" s="52" t="s">
        <v>508</v>
      </c>
      <c r="G1342" s="52"/>
      <c r="I1342" s="260" t="s">
        <v>898</v>
      </c>
      <c r="O1342" s="52"/>
    </row>
    <row r="1343" spans="1:16" ht="14.25" customHeight="1">
      <c r="A1343" s="53" t="s">
        <v>92</v>
      </c>
      <c r="G1343" s="53"/>
      <c r="I1343" s="53" t="s">
        <v>1333</v>
      </c>
      <c r="O1343" s="53"/>
    </row>
    <row r="1344" spans="1:16" ht="16.5">
      <c r="A1344" s="894" t="s">
        <v>261</v>
      </c>
      <c r="B1344" s="894"/>
      <c r="C1344" s="894"/>
      <c r="D1344" s="894"/>
      <c r="E1344" s="894"/>
      <c r="F1344" s="894"/>
      <c r="G1344" s="894"/>
      <c r="H1344" s="894"/>
      <c r="I1344" s="894" t="s">
        <v>903</v>
      </c>
      <c r="J1344" s="894"/>
      <c r="K1344" s="894"/>
      <c r="L1344" s="894"/>
      <c r="M1344" s="894"/>
      <c r="N1344" s="894"/>
      <c r="O1344" s="894"/>
      <c r="P1344" s="894"/>
    </row>
    <row r="1345" spans="1:16" ht="13.5" customHeight="1" thickBot="1"/>
    <row r="1346" spans="1:16">
      <c r="A1346" s="895" t="s">
        <v>94</v>
      </c>
      <c r="B1346" s="897" t="s">
        <v>95</v>
      </c>
      <c r="C1346" s="897" t="s">
        <v>96</v>
      </c>
      <c r="D1346" s="897" t="s">
        <v>3</v>
      </c>
      <c r="E1346" s="897" t="s">
        <v>97</v>
      </c>
      <c r="F1346" s="897" t="s">
        <v>98</v>
      </c>
      <c r="G1346" s="897" t="s">
        <v>99</v>
      </c>
      <c r="H1346" s="899"/>
      <c r="I1346" s="895" t="s">
        <v>94</v>
      </c>
      <c r="J1346" s="897" t="s">
        <v>95</v>
      </c>
      <c r="K1346" s="897" t="s">
        <v>96</v>
      </c>
      <c r="L1346" s="897" t="s">
        <v>3</v>
      </c>
      <c r="M1346" s="897" t="s">
        <v>97</v>
      </c>
      <c r="N1346" s="897" t="s">
        <v>98</v>
      </c>
      <c r="O1346" s="897" t="s">
        <v>99</v>
      </c>
      <c r="P1346" s="899"/>
    </row>
    <row r="1347" spans="1:16" ht="15.75" thickBot="1">
      <c r="A1347" s="896"/>
      <c r="B1347" s="898"/>
      <c r="C1347" s="898"/>
      <c r="D1347" s="898"/>
      <c r="E1347" s="898"/>
      <c r="F1347" s="898"/>
      <c r="G1347" s="240" t="s">
        <v>100</v>
      </c>
      <c r="H1347" s="182" t="s">
        <v>101</v>
      </c>
      <c r="I1347" s="896"/>
      <c r="J1347" s="898"/>
      <c r="K1347" s="898"/>
      <c r="L1347" s="898"/>
      <c r="M1347" s="898"/>
      <c r="N1347" s="898"/>
      <c r="O1347" s="240" t="s">
        <v>100</v>
      </c>
      <c r="P1347" s="182" t="s">
        <v>101</v>
      </c>
    </row>
    <row r="1348" spans="1:16" ht="12.75" customHeight="1">
      <c r="A1348" s="919" t="e">
        <f>+A1319+1</f>
        <v>#REF!</v>
      </c>
      <c r="B1348" s="875">
        <v>42364</v>
      </c>
      <c r="C1348" s="877" t="s">
        <v>31</v>
      </c>
      <c r="D1348" s="877" t="s">
        <v>513</v>
      </c>
      <c r="E1348" s="881" t="s">
        <v>115</v>
      </c>
      <c r="F1348" s="883">
        <v>100000</v>
      </c>
      <c r="G1348" s="55">
        <v>719</v>
      </c>
      <c r="H1348" s="78">
        <v>100000</v>
      </c>
      <c r="I1348" s="873" t="s">
        <v>1591</v>
      </c>
      <c r="J1348" s="875">
        <v>42723</v>
      </c>
      <c r="K1348" s="877" t="s">
        <v>28</v>
      </c>
      <c r="L1348" s="881" t="s">
        <v>1592</v>
      </c>
      <c r="M1348" s="881" t="s">
        <v>775</v>
      </c>
      <c r="N1348" s="883">
        <v>230000</v>
      </c>
      <c r="O1348" s="55">
        <v>719</v>
      </c>
      <c r="P1348" s="78">
        <v>230000</v>
      </c>
    </row>
    <row r="1349" spans="1:16" ht="13.5" customHeight="1" thickBot="1">
      <c r="A1349" s="920"/>
      <c r="B1349" s="876"/>
      <c r="C1349" s="878"/>
      <c r="D1349" s="878"/>
      <c r="E1349" s="882"/>
      <c r="F1349" s="884"/>
      <c r="G1349" s="56">
        <v>721</v>
      </c>
      <c r="H1349" s="79">
        <f>+F1348-H1348</f>
        <v>0</v>
      </c>
      <c r="I1349" s="874"/>
      <c r="J1349" s="876"/>
      <c r="K1349" s="878"/>
      <c r="L1349" s="882"/>
      <c r="M1349" s="882"/>
      <c r="N1349" s="884"/>
      <c r="O1349" s="56">
        <v>723</v>
      </c>
      <c r="P1349" s="79">
        <f>+N1348-P1348</f>
        <v>0</v>
      </c>
    </row>
    <row r="1350" spans="1:16" ht="15" customHeight="1">
      <c r="A1350" s="919" t="e">
        <f>+A1348+1</f>
        <v>#REF!</v>
      </c>
      <c r="B1350" s="875">
        <v>42364</v>
      </c>
      <c r="C1350" s="877" t="s">
        <v>472</v>
      </c>
      <c r="D1350" s="877" t="s">
        <v>517</v>
      </c>
      <c r="E1350" s="881" t="s">
        <v>115</v>
      </c>
      <c r="F1350" s="883">
        <v>40000</v>
      </c>
      <c r="G1350" s="55">
        <v>719</v>
      </c>
      <c r="H1350" s="78">
        <v>40000</v>
      </c>
      <c r="I1350" s="881">
        <f>+I1348+1</f>
        <v>169</v>
      </c>
      <c r="J1350" s="875">
        <v>42723</v>
      </c>
      <c r="K1350" s="877" t="s">
        <v>28</v>
      </c>
      <c r="L1350" s="881" t="s">
        <v>1516</v>
      </c>
      <c r="M1350" s="881" t="s">
        <v>775</v>
      </c>
      <c r="N1350" s="883">
        <v>90000</v>
      </c>
      <c r="O1350" s="55">
        <v>719</v>
      </c>
      <c r="P1350" s="78">
        <v>90000</v>
      </c>
    </row>
    <row r="1351" spans="1:16" ht="13.5" customHeight="1" thickBot="1">
      <c r="A1351" s="920"/>
      <c r="B1351" s="876"/>
      <c r="C1351" s="878"/>
      <c r="D1351" s="878"/>
      <c r="E1351" s="882"/>
      <c r="F1351" s="884"/>
      <c r="G1351" s="56">
        <v>721</v>
      </c>
      <c r="H1351" s="79">
        <f>+F1350-H1350</f>
        <v>0</v>
      </c>
      <c r="I1351" s="882"/>
      <c r="J1351" s="876"/>
      <c r="K1351" s="878"/>
      <c r="L1351" s="882"/>
      <c r="M1351" s="882"/>
      <c r="N1351" s="884"/>
      <c r="O1351" s="56">
        <v>723</v>
      </c>
      <c r="P1351" s="79">
        <f>+N1350-P1350</f>
        <v>0</v>
      </c>
    </row>
    <row r="1352" spans="1:16" ht="14.25" customHeight="1">
      <c r="A1352" s="919" t="e">
        <f>+A1350+1</f>
        <v>#REF!</v>
      </c>
      <c r="B1352" s="875">
        <v>42364</v>
      </c>
      <c r="C1352" s="877" t="s">
        <v>32</v>
      </c>
      <c r="D1352" s="877" t="s">
        <v>518</v>
      </c>
      <c r="E1352" s="881" t="s">
        <v>115</v>
      </c>
      <c r="F1352" s="883">
        <v>40000</v>
      </c>
      <c r="G1352" s="55">
        <v>719</v>
      </c>
      <c r="H1352" s="78">
        <v>40000</v>
      </c>
      <c r="I1352" s="881">
        <f>+I1350+1</f>
        <v>170</v>
      </c>
      <c r="J1352" s="875">
        <v>42723</v>
      </c>
      <c r="K1352" s="877" t="s">
        <v>28</v>
      </c>
      <c r="L1352" s="881" t="s">
        <v>1517</v>
      </c>
      <c r="M1352" s="881" t="s">
        <v>775</v>
      </c>
      <c r="N1352" s="883">
        <v>220000</v>
      </c>
      <c r="O1352" s="55">
        <v>719</v>
      </c>
      <c r="P1352" s="78">
        <v>220000</v>
      </c>
    </row>
    <row r="1353" spans="1:16" ht="13.5" customHeight="1" thickBot="1">
      <c r="A1353" s="920"/>
      <c r="B1353" s="876"/>
      <c r="C1353" s="878"/>
      <c r="D1353" s="878"/>
      <c r="E1353" s="882"/>
      <c r="F1353" s="884"/>
      <c r="G1353" s="56">
        <v>721</v>
      </c>
      <c r="H1353" s="79">
        <f>+F1352-H1352</f>
        <v>0</v>
      </c>
      <c r="I1353" s="882"/>
      <c r="J1353" s="876"/>
      <c r="K1353" s="878"/>
      <c r="L1353" s="882"/>
      <c r="M1353" s="882"/>
      <c r="N1353" s="884"/>
      <c r="O1353" s="56">
        <v>723</v>
      </c>
      <c r="P1353" s="79">
        <f>+N1352-P1352</f>
        <v>0</v>
      </c>
    </row>
    <row r="1354" spans="1:16" ht="15" customHeight="1">
      <c r="A1354" s="919" t="e">
        <f>+A1352+1</f>
        <v>#REF!</v>
      </c>
      <c r="B1354" s="875">
        <v>42364</v>
      </c>
      <c r="C1354" s="877" t="s">
        <v>120</v>
      </c>
      <c r="D1354" s="877" t="s">
        <v>519</v>
      </c>
      <c r="E1354" s="881" t="s">
        <v>115</v>
      </c>
      <c r="F1354" s="883">
        <v>20000</v>
      </c>
      <c r="G1354" s="55">
        <v>719</v>
      </c>
      <c r="H1354" s="78">
        <v>20000</v>
      </c>
      <c r="I1354" s="881">
        <f>+I1352+1</f>
        <v>171</v>
      </c>
      <c r="J1354" s="875">
        <v>42723</v>
      </c>
      <c r="K1354" s="877" t="s">
        <v>28</v>
      </c>
      <c r="L1354" s="881" t="s">
        <v>1593</v>
      </c>
      <c r="M1354" s="881" t="s">
        <v>775</v>
      </c>
      <c r="N1354" s="883">
        <v>80000</v>
      </c>
      <c r="O1354" s="55">
        <v>719</v>
      </c>
      <c r="P1354" s="78">
        <v>80000</v>
      </c>
    </row>
    <row r="1355" spans="1:16" ht="12" customHeight="1" thickBot="1">
      <c r="A1355" s="920"/>
      <c r="B1355" s="876"/>
      <c r="C1355" s="878"/>
      <c r="D1355" s="878"/>
      <c r="E1355" s="882"/>
      <c r="F1355" s="884"/>
      <c r="G1355" s="56">
        <v>721</v>
      </c>
      <c r="H1355" s="79">
        <f>+F1354-H1354</f>
        <v>0</v>
      </c>
      <c r="I1355" s="882"/>
      <c r="J1355" s="876"/>
      <c r="K1355" s="878"/>
      <c r="L1355" s="882"/>
      <c r="M1355" s="882"/>
      <c r="N1355" s="884"/>
      <c r="O1355" s="56">
        <v>723</v>
      </c>
      <c r="P1355" s="79">
        <f>+N1354-P1354</f>
        <v>0</v>
      </c>
    </row>
    <row r="1356" spans="1:16" ht="14.25" customHeight="1">
      <c r="A1356" s="919" t="e">
        <f>+A1354+1</f>
        <v>#REF!</v>
      </c>
      <c r="B1356" s="875">
        <v>42364</v>
      </c>
      <c r="C1356" s="877" t="s">
        <v>31</v>
      </c>
      <c r="D1356" s="877" t="s">
        <v>514</v>
      </c>
      <c r="E1356" s="881" t="s">
        <v>115</v>
      </c>
      <c r="F1356" s="883">
        <v>50000</v>
      </c>
      <c r="G1356" s="55">
        <v>719</v>
      </c>
      <c r="H1356" s="78">
        <v>50000</v>
      </c>
      <c r="I1356" s="881">
        <f>+I1354+1</f>
        <v>172</v>
      </c>
      <c r="J1356" s="875">
        <v>42723</v>
      </c>
      <c r="K1356" s="877" t="s">
        <v>120</v>
      </c>
      <c r="L1356" s="881" t="s">
        <v>1594</v>
      </c>
      <c r="M1356" s="881" t="s">
        <v>775</v>
      </c>
      <c r="N1356" s="883">
        <v>370000</v>
      </c>
      <c r="O1356" s="55">
        <v>719</v>
      </c>
      <c r="P1356" s="78">
        <v>370000</v>
      </c>
    </row>
    <row r="1357" spans="1:16" ht="12.75" customHeight="1" thickBot="1">
      <c r="A1357" s="920"/>
      <c r="B1357" s="876"/>
      <c r="C1357" s="878"/>
      <c r="D1357" s="878"/>
      <c r="E1357" s="882"/>
      <c r="F1357" s="884"/>
      <c r="G1357" s="56">
        <v>721</v>
      </c>
      <c r="H1357" s="79">
        <f>+F1356-H1356</f>
        <v>0</v>
      </c>
      <c r="I1357" s="882"/>
      <c r="J1357" s="876"/>
      <c r="K1357" s="878"/>
      <c r="L1357" s="882"/>
      <c r="M1357" s="882"/>
      <c r="N1357" s="884"/>
      <c r="O1357" s="56">
        <v>723</v>
      </c>
      <c r="P1357" s="79">
        <f>+N1356-P1356</f>
        <v>0</v>
      </c>
    </row>
    <row r="1358" spans="1:16" ht="14.25" customHeight="1" thickBot="1">
      <c r="A1358" s="919" t="e">
        <f>+A1356+1</f>
        <v>#REF!</v>
      </c>
      <c r="B1358" s="875">
        <v>42364</v>
      </c>
      <c r="C1358" s="877" t="s">
        <v>472</v>
      </c>
      <c r="D1358" s="877" t="s">
        <v>515</v>
      </c>
      <c r="E1358" s="881" t="s">
        <v>115</v>
      </c>
      <c r="F1358" s="883">
        <v>20000</v>
      </c>
      <c r="G1358" s="55">
        <v>719</v>
      </c>
      <c r="H1358" s="78">
        <v>20000</v>
      </c>
      <c r="I1358" s="901" t="s">
        <v>102</v>
      </c>
      <c r="J1358" s="902"/>
      <c r="K1358" s="902"/>
      <c r="L1358" s="902"/>
      <c r="M1358" s="903"/>
      <c r="N1358" s="81">
        <f>SUM(N1348:N1357)</f>
        <v>990000</v>
      </c>
    </row>
    <row r="1359" spans="1:16" ht="14.25" customHeight="1" thickBot="1">
      <c r="A1359" s="920"/>
      <c r="B1359" s="876"/>
      <c r="C1359" s="878"/>
      <c r="D1359" s="878"/>
      <c r="E1359" s="882"/>
      <c r="F1359" s="884"/>
      <c r="G1359" s="56">
        <v>721</v>
      </c>
      <c r="H1359" s="79">
        <f>+F1358-H1358</f>
        <v>0</v>
      </c>
      <c r="I1359" s="885" t="s">
        <v>103</v>
      </c>
      <c r="J1359" s="886"/>
      <c r="K1359" s="886"/>
      <c r="L1359" s="886"/>
      <c r="M1359" s="887"/>
      <c r="N1359" s="69">
        <f>+N1323</f>
        <v>531877219</v>
      </c>
      <c r="O1359" s="241" t="s">
        <v>561</v>
      </c>
      <c r="P1359" s="242">
        <f>754+171+406+173+423</f>
        <v>1927</v>
      </c>
    </row>
    <row r="1360" spans="1:16" ht="16.5" thickBot="1">
      <c r="A1360" s="901" t="s">
        <v>102</v>
      </c>
      <c r="B1360" s="902"/>
      <c r="C1360" s="902"/>
      <c r="D1360" s="902"/>
      <c r="E1360" s="903"/>
      <c r="F1360" s="81">
        <f>SUM(F1348:F1359)</f>
        <v>270000</v>
      </c>
      <c r="I1360" s="888" t="s">
        <v>104</v>
      </c>
      <c r="J1360" s="889"/>
      <c r="K1360" s="889"/>
      <c r="L1360" s="889"/>
      <c r="M1360" s="890"/>
      <c r="N1360" s="183">
        <f>SUM(N1358:N1359)</f>
        <v>532867219</v>
      </c>
    </row>
    <row r="1361" spans="1:16" ht="12.75" customHeight="1" thickBot="1">
      <c r="A1361" s="885" t="s">
        <v>103</v>
      </c>
      <c r="B1361" s="886"/>
      <c r="C1361" s="886"/>
      <c r="D1361" s="886"/>
      <c r="E1361" s="887"/>
      <c r="F1361" s="69">
        <f>+F1323</f>
        <v>661583254</v>
      </c>
      <c r="I1361" s="61"/>
      <c r="J1361" s="61"/>
      <c r="K1361" s="61"/>
      <c r="L1361" s="61"/>
      <c r="M1361" s="61"/>
    </row>
    <row r="1362" spans="1:16" ht="16.5" thickBot="1">
      <c r="A1362" s="888" t="s">
        <v>104</v>
      </c>
      <c r="B1362" s="889"/>
      <c r="C1362" s="889"/>
      <c r="D1362" s="889"/>
      <c r="E1362" s="890"/>
      <c r="F1362" s="183">
        <f>SUM(F1360:F1361)</f>
        <v>661853254</v>
      </c>
      <c r="I1362" s="51" t="s">
        <v>1599</v>
      </c>
    </row>
    <row r="1363" spans="1:16" ht="13.5" customHeight="1">
      <c r="A1363" s="61"/>
      <c r="B1363" s="61"/>
      <c r="C1363" s="61"/>
      <c r="D1363" s="61"/>
      <c r="E1363" s="61"/>
      <c r="N1363" s="139"/>
    </row>
    <row r="1364" spans="1:16">
      <c r="A1364" s="51" t="s">
        <v>516</v>
      </c>
      <c r="I1364" s="50" t="s">
        <v>105</v>
      </c>
      <c r="L1364" s="146"/>
      <c r="N1364" s="139"/>
    </row>
    <row r="1365" spans="1:16" ht="14.25" customHeight="1" thickBot="1">
      <c r="F1365" s="139"/>
    </row>
    <row r="1366" spans="1:16" ht="15.75" thickBot="1">
      <c r="A1366" s="50" t="s">
        <v>105</v>
      </c>
      <c r="D1366" s="146"/>
      <c r="F1366" s="139"/>
      <c r="I1366" s="891" t="s">
        <v>106</v>
      </c>
      <c r="J1366" s="892"/>
      <c r="K1366" s="892"/>
      <c r="L1366" s="893"/>
      <c r="N1366" s="50" t="s">
        <v>288</v>
      </c>
    </row>
    <row r="1367" spans="1:16" ht="28.5" customHeight="1" thickBot="1">
      <c r="I1367" s="57" t="s">
        <v>100</v>
      </c>
      <c r="J1367" s="58" t="s">
        <v>108</v>
      </c>
      <c r="K1367" s="287" t="s">
        <v>109</v>
      </c>
      <c r="L1367" s="60" t="s">
        <v>110</v>
      </c>
    </row>
    <row r="1368" spans="1:16" ht="15.75" thickBot="1">
      <c r="A1368" s="891" t="s">
        <v>106</v>
      </c>
      <c r="B1368" s="892"/>
      <c r="C1368" s="892"/>
      <c r="D1368" s="893"/>
      <c r="F1368" s="50" t="s">
        <v>288</v>
      </c>
      <c r="I1368" s="71">
        <v>719</v>
      </c>
      <c r="J1368" s="73">
        <f>+P1348+P1350+P1352+P1354+P1356</f>
        <v>990000</v>
      </c>
      <c r="K1368" s="74">
        <f>+L1331</f>
        <v>26821700</v>
      </c>
      <c r="L1368" s="195">
        <f>+J1368+K1368</f>
        <v>27811700</v>
      </c>
    </row>
    <row r="1369" spans="1:16" ht="14.25" customHeight="1" thickBot="1">
      <c r="A1369" s="57" t="s">
        <v>100</v>
      </c>
      <c r="B1369" s="58" t="s">
        <v>108</v>
      </c>
      <c r="C1369" s="59" t="s">
        <v>109</v>
      </c>
      <c r="D1369" s="60" t="s">
        <v>110</v>
      </c>
      <c r="I1369" s="72">
        <v>721</v>
      </c>
      <c r="J1369" s="80">
        <v>0</v>
      </c>
      <c r="K1369" s="74">
        <f>+L1332</f>
        <v>83744931</v>
      </c>
      <c r="L1369" s="195">
        <f>+J1369+K1369</f>
        <v>83744931</v>
      </c>
    </row>
    <row r="1370" spans="1:16" ht="13.5" customHeight="1">
      <c r="A1370" s="71">
        <v>719</v>
      </c>
      <c r="B1370" s="73">
        <f>+H1348+H1350+H13+H1352+H135346+H1354+H1358+H1356</f>
        <v>270000</v>
      </c>
      <c r="C1370" s="74" t="e">
        <f>+D1331</f>
        <v>#REF!</v>
      </c>
      <c r="D1370" s="195" t="e">
        <f>+B1370+C1370</f>
        <v>#REF!</v>
      </c>
      <c r="I1370" s="72">
        <v>722</v>
      </c>
      <c r="J1370" s="80"/>
      <c r="K1370" s="74">
        <f>+L1333</f>
        <v>0</v>
      </c>
      <c r="L1370" s="195">
        <f>+J1370+K1370</f>
        <v>0</v>
      </c>
    </row>
    <row r="1371" spans="1:16" ht="15.75">
      <c r="A1371" s="72">
        <v>721</v>
      </c>
      <c r="B1371" s="80">
        <f>(+H1359+H1355+H1353+H1351+H1349)</f>
        <v>0</v>
      </c>
      <c r="C1371" s="74" t="e">
        <f>+D1332</f>
        <v>#REF!</v>
      </c>
      <c r="D1371" s="195" t="e">
        <f>+B1371+C1371</f>
        <v>#REF!</v>
      </c>
      <c r="I1371" s="72">
        <v>723</v>
      </c>
      <c r="J1371" s="80"/>
      <c r="K1371" s="74">
        <f>+L1334</f>
        <v>421310588</v>
      </c>
      <c r="L1371" s="195">
        <f>+J1371+K1371</f>
        <v>421310588</v>
      </c>
      <c r="N1371" s="918" t="s">
        <v>1481</v>
      </c>
      <c r="O1371" s="918"/>
      <c r="P1371" s="918"/>
    </row>
    <row r="1372" spans="1:16" ht="16.5" thickBot="1">
      <c r="A1372" s="72">
        <v>722</v>
      </c>
      <c r="B1372" s="80"/>
      <c r="C1372" s="74">
        <f>+D1333</f>
        <v>231207671</v>
      </c>
      <c r="D1372" s="195">
        <f>+B1372+C1372</f>
        <v>231207671</v>
      </c>
      <c r="I1372" s="164" t="s">
        <v>181</v>
      </c>
      <c r="J1372" s="165"/>
      <c r="K1372" s="74">
        <f>+L1335</f>
        <v>0</v>
      </c>
      <c r="L1372" s="196">
        <f>+J1372+K1372</f>
        <v>0</v>
      </c>
      <c r="N1372" s="52"/>
    </row>
    <row r="1373" spans="1:16" ht="16.5" thickBot="1">
      <c r="A1373" s="72">
        <v>723</v>
      </c>
      <c r="B1373" s="80"/>
      <c r="C1373" s="74">
        <f>+D1334</f>
        <v>323193545</v>
      </c>
      <c r="D1373" s="195">
        <f>+B1373+C1373</f>
        <v>323193545</v>
      </c>
      <c r="F1373" s="174" t="s">
        <v>23</v>
      </c>
      <c r="G1373" s="175"/>
      <c r="I1373" s="169"/>
      <c r="J1373" s="197">
        <f>SUM(J1368:J1372)</f>
        <v>990000</v>
      </c>
      <c r="K1373" s="197">
        <f>SUM(K1368:K1372)</f>
        <v>531877219</v>
      </c>
      <c r="L1373" s="198">
        <f>SUM(L1368:L1372)</f>
        <v>532867219</v>
      </c>
    </row>
    <row r="1374" spans="1:16" ht="17.25" thickBot="1">
      <c r="A1374" s="164" t="s">
        <v>181</v>
      </c>
      <c r="B1374" s="165"/>
      <c r="C1374" s="74" t="e">
        <f>+D1335</f>
        <v>#REF!</v>
      </c>
      <c r="D1374" s="196" t="e">
        <f>+B1374+C1374</f>
        <v>#REF!</v>
      </c>
      <c r="F1374" s="52"/>
      <c r="I1374" s="49" t="s">
        <v>88</v>
      </c>
      <c r="J1374" s="50"/>
    </row>
    <row r="1375" spans="1:16" ht="16.5" thickBot="1">
      <c r="A1375" s="169"/>
      <c r="B1375" s="170">
        <f>SUM(B1370:B1374)</f>
        <v>270000</v>
      </c>
      <c r="C1375" s="171" t="e">
        <f>SUM(C1370:C1374)</f>
        <v>#REF!</v>
      </c>
      <c r="D1375" s="172" t="e">
        <f>SUM(D1370:D1374)</f>
        <v>#REF!</v>
      </c>
      <c r="I1375" s="51" t="s">
        <v>89</v>
      </c>
    </row>
    <row r="1376" spans="1:16" ht="16.5">
      <c r="A1376" s="49" t="s">
        <v>88</v>
      </c>
      <c r="B1376" s="50"/>
      <c r="I1376" s="51" t="s">
        <v>90</v>
      </c>
    </row>
    <row r="1377" spans="1:16">
      <c r="A1377" s="51" t="s">
        <v>89</v>
      </c>
      <c r="I1377" s="51" t="s">
        <v>91</v>
      </c>
    </row>
    <row r="1378" spans="1:16" ht="11.25" customHeight="1">
      <c r="A1378" s="51" t="s">
        <v>90</v>
      </c>
      <c r="I1378" s="50"/>
      <c r="J1378" s="50"/>
    </row>
    <row r="1379" spans="1:16" ht="16.5">
      <c r="A1379" s="51" t="s">
        <v>91</v>
      </c>
      <c r="I1379" s="260" t="s">
        <v>908</v>
      </c>
      <c r="O1379" s="52"/>
    </row>
    <row r="1380" spans="1:16" ht="12.75" customHeight="1">
      <c r="A1380" s="50"/>
      <c r="B1380" s="50"/>
      <c r="I1380" s="53" t="s">
        <v>1333</v>
      </c>
      <c r="O1380" s="53"/>
    </row>
    <row r="1381" spans="1:16" ht="16.5">
      <c r="A1381" s="52" t="s">
        <v>520</v>
      </c>
      <c r="G1381" s="52"/>
      <c r="I1381" s="894" t="s">
        <v>909</v>
      </c>
      <c r="J1381" s="894"/>
      <c r="K1381" s="894"/>
      <c r="L1381" s="894"/>
      <c r="M1381" s="894"/>
      <c r="N1381" s="894"/>
      <c r="O1381" s="894"/>
      <c r="P1381" s="894"/>
    </row>
    <row r="1382" spans="1:16" ht="16.5" thickBot="1">
      <c r="A1382" s="53" t="s">
        <v>92</v>
      </c>
      <c r="G1382" s="53"/>
    </row>
    <row r="1383" spans="1:16" ht="16.5">
      <c r="A1383" s="894" t="s">
        <v>261</v>
      </c>
      <c r="B1383" s="894"/>
      <c r="C1383" s="894"/>
      <c r="D1383" s="894"/>
      <c r="E1383" s="894"/>
      <c r="F1383" s="894"/>
      <c r="G1383" s="894"/>
      <c r="H1383" s="894"/>
      <c r="I1383" s="895" t="s">
        <v>94</v>
      </c>
      <c r="J1383" s="897" t="s">
        <v>95</v>
      </c>
      <c r="K1383" s="897" t="s">
        <v>96</v>
      </c>
      <c r="L1383" s="897" t="s">
        <v>3</v>
      </c>
      <c r="M1383" s="897" t="s">
        <v>97</v>
      </c>
      <c r="N1383" s="897" t="s">
        <v>98</v>
      </c>
      <c r="O1383" s="897" t="s">
        <v>99</v>
      </c>
      <c r="P1383" s="899"/>
    </row>
    <row r="1384" spans="1:16" ht="15.75" thickBot="1">
      <c r="I1384" s="896"/>
      <c r="J1384" s="898"/>
      <c r="K1384" s="898"/>
      <c r="L1384" s="898"/>
      <c r="M1384" s="898"/>
      <c r="N1384" s="898"/>
      <c r="O1384" s="240" t="s">
        <v>100</v>
      </c>
      <c r="P1384" s="182" t="s">
        <v>101</v>
      </c>
    </row>
    <row r="1385" spans="1:16" ht="15" customHeight="1">
      <c r="A1385" s="895" t="s">
        <v>94</v>
      </c>
      <c r="B1385" s="897" t="s">
        <v>95</v>
      </c>
      <c r="C1385" s="897" t="s">
        <v>96</v>
      </c>
      <c r="D1385" s="897" t="s">
        <v>3</v>
      </c>
      <c r="E1385" s="897" t="s">
        <v>97</v>
      </c>
      <c r="F1385" s="897" t="s">
        <v>98</v>
      </c>
      <c r="G1385" s="897" t="s">
        <v>99</v>
      </c>
      <c r="H1385" s="899"/>
      <c r="I1385" s="873" t="s">
        <v>1595</v>
      </c>
      <c r="J1385" s="875">
        <v>42723</v>
      </c>
      <c r="K1385" s="877" t="s">
        <v>472</v>
      </c>
      <c r="L1385" s="881" t="s">
        <v>1524</v>
      </c>
      <c r="M1385" s="881" t="s">
        <v>148</v>
      </c>
      <c r="N1385" s="883">
        <v>507000</v>
      </c>
      <c r="O1385" s="55">
        <v>719</v>
      </c>
      <c r="P1385" s="78">
        <v>390000</v>
      </c>
    </row>
    <row r="1386" spans="1:16" ht="15.75" customHeight="1" thickBot="1">
      <c r="A1386" s="896"/>
      <c r="B1386" s="898"/>
      <c r="C1386" s="898"/>
      <c r="D1386" s="898"/>
      <c r="E1386" s="898"/>
      <c r="F1386" s="898"/>
      <c r="G1386" s="240" t="s">
        <v>100</v>
      </c>
      <c r="H1386" s="182" t="s">
        <v>101</v>
      </c>
      <c r="I1386" s="874"/>
      <c r="J1386" s="876"/>
      <c r="K1386" s="878"/>
      <c r="L1386" s="882"/>
      <c r="M1386" s="882"/>
      <c r="N1386" s="884"/>
      <c r="O1386" s="56">
        <v>721</v>
      </c>
      <c r="P1386" s="79">
        <f>+N1385-P1385</f>
        <v>117000</v>
      </c>
    </row>
    <row r="1387" spans="1:16" ht="15" customHeight="1">
      <c r="A1387" s="919" t="e">
        <f>+A1358+1</f>
        <v>#REF!</v>
      </c>
      <c r="B1387" s="875">
        <v>42369</v>
      </c>
      <c r="C1387" s="877" t="s">
        <v>31</v>
      </c>
      <c r="D1387" s="877" t="s">
        <v>523</v>
      </c>
      <c r="E1387" s="881" t="s">
        <v>115</v>
      </c>
      <c r="F1387" s="883">
        <v>180000</v>
      </c>
      <c r="G1387" s="55">
        <v>719</v>
      </c>
      <c r="H1387" s="78">
        <v>180000</v>
      </c>
      <c r="I1387" s="881">
        <f>+I1385+1</f>
        <v>174</v>
      </c>
      <c r="J1387" s="875">
        <v>42723</v>
      </c>
      <c r="K1387" s="877" t="s">
        <v>472</v>
      </c>
      <c r="L1387" s="881" t="s">
        <v>913</v>
      </c>
      <c r="M1387" s="881" t="s">
        <v>148</v>
      </c>
      <c r="N1387" s="883">
        <v>312000</v>
      </c>
      <c r="O1387" s="55">
        <v>719</v>
      </c>
      <c r="P1387" s="78">
        <v>240000</v>
      </c>
    </row>
    <row r="1388" spans="1:16" ht="15.75" customHeight="1" thickBot="1">
      <c r="A1388" s="920"/>
      <c r="B1388" s="876"/>
      <c r="C1388" s="878"/>
      <c r="D1388" s="878"/>
      <c r="E1388" s="882"/>
      <c r="F1388" s="884"/>
      <c r="G1388" s="56">
        <v>721</v>
      </c>
      <c r="H1388" s="79">
        <f>+F1387-H1387</f>
        <v>0</v>
      </c>
      <c r="I1388" s="882"/>
      <c r="J1388" s="876"/>
      <c r="K1388" s="878"/>
      <c r="L1388" s="882"/>
      <c r="M1388" s="882"/>
      <c r="N1388" s="884"/>
      <c r="O1388" s="56">
        <v>721</v>
      </c>
      <c r="P1388" s="79">
        <f>+N1387-P1387</f>
        <v>72000</v>
      </c>
    </row>
    <row r="1389" spans="1:16" ht="15" customHeight="1">
      <c r="A1389" s="919" t="e">
        <f>+A1387+1</f>
        <v>#REF!</v>
      </c>
      <c r="B1389" s="875">
        <v>42369</v>
      </c>
      <c r="C1389" s="877" t="s">
        <v>472</v>
      </c>
      <c r="D1389" s="877" t="s">
        <v>524</v>
      </c>
      <c r="E1389" s="881" t="s">
        <v>115</v>
      </c>
      <c r="F1389" s="883">
        <v>40000</v>
      </c>
      <c r="G1389" s="55">
        <v>719</v>
      </c>
      <c r="H1389" s="78">
        <v>40000</v>
      </c>
      <c r="I1389" s="881">
        <f>+I1387+1</f>
        <v>175</v>
      </c>
      <c r="J1389" s="875">
        <v>42723</v>
      </c>
      <c r="K1389" s="877" t="s">
        <v>472</v>
      </c>
      <c r="L1389" s="881" t="s">
        <v>914</v>
      </c>
      <c r="M1389" s="881" t="s">
        <v>148</v>
      </c>
      <c r="N1389" s="883">
        <v>338000</v>
      </c>
      <c r="O1389" s="55">
        <v>719</v>
      </c>
      <c r="P1389" s="78">
        <v>260000</v>
      </c>
    </row>
    <row r="1390" spans="1:16" ht="15.75" customHeight="1" thickBot="1">
      <c r="A1390" s="920"/>
      <c r="B1390" s="876"/>
      <c r="C1390" s="878"/>
      <c r="D1390" s="878"/>
      <c r="E1390" s="882"/>
      <c r="F1390" s="884"/>
      <c r="G1390" s="56">
        <v>721</v>
      </c>
      <c r="H1390" s="79">
        <f>+F1389-H1389</f>
        <v>0</v>
      </c>
      <c r="I1390" s="882"/>
      <c r="J1390" s="876"/>
      <c r="K1390" s="878"/>
      <c r="L1390" s="882"/>
      <c r="M1390" s="882"/>
      <c r="N1390" s="884"/>
      <c r="O1390" s="56">
        <v>721</v>
      </c>
      <c r="P1390" s="79">
        <f>+N1389-P1389</f>
        <v>78000</v>
      </c>
    </row>
    <row r="1391" spans="1:16" ht="11.25" customHeight="1">
      <c r="A1391" s="919" t="e">
        <f>+A1389+1</f>
        <v>#REF!</v>
      </c>
      <c r="B1391" s="875">
        <v>42369</v>
      </c>
      <c r="C1391" s="877" t="s">
        <v>32</v>
      </c>
      <c r="D1391" s="877" t="s">
        <v>521</v>
      </c>
      <c r="E1391" s="881" t="s">
        <v>115</v>
      </c>
      <c r="F1391" s="883">
        <v>40000</v>
      </c>
      <c r="G1391" s="55">
        <v>719</v>
      </c>
      <c r="H1391" s="78">
        <v>40000</v>
      </c>
      <c r="I1391" s="881"/>
      <c r="J1391" s="875"/>
      <c r="K1391" s="877"/>
      <c r="L1391" s="881"/>
      <c r="M1391" s="881"/>
      <c r="N1391" s="883"/>
      <c r="O1391" s="55">
        <v>719</v>
      </c>
      <c r="P1391" s="78"/>
    </row>
    <row r="1392" spans="1:16" ht="13.5" customHeight="1" thickBot="1">
      <c r="A1392" s="920"/>
      <c r="B1392" s="876"/>
      <c r="C1392" s="878"/>
      <c r="D1392" s="878"/>
      <c r="E1392" s="882"/>
      <c r="F1392" s="884"/>
      <c r="G1392" s="56">
        <v>721</v>
      </c>
      <c r="H1392" s="79">
        <f>+F1391-H1391</f>
        <v>0</v>
      </c>
      <c r="I1392" s="882"/>
      <c r="J1392" s="876"/>
      <c r="K1392" s="878"/>
      <c r="L1392" s="882"/>
      <c r="M1392" s="882"/>
      <c r="N1392" s="884"/>
      <c r="O1392" s="56">
        <v>721</v>
      </c>
      <c r="P1392" s="79">
        <f>+N1391-P1391</f>
        <v>0</v>
      </c>
    </row>
    <row r="1393" spans="1:16" ht="12.75" customHeight="1">
      <c r="A1393" s="919" t="e">
        <f>+A1391+1</f>
        <v>#REF!</v>
      </c>
      <c r="B1393" s="875">
        <v>42369</v>
      </c>
      <c r="C1393" s="877" t="s">
        <v>120</v>
      </c>
      <c r="D1393" s="877" t="s">
        <v>522</v>
      </c>
      <c r="E1393" s="881" t="s">
        <v>115</v>
      </c>
      <c r="F1393" s="883">
        <v>20000</v>
      </c>
      <c r="G1393" s="55">
        <v>719</v>
      </c>
      <c r="H1393" s="78">
        <v>20000</v>
      </c>
      <c r="I1393" s="881"/>
      <c r="J1393" s="875"/>
      <c r="K1393" s="877"/>
      <c r="L1393" s="881"/>
      <c r="M1393" s="881"/>
      <c r="N1393" s="883"/>
      <c r="O1393" s="55">
        <v>719</v>
      </c>
      <c r="P1393" s="78"/>
    </row>
    <row r="1394" spans="1:16" ht="12.75" customHeight="1" thickBot="1">
      <c r="A1394" s="920"/>
      <c r="B1394" s="876"/>
      <c r="C1394" s="878"/>
      <c r="D1394" s="878"/>
      <c r="E1394" s="882"/>
      <c r="F1394" s="884"/>
      <c r="G1394" s="56">
        <v>721</v>
      </c>
      <c r="H1394" s="79">
        <f>+F1393-H1393</f>
        <v>0</v>
      </c>
      <c r="I1394" s="882"/>
      <c r="J1394" s="876"/>
      <c r="K1394" s="878"/>
      <c r="L1394" s="882"/>
      <c r="M1394" s="882"/>
      <c r="N1394" s="884"/>
      <c r="O1394" s="56">
        <v>721</v>
      </c>
      <c r="P1394" s="79">
        <f>+N1393-P1393</f>
        <v>0</v>
      </c>
    </row>
    <row r="1395" spans="1:16" ht="15" customHeight="1" thickBot="1">
      <c r="A1395" s="919"/>
      <c r="B1395" s="875"/>
      <c r="C1395" s="877"/>
      <c r="D1395" s="877"/>
      <c r="E1395" s="881"/>
      <c r="F1395" s="883"/>
      <c r="G1395" s="55">
        <v>719</v>
      </c>
      <c r="H1395" s="78"/>
      <c r="I1395" s="901" t="s">
        <v>102</v>
      </c>
      <c r="J1395" s="902"/>
      <c r="K1395" s="902"/>
      <c r="L1395" s="902"/>
      <c r="M1395" s="903"/>
      <c r="N1395" s="81">
        <f>SUM(N1385:N1394)</f>
        <v>1157000</v>
      </c>
    </row>
    <row r="1396" spans="1:16" ht="15.75" customHeight="1" thickBot="1">
      <c r="A1396" s="920"/>
      <c r="B1396" s="876"/>
      <c r="C1396" s="878"/>
      <c r="D1396" s="878"/>
      <c r="E1396" s="882"/>
      <c r="F1396" s="884"/>
      <c r="G1396" s="56">
        <v>721</v>
      </c>
      <c r="H1396" s="79">
        <f>+F1395-H1395</f>
        <v>0</v>
      </c>
      <c r="I1396" s="885" t="s">
        <v>103</v>
      </c>
      <c r="J1396" s="886"/>
      <c r="K1396" s="886"/>
      <c r="L1396" s="886"/>
      <c r="M1396" s="887"/>
      <c r="N1396" s="69">
        <f>+N1360</f>
        <v>532867219</v>
      </c>
      <c r="O1396" s="241" t="s">
        <v>561</v>
      </c>
      <c r="P1396" s="242">
        <f>753+65+288</f>
        <v>1106</v>
      </c>
    </row>
    <row r="1397" spans="1:16" ht="15" customHeight="1" thickBot="1">
      <c r="A1397" s="901" t="s">
        <v>102</v>
      </c>
      <c r="B1397" s="902"/>
      <c r="C1397" s="902"/>
      <c r="D1397" s="902"/>
      <c r="E1397" s="903"/>
      <c r="F1397" s="81">
        <f>SUM(F1387:F1396)</f>
        <v>280000</v>
      </c>
      <c r="I1397" s="888" t="s">
        <v>104</v>
      </c>
      <c r="J1397" s="889"/>
      <c r="K1397" s="889"/>
      <c r="L1397" s="889"/>
      <c r="M1397" s="890"/>
      <c r="N1397" s="183">
        <f>SUM(N1395:N1396)</f>
        <v>534024219</v>
      </c>
    </row>
    <row r="1398" spans="1:16" ht="15.75" customHeight="1" thickBot="1">
      <c r="A1398" s="885" t="s">
        <v>103</v>
      </c>
      <c r="B1398" s="886"/>
      <c r="C1398" s="886"/>
      <c r="D1398" s="886"/>
      <c r="E1398" s="887"/>
      <c r="F1398" s="69">
        <f>+F1362</f>
        <v>661853254</v>
      </c>
      <c r="I1398" s="61"/>
      <c r="J1398" s="61"/>
      <c r="K1398" s="61"/>
      <c r="L1398" s="61"/>
      <c r="M1398" s="61"/>
    </row>
    <row r="1399" spans="1:16" ht="16.5" thickBot="1">
      <c r="A1399" s="888" t="s">
        <v>104</v>
      </c>
      <c r="B1399" s="889"/>
      <c r="C1399" s="889"/>
      <c r="D1399" s="889"/>
      <c r="E1399" s="890"/>
      <c r="F1399" s="183">
        <f>SUM(F1397:F1398)</f>
        <v>662133254</v>
      </c>
      <c r="I1399" s="51" t="s">
        <v>1596</v>
      </c>
    </row>
    <row r="1400" spans="1:16" ht="12" customHeight="1">
      <c r="A1400" s="61"/>
      <c r="B1400" s="61"/>
      <c r="C1400" s="61"/>
      <c r="D1400" s="61"/>
      <c r="E1400" s="61"/>
      <c r="N1400" s="139"/>
    </row>
    <row r="1401" spans="1:16">
      <c r="A1401" s="51" t="s">
        <v>525</v>
      </c>
      <c r="I1401" s="50" t="s">
        <v>105</v>
      </c>
      <c r="L1401" s="146"/>
      <c r="N1401" s="139"/>
    </row>
    <row r="1402" spans="1:16" ht="14.25" customHeight="1" thickBot="1">
      <c r="F1402" s="139"/>
    </row>
    <row r="1403" spans="1:16" ht="15.75" thickBot="1">
      <c r="A1403" s="50" t="s">
        <v>105</v>
      </c>
      <c r="D1403" s="146"/>
      <c r="F1403" s="139"/>
      <c r="I1403" s="891" t="s">
        <v>106</v>
      </c>
      <c r="J1403" s="892"/>
      <c r="K1403" s="892"/>
      <c r="L1403" s="893"/>
      <c r="N1403" s="50" t="s">
        <v>288</v>
      </c>
    </row>
    <row r="1404" spans="1:16" ht="11.25" customHeight="1" thickBot="1">
      <c r="I1404" s="57" t="s">
        <v>100</v>
      </c>
      <c r="J1404" s="58" t="s">
        <v>108</v>
      </c>
      <c r="K1404" s="287" t="s">
        <v>109</v>
      </c>
      <c r="L1404" s="60" t="s">
        <v>110</v>
      </c>
    </row>
    <row r="1405" spans="1:16" ht="15.75" thickBot="1">
      <c r="A1405" s="891" t="s">
        <v>106</v>
      </c>
      <c r="B1405" s="892"/>
      <c r="C1405" s="892"/>
      <c r="D1405" s="893"/>
      <c r="F1405" s="50" t="s">
        <v>288</v>
      </c>
      <c r="I1405" s="71">
        <v>719</v>
      </c>
      <c r="J1405" s="73">
        <f>+P1385+P1387+P1389+P1391+P1393</f>
        <v>890000</v>
      </c>
      <c r="K1405" s="74">
        <f>+L1368</f>
        <v>27811700</v>
      </c>
      <c r="L1405" s="195">
        <f>+J1405+K1405</f>
        <v>28701700</v>
      </c>
    </row>
    <row r="1406" spans="1:16" ht="12.75" customHeight="1" thickBot="1">
      <c r="A1406" s="57" t="s">
        <v>100</v>
      </c>
      <c r="B1406" s="58" t="s">
        <v>108</v>
      </c>
      <c r="C1406" s="59" t="s">
        <v>109</v>
      </c>
      <c r="D1406" s="60" t="s">
        <v>110</v>
      </c>
      <c r="I1406" s="72">
        <v>721</v>
      </c>
      <c r="J1406" s="80">
        <f>+P1386+P1388+P1390</f>
        <v>267000</v>
      </c>
      <c r="K1406" s="74">
        <f>+L1369</f>
        <v>83744931</v>
      </c>
      <c r="L1406" s="195">
        <f>+J1406+K1406</f>
        <v>84011931</v>
      </c>
    </row>
    <row r="1407" spans="1:16">
      <c r="A1407" s="71">
        <v>719</v>
      </c>
      <c r="B1407" s="73">
        <f>+H1387+H1389+H1391+H1393+H1395</f>
        <v>280000</v>
      </c>
      <c r="C1407" s="74" t="e">
        <f>+D1370</f>
        <v>#REF!</v>
      </c>
      <c r="D1407" s="195" t="e">
        <f>+B1407+C1407</f>
        <v>#REF!</v>
      </c>
      <c r="I1407" s="72">
        <v>722</v>
      </c>
      <c r="J1407" s="80"/>
      <c r="K1407" s="74">
        <f>+L1370</f>
        <v>0</v>
      </c>
      <c r="L1407" s="195">
        <f>+J1407+K1407</f>
        <v>0</v>
      </c>
    </row>
    <row r="1408" spans="1:16" ht="15.75">
      <c r="A1408" s="72">
        <v>721</v>
      </c>
      <c r="B1408" s="80">
        <f>(+H1396+H1394+H1392+H1390+H1388)</f>
        <v>0</v>
      </c>
      <c r="C1408" s="74" t="e">
        <f>+D1371</f>
        <v>#REF!</v>
      </c>
      <c r="D1408" s="195" t="e">
        <f>+B1408+C1408</f>
        <v>#REF!</v>
      </c>
      <c r="I1408" s="72">
        <v>723</v>
      </c>
      <c r="J1408" s="80"/>
      <c r="K1408" s="74">
        <f>+L1371</f>
        <v>421310588</v>
      </c>
      <c r="L1408" s="195">
        <f>+J1408+K1408</f>
        <v>421310588</v>
      </c>
      <c r="N1408" s="918" t="s">
        <v>1481</v>
      </c>
      <c r="O1408" s="918"/>
      <c r="P1408" s="918"/>
    </row>
    <row r="1409" spans="1:16" ht="16.5" thickBot="1">
      <c r="A1409" s="72">
        <v>722</v>
      </c>
      <c r="B1409" s="80"/>
      <c r="C1409" s="74">
        <f>+D1372</f>
        <v>231207671</v>
      </c>
      <c r="D1409" s="195">
        <f>+B1409+C1409</f>
        <v>231207671</v>
      </c>
      <c r="I1409" s="164" t="s">
        <v>181</v>
      </c>
      <c r="J1409" s="165"/>
      <c r="K1409" s="74">
        <f>+L1372</f>
        <v>0</v>
      </c>
      <c r="L1409" s="196">
        <f>+J1409+K1409</f>
        <v>0</v>
      </c>
      <c r="N1409" s="52"/>
    </row>
    <row r="1410" spans="1:16" ht="16.5" thickBot="1">
      <c r="A1410" s="72">
        <v>723</v>
      </c>
      <c r="B1410" s="80"/>
      <c r="C1410" s="74">
        <f>+D1373</f>
        <v>323193545</v>
      </c>
      <c r="D1410" s="195">
        <f>+B1410+C1410</f>
        <v>323193545</v>
      </c>
      <c r="F1410" s="174" t="s">
        <v>23</v>
      </c>
      <c r="G1410" s="175"/>
      <c r="I1410" s="169"/>
      <c r="J1410" s="197">
        <f>SUM(J1405:J1409)</f>
        <v>1157000</v>
      </c>
      <c r="K1410" s="197">
        <f>SUM(K1405:K1409)</f>
        <v>532867219</v>
      </c>
      <c r="L1410" s="198">
        <f>SUM(L1405:L1409)</f>
        <v>534024219</v>
      </c>
    </row>
    <row r="1411" spans="1:16" ht="17.25" thickBot="1">
      <c r="A1411" s="164" t="s">
        <v>181</v>
      </c>
      <c r="B1411" s="165"/>
      <c r="C1411" s="74" t="e">
        <f>+D1374</f>
        <v>#REF!</v>
      </c>
      <c r="D1411" s="196" t="e">
        <f>+B1411+C1411</f>
        <v>#REF!</v>
      </c>
      <c r="F1411" s="52"/>
      <c r="I1411" s="49" t="s">
        <v>88</v>
      </c>
      <c r="J1411" s="50"/>
    </row>
    <row r="1412" spans="1:16" ht="16.5" thickBot="1">
      <c r="A1412" s="169"/>
      <c r="B1412" s="170">
        <f>SUM(B1407:B1411)</f>
        <v>280000</v>
      </c>
      <c r="C1412" s="171" t="e">
        <f>SUM(C1407:C1411)</f>
        <v>#REF!</v>
      </c>
      <c r="D1412" s="172" t="e">
        <f>SUM(D1407:D1411)</f>
        <v>#REF!</v>
      </c>
      <c r="I1412" s="51" t="s">
        <v>89</v>
      </c>
    </row>
    <row r="1413" spans="1:16" ht="16.5">
      <c r="A1413" s="49" t="s">
        <v>88</v>
      </c>
      <c r="B1413" s="50"/>
      <c r="I1413" s="51" t="s">
        <v>90</v>
      </c>
    </row>
    <row r="1414" spans="1:16">
      <c r="A1414" s="51" t="s">
        <v>89</v>
      </c>
      <c r="I1414" s="51" t="s">
        <v>91</v>
      </c>
    </row>
    <row r="1415" spans="1:16">
      <c r="A1415" s="51" t="s">
        <v>90</v>
      </c>
      <c r="I1415" s="50"/>
      <c r="J1415" s="50"/>
    </row>
    <row r="1416" spans="1:16" ht="16.5">
      <c r="A1416" s="51" t="s">
        <v>91</v>
      </c>
      <c r="I1416" s="260" t="s">
        <v>917</v>
      </c>
      <c r="O1416" s="52"/>
    </row>
    <row r="1417" spans="1:16" ht="15" customHeight="1">
      <c r="A1417" s="50"/>
      <c r="B1417" s="50"/>
      <c r="I1417" s="53" t="s">
        <v>1333</v>
      </c>
      <c r="O1417" s="53"/>
    </row>
    <row r="1418" spans="1:16" ht="16.5">
      <c r="A1418" s="52" t="s">
        <v>528</v>
      </c>
      <c r="G1418" s="52"/>
      <c r="I1418" s="894" t="s">
        <v>1600</v>
      </c>
      <c r="J1418" s="894"/>
      <c r="K1418" s="894"/>
      <c r="L1418" s="894"/>
      <c r="M1418" s="894"/>
      <c r="N1418" s="894"/>
      <c r="O1418" s="894"/>
      <c r="P1418" s="894"/>
    </row>
    <row r="1419" spans="1:16" ht="12" customHeight="1" thickBot="1">
      <c r="A1419" s="53" t="s">
        <v>92</v>
      </c>
      <c r="G1419" s="53"/>
    </row>
    <row r="1420" spans="1:16" ht="16.5">
      <c r="A1420" s="894" t="s">
        <v>261</v>
      </c>
      <c r="B1420" s="894"/>
      <c r="C1420" s="894"/>
      <c r="D1420" s="894"/>
      <c r="E1420" s="894"/>
      <c r="F1420" s="894"/>
      <c r="G1420" s="894"/>
      <c r="H1420" s="894"/>
      <c r="I1420" s="895" t="s">
        <v>94</v>
      </c>
      <c r="J1420" s="897" t="s">
        <v>95</v>
      </c>
      <c r="K1420" s="897" t="s">
        <v>96</v>
      </c>
      <c r="L1420" s="897" t="s">
        <v>3</v>
      </c>
      <c r="M1420" s="897" t="s">
        <v>97</v>
      </c>
      <c r="N1420" s="897" t="s">
        <v>98</v>
      </c>
      <c r="O1420" s="897" t="s">
        <v>99</v>
      </c>
      <c r="P1420" s="899"/>
    </row>
    <row r="1421" spans="1:16" ht="15.75" thickBot="1">
      <c r="I1421" s="896"/>
      <c r="J1421" s="898"/>
      <c r="K1421" s="898"/>
      <c r="L1421" s="898"/>
      <c r="M1421" s="898"/>
      <c r="N1421" s="898"/>
      <c r="O1421" s="240" t="s">
        <v>100</v>
      </c>
      <c r="P1421" s="182" t="s">
        <v>101</v>
      </c>
    </row>
    <row r="1422" spans="1:16" ht="13.5" customHeight="1">
      <c r="A1422" s="895" t="s">
        <v>94</v>
      </c>
      <c r="B1422" s="897" t="s">
        <v>95</v>
      </c>
      <c r="C1422" s="897" t="s">
        <v>96</v>
      </c>
      <c r="D1422" s="897" t="s">
        <v>3</v>
      </c>
      <c r="E1422" s="897" t="s">
        <v>97</v>
      </c>
      <c r="F1422" s="897" t="s">
        <v>98</v>
      </c>
      <c r="G1422" s="897" t="s">
        <v>99</v>
      </c>
      <c r="H1422" s="899"/>
      <c r="I1422" s="873" t="s">
        <v>1526</v>
      </c>
      <c r="J1422" s="875">
        <v>43088</v>
      </c>
      <c r="K1422" s="877" t="s">
        <v>472</v>
      </c>
      <c r="L1422" s="881" t="s">
        <v>1522</v>
      </c>
      <c r="M1422" s="881" t="s">
        <v>148</v>
      </c>
      <c r="N1422" s="883">
        <v>-637000</v>
      </c>
      <c r="O1422" s="55">
        <v>719</v>
      </c>
      <c r="P1422" s="78">
        <v>-490000</v>
      </c>
    </row>
    <row r="1423" spans="1:16" ht="12.75" customHeight="1" thickBot="1">
      <c r="A1423" s="896"/>
      <c r="B1423" s="898"/>
      <c r="C1423" s="898"/>
      <c r="D1423" s="898"/>
      <c r="E1423" s="898"/>
      <c r="F1423" s="898"/>
      <c r="G1423" s="240" t="s">
        <v>100</v>
      </c>
      <c r="H1423" s="182" t="s">
        <v>101</v>
      </c>
      <c r="I1423" s="874"/>
      <c r="J1423" s="876"/>
      <c r="K1423" s="878"/>
      <c r="L1423" s="882"/>
      <c r="M1423" s="882"/>
      <c r="N1423" s="884"/>
      <c r="O1423" s="56">
        <v>721</v>
      </c>
      <c r="P1423" s="79">
        <f>+N1422-P1422</f>
        <v>-147000</v>
      </c>
    </row>
    <row r="1424" spans="1:16" ht="13.5" customHeight="1">
      <c r="A1424" s="919" t="e">
        <f>+A1393+1</f>
        <v>#REF!</v>
      </c>
      <c r="B1424" s="875">
        <v>42369</v>
      </c>
      <c r="C1424" s="877" t="s">
        <v>267</v>
      </c>
      <c r="D1424" s="877" t="s">
        <v>526</v>
      </c>
      <c r="E1424" s="881" t="s">
        <v>148</v>
      </c>
      <c r="F1424" s="883">
        <v>224000</v>
      </c>
      <c r="G1424" s="55">
        <v>719</v>
      </c>
      <c r="H1424" s="78">
        <v>160000</v>
      </c>
      <c r="I1424" s="873" t="s">
        <v>1603</v>
      </c>
      <c r="J1424" s="875">
        <v>43088</v>
      </c>
      <c r="K1424" s="877" t="s">
        <v>472</v>
      </c>
      <c r="L1424" s="881" t="s">
        <v>1590</v>
      </c>
      <c r="M1424" s="881" t="s">
        <v>148</v>
      </c>
      <c r="N1424" s="883">
        <v>-572000</v>
      </c>
      <c r="O1424" s="55">
        <v>719</v>
      </c>
      <c r="P1424" s="78">
        <v>-440000</v>
      </c>
    </row>
    <row r="1425" spans="1:16" ht="13.5" customHeight="1" thickBot="1">
      <c r="A1425" s="920"/>
      <c r="B1425" s="876"/>
      <c r="C1425" s="878"/>
      <c r="D1425" s="878"/>
      <c r="E1425" s="882"/>
      <c r="F1425" s="884"/>
      <c r="G1425" s="56">
        <v>721</v>
      </c>
      <c r="H1425" s="79">
        <f>+F1424-H1424</f>
        <v>64000</v>
      </c>
      <c r="I1425" s="874"/>
      <c r="J1425" s="876"/>
      <c r="K1425" s="878"/>
      <c r="L1425" s="882"/>
      <c r="M1425" s="882"/>
      <c r="N1425" s="884"/>
      <c r="O1425" s="56">
        <v>723</v>
      </c>
      <c r="P1425" s="79">
        <f>+N1424-P1424</f>
        <v>-132000</v>
      </c>
    </row>
    <row r="1426" spans="1:16" ht="12.75" customHeight="1">
      <c r="A1426" s="919" t="e">
        <f>+A1424+1</f>
        <v>#REF!</v>
      </c>
      <c r="B1426" s="875">
        <v>42369</v>
      </c>
      <c r="C1426" s="881" t="s">
        <v>28</v>
      </c>
      <c r="D1426" s="877" t="s">
        <v>526</v>
      </c>
      <c r="E1426" s="881" t="s">
        <v>148</v>
      </c>
      <c r="F1426" s="883">
        <v>224000</v>
      </c>
      <c r="G1426" s="55">
        <v>719</v>
      </c>
      <c r="H1426" s="78">
        <v>160000</v>
      </c>
      <c r="I1426" s="873" t="s">
        <v>1604</v>
      </c>
      <c r="J1426" s="875">
        <v>43088</v>
      </c>
      <c r="K1426" s="877" t="s">
        <v>472</v>
      </c>
      <c r="L1426" s="881" t="s">
        <v>1507</v>
      </c>
      <c r="M1426" s="881" t="s">
        <v>148</v>
      </c>
      <c r="N1426" s="883">
        <v>-481000</v>
      </c>
      <c r="O1426" s="55">
        <v>719</v>
      </c>
      <c r="P1426" s="78">
        <v>-370000</v>
      </c>
    </row>
    <row r="1427" spans="1:16" ht="14.25" customHeight="1" thickBot="1">
      <c r="A1427" s="920"/>
      <c r="B1427" s="876"/>
      <c r="C1427" s="882"/>
      <c r="D1427" s="878"/>
      <c r="E1427" s="882"/>
      <c r="F1427" s="884"/>
      <c r="G1427" s="56">
        <v>721</v>
      </c>
      <c r="H1427" s="79">
        <f>+F1426-H1426</f>
        <v>64000</v>
      </c>
      <c r="I1427" s="874"/>
      <c r="J1427" s="876"/>
      <c r="K1427" s="878"/>
      <c r="L1427" s="882"/>
      <c r="M1427" s="882"/>
      <c r="N1427" s="884"/>
      <c r="O1427" s="56">
        <v>723</v>
      </c>
      <c r="P1427" s="79">
        <f>+N1426-P1426</f>
        <v>-111000</v>
      </c>
    </row>
    <row r="1428" spans="1:16" ht="12.75" customHeight="1">
      <c r="A1428" s="919" t="e">
        <f>+A1426+1</f>
        <v>#REF!</v>
      </c>
      <c r="B1428" s="875">
        <v>42369</v>
      </c>
      <c r="C1428" s="877" t="s">
        <v>32</v>
      </c>
      <c r="D1428" s="877" t="s">
        <v>521</v>
      </c>
      <c r="E1428" s="881" t="s">
        <v>148</v>
      </c>
      <c r="F1428" s="883">
        <v>154000</v>
      </c>
      <c r="G1428" s="55">
        <v>719</v>
      </c>
      <c r="H1428" s="78">
        <v>110000</v>
      </c>
      <c r="I1428" s="873" t="s">
        <v>1605</v>
      </c>
      <c r="J1428" s="875">
        <v>43088</v>
      </c>
      <c r="K1428" s="877" t="s">
        <v>472</v>
      </c>
      <c r="L1428" s="881" t="s">
        <v>1506</v>
      </c>
      <c r="M1428" s="881" t="s">
        <v>148</v>
      </c>
      <c r="N1428" s="883">
        <v>-403000</v>
      </c>
      <c r="O1428" s="55">
        <v>719</v>
      </c>
      <c r="P1428" s="78">
        <v>-310000</v>
      </c>
    </row>
    <row r="1429" spans="1:16" ht="12.75" customHeight="1" thickBot="1">
      <c r="A1429" s="920"/>
      <c r="B1429" s="876"/>
      <c r="C1429" s="878"/>
      <c r="D1429" s="878"/>
      <c r="E1429" s="882"/>
      <c r="F1429" s="884"/>
      <c r="G1429" s="56">
        <v>721</v>
      </c>
      <c r="H1429" s="79">
        <f>+F1428-H1428</f>
        <v>44000</v>
      </c>
      <c r="I1429" s="874"/>
      <c r="J1429" s="876"/>
      <c r="K1429" s="878"/>
      <c r="L1429" s="882"/>
      <c r="M1429" s="882"/>
      <c r="N1429" s="884"/>
      <c r="O1429" s="56">
        <v>722</v>
      </c>
      <c r="P1429" s="79">
        <f>+N1428-P1428</f>
        <v>-93000</v>
      </c>
    </row>
    <row r="1430" spans="1:16" ht="12.75" customHeight="1">
      <c r="A1430" s="919" t="e">
        <f>+A1428+1</f>
        <v>#REF!</v>
      </c>
      <c r="B1430" s="875">
        <v>42369</v>
      </c>
      <c r="C1430" s="877" t="s">
        <v>272</v>
      </c>
      <c r="D1430" s="877" t="s">
        <v>526</v>
      </c>
      <c r="E1430" s="881" t="s">
        <v>148</v>
      </c>
      <c r="F1430" s="883">
        <v>644000</v>
      </c>
      <c r="G1430" s="55">
        <v>719</v>
      </c>
      <c r="H1430" s="78">
        <v>460000</v>
      </c>
      <c r="I1430" s="873" t="s">
        <v>1509</v>
      </c>
      <c r="J1430" s="875">
        <v>43088</v>
      </c>
      <c r="K1430" s="877" t="s">
        <v>472</v>
      </c>
      <c r="L1430" s="881" t="s">
        <v>1510</v>
      </c>
      <c r="M1430" s="881" t="s">
        <v>148</v>
      </c>
      <c r="N1430" s="883">
        <v>-429000</v>
      </c>
      <c r="O1430" s="55">
        <v>719</v>
      </c>
      <c r="P1430" s="78">
        <v>-330000</v>
      </c>
    </row>
    <row r="1431" spans="1:16" ht="14.25" customHeight="1" thickBot="1">
      <c r="A1431" s="920"/>
      <c r="B1431" s="876"/>
      <c r="C1431" s="878"/>
      <c r="D1431" s="878"/>
      <c r="E1431" s="882"/>
      <c r="F1431" s="884"/>
      <c r="G1431" s="56">
        <v>721</v>
      </c>
      <c r="H1431" s="79">
        <f>+F1430-H1430</f>
        <v>184000</v>
      </c>
      <c r="I1431" s="874"/>
      <c r="J1431" s="876"/>
      <c r="K1431" s="878"/>
      <c r="L1431" s="882"/>
      <c r="M1431" s="882"/>
      <c r="N1431" s="884"/>
      <c r="O1431" s="56">
        <v>721</v>
      </c>
      <c r="P1431" s="79">
        <f>+N1430-P1430</f>
        <v>-99000</v>
      </c>
    </row>
    <row r="1432" spans="1:16" ht="15" customHeight="1" thickBot="1">
      <c r="A1432" s="919"/>
      <c r="B1432" s="875"/>
      <c r="C1432" s="877"/>
      <c r="D1432" s="877"/>
      <c r="E1432" s="881"/>
      <c r="F1432" s="883"/>
      <c r="G1432" s="55">
        <v>719</v>
      </c>
      <c r="H1432" s="78"/>
      <c r="I1432" s="901" t="s">
        <v>102</v>
      </c>
      <c r="J1432" s="902"/>
      <c r="K1432" s="902"/>
      <c r="L1432" s="902"/>
      <c r="M1432" s="903"/>
      <c r="N1432" s="81">
        <f>SUM(N1422:N1431)</f>
        <v>-2522000</v>
      </c>
    </row>
    <row r="1433" spans="1:16" ht="15.75" customHeight="1" thickBot="1">
      <c r="A1433" s="920"/>
      <c r="B1433" s="876"/>
      <c r="C1433" s="878"/>
      <c r="D1433" s="878"/>
      <c r="E1433" s="882"/>
      <c r="F1433" s="884"/>
      <c r="G1433" s="56">
        <v>721</v>
      </c>
      <c r="H1433" s="79">
        <f>+F1432-H1432</f>
        <v>0</v>
      </c>
      <c r="I1433" s="885" t="s">
        <v>103</v>
      </c>
      <c r="J1433" s="886"/>
      <c r="K1433" s="886"/>
      <c r="L1433" s="886"/>
      <c r="M1433" s="887"/>
      <c r="N1433" s="69">
        <f>+N1397</f>
        <v>534024219</v>
      </c>
      <c r="O1433" s="241" t="s">
        <v>561</v>
      </c>
      <c r="P1433" s="242">
        <v>124</v>
      </c>
    </row>
    <row r="1434" spans="1:16" ht="16.5" thickBot="1">
      <c r="A1434" s="901" t="s">
        <v>102</v>
      </c>
      <c r="B1434" s="902"/>
      <c r="C1434" s="902"/>
      <c r="D1434" s="902"/>
      <c r="E1434" s="903"/>
      <c r="F1434" s="81">
        <f>SUM(F1424:F1433)</f>
        <v>1246000</v>
      </c>
      <c r="I1434" s="888" t="s">
        <v>104</v>
      </c>
      <c r="J1434" s="889"/>
      <c r="K1434" s="889"/>
      <c r="L1434" s="889"/>
      <c r="M1434" s="890"/>
      <c r="N1434" s="183">
        <f>SUM(N1432:N1433)</f>
        <v>531502219</v>
      </c>
    </row>
    <row r="1435" spans="1:16" ht="12.75" customHeight="1" thickBot="1">
      <c r="A1435" s="885" t="s">
        <v>103</v>
      </c>
      <c r="B1435" s="886"/>
      <c r="C1435" s="886"/>
      <c r="D1435" s="886"/>
      <c r="E1435" s="887"/>
      <c r="F1435" s="69">
        <f>+F1399</f>
        <v>662133254</v>
      </c>
      <c r="I1435" s="61"/>
      <c r="J1435" s="61"/>
      <c r="K1435" s="61"/>
      <c r="L1435" s="61"/>
      <c r="M1435" s="61"/>
    </row>
    <row r="1436" spans="1:16" ht="16.5" thickBot="1">
      <c r="A1436" s="888" t="s">
        <v>104</v>
      </c>
      <c r="B1436" s="889"/>
      <c r="C1436" s="889"/>
      <c r="D1436" s="889"/>
      <c r="E1436" s="890"/>
      <c r="F1436" s="183">
        <f>SUM(F1434:F1435)</f>
        <v>663379254</v>
      </c>
      <c r="I1436" s="51" t="s">
        <v>1601</v>
      </c>
    </row>
    <row r="1437" spans="1:16" ht="9.75" customHeight="1">
      <c r="A1437" s="61"/>
      <c r="B1437" s="61"/>
      <c r="C1437" s="61"/>
      <c r="D1437" s="61"/>
      <c r="E1437" s="61"/>
      <c r="N1437" s="139"/>
    </row>
    <row r="1438" spans="1:16">
      <c r="A1438" s="51" t="s">
        <v>527</v>
      </c>
      <c r="I1438" s="50" t="s">
        <v>105</v>
      </c>
      <c r="L1438" s="146"/>
      <c r="N1438" s="139"/>
    </row>
    <row r="1439" spans="1:16" ht="12.75" customHeight="1" thickBot="1">
      <c r="F1439" s="139"/>
    </row>
    <row r="1440" spans="1:16" ht="15.75" thickBot="1">
      <c r="A1440" s="50" t="s">
        <v>105</v>
      </c>
      <c r="D1440" s="146"/>
      <c r="F1440" s="139"/>
      <c r="I1440" s="891" t="s">
        <v>106</v>
      </c>
      <c r="J1440" s="892"/>
      <c r="K1440" s="892"/>
      <c r="L1440" s="893"/>
      <c r="N1440" s="50" t="s">
        <v>288</v>
      </c>
    </row>
    <row r="1441" spans="1:16" ht="30.75" thickBot="1">
      <c r="I1441" s="57" t="s">
        <v>100</v>
      </c>
      <c r="J1441" s="58" t="s">
        <v>108</v>
      </c>
      <c r="K1441" s="287" t="s">
        <v>109</v>
      </c>
      <c r="L1441" s="60" t="s">
        <v>110</v>
      </c>
    </row>
    <row r="1442" spans="1:16" ht="15.75" thickBot="1">
      <c r="A1442" s="891" t="s">
        <v>106</v>
      </c>
      <c r="B1442" s="892"/>
      <c r="C1442" s="892"/>
      <c r="D1442" s="893"/>
      <c r="F1442" s="50" t="s">
        <v>288</v>
      </c>
      <c r="I1442" s="71">
        <v>719</v>
      </c>
      <c r="J1442" s="73">
        <f>+P1422+P1424+P1426+P1428+P1430</f>
        <v>-1940000</v>
      </c>
      <c r="K1442" s="74">
        <f>+L1405</f>
        <v>28701700</v>
      </c>
      <c r="L1442" s="195">
        <f>+J1442+K1442</f>
        <v>26761700</v>
      </c>
    </row>
    <row r="1443" spans="1:16" ht="17.25" customHeight="1" thickBot="1">
      <c r="A1443" s="57" t="s">
        <v>100</v>
      </c>
      <c r="B1443" s="58" t="s">
        <v>108</v>
      </c>
      <c r="C1443" s="59" t="s">
        <v>109</v>
      </c>
      <c r="D1443" s="60" t="s">
        <v>110</v>
      </c>
      <c r="I1443" s="72">
        <v>721</v>
      </c>
      <c r="J1443" s="80">
        <v>0</v>
      </c>
      <c r="K1443" s="74">
        <f>+L1406</f>
        <v>84011931</v>
      </c>
      <c r="L1443" s="195">
        <f>+J1443+K1443</f>
        <v>84011931</v>
      </c>
    </row>
    <row r="1444" spans="1:16" ht="11.25" customHeight="1">
      <c r="A1444" s="71">
        <v>719</v>
      </c>
      <c r="B1444" s="73">
        <f>+H1424+H1426+H1428+H1430</f>
        <v>890000</v>
      </c>
      <c r="C1444" s="74" t="e">
        <f>+D1407</f>
        <v>#REF!</v>
      </c>
      <c r="D1444" s="195" t="e">
        <f>+B1444+C1444</f>
        <v>#REF!</v>
      </c>
      <c r="I1444" s="72">
        <v>722</v>
      </c>
      <c r="J1444" s="80"/>
      <c r="K1444" s="74">
        <f>+L1407</f>
        <v>0</v>
      </c>
      <c r="L1444" s="195">
        <f>+J1444+K1444</f>
        <v>0</v>
      </c>
    </row>
    <row r="1445" spans="1:16" ht="15.75">
      <c r="A1445" s="72">
        <v>721</v>
      </c>
      <c r="B1445" s="80">
        <f>+H1425+H1427+H1429+H1431</f>
        <v>356000</v>
      </c>
      <c r="C1445" s="74" t="e">
        <f>+D1408</f>
        <v>#REF!</v>
      </c>
      <c r="D1445" s="195" t="e">
        <f>+B1445+C1445</f>
        <v>#REF!</v>
      </c>
      <c r="I1445" s="72">
        <v>723</v>
      </c>
      <c r="J1445" s="80">
        <f>+P1425+P1427+P1429+P1431+P1423</f>
        <v>-582000</v>
      </c>
      <c r="K1445" s="74">
        <f>+L1408</f>
        <v>421310588</v>
      </c>
      <c r="L1445" s="195">
        <f>+J1445+K1445</f>
        <v>420728588</v>
      </c>
      <c r="N1445" s="918" t="s">
        <v>1481</v>
      </c>
      <c r="O1445" s="918"/>
      <c r="P1445" s="918"/>
    </row>
    <row r="1446" spans="1:16" ht="12" customHeight="1" thickBot="1">
      <c r="A1446" s="72">
        <v>722</v>
      </c>
      <c r="B1446" s="80"/>
      <c r="C1446" s="74">
        <f>+D1409</f>
        <v>231207671</v>
      </c>
      <c r="D1446" s="195">
        <f>+B1446+C1446</f>
        <v>231207671</v>
      </c>
      <c r="I1446" s="164" t="s">
        <v>181</v>
      </c>
      <c r="J1446" s="165"/>
      <c r="K1446" s="74">
        <f>+L1409</f>
        <v>0</v>
      </c>
      <c r="L1446" s="196">
        <f>+J1446+K1446</f>
        <v>0</v>
      </c>
      <c r="N1446" s="52"/>
    </row>
    <row r="1447" spans="1:16" ht="14.25" customHeight="1" thickBot="1">
      <c r="A1447" s="72">
        <v>723</v>
      </c>
      <c r="B1447" s="80"/>
      <c r="C1447" s="74">
        <f>+D1410</f>
        <v>323193545</v>
      </c>
      <c r="D1447" s="195">
        <f>+B1447+C1447</f>
        <v>323193545</v>
      </c>
      <c r="F1447" s="174" t="s">
        <v>23</v>
      </c>
      <c r="G1447" s="175"/>
      <c r="I1447" s="169"/>
      <c r="J1447" s="197">
        <f>SUM(J1442:J1446)</f>
        <v>-2522000</v>
      </c>
      <c r="K1447" s="197">
        <f>SUM(K1442:K1446)</f>
        <v>534024219</v>
      </c>
      <c r="L1447" s="198">
        <f>SUM(L1442:L1446)</f>
        <v>531502219</v>
      </c>
    </row>
    <row r="1448" spans="1:16" ht="15.75" customHeight="1" thickBot="1">
      <c r="A1448" s="169"/>
      <c r="B1448" s="170" t="e">
        <f>SUM(#REF!)</f>
        <v>#REF!</v>
      </c>
      <c r="C1448" s="171" t="e">
        <f>SUM(#REF!)</f>
        <v>#REF!</v>
      </c>
      <c r="D1448" s="172" t="e">
        <f>SUM(#REF!)</f>
        <v>#REF!</v>
      </c>
      <c r="I1448" s="49" t="s">
        <v>88</v>
      </c>
      <c r="J1448" s="50"/>
    </row>
    <row r="1449" spans="1:16" ht="13.5" customHeight="1">
      <c r="A1449" s="49" t="s">
        <v>88</v>
      </c>
      <c r="B1449" s="50"/>
      <c r="I1449" s="51" t="s">
        <v>89</v>
      </c>
    </row>
    <row r="1450" spans="1:16" ht="14.25" customHeight="1">
      <c r="A1450" s="51" t="s">
        <v>89</v>
      </c>
      <c r="I1450" s="51" t="s">
        <v>90</v>
      </c>
    </row>
    <row r="1451" spans="1:16" ht="12" customHeight="1">
      <c r="A1451" s="51" t="s">
        <v>90</v>
      </c>
      <c r="I1451" s="51" t="s">
        <v>91</v>
      </c>
    </row>
    <row r="1452" spans="1:16" ht="8.25" customHeight="1">
      <c r="A1452" s="51" t="s">
        <v>91</v>
      </c>
      <c r="I1452" s="50"/>
      <c r="J1452" s="50"/>
    </row>
    <row r="1453" spans="1:16" ht="12" customHeight="1">
      <c r="A1453" s="50"/>
      <c r="B1453" s="50"/>
      <c r="I1453" s="260" t="s">
        <v>927</v>
      </c>
      <c r="O1453" s="52"/>
    </row>
    <row r="1454" spans="1:16" ht="16.5">
      <c r="A1454" s="52" t="s">
        <v>544</v>
      </c>
      <c r="G1454" s="52"/>
      <c r="I1454" s="53" t="s">
        <v>535</v>
      </c>
      <c r="O1454" s="53"/>
    </row>
    <row r="1455" spans="1:16" ht="16.5">
      <c r="A1455" s="53" t="s">
        <v>92</v>
      </c>
      <c r="G1455" s="53"/>
      <c r="I1455" s="894" t="s">
        <v>1600</v>
      </c>
      <c r="J1455" s="894"/>
      <c r="K1455" s="894"/>
      <c r="L1455" s="894"/>
      <c r="M1455" s="894"/>
      <c r="N1455" s="894"/>
      <c r="O1455" s="894"/>
      <c r="P1455" s="894"/>
    </row>
    <row r="1456" spans="1:16" ht="7.5" customHeight="1" thickBot="1">
      <c r="A1456" s="894" t="s">
        <v>261</v>
      </c>
      <c r="B1456" s="894"/>
      <c r="C1456" s="894"/>
      <c r="D1456" s="894"/>
      <c r="E1456" s="894"/>
      <c r="F1456" s="894"/>
      <c r="G1456" s="894"/>
      <c r="H1456" s="894"/>
    </row>
    <row r="1457" spans="1:16" ht="15.75" thickBot="1">
      <c r="I1457" s="895" t="s">
        <v>94</v>
      </c>
      <c r="J1457" s="897" t="s">
        <v>95</v>
      </c>
      <c r="K1457" s="897" t="s">
        <v>96</v>
      </c>
      <c r="L1457" s="897" t="s">
        <v>3</v>
      </c>
      <c r="M1457" s="897" t="s">
        <v>97</v>
      </c>
      <c r="N1457" s="897" t="s">
        <v>98</v>
      </c>
      <c r="O1457" s="897" t="s">
        <v>99</v>
      </c>
      <c r="P1457" s="899"/>
    </row>
    <row r="1458" spans="1:16" ht="15.75" thickBot="1">
      <c r="A1458" s="895" t="s">
        <v>94</v>
      </c>
      <c r="B1458" s="897" t="s">
        <v>95</v>
      </c>
      <c r="C1458" s="897" t="s">
        <v>96</v>
      </c>
      <c r="D1458" s="897" t="s">
        <v>3</v>
      </c>
      <c r="E1458" s="897" t="s">
        <v>97</v>
      </c>
      <c r="F1458" s="897" t="s">
        <v>98</v>
      </c>
      <c r="G1458" s="897" t="s">
        <v>99</v>
      </c>
      <c r="H1458" s="899"/>
      <c r="I1458" s="896"/>
      <c r="J1458" s="898"/>
      <c r="K1458" s="898"/>
      <c r="L1458" s="898"/>
      <c r="M1458" s="898"/>
      <c r="N1458" s="898"/>
      <c r="O1458" s="240" t="s">
        <v>100</v>
      </c>
      <c r="P1458" s="182" t="s">
        <v>101</v>
      </c>
    </row>
    <row r="1459" spans="1:16" ht="14.25" customHeight="1" thickBot="1">
      <c r="A1459" s="896"/>
      <c r="B1459" s="898"/>
      <c r="C1459" s="898"/>
      <c r="D1459" s="898"/>
      <c r="E1459" s="898"/>
      <c r="F1459" s="898"/>
      <c r="G1459" s="240" t="s">
        <v>100</v>
      </c>
      <c r="H1459" s="182" t="s">
        <v>101</v>
      </c>
      <c r="I1459" s="873" t="s">
        <v>1519</v>
      </c>
      <c r="J1459" s="875">
        <v>42723</v>
      </c>
      <c r="K1459" s="877" t="s">
        <v>28</v>
      </c>
      <c r="L1459" s="881" t="s">
        <v>1592</v>
      </c>
      <c r="M1459" s="881" t="s">
        <v>775</v>
      </c>
      <c r="N1459" s="883">
        <v>-170000</v>
      </c>
      <c r="O1459" s="55">
        <v>719</v>
      </c>
      <c r="P1459" s="78">
        <v>-170000</v>
      </c>
    </row>
    <row r="1460" spans="1:16" ht="12" customHeight="1" thickBot="1">
      <c r="A1460" s="919" t="e">
        <f>+#REF!+1</f>
        <v>#REF!</v>
      </c>
      <c r="B1460" s="875">
        <v>42369</v>
      </c>
      <c r="C1460" s="877" t="s">
        <v>267</v>
      </c>
      <c r="D1460" s="881" t="s">
        <v>530</v>
      </c>
      <c r="E1460" s="881" t="s">
        <v>148</v>
      </c>
      <c r="F1460" s="883">
        <v>70000</v>
      </c>
      <c r="G1460" s="55">
        <v>719</v>
      </c>
      <c r="H1460" s="78">
        <v>50000</v>
      </c>
      <c r="I1460" s="874"/>
      <c r="J1460" s="876"/>
      <c r="K1460" s="878"/>
      <c r="L1460" s="882"/>
      <c r="M1460" s="882"/>
      <c r="N1460" s="884"/>
      <c r="O1460" s="56">
        <v>721</v>
      </c>
      <c r="P1460" s="79">
        <f>+N1459-P1459</f>
        <v>0</v>
      </c>
    </row>
    <row r="1461" spans="1:16" ht="14.25" customHeight="1" thickBot="1">
      <c r="A1461" s="920"/>
      <c r="B1461" s="876"/>
      <c r="C1461" s="878"/>
      <c r="D1461" s="882"/>
      <c r="E1461" s="882"/>
      <c r="F1461" s="884"/>
      <c r="G1461" s="56">
        <v>721</v>
      </c>
      <c r="H1461" s="79">
        <f>+F1460-H1460</f>
        <v>20000</v>
      </c>
      <c r="I1461" s="873" t="s">
        <v>1606</v>
      </c>
      <c r="J1461" s="875">
        <v>42723</v>
      </c>
      <c r="K1461" s="877" t="s">
        <v>28</v>
      </c>
      <c r="L1461" s="881" t="s">
        <v>1516</v>
      </c>
      <c r="M1461" s="881" t="s">
        <v>775</v>
      </c>
      <c r="N1461" s="883">
        <v>-70000</v>
      </c>
      <c r="O1461" s="55">
        <v>719</v>
      </c>
      <c r="P1461" s="78">
        <v>-70000</v>
      </c>
    </row>
    <row r="1462" spans="1:16" ht="12.75" customHeight="1" thickBot="1">
      <c r="A1462" s="919" t="e">
        <f>+A1460+1</f>
        <v>#REF!</v>
      </c>
      <c r="B1462" s="875">
        <v>42369</v>
      </c>
      <c r="C1462" s="881" t="s">
        <v>28</v>
      </c>
      <c r="D1462" s="881" t="s">
        <v>530</v>
      </c>
      <c r="E1462" s="881" t="s">
        <v>148</v>
      </c>
      <c r="F1462" s="883">
        <v>70000</v>
      </c>
      <c r="G1462" s="55">
        <v>719</v>
      </c>
      <c r="H1462" s="78">
        <v>50000</v>
      </c>
      <c r="I1462" s="874"/>
      <c r="J1462" s="876"/>
      <c r="K1462" s="878"/>
      <c r="L1462" s="882"/>
      <c r="M1462" s="882"/>
      <c r="N1462" s="884"/>
      <c r="O1462" s="56">
        <v>721</v>
      </c>
      <c r="P1462" s="79">
        <f>+N1461-P1461</f>
        <v>0</v>
      </c>
    </row>
    <row r="1463" spans="1:16" ht="14.25" customHeight="1" thickBot="1">
      <c r="A1463" s="920"/>
      <c r="B1463" s="876"/>
      <c r="C1463" s="882"/>
      <c r="D1463" s="882"/>
      <c r="E1463" s="882"/>
      <c r="F1463" s="884"/>
      <c r="G1463" s="56">
        <v>721</v>
      </c>
      <c r="H1463" s="79">
        <f>+F1462-H1462</f>
        <v>20000</v>
      </c>
      <c r="I1463" s="873" t="s">
        <v>1607</v>
      </c>
      <c r="J1463" s="875">
        <v>42723</v>
      </c>
      <c r="K1463" s="877" t="s">
        <v>28</v>
      </c>
      <c r="L1463" s="881" t="s">
        <v>1517</v>
      </c>
      <c r="M1463" s="881" t="s">
        <v>775</v>
      </c>
      <c r="N1463" s="883">
        <v>-160000</v>
      </c>
      <c r="O1463" s="55">
        <v>719</v>
      </c>
      <c r="P1463" s="78">
        <v>-160000</v>
      </c>
    </row>
    <row r="1464" spans="1:16" ht="11.25" customHeight="1" thickBot="1">
      <c r="A1464" s="919" t="e">
        <f>+A1462+1</f>
        <v>#REF!</v>
      </c>
      <c r="B1464" s="875">
        <v>42369</v>
      </c>
      <c r="C1464" s="877" t="s">
        <v>32</v>
      </c>
      <c r="D1464" s="881" t="s">
        <v>530</v>
      </c>
      <c r="E1464" s="881" t="s">
        <v>148</v>
      </c>
      <c r="F1464" s="883">
        <v>84000</v>
      </c>
      <c r="G1464" s="55">
        <v>719</v>
      </c>
      <c r="H1464" s="78">
        <v>60000</v>
      </c>
      <c r="I1464" s="874"/>
      <c r="J1464" s="876"/>
      <c r="K1464" s="878"/>
      <c r="L1464" s="882"/>
      <c r="M1464" s="882"/>
      <c r="N1464" s="884"/>
      <c r="O1464" s="56">
        <v>721</v>
      </c>
      <c r="P1464" s="79"/>
    </row>
    <row r="1465" spans="1:16" ht="13.5" customHeight="1">
      <c r="A1465" s="921"/>
      <c r="B1465" s="922"/>
      <c r="C1465" s="900"/>
      <c r="D1465" s="923"/>
      <c r="E1465" s="923"/>
      <c r="F1465" s="924"/>
      <c r="G1465" s="255"/>
      <c r="H1465" s="256"/>
      <c r="I1465" s="873" t="s">
        <v>1608</v>
      </c>
      <c r="J1465" s="875">
        <v>42723</v>
      </c>
      <c r="K1465" s="877" t="s">
        <v>28</v>
      </c>
      <c r="L1465" s="881" t="s">
        <v>1524</v>
      </c>
      <c r="M1465" s="881" t="s">
        <v>148</v>
      </c>
      <c r="N1465" s="883">
        <v>-1001000</v>
      </c>
      <c r="O1465" s="55">
        <v>719</v>
      </c>
      <c r="P1465" s="78">
        <v>-770000</v>
      </c>
    </row>
    <row r="1466" spans="1:16" ht="13.5" customHeight="1" thickBot="1">
      <c r="A1466" s="921"/>
      <c r="B1466" s="922"/>
      <c r="C1466" s="900"/>
      <c r="D1466" s="923"/>
      <c r="E1466" s="923"/>
      <c r="F1466" s="924"/>
      <c r="G1466" s="255"/>
      <c r="H1466" s="256"/>
      <c r="I1466" s="874"/>
      <c r="J1466" s="876"/>
      <c r="K1466" s="878"/>
      <c r="L1466" s="882"/>
      <c r="M1466" s="882"/>
      <c r="N1466" s="884"/>
      <c r="O1466" s="56">
        <v>721</v>
      </c>
      <c r="P1466" s="79">
        <v>-231000</v>
      </c>
    </row>
    <row r="1467" spans="1:16" ht="14.25" customHeight="1" thickBot="1">
      <c r="A1467" s="920"/>
      <c r="B1467" s="876"/>
      <c r="C1467" s="878"/>
      <c r="D1467" s="882"/>
      <c r="E1467" s="882"/>
      <c r="F1467" s="884"/>
      <c r="G1467" s="56">
        <v>721</v>
      </c>
      <c r="H1467" s="79">
        <f>+F1464-H1464</f>
        <v>24000</v>
      </c>
      <c r="I1467" s="873" t="s">
        <v>1609</v>
      </c>
      <c r="J1467" s="875">
        <v>42723</v>
      </c>
      <c r="K1467" s="877" t="s">
        <v>28</v>
      </c>
      <c r="L1467" s="881" t="s">
        <v>1527</v>
      </c>
      <c r="M1467" s="881" t="s">
        <v>148</v>
      </c>
      <c r="N1467" s="883">
        <v>-559000</v>
      </c>
      <c r="O1467" s="55">
        <v>719</v>
      </c>
      <c r="P1467" s="78">
        <v>-430000</v>
      </c>
    </row>
    <row r="1468" spans="1:16" ht="15" customHeight="1" thickBot="1">
      <c r="A1468" s="919" t="e">
        <f>+A1464+1</f>
        <v>#REF!</v>
      </c>
      <c r="B1468" s="875">
        <v>42369</v>
      </c>
      <c r="C1468" s="877" t="s">
        <v>272</v>
      </c>
      <c r="D1468" s="881" t="s">
        <v>530</v>
      </c>
      <c r="E1468" s="881" t="s">
        <v>148</v>
      </c>
      <c r="F1468" s="883">
        <v>294000</v>
      </c>
      <c r="G1468" s="55">
        <v>719</v>
      </c>
      <c r="H1468" s="78">
        <v>210000</v>
      </c>
      <c r="I1468" s="874"/>
      <c r="J1468" s="876"/>
      <c r="K1468" s="878"/>
      <c r="L1468" s="882"/>
      <c r="M1468" s="882"/>
      <c r="N1468" s="884"/>
      <c r="O1468" s="56">
        <v>721</v>
      </c>
      <c r="P1468" s="79">
        <f>+N1467-P1467</f>
        <v>-129000</v>
      </c>
    </row>
    <row r="1469" spans="1:16" ht="13.5" customHeight="1" thickBot="1">
      <c r="A1469" s="920"/>
      <c r="B1469" s="876"/>
      <c r="C1469" s="878"/>
      <c r="D1469" s="882"/>
      <c r="E1469" s="882"/>
      <c r="F1469" s="884"/>
      <c r="G1469" s="56">
        <v>721</v>
      </c>
      <c r="H1469" s="79">
        <f>+F1468-H1468</f>
        <v>84000</v>
      </c>
      <c r="I1469" s="873" t="s">
        <v>1610</v>
      </c>
      <c r="J1469" s="875">
        <v>42723</v>
      </c>
      <c r="K1469" s="877" t="s">
        <v>28</v>
      </c>
      <c r="L1469" s="881" t="s">
        <v>1529</v>
      </c>
      <c r="M1469" s="881" t="s">
        <v>148</v>
      </c>
      <c r="N1469" s="883">
        <v>-624000</v>
      </c>
      <c r="O1469" s="55">
        <v>719</v>
      </c>
      <c r="P1469" s="78">
        <v>-480000</v>
      </c>
    </row>
    <row r="1470" spans="1:16" ht="14.25" customHeight="1" thickBot="1">
      <c r="A1470" s="919"/>
      <c r="B1470" s="875"/>
      <c r="C1470" s="877"/>
      <c r="D1470" s="877"/>
      <c r="E1470" s="881"/>
      <c r="F1470" s="883"/>
      <c r="G1470" s="55">
        <v>719</v>
      </c>
      <c r="H1470" s="78"/>
      <c r="I1470" s="874"/>
      <c r="J1470" s="876"/>
      <c r="K1470" s="878"/>
      <c r="L1470" s="882"/>
      <c r="M1470" s="882"/>
      <c r="N1470" s="884"/>
      <c r="O1470" s="56">
        <v>721</v>
      </c>
      <c r="P1470" s="79">
        <f>+N1469-P1469</f>
        <v>-144000</v>
      </c>
    </row>
    <row r="1471" spans="1:16" ht="16.5" thickBot="1">
      <c r="A1471" s="920"/>
      <c r="B1471" s="876"/>
      <c r="C1471" s="878"/>
      <c r="D1471" s="878"/>
      <c r="E1471" s="882"/>
      <c r="F1471" s="884"/>
      <c r="G1471" s="56">
        <v>721</v>
      </c>
      <c r="H1471" s="79">
        <f>+F1470-H1470</f>
        <v>0</v>
      </c>
      <c r="I1471" s="901" t="s">
        <v>102</v>
      </c>
      <c r="J1471" s="902"/>
      <c r="K1471" s="902"/>
      <c r="L1471" s="902"/>
      <c r="M1471" s="903"/>
      <c r="N1471" s="81">
        <f>SUM(N1459:N1470)</f>
        <v>-2584000</v>
      </c>
    </row>
    <row r="1472" spans="1:16" ht="16.5" thickBot="1">
      <c r="A1472" s="901" t="s">
        <v>102</v>
      </c>
      <c r="B1472" s="902"/>
      <c r="C1472" s="902"/>
      <c r="D1472" s="902"/>
      <c r="E1472" s="903"/>
      <c r="F1472" s="81">
        <f>SUM(F1460:F1471)</f>
        <v>518000</v>
      </c>
      <c r="I1472" s="885" t="s">
        <v>103</v>
      </c>
      <c r="J1472" s="886"/>
      <c r="K1472" s="886"/>
      <c r="L1472" s="886"/>
      <c r="M1472" s="887"/>
      <c r="N1472" s="69">
        <f>+N1434</f>
        <v>531502219</v>
      </c>
      <c r="O1472" s="241" t="s">
        <v>561</v>
      </c>
      <c r="P1472" s="242"/>
    </row>
    <row r="1473" spans="1:16" ht="16.5" thickBot="1">
      <c r="A1473" s="885" t="s">
        <v>103</v>
      </c>
      <c r="B1473" s="886"/>
      <c r="C1473" s="886"/>
      <c r="D1473" s="886"/>
      <c r="E1473" s="887"/>
      <c r="F1473" s="69" t="e">
        <f>+#REF!</f>
        <v>#REF!</v>
      </c>
      <c r="I1473" s="888" t="s">
        <v>104</v>
      </c>
      <c r="J1473" s="889"/>
      <c r="K1473" s="889"/>
      <c r="L1473" s="889"/>
      <c r="M1473" s="890"/>
      <c r="N1473" s="183">
        <f>SUM(N1471:N1472)</f>
        <v>528918219</v>
      </c>
    </row>
    <row r="1474" spans="1:16" ht="14.25" customHeight="1" thickBot="1">
      <c r="A1474" s="888" t="s">
        <v>104</v>
      </c>
      <c r="B1474" s="889"/>
      <c r="C1474" s="889"/>
      <c r="D1474" s="889"/>
      <c r="E1474" s="890"/>
      <c r="F1474" s="183" t="e">
        <f>SUM(F1472:F1473)</f>
        <v>#REF!</v>
      </c>
      <c r="I1474" s="61"/>
      <c r="J1474" s="61"/>
      <c r="K1474" s="61"/>
      <c r="L1474" s="61"/>
      <c r="M1474" s="61"/>
    </row>
    <row r="1475" spans="1:16">
      <c r="A1475" s="61"/>
      <c r="B1475" s="61"/>
      <c r="C1475" s="61"/>
      <c r="D1475" s="61"/>
      <c r="E1475" s="61"/>
      <c r="I1475" s="51" t="s">
        <v>1602</v>
      </c>
    </row>
    <row r="1476" spans="1:16" ht="9" customHeight="1">
      <c r="A1476" s="51" t="s">
        <v>546</v>
      </c>
      <c r="N1476" s="139"/>
    </row>
    <row r="1477" spans="1:16" ht="12.75" customHeight="1">
      <c r="F1477" s="139"/>
      <c r="I1477" s="50" t="s">
        <v>105</v>
      </c>
      <c r="L1477" s="146"/>
      <c r="N1477" s="139"/>
    </row>
    <row r="1478" spans="1:16" ht="12" customHeight="1" thickBot="1">
      <c r="A1478" s="50" t="s">
        <v>105</v>
      </c>
      <c r="D1478" s="146"/>
      <c r="F1478" s="139"/>
    </row>
    <row r="1479" spans="1:16" ht="12" customHeight="1" thickBot="1">
      <c r="I1479" s="891" t="s">
        <v>106</v>
      </c>
      <c r="J1479" s="892"/>
      <c r="K1479" s="892"/>
      <c r="L1479" s="893"/>
      <c r="N1479" s="50" t="s">
        <v>288</v>
      </c>
    </row>
    <row r="1480" spans="1:16" ht="28.5" customHeight="1" thickBot="1">
      <c r="A1480" s="891" t="s">
        <v>106</v>
      </c>
      <c r="B1480" s="892"/>
      <c r="C1480" s="892"/>
      <c r="D1480" s="893"/>
      <c r="F1480" s="50" t="s">
        <v>288</v>
      </c>
      <c r="I1480" s="57" t="s">
        <v>100</v>
      </c>
      <c r="J1480" s="58" t="s">
        <v>108</v>
      </c>
      <c r="K1480" s="59" t="s">
        <v>109</v>
      </c>
      <c r="L1480" s="60" t="s">
        <v>110</v>
      </c>
    </row>
    <row r="1481" spans="1:16" ht="14.25" customHeight="1" thickBot="1">
      <c r="A1481" s="57" t="s">
        <v>100</v>
      </c>
      <c r="B1481" s="58" t="s">
        <v>108</v>
      </c>
      <c r="C1481" s="59" t="s">
        <v>109</v>
      </c>
      <c r="D1481" s="60" t="s">
        <v>110</v>
      </c>
      <c r="I1481" s="71">
        <v>719</v>
      </c>
      <c r="J1481" s="73">
        <f>+P1459+P1461+P1463+P1465+P1467+P1469</f>
        <v>-2080000</v>
      </c>
      <c r="K1481" s="74">
        <f>+L1442</f>
        <v>26761700</v>
      </c>
      <c r="L1481" s="195">
        <f>+J1481+K1481</f>
        <v>24681700</v>
      </c>
    </row>
    <row r="1482" spans="1:16" ht="13.5" customHeight="1">
      <c r="A1482" s="71">
        <v>719</v>
      </c>
      <c r="B1482" s="73">
        <f>+H1460+H1462+H1464+H1468</f>
        <v>370000</v>
      </c>
      <c r="C1482" s="74" t="e">
        <f>+#REF!</f>
        <v>#REF!</v>
      </c>
      <c r="D1482" s="195" t="e">
        <f>+B1482+C1482</f>
        <v>#REF!</v>
      </c>
      <c r="I1482" s="72">
        <v>721</v>
      </c>
      <c r="J1482" s="80">
        <f>+P1470+P1468+P1466</f>
        <v>-504000</v>
      </c>
      <c r="K1482" s="74">
        <f>+L1443</f>
        <v>84011931</v>
      </c>
      <c r="L1482" s="195">
        <f>+J1482+K1482</f>
        <v>83507931</v>
      </c>
    </row>
    <row r="1483" spans="1:16" ht="13.5" customHeight="1">
      <c r="A1483" s="72">
        <v>721</v>
      </c>
      <c r="B1483" s="80">
        <f>+H1461+H1463+H1467+H1469+H1471</f>
        <v>148000</v>
      </c>
      <c r="C1483" s="74" t="e">
        <f>+#REF!</f>
        <v>#REF!</v>
      </c>
      <c r="D1483" s="195" t="e">
        <f>+B1483+C1483</f>
        <v>#REF!</v>
      </c>
      <c r="I1483" s="72">
        <v>722</v>
      </c>
      <c r="J1483" s="80"/>
      <c r="K1483" s="74">
        <f>+L1444</f>
        <v>0</v>
      </c>
      <c r="L1483" s="195">
        <f>+J1483+K1483</f>
        <v>0</v>
      </c>
    </row>
    <row r="1484" spans="1:16" ht="15" customHeight="1">
      <c r="A1484" s="72">
        <v>722</v>
      </c>
      <c r="B1484" s="80"/>
      <c r="C1484" s="74" t="e">
        <f>+#REF!</f>
        <v>#REF!</v>
      </c>
      <c r="D1484" s="195" t="e">
        <f>+B1484+C1484</f>
        <v>#REF!</v>
      </c>
      <c r="I1484" s="72">
        <v>723</v>
      </c>
      <c r="J1484" s="80"/>
      <c r="K1484" s="74">
        <f>+L1445</f>
        <v>420728588</v>
      </c>
      <c r="L1484" s="195">
        <f>+J1484+K1484</f>
        <v>420728588</v>
      </c>
      <c r="N1484" s="918" t="s">
        <v>1481</v>
      </c>
      <c r="O1484" s="918"/>
      <c r="P1484" s="918"/>
    </row>
    <row r="1485" spans="1:16" ht="16.5" thickBot="1">
      <c r="A1485" s="72">
        <v>723</v>
      </c>
      <c r="B1485" s="80"/>
      <c r="C1485" s="74" t="e">
        <f>+#REF!</f>
        <v>#REF!</v>
      </c>
      <c r="D1485" s="195" t="e">
        <f>+B1485+C1485</f>
        <v>#REF!</v>
      </c>
      <c r="F1485" s="174" t="s">
        <v>23</v>
      </c>
      <c r="G1485" s="175"/>
      <c r="I1485" s="164" t="s">
        <v>181</v>
      </c>
      <c r="J1485" s="165"/>
      <c r="K1485" s="74">
        <f>+L1446</f>
        <v>0</v>
      </c>
      <c r="L1485" s="196">
        <f>+J1485+K1485</f>
        <v>0</v>
      </c>
      <c r="N1485" s="52"/>
    </row>
    <row r="1486" spans="1:16" ht="16.5" thickBot="1">
      <c r="A1486" s="164" t="s">
        <v>181</v>
      </c>
      <c r="B1486" s="165"/>
      <c r="C1486" s="74" t="e">
        <f>+#REF!</f>
        <v>#REF!</v>
      </c>
      <c r="D1486" s="196" t="e">
        <f>+B1486+C1486</f>
        <v>#REF!</v>
      </c>
      <c r="F1486" s="52"/>
      <c r="I1486" s="169"/>
      <c r="J1486" s="197">
        <f>SUM(J1481:J1485)</f>
        <v>-2584000</v>
      </c>
      <c r="K1486" s="197">
        <f>SUM(K1481:K1485)</f>
        <v>531502219</v>
      </c>
      <c r="L1486" s="198">
        <f>SUM(L1481:L1485)</f>
        <v>528918219</v>
      </c>
    </row>
    <row r="1487" spans="1:16" ht="17.25" thickBot="1">
      <c r="A1487" s="169"/>
      <c r="B1487" s="170">
        <f>SUM(B1482:B1486)</f>
        <v>518000</v>
      </c>
      <c r="C1487" s="171" t="e">
        <f>SUM(C1482:C1486)</f>
        <v>#REF!</v>
      </c>
      <c r="D1487" s="172" t="e">
        <f>SUM(D1482:D1486)</f>
        <v>#REF!</v>
      </c>
      <c r="I1487" s="49" t="s">
        <v>88</v>
      </c>
      <c r="J1487" s="50"/>
    </row>
    <row r="1488" spans="1:16">
      <c r="I1488" s="51" t="s">
        <v>89</v>
      </c>
    </row>
    <row r="1489" spans="9:16">
      <c r="I1489" s="51" t="s">
        <v>90</v>
      </c>
    </row>
    <row r="1490" spans="9:16">
      <c r="I1490" s="51" t="s">
        <v>91</v>
      </c>
    </row>
    <row r="1491" spans="9:16">
      <c r="I1491" s="50"/>
      <c r="J1491" s="50"/>
    </row>
    <row r="1492" spans="9:16" ht="15.75">
      <c r="I1492" s="260" t="s">
        <v>928</v>
      </c>
      <c r="O1492" s="52"/>
    </row>
    <row r="1493" spans="9:16" ht="15.75">
      <c r="I1493" s="53" t="s">
        <v>1333</v>
      </c>
      <c r="O1493" s="53"/>
    </row>
    <row r="1494" spans="9:16" ht="16.5">
      <c r="I1494" s="894" t="s">
        <v>909</v>
      </c>
      <c r="J1494" s="894"/>
      <c r="K1494" s="894"/>
      <c r="L1494" s="894"/>
      <c r="M1494" s="894"/>
      <c r="N1494" s="894"/>
      <c r="O1494" s="894"/>
      <c r="P1494" s="894"/>
    </row>
    <row r="1495" spans="9:16" ht="15.75" thickBot="1"/>
    <row r="1496" spans="9:16">
      <c r="I1496" s="895" t="s">
        <v>94</v>
      </c>
      <c r="J1496" s="897" t="s">
        <v>95</v>
      </c>
      <c r="K1496" s="897" t="s">
        <v>96</v>
      </c>
      <c r="L1496" s="897" t="s">
        <v>3</v>
      </c>
      <c r="M1496" s="897" t="s">
        <v>97</v>
      </c>
      <c r="N1496" s="897" t="s">
        <v>98</v>
      </c>
      <c r="O1496" s="897" t="s">
        <v>99</v>
      </c>
      <c r="P1496" s="899"/>
    </row>
    <row r="1497" spans="9:16" ht="15.75" thickBot="1">
      <c r="I1497" s="896"/>
      <c r="J1497" s="898"/>
      <c r="K1497" s="898"/>
      <c r="L1497" s="898"/>
      <c r="M1497" s="898"/>
      <c r="N1497" s="898"/>
      <c r="O1497" s="240" t="s">
        <v>100</v>
      </c>
      <c r="P1497" s="182" t="s">
        <v>101</v>
      </c>
    </row>
    <row r="1498" spans="9:16" ht="12" customHeight="1">
      <c r="I1498" s="873" t="s">
        <v>1611</v>
      </c>
      <c r="J1498" s="875">
        <v>43096</v>
      </c>
      <c r="K1498" s="881" t="s">
        <v>28</v>
      </c>
      <c r="L1498" s="881" t="s">
        <v>1615</v>
      </c>
      <c r="M1498" s="881" t="s">
        <v>148</v>
      </c>
      <c r="N1498" s="883">
        <v>650000</v>
      </c>
      <c r="O1498" s="55">
        <v>719</v>
      </c>
      <c r="P1498" s="78">
        <v>500000</v>
      </c>
    </row>
    <row r="1499" spans="9:16" ht="13.5" customHeight="1" thickBot="1">
      <c r="I1499" s="874"/>
      <c r="J1499" s="876"/>
      <c r="K1499" s="882"/>
      <c r="L1499" s="882"/>
      <c r="M1499" s="882"/>
      <c r="N1499" s="884"/>
      <c r="O1499" s="56">
        <v>721</v>
      </c>
      <c r="P1499" s="79">
        <f>+N1498-P1498</f>
        <v>150000</v>
      </c>
    </row>
    <row r="1500" spans="9:16" ht="12" customHeight="1">
      <c r="I1500" s="881">
        <f>+I1498+1</f>
        <v>177</v>
      </c>
      <c r="J1500" s="875">
        <v>43096</v>
      </c>
      <c r="K1500" s="881" t="s">
        <v>28</v>
      </c>
      <c r="L1500" s="879" t="s">
        <v>1614</v>
      </c>
      <c r="M1500" s="881" t="s">
        <v>148</v>
      </c>
      <c r="N1500" s="883">
        <v>650000</v>
      </c>
      <c r="O1500" s="55">
        <v>719</v>
      </c>
      <c r="P1500" s="78">
        <v>500000</v>
      </c>
    </row>
    <row r="1501" spans="9:16" ht="12.75" customHeight="1" thickBot="1">
      <c r="I1501" s="882"/>
      <c r="J1501" s="876"/>
      <c r="K1501" s="882"/>
      <c r="L1501" s="880"/>
      <c r="M1501" s="882"/>
      <c r="N1501" s="884"/>
      <c r="O1501" s="56">
        <v>721</v>
      </c>
      <c r="P1501" s="79">
        <f>+N1500-P1500</f>
        <v>150000</v>
      </c>
    </row>
    <row r="1502" spans="9:16" ht="12.75" customHeight="1">
      <c r="I1502" s="881">
        <f>+I1500+1</f>
        <v>178</v>
      </c>
      <c r="J1502" s="875">
        <v>43096</v>
      </c>
      <c r="K1502" s="877" t="s">
        <v>1079</v>
      </c>
      <c r="L1502" s="881" t="s">
        <v>1613</v>
      </c>
      <c r="M1502" s="881" t="s">
        <v>148</v>
      </c>
      <c r="N1502" s="883">
        <v>650000</v>
      </c>
      <c r="O1502" s="55">
        <v>719</v>
      </c>
      <c r="P1502" s="78">
        <v>500000</v>
      </c>
    </row>
    <row r="1503" spans="9:16" ht="12.75" customHeight="1" thickBot="1">
      <c r="I1503" s="882"/>
      <c r="J1503" s="876"/>
      <c r="K1503" s="878"/>
      <c r="L1503" s="882"/>
      <c r="M1503" s="882"/>
      <c r="N1503" s="884"/>
      <c r="O1503" s="56">
        <v>721</v>
      </c>
      <c r="P1503" s="79">
        <f>+N1502-P1502</f>
        <v>150000</v>
      </c>
    </row>
    <row r="1504" spans="9:16" ht="12" customHeight="1">
      <c r="I1504" s="881">
        <f>+I1502+1</f>
        <v>179</v>
      </c>
      <c r="J1504" s="875">
        <v>43096</v>
      </c>
      <c r="K1504" s="877" t="s">
        <v>1079</v>
      </c>
      <c r="L1504" s="879" t="s">
        <v>1612</v>
      </c>
      <c r="M1504" s="881" t="s">
        <v>148</v>
      </c>
      <c r="N1504" s="883">
        <v>650000</v>
      </c>
      <c r="O1504" s="55">
        <v>719</v>
      </c>
      <c r="P1504" s="78">
        <v>500000</v>
      </c>
    </row>
    <row r="1505" spans="9:16" ht="13.5" customHeight="1" thickBot="1">
      <c r="I1505" s="882"/>
      <c r="J1505" s="876"/>
      <c r="K1505" s="878"/>
      <c r="L1505" s="880"/>
      <c r="M1505" s="882"/>
      <c r="N1505" s="884"/>
      <c r="O1505" s="56">
        <v>721</v>
      </c>
      <c r="P1505" s="79">
        <f>+N1504-P1504</f>
        <v>150000</v>
      </c>
    </row>
    <row r="1506" spans="9:16" ht="13.5" customHeight="1">
      <c r="I1506" s="881">
        <f>+I1504+1</f>
        <v>180</v>
      </c>
      <c r="J1506" s="875">
        <v>43096</v>
      </c>
      <c r="K1506" s="881" t="s">
        <v>28</v>
      </c>
      <c r="L1506" s="879" t="s">
        <v>1616</v>
      </c>
      <c r="M1506" s="881" t="s">
        <v>115</v>
      </c>
      <c r="N1506" s="883">
        <v>70000</v>
      </c>
      <c r="O1506" s="55">
        <v>719</v>
      </c>
      <c r="P1506" s="78">
        <v>70000</v>
      </c>
    </row>
    <row r="1507" spans="9:16" ht="12.75" customHeight="1" thickBot="1">
      <c r="I1507" s="882"/>
      <c r="J1507" s="876"/>
      <c r="K1507" s="882"/>
      <c r="L1507" s="880"/>
      <c r="M1507" s="882"/>
      <c r="N1507" s="884"/>
      <c r="O1507" s="56">
        <v>721</v>
      </c>
      <c r="P1507" s="79">
        <f>+N1506-P1506</f>
        <v>0</v>
      </c>
    </row>
    <row r="1508" spans="9:16" ht="15" customHeight="1">
      <c r="I1508" s="881">
        <f>+I1506+1</f>
        <v>181</v>
      </c>
      <c r="J1508" s="875">
        <v>43096</v>
      </c>
      <c r="K1508" s="877" t="s">
        <v>120</v>
      </c>
      <c r="L1508" s="879" t="s">
        <v>1616</v>
      </c>
      <c r="M1508" s="881" t="s">
        <v>115</v>
      </c>
      <c r="N1508" s="883">
        <v>250000</v>
      </c>
      <c r="O1508" s="55">
        <v>719</v>
      </c>
      <c r="P1508" s="78">
        <v>250000</v>
      </c>
    </row>
    <row r="1509" spans="9:16" ht="12.75" customHeight="1" thickBot="1">
      <c r="I1509" s="882"/>
      <c r="J1509" s="876"/>
      <c r="K1509" s="878"/>
      <c r="L1509" s="880"/>
      <c r="M1509" s="882"/>
      <c r="N1509" s="884"/>
      <c r="O1509" s="56">
        <v>721</v>
      </c>
      <c r="P1509" s="79">
        <f>+N1508-P1508</f>
        <v>0</v>
      </c>
    </row>
    <row r="1510" spans="9:16" ht="16.5" thickBot="1">
      <c r="I1510" s="901" t="s">
        <v>102</v>
      </c>
      <c r="J1510" s="902"/>
      <c r="K1510" s="902"/>
      <c r="L1510" s="902"/>
      <c r="M1510" s="903"/>
      <c r="N1510" s="81">
        <f>SUM(N1498:N1509)</f>
        <v>2920000</v>
      </c>
    </row>
    <row r="1511" spans="9:16" ht="16.5" thickBot="1">
      <c r="I1511" s="885" t="s">
        <v>103</v>
      </c>
      <c r="J1511" s="886"/>
      <c r="K1511" s="886"/>
      <c r="L1511" s="886"/>
      <c r="M1511" s="887"/>
      <c r="N1511" s="69">
        <f>+N1473</f>
        <v>528918219</v>
      </c>
      <c r="O1511" s="241" t="s">
        <v>561</v>
      </c>
      <c r="P1511" s="242">
        <f>1207+1207+235+235+162+310</f>
        <v>3356</v>
      </c>
    </row>
    <row r="1512" spans="9:16" ht="16.5" thickBot="1">
      <c r="I1512" s="888" t="s">
        <v>104</v>
      </c>
      <c r="J1512" s="889"/>
      <c r="K1512" s="889"/>
      <c r="L1512" s="889"/>
      <c r="M1512" s="890"/>
      <c r="N1512" s="183">
        <f>SUM(N1510:N1511)</f>
        <v>531838219</v>
      </c>
    </row>
    <row r="1513" spans="9:16">
      <c r="I1513" s="61"/>
      <c r="J1513" s="61"/>
      <c r="K1513" s="61"/>
      <c r="L1513" s="61"/>
      <c r="M1513" s="61"/>
    </row>
    <row r="1514" spans="9:16">
      <c r="I1514" s="51" t="s">
        <v>1617</v>
      </c>
    </row>
    <row r="1515" spans="9:16" ht="9.75" customHeight="1">
      <c r="N1515" s="139"/>
    </row>
    <row r="1516" spans="9:16">
      <c r="I1516" s="50" t="s">
        <v>105</v>
      </c>
      <c r="L1516" s="146"/>
      <c r="N1516" s="139"/>
    </row>
    <row r="1517" spans="9:16" ht="13.5" customHeight="1" thickBot="1"/>
    <row r="1518" spans="9:16" ht="15.75" thickBot="1">
      <c r="I1518" s="891" t="s">
        <v>106</v>
      </c>
      <c r="J1518" s="892"/>
      <c r="K1518" s="892"/>
      <c r="L1518" s="893"/>
      <c r="N1518" s="50" t="s">
        <v>288</v>
      </c>
    </row>
    <row r="1519" spans="9:16" ht="30.75" thickBot="1">
      <c r="I1519" s="57" t="s">
        <v>100</v>
      </c>
      <c r="J1519" s="58" t="s">
        <v>108</v>
      </c>
      <c r="K1519" s="287" t="s">
        <v>109</v>
      </c>
      <c r="L1519" s="60" t="s">
        <v>110</v>
      </c>
    </row>
    <row r="1520" spans="9:16" ht="13.5" customHeight="1">
      <c r="I1520" s="71">
        <v>719</v>
      </c>
      <c r="J1520" s="73">
        <f>+P1498+P1500+P1502+P1504+P1508+P1506</f>
        <v>2320000</v>
      </c>
      <c r="K1520" s="74">
        <f>+L1481</f>
        <v>24681700</v>
      </c>
      <c r="L1520" s="195">
        <f>+J1520+K1520</f>
        <v>27001700</v>
      </c>
    </row>
    <row r="1521" spans="9:16" ht="12.75" customHeight="1">
      <c r="I1521" s="72">
        <v>721</v>
      </c>
      <c r="J1521" s="80">
        <f>+P1509+P1505+P1503+P1501+P1499</f>
        <v>600000</v>
      </c>
      <c r="K1521" s="74">
        <f>+L1482</f>
        <v>83507931</v>
      </c>
      <c r="L1521" s="195">
        <f>+J1521+K1521</f>
        <v>84107931</v>
      </c>
    </row>
    <row r="1522" spans="9:16" ht="12.75" customHeight="1">
      <c r="I1522" s="72">
        <v>722</v>
      </c>
      <c r="J1522" s="80"/>
      <c r="K1522" s="74">
        <f>+L1483</f>
        <v>0</v>
      </c>
      <c r="L1522" s="195">
        <f>+J1522+K1522</f>
        <v>0</v>
      </c>
    </row>
    <row r="1523" spans="9:16" ht="15.75">
      <c r="I1523" s="72">
        <v>723</v>
      </c>
      <c r="J1523" s="80"/>
      <c r="K1523" s="74">
        <f>+L1484</f>
        <v>420728588</v>
      </c>
      <c r="L1523" s="195">
        <f>+J1523+K1523</f>
        <v>420728588</v>
      </c>
      <c r="N1523" s="918" t="s">
        <v>1481</v>
      </c>
      <c r="O1523" s="918"/>
      <c r="P1523" s="918"/>
    </row>
    <row r="1524" spans="9:16" ht="13.5" customHeight="1" thickBot="1">
      <c r="I1524" s="164" t="s">
        <v>181</v>
      </c>
      <c r="J1524" s="165"/>
      <c r="K1524" s="74">
        <f>+L1485</f>
        <v>0</v>
      </c>
      <c r="L1524" s="196">
        <f>+J1524+K1524</f>
        <v>0</v>
      </c>
      <c r="N1524" s="52"/>
    </row>
    <row r="1525" spans="9:16" ht="16.5" thickBot="1">
      <c r="I1525" s="169"/>
      <c r="J1525" s="197">
        <f>SUM(J1520:J1524)</f>
        <v>2920000</v>
      </c>
      <c r="K1525" s="197">
        <f>SUM(K1520:K1524)</f>
        <v>528918219</v>
      </c>
      <c r="L1525" s="198">
        <f>SUM(L1520:L1524)</f>
        <v>531838219</v>
      </c>
    </row>
    <row r="1526" spans="9:16" ht="16.5">
      <c r="I1526" s="49" t="s">
        <v>88</v>
      </c>
      <c r="J1526" s="50"/>
    </row>
    <row r="1527" spans="9:16">
      <c r="I1527" s="51" t="s">
        <v>89</v>
      </c>
    </row>
    <row r="1528" spans="9:16">
      <c r="I1528" s="51" t="s">
        <v>90</v>
      </c>
    </row>
    <row r="1529" spans="9:16">
      <c r="I1529" s="51" t="s">
        <v>91</v>
      </c>
    </row>
    <row r="1530" spans="9:16" ht="10.5" customHeight="1">
      <c r="I1530" s="50"/>
      <c r="J1530" s="50"/>
    </row>
    <row r="1531" spans="9:16" ht="15.75">
      <c r="I1531" s="260" t="s">
        <v>929</v>
      </c>
      <c r="O1531" s="52"/>
    </row>
    <row r="1532" spans="9:16" ht="15.75">
      <c r="I1532" s="53" t="s">
        <v>1333</v>
      </c>
      <c r="O1532" s="53"/>
    </row>
    <row r="1533" spans="9:16" ht="16.5">
      <c r="I1533" s="894" t="s">
        <v>909</v>
      </c>
      <c r="J1533" s="894"/>
      <c r="K1533" s="894"/>
      <c r="L1533" s="894"/>
      <c r="M1533" s="894"/>
      <c r="N1533" s="894"/>
      <c r="O1533" s="894"/>
      <c r="P1533" s="894"/>
    </row>
    <row r="1534" spans="9:16" ht="13.5" customHeight="1" thickBot="1"/>
    <row r="1535" spans="9:16">
      <c r="I1535" s="895" t="s">
        <v>94</v>
      </c>
      <c r="J1535" s="897" t="s">
        <v>95</v>
      </c>
      <c r="K1535" s="897" t="s">
        <v>96</v>
      </c>
      <c r="L1535" s="897" t="s">
        <v>3</v>
      </c>
      <c r="M1535" s="897" t="s">
        <v>97</v>
      </c>
      <c r="N1535" s="897" t="s">
        <v>98</v>
      </c>
      <c r="O1535" s="897" t="s">
        <v>99</v>
      </c>
      <c r="P1535" s="899"/>
    </row>
    <row r="1536" spans="9:16" ht="15.75" thickBot="1">
      <c r="I1536" s="896"/>
      <c r="J1536" s="898"/>
      <c r="K1536" s="898"/>
      <c r="L1536" s="898"/>
      <c r="M1536" s="898"/>
      <c r="N1536" s="898"/>
      <c r="O1536" s="240" t="s">
        <v>100</v>
      </c>
      <c r="P1536" s="182" t="s">
        <v>101</v>
      </c>
    </row>
    <row r="1537" spans="9:16" ht="15" customHeight="1">
      <c r="I1537" s="881">
        <v>182</v>
      </c>
      <c r="J1537" s="875">
        <v>43097</v>
      </c>
      <c r="K1537" s="881" t="s">
        <v>28</v>
      </c>
      <c r="L1537" s="879" t="s">
        <v>1618</v>
      </c>
      <c r="M1537" s="881" t="s">
        <v>115</v>
      </c>
      <c r="N1537" s="883">
        <v>110000</v>
      </c>
      <c r="O1537" s="55">
        <v>719</v>
      </c>
      <c r="P1537" s="78">
        <v>110000</v>
      </c>
    </row>
    <row r="1538" spans="9:16" ht="15.75" customHeight="1" thickBot="1">
      <c r="I1538" s="882"/>
      <c r="J1538" s="876"/>
      <c r="K1538" s="882"/>
      <c r="L1538" s="880"/>
      <c r="M1538" s="882"/>
      <c r="N1538" s="884"/>
      <c r="O1538" s="56">
        <v>721</v>
      </c>
      <c r="P1538" s="79"/>
    </row>
    <row r="1539" spans="9:16" ht="15" customHeight="1">
      <c r="I1539" s="881">
        <v>183</v>
      </c>
      <c r="J1539" s="875">
        <v>43097</v>
      </c>
      <c r="K1539" s="881" t="s">
        <v>120</v>
      </c>
      <c r="L1539" s="879" t="s">
        <v>1618</v>
      </c>
      <c r="M1539" s="881" t="s">
        <v>115</v>
      </c>
      <c r="N1539" s="883">
        <v>440000</v>
      </c>
      <c r="O1539" s="55">
        <v>719</v>
      </c>
      <c r="P1539" s="78">
        <v>440000</v>
      </c>
    </row>
    <row r="1540" spans="9:16" ht="15.75" customHeight="1" thickBot="1">
      <c r="I1540" s="882"/>
      <c r="J1540" s="876"/>
      <c r="K1540" s="882"/>
      <c r="L1540" s="880"/>
      <c r="M1540" s="882"/>
      <c r="N1540" s="884"/>
      <c r="O1540" s="56">
        <v>721</v>
      </c>
      <c r="P1540" s="79">
        <f>+N1539-P1539</f>
        <v>0</v>
      </c>
    </row>
    <row r="1541" spans="9:16" ht="15" customHeight="1">
      <c r="I1541" s="881">
        <v>184</v>
      </c>
      <c r="J1541" s="875">
        <v>43097</v>
      </c>
      <c r="K1541" s="877" t="s">
        <v>385</v>
      </c>
      <c r="L1541" s="879" t="s">
        <v>1619</v>
      </c>
      <c r="M1541" s="881" t="s">
        <v>148</v>
      </c>
      <c r="N1541" s="883">
        <v>4500000</v>
      </c>
      <c r="O1541" s="55">
        <v>719</v>
      </c>
      <c r="P1541" s="78"/>
    </row>
    <row r="1542" spans="9:16" ht="15.75" customHeight="1" thickBot="1">
      <c r="I1542" s="882"/>
      <c r="J1542" s="876"/>
      <c r="K1542" s="878"/>
      <c r="L1542" s="880"/>
      <c r="M1542" s="882"/>
      <c r="N1542" s="884"/>
      <c r="O1542" s="56">
        <v>721</v>
      </c>
      <c r="P1542" s="79">
        <f>+N1541-P1541</f>
        <v>4500000</v>
      </c>
    </row>
    <row r="1543" spans="9:16">
      <c r="I1543" s="881"/>
      <c r="J1543" s="875"/>
      <c r="K1543" s="877"/>
      <c r="L1543" s="879"/>
      <c r="M1543" s="881"/>
      <c r="N1543" s="883"/>
      <c r="O1543" s="55">
        <v>719</v>
      </c>
      <c r="P1543" s="78"/>
    </row>
    <row r="1544" spans="9:16" ht="15.75" thickBot="1">
      <c r="I1544" s="882"/>
      <c r="J1544" s="876"/>
      <c r="K1544" s="878"/>
      <c r="L1544" s="880"/>
      <c r="M1544" s="882"/>
      <c r="N1544" s="884"/>
      <c r="O1544" s="56">
        <v>721</v>
      </c>
      <c r="P1544" s="79">
        <f>+N1543-P1543</f>
        <v>0</v>
      </c>
    </row>
    <row r="1545" spans="9:16">
      <c r="I1545" s="881"/>
      <c r="J1545" s="875"/>
      <c r="K1545" s="877"/>
      <c r="L1545" s="881"/>
      <c r="M1545" s="881"/>
      <c r="N1545" s="883"/>
      <c r="O1545" s="55">
        <v>719</v>
      </c>
      <c r="P1545" s="78"/>
    </row>
    <row r="1546" spans="9:16" ht="15.75" thickBot="1">
      <c r="I1546" s="882"/>
      <c r="J1546" s="876"/>
      <c r="K1546" s="878"/>
      <c r="L1546" s="882"/>
      <c r="M1546" s="882"/>
      <c r="N1546" s="884"/>
      <c r="O1546" s="56">
        <v>721</v>
      </c>
      <c r="P1546" s="79">
        <f>+N1545-P1545</f>
        <v>0</v>
      </c>
    </row>
    <row r="1547" spans="9:16" ht="16.5" thickBot="1">
      <c r="I1547" s="901" t="s">
        <v>102</v>
      </c>
      <c r="J1547" s="902"/>
      <c r="K1547" s="902"/>
      <c r="L1547" s="902"/>
      <c r="M1547" s="903"/>
      <c r="N1547" s="81">
        <f>SUM(N1537:N1546)</f>
        <v>5050000</v>
      </c>
    </row>
    <row r="1548" spans="9:16" ht="16.5" thickBot="1">
      <c r="I1548" s="885" t="s">
        <v>103</v>
      </c>
      <c r="J1548" s="886"/>
      <c r="K1548" s="886"/>
      <c r="L1548" s="886"/>
      <c r="M1548" s="887"/>
      <c r="N1548" s="69">
        <f>+N1512</f>
        <v>531838219</v>
      </c>
      <c r="O1548" s="241" t="s">
        <v>561</v>
      </c>
      <c r="P1548" s="242">
        <f>246+617</f>
        <v>863</v>
      </c>
    </row>
    <row r="1549" spans="9:16" ht="16.5" thickBot="1">
      <c r="I1549" s="888" t="s">
        <v>104</v>
      </c>
      <c r="J1549" s="889"/>
      <c r="K1549" s="889"/>
      <c r="L1549" s="889"/>
      <c r="M1549" s="890"/>
      <c r="N1549" s="183">
        <f>SUM(N1547:N1548)</f>
        <v>536888219</v>
      </c>
    </row>
    <row r="1550" spans="9:16">
      <c r="I1550" s="61"/>
      <c r="J1550" s="61"/>
      <c r="K1550" s="61"/>
      <c r="L1550" s="61"/>
      <c r="M1550" s="61"/>
    </row>
    <row r="1551" spans="9:16">
      <c r="I1551" s="51" t="s">
        <v>1620</v>
      </c>
    </row>
    <row r="1552" spans="9:16">
      <c r="N1552" s="139"/>
    </row>
    <row r="1553" spans="9:15">
      <c r="I1553" s="50" t="s">
        <v>105</v>
      </c>
      <c r="L1553" s="146"/>
      <c r="N1553" s="139"/>
    </row>
    <row r="1554" spans="9:15" ht="13.5" customHeight="1" thickBot="1"/>
    <row r="1555" spans="9:15" ht="15.75" thickBot="1">
      <c r="I1555" s="891" t="s">
        <v>106</v>
      </c>
      <c r="J1555" s="892"/>
      <c r="K1555" s="892"/>
      <c r="L1555" s="893"/>
      <c r="N1555" s="50" t="s">
        <v>288</v>
      </c>
    </row>
    <row r="1556" spans="9:15" ht="30.75" thickBot="1">
      <c r="I1556" s="57" t="s">
        <v>100</v>
      </c>
      <c r="J1556" s="58" t="s">
        <v>108</v>
      </c>
      <c r="K1556" s="287" t="s">
        <v>109</v>
      </c>
      <c r="L1556" s="60" t="s">
        <v>110</v>
      </c>
    </row>
    <row r="1557" spans="9:15">
      <c r="I1557" s="71">
        <v>719</v>
      </c>
      <c r="J1557" s="73">
        <f>+P1537+P1539+P1541+P1543+P1545</f>
        <v>550000</v>
      </c>
      <c r="K1557" s="74">
        <f>+L1520</f>
        <v>27001700</v>
      </c>
      <c r="L1557" s="195">
        <f>+J1557+K1557</f>
        <v>27551700</v>
      </c>
    </row>
    <row r="1558" spans="9:15">
      <c r="I1558" s="72">
        <v>721</v>
      </c>
      <c r="J1558" s="80">
        <v>0</v>
      </c>
      <c r="K1558" s="74">
        <f>+L1521</f>
        <v>84107931</v>
      </c>
      <c r="L1558" s="195">
        <f>+J1558+K1558</f>
        <v>84107931</v>
      </c>
    </row>
    <row r="1559" spans="9:15">
      <c r="I1559" s="72">
        <v>722</v>
      </c>
      <c r="J1559" s="80"/>
      <c r="K1559" s="74">
        <f>+L1522</f>
        <v>0</v>
      </c>
      <c r="L1559" s="195">
        <f>+J1559+K1559</f>
        <v>0</v>
      </c>
    </row>
    <row r="1560" spans="9:15" ht="15.75">
      <c r="I1560" s="72">
        <v>723</v>
      </c>
      <c r="J1560" s="80">
        <f>+P1546+P1544+P1542+P1540+P1538</f>
        <v>4500000</v>
      </c>
      <c r="K1560" s="74">
        <f>+L1523</f>
        <v>420728588</v>
      </c>
      <c r="L1560" s="195">
        <f>+J1560+K1560</f>
        <v>425228588</v>
      </c>
      <c r="N1560" s="193" t="s">
        <v>289</v>
      </c>
      <c r="O1560" s="175"/>
    </row>
    <row r="1561" spans="9:15" ht="16.5" thickBot="1">
      <c r="I1561" s="164" t="s">
        <v>181</v>
      </c>
      <c r="J1561" s="165"/>
      <c r="K1561" s="74">
        <f>+L1524</f>
        <v>0</v>
      </c>
      <c r="L1561" s="196">
        <f>+J1561+K1561</f>
        <v>0</v>
      </c>
      <c r="N1561" s="52"/>
    </row>
    <row r="1562" spans="9:15" ht="16.5" thickBot="1">
      <c r="I1562" s="169"/>
      <c r="J1562" s="197">
        <f>SUM(J1557:J1561)</f>
        <v>5050000</v>
      </c>
      <c r="K1562" s="197">
        <f>SUM(K1557:K1561)</f>
        <v>531838219</v>
      </c>
      <c r="L1562" s="198">
        <f>SUM(L1557:L1561)</f>
        <v>536888219</v>
      </c>
    </row>
    <row r="1563" spans="9:15" ht="16.5">
      <c r="I1563" s="49" t="s">
        <v>88</v>
      </c>
      <c r="J1563" s="50"/>
    </row>
    <row r="1564" spans="9:15">
      <c r="I1564" s="51" t="s">
        <v>89</v>
      </c>
    </row>
    <row r="1565" spans="9:15">
      <c r="I1565" s="51" t="s">
        <v>90</v>
      </c>
    </row>
    <row r="1566" spans="9:15">
      <c r="I1566" s="51" t="s">
        <v>91</v>
      </c>
    </row>
    <row r="1567" spans="9:15" ht="12" customHeight="1">
      <c r="I1567" s="50"/>
      <c r="J1567" s="50"/>
    </row>
    <row r="1568" spans="9:15" ht="15.75">
      <c r="I1568" s="260" t="s">
        <v>944</v>
      </c>
      <c r="O1568" s="52"/>
    </row>
    <row r="1569" spans="9:16" ht="15.75">
      <c r="I1569" s="53" t="s">
        <v>535</v>
      </c>
      <c r="O1569" s="53"/>
    </row>
    <row r="1570" spans="9:16" ht="16.5">
      <c r="I1570" s="894" t="s">
        <v>909</v>
      </c>
      <c r="J1570" s="894"/>
      <c r="K1570" s="894"/>
      <c r="L1570" s="894"/>
      <c r="M1570" s="894"/>
      <c r="N1570" s="894"/>
      <c r="O1570" s="894"/>
      <c r="P1570" s="894"/>
    </row>
    <row r="1571" spans="9:16" ht="15.75" thickBot="1"/>
    <row r="1572" spans="9:16">
      <c r="I1572" s="895" t="s">
        <v>94</v>
      </c>
      <c r="J1572" s="897" t="s">
        <v>95</v>
      </c>
      <c r="K1572" s="897" t="s">
        <v>96</v>
      </c>
      <c r="L1572" s="897" t="s">
        <v>3</v>
      </c>
      <c r="M1572" s="897" t="s">
        <v>97</v>
      </c>
      <c r="N1572" s="897" t="s">
        <v>98</v>
      </c>
      <c r="O1572" s="897" t="s">
        <v>99</v>
      </c>
      <c r="P1572" s="899"/>
    </row>
    <row r="1573" spans="9:16" ht="15.75" thickBot="1">
      <c r="I1573" s="896"/>
      <c r="J1573" s="898"/>
      <c r="K1573" s="898"/>
      <c r="L1573" s="898"/>
      <c r="M1573" s="898"/>
      <c r="N1573" s="898"/>
      <c r="O1573" s="240" t="s">
        <v>100</v>
      </c>
      <c r="P1573" s="182" t="s">
        <v>101</v>
      </c>
    </row>
    <row r="1574" spans="9:16">
      <c r="I1574" s="881">
        <v>194</v>
      </c>
      <c r="J1574" s="875">
        <v>42515</v>
      </c>
      <c r="K1574" s="877" t="s">
        <v>272</v>
      </c>
      <c r="L1574" s="879" t="s">
        <v>945</v>
      </c>
      <c r="M1574" s="881" t="s">
        <v>115</v>
      </c>
      <c r="N1574" s="883">
        <v>100000</v>
      </c>
      <c r="O1574" s="55">
        <v>719</v>
      </c>
      <c r="P1574" s="78">
        <v>100000</v>
      </c>
    </row>
    <row r="1575" spans="9:16" ht="15.75" thickBot="1">
      <c r="I1575" s="882"/>
      <c r="J1575" s="876"/>
      <c r="K1575" s="878"/>
      <c r="L1575" s="880"/>
      <c r="M1575" s="882"/>
      <c r="N1575" s="884"/>
      <c r="O1575" s="56">
        <v>721</v>
      </c>
      <c r="P1575" s="79">
        <f>+N1574-P1574</f>
        <v>0</v>
      </c>
    </row>
    <row r="1576" spans="9:16" ht="15" customHeight="1">
      <c r="I1576" s="881">
        <v>195</v>
      </c>
      <c r="J1576" s="875">
        <v>42515</v>
      </c>
      <c r="K1576" s="877" t="s">
        <v>28</v>
      </c>
      <c r="L1576" s="879" t="s">
        <v>946</v>
      </c>
      <c r="M1576" s="881" t="s">
        <v>115</v>
      </c>
      <c r="N1576" s="883">
        <v>70000</v>
      </c>
      <c r="O1576" s="55">
        <v>719</v>
      </c>
      <c r="P1576" s="78">
        <v>70000</v>
      </c>
    </row>
    <row r="1577" spans="9:16" ht="15.75" customHeight="1" thickBot="1">
      <c r="I1577" s="882"/>
      <c r="J1577" s="876"/>
      <c r="K1577" s="878"/>
      <c r="L1577" s="880"/>
      <c r="M1577" s="882"/>
      <c r="N1577" s="884"/>
      <c r="O1577" s="56">
        <v>721</v>
      </c>
      <c r="P1577" s="79">
        <f>+N1576-P1576</f>
        <v>0</v>
      </c>
    </row>
    <row r="1578" spans="9:16">
      <c r="I1578" s="881"/>
      <c r="J1578" s="875"/>
      <c r="K1578" s="877"/>
      <c r="L1578" s="881"/>
      <c r="M1578" s="881"/>
      <c r="N1578" s="883"/>
      <c r="O1578" s="55">
        <v>719</v>
      </c>
      <c r="P1578" s="78"/>
    </row>
    <row r="1579" spans="9:16" ht="15.75" thickBot="1">
      <c r="I1579" s="882"/>
      <c r="J1579" s="876"/>
      <c r="K1579" s="878"/>
      <c r="L1579" s="882"/>
      <c r="M1579" s="882"/>
      <c r="N1579" s="884"/>
      <c r="O1579" s="56">
        <v>721</v>
      </c>
      <c r="P1579" s="79">
        <f>+N1578-P1578</f>
        <v>0</v>
      </c>
    </row>
    <row r="1580" spans="9:16">
      <c r="I1580" s="881"/>
      <c r="J1580" s="875"/>
      <c r="K1580" s="877"/>
      <c r="L1580" s="881"/>
      <c r="M1580" s="881"/>
      <c r="N1580" s="883"/>
      <c r="O1580" s="55">
        <v>719</v>
      </c>
      <c r="P1580" s="78"/>
    </row>
    <row r="1581" spans="9:16" ht="15.75" thickBot="1">
      <c r="I1581" s="882"/>
      <c r="J1581" s="876"/>
      <c r="K1581" s="878"/>
      <c r="L1581" s="882"/>
      <c r="M1581" s="882"/>
      <c r="N1581" s="884"/>
      <c r="O1581" s="56">
        <v>721</v>
      </c>
      <c r="P1581" s="79">
        <f>+N1580-P1580</f>
        <v>0</v>
      </c>
    </row>
    <row r="1582" spans="9:16" ht="16.5" thickBot="1">
      <c r="I1582" s="901" t="s">
        <v>102</v>
      </c>
      <c r="J1582" s="902"/>
      <c r="K1582" s="902"/>
      <c r="L1582" s="902"/>
      <c r="M1582" s="903"/>
      <c r="N1582" s="81">
        <f>SUM(N1574:N1581)</f>
        <v>170000</v>
      </c>
    </row>
    <row r="1583" spans="9:16" ht="16.5" thickBot="1">
      <c r="I1583" s="885" t="s">
        <v>103</v>
      </c>
      <c r="J1583" s="886"/>
      <c r="K1583" s="886"/>
      <c r="L1583" s="886"/>
      <c r="M1583" s="887"/>
      <c r="N1583" s="69">
        <f>+N1549</f>
        <v>536888219</v>
      </c>
      <c r="O1583" s="241" t="s">
        <v>561</v>
      </c>
      <c r="P1583" s="242">
        <f>108+281</f>
        <v>389</v>
      </c>
    </row>
    <row r="1584" spans="9:16" ht="16.5" thickBot="1">
      <c r="I1584" s="888" t="s">
        <v>104</v>
      </c>
      <c r="J1584" s="889"/>
      <c r="K1584" s="889"/>
      <c r="L1584" s="889"/>
      <c r="M1584" s="890"/>
      <c r="N1584" s="183">
        <f>SUM(N1582:N1583)</f>
        <v>537058219</v>
      </c>
    </row>
    <row r="1585" spans="9:15">
      <c r="I1585" s="61"/>
      <c r="J1585" s="61"/>
      <c r="K1585" s="61"/>
      <c r="L1585" s="61"/>
      <c r="M1585" s="61"/>
    </row>
    <row r="1586" spans="9:15">
      <c r="I1586" s="51" t="s">
        <v>947</v>
      </c>
    </row>
    <row r="1587" spans="9:15" ht="12.75" customHeight="1">
      <c r="N1587" s="139"/>
    </row>
    <row r="1588" spans="9:15">
      <c r="I1588" s="50" t="s">
        <v>105</v>
      </c>
      <c r="L1588" s="146"/>
      <c r="N1588" s="139"/>
    </row>
    <row r="1589" spans="9:15" ht="10.5" customHeight="1" thickBot="1"/>
    <row r="1590" spans="9:15" ht="15.75" thickBot="1">
      <c r="I1590" s="891" t="s">
        <v>106</v>
      </c>
      <c r="J1590" s="892"/>
      <c r="K1590" s="892"/>
      <c r="L1590" s="893"/>
      <c r="N1590" s="50" t="s">
        <v>288</v>
      </c>
    </row>
    <row r="1591" spans="9:15" ht="30.75" thickBot="1">
      <c r="I1591" s="57" t="s">
        <v>100</v>
      </c>
      <c r="J1591" s="58" t="s">
        <v>108</v>
      </c>
      <c r="K1591" s="287" t="s">
        <v>109</v>
      </c>
      <c r="L1591" s="60" t="s">
        <v>110</v>
      </c>
    </row>
    <row r="1592" spans="9:15">
      <c r="I1592" s="71">
        <v>719</v>
      </c>
      <c r="J1592" s="73">
        <f>+P1574+P1576+P1578+P1580</f>
        <v>170000</v>
      </c>
      <c r="K1592" s="74">
        <f>+L1557</f>
        <v>27551700</v>
      </c>
      <c r="L1592" s="195">
        <f>+J1592+K1592</f>
        <v>27721700</v>
      </c>
    </row>
    <row r="1593" spans="9:15">
      <c r="I1593" s="72">
        <v>721</v>
      </c>
      <c r="J1593" s="80">
        <v>0</v>
      </c>
      <c r="K1593" s="74">
        <f>+L1558</f>
        <v>84107931</v>
      </c>
      <c r="L1593" s="195">
        <f>+J1593+K1593</f>
        <v>84107931</v>
      </c>
    </row>
    <row r="1594" spans="9:15">
      <c r="I1594" s="72">
        <v>722</v>
      </c>
      <c r="J1594" s="80"/>
      <c r="K1594" s="74">
        <f>+L1559</f>
        <v>0</v>
      </c>
      <c r="L1594" s="195">
        <f>+J1594+K1594</f>
        <v>0</v>
      </c>
    </row>
    <row r="1595" spans="9:15" ht="15.75">
      <c r="I1595" s="72">
        <v>723</v>
      </c>
      <c r="J1595" s="80">
        <f>+P1581+P1579+P1577+P1575</f>
        <v>0</v>
      </c>
      <c r="K1595" s="74">
        <f>+L1560</f>
        <v>425228588</v>
      </c>
      <c r="L1595" s="195">
        <f>+J1595+K1595</f>
        <v>425228588</v>
      </c>
      <c r="N1595" s="193" t="s">
        <v>289</v>
      </c>
      <c r="O1595" s="175"/>
    </row>
    <row r="1596" spans="9:15" ht="16.5" thickBot="1">
      <c r="I1596" s="164" t="s">
        <v>181</v>
      </c>
      <c r="J1596" s="165"/>
      <c r="K1596" s="74">
        <f>+L1561</f>
        <v>0</v>
      </c>
      <c r="L1596" s="196">
        <f>+J1596+K1596</f>
        <v>0</v>
      </c>
      <c r="N1596" s="52"/>
    </row>
    <row r="1597" spans="9:15" ht="16.5" thickBot="1">
      <c r="I1597" s="169"/>
      <c r="J1597" s="197">
        <f>SUM(J1592:J1596)</f>
        <v>170000</v>
      </c>
      <c r="K1597" s="197">
        <f>SUM(K1592:K1596)</f>
        <v>536888219</v>
      </c>
      <c r="L1597" s="198">
        <f>SUM(L1592:L1596)</f>
        <v>537058219</v>
      </c>
    </row>
    <row r="1598" spans="9:15" ht="16.5">
      <c r="I1598" s="49" t="s">
        <v>88</v>
      </c>
      <c r="J1598" s="50"/>
    </row>
    <row r="1599" spans="9:15">
      <c r="I1599" s="51" t="s">
        <v>89</v>
      </c>
    </row>
    <row r="1600" spans="9:15">
      <c r="I1600" s="51" t="s">
        <v>90</v>
      </c>
    </row>
    <row r="1601" spans="9:16">
      <c r="I1601" s="51" t="s">
        <v>91</v>
      </c>
    </row>
    <row r="1602" spans="9:16" ht="12" customHeight="1">
      <c r="I1602" s="50"/>
      <c r="J1602" s="50"/>
    </row>
    <row r="1603" spans="9:16" ht="15.75">
      <c r="I1603" s="260" t="s">
        <v>948</v>
      </c>
      <c r="O1603" s="52"/>
    </row>
    <row r="1604" spans="9:16" ht="15.75">
      <c r="I1604" s="53" t="s">
        <v>1333</v>
      </c>
      <c r="O1604" s="53"/>
    </row>
    <row r="1605" spans="9:16" ht="16.5">
      <c r="I1605" s="894" t="s">
        <v>909</v>
      </c>
      <c r="J1605" s="894"/>
      <c r="K1605" s="894"/>
      <c r="L1605" s="894"/>
      <c r="M1605" s="894"/>
      <c r="N1605" s="894"/>
      <c r="O1605" s="894"/>
      <c r="P1605" s="894"/>
    </row>
    <row r="1606" spans="9:16" ht="15.75" thickBot="1"/>
    <row r="1607" spans="9:16">
      <c r="I1607" s="895" t="s">
        <v>94</v>
      </c>
      <c r="J1607" s="897" t="s">
        <v>95</v>
      </c>
      <c r="K1607" s="897" t="s">
        <v>96</v>
      </c>
      <c r="L1607" s="897" t="s">
        <v>3</v>
      </c>
      <c r="M1607" s="897" t="s">
        <v>97</v>
      </c>
      <c r="N1607" s="897" t="s">
        <v>98</v>
      </c>
      <c r="O1607" s="897" t="s">
        <v>99</v>
      </c>
      <c r="P1607" s="899"/>
    </row>
    <row r="1608" spans="9:16" ht="15.75" thickBot="1">
      <c r="I1608" s="896"/>
      <c r="J1608" s="898"/>
      <c r="K1608" s="898"/>
      <c r="L1608" s="898"/>
      <c r="M1608" s="898"/>
      <c r="N1608" s="898"/>
      <c r="O1608" s="240" t="s">
        <v>100</v>
      </c>
      <c r="P1608" s="182" t="s">
        <v>101</v>
      </c>
    </row>
    <row r="1609" spans="9:16">
      <c r="I1609" s="881">
        <v>196</v>
      </c>
      <c r="J1609" s="875">
        <v>42520</v>
      </c>
      <c r="K1609" s="910" t="s">
        <v>1661</v>
      </c>
      <c r="L1609" s="879" t="s">
        <v>1225</v>
      </c>
      <c r="M1609" s="881" t="s">
        <v>145</v>
      </c>
      <c r="N1609" s="883">
        <v>15549900</v>
      </c>
      <c r="O1609" s="55">
        <v>719</v>
      </c>
      <c r="P1609" s="78"/>
    </row>
    <row r="1610" spans="9:16" ht="15.75" thickBot="1">
      <c r="I1610" s="882"/>
      <c r="J1610" s="876"/>
      <c r="K1610" s="951"/>
      <c r="L1610" s="880"/>
      <c r="M1610" s="882"/>
      <c r="N1610" s="884"/>
      <c r="O1610" s="56">
        <v>722</v>
      </c>
      <c r="P1610" s="79">
        <f>+N1609-P1609</f>
        <v>15549900</v>
      </c>
    </row>
    <row r="1611" spans="9:16">
      <c r="I1611" s="881"/>
      <c r="J1611" s="875"/>
      <c r="K1611" s="877"/>
      <c r="L1611" s="879"/>
      <c r="M1611" s="881"/>
      <c r="N1611" s="883"/>
      <c r="O1611" s="55">
        <v>719</v>
      </c>
      <c r="P1611" s="78"/>
    </row>
    <row r="1612" spans="9:16" ht="15.75" thickBot="1">
      <c r="I1612" s="882"/>
      <c r="J1612" s="876"/>
      <c r="K1612" s="878"/>
      <c r="L1612" s="880"/>
      <c r="M1612" s="882"/>
      <c r="N1612" s="884"/>
      <c r="O1612" s="56">
        <v>721</v>
      </c>
      <c r="P1612" s="79">
        <f>+N1611-P1611</f>
        <v>0</v>
      </c>
    </row>
    <row r="1613" spans="9:16" ht="15" customHeight="1">
      <c r="I1613" s="881"/>
      <c r="J1613" s="875"/>
      <c r="K1613" s="877"/>
      <c r="L1613" s="879"/>
      <c r="M1613" s="881"/>
      <c r="N1613" s="883"/>
      <c r="O1613" s="55">
        <v>719</v>
      </c>
      <c r="P1613" s="78"/>
    </row>
    <row r="1614" spans="9:16" ht="15.75" customHeight="1" thickBot="1">
      <c r="I1614" s="882"/>
      <c r="J1614" s="876"/>
      <c r="K1614" s="878"/>
      <c r="L1614" s="880"/>
      <c r="M1614" s="882"/>
      <c r="N1614" s="884"/>
      <c r="O1614" s="56">
        <v>721</v>
      </c>
      <c r="P1614" s="79">
        <f>+N1613-P1613</f>
        <v>0</v>
      </c>
    </row>
    <row r="1615" spans="9:16">
      <c r="I1615" s="881"/>
      <c r="J1615" s="875"/>
      <c r="K1615" s="877"/>
      <c r="L1615" s="881"/>
      <c r="M1615" s="881"/>
      <c r="N1615" s="883"/>
      <c r="O1615" s="55">
        <v>719</v>
      </c>
      <c r="P1615" s="78"/>
    </row>
    <row r="1616" spans="9:16" ht="15.75" thickBot="1">
      <c r="I1616" s="882"/>
      <c r="J1616" s="876"/>
      <c r="K1616" s="878"/>
      <c r="L1616" s="882"/>
      <c r="M1616" s="882"/>
      <c r="N1616" s="884"/>
      <c r="O1616" s="56">
        <v>721</v>
      </c>
      <c r="P1616" s="79">
        <f>+N1615-P1615</f>
        <v>0</v>
      </c>
    </row>
    <row r="1617" spans="9:16" ht="16.5" thickBot="1">
      <c r="I1617" s="901" t="s">
        <v>102</v>
      </c>
      <c r="J1617" s="902"/>
      <c r="K1617" s="902"/>
      <c r="L1617" s="902"/>
      <c r="M1617" s="903"/>
      <c r="N1617" s="81">
        <f>SUM(N1609:N1616)</f>
        <v>15549900</v>
      </c>
    </row>
    <row r="1618" spans="9:16" ht="16.5" thickBot="1">
      <c r="I1618" s="885" t="s">
        <v>103</v>
      </c>
      <c r="J1618" s="886"/>
      <c r="K1618" s="886"/>
      <c r="L1618" s="886"/>
      <c r="M1618" s="887"/>
      <c r="N1618" s="69">
        <f>+N1584</f>
        <v>537058219</v>
      </c>
      <c r="O1618" s="241" t="s">
        <v>561</v>
      </c>
      <c r="P1618" s="242"/>
    </row>
    <row r="1619" spans="9:16" ht="16.5" thickBot="1">
      <c r="I1619" s="888" t="s">
        <v>104</v>
      </c>
      <c r="J1619" s="889"/>
      <c r="K1619" s="889"/>
      <c r="L1619" s="889"/>
      <c r="M1619" s="890"/>
      <c r="N1619" s="183">
        <f>SUM(N1617:N1618)</f>
        <v>552608119</v>
      </c>
    </row>
    <row r="1620" spans="9:16">
      <c r="I1620" s="61"/>
      <c r="J1620" s="61"/>
      <c r="K1620" s="61"/>
      <c r="L1620" s="61"/>
      <c r="M1620" s="61"/>
    </row>
    <row r="1621" spans="9:16">
      <c r="I1621" s="51" t="s">
        <v>1662</v>
      </c>
    </row>
    <row r="1622" spans="9:16" ht="12.75" customHeight="1">
      <c r="N1622" s="139"/>
    </row>
    <row r="1623" spans="9:16">
      <c r="I1623" s="50" t="s">
        <v>105</v>
      </c>
      <c r="L1623" s="146"/>
      <c r="N1623" s="139"/>
    </row>
    <row r="1624" spans="9:16" ht="11.25" customHeight="1" thickBot="1"/>
    <row r="1625" spans="9:16" ht="17.25" thickBot="1">
      <c r="I1625" s="891" t="s">
        <v>106</v>
      </c>
      <c r="J1625" s="892"/>
      <c r="K1625" s="892"/>
      <c r="L1625" s="893"/>
      <c r="N1625" s="604" t="s">
        <v>288</v>
      </c>
      <c r="O1625" s="604"/>
      <c r="P1625" s="604"/>
    </row>
    <row r="1626" spans="9:16" ht="30.75" thickBot="1">
      <c r="I1626" s="57" t="s">
        <v>100</v>
      </c>
      <c r="J1626" s="58" t="s">
        <v>108</v>
      </c>
      <c r="K1626" s="287" t="s">
        <v>109</v>
      </c>
      <c r="L1626" s="60" t="s">
        <v>110</v>
      </c>
    </row>
    <row r="1627" spans="9:16" ht="13.5" customHeight="1">
      <c r="I1627" s="71">
        <v>719</v>
      </c>
      <c r="J1627" s="73"/>
      <c r="K1627" s="74">
        <f>+L1592</f>
        <v>27721700</v>
      </c>
      <c r="L1627" s="195">
        <f>+J1627+K1627</f>
        <v>27721700</v>
      </c>
    </row>
    <row r="1628" spans="9:16" ht="13.5" customHeight="1">
      <c r="I1628" s="72">
        <v>721</v>
      </c>
      <c r="J1628" s="80">
        <v>0</v>
      </c>
      <c r="K1628" s="74">
        <f>+L1593</f>
        <v>84107931</v>
      </c>
      <c r="L1628" s="195">
        <f>+J1628+K1628</f>
        <v>84107931</v>
      </c>
    </row>
    <row r="1629" spans="9:16" ht="13.5" customHeight="1">
      <c r="I1629" s="72">
        <v>722</v>
      </c>
      <c r="J1629" s="80">
        <f>+P1610</f>
        <v>15549900</v>
      </c>
      <c r="K1629" s="74">
        <f>+L1594</f>
        <v>0</v>
      </c>
      <c r="L1629" s="195">
        <f>+J1629+K1629</f>
        <v>15549900</v>
      </c>
    </row>
    <row r="1630" spans="9:16" ht="15" customHeight="1">
      <c r="I1630" s="72">
        <v>723</v>
      </c>
      <c r="J1630" s="80"/>
      <c r="K1630" s="74">
        <f>+L1595</f>
        <v>425228588</v>
      </c>
      <c r="L1630" s="195">
        <f>+J1630+K1630</f>
        <v>425228588</v>
      </c>
      <c r="N1630" s="918" t="s">
        <v>1481</v>
      </c>
      <c r="O1630" s="918"/>
      <c r="P1630" s="918"/>
    </row>
    <row r="1631" spans="9:16" ht="13.5" customHeight="1" thickBot="1">
      <c r="I1631" s="164" t="s">
        <v>181</v>
      </c>
      <c r="J1631" s="165"/>
      <c r="K1631" s="74">
        <f>+L1596</f>
        <v>0</v>
      </c>
      <c r="L1631" s="196">
        <f>+J1631+K1631</f>
        <v>0</v>
      </c>
      <c r="N1631" s="52"/>
    </row>
    <row r="1632" spans="9:16" ht="16.5" thickBot="1">
      <c r="I1632" s="169"/>
      <c r="J1632" s="197">
        <f>SUM(J1627:J1631)</f>
        <v>15549900</v>
      </c>
      <c r="K1632" s="197">
        <f>SUM(K1627:K1631)</f>
        <v>537058219</v>
      </c>
      <c r="L1632" s="198">
        <f>SUM(L1627:L1631)</f>
        <v>552608119</v>
      </c>
    </row>
    <row r="1633" spans="9:16" ht="16.5">
      <c r="I1633" s="49" t="s">
        <v>88</v>
      </c>
      <c r="J1633" s="50"/>
    </row>
    <row r="1634" spans="9:16">
      <c r="I1634" s="51" t="s">
        <v>89</v>
      </c>
    </row>
    <row r="1635" spans="9:16">
      <c r="I1635" s="51" t="s">
        <v>90</v>
      </c>
    </row>
    <row r="1636" spans="9:16">
      <c r="I1636" s="51" t="s">
        <v>91</v>
      </c>
    </row>
    <row r="1637" spans="9:16" ht="12" customHeight="1">
      <c r="I1637" s="50"/>
      <c r="J1637" s="50"/>
    </row>
    <row r="1638" spans="9:16" ht="15.75">
      <c r="I1638" s="260" t="s">
        <v>949</v>
      </c>
      <c r="O1638" s="52"/>
    </row>
    <row r="1639" spans="9:16" ht="15.75">
      <c r="I1639" s="53" t="s">
        <v>535</v>
      </c>
      <c r="O1639" s="53"/>
    </row>
    <row r="1640" spans="9:16" ht="16.5">
      <c r="I1640" s="894" t="s">
        <v>909</v>
      </c>
      <c r="J1640" s="894"/>
      <c r="K1640" s="894"/>
      <c r="L1640" s="894"/>
      <c r="M1640" s="894"/>
      <c r="N1640" s="894"/>
      <c r="O1640" s="894"/>
      <c r="P1640" s="894"/>
    </row>
    <row r="1641" spans="9:16" ht="15.75" thickBot="1"/>
    <row r="1642" spans="9:16">
      <c r="I1642" s="895" t="s">
        <v>94</v>
      </c>
      <c r="J1642" s="897" t="s">
        <v>95</v>
      </c>
      <c r="K1642" s="897" t="s">
        <v>96</v>
      </c>
      <c r="L1642" s="897" t="s">
        <v>3</v>
      </c>
      <c r="M1642" s="897" t="s">
        <v>97</v>
      </c>
      <c r="N1642" s="897" t="s">
        <v>98</v>
      </c>
      <c r="O1642" s="897" t="s">
        <v>99</v>
      </c>
      <c r="P1642" s="899"/>
    </row>
    <row r="1643" spans="9:16" ht="15.75" thickBot="1">
      <c r="I1643" s="896"/>
      <c r="J1643" s="898"/>
      <c r="K1643" s="898"/>
      <c r="L1643" s="898"/>
      <c r="M1643" s="898"/>
      <c r="N1643" s="898"/>
      <c r="O1643" s="240" t="s">
        <v>100</v>
      </c>
      <c r="P1643" s="182" t="s">
        <v>101</v>
      </c>
    </row>
    <row r="1644" spans="9:16" ht="15" customHeight="1">
      <c r="I1644" s="881">
        <v>199</v>
      </c>
      <c r="J1644" s="875">
        <v>42520</v>
      </c>
      <c r="K1644" s="877" t="s">
        <v>267</v>
      </c>
      <c r="L1644" s="879" t="s">
        <v>955</v>
      </c>
      <c r="M1644" s="881" t="s">
        <v>148</v>
      </c>
      <c r="N1644" s="883">
        <v>42000</v>
      </c>
      <c r="O1644" s="55">
        <v>719</v>
      </c>
      <c r="P1644" s="78">
        <v>30000</v>
      </c>
    </row>
    <row r="1645" spans="9:16" ht="15.75" customHeight="1" thickBot="1">
      <c r="I1645" s="882"/>
      <c r="J1645" s="876"/>
      <c r="K1645" s="878"/>
      <c r="L1645" s="880"/>
      <c r="M1645" s="882"/>
      <c r="N1645" s="884"/>
      <c r="O1645" s="56">
        <v>721</v>
      </c>
      <c r="P1645" s="79">
        <f>+N1644-P1644</f>
        <v>12000</v>
      </c>
    </row>
    <row r="1646" spans="9:16" ht="15" customHeight="1">
      <c r="I1646" s="881">
        <v>200</v>
      </c>
      <c r="J1646" s="875">
        <v>42520</v>
      </c>
      <c r="K1646" s="877" t="s">
        <v>28</v>
      </c>
      <c r="L1646" s="879" t="s">
        <v>956</v>
      </c>
      <c r="M1646" s="881" t="s">
        <v>148</v>
      </c>
      <c r="N1646" s="883">
        <v>224000</v>
      </c>
      <c r="O1646" s="55">
        <v>719</v>
      </c>
      <c r="P1646" s="78">
        <v>160000</v>
      </c>
    </row>
    <row r="1647" spans="9:16" ht="15.75" customHeight="1" thickBot="1">
      <c r="I1647" s="882"/>
      <c r="J1647" s="876"/>
      <c r="K1647" s="878"/>
      <c r="L1647" s="880"/>
      <c r="M1647" s="882"/>
      <c r="N1647" s="884"/>
      <c r="O1647" s="56">
        <v>721</v>
      </c>
      <c r="P1647" s="79">
        <f>+N1646-P1646</f>
        <v>64000</v>
      </c>
    </row>
    <row r="1648" spans="9:16" ht="15" customHeight="1">
      <c r="I1648" s="881">
        <v>201</v>
      </c>
      <c r="J1648" s="875">
        <v>42520</v>
      </c>
      <c r="K1648" s="877" t="s">
        <v>111</v>
      </c>
      <c r="L1648" s="879" t="s">
        <v>957</v>
      </c>
      <c r="M1648" s="881" t="s">
        <v>148</v>
      </c>
      <c r="N1648" s="883">
        <v>56000</v>
      </c>
      <c r="O1648" s="55">
        <v>719</v>
      </c>
      <c r="P1648" s="78">
        <v>40000</v>
      </c>
    </row>
    <row r="1649" spans="9:16" ht="15.75" customHeight="1" thickBot="1">
      <c r="I1649" s="882"/>
      <c r="J1649" s="876"/>
      <c r="K1649" s="878"/>
      <c r="L1649" s="880"/>
      <c r="M1649" s="882"/>
      <c r="N1649" s="884"/>
      <c r="O1649" s="56">
        <v>721</v>
      </c>
      <c r="P1649" s="79">
        <f>+N1648-P1648</f>
        <v>16000</v>
      </c>
    </row>
    <row r="1650" spans="9:16" ht="15" customHeight="1">
      <c r="I1650" s="881">
        <v>202</v>
      </c>
      <c r="J1650" s="875">
        <v>42520</v>
      </c>
      <c r="K1650" s="877" t="s">
        <v>272</v>
      </c>
      <c r="L1650" s="879" t="s">
        <v>956</v>
      </c>
      <c r="M1650" s="881" t="s">
        <v>148</v>
      </c>
      <c r="N1650" s="883">
        <v>546000</v>
      </c>
      <c r="O1650" s="55">
        <v>719</v>
      </c>
      <c r="P1650" s="78">
        <v>390000</v>
      </c>
    </row>
    <row r="1651" spans="9:16" ht="15.75" customHeight="1" thickBot="1">
      <c r="I1651" s="882"/>
      <c r="J1651" s="876"/>
      <c r="K1651" s="878"/>
      <c r="L1651" s="880"/>
      <c r="M1651" s="882"/>
      <c r="N1651" s="884"/>
      <c r="O1651" s="56">
        <v>721</v>
      </c>
      <c r="P1651" s="79">
        <f>+N1650-P1650</f>
        <v>156000</v>
      </c>
    </row>
    <row r="1652" spans="9:16">
      <c r="I1652" s="881"/>
      <c r="J1652" s="875"/>
      <c r="K1652" s="877"/>
      <c r="L1652" s="881"/>
      <c r="M1652" s="881"/>
      <c r="N1652" s="883"/>
      <c r="O1652" s="55">
        <v>719</v>
      </c>
      <c r="P1652" s="78"/>
    </row>
    <row r="1653" spans="9:16" ht="15.75" thickBot="1">
      <c r="I1653" s="882"/>
      <c r="J1653" s="876"/>
      <c r="K1653" s="878"/>
      <c r="L1653" s="882"/>
      <c r="M1653" s="882"/>
      <c r="N1653" s="884"/>
      <c r="O1653" s="56">
        <v>721</v>
      </c>
      <c r="P1653" s="79">
        <f>+N1652-P1652</f>
        <v>0</v>
      </c>
    </row>
    <row r="1654" spans="9:16" ht="16.5" thickBot="1">
      <c r="I1654" s="901" t="s">
        <v>102</v>
      </c>
      <c r="J1654" s="902"/>
      <c r="K1654" s="902"/>
      <c r="L1654" s="902"/>
      <c r="M1654" s="903"/>
      <c r="N1654" s="81">
        <f>SUM(N1644:N1653)</f>
        <v>868000</v>
      </c>
    </row>
    <row r="1655" spans="9:16" ht="16.5" thickBot="1">
      <c r="I1655" s="885" t="s">
        <v>103</v>
      </c>
      <c r="J1655" s="886"/>
      <c r="K1655" s="886"/>
      <c r="L1655" s="886"/>
      <c r="M1655" s="887"/>
      <c r="N1655" s="69">
        <f>+N1619</f>
        <v>552608119</v>
      </c>
      <c r="O1655" s="241" t="s">
        <v>561</v>
      </c>
      <c r="P1655" s="242">
        <f>941+20+470+17</f>
        <v>1448</v>
      </c>
    </row>
    <row r="1656" spans="9:16" ht="16.5" thickBot="1">
      <c r="I1656" s="888" t="s">
        <v>104</v>
      </c>
      <c r="J1656" s="889"/>
      <c r="K1656" s="889"/>
      <c r="L1656" s="889"/>
      <c r="M1656" s="890"/>
      <c r="N1656" s="183">
        <f>SUM(N1654:N1655)</f>
        <v>553476119</v>
      </c>
    </row>
    <row r="1657" spans="9:16">
      <c r="I1657" s="61"/>
      <c r="J1657" s="61"/>
      <c r="K1657" s="61"/>
      <c r="L1657" s="61"/>
      <c r="M1657" s="61"/>
    </row>
    <row r="1658" spans="9:16">
      <c r="I1658" s="51" t="s">
        <v>962</v>
      </c>
    </row>
    <row r="1659" spans="9:16" ht="11.25" customHeight="1">
      <c r="N1659" s="139"/>
    </row>
    <row r="1660" spans="9:16">
      <c r="I1660" s="50" t="s">
        <v>105</v>
      </c>
      <c r="L1660" s="146"/>
      <c r="N1660" s="139"/>
    </row>
    <row r="1661" spans="9:16" ht="13.5" customHeight="1" thickBot="1"/>
    <row r="1662" spans="9:16" ht="15.75" thickBot="1">
      <c r="I1662" s="891" t="s">
        <v>106</v>
      </c>
      <c r="J1662" s="892"/>
      <c r="K1662" s="892"/>
      <c r="L1662" s="893"/>
      <c r="N1662" s="50" t="s">
        <v>288</v>
      </c>
    </row>
    <row r="1663" spans="9:16" ht="30.75" thickBot="1">
      <c r="I1663" s="57" t="s">
        <v>100</v>
      </c>
      <c r="J1663" s="58" t="s">
        <v>108</v>
      </c>
      <c r="K1663" s="287" t="s">
        <v>109</v>
      </c>
      <c r="L1663" s="60" t="s">
        <v>110</v>
      </c>
    </row>
    <row r="1664" spans="9:16">
      <c r="I1664" s="71">
        <v>719</v>
      </c>
      <c r="J1664" s="73">
        <f>+P1644+P1646+P1648+P1650+P1652</f>
        <v>620000</v>
      </c>
      <c r="K1664" s="74">
        <f>+L1627</f>
        <v>27721700</v>
      </c>
      <c r="L1664" s="195">
        <f>+J1664+K1664</f>
        <v>28341700</v>
      </c>
    </row>
    <row r="1665" spans="9:16">
      <c r="I1665" s="72">
        <v>721</v>
      </c>
      <c r="J1665" s="80">
        <f>+P1645+P1647+P1649+P1651</f>
        <v>248000</v>
      </c>
      <c r="K1665" s="74">
        <f>+L1628</f>
        <v>84107931</v>
      </c>
      <c r="L1665" s="195">
        <f>+J1665+K1665</f>
        <v>84355931</v>
      </c>
    </row>
    <row r="1666" spans="9:16">
      <c r="I1666" s="72">
        <v>722</v>
      </c>
      <c r="J1666" s="80"/>
      <c r="K1666" s="74">
        <f>+L1629</f>
        <v>15549900</v>
      </c>
      <c r="L1666" s="195">
        <f>+J1666+K1666</f>
        <v>15549900</v>
      </c>
    </row>
    <row r="1667" spans="9:16" ht="15.75">
      <c r="I1667" s="72">
        <v>723</v>
      </c>
      <c r="J1667" s="80"/>
      <c r="K1667" s="74">
        <f>+L1630</f>
        <v>425228588</v>
      </c>
      <c r="L1667" s="195">
        <f>+J1667+K1667</f>
        <v>425228588</v>
      </c>
      <c r="N1667" s="193" t="s">
        <v>289</v>
      </c>
      <c r="O1667" s="175"/>
    </row>
    <row r="1668" spans="9:16" ht="16.5" thickBot="1">
      <c r="I1668" s="164" t="s">
        <v>181</v>
      </c>
      <c r="J1668" s="165"/>
      <c r="K1668" s="74">
        <f>+L1631</f>
        <v>0</v>
      </c>
      <c r="L1668" s="196">
        <f>+J1668+K1668</f>
        <v>0</v>
      </c>
      <c r="N1668" s="52"/>
    </row>
    <row r="1669" spans="9:16" ht="16.5" thickBot="1">
      <c r="I1669" s="169"/>
      <c r="J1669" s="197">
        <f>SUM(J1664:J1668)</f>
        <v>868000</v>
      </c>
      <c r="K1669" s="197">
        <f>SUM(K1664:K1668)</f>
        <v>552608119</v>
      </c>
      <c r="L1669" s="198">
        <f>SUM(L1664:L1668)</f>
        <v>553476119</v>
      </c>
    </row>
    <row r="1670" spans="9:16" ht="16.5">
      <c r="I1670" s="49" t="s">
        <v>88</v>
      </c>
      <c r="J1670" s="50"/>
    </row>
    <row r="1671" spans="9:16">
      <c r="I1671" s="51" t="s">
        <v>89</v>
      </c>
    </row>
    <row r="1672" spans="9:16">
      <c r="I1672" s="51" t="s">
        <v>90</v>
      </c>
    </row>
    <row r="1673" spans="9:16">
      <c r="I1673" s="51" t="s">
        <v>91</v>
      </c>
    </row>
    <row r="1674" spans="9:16" ht="12.75" customHeight="1">
      <c r="I1674" s="50"/>
      <c r="J1674" s="50"/>
    </row>
    <row r="1675" spans="9:16" ht="15.75">
      <c r="I1675" s="260" t="s">
        <v>950</v>
      </c>
      <c r="O1675" s="52"/>
    </row>
    <row r="1676" spans="9:16" ht="15.75">
      <c r="I1676" s="53" t="s">
        <v>535</v>
      </c>
      <c r="O1676" s="53"/>
    </row>
    <row r="1677" spans="9:16" ht="16.5">
      <c r="I1677" s="894" t="s">
        <v>909</v>
      </c>
      <c r="J1677" s="894"/>
      <c r="K1677" s="894"/>
      <c r="L1677" s="894"/>
      <c r="M1677" s="894"/>
      <c r="N1677" s="894"/>
      <c r="O1677" s="894"/>
      <c r="P1677" s="894"/>
    </row>
    <row r="1678" spans="9:16" ht="15.75" thickBot="1"/>
    <row r="1679" spans="9:16">
      <c r="I1679" s="895" t="s">
        <v>94</v>
      </c>
      <c r="J1679" s="897" t="s">
        <v>95</v>
      </c>
      <c r="K1679" s="897" t="s">
        <v>96</v>
      </c>
      <c r="L1679" s="897" t="s">
        <v>3</v>
      </c>
      <c r="M1679" s="897" t="s">
        <v>97</v>
      </c>
      <c r="N1679" s="897" t="s">
        <v>98</v>
      </c>
      <c r="O1679" s="897" t="s">
        <v>99</v>
      </c>
      <c r="P1679" s="899"/>
    </row>
    <row r="1680" spans="9:16" ht="15.75" thickBot="1">
      <c r="I1680" s="896"/>
      <c r="J1680" s="898"/>
      <c r="K1680" s="898"/>
      <c r="L1680" s="898"/>
      <c r="M1680" s="898"/>
      <c r="N1680" s="898"/>
      <c r="O1680" s="240" t="s">
        <v>100</v>
      </c>
      <c r="P1680" s="182" t="s">
        <v>101</v>
      </c>
    </row>
    <row r="1681" spans="9:16" ht="15" customHeight="1">
      <c r="I1681" s="881">
        <v>203</v>
      </c>
      <c r="J1681" s="875">
        <v>42520</v>
      </c>
      <c r="K1681" s="877" t="s">
        <v>267</v>
      </c>
      <c r="L1681" s="879" t="s">
        <v>958</v>
      </c>
      <c r="M1681" s="881" t="s">
        <v>148</v>
      </c>
      <c r="N1681" s="883">
        <v>28000</v>
      </c>
      <c r="O1681" s="55">
        <v>719</v>
      </c>
      <c r="P1681" s="78">
        <v>20000</v>
      </c>
    </row>
    <row r="1682" spans="9:16" ht="15.75" customHeight="1" thickBot="1">
      <c r="I1682" s="882"/>
      <c r="J1682" s="876"/>
      <c r="K1682" s="878"/>
      <c r="L1682" s="880"/>
      <c r="M1682" s="882"/>
      <c r="N1682" s="884"/>
      <c r="O1682" s="56">
        <v>721</v>
      </c>
      <c r="P1682" s="79">
        <f>+N1681-P1681</f>
        <v>8000</v>
      </c>
    </row>
    <row r="1683" spans="9:16" ht="15" customHeight="1">
      <c r="I1683" s="881">
        <v>204</v>
      </c>
      <c r="J1683" s="875">
        <v>42520</v>
      </c>
      <c r="K1683" s="877" t="s">
        <v>28</v>
      </c>
      <c r="L1683" s="879" t="s">
        <v>959</v>
      </c>
      <c r="M1683" s="881" t="s">
        <v>148</v>
      </c>
      <c r="N1683" s="883">
        <v>238000</v>
      </c>
      <c r="O1683" s="55">
        <v>719</v>
      </c>
      <c r="P1683" s="78">
        <v>170000</v>
      </c>
    </row>
    <row r="1684" spans="9:16" ht="15.75" customHeight="1" thickBot="1">
      <c r="I1684" s="882"/>
      <c r="J1684" s="876"/>
      <c r="K1684" s="878"/>
      <c r="L1684" s="880"/>
      <c r="M1684" s="882"/>
      <c r="N1684" s="884"/>
      <c r="O1684" s="56">
        <v>721</v>
      </c>
      <c r="P1684" s="79">
        <f>+N1683-P1683</f>
        <v>68000</v>
      </c>
    </row>
    <row r="1685" spans="9:16" ht="15" customHeight="1">
      <c r="I1685" s="881">
        <v>205</v>
      </c>
      <c r="J1685" s="875">
        <v>42520</v>
      </c>
      <c r="K1685" s="877" t="s">
        <v>111</v>
      </c>
      <c r="L1685" s="879" t="s">
        <v>960</v>
      </c>
      <c r="M1685" s="881" t="s">
        <v>148</v>
      </c>
      <c r="N1685" s="883">
        <v>84000</v>
      </c>
      <c r="O1685" s="55">
        <v>719</v>
      </c>
      <c r="P1685" s="78">
        <v>60000</v>
      </c>
    </row>
    <row r="1686" spans="9:16" ht="15.75" customHeight="1" thickBot="1">
      <c r="I1686" s="882"/>
      <c r="J1686" s="876"/>
      <c r="K1686" s="878"/>
      <c r="L1686" s="880"/>
      <c r="M1686" s="882"/>
      <c r="N1686" s="884"/>
      <c r="O1686" s="56">
        <v>721</v>
      </c>
      <c r="P1686" s="79">
        <f>+N1685-P1685</f>
        <v>24000</v>
      </c>
    </row>
    <row r="1687" spans="9:16" ht="15" customHeight="1">
      <c r="I1687" s="881">
        <v>206</v>
      </c>
      <c r="J1687" s="875">
        <v>42520</v>
      </c>
      <c r="K1687" s="877" t="s">
        <v>272</v>
      </c>
      <c r="L1687" s="879" t="s">
        <v>959</v>
      </c>
      <c r="M1687" s="881" t="s">
        <v>148</v>
      </c>
      <c r="N1687" s="883">
        <v>504000</v>
      </c>
      <c r="O1687" s="55">
        <v>719</v>
      </c>
      <c r="P1687" s="78">
        <v>360000</v>
      </c>
    </row>
    <row r="1688" spans="9:16" ht="15.75" customHeight="1" thickBot="1">
      <c r="I1688" s="882"/>
      <c r="J1688" s="876"/>
      <c r="K1688" s="878"/>
      <c r="L1688" s="880"/>
      <c r="M1688" s="882"/>
      <c r="N1688" s="884"/>
      <c r="O1688" s="56">
        <v>721</v>
      </c>
      <c r="P1688" s="79">
        <f>+N1687-P1687</f>
        <v>144000</v>
      </c>
    </row>
    <row r="1689" spans="9:16">
      <c r="I1689" s="881"/>
      <c r="J1689" s="875"/>
      <c r="K1689" s="877"/>
      <c r="L1689" s="881"/>
      <c r="M1689" s="881"/>
      <c r="N1689" s="883"/>
      <c r="O1689" s="55">
        <v>719</v>
      </c>
      <c r="P1689" s="78"/>
    </row>
    <row r="1690" spans="9:16" ht="15.75" thickBot="1">
      <c r="I1690" s="882"/>
      <c r="J1690" s="876"/>
      <c r="K1690" s="878"/>
      <c r="L1690" s="882"/>
      <c r="M1690" s="882"/>
      <c r="N1690" s="884"/>
      <c r="O1690" s="56">
        <v>721</v>
      </c>
      <c r="P1690" s="79">
        <f>+N1689-P1689</f>
        <v>0</v>
      </c>
    </row>
    <row r="1691" spans="9:16" ht="16.5" thickBot="1">
      <c r="I1691" s="901" t="s">
        <v>102</v>
      </c>
      <c r="J1691" s="902"/>
      <c r="K1691" s="902"/>
      <c r="L1691" s="902"/>
      <c r="M1691" s="903"/>
      <c r="N1691" s="81">
        <f>SUM(N1681:N1690)</f>
        <v>854000</v>
      </c>
    </row>
    <row r="1692" spans="9:16" ht="16.5" thickBot="1">
      <c r="I1692" s="885" t="s">
        <v>103</v>
      </c>
      <c r="J1692" s="886"/>
      <c r="K1692" s="886"/>
      <c r="L1692" s="886"/>
      <c r="M1692" s="887"/>
      <c r="N1692" s="69">
        <f>+N1656</f>
        <v>553476119</v>
      </c>
      <c r="O1692" s="241" t="s">
        <v>561</v>
      </c>
      <c r="P1692" s="242">
        <f>746+26+428+20</f>
        <v>1220</v>
      </c>
    </row>
    <row r="1693" spans="9:16" ht="16.5" thickBot="1">
      <c r="I1693" s="888" t="s">
        <v>104</v>
      </c>
      <c r="J1693" s="889"/>
      <c r="K1693" s="889"/>
      <c r="L1693" s="889"/>
      <c r="M1693" s="890"/>
      <c r="N1693" s="183">
        <f>SUM(N1691:N1692)</f>
        <v>554330119</v>
      </c>
    </row>
    <row r="1694" spans="9:16">
      <c r="I1694" s="61"/>
      <c r="J1694" s="61"/>
      <c r="K1694" s="61"/>
      <c r="L1694" s="61"/>
      <c r="M1694" s="61"/>
    </row>
    <row r="1695" spans="9:16">
      <c r="I1695" s="51" t="s">
        <v>961</v>
      </c>
    </row>
    <row r="1696" spans="9:16" ht="12" customHeight="1">
      <c r="N1696" s="139"/>
    </row>
    <row r="1697" spans="9:15">
      <c r="I1697" s="50" t="s">
        <v>105</v>
      </c>
      <c r="L1697" s="146"/>
      <c r="N1697" s="139"/>
    </row>
    <row r="1698" spans="9:15" ht="11.25" customHeight="1" thickBot="1"/>
    <row r="1699" spans="9:15" ht="15.75" thickBot="1">
      <c r="I1699" s="891" t="s">
        <v>106</v>
      </c>
      <c r="J1699" s="892"/>
      <c r="K1699" s="892"/>
      <c r="L1699" s="893"/>
      <c r="N1699" s="50" t="s">
        <v>288</v>
      </c>
    </row>
    <row r="1700" spans="9:15" ht="30.75" thickBot="1">
      <c r="I1700" s="57" t="s">
        <v>100</v>
      </c>
      <c r="J1700" s="58" t="s">
        <v>108</v>
      </c>
      <c r="K1700" s="287" t="s">
        <v>109</v>
      </c>
      <c r="L1700" s="60" t="s">
        <v>110</v>
      </c>
    </row>
    <row r="1701" spans="9:15">
      <c r="I1701" s="71">
        <v>719</v>
      </c>
      <c r="J1701" s="73">
        <f>+P1681+P1683+P1685+P1687+P1689</f>
        <v>610000</v>
      </c>
      <c r="K1701" s="74">
        <f>+L1664</f>
        <v>28341700</v>
      </c>
      <c r="L1701" s="195">
        <f>+J1701+K1701</f>
        <v>28951700</v>
      </c>
    </row>
    <row r="1702" spans="9:15">
      <c r="I1702" s="72">
        <v>721</v>
      </c>
      <c r="J1702" s="80">
        <f>+P1682+P1684+P1686+P1688</f>
        <v>244000</v>
      </c>
      <c r="K1702" s="74">
        <f>+L1665</f>
        <v>84355931</v>
      </c>
      <c r="L1702" s="195">
        <f>+J1702+K1702</f>
        <v>84599931</v>
      </c>
    </row>
    <row r="1703" spans="9:15">
      <c r="I1703" s="72">
        <v>722</v>
      </c>
      <c r="J1703" s="80"/>
      <c r="K1703" s="74">
        <f>+L1666</f>
        <v>15549900</v>
      </c>
      <c r="L1703" s="195">
        <f>+J1703+K1703</f>
        <v>15549900</v>
      </c>
    </row>
    <row r="1704" spans="9:15" ht="15.75">
      <c r="I1704" s="72">
        <v>723</v>
      </c>
      <c r="J1704" s="80"/>
      <c r="K1704" s="74">
        <f>+L1667</f>
        <v>425228588</v>
      </c>
      <c r="L1704" s="195">
        <f>+J1704+K1704</f>
        <v>425228588</v>
      </c>
      <c r="N1704" s="193" t="s">
        <v>289</v>
      </c>
      <c r="O1704" s="175"/>
    </row>
    <row r="1705" spans="9:15" ht="16.5" thickBot="1">
      <c r="I1705" s="164" t="s">
        <v>181</v>
      </c>
      <c r="J1705" s="165"/>
      <c r="K1705" s="74">
        <f>+L1668</f>
        <v>0</v>
      </c>
      <c r="L1705" s="196">
        <f>+J1705+K1705</f>
        <v>0</v>
      </c>
      <c r="N1705" s="52"/>
    </row>
    <row r="1706" spans="9:15" ht="16.5" thickBot="1">
      <c r="I1706" s="169"/>
      <c r="J1706" s="197">
        <f>SUM(J1701:J1705)</f>
        <v>854000</v>
      </c>
      <c r="K1706" s="197">
        <f>SUM(K1701:K1705)</f>
        <v>553476119</v>
      </c>
      <c r="L1706" s="198">
        <f>SUM(L1701:L1705)</f>
        <v>554330119</v>
      </c>
    </row>
    <row r="1707" spans="9:15" ht="16.5">
      <c r="I1707" s="49" t="s">
        <v>88</v>
      </c>
      <c r="J1707" s="50"/>
    </row>
    <row r="1708" spans="9:15">
      <c r="I1708" s="51" t="s">
        <v>89</v>
      </c>
    </row>
    <row r="1709" spans="9:15">
      <c r="I1709" s="51" t="s">
        <v>90</v>
      </c>
    </row>
    <row r="1710" spans="9:15">
      <c r="I1710" s="51" t="s">
        <v>91</v>
      </c>
    </row>
    <row r="1711" spans="9:15" ht="12.75" customHeight="1">
      <c r="I1711" s="50"/>
      <c r="J1711" s="50"/>
    </row>
    <row r="1712" spans="9:15" ht="15.75">
      <c r="I1712" s="260" t="s">
        <v>976</v>
      </c>
      <c r="O1712" s="52"/>
    </row>
    <row r="1713" spans="9:16" ht="15.75">
      <c r="I1713" s="53" t="s">
        <v>535</v>
      </c>
      <c r="O1713" s="53"/>
    </row>
    <row r="1714" spans="9:16" ht="16.5">
      <c r="I1714" s="894" t="s">
        <v>967</v>
      </c>
      <c r="J1714" s="894"/>
      <c r="K1714" s="894"/>
      <c r="L1714" s="894"/>
      <c r="M1714" s="894"/>
      <c r="N1714" s="894"/>
      <c r="O1714" s="894"/>
      <c r="P1714" s="894"/>
    </row>
    <row r="1715" spans="9:16" ht="15.75" thickBot="1"/>
    <row r="1716" spans="9:16">
      <c r="I1716" s="916" t="s">
        <v>968</v>
      </c>
      <c r="J1716" s="912" t="s">
        <v>95</v>
      </c>
      <c r="K1716" s="912" t="s">
        <v>96</v>
      </c>
      <c r="L1716" s="912" t="s">
        <v>3</v>
      </c>
      <c r="M1716" s="912" t="s">
        <v>97</v>
      </c>
      <c r="N1716" s="912" t="s">
        <v>98</v>
      </c>
      <c r="O1716" s="914" t="s">
        <v>99</v>
      </c>
      <c r="P1716" s="915"/>
    </row>
    <row r="1717" spans="9:16" ht="15.75" thickBot="1">
      <c r="I1717" s="917"/>
      <c r="J1717" s="913"/>
      <c r="K1717" s="913"/>
      <c r="L1717" s="913"/>
      <c r="M1717" s="913"/>
      <c r="N1717" s="913"/>
      <c r="O1717" s="240" t="s">
        <v>100</v>
      </c>
      <c r="P1717" s="182" t="s">
        <v>101</v>
      </c>
    </row>
    <row r="1718" spans="9:16" ht="12" customHeight="1">
      <c r="I1718" s="873" t="s">
        <v>545</v>
      </c>
      <c r="J1718" s="875">
        <v>42520</v>
      </c>
      <c r="K1718" s="910" t="s">
        <v>695</v>
      </c>
      <c r="L1718" s="879" t="s">
        <v>556</v>
      </c>
      <c r="M1718" s="881" t="s">
        <v>148</v>
      </c>
      <c r="N1718" s="883"/>
      <c r="O1718" s="55">
        <v>719</v>
      </c>
      <c r="P1718" s="78"/>
    </row>
    <row r="1719" spans="9:16" ht="12.75" customHeight="1" thickBot="1">
      <c r="I1719" s="874"/>
      <c r="J1719" s="876"/>
      <c r="K1719" s="911"/>
      <c r="L1719" s="880"/>
      <c r="M1719" s="882"/>
      <c r="N1719" s="884"/>
      <c r="O1719" s="56">
        <v>723</v>
      </c>
      <c r="P1719" s="79">
        <f>+N1718-P1718</f>
        <v>0</v>
      </c>
    </row>
    <row r="1720" spans="9:16" ht="12.75" customHeight="1">
      <c r="I1720" s="873" t="s">
        <v>547</v>
      </c>
      <c r="J1720" s="875">
        <v>42520</v>
      </c>
      <c r="K1720" s="910" t="s">
        <v>695</v>
      </c>
      <c r="L1720" s="879" t="s">
        <v>556</v>
      </c>
      <c r="M1720" s="881" t="s">
        <v>115</v>
      </c>
      <c r="N1720" s="883"/>
      <c r="O1720" s="55">
        <v>719</v>
      </c>
      <c r="P1720" s="78"/>
    </row>
    <row r="1721" spans="9:16" ht="13.5" customHeight="1" thickBot="1">
      <c r="I1721" s="874"/>
      <c r="J1721" s="876"/>
      <c r="K1721" s="911"/>
      <c r="L1721" s="880"/>
      <c r="M1721" s="882"/>
      <c r="N1721" s="884"/>
      <c r="O1721" s="56">
        <v>723</v>
      </c>
      <c r="P1721" s="79">
        <f>+N1720-P1720</f>
        <v>0</v>
      </c>
    </row>
    <row r="1722" spans="9:16" ht="11.25" customHeight="1">
      <c r="I1722" s="873" t="s">
        <v>548</v>
      </c>
      <c r="J1722" s="875">
        <v>42520</v>
      </c>
      <c r="K1722" s="877" t="s">
        <v>701</v>
      </c>
      <c r="L1722" s="879" t="s">
        <v>556</v>
      </c>
      <c r="M1722" s="881" t="s">
        <v>148</v>
      </c>
      <c r="N1722" s="883"/>
      <c r="O1722" s="55">
        <v>719</v>
      </c>
      <c r="P1722" s="78"/>
    </row>
    <row r="1723" spans="9:16" ht="13.5" customHeight="1" thickBot="1">
      <c r="I1723" s="874"/>
      <c r="J1723" s="876"/>
      <c r="K1723" s="878"/>
      <c r="L1723" s="880"/>
      <c r="M1723" s="882"/>
      <c r="N1723" s="884"/>
      <c r="O1723" s="56">
        <v>723</v>
      </c>
      <c r="P1723" s="79">
        <f>+N1722-P1722</f>
        <v>0</v>
      </c>
    </row>
    <row r="1724" spans="9:16" ht="12.75" customHeight="1">
      <c r="I1724" s="873" t="s">
        <v>549</v>
      </c>
      <c r="J1724" s="875">
        <v>42520</v>
      </c>
      <c r="K1724" s="877" t="s">
        <v>673</v>
      </c>
      <c r="L1724" s="879" t="s">
        <v>556</v>
      </c>
      <c r="M1724" s="881" t="s">
        <v>148</v>
      </c>
      <c r="N1724" s="883"/>
      <c r="O1724" s="55">
        <v>719</v>
      </c>
      <c r="P1724" s="78"/>
    </row>
    <row r="1725" spans="9:16" ht="14.25" customHeight="1" thickBot="1">
      <c r="I1725" s="874"/>
      <c r="J1725" s="876"/>
      <c r="K1725" s="878"/>
      <c r="L1725" s="880"/>
      <c r="M1725" s="882"/>
      <c r="N1725" s="884"/>
      <c r="O1725" s="56">
        <v>723</v>
      </c>
      <c r="P1725" s="79">
        <f>+N1724-P1724</f>
        <v>0</v>
      </c>
    </row>
    <row r="1726" spans="9:16" ht="12" customHeight="1">
      <c r="I1726" s="873" t="s">
        <v>550</v>
      </c>
      <c r="J1726" s="875">
        <v>42520</v>
      </c>
      <c r="K1726" s="877" t="s">
        <v>729</v>
      </c>
      <c r="L1726" s="879" t="s">
        <v>556</v>
      </c>
      <c r="M1726" s="881" t="s">
        <v>148</v>
      </c>
      <c r="N1726" s="883"/>
      <c r="O1726" s="55">
        <v>719</v>
      </c>
      <c r="P1726" s="78"/>
    </row>
    <row r="1727" spans="9:16" ht="12.75" customHeight="1" thickBot="1">
      <c r="I1727" s="874"/>
      <c r="J1727" s="876"/>
      <c r="K1727" s="878"/>
      <c r="L1727" s="880"/>
      <c r="M1727" s="882"/>
      <c r="N1727" s="884"/>
      <c r="O1727" s="56">
        <v>723</v>
      </c>
      <c r="P1727" s="79">
        <f>+N1726-P1726</f>
        <v>0</v>
      </c>
    </row>
    <row r="1728" spans="9:16" ht="12.75" customHeight="1">
      <c r="I1728" s="873" t="s">
        <v>551</v>
      </c>
      <c r="J1728" s="875">
        <v>42520</v>
      </c>
      <c r="K1728" s="877" t="s">
        <v>694</v>
      </c>
      <c r="L1728" s="879" t="s">
        <v>556</v>
      </c>
      <c r="M1728" s="881" t="s">
        <v>148</v>
      </c>
      <c r="N1728" s="883"/>
      <c r="O1728" s="55">
        <v>719</v>
      </c>
      <c r="P1728" s="78"/>
    </row>
    <row r="1729" spans="9:19" ht="13.5" customHeight="1" thickBot="1">
      <c r="I1729" s="874"/>
      <c r="J1729" s="876"/>
      <c r="K1729" s="878"/>
      <c r="L1729" s="880"/>
      <c r="M1729" s="882"/>
      <c r="N1729" s="884"/>
      <c r="O1729" s="56">
        <v>723</v>
      </c>
      <c r="P1729" s="79">
        <f>+N1728-P1728</f>
        <v>0</v>
      </c>
    </row>
    <row r="1730" spans="9:19" ht="16.5" thickBot="1">
      <c r="I1730" s="888" t="s">
        <v>102</v>
      </c>
      <c r="J1730" s="889"/>
      <c r="K1730" s="889"/>
      <c r="L1730" s="889"/>
      <c r="M1730" s="890"/>
      <c r="N1730" s="81">
        <f>SUM(N1718:N1729)</f>
        <v>0</v>
      </c>
    </row>
    <row r="1731" spans="9:19" ht="16.5" thickBot="1">
      <c r="I1731" s="885" t="s">
        <v>103</v>
      </c>
      <c r="J1731" s="886"/>
      <c r="K1731" s="886"/>
      <c r="L1731" s="886"/>
      <c r="M1731" s="887"/>
      <c r="N1731" s="69">
        <f>+N1693</f>
        <v>554330119</v>
      </c>
      <c r="O1731" s="241" t="s">
        <v>561</v>
      </c>
      <c r="P1731" s="242"/>
    </row>
    <row r="1732" spans="9:19" ht="16.5" thickBot="1">
      <c r="I1732" s="888" t="s">
        <v>104</v>
      </c>
      <c r="J1732" s="889"/>
      <c r="K1732" s="889"/>
      <c r="L1732" s="889"/>
      <c r="M1732" s="890"/>
      <c r="N1732" s="183">
        <f>SUM(N1730:N1731)</f>
        <v>554330119</v>
      </c>
      <c r="S1732" s="51">
        <f>1945*1.05^4.5</f>
        <v>2422.5427600461721</v>
      </c>
    </row>
    <row r="1733" spans="9:19" ht="13.5" customHeight="1">
      <c r="I1733" s="61"/>
      <c r="J1733" s="61"/>
      <c r="K1733" s="61"/>
      <c r="L1733" s="61"/>
      <c r="M1733" s="61"/>
    </row>
    <row r="1734" spans="9:19">
      <c r="I1734" s="51" t="s">
        <v>966</v>
      </c>
    </row>
    <row r="1735" spans="9:19" ht="12.75" customHeight="1">
      <c r="N1735" s="139"/>
    </row>
    <row r="1736" spans="9:19">
      <c r="I1736" s="50" t="s">
        <v>105</v>
      </c>
      <c r="L1736" s="146"/>
      <c r="N1736" s="139"/>
    </row>
    <row r="1737" spans="9:19" ht="13.5" customHeight="1" thickBot="1"/>
    <row r="1738" spans="9:19" ht="15.75" thickBot="1">
      <c r="I1738" s="891" t="s">
        <v>106</v>
      </c>
      <c r="J1738" s="892"/>
      <c r="K1738" s="892"/>
      <c r="L1738" s="893"/>
      <c r="N1738" s="50" t="s">
        <v>288</v>
      </c>
    </row>
    <row r="1739" spans="9:19" ht="30.75" thickBot="1">
      <c r="I1739" s="57" t="s">
        <v>100</v>
      </c>
      <c r="J1739" s="58" t="s">
        <v>108</v>
      </c>
      <c r="K1739" s="287" t="s">
        <v>109</v>
      </c>
      <c r="L1739" s="60" t="s">
        <v>110</v>
      </c>
    </row>
    <row r="1740" spans="9:19">
      <c r="I1740" s="71">
        <v>719</v>
      </c>
      <c r="J1740" s="73">
        <f>+P1718+P1720+P1724+P1726+P1728</f>
        <v>0</v>
      </c>
      <c r="K1740" s="74">
        <f>+L1701</f>
        <v>28951700</v>
      </c>
      <c r="L1740" s="195">
        <f>+J1740+K1740</f>
        <v>28951700</v>
      </c>
    </row>
    <row r="1741" spans="9:19">
      <c r="I1741" s="72">
        <v>721</v>
      </c>
      <c r="J1741" s="80">
        <v>0</v>
      </c>
      <c r="K1741" s="74">
        <f>+L1702</f>
        <v>84599931</v>
      </c>
      <c r="L1741" s="195">
        <f>+J1741+K1741</f>
        <v>84599931</v>
      </c>
    </row>
    <row r="1742" spans="9:19">
      <c r="I1742" s="72">
        <v>722</v>
      </c>
      <c r="J1742" s="80"/>
      <c r="K1742" s="74">
        <f>+L1703</f>
        <v>15549900</v>
      </c>
      <c r="L1742" s="195">
        <f>+J1742+K1742</f>
        <v>15549900</v>
      </c>
    </row>
    <row r="1743" spans="9:19" ht="15.75">
      <c r="I1743" s="72">
        <v>723</v>
      </c>
      <c r="J1743" s="80">
        <f>+P1729+P1727+P1725+P1721+P1719+P1723</f>
        <v>0</v>
      </c>
      <c r="K1743" s="74">
        <f>+L1704</f>
        <v>425228588</v>
      </c>
      <c r="L1743" s="195">
        <f>+J1743+K1743</f>
        <v>425228588</v>
      </c>
      <c r="N1743" s="193" t="s">
        <v>289</v>
      </c>
      <c r="O1743" s="175"/>
    </row>
    <row r="1744" spans="9:19" ht="16.5" thickBot="1">
      <c r="I1744" s="164" t="s">
        <v>181</v>
      </c>
      <c r="J1744" s="165"/>
      <c r="K1744" s="74">
        <f>+L1705</f>
        <v>0</v>
      </c>
      <c r="L1744" s="196">
        <f>+J1744+K1744</f>
        <v>0</v>
      </c>
      <c r="N1744" s="52"/>
    </row>
    <row r="1745" spans="9:16" ht="16.5" thickBot="1">
      <c r="I1745" s="169"/>
      <c r="J1745" s="197">
        <f>SUM(J1740:J1744)</f>
        <v>0</v>
      </c>
      <c r="K1745" s="197">
        <f>SUM(K1740:K1744)</f>
        <v>554330119</v>
      </c>
      <c r="L1745" s="198">
        <f>SUM(L1740:L1744)</f>
        <v>554330119</v>
      </c>
    </row>
    <row r="1746" spans="9:16" ht="16.5">
      <c r="I1746" s="49" t="s">
        <v>88</v>
      </c>
      <c r="J1746" s="50"/>
    </row>
    <row r="1747" spans="9:16">
      <c r="I1747" s="51" t="s">
        <v>89</v>
      </c>
    </row>
    <row r="1748" spans="9:16">
      <c r="I1748" s="51" t="s">
        <v>90</v>
      </c>
    </row>
    <row r="1749" spans="9:16">
      <c r="I1749" s="51" t="s">
        <v>91</v>
      </c>
    </row>
    <row r="1750" spans="9:16" ht="9" customHeight="1">
      <c r="I1750" s="50"/>
      <c r="J1750" s="50"/>
    </row>
    <row r="1751" spans="9:16" ht="15.75">
      <c r="I1751" s="260" t="s">
        <v>964</v>
      </c>
      <c r="O1751" s="52"/>
    </row>
    <row r="1752" spans="9:16" ht="15.75">
      <c r="I1752" s="53" t="s">
        <v>535</v>
      </c>
      <c r="O1752" s="53"/>
    </row>
    <row r="1753" spans="9:16" ht="16.5">
      <c r="I1753" s="894" t="s">
        <v>909</v>
      </c>
      <c r="J1753" s="894"/>
      <c r="K1753" s="894"/>
      <c r="L1753" s="894"/>
      <c r="M1753" s="894"/>
      <c r="N1753" s="894"/>
      <c r="O1753" s="894"/>
      <c r="P1753" s="894"/>
    </row>
    <row r="1754" spans="9:16" ht="15.75" thickBot="1"/>
    <row r="1755" spans="9:16">
      <c r="I1755" s="895" t="s">
        <v>94</v>
      </c>
      <c r="J1755" s="897" t="s">
        <v>95</v>
      </c>
      <c r="K1755" s="897" t="s">
        <v>96</v>
      </c>
      <c r="L1755" s="897" t="s">
        <v>3</v>
      </c>
      <c r="M1755" s="897" t="s">
        <v>97</v>
      </c>
      <c r="N1755" s="897" t="s">
        <v>98</v>
      </c>
      <c r="O1755" s="897" t="s">
        <v>99</v>
      </c>
      <c r="P1755" s="899"/>
    </row>
    <row r="1756" spans="9:16" ht="15.75" thickBot="1">
      <c r="I1756" s="896"/>
      <c r="J1756" s="898"/>
      <c r="K1756" s="898"/>
      <c r="L1756" s="898"/>
      <c r="M1756" s="898"/>
      <c r="N1756" s="898"/>
      <c r="O1756" s="240" t="s">
        <v>100</v>
      </c>
      <c r="P1756" s="182" t="s">
        <v>101</v>
      </c>
    </row>
    <row r="1757" spans="9:16">
      <c r="I1757" s="881">
        <v>207</v>
      </c>
      <c r="J1757" s="875">
        <v>42521</v>
      </c>
      <c r="K1757" s="877" t="s">
        <v>267</v>
      </c>
      <c r="L1757" s="879" t="s">
        <v>971</v>
      </c>
      <c r="M1757" s="881" t="s">
        <v>148</v>
      </c>
      <c r="N1757" s="883">
        <v>28000</v>
      </c>
      <c r="O1757" s="55">
        <v>719</v>
      </c>
      <c r="P1757" s="78">
        <v>20000</v>
      </c>
    </row>
    <row r="1758" spans="9:16" ht="15.75" thickBot="1">
      <c r="I1758" s="882"/>
      <c r="J1758" s="876"/>
      <c r="K1758" s="878"/>
      <c r="L1758" s="880"/>
      <c r="M1758" s="882"/>
      <c r="N1758" s="884"/>
      <c r="O1758" s="56">
        <v>721</v>
      </c>
      <c r="P1758" s="79">
        <f>+N1757-P1757</f>
        <v>8000</v>
      </c>
    </row>
    <row r="1759" spans="9:16">
      <c r="I1759" s="881">
        <v>208</v>
      </c>
      <c r="J1759" s="875">
        <v>42521</v>
      </c>
      <c r="K1759" s="877" t="s">
        <v>28</v>
      </c>
      <c r="L1759" s="879" t="s">
        <v>970</v>
      </c>
      <c r="M1759" s="881" t="s">
        <v>148</v>
      </c>
      <c r="N1759" s="883">
        <v>294000</v>
      </c>
      <c r="O1759" s="55">
        <v>719</v>
      </c>
      <c r="P1759" s="78">
        <v>210000</v>
      </c>
    </row>
    <row r="1760" spans="9:16" ht="15.75" thickBot="1">
      <c r="I1760" s="882"/>
      <c r="J1760" s="876"/>
      <c r="K1760" s="878"/>
      <c r="L1760" s="880"/>
      <c r="M1760" s="882"/>
      <c r="N1760" s="884"/>
      <c r="O1760" s="56">
        <v>721</v>
      </c>
      <c r="P1760" s="79">
        <f>+N1759-P1759</f>
        <v>84000</v>
      </c>
    </row>
    <row r="1761" spans="9:16">
      <c r="I1761" s="881">
        <v>209</v>
      </c>
      <c r="J1761" s="875">
        <v>42521</v>
      </c>
      <c r="K1761" s="877" t="s">
        <v>111</v>
      </c>
      <c r="L1761" s="879" t="s">
        <v>951</v>
      </c>
      <c r="M1761" s="881" t="s">
        <v>148</v>
      </c>
      <c r="N1761" s="883">
        <v>56000</v>
      </c>
      <c r="O1761" s="55">
        <v>719</v>
      </c>
      <c r="P1761" s="78">
        <v>40000</v>
      </c>
    </row>
    <row r="1762" spans="9:16" ht="15.75" thickBot="1">
      <c r="I1762" s="882"/>
      <c r="J1762" s="876"/>
      <c r="K1762" s="878"/>
      <c r="L1762" s="880"/>
      <c r="M1762" s="882"/>
      <c r="N1762" s="884"/>
      <c r="O1762" s="56">
        <v>721</v>
      </c>
      <c r="P1762" s="79">
        <f>+N1761-P1761</f>
        <v>16000</v>
      </c>
    </row>
    <row r="1763" spans="9:16">
      <c r="I1763" s="881">
        <v>210</v>
      </c>
      <c r="J1763" s="875">
        <v>42521</v>
      </c>
      <c r="K1763" s="877" t="s">
        <v>272</v>
      </c>
      <c r="L1763" s="879" t="s">
        <v>970</v>
      </c>
      <c r="M1763" s="881" t="s">
        <v>148</v>
      </c>
      <c r="N1763" s="883">
        <v>672000</v>
      </c>
      <c r="O1763" s="55">
        <v>719</v>
      </c>
      <c r="P1763" s="78">
        <v>480000</v>
      </c>
    </row>
    <row r="1764" spans="9:16" ht="15.75" thickBot="1">
      <c r="I1764" s="882"/>
      <c r="J1764" s="876"/>
      <c r="K1764" s="878"/>
      <c r="L1764" s="880"/>
      <c r="M1764" s="882"/>
      <c r="N1764" s="884"/>
      <c r="O1764" s="56">
        <v>721</v>
      </c>
      <c r="P1764" s="79">
        <f>+N1763-P1763</f>
        <v>192000</v>
      </c>
    </row>
    <row r="1765" spans="9:16" ht="12.75" customHeight="1">
      <c r="I1765" s="881"/>
      <c r="J1765" s="875"/>
      <c r="K1765" s="877"/>
      <c r="L1765" s="881"/>
      <c r="M1765" s="881"/>
      <c r="N1765" s="883"/>
      <c r="O1765" s="55">
        <v>719</v>
      </c>
      <c r="P1765" s="78"/>
    </row>
    <row r="1766" spans="9:16" ht="13.5" customHeight="1" thickBot="1">
      <c r="I1766" s="882"/>
      <c r="J1766" s="876"/>
      <c r="K1766" s="878"/>
      <c r="L1766" s="882"/>
      <c r="M1766" s="882"/>
      <c r="N1766" s="884"/>
      <c r="O1766" s="56">
        <v>721</v>
      </c>
      <c r="P1766" s="79">
        <f>+N1765-P1765</f>
        <v>0</v>
      </c>
    </row>
    <row r="1767" spans="9:16" ht="16.5" thickBot="1">
      <c r="I1767" s="901" t="s">
        <v>102</v>
      </c>
      <c r="J1767" s="902"/>
      <c r="K1767" s="902"/>
      <c r="L1767" s="902"/>
      <c r="M1767" s="903"/>
      <c r="N1767" s="81">
        <f>SUM(N1757:N1766)</f>
        <v>1050000</v>
      </c>
    </row>
    <row r="1768" spans="9:16" ht="16.5" thickBot="1">
      <c r="I1768" s="885" t="s">
        <v>103</v>
      </c>
      <c r="J1768" s="886"/>
      <c r="K1768" s="886"/>
      <c r="L1768" s="886"/>
      <c r="M1768" s="887"/>
      <c r="N1768" s="69">
        <f>+N1732</f>
        <v>554330119</v>
      </c>
      <c r="O1768" s="241" t="s">
        <v>561</v>
      </c>
      <c r="P1768" s="242">
        <f>22+651+13+1233</f>
        <v>1919</v>
      </c>
    </row>
    <row r="1769" spans="9:16" ht="16.5" thickBot="1">
      <c r="I1769" s="888" t="s">
        <v>104</v>
      </c>
      <c r="J1769" s="889"/>
      <c r="K1769" s="889"/>
      <c r="L1769" s="889"/>
      <c r="M1769" s="890"/>
      <c r="N1769" s="183">
        <f>SUM(N1767:N1768)</f>
        <v>555380119</v>
      </c>
    </row>
    <row r="1770" spans="9:16">
      <c r="I1770" s="61"/>
      <c r="J1770" s="61"/>
      <c r="K1770" s="61"/>
      <c r="L1770" s="61"/>
      <c r="M1770" s="61"/>
    </row>
    <row r="1771" spans="9:16">
      <c r="I1771" s="51" t="s">
        <v>972</v>
      </c>
    </row>
    <row r="1772" spans="9:16" ht="12" customHeight="1">
      <c r="N1772" s="139"/>
    </row>
    <row r="1773" spans="9:16">
      <c r="I1773" s="50" t="s">
        <v>105</v>
      </c>
      <c r="L1773" s="146"/>
      <c r="N1773" s="139"/>
    </row>
    <row r="1774" spans="9:16" ht="15.75" thickBot="1"/>
    <row r="1775" spans="9:16" ht="15.75" thickBot="1">
      <c r="I1775" s="891" t="s">
        <v>106</v>
      </c>
      <c r="J1775" s="892"/>
      <c r="K1775" s="892"/>
      <c r="L1775" s="893"/>
      <c r="N1775" s="50" t="s">
        <v>288</v>
      </c>
    </row>
    <row r="1776" spans="9:16" ht="30.75" thickBot="1">
      <c r="I1776" s="57" t="s">
        <v>100</v>
      </c>
      <c r="J1776" s="58" t="s">
        <v>108</v>
      </c>
      <c r="K1776" s="287" t="s">
        <v>109</v>
      </c>
      <c r="L1776" s="60" t="s">
        <v>110</v>
      </c>
    </row>
    <row r="1777" spans="9:16">
      <c r="I1777" s="71">
        <v>719</v>
      </c>
      <c r="J1777" s="73">
        <f>+P1757+P1759+P1761+P1763+P1765</f>
        <v>750000</v>
      </c>
      <c r="K1777" s="74">
        <f>+L1740</f>
        <v>28951700</v>
      </c>
      <c r="L1777" s="195">
        <f>+J1777+K1777</f>
        <v>29701700</v>
      </c>
    </row>
    <row r="1778" spans="9:16">
      <c r="I1778" s="72">
        <v>721</v>
      </c>
      <c r="J1778" s="80">
        <f>+P1758+P1760+P1762+P1764</f>
        <v>300000</v>
      </c>
      <c r="K1778" s="74">
        <f>+L1741</f>
        <v>84599931</v>
      </c>
      <c r="L1778" s="195">
        <f>+J1778+K1778</f>
        <v>84899931</v>
      </c>
    </row>
    <row r="1779" spans="9:16">
      <c r="I1779" s="72">
        <v>722</v>
      </c>
      <c r="J1779" s="80"/>
      <c r="K1779" s="74">
        <f>+L1742</f>
        <v>15549900</v>
      </c>
      <c r="L1779" s="195">
        <f>+J1779+K1779</f>
        <v>15549900</v>
      </c>
    </row>
    <row r="1780" spans="9:16" ht="15.75">
      <c r="I1780" s="72">
        <v>723</v>
      </c>
      <c r="J1780" s="80"/>
      <c r="K1780" s="74">
        <f>+L1743</f>
        <v>425228588</v>
      </c>
      <c r="L1780" s="195">
        <f>+J1780+K1780</f>
        <v>425228588</v>
      </c>
      <c r="N1780" s="193" t="s">
        <v>289</v>
      </c>
      <c r="O1780" s="175"/>
    </row>
    <row r="1781" spans="9:16" ht="16.5" thickBot="1">
      <c r="I1781" s="164" t="s">
        <v>181</v>
      </c>
      <c r="J1781" s="165"/>
      <c r="K1781" s="74">
        <f>+L1744</f>
        <v>0</v>
      </c>
      <c r="L1781" s="196">
        <f>+J1781+K1781</f>
        <v>0</v>
      </c>
      <c r="N1781" s="52"/>
    </row>
    <row r="1782" spans="9:16" ht="16.5" thickBot="1">
      <c r="I1782" s="169"/>
      <c r="J1782" s="197">
        <f>SUM(J1777:J1781)</f>
        <v>1050000</v>
      </c>
      <c r="K1782" s="197">
        <f>SUM(K1777:K1781)</f>
        <v>554330119</v>
      </c>
      <c r="L1782" s="198">
        <f>SUM(L1777:L1781)</f>
        <v>555380119</v>
      </c>
    </row>
    <row r="1783" spans="9:16" ht="16.5">
      <c r="I1783" s="49" t="s">
        <v>88</v>
      </c>
      <c r="J1783" s="50"/>
    </row>
    <row r="1784" spans="9:16">
      <c r="I1784" s="51" t="s">
        <v>89</v>
      </c>
    </row>
    <row r="1785" spans="9:16">
      <c r="I1785" s="51" t="s">
        <v>90</v>
      </c>
    </row>
    <row r="1786" spans="9:16">
      <c r="I1786" s="51" t="s">
        <v>91</v>
      </c>
    </row>
    <row r="1787" spans="9:16" ht="12" customHeight="1">
      <c r="I1787" s="50"/>
      <c r="J1787" s="50"/>
    </row>
    <row r="1788" spans="9:16" ht="15.75">
      <c r="I1788" s="260" t="s">
        <v>969</v>
      </c>
      <c r="O1788" s="52"/>
    </row>
    <row r="1789" spans="9:16" ht="15.75">
      <c r="I1789" s="53" t="s">
        <v>535</v>
      </c>
      <c r="O1789" s="53"/>
    </row>
    <row r="1790" spans="9:16" ht="16.5">
      <c r="I1790" s="894" t="s">
        <v>979</v>
      </c>
      <c r="J1790" s="894"/>
      <c r="K1790" s="894"/>
      <c r="L1790" s="894"/>
      <c r="M1790" s="894"/>
      <c r="N1790" s="894"/>
      <c r="O1790" s="894"/>
      <c r="P1790" s="894"/>
    </row>
    <row r="1791" spans="9:16" ht="15.75" thickBot="1"/>
    <row r="1792" spans="9:16">
      <c r="I1792" s="895" t="s">
        <v>94</v>
      </c>
      <c r="J1792" s="897" t="s">
        <v>95</v>
      </c>
      <c r="K1792" s="897" t="s">
        <v>96</v>
      </c>
      <c r="L1792" s="897" t="s">
        <v>3</v>
      </c>
      <c r="M1792" s="897" t="s">
        <v>97</v>
      </c>
      <c r="N1792" s="897" t="s">
        <v>98</v>
      </c>
      <c r="O1792" s="897" t="s">
        <v>99</v>
      </c>
      <c r="P1792" s="899"/>
    </row>
    <row r="1793" spans="9:16" ht="15.75" thickBot="1">
      <c r="I1793" s="896"/>
      <c r="J1793" s="898"/>
      <c r="K1793" s="898"/>
      <c r="L1793" s="898"/>
      <c r="M1793" s="898"/>
      <c r="N1793" s="898"/>
      <c r="O1793" s="240" t="s">
        <v>100</v>
      </c>
      <c r="P1793" s="182" t="s">
        <v>101</v>
      </c>
    </row>
    <row r="1794" spans="9:16">
      <c r="I1794" s="881">
        <v>211</v>
      </c>
      <c r="J1794" s="875">
        <v>42521</v>
      </c>
      <c r="K1794" s="910" t="s">
        <v>974</v>
      </c>
      <c r="L1794" s="879" t="s">
        <v>556</v>
      </c>
      <c r="M1794" s="881" t="s">
        <v>145</v>
      </c>
      <c r="N1794" s="883">
        <v>2941578</v>
      </c>
      <c r="O1794" s="55">
        <v>719</v>
      </c>
      <c r="P1794" s="78">
        <v>0</v>
      </c>
    </row>
    <row r="1795" spans="9:16" ht="15.75" thickBot="1">
      <c r="I1795" s="882"/>
      <c r="J1795" s="876"/>
      <c r="K1795" s="911"/>
      <c r="L1795" s="880"/>
      <c r="M1795" s="882"/>
      <c r="N1795" s="884"/>
      <c r="O1795" s="56">
        <v>721</v>
      </c>
      <c r="P1795" s="79">
        <f>+N1794-P1794</f>
        <v>2941578</v>
      </c>
    </row>
    <row r="1796" spans="9:16">
      <c r="I1796" s="881"/>
      <c r="J1796" s="875"/>
      <c r="K1796" s="910"/>
      <c r="L1796" s="879"/>
      <c r="M1796" s="881"/>
      <c r="N1796" s="883"/>
      <c r="O1796" s="55">
        <v>719</v>
      </c>
      <c r="P1796" s="78">
        <v>0</v>
      </c>
    </row>
    <row r="1797" spans="9:16" ht="15.75" thickBot="1">
      <c r="I1797" s="882"/>
      <c r="J1797" s="876"/>
      <c r="K1797" s="911"/>
      <c r="L1797" s="880"/>
      <c r="M1797" s="882"/>
      <c r="N1797" s="884"/>
      <c r="O1797" s="56">
        <v>723</v>
      </c>
      <c r="P1797" s="79">
        <f>+N1796-P1796</f>
        <v>0</v>
      </c>
    </row>
    <row r="1798" spans="9:16">
      <c r="I1798" s="881"/>
      <c r="J1798" s="875"/>
      <c r="K1798" s="877"/>
      <c r="L1798" s="879"/>
      <c r="M1798" s="881"/>
      <c r="N1798" s="883"/>
      <c r="O1798" s="55">
        <v>719</v>
      </c>
      <c r="P1798" s="78"/>
    </row>
    <row r="1799" spans="9:16" ht="15.75" thickBot="1">
      <c r="I1799" s="882"/>
      <c r="J1799" s="876"/>
      <c r="K1799" s="878"/>
      <c r="L1799" s="880"/>
      <c r="M1799" s="882"/>
      <c r="N1799" s="884"/>
      <c r="O1799" s="56">
        <v>721</v>
      </c>
      <c r="P1799" s="79">
        <f>+N1798-P1798</f>
        <v>0</v>
      </c>
    </row>
    <row r="1800" spans="9:16" ht="12.75" customHeight="1">
      <c r="I1800" s="881"/>
      <c r="J1800" s="875"/>
      <c r="K1800" s="877"/>
      <c r="L1800" s="879"/>
      <c r="M1800" s="881"/>
      <c r="N1800" s="883"/>
      <c r="O1800" s="55">
        <v>719</v>
      </c>
      <c r="P1800" s="78"/>
    </row>
    <row r="1801" spans="9:16" ht="15.75" thickBot="1">
      <c r="I1801" s="882"/>
      <c r="J1801" s="876"/>
      <c r="K1801" s="878"/>
      <c r="L1801" s="880"/>
      <c r="M1801" s="882"/>
      <c r="N1801" s="884"/>
      <c r="O1801" s="56">
        <v>721</v>
      </c>
      <c r="P1801" s="79">
        <f>+N1800-P1800</f>
        <v>0</v>
      </c>
    </row>
    <row r="1802" spans="9:16">
      <c r="I1802" s="881"/>
      <c r="J1802" s="875"/>
      <c r="K1802" s="877"/>
      <c r="L1802" s="881"/>
      <c r="M1802" s="881"/>
      <c r="N1802" s="883"/>
      <c r="O1802" s="55">
        <v>719</v>
      </c>
      <c r="P1802" s="78"/>
    </row>
    <row r="1803" spans="9:16" ht="14.25" customHeight="1" thickBot="1">
      <c r="I1803" s="882"/>
      <c r="J1803" s="876"/>
      <c r="K1803" s="878"/>
      <c r="L1803" s="882"/>
      <c r="M1803" s="882"/>
      <c r="N1803" s="884"/>
      <c r="O1803" s="56">
        <v>721</v>
      </c>
      <c r="P1803" s="79">
        <f>+N1802-P1802</f>
        <v>0</v>
      </c>
    </row>
    <row r="1804" spans="9:16" ht="16.5" thickBot="1">
      <c r="I1804" s="901" t="s">
        <v>102</v>
      </c>
      <c r="J1804" s="902"/>
      <c r="K1804" s="902"/>
      <c r="L1804" s="902"/>
      <c r="M1804" s="903"/>
      <c r="N1804" s="81">
        <f>SUM(N1794:N1803)</f>
        <v>2941578</v>
      </c>
    </row>
    <row r="1805" spans="9:16" ht="16.5" thickBot="1">
      <c r="I1805" s="885" t="s">
        <v>103</v>
      </c>
      <c r="J1805" s="886"/>
      <c r="K1805" s="886"/>
      <c r="L1805" s="886"/>
      <c r="M1805" s="887"/>
      <c r="N1805" s="69">
        <f>+N1769</f>
        <v>555380119</v>
      </c>
      <c r="O1805" s="241" t="s">
        <v>561</v>
      </c>
      <c r="P1805" s="242"/>
    </row>
    <row r="1806" spans="9:16" ht="16.5" thickBot="1">
      <c r="I1806" s="888" t="s">
        <v>104</v>
      </c>
      <c r="J1806" s="889"/>
      <c r="K1806" s="889"/>
      <c r="L1806" s="889"/>
      <c r="M1806" s="890"/>
      <c r="N1806" s="183">
        <f>SUM(N1804:N1805)</f>
        <v>558321697</v>
      </c>
    </row>
    <row r="1807" spans="9:16">
      <c r="I1807" s="61"/>
      <c r="J1807" s="61"/>
      <c r="K1807" s="61"/>
      <c r="L1807" s="61"/>
      <c r="M1807" s="61"/>
    </row>
    <row r="1808" spans="9:16">
      <c r="I1808" s="51" t="s">
        <v>975</v>
      </c>
    </row>
    <row r="1809" spans="9:15">
      <c r="N1809" s="139"/>
    </row>
    <row r="1810" spans="9:15">
      <c r="I1810" s="50" t="s">
        <v>105</v>
      </c>
      <c r="L1810" s="146"/>
      <c r="N1810" s="139"/>
    </row>
    <row r="1811" spans="9:15" ht="12" customHeight="1" thickBot="1"/>
    <row r="1812" spans="9:15" ht="15.75" thickBot="1">
      <c r="I1812" s="891" t="s">
        <v>106</v>
      </c>
      <c r="J1812" s="892"/>
      <c r="K1812" s="892"/>
      <c r="L1812" s="893"/>
      <c r="N1812" s="50" t="s">
        <v>288</v>
      </c>
    </row>
    <row r="1813" spans="9:15" ht="30.75" thickBot="1">
      <c r="I1813" s="57" t="s">
        <v>100</v>
      </c>
      <c r="J1813" s="58" t="s">
        <v>108</v>
      </c>
      <c r="K1813" s="287" t="s">
        <v>109</v>
      </c>
      <c r="L1813" s="60" t="s">
        <v>110</v>
      </c>
    </row>
    <row r="1814" spans="9:15">
      <c r="I1814" s="71">
        <v>719</v>
      </c>
      <c r="J1814" s="73">
        <f>+P1794+P1796+P1798+P1800+P1802</f>
        <v>0</v>
      </c>
      <c r="K1814" s="74">
        <f>+L1777</f>
        <v>29701700</v>
      </c>
      <c r="L1814" s="195">
        <f>+J1814+K1814</f>
        <v>29701700</v>
      </c>
    </row>
    <row r="1815" spans="9:15">
      <c r="I1815" s="72">
        <v>721</v>
      </c>
      <c r="J1815" s="80">
        <f>+P1795</f>
        <v>2941578</v>
      </c>
      <c r="K1815" s="74">
        <f>+L1778</f>
        <v>84899931</v>
      </c>
      <c r="L1815" s="195">
        <f>+J1815+K1815</f>
        <v>87841509</v>
      </c>
    </row>
    <row r="1816" spans="9:15">
      <c r="I1816" s="72">
        <v>722</v>
      </c>
      <c r="J1816" s="80"/>
      <c r="K1816" s="74">
        <f>+L1779</f>
        <v>15549900</v>
      </c>
      <c r="L1816" s="195">
        <f>+J1816+K1816</f>
        <v>15549900</v>
      </c>
    </row>
    <row r="1817" spans="9:15" ht="15.75">
      <c r="I1817" s="72">
        <v>723</v>
      </c>
      <c r="J1817" s="80"/>
      <c r="K1817" s="74">
        <f>+L1780</f>
        <v>425228588</v>
      </c>
      <c r="L1817" s="195">
        <f>+J1817+K1817</f>
        <v>425228588</v>
      </c>
      <c r="N1817" s="193" t="s">
        <v>289</v>
      </c>
      <c r="O1817" s="175"/>
    </row>
    <row r="1818" spans="9:15" ht="16.5" thickBot="1">
      <c r="I1818" s="164" t="s">
        <v>181</v>
      </c>
      <c r="J1818" s="165"/>
      <c r="K1818" s="74">
        <f>+L1781</f>
        <v>0</v>
      </c>
      <c r="L1818" s="196">
        <f>+J1818+K1818</f>
        <v>0</v>
      </c>
      <c r="N1818" s="52"/>
    </row>
    <row r="1819" spans="9:15" ht="16.5" thickBot="1">
      <c r="I1819" s="169"/>
      <c r="J1819" s="197">
        <f>SUM(J1814:J1818)</f>
        <v>2941578</v>
      </c>
      <c r="K1819" s="197">
        <f>SUM(K1814:K1818)</f>
        <v>555380119</v>
      </c>
      <c r="L1819" s="198">
        <f>SUM(L1814:L1818)</f>
        <v>558321697</v>
      </c>
    </row>
    <row r="1820" spans="9:15" ht="16.5">
      <c r="I1820" s="49" t="s">
        <v>88</v>
      </c>
      <c r="J1820" s="50"/>
    </row>
    <row r="1821" spans="9:15">
      <c r="I1821" s="51" t="s">
        <v>89</v>
      </c>
    </row>
    <row r="1822" spans="9:15">
      <c r="I1822" s="51" t="s">
        <v>90</v>
      </c>
    </row>
    <row r="1823" spans="9:15">
      <c r="I1823" s="51" t="s">
        <v>91</v>
      </c>
    </row>
    <row r="1824" spans="9:15" ht="12" customHeight="1">
      <c r="I1824" s="50"/>
      <c r="J1824" s="50"/>
    </row>
    <row r="1825" spans="9:16" ht="15.75">
      <c r="I1825" s="260" t="s">
        <v>973</v>
      </c>
      <c r="O1825" s="52"/>
    </row>
    <row r="1826" spans="9:16" ht="15.75">
      <c r="I1826" s="53" t="s">
        <v>535</v>
      </c>
      <c r="O1826" s="53"/>
    </row>
    <row r="1827" spans="9:16" ht="16.5">
      <c r="I1827" s="894" t="s">
        <v>967</v>
      </c>
      <c r="J1827" s="894"/>
      <c r="K1827" s="894"/>
      <c r="L1827" s="894"/>
      <c r="M1827" s="894"/>
      <c r="N1827" s="894"/>
      <c r="O1827" s="894"/>
      <c r="P1827" s="894"/>
    </row>
    <row r="1828" spans="9:16" ht="15.75" thickBot="1"/>
    <row r="1829" spans="9:16">
      <c r="I1829" s="895" t="s">
        <v>968</v>
      </c>
      <c r="J1829" s="897" t="s">
        <v>95</v>
      </c>
      <c r="K1829" s="897" t="s">
        <v>96</v>
      </c>
      <c r="L1829" s="897" t="s">
        <v>3</v>
      </c>
      <c r="M1829" s="897" t="s">
        <v>97</v>
      </c>
      <c r="N1829" s="897" t="s">
        <v>98</v>
      </c>
      <c r="O1829" s="897" t="s">
        <v>99</v>
      </c>
      <c r="P1829" s="899"/>
    </row>
    <row r="1830" spans="9:16" ht="15.75" thickBot="1">
      <c r="I1830" s="896"/>
      <c r="J1830" s="898"/>
      <c r="K1830" s="898"/>
      <c r="L1830" s="898"/>
      <c r="M1830" s="898"/>
      <c r="N1830" s="898"/>
      <c r="O1830" s="240" t="s">
        <v>100</v>
      </c>
      <c r="P1830" s="182" t="s">
        <v>101</v>
      </c>
    </row>
    <row r="1831" spans="9:16">
      <c r="I1831" s="873" t="s">
        <v>545</v>
      </c>
      <c r="J1831" s="875">
        <v>42520</v>
      </c>
      <c r="K1831" s="910" t="s">
        <v>695</v>
      </c>
      <c r="L1831" s="879" t="s">
        <v>556</v>
      </c>
      <c r="M1831" s="881" t="s">
        <v>148</v>
      </c>
      <c r="N1831" s="883">
        <v>-241240</v>
      </c>
      <c r="O1831" s="55">
        <v>719</v>
      </c>
      <c r="P1831" s="78"/>
    </row>
    <row r="1832" spans="9:16" ht="15.75" thickBot="1">
      <c r="I1832" s="874"/>
      <c r="J1832" s="876"/>
      <c r="K1832" s="911"/>
      <c r="L1832" s="880"/>
      <c r="M1832" s="882"/>
      <c r="N1832" s="884"/>
      <c r="O1832" s="56">
        <v>723</v>
      </c>
      <c r="P1832" s="79">
        <f>+N1831-P1831</f>
        <v>-241240</v>
      </c>
    </row>
    <row r="1833" spans="9:16">
      <c r="I1833" s="873" t="s">
        <v>547</v>
      </c>
      <c r="J1833" s="875">
        <v>42520</v>
      </c>
      <c r="K1833" s="910" t="s">
        <v>695</v>
      </c>
      <c r="L1833" s="879" t="s">
        <v>556</v>
      </c>
      <c r="M1833" s="881" t="s">
        <v>115</v>
      </c>
      <c r="N1833" s="883">
        <v>-525000</v>
      </c>
      <c r="O1833" s="55">
        <v>719</v>
      </c>
      <c r="P1833" s="78"/>
    </row>
    <row r="1834" spans="9:16" ht="15.75" thickBot="1">
      <c r="I1834" s="874"/>
      <c r="J1834" s="876"/>
      <c r="K1834" s="911"/>
      <c r="L1834" s="880"/>
      <c r="M1834" s="882"/>
      <c r="N1834" s="884"/>
      <c r="O1834" s="56">
        <v>723</v>
      </c>
      <c r="P1834" s="79">
        <f>+N1833-P1833</f>
        <v>-525000</v>
      </c>
    </row>
    <row r="1835" spans="9:16" ht="12.75" customHeight="1">
      <c r="I1835" s="873"/>
      <c r="J1835" s="875"/>
      <c r="K1835" s="877"/>
      <c r="L1835" s="879"/>
      <c r="M1835" s="881"/>
      <c r="N1835" s="883"/>
      <c r="O1835" s="55">
        <v>719</v>
      </c>
      <c r="P1835" s="78"/>
    </row>
    <row r="1836" spans="9:16" ht="14.25" customHeight="1" thickBot="1">
      <c r="I1836" s="874"/>
      <c r="J1836" s="876"/>
      <c r="K1836" s="878"/>
      <c r="L1836" s="880"/>
      <c r="M1836" s="882"/>
      <c r="N1836" s="884"/>
      <c r="O1836" s="56">
        <v>723</v>
      </c>
      <c r="P1836" s="79">
        <f>+N1835-P1835</f>
        <v>0</v>
      </c>
    </row>
    <row r="1837" spans="9:16">
      <c r="I1837" s="873"/>
      <c r="J1837" s="875"/>
      <c r="K1837" s="877"/>
      <c r="L1837" s="879"/>
      <c r="M1837" s="881"/>
      <c r="N1837" s="883"/>
      <c r="O1837" s="55">
        <v>719</v>
      </c>
      <c r="P1837" s="78"/>
    </row>
    <row r="1838" spans="9:16" ht="15.75" thickBot="1">
      <c r="I1838" s="874"/>
      <c r="J1838" s="876"/>
      <c r="K1838" s="878"/>
      <c r="L1838" s="880"/>
      <c r="M1838" s="882"/>
      <c r="N1838" s="884"/>
      <c r="O1838" s="56">
        <v>723</v>
      </c>
      <c r="P1838" s="79">
        <f>+N1837-P1837</f>
        <v>0</v>
      </c>
    </row>
    <row r="1839" spans="9:16" ht="12.75" customHeight="1">
      <c r="I1839" s="873"/>
      <c r="J1839" s="875"/>
      <c r="K1839" s="877"/>
      <c r="L1839" s="879"/>
      <c r="M1839" s="881"/>
      <c r="N1839" s="883"/>
      <c r="O1839" s="55">
        <v>719</v>
      </c>
      <c r="P1839" s="78"/>
    </row>
    <row r="1840" spans="9:16" ht="15.75" thickBot="1">
      <c r="I1840" s="874"/>
      <c r="J1840" s="876"/>
      <c r="K1840" s="878"/>
      <c r="L1840" s="880"/>
      <c r="M1840" s="882"/>
      <c r="N1840" s="884"/>
      <c r="O1840" s="56">
        <v>723</v>
      </c>
      <c r="P1840" s="79">
        <f>+N1839-P1839</f>
        <v>0</v>
      </c>
    </row>
    <row r="1841" spans="9:16" ht="16.5" thickBot="1">
      <c r="I1841" s="901" t="s">
        <v>102</v>
      </c>
      <c r="J1841" s="902"/>
      <c r="K1841" s="902"/>
      <c r="L1841" s="902"/>
      <c r="M1841" s="903"/>
      <c r="N1841" s="81">
        <f>SUM(N1831:N1840)</f>
        <v>-766240</v>
      </c>
    </row>
    <row r="1842" spans="9:16" ht="16.5" thickBot="1">
      <c r="I1842" s="885" t="s">
        <v>103</v>
      </c>
      <c r="J1842" s="886"/>
      <c r="K1842" s="886"/>
      <c r="L1842" s="886"/>
      <c r="M1842" s="887"/>
      <c r="N1842" s="69">
        <f>+N1806</f>
        <v>558321697</v>
      </c>
      <c r="O1842" s="241" t="s">
        <v>561</v>
      </c>
      <c r="P1842" s="242"/>
    </row>
    <row r="1843" spans="9:16" ht="16.5" thickBot="1">
      <c r="I1843" s="888" t="s">
        <v>104</v>
      </c>
      <c r="J1843" s="889"/>
      <c r="K1843" s="889"/>
      <c r="L1843" s="889"/>
      <c r="M1843" s="890"/>
      <c r="N1843" s="183">
        <f>SUM(N1841:N1842)</f>
        <v>557555457</v>
      </c>
    </row>
    <row r="1844" spans="9:16">
      <c r="I1844" s="61"/>
      <c r="J1844" s="61"/>
      <c r="K1844" s="61"/>
      <c r="L1844" s="61"/>
      <c r="M1844" s="61"/>
    </row>
    <row r="1845" spans="9:16">
      <c r="I1845" s="51" t="s">
        <v>978</v>
      </c>
    </row>
    <row r="1846" spans="9:16" ht="12" customHeight="1">
      <c r="N1846" s="139"/>
    </row>
    <row r="1847" spans="9:16">
      <c r="I1847" s="50" t="s">
        <v>105</v>
      </c>
      <c r="L1847" s="146"/>
      <c r="N1847" s="139"/>
    </row>
    <row r="1848" spans="9:16" ht="12" customHeight="1" thickBot="1"/>
    <row r="1849" spans="9:16" ht="15.75" thickBot="1">
      <c r="I1849" s="891" t="s">
        <v>106</v>
      </c>
      <c r="J1849" s="892"/>
      <c r="K1849" s="892"/>
      <c r="L1849" s="893"/>
      <c r="N1849" s="50" t="s">
        <v>288</v>
      </c>
    </row>
    <row r="1850" spans="9:16" ht="30.75" thickBot="1">
      <c r="I1850" s="57" t="s">
        <v>100</v>
      </c>
      <c r="J1850" s="58" t="s">
        <v>108</v>
      </c>
      <c r="K1850" s="287" t="s">
        <v>109</v>
      </c>
      <c r="L1850" s="60" t="s">
        <v>110</v>
      </c>
    </row>
    <row r="1851" spans="9:16">
      <c r="I1851" s="71">
        <v>719</v>
      </c>
      <c r="J1851" s="73">
        <f>+P1831+P1833+P1835+P1837+P1839</f>
        <v>0</v>
      </c>
      <c r="K1851" s="74">
        <f>+L1814</f>
        <v>29701700</v>
      </c>
      <c r="L1851" s="195">
        <f>+J1851+K1851</f>
        <v>29701700</v>
      </c>
    </row>
    <row r="1852" spans="9:16">
      <c r="I1852" s="72">
        <v>721</v>
      </c>
      <c r="J1852" s="80">
        <v>0</v>
      </c>
      <c r="K1852" s="74">
        <f>+L1815</f>
        <v>87841509</v>
      </c>
      <c r="L1852" s="195">
        <f>+J1852+K1852</f>
        <v>87841509</v>
      </c>
    </row>
    <row r="1853" spans="9:16">
      <c r="I1853" s="72">
        <v>722</v>
      </c>
      <c r="J1853" s="80"/>
      <c r="K1853" s="74">
        <f>+L1816</f>
        <v>15549900</v>
      </c>
      <c r="L1853" s="195">
        <f>+J1853+K1853</f>
        <v>15549900</v>
      </c>
    </row>
    <row r="1854" spans="9:16" ht="15.75">
      <c r="I1854" s="72">
        <v>723</v>
      </c>
      <c r="J1854" s="80">
        <f>+P1840+P1838+P1836+P1834+P1832</f>
        <v>-766240</v>
      </c>
      <c r="K1854" s="74">
        <f>+L1817</f>
        <v>425228588</v>
      </c>
      <c r="L1854" s="195">
        <f>+J1854+K1854</f>
        <v>424462348</v>
      </c>
      <c r="N1854" s="193" t="s">
        <v>289</v>
      </c>
      <c r="O1854" s="175"/>
    </row>
    <row r="1855" spans="9:16" ht="16.5" thickBot="1">
      <c r="I1855" s="164" t="s">
        <v>181</v>
      </c>
      <c r="J1855" s="165"/>
      <c r="K1855" s="74">
        <f>+L1818</f>
        <v>0</v>
      </c>
      <c r="L1855" s="196">
        <f>+J1855+K1855</f>
        <v>0</v>
      </c>
      <c r="N1855" s="52"/>
    </row>
    <row r="1856" spans="9:16" ht="16.5" thickBot="1">
      <c r="I1856" s="169"/>
      <c r="J1856" s="197">
        <f>SUM(J1851:J1855)</f>
        <v>-766240</v>
      </c>
      <c r="K1856" s="197">
        <f>SUM(K1851:K1855)</f>
        <v>558321697</v>
      </c>
      <c r="L1856" s="198">
        <f>SUM(L1851:L1855)</f>
        <v>557555457</v>
      </c>
    </row>
    <row r="1857" spans="9:16" ht="16.5">
      <c r="I1857" s="49" t="s">
        <v>88</v>
      </c>
      <c r="J1857" s="50"/>
    </row>
    <row r="1858" spans="9:16">
      <c r="I1858" s="51" t="s">
        <v>89</v>
      </c>
    </row>
    <row r="1859" spans="9:16">
      <c r="I1859" s="51" t="s">
        <v>90</v>
      </c>
    </row>
    <row r="1860" spans="9:16">
      <c r="I1860" s="51" t="s">
        <v>91</v>
      </c>
    </row>
    <row r="1861" spans="9:16">
      <c r="I1861" s="50"/>
      <c r="J1861" s="50"/>
    </row>
    <row r="1862" spans="9:16" ht="15.75">
      <c r="I1862" s="260" t="s">
        <v>977</v>
      </c>
      <c r="O1862" s="52"/>
    </row>
    <row r="1863" spans="9:16" ht="15.75">
      <c r="I1863" s="53" t="s">
        <v>535</v>
      </c>
      <c r="O1863" s="53"/>
    </row>
    <row r="1864" spans="9:16" ht="16.5">
      <c r="I1864" s="894" t="s">
        <v>967</v>
      </c>
      <c r="J1864" s="894"/>
      <c r="K1864" s="894"/>
      <c r="L1864" s="894"/>
      <c r="M1864" s="894"/>
      <c r="N1864" s="894"/>
      <c r="O1864" s="894"/>
      <c r="P1864" s="894"/>
    </row>
    <row r="1865" spans="9:16" ht="15.75" thickBot="1"/>
    <row r="1866" spans="9:16">
      <c r="I1866" s="895" t="s">
        <v>968</v>
      </c>
      <c r="J1866" s="897" t="s">
        <v>95</v>
      </c>
      <c r="K1866" s="897" t="s">
        <v>96</v>
      </c>
      <c r="L1866" s="897" t="s">
        <v>3</v>
      </c>
      <c r="M1866" s="897" t="s">
        <v>97</v>
      </c>
      <c r="N1866" s="897" t="s">
        <v>98</v>
      </c>
      <c r="O1866" s="897" t="s">
        <v>99</v>
      </c>
      <c r="P1866" s="899"/>
    </row>
    <row r="1867" spans="9:16" ht="15.75" thickBot="1">
      <c r="I1867" s="896"/>
      <c r="J1867" s="898"/>
      <c r="K1867" s="898"/>
      <c r="L1867" s="898"/>
      <c r="M1867" s="898"/>
      <c r="N1867" s="898"/>
      <c r="O1867" s="240" t="s">
        <v>100</v>
      </c>
      <c r="P1867" s="182" t="s">
        <v>101</v>
      </c>
    </row>
    <row r="1868" spans="9:16" ht="13.5" customHeight="1">
      <c r="I1868" s="873" t="s">
        <v>548</v>
      </c>
      <c r="J1868" s="875">
        <v>42520</v>
      </c>
      <c r="K1868" s="877" t="s">
        <v>701</v>
      </c>
      <c r="L1868" s="879" t="s">
        <v>556</v>
      </c>
      <c r="M1868" s="881" t="s">
        <v>148</v>
      </c>
      <c r="N1868" s="883">
        <v>-630000</v>
      </c>
      <c r="O1868" s="55">
        <v>719</v>
      </c>
      <c r="P1868" s="78"/>
    </row>
    <row r="1869" spans="9:16" ht="15.75" customHeight="1" thickBot="1">
      <c r="I1869" s="874"/>
      <c r="J1869" s="876"/>
      <c r="K1869" s="878"/>
      <c r="L1869" s="880"/>
      <c r="M1869" s="882"/>
      <c r="N1869" s="884"/>
      <c r="O1869" s="56">
        <v>723</v>
      </c>
      <c r="P1869" s="79">
        <f>+N1868-P1868</f>
        <v>-630000</v>
      </c>
    </row>
    <row r="1870" spans="9:16" ht="15" customHeight="1">
      <c r="I1870" s="873" t="s">
        <v>549</v>
      </c>
      <c r="J1870" s="875">
        <v>42520</v>
      </c>
      <c r="K1870" s="877" t="s">
        <v>673</v>
      </c>
      <c r="L1870" s="879" t="s">
        <v>556</v>
      </c>
      <c r="M1870" s="881" t="s">
        <v>148</v>
      </c>
      <c r="N1870" s="883">
        <v>-630000</v>
      </c>
      <c r="O1870" s="55">
        <v>719</v>
      </c>
      <c r="P1870" s="78"/>
    </row>
    <row r="1871" spans="9:16" ht="13.5" customHeight="1" thickBot="1">
      <c r="I1871" s="874"/>
      <c r="J1871" s="876"/>
      <c r="K1871" s="878"/>
      <c r="L1871" s="880"/>
      <c r="M1871" s="882"/>
      <c r="N1871" s="884"/>
      <c r="O1871" s="56">
        <v>723</v>
      </c>
      <c r="P1871" s="79">
        <f>+N1870-P1870</f>
        <v>-630000</v>
      </c>
    </row>
    <row r="1872" spans="9:16" ht="15" customHeight="1">
      <c r="I1872" s="873" t="s">
        <v>550</v>
      </c>
      <c r="J1872" s="875">
        <v>42520</v>
      </c>
      <c r="K1872" s="877" t="s">
        <v>729</v>
      </c>
      <c r="L1872" s="879" t="s">
        <v>556</v>
      </c>
      <c r="M1872" s="881" t="s">
        <v>148</v>
      </c>
      <c r="N1872" s="883">
        <v>-945000</v>
      </c>
      <c r="O1872" s="55">
        <v>719</v>
      </c>
      <c r="P1872" s="78"/>
    </row>
    <row r="1873" spans="9:16" ht="15.75" customHeight="1" thickBot="1">
      <c r="I1873" s="874"/>
      <c r="J1873" s="876"/>
      <c r="K1873" s="878"/>
      <c r="L1873" s="880"/>
      <c r="M1873" s="882"/>
      <c r="N1873" s="884"/>
      <c r="O1873" s="56">
        <v>723</v>
      </c>
      <c r="P1873" s="79">
        <f>+N1872-P1872</f>
        <v>-945000</v>
      </c>
    </row>
    <row r="1874" spans="9:16" ht="15" customHeight="1">
      <c r="I1874" s="873" t="s">
        <v>551</v>
      </c>
      <c r="J1874" s="875">
        <v>42520</v>
      </c>
      <c r="K1874" s="877" t="s">
        <v>694</v>
      </c>
      <c r="L1874" s="879" t="s">
        <v>556</v>
      </c>
      <c r="M1874" s="881" t="s">
        <v>148</v>
      </c>
      <c r="N1874" s="883">
        <v>-25611697</v>
      </c>
      <c r="O1874" s="55">
        <v>719</v>
      </c>
      <c r="P1874" s="78"/>
    </row>
    <row r="1875" spans="9:16" ht="15.75" customHeight="1" thickBot="1">
      <c r="I1875" s="874"/>
      <c r="J1875" s="876"/>
      <c r="K1875" s="878"/>
      <c r="L1875" s="880"/>
      <c r="M1875" s="882"/>
      <c r="N1875" s="884"/>
      <c r="O1875" s="56">
        <v>723</v>
      </c>
      <c r="P1875" s="79">
        <f>+N1874-P1874</f>
        <v>-25611697</v>
      </c>
    </row>
    <row r="1876" spans="9:16" ht="12" customHeight="1">
      <c r="I1876" s="873"/>
      <c r="J1876" s="875"/>
      <c r="K1876" s="877"/>
      <c r="L1876" s="879"/>
      <c r="M1876" s="881"/>
      <c r="N1876" s="883"/>
      <c r="O1876" s="55">
        <v>719</v>
      </c>
      <c r="P1876" s="78"/>
    </row>
    <row r="1877" spans="9:16" ht="12" customHeight="1" thickBot="1">
      <c r="I1877" s="874"/>
      <c r="J1877" s="876"/>
      <c r="K1877" s="878"/>
      <c r="L1877" s="880"/>
      <c r="M1877" s="882"/>
      <c r="N1877" s="884"/>
      <c r="O1877" s="56">
        <v>723</v>
      </c>
      <c r="P1877" s="79">
        <f>+N1876-P1876</f>
        <v>0</v>
      </c>
    </row>
    <row r="1878" spans="9:16" ht="16.5" thickBot="1">
      <c r="I1878" s="901" t="s">
        <v>102</v>
      </c>
      <c r="J1878" s="902"/>
      <c r="K1878" s="902"/>
      <c r="L1878" s="902"/>
      <c r="M1878" s="903"/>
      <c r="N1878" s="81">
        <f>SUM(N1868:N1877)</f>
        <v>-27816697</v>
      </c>
    </row>
    <row r="1879" spans="9:16" ht="16.5" thickBot="1">
      <c r="I1879" s="885" t="s">
        <v>103</v>
      </c>
      <c r="J1879" s="886"/>
      <c r="K1879" s="886"/>
      <c r="L1879" s="886"/>
      <c r="M1879" s="887"/>
      <c r="N1879" s="69">
        <f>+N1843</f>
        <v>557555457</v>
      </c>
      <c r="O1879" s="241" t="s">
        <v>561</v>
      </c>
      <c r="P1879" s="242"/>
    </row>
    <row r="1880" spans="9:16" ht="16.5" thickBot="1">
      <c r="I1880" s="888" t="s">
        <v>104</v>
      </c>
      <c r="J1880" s="889"/>
      <c r="K1880" s="889"/>
      <c r="L1880" s="889"/>
      <c r="M1880" s="890"/>
      <c r="N1880" s="183">
        <f>SUM(N1878:N1879)</f>
        <v>529738760</v>
      </c>
    </row>
    <row r="1881" spans="9:16">
      <c r="I1881" s="61"/>
      <c r="J1881" s="61"/>
      <c r="K1881" s="61"/>
      <c r="L1881" s="61"/>
      <c r="M1881" s="61"/>
    </row>
    <row r="1882" spans="9:16">
      <c r="I1882" s="51" t="s">
        <v>989</v>
      </c>
    </row>
    <row r="1883" spans="9:16">
      <c r="N1883" s="139"/>
    </row>
    <row r="1884" spans="9:16">
      <c r="I1884" s="50" t="s">
        <v>105</v>
      </c>
      <c r="L1884" s="146"/>
      <c r="N1884" s="139"/>
    </row>
    <row r="1885" spans="9:16" ht="15.75" thickBot="1"/>
    <row r="1886" spans="9:16" ht="15.75" thickBot="1">
      <c r="I1886" s="891" t="s">
        <v>106</v>
      </c>
      <c r="J1886" s="892"/>
      <c r="K1886" s="892"/>
      <c r="L1886" s="893"/>
      <c r="N1886" s="50" t="s">
        <v>288</v>
      </c>
    </row>
    <row r="1887" spans="9:16" ht="30.75" thickBot="1">
      <c r="I1887" s="57" t="s">
        <v>100</v>
      </c>
      <c r="J1887" s="58" t="s">
        <v>108</v>
      </c>
      <c r="K1887" s="287" t="s">
        <v>109</v>
      </c>
      <c r="L1887" s="60" t="s">
        <v>110</v>
      </c>
    </row>
    <row r="1888" spans="9:16">
      <c r="I1888" s="71">
        <v>719</v>
      </c>
      <c r="J1888" s="73">
        <f>+P1868+P1870+P1874</f>
        <v>0</v>
      </c>
      <c r="K1888" s="74">
        <f>+L1851</f>
        <v>29701700</v>
      </c>
      <c r="L1888" s="195">
        <f>+J1888+K1888</f>
        <v>29701700</v>
      </c>
    </row>
    <row r="1889" spans="9:16">
      <c r="I1889" s="72">
        <v>721</v>
      </c>
      <c r="J1889" s="80">
        <v>0</v>
      </c>
      <c r="K1889" s="74">
        <f>+L1852</f>
        <v>87841509</v>
      </c>
      <c r="L1889" s="195">
        <f>+J1889+K1889</f>
        <v>87841509</v>
      </c>
    </row>
    <row r="1890" spans="9:16">
      <c r="I1890" s="72">
        <v>722</v>
      </c>
      <c r="J1890" s="80"/>
      <c r="K1890" s="74">
        <f>+L1853</f>
        <v>15549900</v>
      </c>
      <c r="L1890" s="195">
        <f>+J1890+K1890</f>
        <v>15549900</v>
      </c>
    </row>
    <row r="1891" spans="9:16" ht="15.75">
      <c r="I1891" s="72">
        <v>723</v>
      </c>
      <c r="J1891" s="80">
        <f>+P1875+P1871+P1869+P1873</f>
        <v>-27816697</v>
      </c>
      <c r="K1891" s="74">
        <f>+L1854</f>
        <v>424462348</v>
      </c>
      <c r="L1891" s="195">
        <f>+J1891+K1891</f>
        <v>396645651</v>
      </c>
      <c r="N1891" s="193" t="s">
        <v>289</v>
      </c>
      <c r="O1891" s="175"/>
    </row>
    <row r="1892" spans="9:16" ht="16.5" thickBot="1">
      <c r="I1892" s="164" t="s">
        <v>181</v>
      </c>
      <c r="J1892" s="165"/>
      <c r="K1892" s="74">
        <f>+L1855</f>
        <v>0</v>
      </c>
      <c r="L1892" s="196">
        <f>+J1892+K1892</f>
        <v>0</v>
      </c>
      <c r="N1892" s="52"/>
    </row>
    <row r="1893" spans="9:16" ht="16.5" thickBot="1">
      <c r="I1893" s="169"/>
      <c r="J1893" s="197">
        <f>SUM(J1888:J1892)</f>
        <v>-27816697</v>
      </c>
      <c r="K1893" s="197">
        <f>SUM(K1888:K1892)</f>
        <v>557555457</v>
      </c>
      <c r="L1893" s="198">
        <f>SUM(L1888:L1892)</f>
        <v>529738760</v>
      </c>
    </row>
    <row r="1894" spans="9:16" ht="16.5">
      <c r="I1894" s="49" t="s">
        <v>88</v>
      </c>
      <c r="J1894" s="50"/>
    </row>
    <row r="1895" spans="9:16">
      <c r="I1895" s="51" t="s">
        <v>89</v>
      </c>
    </row>
    <row r="1896" spans="9:16">
      <c r="I1896" s="51" t="s">
        <v>90</v>
      </c>
    </row>
    <row r="1897" spans="9:16">
      <c r="I1897" s="51" t="s">
        <v>91</v>
      </c>
    </row>
    <row r="1898" spans="9:16">
      <c r="I1898" s="50"/>
      <c r="J1898" s="50"/>
    </row>
    <row r="1899" spans="9:16" ht="15.75">
      <c r="I1899" s="260" t="s">
        <v>980</v>
      </c>
      <c r="O1899" s="52"/>
    </row>
    <row r="1900" spans="9:16" ht="15.75">
      <c r="I1900" s="53" t="s">
        <v>535</v>
      </c>
      <c r="O1900" s="53"/>
    </row>
    <row r="1901" spans="9:16" ht="16.5">
      <c r="I1901" s="894" t="s">
        <v>909</v>
      </c>
      <c r="J1901" s="894"/>
      <c r="K1901" s="894"/>
      <c r="L1901" s="894"/>
      <c r="M1901" s="894"/>
      <c r="N1901" s="894"/>
      <c r="O1901" s="894"/>
      <c r="P1901" s="894"/>
    </row>
    <row r="1902" spans="9:16" ht="15.75" thickBot="1"/>
    <row r="1903" spans="9:16">
      <c r="I1903" s="895" t="s">
        <v>94</v>
      </c>
      <c r="J1903" s="897" t="s">
        <v>95</v>
      </c>
      <c r="K1903" s="897" t="s">
        <v>96</v>
      </c>
      <c r="L1903" s="897" t="s">
        <v>3</v>
      </c>
      <c r="M1903" s="897" t="s">
        <v>97</v>
      </c>
      <c r="N1903" s="897" t="s">
        <v>98</v>
      </c>
      <c r="O1903" s="897" t="s">
        <v>99</v>
      </c>
      <c r="P1903" s="899"/>
    </row>
    <row r="1904" spans="9:16" ht="15.75" thickBot="1">
      <c r="I1904" s="896"/>
      <c r="J1904" s="898"/>
      <c r="K1904" s="898"/>
      <c r="L1904" s="898"/>
      <c r="M1904" s="898"/>
      <c r="N1904" s="898"/>
      <c r="O1904" s="240" t="s">
        <v>100</v>
      </c>
      <c r="P1904" s="182" t="s">
        <v>101</v>
      </c>
    </row>
    <row r="1905" spans="9:16">
      <c r="I1905" s="881">
        <v>212</v>
      </c>
      <c r="J1905" s="875">
        <v>42549</v>
      </c>
      <c r="K1905" s="877" t="s">
        <v>272</v>
      </c>
      <c r="L1905" s="879" t="s">
        <v>983</v>
      </c>
      <c r="M1905" s="881" t="s">
        <v>115</v>
      </c>
      <c r="N1905" s="883">
        <v>140000</v>
      </c>
      <c r="O1905" s="55">
        <v>719</v>
      </c>
      <c r="P1905" s="78">
        <v>140000</v>
      </c>
    </row>
    <row r="1906" spans="9:16" ht="15.75" thickBot="1">
      <c r="I1906" s="882"/>
      <c r="J1906" s="876"/>
      <c r="K1906" s="878"/>
      <c r="L1906" s="880"/>
      <c r="M1906" s="882"/>
      <c r="N1906" s="884"/>
      <c r="O1906" s="56">
        <v>721</v>
      </c>
      <c r="P1906" s="79">
        <f>+N1905-P1905</f>
        <v>0</v>
      </c>
    </row>
    <row r="1907" spans="9:16" ht="15" customHeight="1">
      <c r="I1907" s="881">
        <v>213</v>
      </c>
      <c r="J1907" s="875">
        <v>42549</v>
      </c>
      <c r="K1907" s="877" t="s">
        <v>28</v>
      </c>
      <c r="L1907" s="879" t="s">
        <v>982</v>
      </c>
      <c r="M1907" s="881" t="s">
        <v>115</v>
      </c>
      <c r="N1907" s="883">
        <v>40000</v>
      </c>
      <c r="O1907" s="55">
        <v>719</v>
      </c>
      <c r="P1907" s="78">
        <v>40000</v>
      </c>
    </row>
    <row r="1908" spans="9:16" ht="15.75" customHeight="1" thickBot="1">
      <c r="I1908" s="882"/>
      <c r="J1908" s="876"/>
      <c r="K1908" s="878"/>
      <c r="L1908" s="880"/>
      <c r="M1908" s="882"/>
      <c r="N1908" s="884"/>
      <c r="O1908" s="56">
        <v>721</v>
      </c>
      <c r="P1908" s="79">
        <f>+N1907-P1907</f>
        <v>0</v>
      </c>
    </row>
    <row r="1909" spans="9:16" ht="15" customHeight="1">
      <c r="I1909" s="881">
        <v>214</v>
      </c>
      <c r="J1909" s="875">
        <v>42549</v>
      </c>
      <c r="K1909" s="877" t="s">
        <v>120</v>
      </c>
      <c r="L1909" s="879" t="s">
        <v>984</v>
      </c>
      <c r="M1909" s="881" t="s">
        <v>115</v>
      </c>
      <c r="N1909" s="883">
        <v>30000</v>
      </c>
      <c r="O1909" s="55">
        <v>719</v>
      </c>
      <c r="P1909" s="78">
        <v>30000</v>
      </c>
    </row>
    <row r="1910" spans="9:16" ht="15.75" customHeight="1" thickBot="1">
      <c r="I1910" s="882"/>
      <c r="J1910" s="876"/>
      <c r="K1910" s="878"/>
      <c r="L1910" s="880"/>
      <c r="M1910" s="882"/>
      <c r="N1910" s="884"/>
      <c r="O1910" s="56">
        <v>721</v>
      </c>
      <c r="P1910" s="79">
        <f>+N1909-P1909</f>
        <v>0</v>
      </c>
    </row>
    <row r="1911" spans="9:16" ht="15" customHeight="1">
      <c r="I1911" s="881">
        <v>215</v>
      </c>
      <c r="J1911" s="875">
        <v>42549</v>
      </c>
      <c r="K1911" s="877" t="s">
        <v>272</v>
      </c>
      <c r="L1911" s="879" t="s">
        <v>985</v>
      </c>
      <c r="M1911" s="881" t="s">
        <v>115</v>
      </c>
      <c r="N1911" s="883">
        <v>200000</v>
      </c>
      <c r="O1911" s="55">
        <v>719</v>
      </c>
      <c r="P1911" s="78">
        <v>200000</v>
      </c>
    </row>
    <row r="1912" spans="9:16" ht="15.75" customHeight="1" thickBot="1">
      <c r="I1912" s="882"/>
      <c r="J1912" s="876"/>
      <c r="K1912" s="878"/>
      <c r="L1912" s="880"/>
      <c r="M1912" s="882"/>
      <c r="N1912" s="884"/>
      <c r="O1912" s="56">
        <v>721</v>
      </c>
      <c r="P1912" s="79">
        <f>+N1911-P1911</f>
        <v>0</v>
      </c>
    </row>
    <row r="1913" spans="9:16" ht="15" customHeight="1">
      <c r="I1913" s="881"/>
      <c r="J1913" s="875"/>
      <c r="K1913" s="877"/>
      <c r="L1913" s="881"/>
      <c r="M1913" s="881"/>
      <c r="N1913" s="883"/>
      <c r="O1913" s="55">
        <v>719</v>
      </c>
      <c r="P1913" s="78"/>
    </row>
    <row r="1914" spans="9:16" ht="12" customHeight="1" thickBot="1">
      <c r="I1914" s="882"/>
      <c r="J1914" s="876"/>
      <c r="K1914" s="878"/>
      <c r="L1914" s="882"/>
      <c r="M1914" s="882"/>
      <c r="N1914" s="884"/>
      <c r="O1914" s="56">
        <v>721</v>
      </c>
      <c r="P1914" s="79">
        <f>+N1913-P1913</f>
        <v>0</v>
      </c>
    </row>
    <row r="1915" spans="9:16" ht="16.5" thickBot="1">
      <c r="I1915" s="901" t="s">
        <v>102</v>
      </c>
      <c r="J1915" s="902"/>
      <c r="K1915" s="902"/>
      <c r="L1915" s="902"/>
      <c r="M1915" s="903"/>
      <c r="N1915" s="81">
        <f>SUM(N1905:N1914)</f>
        <v>410000</v>
      </c>
    </row>
    <row r="1916" spans="9:16" ht="16.5" thickBot="1">
      <c r="I1916" s="885" t="s">
        <v>103</v>
      </c>
      <c r="J1916" s="886"/>
      <c r="K1916" s="886"/>
      <c r="L1916" s="886"/>
      <c r="M1916" s="887"/>
      <c r="N1916" s="69">
        <f>+N1880</f>
        <v>529738760</v>
      </c>
      <c r="O1916" s="241" t="s">
        <v>561</v>
      </c>
      <c r="P1916" s="242">
        <f>649+441+67+12</f>
        <v>1169</v>
      </c>
    </row>
    <row r="1917" spans="9:16" ht="16.5" thickBot="1">
      <c r="I1917" s="888" t="s">
        <v>104</v>
      </c>
      <c r="J1917" s="889"/>
      <c r="K1917" s="889"/>
      <c r="L1917" s="889"/>
      <c r="M1917" s="890"/>
      <c r="N1917" s="183">
        <f>SUM(N1915:N1916)</f>
        <v>530148760</v>
      </c>
    </row>
    <row r="1918" spans="9:16">
      <c r="I1918" s="61"/>
      <c r="J1918" s="61"/>
      <c r="K1918" s="61"/>
      <c r="L1918" s="61"/>
      <c r="M1918" s="61"/>
    </row>
    <row r="1919" spans="9:16">
      <c r="I1919" s="51" t="s">
        <v>990</v>
      </c>
    </row>
    <row r="1920" spans="9:16" ht="12" customHeight="1">
      <c r="N1920" s="139"/>
    </row>
    <row r="1921" spans="9:15">
      <c r="I1921" s="50" t="s">
        <v>105</v>
      </c>
      <c r="L1921" s="146"/>
      <c r="N1921" s="139"/>
    </row>
    <row r="1922" spans="9:15" ht="12.75" customHeight="1" thickBot="1"/>
    <row r="1923" spans="9:15" ht="15.75" thickBot="1">
      <c r="I1923" s="891" t="s">
        <v>106</v>
      </c>
      <c r="J1923" s="892"/>
      <c r="K1923" s="892"/>
      <c r="L1923" s="893"/>
      <c r="N1923" s="50" t="s">
        <v>288</v>
      </c>
    </row>
    <row r="1924" spans="9:15" ht="30.75" thickBot="1">
      <c r="I1924" s="57" t="s">
        <v>100</v>
      </c>
      <c r="J1924" s="58" t="s">
        <v>108</v>
      </c>
      <c r="K1924" s="287" t="s">
        <v>109</v>
      </c>
      <c r="L1924" s="60" t="s">
        <v>110</v>
      </c>
    </row>
    <row r="1925" spans="9:15">
      <c r="I1925" s="71">
        <v>719</v>
      </c>
      <c r="J1925" s="73">
        <f>+P1905+P1907+P1909+P1911+P1913</f>
        <v>410000</v>
      </c>
      <c r="K1925" s="74">
        <f>+L1888</f>
        <v>29701700</v>
      </c>
      <c r="L1925" s="195">
        <f>+J1925+K1925</f>
        <v>30111700</v>
      </c>
    </row>
    <row r="1926" spans="9:15">
      <c r="I1926" s="72">
        <v>721</v>
      </c>
      <c r="J1926" s="80">
        <f>+P1906+P1908+P1910+P1912</f>
        <v>0</v>
      </c>
      <c r="K1926" s="74">
        <f>+L1889</f>
        <v>87841509</v>
      </c>
      <c r="L1926" s="195">
        <f>+J1926+K1926</f>
        <v>87841509</v>
      </c>
    </row>
    <row r="1927" spans="9:15">
      <c r="I1927" s="72">
        <v>722</v>
      </c>
      <c r="J1927" s="80"/>
      <c r="K1927" s="74">
        <f>+L1890</f>
        <v>15549900</v>
      </c>
      <c r="L1927" s="195">
        <f>+J1927+K1927</f>
        <v>15549900</v>
      </c>
    </row>
    <row r="1928" spans="9:15" ht="15.75">
      <c r="I1928" s="72">
        <v>723</v>
      </c>
      <c r="J1928" s="80"/>
      <c r="K1928" s="74">
        <f>+L1891</f>
        <v>396645651</v>
      </c>
      <c r="L1928" s="195">
        <f>+J1928+K1928</f>
        <v>396645651</v>
      </c>
      <c r="N1928" s="193" t="s">
        <v>289</v>
      </c>
      <c r="O1928" s="175"/>
    </row>
    <row r="1929" spans="9:15" ht="16.5" thickBot="1">
      <c r="I1929" s="164" t="s">
        <v>181</v>
      </c>
      <c r="J1929" s="165"/>
      <c r="K1929" s="74">
        <f>+L1892</f>
        <v>0</v>
      </c>
      <c r="L1929" s="196">
        <f>+J1929+K1929</f>
        <v>0</v>
      </c>
      <c r="N1929" s="52"/>
    </row>
    <row r="1930" spans="9:15" ht="16.5" thickBot="1">
      <c r="I1930" s="169"/>
      <c r="J1930" s="197">
        <f>SUM(J1925:J1929)</f>
        <v>410000</v>
      </c>
      <c r="K1930" s="197">
        <f>SUM(K1925:K1929)</f>
        <v>529738760</v>
      </c>
      <c r="L1930" s="198">
        <f>SUM(L1925:L1929)</f>
        <v>530148760</v>
      </c>
    </row>
    <row r="1931" spans="9:15" ht="16.5">
      <c r="I1931" s="49" t="s">
        <v>88</v>
      </c>
      <c r="J1931" s="50"/>
    </row>
    <row r="1932" spans="9:15">
      <c r="I1932" s="51" t="s">
        <v>89</v>
      </c>
    </row>
    <row r="1933" spans="9:15">
      <c r="I1933" s="51" t="s">
        <v>90</v>
      </c>
    </row>
    <row r="1934" spans="9:15">
      <c r="I1934" s="51" t="s">
        <v>91</v>
      </c>
    </row>
    <row r="1935" spans="9:15" ht="11.25" customHeight="1">
      <c r="I1935" s="50"/>
      <c r="J1935" s="50"/>
    </row>
    <row r="1936" spans="9:15" ht="15.75">
      <c r="I1936" s="260" t="s">
        <v>981</v>
      </c>
      <c r="O1936" s="52"/>
    </row>
    <row r="1937" spans="9:16" ht="15.75">
      <c r="I1937" s="53" t="s">
        <v>535</v>
      </c>
      <c r="O1937" s="53"/>
    </row>
    <row r="1938" spans="9:16" ht="16.5">
      <c r="I1938" s="894" t="s">
        <v>909</v>
      </c>
      <c r="J1938" s="894"/>
      <c r="K1938" s="894"/>
      <c r="L1938" s="894"/>
      <c r="M1938" s="894"/>
      <c r="N1938" s="894"/>
      <c r="O1938" s="894"/>
      <c r="P1938" s="894"/>
    </row>
    <row r="1939" spans="9:16" ht="15.75" thickBot="1"/>
    <row r="1940" spans="9:16">
      <c r="I1940" s="895" t="s">
        <v>94</v>
      </c>
      <c r="J1940" s="897" t="s">
        <v>95</v>
      </c>
      <c r="K1940" s="897" t="s">
        <v>96</v>
      </c>
      <c r="L1940" s="897" t="s">
        <v>3</v>
      </c>
      <c r="M1940" s="897" t="s">
        <v>97</v>
      </c>
      <c r="N1940" s="897" t="s">
        <v>98</v>
      </c>
      <c r="O1940" s="897" t="s">
        <v>99</v>
      </c>
      <c r="P1940" s="899"/>
    </row>
    <row r="1941" spans="9:16" ht="15.75" thickBot="1">
      <c r="I1941" s="896"/>
      <c r="J1941" s="898"/>
      <c r="K1941" s="898"/>
      <c r="L1941" s="898"/>
      <c r="M1941" s="898"/>
      <c r="N1941" s="898"/>
      <c r="O1941" s="240" t="s">
        <v>100</v>
      </c>
      <c r="P1941" s="182" t="s">
        <v>101</v>
      </c>
    </row>
    <row r="1942" spans="9:16" ht="15" customHeight="1">
      <c r="I1942" s="881">
        <v>216</v>
      </c>
      <c r="J1942" s="875">
        <v>42549</v>
      </c>
      <c r="K1942" s="877" t="s">
        <v>272</v>
      </c>
      <c r="L1942" s="879" t="s">
        <v>986</v>
      </c>
      <c r="M1942" s="881" t="s">
        <v>115</v>
      </c>
      <c r="N1942" s="883">
        <v>60000</v>
      </c>
      <c r="O1942" s="55">
        <v>719</v>
      </c>
      <c r="P1942" s="78">
        <v>60000</v>
      </c>
    </row>
    <row r="1943" spans="9:16" ht="15.75" customHeight="1" thickBot="1">
      <c r="I1943" s="882"/>
      <c r="J1943" s="876"/>
      <c r="K1943" s="878"/>
      <c r="L1943" s="880"/>
      <c r="M1943" s="882"/>
      <c r="N1943" s="884"/>
      <c r="O1943" s="56">
        <v>721</v>
      </c>
      <c r="P1943" s="79">
        <f>+N1942-P1942</f>
        <v>0</v>
      </c>
    </row>
    <row r="1944" spans="9:16" ht="15" customHeight="1">
      <c r="I1944" s="881">
        <v>217</v>
      </c>
      <c r="J1944" s="875">
        <v>42549</v>
      </c>
      <c r="K1944" s="877" t="s">
        <v>28</v>
      </c>
      <c r="L1944" s="879" t="s">
        <v>987</v>
      </c>
      <c r="M1944" s="881" t="s">
        <v>115</v>
      </c>
      <c r="N1944" s="883">
        <v>50000</v>
      </c>
      <c r="O1944" s="55">
        <v>719</v>
      </c>
      <c r="P1944" s="78">
        <v>50000</v>
      </c>
    </row>
    <row r="1945" spans="9:16" ht="15.75" customHeight="1" thickBot="1">
      <c r="I1945" s="882"/>
      <c r="J1945" s="876"/>
      <c r="K1945" s="878"/>
      <c r="L1945" s="880"/>
      <c r="M1945" s="882"/>
      <c r="N1945" s="884"/>
      <c r="O1945" s="56">
        <v>721</v>
      </c>
      <c r="P1945" s="79">
        <f>+N1944-P1944</f>
        <v>0</v>
      </c>
    </row>
    <row r="1946" spans="9:16" ht="15" customHeight="1">
      <c r="I1946" s="881">
        <v>218</v>
      </c>
      <c r="J1946" s="875">
        <v>42549</v>
      </c>
      <c r="K1946" s="877" t="s">
        <v>28</v>
      </c>
      <c r="L1946" s="879" t="s">
        <v>988</v>
      </c>
      <c r="M1946" s="881" t="s">
        <v>115</v>
      </c>
      <c r="N1946" s="883">
        <v>40000</v>
      </c>
      <c r="O1946" s="55">
        <v>719</v>
      </c>
      <c r="P1946" s="78">
        <v>40000</v>
      </c>
    </row>
    <row r="1947" spans="9:16" ht="15.75" customHeight="1" thickBot="1">
      <c r="I1947" s="882"/>
      <c r="J1947" s="876"/>
      <c r="K1947" s="878"/>
      <c r="L1947" s="880"/>
      <c r="M1947" s="882"/>
      <c r="N1947" s="884"/>
      <c r="O1947" s="56">
        <v>721</v>
      </c>
      <c r="P1947" s="79">
        <f>+N1946-P1946</f>
        <v>0</v>
      </c>
    </row>
    <row r="1948" spans="9:16" ht="15" customHeight="1">
      <c r="I1948" s="881"/>
      <c r="J1948" s="875"/>
      <c r="K1948" s="877"/>
      <c r="L1948" s="879"/>
      <c r="M1948" s="881"/>
      <c r="N1948" s="883"/>
      <c r="O1948" s="55">
        <v>719</v>
      </c>
      <c r="P1948" s="78">
        <v>0</v>
      </c>
    </row>
    <row r="1949" spans="9:16" ht="15.75" customHeight="1" thickBot="1">
      <c r="I1949" s="882"/>
      <c r="J1949" s="876"/>
      <c r="K1949" s="878"/>
      <c r="L1949" s="880"/>
      <c r="M1949" s="882"/>
      <c r="N1949" s="884"/>
      <c r="O1949" s="56">
        <v>721</v>
      </c>
      <c r="P1949" s="79">
        <f>+N1948-P1948</f>
        <v>0</v>
      </c>
    </row>
    <row r="1950" spans="9:16">
      <c r="I1950" s="881"/>
      <c r="J1950" s="875"/>
      <c r="K1950" s="877"/>
      <c r="L1950" s="881"/>
      <c r="M1950" s="881"/>
      <c r="N1950" s="883"/>
      <c r="O1950" s="55">
        <v>719</v>
      </c>
      <c r="P1950" s="78"/>
    </row>
    <row r="1951" spans="9:16" ht="15.75" thickBot="1">
      <c r="I1951" s="882"/>
      <c r="J1951" s="876"/>
      <c r="K1951" s="878"/>
      <c r="L1951" s="882"/>
      <c r="M1951" s="882"/>
      <c r="N1951" s="884"/>
      <c r="O1951" s="56">
        <v>721</v>
      </c>
      <c r="P1951" s="79">
        <f>+N1950-P1950</f>
        <v>0</v>
      </c>
    </row>
    <row r="1952" spans="9:16" ht="16.5" thickBot="1">
      <c r="I1952" s="901" t="s">
        <v>102</v>
      </c>
      <c r="J1952" s="902"/>
      <c r="K1952" s="902"/>
      <c r="L1952" s="902"/>
      <c r="M1952" s="903"/>
      <c r="N1952" s="81">
        <f>SUM(N1942:N1951)</f>
        <v>150000</v>
      </c>
    </row>
    <row r="1953" spans="9:16" ht="16.5" thickBot="1">
      <c r="I1953" s="885" t="s">
        <v>103</v>
      </c>
      <c r="J1953" s="886"/>
      <c r="K1953" s="886"/>
      <c r="L1953" s="886"/>
      <c r="M1953" s="887"/>
      <c r="N1953" s="69">
        <f>+N1917</f>
        <v>530148760</v>
      </c>
      <c r="O1953" s="241" t="s">
        <v>561</v>
      </c>
      <c r="P1953" s="242">
        <f>314+120+93</f>
        <v>527</v>
      </c>
    </row>
    <row r="1954" spans="9:16" ht="16.5" thickBot="1">
      <c r="I1954" s="888" t="s">
        <v>104</v>
      </c>
      <c r="J1954" s="889"/>
      <c r="K1954" s="889"/>
      <c r="L1954" s="889"/>
      <c r="M1954" s="890"/>
      <c r="N1954" s="183">
        <f>SUM(N1952:N1953)</f>
        <v>530298760</v>
      </c>
    </row>
    <row r="1955" spans="9:16" ht="14.25" customHeight="1">
      <c r="I1955" s="61"/>
      <c r="J1955" s="61"/>
      <c r="K1955" s="61"/>
      <c r="L1955" s="61"/>
      <c r="M1955" s="61"/>
    </row>
    <row r="1956" spans="9:16">
      <c r="I1956" s="51" t="s">
        <v>991</v>
      </c>
    </row>
    <row r="1957" spans="9:16" ht="11.25" customHeight="1">
      <c r="N1957" s="139"/>
    </row>
    <row r="1958" spans="9:16">
      <c r="I1958" s="50" t="s">
        <v>105</v>
      </c>
      <c r="L1958" s="146"/>
      <c r="N1958" s="139"/>
    </row>
    <row r="1959" spans="9:16" ht="12" customHeight="1" thickBot="1"/>
    <row r="1960" spans="9:16" ht="15.75" thickBot="1">
      <c r="I1960" s="891" t="s">
        <v>106</v>
      </c>
      <c r="J1960" s="892"/>
      <c r="K1960" s="892"/>
      <c r="L1960" s="893"/>
      <c r="N1960" s="50" t="s">
        <v>288</v>
      </c>
    </row>
    <row r="1961" spans="9:16" ht="30.75" thickBot="1">
      <c r="I1961" s="57" t="s">
        <v>100</v>
      </c>
      <c r="J1961" s="58" t="s">
        <v>108</v>
      </c>
      <c r="K1961" s="287" t="s">
        <v>109</v>
      </c>
      <c r="L1961" s="60" t="s">
        <v>110</v>
      </c>
    </row>
    <row r="1962" spans="9:16">
      <c r="I1962" s="71">
        <v>719</v>
      </c>
      <c r="J1962" s="73">
        <f>+P1942+P1944+P1946+P1948+P1950</f>
        <v>150000</v>
      </c>
      <c r="K1962" s="74">
        <f>+L1925</f>
        <v>30111700</v>
      </c>
      <c r="L1962" s="195">
        <f>+J1962+K1962</f>
        <v>30261700</v>
      </c>
    </row>
    <row r="1963" spans="9:16">
      <c r="I1963" s="72">
        <v>721</v>
      </c>
      <c r="J1963" s="80">
        <f>+P1943+P1945+P1947+P1949</f>
        <v>0</v>
      </c>
      <c r="K1963" s="74">
        <f>+L1926</f>
        <v>87841509</v>
      </c>
      <c r="L1963" s="195">
        <f>+J1963+K1963</f>
        <v>87841509</v>
      </c>
    </row>
    <row r="1964" spans="9:16">
      <c r="I1964" s="72">
        <v>722</v>
      </c>
      <c r="J1964" s="80"/>
      <c r="K1964" s="74">
        <f>+L1927</f>
        <v>15549900</v>
      </c>
      <c r="L1964" s="195">
        <f>+J1964+K1964</f>
        <v>15549900</v>
      </c>
    </row>
    <row r="1965" spans="9:16" ht="15.75">
      <c r="I1965" s="72">
        <v>723</v>
      </c>
      <c r="J1965" s="80"/>
      <c r="K1965" s="74">
        <f>+L1928</f>
        <v>396645651</v>
      </c>
      <c r="L1965" s="195">
        <f>+J1965+K1965</f>
        <v>396645651</v>
      </c>
      <c r="N1965" s="193" t="s">
        <v>289</v>
      </c>
      <c r="O1965" s="175"/>
    </row>
    <row r="1966" spans="9:16" ht="16.5" thickBot="1">
      <c r="I1966" s="164" t="s">
        <v>181</v>
      </c>
      <c r="J1966" s="165"/>
      <c r="K1966" s="74">
        <f>+L1929</f>
        <v>0</v>
      </c>
      <c r="L1966" s="196">
        <f>+J1966+K1966</f>
        <v>0</v>
      </c>
      <c r="N1966" s="52"/>
    </row>
    <row r="1967" spans="9:16" ht="16.5" thickBot="1">
      <c r="I1967" s="169"/>
      <c r="J1967" s="197">
        <f>SUM(J1962:J1966)</f>
        <v>150000</v>
      </c>
      <c r="K1967" s="197">
        <f>SUM(K1962:K1966)</f>
        <v>530148760</v>
      </c>
      <c r="L1967" s="198">
        <f>SUM(L1962:L1966)</f>
        <v>530298760</v>
      </c>
    </row>
    <row r="1968" spans="9:16" ht="16.5">
      <c r="I1968" s="49" t="s">
        <v>88</v>
      </c>
      <c r="J1968" s="50"/>
    </row>
    <row r="1969" spans="9:16">
      <c r="I1969" s="51" t="s">
        <v>89</v>
      </c>
    </row>
    <row r="1970" spans="9:16">
      <c r="I1970" s="51" t="s">
        <v>90</v>
      </c>
    </row>
    <row r="1971" spans="9:16">
      <c r="I1971" s="51" t="s">
        <v>91</v>
      </c>
    </row>
    <row r="1972" spans="9:16" ht="11.25" customHeight="1">
      <c r="I1972" s="50"/>
      <c r="J1972" s="50"/>
    </row>
    <row r="1973" spans="9:16" ht="15.75">
      <c r="I1973" s="260" t="s">
        <v>992</v>
      </c>
      <c r="O1973" s="52"/>
    </row>
    <row r="1974" spans="9:16" ht="15.75">
      <c r="I1974" s="53" t="s">
        <v>535</v>
      </c>
      <c r="O1974" s="53"/>
    </row>
    <row r="1975" spans="9:16" ht="16.5">
      <c r="I1975" s="894" t="s">
        <v>909</v>
      </c>
      <c r="J1975" s="894"/>
      <c r="K1975" s="894"/>
      <c r="L1975" s="894"/>
      <c r="M1975" s="894"/>
      <c r="N1975" s="894"/>
      <c r="O1975" s="894"/>
      <c r="P1975" s="894"/>
    </row>
    <row r="1976" spans="9:16" ht="15.75" thickBot="1"/>
    <row r="1977" spans="9:16">
      <c r="I1977" s="895" t="s">
        <v>94</v>
      </c>
      <c r="J1977" s="897" t="s">
        <v>95</v>
      </c>
      <c r="K1977" s="897" t="s">
        <v>96</v>
      </c>
      <c r="L1977" s="897" t="s">
        <v>3</v>
      </c>
      <c r="M1977" s="897" t="s">
        <v>97</v>
      </c>
      <c r="N1977" s="897" t="s">
        <v>98</v>
      </c>
      <c r="O1977" s="897" t="s">
        <v>99</v>
      </c>
      <c r="P1977" s="899"/>
    </row>
    <row r="1978" spans="9:16" ht="15.75" thickBot="1">
      <c r="I1978" s="896"/>
      <c r="J1978" s="898"/>
      <c r="K1978" s="898"/>
      <c r="L1978" s="898"/>
      <c r="M1978" s="898"/>
      <c r="N1978" s="898"/>
      <c r="O1978" s="240" t="s">
        <v>100</v>
      </c>
      <c r="P1978" s="182" t="s">
        <v>101</v>
      </c>
    </row>
    <row r="1979" spans="9:16">
      <c r="I1979" s="881">
        <v>219</v>
      </c>
      <c r="J1979" s="875">
        <v>42549</v>
      </c>
      <c r="K1979" s="877" t="s">
        <v>272</v>
      </c>
      <c r="L1979" s="879" t="s">
        <v>996</v>
      </c>
      <c r="M1979" s="881" t="s">
        <v>115</v>
      </c>
      <c r="N1979" s="883">
        <v>190000</v>
      </c>
      <c r="O1979" s="55">
        <v>719</v>
      </c>
      <c r="P1979" s="78">
        <v>190000</v>
      </c>
    </row>
    <row r="1980" spans="9:16" ht="15.75" thickBot="1">
      <c r="I1980" s="882"/>
      <c r="J1980" s="876"/>
      <c r="K1980" s="878"/>
      <c r="L1980" s="880"/>
      <c r="M1980" s="882"/>
      <c r="N1980" s="884"/>
      <c r="O1980" s="56">
        <v>721</v>
      </c>
      <c r="P1980" s="79">
        <f>+N1979-P1979</f>
        <v>0</v>
      </c>
    </row>
    <row r="1981" spans="9:16">
      <c r="I1981" s="881">
        <v>220</v>
      </c>
      <c r="J1981" s="875">
        <v>42549</v>
      </c>
      <c r="K1981" s="877" t="s">
        <v>28</v>
      </c>
      <c r="L1981" s="879" t="s">
        <v>993</v>
      </c>
      <c r="M1981" s="881" t="s">
        <v>115</v>
      </c>
      <c r="N1981" s="883">
        <v>60000</v>
      </c>
      <c r="O1981" s="55">
        <v>719</v>
      </c>
      <c r="P1981" s="78">
        <v>60000</v>
      </c>
    </row>
    <row r="1982" spans="9:16" ht="15.75" thickBot="1">
      <c r="I1982" s="882"/>
      <c r="J1982" s="876"/>
      <c r="K1982" s="878"/>
      <c r="L1982" s="880"/>
      <c r="M1982" s="882"/>
      <c r="N1982" s="884"/>
      <c r="O1982" s="56">
        <v>721</v>
      </c>
      <c r="P1982" s="79">
        <f>+N1981-P1981</f>
        <v>0</v>
      </c>
    </row>
    <row r="1983" spans="9:16">
      <c r="I1983" s="881">
        <v>221</v>
      </c>
      <c r="J1983" s="875">
        <v>42549</v>
      </c>
      <c r="K1983" s="877" t="s">
        <v>120</v>
      </c>
      <c r="L1983" s="879" t="s">
        <v>994</v>
      </c>
      <c r="M1983" s="881" t="s">
        <v>115</v>
      </c>
      <c r="N1983" s="883">
        <v>50000</v>
      </c>
      <c r="O1983" s="55">
        <v>719</v>
      </c>
      <c r="P1983" s="78">
        <v>50000</v>
      </c>
    </row>
    <row r="1984" spans="9:16" ht="15.75" thickBot="1">
      <c r="I1984" s="882"/>
      <c r="J1984" s="876"/>
      <c r="K1984" s="878"/>
      <c r="L1984" s="880"/>
      <c r="M1984" s="882"/>
      <c r="N1984" s="884"/>
      <c r="O1984" s="56">
        <v>721</v>
      </c>
      <c r="P1984" s="79">
        <f>+N1983-P1983</f>
        <v>0</v>
      </c>
    </row>
    <row r="1985" spans="9:16">
      <c r="I1985" s="881"/>
      <c r="J1985" s="875"/>
      <c r="K1985" s="877"/>
      <c r="L1985" s="879"/>
      <c r="M1985" s="881"/>
      <c r="N1985" s="883"/>
      <c r="O1985" s="55">
        <v>719</v>
      </c>
      <c r="P1985" s="78">
        <v>0</v>
      </c>
    </row>
    <row r="1986" spans="9:16" ht="13.5" customHeight="1" thickBot="1">
      <c r="I1986" s="882"/>
      <c r="J1986" s="876"/>
      <c r="K1986" s="878"/>
      <c r="L1986" s="880"/>
      <c r="M1986" s="882"/>
      <c r="N1986" s="884"/>
      <c r="O1986" s="56">
        <v>721</v>
      </c>
      <c r="P1986" s="79">
        <f>+N1985-P1985</f>
        <v>0</v>
      </c>
    </row>
    <row r="1987" spans="9:16">
      <c r="I1987" s="881"/>
      <c r="J1987" s="875"/>
      <c r="K1987" s="877"/>
      <c r="L1987" s="881"/>
      <c r="M1987" s="881"/>
      <c r="N1987" s="883"/>
      <c r="O1987" s="55">
        <v>719</v>
      </c>
      <c r="P1987" s="78"/>
    </row>
    <row r="1988" spans="9:16" ht="12" customHeight="1" thickBot="1">
      <c r="I1988" s="882"/>
      <c r="J1988" s="876"/>
      <c r="K1988" s="878"/>
      <c r="L1988" s="882"/>
      <c r="M1988" s="882"/>
      <c r="N1988" s="884"/>
      <c r="O1988" s="56">
        <v>721</v>
      </c>
      <c r="P1988" s="79">
        <f>+N1987-P1987</f>
        <v>0</v>
      </c>
    </row>
    <row r="1989" spans="9:16" ht="16.5" thickBot="1">
      <c r="I1989" s="901" t="s">
        <v>102</v>
      </c>
      <c r="J1989" s="902"/>
      <c r="K1989" s="902"/>
      <c r="L1989" s="902"/>
      <c r="M1989" s="903"/>
      <c r="N1989" s="81">
        <f>SUM(N1979:N1988)</f>
        <v>300000</v>
      </c>
    </row>
    <row r="1990" spans="9:16" ht="16.5" thickBot="1">
      <c r="I1990" s="885" t="s">
        <v>103</v>
      </c>
      <c r="J1990" s="886"/>
      <c r="K1990" s="886"/>
      <c r="L1990" s="886"/>
      <c r="M1990" s="887"/>
      <c r="N1990" s="69">
        <f>+N1954</f>
        <v>530298760</v>
      </c>
      <c r="O1990" s="241" t="s">
        <v>561</v>
      </c>
      <c r="P1990" s="242">
        <f>50+174+606</f>
        <v>830</v>
      </c>
    </row>
    <row r="1991" spans="9:16" ht="16.5" thickBot="1">
      <c r="I1991" s="888" t="s">
        <v>104</v>
      </c>
      <c r="J1991" s="889"/>
      <c r="K1991" s="889"/>
      <c r="L1991" s="889"/>
      <c r="M1991" s="890"/>
      <c r="N1991" s="183">
        <f>SUM(N1989:N1990)</f>
        <v>530598760</v>
      </c>
    </row>
    <row r="1992" spans="9:16">
      <c r="I1992" s="61"/>
      <c r="J1992" s="61"/>
      <c r="K1992" s="61"/>
      <c r="L1992" s="61"/>
      <c r="M1992" s="61"/>
    </row>
    <row r="1993" spans="9:16">
      <c r="I1993" s="51" t="s">
        <v>995</v>
      </c>
    </row>
    <row r="1994" spans="9:16">
      <c r="N1994" s="139"/>
    </row>
    <row r="1995" spans="9:16">
      <c r="I1995" s="50" t="s">
        <v>105</v>
      </c>
      <c r="L1995" s="146"/>
      <c r="N1995" s="139"/>
    </row>
    <row r="1996" spans="9:16" ht="12.75" customHeight="1" thickBot="1"/>
    <row r="1997" spans="9:16" ht="15.75" thickBot="1">
      <c r="I1997" s="891" t="s">
        <v>106</v>
      </c>
      <c r="J1997" s="892"/>
      <c r="K1997" s="892"/>
      <c r="L1997" s="893"/>
      <c r="N1997" s="50" t="s">
        <v>288</v>
      </c>
    </row>
    <row r="1998" spans="9:16" ht="30.75" thickBot="1">
      <c r="I1998" s="57" t="s">
        <v>100</v>
      </c>
      <c r="J1998" s="58" t="s">
        <v>108</v>
      </c>
      <c r="K1998" s="287" t="s">
        <v>109</v>
      </c>
      <c r="L1998" s="60" t="s">
        <v>110</v>
      </c>
    </row>
    <row r="1999" spans="9:16">
      <c r="I1999" s="71">
        <v>719</v>
      </c>
      <c r="J1999" s="73">
        <f>+P1979+P1981+P1983+P1985+P1987</f>
        <v>300000</v>
      </c>
      <c r="K1999" s="74">
        <f>+L1962</f>
        <v>30261700</v>
      </c>
      <c r="L1999" s="195">
        <f>+J1999+K1999</f>
        <v>30561700</v>
      </c>
    </row>
    <row r="2000" spans="9:16">
      <c r="I2000" s="72">
        <v>721</v>
      </c>
      <c r="J2000" s="80">
        <f>+P1980+P1982+P1984+P1986</f>
        <v>0</v>
      </c>
      <c r="K2000" s="74">
        <f>+L1963</f>
        <v>87841509</v>
      </c>
      <c r="L2000" s="195">
        <f>+J2000+K2000</f>
        <v>87841509</v>
      </c>
    </row>
    <row r="2001" spans="9:16">
      <c r="I2001" s="72">
        <v>722</v>
      </c>
      <c r="J2001" s="80"/>
      <c r="K2001" s="74">
        <f>+L1964</f>
        <v>15549900</v>
      </c>
      <c r="L2001" s="195">
        <f>+J2001+K2001</f>
        <v>15549900</v>
      </c>
    </row>
    <row r="2002" spans="9:16" ht="15.75">
      <c r="I2002" s="72">
        <v>723</v>
      </c>
      <c r="J2002" s="80"/>
      <c r="K2002" s="74">
        <f>+L1965</f>
        <v>396645651</v>
      </c>
      <c r="L2002" s="195">
        <f>+J2002+K2002</f>
        <v>396645651</v>
      </c>
      <c r="N2002" s="193" t="s">
        <v>289</v>
      </c>
      <c r="O2002" s="175"/>
    </row>
    <row r="2003" spans="9:16" ht="16.5" thickBot="1">
      <c r="I2003" s="164" t="s">
        <v>181</v>
      </c>
      <c r="J2003" s="165"/>
      <c r="K2003" s="74">
        <f>+L1966</f>
        <v>0</v>
      </c>
      <c r="L2003" s="196">
        <f>+J2003+K2003</f>
        <v>0</v>
      </c>
      <c r="N2003" s="52"/>
    </row>
    <row r="2004" spans="9:16" ht="16.5" thickBot="1">
      <c r="I2004" s="169"/>
      <c r="J2004" s="197">
        <f>SUM(J1999:J2003)</f>
        <v>300000</v>
      </c>
      <c r="K2004" s="197">
        <f>SUM(K1999:K2003)</f>
        <v>530298760</v>
      </c>
      <c r="L2004" s="198">
        <f>SUM(L1999:L2003)</f>
        <v>530598760</v>
      </c>
    </row>
    <row r="2005" spans="9:16" ht="16.5">
      <c r="I2005" s="49" t="s">
        <v>88</v>
      </c>
      <c r="J2005" s="50"/>
    </row>
    <row r="2006" spans="9:16">
      <c r="I2006" s="51" t="s">
        <v>89</v>
      </c>
    </row>
    <row r="2007" spans="9:16">
      <c r="I2007" s="51" t="s">
        <v>90</v>
      </c>
    </row>
    <row r="2008" spans="9:16">
      <c r="I2008" s="51" t="s">
        <v>91</v>
      </c>
    </row>
    <row r="2009" spans="9:16" ht="12.75" customHeight="1">
      <c r="I2009" s="50"/>
      <c r="J2009" s="50"/>
    </row>
    <row r="2010" spans="9:16" ht="15.75">
      <c r="I2010" s="260" t="s">
        <v>997</v>
      </c>
      <c r="O2010" s="52"/>
    </row>
    <row r="2011" spans="9:16" ht="15.75">
      <c r="I2011" s="53" t="s">
        <v>535</v>
      </c>
      <c r="O2011" s="53"/>
    </row>
    <row r="2012" spans="9:16" ht="16.5">
      <c r="I2012" s="894" t="s">
        <v>909</v>
      </c>
      <c r="J2012" s="894"/>
      <c r="K2012" s="894"/>
      <c r="L2012" s="894"/>
      <c r="M2012" s="894"/>
      <c r="N2012" s="894"/>
      <c r="O2012" s="894"/>
      <c r="P2012" s="894"/>
    </row>
    <row r="2013" spans="9:16" ht="15.75" thickBot="1"/>
    <row r="2014" spans="9:16">
      <c r="I2014" s="895" t="s">
        <v>94</v>
      </c>
      <c r="J2014" s="897" t="s">
        <v>95</v>
      </c>
      <c r="K2014" s="897" t="s">
        <v>96</v>
      </c>
      <c r="L2014" s="897" t="s">
        <v>3</v>
      </c>
      <c r="M2014" s="897" t="s">
        <v>97</v>
      </c>
      <c r="N2014" s="897" t="s">
        <v>98</v>
      </c>
      <c r="O2014" s="897" t="s">
        <v>99</v>
      </c>
      <c r="P2014" s="899"/>
    </row>
    <row r="2015" spans="9:16" ht="15.75" thickBot="1">
      <c r="I2015" s="896"/>
      <c r="J2015" s="898"/>
      <c r="K2015" s="898"/>
      <c r="L2015" s="898"/>
      <c r="M2015" s="898"/>
      <c r="N2015" s="898"/>
      <c r="O2015" s="240" t="s">
        <v>100</v>
      </c>
      <c r="P2015" s="182" t="s">
        <v>101</v>
      </c>
    </row>
    <row r="2016" spans="9:16">
      <c r="I2016" s="881">
        <v>222</v>
      </c>
      <c r="J2016" s="875">
        <v>42551</v>
      </c>
      <c r="K2016" s="877" t="s">
        <v>40</v>
      </c>
      <c r="L2016" s="879" t="s">
        <v>999</v>
      </c>
      <c r="M2016" s="881" t="s">
        <v>148</v>
      </c>
      <c r="N2016" s="883">
        <v>28000</v>
      </c>
      <c r="O2016" s="55">
        <v>719</v>
      </c>
      <c r="P2016" s="78">
        <v>20000</v>
      </c>
    </row>
    <row r="2017" spans="9:16" ht="15.75" thickBot="1">
      <c r="I2017" s="882"/>
      <c r="J2017" s="876"/>
      <c r="K2017" s="878"/>
      <c r="L2017" s="880"/>
      <c r="M2017" s="882"/>
      <c r="N2017" s="884"/>
      <c r="O2017" s="56">
        <v>721</v>
      </c>
      <c r="P2017" s="79">
        <f>+N2016-P2016</f>
        <v>8000</v>
      </c>
    </row>
    <row r="2018" spans="9:16" ht="15" customHeight="1">
      <c r="I2018" s="881">
        <v>223</v>
      </c>
      <c r="J2018" s="875">
        <v>42551</v>
      </c>
      <c r="K2018" s="877" t="s">
        <v>28</v>
      </c>
      <c r="L2018" s="879" t="s">
        <v>983</v>
      </c>
      <c r="M2018" s="881" t="s">
        <v>148</v>
      </c>
      <c r="N2018" s="883">
        <v>294000</v>
      </c>
      <c r="O2018" s="55">
        <v>719</v>
      </c>
      <c r="P2018" s="78">
        <v>210000</v>
      </c>
    </row>
    <row r="2019" spans="9:16" ht="15.75" customHeight="1" thickBot="1">
      <c r="I2019" s="882"/>
      <c r="J2019" s="876"/>
      <c r="K2019" s="878"/>
      <c r="L2019" s="880"/>
      <c r="M2019" s="882"/>
      <c r="N2019" s="884"/>
      <c r="O2019" s="56">
        <v>721</v>
      </c>
      <c r="P2019" s="79">
        <f>+N2018-P2018</f>
        <v>84000</v>
      </c>
    </row>
    <row r="2020" spans="9:16" ht="15" customHeight="1">
      <c r="I2020" s="881">
        <v>224</v>
      </c>
      <c r="J2020" s="875">
        <v>42551</v>
      </c>
      <c r="K2020" s="877" t="s">
        <v>111</v>
      </c>
      <c r="L2020" s="879" t="s">
        <v>1000</v>
      </c>
      <c r="M2020" s="881" t="s">
        <v>148</v>
      </c>
      <c r="N2020" s="883">
        <v>84000</v>
      </c>
      <c r="O2020" s="55">
        <v>719</v>
      </c>
      <c r="P2020" s="78">
        <v>60000</v>
      </c>
    </row>
    <row r="2021" spans="9:16" ht="15.75" customHeight="1" thickBot="1">
      <c r="I2021" s="882"/>
      <c r="J2021" s="876"/>
      <c r="K2021" s="878"/>
      <c r="L2021" s="880"/>
      <c r="M2021" s="882"/>
      <c r="N2021" s="884"/>
      <c r="O2021" s="56">
        <v>721</v>
      </c>
      <c r="P2021" s="79">
        <f>+N2020-P2020</f>
        <v>24000</v>
      </c>
    </row>
    <row r="2022" spans="9:16" ht="15" customHeight="1">
      <c r="I2022" s="881">
        <v>225</v>
      </c>
      <c r="J2022" s="875">
        <v>42551</v>
      </c>
      <c r="K2022" s="877" t="s">
        <v>272</v>
      </c>
      <c r="L2022" s="879" t="s">
        <v>983</v>
      </c>
      <c r="M2022" s="881" t="s">
        <v>148</v>
      </c>
      <c r="N2022" s="883">
        <v>672000</v>
      </c>
      <c r="O2022" s="55">
        <v>719</v>
      </c>
      <c r="P2022" s="78">
        <v>480000</v>
      </c>
    </row>
    <row r="2023" spans="9:16" ht="15.75" customHeight="1" thickBot="1">
      <c r="I2023" s="882"/>
      <c r="J2023" s="876"/>
      <c r="K2023" s="878"/>
      <c r="L2023" s="880"/>
      <c r="M2023" s="882"/>
      <c r="N2023" s="884"/>
      <c r="O2023" s="56">
        <v>721</v>
      </c>
      <c r="P2023" s="79">
        <f>+N2022-P2022</f>
        <v>192000</v>
      </c>
    </row>
    <row r="2024" spans="9:16" ht="14.25" customHeight="1">
      <c r="I2024" s="881"/>
      <c r="J2024" s="875"/>
      <c r="K2024" s="877"/>
      <c r="L2024" s="881"/>
      <c r="M2024" s="881"/>
      <c r="N2024" s="883"/>
      <c r="O2024" s="55">
        <v>719</v>
      </c>
      <c r="P2024" s="78"/>
    </row>
    <row r="2025" spans="9:16" ht="12.75" customHeight="1" thickBot="1">
      <c r="I2025" s="882"/>
      <c r="J2025" s="876"/>
      <c r="K2025" s="878"/>
      <c r="L2025" s="882"/>
      <c r="M2025" s="882"/>
      <c r="N2025" s="884"/>
      <c r="O2025" s="56">
        <v>721</v>
      </c>
      <c r="P2025" s="79">
        <f>+N2024-P2024</f>
        <v>0</v>
      </c>
    </row>
    <row r="2026" spans="9:16" ht="16.5" thickBot="1">
      <c r="I2026" s="901" t="s">
        <v>102</v>
      </c>
      <c r="J2026" s="902"/>
      <c r="K2026" s="902"/>
      <c r="L2026" s="902"/>
      <c r="M2026" s="903"/>
      <c r="N2026" s="81">
        <f>SUM(N2016:N2025)</f>
        <v>1078000</v>
      </c>
    </row>
    <row r="2027" spans="9:16" ht="16.5" thickBot="1">
      <c r="I2027" s="885" t="s">
        <v>103</v>
      </c>
      <c r="J2027" s="886"/>
      <c r="K2027" s="886"/>
      <c r="L2027" s="886"/>
      <c r="M2027" s="887"/>
      <c r="N2027" s="69">
        <f>+N1991</f>
        <v>530598760</v>
      </c>
      <c r="O2027" s="241" t="s">
        <v>561</v>
      </c>
      <c r="P2027" s="242">
        <f>22+571+21+917</f>
        <v>1531</v>
      </c>
    </row>
    <row r="2028" spans="9:16" ht="16.5" thickBot="1">
      <c r="I2028" s="888" t="s">
        <v>104</v>
      </c>
      <c r="J2028" s="889"/>
      <c r="K2028" s="889"/>
      <c r="L2028" s="889"/>
      <c r="M2028" s="890"/>
      <c r="N2028" s="183">
        <f>SUM(N2026:N2027)</f>
        <v>531676760</v>
      </c>
    </row>
    <row r="2029" spans="9:16">
      <c r="I2029" s="61"/>
      <c r="J2029" s="61"/>
      <c r="K2029" s="61"/>
      <c r="L2029" s="61"/>
      <c r="M2029" s="61"/>
    </row>
    <row r="2030" spans="9:16">
      <c r="I2030" s="51" t="s">
        <v>1006</v>
      </c>
    </row>
    <row r="2031" spans="9:16" ht="12.75" customHeight="1">
      <c r="N2031" s="139"/>
    </row>
    <row r="2032" spans="9:16">
      <c r="I2032" s="50" t="s">
        <v>105</v>
      </c>
      <c r="L2032" s="146"/>
      <c r="N2032" s="139"/>
    </row>
    <row r="2033" spans="9:15" ht="15.75" thickBot="1"/>
    <row r="2034" spans="9:15" ht="15.75" thickBot="1">
      <c r="I2034" s="891" t="s">
        <v>106</v>
      </c>
      <c r="J2034" s="892"/>
      <c r="K2034" s="892"/>
      <c r="L2034" s="893"/>
      <c r="N2034" s="50" t="s">
        <v>288</v>
      </c>
    </row>
    <row r="2035" spans="9:15" ht="30.75" thickBot="1">
      <c r="I2035" s="57" t="s">
        <v>100</v>
      </c>
      <c r="J2035" s="58" t="s">
        <v>108</v>
      </c>
      <c r="K2035" s="287" t="s">
        <v>109</v>
      </c>
      <c r="L2035" s="60" t="s">
        <v>110</v>
      </c>
    </row>
    <row r="2036" spans="9:15">
      <c r="I2036" s="71">
        <v>719</v>
      </c>
      <c r="J2036" s="73">
        <f>+P2016+P2018+P2020+P2022+P2024</f>
        <v>770000</v>
      </c>
      <c r="K2036" s="74">
        <f>+L1999</f>
        <v>30561700</v>
      </c>
      <c r="L2036" s="195">
        <f>+J2036+K2036</f>
        <v>31331700</v>
      </c>
    </row>
    <row r="2037" spans="9:15">
      <c r="I2037" s="72">
        <v>721</v>
      </c>
      <c r="J2037" s="80">
        <f>+P2017+P2019+P2021+P2023</f>
        <v>308000</v>
      </c>
      <c r="K2037" s="74">
        <f>+L2000</f>
        <v>87841509</v>
      </c>
      <c r="L2037" s="195">
        <f>+J2037+K2037</f>
        <v>88149509</v>
      </c>
    </row>
    <row r="2038" spans="9:15">
      <c r="I2038" s="72">
        <v>722</v>
      </c>
      <c r="J2038" s="80"/>
      <c r="K2038" s="74">
        <f>+L2001</f>
        <v>15549900</v>
      </c>
      <c r="L2038" s="195">
        <f>+J2038+K2038</f>
        <v>15549900</v>
      </c>
    </row>
    <row r="2039" spans="9:15" ht="15.75">
      <c r="I2039" s="72">
        <v>723</v>
      </c>
      <c r="J2039" s="80"/>
      <c r="K2039" s="74">
        <f>+L2002</f>
        <v>396645651</v>
      </c>
      <c r="L2039" s="195">
        <f>+J2039+K2039</f>
        <v>396645651</v>
      </c>
      <c r="N2039" s="193" t="s">
        <v>289</v>
      </c>
      <c r="O2039" s="175"/>
    </row>
    <row r="2040" spans="9:15" ht="16.5" thickBot="1">
      <c r="I2040" s="164" t="s">
        <v>181</v>
      </c>
      <c r="J2040" s="165"/>
      <c r="K2040" s="74">
        <f>+L2003</f>
        <v>0</v>
      </c>
      <c r="L2040" s="196">
        <f>+J2040+K2040</f>
        <v>0</v>
      </c>
      <c r="N2040" s="52"/>
    </row>
    <row r="2041" spans="9:15" ht="16.5" thickBot="1">
      <c r="I2041" s="169"/>
      <c r="J2041" s="197">
        <f>SUM(J2036:J2040)</f>
        <v>1078000</v>
      </c>
      <c r="K2041" s="197">
        <f>SUM(K2036:K2040)</f>
        <v>530598760</v>
      </c>
      <c r="L2041" s="198">
        <f>SUM(L2036:L2040)</f>
        <v>531676760</v>
      </c>
    </row>
    <row r="2042" spans="9:15" ht="16.5">
      <c r="I2042" s="49" t="s">
        <v>88</v>
      </c>
      <c r="J2042" s="50"/>
    </row>
    <row r="2043" spans="9:15">
      <c r="I2043" s="51" t="s">
        <v>89</v>
      </c>
    </row>
    <row r="2044" spans="9:15">
      <c r="I2044" s="51" t="s">
        <v>90</v>
      </c>
    </row>
    <row r="2045" spans="9:15">
      <c r="I2045" s="51" t="s">
        <v>91</v>
      </c>
    </row>
    <row r="2046" spans="9:15" ht="12.75" customHeight="1">
      <c r="I2046" s="50"/>
      <c r="J2046" s="50"/>
    </row>
    <row r="2047" spans="9:15" ht="15.75">
      <c r="I2047" s="260" t="s">
        <v>998</v>
      </c>
      <c r="O2047" s="52"/>
    </row>
    <row r="2048" spans="9:15" ht="15.75">
      <c r="I2048" s="53" t="s">
        <v>535</v>
      </c>
      <c r="O2048" s="53"/>
    </row>
    <row r="2049" spans="9:16" ht="16.5">
      <c r="I2049" s="894" t="s">
        <v>909</v>
      </c>
      <c r="J2049" s="894"/>
      <c r="K2049" s="894"/>
      <c r="L2049" s="894"/>
      <c r="M2049" s="894"/>
      <c r="N2049" s="894"/>
      <c r="O2049" s="894"/>
      <c r="P2049" s="894"/>
    </row>
    <row r="2050" spans="9:16" ht="15.75" thickBot="1"/>
    <row r="2051" spans="9:16">
      <c r="I2051" s="895" t="s">
        <v>94</v>
      </c>
      <c r="J2051" s="897" t="s">
        <v>95</v>
      </c>
      <c r="K2051" s="897" t="s">
        <v>96</v>
      </c>
      <c r="L2051" s="897" t="s">
        <v>3</v>
      </c>
      <c r="M2051" s="897" t="s">
        <v>97</v>
      </c>
      <c r="N2051" s="897" t="s">
        <v>98</v>
      </c>
      <c r="O2051" s="897" t="s">
        <v>99</v>
      </c>
      <c r="P2051" s="899"/>
    </row>
    <row r="2052" spans="9:16" ht="15.75" thickBot="1">
      <c r="I2052" s="896"/>
      <c r="J2052" s="898"/>
      <c r="K2052" s="898"/>
      <c r="L2052" s="898"/>
      <c r="M2052" s="898"/>
      <c r="N2052" s="898"/>
      <c r="O2052" s="240" t="s">
        <v>100</v>
      </c>
      <c r="P2052" s="182" t="s">
        <v>101</v>
      </c>
    </row>
    <row r="2053" spans="9:16" ht="15" customHeight="1">
      <c r="I2053" s="881">
        <v>226</v>
      </c>
      <c r="J2053" s="875">
        <v>42551</v>
      </c>
      <c r="K2053" s="877" t="s">
        <v>40</v>
      </c>
      <c r="L2053" s="879" t="s">
        <v>1001</v>
      </c>
      <c r="M2053" s="881" t="s">
        <v>148</v>
      </c>
      <c r="N2053" s="883">
        <v>140000</v>
      </c>
      <c r="O2053" s="55">
        <v>719</v>
      </c>
      <c r="P2053" s="78">
        <v>100000</v>
      </c>
    </row>
    <row r="2054" spans="9:16" ht="15.75" customHeight="1" thickBot="1">
      <c r="I2054" s="882"/>
      <c r="J2054" s="876"/>
      <c r="K2054" s="878"/>
      <c r="L2054" s="880"/>
      <c r="M2054" s="882"/>
      <c r="N2054" s="884"/>
      <c r="O2054" s="56">
        <v>721</v>
      </c>
      <c r="P2054" s="79">
        <f>+N2053-P2053</f>
        <v>40000</v>
      </c>
    </row>
    <row r="2055" spans="9:16" ht="15" customHeight="1">
      <c r="I2055" s="881">
        <v>227</v>
      </c>
      <c r="J2055" s="875">
        <v>42551</v>
      </c>
      <c r="K2055" s="877" t="s">
        <v>28</v>
      </c>
      <c r="L2055" s="879" t="s">
        <v>1002</v>
      </c>
      <c r="M2055" s="881" t="s">
        <v>148</v>
      </c>
      <c r="N2055" s="883">
        <v>966000</v>
      </c>
      <c r="O2055" s="55">
        <v>719</v>
      </c>
      <c r="P2055" s="78">
        <v>690000</v>
      </c>
    </row>
    <row r="2056" spans="9:16" ht="15.75" customHeight="1" thickBot="1">
      <c r="I2056" s="882"/>
      <c r="J2056" s="876"/>
      <c r="K2056" s="878"/>
      <c r="L2056" s="880"/>
      <c r="M2056" s="882"/>
      <c r="N2056" s="884"/>
      <c r="O2056" s="56">
        <v>721</v>
      </c>
      <c r="P2056" s="79">
        <f>+N2055-P2055</f>
        <v>276000</v>
      </c>
    </row>
    <row r="2057" spans="9:16" ht="15" customHeight="1">
      <c r="I2057" s="881">
        <v>228</v>
      </c>
      <c r="J2057" s="875">
        <v>42551</v>
      </c>
      <c r="K2057" s="877" t="s">
        <v>111</v>
      </c>
      <c r="L2057" s="879" t="s">
        <v>1003</v>
      </c>
      <c r="M2057" s="881" t="s">
        <v>148</v>
      </c>
      <c r="N2057" s="883">
        <v>252000</v>
      </c>
      <c r="O2057" s="55">
        <v>719</v>
      </c>
      <c r="P2057" s="78">
        <v>180000</v>
      </c>
    </row>
    <row r="2058" spans="9:16" ht="15.75" customHeight="1" thickBot="1">
      <c r="I2058" s="882"/>
      <c r="J2058" s="876"/>
      <c r="K2058" s="878"/>
      <c r="L2058" s="880"/>
      <c r="M2058" s="882"/>
      <c r="N2058" s="884"/>
      <c r="O2058" s="56">
        <v>721</v>
      </c>
      <c r="P2058" s="79">
        <f>+N2057-P2057</f>
        <v>72000</v>
      </c>
    </row>
    <row r="2059" spans="9:16" ht="15" customHeight="1">
      <c r="I2059" s="881">
        <v>229</v>
      </c>
      <c r="J2059" s="875">
        <v>42551</v>
      </c>
      <c r="K2059" s="877" t="s">
        <v>272</v>
      </c>
      <c r="L2059" s="879" t="s">
        <v>1004</v>
      </c>
      <c r="M2059" s="881" t="s">
        <v>148</v>
      </c>
      <c r="N2059" s="883">
        <v>1946000</v>
      </c>
      <c r="O2059" s="55">
        <v>719</v>
      </c>
      <c r="P2059" s="78">
        <v>1390000</v>
      </c>
    </row>
    <row r="2060" spans="9:16" ht="15.75" customHeight="1" thickBot="1">
      <c r="I2060" s="882"/>
      <c r="J2060" s="876"/>
      <c r="K2060" s="878"/>
      <c r="L2060" s="880"/>
      <c r="M2060" s="882"/>
      <c r="N2060" s="884"/>
      <c r="O2060" s="56">
        <v>721</v>
      </c>
      <c r="P2060" s="79">
        <f>+N2059-P2059</f>
        <v>556000</v>
      </c>
    </row>
    <row r="2061" spans="9:16">
      <c r="I2061" s="881"/>
      <c r="J2061" s="875"/>
      <c r="K2061" s="877"/>
      <c r="L2061" s="881"/>
      <c r="M2061" s="881"/>
      <c r="N2061" s="883"/>
      <c r="O2061" s="55">
        <v>719</v>
      </c>
      <c r="P2061" s="78"/>
    </row>
    <row r="2062" spans="9:16" ht="12" customHeight="1" thickBot="1">
      <c r="I2062" s="882"/>
      <c r="J2062" s="876"/>
      <c r="K2062" s="878"/>
      <c r="L2062" s="882"/>
      <c r="M2062" s="882"/>
      <c r="N2062" s="884"/>
      <c r="O2062" s="56">
        <v>721</v>
      </c>
      <c r="P2062" s="79">
        <f>+N2061-P2061</f>
        <v>0</v>
      </c>
    </row>
    <row r="2063" spans="9:16" ht="16.5" thickBot="1">
      <c r="I2063" s="901" t="s">
        <v>102</v>
      </c>
      <c r="J2063" s="902"/>
      <c r="K2063" s="902"/>
      <c r="L2063" s="902"/>
      <c r="M2063" s="903"/>
      <c r="N2063" s="81">
        <f>SUM(N2053:N2062)</f>
        <v>3304000</v>
      </c>
    </row>
    <row r="2064" spans="9:16" ht="16.5" thickBot="1">
      <c r="I2064" s="885" t="s">
        <v>103</v>
      </c>
      <c r="J2064" s="886"/>
      <c r="K2064" s="886"/>
      <c r="L2064" s="886"/>
      <c r="M2064" s="887"/>
      <c r="N2064" s="69">
        <f>+N2028</f>
        <v>531676760</v>
      </c>
      <c r="O2064" s="241" t="s">
        <v>561</v>
      </c>
      <c r="P2064" s="242">
        <f>89+1849+70+3374</f>
        <v>5382</v>
      </c>
    </row>
    <row r="2065" spans="9:15" ht="16.5" thickBot="1">
      <c r="I2065" s="888" t="s">
        <v>104</v>
      </c>
      <c r="J2065" s="889"/>
      <c r="K2065" s="889"/>
      <c r="L2065" s="889"/>
      <c r="M2065" s="890"/>
      <c r="N2065" s="183">
        <f>SUM(N2063:N2064)</f>
        <v>534980760</v>
      </c>
    </row>
    <row r="2066" spans="9:15">
      <c r="I2066" s="61"/>
      <c r="J2066" s="61"/>
      <c r="K2066" s="61"/>
      <c r="L2066" s="61"/>
      <c r="M2066" s="61"/>
    </row>
    <row r="2067" spans="9:15">
      <c r="I2067" s="51" t="s">
        <v>1005</v>
      </c>
    </row>
    <row r="2068" spans="9:15" ht="12.75" customHeight="1">
      <c r="N2068" s="139"/>
    </row>
    <row r="2069" spans="9:15">
      <c r="I2069" s="50" t="s">
        <v>105</v>
      </c>
      <c r="L2069" s="146"/>
      <c r="N2069" s="139"/>
    </row>
    <row r="2070" spans="9:15" ht="15.75" thickBot="1"/>
    <row r="2071" spans="9:15" ht="15.75" thickBot="1">
      <c r="I2071" s="891" t="s">
        <v>106</v>
      </c>
      <c r="J2071" s="892"/>
      <c r="K2071" s="892"/>
      <c r="L2071" s="893"/>
      <c r="N2071" s="50" t="s">
        <v>288</v>
      </c>
    </row>
    <row r="2072" spans="9:15" ht="30.75" thickBot="1">
      <c r="I2072" s="57" t="s">
        <v>100</v>
      </c>
      <c r="J2072" s="58" t="s">
        <v>108</v>
      </c>
      <c r="K2072" s="287" t="s">
        <v>109</v>
      </c>
      <c r="L2072" s="60" t="s">
        <v>110</v>
      </c>
    </row>
    <row r="2073" spans="9:15">
      <c r="I2073" s="71">
        <v>719</v>
      </c>
      <c r="J2073" s="73">
        <f>+P2053+P2055+P2057+P2059+P2061</f>
        <v>2360000</v>
      </c>
      <c r="K2073" s="74">
        <f>+L2036</f>
        <v>31331700</v>
      </c>
      <c r="L2073" s="195">
        <f>+J2073+K2073</f>
        <v>33691700</v>
      </c>
    </row>
    <row r="2074" spans="9:15">
      <c r="I2074" s="72">
        <v>721</v>
      </c>
      <c r="J2074" s="80">
        <f>+P2054+P2056+P2058+P2060</f>
        <v>944000</v>
      </c>
      <c r="K2074" s="74">
        <f>+L2037</f>
        <v>88149509</v>
      </c>
      <c r="L2074" s="195">
        <f>+J2074+K2074</f>
        <v>89093509</v>
      </c>
    </row>
    <row r="2075" spans="9:15">
      <c r="I2075" s="72">
        <v>722</v>
      </c>
      <c r="J2075" s="80"/>
      <c r="K2075" s="74">
        <f>+L2038</f>
        <v>15549900</v>
      </c>
      <c r="L2075" s="195">
        <f>+J2075+K2075</f>
        <v>15549900</v>
      </c>
    </row>
    <row r="2076" spans="9:15" ht="15.75">
      <c r="I2076" s="72">
        <v>723</v>
      </c>
      <c r="J2076" s="80"/>
      <c r="K2076" s="74">
        <f>+L2039</f>
        <v>396645651</v>
      </c>
      <c r="L2076" s="195">
        <f>+J2076+K2076</f>
        <v>396645651</v>
      </c>
      <c r="N2076" s="193" t="s">
        <v>289</v>
      </c>
      <c r="O2076" s="175"/>
    </row>
    <row r="2077" spans="9:15" ht="16.5" thickBot="1">
      <c r="I2077" s="164" t="s">
        <v>181</v>
      </c>
      <c r="J2077" s="165"/>
      <c r="K2077" s="74">
        <f>+L2040</f>
        <v>0</v>
      </c>
      <c r="L2077" s="196">
        <f>+J2077+K2077</f>
        <v>0</v>
      </c>
      <c r="N2077" s="52"/>
    </row>
    <row r="2078" spans="9:15" ht="16.5" thickBot="1">
      <c r="I2078" s="169"/>
      <c r="J2078" s="197">
        <f>SUM(J2073:J2077)</f>
        <v>3304000</v>
      </c>
      <c r="K2078" s="197">
        <f>SUM(K2073:K2077)</f>
        <v>531676760</v>
      </c>
      <c r="L2078" s="198">
        <f>SUM(L2073:L2077)</f>
        <v>534980760</v>
      </c>
    </row>
    <row r="2079" spans="9:15" ht="16.5">
      <c r="I2079" s="49" t="s">
        <v>88</v>
      </c>
      <c r="J2079" s="50"/>
    </row>
    <row r="2080" spans="9:15">
      <c r="I2080" s="51" t="s">
        <v>89</v>
      </c>
    </row>
    <row r="2081" spans="9:16">
      <c r="I2081" s="51" t="s">
        <v>90</v>
      </c>
    </row>
    <row r="2082" spans="9:16">
      <c r="I2082" s="51" t="s">
        <v>91</v>
      </c>
    </row>
    <row r="2083" spans="9:16" ht="12.75" customHeight="1">
      <c r="I2083" s="50"/>
      <c r="J2083" s="50"/>
    </row>
    <row r="2084" spans="9:16" ht="15.75">
      <c r="I2084" s="260" t="s">
        <v>1007</v>
      </c>
      <c r="O2084" s="52"/>
    </row>
    <row r="2085" spans="9:16" ht="15.75">
      <c r="I2085" s="53" t="s">
        <v>535</v>
      </c>
      <c r="O2085" s="53"/>
    </row>
    <row r="2086" spans="9:16" ht="16.5">
      <c r="I2086" s="894" t="s">
        <v>1011</v>
      </c>
      <c r="J2086" s="894"/>
      <c r="K2086" s="894"/>
      <c r="L2086" s="894"/>
      <c r="M2086" s="894"/>
      <c r="N2086" s="894"/>
      <c r="O2086" s="894"/>
      <c r="P2086" s="894"/>
    </row>
    <row r="2087" spans="9:16" ht="15.75" thickBot="1"/>
    <row r="2088" spans="9:16">
      <c r="I2088" s="895" t="s">
        <v>94</v>
      </c>
      <c r="J2088" s="897" t="s">
        <v>95</v>
      </c>
      <c r="K2088" s="897" t="s">
        <v>96</v>
      </c>
      <c r="L2088" s="897" t="s">
        <v>3</v>
      </c>
      <c r="M2088" s="897" t="s">
        <v>97</v>
      </c>
      <c r="N2088" s="897" t="s">
        <v>98</v>
      </c>
      <c r="O2088" s="897" t="s">
        <v>99</v>
      </c>
      <c r="P2088" s="899"/>
    </row>
    <row r="2089" spans="9:16" ht="15.75" thickBot="1">
      <c r="I2089" s="896"/>
      <c r="J2089" s="898"/>
      <c r="K2089" s="898"/>
      <c r="L2089" s="898"/>
      <c r="M2089" s="898"/>
      <c r="N2089" s="898"/>
      <c r="O2089" s="240" t="s">
        <v>100</v>
      </c>
      <c r="P2089" s="182" t="s">
        <v>101</v>
      </c>
    </row>
    <row r="2090" spans="9:16">
      <c r="I2090" s="881">
        <v>230</v>
      </c>
      <c r="J2090" s="875">
        <v>42551</v>
      </c>
      <c r="K2090" s="877" t="s">
        <v>1008</v>
      </c>
      <c r="L2090" s="879" t="s">
        <v>1010</v>
      </c>
      <c r="M2090" s="881" t="s">
        <v>145</v>
      </c>
      <c r="N2090" s="883">
        <v>100000</v>
      </c>
      <c r="O2090" s="55">
        <v>719</v>
      </c>
      <c r="P2090" s="78">
        <v>0</v>
      </c>
    </row>
    <row r="2091" spans="9:16" ht="15.75" thickBot="1">
      <c r="I2091" s="882"/>
      <c r="J2091" s="876"/>
      <c r="K2091" s="878"/>
      <c r="L2091" s="880"/>
      <c r="M2091" s="882"/>
      <c r="N2091" s="884"/>
      <c r="O2091" s="56">
        <v>721</v>
      </c>
      <c r="P2091" s="79">
        <v>100000</v>
      </c>
    </row>
    <row r="2092" spans="9:16" ht="15" customHeight="1">
      <c r="I2092" s="881">
        <v>231</v>
      </c>
      <c r="J2092" s="875">
        <v>42551</v>
      </c>
      <c r="K2092" s="877" t="s">
        <v>1009</v>
      </c>
      <c r="L2092" s="879" t="s">
        <v>1010</v>
      </c>
      <c r="M2092" s="881" t="s">
        <v>145</v>
      </c>
      <c r="N2092" s="883">
        <v>100000</v>
      </c>
      <c r="O2092" s="55">
        <v>719</v>
      </c>
      <c r="P2092" s="78">
        <v>0</v>
      </c>
    </row>
    <row r="2093" spans="9:16" ht="15.75" customHeight="1" thickBot="1">
      <c r="I2093" s="882"/>
      <c r="J2093" s="876"/>
      <c r="K2093" s="878"/>
      <c r="L2093" s="880"/>
      <c r="M2093" s="882"/>
      <c r="N2093" s="884"/>
      <c r="O2093" s="56">
        <v>721</v>
      </c>
      <c r="P2093" s="79">
        <v>100000</v>
      </c>
    </row>
    <row r="2094" spans="9:16">
      <c r="I2094" s="881"/>
      <c r="J2094" s="875"/>
      <c r="K2094" s="877"/>
      <c r="L2094" s="879"/>
      <c r="M2094" s="881"/>
      <c r="N2094" s="883"/>
      <c r="O2094" s="55">
        <v>719</v>
      </c>
      <c r="P2094" s="78">
        <v>0</v>
      </c>
    </row>
    <row r="2095" spans="9:16" ht="14.25" customHeight="1" thickBot="1">
      <c r="I2095" s="882"/>
      <c r="J2095" s="876"/>
      <c r="K2095" s="878"/>
      <c r="L2095" s="880"/>
      <c r="M2095" s="882"/>
      <c r="N2095" s="884"/>
      <c r="O2095" s="56">
        <v>721</v>
      </c>
      <c r="P2095" s="79">
        <f>+N2094-P2094</f>
        <v>0</v>
      </c>
    </row>
    <row r="2096" spans="9:16" ht="15" customHeight="1">
      <c r="I2096" s="881"/>
      <c r="J2096" s="875"/>
      <c r="K2096" s="877"/>
      <c r="L2096" s="879"/>
      <c r="M2096" s="881"/>
      <c r="N2096" s="883"/>
      <c r="O2096" s="55">
        <v>719</v>
      </c>
      <c r="P2096" s="78">
        <v>0</v>
      </c>
    </row>
    <row r="2097" spans="9:16" ht="15.75" customHeight="1" thickBot="1">
      <c r="I2097" s="882"/>
      <c r="J2097" s="876"/>
      <c r="K2097" s="878"/>
      <c r="L2097" s="880"/>
      <c r="M2097" s="882"/>
      <c r="N2097" s="884"/>
      <c r="O2097" s="56">
        <v>721</v>
      </c>
      <c r="P2097" s="79">
        <f>+N2096-P2096</f>
        <v>0</v>
      </c>
    </row>
    <row r="2098" spans="9:16" ht="10.5" customHeight="1">
      <c r="I2098" s="881"/>
      <c r="J2098" s="875"/>
      <c r="K2098" s="877"/>
      <c r="L2098" s="881"/>
      <c r="M2098" s="881"/>
      <c r="N2098" s="883"/>
      <c r="O2098" s="55">
        <v>719</v>
      </c>
      <c r="P2098" s="78"/>
    </row>
    <row r="2099" spans="9:16" ht="14.25" customHeight="1" thickBot="1">
      <c r="I2099" s="882"/>
      <c r="J2099" s="876"/>
      <c r="K2099" s="878"/>
      <c r="L2099" s="882"/>
      <c r="M2099" s="882"/>
      <c r="N2099" s="884"/>
      <c r="O2099" s="56">
        <v>721</v>
      </c>
      <c r="P2099" s="79">
        <f>+N2098-P2098</f>
        <v>0</v>
      </c>
    </row>
    <row r="2100" spans="9:16" ht="16.5" customHeight="1" thickBot="1">
      <c r="I2100" s="901" t="s">
        <v>102</v>
      </c>
      <c r="J2100" s="902"/>
      <c r="K2100" s="902"/>
      <c r="L2100" s="902"/>
      <c r="M2100" s="903"/>
      <c r="N2100" s="81">
        <f>SUM(N2090:N2099)</f>
        <v>200000</v>
      </c>
    </row>
    <row r="2101" spans="9:16" ht="16.5" customHeight="1" thickBot="1">
      <c r="I2101" s="885" t="s">
        <v>103</v>
      </c>
      <c r="J2101" s="886"/>
      <c r="K2101" s="886"/>
      <c r="L2101" s="886"/>
      <c r="M2101" s="887"/>
      <c r="N2101" s="69">
        <f>+N2065</f>
        <v>534980760</v>
      </c>
      <c r="O2101" s="241" t="s">
        <v>561</v>
      </c>
      <c r="P2101" s="242"/>
    </row>
    <row r="2102" spans="9:16" ht="16.5" customHeight="1" thickBot="1">
      <c r="I2102" s="888" t="s">
        <v>104</v>
      </c>
      <c r="J2102" s="889"/>
      <c r="K2102" s="889"/>
      <c r="L2102" s="889"/>
      <c r="M2102" s="890"/>
      <c r="N2102" s="183">
        <f>SUM(N2100:N2101)</f>
        <v>535180760</v>
      </c>
    </row>
    <row r="2103" spans="9:16" ht="15.75" customHeight="1">
      <c r="I2103" s="61"/>
      <c r="J2103" s="61"/>
      <c r="K2103" s="61"/>
      <c r="L2103" s="61"/>
      <c r="M2103" s="61"/>
    </row>
    <row r="2104" spans="9:16" ht="15" customHeight="1">
      <c r="I2104" s="51" t="s">
        <v>1012</v>
      </c>
    </row>
    <row r="2105" spans="9:16" ht="14.25" customHeight="1">
      <c r="N2105" s="139"/>
    </row>
    <row r="2106" spans="9:16">
      <c r="I2106" s="50" t="s">
        <v>105</v>
      </c>
      <c r="L2106" s="146"/>
      <c r="N2106" s="139"/>
    </row>
    <row r="2107" spans="9:16" ht="14.25" customHeight="1" thickBot="1"/>
    <row r="2108" spans="9:16" ht="15.75" thickBot="1">
      <c r="I2108" s="891" t="s">
        <v>106</v>
      </c>
      <c r="J2108" s="892"/>
      <c r="K2108" s="892"/>
      <c r="L2108" s="893"/>
      <c r="N2108" s="50" t="s">
        <v>288</v>
      </c>
    </row>
    <row r="2109" spans="9:16" ht="30.75" thickBot="1">
      <c r="I2109" s="57" t="s">
        <v>100</v>
      </c>
      <c r="J2109" s="58" t="s">
        <v>108</v>
      </c>
      <c r="K2109" s="287" t="s">
        <v>109</v>
      </c>
      <c r="L2109" s="60" t="s">
        <v>110</v>
      </c>
    </row>
    <row r="2110" spans="9:16">
      <c r="I2110" s="71">
        <v>719</v>
      </c>
      <c r="J2110" s="73">
        <f>+P2090+P2092+P2094+P2096+P2098</f>
        <v>0</v>
      </c>
      <c r="K2110" s="74">
        <f>+L2073</f>
        <v>33691700</v>
      </c>
      <c r="L2110" s="195">
        <f>+J2110+K2110</f>
        <v>33691700</v>
      </c>
    </row>
    <row r="2111" spans="9:16">
      <c r="I2111" s="72">
        <v>721</v>
      </c>
      <c r="J2111" s="80">
        <f>+P2091+P2093+P2095+P2097</f>
        <v>200000</v>
      </c>
      <c r="K2111" s="74">
        <f>+L2074</f>
        <v>89093509</v>
      </c>
      <c r="L2111" s="195">
        <f>+J2111+K2111</f>
        <v>89293509</v>
      </c>
    </row>
    <row r="2112" spans="9:16">
      <c r="I2112" s="72">
        <v>722</v>
      </c>
      <c r="J2112" s="80"/>
      <c r="K2112" s="74">
        <f>+L2075</f>
        <v>15549900</v>
      </c>
      <c r="L2112" s="195">
        <f>+J2112+K2112</f>
        <v>15549900</v>
      </c>
    </row>
    <row r="2113" spans="9:18" ht="15.75">
      <c r="I2113" s="72">
        <v>723</v>
      </c>
      <c r="J2113" s="80"/>
      <c r="K2113" s="74">
        <f>+L2076</f>
        <v>396645651</v>
      </c>
      <c r="L2113" s="195">
        <f>+J2113+K2113</f>
        <v>396645651</v>
      </c>
      <c r="N2113" s="193" t="s">
        <v>289</v>
      </c>
      <c r="O2113" s="175"/>
    </row>
    <row r="2114" spans="9:18" ht="16.5" thickBot="1">
      <c r="I2114" s="164" t="s">
        <v>181</v>
      </c>
      <c r="J2114" s="165"/>
      <c r="K2114" s="74">
        <f>+L2077</f>
        <v>0</v>
      </c>
      <c r="L2114" s="196">
        <f>+J2114+K2114</f>
        <v>0</v>
      </c>
      <c r="N2114" s="52"/>
    </row>
    <row r="2115" spans="9:18" ht="16.5" thickBot="1">
      <c r="I2115" s="169"/>
      <c r="J2115" s="197">
        <f>SUM(J2110:J2114)</f>
        <v>200000</v>
      </c>
      <c r="K2115" s="197">
        <f>SUM(K2110:K2114)</f>
        <v>534980760</v>
      </c>
      <c r="L2115" s="198">
        <f>SUM(L2110:L2114)</f>
        <v>535180760</v>
      </c>
    </row>
    <row r="2116" spans="9:18" ht="16.5">
      <c r="I2116" s="49" t="s">
        <v>88</v>
      </c>
      <c r="J2116" s="50"/>
    </row>
    <row r="2117" spans="9:18">
      <c r="I2117" s="51" t="s">
        <v>89</v>
      </c>
    </row>
    <row r="2118" spans="9:18">
      <c r="I2118" s="51" t="s">
        <v>90</v>
      </c>
    </row>
    <row r="2119" spans="9:18">
      <c r="I2119" s="51" t="s">
        <v>91</v>
      </c>
    </row>
    <row r="2120" spans="9:18">
      <c r="I2120" s="50"/>
      <c r="J2120" s="50"/>
    </row>
    <row r="2121" spans="9:18" ht="15.75">
      <c r="I2121" s="260" t="s">
        <v>1013</v>
      </c>
      <c r="O2121" s="52"/>
    </row>
    <row r="2122" spans="9:18" ht="15.75">
      <c r="I2122" s="53" t="s">
        <v>535</v>
      </c>
      <c r="O2122" s="53"/>
    </row>
    <row r="2123" spans="9:18" ht="16.5">
      <c r="I2123" s="894" t="s">
        <v>1011</v>
      </c>
      <c r="J2123" s="894"/>
      <c r="K2123" s="894"/>
      <c r="L2123" s="894"/>
      <c r="M2123" s="894"/>
      <c r="N2123" s="894"/>
      <c r="O2123" s="894"/>
      <c r="P2123" s="894"/>
    </row>
    <row r="2124" spans="9:18" ht="15.75" thickBot="1"/>
    <row r="2125" spans="9:18">
      <c r="I2125" s="895" t="s">
        <v>94</v>
      </c>
      <c r="J2125" s="897" t="s">
        <v>95</v>
      </c>
      <c r="K2125" s="897" t="s">
        <v>96</v>
      </c>
      <c r="L2125" s="897" t="s">
        <v>3</v>
      </c>
      <c r="M2125" s="897" t="s">
        <v>97</v>
      </c>
      <c r="N2125" s="897" t="s">
        <v>98</v>
      </c>
      <c r="O2125" s="897" t="s">
        <v>99</v>
      </c>
      <c r="P2125" s="899"/>
    </row>
    <row r="2126" spans="9:18" ht="15.75" thickBot="1">
      <c r="I2126" s="896"/>
      <c r="J2126" s="898"/>
      <c r="K2126" s="898"/>
      <c r="L2126" s="898"/>
      <c r="M2126" s="898"/>
      <c r="N2126" s="898"/>
      <c r="O2126" s="240" t="s">
        <v>100</v>
      </c>
      <c r="P2126" s="182" t="s">
        <v>101</v>
      </c>
      <c r="R2126" s="51" t="s">
        <v>631</v>
      </c>
    </row>
    <row r="2127" spans="9:18">
      <c r="I2127" s="881">
        <v>232</v>
      </c>
      <c r="J2127" s="875">
        <v>42556</v>
      </c>
      <c r="K2127" s="877" t="s">
        <v>1014</v>
      </c>
      <c r="L2127" s="879" t="s">
        <v>1010</v>
      </c>
      <c r="M2127" s="881" t="s">
        <v>115</v>
      </c>
      <c r="N2127" s="883">
        <v>50000</v>
      </c>
      <c r="O2127" s="55">
        <v>719</v>
      </c>
      <c r="P2127" s="78">
        <v>50000</v>
      </c>
    </row>
    <row r="2128" spans="9:18" ht="15.75" thickBot="1">
      <c r="I2128" s="882"/>
      <c r="J2128" s="876"/>
      <c r="K2128" s="878"/>
      <c r="L2128" s="880"/>
      <c r="M2128" s="882"/>
      <c r="N2128" s="884"/>
      <c r="O2128" s="56">
        <v>721</v>
      </c>
      <c r="P2128" s="79"/>
    </row>
    <row r="2129" spans="9:16">
      <c r="I2129" s="881">
        <v>233</v>
      </c>
      <c r="J2129" s="875">
        <v>42556</v>
      </c>
      <c r="K2129" s="877" t="s">
        <v>120</v>
      </c>
      <c r="L2129" s="879" t="s">
        <v>1015</v>
      </c>
      <c r="M2129" s="881" t="s">
        <v>115</v>
      </c>
      <c r="N2129" s="883">
        <v>10000</v>
      </c>
      <c r="O2129" s="55">
        <v>719</v>
      </c>
      <c r="P2129" s="78">
        <v>10000</v>
      </c>
    </row>
    <row r="2130" spans="9:16" ht="15.75" thickBot="1">
      <c r="I2130" s="882"/>
      <c r="J2130" s="876"/>
      <c r="K2130" s="878"/>
      <c r="L2130" s="880"/>
      <c r="M2130" s="882"/>
      <c r="N2130" s="884"/>
      <c r="O2130" s="56">
        <v>721</v>
      </c>
      <c r="P2130" s="79"/>
    </row>
    <row r="2131" spans="9:16">
      <c r="I2131" s="881"/>
      <c r="J2131" s="875"/>
      <c r="K2131" s="877"/>
      <c r="L2131" s="879"/>
      <c r="M2131" s="881"/>
      <c r="N2131" s="883"/>
      <c r="O2131" s="55">
        <v>719</v>
      </c>
      <c r="P2131" s="78">
        <v>0</v>
      </c>
    </row>
    <row r="2132" spans="9:16" ht="12.75" customHeight="1" thickBot="1">
      <c r="I2132" s="882"/>
      <c r="J2132" s="876"/>
      <c r="K2132" s="878"/>
      <c r="L2132" s="880"/>
      <c r="M2132" s="882"/>
      <c r="N2132" s="884"/>
      <c r="O2132" s="56">
        <v>721</v>
      </c>
      <c r="P2132" s="79">
        <f>+N2131-P2131</f>
        <v>0</v>
      </c>
    </row>
    <row r="2133" spans="9:16">
      <c r="I2133" s="881"/>
      <c r="J2133" s="875"/>
      <c r="K2133" s="877"/>
      <c r="L2133" s="879"/>
      <c r="M2133" s="881"/>
      <c r="N2133" s="883"/>
      <c r="O2133" s="55">
        <v>719</v>
      </c>
      <c r="P2133" s="78">
        <v>0</v>
      </c>
    </row>
    <row r="2134" spans="9:16" ht="12.75" customHeight="1" thickBot="1">
      <c r="I2134" s="882"/>
      <c r="J2134" s="876"/>
      <c r="K2134" s="878"/>
      <c r="L2134" s="880"/>
      <c r="M2134" s="882"/>
      <c r="N2134" s="884"/>
      <c r="O2134" s="56">
        <v>721</v>
      </c>
      <c r="P2134" s="79">
        <f>+N2133-P2133</f>
        <v>0</v>
      </c>
    </row>
    <row r="2135" spans="9:16">
      <c r="I2135" s="881"/>
      <c r="J2135" s="875"/>
      <c r="K2135" s="877"/>
      <c r="L2135" s="881"/>
      <c r="M2135" s="881"/>
      <c r="N2135" s="883"/>
      <c r="O2135" s="55">
        <v>719</v>
      </c>
      <c r="P2135" s="78"/>
    </row>
    <row r="2136" spans="9:16" ht="12.75" customHeight="1" thickBot="1">
      <c r="I2136" s="882"/>
      <c r="J2136" s="876"/>
      <c r="K2136" s="878"/>
      <c r="L2136" s="882"/>
      <c r="M2136" s="882"/>
      <c r="N2136" s="884"/>
      <c r="O2136" s="56">
        <v>721</v>
      </c>
      <c r="P2136" s="79">
        <f>+N2135-P2135</f>
        <v>0</v>
      </c>
    </row>
    <row r="2137" spans="9:16" ht="16.5" thickBot="1">
      <c r="I2137" s="901" t="s">
        <v>102</v>
      </c>
      <c r="J2137" s="902"/>
      <c r="K2137" s="902"/>
      <c r="L2137" s="902"/>
      <c r="M2137" s="903"/>
      <c r="N2137" s="81">
        <f>SUM(N2127:N2136)</f>
        <v>60000</v>
      </c>
    </row>
    <row r="2138" spans="9:16" ht="16.5" thickBot="1">
      <c r="I2138" s="885" t="s">
        <v>103</v>
      </c>
      <c r="J2138" s="886"/>
      <c r="K2138" s="886"/>
      <c r="L2138" s="886"/>
      <c r="M2138" s="887"/>
      <c r="N2138" s="69">
        <f>+N2102</f>
        <v>535180760</v>
      </c>
      <c r="O2138" s="241" t="s">
        <v>561</v>
      </c>
      <c r="P2138" s="242">
        <v>161</v>
      </c>
    </row>
    <row r="2139" spans="9:16" ht="16.5" thickBot="1">
      <c r="I2139" s="888" t="s">
        <v>104</v>
      </c>
      <c r="J2139" s="889"/>
      <c r="K2139" s="889"/>
      <c r="L2139" s="889"/>
      <c r="M2139" s="890"/>
      <c r="N2139" s="183">
        <f>SUM(N2137:N2138)</f>
        <v>535240760</v>
      </c>
    </row>
    <row r="2140" spans="9:16">
      <c r="I2140" s="61"/>
      <c r="J2140" s="61"/>
      <c r="K2140" s="61"/>
      <c r="L2140" s="61"/>
      <c r="M2140" s="61"/>
    </row>
    <row r="2141" spans="9:16">
      <c r="I2141" s="51" t="s">
        <v>1016</v>
      </c>
    </row>
    <row r="2142" spans="9:16">
      <c r="N2142" s="139"/>
    </row>
    <row r="2143" spans="9:16">
      <c r="I2143" s="50" t="s">
        <v>105</v>
      </c>
      <c r="L2143" s="146"/>
      <c r="N2143" s="139"/>
    </row>
    <row r="2144" spans="9:16" ht="15.75" thickBot="1"/>
    <row r="2145" spans="9:16" ht="15.75" thickBot="1">
      <c r="I2145" s="891" t="s">
        <v>106</v>
      </c>
      <c r="J2145" s="892"/>
      <c r="K2145" s="892"/>
      <c r="L2145" s="893"/>
      <c r="N2145" s="50" t="s">
        <v>288</v>
      </c>
    </row>
    <row r="2146" spans="9:16" ht="30.75" thickBot="1">
      <c r="I2146" s="57" t="s">
        <v>100</v>
      </c>
      <c r="J2146" s="58" t="s">
        <v>108</v>
      </c>
      <c r="K2146" s="287" t="s">
        <v>109</v>
      </c>
      <c r="L2146" s="60" t="s">
        <v>110</v>
      </c>
    </row>
    <row r="2147" spans="9:16">
      <c r="I2147" s="71">
        <v>719</v>
      </c>
      <c r="J2147" s="73">
        <f>+P2127+P2129+P2131+P2133+P2135</f>
        <v>60000</v>
      </c>
      <c r="K2147" s="74">
        <f>+L2110</f>
        <v>33691700</v>
      </c>
      <c r="L2147" s="195">
        <f>+J2147+K2147</f>
        <v>33751700</v>
      </c>
    </row>
    <row r="2148" spans="9:16">
      <c r="I2148" s="72">
        <v>721</v>
      </c>
      <c r="J2148" s="80">
        <f>+P2128+P2130+P2132+P2134</f>
        <v>0</v>
      </c>
      <c r="K2148" s="74">
        <f>+L2111</f>
        <v>89293509</v>
      </c>
      <c r="L2148" s="195">
        <f>+J2148+K2148</f>
        <v>89293509</v>
      </c>
    </row>
    <row r="2149" spans="9:16">
      <c r="I2149" s="72">
        <v>722</v>
      </c>
      <c r="J2149" s="80"/>
      <c r="K2149" s="74">
        <f>+L2112</f>
        <v>15549900</v>
      </c>
      <c r="L2149" s="195">
        <f>+J2149+K2149</f>
        <v>15549900</v>
      </c>
    </row>
    <row r="2150" spans="9:16" ht="15.75">
      <c r="I2150" s="72">
        <v>723</v>
      </c>
      <c r="J2150" s="80"/>
      <c r="K2150" s="74">
        <f>+L2113</f>
        <v>396645651</v>
      </c>
      <c r="L2150" s="195">
        <f>+J2150+K2150</f>
        <v>396645651</v>
      </c>
      <c r="N2150" s="193" t="s">
        <v>289</v>
      </c>
      <c r="O2150" s="175"/>
    </row>
    <row r="2151" spans="9:16" ht="16.5" thickBot="1">
      <c r="I2151" s="164" t="s">
        <v>181</v>
      </c>
      <c r="J2151" s="165"/>
      <c r="K2151" s="74">
        <f>+L2114</f>
        <v>0</v>
      </c>
      <c r="L2151" s="196">
        <f>+J2151+K2151</f>
        <v>0</v>
      </c>
      <c r="N2151" s="52"/>
    </row>
    <row r="2152" spans="9:16" ht="16.5" thickBot="1">
      <c r="I2152" s="169"/>
      <c r="J2152" s="197">
        <f>SUM(J2147:J2151)</f>
        <v>60000</v>
      </c>
      <c r="K2152" s="197">
        <f>SUM(K2147:K2151)</f>
        <v>535180760</v>
      </c>
      <c r="L2152" s="198">
        <f>SUM(L2147:L2151)</f>
        <v>535240760</v>
      </c>
    </row>
    <row r="2153" spans="9:16" ht="16.5">
      <c r="I2153" s="49" t="s">
        <v>88</v>
      </c>
      <c r="J2153" s="50"/>
    </row>
    <row r="2154" spans="9:16">
      <c r="I2154" s="51" t="s">
        <v>89</v>
      </c>
    </row>
    <row r="2155" spans="9:16">
      <c r="I2155" s="51" t="s">
        <v>90</v>
      </c>
    </row>
    <row r="2156" spans="9:16">
      <c r="I2156" s="51" t="s">
        <v>91</v>
      </c>
    </row>
    <row r="2157" spans="9:16" ht="10.5" customHeight="1">
      <c r="I2157" s="50"/>
      <c r="J2157" s="50"/>
    </row>
    <row r="2158" spans="9:16" ht="15.75">
      <c r="I2158" s="260" t="s">
        <v>1017</v>
      </c>
      <c r="O2158" s="52"/>
    </row>
    <row r="2159" spans="9:16" ht="15.75">
      <c r="I2159" s="53" t="s">
        <v>535</v>
      </c>
      <c r="O2159" s="53"/>
    </row>
    <row r="2160" spans="9:16" ht="15.75" customHeight="1">
      <c r="I2160" s="894" t="s">
        <v>909</v>
      </c>
      <c r="J2160" s="894"/>
      <c r="K2160" s="894"/>
      <c r="L2160" s="894"/>
      <c r="M2160" s="894"/>
      <c r="N2160" s="894"/>
      <c r="O2160" s="894"/>
      <c r="P2160" s="894"/>
    </row>
    <row r="2161" spans="9:16" ht="12.75" customHeight="1" thickBot="1"/>
    <row r="2162" spans="9:16">
      <c r="I2162" s="895" t="s">
        <v>94</v>
      </c>
      <c r="J2162" s="897" t="s">
        <v>95</v>
      </c>
      <c r="K2162" s="897" t="s">
        <v>96</v>
      </c>
      <c r="L2162" s="897" t="s">
        <v>3</v>
      </c>
      <c r="M2162" s="897" t="s">
        <v>97</v>
      </c>
      <c r="N2162" s="897" t="s">
        <v>98</v>
      </c>
      <c r="O2162" s="897" t="s">
        <v>99</v>
      </c>
      <c r="P2162" s="899"/>
    </row>
    <row r="2163" spans="9:16" ht="15.75" thickBot="1">
      <c r="I2163" s="896"/>
      <c r="J2163" s="898"/>
      <c r="K2163" s="898"/>
      <c r="L2163" s="898"/>
      <c r="M2163" s="898"/>
      <c r="N2163" s="898"/>
      <c r="O2163" s="240" t="s">
        <v>100</v>
      </c>
      <c r="P2163" s="182" t="s">
        <v>101</v>
      </c>
    </row>
    <row r="2164" spans="9:16">
      <c r="I2164" s="881">
        <v>234</v>
      </c>
      <c r="J2164" s="875">
        <v>42573</v>
      </c>
      <c r="K2164" s="877" t="s">
        <v>1014</v>
      </c>
      <c r="L2164" s="879" t="s">
        <v>1018</v>
      </c>
      <c r="M2164" s="881" t="s">
        <v>115</v>
      </c>
      <c r="N2164" s="883">
        <v>100000</v>
      </c>
      <c r="O2164" s="55">
        <v>719</v>
      </c>
      <c r="P2164" s="78">
        <v>100000</v>
      </c>
    </row>
    <row r="2165" spans="9:16" ht="11.25" customHeight="1" thickBot="1">
      <c r="I2165" s="882"/>
      <c r="J2165" s="876"/>
      <c r="K2165" s="878"/>
      <c r="L2165" s="880"/>
      <c r="M2165" s="882"/>
      <c r="N2165" s="884"/>
      <c r="O2165" s="56">
        <v>721</v>
      </c>
      <c r="P2165" s="79"/>
    </row>
    <row r="2166" spans="9:16" ht="15" customHeight="1">
      <c r="I2166" s="881">
        <v>235</v>
      </c>
      <c r="J2166" s="875">
        <v>42573</v>
      </c>
      <c r="K2166" s="877" t="s">
        <v>28</v>
      </c>
      <c r="L2166" s="879" t="s">
        <v>1019</v>
      </c>
      <c r="M2166" s="881" t="s">
        <v>115</v>
      </c>
      <c r="N2166" s="883">
        <v>10000</v>
      </c>
      <c r="O2166" s="55">
        <v>719</v>
      </c>
      <c r="P2166" s="78">
        <v>10000</v>
      </c>
    </row>
    <row r="2167" spans="9:16" ht="12.75" customHeight="1" thickBot="1">
      <c r="I2167" s="882"/>
      <c r="J2167" s="876"/>
      <c r="K2167" s="878"/>
      <c r="L2167" s="880"/>
      <c r="M2167" s="882"/>
      <c r="N2167" s="884"/>
      <c r="O2167" s="56">
        <v>721</v>
      </c>
      <c r="P2167" s="79"/>
    </row>
    <row r="2168" spans="9:16" ht="15" customHeight="1">
      <c r="I2168" s="881">
        <v>236</v>
      </c>
      <c r="J2168" s="875">
        <v>42573</v>
      </c>
      <c r="K2168" s="877" t="s">
        <v>1014</v>
      </c>
      <c r="L2168" s="879" t="s">
        <v>1020</v>
      </c>
      <c r="M2168" s="881" t="s">
        <v>115</v>
      </c>
      <c r="N2168" s="883">
        <v>140000</v>
      </c>
      <c r="O2168" s="55">
        <v>719</v>
      </c>
      <c r="P2168" s="78">
        <v>140000</v>
      </c>
    </row>
    <row r="2169" spans="9:16" ht="12.75" customHeight="1" thickBot="1">
      <c r="I2169" s="882"/>
      <c r="J2169" s="876"/>
      <c r="K2169" s="878"/>
      <c r="L2169" s="880"/>
      <c r="M2169" s="882"/>
      <c r="N2169" s="884"/>
      <c r="O2169" s="56">
        <v>721</v>
      </c>
      <c r="P2169" s="79">
        <f>+N2168-P2168</f>
        <v>0</v>
      </c>
    </row>
    <row r="2170" spans="9:16">
      <c r="I2170" s="881">
        <v>237</v>
      </c>
      <c r="J2170" s="875">
        <v>42573</v>
      </c>
      <c r="K2170" s="877" t="s">
        <v>28</v>
      </c>
      <c r="L2170" s="879" t="s">
        <v>1022</v>
      </c>
      <c r="M2170" s="881" t="s">
        <v>115</v>
      </c>
      <c r="N2170" s="883">
        <v>60000</v>
      </c>
      <c r="O2170" s="55">
        <v>719</v>
      </c>
      <c r="P2170" s="78">
        <v>60000</v>
      </c>
    </row>
    <row r="2171" spans="9:16" ht="13.5" customHeight="1" thickBot="1">
      <c r="I2171" s="882"/>
      <c r="J2171" s="876"/>
      <c r="K2171" s="878"/>
      <c r="L2171" s="880"/>
      <c r="M2171" s="882"/>
      <c r="N2171" s="884"/>
      <c r="O2171" s="56">
        <v>721</v>
      </c>
      <c r="P2171" s="79">
        <f>+N2170-P2170</f>
        <v>0</v>
      </c>
    </row>
    <row r="2172" spans="9:16" ht="15" customHeight="1">
      <c r="I2172" s="881">
        <v>238</v>
      </c>
      <c r="J2172" s="875">
        <v>42573</v>
      </c>
      <c r="K2172" s="877" t="s">
        <v>28</v>
      </c>
      <c r="L2172" s="879" t="s">
        <v>1021</v>
      </c>
      <c r="M2172" s="881" t="s">
        <v>115</v>
      </c>
      <c r="N2172" s="883">
        <v>40000</v>
      </c>
      <c r="O2172" s="55">
        <v>719</v>
      </c>
      <c r="P2172" s="78">
        <v>40000</v>
      </c>
    </row>
    <row r="2173" spans="9:16" ht="12" customHeight="1" thickBot="1">
      <c r="I2173" s="882"/>
      <c r="J2173" s="876"/>
      <c r="K2173" s="878"/>
      <c r="L2173" s="880"/>
      <c r="M2173" s="882"/>
      <c r="N2173" s="884"/>
      <c r="O2173" s="56">
        <v>721</v>
      </c>
      <c r="P2173" s="79">
        <f>+N2172-P2172</f>
        <v>0</v>
      </c>
    </row>
    <row r="2174" spans="9:16" ht="15" customHeight="1">
      <c r="I2174" s="881">
        <v>239</v>
      </c>
      <c r="J2174" s="875">
        <v>42573</v>
      </c>
      <c r="K2174" s="877" t="s">
        <v>120</v>
      </c>
      <c r="L2174" s="879" t="s">
        <v>1010</v>
      </c>
      <c r="M2174" s="881" t="s">
        <v>115</v>
      </c>
      <c r="N2174" s="883">
        <v>1259900</v>
      </c>
      <c r="O2174" s="55">
        <v>719</v>
      </c>
      <c r="P2174" s="78"/>
    </row>
    <row r="2175" spans="9:16" ht="12.75" customHeight="1" thickBot="1">
      <c r="I2175" s="882"/>
      <c r="J2175" s="876"/>
      <c r="K2175" s="878"/>
      <c r="L2175" s="880"/>
      <c r="M2175" s="882"/>
      <c r="N2175" s="884"/>
      <c r="O2175" s="56">
        <v>723</v>
      </c>
      <c r="P2175" s="79">
        <f>+N2174-P2174</f>
        <v>1259900</v>
      </c>
    </row>
    <row r="2176" spans="9:16" ht="16.5" thickBot="1">
      <c r="I2176" s="901" t="s">
        <v>102</v>
      </c>
      <c r="J2176" s="902"/>
      <c r="K2176" s="902"/>
      <c r="L2176" s="902"/>
      <c r="M2176" s="903"/>
      <c r="N2176" s="81">
        <f>SUM(N2164:N2175)</f>
        <v>1609900</v>
      </c>
    </row>
    <row r="2177" spans="9:16" ht="16.5" thickBot="1">
      <c r="I2177" s="885" t="s">
        <v>103</v>
      </c>
      <c r="J2177" s="886"/>
      <c r="K2177" s="886"/>
      <c r="L2177" s="886"/>
      <c r="M2177" s="887"/>
      <c r="N2177" s="69">
        <f>+N2139</f>
        <v>535240760</v>
      </c>
      <c r="O2177" s="241" t="s">
        <v>561</v>
      </c>
      <c r="P2177" s="242">
        <f>28+324+91+533+198</f>
        <v>1174</v>
      </c>
    </row>
    <row r="2178" spans="9:16" ht="16.5" thickBot="1">
      <c r="I2178" s="888" t="s">
        <v>104</v>
      </c>
      <c r="J2178" s="889"/>
      <c r="K2178" s="889"/>
      <c r="L2178" s="889"/>
      <c r="M2178" s="890"/>
      <c r="N2178" s="183">
        <f>SUM(N2176:N2177)</f>
        <v>536850660</v>
      </c>
    </row>
    <row r="2179" spans="9:16" ht="12.75" customHeight="1">
      <c r="I2179" s="61"/>
      <c r="J2179" s="61"/>
      <c r="K2179" s="61"/>
      <c r="L2179" s="61"/>
      <c r="M2179" s="61"/>
    </row>
    <row r="2180" spans="9:16">
      <c r="I2180" s="51" t="s">
        <v>1023</v>
      </c>
    </row>
    <row r="2181" spans="9:16" ht="12" customHeight="1">
      <c r="N2181" s="139"/>
    </row>
    <row r="2182" spans="9:16">
      <c r="I2182" s="50" t="s">
        <v>105</v>
      </c>
      <c r="L2182" s="146"/>
      <c r="N2182" s="139"/>
    </row>
    <row r="2183" spans="9:16" ht="12.75" customHeight="1" thickBot="1"/>
    <row r="2184" spans="9:16" ht="15.75" thickBot="1">
      <c r="I2184" s="891" t="s">
        <v>106</v>
      </c>
      <c r="J2184" s="892"/>
      <c r="K2184" s="892"/>
      <c r="L2184" s="893"/>
      <c r="N2184" s="50" t="s">
        <v>288</v>
      </c>
    </row>
    <row r="2185" spans="9:16" ht="30.75" thickBot="1">
      <c r="I2185" s="57" t="s">
        <v>100</v>
      </c>
      <c r="J2185" s="58" t="s">
        <v>108</v>
      </c>
      <c r="K2185" s="287" t="s">
        <v>109</v>
      </c>
      <c r="L2185" s="60" t="s">
        <v>110</v>
      </c>
    </row>
    <row r="2186" spans="9:16">
      <c r="I2186" s="71">
        <v>719</v>
      </c>
      <c r="J2186" s="73">
        <f>+P2164+P2166+P2168+P2172+P2174+P2170</f>
        <v>350000</v>
      </c>
      <c r="K2186" s="74">
        <f>+L2147</f>
        <v>33751700</v>
      </c>
      <c r="L2186" s="195">
        <f>+J2186+K2186</f>
        <v>34101700</v>
      </c>
    </row>
    <row r="2187" spans="9:16" ht="13.5" customHeight="1">
      <c r="I2187" s="72">
        <v>721</v>
      </c>
      <c r="J2187" s="80">
        <f>+P2165+P2167+P2169+P2173+P2171</f>
        <v>0</v>
      </c>
      <c r="K2187" s="74">
        <f>+L2148</f>
        <v>89293509</v>
      </c>
      <c r="L2187" s="195">
        <f>+J2187+K2187</f>
        <v>89293509</v>
      </c>
    </row>
    <row r="2188" spans="9:16">
      <c r="I2188" s="72">
        <v>722</v>
      </c>
      <c r="J2188" s="80"/>
      <c r="K2188" s="74">
        <f>+L2149</f>
        <v>15549900</v>
      </c>
      <c r="L2188" s="195">
        <f>+J2188+K2188</f>
        <v>15549900</v>
      </c>
    </row>
    <row r="2189" spans="9:16" ht="15" customHeight="1">
      <c r="I2189" s="72">
        <v>723</v>
      </c>
      <c r="J2189" s="80">
        <f>+P2175</f>
        <v>1259900</v>
      </c>
      <c r="K2189" s="74">
        <f>+L2150</f>
        <v>396645651</v>
      </c>
      <c r="L2189" s="195">
        <f>+J2189+K2189</f>
        <v>397905551</v>
      </c>
      <c r="N2189" s="193" t="s">
        <v>289</v>
      </c>
      <c r="O2189" s="175"/>
    </row>
    <row r="2190" spans="9:16" ht="13.5" customHeight="1" thickBot="1">
      <c r="I2190" s="164" t="s">
        <v>181</v>
      </c>
      <c r="J2190" s="165"/>
      <c r="K2190" s="74">
        <f>+L2151</f>
        <v>0</v>
      </c>
      <c r="L2190" s="196">
        <f>+J2190+K2190</f>
        <v>0</v>
      </c>
      <c r="N2190" s="52"/>
    </row>
    <row r="2191" spans="9:16" ht="16.5" thickBot="1">
      <c r="I2191" s="169"/>
      <c r="J2191" s="197">
        <f>SUM(J2186:J2190)</f>
        <v>1609900</v>
      </c>
      <c r="K2191" s="197">
        <f>SUM(K2186:K2190)</f>
        <v>535240760</v>
      </c>
      <c r="L2191" s="198">
        <f>SUM(L2186:L2190)</f>
        <v>536850660</v>
      </c>
    </row>
    <row r="2192" spans="9:16" ht="16.5">
      <c r="I2192" s="49" t="s">
        <v>88</v>
      </c>
      <c r="J2192" s="50"/>
    </row>
    <row r="2193" spans="9:16">
      <c r="I2193" s="51" t="s">
        <v>89</v>
      </c>
    </row>
    <row r="2194" spans="9:16">
      <c r="I2194" s="51" t="s">
        <v>90</v>
      </c>
    </row>
    <row r="2195" spans="9:16">
      <c r="I2195" s="51" t="s">
        <v>91</v>
      </c>
    </row>
    <row r="2196" spans="9:16" ht="10.5" customHeight="1">
      <c r="I2196" s="50"/>
      <c r="J2196" s="50"/>
    </row>
    <row r="2197" spans="9:16" ht="15.75">
      <c r="I2197" s="260" t="s">
        <v>1024</v>
      </c>
      <c r="O2197" s="52"/>
    </row>
    <row r="2198" spans="9:16" ht="15.75">
      <c r="I2198" s="53" t="s">
        <v>535</v>
      </c>
      <c r="O2198" s="53"/>
    </row>
    <row r="2199" spans="9:16" ht="16.5">
      <c r="I2199" s="894" t="s">
        <v>909</v>
      </c>
      <c r="J2199" s="894"/>
      <c r="K2199" s="894"/>
      <c r="L2199" s="894"/>
      <c r="M2199" s="894"/>
      <c r="N2199" s="894"/>
      <c r="O2199" s="894"/>
      <c r="P2199" s="894"/>
    </row>
    <row r="2200" spans="9:16" ht="15.75" thickBot="1"/>
    <row r="2201" spans="9:16">
      <c r="I2201" s="895" t="s">
        <v>94</v>
      </c>
      <c r="J2201" s="897" t="s">
        <v>95</v>
      </c>
      <c r="K2201" s="897" t="s">
        <v>96</v>
      </c>
      <c r="L2201" s="897" t="s">
        <v>3</v>
      </c>
      <c r="M2201" s="897" t="s">
        <v>97</v>
      </c>
      <c r="N2201" s="897" t="s">
        <v>98</v>
      </c>
      <c r="O2201" s="897" t="s">
        <v>99</v>
      </c>
      <c r="P2201" s="899"/>
    </row>
    <row r="2202" spans="9:16" ht="15.75" thickBot="1">
      <c r="I2202" s="896"/>
      <c r="J2202" s="898"/>
      <c r="K2202" s="898"/>
      <c r="L2202" s="898"/>
      <c r="M2202" s="898"/>
      <c r="N2202" s="898"/>
      <c r="O2202" s="240" t="s">
        <v>100</v>
      </c>
      <c r="P2202" s="182" t="s">
        <v>101</v>
      </c>
    </row>
    <row r="2203" spans="9:16">
      <c r="I2203" s="881">
        <v>240</v>
      </c>
      <c r="J2203" s="875">
        <v>42592</v>
      </c>
      <c r="K2203" s="877" t="s">
        <v>1014</v>
      </c>
      <c r="L2203" s="879" t="s">
        <v>1025</v>
      </c>
      <c r="M2203" s="881" t="s">
        <v>115</v>
      </c>
      <c r="N2203" s="883">
        <v>110000</v>
      </c>
      <c r="O2203" s="55">
        <v>719</v>
      </c>
      <c r="P2203" s="78">
        <f>+N2203</f>
        <v>110000</v>
      </c>
    </row>
    <row r="2204" spans="9:16" ht="15.75" thickBot="1">
      <c r="I2204" s="882"/>
      <c r="J2204" s="876"/>
      <c r="K2204" s="878"/>
      <c r="L2204" s="880"/>
      <c r="M2204" s="882"/>
      <c r="N2204" s="884"/>
      <c r="O2204" s="56">
        <v>721</v>
      </c>
      <c r="P2204" s="79"/>
    </row>
    <row r="2205" spans="9:16" ht="15" customHeight="1">
      <c r="I2205" s="881">
        <v>241</v>
      </c>
      <c r="J2205" s="875">
        <v>42592</v>
      </c>
      <c r="K2205" s="877" t="s">
        <v>28</v>
      </c>
      <c r="L2205" s="879" t="s">
        <v>1026</v>
      </c>
      <c r="M2205" s="881" t="s">
        <v>115</v>
      </c>
      <c r="N2205" s="883">
        <v>70000</v>
      </c>
      <c r="O2205" s="55">
        <v>719</v>
      </c>
      <c r="P2205" s="78">
        <f>+N2205</f>
        <v>70000</v>
      </c>
    </row>
    <row r="2206" spans="9:16" ht="15.75" customHeight="1" thickBot="1">
      <c r="I2206" s="882"/>
      <c r="J2206" s="876"/>
      <c r="K2206" s="878"/>
      <c r="L2206" s="880"/>
      <c r="M2206" s="882"/>
      <c r="N2206" s="884"/>
      <c r="O2206" s="56">
        <v>721</v>
      </c>
      <c r="P2206" s="79"/>
    </row>
    <row r="2207" spans="9:16" ht="15" customHeight="1">
      <c r="I2207" s="881">
        <v>242</v>
      </c>
      <c r="J2207" s="875">
        <v>42592</v>
      </c>
      <c r="K2207" s="877" t="s">
        <v>1014</v>
      </c>
      <c r="L2207" s="879" t="s">
        <v>1027</v>
      </c>
      <c r="M2207" s="881" t="s">
        <v>115</v>
      </c>
      <c r="N2207" s="883">
        <v>260000</v>
      </c>
      <c r="O2207" s="55">
        <v>719</v>
      </c>
      <c r="P2207" s="78">
        <v>260000</v>
      </c>
    </row>
    <row r="2208" spans="9:16" ht="15.75" customHeight="1" thickBot="1">
      <c r="I2208" s="882"/>
      <c r="J2208" s="876"/>
      <c r="K2208" s="878"/>
      <c r="L2208" s="880"/>
      <c r="M2208" s="882"/>
      <c r="N2208" s="884"/>
      <c r="O2208" s="56">
        <v>721</v>
      </c>
      <c r="P2208" s="79">
        <f>+N2207-P2207</f>
        <v>0</v>
      </c>
    </row>
    <row r="2209" spans="9:16" ht="15" customHeight="1">
      <c r="I2209" s="881"/>
      <c r="J2209" s="875"/>
      <c r="K2209" s="877"/>
      <c r="L2209" s="879"/>
      <c r="M2209" s="881"/>
      <c r="N2209" s="883"/>
      <c r="O2209" s="55">
        <v>719</v>
      </c>
      <c r="P2209" s="78">
        <v>0</v>
      </c>
    </row>
    <row r="2210" spans="9:16" ht="15.75" customHeight="1" thickBot="1">
      <c r="I2210" s="882"/>
      <c r="J2210" s="876"/>
      <c r="K2210" s="878"/>
      <c r="L2210" s="880"/>
      <c r="M2210" s="882"/>
      <c r="N2210" s="884"/>
      <c r="O2210" s="56">
        <v>721</v>
      </c>
      <c r="P2210" s="79">
        <f>+N2209-P2209</f>
        <v>0</v>
      </c>
    </row>
    <row r="2211" spans="9:16">
      <c r="I2211" s="881"/>
      <c r="J2211" s="875"/>
      <c r="K2211" s="877"/>
      <c r="L2211" s="879"/>
      <c r="M2211" s="881"/>
      <c r="N2211" s="883"/>
      <c r="O2211" s="55">
        <v>719</v>
      </c>
      <c r="P2211" s="78"/>
    </row>
    <row r="2212" spans="9:16" ht="15.75" thickBot="1">
      <c r="I2212" s="882"/>
      <c r="J2212" s="876"/>
      <c r="K2212" s="878"/>
      <c r="L2212" s="880"/>
      <c r="M2212" s="882"/>
      <c r="N2212" s="884"/>
      <c r="O2212" s="56">
        <v>723</v>
      </c>
      <c r="P2212" s="79">
        <f>+N2211-P2211</f>
        <v>0</v>
      </c>
    </row>
    <row r="2213" spans="9:16" ht="16.5" thickBot="1">
      <c r="I2213" s="901" t="s">
        <v>102</v>
      </c>
      <c r="J2213" s="902"/>
      <c r="K2213" s="902"/>
      <c r="L2213" s="902"/>
      <c r="M2213" s="903"/>
      <c r="N2213" s="81">
        <f>SUM(N2203:N2212)</f>
        <v>440000</v>
      </c>
    </row>
    <row r="2214" spans="9:16" ht="16.5" thickBot="1">
      <c r="I2214" s="885" t="s">
        <v>103</v>
      </c>
      <c r="J2214" s="886"/>
      <c r="K2214" s="886"/>
      <c r="L2214" s="886"/>
      <c r="M2214" s="887"/>
      <c r="N2214" s="69">
        <f>+N2178</f>
        <v>536850660</v>
      </c>
      <c r="O2214" s="241" t="s">
        <v>561</v>
      </c>
      <c r="P2214" s="242">
        <f>742+165+273</f>
        <v>1180</v>
      </c>
    </row>
    <row r="2215" spans="9:16" ht="16.5" thickBot="1">
      <c r="I2215" s="888" t="s">
        <v>104</v>
      </c>
      <c r="J2215" s="889"/>
      <c r="K2215" s="889"/>
      <c r="L2215" s="889"/>
      <c r="M2215" s="890"/>
      <c r="N2215" s="183">
        <f>SUM(N2213:N2214)</f>
        <v>537290660</v>
      </c>
    </row>
    <row r="2216" spans="9:16">
      <c r="I2216" s="61"/>
      <c r="J2216" s="61"/>
      <c r="K2216" s="61"/>
      <c r="L2216" s="61"/>
      <c r="M2216" s="61"/>
    </row>
    <row r="2217" spans="9:16">
      <c r="I2217" s="51" t="s">
        <v>1029</v>
      </c>
    </row>
    <row r="2218" spans="9:16" ht="12.75" customHeight="1">
      <c r="N2218" s="139"/>
    </row>
    <row r="2219" spans="9:16">
      <c r="I2219" s="50" t="s">
        <v>105</v>
      </c>
      <c r="L2219" s="146"/>
      <c r="N2219" s="139"/>
    </row>
    <row r="2220" spans="9:16" ht="12.75" customHeight="1" thickBot="1"/>
    <row r="2221" spans="9:16" ht="15.75" thickBot="1">
      <c r="I2221" s="891" t="s">
        <v>106</v>
      </c>
      <c r="J2221" s="892"/>
      <c r="K2221" s="892"/>
      <c r="L2221" s="893"/>
      <c r="N2221" s="50" t="s">
        <v>270</v>
      </c>
    </row>
    <row r="2222" spans="9:16" ht="30.75" thickBot="1">
      <c r="I2222" s="57" t="s">
        <v>100</v>
      </c>
      <c r="J2222" s="58" t="s">
        <v>108</v>
      </c>
      <c r="K2222" s="287" t="s">
        <v>109</v>
      </c>
      <c r="L2222" s="60" t="s">
        <v>110</v>
      </c>
    </row>
    <row r="2223" spans="9:16">
      <c r="I2223" s="71">
        <v>719</v>
      </c>
      <c r="J2223" s="73">
        <f>+P2203+P2205+P2207+P2209+P2211</f>
        <v>440000</v>
      </c>
      <c r="K2223" s="74">
        <f>+L2186</f>
        <v>34101700</v>
      </c>
      <c r="L2223" s="195">
        <f>+J2223+K2223</f>
        <v>34541700</v>
      </c>
    </row>
    <row r="2224" spans="9:16">
      <c r="I2224" s="72">
        <v>721</v>
      </c>
      <c r="J2224" s="80">
        <f>+P2204+P2206+P2208+P2210</f>
        <v>0</v>
      </c>
      <c r="K2224" s="74">
        <f>+L2187</f>
        <v>89293509</v>
      </c>
      <c r="L2224" s="195">
        <f>+J2224+K2224</f>
        <v>89293509</v>
      </c>
    </row>
    <row r="2225" spans="9:16">
      <c r="I2225" s="72">
        <v>722</v>
      </c>
      <c r="J2225" s="80"/>
      <c r="K2225" s="74">
        <f>+L2188</f>
        <v>15549900</v>
      </c>
      <c r="L2225" s="195">
        <f>+J2225+K2225</f>
        <v>15549900</v>
      </c>
    </row>
    <row r="2226" spans="9:16" ht="15.75">
      <c r="I2226" s="72">
        <v>723</v>
      </c>
      <c r="J2226" s="80">
        <f>+P2212</f>
        <v>0</v>
      </c>
      <c r="K2226" s="74">
        <f>+L2189</f>
        <v>397905551</v>
      </c>
      <c r="L2226" s="195">
        <f>+J2226+K2226</f>
        <v>397905551</v>
      </c>
      <c r="N2226" s="193" t="s">
        <v>1028</v>
      </c>
      <c r="O2226" s="175"/>
    </row>
    <row r="2227" spans="9:16" ht="16.5" thickBot="1">
      <c r="I2227" s="164" t="s">
        <v>181</v>
      </c>
      <c r="J2227" s="165"/>
      <c r="K2227" s="74">
        <f>+L2190</f>
        <v>0</v>
      </c>
      <c r="L2227" s="196">
        <f>+J2227+K2227</f>
        <v>0</v>
      </c>
      <c r="N2227" s="52"/>
    </row>
    <row r="2228" spans="9:16" ht="16.5" thickBot="1">
      <c r="I2228" s="169"/>
      <c r="J2228" s="197">
        <f>SUM(J2223:J2227)</f>
        <v>440000</v>
      </c>
      <c r="K2228" s="197">
        <f>SUM(K2223:K2227)</f>
        <v>536850660</v>
      </c>
      <c r="L2228" s="198">
        <f>SUM(L2223:L2227)</f>
        <v>537290660</v>
      </c>
    </row>
    <row r="2229" spans="9:16" ht="16.5">
      <c r="I2229" s="49" t="s">
        <v>88</v>
      </c>
      <c r="J2229" s="50"/>
    </row>
    <row r="2230" spans="9:16">
      <c r="I2230" s="51" t="s">
        <v>89</v>
      </c>
    </row>
    <row r="2231" spans="9:16">
      <c r="I2231" s="51" t="s">
        <v>90</v>
      </c>
    </row>
    <row r="2232" spans="9:16">
      <c r="I2232" s="51" t="s">
        <v>91</v>
      </c>
    </row>
    <row r="2233" spans="9:16" ht="10.5" customHeight="1">
      <c r="I2233" s="50"/>
      <c r="J2233" s="50"/>
    </row>
    <row r="2234" spans="9:16" ht="15.75">
      <c r="I2234" s="260" t="s">
        <v>1030</v>
      </c>
      <c r="O2234" s="52"/>
    </row>
    <row r="2235" spans="9:16" ht="15.75">
      <c r="I2235" s="53" t="s">
        <v>535</v>
      </c>
      <c r="O2235" s="53"/>
    </row>
    <row r="2236" spans="9:16" ht="16.5">
      <c r="I2236" s="894" t="s">
        <v>909</v>
      </c>
      <c r="J2236" s="894"/>
      <c r="K2236" s="894"/>
      <c r="L2236" s="894"/>
      <c r="M2236" s="894"/>
      <c r="N2236" s="894"/>
      <c r="O2236" s="894"/>
      <c r="P2236" s="894"/>
    </row>
    <row r="2237" spans="9:16" ht="12" customHeight="1" thickBot="1"/>
    <row r="2238" spans="9:16">
      <c r="I2238" s="895" t="s">
        <v>94</v>
      </c>
      <c r="J2238" s="897" t="s">
        <v>95</v>
      </c>
      <c r="K2238" s="897" t="s">
        <v>96</v>
      </c>
      <c r="L2238" s="897" t="s">
        <v>3</v>
      </c>
      <c r="M2238" s="897" t="s">
        <v>97</v>
      </c>
      <c r="N2238" s="897" t="s">
        <v>98</v>
      </c>
      <c r="O2238" s="897" t="s">
        <v>99</v>
      </c>
      <c r="P2238" s="899"/>
    </row>
    <row r="2239" spans="9:16" ht="15.75" thickBot="1">
      <c r="I2239" s="896"/>
      <c r="J2239" s="898"/>
      <c r="K2239" s="898"/>
      <c r="L2239" s="898"/>
      <c r="M2239" s="898"/>
      <c r="N2239" s="898"/>
      <c r="O2239" s="240" t="s">
        <v>100</v>
      </c>
      <c r="P2239" s="182" t="s">
        <v>101</v>
      </c>
    </row>
    <row r="2240" spans="9:16">
      <c r="I2240" s="881">
        <v>243</v>
      </c>
      <c r="J2240" s="875">
        <v>42621</v>
      </c>
      <c r="K2240" s="877" t="s">
        <v>1014</v>
      </c>
      <c r="L2240" s="879" t="s">
        <v>1033</v>
      </c>
      <c r="M2240" s="881" t="s">
        <v>115</v>
      </c>
      <c r="N2240" s="883">
        <v>190000</v>
      </c>
      <c r="O2240" s="55">
        <v>719</v>
      </c>
      <c r="P2240" s="78">
        <f>+N2240</f>
        <v>190000</v>
      </c>
    </row>
    <row r="2241" spans="9:16" ht="15.75" thickBot="1">
      <c r="I2241" s="882"/>
      <c r="J2241" s="876"/>
      <c r="K2241" s="878"/>
      <c r="L2241" s="880"/>
      <c r="M2241" s="882"/>
      <c r="N2241" s="884"/>
      <c r="O2241" s="56">
        <v>721</v>
      </c>
      <c r="P2241" s="79"/>
    </row>
    <row r="2242" spans="9:16" ht="15" customHeight="1">
      <c r="I2242" s="881">
        <v>244</v>
      </c>
      <c r="J2242" s="875">
        <v>42621</v>
      </c>
      <c r="K2242" s="877" t="s">
        <v>28</v>
      </c>
      <c r="L2242" s="879" t="s">
        <v>1033</v>
      </c>
      <c r="M2242" s="881" t="s">
        <v>115</v>
      </c>
      <c r="N2242" s="883">
        <v>60000</v>
      </c>
      <c r="O2242" s="55">
        <v>719</v>
      </c>
      <c r="P2242" s="78">
        <f>+N2242</f>
        <v>60000</v>
      </c>
    </row>
    <row r="2243" spans="9:16" ht="15.75" customHeight="1" thickBot="1">
      <c r="I2243" s="882"/>
      <c r="J2243" s="876"/>
      <c r="K2243" s="878"/>
      <c r="L2243" s="880"/>
      <c r="M2243" s="882"/>
      <c r="N2243" s="884"/>
      <c r="O2243" s="56">
        <v>721</v>
      </c>
      <c r="P2243" s="79"/>
    </row>
    <row r="2244" spans="9:16" ht="15" customHeight="1">
      <c r="I2244" s="881">
        <v>245</v>
      </c>
      <c r="J2244" s="875">
        <v>42621</v>
      </c>
      <c r="K2244" s="877" t="s">
        <v>1014</v>
      </c>
      <c r="L2244" s="879" t="s">
        <v>1034</v>
      </c>
      <c r="M2244" s="881" t="s">
        <v>115</v>
      </c>
      <c r="N2244" s="883">
        <v>560000</v>
      </c>
      <c r="O2244" s="55">
        <v>719</v>
      </c>
      <c r="P2244" s="78">
        <v>560000</v>
      </c>
    </row>
    <row r="2245" spans="9:16" ht="15.75" customHeight="1" thickBot="1">
      <c r="I2245" s="882"/>
      <c r="J2245" s="876"/>
      <c r="K2245" s="878"/>
      <c r="L2245" s="880"/>
      <c r="M2245" s="882"/>
      <c r="N2245" s="884"/>
      <c r="O2245" s="56">
        <v>721</v>
      </c>
      <c r="P2245" s="79">
        <f>+N2244-P2244</f>
        <v>0</v>
      </c>
    </row>
    <row r="2246" spans="9:16" ht="15" customHeight="1">
      <c r="I2246" s="881">
        <v>246</v>
      </c>
      <c r="J2246" s="875">
        <v>42621</v>
      </c>
      <c r="K2246" s="877" t="s">
        <v>28</v>
      </c>
      <c r="L2246" s="879" t="s">
        <v>1035</v>
      </c>
      <c r="M2246" s="881" t="s">
        <v>115</v>
      </c>
      <c r="N2246" s="883">
        <v>70000</v>
      </c>
      <c r="O2246" s="55">
        <v>719</v>
      </c>
      <c r="P2246" s="78">
        <v>70000</v>
      </c>
    </row>
    <row r="2247" spans="9:16" ht="15.75" customHeight="1" thickBot="1">
      <c r="I2247" s="882"/>
      <c r="J2247" s="876"/>
      <c r="K2247" s="878"/>
      <c r="L2247" s="880"/>
      <c r="M2247" s="882"/>
      <c r="N2247" s="884"/>
      <c r="O2247" s="56">
        <v>721</v>
      </c>
      <c r="P2247" s="79">
        <f>+N2246-P2246</f>
        <v>0</v>
      </c>
    </row>
    <row r="2248" spans="9:16" ht="15" customHeight="1">
      <c r="I2248" s="881"/>
      <c r="J2248" s="875"/>
      <c r="K2248" s="877"/>
      <c r="L2248" s="879"/>
      <c r="M2248" s="881"/>
      <c r="N2248" s="883"/>
      <c r="O2248" s="55">
        <v>719</v>
      </c>
      <c r="P2248" s="78"/>
    </row>
    <row r="2249" spans="9:16" ht="15.75" customHeight="1" thickBot="1">
      <c r="I2249" s="882"/>
      <c r="J2249" s="876"/>
      <c r="K2249" s="878"/>
      <c r="L2249" s="880"/>
      <c r="M2249" s="882"/>
      <c r="N2249" s="884"/>
      <c r="O2249" s="56">
        <v>723</v>
      </c>
      <c r="P2249" s="79">
        <f>+N2248-P2248</f>
        <v>0</v>
      </c>
    </row>
    <row r="2250" spans="9:16" ht="16.5" thickBot="1">
      <c r="I2250" s="901" t="s">
        <v>102</v>
      </c>
      <c r="J2250" s="902"/>
      <c r="K2250" s="902"/>
      <c r="L2250" s="902"/>
      <c r="M2250" s="903"/>
      <c r="N2250" s="81">
        <f>SUM(N2240:N2249)</f>
        <v>880000</v>
      </c>
    </row>
    <row r="2251" spans="9:16" ht="16.5" thickBot="1">
      <c r="I2251" s="885" t="s">
        <v>103</v>
      </c>
      <c r="J2251" s="886"/>
      <c r="K2251" s="886"/>
      <c r="L2251" s="886"/>
      <c r="M2251" s="887"/>
      <c r="N2251" s="69">
        <f>+N2215</f>
        <v>537290660</v>
      </c>
      <c r="O2251" s="241" t="s">
        <v>561</v>
      </c>
      <c r="P2251" s="242">
        <f>86+1021+143+512</f>
        <v>1762</v>
      </c>
    </row>
    <row r="2252" spans="9:16" ht="16.5" thickBot="1">
      <c r="I2252" s="888" t="s">
        <v>104</v>
      </c>
      <c r="J2252" s="889"/>
      <c r="K2252" s="889"/>
      <c r="L2252" s="889"/>
      <c r="M2252" s="890"/>
      <c r="N2252" s="183">
        <f>SUM(N2250:N2251)</f>
        <v>538170660</v>
      </c>
    </row>
    <row r="2253" spans="9:16">
      <c r="I2253" s="61"/>
      <c r="J2253" s="61"/>
      <c r="K2253" s="61"/>
      <c r="L2253" s="61"/>
      <c r="M2253" s="61"/>
    </row>
    <row r="2254" spans="9:16">
      <c r="I2254" s="51" t="s">
        <v>1036</v>
      </c>
    </row>
    <row r="2255" spans="9:16" ht="12.75" customHeight="1">
      <c r="N2255" s="139"/>
    </row>
    <row r="2256" spans="9:16">
      <c r="I2256" s="50" t="s">
        <v>105</v>
      </c>
      <c r="L2256" s="146"/>
      <c r="N2256" s="139"/>
    </row>
    <row r="2257" spans="9:15" ht="13.5" customHeight="1" thickBot="1"/>
    <row r="2258" spans="9:15" ht="15.75" thickBot="1">
      <c r="I2258" s="891" t="s">
        <v>106</v>
      </c>
      <c r="J2258" s="892"/>
      <c r="K2258" s="892"/>
      <c r="L2258" s="893"/>
      <c r="N2258" s="50" t="s">
        <v>288</v>
      </c>
    </row>
    <row r="2259" spans="9:15" ht="30.75" thickBot="1">
      <c r="I2259" s="57" t="s">
        <v>100</v>
      </c>
      <c r="J2259" s="58" t="s">
        <v>108</v>
      </c>
      <c r="K2259" s="287" t="s">
        <v>109</v>
      </c>
      <c r="L2259" s="60" t="s">
        <v>110</v>
      </c>
    </row>
    <row r="2260" spans="9:15">
      <c r="I2260" s="71">
        <v>719</v>
      </c>
      <c r="J2260" s="73">
        <f>+P2240+P2242+P2244+P2246+P2248</f>
        <v>880000</v>
      </c>
      <c r="K2260" s="74">
        <f>+L2223</f>
        <v>34541700</v>
      </c>
      <c r="L2260" s="195">
        <f>+J2260+K2260</f>
        <v>35421700</v>
      </c>
    </row>
    <row r="2261" spans="9:15">
      <c r="I2261" s="72">
        <v>721</v>
      </c>
      <c r="J2261" s="80">
        <f>+P2241+P2243+P2245+P2247</f>
        <v>0</v>
      </c>
      <c r="K2261" s="74">
        <f>+L2224</f>
        <v>89293509</v>
      </c>
      <c r="L2261" s="195">
        <f>+J2261+K2261</f>
        <v>89293509</v>
      </c>
    </row>
    <row r="2262" spans="9:15">
      <c r="I2262" s="72">
        <v>722</v>
      </c>
      <c r="J2262" s="80"/>
      <c r="K2262" s="74">
        <f>+L2225</f>
        <v>15549900</v>
      </c>
      <c r="L2262" s="195">
        <f>+J2262+K2262</f>
        <v>15549900</v>
      </c>
    </row>
    <row r="2263" spans="9:15" ht="15.75">
      <c r="I2263" s="72">
        <v>723</v>
      </c>
      <c r="J2263" s="80">
        <f>+P2249</f>
        <v>0</v>
      </c>
      <c r="K2263" s="74">
        <f>+L2226</f>
        <v>397905551</v>
      </c>
      <c r="L2263" s="195">
        <f>+J2263+K2263</f>
        <v>397905551</v>
      </c>
      <c r="N2263" s="193" t="s">
        <v>289</v>
      </c>
      <c r="O2263" s="175"/>
    </row>
    <row r="2264" spans="9:15" ht="16.5" thickBot="1">
      <c r="I2264" s="164" t="s">
        <v>181</v>
      </c>
      <c r="J2264" s="165"/>
      <c r="K2264" s="74">
        <f>+L2227</f>
        <v>0</v>
      </c>
      <c r="L2264" s="196">
        <f>+J2264+K2264</f>
        <v>0</v>
      </c>
      <c r="N2264" s="52"/>
    </row>
    <row r="2265" spans="9:15" ht="16.5" thickBot="1">
      <c r="I2265" s="169"/>
      <c r="J2265" s="197">
        <f>SUM(J2260:J2264)</f>
        <v>880000</v>
      </c>
      <c r="K2265" s="197">
        <f>SUM(K2260:K2264)</f>
        <v>537290660</v>
      </c>
      <c r="L2265" s="198">
        <f>SUM(L2260:L2264)</f>
        <v>538170660</v>
      </c>
    </row>
    <row r="2266" spans="9:15" ht="16.5">
      <c r="I2266" s="49" t="s">
        <v>88</v>
      </c>
      <c r="J2266" s="50"/>
    </row>
    <row r="2267" spans="9:15">
      <c r="I2267" s="51" t="s">
        <v>89</v>
      </c>
    </row>
    <row r="2268" spans="9:15">
      <c r="I2268" s="51" t="s">
        <v>90</v>
      </c>
    </row>
    <row r="2269" spans="9:15">
      <c r="I2269" s="51" t="s">
        <v>91</v>
      </c>
    </row>
    <row r="2270" spans="9:15" ht="11.25" customHeight="1">
      <c r="I2270" s="50"/>
      <c r="J2270" s="50"/>
    </row>
    <row r="2271" spans="9:15" ht="15.75">
      <c r="I2271" s="260" t="s">
        <v>1031</v>
      </c>
      <c r="O2271" s="52"/>
    </row>
    <row r="2272" spans="9:15" ht="15.75">
      <c r="I2272" s="53" t="s">
        <v>535</v>
      </c>
      <c r="O2272" s="53"/>
    </row>
    <row r="2273" spans="9:16" ht="16.5">
      <c r="I2273" s="894" t="s">
        <v>909</v>
      </c>
      <c r="J2273" s="894"/>
      <c r="K2273" s="894"/>
      <c r="L2273" s="894"/>
      <c r="M2273" s="894"/>
      <c r="N2273" s="894"/>
      <c r="O2273" s="894"/>
      <c r="P2273" s="894"/>
    </row>
    <row r="2274" spans="9:16" ht="15.75" thickBot="1"/>
    <row r="2275" spans="9:16">
      <c r="I2275" s="895" t="s">
        <v>94</v>
      </c>
      <c r="J2275" s="897" t="s">
        <v>95</v>
      </c>
      <c r="K2275" s="897" t="s">
        <v>96</v>
      </c>
      <c r="L2275" s="897" t="s">
        <v>3</v>
      </c>
      <c r="M2275" s="897" t="s">
        <v>97</v>
      </c>
      <c r="N2275" s="897" t="s">
        <v>98</v>
      </c>
      <c r="O2275" s="897" t="s">
        <v>99</v>
      </c>
      <c r="P2275" s="899"/>
    </row>
    <row r="2276" spans="9:16" ht="15.75" thickBot="1">
      <c r="I2276" s="896"/>
      <c r="J2276" s="898"/>
      <c r="K2276" s="898"/>
      <c r="L2276" s="898"/>
      <c r="M2276" s="898"/>
      <c r="N2276" s="898"/>
      <c r="O2276" s="240" t="s">
        <v>100</v>
      </c>
      <c r="P2276" s="182" t="s">
        <v>101</v>
      </c>
    </row>
    <row r="2277" spans="9:16">
      <c r="I2277" s="881">
        <v>247</v>
      </c>
      <c r="J2277" s="875">
        <v>42623</v>
      </c>
      <c r="K2277" s="877" t="s">
        <v>40</v>
      </c>
      <c r="L2277" s="879" t="s">
        <v>1037</v>
      </c>
      <c r="M2277" s="881" t="s">
        <v>148</v>
      </c>
      <c r="N2277" s="883">
        <v>140000</v>
      </c>
      <c r="O2277" s="55">
        <v>719</v>
      </c>
      <c r="P2277" s="78">
        <v>100000</v>
      </c>
    </row>
    <row r="2278" spans="9:16" ht="15.75" thickBot="1">
      <c r="I2278" s="882"/>
      <c r="J2278" s="876"/>
      <c r="K2278" s="878"/>
      <c r="L2278" s="880"/>
      <c r="M2278" s="882"/>
      <c r="N2278" s="884"/>
      <c r="O2278" s="56">
        <v>721</v>
      </c>
      <c r="P2278" s="79">
        <f>+N2277-P2277</f>
        <v>40000</v>
      </c>
    </row>
    <row r="2279" spans="9:16">
      <c r="I2279" s="881">
        <v>248</v>
      </c>
      <c r="J2279" s="875">
        <v>42623</v>
      </c>
      <c r="K2279" s="877" t="s">
        <v>28</v>
      </c>
      <c r="L2279" s="879" t="s">
        <v>1038</v>
      </c>
      <c r="M2279" s="881" t="s">
        <v>148</v>
      </c>
      <c r="N2279" s="883">
        <v>714000</v>
      </c>
      <c r="O2279" s="55">
        <v>719</v>
      </c>
      <c r="P2279" s="78">
        <f>+N2279-P2280</f>
        <v>510000</v>
      </c>
    </row>
    <row r="2280" spans="9:16" ht="15.75" thickBot="1">
      <c r="I2280" s="882"/>
      <c r="J2280" s="876"/>
      <c r="K2280" s="878"/>
      <c r="L2280" s="880"/>
      <c r="M2280" s="882"/>
      <c r="N2280" s="884"/>
      <c r="O2280" s="56">
        <v>721</v>
      </c>
      <c r="P2280" s="79">
        <v>204000</v>
      </c>
    </row>
    <row r="2281" spans="9:16">
      <c r="I2281" s="881">
        <v>249</v>
      </c>
      <c r="J2281" s="875">
        <v>42623</v>
      </c>
      <c r="K2281" s="877" t="s">
        <v>111</v>
      </c>
      <c r="L2281" s="879" t="s">
        <v>1039</v>
      </c>
      <c r="M2281" s="881" t="s">
        <v>148</v>
      </c>
      <c r="N2281" s="883">
        <v>252000</v>
      </c>
      <c r="O2281" s="55">
        <v>719</v>
      </c>
      <c r="P2281" s="78">
        <v>180000</v>
      </c>
    </row>
    <row r="2282" spans="9:16" ht="15.75" thickBot="1">
      <c r="I2282" s="882"/>
      <c r="J2282" s="876"/>
      <c r="K2282" s="878"/>
      <c r="L2282" s="880"/>
      <c r="M2282" s="882"/>
      <c r="N2282" s="884"/>
      <c r="O2282" s="56">
        <v>721</v>
      </c>
      <c r="P2282" s="79">
        <f>+N2281-P2281</f>
        <v>72000</v>
      </c>
    </row>
    <row r="2283" spans="9:16">
      <c r="I2283" s="881">
        <v>250</v>
      </c>
      <c r="J2283" s="875">
        <v>42623</v>
      </c>
      <c r="K2283" s="877" t="s">
        <v>40</v>
      </c>
      <c r="L2283" s="879" t="s">
        <v>1040</v>
      </c>
      <c r="M2283" s="881" t="s">
        <v>148</v>
      </c>
      <c r="N2283" s="883">
        <v>112000</v>
      </c>
      <c r="O2283" s="55">
        <v>719</v>
      </c>
      <c r="P2283" s="78">
        <v>80000</v>
      </c>
    </row>
    <row r="2284" spans="9:16" ht="15.75" thickBot="1">
      <c r="I2284" s="882"/>
      <c r="J2284" s="876"/>
      <c r="K2284" s="878"/>
      <c r="L2284" s="880"/>
      <c r="M2284" s="882"/>
      <c r="N2284" s="884"/>
      <c r="O2284" s="56">
        <v>721</v>
      </c>
      <c r="P2284" s="79">
        <f>+N2283-P2283</f>
        <v>32000</v>
      </c>
    </row>
    <row r="2285" spans="9:16">
      <c r="I2285" s="881">
        <v>251</v>
      </c>
      <c r="J2285" s="875">
        <v>42623</v>
      </c>
      <c r="K2285" s="877" t="s">
        <v>28</v>
      </c>
      <c r="L2285" s="879" t="s">
        <v>1041</v>
      </c>
      <c r="M2285" s="881" t="s">
        <v>148</v>
      </c>
      <c r="N2285" s="883">
        <v>504000</v>
      </c>
      <c r="O2285" s="55">
        <v>719</v>
      </c>
      <c r="P2285" s="78">
        <v>360000</v>
      </c>
    </row>
    <row r="2286" spans="9:16" ht="15.75" thickBot="1">
      <c r="I2286" s="882"/>
      <c r="J2286" s="876"/>
      <c r="K2286" s="878"/>
      <c r="L2286" s="880"/>
      <c r="M2286" s="882"/>
      <c r="N2286" s="884"/>
      <c r="O2286" s="56">
        <v>723</v>
      </c>
      <c r="P2286" s="79">
        <f>+N2285-P2285</f>
        <v>144000</v>
      </c>
    </row>
    <row r="2287" spans="9:16" ht="16.5" thickBot="1">
      <c r="I2287" s="901" t="s">
        <v>102</v>
      </c>
      <c r="J2287" s="902"/>
      <c r="K2287" s="902"/>
      <c r="L2287" s="902"/>
      <c r="M2287" s="903"/>
      <c r="N2287" s="81">
        <f>SUM(N2277:N2286)</f>
        <v>1722000</v>
      </c>
    </row>
    <row r="2288" spans="9:16" ht="16.5" thickBot="1">
      <c r="I2288" s="885" t="s">
        <v>103</v>
      </c>
      <c r="J2288" s="886"/>
      <c r="K2288" s="886"/>
      <c r="L2288" s="886"/>
      <c r="M2288" s="887"/>
      <c r="N2288" s="69">
        <f>+N2252</f>
        <v>538170660</v>
      </c>
      <c r="O2288" s="241" t="s">
        <v>561</v>
      </c>
      <c r="P2288" s="242">
        <f>875+40+72+1421+61</f>
        <v>2469</v>
      </c>
    </row>
    <row r="2289" spans="9:15" ht="16.5" thickBot="1">
      <c r="I2289" s="888" t="s">
        <v>104</v>
      </c>
      <c r="J2289" s="889"/>
      <c r="K2289" s="889"/>
      <c r="L2289" s="889"/>
      <c r="M2289" s="890"/>
      <c r="N2289" s="183">
        <f>SUM(N2287:N2288)</f>
        <v>539892660</v>
      </c>
    </row>
    <row r="2290" spans="9:15">
      <c r="I2290" s="61"/>
      <c r="J2290" s="61"/>
      <c r="K2290" s="61"/>
      <c r="L2290" s="61"/>
      <c r="M2290" s="61"/>
    </row>
    <row r="2291" spans="9:15">
      <c r="I2291" s="51" t="s">
        <v>1042</v>
      </c>
    </row>
    <row r="2292" spans="9:15" ht="12.75" customHeight="1">
      <c r="N2292" s="139"/>
    </row>
    <row r="2293" spans="9:15">
      <c r="I2293" s="50" t="s">
        <v>105</v>
      </c>
      <c r="L2293" s="146"/>
      <c r="N2293" s="139"/>
    </row>
    <row r="2294" spans="9:15" ht="13.5" customHeight="1" thickBot="1"/>
    <row r="2295" spans="9:15" ht="15.75" thickBot="1">
      <c r="I2295" s="891" t="s">
        <v>106</v>
      </c>
      <c r="J2295" s="892"/>
      <c r="K2295" s="892"/>
      <c r="L2295" s="893"/>
      <c r="N2295" s="50" t="s">
        <v>288</v>
      </c>
    </row>
    <row r="2296" spans="9:15" ht="30.75" thickBot="1">
      <c r="I2296" s="57" t="s">
        <v>100</v>
      </c>
      <c r="J2296" s="58" t="s">
        <v>108</v>
      </c>
      <c r="K2296" s="287" t="s">
        <v>109</v>
      </c>
      <c r="L2296" s="60" t="s">
        <v>110</v>
      </c>
    </row>
    <row r="2297" spans="9:15">
      <c r="I2297" s="71">
        <v>719</v>
      </c>
      <c r="J2297" s="73">
        <f>+P2277+P2279+P2281+P2283+P2285</f>
        <v>1230000</v>
      </c>
      <c r="K2297" s="74">
        <f>+L2260</f>
        <v>35421700</v>
      </c>
      <c r="L2297" s="195">
        <f>+J2297+K2297</f>
        <v>36651700</v>
      </c>
    </row>
    <row r="2298" spans="9:15">
      <c r="I2298" s="72">
        <v>721</v>
      </c>
      <c r="J2298" s="80">
        <f>+P2278+P2280+P2282+P2284+P2286</f>
        <v>492000</v>
      </c>
      <c r="K2298" s="74">
        <f>+L2261</f>
        <v>89293509</v>
      </c>
      <c r="L2298" s="195">
        <f>+J2298+K2298</f>
        <v>89785509</v>
      </c>
    </row>
    <row r="2299" spans="9:15">
      <c r="I2299" s="72">
        <v>722</v>
      </c>
      <c r="J2299" s="80"/>
      <c r="K2299" s="74">
        <f>+L2262</f>
        <v>15549900</v>
      </c>
      <c r="L2299" s="195">
        <f>+J2299+K2299</f>
        <v>15549900</v>
      </c>
    </row>
    <row r="2300" spans="9:15" ht="15.75">
      <c r="I2300" s="72">
        <v>723</v>
      </c>
      <c r="J2300" s="80"/>
      <c r="K2300" s="74">
        <f>+L2263</f>
        <v>397905551</v>
      </c>
      <c r="L2300" s="195">
        <f>+J2300+K2300</f>
        <v>397905551</v>
      </c>
      <c r="N2300" s="193" t="s">
        <v>289</v>
      </c>
      <c r="O2300" s="175"/>
    </row>
    <row r="2301" spans="9:15" ht="16.5" thickBot="1">
      <c r="I2301" s="164" t="s">
        <v>181</v>
      </c>
      <c r="J2301" s="165"/>
      <c r="K2301" s="74">
        <f>+L2264</f>
        <v>0</v>
      </c>
      <c r="L2301" s="196">
        <f>+J2301+K2301</f>
        <v>0</v>
      </c>
      <c r="N2301" s="52"/>
    </row>
    <row r="2302" spans="9:15" ht="16.5" thickBot="1">
      <c r="I2302" s="169"/>
      <c r="J2302" s="197">
        <f>SUM(J2297:J2301)</f>
        <v>1722000</v>
      </c>
      <c r="K2302" s="197">
        <f>SUM(K2297:K2301)</f>
        <v>538170660</v>
      </c>
      <c r="L2302" s="198">
        <f>SUM(L2297:L2301)</f>
        <v>539892660</v>
      </c>
    </row>
    <row r="2303" spans="9:15" ht="16.5">
      <c r="I2303" s="49" t="s">
        <v>88</v>
      </c>
      <c r="J2303" s="50"/>
    </row>
    <row r="2304" spans="9:15">
      <c r="I2304" s="51" t="s">
        <v>89</v>
      </c>
    </row>
    <row r="2305" spans="9:16">
      <c r="I2305" s="51" t="s">
        <v>90</v>
      </c>
    </row>
    <row r="2306" spans="9:16">
      <c r="I2306" s="51" t="s">
        <v>91</v>
      </c>
    </row>
    <row r="2307" spans="9:16" ht="12.75" customHeight="1">
      <c r="I2307" s="50"/>
      <c r="J2307" s="50"/>
    </row>
    <row r="2308" spans="9:16" ht="15.75">
      <c r="I2308" s="260" t="s">
        <v>1032</v>
      </c>
      <c r="O2308" s="52"/>
    </row>
    <row r="2309" spans="9:16" ht="15.75">
      <c r="I2309" s="53" t="s">
        <v>535</v>
      </c>
      <c r="O2309" s="53"/>
    </row>
    <row r="2310" spans="9:16" ht="16.5">
      <c r="I2310" s="894" t="s">
        <v>909</v>
      </c>
      <c r="J2310" s="894"/>
      <c r="K2310" s="894"/>
      <c r="L2310" s="894"/>
      <c r="M2310" s="894"/>
      <c r="N2310" s="894"/>
      <c r="O2310" s="894"/>
      <c r="P2310" s="894"/>
    </row>
    <row r="2311" spans="9:16" ht="15.75" thickBot="1"/>
    <row r="2312" spans="9:16">
      <c r="I2312" s="895" t="s">
        <v>94</v>
      </c>
      <c r="J2312" s="897" t="s">
        <v>95</v>
      </c>
      <c r="K2312" s="897" t="s">
        <v>96</v>
      </c>
      <c r="L2312" s="897" t="s">
        <v>3</v>
      </c>
      <c r="M2312" s="897" t="s">
        <v>97</v>
      </c>
      <c r="N2312" s="897" t="s">
        <v>98</v>
      </c>
      <c r="O2312" s="897" t="s">
        <v>99</v>
      </c>
      <c r="P2312" s="899"/>
    </row>
    <row r="2313" spans="9:16" ht="15.75" thickBot="1">
      <c r="I2313" s="896"/>
      <c r="J2313" s="898"/>
      <c r="K2313" s="898"/>
      <c r="L2313" s="898"/>
      <c r="M2313" s="898"/>
      <c r="N2313" s="898"/>
      <c r="O2313" s="240" t="s">
        <v>100</v>
      </c>
      <c r="P2313" s="182" t="s">
        <v>101</v>
      </c>
    </row>
    <row r="2314" spans="9:16" ht="15" customHeight="1">
      <c r="I2314" s="881">
        <v>252</v>
      </c>
      <c r="J2314" s="875">
        <v>42621</v>
      </c>
      <c r="K2314" s="877" t="s">
        <v>40</v>
      </c>
      <c r="L2314" s="879" t="s">
        <v>1043</v>
      </c>
      <c r="M2314" s="881" t="s">
        <v>148</v>
      </c>
      <c r="N2314" s="883">
        <v>56000</v>
      </c>
      <c r="O2314" s="55">
        <v>719</v>
      </c>
      <c r="P2314" s="78">
        <v>40000</v>
      </c>
    </row>
    <row r="2315" spans="9:16" ht="15.75" customHeight="1" thickBot="1">
      <c r="I2315" s="882"/>
      <c r="J2315" s="876"/>
      <c r="K2315" s="878"/>
      <c r="L2315" s="880"/>
      <c r="M2315" s="882"/>
      <c r="N2315" s="884"/>
      <c r="O2315" s="56">
        <v>721</v>
      </c>
      <c r="P2315" s="79">
        <f>+N2314-P2314</f>
        <v>16000</v>
      </c>
    </row>
    <row r="2316" spans="9:16" ht="15" customHeight="1">
      <c r="I2316" s="881">
        <v>253</v>
      </c>
      <c r="J2316" s="875">
        <v>42621</v>
      </c>
      <c r="K2316" s="877" t="s">
        <v>28</v>
      </c>
      <c r="L2316" s="879" t="s">
        <v>1044</v>
      </c>
      <c r="M2316" s="881" t="s">
        <v>148</v>
      </c>
      <c r="N2316" s="883">
        <v>252000</v>
      </c>
      <c r="O2316" s="55">
        <v>719</v>
      </c>
      <c r="P2316" s="78">
        <v>180000</v>
      </c>
    </row>
    <row r="2317" spans="9:16" ht="15.75" customHeight="1" thickBot="1">
      <c r="I2317" s="882"/>
      <c r="J2317" s="876"/>
      <c r="K2317" s="878"/>
      <c r="L2317" s="880"/>
      <c r="M2317" s="882"/>
      <c r="N2317" s="884"/>
      <c r="O2317" s="56">
        <v>721</v>
      </c>
      <c r="P2317" s="79">
        <f>+N2316-P2316</f>
        <v>72000</v>
      </c>
    </row>
    <row r="2318" spans="9:16" ht="15" customHeight="1">
      <c r="I2318" s="881">
        <v>254</v>
      </c>
      <c r="J2318" s="875">
        <v>42621</v>
      </c>
      <c r="K2318" s="877" t="s">
        <v>111</v>
      </c>
      <c r="L2318" s="879" t="s">
        <v>1045</v>
      </c>
      <c r="M2318" s="881" t="s">
        <v>148</v>
      </c>
      <c r="N2318" s="883">
        <v>112000</v>
      </c>
      <c r="O2318" s="55">
        <v>719</v>
      </c>
      <c r="P2318" s="78">
        <v>80000</v>
      </c>
    </row>
    <row r="2319" spans="9:16" ht="15.75" customHeight="1" thickBot="1">
      <c r="I2319" s="882"/>
      <c r="J2319" s="876"/>
      <c r="K2319" s="878"/>
      <c r="L2319" s="880"/>
      <c r="M2319" s="882"/>
      <c r="N2319" s="884"/>
      <c r="O2319" s="56">
        <v>721</v>
      </c>
      <c r="P2319" s="79">
        <f>+N2318-P2318</f>
        <v>32000</v>
      </c>
    </row>
    <row r="2320" spans="9:16" ht="15" customHeight="1">
      <c r="I2320" s="881">
        <v>255</v>
      </c>
      <c r="J2320" s="875">
        <v>42621</v>
      </c>
      <c r="K2320" s="877" t="s">
        <v>111</v>
      </c>
      <c r="L2320" s="879" t="s">
        <v>1044</v>
      </c>
      <c r="M2320" s="881" t="s">
        <v>148</v>
      </c>
      <c r="N2320" s="883">
        <v>56000</v>
      </c>
      <c r="O2320" s="55">
        <v>719</v>
      </c>
      <c r="P2320" s="78">
        <v>40000</v>
      </c>
    </row>
    <row r="2321" spans="9:16" ht="15.75" customHeight="1" thickBot="1">
      <c r="I2321" s="882"/>
      <c r="J2321" s="876"/>
      <c r="K2321" s="878"/>
      <c r="L2321" s="880"/>
      <c r="M2321" s="882"/>
      <c r="N2321" s="884"/>
      <c r="O2321" s="56">
        <v>721</v>
      </c>
      <c r="P2321" s="79">
        <f>+N2320-P2320</f>
        <v>16000</v>
      </c>
    </row>
    <row r="2322" spans="9:16">
      <c r="I2322" s="881"/>
      <c r="J2322" s="875"/>
      <c r="K2322" s="877"/>
      <c r="L2322" s="879"/>
      <c r="M2322" s="881"/>
      <c r="N2322" s="883"/>
      <c r="O2322" s="55">
        <v>719</v>
      </c>
      <c r="P2322" s="78"/>
    </row>
    <row r="2323" spans="9:16" ht="15.75" thickBot="1">
      <c r="I2323" s="882"/>
      <c r="J2323" s="876"/>
      <c r="K2323" s="878"/>
      <c r="L2323" s="880"/>
      <c r="M2323" s="882"/>
      <c r="N2323" s="884"/>
      <c r="O2323" s="56">
        <v>723</v>
      </c>
      <c r="P2323" s="79">
        <f>+N2322-P2322</f>
        <v>0</v>
      </c>
    </row>
    <row r="2324" spans="9:16" ht="16.5" thickBot="1">
      <c r="I2324" s="901" t="s">
        <v>102</v>
      </c>
      <c r="J2324" s="902"/>
      <c r="K2324" s="902"/>
      <c r="L2324" s="902"/>
      <c r="M2324" s="903"/>
      <c r="N2324" s="81">
        <f>SUM(N2314:N2323)</f>
        <v>476000</v>
      </c>
    </row>
    <row r="2325" spans="9:16" ht="16.5" thickBot="1">
      <c r="I2325" s="885" t="s">
        <v>103</v>
      </c>
      <c r="J2325" s="886"/>
      <c r="K2325" s="886"/>
      <c r="L2325" s="886"/>
      <c r="M2325" s="887"/>
      <c r="N2325" s="69">
        <f>+N2289</f>
        <v>539892660</v>
      </c>
      <c r="O2325" s="241" t="s">
        <v>561</v>
      </c>
      <c r="P2325" s="242">
        <f>451+25+37+18</f>
        <v>531</v>
      </c>
    </row>
    <row r="2326" spans="9:16" ht="16.5" thickBot="1">
      <c r="I2326" s="888" t="s">
        <v>104</v>
      </c>
      <c r="J2326" s="889"/>
      <c r="K2326" s="889"/>
      <c r="L2326" s="889"/>
      <c r="M2326" s="890"/>
      <c r="N2326" s="183">
        <f>SUM(N2324:N2325)</f>
        <v>540368660</v>
      </c>
    </row>
    <row r="2327" spans="9:16">
      <c r="I2327" s="61"/>
      <c r="J2327" s="61"/>
      <c r="K2327" s="61"/>
      <c r="L2327" s="61"/>
      <c r="M2327" s="61"/>
    </row>
    <row r="2328" spans="9:16">
      <c r="I2328" s="51" t="s">
        <v>1065</v>
      </c>
    </row>
    <row r="2329" spans="9:16" ht="12" customHeight="1">
      <c r="N2329" s="139"/>
    </row>
    <row r="2330" spans="9:16">
      <c r="I2330" s="50" t="s">
        <v>105</v>
      </c>
      <c r="L2330" s="146"/>
      <c r="N2330" s="139"/>
    </row>
    <row r="2331" spans="9:16" ht="12.75" customHeight="1" thickBot="1"/>
    <row r="2332" spans="9:16" ht="15.75" thickBot="1">
      <c r="I2332" s="891" t="s">
        <v>106</v>
      </c>
      <c r="J2332" s="892"/>
      <c r="K2332" s="892"/>
      <c r="L2332" s="893"/>
      <c r="N2332" s="50" t="s">
        <v>288</v>
      </c>
    </row>
    <row r="2333" spans="9:16" ht="30.75" thickBot="1">
      <c r="I2333" s="57" t="s">
        <v>100</v>
      </c>
      <c r="J2333" s="58" t="s">
        <v>108</v>
      </c>
      <c r="K2333" s="287" t="s">
        <v>109</v>
      </c>
      <c r="L2333" s="60" t="s">
        <v>110</v>
      </c>
    </row>
    <row r="2334" spans="9:16">
      <c r="I2334" s="71">
        <v>719</v>
      </c>
      <c r="J2334" s="73">
        <f>+P2314+P2316+P2318+P2320+P2322</f>
        <v>340000</v>
      </c>
      <c r="K2334" s="74">
        <f>+L2297</f>
        <v>36651700</v>
      </c>
      <c r="L2334" s="195">
        <f>+J2334+K2334</f>
        <v>36991700</v>
      </c>
    </row>
    <row r="2335" spans="9:16">
      <c r="I2335" s="72">
        <v>721</v>
      </c>
      <c r="J2335" s="80">
        <f>+P2315+P2317+P2319+P2321+P2323</f>
        <v>136000</v>
      </c>
      <c r="K2335" s="74">
        <f>+L2298</f>
        <v>89785509</v>
      </c>
      <c r="L2335" s="195">
        <f>+J2335+K2335</f>
        <v>89921509</v>
      </c>
    </row>
    <row r="2336" spans="9:16">
      <c r="I2336" s="72">
        <v>722</v>
      </c>
      <c r="J2336" s="80"/>
      <c r="K2336" s="74">
        <f>+L2299</f>
        <v>15549900</v>
      </c>
      <c r="L2336" s="195">
        <f>+J2336+K2336</f>
        <v>15549900</v>
      </c>
    </row>
    <row r="2337" spans="9:16" ht="15.75">
      <c r="I2337" s="72">
        <v>723</v>
      </c>
      <c r="J2337" s="80"/>
      <c r="K2337" s="74">
        <f>+L2300</f>
        <v>397905551</v>
      </c>
      <c r="L2337" s="195">
        <f>+J2337+K2337</f>
        <v>397905551</v>
      </c>
      <c r="N2337" s="193" t="s">
        <v>289</v>
      </c>
      <c r="O2337" s="175"/>
    </row>
    <row r="2338" spans="9:16" ht="16.5" thickBot="1">
      <c r="I2338" s="164" t="s">
        <v>181</v>
      </c>
      <c r="J2338" s="165"/>
      <c r="K2338" s="74">
        <f>+L2301</f>
        <v>0</v>
      </c>
      <c r="L2338" s="196">
        <f>+J2338+K2338</f>
        <v>0</v>
      </c>
      <c r="N2338" s="52"/>
    </row>
    <row r="2339" spans="9:16" ht="16.5" thickBot="1">
      <c r="I2339" s="169"/>
      <c r="J2339" s="197">
        <f>SUM(J2334:J2338)</f>
        <v>476000</v>
      </c>
      <c r="K2339" s="197">
        <f>SUM(K2334:K2338)</f>
        <v>539892660</v>
      </c>
      <c r="L2339" s="198">
        <f>SUM(L2334:L2338)</f>
        <v>540368660</v>
      </c>
    </row>
    <row r="2340" spans="9:16" ht="16.5">
      <c r="I2340" s="49" t="s">
        <v>88</v>
      </c>
      <c r="J2340" s="50"/>
    </row>
    <row r="2341" spans="9:16">
      <c r="I2341" s="51" t="s">
        <v>89</v>
      </c>
    </row>
    <row r="2342" spans="9:16">
      <c r="I2342" s="51" t="s">
        <v>90</v>
      </c>
    </row>
    <row r="2343" spans="9:16">
      <c r="I2343" s="51" t="s">
        <v>91</v>
      </c>
    </row>
    <row r="2344" spans="9:16" ht="12" customHeight="1">
      <c r="I2344" s="50"/>
      <c r="J2344" s="50"/>
    </row>
    <row r="2345" spans="9:16" ht="15.75">
      <c r="I2345" s="260" t="s">
        <v>1059</v>
      </c>
      <c r="O2345" s="52"/>
    </row>
    <row r="2346" spans="9:16" ht="15.75">
      <c r="I2346" s="53" t="s">
        <v>535</v>
      </c>
      <c r="O2346" s="53"/>
    </row>
    <row r="2347" spans="9:16" ht="16.5">
      <c r="I2347" s="894" t="s">
        <v>1063</v>
      </c>
      <c r="J2347" s="894"/>
      <c r="K2347" s="894"/>
      <c r="L2347" s="894"/>
      <c r="M2347" s="894"/>
      <c r="N2347" s="894"/>
      <c r="O2347" s="894"/>
      <c r="P2347" s="894"/>
    </row>
    <row r="2348" spans="9:16" ht="15.75" thickBot="1"/>
    <row r="2349" spans="9:16">
      <c r="I2349" s="895" t="s">
        <v>94</v>
      </c>
      <c r="J2349" s="897" t="s">
        <v>95</v>
      </c>
      <c r="K2349" s="897" t="s">
        <v>96</v>
      </c>
      <c r="L2349" s="897" t="s">
        <v>3</v>
      </c>
      <c r="M2349" s="897" t="s">
        <v>97</v>
      </c>
      <c r="N2349" s="897" t="s">
        <v>98</v>
      </c>
      <c r="O2349" s="897" t="s">
        <v>99</v>
      </c>
      <c r="P2349" s="899"/>
    </row>
    <row r="2350" spans="9:16" ht="15.75" thickBot="1">
      <c r="I2350" s="896"/>
      <c r="J2350" s="898"/>
      <c r="K2350" s="898"/>
      <c r="L2350" s="898"/>
      <c r="M2350" s="898"/>
      <c r="N2350" s="898"/>
      <c r="O2350" s="240" t="s">
        <v>100</v>
      </c>
      <c r="P2350" s="182" t="s">
        <v>101</v>
      </c>
    </row>
    <row r="2351" spans="9:16">
      <c r="I2351" s="881">
        <v>256</v>
      </c>
      <c r="J2351" s="875">
        <v>42622</v>
      </c>
      <c r="K2351" s="877" t="s">
        <v>1060</v>
      </c>
      <c r="L2351" s="879" t="s">
        <v>1061</v>
      </c>
      <c r="M2351" s="881" t="s">
        <v>148</v>
      </c>
      <c r="N2351" s="883">
        <v>2000000</v>
      </c>
      <c r="O2351" s="55">
        <v>722</v>
      </c>
      <c r="P2351" s="78">
        <v>2000000</v>
      </c>
    </row>
    <row r="2352" spans="9:16" ht="15.75" thickBot="1">
      <c r="I2352" s="882"/>
      <c r="J2352" s="876"/>
      <c r="K2352" s="878"/>
      <c r="L2352" s="880"/>
      <c r="M2352" s="882"/>
      <c r="N2352" s="884"/>
      <c r="O2352" s="56">
        <v>721</v>
      </c>
      <c r="P2352" s="79">
        <f>+N2351-P2351</f>
        <v>0</v>
      </c>
    </row>
    <row r="2353" spans="9:16">
      <c r="I2353" s="881"/>
      <c r="J2353" s="875"/>
      <c r="K2353" s="877"/>
      <c r="L2353" s="879"/>
      <c r="M2353" s="881"/>
      <c r="N2353" s="883"/>
      <c r="O2353" s="55">
        <v>719</v>
      </c>
      <c r="P2353" s="78"/>
    </row>
    <row r="2354" spans="9:16" ht="15.75" thickBot="1">
      <c r="I2354" s="882"/>
      <c r="J2354" s="876"/>
      <c r="K2354" s="878"/>
      <c r="L2354" s="880"/>
      <c r="M2354" s="882"/>
      <c r="N2354" s="884"/>
      <c r="O2354" s="56">
        <v>721</v>
      </c>
      <c r="P2354" s="79">
        <f>+N2353-P2353</f>
        <v>0</v>
      </c>
    </row>
    <row r="2355" spans="9:16">
      <c r="I2355" s="881"/>
      <c r="J2355" s="875"/>
      <c r="K2355" s="877"/>
      <c r="L2355" s="879"/>
      <c r="M2355" s="881"/>
      <c r="N2355" s="883"/>
      <c r="O2355" s="55">
        <v>719</v>
      </c>
      <c r="P2355" s="78"/>
    </row>
    <row r="2356" spans="9:16" ht="13.5" customHeight="1" thickBot="1">
      <c r="I2356" s="882"/>
      <c r="J2356" s="876"/>
      <c r="K2356" s="878"/>
      <c r="L2356" s="880"/>
      <c r="M2356" s="882"/>
      <c r="N2356" s="884"/>
      <c r="O2356" s="56">
        <v>721</v>
      </c>
      <c r="P2356" s="79">
        <f>+N2355-P2355</f>
        <v>0</v>
      </c>
    </row>
    <row r="2357" spans="9:16">
      <c r="I2357" s="881"/>
      <c r="J2357" s="875"/>
      <c r="K2357" s="877"/>
      <c r="L2357" s="879"/>
      <c r="M2357" s="881"/>
      <c r="N2357" s="883"/>
      <c r="O2357" s="55">
        <v>719</v>
      </c>
      <c r="P2357" s="78"/>
    </row>
    <row r="2358" spans="9:16" ht="15.75" thickBot="1">
      <c r="I2358" s="882"/>
      <c r="J2358" s="876"/>
      <c r="K2358" s="878"/>
      <c r="L2358" s="880"/>
      <c r="M2358" s="882"/>
      <c r="N2358" s="884"/>
      <c r="O2358" s="56">
        <v>721</v>
      </c>
      <c r="P2358" s="79">
        <f>+N2357-P2357</f>
        <v>0</v>
      </c>
    </row>
    <row r="2359" spans="9:16">
      <c r="I2359" s="881"/>
      <c r="J2359" s="875"/>
      <c r="K2359" s="877"/>
      <c r="L2359" s="879"/>
      <c r="M2359" s="881"/>
      <c r="N2359" s="883"/>
      <c r="O2359" s="55">
        <v>719</v>
      </c>
      <c r="P2359" s="78"/>
    </row>
    <row r="2360" spans="9:16" ht="12" customHeight="1" thickBot="1">
      <c r="I2360" s="882"/>
      <c r="J2360" s="876"/>
      <c r="K2360" s="878"/>
      <c r="L2360" s="880"/>
      <c r="M2360" s="882"/>
      <c r="N2360" s="884"/>
      <c r="O2360" s="56">
        <v>723</v>
      </c>
      <c r="P2360" s="79">
        <f>+N2359-P2359</f>
        <v>0</v>
      </c>
    </row>
    <row r="2361" spans="9:16" ht="16.5" thickBot="1">
      <c r="I2361" s="901" t="s">
        <v>102</v>
      </c>
      <c r="J2361" s="902"/>
      <c r="K2361" s="902"/>
      <c r="L2361" s="902"/>
      <c r="M2361" s="903"/>
      <c r="N2361" s="81">
        <f>SUM(N2351:N2360)</f>
        <v>2000000</v>
      </c>
    </row>
    <row r="2362" spans="9:16" ht="16.5" thickBot="1">
      <c r="I2362" s="885" t="s">
        <v>103</v>
      </c>
      <c r="J2362" s="886"/>
      <c r="K2362" s="886"/>
      <c r="L2362" s="886"/>
      <c r="M2362" s="887"/>
      <c r="N2362" s="69">
        <f>+N2326</f>
        <v>540368660</v>
      </c>
      <c r="O2362" s="241" t="s">
        <v>561</v>
      </c>
      <c r="P2362" s="242">
        <v>0</v>
      </c>
    </row>
    <row r="2363" spans="9:16" ht="16.5" thickBot="1">
      <c r="I2363" s="888" t="s">
        <v>104</v>
      </c>
      <c r="J2363" s="889"/>
      <c r="K2363" s="889"/>
      <c r="L2363" s="889"/>
      <c r="M2363" s="890"/>
      <c r="N2363" s="183">
        <f>SUM(N2361:N2362)</f>
        <v>542368660</v>
      </c>
    </row>
    <row r="2364" spans="9:16">
      <c r="I2364" s="61"/>
      <c r="J2364" s="61"/>
      <c r="K2364" s="61"/>
      <c r="L2364" s="61"/>
      <c r="M2364" s="61"/>
    </row>
    <row r="2365" spans="9:16">
      <c r="I2365" s="51" t="s">
        <v>1062</v>
      </c>
    </row>
    <row r="2366" spans="9:16" ht="12" customHeight="1">
      <c r="N2366" s="139"/>
    </row>
    <row r="2367" spans="9:16">
      <c r="I2367" s="50" t="s">
        <v>105</v>
      </c>
      <c r="L2367" s="146"/>
      <c r="N2367" s="139"/>
    </row>
    <row r="2368" spans="9:16" ht="15.75" thickBot="1"/>
    <row r="2369" spans="9:16" ht="15.75" thickBot="1">
      <c r="I2369" s="891" t="s">
        <v>106</v>
      </c>
      <c r="J2369" s="892"/>
      <c r="K2369" s="892"/>
      <c r="L2369" s="893"/>
      <c r="N2369" s="50" t="s">
        <v>288</v>
      </c>
    </row>
    <row r="2370" spans="9:16" ht="30.75" thickBot="1">
      <c r="I2370" s="57" t="s">
        <v>100</v>
      </c>
      <c r="J2370" s="58" t="s">
        <v>108</v>
      </c>
      <c r="K2370" s="287" t="s">
        <v>109</v>
      </c>
      <c r="L2370" s="60" t="s">
        <v>110</v>
      </c>
    </row>
    <row r="2371" spans="9:16">
      <c r="I2371" s="71">
        <v>719</v>
      </c>
      <c r="J2371" s="73"/>
      <c r="K2371" s="74">
        <f>+L2334</f>
        <v>36991700</v>
      </c>
      <c r="L2371" s="195">
        <f>+J2371+K2371</f>
        <v>36991700</v>
      </c>
    </row>
    <row r="2372" spans="9:16">
      <c r="I2372" s="72">
        <v>721</v>
      </c>
      <c r="J2372" s="80">
        <f>+P2352+P2354+P2356+P2358+P2360</f>
        <v>0</v>
      </c>
      <c r="K2372" s="74">
        <f>+L2335</f>
        <v>89921509</v>
      </c>
      <c r="L2372" s="195">
        <f>+J2372+K2372</f>
        <v>89921509</v>
      </c>
    </row>
    <row r="2373" spans="9:16">
      <c r="I2373" s="72">
        <v>722</v>
      </c>
      <c r="J2373" s="80">
        <f>+P2351</f>
        <v>2000000</v>
      </c>
      <c r="K2373" s="74">
        <f>+L2336</f>
        <v>15549900</v>
      </c>
      <c r="L2373" s="195">
        <f>+J2373+K2373</f>
        <v>17549900</v>
      </c>
    </row>
    <row r="2374" spans="9:16" ht="15.75">
      <c r="I2374" s="72">
        <v>723</v>
      </c>
      <c r="J2374" s="80"/>
      <c r="K2374" s="74">
        <f>+L2337</f>
        <v>397905551</v>
      </c>
      <c r="L2374" s="195">
        <f>+J2374+K2374</f>
        <v>397905551</v>
      </c>
      <c r="N2374" s="193" t="s">
        <v>289</v>
      </c>
      <c r="O2374" s="175"/>
    </row>
    <row r="2375" spans="9:16" ht="16.5" thickBot="1">
      <c r="I2375" s="164" t="s">
        <v>181</v>
      </c>
      <c r="J2375" s="165"/>
      <c r="K2375" s="74">
        <f>+L2338</f>
        <v>0</v>
      </c>
      <c r="L2375" s="196">
        <f>+J2375+K2375</f>
        <v>0</v>
      </c>
      <c r="N2375" s="52"/>
    </row>
    <row r="2376" spans="9:16" ht="16.5" thickBot="1">
      <c r="I2376" s="169"/>
      <c r="J2376" s="197">
        <f>SUM(J2371:J2375)</f>
        <v>2000000</v>
      </c>
      <c r="K2376" s="197">
        <f>SUM(K2371:K2375)</f>
        <v>540368660</v>
      </c>
      <c r="L2376" s="198">
        <f>SUM(L2371:L2375)</f>
        <v>542368660</v>
      </c>
    </row>
    <row r="2377" spans="9:16" ht="16.5">
      <c r="I2377" s="49" t="s">
        <v>88</v>
      </c>
      <c r="J2377" s="50"/>
    </row>
    <row r="2378" spans="9:16">
      <c r="I2378" s="51" t="s">
        <v>89</v>
      </c>
    </row>
    <row r="2379" spans="9:16">
      <c r="I2379" s="51" t="s">
        <v>90</v>
      </c>
    </row>
    <row r="2380" spans="9:16">
      <c r="I2380" s="51" t="s">
        <v>91</v>
      </c>
    </row>
    <row r="2381" spans="9:16" ht="12" customHeight="1">
      <c r="I2381" s="50"/>
      <c r="J2381" s="50"/>
    </row>
    <row r="2382" spans="9:16" ht="15.75">
      <c r="I2382" s="260" t="s">
        <v>1066</v>
      </c>
      <c r="O2382" s="52"/>
    </row>
    <row r="2383" spans="9:16" ht="15.75">
      <c r="I2383" s="53" t="s">
        <v>535</v>
      </c>
      <c r="O2383" s="53"/>
    </row>
    <row r="2384" spans="9:16" ht="16.5">
      <c r="I2384" s="894" t="s">
        <v>909</v>
      </c>
      <c r="J2384" s="894"/>
      <c r="K2384" s="894"/>
      <c r="L2384" s="894"/>
      <c r="M2384" s="894"/>
      <c r="N2384" s="894"/>
      <c r="O2384" s="894"/>
      <c r="P2384" s="894"/>
    </row>
    <row r="2385" spans="9:16" ht="15.75" thickBot="1"/>
    <row r="2386" spans="9:16">
      <c r="I2386" s="895" t="s">
        <v>94</v>
      </c>
      <c r="J2386" s="897" t="s">
        <v>95</v>
      </c>
      <c r="K2386" s="897" t="s">
        <v>96</v>
      </c>
      <c r="L2386" s="897" t="s">
        <v>3</v>
      </c>
      <c r="M2386" s="897" t="s">
        <v>97</v>
      </c>
      <c r="N2386" s="897" t="s">
        <v>98</v>
      </c>
      <c r="O2386" s="897" t="s">
        <v>99</v>
      </c>
      <c r="P2386" s="899"/>
    </row>
    <row r="2387" spans="9:16" ht="15.75" thickBot="1">
      <c r="I2387" s="896"/>
      <c r="J2387" s="898"/>
      <c r="K2387" s="898"/>
      <c r="L2387" s="898"/>
      <c r="M2387" s="898"/>
      <c r="N2387" s="898"/>
      <c r="O2387" s="240" t="s">
        <v>100</v>
      </c>
      <c r="P2387" s="182" t="s">
        <v>101</v>
      </c>
    </row>
    <row r="2388" spans="9:16" ht="15" customHeight="1">
      <c r="I2388" s="881">
        <v>257</v>
      </c>
      <c r="J2388" s="875">
        <v>42622</v>
      </c>
      <c r="K2388" s="877" t="s">
        <v>1014</v>
      </c>
      <c r="L2388" s="879" t="s">
        <v>1067</v>
      </c>
      <c r="M2388" s="881" t="s">
        <v>115</v>
      </c>
      <c r="N2388" s="883">
        <v>60000</v>
      </c>
      <c r="O2388" s="55">
        <v>719</v>
      </c>
      <c r="P2388" s="78">
        <v>60000</v>
      </c>
    </row>
    <row r="2389" spans="9:16" ht="15.75" customHeight="1" thickBot="1">
      <c r="I2389" s="882"/>
      <c r="J2389" s="876"/>
      <c r="K2389" s="878"/>
      <c r="L2389" s="880"/>
      <c r="M2389" s="882"/>
      <c r="N2389" s="884"/>
      <c r="O2389" s="56">
        <v>721</v>
      </c>
      <c r="P2389" s="79">
        <f>+N2388-P2388</f>
        <v>0</v>
      </c>
    </row>
    <row r="2390" spans="9:16" ht="15" customHeight="1">
      <c r="I2390" s="881">
        <v>258</v>
      </c>
      <c r="J2390" s="875">
        <v>42622</v>
      </c>
      <c r="K2390" s="877" t="s">
        <v>28</v>
      </c>
      <c r="L2390" s="879" t="s">
        <v>1069</v>
      </c>
      <c r="M2390" s="881" t="s">
        <v>115</v>
      </c>
      <c r="N2390" s="883">
        <v>50000</v>
      </c>
      <c r="O2390" s="55">
        <v>719</v>
      </c>
      <c r="P2390" s="78">
        <v>50000</v>
      </c>
    </row>
    <row r="2391" spans="9:16" ht="15.75" customHeight="1" thickBot="1">
      <c r="I2391" s="882"/>
      <c r="J2391" s="876"/>
      <c r="K2391" s="878"/>
      <c r="L2391" s="880"/>
      <c r="M2391" s="882"/>
      <c r="N2391" s="884"/>
      <c r="O2391" s="56">
        <v>721</v>
      </c>
      <c r="P2391" s="79">
        <f>+N2390-P2390</f>
        <v>0</v>
      </c>
    </row>
    <row r="2392" spans="9:16">
      <c r="I2392" s="881"/>
      <c r="J2392" s="875"/>
      <c r="K2392" s="877"/>
      <c r="L2392" s="879"/>
      <c r="M2392" s="881"/>
      <c r="N2392" s="883"/>
      <c r="O2392" s="55">
        <v>719</v>
      </c>
      <c r="P2392" s="78"/>
    </row>
    <row r="2393" spans="9:16" ht="15.75" thickBot="1">
      <c r="I2393" s="882"/>
      <c r="J2393" s="876"/>
      <c r="K2393" s="878"/>
      <c r="L2393" s="880"/>
      <c r="M2393" s="882"/>
      <c r="N2393" s="884"/>
      <c r="O2393" s="56">
        <v>721</v>
      </c>
      <c r="P2393" s="79">
        <f>+N2392-P2392</f>
        <v>0</v>
      </c>
    </row>
    <row r="2394" spans="9:16">
      <c r="I2394" s="881"/>
      <c r="J2394" s="875"/>
      <c r="K2394" s="877"/>
      <c r="L2394" s="879"/>
      <c r="M2394" s="881"/>
      <c r="N2394" s="883"/>
      <c r="O2394" s="55">
        <v>719</v>
      </c>
      <c r="P2394" s="78"/>
    </row>
    <row r="2395" spans="9:16" ht="15.75" thickBot="1">
      <c r="I2395" s="882"/>
      <c r="J2395" s="876"/>
      <c r="K2395" s="878"/>
      <c r="L2395" s="880"/>
      <c r="M2395" s="882"/>
      <c r="N2395" s="884"/>
      <c r="O2395" s="56">
        <v>721</v>
      </c>
      <c r="P2395" s="79">
        <f>+N2394-P2394</f>
        <v>0</v>
      </c>
    </row>
    <row r="2396" spans="9:16">
      <c r="I2396" s="881"/>
      <c r="J2396" s="875"/>
      <c r="K2396" s="877"/>
      <c r="L2396" s="879"/>
      <c r="M2396" s="881"/>
      <c r="N2396" s="883"/>
      <c r="O2396" s="55">
        <v>719</v>
      </c>
      <c r="P2396" s="78"/>
    </row>
    <row r="2397" spans="9:16" ht="15.75" thickBot="1">
      <c r="I2397" s="882"/>
      <c r="J2397" s="876"/>
      <c r="K2397" s="878"/>
      <c r="L2397" s="880"/>
      <c r="M2397" s="882"/>
      <c r="N2397" s="884"/>
      <c r="O2397" s="56">
        <v>723</v>
      </c>
      <c r="P2397" s="79">
        <f>+N2396-P2396</f>
        <v>0</v>
      </c>
    </row>
    <row r="2398" spans="9:16" ht="16.5" thickBot="1">
      <c r="I2398" s="901" t="s">
        <v>102</v>
      </c>
      <c r="J2398" s="902"/>
      <c r="K2398" s="902"/>
      <c r="L2398" s="902"/>
      <c r="M2398" s="903"/>
      <c r="N2398" s="81">
        <f>SUM(N2388:N2397)</f>
        <v>110000</v>
      </c>
    </row>
    <row r="2399" spans="9:16" ht="16.5" thickBot="1">
      <c r="I2399" s="885" t="s">
        <v>103</v>
      </c>
      <c r="J2399" s="886"/>
      <c r="K2399" s="886"/>
      <c r="L2399" s="886"/>
      <c r="M2399" s="887"/>
      <c r="N2399" s="69">
        <f>+N2363</f>
        <v>542368660</v>
      </c>
      <c r="O2399" s="241" t="s">
        <v>561</v>
      </c>
      <c r="P2399" s="242">
        <f>123+195</f>
        <v>318</v>
      </c>
    </row>
    <row r="2400" spans="9:16" ht="16.5" thickBot="1">
      <c r="I2400" s="888" t="s">
        <v>104</v>
      </c>
      <c r="J2400" s="889"/>
      <c r="K2400" s="889"/>
      <c r="L2400" s="889"/>
      <c r="M2400" s="890"/>
      <c r="N2400" s="183">
        <f>SUM(N2398:N2399)</f>
        <v>542478660</v>
      </c>
    </row>
    <row r="2401" spans="9:15">
      <c r="I2401" s="61"/>
      <c r="J2401" s="61"/>
      <c r="K2401" s="61"/>
      <c r="L2401" s="61"/>
      <c r="M2401" s="61"/>
    </row>
    <row r="2402" spans="9:15">
      <c r="I2402" s="51" t="s">
        <v>1068</v>
      </c>
    </row>
    <row r="2403" spans="9:15" ht="12" customHeight="1">
      <c r="N2403" s="139"/>
    </row>
    <row r="2404" spans="9:15">
      <c r="I2404" s="50" t="s">
        <v>105</v>
      </c>
      <c r="L2404" s="146"/>
      <c r="N2404" s="139"/>
    </row>
    <row r="2405" spans="9:15" ht="12.75" customHeight="1" thickBot="1"/>
    <row r="2406" spans="9:15" ht="15.75" thickBot="1">
      <c r="I2406" s="891" t="s">
        <v>106</v>
      </c>
      <c r="J2406" s="892"/>
      <c r="K2406" s="892"/>
      <c r="L2406" s="893"/>
      <c r="N2406" s="50" t="s">
        <v>288</v>
      </c>
    </row>
    <row r="2407" spans="9:15" ht="30.75" thickBot="1">
      <c r="I2407" s="57" t="s">
        <v>100</v>
      </c>
      <c r="J2407" s="58" t="s">
        <v>108</v>
      </c>
      <c r="K2407" s="287" t="s">
        <v>109</v>
      </c>
      <c r="L2407" s="60" t="s">
        <v>110</v>
      </c>
    </row>
    <row r="2408" spans="9:15">
      <c r="I2408" s="71">
        <v>719</v>
      </c>
      <c r="J2408" s="73">
        <f>+P2388+P2390</f>
        <v>110000</v>
      </c>
      <c r="K2408" s="74">
        <f>+L2371</f>
        <v>36991700</v>
      </c>
      <c r="L2408" s="195">
        <f>+J2408+K2408</f>
        <v>37101700</v>
      </c>
    </row>
    <row r="2409" spans="9:15">
      <c r="I2409" s="72">
        <v>721</v>
      </c>
      <c r="J2409" s="80">
        <f>+P2389+P2391+P2393+P2395+P2397</f>
        <v>0</v>
      </c>
      <c r="K2409" s="74">
        <f>+L2372</f>
        <v>89921509</v>
      </c>
      <c r="L2409" s="195">
        <f>+J2409+K2409</f>
        <v>89921509</v>
      </c>
    </row>
    <row r="2410" spans="9:15">
      <c r="I2410" s="72">
        <v>722</v>
      </c>
      <c r="J2410" s="80"/>
      <c r="K2410" s="74">
        <f>+L2373</f>
        <v>17549900</v>
      </c>
      <c r="L2410" s="195">
        <f>+J2410+K2410</f>
        <v>17549900</v>
      </c>
    </row>
    <row r="2411" spans="9:15" ht="15.75">
      <c r="I2411" s="72">
        <v>723</v>
      </c>
      <c r="J2411" s="80"/>
      <c r="K2411" s="74">
        <f>+L2374</f>
        <v>397905551</v>
      </c>
      <c r="L2411" s="195">
        <f>+J2411+K2411</f>
        <v>397905551</v>
      </c>
      <c r="N2411" s="193" t="s">
        <v>289</v>
      </c>
      <c r="O2411" s="175"/>
    </row>
    <row r="2412" spans="9:15" ht="16.5" thickBot="1">
      <c r="I2412" s="164" t="s">
        <v>181</v>
      </c>
      <c r="J2412" s="165"/>
      <c r="K2412" s="74">
        <f>+L2375</f>
        <v>0</v>
      </c>
      <c r="L2412" s="196">
        <f>+J2412+K2412</f>
        <v>0</v>
      </c>
      <c r="N2412" s="52"/>
    </row>
    <row r="2413" spans="9:15" ht="16.5" thickBot="1">
      <c r="I2413" s="169"/>
      <c r="J2413" s="197">
        <f>SUM(J2408:J2412)</f>
        <v>110000</v>
      </c>
      <c r="K2413" s="197">
        <f>SUM(K2408:K2412)</f>
        <v>542368660</v>
      </c>
      <c r="L2413" s="198">
        <f>SUM(L2408:L2412)</f>
        <v>542478660</v>
      </c>
    </row>
    <row r="2414" spans="9:15" ht="16.5">
      <c r="I2414" s="49" t="s">
        <v>88</v>
      </c>
      <c r="J2414" s="50"/>
    </row>
    <row r="2415" spans="9:15">
      <c r="I2415" s="51" t="s">
        <v>89</v>
      </c>
    </row>
    <row r="2416" spans="9:15">
      <c r="I2416" s="51" t="s">
        <v>90</v>
      </c>
    </row>
    <row r="2417" spans="9:16">
      <c r="I2417" s="51" t="s">
        <v>91</v>
      </c>
    </row>
    <row r="2418" spans="9:16" ht="11.25" customHeight="1">
      <c r="I2418" s="50"/>
      <c r="J2418" s="50"/>
    </row>
    <row r="2419" spans="9:16" ht="15.75">
      <c r="I2419" s="260" t="s">
        <v>1070</v>
      </c>
      <c r="O2419" s="52"/>
    </row>
    <row r="2420" spans="9:16" ht="15.75">
      <c r="I2420" s="53" t="s">
        <v>535</v>
      </c>
      <c r="O2420" s="53"/>
    </row>
    <row r="2421" spans="9:16" ht="16.5">
      <c r="I2421" s="894" t="s">
        <v>909</v>
      </c>
      <c r="J2421" s="894"/>
      <c r="K2421" s="894"/>
      <c r="L2421" s="894"/>
      <c r="M2421" s="894"/>
      <c r="N2421" s="894"/>
      <c r="O2421" s="894"/>
      <c r="P2421" s="894"/>
    </row>
    <row r="2422" spans="9:16" ht="15.75" thickBot="1"/>
    <row r="2423" spans="9:16">
      <c r="I2423" s="895" t="s">
        <v>94</v>
      </c>
      <c r="J2423" s="897" t="s">
        <v>95</v>
      </c>
      <c r="K2423" s="897" t="s">
        <v>96</v>
      </c>
      <c r="L2423" s="897" t="s">
        <v>3</v>
      </c>
      <c r="M2423" s="897" t="s">
        <v>97</v>
      </c>
      <c r="N2423" s="897" t="s">
        <v>98</v>
      </c>
      <c r="O2423" s="897" t="s">
        <v>99</v>
      </c>
      <c r="P2423" s="899"/>
    </row>
    <row r="2424" spans="9:16" ht="15.75" thickBot="1">
      <c r="I2424" s="896"/>
      <c r="J2424" s="898"/>
      <c r="K2424" s="898"/>
      <c r="L2424" s="898"/>
      <c r="M2424" s="898"/>
      <c r="N2424" s="898"/>
      <c r="O2424" s="240" t="s">
        <v>100</v>
      </c>
      <c r="P2424" s="182" t="s">
        <v>101</v>
      </c>
    </row>
    <row r="2425" spans="9:16">
      <c r="I2425" s="881">
        <v>259</v>
      </c>
      <c r="J2425" s="875">
        <v>42632</v>
      </c>
      <c r="K2425" s="877" t="s">
        <v>1014</v>
      </c>
      <c r="L2425" s="879" t="s">
        <v>1072</v>
      </c>
      <c r="M2425" s="881" t="s">
        <v>115</v>
      </c>
      <c r="N2425" s="883">
        <v>150000</v>
      </c>
      <c r="O2425" s="55">
        <v>719</v>
      </c>
      <c r="P2425" s="78">
        <v>150000</v>
      </c>
    </row>
    <row r="2426" spans="9:16" ht="15.75" thickBot="1">
      <c r="I2426" s="882"/>
      <c r="J2426" s="876"/>
      <c r="K2426" s="878"/>
      <c r="L2426" s="880"/>
      <c r="M2426" s="882"/>
      <c r="N2426" s="884"/>
      <c r="O2426" s="56">
        <v>721</v>
      </c>
      <c r="P2426" s="79">
        <f>+N2425-P2425</f>
        <v>0</v>
      </c>
    </row>
    <row r="2427" spans="9:16">
      <c r="I2427" s="881">
        <v>260</v>
      </c>
      <c r="J2427" s="875">
        <v>42632</v>
      </c>
      <c r="K2427" s="877" t="s">
        <v>120</v>
      </c>
      <c r="L2427" s="879" t="s">
        <v>1071</v>
      </c>
      <c r="M2427" s="881" t="s">
        <v>115</v>
      </c>
      <c r="N2427" s="883">
        <v>110000</v>
      </c>
      <c r="O2427" s="55">
        <v>719</v>
      </c>
      <c r="P2427" s="78">
        <v>110000</v>
      </c>
    </row>
    <row r="2428" spans="9:16" ht="15.75" thickBot="1">
      <c r="I2428" s="882"/>
      <c r="J2428" s="876"/>
      <c r="K2428" s="878"/>
      <c r="L2428" s="880"/>
      <c r="M2428" s="882"/>
      <c r="N2428" s="884"/>
      <c r="O2428" s="56">
        <v>721</v>
      </c>
      <c r="P2428" s="79">
        <f>+N2427-P2427</f>
        <v>0</v>
      </c>
    </row>
    <row r="2429" spans="9:16">
      <c r="I2429" s="881"/>
      <c r="J2429" s="875"/>
      <c r="K2429" s="877"/>
      <c r="L2429" s="879"/>
      <c r="M2429" s="881"/>
      <c r="N2429" s="883"/>
      <c r="O2429" s="55">
        <v>719</v>
      </c>
      <c r="P2429" s="78"/>
    </row>
    <row r="2430" spans="9:16" ht="14.25" customHeight="1" thickBot="1">
      <c r="I2430" s="882"/>
      <c r="J2430" s="876"/>
      <c r="K2430" s="878"/>
      <c r="L2430" s="880"/>
      <c r="M2430" s="882"/>
      <c r="N2430" s="884"/>
      <c r="O2430" s="56">
        <v>721</v>
      </c>
      <c r="P2430" s="79">
        <f>+N2429-P2429</f>
        <v>0</v>
      </c>
    </row>
    <row r="2431" spans="9:16">
      <c r="I2431" s="881"/>
      <c r="J2431" s="875"/>
      <c r="K2431" s="877"/>
      <c r="L2431" s="879"/>
      <c r="M2431" s="881"/>
      <c r="N2431" s="883"/>
      <c r="O2431" s="55">
        <v>719</v>
      </c>
      <c r="P2431" s="78"/>
    </row>
    <row r="2432" spans="9:16" ht="13.5" customHeight="1" thickBot="1">
      <c r="I2432" s="882"/>
      <c r="J2432" s="876"/>
      <c r="K2432" s="878"/>
      <c r="L2432" s="880"/>
      <c r="M2432" s="882"/>
      <c r="N2432" s="884"/>
      <c r="O2432" s="56">
        <v>721</v>
      </c>
      <c r="P2432" s="79">
        <f>+N2431-P2431</f>
        <v>0</v>
      </c>
    </row>
    <row r="2433" spans="9:16">
      <c r="I2433" s="881"/>
      <c r="J2433" s="875"/>
      <c r="K2433" s="877"/>
      <c r="L2433" s="879"/>
      <c r="M2433" s="881"/>
      <c r="N2433" s="883"/>
      <c r="O2433" s="55">
        <v>719</v>
      </c>
      <c r="P2433" s="78"/>
    </row>
    <row r="2434" spans="9:16" ht="14.25" customHeight="1" thickBot="1">
      <c r="I2434" s="882"/>
      <c r="J2434" s="876"/>
      <c r="K2434" s="878"/>
      <c r="L2434" s="880"/>
      <c r="M2434" s="882"/>
      <c r="N2434" s="884"/>
      <c r="O2434" s="56">
        <v>723</v>
      </c>
      <c r="P2434" s="79">
        <f>+N2433-P2433</f>
        <v>0</v>
      </c>
    </row>
    <row r="2435" spans="9:16" ht="16.5" thickBot="1">
      <c r="I2435" s="901" t="s">
        <v>102</v>
      </c>
      <c r="J2435" s="902"/>
      <c r="K2435" s="902"/>
      <c r="L2435" s="902"/>
      <c r="M2435" s="903"/>
      <c r="N2435" s="81">
        <f>SUM(N2425:N2434)</f>
        <v>260000</v>
      </c>
    </row>
    <row r="2436" spans="9:16" ht="16.5" thickBot="1">
      <c r="I2436" s="885" t="s">
        <v>103</v>
      </c>
      <c r="J2436" s="886"/>
      <c r="K2436" s="886"/>
      <c r="L2436" s="886"/>
      <c r="M2436" s="887"/>
      <c r="N2436" s="69">
        <f>+N2400</f>
        <v>542478660</v>
      </c>
      <c r="O2436" s="241" t="s">
        <v>561</v>
      </c>
      <c r="P2436" s="242">
        <f>528+24</f>
        <v>552</v>
      </c>
    </row>
    <row r="2437" spans="9:16" ht="16.5" thickBot="1">
      <c r="I2437" s="888" t="s">
        <v>104</v>
      </c>
      <c r="J2437" s="889"/>
      <c r="K2437" s="889"/>
      <c r="L2437" s="889"/>
      <c r="M2437" s="890"/>
      <c r="N2437" s="183">
        <f>SUM(N2435:N2436)</f>
        <v>542738660</v>
      </c>
    </row>
    <row r="2438" spans="9:16">
      <c r="I2438" s="61"/>
      <c r="J2438" s="61"/>
      <c r="K2438" s="61"/>
      <c r="L2438" s="61"/>
      <c r="M2438" s="61"/>
    </row>
    <row r="2439" spans="9:16">
      <c r="I2439" s="51" t="s">
        <v>1073</v>
      </c>
    </row>
    <row r="2440" spans="9:16">
      <c r="N2440" s="139"/>
    </row>
    <row r="2441" spans="9:16">
      <c r="I2441" s="50" t="s">
        <v>105</v>
      </c>
      <c r="L2441" s="146"/>
      <c r="N2441" s="139"/>
    </row>
    <row r="2442" spans="9:16" ht="15.75" thickBot="1"/>
    <row r="2443" spans="9:16" ht="15.75" thickBot="1">
      <c r="I2443" s="891" t="s">
        <v>106</v>
      </c>
      <c r="J2443" s="892"/>
      <c r="K2443" s="892"/>
      <c r="L2443" s="893"/>
      <c r="N2443" s="50" t="s">
        <v>288</v>
      </c>
    </row>
    <row r="2444" spans="9:16" ht="30.75" thickBot="1">
      <c r="I2444" s="57" t="s">
        <v>100</v>
      </c>
      <c r="J2444" s="58" t="s">
        <v>108</v>
      </c>
      <c r="K2444" s="287" t="s">
        <v>109</v>
      </c>
      <c r="L2444" s="60" t="s">
        <v>110</v>
      </c>
    </row>
    <row r="2445" spans="9:16">
      <c r="I2445" s="71">
        <v>719</v>
      </c>
      <c r="J2445" s="73">
        <f>+P2425+P2427</f>
        <v>260000</v>
      </c>
      <c r="K2445" s="74">
        <f>+L2408</f>
        <v>37101700</v>
      </c>
      <c r="L2445" s="195">
        <f>+J2445+K2445</f>
        <v>37361700</v>
      </c>
    </row>
    <row r="2446" spans="9:16">
      <c r="I2446" s="72">
        <v>721</v>
      </c>
      <c r="J2446" s="80">
        <f>+P2426+P2428+P2430+P2432+P2434</f>
        <v>0</v>
      </c>
      <c r="K2446" s="74">
        <f>+L2409</f>
        <v>89921509</v>
      </c>
      <c r="L2446" s="195">
        <f>+J2446+K2446</f>
        <v>89921509</v>
      </c>
    </row>
    <row r="2447" spans="9:16">
      <c r="I2447" s="72">
        <v>722</v>
      </c>
      <c r="J2447" s="80"/>
      <c r="K2447" s="74">
        <f>+L2410</f>
        <v>17549900</v>
      </c>
      <c r="L2447" s="195">
        <f>+J2447+K2447</f>
        <v>17549900</v>
      </c>
    </row>
    <row r="2448" spans="9:16" ht="15.75">
      <c r="I2448" s="72">
        <v>723</v>
      </c>
      <c r="J2448" s="80"/>
      <c r="K2448" s="74">
        <f>+L2411</f>
        <v>397905551</v>
      </c>
      <c r="L2448" s="195">
        <f>+J2448+K2448</f>
        <v>397905551</v>
      </c>
      <c r="N2448" s="193" t="s">
        <v>289</v>
      </c>
      <c r="O2448" s="175"/>
    </row>
    <row r="2449" spans="9:16" ht="16.5" thickBot="1">
      <c r="I2449" s="164" t="s">
        <v>181</v>
      </c>
      <c r="J2449" s="165"/>
      <c r="K2449" s="74">
        <f>+L2412</f>
        <v>0</v>
      </c>
      <c r="L2449" s="196">
        <f>+J2449+K2449</f>
        <v>0</v>
      </c>
      <c r="N2449" s="52"/>
    </row>
    <row r="2450" spans="9:16" ht="16.5" thickBot="1">
      <c r="I2450" s="169"/>
      <c r="J2450" s="197">
        <f>SUM(J2445:J2449)</f>
        <v>260000</v>
      </c>
      <c r="K2450" s="197">
        <f>SUM(K2445:K2449)</f>
        <v>542478660</v>
      </c>
      <c r="L2450" s="198">
        <f>SUM(L2445:L2449)</f>
        <v>542738660</v>
      </c>
    </row>
    <row r="2451" spans="9:16" ht="16.5">
      <c r="I2451" s="49" t="s">
        <v>88</v>
      </c>
      <c r="J2451" s="50"/>
    </row>
    <row r="2452" spans="9:16">
      <c r="I2452" s="51" t="s">
        <v>89</v>
      </c>
    </row>
    <row r="2453" spans="9:16">
      <c r="I2453" s="51" t="s">
        <v>90</v>
      </c>
    </row>
    <row r="2454" spans="9:16">
      <c r="I2454" s="51" t="s">
        <v>91</v>
      </c>
    </row>
    <row r="2455" spans="9:16" ht="6.75" customHeight="1">
      <c r="I2455" s="50"/>
      <c r="J2455" s="50"/>
    </row>
    <row r="2456" spans="9:16" ht="15.75">
      <c r="I2456" s="260" t="s">
        <v>1074</v>
      </c>
      <c r="O2456" s="52"/>
    </row>
    <row r="2457" spans="9:16" ht="15.75">
      <c r="I2457" s="53" t="s">
        <v>535</v>
      </c>
      <c r="O2457" s="53"/>
    </row>
    <row r="2458" spans="9:16" ht="15.75" customHeight="1">
      <c r="I2458" s="894" t="s">
        <v>1078</v>
      </c>
      <c r="J2458" s="894"/>
      <c r="K2458" s="894"/>
      <c r="L2458" s="894"/>
      <c r="M2458" s="894"/>
      <c r="N2458" s="894"/>
      <c r="O2458" s="894"/>
      <c r="P2458" s="894"/>
    </row>
    <row r="2459" spans="9:16" ht="15.75" thickBot="1"/>
    <row r="2460" spans="9:16">
      <c r="I2460" s="895" t="s">
        <v>94</v>
      </c>
      <c r="J2460" s="897" t="s">
        <v>95</v>
      </c>
      <c r="K2460" s="897" t="s">
        <v>96</v>
      </c>
      <c r="L2460" s="897" t="s">
        <v>3</v>
      </c>
      <c r="M2460" s="897" t="s">
        <v>97</v>
      </c>
      <c r="N2460" s="897" t="s">
        <v>98</v>
      </c>
      <c r="O2460" s="897" t="s">
        <v>99</v>
      </c>
      <c r="P2460" s="899"/>
    </row>
    <row r="2461" spans="9:16" ht="15.75" thickBot="1">
      <c r="I2461" s="896"/>
      <c r="J2461" s="898"/>
      <c r="K2461" s="898"/>
      <c r="L2461" s="898"/>
      <c r="M2461" s="898"/>
      <c r="N2461" s="898"/>
      <c r="O2461" s="240" t="s">
        <v>100</v>
      </c>
      <c r="P2461" s="182" t="s">
        <v>101</v>
      </c>
    </row>
    <row r="2462" spans="9:16" ht="15" customHeight="1">
      <c r="I2462" s="881">
        <v>261</v>
      </c>
      <c r="J2462" s="875">
        <v>42641</v>
      </c>
      <c r="K2462" s="877" t="s">
        <v>1079</v>
      </c>
      <c r="L2462" s="879" t="s">
        <v>1080</v>
      </c>
      <c r="M2462" s="881" t="s">
        <v>783</v>
      </c>
      <c r="N2462" s="883">
        <v>145000</v>
      </c>
      <c r="O2462" s="55">
        <v>719</v>
      </c>
      <c r="P2462" s="78">
        <v>145000</v>
      </c>
    </row>
    <row r="2463" spans="9:16" ht="12.75" customHeight="1" thickBot="1">
      <c r="I2463" s="882"/>
      <c r="J2463" s="876"/>
      <c r="K2463" s="878"/>
      <c r="L2463" s="880"/>
      <c r="M2463" s="882"/>
      <c r="N2463" s="884"/>
      <c r="O2463" s="56">
        <v>721</v>
      </c>
      <c r="P2463" s="79">
        <f>+N2462-P2462</f>
        <v>0</v>
      </c>
    </row>
    <row r="2464" spans="9:16" ht="15" customHeight="1">
      <c r="I2464" s="881">
        <v>262</v>
      </c>
      <c r="J2464" s="875">
        <v>42641</v>
      </c>
      <c r="K2464" s="877" t="s">
        <v>1079</v>
      </c>
      <c r="L2464" s="879" t="s">
        <v>1081</v>
      </c>
      <c r="M2464" s="881" t="s">
        <v>783</v>
      </c>
      <c r="N2464" s="883">
        <v>72500</v>
      </c>
      <c r="O2464" s="55">
        <v>719</v>
      </c>
      <c r="P2464" s="78">
        <v>72500</v>
      </c>
    </row>
    <row r="2465" spans="9:16" ht="13.5" customHeight="1" thickBot="1">
      <c r="I2465" s="882"/>
      <c r="J2465" s="876"/>
      <c r="K2465" s="878"/>
      <c r="L2465" s="880"/>
      <c r="M2465" s="882"/>
      <c r="N2465" s="884"/>
      <c r="O2465" s="56">
        <v>721</v>
      </c>
      <c r="P2465" s="79">
        <f>+N2464-P2464</f>
        <v>0</v>
      </c>
    </row>
    <row r="2466" spans="9:16" ht="15" customHeight="1">
      <c r="I2466" s="881">
        <v>263</v>
      </c>
      <c r="J2466" s="875">
        <v>42641</v>
      </c>
      <c r="K2466" s="877" t="s">
        <v>1079</v>
      </c>
      <c r="L2466" s="879" t="s">
        <v>1082</v>
      </c>
      <c r="M2466" s="881" t="s">
        <v>783</v>
      </c>
      <c r="N2466" s="883">
        <v>72500</v>
      </c>
      <c r="O2466" s="55">
        <v>719</v>
      </c>
      <c r="P2466" s="78">
        <v>72500</v>
      </c>
    </row>
    <row r="2467" spans="9:16" ht="14.25" customHeight="1" thickBot="1">
      <c r="I2467" s="882"/>
      <c r="J2467" s="876"/>
      <c r="K2467" s="878"/>
      <c r="L2467" s="880"/>
      <c r="M2467" s="882"/>
      <c r="N2467" s="884"/>
      <c r="O2467" s="56">
        <v>721</v>
      </c>
      <c r="P2467" s="79">
        <f>+N2466-P2466</f>
        <v>0</v>
      </c>
    </row>
    <row r="2468" spans="9:16" ht="15" customHeight="1">
      <c r="I2468" s="881">
        <v>264</v>
      </c>
      <c r="J2468" s="875">
        <v>42641</v>
      </c>
      <c r="K2468" s="877" t="s">
        <v>1079</v>
      </c>
      <c r="L2468" s="879" t="s">
        <v>1084</v>
      </c>
      <c r="M2468" s="881" t="s">
        <v>783</v>
      </c>
      <c r="N2468" s="883">
        <v>217500</v>
      </c>
      <c r="O2468" s="55">
        <v>719</v>
      </c>
      <c r="P2468" s="78">
        <v>217500</v>
      </c>
    </row>
    <row r="2469" spans="9:16" ht="13.5" customHeight="1" thickBot="1">
      <c r="I2469" s="882"/>
      <c r="J2469" s="876"/>
      <c r="K2469" s="878"/>
      <c r="L2469" s="880"/>
      <c r="M2469" s="882"/>
      <c r="N2469" s="884"/>
      <c r="O2469" s="56">
        <v>721</v>
      </c>
      <c r="P2469" s="79">
        <f>+N2468-P2468</f>
        <v>0</v>
      </c>
    </row>
    <row r="2470" spans="9:16" ht="15.75" customHeight="1">
      <c r="I2470" s="881">
        <v>265</v>
      </c>
      <c r="J2470" s="875">
        <v>42641</v>
      </c>
      <c r="K2470" s="877" t="s">
        <v>1079</v>
      </c>
      <c r="L2470" s="879" t="s">
        <v>1095</v>
      </c>
      <c r="M2470" s="881" t="s">
        <v>783</v>
      </c>
      <c r="N2470" s="883">
        <f>72500*2</f>
        <v>145000</v>
      </c>
      <c r="O2470" s="55">
        <v>719</v>
      </c>
      <c r="P2470" s="78">
        <v>145000</v>
      </c>
    </row>
    <row r="2471" spans="9:16" ht="13.5" customHeight="1" thickBot="1">
      <c r="I2471" s="882"/>
      <c r="J2471" s="876"/>
      <c r="K2471" s="878"/>
      <c r="L2471" s="880"/>
      <c r="M2471" s="882"/>
      <c r="N2471" s="884"/>
      <c r="O2471" s="56">
        <v>721</v>
      </c>
      <c r="P2471" s="79">
        <f>+N2470-P2470</f>
        <v>0</v>
      </c>
    </row>
    <row r="2472" spans="9:16" ht="15" customHeight="1">
      <c r="I2472" s="881">
        <v>266</v>
      </c>
      <c r="J2472" s="875">
        <v>42641</v>
      </c>
      <c r="K2472" s="877" t="s">
        <v>1079</v>
      </c>
      <c r="L2472" s="879" t="s">
        <v>1086</v>
      </c>
      <c r="M2472" s="881" t="s">
        <v>783</v>
      </c>
      <c r="N2472" s="883">
        <v>145000</v>
      </c>
      <c r="O2472" s="55">
        <v>719</v>
      </c>
      <c r="P2472" s="78">
        <v>145000</v>
      </c>
    </row>
    <row r="2473" spans="9:16" ht="13.5" customHeight="1" thickBot="1">
      <c r="I2473" s="882"/>
      <c r="J2473" s="876"/>
      <c r="K2473" s="878"/>
      <c r="L2473" s="880"/>
      <c r="M2473" s="882"/>
      <c r="N2473" s="884"/>
      <c r="O2473" s="56">
        <v>721</v>
      </c>
      <c r="P2473" s="79">
        <f>+N2472-P2472</f>
        <v>0</v>
      </c>
    </row>
    <row r="2474" spans="9:16" ht="16.5" thickBot="1">
      <c r="I2474" s="901" t="s">
        <v>102</v>
      </c>
      <c r="J2474" s="902"/>
      <c r="K2474" s="902"/>
      <c r="L2474" s="902"/>
      <c r="M2474" s="903"/>
      <c r="N2474" s="81">
        <f>SUM(N2462:N2473)</f>
        <v>797500</v>
      </c>
    </row>
    <row r="2475" spans="9:16" ht="16.5" thickBot="1">
      <c r="I2475" s="885" t="s">
        <v>103</v>
      </c>
      <c r="J2475" s="886"/>
      <c r="K2475" s="886"/>
      <c r="L2475" s="886"/>
      <c r="M2475" s="887"/>
      <c r="N2475" s="69">
        <f>+N2437</f>
        <v>542738660</v>
      </c>
      <c r="O2475" s="241" t="s">
        <v>561</v>
      </c>
      <c r="P2475" s="242"/>
    </row>
    <row r="2476" spans="9:16" ht="16.5" thickBot="1">
      <c r="I2476" s="888" t="s">
        <v>104</v>
      </c>
      <c r="J2476" s="889"/>
      <c r="K2476" s="889"/>
      <c r="L2476" s="889"/>
      <c r="M2476" s="890"/>
      <c r="N2476" s="183">
        <f>SUM(N2474:N2475)</f>
        <v>543536160</v>
      </c>
    </row>
    <row r="2477" spans="9:16" ht="9.75" customHeight="1">
      <c r="I2477" s="61"/>
      <c r="J2477" s="61"/>
      <c r="K2477" s="61"/>
      <c r="L2477" s="61"/>
      <c r="M2477" s="61"/>
    </row>
    <row r="2478" spans="9:16">
      <c r="I2478" s="51" t="s">
        <v>1101</v>
      </c>
    </row>
    <row r="2479" spans="9:16" ht="9.75" customHeight="1">
      <c r="N2479" s="139"/>
    </row>
    <row r="2480" spans="9:16">
      <c r="I2480" s="50" t="s">
        <v>105</v>
      </c>
      <c r="L2480" s="146"/>
      <c r="N2480" s="139"/>
    </row>
    <row r="2481" spans="9:15" ht="12" customHeight="1" thickBot="1"/>
    <row r="2482" spans="9:15" ht="15.75" thickBot="1">
      <c r="I2482" s="891" t="s">
        <v>106</v>
      </c>
      <c r="J2482" s="892"/>
      <c r="K2482" s="892"/>
      <c r="L2482" s="893"/>
      <c r="N2482" s="50" t="s">
        <v>288</v>
      </c>
    </row>
    <row r="2483" spans="9:15" ht="28.5" customHeight="1" thickBot="1">
      <c r="I2483" s="57" t="s">
        <v>100</v>
      </c>
      <c r="J2483" s="58" t="s">
        <v>108</v>
      </c>
      <c r="K2483" s="287" t="s">
        <v>109</v>
      </c>
      <c r="L2483" s="60" t="s">
        <v>110</v>
      </c>
    </row>
    <row r="2484" spans="9:15">
      <c r="I2484" s="71">
        <v>719</v>
      </c>
      <c r="J2484" s="73"/>
      <c r="K2484" s="74">
        <f>+L2445</f>
        <v>37361700</v>
      </c>
      <c r="L2484" s="195">
        <f>+J2484+K2484</f>
        <v>37361700</v>
      </c>
    </row>
    <row r="2485" spans="9:15">
      <c r="I2485" s="72">
        <v>721</v>
      </c>
      <c r="J2485" s="80"/>
      <c r="K2485" s="74">
        <f>+L2446</f>
        <v>89921509</v>
      </c>
      <c r="L2485" s="195">
        <f>+J2485+K2485</f>
        <v>89921509</v>
      </c>
    </row>
    <row r="2486" spans="9:15">
      <c r="I2486" s="72">
        <v>722</v>
      </c>
      <c r="J2486" s="80"/>
      <c r="K2486" s="74">
        <f>+L2447</f>
        <v>17549900</v>
      </c>
      <c r="L2486" s="195">
        <f>+J2486+K2486</f>
        <v>17549900</v>
      </c>
    </row>
    <row r="2487" spans="9:15" ht="15" customHeight="1">
      <c r="I2487" s="72">
        <v>723</v>
      </c>
      <c r="J2487" s="80"/>
      <c r="K2487" s="74">
        <f>+L2448</f>
        <v>397905551</v>
      </c>
      <c r="L2487" s="195">
        <f>+J2487+K2487</f>
        <v>397905551</v>
      </c>
      <c r="N2487" s="193" t="s">
        <v>289</v>
      </c>
      <c r="O2487" s="175"/>
    </row>
    <row r="2488" spans="9:15" ht="16.5" thickBot="1">
      <c r="I2488" s="164" t="s">
        <v>1077</v>
      </c>
      <c r="J2488" s="165">
        <f>+P2462+P2464+P2466+P2468+P2472+P2470</f>
        <v>797500</v>
      </c>
      <c r="K2488" s="74">
        <f>+L2449</f>
        <v>0</v>
      </c>
      <c r="L2488" s="196">
        <f>+J2488+K2488</f>
        <v>797500</v>
      </c>
      <c r="N2488" s="52"/>
    </row>
    <row r="2489" spans="9:15" ht="16.5" thickBot="1">
      <c r="I2489" s="316" t="s">
        <v>147</v>
      </c>
      <c r="J2489" s="197">
        <f>SUM(J2484:J2488)</f>
        <v>797500</v>
      </c>
      <c r="K2489" s="197">
        <f>SUM(K2484:K2488)</f>
        <v>542738660</v>
      </c>
      <c r="L2489" s="198">
        <f>SUM(L2484:L2488)</f>
        <v>543536160</v>
      </c>
    </row>
    <row r="2490" spans="9:15" ht="16.5">
      <c r="I2490" s="49" t="s">
        <v>88</v>
      </c>
      <c r="J2490" s="50"/>
    </row>
    <row r="2491" spans="9:15">
      <c r="I2491" s="51" t="s">
        <v>89</v>
      </c>
    </row>
    <row r="2492" spans="9:15">
      <c r="I2492" s="51" t="s">
        <v>90</v>
      </c>
    </row>
    <row r="2493" spans="9:15">
      <c r="I2493" s="51" t="s">
        <v>91</v>
      </c>
    </row>
    <row r="2494" spans="9:15" ht="12.75" customHeight="1">
      <c r="I2494" s="50"/>
      <c r="J2494" s="50"/>
    </row>
    <row r="2495" spans="9:15" ht="15.75">
      <c r="I2495" s="260" t="s">
        <v>1075</v>
      </c>
      <c r="O2495" s="52"/>
    </row>
    <row r="2496" spans="9:15" ht="15.75">
      <c r="I2496" s="53" t="s">
        <v>535</v>
      </c>
      <c r="O2496" s="53"/>
    </row>
    <row r="2497" spans="9:16" ht="16.5">
      <c r="I2497" s="894" t="s">
        <v>1098</v>
      </c>
      <c r="J2497" s="894"/>
      <c r="K2497" s="894"/>
      <c r="L2497" s="894"/>
      <c r="M2497" s="894"/>
      <c r="N2497" s="894"/>
      <c r="O2497" s="894"/>
      <c r="P2497" s="894"/>
    </row>
    <row r="2498" spans="9:16" ht="15.75" thickBot="1"/>
    <row r="2499" spans="9:16">
      <c r="I2499" s="895" t="s">
        <v>94</v>
      </c>
      <c r="J2499" s="897" t="s">
        <v>95</v>
      </c>
      <c r="K2499" s="897" t="s">
        <v>96</v>
      </c>
      <c r="L2499" s="897" t="s">
        <v>3</v>
      </c>
      <c r="M2499" s="897" t="s">
        <v>97</v>
      </c>
      <c r="N2499" s="897" t="s">
        <v>98</v>
      </c>
      <c r="O2499" s="897" t="s">
        <v>99</v>
      </c>
      <c r="P2499" s="899"/>
    </row>
    <row r="2500" spans="9:16" ht="15.75" thickBot="1">
      <c r="I2500" s="896"/>
      <c r="J2500" s="898"/>
      <c r="K2500" s="898"/>
      <c r="L2500" s="898"/>
      <c r="M2500" s="898"/>
      <c r="N2500" s="898"/>
      <c r="O2500" s="240" t="s">
        <v>100</v>
      </c>
      <c r="P2500" s="182" t="s">
        <v>101</v>
      </c>
    </row>
    <row r="2501" spans="9:16" ht="15" customHeight="1">
      <c r="I2501" s="881">
        <v>267</v>
      </c>
      <c r="J2501" s="875">
        <v>42641</v>
      </c>
      <c r="K2501" s="877" t="s">
        <v>738</v>
      </c>
      <c r="L2501" s="879" t="s">
        <v>1097</v>
      </c>
      <c r="M2501" s="881" t="s">
        <v>148</v>
      </c>
      <c r="N2501" s="883">
        <v>2672700</v>
      </c>
      <c r="O2501" s="55">
        <v>719</v>
      </c>
      <c r="P2501" s="78"/>
    </row>
    <row r="2502" spans="9:16" ht="15.75" customHeight="1" thickBot="1">
      <c r="I2502" s="882"/>
      <c r="J2502" s="876"/>
      <c r="K2502" s="878"/>
      <c r="L2502" s="880"/>
      <c r="M2502" s="882"/>
      <c r="N2502" s="884"/>
      <c r="O2502" s="56">
        <v>721</v>
      </c>
      <c r="P2502" s="79">
        <f>+N2501</f>
        <v>2672700</v>
      </c>
    </row>
    <row r="2503" spans="9:16" ht="15" customHeight="1">
      <c r="I2503" s="881">
        <v>268</v>
      </c>
      <c r="J2503" s="875">
        <v>42641</v>
      </c>
      <c r="K2503" s="877" t="s">
        <v>738</v>
      </c>
      <c r="L2503" s="879" t="s">
        <v>1099</v>
      </c>
      <c r="M2503" s="881" t="s">
        <v>148</v>
      </c>
      <c r="N2503" s="883">
        <v>773675</v>
      </c>
      <c r="O2503" s="55">
        <v>719</v>
      </c>
      <c r="P2503" s="78"/>
    </row>
    <row r="2504" spans="9:16" ht="15.75" customHeight="1" thickBot="1">
      <c r="I2504" s="882"/>
      <c r="J2504" s="876"/>
      <c r="K2504" s="878"/>
      <c r="L2504" s="880"/>
      <c r="M2504" s="882"/>
      <c r="N2504" s="884"/>
      <c r="O2504" s="56">
        <v>721</v>
      </c>
      <c r="P2504" s="79">
        <f>+N2503-P2503</f>
        <v>773675</v>
      </c>
    </row>
    <row r="2505" spans="9:16" ht="15" customHeight="1">
      <c r="I2505" s="881">
        <v>269</v>
      </c>
      <c r="J2505" s="875">
        <v>42641</v>
      </c>
      <c r="K2505" s="877" t="s">
        <v>738</v>
      </c>
      <c r="L2505" s="879" t="s">
        <v>1100</v>
      </c>
      <c r="M2505" s="881" t="s">
        <v>148</v>
      </c>
      <c r="N2505" s="883">
        <v>2672700</v>
      </c>
      <c r="O2505" s="55">
        <v>719</v>
      </c>
      <c r="P2505" s="78"/>
    </row>
    <row r="2506" spans="9:16" ht="14.25" customHeight="1" thickBot="1">
      <c r="I2506" s="882"/>
      <c r="J2506" s="876"/>
      <c r="K2506" s="878"/>
      <c r="L2506" s="880"/>
      <c r="M2506" s="882"/>
      <c r="N2506" s="884"/>
      <c r="O2506" s="56">
        <v>721</v>
      </c>
      <c r="P2506" s="79">
        <f>+N2505-P2505</f>
        <v>2672700</v>
      </c>
    </row>
    <row r="2507" spans="9:16" ht="14.25" customHeight="1">
      <c r="I2507" s="881"/>
      <c r="J2507" s="875"/>
      <c r="K2507" s="877"/>
      <c r="L2507" s="879"/>
      <c r="M2507" s="881"/>
      <c r="N2507" s="883"/>
      <c r="O2507" s="55">
        <v>719</v>
      </c>
      <c r="P2507" s="78"/>
    </row>
    <row r="2508" spans="9:16" ht="14.25" customHeight="1" thickBot="1">
      <c r="I2508" s="882"/>
      <c r="J2508" s="876"/>
      <c r="K2508" s="878"/>
      <c r="L2508" s="880"/>
      <c r="M2508" s="882"/>
      <c r="N2508" s="884"/>
      <c r="O2508" s="56">
        <v>721</v>
      </c>
      <c r="P2508" s="79">
        <f>+N2507-P2507</f>
        <v>0</v>
      </c>
    </row>
    <row r="2509" spans="9:16" ht="15" customHeight="1">
      <c r="I2509" s="881"/>
      <c r="J2509" s="875"/>
      <c r="K2509" s="877"/>
      <c r="L2509" s="879"/>
      <c r="M2509" s="881"/>
      <c r="N2509" s="883"/>
      <c r="O2509" s="55">
        <v>719</v>
      </c>
      <c r="P2509" s="78"/>
    </row>
    <row r="2510" spans="9:16" ht="11.25" customHeight="1" thickBot="1">
      <c r="I2510" s="882"/>
      <c r="J2510" s="876"/>
      <c r="K2510" s="878"/>
      <c r="L2510" s="880"/>
      <c r="M2510" s="882"/>
      <c r="N2510" s="884"/>
      <c r="O2510" s="56">
        <v>723</v>
      </c>
      <c r="P2510" s="79">
        <f>+N2509-P2509</f>
        <v>0</v>
      </c>
    </row>
    <row r="2511" spans="9:16" ht="16.5" thickBot="1">
      <c r="I2511" s="901" t="s">
        <v>102</v>
      </c>
      <c r="J2511" s="902"/>
      <c r="K2511" s="902"/>
      <c r="L2511" s="902"/>
      <c r="M2511" s="903"/>
      <c r="N2511" s="81">
        <f>SUM(N2501:N2510)</f>
        <v>6119075</v>
      </c>
    </row>
    <row r="2512" spans="9:16" ht="16.5" thickBot="1">
      <c r="I2512" s="885" t="s">
        <v>103</v>
      </c>
      <c r="J2512" s="886"/>
      <c r="K2512" s="886"/>
      <c r="L2512" s="886"/>
      <c r="M2512" s="887"/>
      <c r="N2512" s="69">
        <f>+N2476</f>
        <v>543536160</v>
      </c>
      <c r="O2512" s="241" t="s">
        <v>561</v>
      </c>
      <c r="P2512" s="242"/>
    </row>
    <row r="2513" spans="9:15" ht="16.5" thickBot="1">
      <c r="I2513" s="888" t="s">
        <v>104</v>
      </c>
      <c r="J2513" s="889"/>
      <c r="K2513" s="889"/>
      <c r="L2513" s="889"/>
      <c r="M2513" s="890"/>
      <c r="N2513" s="183">
        <f>SUM(N2511:N2512)</f>
        <v>549655235</v>
      </c>
    </row>
    <row r="2514" spans="9:15">
      <c r="I2514" s="61"/>
      <c r="J2514" s="61"/>
      <c r="K2514" s="61"/>
      <c r="L2514" s="61"/>
      <c r="M2514" s="61"/>
    </row>
    <row r="2515" spans="9:15">
      <c r="I2515" s="51" t="s">
        <v>1110</v>
      </c>
    </row>
    <row r="2516" spans="9:15" ht="12.75" customHeight="1">
      <c r="N2516" s="139"/>
    </row>
    <row r="2517" spans="9:15">
      <c r="I2517" s="50" t="s">
        <v>105</v>
      </c>
      <c r="L2517" s="146"/>
      <c r="N2517" s="139"/>
    </row>
    <row r="2518" spans="9:15" ht="14.25" customHeight="1" thickBot="1"/>
    <row r="2519" spans="9:15" ht="15.75" thickBot="1">
      <c r="I2519" s="891" t="s">
        <v>106</v>
      </c>
      <c r="J2519" s="892"/>
      <c r="K2519" s="892"/>
      <c r="L2519" s="893"/>
      <c r="N2519" s="50" t="s">
        <v>288</v>
      </c>
    </row>
    <row r="2520" spans="9:15" ht="30.75" thickBot="1">
      <c r="I2520" s="57" t="s">
        <v>100</v>
      </c>
      <c r="J2520" s="58" t="s">
        <v>108</v>
      </c>
      <c r="K2520" s="287" t="s">
        <v>109</v>
      </c>
      <c r="L2520" s="60" t="s">
        <v>110</v>
      </c>
    </row>
    <row r="2521" spans="9:15">
      <c r="I2521" s="71">
        <v>719</v>
      </c>
      <c r="J2521" s="73">
        <v>0</v>
      </c>
      <c r="K2521" s="74">
        <f>+L2484</f>
        <v>37361700</v>
      </c>
      <c r="L2521" s="195">
        <f>+J2521+K2521</f>
        <v>37361700</v>
      </c>
    </row>
    <row r="2522" spans="9:15">
      <c r="I2522" s="72">
        <v>721</v>
      </c>
      <c r="J2522" s="80">
        <f>+P2502+P2504+P2506+P2508+P2510</f>
        <v>6119075</v>
      </c>
      <c r="K2522" s="74">
        <f>+L2485</f>
        <v>89921509</v>
      </c>
      <c r="L2522" s="195">
        <f>+J2522+K2522</f>
        <v>96040584</v>
      </c>
    </row>
    <row r="2523" spans="9:15">
      <c r="I2523" s="72">
        <v>722</v>
      </c>
      <c r="J2523" s="80"/>
      <c r="K2523" s="74">
        <f>+L2486</f>
        <v>17549900</v>
      </c>
      <c r="L2523" s="195">
        <f>+J2523+K2523</f>
        <v>17549900</v>
      </c>
    </row>
    <row r="2524" spans="9:15" ht="15.75">
      <c r="I2524" s="72">
        <v>723</v>
      </c>
      <c r="J2524" s="80"/>
      <c r="K2524" s="74">
        <f>+L2487</f>
        <v>397905551</v>
      </c>
      <c r="L2524" s="195">
        <f>+J2524+K2524</f>
        <v>397905551</v>
      </c>
      <c r="N2524" s="193" t="s">
        <v>289</v>
      </c>
      <c r="O2524" s="175"/>
    </row>
    <row r="2525" spans="9:15" ht="16.5" thickBot="1">
      <c r="I2525" s="164" t="s">
        <v>1077</v>
      </c>
      <c r="J2525" s="165">
        <f>+P2501+P2503+P2505</f>
        <v>0</v>
      </c>
      <c r="K2525" s="74">
        <f>+L2488</f>
        <v>797500</v>
      </c>
      <c r="L2525" s="196">
        <f>+J2525+K2525</f>
        <v>797500</v>
      </c>
      <c r="N2525" s="52"/>
    </row>
    <row r="2526" spans="9:15" ht="16.5" thickBot="1">
      <c r="I2526" s="169"/>
      <c r="J2526" s="197">
        <f>SUM(J2521:J2525)</f>
        <v>6119075</v>
      </c>
      <c r="K2526" s="197">
        <f>SUM(K2521:K2525)</f>
        <v>543536160</v>
      </c>
      <c r="L2526" s="198">
        <f>SUM(L2521:L2525)</f>
        <v>549655235</v>
      </c>
    </row>
    <row r="2527" spans="9:15" ht="16.5">
      <c r="I2527" s="49" t="s">
        <v>88</v>
      </c>
      <c r="J2527" s="50"/>
    </row>
    <row r="2528" spans="9:15">
      <c r="I2528" s="51" t="s">
        <v>89</v>
      </c>
    </row>
    <row r="2529" spans="9:16">
      <c r="I2529" s="51" t="s">
        <v>90</v>
      </c>
    </row>
    <row r="2530" spans="9:16">
      <c r="I2530" s="51" t="s">
        <v>91</v>
      </c>
    </row>
    <row r="2531" spans="9:16" ht="11.25" customHeight="1">
      <c r="I2531" s="50"/>
      <c r="J2531" s="50"/>
    </row>
    <row r="2532" spans="9:16" ht="15.75">
      <c r="I2532" s="260" t="s">
        <v>1076</v>
      </c>
      <c r="O2532" s="52"/>
    </row>
    <row r="2533" spans="9:16" ht="15.75">
      <c r="I2533" s="53" t="s">
        <v>535</v>
      </c>
      <c r="O2533" s="53"/>
    </row>
    <row r="2534" spans="9:16" ht="16.5">
      <c r="I2534" s="894" t="s">
        <v>1121</v>
      </c>
      <c r="J2534" s="894"/>
      <c r="K2534" s="894"/>
      <c r="L2534" s="894"/>
      <c r="M2534" s="894"/>
      <c r="N2534" s="894"/>
      <c r="O2534" s="894"/>
      <c r="P2534" s="894"/>
    </row>
    <row r="2535" spans="9:16" ht="15.75" thickBot="1"/>
    <row r="2536" spans="9:16">
      <c r="I2536" s="895" t="s">
        <v>94</v>
      </c>
      <c r="J2536" s="897" t="s">
        <v>95</v>
      </c>
      <c r="K2536" s="897" t="s">
        <v>96</v>
      </c>
      <c r="L2536" s="897" t="s">
        <v>3</v>
      </c>
      <c r="M2536" s="897" t="s">
        <v>97</v>
      </c>
      <c r="N2536" s="897" t="s">
        <v>98</v>
      </c>
      <c r="O2536" s="897" t="s">
        <v>99</v>
      </c>
      <c r="P2536" s="899"/>
    </row>
    <row r="2537" spans="9:16" ht="15.75" thickBot="1">
      <c r="I2537" s="896"/>
      <c r="J2537" s="898"/>
      <c r="K2537" s="898"/>
      <c r="L2537" s="898"/>
      <c r="M2537" s="898"/>
      <c r="N2537" s="898"/>
      <c r="O2537" s="240" t="s">
        <v>100</v>
      </c>
      <c r="P2537" s="182" t="s">
        <v>101</v>
      </c>
    </row>
    <row r="2538" spans="9:16" ht="15" customHeight="1">
      <c r="I2538" s="881">
        <v>270</v>
      </c>
      <c r="J2538" s="875">
        <v>42641</v>
      </c>
      <c r="K2538" s="877" t="s">
        <v>1014</v>
      </c>
      <c r="L2538" s="879" t="s">
        <v>1120</v>
      </c>
      <c r="M2538" s="881" t="s">
        <v>115</v>
      </c>
      <c r="N2538" s="883">
        <v>90000</v>
      </c>
      <c r="O2538" s="55">
        <v>719</v>
      </c>
      <c r="P2538" s="78">
        <v>90000</v>
      </c>
    </row>
    <row r="2539" spans="9:16" ht="15.75" customHeight="1" thickBot="1">
      <c r="I2539" s="882"/>
      <c r="J2539" s="876"/>
      <c r="K2539" s="878"/>
      <c r="L2539" s="880"/>
      <c r="M2539" s="882"/>
      <c r="N2539" s="884"/>
      <c r="O2539" s="56">
        <v>721</v>
      </c>
      <c r="P2539" s="79">
        <f>+N2538-P2538</f>
        <v>0</v>
      </c>
    </row>
    <row r="2540" spans="9:16" ht="15" customHeight="1">
      <c r="I2540" s="881">
        <v>271</v>
      </c>
      <c r="J2540" s="875">
        <v>42641</v>
      </c>
      <c r="K2540" s="877" t="s">
        <v>28</v>
      </c>
      <c r="L2540" s="879" t="s">
        <v>1119</v>
      </c>
      <c r="M2540" s="881" t="s">
        <v>115</v>
      </c>
      <c r="N2540" s="883">
        <v>80000</v>
      </c>
      <c r="O2540" s="55">
        <v>719</v>
      </c>
      <c r="P2540" s="78">
        <v>80000</v>
      </c>
    </row>
    <row r="2541" spans="9:16" ht="15.75" customHeight="1" thickBot="1">
      <c r="I2541" s="882"/>
      <c r="J2541" s="876"/>
      <c r="K2541" s="878"/>
      <c r="L2541" s="880"/>
      <c r="M2541" s="882"/>
      <c r="N2541" s="884"/>
      <c r="O2541" s="56">
        <v>721</v>
      </c>
      <c r="P2541" s="79">
        <f>+N2540-P2540</f>
        <v>0</v>
      </c>
    </row>
    <row r="2542" spans="9:16" ht="13.5" customHeight="1">
      <c r="I2542" s="881">
        <v>272</v>
      </c>
      <c r="J2542" s="875">
        <v>42641</v>
      </c>
      <c r="K2542" s="877" t="s">
        <v>1116</v>
      </c>
      <c r="L2542" s="879" t="s">
        <v>1118</v>
      </c>
      <c r="M2542" s="881" t="s">
        <v>115</v>
      </c>
      <c r="N2542" s="883">
        <v>80000</v>
      </c>
      <c r="O2542" s="55">
        <v>719</v>
      </c>
      <c r="P2542" s="78">
        <v>80000</v>
      </c>
    </row>
    <row r="2543" spans="9:16" ht="14.25" customHeight="1" thickBot="1">
      <c r="I2543" s="882"/>
      <c r="J2543" s="876"/>
      <c r="K2543" s="878"/>
      <c r="L2543" s="880"/>
      <c r="M2543" s="882"/>
      <c r="N2543" s="884"/>
      <c r="O2543" s="56">
        <v>721</v>
      </c>
      <c r="P2543" s="79">
        <f>+N2542-P2542</f>
        <v>0</v>
      </c>
    </row>
    <row r="2544" spans="9:16" ht="14.25" customHeight="1">
      <c r="I2544" s="881"/>
      <c r="J2544" s="875"/>
      <c r="K2544" s="875"/>
      <c r="L2544" s="877"/>
      <c r="M2544" s="879"/>
      <c r="N2544" s="883"/>
      <c r="O2544" s="55">
        <v>719</v>
      </c>
      <c r="P2544" s="78"/>
    </row>
    <row r="2545" spans="9:16" ht="13.5" customHeight="1" thickBot="1">
      <c r="I2545" s="882"/>
      <c r="J2545" s="876"/>
      <c r="K2545" s="876"/>
      <c r="L2545" s="878"/>
      <c r="M2545" s="880"/>
      <c r="N2545" s="884"/>
      <c r="O2545" s="56">
        <v>721</v>
      </c>
      <c r="P2545" s="79">
        <f>+N2544-P2544</f>
        <v>0</v>
      </c>
    </row>
    <row r="2546" spans="9:16" ht="14.25" customHeight="1">
      <c r="I2546" s="881"/>
      <c r="J2546" s="875"/>
      <c r="K2546" s="877"/>
      <c r="L2546" s="879"/>
      <c r="M2546" s="881"/>
      <c r="N2546" s="883"/>
      <c r="O2546" s="55">
        <v>719</v>
      </c>
      <c r="P2546" s="78"/>
    </row>
    <row r="2547" spans="9:16" ht="13.5" customHeight="1" thickBot="1">
      <c r="I2547" s="882"/>
      <c r="J2547" s="876"/>
      <c r="K2547" s="878"/>
      <c r="L2547" s="880"/>
      <c r="M2547" s="882"/>
      <c r="N2547" s="884"/>
      <c r="O2547" s="56">
        <v>723</v>
      </c>
      <c r="P2547" s="79">
        <f>+N2546-P2546</f>
        <v>0</v>
      </c>
    </row>
    <row r="2548" spans="9:16" ht="16.5" thickBot="1">
      <c r="I2548" s="901" t="s">
        <v>102</v>
      </c>
      <c r="J2548" s="902"/>
      <c r="K2548" s="902"/>
      <c r="L2548" s="902"/>
      <c r="M2548" s="903"/>
      <c r="N2548" s="81">
        <f>SUM(N2538:N2547)</f>
        <v>250000</v>
      </c>
    </row>
    <row r="2549" spans="9:16" ht="16.5" thickBot="1">
      <c r="I2549" s="885" t="s">
        <v>103</v>
      </c>
      <c r="J2549" s="886"/>
      <c r="K2549" s="886"/>
      <c r="L2549" s="886"/>
      <c r="M2549" s="887"/>
      <c r="N2549" s="69">
        <f>+N2513</f>
        <v>549655235</v>
      </c>
      <c r="O2549" s="241" t="s">
        <v>561</v>
      </c>
      <c r="P2549" s="242">
        <f>325+46+159</f>
        <v>530</v>
      </c>
    </row>
    <row r="2550" spans="9:16" ht="16.5" thickBot="1">
      <c r="I2550" s="888" t="s">
        <v>104</v>
      </c>
      <c r="J2550" s="889"/>
      <c r="K2550" s="889"/>
      <c r="L2550" s="889"/>
      <c r="M2550" s="890"/>
      <c r="N2550" s="183">
        <f>SUM(N2548:N2549)</f>
        <v>549905235</v>
      </c>
    </row>
    <row r="2551" spans="9:16">
      <c r="I2551" s="61"/>
      <c r="J2551" s="61"/>
      <c r="K2551" s="61"/>
      <c r="L2551" s="61"/>
      <c r="M2551" s="61"/>
    </row>
    <row r="2552" spans="9:16">
      <c r="I2552" s="51" t="s">
        <v>1117</v>
      </c>
    </row>
    <row r="2553" spans="9:16" ht="12.75" customHeight="1">
      <c r="N2553" s="139"/>
    </row>
    <row r="2554" spans="9:16">
      <c r="I2554" s="50" t="s">
        <v>105</v>
      </c>
      <c r="L2554" s="146"/>
      <c r="N2554" s="139"/>
    </row>
    <row r="2555" spans="9:16" ht="14.25" customHeight="1" thickBot="1"/>
    <row r="2556" spans="9:16" ht="15.75" thickBot="1">
      <c r="I2556" s="891" t="s">
        <v>106</v>
      </c>
      <c r="J2556" s="892"/>
      <c r="K2556" s="892"/>
      <c r="L2556" s="893"/>
      <c r="N2556" s="50" t="s">
        <v>288</v>
      </c>
    </row>
    <row r="2557" spans="9:16" ht="30.75" thickBot="1">
      <c r="I2557" s="57" t="s">
        <v>100</v>
      </c>
      <c r="J2557" s="58" t="s">
        <v>108</v>
      </c>
      <c r="K2557" s="287" t="s">
        <v>109</v>
      </c>
      <c r="L2557" s="60" t="s">
        <v>110</v>
      </c>
    </row>
    <row r="2558" spans="9:16">
      <c r="I2558" s="71">
        <v>719</v>
      </c>
      <c r="J2558" s="73">
        <f>+P2538+P2540+P2542</f>
        <v>250000</v>
      </c>
      <c r="K2558" s="74">
        <f>+L2521</f>
        <v>37361700</v>
      </c>
      <c r="L2558" s="195">
        <f>+J2558+K2558</f>
        <v>37611700</v>
      </c>
    </row>
    <row r="2559" spans="9:16">
      <c r="I2559" s="72">
        <v>721</v>
      </c>
      <c r="J2559" s="80">
        <f>+P2539+P2541+P2543+P2545+P2547</f>
        <v>0</v>
      </c>
      <c r="K2559" s="74">
        <f>+L2522</f>
        <v>96040584</v>
      </c>
      <c r="L2559" s="195">
        <f>+J2559+K2559</f>
        <v>96040584</v>
      </c>
    </row>
    <row r="2560" spans="9:16">
      <c r="I2560" s="72">
        <v>722</v>
      </c>
      <c r="J2560" s="80"/>
      <c r="K2560" s="74">
        <f>+L2523</f>
        <v>17549900</v>
      </c>
      <c r="L2560" s="195">
        <f>+J2560+K2560</f>
        <v>17549900</v>
      </c>
    </row>
    <row r="2561" spans="9:16" ht="15.75">
      <c r="I2561" s="72">
        <v>723</v>
      </c>
      <c r="J2561" s="80"/>
      <c r="K2561" s="74">
        <f>+L2524</f>
        <v>397905551</v>
      </c>
      <c r="L2561" s="195">
        <f>+J2561+K2561</f>
        <v>397905551</v>
      </c>
      <c r="N2561" s="193" t="s">
        <v>289</v>
      </c>
      <c r="O2561" s="175"/>
    </row>
    <row r="2562" spans="9:16" ht="16.5" thickBot="1">
      <c r="I2562" s="164" t="s">
        <v>1077</v>
      </c>
      <c r="J2562" s="165"/>
      <c r="K2562" s="74">
        <f>+L2525</f>
        <v>797500</v>
      </c>
      <c r="L2562" s="196">
        <f>+J2562+K2562</f>
        <v>797500</v>
      </c>
      <c r="N2562" s="52"/>
    </row>
    <row r="2563" spans="9:16" ht="16.5" thickBot="1">
      <c r="I2563" s="169"/>
      <c r="J2563" s="197">
        <f>SUM(J2558:J2562)</f>
        <v>250000</v>
      </c>
      <c r="K2563" s="197">
        <f>SUM(K2558:K2562)</f>
        <v>549655235</v>
      </c>
      <c r="L2563" s="198">
        <f>SUM(L2558:L2562)</f>
        <v>549905235</v>
      </c>
    </row>
    <row r="2564" spans="9:16" ht="16.5">
      <c r="I2564" s="49" t="s">
        <v>88</v>
      </c>
      <c r="J2564" s="50"/>
    </row>
    <row r="2565" spans="9:16">
      <c r="I2565" s="51" t="s">
        <v>89</v>
      </c>
    </row>
    <row r="2566" spans="9:16">
      <c r="I2566" s="51" t="s">
        <v>90</v>
      </c>
    </row>
    <row r="2567" spans="9:16">
      <c r="I2567" s="51" t="s">
        <v>91</v>
      </c>
    </row>
    <row r="2568" spans="9:16" ht="14.25" customHeight="1">
      <c r="I2568" s="50"/>
      <c r="J2568" s="50"/>
    </row>
    <row r="2569" spans="9:16" ht="15.75">
      <c r="I2569" s="260" t="s">
        <v>1083</v>
      </c>
      <c r="O2569" s="52"/>
    </row>
    <row r="2570" spans="9:16" ht="15.75">
      <c r="I2570" s="53" t="s">
        <v>535</v>
      </c>
      <c r="O2570" s="53"/>
    </row>
    <row r="2571" spans="9:16" ht="16.5">
      <c r="I2571" s="894" t="s">
        <v>1121</v>
      </c>
      <c r="J2571" s="894"/>
      <c r="K2571" s="894"/>
      <c r="L2571" s="894"/>
      <c r="M2571" s="894"/>
      <c r="N2571" s="894"/>
      <c r="O2571" s="894"/>
      <c r="P2571" s="894"/>
    </row>
    <row r="2572" spans="9:16" ht="12.75" customHeight="1" thickBot="1"/>
    <row r="2573" spans="9:16">
      <c r="I2573" s="895" t="s">
        <v>94</v>
      </c>
      <c r="J2573" s="897" t="s">
        <v>95</v>
      </c>
      <c r="K2573" s="897" t="s">
        <v>96</v>
      </c>
      <c r="L2573" s="897" t="s">
        <v>3</v>
      </c>
      <c r="M2573" s="897" t="s">
        <v>97</v>
      </c>
      <c r="N2573" s="897" t="s">
        <v>98</v>
      </c>
      <c r="O2573" s="897" t="s">
        <v>99</v>
      </c>
      <c r="P2573" s="899"/>
    </row>
    <row r="2574" spans="9:16" ht="15.75" thickBot="1">
      <c r="I2574" s="896"/>
      <c r="J2574" s="898"/>
      <c r="K2574" s="898"/>
      <c r="L2574" s="898"/>
      <c r="M2574" s="898"/>
      <c r="N2574" s="898"/>
      <c r="O2574" s="240" t="s">
        <v>100</v>
      </c>
      <c r="P2574" s="182" t="s">
        <v>101</v>
      </c>
    </row>
    <row r="2575" spans="9:16" ht="15" customHeight="1">
      <c r="I2575" s="881">
        <v>273</v>
      </c>
      <c r="J2575" s="875">
        <v>42648</v>
      </c>
      <c r="K2575" s="877" t="s">
        <v>1014</v>
      </c>
      <c r="L2575" s="879" t="s">
        <v>1122</v>
      </c>
      <c r="M2575" s="881" t="s">
        <v>115</v>
      </c>
      <c r="N2575" s="883">
        <v>60000</v>
      </c>
      <c r="O2575" s="55">
        <v>719</v>
      </c>
      <c r="P2575" s="78">
        <v>60000</v>
      </c>
    </row>
    <row r="2576" spans="9:16" ht="15.75" customHeight="1" thickBot="1">
      <c r="I2576" s="882"/>
      <c r="J2576" s="876"/>
      <c r="K2576" s="878"/>
      <c r="L2576" s="880"/>
      <c r="M2576" s="882"/>
      <c r="N2576" s="884"/>
      <c r="O2576" s="56">
        <v>721</v>
      </c>
      <c r="P2576" s="79">
        <f>+N2575-P2575</f>
        <v>0</v>
      </c>
    </row>
    <row r="2577" spans="9:16" ht="15" customHeight="1">
      <c r="I2577" s="881">
        <v>274</v>
      </c>
      <c r="J2577" s="875">
        <v>42648</v>
      </c>
      <c r="K2577" s="877" t="s">
        <v>28</v>
      </c>
      <c r="L2577" s="879" t="s">
        <v>1123</v>
      </c>
      <c r="M2577" s="881" t="s">
        <v>115</v>
      </c>
      <c r="N2577" s="883">
        <v>40000</v>
      </c>
      <c r="O2577" s="55">
        <v>719</v>
      </c>
      <c r="P2577" s="78">
        <v>40000</v>
      </c>
    </row>
    <row r="2578" spans="9:16" ht="15.75" customHeight="1" thickBot="1">
      <c r="I2578" s="882"/>
      <c r="J2578" s="876"/>
      <c r="K2578" s="878"/>
      <c r="L2578" s="880"/>
      <c r="M2578" s="882"/>
      <c r="N2578" s="884"/>
      <c r="O2578" s="56">
        <v>721</v>
      </c>
      <c r="P2578" s="79">
        <f>+N2577-P2577</f>
        <v>0</v>
      </c>
    </row>
    <row r="2579" spans="9:16" ht="15" customHeight="1">
      <c r="I2579" s="881">
        <v>275</v>
      </c>
      <c r="J2579" s="875">
        <v>42648</v>
      </c>
      <c r="K2579" s="877" t="s">
        <v>120</v>
      </c>
      <c r="L2579" s="879" t="s">
        <v>1122</v>
      </c>
      <c r="M2579" s="881" t="s">
        <v>115</v>
      </c>
      <c r="N2579" s="883">
        <v>100000</v>
      </c>
      <c r="O2579" s="55">
        <v>719</v>
      </c>
      <c r="P2579" s="78">
        <v>100000</v>
      </c>
    </row>
    <row r="2580" spans="9:16" ht="15.75" customHeight="1" thickBot="1">
      <c r="I2580" s="882"/>
      <c r="J2580" s="876"/>
      <c r="K2580" s="878"/>
      <c r="L2580" s="880"/>
      <c r="M2580" s="882"/>
      <c r="N2580" s="884"/>
      <c r="O2580" s="56">
        <v>721</v>
      </c>
      <c r="P2580" s="79">
        <f>+N2579-P2579</f>
        <v>0</v>
      </c>
    </row>
    <row r="2581" spans="9:16" ht="15" customHeight="1">
      <c r="I2581" s="881"/>
      <c r="J2581" s="875"/>
      <c r="K2581" s="877"/>
      <c r="L2581" s="879"/>
      <c r="M2581" s="881"/>
      <c r="N2581" s="883"/>
      <c r="O2581" s="55">
        <v>719</v>
      </c>
      <c r="P2581" s="78">
        <v>0</v>
      </c>
    </row>
    <row r="2582" spans="9:16" ht="15.75" customHeight="1" thickBot="1">
      <c r="I2582" s="882"/>
      <c r="J2582" s="876"/>
      <c r="K2582" s="878"/>
      <c r="L2582" s="880"/>
      <c r="M2582" s="882"/>
      <c r="N2582" s="884"/>
      <c r="O2582" s="56">
        <v>721</v>
      </c>
      <c r="P2582" s="79">
        <f>+N2581-P2581</f>
        <v>0</v>
      </c>
    </row>
    <row r="2583" spans="9:16" ht="15" customHeight="1">
      <c r="I2583" s="881"/>
      <c r="J2583" s="875"/>
      <c r="K2583" s="877"/>
      <c r="L2583" s="879"/>
      <c r="M2583" s="881"/>
      <c r="N2583" s="883"/>
      <c r="O2583" s="55">
        <v>719</v>
      </c>
      <c r="P2583" s="78"/>
    </row>
    <row r="2584" spans="9:16" ht="15.75" customHeight="1" thickBot="1">
      <c r="I2584" s="882"/>
      <c r="J2584" s="876"/>
      <c r="K2584" s="878"/>
      <c r="L2584" s="880"/>
      <c r="M2584" s="882"/>
      <c r="N2584" s="884"/>
      <c r="O2584" s="56">
        <v>723</v>
      </c>
      <c r="P2584" s="79">
        <f>+N2583-P2583</f>
        <v>0</v>
      </c>
    </row>
    <row r="2585" spans="9:16" ht="16.5" thickBot="1">
      <c r="I2585" s="901" t="s">
        <v>102</v>
      </c>
      <c r="J2585" s="902"/>
      <c r="K2585" s="902"/>
      <c r="L2585" s="902"/>
      <c r="M2585" s="903"/>
      <c r="N2585" s="81">
        <f>SUM(N2575:N2584)</f>
        <v>200000</v>
      </c>
    </row>
    <row r="2586" spans="9:16" ht="16.5" thickBot="1">
      <c r="I2586" s="885" t="s">
        <v>103</v>
      </c>
      <c r="J2586" s="886"/>
      <c r="K2586" s="886"/>
      <c r="L2586" s="886"/>
      <c r="M2586" s="887"/>
      <c r="N2586" s="69">
        <f>+N2550</f>
        <v>549905235</v>
      </c>
      <c r="O2586" s="241" t="s">
        <v>561</v>
      </c>
      <c r="P2586" s="242"/>
    </row>
    <row r="2587" spans="9:16" ht="16.5" thickBot="1">
      <c r="I2587" s="888" t="s">
        <v>104</v>
      </c>
      <c r="J2587" s="889"/>
      <c r="K2587" s="889"/>
      <c r="L2587" s="889"/>
      <c r="M2587" s="890"/>
      <c r="N2587" s="183">
        <f>SUM(N2585:N2586)</f>
        <v>550105235</v>
      </c>
    </row>
    <row r="2588" spans="9:16">
      <c r="I2588" s="61"/>
      <c r="J2588" s="61"/>
      <c r="K2588" s="61"/>
      <c r="L2588" s="61"/>
      <c r="M2588" s="61"/>
    </row>
    <row r="2589" spans="9:16">
      <c r="I2589" s="51" t="s">
        <v>1124</v>
      </c>
    </row>
    <row r="2590" spans="9:16" ht="12.75" customHeight="1">
      <c r="N2590" s="139"/>
    </row>
    <row r="2591" spans="9:16">
      <c r="I2591" s="50" t="s">
        <v>105</v>
      </c>
      <c r="L2591" s="146"/>
      <c r="N2591" s="139"/>
    </row>
    <row r="2592" spans="9:16" ht="13.5" customHeight="1" thickBot="1"/>
    <row r="2593" spans="9:16" ht="15.75" thickBot="1">
      <c r="I2593" s="891" t="s">
        <v>106</v>
      </c>
      <c r="J2593" s="892"/>
      <c r="K2593" s="892"/>
      <c r="L2593" s="893"/>
      <c r="N2593" s="908" t="s">
        <v>1126</v>
      </c>
      <c r="O2593" s="908"/>
      <c r="P2593" s="908"/>
    </row>
    <row r="2594" spans="9:16" ht="30.75" thickBot="1">
      <c r="I2594" s="57" t="s">
        <v>100</v>
      </c>
      <c r="J2594" s="58" t="s">
        <v>108</v>
      </c>
      <c r="K2594" s="287" t="s">
        <v>109</v>
      </c>
      <c r="L2594" s="60" t="s">
        <v>110</v>
      </c>
    </row>
    <row r="2595" spans="9:16">
      <c r="I2595" s="71">
        <v>719</v>
      </c>
      <c r="J2595" s="73">
        <f>+P2583+P2581+P2579+P2577+P2575</f>
        <v>200000</v>
      </c>
      <c r="K2595" s="74">
        <f>+L2558</f>
        <v>37611700</v>
      </c>
      <c r="L2595" s="195">
        <f>+J2595+K2595</f>
        <v>37811700</v>
      </c>
    </row>
    <row r="2596" spans="9:16">
      <c r="I2596" s="72">
        <v>721</v>
      </c>
      <c r="J2596" s="80"/>
      <c r="K2596" s="74">
        <f>+L2559</f>
        <v>96040584</v>
      </c>
      <c r="L2596" s="195">
        <f>+J2596+K2596</f>
        <v>96040584</v>
      </c>
    </row>
    <row r="2597" spans="9:16">
      <c r="I2597" s="72">
        <v>722</v>
      </c>
      <c r="J2597" s="80"/>
      <c r="K2597" s="74">
        <f>+L2560</f>
        <v>17549900</v>
      </c>
      <c r="L2597" s="195">
        <f>+J2597+K2597</f>
        <v>17549900</v>
      </c>
    </row>
    <row r="2598" spans="9:16" ht="15.75">
      <c r="I2598" s="72">
        <v>723</v>
      </c>
      <c r="J2598" s="80"/>
      <c r="K2598" s="74">
        <f>+L2561</f>
        <v>397905551</v>
      </c>
      <c r="L2598" s="195">
        <f>+J2598+K2598</f>
        <v>397905551</v>
      </c>
      <c r="N2598" s="909" t="s">
        <v>1125</v>
      </c>
      <c r="O2598" s="909"/>
      <c r="P2598" s="909"/>
    </row>
    <row r="2599" spans="9:16" ht="16.5" thickBot="1">
      <c r="I2599" s="164" t="s">
        <v>1077</v>
      </c>
      <c r="J2599" s="165"/>
      <c r="K2599" s="74">
        <f>+L2562</f>
        <v>797500</v>
      </c>
      <c r="L2599" s="196">
        <f>+J2599+K2599</f>
        <v>797500</v>
      </c>
      <c r="N2599" s="52"/>
    </row>
    <row r="2600" spans="9:16" ht="16.5" thickBot="1">
      <c r="I2600" s="169"/>
      <c r="J2600" s="197">
        <f>SUM(J2595:J2599)</f>
        <v>200000</v>
      </c>
      <c r="K2600" s="197">
        <f>SUM(K2595:K2599)</f>
        <v>549905235</v>
      </c>
      <c r="L2600" s="198">
        <f>SUM(L2595:L2599)</f>
        <v>550105235</v>
      </c>
    </row>
    <row r="2601" spans="9:16" ht="16.5">
      <c r="I2601" s="49" t="s">
        <v>88</v>
      </c>
      <c r="J2601" s="50"/>
    </row>
    <row r="2602" spans="9:16">
      <c r="I2602" s="51" t="s">
        <v>89</v>
      </c>
    </row>
    <row r="2603" spans="9:16">
      <c r="I2603" s="51" t="s">
        <v>90</v>
      </c>
    </row>
    <row r="2604" spans="9:16">
      <c r="I2604" s="51" t="s">
        <v>91</v>
      </c>
    </row>
    <row r="2605" spans="9:16" ht="12" customHeight="1">
      <c r="I2605" s="50"/>
      <c r="J2605" s="50"/>
    </row>
    <row r="2606" spans="9:16" ht="15.75">
      <c r="I2606" s="260" t="s">
        <v>1085</v>
      </c>
      <c r="O2606" s="52"/>
    </row>
    <row r="2607" spans="9:16" ht="15.75">
      <c r="I2607" s="53" t="s">
        <v>535</v>
      </c>
      <c r="O2607" s="53"/>
    </row>
    <row r="2608" spans="9:16" ht="15" customHeight="1">
      <c r="I2608" s="894" t="s">
        <v>1078</v>
      </c>
      <c r="J2608" s="894"/>
      <c r="K2608" s="894"/>
      <c r="L2608" s="894"/>
      <c r="M2608" s="894"/>
      <c r="N2608" s="894"/>
      <c r="O2608" s="894"/>
      <c r="P2608" s="894"/>
    </row>
    <row r="2609" spans="9:16" ht="13.5" customHeight="1" thickBot="1"/>
    <row r="2610" spans="9:16">
      <c r="I2610" s="895" t="s">
        <v>94</v>
      </c>
      <c r="J2610" s="897" t="s">
        <v>95</v>
      </c>
      <c r="K2610" s="897" t="s">
        <v>96</v>
      </c>
      <c r="L2610" s="897" t="s">
        <v>3</v>
      </c>
      <c r="M2610" s="897" t="s">
        <v>97</v>
      </c>
      <c r="N2610" s="897" t="s">
        <v>98</v>
      </c>
      <c r="O2610" s="897" t="s">
        <v>99</v>
      </c>
      <c r="P2610" s="899"/>
    </row>
    <row r="2611" spans="9:16" ht="15.75" thickBot="1">
      <c r="I2611" s="896"/>
      <c r="J2611" s="898"/>
      <c r="K2611" s="898"/>
      <c r="L2611" s="898"/>
      <c r="M2611" s="898"/>
      <c r="N2611" s="898"/>
      <c r="O2611" s="240" t="s">
        <v>100</v>
      </c>
      <c r="P2611" s="182" t="s">
        <v>101</v>
      </c>
    </row>
    <row r="2612" spans="9:16" ht="12.75" customHeight="1">
      <c r="I2612" s="881">
        <v>276</v>
      </c>
      <c r="J2612" s="875">
        <v>42650</v>
      </c>
      <c r="K2612" s="877" t="s">
        <v>350</v>
      </c>
      <c r="L2612" s="879" t="s">
        <v>1127</v>
      </c>
      <c r="M2612" s="881" t="s">
        <v>148</v>
      </c>
      <c r="N2612" s="883">
        <v>598000</v>
      </c>
      <c r="O2612" s="55">
        <v>719</v>
      </c>
      <c r="P2612" s="78">
        <v>460000</v>
      </c>
    </row>
    <row r="2613" spans="9:16" ht="12" customHeight="1" thickBot="1">
      <c r="I2613" s="882"/>
      <c r="J2613" s="876"/>
      <c r="K2613" s="878"/>
      <c r="L2613" s="880"/>
      <c r="M2613" s="882"/>
      <c r="N2613" s="884"/>
      <c r="O2613" s="56">
        <v>721</v>
      </c>
      <c r="P2613" s="351">
        <f>+N2612-P2612</f>
        <v>138000</v>
      </c>
    </row>
    <row r="2614" spans="9:16" ht="12.75" customHeight="1">
      <c r="I2614" s="881">
        <v>277</v>
      </c>
      <c r="J2614" s="875">
        <v>42650</v>
      </c>
      <c r="K2614" s="877" t="s">
        <v>350</v>
      </c>
      <c r="L2614" s="879" t="s">
        <v>1038</v>
      </c>
      <c r="M2614" s="881" t="s">
        <v>148</v>
      </c>
      <c r="N2614" s="883">
        <v>1521000</v>
      </c>
      <c r="O2614" s="55">
        <v>719</v>
      </c>
      <c r="P2614" s="78">
        <v>1170000</v>
      </c>
    </row>
    <row r="2615" spans="9:16" ht="12" customHeight="1" thickBot="1">
      <c r="I2615" s="882"/>
      <c r="J2615" s="876"/>
      <c r="K2615" s="878"/>
      <c r="L2615" s="880"/>
      <c r="M2615" s="882"/>
      <c r="N2615" s="884"/>
      <c r="O2615" s="56">
        <v>721</v>
      </c>
      <c r="P2615" s="352">
        <f>+N2614-P2614</f>
        <v>351000</v>
      </c>
    </row>
    <row r="2616" spans="9:16" ht="15" customHeight="1">
      <c r="I2616" s="881">
        <v>278</v>
      </c>
      <c r="J2616" s="875">
        <v>42650</v>
      </c>
      <c r="K2616" s="877" t="s">
        <v>350</v>
      </c>
      <c r="L2616" s="879" t="s">
        <v>1122</v>
      </c>
      <c r="M2616" s="881" t="s">
        <v>148</v>
      </c>
      <c r="N2616" s="883">
        <v>923000</v>
      </c>
      <c r="O2616" s="55">
        <v>719</v>
      </c>
      <c r="P2616" s="78">
        <v>710000</v>
      </c>
    </row>
    <row r="2617" spans="9:16" ht="12" customHeight="1" thickBot="1">
      <c r="I2617" s="882"/>
      <c r="J2617" s="876"/>
      <c r="K2617" s="878"/>
      <c r="L2617" s="880"/>
      <c r="M2617" s="882"/>
      <c r="N2617" s="884"/>
      <c r="O2617" s="56">
        <v>721</v>
      </c>
      <c r="P2617" s="352">
        <f>+N2616-P2616</f>
        <v>213000</v>
      </c>
    </row>
    <row r="2618" spans="9:16" ht="15" customHeight="1">
      <c r="I2618" s="881">
        <v>279</v>
      </c>
      <c r="J2618" s="875">
        <v>42650</v>
      </c>
      <c r="K2618" s="877" t="s">
        <v>350</v>
      </c>
      <c r="L2618" s="879" t="s">
        <v>1122</v>
      </c>
      <c r="M2618" s="881" t="s">
        <v>148</v>
      </c>
      <c r="N2618" s="883">
        <v>715000</v>
      </c>
      <c r="O2618" s="55">
        <v>719</v>
      </c>
      <c r="P2618" s="78">
        <v>550000</v>
      </c>
    </row>
    <row r="2619" spans="9:16" ht="13.5" customHeight="1" thickBot="1">
      <c r="I2619" s="882"/>
      <c r="J2619" s="876"/>
      <c r="K2619" s="878"/>
      <c r="L2619" s="880"/>
      <c r="M2619" s="882"/>
      <c r="N2619" s="884"/>
      <c r="O2619" s="56">
        <v>721</v>
      </c>
      <c r="P2619" s="79">
        <f>+N2618-P2618</f>
        <v>165000</v>
      </c>
    </row>
    <row r="2620" spans="9:16" ht="15" customHeight="1">
      <c r="I2620" s="881">
        <v>280</v>
      </c>
      <c r="J2620" s="875">
        <v>42650</v>
      </c>
      <c r="K2620" s="877" t="s">
        <v>350</v>
      </c>
      <c r="L2620" s="879" t="s">
        <v>1122</v>
      </c>
      <c r="M2620" s="881" t="s">
        <v>148</v>
      </c>
      <c r="N2620" s="883">
        <v>879000</v>
      </c>
      <c r="O2620" s="55">
        <v>719</v>
      </c>
      <c r="P2620" s="78">
        <v>720000</v>
      </c>
    </row>
    <row r="2621" spans="9:16" ht="15" customHeight="1" thickBot="1">
      <c r="I2621" s="882"/>
      <c r="J2621" s="876"/>
      <c r="K2621" s="878"/>
      <c r="L2621" s="880"/>
      <c r="M2621" s="882"/>
      <c r="N2621" s="884"/>
      <c r="O2621" s="56">
        <v>721</v>
      </c>
      <c r="P2621" s="79">
        <f>+N2620-P2620</f>
        <v>159000</v>
      </c>
    </row>
    <row r="2622" spans="9:16" ht="12.75" customHeight="1">
      <c r="I2622" s="881">
        <v>281</v>
      </c>
      <c r="J2622" s="875">
        <v>42650</v>
      </c>
      <c r="K2622" s="877" t="s">
        <v>350</v>
      </c>
      <c r="L2622" s="879" t="s">
        <v>1122</v>
      </c>
      <c r="M2622" s="881" t="s">
        <v>148</v>
      </c>
      <c r="N2622" s="883">
        <v>300000</v>
      </c>
      <c r="O2622" s="55">
        <v>719</v>
      </c>
      <c r="P2622" s="78">
        <v>300000</v>
      </c>
    </row>
    <row r="2623" spans="9:16" ht="13.5" customHeight="1" thickBot="1">
      <c r="I2623" s="882"/>
      <c r="J2623" s="876"/>
      <c r="K2623" s="878"/>
      <c r="L2623" s="880"/>
      <c r="M2623" s="882"/>
      <c r="N2623" s="884"/>
      <c r="O2623" s="56">
        <v>723</v>
      </c>
      <c r="P2623" s="79">
        <f>+N2622-P2622</f>
        <v>0</v>
      </c>
    </row>
    <row r="2624" spans="9:16" ht="16.5" thickBot="1">
      <c r="I2624" s="901" t="s">
        <v>102</v>
      </c>
      <c r="J2624" s="902"/>
      <c r="K2624" s="902"/>
      <c r="L2624" s="902"/>
      <c r="M2624" s="903"/>
      <c r="N2624" s="81">
        <f>SUM(N2612:N2623)</f>
        <v>4936000</v>
      </c>
    </row>
    <row r="2625" spans="9:16" ht="16.5" thickBot="1">
      <c r="I2625" s="885" t="s">
        <v>103</v>
      </c>
      <c r="J2625" s="886"/>
      <c r="K2625" s="886"/>
      <c r="L2625" s="886"/>
      <c r="M2625" s="887"/>
      <c r="N2625" s="69">
        <f>+N2587</f>
        <v>550105235</v>
      </c>
      <c r="O2625" s="241" t="s">
        <v>561</v>
      </c>
      <c r="P2625" s="242">
        <v>6648</v>
      </c>
    </row>
    <row r="2626" spans="9:16" ht="16.5" thickBot="1">
      <c r="I2626" s="888" t="s">
        <v>104</v>
      </c>
      <c r="J2626" s="889"/>
      <c r="K2626" s="889"/>
      <c r="L2626" s="889"/>
      <c r="M2626" s="890"/>
      <c r="N2626" s="183">
        <f>SUM(N2624:N2625)</f>
        <v>555041235</v>
      </c>
    </row>
    <row r="2627" spans="9:16" ht="13.5" customHeight="1">
      <c r="I2627" s="61"/>
      <c r="J2627" s="61"/>
      <c r="K2627" s="61"/>
      <c r="L2627" s="61"/>
      <c r="M2627" s="61"/>
    </row>
    <row r="2628" spans="9:16">
      <c r="I2628" s="51" t="s">
        <v>1158</v>
      </c>
    </row>
    <row r="2629" spans="9:16" ht="10.5" customHeight="1">
      <c r="N2629" s="139"/>
    </row>
    <row r="2630" spans="9:16">
      <c r="I2630" s="50" t="s">
        <v>105</v>
      </c>
      <c r="L2630" s="146"/>
      <c r="N2630" s="139"/>
    </row>
    <row r="2631" spans="9:16" ht="10.5" customHeight="1" thickBot="1"/>
    <row r="2632" spans="9:16" ht="15.75" thickBot="1">
      <c r="I2632" s="891" t="s">
        <v>106</v>
      </c>
      <c r="J2632" s="892"/>
      <c r="K2632" s="892"/>
      <c r="L2632" s="893"/>
      <c r="N2632" s="50" t="s">
        <v>288</v>
      </c>
    </row>
    <row r="2633" spans="9:16" ht="30.75" thickBot="1">
      <c r="I2633" s="57" t="s">
        <v>100</v>
      </c>
      <c r="J2633" s="58" t="s">
        <v>108</v>
      </c>
      <c r="K2633" s="287" t="s">
        <v>109</v>
      </c>
      <c r="L2633" s="60" t="s">
        <v>110</v>
      </c>
    </row>
    <row r="2634" spans="9:16">
      <c r="I2634" s="71">
        <v>719</v>
      </c>
      <c r="J2634" s="73">
        <f>+P2612+P2614+P2616+P2618+P2620+P2622</f>
        <v>3910000</v>
      </c>
      <c r="K2634" s="74">
        <f>+L2595</f>
        <v>37811700</v>
      </c>
      <c r="L2634" s="195">
        <f>+J2634+K2634</f>
        <v>41721700</v>
      </c>
    </row>
    <row r="2635" spans="9:16">
      <c r="I2635" s="72">
        <v>721</v>
      </c>
      <c r="J2635" s="80">
        <f>+P2613+P2615+P2617+P2619+P2623+P2621</f>
        <v>1026000</v>
      </c>
      <c r="K2635" s="74">
        <f>+L2596</f>
        <v>96040584</v>
      </c>
      <c r="L2635" s="195">
        <f>+J2635+K2635</f>
        <v>97066584</v>
      </c>
    </row>
    <row r="2636" spans="9:16">
      <c r="I2636" s="72">
        <v>722</v>
      </c>
      <c r="J2636" s="80"/>
      <c r="K2636" s="74">
        <f>+L2597</f>
        <v>17549900</v>
      </c>
      <c r="L2636" s="195">
        <f>+J2636+K2636</f>
        <v>17549900</v>
      </c>
    </row>
    <row r="2637" spans="9:16" ht="15.75">
      <c r="I2637" s="72">
        <v>723</v>
      </c>
      <c r="J2637" s="80"/>
      <c r="K2637" s="74">
        <f>+L2598</f>
        <v>397905551</v>
      </c>
      <c r="L2637" s="195">
        <f>+J2637+K2637</f>
        <v>397905551</v>
      </c>
      <c r="N2637" s="193" t="s">
        <v>289</v>
      </c>
      <c r="O2637" s="175"/>
    </row>
    <row r="2638" spans="9:16" ht="16.5" thickBot="1">
      <c r="I2638" s="164" t="s">
        <v>1077</v>
      </c>
      <c r="J2638" s="165"/>
      <c r="K2638" s="74">
        <f>+L2599</f>
        <v>797500</v>
      </c>
      <c r="L2638" s="196">
        <f>+J2638+K2638</f>
        <v>797500</v>
      </c>
      <c r="N2638" s="52"/>
    </row>
    <row r="2639" spans="9:16" ht="16.5" thickBot="1">
      <c r="I2639" s="169"/>
      <c r="J2639" s="197">
        <f>SUM(J2634:J2638)</f>
        <v>4936000</v>
      </c>
      <c r="K2639" s="197">
        <f>SUM(K2634:K2638)</f>
        <v>550105235</v>
      </c>
      <c r="L2639" s="198">
        <f>SUM(L2634:L2638)</f>
        <v>555041235</v>
      </c>
    </row>
    <row r="2640" spans="9:16" ht="16.5">
      <c r="I2640" s="49" t="s">
        <v>88</v>
      </c>
      <c r="J2640" s="50"/>
    </row>
    <row r="2641" spans="9:16">
      <c r="I2641" s="51" t="s">
        <v>89</v>
      </c>
    </row>
    <row r="2642" spans="9:16">
      <c r="I2642" s="51" t="s">
        <v>90</v>
      </c>
    </row>
    <row r="2643" spans="9:16">
      <c r="I2643" s="51" t="s">
        <v>91</v>
      </c>
    </row>
    <row r="2644" spans="9:16" ht="14.25" customHeight="1">
      <c r="I2644" s="50"/>
      <c r="J2644" s="50"/>
    </row>
    <row r="2645" spans="9:16" ht="15.75">
      <c r="I2645" s="260" t="s">
        <v>1087</v>
      </c>
      <c r="O2645" s="52"/>
    </row>
    <row r="2646" spans="9:16" ht="15.75">
      <c r="I2646" s="53" t="s">
        <v>535</v>
      </c>
      <c r="O2646" s="53"/>
    </row>
    <row r="2647" spans="9:16" ht="16.5">
      <c r="I2647" s="894" t="s">
        <v>1078</v>
      </c>
      <c r="J2647" s="894"/>
      <c r="K2647" s="894"/>
      <c r="L2647" s="894"/>
      <c r="M2647" s="894"/>
      <c r="N2647" s="894"/>
      <c r="O2647" s="894"/>
      <c r="P2647" s="894"/>
    </row>
    <row r="2648" spans="9:16" ht="15.75" thickBot="1"/>
    <row r="2649" spans="9:16">
      <c r="I2649" s="895" t="s">
        <v>94</v>
      </c>
      <c r="J2649" s="897" t="s">
        <v>95</v>
      </c>
      <c r="K2649" s="897" t="s">
        <v>96</v>
      </c>
      <c r="L2649" s="897" t="s">
        <v>3</v>
      </c>
      <c r="M2649" s="897" t="s">
        <v>97</v>
      </c>
      <c r="N2649" s="897" t="s">
        <v>98</v>
      </c>
      <c r="O2649" s="897" t="s">
        <v>99</v>
      </c>
      <c r="P2649" s="899"/>
    </row>
    <row r="2650" spans="9:16" ht="15.75" thickBot="1">
      <c r="I2650" s="896"/>
      <c r="J2650" s="898"/>
      <c r="K2650" s="898"/>
      <c r="L2650" s="898"/>
      <c r="M2650" s="898"/>
      <c r="N2650" s="898"/>
      <c r="O2650" s="240" t="s">
        <v>100</v>
      </c>
      <c r="P2650" s="182" t="s">
        <v>101</v>
      </c>
    </row>
    <row r="2651" spans="9:16" ht="15" customHeight="1">
      <c r="I2651" s="881">
        <v>282</v>
      </c>
      <c r="J2651" s="875">
        <v>42655</v>
      </c>
      <c r="K2651" s="877" t="s">
        <v>267</v>
      </c>
      <c r="L2651" s="879" t="s">
        <v>1129</v>
      </c>
      <c r="M2651" s="881" t="s">
        <v>148</v>
      </c>
      <c r="N2651" s="883">
        <v>26000</v>
      </c>
      <c r="O2651" s="55">
        <v>719</v>
      </c>
      <c r="P2651" s="78">
        <v>20000</v>
      </c>
    </row>
    <row r="2652" spans="9:16" ht="15.75" customHeight="1" thickBot="1">
      <c r="I2652" s="882"/>
      <c r="J2652" s="876"/>
      <c r="K2652" s="878"/>
      <c r="L2652" s="880"/>
      <c r="M2652" s="882"/>
      <c r="N2652" s="884"/>
      <c r="O2652" s="56">
        <v>721</v>
      </c>
      <c r="P2652" s="79">
        <f>+N2651-P2651</f>
        <v>6000</v>
      </c>
    </row>
    <row r="2653" spans="9:16" ht="15" customHeight="1">
      <c r="I2653" s="881">
        <v>283</v>
      </c>
      <c r="J2653" s="875">
        <v>42655</v>
      </c>
      <c r="K2653" s="877" t="s">
        <v>267</v>
      </c>
      <c r="L2653" s="879" t="s">
        <v>1130</v>
      </c>
      <c r="M2653" s="881" t="s">
        <v>148</v>
      </c>
      <c r="N2653" s="883">
        <v>130000</v>
      </c>
      <c r="O2653" s="55">
        <v>719</v>
      </c>
      <c r="P2653" s="78">
        <v>100000</v>
      </c>
    </row>
    <row r="2654" spans="9:16" ht="15.75" customHeight="1" thickBot="1">
      <c r="I2654" s="882"/>
      <c r="J2654" s="876"/>
      <c r="K2654" s="878"/>
      <c r="L2654" s="880"/>
      <c r="M2654" s="882"/>
      <c r="N2654" s="884"/>
      <c r="O2654" s="56">
        <v>721</v>
      </c>
      <c r="P2654" s="79">
        <f>+N2653-P2653</f>
        <v>30000</v>
      </c>
    </row>
    <row r="2655" spans="9:16" ht="15" customHeight="1">
      <c r="I2655" s="881">
        <v>284</v>
      </c>
      <c r="J2655" s="875">
        <v>42655</v>
      </c>
      <c r="K2655" s="877" t="s">
        <v>267</v>
      </c>
      <c r="L2655" s="879" t="s">
        <v>1131</v>
      </c>
      <c r="M2655" s="881" t="s">
        <v>148</v>
      </c>
      <c r="N2655" s="883">
        <v>130000</v>
      </c>
      <c r="O2655" s="55">
        <v>719</v>
      </c>
      <c r="P2655" s="78">
        <v>100000</v>
      </c>
    </row>
    <row r="2656" spans="9:16" ht="15.75" customHeight="1" thickBot="1">
      <c r="I2656" s="882"/>
      <c r="J2656" s="876"/>
      <c r="K2656" s="878"/>
      <c r="L2656" s="880"/>
      <c r="M2656" s="882"/>
      <c r="N2656" s="884"/>
      <c r="O2656" s="56">
        <v>721</v>
      </c>
      <c r="P2656" s="79">
        <f>+N2655-P2655</f>
        <v>30000</v>
      </c>
    </row>
    <row r="2657" spans="9:16" ht="15" customHeight="1">
      <c r="I2657" s="881">
        <v>285</v>
      </c>
      <c r="J2657" s="875">
        <v>42655</v>
      </c>
      <c r="K2657" s="877" t="s">
        <v>267</v>
      </c>
      <c r="L2657" s="879" t="s">
        <v>1132</v>
      </c>
      <c r="M2657" s="881" t="s">
        <v>148</v>
      </c>
      <c r="N2657" s="883">
        <v>30000</v>
      </c>
      <c r="O2657" s="55">
        <v>719</v>
      </c>
      <c r="P2657" s="78">
        <v>30000</v>
      </c>
    </row>
    <row r="2658" spans="9:16" ht="15.75" customHeight="1" thickBot="1">
      <c r="I2658" s="882"/>
      <c r="J2658" s="876"/>
      <c r="K2658" s="878"/>
      <c r="L2658" s="880"/>
      <c r="M2658" s="882"/>
      <c r="N2658" s="884"/>
      <c r="O2658" s="56">
        <v>721</v>
      </c>
      <c r="P2658" s="79">
        <f>+N2657-P2657</f>
        <v>0</v>
      </c>
    </row>
    <row r="2659" spans="9:16" ht="13.5" customHeight="1">
      <c r="I2659" s="881"/>
      <c r="J2659" s="875"/>
      <c r="K2659" s="877"/>
      <c r="L2659" s="879"/>
      <c r="M2659" s="881"/>
      <c r="N2659" s="883"/>
      <c r="O2659" s="55">
        <v>719</v>
      </c>
      <c r="P2659" s="78"/>
    </row>
    <row r="2660" spans="9:16" ht="13.5" customHeight="1" thickBot="1">
      <c r="I2660" s="882"/>
      <c r="J2660" s="876"/>
      <c r="K2660" s="878"/>
      <c r="L2660" s="880"/>
      <c r="M2660" s="882"/>
      <c r="N2660" s="884"/>
      <c r="O2660" s="56">
        <v>723</v>
      </c>
      <c r="P2660" s="79">
        <f>+N2659-P2659</f>
        <v>0</v>
      </c>
    </row>
    <row r="2661" spans="9:16" ht="16.5" thickBot="1">
      <c r="I2661" s="901" t="s">
        <v>102</v>
      </c>
      <c r="J2661" s="902"/>
      <c r="K2661" s="902"/>
      <c r="L2661" s="902"/>
      <c r="M2661" s="903"/>
      <c r="N2661" s="81">
        <f>SUM(N2651:N2660)</f>
        <v>316000</v>
      </c>
    </row>
    <row r="2662" spans="9:16" ht="16.5" thickBot="1">
      <c r="I2662" s="885" t="s">
        <v>103</v>
      </c>
      <c r="J2662" s="886"/>
      <c r="K2662" s="886"/>
      <c r="L2662" s="886"/>
      <c r="M2662" s="887"/>
      <c r="N2662" s="69">
        <f>+N2626</f>
        <v>555041235</v>
      </c>
      <c r="O2662" s="241" t="s">
        <v>561</v>
      </c>
      <c r="P2662" s="242"/>
    </row>
    <row r="2663" spans="9:16" ht="16.5" thickBot="1">
      <c r="I2663" s="888" t="s">
        <v>104</v>
      </c>
      <c r="J2663" s="889"/>
      <c r="K2663" s="889"/>
      <c r="L2663" s="889"/>
      <c r="M2663" s="890"/>
      <c r="N2663" s="183">
        <f>SUM(N2661:N2662)</f>
        <v>555357235</v>
      </c>
    </row>
    <row r="2664" spans="9:16">
      <c r="I2664" s="61"/>
      <c r="J2664" s="61"/>
      <c r="K2664" s="61"/>
      <c r="L2664" s="61"/>
      <c r="M2664" s="61"/>
    </row>
    <row r="2665" spans="9:16">
      <c r="I2665" s="51" t="s">
        <v>1159</v>
      </c>
    </row>
    <row r="2666" spans="9:16" ht="12.75" customHeight="1">
      <c r="N2666" s="139"/>
    </row>
    <row r="2667" spans="9:16">
      <c r="I2667" s="50" t="s">
        <v>105</v>
      </c>
      <c r="L2667" s="146"/>
      <c r="N2667" s="139"/>
    </row>
    <row r="2668" spans="9:16" ht="13.5" customHeight="1" thickBot="1"/>
    <row r="2669" spans="9:16" ht="15.75" thickBot="1">
      <c r="I2669" s="891" t="s">
        <v>106</v>
      </c>
      <c r="J2669" s="892"/>
      <c r="K2669" s="892"/>
      <c r="L2669" s="893"/>
      <c r="N2669" s="50" t="s">
        <v>288</v>
      </c>
    </row>
    <row r="2670" spans="9:16" ht="30.75" thickBot="1">
      <c r="I2670" s="57" t="s">
        <v>100</v>
      </c>
      <c r="J2670" s="58" t="s">
        <v>108</v>
      </c>
      <c r="K2670" s="287" t="s">
        <v>109</v>
      </c>
      <c r="L2670" s="60" t="s">
        <v>110</v>
      </c>
    </row>
    <row r="2671" spans="9:16">
      <c r="I2671" s="71">
        <v>719</v>
      </c>
      <c r="J2671" s="73">
        <f>+P2651+P2653+P2655+P2657</f>
        <v>250000</v>
      </c>
      <c r="K2671" s="74">
        <f>+L2634</f>
        <v>41721700</v>
      </c>
      <c r="L2671" s="195">
        <f>+J2671+K2671</f>
        <v>41971700</v>
      </c>
    </row>
    <row r="2672" spans="9:16">
      <c r="I2672" s="72">
        <v>721</v>
      </c>
      <c r="J2672" s="80">
        <f>+P2652+P2654+P2656+P2658+P2660</f>
        <v>66000</v>
      </c>
      <c r="K2672" s="74">
        <f>+L2635</f>
        <v>97066584</v>
      </c>
      <c r="L2672" s="195">
        <f>+J2672+K2672</f>
        <v>97132584</v>
      </c>
    </row>
    <row r="2673" spans="9:16">
      <c r="I2673" s="72">
        <v>722</v>
      </c>
      <c r="J2673" s="80"/>
      <c r="K2673" s="74">
        <f>+L2636</f>
        <v>17549900</v>
      </c>
      <c r="L2673" s="195">
        <f>+J2673+K2673</f>
        <v>17549900</v>
      </c>
    </row>
    <row r="2674" spans="9:16" ht="15.75">
      <c r="I2674" s="72">
        <v>723</v>
      </c>
      <c r="J2674" s="80"/>
      <c r="K2674" s="74">
        <f>+L2637</f>
        <v>397905551</v>
      </c>
      <c r="L2674" s="195">
        <f>+J2674+K2674</f>
        <v>397905551</v>
      </c>
      <c r="N2674" s="193" t="s">
        <v>289</v>
      </c>
      <c r="O2674" s="175"/>
    </row>
    <row r="2675" spans="9:16" ht="16.5" thickBot="1">
      <c r="I2675" s="164" t="s">
        <v>1077</v>
      </c>
      <c r="J2675" s="165"/>
      <c r="K2675" s="74">
        <f>+L2638</f>
        <v>797500</v>
      </c>
      <c r="L2675" s="196">
        <f>+J2675+K2675</f>
        <v>797500</v>
      </c>
      <c r="N2675" s="52"/>
    </row>
    <row r="2676" spans="9:16" ht="16.5" thickBot="1">
      <c r="I2676" s="169"/>
      <c r="J2676" s="197">
        <f>SUM(J2671:J2675)</f>
        <v>316000</v>
      </c>
      <c r="K2676" s="197">
        <f>SUM(K2671:K2675)</f>
        <v>555041235</v>
      </c>
      <c r="L2676" s="198">
        <f>SUM(L2671:L2675)</f>
        <v>555357235</v>
      </c>
    </row>
    <row r="2677" spans="9:16" ht="16.5">
      <c r="I2677" s="49" t="s">
        <v>88</v>
      </c>
      <c r="J2677" s="50"/>
    </row>
    <row r="2678" spans="9:16">
      <c r="I2678" s="51" t="s">
        <v>89</v>
      </c>
    </row>
    <row r="2679" spans="9:16">
      <c r="I2679" s="51" t="s">
        <v>90</v>
      </c>
    </row>
    <row r="2680" spans="9:16">
      <c r="I2680" s="51" t="s">
        <v>91</v>
      </c>
    </row>
    <row r="2681" spans="9:16" ht="10.5" customHeight="1">
      <c r="I2681" s="50"/>
      <c r="J2681" s="50"/>
    </row>
    <row r="2682" spans="9:16" ht="15.75">
      <c r="I2682" s="260" t="s">
        <v>1157</v>
      </c>
      <c r="O2682" s="52"/>
    </row>
    <row r="2683" spans="9:16" ht="15.75">
      <c r="I2683" s="53" t="s">
        <v>535</v>
      </c>
      <c r="O2683" s="53"/>
    </row>
    <row r="2684" spans="9:16" ht="16.5">
      <c r="I2684" s="894" t="s">
        <v>1078</v>
      </c>
      <c r="J2684" s="894"/>
      <c r="K2684" s="894"/>
      <c r="L2684" s="894"/>
      <c r="M2684" s="894"/>
      <c r="N2684" s="894"/>
      <c r="O2684" s="894"/>
      <c r="P2684" s="894"/>
    </row>
    <row r="2685" spans="9:16" ht="15.75" thickBot="1"/>
    <row r="2686" spans="9:16">
      <c r="I2686" s="895" t="s">
        <v>94</v>
      </c>
      <c r="J2686" s="897" t="s">
        <v>95</v>
      </c>
      <c r="K2686" s="897" t="s">
        <v>96</v>
      </c>
      <c r="L2686" s="897" t="s">
        <v>3</v>
      </c>
      <c r="M2686" s="897" t="s">
        <v>97</v>
      </c>
      <c r="N2686" s="897" t="s">
        <v>98</v>
      </c>
      <c r="O2686" s="897" t="s">
        <v>99</v>
      </c>
      <c r="P2686" s="899"/>
    </row>
    <row r="2687" spans="9:16" ht="15.75" thickBot="1">
      <c r="I2687" s="896"/>
      <c r="J2687" s="898"/>
      <c r="K2687" s="898"/>
      <c r="L2687" s="898"/>
      <c r="M2687" s="898"/>
      <c r="N2687" s="898"/>
      <c r="O2687" s="240" t="s">
        <v>100</v>
      </c>
      <c r="P2687" s="182" t="s">
        <v>101</v>
      </c>
    </row>
    <row r="2688" spans="9:16">
      <c r="I2688" s="881">
        <v>286</v>
      </c>
      <c r="J2688" s="875">
        <v>42655</v>
      </c>
      <c r="K2688" s="877" t="s">
        <v>472</v>
      </c>
      <c r="L2688" s="879" t="s">
        <v>1160</v>
      </c>
      <c r="M2688" s="881" t="s">
        <v>148</v>
      </c>
      <c r="N2688" s="883">
        <v>208000</v>
      </c>
      <c r="O2688" s="55">
        <v>719</v>
      </c>
      <c r="P2688" s="78">
        <v>160000</v>
      </c>
    </row>
    <row r="2689" spans="9:16" ht="15.75" thickBot="1">
      <c r="I2689" s="882"/>
      <c r="J2689" s="876"/>
      <c r="K2689" s="878"/>
      <c r="L2689" s="880"/>
      <c r="M2689" s="882"/>
      <c r="N2689" s="884"/>
      <c r="O2689" s="56">
        <v>721</v>
      </c>
      <c r="P2689" s="79">
        <f>+N2688-P2688</f>
        <v>48000</v>
      </c>
    </row>
    <row r="2690" spans="9:16">
      <c r="I2690" s="881">
        <v>287</v>
      </c>
      <c r="J2690" s="875">
        <v>42655</v>
      </c>
      <c r="K2690" s="877" t="s">
        <v>472</v>
      </c>
      <c r="L2690" s="879" t="s">
        <v>1133</v>
      </c>
      <c r="M2690" s="881" t="s">
        <v>148</v>
      </c>
      <c r="N2690" s="883">
        <v>390000</v>
      </c>
      <c r="O2690" s="55">
        <v>719</v>
      </c>
      <c r="P2690" s="78">
        <v>300000</v>
      </c>
    </row>
    <row r="2691" spans="9:16" ht="15.75" thickBot="1">
      <c r="I2691" s="882"/>
      <c r="J2691" s="876"/>
      <c r="K2691" s="878"/>
      <c r="L2691" s="880"/>
      <c r="M2691" s="882"/>
      <c r="N2691" s="884"/>
      <c r="O2691" s="56">
        <v>721</v>
      </c>
      <c r="P2691" s="79">
        <f>+N2690-P2690</f>
        <v>90000</v>
      </c>
    </row>
    <row r="2692" spans="9:16">
      <c r="I2692" s="881">
        <v>288</v>
      </c>
      <c r="J2692" s="875">
        <v>42655</v>
      </c>
      <c r="K2692" s="877" t="s">
        <v>472</v>
      </c>
      <c r="L2692" s="879" t="s">
        <v>1135</v>
      </c>
      <c r="M2692" s="881" t="s">
        <v>148</v>
      </c>
      <c r="N2692" s="883">
        <v>286000</v>
      </c>
      <c r="O2692" s="55">
        <v>719</v>
      </c>
      <c r="P2692" s="78">
        <v>220000</v>
      </c>
    </row>
    <row r="2693" spans="9:16" ht="15.75" thickBot="1">
      <c r="I2693" s="882"/>
      <c r="J2693" s="876"/>
      <c r="K2693" s="878"/>
      <c r="L2693" s="880"/>
      <c r="M2693" s="882"/>
      <c r="N2693" s="884"/>
      <c r="O2693" s="56">
        <v>721</v>
      </c>
      <c r="P2693" s="79">
        <f>+N2692-P2692</f>
        <v>66000</v>
      </c>
    </row>
    <row r="2694" spans="9:16">
      <c r="I2694" s="881">
        <v>289</v>
      </c>
      <c r="J2694" s="875">
        <v>42655</v>
      </c>
      <c r="K2694" s="877" t="s">
        <v>472</v>
      </c>
      <c r="L2694" s="879" t="s">
        <v>1128</v>
      </c>
      <c r="M2694" s="881" t="s">
        <v>148</v>
      </c>
      <c r="N2694" s="883">
        <v>100000</v>
      </c>
      <c r="O2694" s="55">
        <v>719</v>
      </c>
      <c r="P2694" s="78">
        <v>100000</v>
      </c>
    </row>
    <row r="2695" spans="9:16" ht="15.75" thickBot="1">
      <c r="I2695" s="882"/>
      <c r="J2695" s="876"/>
      <c r="K2695" s="878"/>
      <c r="L2695" s="880"/>
      <c r="M2695" s="882"/>
      <c r="N2695" s="884"/>
      <c r="O2695" s="56">
        <v>721</v>
      </c>
      <c r="P2695" s="79">
        <f>+N2694-P2694</f>
        <v>0</v>
      </c>
    </row>
    <row r="2696" spans="9:16">
      <c r="I2696" s="881"/>
      <c r="J2696" s="875"/>
      <c r="K2696" s="877"/>
      <c r="L2696" s="879"/>
      <c r="M2696" s="881"/>
      <c r="N2696" s="883"/>
      <c r="O2696" s="55">
        <v>719</v>
      </c>
      <c r="P2696" s="78"/>
    </row>
    <row r="2697" spans="9:16" ht="15.75" thickBot="1">
      <c r="I2697" s="882"/>
      <c r="J2697" s="876"/>
      <c r="K2697" s="878"/>
      <c r="L2697" s="880"/>
      <c r="M2697" s="882"/>
      <c r="N2697" s="884"/>
      <c r="O2697" s="56">
        <v>721</v>
      </c>
      <c r="P2697" s="79">
        <f>+N2696-P2696</f>
        <v>0</v>
      </c>
    </row>
    <row r="2698" spans="9:16" ht="16.5" thickBot="1">
      <c r="I2698" s="901" t="s">
        <v>102</v>
      </c>
      <c r="J2698" s="902"/>
      <c r="K2698" s="902"/>
      <c r="L2698" s="902"/>
      <c r="M2698" s="903"/>
      <c r="N2698" s="81">
        <f>SUM(N2688:N2697)</f>
        <v>984000</v>
      </c>
    </row>
    <row r="2699" spans="9:16" ht="16.5" thickBot="1">
      <c r="I2699" s="885" t="s">
        <v>103</v>
      </c>
      <c r="J2699" s="886"/>
      <c r="K2699" s="886"/>
      <c r="L2699" s="886"/>
      <c r="M2699" s="887"/>
      <c r="N2699" s="69">
        <f>+N2663</f>
        <v>555357235</v>
      </c>
      <c r="O2699" s="241" t="s">
        <v>561</v>
      </c>
      <c r="P2699" s="242">
        <f>183+395+650+498</f>
        <v>1726</v>
      </c>
    </row>
    <row r="2700" spans="9:16" ht="16.5" thickBot="1">
      <c r="I2700" s="888" t="s">
        <v>104</v>
      </c>
      <c r="J2700" s="889"/>
      <c r="K2700" s="889"/>
      <c r="L2700" s="889"/>
      <c r="M2700" s="890"/>
      <c r="N2700" s="183">
        <f>SUM(N2698:N2699)</f>
        <v>556341235</v>
      </c>
    </row>
    <row r="2701" spans="9:16">
      <c r="I2701" s="61"/>
      <c r="J2701" s="61"/>
      <c r="K2701" s="61"/>
      <c r="L2701" s="61"/>
      <c r="M2701" s="61"/>
    </row>
    <row r="2702" spans="9:16">
      <c r="I2702" s="51" t="s">
        <v>1161</v>
      </c>
    </row>
    <row r="2703" spans="9:16" ht="12.75" customHeight="1">
      <c r="N2703" s="139"/>
    </row>
    <row r="2704" spans="9:16">
      <c r="I2704" s="50" t="s">
        <v>105</v>
      </c>
      <c r="L2704" s="146"/>
      <c r="N2704" s="139"/>
    </row>
    <row r="2705" spans="9:15" ht="14.25" customHeight="1" thickBot="1"/>
    <row r="2706" spans="9:15" ht="15.75" thickBot="1">
      <c r="I2706" s="891" t="s">
        <v>106</v>
      </c>
      <c r="J2706" s="892"/>
      <c r="K2706" s="892"/>
      <c r="L2706" s="893"/>
      <c r="N2706" s="50" t="s">
        <v>288</v>
      </c>
    </row>
    <row r="2707" spans="9:15" ht="30.75" thickBot="1">
      <c r="I2707" s="57" t="s">
        <v>100</v>
      </c>
      <c r="J2707" s="58" t="s">
        <v>108</v>
      </c>
      <c r="K2707" s="287" t="s">
        <v>109</v>
      </c>
      <c r="L2707" s="60" t="s">
        <v>110</v>
      </c>
    </row>
    <row r="2708" spans="9:15">
      <c r="I2708" s="71">
        <v>719</v>
      </c>
      <c r="J2708" s="73">
        <f>+P2688+P2690+P2692+P2694</f>
        <v>780000</v>
      </c>
      <c r="K2708" s="74">
        <f>+L2671</f>
        <v>41971700</v>
      </c>
      <c r="L2708" s="195">
        <f>+J2708+K2708</f>
        <v>42751700</v>
      </c>
    </row>
    <row r="2709" spans="9:15">
      <c r="I2709" s="72">
        <v>721</v>
      </c>
      <c r="J2709" s="80">
        <f>+P2689+P2691+P2693+P2695+P2697</f>
        <v>204000</v>
      </c>
      <c r="K2709" s="74">
        <f>+L2672</f>
        <v>97132584</v>
      </c>
      <c r="L2709" s="195">
        <f>+J2709+K2709</f>
        <v>97336584</v>
      </c>
    </row>
    <row r="2710" spans="9:15">
      <c r="I2710" s="72">
        <v>722</v>
      </c>
      <c r="J2710" s="80"/>
      <c r="K2710" s="74">
        <f>+L2673</f>
        <v>17549900</v>
      </c>
      <c r="L2710" s="195">
        <f>+J2710+K2710</f>
        <v>17549900</v>
      </c>
    </row>
    <row r="2711" spans="9:15" ht="15.75">
      <c r="I2711" s="72">
        <v>723</v>
      </c>
      <c r="J2711" s="80"/>
      <c r="K2711" s="74">
        <f>+L2674</f>
        <v>397905551</v>
      </c>
      <c r="L2711" s="195">
        <f>+J2711+K2711</f>
        <v>397905551</v>
      </c>
      <c r="N2711" s="193" t="s">
        <v>289</v>
      </c>
      <c r="O2711" s="175"/>
    </row>
    <row r="2712" spans="9:15" ht="16.5" thickBot="1">
      <c r="I2712" s="164" t="s">
        <v>1077</v>
      </c>
      <c r="J2712" s="165"/>
      <c r="K2712" s="74">
        <f>+L2675</f>
        <v>797500</v>
      </c>
      <c r="L2712" s="196">
        <f>+J2712+K2712</f>
        <v>797500</v>
      </c>
      <c r="N2712" s="52"/>
    </row>
    <row r="2713" spans="9:15" ht="16.5" thickBot="1">
      <c r="I2713" s="169"/>
      <c r="J2713" s="197">
        <f>SUM(J2708:J2712)</f>
        <v>984000</v>
      </c>
      <c r="K2713" s="197">
        <f>SUM(K2708:K2712)</f>
        <v>555357235</v>
      </c>
      <c r="L2713" s="198">
        <f>SUM(L2708:L2712)</f>
        <v>556341235</v>
      </c>
    </row>
    <row r="2714" spans="9:15" ht="16.5">
      <c r="I2714" s="49" t="s">
        <v>88</v>
      </c>
      <c r="J2714" s="50"/>
    </row>
    <row r="2715" spans="9:15">
      <c r="I2715" s="51" t="s">
        <v>89</v>
      </c>
    </row>
    <row r="2716" spans="9:15">
      <c r="I2716" s="51" t="s">
        <v>90</v>
      </c>
    </row>
    <row r="2717" spans="9:15">
      <c r="I2717" s="51" t="s">
        <v>91</v>
      </c>
    </row>
    <row r="2718" spans="9:15" ht="11.25" customHeight="1">
      <c r="I2718" s="50"/>
      <c r="J2718" s="50"/>
    </row>
    <row r="2719" spans="9:15" ht="15.75">
      <c r="I2719" s="260" t="s">
        <v>1162</v>
      </c>
      <c r="O2719" s="52"/>
    </row>
    <row r="2720" spans="9:15" ht="15.75">
      <c r="I2720" s="53" t="s">
        <v>535</v>
      </c>
      <c r="O2720" s="53"/>
    </row>
    <row r="2721" spans="9:16" ht="16.5">
      <c r="I2721" s="894" t="s">
        <v>1078</v>
      </c>
      <c r="J2721" s="894"/>
      <c r="K2721" s="894"/>
      <c r="L2721" s="894"/>
      <c r="M2721" s="894"/>
      <c r="N2721" s="894"/>
      <c r="O2721" s="894"/>
      <c r="P2721" s="894"/>
    </row>
    <row r="2722" spans="9:16" ht="13.5" customHeight="1" thickBot="1"/>
    <row r="2723" spans="9:16">
      <c r="I2723" s="895" t="s">
        <v>94</v>
      </c>
      <c r="J2723" s="897" t="s">
        <v>95</v>
      </c>
      <c r="K2723" s="897" t="s">
        <v>96</v>
      </c>
      <c r="L2723" s="897" t="s">
        <v>3</v>
      </c>
      <c r="M2723" s="897" t="s">
        <v>97</v>
      </c>
      <c r="N2723" s="897" t="s">
        <v>98</v>
      </c>
      <c r="O2723" s="897" t="s">
        <v>99</v>
      </c>
      <c r="P2723" s="899"/>
    </row>
    <row r="2724" spans="9:16" ht="15.75" thickBot="1">
      <c r="I2724" s="896"/>
      <c r="J2724" s="898"/>
      <c r="K2724" s="898"/>
      <c r="L2724" s="898"/>
      <c r="M2724" s="898"/>
      <c r="N2724" s="898"/>
      <c r="O2724" s="240" t="s">
        <v>100</v>
      </c>
      <c r="P2724" s="182" t="s">
        <v>101</v>
      </c>
    </row>
    <row r="2725" spans="9:16">
      <c r="I2725" s="881">
        <v>290</v>
      </c>
      <c r="J2725" s="875">
        <v>42655</v>
      </c>
      <c r="K2725" s="877" t="s">
        <v>1139</v>
      </c>
      <c r="L2725" s="879" t="s">
        <v>1146</v>
      </c>
      <c r="M2725" s="881" t="s">
        <v>148</v>
      </c>
      <c r="N2725" s="883">
        <v>52000</v>
      </c>
      <c r="O2725" s="55">
        <v>719</v>
      </c>
      <c r="P2725" s="78">
        <v>40000</v>
      </c>
    </row>
    <row r="2726" spans="9:16" ht="13.5" customHeight="1" thickBot="1">
      <c r="I2726" s="882"/>
      <c r="J2726" s="876"/>
      <c r="K2726" s="878"/>
      <c r="L2726" s="880"/>
      <c r="M2726" s="882"/>
      <c r="N2726" s="884"/>
      <c r="O2726" s="56">
        <v>721</v>
      </c>
      <c r="P2726" s="79">
        <f>+N2725-P2725</f>
        <v>12000</v>
      </c>
    </row>
    <row r="2727" spans="9:16">
      <c r="I2727" s="881">
        <v>291</v>
      </c>
      <c r="J2727" s="875">
        <v>42655</v>
      </c>
      <c r="K2727" s="877" t="s">
        <v>1139</v>
      </c>
      <c r="L2727" s="879" t="s">
        <v>1150</v>
      </c>
      <c r="M2727" s="881" t="s">
        <v>148</v>
      </c>
      <c r="N2727" s="883">
        <v>78000</v>
      </c>
      <c r="O2727" s="55">
        <v>719</v>
      </c>
      <c r="P2727" s="78">
        <v>60000</v>
      </c>
    </row>
    <row r="2728" spans="9:16" ht="15.75" thickBot="1">
      <c r="I2728" s="882"/>
      <c r="J2728" s="876"/>
      <c r="K2728" s="878"/>
      <c r="L2728" s="880"/>
      <c r="M2728" s="882"/>
      <c r="N2728" s="884"/>
      <c r="O2728" s="56">
        <v>721</v>
      </c>
      <c r="P2728" s="79">
        <f>+N2727-P2727</f>
        <v>18000</v>
      </c>
    </row>
    <row r="2729" spans="9:16" ht="14.25" customHeight="1">
      <c r="I2729" s="881">
        <v>292</v>
      </c>
      <c r="J2729" s="875">
        <v>42655</v>
      </c>
      <c r="K2729" s="877" t="s">
        <v>1139</v>
      </c>
      <c r="L2729" s="879" t="s">
        <v>1141</v>
      </c>
      <c r="M2729" s="881" t="s">
        <v>148</v>
      </c>
      <c r="N2729" s="883">
        <v>46000</v>
      </c>
      <c r="O2729" s="55">
        <v>719</v>
      </c>
      <c r="P2729" s="78">
        <v>40000</v>
      </c>
    </row>
    <row r="2730" spans="9:16" ht="14.25" customHeight="1" thickBot="1">
      <c r="I2730" s="882"/>
      <c r="J2730" s="876"/>
      <c r="K2730" s="878"/>
      <c r="L2730" s="880"/>
      <c r="M2730" s="882"/>
      <c r="N2730" s="884"/>
      <c r="O2730" s="56">
        <v>721</v>
      </c>
      <c r="P2730" s="79">
        <f>+N2729-P2729</f>
        <v>6000</v>
      </c>
    </row>
    <row r="2731" spans="9:16">
      <c r="I2731" s="881">
        <v>293</v>
      </c>
      <c r="J2731" s="875">
        <v>42655</v>
      </c>
      <c r="K2731" s="877" t="s">
        <v>31</v>
      </c>
      <c r="L2731" s="879" t="s">
        <v>1155</v>
      </c>
      <c r="M2731" s="881" t="s">
        <v>148</v>
      </c>
      <c r="N2731" s="883">
        <v>1326000</v>
      </c>
      <c r="O2731" s="55">
        <v>719</v>
      </c>
      <c r="P2731" s="78">
        <v>1020000</v>
      </c>
    </row>
    <row r="2732" spans="9:16" ht="15.75" thickBot="1">
      <c r="I2732" s="882"/>
      <c r="J2732" s="876"/>
      <c r="K2732" s="878"/>
      <c r="L2732" s="880"/>
      <c r="M2732" s="882"/>
      <c r="N2732" s="884"/>
      <c r="O2732" s="56">
        <v>721</v>
      </c>
      <c r="P2732" s="79">
        <f>+N2731-P2731</f>
        <v>306000</v>
      </c>
    </row>
    <row r="2733" spans="9:16" ht="13.5" customHeight="1">
      <c r="I2733" s="881"/>
      <c r="J2733" s="875"/>
      <c r="K2733" s="877"/>
      <c r="L2733" s="879"/>
      <c r="M2733" s="881"/>
      <c r="N2733" s="883"/>
      <c r="O2733" s="55">
        <v>719</v>
      </c>
      <c r="P2733" s="78"/>
    </row>
    <row r="2734" spans="9:16" ht="13.5" customHeight="1" thickBot="1">
      <c r="I2734" s="882"/>
      <c r="J2734" s="876"/>
      <c r="K2734" s="878"/>
      <c r="L2734" s="880"/>
      <c r="M2734" s="882"/>
      <c r="N2734" s="884"/>
      <c r="O2734" s="56">
        <v>721</v>
      </c>
      <c r="P2734" s="79">
        <f>+N2733-P2733</f>
        <v>0</v>
      </c>
    </row>
    <row r="2735" spans="9:16" ht="16.5" thickBot="1">
      <c r="I2735" s="901" t="s">
        <v>102</v>
      </c>
      <c r="J2735" s="902"/>
      <c r="K2735" s="902"/>
      <c r="L2735" s="902"/>
      <c r="M2735" s="903"/>
      <c r="N2735" s="81">
        <f>SUM(N2725:N2734)</f>
        <v>1502000</v>
      </c>
    </row>
    <row r="2736" spans="9:16" ht="16.5" thickBot="1">
      <c r="I2736" s="885" t="s">
        <v>103</v>
      </c>
      <c r="J2736" s="886"/>
      <c r="K2736" s="886"/>
      <c r="L2736" s="886"/>
      <c r="M2736" s="887"/>
      <c r="N2736" s="69">
        <f>+N2700</f>
        <v>556341235</v>
      </c>
      <c r="O2736" s="241" t="s">
        <v>561</v>
      </c>
      <c r="P2736" s="242">
        <v>1556</v>
      </c>
    </row>
    <row r="2737" spans="9:15" ht="16.5" thickBot="1">
      <c r="I2737" s="888" t="s">
        <v>104</v>
      </c>
      <c r="J2737" s="889"/>
      <c r="K2737" s="889"/>
      <c r="L2737" s="889"/>
      <c r="M2737" s="890"/>
      <c r="N2737" s="183">
        <f>SUM(N2735:N2736)</f>
        <v>557843235</v>
      </c>
    </row>
    <row r="2738" spans="9:15" ht="12.75" customHeight="1">
      <c r="I2738" s="61"/>
      <c r="J2738" s="61"/>
      <c r="K2738" s="61"/>
      <c r="L2738" s="61"/>
      <c r="M2738" s="61"/>
    </row>
    <row r="2739" spans="9:15">
      <c r="I2739" s="51" t="s">
        <v>1163</v>
      </c>
    </row>
    <row r="2740" spans="9:15" ht="14.25" customHeight="1">
      <c r="N2740" s="139"/>
    </row>
    <row r="2741" spans="9:15">
      <c r="I2741" s="50" t="s">
        <v>105</v>
      </c>
      <c r="L2741" s="146"/>
      <c r="N2741" s="139"/>
    </row>
    <row r="2742" spans="9:15" ht="13.5" customHeight="1" thickBot="1"/>
    <row r="2743" spans="9:15" ht="15.75" thickBot="1">
      <c r="I2743" s="891" t="s">
        <v>106</v>
      </c>
      <c r="J2743" s="892"/>
      <c r="K2743" s="892"/>
      <c r="L2743" s="893"/>
      <c r="N2743" s="50" t="s">
        <v>288</v>
      </c>
    </row>
    <row r="2744" spans="9:15" ht="30.75" thickBot="1">
      <c r="I2744" s="57" t="s">
        <v>100</v>
      </c>
      <c r="J2744" s="58" t="s">
        <v>108</v>
      </c>
      <c r="K2744" s="287" t="s">
        <v>109</v>
      </c>
      <c r="L2744" s="60" t="s">
        <v>110</v>
      </c>
    </row>
    <row r="2745" spans="9:15">
      <c r="I2745" s="71">
        <v>719</v>
      </c>
      <c r="J2745" s="73">
        <f>+P2725+P2727+P2729+P2731</f>
        <v>1160000</v>
      </c>
      <c r="K2745" s="74">
        <f>+L2708</f>
        <v>42751700</v>
      </c>
      <c r="L2745" s="195">
        <f>+J2745+K2745</f>
        <v>43911700</v>
      </c>
    </row>
    <row r="2746" spans="9:15">
      <c r="I2746" s="72">
        <v>721</v>
      </c>
      <c r="J2746" s="80">
        <f>+P2726+P2728+P2730+P2732+P2734</f>
        <v>342000</v>
      </c>
      <c r="K2746" s="74">
        <f>+L2709</f>
        <v>97336584</v>
      </c>
      <c r="L2746" s="195">
        <f>+J2746+K2746</f>
        <v>97678584</v>
      </c>
    </row>
    <row r="2747" spans="9:15">
      <c r="I2747" s="72">
        <v>722</v>
      </c>
      <c r="J2747" s="80"/>
      <c r="K2747" s="74">
        <f>+L2710</f>
        <v>17549900</v>
      </c>
      <c r="L2747" s="195">
        <f>+J2747+K2747</f>
        <v>17549900</v>
      </c>
    </row>
    <row r="2748" spans="9:15" ht="15.75">
      <c r="I2748" s="72">
        <v>723</v>
      </c>
      <c r="J2748" s="80"/>
      <c r="K2748" s="74">
        <f>+L2711</f>
        <v>397905551</v>
      </c>
      <c r="L2748" s="195">
        <f>+J2748+K2748</f>
        <v>397905551</v>
      </c>
      <c r="N2748" s="193" t="s">
        <v>289</v>
      </c>
      <c r="O2748" s="175"/>
    </row>
    <row r="2749" spans="9:15" ht="16.5" thickBot="1">
      <c r="I2749" s="164" t="s">
        <v>1077</v>
      </c>
      <c r="J2749" s="165"/>
      <c r="K2749" s="74">
        <f>+L2712</f>
        <v>797500</v>
      </c>
      <c r="L2749" s="196">
        <f>+J2749+K2749</f>
        <v>797500</v>
      </c>
      <c r="N2749" s="52"/>
    </row>
    <row r="2750" spans="9:15" ht="16.5" thickBot="1">
      <c r="I2750" s="169"/>
      <c r="J2750" s="197">
        <f>SUM(J2745:J2749)</f>
        <v>1502000</v>
      </c>
      <c r="K2750" s="197">
        <f>SUM(K2745:K2749)</f>
        <v>556341235</v>
      </c>
      <c r="L2750" s="198">
        <f>SUM(L2745:L2749)</f>
        <v>557843235</v>
      </c>
    </row>
    <row r="2751" spans="9:15" ht="16.5">
      <c r="I2751" s="49" t="s">
        <v>88</v>
      </c>
      <c r="J2751" s="50"/>
    </row>
    <row r="2752" spans="9:15">
      <c r="I2752" s="51" t="s">
        <v>89</v>
      </c>
    </row>
    <row r="2753" spans="9:16">
      <c r="I2753" s="51" t="s">
        <v>90</v>
      </c>
    </row>
    <row r="2754" spans="9:16">
      <c r="I2754" s="51" t="s">
        <v>91</v>
      </c>
    </row>
    <row r="2755" spans="9:16" ht="11.25" customHeight="1">
      <c r="I2755" s="50"/>
      <c r="J2755" s="50"/>
    </row>
    <row r="2756" spans="9:16" ht="15.75">
      <c r="I2756" s="260" t="s">
        <v>1164</v>
      </c>
      <c r="O2756" s="52"/>
    </row>
    <row r="2757" spans="9:16" ht="15.75">
      <c r="I2757" s="53" t="s">
        <v>535</v>
      </c>
      <c r="O2757" s="53"/>
    </row>
    <row r="2758" spans="9:16" ht="16.5">
      <c r="I2758" s="894" t="s">
        <v>1078</v>
      </c>
      <c r="J2758" s="894"/>
      <c r="K2758" s="894"/>
      <c r="L2758" s="894"/>
      <c r="M2758" s="894"/>
      <c r="N2758" s="894"/>
      <c r="O2758" s="894"/>
      <c r="P2758" s="894"/>
    </row>
    <row r="2759" spans="9:16" ht="15.75" thickBot="1"/>
    <row r="2760" spans="9:16">
      <c r="I2760" s="895" t="s">
        <v>94</v>
      </c>
      <c r="J2760" s="897" t="s">
        <v>95</v>
      </c>
      <c r="K2760" s="897" t="s">
        <v>96</v>
      </c>
      <c r="L2760" s="897" t="s">
        <v>3</v>
      </c>
      <c r="M2760" s="897" t="s">
        <v>97</v>
      </c>
      <c r="N2760" s="897" t="s">
        <v>98</v>
      </c>
      <c r="O2760" s="897" t="s">
        <v>99</v>
      </c>
      <c r="P2760" s="899"/>
    </row>
    <row r="2761" spans="9:16" ht="15.75" thickBot="1">
      <c r="I2761" s="896"/>
      <c r="J2761" s="898"/>
      <c r="K2761" s="898"/>
      <c r="L2761" s="898"/>
      <c r="M2761" s="898"/>
      <c r="N2761" s="898"/>
      <c r="O2761" s="240" t="s">
        <v>100</v>
      </c>
      <c r="P2761" s="182" t="s">
        <v>101</v>
      </c>
    </row>
    <row r="2762" spans="9:16">
      <c r="I2762" s="881">
        <v>294</v>
      </c>
      <c r="J2762" s="875">
        <v>42657</v>
      </c>
      <c r="K2762" s="877" t="s">
        <v>1014</v>
      </c>
      <c r="L2762" s="879" t="s">
        <v>1167</v>
      </c>
      <c r="M2762" s="881" t="s">
        <v>115</v>
      </c>
      <c r="N2762" s="883">
        <v>110000</v>
      </c>
      <c r="O2762" s="55">
        <v>719</v>
      </c>
      <c r="P2762" s="78">
        <v>110000</v>
      </c>
    </row>
    <row r="2763" spans="9:16" ht="15.75" thickBot="1">
      <c r="I2763" s="882"/>
      <c r="J2763" s="876"/>
      <c r="K2763" s="878"/>
      <c r="L2763" s="880"/>
      <c r="M2763" s="882"/>
      <c r="N2763" s="884"/>
      <c r="O2763" s="56">
        <v>721</v>
      </c>
      <c r="P2763" s="79">
        <f>+N2762-P2762</f>
        <v>0</v>
      </c>
    </row>
    <row r="2764" spans="9:16" ht="15" customHeight="1">
      <c r="I2764" s="881">
        <v>295</v>
      </c>
      <c r="J2764" s="875">
        <v>42657</v>
      </c>
      <c r="K2764" s="877" t="s">
        <v>28</v>
      </c>
      <c r="L2764" s="879" t="s">
        <v>1166</v>
      </c>
      <c r="M2764" s="881" t="s">
        <v>115</v>
      </c>
      <c r="N2764" s="883">
        <v>70000</v>
      </c>
      <c r="O2764" s="55">
        <v>719</v>
      </c>
      <c r="P2764" s="78">
        <v>70000</v>
      </c>
    </row>
    <row r="2765" spans="9:16" ht="14.25" customHeight="1" thickBot="1">
      <c r="I2765" s="882"/>
      <c r="J2765" s="876"/>
      <c r="K2765" s="878"/>
      <c r="L2765" s="880"/>
      <c r="M2765" s="882"/>
      <c r="N2765" s="884"/>
      <c r="O2765" s="56">
        <v>721</v>
      </c>
      <c r="P2765" s="79">
        <f>+N2764-P2764</f>
        <v>0</v>
      </c>
    </row>
    <row r="2766" spans="9:16" ht="14.25" customHeight="1">
      <c r="I2766" s="881">
        <v>296</v>
      </c>
      <c r="J2766" s="875">
        <v>42657</v>
      </c>
      <c r="K2766" s="877" t="s">
        <v>120</v>
      </c>
      <c r="L2766" s="879" t="s">
        <v>1165</v>
      </c>
      <c r="M2766" s="881" t="s">
        <v>115</v>
      </c>
      <c r="N2766" s="883">
        <v>200000</v>
      </c>
      <c r="O2766" s="55">
        <v>719</v>
      </c>
      <c r="P2766" s="78">
        <v>200000</v>
      </c>
    </row>
    <row r="2767" spans="9:16" ht="15.75" customHeight="1" thickBot="1">
      <c r="I2767" s="882"/>
      <c r="J2767" s="876"/>
      <c r="K2767" s="878"/>
      <c r="L2767" s="880"/>
      <c r="M2767" s="882"/>
      <c r="N2767" s="884"/>
      <c r="O2767" s="56">
        <v>721</v>
      </c>
      <c r="P2767" s="79">
        <f>+N2766-P2766</f>
        <v>0</v>
      </c>
    </row>
    <row r="2768" spans="9:16">
      <c r="I2768" s="881"/>
      <c r="J2768" s="875"/>
      <c r="K2768" s="877"/>
      <c r="L2768" s="879"/>
      <c r="M2768" s="881"/>
      <c r="N2768" s="883"/>
      <c r="O2768" s="55">
        <v>719</v>
      </c>
      <c r="P2768" s="78">
        <v>0</v>
      </c>
    </row>
    <row r="2769" spans="9:16" ht="13.5" customHeight="1" thickBot="1">
      <c r="I2769" s="882"/>
      <c r="J2769" s="876"/>
      <c r="K2769" s="878"/>
      <c r="L2769" s="880"/>
      <c r="M2769" s="882"/>
      <c r="N2769" s="884"/>
      <c r="O2769" s="56">
        <v>721</v>
      </c>
      <c r="P2769" s="79">
        <f>+N2768-P2768</f>
        <v>0</v>
      </c>
    </row>
    <row r="2770" spans="9:16">
      <c r="I2770" s="881"/>
      <c r="J2770" s="875"/>
      <c r="K2770" s="877"/>
      <c r="L2770" s="879"/>
      <c r="M2770" s="881"/>
      <c r="N2770" s="883"/>
      <c r="O2770" s="55">
        <v>719</v>
      </c>
      <c r="P2770" s="78"/>
    </row>
    <row r="2771" spans="9:16" ht="14.25" customHeight="1" thickBot="1">
      <c r="I2771" s="882"/>
      <c r="J2771" s="876"/>
      <c r="K2771" s="878"/>
      <c r="L2771" s="880"/>
      <c r="M2771" s="882"/>
      <c r="N2771" s="884"/>
      <c r="O2771" s="56">
        <v>721</v>
      </c>
      <c r="P2771" s="79">
        <f>+N2770-P2770</f>
        <v>0</v>
      </c>
    </row>
    <row r="2772" spans="9:16" ht="16.5" thickBot="1">
      <c r="I2772" s="901" t="s">
        <v>102</v>
      </c>
      <c r="J2772" s="902"/>
      <c r="K2772" s="902"/>
      <c r="L2772" s="902"/>
      <c r="M2772" s="903"/>
      <c r="N2772" s="81">
        <f>SUM(N2762:N2771)</f>
        <v>380000</v>
      </c>
    </row>
    <row r="2773" spans="9:16" ht="16.5" thickBot="1">
      <c r="I2773" s="885" t="s">
        <v>103</v>
      </c>
      <c r="J2773" s="886"/>
      <c r="K2773" s="886"/>
      <c r="L2773" s="886"/>
      <c r="M2773" s="887"/>
      <c r="N2773" s="69">
        <f>+N2737</f>
        <v>557843235</v>
      </c>
      <c r="O2773" s="241" t="s">
        <v>561</v>
      </c>
      <c r="P2773" s="242">
        <f>328+189+267</f>
        <v>784</v>
      </c>
    </row>
    <row r="2774" spans="9:16" ht="16.5" thickBot="1">
      <c r="I2774" s="888" t="s">
        <v>104</v>
      </c>
      <c r="J2774" s="889"/>
      <c r="K2774" s="889"/>
      <c r="L2774" s="889"/>
      <c r="M2774" s="890"/>
      <c r="N2774" s="183">
        <f>SUM(N2772:N2773)</f>
        <v>558223235</v>
      </c>
    </row>
    <row r="2775" spans="9:16">
      <c r="I2775" s="61"/>
      <c r="J2775" s="61"/>
      <c r="K2775" s="61"/>
      <c r="L2775" s="61"/>
      <c r="M2775" s="61"/>
    </row>
    <row r="2776" spans="9:16">
      <c r="I2776" s="51" t="s">
        <v>1168</v>
      </c>
    </row>
    <row r="2777" spans="9:16" ht="12.75" customHeight="1">
      <c r="N2777" s="139"/>
    </row>
    <row r="2778" spans="9:16">
      <c r="I2778" s="50" t="s">
        <v>105</v>
      </c>
      <c r="L2778" s="146"/>
      <c r="N2778" s="139"/>
    </row>
    <row r="2779" spans="9:16" ht="13.5" customHeight="1" thickBot="1"/>
    <row r="2780" spans="9:16" ht="15.75" thickBot="1">
      <c r="I2780" s="891" t="s">
        <v>106</v>
      </c>
      <c r="J2780" s="892"/>
      <c r="K2780" s="892"/>
      <c r="L2780" s="893"/>
      <c r="N2780" s="50" t="s">
        <v>288</v>
      </c>
    </row>
    <row r="2781" spans="9:16" ht="30.75" thickBot="1">
      <c r="I2781" s="57" t="s">
        <v>100</v>
      </c>
      <c r="J2781" s="58" t="s">
        <v>108</v>
      </c>
      <c r="K2781" s="287" t="s">
        <v>109</v>
      </c>
      <c r="L2781" s="60" t="s">
        <v>110</v>
      </c>
    </row>
    <row r="2782" spans="9:16">
      <c r="I2782" s="71">
        <v>719</v>
      </c>
      <c r="J2782" s="73">
        <f>+P2762+P2764+P2766+P2768</f>
        <v>380000</v>
      </c>
      <c r="K2782" s="74">
        <f>+L2745</f>
        <v>43911700</v>
      </c>
      <c r="L2782" s="195">
        <f>+J2782+K2782</f>
        <v>44291700</v>
      </c>
    </row>
    <row r="2783" spans="9:16">
      <c r="I2783" s="72">
        <v>721</v>
      </c>
      <c r="J2783" s="80">
        <f>+P2763+P2765+P2767+P2769+P2771</f>
        <v>0</v>
      </c>
      <c r="K2783" s="74">
        <f>+L2746</f>
        <v>97678584</v>
      </c>
      <c r="L2783" s="195">
        <f>+J2783+K2783</f>
        <v>97678584</v>
      </c>
    </row>
    <row r="2784" spans="9:16">
      <c r="I2784" s="72">
        <v>722</v>
      </c>
      <c r="J2784" s="80"/>
      <c r="K2784" s="74">
        <f>+L2747</f>
        <v>17549900</v>
      </c>
      <c r="L2784" s="195">
        <f>+J2784+K2784</f>
        <v>17549900</v>
      </c>
    </row>
    <row r="2785" spans="9:16" ht="15.75">
      <c r="I2785" s="72">
        <v>723</v>
      </c>
      <c r="J2785" s="80"/>
      <c r="K2785" s="74">
        <f>+L2748</f>
        <v>397905551</v>
      </c>
      <c r="L2785" s="195">
        <f>+J2785+K2785</f>
        <v>397905551</v>
      </c>
      <c r="N2785" s="193" t="s">
        <v>289</v>
      </c>
      <c r="O2785" s="175"/>
    </row>
    <row r="2786" spans="9:16" ht="16.5" thickBot="1">
      <c r="I2786" s="164" t="s">
        <v>1077</v>
      </c>
      <c r="J2786" s="165"/>
      <c r="K2786" s="74">
        <f>+L2749</f>
        <v>797500</v>
      </c>
      <c r="L2786" s="196">
        <f>+J2786+K2786</f>
        <v>797500</v>
      </c>
      <c r="N2786" s="52"/>
    </row>
    <row r="2787" spans="9:16" ht="16.5" thickBot="1">
      <c r="I2787" s="169"/>
      <c r="J2787" s="197">
        <f>SUM(J2782:J2786)</f>
        <v>380000</v>
      </c>
      <c r="K2787" s="197">
        <f>SUM(K2782:K2786)</f>
        <v>557843235</v>
      </c>
      <c r="L2787" s="198">
        <f>SUM(L2782:L2786)</f>
        <v>558223235</v>
      </c>
    </row>
    <row r="2788" spans="9:16" ht="16.5">
      <c r="I2788" s="49" t="s">
        <v>88</v>
      </c>
      <c r="J2788" s="50"/>
    </row>
    <row r="2789" spans="9:16">
      <c r="I2789" s="51" t="s">
        <v>89</v>
      </c>
    </row>
    <row r="2790" spans="9:16">
      <c r="I2790" s="51" t="s">
        <v>90</v>
      </c>
    </row>
    <row r="2791" spans="9:16">
      <c r="I2791" s="51" t="s">
        <v>91</v>
      </c>
    </row>
    <row r="2792" spans="9:16" ht="10.5" customHeight="1">
      <c r="I2792" s="50"/>
      <c r="J2792" s="50"/>
    </row>
    <row r="2793" spans="9:16" ht="15.75">
      <c r="I2793" s="260" t="s">
        <v>1169</v>
      </c>
      <c r="O2793" s="52"/>
    </row>
    <row r="2794" spans="9:16" ht="15.75">
      <c r="I2794" s="53" t="s">
        <v>535</v>
      </c>
      <c r="O2794" s="53"/>
    </row>
    <row r="2795" spans="9:16" ht="16.5">
      <c r="I2795" s="894" t="s">
        <v>1205</v>
      </c>
      <c r="J2795" s="894"/>
      <c r="K2795" s="894"/>
      <c r="L2795" s="894"/>
      <c r="M2795" s="894"/>
      <c r="N2795" s="894"/>
      <c r="O2795" s="894"/>
      <c r="P2795" s="894"/>
    </row>
    <row r="2796" spans="9:16" ht="15.75" thickBot="1"/>
    <row r="2797" spans="9:16">
      <c r="I2797" s="895" t="s">
        <v>94</v>
      </c>
      <c r="J2797" s="897" t="s">
        <v>95</v>
      </c>
      <c r="K2797" s="897" t="s">
        <v>96</v>
      </c>
      <c r="L2797" s="897" t="s">
        <v>3</v>
      </c>
      <c r="M2797" s="897" t="s">
        <v>97</v>
      </c>
      <c r="N2797" s="897" t="s">
        <v>98</v>
      </c>
      <c r="O2797" s="897" t="s">
        <v>99</v>
      </c>
      <c r="P2797" s="899"/>
    </row>
    <row r="2798" spans="9:16" ht="15.75" thickBot="1">
      <c r="I2798" s="896"/>
      <c r="J2798" s="898"/>
      <c r="K2798" s="898"/>
      <c r="L2798" s="898"/>
      <c r="M2798" s="898"/>
      <c r="N2798" s="898"/>
      <c r="O2798" s="240" t="s">
        <v>100</v>
      </c>
      <c r="P2798" s="182" t="s">
        <v>101</v>
      </c>
    </row>
    <row r="2799" spans="9:16" ht="14.25" customHeight="1">
      <c r="I2799" s="881">
        <v>297</v>
      </c>
      <c r="J2799" s="875">
        <v>42660</v>
      </c>
      <c r="K2799" s="877" t="s">
        <v>350</v>
      </c>
      <c r="L2799" s="879" t="s">
        <v>921</v>
      </c>
      <c r="M2799" s="881" t="s">
        <v>148</v>
      </c>
      <c r="N2799" s="883">
        <v>260000</v>
      </c>
      <c r="O2799" s="55">
        <v>722</v>
      </c>
      <c r="P2799" s="78">
        <v>260000</v>
      </c>
    </row>
    <row r="2800" spans="9:16" ht="14.25" customHeight="1" thickBot="1">
      <c r="I2800" s="882"/>
      <c r="J2800" s="876"/>
      <c r="K2800" s="878"/>
      <c r="L2800" s="880"/>
      <c r="M2800" s="882"/>
      <c r="N2800" s="884"/>
      <c r="O2800" s="56">
        <v>721</v>
      </c>
      <c r="P2800" s="351">
        <f>+N2799-P2799</f>
        <v>0</v>
      </c>
    </row>
    <row r="2801" spans="9:16" ht="14.25" customHeight="1">
      <c r="I2801" s="881">
        <v>298</v>
      </c>
      <c r="J2801" s="875">
        <v>42660</v>
      </c>
      <c r="K2801" s="877" t="s">
        <v>1091</v>
      </c>
      <c r="L2801" s="879" t="s">
        <v>921</v>
      </c>
      <c r="M2801" s="881" t="s">
        <v>148</v>
      </c>
      <c r="N2801" s="883">
        <v>600000</v>
      </c>
      <c r="O2801" s="55">
        <v>722</v>
      </c>
      <c r="P2801" s="78">
        <v>600000</v>
      </c>
    </row>
    <row r="2802" spans="9:16" ht="13.5" customHeight="1" thickBot="1">
      <c r="I2802" s="882"/>
      <c r="J2802" s="876"/>
      <c r="K2802" s="878"/>
      <c r="L2802" s="880"/>
      <c r="M2802" s="882"/>
      <c r="N2802" s="884"/>
      <c r="O2802" s="56">
        <v>721</v>
      </c>
      <c r="P2802" s="352">
        <f>+N2801-P2801</f>
        <v>0</v>
      </c>
    </row>
    <row r="2803" spans="9:16" ht="15" customHeight="1">
      <c r="I2803" s="881">
        <v>299</v>
      </c>
      <c r="J2803" s="875">
        <v>42660</v>
      </c>
      <c r="K2803" s="877" t="s">
        <v>120</v>
      </c>
      <c r="L2803" s="879" t="s">
        <v>921</v>
      </c>
      <c r="M2803" s="881" t="s">
        <v>148</v>
      </c>
      <c r="N2803" s="883">
        <v>560000</v>
      </c>
      <c r="O2803" s="55">
        <v>722</v>
      </c>
      <c r="P2803" s="78">
        <v>560000</v>
      </c>
    </row>
    <row r="2804" spans="9:16" ht="13.5" customHeight="1" thickBot="1">
      <c r="I2804" s="882"/>
      <c r="J2804" s="876"/>
      <c r="K2804" s="878"/>
      <c r="L2804" s="880"/>
      <c r="M2804" s="882"/>
      <c r="N2804" s="884"/>
      <c r="O2804" s="56">
        <v>721</v>
      </c>
      <c r="P2804" s="352">
        <f>+N2803-P2803</f>
        <v>0</v>
      </c>
    </row>
    <row r="2805" spans="9:16" ht="15" customHeight="1">
      <c r="I2805" s="881">
        <v>300</v>
      </c>
      <c r="J2805" s="875">
        <v>42660</v>
      </c>
      <c r="K2805" s="877" t="s">
        <v>1171</v>
      </c>
      <c r="L2805" s="879" t="s">
        <v>921</v>
      </c>
      <c r="M2805" s="881" t="s">
        <v>148</v>
      </c>
      <c r="N2805" s="883">
        <v>1000000</v>
      </c>
      <c r="O2805" s="55">
        <v>722</v>
      </c>
      <c r="P2805" s="78">
        <v>1000000</v>
      </c>
    </row>
    <row r="2806" spans="9:16" ht="13.5" customHeight="1" thickBot="1">
      <c r="I2806" s="882"/>
      <c r="J2806" s="876"/>
      <c r="K2806" s="878"/>
      <c r="L2806" s="880"/>
      <c r="M2806" s="882"/>
      <c r="N2806" s="884"/>
      <c r="O2806" s="56">
        <v>721</v>
      </c>
      <c r="P2806" s="79">
        <f>+N2805-P2805</f>
        <v>0</v>
      </c>
    </row>
    <row r="2807" spans="9:16" ht="15" customHeight="1">
      <c r="I2807" s="881">
        <v>301</v>
      </c>
      <c r="J2807" s="875">
        <v>42660</v>
      </c>
      <c r="K2807" s="877" t="s">
        <v>40</v>
      </c>
      <c r="L2807" s="879" t="s">
        <v>921</v>
      </c>
      <c r="M2807" s="881" t="s">
        <v>148</v>
      </c>
      <c r="N2807" s="883">
        <v>200000</v>
      </c>
      <c r="O2807" s="55">
        <v>722</v>
      </c>
      <c r="P2807" s="78">
        <v>200000</v>
      </c>
    </row>
    <row r="2808" spans="9:16" ht="13.5" customHeight="1" thickBot="1">
      <c r="I2808" s="882"/>
      <c r="J2808" s="876"/>
      <c r="K2808" s="878"/>
      <c r="L2808" s="880"/>
      <c r="M2808" s="882"/>
      <c r="N2808" s="884"/>
      <c r="O2808" s="56">
        <v>721</v>
      </c>
      <c r="P2808" s="79">
        <f>+N2807-P2807</f>
        <v>0</v>
      </c>
    </row>
    <row r="2809" spans="9:16" ht="15" customHeight="1">
      <c r="I2809" s="881">
        <v>302</v>
      </c>
      <c r="J2809" s="875">
        <v>42660</v>
      </c>
      <c r="K2809" s="877" t="s">
        <v>1172</v>
      </c>
      <c r="L2809" s="879" t="s">
        <v>921</v>
      </c>
      <c r="M2809" s="881" t="s">
        <v>148</v>
      </c>
      <c r="N2809" s="883">
        <v>220000</v>
      </c>
      <c r="O2809" s="55">
        <v>722</v>
      </c>
      <c r="P2809" s="78">
        <v>220000</v>
      </c>
    </row>
    <row r="2810" spans="9:16" ht="13.5" customHeight="1" thickBot="1">
      <c r="I2810" s="882"/>
      <c r="J2810" s="876"/>
      <c r="K2810" s="878"/>
      <c r="L2810" s="880"/>
      <c r="M2810" s="882"/>
      <c r="N2810" s="884"/>
      <c r="O2810" s="56">
        <v>721</v>
      </c>
      <c r="P2810" s="79">
        <f>+N2809-P2809</f>
        <v>0</v>
      </c>
    </row>
    <row r="2811" spans="9:16" ht="15" customHeight="1" thickBot="1">
      <c r="I2811" s="901" t="s">
        <v>102</v>
      </c>
      <c r="J2811" s="902"/>
      <c r="K2811" s="902"/>
      <c r="L2811" s="902"/>
      <c r="M2811" s="903"/>
      <c r="N2811" s="81">
        <f>SUM(N2799:N2810)</f>
        <v>2840000</v>
      </c>
    </row>
    <row r="2812" spans="9:16" ht="16.5" thickBot="1">
      <c r="I2812" s="885" t="s">
        <v>103</v>
      </c>
      <c r="J2812" s="886"/>
      <c r="K2812" s="886"/>
      <c r="L2812" s="886"/>
      <c r="M2812" s="887"/>
      <c r="N2812" s="69">
        <f>+N2774</f>
        <v>558223235</v>
      </c>
      <c r="O2812" s="241" t="s">
        <v>561</v>
      </c>
      <c r="P2812" s="242"/>
    </row>
    <row r="2813" spans="9:16" ht="16.5" thickBot="1">
      <c r="I2813" s="888" t="s">
        <v>104</v>
      </c>
      <c r="J2813" s="889"/>
      <c r="K2813" s="889"/>
      <c r="L2813" s="889"/>
      <c r="M2813" s="890"/>
      <c r="N2813" s="183">
        <f>SUM(N2811:N2812)</f>
        <v>561063235</v>
      </c>
    </row>
    <row r="2814" spans="9:16" ht="12.75" customHeight="1">
      <c r="I2814" s="61"/>
      <c r="J2814" s="61"/>
      <c r="K2814" s="61"/>
      <c r="L2814" s="61"/>
      <c r="M2814" s="61"/>
    </row>
    <row r="2815" spans="9:16">
      <c r="I2815" s="51" t="s">
        <v>1173</v>
      </c>
    </row>
    <row r="2816" spans="9:16" ht="10.5" customHeight="1">
      <c r="N2816" s="139"/>
    </row>
    <row r="2817" spans="9:15">
      <c r="I2817" s="50" t="s">
        <v>105</v>
      </c>
      <c r="L2817" s="146"/>
      <c r="N2817" s="139"/>
    </row>
    <row r="2818" spans="9:15" ht="9" customHeight="1" thickBot="1"/>
    <row r="2819" spans="9:15" ht="15.75" thickBot="1">
      <c r="I2819" s="891" t="s">
        <v>106</v>
      </c>
      <c r="J2819" s="892"/>
      <c r="K2819" s="892"/>
      <c r="L2819" s="893"/>
      <c r="N2819" s="50" t="s">
        <v>288</v>
      </c>
    </row>
    <row r="2820" spans="9:15" ht="29.25" customHeight="1" thickBot="1">
      <c r="I2820" s="57" t="s">
        <v>100</v>
      </c>
      <c r="J2820" s="58" t="s">
        <v>108</v>
      </c>
      <c r="K2820" s="287" t="s">
        <v>109</v>
      </c>
      <c r="L2820" s="60" t="s">
        <v>110</v>
      </c>
    </row>
    <row r="2821" spans="9:15" ht="14.25" customHeight="1">
      <c r="I2821" s="71">
        <v>719</v>
      </c>
      <c r="J2821" s="73"/>
      <c r="K2821" s="74">
        <f>+L2782</f>
        <v>44291700</v>
      </c>
      <c r="L2821" s="195">
        <f>+J2821+K2821</f>
        <v>44291700</v>
      </c>
    </row>
    <row r="2822" spans="9:15">
      <c r="I2822" s="72">
        <v>721</v>
      </c>
      <c r="J2822" s="80">
        <f>+P2800+P2802+P2804+P2806+P2810+P2808</f>
        <v>0</v>
      </c>
      <c r="K2822" s="74">
        <f>+L2783</f>
        <v>97678584</v>
      </c>
      <c r="L2822" s="195">
        <f>+J2822+K2822</f>
        <v>97678584</v>
      </c>
    </row>
    <row r="2823" spans="9:15">
      <c r="I2823" s="72">
        <v>722</v>
      </c>
      <c r="J2823" s="80">
        <f>+P2799+P2801+P2803+P2805+P2807+P2809</f>
        <v>2840000</v>
      </c>
      <c r="K2823" s="74">
        <f>+L2784</f>
        <v>17549900</v>
      </c>
      <c r="L2823" s="195">
        <f>+J2823+K2823</f>
        <v>20389900</v>
      </c>
    </row>
    <row r="2824" spans="9:15" ht="15" customHeight="1">
      <c r="I2824" s="72">
        <v>723</v>
      </c>
      <c r="J2824" s="80"/>
      <c r="K2824" s="74">
        <f>+L2785</f>
        <v>397905551</v>
      </c>
      <c r="L2824" s="195">
        <f>+J2824+K2824</f>
        <v>397905551</v>
      </c>
      <c r="N2824" s="193" t="s">
        <v>289</v>
      </c>
      <c r="O2824" s="175"/>
    </row>
    <row r="2825" spans="9:15" ht="14.25" customHeight="1" thickBot="1">
      <c r="I2825" s="164" t="s">
        <v>1077</v>
      </c>
      <c r="J2825" s="165"/>
      <c r="K2825" s="74">
        <f>+L2786</f>
        <v>797500</v>
      </c>
      <c r="L2825" s="196">
        <f>+J2825+K2825</f>
        <v>797500</v>
      </c>
      <c r="N2825" s="52"/>
    </row>
    <row r="2826" spans="9:15" ht="16.5" thickBot="1">
      <c r="I2826" s="169"/>
      <c r="J2826" s="197">
        <f>SUM(J2821:J2825)</f>
        <v>2840000</v>
      </c>
      <c r="K2826" s="197">
        <f>SUM(K2821:K2825)</f>
        <v>558223235</v>
      </c>
      <c r="L2826" s="198">
        <f>SUM(L2821:L2825)</f>
        <v>561063235</v>
      </c>
    </row>
    <row r="2827" spans="9:15" ht="16.5">
      <c r="I2827" s="49" t="s">
        <v>88</v>
      </c>
      <c r="J2827" s="50"/>
    </row>
    <row r="2828" spans="9:15">
      <c r="I2828" s="51" t="s">
        <v>89</v>
      </c>
    </row>
    <row r="2829" spans="9:15">
      <c r="I2829" s="51" t="s">
        <v>90</v>
      </c>
    </row>
    <row r="2830" spans="9:15">
      <c r="I2830" s="51" t="s">
        <v>91</v>
      </c>
    </row>
    <row r="2831" spans="9:15" ht="10.5" customHeight="1">
      <c r="I2831" s="50"/>
      <c r="J2831" s="50"/>
    </row>
    <row r="2832" spans="9:15" ht="15.75">
      <c r="I2832" s="260" t="s">
        <v>1170</v>
      </c>
      <c r="O2832" s="52"/>
    </row>
    <row r="2833" spans="9:16" ht="15.75">
      <c r="I2833" s="53" t="s">
        <v>535</v>
      </c>
      <c r="O2833" s="53"/>
    </row>
    <row r="2834" spans="9:16" ht="16.5">
      <c r="I2834" s="894" t="s">
        <v>1205</v>
      </c>
      <c r="J2834" s="894"/>
      <c r="K2834" s="894"/>
      <c r="L2834" s="894"/>
      <c r="M2834" s="894"/>
      <c r="N2834" s="894"/>
      <c r="O2834" s="894"/>
      <c r="P2834" s="894"/>
    </row>
    <row r="2835" spans="9:16" ht="12.75" customHeight="1" thickBot="1"/>
    <row r="2836" spans="9:16">
      <c r="I2836" s="895" t="s">
        <v>94</v>
      </c>
      <c r="J2836" s="897" t="s">
        <v>95</v>
      </c>
      <c r="K2836" s="897" t="s">
        <v>96</v>
      </c>
      <c r="L2836" s="897" t="s">
        <v>3</v>
      </c>
      <c r="M2836" s="897" t="s">
        <v>97</v>
      </c>
      <c r="N2836" s="897" t="s">
        <v>98</v>
      </c>
      <c r="O2836" s="897" t="s">
        <v>99</v>
      </c>
      <c r="P2836" s="899"/>
    </row>
    <row r="2837" spans="9:16" ht="15.75" thickBot="1">
      <c r="I2837" s="896"/>
      <c r="J2837" s="898"/>
      <c r="K2837" s="898"/>
      <c r="L2837" s="898"/>
      <c r="M2837" s="898"/>
      <c r="N2837" s="898"/>
      <c r="O2837" s="240" t="s">
        <v>100</v>
      </c>
      <c r="P2837" s="182" t="s">
        <v>101</v>
      </c>
    </row>
    <row r="2838" spans="9:16" ht="14.25" customHeight="1">
      <c r="I2838" s="881">
        <v>303</v>
      </c>
      <c r="J2838" s="875">
        <v>42660</v>
      </c>
      <c r="K2838" s="877" t="s">
        <v>1174</v>
      </c>
      <c r="L2838" s="879" t="s">
        <v>921</v>
      </c>
      <c r="M2838" s="881" t="s">
        <v>148</v>
      </c>
      <c r="N2838" s="883">
        <v>180000</v>
      </c>
      <c r="O2838" s="55">
        <v>722</v>
      </c>
      <c r="P2838" s="78">
        <v>180000</v>
      </c>
    </row>
    <row r="2839" spans="9:16" ht="12.75" customHeight="1" thickBot="1">
      <c r="I2839" s="882"/>
      <c r="J2839" s="876"/>
      <c r="K2839" s="878"/>
      <c r="L2839" s="880"/>
      <c r="M2839" s="882"/>
      <c r="N2839" s="884"/>
      <c r="O2839" s="56">
        <v>721</v>
      </c>
      <c r="P2839" s="351">
        <f>+N2838-P2838</f>
        <v>0</v>
      </c>
    </row>
    <row r="2840" spans="9:16">
      <c r="I2840" s="881">
        <v>304</v>
      </c>
      <c r="J2840" s="875">
        <v>42660</v>
      </c>
      <c r="K2840" s="877" t="s">
        <v>1175</v>
      </c>
      <c r="L2840" s="879" t="s">
        <v>921</v>
      </c>
      <c r="M2840" s="881" t="s">
        <v>148</v>
      </c>
      <c r="N2840" s="883">
        <v>160000</v>
      </c>
      <c r="O2840" s="55">
        <v>722</v>
      </c>
      <c r="P2840" s="78">
        <v>160000</v>
      </c>
    </row>
    <row r="2841" spans="9:16" ht="13.5" customHeight="1" thickBot="1">
      <c r="I2841" s="882"/>
      <c r="J2841" s="876"/>
      <c r="K2841" s="878"/>
      <c r="L2841" s="880"/>
      <c r="M2841" s="882"/>
      <c r="N2841" s="884"/>
      <c r="O2841" s="56">
        <v>721</v>
      </c>
      <c r="P2841" s="352">
        <f>+N2840-P2840</f>
        <v>0</v>
      </c>
    </row>
    <row r="2842" spans="9:16" ht="13.5" customHeight="1">
      <c r="I2842" s="881">
        <v>305</v>
      </c>
      <c r="J2842" s="875">
        <v>42660</v>
      </c>
      <c r="K2842" s="877" t="s">
        <v>1177</v>
      </c>
      <c r="L2842" s="879" t="s">
        <v>921</v>
      </c>
      <c r="M2842" s="881" t="s">
        <v>148</v>
      </c>
      <c r="N2842" s="883">
        <v>220000</v>
      </c>
      <c r="O2842" s="55">
        <v>722</v>
      </c>
      <c r="P2842" s="78">
        <v>220000</v>
      </c>
    </row>
    <row r="2843" spans="9:16" ht="12.75" customHeight="1" thickBot="1">
      <c r="I2843" s="882"/>
      <c r="J2843" s="876"/>
      <c r="K2843" s="878"/>
      <c r="L2843" s="880"/>
      <c r="M2843" s="882"/>
      <c r="N2843" s="884"/>
      <c r="O2843" s="56">
        <v>721</v>
      </c>
      <c r="P2843" s="352">
        <f>+N2842-P2842</f>
        <v>0</v>
      </c>
    </row>
    <row r="2844" spans="9:16">
      <c r="I2844" s="881">
        <v>306</v>
      </c>
      <c r="J2844" s="875">
        <v>42660</v>
      </c>
      <c r="K2844" s="877" t="s">
        <v>1176</v>
      </c>
      <c r="L2844" s="879" t="s">
        <v>921</v>
      </c>
      <c r="M2844" s="881" t="s">
        <v>148</v>
      </c>
      <c r="N2844" s="883">
        <v>40000</v>
      </c>
      <c r="O2844" s="55">
        <v>722</v>
      </c>
      <c r="P2844" s="78">
        <v>40000</v>
      </c>
    </row>
    <row r="2845" spans="9:16" ht="12" customHeight="1" thickBot="1">
      <c r="I2845" s="882"/>
      <c r="J2845" s="876"/>
      <c r="K2845" s="878"/>
      <c r="L2845" s="880"/>
      <c r="M2845" s="882"/>
      <c r="N2845" s="884"/>
      <c r="O2845" s="56">
        <v>721</v>
      </c>
      <c r="P2845" s="79">
        <f>+N2844-P2844</f>
        <v>0</v>
      </c>
    </row>
    <row r="2846" spans="9:16">
      <c r="I2846" s="881">
        <v>307</v>
      </c>
      <c r="J2846" s="875">
        <v>42660</v>
      </c>
      <c r="K2846" s="877" t="s">
        <v>738</v>
      </c>
      <c r="L2846" s="879" t="s">
        <v>921</v>
      </c>
      <c r="M2846" s="881" t="s">
        <v>148</v>
      </c>
      <c r="N2846" s="883">
        <v>20000</v>
      </c>
      <c r="O2846" s="55">
        <v>722</v>
      </c>
      <c r="P2846" s="78">
        <v>20000</v>
      </c>
    </row>
    <row r="2847" spans="9:16" ht="14.25" customHeight="1" thickBot="1">
      <c r="I2847" s="882"/>
      <c r="J2847" s="876"/>
      <c r="K2847" s="878"/>
      <c r="L2847" s="880"/>
      <c r="M2847" s="882"/>
      <c r="N2847" s="884"/>
      <c r="O2847" s="56">
        <v>721</v>
      </c>
      <c r="P2847" s="79">
        <f>+N2846-P2846</f>
        <v>0</v>
      </c>
    </row>
    <row r="2848" spans="9:16" ht="14.25" customHeight="1">
      <c r="I2848" s="881">
        <v>308</v>
      </c>
      <c r="J2848" s="875">
        <v>42660</v>
      </c>
      <c r="K2848" s="877" t="s">
        <v>1178</v>
      </c>
      <c r="L2848" s="879" t="s">
        <v>921</v>
      </c>
      <c r="M2848" s="881" t="s">
        <v>148</v>
      </c>
      <c r="N2848" s="883">
        <v>120000</v>
      </c>
      <c r="O2848" s="55">
        <v>722</v>
      </c>
      <c r="P2848" s="78">
        <v>120000</v>
      </c>
    </row>
    <row r="2849" spans="9:16" ht="13.5" customHeight="1" thickBot="1">
      <c r="I2849" s="882"/>
      <c r="J2849" s="876"/>
      <c r="K2849" s="878"/>
      <c r="L2849" s="880"/>
      <c r="M2849" s="882"/>
      <c r="N2849" s="884"/>
      <c r="O2849" s="56">
        <v>721</v>
      </c>
      <c r="P2849" s="79">
        <f>+N2848-P2848</f>
        <v>0</v>
      </c>
    </row>
    <row r="2850" spans="9:16" ht="16.5" thickBot="1">
      <c r="I2850" s="901" t="s">
        <v>102</v>
      </c>
      <c r="J2850" s="902"/>
      <c r="K2850" s="902"/>
      <c r="L2850" s="902"/>
      <c r="M2850" s="903"/>
      <c r="N2850" s="81">
        <f>SUM(N2838:N2849)</f>
        <v>740000</v>
      </c>
    </row>
    <row r="2851" spans="9:16" ht="16.5" thickBot="1">
      <c r="I2851" s="885" t="s">
        <v>103</v>
      </c>
      <c r="J2851" s="886"/>
      <c r="K2851" s="886"/>
      <c r="L2851" s="886"/>
      <c r="M2851" s="887"/>
      <c r="N2851" s="69">
        <f>+N2813</f>
        <v>561063235</v>
      </c>
      <c r="O2851" s="241" t="s">
        <v>561</v>
      </c>
      <c r="P2851" s="242"/>
    </row>
    <row r="2852" spans="9:16" ht="14.25" customHeight="1" thickBot="1">
      <c r="I2852" s="888" t="s">
        <v>104</v>
      </c>
      <c r="J2852" s="889"/>
      <c r="K2852" s="889"/>
      <c r="L2852" s="889"/>
      <c r="M2852" s="890"/>
      <c r="N2852" s="183">
        <f>SUM(N2850:N2851)</f>
        <v>561803235</v>
      </c>
    </row>
    <row r="2853" spans="9:16" ht="12.75" customHeight="1">
      <c r="I2853" s="61"/>
      <c r="J2853" s="61"/>
      <c r="K2853" s="61"/>
      <c r="L2853" s="61"/>
      <c r="M2853" s="61"/>
    </row>
    <row r="2854" spans="9:16">
      <c r="I2854" s="51" t="s">
        <v>1179</v>
      </c>
    </row>
    <row r="2855" spans="9:16" ht="10.5" customHeight="1">
      <c r="N2855" s="139"/>
    </row>
    <row r="2856" spans="9:16">
      <c r="I2856" s="50" t="s">
        <v>105</v>
      </c>
      <c r="L2856" s="146"/>
      <c r="N2856" s="139"/>
    </row>
    <row r="2857" spans="9:16" ht="12" customHeight="1" thickBot="1"/>
    <row r="2858" spans="9:16" ht="15.75" thickBot="1">
      <c r="I2858" s="891" t="s">
        <v>106</v>
      </c>
      <c r="J2858" s="892"/>
      <c r="K2858" s="892"/>
      <c r="L2858" s="893"/>
      <c r="N2858" s="50" t="s">
        <v>288</v>
      </c>
    </row>
    <row r="2859" spans="9:16" ht="30.75" thickBot="1">
      <c r="I2859" s="57" t="s">
        <v>100</v>
      </c>
      <c r="J2859" s="58" t="s">
        <v>108</v>
      </c>
      <c r="K2859" s="287" t="s">
        <v>109</v>
      </c>
      <c r="L2859" s="60" t="s">
        <v>110</v>
      </c>
    </row>
    <row r="2860" spans="9:16">
      <c r="I2860" s="71">
        <v>719</v>
      </c>
      <c r="J2860" s="73"/>
      <c r="K2860" s="74">
        <f>+L2821</f>
        <v>44291700</v>
      </c>
      <c r="L2860" s="195">
        <f>+J2860+K2860</f>
        <v>44291700</v>
      </c>
    </row>
    <row r="2861" spans="9:16">
      <c r="I2861" s="72">
        <v>721</v>
      </c>
      <c r="J2861" s="80">
        <f>+P2839+P2841+P2843+P2845+P2849+P2847</f>
        <v>0</v>
      </c>
      <c r="K2861" s="74">
        <f>+L2822</f>
        <v>97678584</v>
      </c>
      <c r="L2861" s="195">
        <f>+J2861+K2861</f>
        <v>97678584</v>
      </c>
    </row>
    <row r="2862" spans="9:16">
      <c r="I2862" s="72">
        <v>722</v>
      </c>
      <c r="J2862" s="80">
        <f>+P2838+P2840+P2842+P2844+P2846+P2848</f>
        <v>740000</v>
      </c>
      <c r="K2862" s="74">
        <f>+L2823</f>
        <v>20389900</v>
      </c>
      <c r="L2862" s="195">
        <f>+J2862+K2862</f>
        <v>21129900</v>
      </c>
    </row>
    <row r="2863" spans="9:16" ht="15.75">
      <c r="I2863" s="72">
        <v>723</v>
      </c>
      <c r="J2863" s="80"/>
      <c r="K2863" s="74">
        <f>+L2824</f>
        <v>397905551</v>
      </c>
      <c r="L2863" s="195">
        <f>+J2863+K2863</f>
        <v>397905551</v>
      </c>
      <c r="N2863" s="193" t="s">
        <v>289</v>
      </c>
      <c r="O2863" s="175"/>
    </row>
    <row r="2864" spans="9:16" ht="16.5" thickBot="1">
      <c r="I2864" s="164" t="s">
        <v>1077</v>
      </c>
      <c r="J2864" s="165"/>
      <c r="K2864" s="74">
        <f>+L2825</f>
        <v>797500</v>
      </c>
      <c r="L2864" s="196">
        <f>+J2864+K2864</f>
        <v>797500</v>
      </c>
      <c r="N2864" s="52"/>
    </row>
    <row r="2865" spans="9:16" ht="16.5" thickBot="1">
      <c r="I2865" s="169"/>
      <c r="J2865" s="197">
        <f>SUM(J2860:J2864)</f>
        <v>740000</v>
      </c>
      <c r="K2865" s="197">
        <f>SUM(K2860:K2864)</f>
        <v>561063235</v>
      </c>
      <c r="L2865" s="198">
        <f>SUM(L2860:L2864)</f>
        <v>561803235</v>
      </c>
    </row>
    <row r="2866" spans="9:16" ht="16.5">
      <c r="I2866" s="49" t="s">
        <v>88</v>
      </c>
      <c r="J2866" s="50"/>
    </row>
    <row r="2867" spans="9:16">
      <c r="I2867" s="51" t="s">
        <v>89</v>
      </c>
    </row>
    <row r="2868" spans="9:16">
      <c r="I2868" s="51" t="s">
        <v>90</v>
      </c>
    </row>
    <row r="2869" spans="9:16">
      <c r="I2869" s="51" t="s">
        <v>91</v>
      </c>
    </row>
    <row r="2870" spans="9:16" ht="9.75" customHeight="1">
      <c r="I2870" s="50"/>
      <c r="J2870" s="50"/>
    </row>
    <row r="2871" spans="9:16" ht="15.75">
      <c r="I2871" s="260" t="s">
        <v>1186</v>
      </c>
      <c r="O2871" s="52"/>
    </row>
    <row r="2872" spans="9:16" ht="15.75">
      <c r="I2872" s="53" t="s">
        <v>535</v>
      </c>
      <c r="O2872" s="53"/>
    </row>
    <row r="2873" spans="9:16" ht="16.5">
      <c r="I2873" s="894" t="s">
        <v>1190</v>
      </c>
      <c r="J2873" s="894"/>
      <c r="K2873" s="894"/>
      <c r="L2873" s="894"/>
      <c r="M2873" s="894"/>
      <c r="N2873" s="894"/>
      <c r="O2873" s="894"/>
      <c r="P2873" s="894"/>
    </row>
    <row r="2874" spans="9:16" ht="15.75" thickBot="1"/>
    <row r="2875" spans="9:16">
      <c r="I2875" s="895" t="s">
        <v>94</v>
      </c>
      <c r="J2875" s="897" t="s">
        <v>95</v>
      </c>
      <c r="K2875" s="897" t="s">
        <v>96</v>
      </c>
      <c r="L2875" s="897" t="s">
        <v>3</v>
      </c>
      <c r="M2875" s="897" t="s">
        <v>97</v>
      </c>
      <c r="N2875" s="897" t="s">
        <v>98</v>
      </c>
      <c r="O2875" s="897" t="s">
        <v>99</v>
      </c>
      <c r="P2875" s="899"/>
    </row>
    <row r="2876" spans="9:16" ht="15.75" thickBot="1">
      <c r="I2876" s="896"/>
      <c r="J2876" s="898"/>
      <c r="K2876" s="898"/>
      <c r="L2876" s="898"/>
      <c r="M2876" s="898"/>
      <c r="N2876" s="898"/>
      <c r="O2876" s="240" t="s">
        <v>100</v>
      </c>
      <c r="P2876" s="182" t="s">
        <v>101</v>
      </c>
    </row>
    <row r="2877" spans="9:16">
      <c r="I2877" s="881">
        <v>309</v>
      </c>
      <c r="J2877" s="875">
        <v>42674</v>
      </c>
      <c r="K2877" s="877" t="s">
        <v>738</v>
      </c>
      <c r="L2877" s="879" t="s">
        <v>1184</v>
      </c>
      <c r="M2877" s="881" t="s">
        <v>148</v>
      </c>
      <c r="N2877" s="883">
        <v>2672700</v>
      </c>
      <c r="O2877" s="55">
        <v>722</v>
      </c>
      <c r="P2877" s="78">
        <v>0</v>
      </c>
    </row>
    <row r="2878" spans="9:16" ht="15.75" thickBot="1">
      <c r="I2878" s="882"/>
      <c r="J2878" s="876"/>
      <c r="K2878" s="878"/>
      <c r="L2878" s="880"/>
      <c r="M2878" s="882"/>
      <c r="N2878" s="884"/>
      <c r="O2878" s="56">
        <v>721</v>
      </c>
      <c r="P2878" s="351">
        <f>+N2877-P2877</f>
        <v>2672700</v>
      </c>
    </row>
    <row r="2879" spans="9:16" ht="15" customHeight="1">
      <c r="I2879" s="881">
        <v>310</v>
      </c>
      <c r="J2879" s="875">
        <v>42674</v>
      </c>
      <c r="K2879" s="877" t="s">
        <v>738</v>
      </c>
      <c r="L2879" s="879" t="s">
        <v>1185</v>
      </c>
      <c r="M2879" s="881" t="s">
        <v>148</v>
      </c>
      <c r="N2879" s="883">
        <v>28216212</v>
      </c>
      <c r="O2879" s="55">
        <v>722</v>
      </c>
      <c r="P2879" s="78"/>
    </row>
    <row r="2880" spans="9:16" ht="15.75" customHeight="1" thickBot="1">
      <c r="I2880" s="882"/>
      <c r="J2880" s="876"/>
      <c r="K2880" s="878"/>
      <c r="L2880" s="880"/>
      <c r="M2880" s="882"/>
      <c r="N2880" s="884"/>
      <c r="O2880" s="56">
        <v>721</v>
      </c>
      <c r="P2880" s="352">
        <f>+N2879-P2879</f>
        <v>28216212</v>
      </c>
    </row>
    <row r="2881" spans="9:16" ht="15" customHeight="1">
      <c r="I2881" s="881">
        <v>311</v>
      </c>
      <c r="J2881" s="875">
        <v>42674</v>
      </c>
      <c r="K2881" s="877" t="s">
        <v>738</v>
      </c>
      <c r="L2881" s="879" t="s">
        <v>1187</v>
      </c>
      <c r="M2881" s="881" t="s">
        <v>148</v>
      </c>
      <c r="N2881" s="883">
        <v>16677173</v>
      </c>
      <c r="O2881" s="55">
        <v>722</v>
      </c>
      <c r="P2881" s="78"/>
    </row>
    <row r="2882" spans="9:16" ht="15.75" customHeight="1" thickBot="1">
      <c r="I2882" s="882"/>
      <c r="J2882" s="876"/>
      <c r="K2882" s="878"/>
      <c r="L2882" s="880"/>
      <c r="M2882" s="882"/>
      <c r="N2882" s="884"/>
      <c r="O2882" s="56">
        <v>721</v>
      </c>
      <c r="P2882" s="352">
        <f>+N2881-P2881</f>
        <v>16677173</v>
      </c>
    </row>
    <row r="2883" spans="9:16" ht="15" customHeight="1">
      <c r="I2883" s="881">
        <v>312</v>
      </c>
      <c r="J2883" s="875">
        <v>42675</v>
      </c>
      <c r="K2883" s="877" t="s">
        <v>738</v>
      </c>
      <c r="L2883" s="879" t="s">
        <v>1188</v>
      </c>
      <c r="M2883" s="881" t="s">
        <v>148</v>
      </c>
      <c r="N2883" s="883">
        <v>24662327</v>
      </c>
      <c r="O2883" s="55">
        <v>722</v>
      </c>
      <c r="P2883" s="78"/>
    </row>
    <row r="2884" spans="9:16" ht="13.5" customHeight="1" thickBot="1">
      <c r="I2884" s="882"/>
      <c r="J2884" s="876"/>
      <c r="K2884" s="878"/>
      <c r="L2884" s="880"/>
      <c r="M2884" s="882"/>
      <c r="N2884" s="884"/>
      <c r="O2884" s="56">
        <v>721</v>
      </c>
      <c r="P2884" s="79">
        <f>+N2883-P2883</f>
        <v>24662327</v>
      </c>
    </row>
    <row r="2885" spans="9:16">
      <c r="I2885" s="881"/>
      <c r="J2885" s="875"/>
      <c r="K2885" s="877"/>
      <c r="L2885" s="879"/>
      <c r="M2885" s="881"/>
      <c r="N2885" s="883"/>
      <c r="O2885" s="55">
        <v>722</v>
      </c>
      <c r="P2885" s="78"/>
    </row>
    <row r="2886" spans="9:16" ht="13.5" customHeight="1" thickBot="1">
      <c r="I2886" s="882"/>
      <c r="J2886" s="876"/>
      <c r="K2886" s="878"/>
      <c r="L2886" s="880"/>
      <c r="M2886" s="882"/>
      <c r="N2886" s="884"/>
      <c r="O2886" s="56">
        <v>721</v>
      </c>
      <c r="P2886" s="79">
        <f>+N2885-P2885</f>
        <v>0</v>
      </c>
    </row>
    <row r="2887" spans="9:16" ht="16.5" thickBot="1">
      <c r="I2887" s="901" t="s">
        <v>102</v>
      </c>
      <c r="J2887" s="902"/>
      <c r="K2887" s="902"/>
      <c r="L2887" s="902"/>
      <c r="M2887" s="903"/>
      <c r="N2887" s="81">
        <f>SUM(N2877:N2886)</f>
        <v>72228412</v>
      </c>
    </row>
    <row r="2888" spans="9:16" ht="16.5" thickBot="1">
      <c r="I2888" s="885" t="s">
        <v>103</v>
      </c>
      <c r="J2888" s="886"/>
      <c r="K2888" s="886"/>
      <c r="L2888" s="886"/>
      <c r="M2888" s="887"/>
      <c r="N2888" s="69">
        <f>+N2852</f>
        <v>561803235</v>
      </c>
      <c r="O2888" s="241" t="s">
        <v>561</v>
      </c>
      <c r="P2888" s="242"/>
    </row>
    <row r="2889" spans="9:16" ht="16.5" thickBot="1">
      <c r="I2889" s="888" t="s">
        <v>104</v>
      </c>
      <c r="J2889" s="889"/>
      <c r="K2889" s="889"/>
      <c r="L2889" s="889"/>
      <c r="M2889" s="890"/>
      <c r="N2889" s="183">
        <f>SUM(N2887:N2888)</f>
        <v>634031647</v>
      </c>
    </row>
    <row r="2890" spans="9:16">
      <c r="I2890" s="61"/>
      <c r="J2890" s="61"/>
      <c r="K2890" s="61"/>
      <c r="L2890" s="61"/>
      <c r="M2890" s="61"/>
    </row>
    <row r="2891" spans="9:16">
      <c r="I2891" s="51" t="s">
        <v>1189</v>
      </c>
    </row>
    <row r="2892" spans="9:16">
      <c r="N2892" s="139"/>
    </row>
    <row r="2893" spans="9:16">
      <c r="I2893" s="50" t="s">
        <v>105</v>
      </c>
      <c r="L2893" s="146"/>
      <c r="N2893" s="139"/>
    </row>
    <row r="2894" spans="9:16" ht="13.5" customHeight="1" thickBot="1"/>
    <row r="2895" spans="9:16" ht="15.75" thickBot="1">
      <c r="I2895" s="891" t="s">
        <v>106</v>
      </c>
      <c r="J2895" s="892"/>
      <c r="K2895" s="892"/>
      <c r="L2895" s="893"/>
      <c r="N2895" s="50" t="s">
        <v>1126</v>
      </c>
    </row>
    <row r="2896" spans="9:16" ht="30.75" thickBot="1">
      <c r="I2896" s="57" t="s">
        <v>100</v>
      </c>
      <c r="J2896" s="58" t="s">
        <v>108</v>
      </c>
      <c r="K2896" s="287" t="s">
        <v>109</v>
      </c>
      <c r="L2896" s="60" t="s">
        <v>110</v>
      </c>
    </row>
    <row r="2897" spans="9:16">
      <c r="I2897" s="71">
        <v>719</v>
      </c>
      <c r="J2897" s="73"/>
      <c r="K2897" s="74">
        <f>+L2860</f>
        <v>44291700</v>
      </c>
      <c r="L2897" s="195">
        <f>+J2897+K2897</f>
        <v>44291700</v>
      </c>
    </row>
    <row r="2898" spans="9:16">
      <c r="I2898" s="72">
        <v>721</v>
      </c>
      <c r="J2898" s="80">
        <f>+P2878+P2880+P2882+P2884+P2886</f>
        <v>72228412</v>
      </c>
      <c r="K2898" s="74">
        <f>+L2861</f>
        <v>97678584</v>
      </c>
      <c r="L2898" s="195">
        <f>+J2898+K2898</f>
        <v>169906996</v>
      </c>
    </row>
    <row r="2899" spans="9:16">
      <c r="I2899" s="72">
        <v>722</v>
      </c>
      <c r="J2899" s="80">
        <f>+P2877+P2879+P2881+P2883+P2885</f>
        <v>0</v>
      </c>
      <c r="K2899" s="74">
        <f>+L2862</f>
        <v>21129900</v>
      </c>
      <c r="L2899" s="195">
        <f>+J2899+K2899</f>
        <v>21129900</v>
      </c>
    </row>
    <row r="2900" spans="9:16" ht="15.75">
      <c r="I2900" s="72">
        <v>723</v>
      </c>
      <c r="J2900" s="80"/>
      <c r="K2900" s="74">
        <f>+L2863</f>
        <v>397905551</v>
      </c>
      <c r="L2900" s="195">
        <f>+J2900+K2900</f>
        <v>397905551</v>
      </c>
      <c r="N2900" s="193" t="s">
        <v>1028</v>
      </c>
      <c r="O2900" s="175"/>
    </row>
    <row r="2901" spans="9:16" ht="16.5" thickBot="1">
      <c r="I2901" s="164" t="s">
        <v>1077</v>
      </c>
      <c r="J2901" s="165"/>
      <c r="K2901" s="74">
        <f>+L2864</f>
        <v>797500</v>
      </c>
      <c r="L2901" s="196">
        <f>+J2901+K2901</f>
        <v>797500</v>
      </c>
      <c r="N2901" s="52"/>
    </row>
    <row r="2902" spans="9:16" ht="16.5" thickBot="1">
      <c r="I2902" s="169"/>
      <c r="J2902" s="197">
        <f>SUM(J2897:J2901)</f>
        <v>72228412</v>
      </c>
      <c r="K2902" s="197">
        <f>SUM(K2897:K2901)</f>
        <v>561803235</v>
      </c>
      <c r="L2902" s="198">
        <f>SUM(L2897:L2901)</f>
        <v>634031647</v>
      </c>
    </row>
    <row r="2903" spans="9:16" ht="16.5">
      <c r="I2903" s="49" t="s">
        <v>88</v>
      </c>
      <c r="J2903" s="50"/>
    </row>
    <row r="2904" spans="9:16">
      <c r="I2904" s="51" t="s">
        <v>89</v>
      </c>
    </row>
    <row r="2905" spans="9:16">
      <c r="I2905" s="51" t="s">
        <v>90</v>
      </c>
    </row>
    <row r="2906" spans="9:16">
      <c r="I2906" s="51" t="s">
        <v>91</v>
      </c>
    </row>
    <row r="2907" spans="9:16" ht="10.5" customHeight="1">
      <c r="I2907" s="50"/>
      <c r="J2907" s="50"/>
    </row>
    <row r="2908" spans="9:16" ht="15.75">
      <c r="I2908" s="260" t="s">
        <v>1191</v>
      </c>
      <c r="O2908" s="52"/>
    </row>
    <row r="2909" spans="9:16" ht="15.75">
      <c r="I2909" s="53" t="s">
        <v>535</v>
      </c>
      <c r="O2909" s="53"/>
    </row>
    <row r="2910" spans="9:16" ht="16.5">
      <c r="I2910" s="894" t="s">
        <v>909</v>
      </c>
      <c r="J2910" s="894"/>
      <c r="K2910" s="894"/>
      <c r="L2910" s="894"/>
      <c r="M2910" s="894"/>
      <c r="N2910" s="894"/>
      <c r="O2910" s="894"/>
      <c r="P2910" s="894"/>
    </row>
    <row r="2911" spans="9:16" ht="15.75" thickBot="1"/>
    <row r="2912" spans="9:16">
      <c r="I2912" s="895" t="s">
        <v>94</v>
      </c>
      <c r="J2912" s="897" t="s">
        <v>95</v>
      </c>
      <c r="K2912" s="897" t="s">
        <v>96</v>
      </c>
      <c r="L2912" s="897" t="s">
        <v>3</v>
      </c>
      <c r="M2912" s="897" t="s">
        <v>97</v>
      </c>
      <c r="N2912" s="897" t="s">
        <v>98</v>
      </c>
      <c r="O2912" s="897" t="s">
        <v>99</v>
      </c>
      <c r="P2912" s="899"/>
    </row>
    <row r="2913" spans="9:16" ht="15.75" thickBot="1">
      <c r="I2913" s="896"/>
      <c r="J2913" s="898"/>
      <c r="K2913" s="898"/>
      <c r="L2913" s="898"/>
      <c r="M2913" s="898"/>
      <c r="N2913" s="898"/>
      <c r="O2913" s="240" t="s">
        <v>100</v>
      </c>
      <c r="P2913" s="182" t="s">
        <v>101</v>
      </c>
    </row>
    <row r="2914" spans="9:16">
      <c r="I2914" s="881">
        <v>313</v>
      </c>
      <c r="J2914" s="875">
        <v>42657</v>
      </c>
      <c r="K2914" s="877" t="s">
        <v>1014</v>
      </c>
      <c r="L2914" s="879" t="s">
        <v>1192</v>
      </c>
      <c r="M2914" s="881" t="s">
        <v>115</v>
      </c>
      <c r="N2914" s="883">
        <v>70000</v>
      </c>
      <c r="O2914" s="55">
        <v>719</v>
      </c>
      <c r="P2914" s="78">
        <v>70000</v>
      </c>
    </row>
    <row r="2915" spans="9:16" ht="15.75" thickBot="1">
      <c r="I2915" s="882"/>
      <c r="J2915" s="876"/>
      <c r="K2915" s="878"/>
      <c r="L2915" s="880"/>
      <c r="M2915" s="882"/>
      <c r="N2915" s="884"/>
      <c r="O2915" s="56">
        <v>721</v>
      </c>
      <c r="P2915" s="79">
        <f>+N2914-P2914</f>
        <v>0</v>
      </c>
    </row>
    <row r="2916" spans="9:16">
      <c r="I2916" s="881">
        <v>314</v>
      </c>
      <c r="J2916" s="875">
        <v>42657</v>
      </c>
      <c r="K2916" s="877" t="s">
        <v>28</v>
      </c>
      <c r="L2916" s="879" t="s">
        <v>1193</v>
      </c>
      <c r="M2916" s="881" t="s">
        <v>115</v>
      </c>
      <c r="N2916" s="883">
        <v>30000</v>
      </c>
      <c r="O2916" s="55">
        <v>719</v>
      </c>
      <c r="P2916" s="78">
        <v>30000</v>
      </c>
    </row>
    <row r="2917" spans="9:16" ht="15.75" thickBot="1">
      <c r="I2917" s="882"/>
      <c r="J2917" s="876"/>
      <c r="K2917" s="878"/>
      <c r="L2917" s="880"/>
      <c r="M2917" s="882"/>
      <c r="N2917" s="884"/>
      <c r="O2917" s="56">
        <v>721</v>
      </c>
      <c r="P2917" s="79">
        <f>+N2916-P2916</f>
        <v>0</v>
      </c>
    </row>
    <row r="2918" spans="9:16">
      <c r="I2918" s="881">
        <v>315</v>
      </c>
      <c r="J2918" s="875">
        <v>42657</v>
      </c>
      <c r="K2918" s="877" t="s">
        <v>120</v>
      </c>
      <c r="L2918" s="879" t="s">
        <v>1165</v>
      </c>
      <c r="M2918" s="881" t="s">
        <v>115</v>
      </c>
      <c r="N2918" s="883">
        <v>50000</v>
      </c>
      <c r="O2918" s="55">
        <v>719</v>
      </c>
      <c r="P2918" s="78">
        <v>50000</v>
      </c>
    </row>
    <row r="2919" spans="9:16" ht="15.75" thickBot="1">
      <c r="I2919" s="882"/>
      <c r="J2919" s="876"/>
      <c r="K2919" s="878"/>
      <c r="L2919" s="880"/>
      <c r="M2919" s="882"/>
      <c r="N2919" s="884"/>
      <c r="O2919" s="56">
        <v>721</v>
      </c>
      <c r="P2919" s="79">
        <f>+N2918-P2918</f>
        <v>0</v>
      </c>
    </row>
    <row r="2920" spans="9:16">
      <c r="I2920" s="881"/>
      <c r="J2920" s="875"/>
      <c r="K2920" s="877"/>
      <c r="L2920" s="879"/>
      <c r="M2920" s="881"/>
      <c r="N2920" s="883"/>
      <c r="O2920" s="55">
        <v>719</v>
      </c>
      <c r="P2920" s="78">
        <v>0</v>
      </c>
    </row>
    <row r="2921" spans="9:16" ht="14.25" customHeight="1" thickBot="1">
      <c r="I2921" s="882"/>
      <c r="J2921" s="876"/>
      <c r="K2921" s="878"/>
      <c r="L2921" s="880"/>
      <c r="M2921" s="882"/>
      <c r="N2921" s="884"/>
      <c r="O2921" s="56">
        <v>721</v>
      </c>
      <c r="P2921" s="79">
        <f>+N2920-P2920</f>
        <v>0</v>
      </c>
    </row>
    <row r="2922" spans="9:16" ht="13.5" customHeight="1">
      <c r="I2922" s="881"/>
      <c r="J2922" s="875"/>
      <c r="K2922" s="877"/>
      <c r="L2922" s="879"/>
      <c r="M2922" s="881"/>
      <c r="N2922" s="883"/>
      <c r="O2922" s="55">
        <v>719</v>
      </c>
      <c r="P2922" s="78"/>
    </row>
    <row r="2923" spans="9:16" ht="12.75" customHeight="1" thickBot="1">
      <c r="I2923" s="882"/>
      <c r="J2923" s="876"/>
      <c r="K2923" s="878"/>
      <c r="L2923" s="880"/>
      <c r="M2923" s="882"/>
      <c r="N2923" s="884"/>
      <c r="O2923" s="56">
        <v>721</v>
      </c>
      <c r="P2923" s="79">
        <f>+N2922-P2922</f>
        <v>0</v>
      </c>
    </row>
    <row r="2924" spans="9:16" ht="16.5" thickBot="1">
      <c r="I2924" s="901" t="s">
        <v>102</v>
      </c>
      <c r="J2924" s="902"/>
      <c r="K2924" s="902"/>
      <c r="L2924" s="902"/>
      <c r="M2924" s="903"/>
      <c r="N2924" s="81">
        <f>SUM(N2914:N2923)</f>
        <v>150000</v>
      </c>
    </row>
    <row r="2925" spans="9:16" ht="16.5" thickBot="1">
      <c r="I2925" s="885" t="s">
        <v>103</v>
      </c>
      <c r="J2925" s="886"/>
      <c r="K2925" s="886"/>
      <c r="L2925" s="886"/>
      <c r="M2925" s="887"/>
      <c r="N2925" s="69">
        <f>+N2889</f>
        <v>634031647</v>
      </c>
      <c r="O2925" s="241" t="s">
        <v>561</v>
      </c>
      <c r="P2925" s="242">
        <f>76+80+291</f>
        <v>447</v>
      </c>
    </row>
    <row r="2926" spans="9:16" ht="16.5" thickBot="1">
      <c r="I2926" s="888" t="s">
        <v>104</v>
      </c>
      <c r="J2926" s="889"/>
      <c r="K2926" s="889"/>
      <c r="L2926" s="889"/>
      <c r="M2926" s="890"/>
      <c r="N2926" s="183">
        <f>SUM(N2924:N2925)</f>
        <v>634181647</v>
      </c>
    </row>
    <row r="2927" spans="9:16">
      <c r="I2927" s="61"/>
      <c r="J2927" s="61"/>
      <c r="K2927" s="61"/>
      <c r="L2927" s="61"/>
      <c r="M2927" s="61"/>
    </row>
    <row r="2928" spans="9:16">
      <c r="I2928" s="51" t="s">
        <v>1194</v>
      </c>
    </row>
    <row r="2929" spans="9:15">
      <c r="N2929" s="139"/>
    </row>
    <row r="2930" spans="9:15">
      <c r="I2930" s="50" t="s">
        <v>105</v>
      </c>
      <c r="L2930" s="146"/>
      <c r="N2930" s="139"/>
    </row>
    <row r="2931" spans="9:15" ht="12.75" customHeight="1" thickBot="1"/>
    <row r="2932" spans="9:15" ht="15.75" thickBot="1">
      <c r="I2932" s="891" t="s">
        <v>106</v>
      </c>
      <c r="J2932" s="892"/>
      <c r="K2932" s="892"/>
      <c r="L2932" s="893"/>
      <c r="N2932" s="50" t="s">
        <v>1126</v>
      </c>
    </row>
    <row r="2933" spans="9:15" ht="30.75" thickBot="1">
      <c r="I2933" s="57" t="s">
        <v>100</v>
      </c>
      <c r="J2933" s="58" t="s">
        <v>108</v>
      </c>
      <c r="K2933" s="287" t="s">
        <v>109</v>
      </c>
      <c r="L2933" s="60" t="s">
        <v>110</v>
      </c>
    </row>
    <row r="2934" spans="9:15">
      <c r="I2934" s="71">
        <v>719</v>
      </c>
      <c r="J2934" s="73">
        <f>+P2914+P2916+P2918+P2920</f>
        <v>150000</v>
      </c>
      <c r="K2934" s="74">
        <f>+L2897</f>
        <v>44291700</v>
      </c>
      <c r="L2934" s="195">
        <f>+J2934+K2934</f>
        <v>44441700</v>
      </c>
    </row>
    <row r="2935" spans="9:15">
      <c r="I2935" s="72">
        <v>721</v>
      </c>
      <c r="J2935" s="80">
        <f>+P2915+P2917+P2919+P2921+P2923</f>
        <v>0</v>
      </c>
      <c r="K2935" s="74">
        <f>+L2898</f>
        <v>169906996</v>
      </c>
      <c r="L2935" s="195">
        <f>+J2935+K2935</f>
        <v>169906996</v>
      </c>
    </row>
    <row r="2936" spans="9:15">
      <c r="I2936" s="72">
        <v>722</v>
      </c>
      <c r="J2936" s="80"/>
      <c r="K2936" s="74">
        <f>+L2899</f>
        <v>21129900</v>
      </c>
      <c r="L2936" s="195">
        <f>+J2936+K2936</f>
        <v>21129900</v>
      </c>
    </row>
    <row r="2937" spans="9:15" ht="15.75">
      <c r="I2937" s="72">
        <v>723</v>
      </c>
      <c r="J2937" s="80"/>
      <c r="K2937" s="74">
        <f>+L2900</f>
        <v>397905551</v>
      </c>
      <c r="L2937" s="195">
        <f>+J2937+K2937</f>
        <v>397905551</v>
      </c>
      <c r="N2937" s="193" t="s">
        <v>1028</v>
      </c>
      <c r="O2937" s="175"/>
    </row>
    <row r="2938" spans="9:15" ht="16.5" thickBot="1">
      <c r="I2938" s="164" t="s">
        <v>1077</v>
      </c>
      <c r="J2938" s="165"/>
      <c r="K2938" s="74">
        <f>+L2901</f>
        <v>797500</v>
      </c>
      <c r="L2938" s="196">
        <f>+J2938+K2938</f>
        <v>797500</v>
      </c>
      <c r="N2938" s="52"/>
    </row>
    <row r="2939" spans="9:15" ht="16.5" thickBot="1">
      <c r="I2939" s="169"/>
      <c r="J2939" s="197">
        <f>SUM(J2934:J2938)</f>
        <v>150000</v>
      </c>
      <c r="K2939" s="197">
        <f>SUM(K2934:K2938)</f>
        <v>634031647</v>
      </c>
      <c r="L2939" s="198">
        <f>SUM(L2934:L2938)</f>
        <v>634181647</v>
      </c>
    </row>
    <row r="2940" spans="9:15" ht="16.5">
      <c r="I2940" s="49" t="s">
        <v>88</v>
      </c>
      <c r="J2940" s="50"/>
    </row>
    <row r="2941" spans="9:15">
      <c r="I2941" s="51" t="s">
        <v>89</v>
      </c>
    </row>
    <row r="2942" spans="9:15">
      <c r="I2942" s="51" t="s">
        <v>90</v>
      </c>
    </row>
    <row r="2943" spans="9:15">
      <c r="I2943" s="51" t="s">
        <v>91</v>
      </c>
    </row>
    <row r="2944" spans="9:15" ht="9.75" customHeight="1">
      <c r="I2944" s="50"/>
      <c r="J2944" s="50"/>
    </row>
    <row r="2945" spans="9:16" ht="15.75">
      <c r="I2945" s="260" t="s">
        <v>1197</v>
      </c>
      <c r="O2945" s="52"/>
    </row>
    <row r="2946" spans="9:16" ht="15.75">
      <c r="I2946" s="53" t="s">
        <v>535</v>
      </c>
      <c r="O2946" s="53"/>
    </row>
    <row r="2947" spans="9:16" ht="16.5">
      <c r="I2947" s="894" t="s">
        <v>909</v>
      </c>
      <c r="J2947" s="894"/>
      <c r="K2947" s="894"/>
      <c r="L2947" s="894"/>
      <c r="M2947" s="894"/>
      <c r="N2947" s="894"/>
      <c r="O2947" s="894"/>
      <c r="P2947" s="894"/>
    </row>
    <row r="2948" spans="9:16" ht="15.75" thickBot="1"/>
    <row r="2949" spans="9:16">
      <c r="I2949" s="895" t="s">
        <v>94</v>
      </c>
      <c r="J2949" s="897" t="s">
        <v>95</v>
      </c>
      <c r="K2949" s="897" t="s">
        <v>96</v>
      </c>
      <c r="L2949" s="897" t="s">
        <v>3</v>
      </c>
      <c r="M2949" s="897" t="s">
        <v>97</v>
      </c>
      <c r="N2949" s="897" t="s">
        <v>98</v>
      </c>
      <c r="O2949" s="897" t="s">
        <v>99</v>
      </c>
      <c r="P2949" s="899"/>
    </row>
    <row r="2950" spans="9:16" ht="15.75" thickBot="1">
      <c r="I2950" s="896"/>
      <c r="J2950" s="898"/>
      <c r="K2950" s="898"/>
      <c r="L2950" s="898"/>
      <c r="M2950" s="898"/>
      <c r="N2950" s="898"/>
      <c r="O2950" s="240" t="s">
        <v>100</v>
      </c>
      <c r="P2950" s="182" t="s">
        <v>101</v>
      </c>
    </row>
    <row r="2951" spans="9:16">
      <c r="I2951" s="881">
        <v>316</v>
      </c>
      <c r="J2951" s="875">
        <v>42684</v>
      </c>
      <c r="K2951" s="877" t="s">
        <v>267</v>
      </c>
      <c r="L2951" s="879" t="s">
        <v>1195</v>
      </c>
      <c r="M2951" s="881" t="s">
        <v>148</v>
      </c>
      <c r="N2951" s="883">
        <v>130000</v>
      </c>
      <c r="O2951" s="55">
        <v>719</v>
      </c>
      <c r="P2951" s="78">
        <v>100000</v>
      </c>
    </row>
    <row r="2952" spans="9:16" ht="15.75" thickBot="1">
      <c r="I2952" s="882"/>
      <c r="J2952" s="876"/>
      <c r="K2952" s="878"/>
      <c r="L2952" s="880"/>
      <c r="M2952" s="882"/>
      <c r="N2952" s="884"/>
      <c r="O2952" s="56">
        <v>721</v>
      </c>
      <c r="P2952" s="79">
        <f>+N2951-P2951</f>
        <v>30000</v>
      </c>
    </row>
    <row r="2953" spans="9:16" ht="15" customHeight="1">
      <c r="I2953" s="881">
        <v>317</v>
      </c>
      <c r="J2953" s="875">
        <v>42684</v>
      </c>
      <c r="K2953" s="877" t="s">
        <v>28</v>
      </c>
      <c r="L2953" s="879" t="s">
        <v>1196</v>
      </c>
      <c r="M2953" s="881" t="s">
        <v>148</v>
      </c>
      <c r="N2953" s="883">
        <v>559000</v>
      </c>
      <c r="O2953" s="55">
        <v>719</v>
      </c>
      <c r="P2953" s="78">
        <v>430000</v>
      </c>
    </row>
    <row r="2954" spans="9:16" ht="15.75" customHeight="1" thickBot="1">
      <c r="I2954" s="882"/>
      <c r="J2954" s="876"/>
      <c r="K2954" s="878"/>
      <c r="L2954" s="880"/>
      <c r="M2954" s="882"/>
      <c r="N2954" s="884"/>
      <c r="O2954" s="56">
        <v>721</v>
      </c>
      <c r="P2954" s="79">
        <f>+N2953-P2953</f>
        <v>129000</v>
      </c>
    </row>
    <row r="2955" spans="9:16" ht="15" customHeight="1">
      <c r="I2955" s="881">
        <v>318</v>
      </c>
      <c r="J2955" s="875">
        <v>42684</v>
      </c>
      <c r="K2955" s="877" t="s">
        <v>111</v>
      </c>
      <c r="L2955" s="879" t="s">
        <v>1198</v>
      </c>
      <c r="M2955" s="881" t="s">
        <v>148</v>
      </c>
      <c r="N2955" s="883">
        <v>104000</v>
      </c>
      <c r="O2955" s="55">
        <v>719</v>
      </c>
      <c r="P2955" s="78">
        <v>80000</v>
      </c>
    </row>
    <row r="2956" spans="9:16" ht="15.75" customHeight="1" thickBot="1">
      <c r="I2956" s="882"/>
      <c r="J2956" s="876"/>
      <c r="K2956" s="878"/>
      <c r="L2956" s="880"/>
      <c r="M2956" s="882"/>
      <c r="N2956" s="884"/>
      <c r="O2956" s="56">
        <v>721</v>
      </c>
      <c r="P2956" s="79">
        <f>+N2955-P2955</f>
        <v>24000</v>
      </c>
    </row>
    <row r="2957" spans="9:16" ht="15" customHeight="1">
      <c r="I2957" s="881">
        <v>319</v>
      </c>
      <c r="J2957" s="875">
        <v>42684</v>
      </c>
      <c r="K2957" s="877" t="s">
        <v>1014</v>
      </c>
      <c r="L2957" s="879" t="s">
        <v>1196</v>
      </c>
      <c r="M2957" s="881" t="s">
        <v>148</v>
      </c>
      <c r="N2957" s="883">
        <v>1105000</v>
      </c>
      <c r="O2957" s="55">
        <v>719</v>
      </c>
      <c r="P2957" s="78">
        <v>850000</v>
      </c>
    </row>
    <row r="2958" spans="9:16" ht="15.75" customHeight="1" thickBot="1">
      <c r="I2958" s="882"/>
      <c r="J2958" s="876"/>
      <c r="K2958" s="878"/>
      <c r="L2958" s="880"/>
      <c r="M2958" s="882"/>
      <c r="N2958" s="884"/>
      <c r="O2958" s="56">
        <v>721</v>
      </c>
      <c r="P2958" s="79">
        <f>+N2957-P2957</f>
        <v>255000</v>
      </c>
    </row>
    <row r="2959" spans="9:16">
      <c r="I2959" s="881"/>
      <c r="J2959" s="875"/>
      <c r="K2959" s="877"/>
      <c r="L2959" s="879"/>
      <c r="M2959" s="881"/>
      <c r="N2959" s="883"/>
      <c r="O2959" s="55">
        <v>719</v>
      </c>
      <c r="P2959" s="78"/>
    </row>
    <row r="2960" spans="9:16" ht="15.75" thickBot="1">
      <c r="I2960" s="882"/>
      <c r="J2960" s="876"/>
      <c r="K2960" s="878"/>
      <c r="L2960" s="880"/>
      <c r="M2960" s="882"/>
      <c r="N2960" s="884"/>
      <c r="O2960" s="56">
        <v>721</v>
      </c>
      <c r="P2960" s="79">
        <f>+N2959-P2959</f>
        <v>0</v>
      </c>
    </row>
    <row r="2961" spans="9:16" ht="16.5" thickBot="1">
      <c r="I2961" s="901" t="s">
        <v>102</v>
      </c>
      <c r="J2961" s="902"/>
      <c r="K2961" s="902"/>
      <c r="L2961" s="902"/>
      <c r="M2961" s="903"/>
      <c r="N2961" s="81">
        <f>SUM(N2951:N2960)</f>
        <v>1898000</v>
      </c>
    </row>
    <row r="2962" spans="9:16" ht="16.5" thickBot="1">
      <c r="I2962" s="885" t="s">
        <v>103</v>
      </c>
      <c r="J2962" s="886"/>
      <c r="K2962" s="886"/>
      <c r="L2962" s="886"/>
      <c r="M2962" s="887"/>
      <c r="N2962" s="69">
        <f>+N2926</f>
        <v>634181647</v>
      </c>
      <c r="O2962" s="241" t="s">
        <v>561</v>
      </c>
      <c r="P2962" s="242">
        <f>1061+35+841+56</f>
        <v>1993</v>
      </c>
    </row>
    <row r="2963" spans="9:16" ht="16.5" thickBot="1">
      <c r="I2963" s="888" t="s">
        <v>104</v>
      </c>
      <c r="J2963" s="889"/>
      <c r="K2963" s="889"/>
      <c r="L2963" s="889"/>
      <c r="M2963" s="890"/>
      <c r="N2963" s="183">
        <f>SUM(N2961:N2962)</f>
        <v>636079647</v>
      </c>
    </row>
    <row r="2964" spans="9:16">
      <c r="I2964" s="61"/>
      <c r="J2964" s="61"/>
      <c r="K2964" s="61"/>
      <c r="L2964" s="61"/>
      <c r="M2964" s="61"/>
    </row>
    <row r="2965" spans="9:16">
      <c r="I2965" s="51" t="s">
        <v>1199</v>
      </c>
    </row>
    <row r="2966" spans="9:16">
      <c r="N2966" s="139"/>
    </row>
    <row r="2967" spans="9:16">
      <c r="I2967" s="50" t="s">
        <v>105</v>
      </c>
      <c r="L2967" s="146"/>
      <c r="N2967" s="139"/>
    </row>
    <row r="2968" spans="9:16" ht="10.5" customHeight="1" thickBot="1"/>
    <row r="2969" spans="9:16" ht="15.75" thickBot="1">
      <c r="I2969" s="891" t="s">
        <v>106</v>
      </c>
      <c r="J2969" s="892"/>
      <c r="K2969" s="892"/>
      <c r="L2969" s="893"/>
      <c r="N2969" s="50" t="s">
        <v>1126</v>
      </c>
    </row>
    <row r="2970" spans="9:16" ht="30.75" thickBot="1">
      <c r="I2970" s="57" t="s">
        <v>100</v>
      </c>
      <c r="J2970" s="58" t="s">
        <v>108</v>
      </c>
      <c r="K2970" s="287" t="s">
        <v>109</v>
      </c>
      <c r="L2970" s="60" t="s">
        <v>110</v>
      </c>
    </row>
    <row r="2971" spans="9:16">
      <c r="I2971" s="71">
        <v>719</v>
      </c>
      <c r="J2971" s="73">
        <f>+P2951+P2953+P2955+P2957</f>
        <v>1460000</v>
      </c>
      <c r="K2971" s="74">
        <f>+L2934</f>
        <v>44441700</v>
      </c>
      <c r="L2971" s="195">
        <f>+J2971+K2971</f>
        <v>45901700</v>
      </c>
    </row>
    <row r="2972" spans="9:16">
      <c r="I2972" s="72">
        <v>721</v>
      </c>
      <c r="J2972" s="80">
        <f>+P2952+P2954+P2956+P2958+P2960</f>
        <v>438000</v>
      </c>
      <c r="K2972" s="74">
        <f>+L2935</f>
        <v>169906996</v>
      </c>
      <c r="L2972" s="195">
        <f>+J2972+K2972</f>
        <v>170344996</v>
      </c>
    </row>
    <row r="2973" spans="9:16">
      <c r="I2973" s="72">
        <v>722</v>
      </c>
      <c r="J2973" s="80"/>
      <c r="K2973" s="74">
        <f>+L2936</f>
        <v>21129900</v>
      </c>
      <c r="L2973" s="195">
        <f>+J2973+K2973</f>
        <v>21129900</v>
      </c>
    </row>
    <row r="2974" spans="9:16" ht="15.75">
      <c r="I2974" s="72">
        <v>723</v>
      </c>
      <c r="J2974" s="80"/>
      <c r="K2974" s="74">
        <f>+L2937</f>
        <v>397905551</v>
      </c>
      <c r="L2974" s="195">
        <f>+J2974+K2974</f>
        <v>397905551</v>
      </c>
      <c r="N2974" s="193" t="s">
        <v>1028</v>
      </c>
      <c r="O2974" s="175"/>
    </row>
    <row r="2975" spans="9:16" ht="16.5" thickBot="1">
      <c r="I2975" s="164" t="s">
        <v>1077</v>
      </c>
      <c r="J2975" s="165"/>
      <c r="K2975" s="74">
        <f>+L2938</f>
        <v>797500</v>
      </c>
      <c r="L2975" s="196">
        <f>+J2975+K2975</f>
        <v>797500</v>
      </c>
      <c r="N2975" s="52"/>
    </row>
    <row r="2976" spans="9:16" ht="16.5" thickBot="1">
      <c r="I2976" s="169"/>
      <c r="J2976" s="197">
        <f>SUM(J2971:J2975)</f>
        <v>1898000</v>
      </c>
      <c r="K2976" s="197">
        <f>SUM(K2971:K2975)</f>
        <v>634181647</v>
      </c>
      <c r="L2976" s="198">
        <f>SUM(L2971:L2975)</f>
        <v>636079647</v>
      </c>
    </row>
    <row r="2977" spans="9:16" ht="16.5">
      <c r="I2977" s="49" t="s">
        <v>88</v>
      </c>
      <c r="J2977" s="50"/>
    </row>
    <row r="2978" spans="9:16">
      <c r="I2978" s="51" t="s">
        <v>89</v>
      </c>
    </row>
    <row r="2979" spans="9:16">
      <c r="I2979" s="51" t="s">
        <v>90</v>
      </c>
    </row>
    <row r="2980" spans="9:16">
      <c r="I2980" s="51" t="s">
        <v>91</v>
      </c>
    </row>
    <row r="2981" spans="9:16" ht="12" customHeight="1">
      <c r="I2981" s="50"/>
      <c r="J2981" s="50"/>
    </row>
    <row r="2982" spans="9:16" ht="15.75">
      <c r="I2982" s="260" t="s">
        <v>1200</v>
      </c>
      <c r="O2982" s="52"/>
    </row>
    <row r="2983" spans="9:16" ht="15.75">
      <c r="I2983" s="53" t="s">
        <v>535</v>
      </c>
      <c r="O2983" s="53"/>
    </row>
    <row r="2984" spans="9:16" ht="16.5">
      <c r="I2984" s="894" t="s">
        <v>909</v>
      </c>
      <c r="J2984" s="894"/>
      <c r="K2984" s="894"/>
      <c r="L2984" s="894"/>
      <c r="M2984" s="894"/>
      <c r="N2984" s="894"/>
      <c r="O2984" s="894"/>
      <c r="P2984" s="894"/>
    </row>
    <row r="2985" spans="9:16" ht="15.75" thickBot="1"/>
    <row r="2986" spans="9:16">
      <c r="I2986" s="895" t="s">
        <v>94</v>
      </c>
      <c r="J2986" s="897" t="s">
        <v>95</v>
      </c>
      <c r="K2986" s="897" t="s">
        <v>96</v>
      </c>
      <c r="L2986" s="897" t="s">
        <v>3</v>
      </c>
      <c r="M2986" s="897" t="s">
        <v>97</v>
      </c>
      <c r="N2986" s="897" t="s">
        <v>98</v>
      </c>
      <c r="O2986" s="897" t="s">
        <v>99</v>
      </c>
      <c r="P2986" s="899"/>
    </row>
    <row r="2987" spans="9:16" ht="15.75" thickBot="1">
      <c r="I2987" s="896"/>
      <c r="J2987" s="898"/>
      <c r="K2987" s="898"/>
      <c r="L2987" s="898"/>
      <c r="M2987" s="898"/>
      <c r="N2987" s="898"/>
      <c r="O2987" s="240" t="s">
        <v>100</v>
      </c>
      <c r="P2987" s="182" t="s">
        <v>101</v>
      </c>
    </row>
    <row r="2988" spans="9:16">
      <c r="I2988" s="881">
        <v>320</v>
      </c>
      <c r="J2988" s="875">
        <v>42684</v>
      </c>
      <c r="K2988" s="877" t="s">
        <v>267</v>
      </c>
      <c r="L2988" s="879" t="s">
        <v>1201</v>
      </c>
      <c r="M2988" s="881" t="s">
        <v>148</v>
      </c>
      <c r="N2988" s="883">
        <v>52000</v>
      </c>
      <c r="O2988" s="55">
        <v>719</v>
      </c>
      <c r="P2988" s="78">
        <v>40000</v>
      </c>
    </row>
    <row r="2989" spans="9:16" ht="15.75" thickBot="1">
      <c r="I2989" s="882"/>
      <c r="J2989" s="876"/>
      <c r="K2989" s="878"/>
      <c r="L2989" s="880"/>
      <c r="M2989" s="882"/>
      <c r="N2989" s="884"/>
      <c r="O2989" s="56">
        <v>721</v>
      </c>
      <c r="P2989" s="79">
        <f>+N2988-P2988</f>
        <v>12000</v>
      </c>
    </row>
    <row r="2990" spans="9:16">
      <c r="I2990" s="881">
        <v>321</v>
      </c>
      <c r="J2990" s="875">
        <v>42684</v>
      </c>
      <c r="K2990" s="877" t="s">
        <v>28</v>
      </c>
      <c r="L2990" s="879" t="s">
        <v>1202</v>
      </c>
      <c r="M2990" s="881" t="s">
        <v>148</v>
      </c>
      <c r="N2990" s="883">
        <v>442000</v>
      </c>
      <c r="O2990" s="55">
        <v>719</v>
      </c>
      <c r="P2990" s="78">
        <v>340000</v>
      </c>
    </row>
    <row r="2991" spans="9:16" ht="15.75" thickBot="1">
      <c r="I2991" s="882"/>
      <c r="J2991" s="876"/>
      <c r="K2991" s="878"/>
      <c r="L2991" s="880"/>
      <c r="M2991" s="882"/>
      <c r="N2991" s="884"/>
      <c r="O2991" s="56">
        <v>721</v>
      </c>
      <c r="P2991" s="79">
        <f>+N2990-P2990</f>
        <v>102000</v>
      </c>
    </row>
    <row r="2992" spans="9:16">
      <c r="I2992" s="881">
        <v>322</v>
      </c>
      <c r="J2992" s="875">
        <v>42684</v>
      </c>
      <c r="K2992" s="877" t="s">
        <v>111</v>
      </c>
      <c r="L2992" s="879" t="s">
        <v>1203</v>
      </c>
      <c r="M2992" s="881" t="s">
        <v>148</v>
      </c>
      <c r="N2992" s="883">
        <v>104000</v>
      </c>
      <c r="O2992" s="55">
        <v>719</v>
      </c>
      <c r="P2992" s="78">
        <v>80000</v>
      </c>
    </row>
    <row r="2993" spans="9:16" ht="15.75" thickBot="1">
      <c r="I2993" s="882"/>
      <c r="J2993" s="876"/>
      <c r="K2993" s="878"/>
      <c r="L2993" s="880"/>
      <c r="M2993" s="882"/>
      <c r="N2993" s="884"/>
      <c r="O2993" s="56">
        <v>721</v>
      </c>
      <c r="P2993" s="79">
        <f>+N2992-P2992</f>
        <v>24000</v>
      </c>
    </row>
    <row r="2994" spans="9:16">
      <c r="I2994" s="881">
        <v>323</v>
      </c>
      <c r="J2994" s="875">
        <v>42684</v>
      </c>
      <c r="K2994" s="877" t="s">
        <v>1014</v>
      </c>
      <c r="L2994" s="879" t="s">
        <v>1202</v>
      </c>
      <c r="M2994" s="881" t="s">
        <v>148</v>
      </c>
      <c r="N2994" s="883">
        <v>1053000</v>
      </c>
      <c r="O2994" s="55">
        <v>719</v>
      </c>
      <c r="P2994" s="78">
        <v>810000</v>
      </c>
    </row>
    <row r="2995" spans="9:16" ht="15.75" thickBot="1">
      <c r="I2995" s="882"/>
      <c r="J2995" s="876"/>
      <c r="K2995" s="878"/>
      <c r="L2995" s="880"/>
      <c r="M2995" s="882"/>
      <c r="N2995" s="884"/>
      <c r="O2995" s="56">
        <v>721</v>
      </c>
      <c r="P2995" s="79">
        <f>+N2994-P2994</f>
        <v>243000</v>
      </c>
    </row>
    <row r="2996" spans="9:16">
      <c r="I2996" s="881"/>
      <c r="J2996" s="875"/>
      <c r="K2996" s="877"/>
      <c r="L2996" s="879"/>
      <c r="M2996" s="881"/>
      <c r="N2996" s="883"/>
      <c r="O2996" s="55">
        <v>719</v>
      </c>
      <c r="P2996" s="78"/>
    </row>
    <row r="2997" spans="9:16" ht="15.75" thickBot="1">
      <c r="I2997" s="882"/>
      <c r="J2997" s="876"/>
      <c r="K2997" s="878"/>
      <c r="L2997" s="880"/>
      <c r="M2997" s="882"/>
      <c r="N2997" s="884"/>
      <c r="O2997" s="56">
        <v>721</v>
      </c>
      <c r="P2997" s="79">
        <f>+N2996-P2996</f>
        <v>0</v>
      </c>
    </row>
    <row r="2998" spans="9:16" ht="16.5" thickBot="1">
      <c r="I2998" s="901" t="s">
        <v>102</v>
      </c>
      <c r="J2998" s="902"/>
      <c r="K2998" s="902"/>
      <c r="L2998" s="902"/>
      <c r="M2998" s="903"/>
      <c r="N2998" s="81">
        <f>SUM(N2988:N2997)</f>
        <v>1651000</v>
      </c>
    </row>
    <row r="2999" spans="9:16" ht="16.5" thickBot="1">
      <c r="I2999" s="885" t="s">
        <v>103</v>
      </c>
      <c r="J2999" s="886"/>
      <c r="K2999" s="886"/>
      <c r="L2999" s="886"/>
      <c r="M2999" s="887"/>
      <c r="N2999" s="69">
        <f>+N2963</f>
        <v>636079647</v>
      </c>
      <c r="O2999" s="241" t="s">
        <v>561</v>
      </c>
      <c r="P2999" s="242">
        <f>1174+29+720+29</f>
        <v>1952</v>
      </c>
    </row>
    <row r="3000" spans="9:16" ht="16.5" thickBot="1">
      <c r="I3000" s="888" t="s">
        <v>104</v>
      </c>
      <c r="J3000" s="889"/>
      <c r="K3000" s="889"/>
      <c r="L3000" s="889"/>
      <c r="M3000" s="890"/>
      <c r="N3000" s="183">
        <f>SUM(N2998:N2999)</f>
        <v>637730647</v>
      </c>
    </row>
    <row r="3001" spans="9:16" ht="11.25" customHeight="1">
      <c r="I3001" s="61"/>
      <c r="J3001" s="61"/>
      <c r="K3001" s="61"/>
      <c r="L3001" s="61"/>
      <c r="M3001" s="61"/>
    </row>
    <row r="3002" spans="9:16">
      <c r="I3002" s="51" t="s">
        <v>1204</v>
      </c>
    </row>
    <row r="3003" spans="9:16">
      <c r="N3003" s="139"/>
    </row>
    <row r="3004" spans="9:16">
      <c r="I3004" s="50" t="s">
        <v>105</v>
      </c>
      <c r="L3004" s="146"/>
      <c r="N3004" s="139"/>
    </row>
    <row r="3005" spans="9:16" ht="14.25" customHeight="1" thickBot="1"/>
    <row r="3006" spans="9:16" ht="15.75" thickBot="1">
      <c r="I3006" s="891" t="s">
        <v>106</v>
      </c>
      <c r="J3006" s="892"/>
      <c r="K3006" s="892"/>
      <c r="L3006" s="893"/>
      <c r="N3006" s="50" t="s">
        <v>1126</v>
      </c>
    </row>
    <row r="3007" spans="9:16" ht="30.75" thickBot="1">
      <c r="I3007" s="57" t="s">
        <v>100</v>
      </c>
      <c r="J3007" s="58" t="s">
        <v>108</v>
      </c>
      <c r="K3007" s="287" t="s">
        <v>109</v>
      </c>
      <c r="L3007" s="60" t="s">
        <v>110</v>
      </c>
    </row>
    <row r="3008" spans="9:16">
      <c r="I3008" s="71">
        <v>719</v>
      </c>
      <c r="J3008" s="73">
        <f>+P2988+P2990+P2992+P2994</f>
        <v>1270000</v>
      </c>
      <c r="K3008" s="74">
        <f>+L2971</f>
        <v>45901700</v>
      </c>
      <c r="L3008" s="195">
        <f>+J3008+K3008</f>
        <v>47171700</v>
      </c>
    </row>
    <row r="3009" spans="9:16">
      <c r="I3009" s="72">
        <v>721</v>
      </c>
      <c r="J3009" s="80">
        <f>+P2989+P2991+P2993+P2995+P2997</f>
        <v>381000</v>
      </c>
      <c r="K3009" s="74">
        <f>+L2972</f>
        <v>170344996</v>
      </c>
      <c r="L3009" s="195">
        <f>+J3009+K3009</f>
        <v>170725996</v>
      </c>
    </row>
    <row r="3010" spans="9:16">
      <c r="I3010" s="72">
        <v>722</v>
      </c>
      <c r="J3010" s="80"/>
      <c r="K3010" s="74">
        <f>+L2973</f>
        <v>21129900</v>
      </c>
      <c r="L3010" s="195">
        <f>+J3010+K3010</f>
        <v>21129900</v>
      </c>
    </row>
    <row r="3011" spans="9:16" ht="15.75">
      <c r="I3011" s="72">
        <v>723</v>
      </c>
      <c r="J3011" s="80"/>
      <c r="K3011" s="74">
        <f>+L2974</f>
        <v>397905551</v>
      </c>
      <c r="L3011" s="195">
        <f>+J3011+K3011</f>
        <v>397905551</v>
      </c>
      <c r="N3011" s="193" t="s">
        <v>1028</v>
      </c>
      <c r="O3011" s="175"/>
    </row>
    <row r="3012" spans="9:16" ht="16.5" thickBot="1">
      <c r="I3012" s="164" t="s">
        <v>1077</v>
      </c>
      <c r="J3012" s="165"/>
      <c r="K3012" s="74">
        <f>+L2975</f>
        <v>797500</v>
      </c>
      <c r="L3012" s="196">
        <f>+J3012+K3012</f>
        <v>797500</v>
      </c>
      <c r="N3012" s="52"/>
    </row>
    <row r="3013" spans="9:16" ht="16.5" thickBot="1">
      <c r="I3013" s="169"/>
      <c r="J3013" s="197">
        <f>SUM(J3008:J3012)</f>
        <v>1651000</v>
      </c>
      <c r="K3013" s="197">
        <f>SUM(K3008:K3012)</f>
        <v>636079647</v>
      </c>
      <c r="L3013" s="198">
        <f>SUM(L3008:L3012)</f>
        <v>637730647</v>
      </c>
    </row>
    <row r="3014" spans="9:16" ht="16.5">
      <c r="I3014" s="49" t="s">
        <v>88</v>
      </c>
      <c r="J3014" s="50"/>
    </row>
    <row r="3015" spans="9:16">
      <c r="I3015" s="51" t="s">
        <v>89</v>
      </c>
    </row>
    <row r="3016" spans="9:16">
      <c r="I3016" s="51" t="s">
        <v>90</v>
      </c>
    </row>
    <row r="3017" spans="9:16">
      <c r="I3017" s="51" t="s">
        <v>91</v>
      </c>
    </row>
    <row r="3018" spans="9:16" ht="12" customHeight="1">
      <c r="I3018" s="50"/>
      <c r="J3018" s="50"/>
    </row>
    <row r="3019" spans="9:16" ht="15.75">
      <c r="I3019" s="260" t="s">
        <v>1206</v>
      </c>
      <c r="O3019" s="52"/>
    </row>
    <row r="3020" spans="9:16" ht="15.75">
      <c r="I3020" s="53" t="s">
        <v>535</v>
      </c>
      <c r="O3020" s="53"/>
    </row>
    <row r="3021" spans="9:16" ht="16.5">
      <c r="I3021" s="894" t="s">
        <v>909</v>
      </c>
      <c r="J3021" s="894"/>
      <c r="K3021" s="894"/>
      <c r="L3021" s="894"/>
      <c r="M3021" s="894"/>
      <c r="N3021" s="894"/>
      <c r="O3021" s="894"/>
      <c r="P3021" s="894"/>
    </row>
    <row r="3022" spans="9:16" ht="15.75" thickBot="1"/>
    <row r="3023" spans="9:16">
      <c r="I3023" s="895" t="s">
        <v>94</v>
      </c>
      <c r="J3023" s="897" t="s">
        <v>95</v>
      </c>
      <c r="K3023" s="897" t="s">
        <v>96</v>
      </c>
      <c r="L3023" s="897" t="s">
        <v>3</v>
      </c>
      <c r="M3023" s="897" t="s">
        <v>97</v>
      </c>
      <c r="N3023" s="897" t="s">
        <v>98</v>
      </c>
      <c r="O3023" s="897" t="s">
        <v>99</v>
      </c>
      <c r="P3023" s="899"/>
    </row>
    <row r="3024" spans="9:16" ht="15.75" thickBot="1">
      <c r="I3024" s="896"/>
      <c r="J3024" s="898"/>
      <c r="K3024" s="898"/>
      <c r="L3024" s="898"/>
      <c r="M3024" s="898"/>
      <c r="N3024" s="898"/>
      <c r="O3024" s="240" t="s">
        <v>100</v>
      </c>
      <c r="P3024" s="182" t="s">
        <v>101</v>
      </c>
    </row>
    <row r="3025" spans="9:16">
      <c r="I3025" s="881">
        <v>324</v>
      </c>
      <c r="J3025" s="875">
        <v>42692</v>
      </c>
      <c r="K3025" s="877" t="s">
        <v>1014</v>
      </c>
      <c r="L3025" s="879" t="s">
        <v>1207</v>
      </c>
      <c r="M3025" s="881" t="s">
        <v>115</v>
      </c>
      <c r="N3025" s="883">
        <v>70000</v>
      </c>
      <c r="O3025" s="55">
        <v>719</v>
      </c>
      <c r="P3025" s="78">
        <v>70000</v>
      </c>
    </row>
    <row r="3026" spans="9:16" ht="15.75" thickBot="1">
      <c r="I3026" s="882"/>
      <c r="J3026" s="876"/>
      <c r="K3026" s="878"/>
      <c r="L3026" s="880"/>
      <c r="M3026" s="882"/>
      <c r="N3026" s="884"/>
      <c r="O3026" s="56">
        <v>721</v>
      </c>
      <c r="P3026" s="79">
        <f>+N3025-P3025</f>
        <v>0</v>
      </c>
    </row>
    <row r="3027" spans="9:16" ht="15" customHeight="1">
      <c r="I3027" s="881">
        <v>325</v>
      </c>
      <c r="J3027" s="875">
        <v>42692</v>
      </c>
      <c r="K3027" s="877" t="s">
        <v>28</v>
      </c>
      <c r="L3027" s="879" t="s">
        <v>1208</v>
      </c>
      <c r="M3027" s="881" t="s">
        <v>115</v>
      </c>
      <c r="N3027" s="883">
        <v>80000</v>
      </c>
      <c r="O3027" s="55">
        <v>719</v>
      </c>
      <c r="P3027" s="78">
        <v>80000</v>
      </c>
    </row>
    <row r="3028" spans="9:16" ht="15.75" customHeight="1" thickBot="1">
      <c r="I3028" s="882"/>
      <c r="J3028" s="876"/>
      <c r="K3028" s="878"/>
      <c r="L3028" s="880"/>
      <c r="M3028" s="882"/>
      <c r="N3028" s="884"/>
      <c r="O3028" s="56">
        <v>721</v>
      </c>
      <c r="P3028" s="79">
        <f>+N3027-P3027</f>
        <v>0</v>
      </c>
    </row>
    <row r="3029" spans="9:16" ht="15" customHeight="1">
      <c r="I3029" s="881">
        <v>326</v>
      </c>
      <c r="J3029" s="875">
        <v>42692</v>
      </c>
      <c r="K3029" s="877" t="s">
        <v>120</v>
      </c>
      <c r="L3029" s="879" t="s">
        <v>1209</v>
      </c>
      <c r="M3029" s="881" t="s">
        <v>115</v>
      </c>
      <c r="N3029" s="883">
        <v>110000</v>
      </c>
      <c r="O3029" s="55">
        <v>719</v>
      </c>
      <c r="P3029" s="78">
        <v>110000</v>
      </c>
    </row>
    <row r="3030" spans="9:16" ht="15.75" customHeight="1" thickBot="1">
      <c r="I3030" s="882"/>
      <c r="J3030" s="876"/>
      <c r="K3030" s="878"/>
      <c r="L3030" s="880"/>
      <c r="M3030" s="882"/>
      <c r="N3030" s="884"/>
      <c r="O3030" s="56">
        <v>721</v>
      </c>
      <c r="P3030" s="79">
        <f>+N3029-P3029</f>
        <v>0</v>
      </c>
    </row>
    <row r="3031" spans="9:16">
      <c r="I3031" s="881"/>
      <c r="J3031" s="875"/>
      <c r="K3031" s="877"/>
      <c r="L3031" s="879"/>
      <c r="M3031" s="881"/>
      <c r="N3031" s="883"/>
      <c r="O3031" s="55">
        <v>719</v>
      </c>
      <c r="P3031" s="78">
        <v>0</v>
      </c>
    </row>
    <row r="3032" spans="9:16" ht="15.75" thickBot="1">
      <c r="I3032" s="882"/>
      <c r="J3032" s="876"/>
      <c r="K3032" s="878"/>
      <c r="L3032" s="880"/>
      <c r="M3032" s="882"/>
      <c r="N3032" s="884"/>
      <c r="O3032" s="56">
        <v>721</v>
      </c>
      <c r="P3032" s="79">
        <f>+N3031-P3031</f>
        <v>0</v>
      </c>
    </row>
    <row r="3033" spans="9:16">
      <c r="I3033" s="881"/>
      <c r="J3033" s="875"/>
      <c r="K3033" s="877"/>
      <c r="L3033" s="879"/>
      <c r="M3033" s="881"/>
      <c r="N3033" s="883"/>
      <c r="O3033" s="55">
        <v>719</v>
      </c>
      <c r="P3033" s="78"/>
    </row>
    <row r="3034" spans="9:16" ht="15.75" thickBot="1">
      <c r="I3034" s="882"/>
      <c r="J3034" s="876"/>
      <c r="K3034" s="878"/>
      <c r="L3034" s="880"/>
      <c r="M3034" s="882"/>
      <c r="N3034" s="884"/>
      <c r="O3034" s="56">
        <v>721</v>
      </c>
      <c r="P3034" s="79">
        <f>+N3033-P3033</f>
        <v>0</v>
      </c>
    </row>
    <row r="3035" spans="9:16" ht="16.5" thickBot="1">
      <c r="I3035" s="901" t="s">
        <v>102</v>
      </c>
      <c r="J3035" s="902"/>
      <c r="K3035" s="902"/>
      <c r="L3035" s="902"/>
      <c r="M3035" s="903"/>
      <c r="N3035" s="81">
        <f>SUM(N3025:N3034)</f>
        <v>260000</v>
      </c>
    </row>
    <row r="3036" spans="9:16" ht="16.5" thickBot="1">
      <c r="I3036" s="885" t="s">
        <v>103</v>
      </c>
      <c r="J3036" s="886"/>
      <c r="K3036" s="886"/>
      <c r="L3036" s="886"/>
      <c r="M3036" s="887"/>
      <c r="N3036" s="69">
        <f>+N3000</f>
        <v>637730647</v>
      </c>
      <c r="O3036" s="241" t="s">
        <v>561</v>
      </c>
      <c r="P3036" s="242">
        <f>235+115+352</f>
        <v>702</v>
      </c>
    </row>
    <row r="3037" spans="9:16" ht="16.5" thickBot="1">
      <c r="I3037" s="888" t="s">
        <v>104</v>
      </c>
      <c r="J3037" s="889"/>
      <c r="K3037" s="889"/>
      <c r="L3037" s="889"/>
      <c r="M3037" s="890"/>
      <c r="N3037" s="183">
        <f>SUM(N3035:N3036)</f>
        <v>637990647</v>
      </c>
    </row>
    <row r="3038" spans="9:16">
      <c r="I3038" s="61"/>
      <c r="J3038" s="61"/>
      <c r="K3038" s="61"/>
      <c r="L3038" s="61"/>
      <c r="M3038" s="61"/>
    </row>
    <row r="3039" spans="9:16">
      <c r="I3039" s="51" t="s">
        <v>1210</v>
      </c>
    </row>
    <row r="3040" spans="9:16" ht="11.25" customHeight="1">
      <c r="N3040" s="139"/>
    </row>
    <row r="3041" spans="9:15">
      <c r="I3041" s="50" t="s">
        <v>105</v>
      </c>
      <c r="L3041" s="146"/>
      <c r="N3041" s="139"/>
    </row>
    <row r="3042" spans="9:15" ht="13.5" customHeight="1" thickBot="1"/>
    <row r="3043" spans="9:15" ht="15.75" thickBot="1">
      <c r="I3043" s="891" t="s">
        <v>106</v>
      </c>
      <c r="J3043" s="892"/>
      <c r="K3043" s="892"/>
      <c r="L3043" s="893"/>
      <c r="N3043" s="50" t="s">
        <v>1126</v>
      </c>
    </row>
    <row r="3044" spans="9:15" ht="30.75" thickBot="1">
      <c r="I3044" s="57" t="s">
        <v>100</v>
      </c>
      <c r="J3044" s="58" t="s">
        <v>108</v>
      </c>
      <c r="K3044" s="287" t="s">
        <v>109</v>
      </c>
      <c r="L3044" s="60" t="s">
        <v>110</v>
      </c>
    </row>
    <row r="3045" spans="9:15">
      <c r="I3045" s="71">
        <v>719</v>
      </c>
      <c r="J3045" s="73">
        <f>+P3025+P3027+P3029+P3031</f>
        <v>260000</v>
      </c>
      <c r="K3045" s="74">
        <f>+L3008</f>
        <v>47171700</v>
      </c>
      <c r="L3045" s="195">
        <f>+J3045+K3045</f>
        <v>47431700</v>
      </c>
    </row>
    <row r="3046" spans="9:15">
      <c r="I3046" s="72">
        <v>721</v>
      </c>
      <c r="J3046" s="80">
        <f>+P3026+P3028+P3030+P3032+P3034</f>
        <v>0</v>
      </c>
      <c r="K3046" s="74">
        <f>+L3009</f>
        <v>170725996</v>
      </c>
      <c r="L3046" s="195">
        <f>+J3046+K3046</f>
        <v>170725996</v>
      </c>
    </row>
    <row r="3047" spans="9:15">
      <c r="I3047" s="72">
        <v>722</v>
      </c>
      <c r="J3047" s="80"/>
      <c r="K3047" s="74">
        <f>+L3010</f>
        <v>21129900</v>
      </c>
      <c r="L3047" s="195">
        <f>+J3047+K3047</f>
        <v>21129900</v>
      </c>
    </row>
    <row r="3048" spans="9:15" ht="15.75">
      <c r="I3048" s="72">
        <v>723</v>
      </c>
      <c r="J3048" s="80"/>
      <c r="K3048" s="74">
        <f>+L3011</f>
        <v>397905551</v>
      </c>
      <c r="L3048" s="195">
        <f>+J3048+K3048</f>
        <v>397905551</v>
      </c>
      <c r="N3048" s="193" t="s">
        <v>1028</v>
      </c>
      <c r="O3048" s="175"/>
    </row>
    <row r="3049" spans="9:15" ht="16.5" thickBot="1">
      <c r="I3049" s="164" t="s">
        <v>1077</v>
      </c>
      <c r="J3049" s="165"/>
      <c r="K3049" s="74">
        <f>+L3012</f>
        <v>797500</v>
      </c>
      <c r="L3049" s="196">
        <f>+J3049+K3049</f>
        <v>797500</v>
      </c>
      <c r="N3049" s="52"/>
    </row>
    <row r="3050" spans="9:15" ht="16.5" thickBot="1">
      <c r="I3050" s="169"/>
      <c r="J3050" s="197">
        <f>SUM(J3045:J3049)</f>
        <v>260000</v>
      </c>
      <c r="K3050" s="197">
        <f>SUM(K3045:K3049)</f>
        <v>637730647</v>
      </c>
      <c r="L3050" s="198">
        <f>SUM(L3045:L3049)</f>
        <v>637990647</v>
      </c>
    </row>
    <row r="3051" spans="9:15" ht="16.5">
      <c r="I3051" s="49" t="s">
        <v>88</v>
      </c>
      <c r="J3051" s="50"/>
    </row>
    <row r="3052" spans="9:15">
      <c r="I3052" s="51" t="s">
        <v>89</v>
      </c>
    </row>
    <row r="3053" spans="9:15">
      <c r="I3053" s="51" t="s">
        <v>90</v>
      </c>
    </row>
    <row r="3054" spans="9:15">
      <c r="I3054" s="51" t="s">
        <v>91</v>
      </c>
    </row>
    <row r="3055" spans="9:15" ht="11.25" customHeight="1">
      <c r="I3055" s="50"/>
      <c r="J3055" s="50"/>
    </row>
    <row r="3056" spans="9:15" ht="15.75">
      <c r="I3056" s="260" t="s">
        <v>1217</v>
      </c>
      <c r="O3056" s="52"/>
    </row>
    <row r="3057" spans="9:16" ht="15.75">
      <c r="I3057" s="53" t="s">
        <v>535</v>
      </c>
      <c r="O3057" s="53"/>
    </row>
    <row r="3058" spans="9:16" ht="16.5">
      <c r="I3058" s="894" t="s">
        <v>909</v>
      </c>
      <c r="J3058" s="894"/>
      <c r="K3058" s="894"/>
      <c r="L3058" s="894"/>
      <c r="M3058" s="894"/>
      <c r="N3058" s="894"/>
      <c r="O3058" s="894"/>
      <c r="P3058" s="894"/>
    </row>
    <row r="3059" spans="9:16" ht="15.75" thickBot="1"/>
    <row r="3060" spans="9:16">
      <c r="I3060" s="895" t="s">
        <v>94</v>
      </c>
      <c r="J3060" s="897" t="s">
        <v>95</v>
      </c>
      <c r="K3060" s="897" t="s">
        <v>96</v>
      </c>
      <c r="L3060" s="897" t="s">
        <v>3</v>
      </c>
      <c r="M3060" s="897" t="s">
        <v>97</v>
      </c>
      <c r="N3060" s="897" t="s">
        <v>98</v>
      </c>
      <c r="O3060" s="897" t="s">
        <v>99</v>
      </c>
      <c r="P3060" s="899"/>
    </row>
    <row r="3061" spans="9:16" ht="15.75" thickBot="1">
      <c r="I3061" s="896"/>
      <c r="J3061" s="898"/>
      <c r="K3061" s="898"/>
      <c r="L3061" s="898"/>
      <c r="M3061" s="898"/>
      <c r="N3061" s="898"/>
      <c r="O3061" s="240" t="s">
        <v>100</v>
      </c>
      <c r="P3061" s="182" t="s">
        <v>101</v>
      </c>
    </row>
    <row r="3062" spans="9:16">
      <c r="I3062" s="881">
        <v>327</v>
      </c>
      <c r="J3062" s="875">
        <v>42703</v>
      </c>
      <c r="K3062" s="877" t="s">
        <v>1014</v>
      </c>
      <c r="L3062" s="879" t="s">
        <v>1218</v>
      </c>
      <c r="M3062" s="881" t="s">
        <v>115</v>
      </c>
      <c r="N3062" s="883">
        <v>50000</v>
      </c>
      <c r="O3062" s="55">
        <v>719</v>
      </c>
      <c r="P3062" s="78">
        <v>50000</v>
      </c>
    </row>
    <row r="3063" spans="9:16" ht="15.75" thickBot="1">
      <c r="I3063" s="882"/>
      <c r="J3063" s="876"/>
      <c r="K3063" s="878"/>
      <c r="L3063" s="880"/>
      <c r="M3063" s="882"/>
      <c r="N3063" s="884"/>
      <c r="O3063" s="56">
        <v>721</v>
      </c>
      <c r="P3063" s="79">
        <f>+N3062-P3062</f>
        <v>0</v>
      </c>
    </row>
    <row r="3064" spans="9:16" ht="15" customHeight="1">
      <c r="I3064" s="881">
        <v>328</v>
      </c>
      <c r="J3064" s="875">
        <v>42703</v>
      </c>
      <c r="K3064" s="877" t="s">
        <v>28</v>
      </c>
      <c r="L3064" s="879" t="s">
        <v>1218</v>
      </c>
      <c r="M3064" s="881" t="s">
        <v>115</v>
      </c>
      <c r="N3064" s="883">
        <v>50000</v>
      </c>
      <c r="O3064" s="55">
        <v>719</v>
      </c>
      <c r="P3064" s="78">
        <v>50000</v>
      </c>
    </row>
    <row r="3065" spans="9:16" ht="15.75" customHeight="1" thickBot="1">
      <c r="I3065" s="882"/>
      <c r="J3065" s="876"/>
      <c r="K3065" s="878"/>
      <c r="L3065" s="880"/>
      <c r="M3065" s="882"/>
      <c r="N3065" s="884"/>
      <c r="O3065" s="56">
        <v>721</v>
      </c>
      <c r="P3065" s="79">
        <f>+N3064-P3064</f>
        <v>0</v>
      </c>
    </row>
    <row r="3066" spans="9:16" ht="15" customHeight="1">
      <c r="I3066" s="881">
        <v>329</v>
      </c>
      <c r="J3066" s="875">
        <v>42703</v>
      </c>
      <c r="K3066" s="877" t="s">
        <v>120</v>
      </c>
      <c r="L3066" s="879" t="s">
        <v>1219</v>
      </c>
      <c r="M3066" s="881" t="s">
        <v>115</v>
      </c>
      <c r="N3066" s="883">
        <v>30000</v>
      </c>
      <c r="O3066" s="55">
        <v>719</v>
      </c>
      <c r="P3066" s="78">
        <v>30000</v>
      </c>
    </row>
    <row r="3067" spans="9:16" ht="15.75" customHeight="1" thickBot="1">
      <c r="I3067" s="882"/>
      <c r="J3067" s="876"/>
      <c r="K3067" s="878"/>
      <c r="L3067" s="880"/>
      <c r="M3067" s="882"/>
      <c r="N3067" s="884"/>
      <c r="O3067" s="56">
        <v>721</v>
      </c>
      <c r="P3067" s="79">
        <f>+N3066-P3066</f>
        <v>0</v>
      </c>
    </row>
    <row r="3068" spans="9:16">
      <c r="I3068" s="881">
        <v>330</v>
      </c>
      <c r="J3068" s="875">
        <v>42703</v>
      </c>
      <c r="K3068" s="877" t="s">
        <v>674</v>
      </c>
      <c r="L3068" s="879" t="s">
        <v>1221</v>
      </c>
      <c r="M3068" s="881" t="s">
        <v>148</v>
      </c>
      <c r="N3068" s="883">
        <v>1350000</v>
      </c>
      <c r="O3068" s="55">
        <v>719</v>
      </c>
      <c r="P3068" s="78">
        <v>0</v>
      </c>
    </row>
    <row r="3069" spans="9:16" ht="15.75" thickBot="1">
      <c r="I3069" s="882"/>
      <c r="J3069" s="876"/>
      <c r="K3069" s="878"/>
      <c r="L3069" s="880"/>
      <c r="M3069" s="882"/>
      <c r="N3069" s="884"/>
      <c r="O3069" s="56">
        <v>723</v>
      </c>
      <c r="P3069" s="79">
        <f>+N3068-P3068</f>
        <v>1350000</v>
      </c>
    </row>
    <row r="3070" spans="9:16">
      <c r="I3070" s="881"/>
      <c r="J3070" s="875"/>
      <c r="K3070" s="877"/>
      <c r="L3070" s="879"/>
      <c r="M3070" s="881"/>
      <c r="N3070" s="883"/>
      <c r="O3070" s="55">
        <v>719</v>
      </c>
      <c r="P3070" s="78"/>
    </row>
    <row r="3071" spans="9:16" ht="15.75" thickBot="1">
      <c r="I3071" s="882"/>
      <c r="J3071" s="876"/>
      <c r="K3071" s="878"/>
      <c r="L3071" s="880"/>
      <c r="M3071" s="882"/>
      <c r="N3071" s="884"/>
      <c r="O3071" s="56">
        <v>721</v>
      </c>
      <c r="P3071" s="79">
        <f>+N3070-P3070</f>
        <v>0</v>
      </c>
    </row>
    <row r="3072" spans="9:16" ht="16.5" thickBot="1">
      <c r="I3072" s="901" t="s">
        <v>102</v>
      </c>
      <c r="J3072" s="902"/>
      <c r="K3072" s="902"/>
      <c r="L3072" s="902"/>
      <c r="M3072" s="903"/>
      <c r="N3072" s="81">
        <f>SUM(N3062:N3071)</f>
        <v>1480000</v>
      </c>
    </row>
    <row r="3073" spans="9:16" ht="16.5" thickBot="1">
      <c r="I3073" s="885" t="s">
        <v>103</v>
      </c>
      <c r="J3073" s="886"/>
      <c r="K3073" s="886"/>
      <c r="L3073" s="886"/>
      <c r="M3073" s="887"/>
      <c r="N3073" s="69">
        <f>+N3037</f>
        <v>637990647</v>
      </c>
      <c r="O3073" s="241" t="s">
        <v>561</v>
      </c>
      <c r="P3073" s="242">
        <f>48+92+184</f>
        <v>324</v>
      </c>
    </row>
    <row r="3074" spans="9:16" ht="16.5" thickBot="1">
      <c r="I3074" s="888" t="s">
        <v>104</v>
      </c>
      <c r="J3074" s="889"/>
      <c r="K3074" s="889"/>
      <c r="L3074" s="889"/>
      <c r="M3074" s="890"/>
      <c r="N3074" s="183">
        <f>SUM(N3072:N3073)</f>
        <v>639470647</v>
      </c>
    </row>
    <row r="3075" spans="9:16" ht="12" customHeight="1">
      <c r="I3075" s="61"/>
      <c r="J3075" s="61"/>
      <c r="K3075" s="61"/>
      <c r="L3075" s="61"/>
      <c r="M3075" s="61"/>
    </row>
    <row r="3076" spans="9:16">
      <c r="I3076" s="51" t="s">
        <v>1220</v>
      </c>
    </row>
    <row r="3077" spans="9:16" ht="12" customHeight="1">
      <c r="N3077" s="139"/>
    </row>
    <row r="3078" spans="9:16">
      <c r="I3078" s="50" t="s">
        <v>105</v>
      </c>
      <c r="L3078" s="146"/>
      <c r="N3078" s="139"/>
    </row>
    <row r="3079" spans="9:16" ht="12.75" customHeight="1" thickBot="1"/>
    <row r="3080" spans="9:16" ht="15.75" thickBot="1">
      <c r="I3080" s="891" t="s">
        <v>106</v>
      </c>
      <c r="J3080" s="892"/>
      <c r="K3080" s="892"/>
      <c r="L3080" s="893"/>
      <c r="N3080" s="50" t="s">
        <v>288</v>
      </c>
    </row>
    <row r="3081" spans="9:16" ht="30.75" thickBot="1">
      <c r="I3081" s="57" t="s">
        <v>100</v>
      </c>
      <c r="J3081" s="58" t="s">
        <v>108</v>
      </c>
      <c r="K3081" s="287" t="s">
        <v>109</v>
      </c>
      <c r="L3081" s="60" t="s">
        <v>110</v>
      </c>
    </row>
    <row r="3082" spans="9:16">
      <c r="I3082" s="71">
        <v>719</v>
      </c>
      <c r="J3082" s="73">
        <f>+P3062+P3064+P3066+P3068</f>
        <v>130000</v>
      </c>
      <c r="K3082" s="74">
        <f>+L3045</f>
        <v>47431700</v>
      </c>
      <c r="L3082" s="195">
        <f>+J3082+K3082</f>
        <v>47561700</v>
      </c>
    </row>
    <row r="3083" spans="9:16">
      <c r="I3083" s="72">
        <v>721</v>
      </c>
      <c r="J3083" s="80"/>
      <c r="K3083" s="74">
        <f>+L3046</f>
        <v>170725996</v>
      </c>
      <c r="L3083" s="195">
        <f>+J3083+K3083</f>
        <v>170725996</v>
      </c>
    </row>
    <row r="3084" spans="9:16">
      <c r="I3084" s="72">
        <v>722</v>
      </c>
      <c r="J3084" s="80"/>
      <c r="K3084" s="74">
        <f>+L3047</f>
        <v>21129900</v>
      </c>
      <c r="L3084" s="195">
        <f>+J3084+K3084</f>
        <v>21129900</v>
      </c>
    </row>
    <row r="3085" spans="9:16" ht="15.75">
      <c r="I3085" s="72">
        <v>723</v>
      </c>
      <c r="J3085" s="80">
        <f>+P3069</f>
        <v>1350000</v>
      </c>
      <c r="K3085" s="74">
        <f>+L3048</f>
        <v>397905551</v>
      </c>
      <c r="L3085" s="195">
        <f>+J3085+K3085</f>
        <v>399255551</v>
      </c>
      <c r="N3085" s="193" t="s">
        <v>289</v>
      </c>
      <c r="O3085" s="175"/>
    </row>
    <row r="3086" spans="9:16" ht="16.5" thickBot="1">
      <c r="I3086" s="164" t="s">
        <v>1077</v>
      </c>
      <c r="J3086" s="165"/>
      <c r="K3086" s="74">
        <f>+L3049</f>
        <v>797500</v>
      </c>
      <c r="L3086" s="196">
        <f>+J3086+K3086</f>
        <v>797500</v>
      </c>
      <c r="N3086" s="52"/>
    </row>
    <row r="3087" spans="9:16" ht="16.5" thickBot="1">
      <c r="I3087" s="169"/>
      <c r="J3087" s="197">
        <f>SUM(J3082:J3086)</f>
        <v>1480000</v>
      </c>
      <c r="K3087" s="197">
        <f>SUM(K3082:K3086)</f>
        <v>637990647</v>
      </c>
      <c r="L3087" s="198">
        <f>SUM(L3082:L3086)</f>
        <v>639470647</v>
      </c>
    </row>
    <row r="3088" spans="9:16" ht="16.5">
      <c r="I3088" s="49" t="s">
        <v>88</v>
      </c>
      <c r="J3088" s="50"/>
    </row>
    <row r="3089" spans="9:16">
      <c r="I3089" s="51" t="s">
        <v>89</v>
      </c>
    </row>
    <row r="3090" spans="9:16">
      <c r="I3090" s="51" t="s">
        <v>90</v>
      </c>
    </row>
    <row r="3091" spans="9:16">
      <c r="I3091" s="51" t="s">
        <v>91</v>
      </c>
    </row>
    <row r="3092" spans="9:16" ht="12" customHeight="1">
      <c r="I3092" s="50"/>
      <c r="J3092" s="50"/>
    </row>
    <row r="3093" spans="9:16" ht="15.75">
      <c r="I3093" s="260" t="s">
        <v>1222</v>
      </c>
      <c r="O3093" s="52"/>
    </row>
    <row r="3094" spans="9:16" ht="15.75">
      <c r="I3094" s="53" t="s">
        <v>535</v>
      </c>
      <c r="O3094" s="53"/>
    </row>
    <row r="3095" spans="9:16" ht="16.5">
      <c r="I3095" s="894" t="s">
        <v>170</v>
      </c>
      <c r="J3095" s="894"/>
      <c r="K3095" s="894"/>
      <c r="L3095" s="894"/>
      <c r="M3095" s="894"/>
      <c r="N3095" s="894"/>
      <c r="O3095" s="894"/>
      <c r="P3095" s="894"/>
    </row>
    <row r="3096" spans="9:16" ht="15.75" thickBot="1"/>
    <row r="3097" spans="9:16">
      <c r="I3097" s="895" t="s">
        <v>94</v>
      </c>
      <c r="J3097" s="897" t="s">
        <v>95</v>
      </c>
      <c r="K3097" s="897" t="s">
        <v>96</v>
      </c>
      <c r="L3097" s="897" t="s">
        <v>3</v>
      </c>
      <c r="M3097" s="897" t="s">
        <v>97</v>
      </c>
      <c r="N3097" s="897" t="s">
        <v>98</v>
      </c>
      <c r="O3097" s="897" t="s">
        <v>99</v>
      </c>
      <c r="P3097" s="899"/>
    </row>
    <row r="3098" spans="9:16" ht="15.75" thickBot="1">
      <c r="I3098" s="896"/>
      <c r="J3098" s="898"/>
      <c r="K3098" s="898"/>
      <c r="L3098" s="898"/>
      <c r="M3098" s="898"/>
      <c r="N3098" s="898"/>
      <c r="O3098" s="240" t="s">
        <v>100</v>
      </c>
      <c r="P3098" s="182" t="s">
        <v>101</v>
      </c>
    </row>
    <row r="3099" spans="9:16">
      <c r="I3099" s="881">
        <v>331</v>
      </c>
      <c r="J3099" s="875">
        <v>42704</v>
      </c>
      <c r="K3099" s="877" t="s">
        <v>1014</v>
      </c>
      <c r="L3099" s="879" t="s">
        <v>1224</v>
      </c>
      <c r="M3099" s="881" t="s">
        <v>115</v>
      </c>
      <c r="N3099" s="883">
        <v>70000</v>
      </c>
      <c r="O3099" s="55">
        <v>719</v>
      </c>
      <c r="P3099" s="78">
        <v>70000</v>
      </c>
    </row>
    <row r="3100" spans="9:16" ht="15.75" thickBot="1">
      <c r="I3100" s="882"/>
      <c r="J3100" s="876"/>
      <c r="K3100" s="878"/>
      <c r="L3100" s="880"/>
      <c r="M3100" s="882"/>
      <c r="N3100" s="884"/>
      <c r="O3100" s="56">
        <v>721</v>
      </c>
      <c r="P3100" s="79">
        <f>+N3099-P3099</f>
        <v>0</v>
      </c>
    </row>
    <row r="3101" spans="9:16" ht="15" customHeight="1">
      <c r="I3101" s="881">
        <v>332</v>
      </c>
      <c r="J3101" s="875">
        <v>42704</v>
      </c>
      <c r="K3101" s="877" t="s">
        <v>28</v>
      </c>
      <c r="L3101" s="879" t="s">
        <v>1224</v>
      </c>
      <c r="M3101" s="881" t="s">
        <v>115</v>
      </c>
      <c r="N3101" s="883">
        <v>70000</v>
      </c>
      <c r="O3101" s="55">
        <v>719</v>
      </c>
      <c r="P3101" s="78">
        <v>70000</v>
      </c>
    </row>
    <row r="3102" spans="9:16" ht="15.75" customHeight="1" thickBot="1">
      <c r="I3102" s="882"/>
      <c r="J3102" s="876"/>
      <c r="K3102" s="878"/>
      <c r="L3102" s="880"/>
      <c r="M3102" s="882"/>
      <c r="N3102" s="884"/>
      <c r="O3102" s="56">
        <v>721</v>
      </c>
      <c r="P3102" s="79">
        <f>+N3101-P3101</f>
        <v>0</v>
      </c>
    </row>
    <row r="3103" spans="9:16" ht="15" customHeight="1">
      <c r="I3103" s="881">
        <v>333</v>
      </c>
      <c r="J3103" s="875">
        <v>42704</v>
      </c>
      <c r="K3103" s="877" t="s">
        <v>120</v>
      </c>
      <c r="L3103" s="879" t="s">
        <v>1224</v>
      </c>
      <c r="M3103" s="881" t="s">
        <v>115</v>
      </c>
      <c r="N3103" s="883">
        <v>110000</v>
      </c>
      <c r="O3103" s="55">
        <v>719</v>
      </c>
      <c r="P3103" s="78">
        <v>110000</v>
      </c>
    </row>
    <row r="3104" spans="9:16" ht="15.75" customHeight="1" thickBot="1">
      <c r="I3104" s="882"/>
      <c r="J3104" s="876"/>
      <c r="K3104" s="878"/>
      <c r="L3104" s="880"/>
      <c r="M3104" s="882"/>
      <c r="N3104" s="884"/>
      <c r="O3104" s="56">
        <v>721</v>
      </c>
      <c r="P3104" s="79">
        <f>+N3103-P3103</f>
        <v>0</v>
      </c>
    </row>
    <row r="3105" spans="9:16" ht="15" customHeight="1">
      <c r="I3105" s="881"/>
      <c r="J3105" s="875"/>
      <c r="K3105" s="877"/>
      <c r="L3105" s="879"/>
      <c r="M3105" s="881"/>
      <c r="N3105" s="883"/>
      <c r="O3105" s="55"/>
      <c r="P3105" s="78"/>
    </row>
    <row r="3106" spans="9:16" ht="15.75" customHeight="1" thickBot="1">
      <c r="I3106" s="882"/>
      <c r="J3106" s="876"/>
      <c r="K3106" s="878"/>
      <c r="L3106" s="880"/>
      <c r="M3106" s="882"/>
      <c r="N3106" s="884"/>
      <c r="O3106" s="56"/>
      <c r="P3106" s="79"/>
    </row>
    <row r="3107" spans="9:16" ht="14.25" customHeight="1">
      <c r="I3107" s="881"/>
      <c r="J3107" s="875"/>
      <c r="K3107" s="877"/>
      <c r="L3107" s="879"/>
      <c r="M3107" s="881"/>
      <c r="N3107" s="883"/>
      <c r="O3107" s="55">
        <v>719</v>
      </c>
      <c r="P3107" s="78"/>
    </row>
    <row r="3108" spans="9:16" ht="13.5" customHeight="1" thickBot="1">
      <c r="I3108" s="882"/>
      <c r="J3108" s="876"/>
      <c r="K3108" s="878"/>
      <c r="L3108" s="880"/>
      <c r="M3108" s="882"/>
      <c r="N3108" s="884"/>
      <c r="O3108" s="56">
        <v>721</v>
      </c>
      <c r="P3108" s="79">
        <f>+N3107-P3107</f>
        <v>0</v>
      </c>
    </row>
    <row r="3109" spans="9:16" ht="16.5" thickBot="1">
      <c r="I3109" s="901" t="s">
        <v>102</v>
      </c>
      <c r="J3109" s="902"/>
      <c r="K3109" s="902"/>
      <c r="L3109" s="902"/>
      <c r="M3109" s="903"/>
      <c r="N3109" s="81">
        <f>SUM(N3099:N3108)</f>
        <v>250000</v>
      </c>
    </row>
    <row r="3110" spans="9:16" ht="16.5" thickBot="1">
      <c r="I3110" s="885" t="s">
        <v>103</v>
      </c>
      <c r="J3110" s="886"/>
      <c r="K3110" s="886"/>
      <c r="L3110" s="886"/>
      <c r="M3110" s="887"/>
      <c r="N3110" s="69">
        <f>+N3074</f>
        <v>639470647</v>
      </c>
      <c r="O3110" s="241" t="s">
        <v>561</v>
      </c>
      <c r="P3110" s="242">
        <f>158+308+108</f>
        <v>574</v>
      </c>
    </row>
    <row r="3111" spans="9:16" ht="16.5" thickBot="1">
      <c r="I3111" s="888" t="s">
        <v>104</v>
      </c>
      <c r="J3111" s="889"/>
      <c r="K3111" s="889"/>
      <c r="L3111" s="889"/>
      <c r="M3111" s="890"/>
      <c r="N3111" s="183">
        <f>SUM(N3109:N3110)</f>
        <v>639720647</v>
      </c>
    </row>
    <row r="3112" spans="9:16">
      <c r="I3112" s="61"/>
      <c r="J3112" s="61"/>
      <c r="K3112" s="61"/>
      <c r="L3112" s="61"/>
      <c r="M3112" s="61"/>
    </row>
    <row r="3113" spans="9:16">
      <c r="I3113" s="51" t="s">
        <v>1228</v>
      </c>
    </row>
    <row r="3114" spans="9:16" ht="12.75" customHeight="1">
      <c r="N3114" s="139"/>
    </row>
    <row r="3115" spans="9:16">
      <c r="I3115" s="50" t="s">
        <v>105</v>
      </c>
      <c r="L3115" s="146"/>
      <c r="N3115" s="139"/>
    </row>
    <row r="3116" spans="9:16" ht="12.75" customHeight="1" thickBot="1"/>
    <row r="3117" spans="9:16" ht="15.75" thickBot="1">
      <c r="I3117" s="891" t="s">
        <v>106</v>
      </c>
      <c r="J3117" s="892"/>
      <c r="K3117" s="892"/>
      <c r="L3117" s="893"/>
      <c r="N3117" s="50" t="s">
        <v>288</v>
      </c>
    </row>
    <row r="3118" spans="9:16" ht="30.75" thickBot="1">
      <c r="I3118" s="57" t="s">
        <v>100</v>
      </c>
      <c r="J3118" s="58" t="s">
        <v>108</v>
      </c>
      <c r="K3118" s="287" t="s">
        <v>109</v>
      </c>
      <c r="L3118" s="60" t="s">
        <v>110</v>
      </c>
    </row>
    <row r="3119" spans="9:16">
      <c r="I3119" s="71">
        <v>719</v>
      </c>
      <c r="J3119" s="73">
        <f>+P3099+P3101+P3103+P3105</f>
        <v>250000</v>
      </c>
      <c r="K3119" s="74">
        <f>+L3082</f>
        <v>47561700</v>
      </c>
      <c r="L3119" s="195">
        <f>+J3119+K3119</f>
        <v>47811700</v>
      </c>
    </row>
    <row r="3120" spans="9:16">
      <c r="I3120" s="72">
        <v>721</v>
      </c>
      <c r="J3120" s="80"/>
      <c r="K3120" s="74">
        <f>+L3083</f>
        <v>170725996</v>
      </c>
      <c r="L3120" s="195">
        <f>+J3120+K3120</f>
        <v>170725996</v>
      </c>
    </row>
    <row r="3121" spans="9:16">
      <c r="I3121" s="72">
        <v>722</v>
      </c>
      <c r="J3121" s="80"/>
      <c r="K3121" s="74">
        <f>+L3084</f>
        <v>21129900</v>
      </c>
      <c r="L3121" s="195">
        <f>+J3121+K3121</f>
        <v>21129900</v>
      </c>
    </row>
    <row r="3122" spans="9:16" ht="15.75">
      <c r="I3122" s="72">
        <v>723</v>
      </c>
      <c r="J3122" s="80">
        <f>+P3106</f>
        <v>0</v>
      </c>
      <c r="K3122" s="74">
        <f>+L3085</f>
        <v>399255551</v>
      </c>
      <c r="L3122" s="195">
        <f>+J3122+K3122</f>
        <v>399255551</v>
      </c>
      <c r="N3122" s="193" t="s">
        <v>289</v>
      </c>
      <c r="O3122" s="175"/>
    </row>
    <row r="3123" spans="9:16" ht="16.5" thickBot="1">
      <c r="I3123" s="164" t="s">
        <v>1077</v>
      </c>
      <c r="J3123" s="165"/>
      <c r="K3123" s="74">
        <f>+L3086</f>
        <v>797500</v>
      </c>
      <c r="L3123" s="196">
        <f>+J3123+K3123</f>
        <v>797500</v>
      </c>
      <c r="N3123" s="52"/>
    </row>
    <row r="3124" spans="9:16" ht="16.5" thickBot="1">
      <c r="I3124" s="169"/>
      <c r="J3124" s="197">
        <f>SUM(J3119:J3123)</f>
        <v>250000</v>
      </c>
      <c r="K3124" s="197">
        <f>SUM(K3119:K3123)</f>
        <v>639470647</v>
      </c>
      <c r="L3124" s="198">
        <f>SUM(L3119:L3123)</f>
        <v>639720647</v>
      </c>
    </row>
    <row r="3125" spans="9:16" ht="16.5">
      <c r="I3125" s="49" t="s">
        <v>88</v>
      </c>
      <c r="J3125" s="50"/>
    </row>
    <row r="3126" spans="9:16">
      <c r="I3126" s="51" t="s">
        <v>89</v>
      </c>
    </row>
    <row r="3127" spans="9:16">
      <c r="I3127" s="51" t="s">
        <v>90</v>
      </c>
    </row>
    <row r="3128" spans="9:16">
      <c r="I3128" s="51" t="s">
        <v>91</v>
      </c>
    </row>
    <row r="3129" spans="9:16" ht="12" customHeight="1">
      <c r="I3129" s="50"/>
      <c r="J3129" s="50"/>
    </row>
    <row r="3130" spans="9:16" ht="15.75">
      <c r="I3130" s="260" t="s">
        <v>1227</v>
      </c>
      <c r="O3130" s="52"/>
    </row>
    <row r="3131" spans="9:16" ht="15.75">
      <c r="I3131" s="53" t="s">
        <v>535</v>
      </c>
      <c r="O3131" s="53"/>
    </row>
    <row r="3132" spans="9:16" ht="16.5">
      <c r="I3132" s="894" t="s">
        <v>1226</v>
      </c>
      <c r="J3132" s="894"/>
      <c r="K3132" s="894"/>
      <c r="L3132" s="894"/>
      <c r="M3132" s="894"/>
      <c r="N3132" s="894"/>
      <c r="O3132" s="894"/>
      <c r="P3132" s="894"/>
    </row>
    <row r="3133" spans="9:16" ht="15.75" thickBot="1"/>
    <row r="3134" spans="9:16">
      <c r="I3134" s="895" t="s">
        <v>94</v>
      </c>
      <c r="J3134" s="897" t="s">
        <v>95</v>
      </c>
      <c r="K3134" s="897" t="s">
        <v>96</v>
      </c>
      <c r="L3134" s="897" t="s">
        <v>3</v>
      </c>
      <c r="M3134" s="897" t="s">
        <v>97</v>
      </c>
      <c r="N3134" s="897" t="s">
        <v>98</v>
      </c>
      <c r="O3134" s="897" t="s">
        <v>99</v>
      </c>
      <c r="P3134" s="899"/>
    </row>
    <row r="3135" spans="9:16" ht="15.75" thickBot="1">
      <c r="I3135" s="896"/>
      <c r="J3135" s="898"/>
      <c r="K3135" s="898"/>
      <c r="L3135" s="898"/>
      <c r="M3135" s="898"/>
      <c r="N3135" s="898"/>
      <c r="O3135" s="240" t="s">
        <v>100</v>
      </c>
      <c r="P3135" s="182" t="s">
        <v>101</v>
      </c>
    </row>
    <row r="3136" spans="9:16">
      <c r="I3136" s="881">
        <v>334</v>
      </c>
      <c r="J3136" s="875">
        <v>42704</v>
      </c>
      <c r="K3136" s="877" t="s">
        <v>267</v>
      </c>
      <c r="L3136" s="879" t="s">
        <v>1233</v>
      </c>
      <c r="M3136" s="881" t="s">
        <v>148</v>
      </c>
      <c r="N3136" s="883">
        <v>65000</v>
      </c>
      <c r="O3136" s="55">
        <v>719</v>
      </c>
      <c r="P3136" s="78">
        <v>50000</v>
      </c>
    </row>
    <row r="3137" spans="9:16" ht="15.75" thickBot="1">
      <c r="I3137" s="882"/>
      <c r="J3137" s="876"/>
      <c r="K3137" s="878"/>
      <c r="L3137" s="880"/>
      <c r="M3137" s="882"/>
      <c r="N3137" s="884"/>
      <c r="O3137" s="56">
        <v>721</v>
      </c>
      <c r="P3137" s="79">
        <f>+N3136-P3136</f>
        <v>15000</v>
      </c>
    </row>
    <row r="3138" spans="9:16" ht="15" customHeight="1">
      <c r="I3138" s="881">
        <v>335</v>
      </c>
      <c r="J3138" s="875">
        <v>42704</v>
      </c>
      <c r="K3138" s="877" t="s">
        <v>28</v>
      </c>
      <c r="L3138" s="879" t="s">
        <v>1234</v>
      </c>
      <c r="M3138" s="881" t="s">
        <v>148</v>
      </c>
      <c r="N3138" s="883">
        <v>390000</v>
      </c>
      <c r="O3138" s="55">
        <v>719</v>
      </c>
      <c r="P3138" s="78">
        <v>300000</v>
      </c>
    </row>
    <row r="3139" spans="9:16" ht="15.75" customHeight="1" thickBot="1">
      <c r="I3139" s="882"/>
      <c r="J3139" s="876"/>
      <c r="K3139" s="878"/>
      <c r="L3139" s="880"/>
      <c r="M3139" s="882"/>
      <c r="N3139" s="884"/>
      <c r="O3139" s="56">
        <v>721</v>
      </c>
      <c r="P3139" s="79">
        <f>+N3138-P3138</f>
        <v>90000</v>
      </c>
    </row>
    <row r="3140" spans="9:16" ht="15" customHeight="1">
      <c r="I3140" s="881">
        <v>336</v>
      </c>
      <c r="J3140" s="875">
        <v>42704</v>
      </c>
      <c r="K3140" s="877" t="s">
        <v>111</v>
      </c>
      <c r="L3140" s="879" t="s">
        <v>1232</v>
      </c>
      <c r="M3140" s="881" t="s">
        <v>148</v>
      </c>
      <c r="N3140" s="883">
        <v>104000</v>
      </c>
      <c r="O3140" s="55">
        <v>719</v>
      </c>
      <c r="P3140" s="78">
        <v>80000</v>
      </c>
    </row>
    <row r="3141" spans="9:16" ht="15.75" customHeight="1" thickBot="1">
      <c r="I3141" s="882"/>
      <c r="J3141" s="876"/>
      <c r="K3141" s="878"/>
      <c r="L3141" s="880"/>
      <c r="M3141" s="882"/>
      <c r="N3141" s="884"/>
      <c r="O3141" s="56">
        <v>721</v>
      </c>
      <c r="P3141" s="79">
        <f>+N3140-P3140</f>
        <v>24000</v>
      </c>
    </row>
    <row r="3142" spans="9:16" ht="15" customHeight="1">
      <c r="I3142" s="881">
        <v>337</v>
      </c>
      <c r="J3142" s="875">
        <v>42704</v>
      </c>
      <c r="K3142" s="877" t="s">
        <v>1014</v>
      </c>
      <c r="L3142" s="879" t="s">
        <v>1231</v>
      </c>
      <c r="M3142" s="881" t="s">
        <v>148</v>
      </c>
      <c r="N3142" s="883">
        <v>676000</v>
      </c>
      <c r="O3142" s="55">
        <v>719</v>
      </c>
      <c r="P3142" s="78">
        <v>520000</v>
      </c>
    </row>
    <row r="3143" spans="9:16" ht="15.75" customHeight="1" thickBot="1">
      <c r="I3143" s="882"/>
      <c r="J3143" s="876"/>
      <c r="K3143" s="878"/>
      <c r="L3143" s="880"/>
      <c r="M3143" s="882"/>
      <c r="N3143" s="884"/>
      <c r="O3143" s="56">
        <v>721</v>
      </c>
      <c r="P3143" s="79">
        <f>+N3142-P3142</f>
        <v>156000</v>
      </c>
    </row>
    <row r="3144" spans="9:16" ht="15" customHeight="1">
      <c r="I3144" s="881">
        <v>338</v>
      </c>
      <c r="J3144" s="875">
        <v>42704</v>
      </c>
      <c r="K3144" s="877" t="s">
        <v>1223</v>
      </c>
      <c r="L3144" s="879" t="s">
        <v>1225</v>
      </c>
      <c r="M3144" s="881" t="s">
        <v>148</v>
      </c>
      <c r="N3144" s="883">
        <v>6240000</v>
      </c>
      <c r="O3144" s="55">
        <v>719</v>
      </c>
      <c r="P3144" s="78">
        <v>0</v>
      </c>
    </row>
    <row r="3145" spans="9:16" ht="15.75" customHeight="1" thickBot="1">
      <c r="I3145" s="882"/>
      <c r="J3145" s="876"/>
      <c r="K3145" s="878"/>
      <c r="L3145" s="880"/>
      <c r="M3145" s="882"/>
      <c r="N3145" s="884"/>
      <c r="O3145" s="56">
        <v>723</v>
      </c>
      <c r="P3145" s="79">
        <f>+N3144-P3144</f>
        <v>6240000</v>
      </c>
    </row>
    <row r="3146" spans="9:16" ht="16.5" thickBot="1">
      <c r="I3146" s="901" t="s">
        <v>102</v>
      </c>
      <c r="J3146" s="902"/>
      <c r="K3146" s="902"/>
      <c r="L3146" s="902"/>
      <c r="M3146" s="903"/>
      <c r="N3146" s="81">
        <f>SUM(N3136:N3145)</f>
        <v>7475000</v>
      </c>
    </row>
    <row r="3147" spans="9:16" ht="16.5" thickBot="1">
      <c r="I3147" s="885" t="s">
        <v>103</v>
      </c>
      <c r="J3147" s="886"/>
      <c r="K3147" s="886"/>
      <c r="L3147" s="886"/>
      <c r="M3147" s="887"/>
      <c r="N3147" s="69">
        <f>+N3111</f>
        <v>639720647</v>
      </c>
      <c r="O3147" s="241" t="s">
        <v>561</v>
      </c>
      <c r="P3147" s="242">
        <f>33+37+514+915</f>
        <v>1499</v>
      </c>
    </row>
    <row r="3148" spans="9:16" ht="16.5" thickBot="1">
      <c r="I3148" s="888" t="s">
        <v>104</v>
      </c>
      <c r="J3148" s="889"/>
      <c r="K3148" s="889"/>
      <c r="L3148" s="889"/>
      <c r="M3148" s="890"/>
      <c r="N3148" s="183">
        <f>SUM(N3146:N3147)</f>
        <v>647195647</v>
      </c>
    </row>
    <row r="3149" spans="9:16" ht="12.75" customHeight="1">
      <c r="I3149" s="61"/>
      <c r="J3149" s="61"/>
      <c r="K3149" s="61"/>
      <c r="L3149" s="61"/>
      <c r="M3149" s="61"/>
    </row>
    <row r="3150" spans="9:16">
      <c r="I3150" s="51" t="s">
        <v>1230</v>
      </c>
    </row>
    <row r="3151" spans="9:16" ht="13.5" customHeight="1">
      <c r="N3151" s="139"/>
    </row>
    <row r="3152" spans="9:16">
      <c r="I3152" s="50" t="s">
        <v>105</v>
      </c>
      <c r="L3152" s="146"/>
      <c r="N3152" s="139"/>
    </row>
    <row r="3153" spans="9:15" ht="13.5" customHeight="1" thickBot="1"/>
    <row r="3154" spans="9:15" ht="15.75" thickBot="1">
      <c r="I3154" s="891" t="s">
        <v>106</v>
      </c>
      <c r="J3154" s="892"/>
      <c r="K3154" s="892"/>
      <c r="L3154" s="893"/>
      <c r="N3154" s="50" t="s">
        <v>288</v>
      </c>
    </row>
    <row r="3155" spans="9:15" ht="30.75" thickBot="1">
      <c r="I3155" s="57" t="s">
        <v>100</v>
      </c>
      <c r="J3155" s="58" t="s">
        <v>108</v>
      </c>
      <c r="K3155" s="287" t="s">
        <v>109</v>
      </c>
      <c r="L3155" s="60" t="s">
        <v>110</v>
      </c>
    </row>
    <row r="3156" spans="9:15">
      <c r="I3156" s="71">
        <v>719</v>
      </c>
      <c r="J3156" s="73">
        <f>+P3136+P3138+P3140+P3142</f>
        <v>950000</v>
      </c>
      <c r="K3156" s="74">
        <f>+L3119</f>
        <v>47811700</v>
      </c>
      <c r="L3156" s="195">
        <f>+J3156+K3156</f>
        <v>48761700</v>
      </c>
    </row>
    <row r="3157" spans="9:15">
      <c r="I3157" s="72">
        <v>721</v>
      </c>
      <c r="J3157" s="80">
        <f>+P3143+P3141+P3139+P3137</f>
        <v>285000</v>
      </c>
      <c r="K3157" s="74">
        <f>+L3120</f>
        <v>170725996</v>
      </c>
      <c r="L3157" s="195">
        <f>+J3157+K3157</f>
        <v>171010996</v>
      </c>
    </row>
    <row r="3158" spans="9:15">
      <c r="I3158" s="72">
        <v>722</v>
      </c>
      <c r="J3158" s="80"/>
      <c r="K3158" s="74">
        <f>+L3121</f>
        <v>21129900</v>
      </c>
      <c r="L3158" s="195">
        <f>+J3158+K3158</f>
        <v>21129900</v>
      </c>
    </row>
    <row r="3159" spans="9:15" ht="15.75">
      <c r="I3159" s="72">
        <v>723</v>
      </c>
      <c r="J3159" s="80">
        <f>+P3145</f>
        <v>6240000</v>
      </c>
      <c r="K3159" s="74">
        <f>+L3122</f>
        <v>399255551</v>
      </c>
      <c r="L3159" s="195">
        <f>+J3159+K3159</f>
        <v>405495551</v>
      </c>
      <c r="N3159" s="193" t="s">
        <v>289</v>
      </c>
      <c r="O3159" s="175"/>
    </row>
    <row r="3160" spans="9:15" ht="16.5" thickBot="1">
      <c r="I3160" s="164" t="s">
        <v>1077</v>
      </c>
      <c r="J3160" s="165"/>
      <c r="K3160" s="74">
        <f>+L3123</f>
        <v>797500</v>
      </c>
      <c r="L3160" s="196">
        <f>+J3160+K3160</f>
        <v>797500</v>
      </c>
      <c r="N3160" s="52"/>
    </row>
    <row r="3161" spans="9:15" ht="16.5" thickBot="1">
      <c r="I3161" s="169"/>
      <c r="J3161" s="197">
        <f>SUM(J3156:J3160)</f>
        <v>7475000</v>
      </c>
      <c r="K3161" s="197">
        <f>SUM(K3156:K3160)</f>
        <v>639720647</v>
      </c>
      <c r="L3161" s="198">
        <f>SUM(L3156:L3160)</f>
        <v>647195647</v>
      </c>
    </row>
    <row r="3162" spans="9:15" ht="16.5">
      <c r="I3162" s="49" t="s">
        <v>88</v>
      </c>
      <c r="J3162" s="50"/>
    </row>
    <row r="3163" spans="9:15">
      <c r="I3163" s="51" t="s">
        <v>89</v>
      </c>
      <c r="L3163" s="139"/>
    </row>
    <row r="3164" spans="9:15">
      <c r="I3164" s="51" t="s">
        <v>90</v>
      </c>
    </row>
    <row r="3165" spans="9:15">
      <c r="I3165" s="51" t="s">
        <v>91</v>
      </c>
    </row>
    <row r="3166" spans="9:15" ht="9.75" customHeight="1">
      <c r="I3166" s="50"/>
      <c r="J3166" s="50"/>
    </row>
    <row r="3167" spans="9:15" ht="15.75">
      <c r="I3167" s="260" t="s">
        <v>1238</v>
      </c>
      <c r="O3167" s="52"/>
    </row>
    <row r="3168" spans="9:15" ht="15.75">
      <c r="I3168" s="53" t="s">
        <v>535</v>
      </c>
      <c r="O3168" s="53"/>
    </row>
    <row r="3169" spans="9:16" ht="16.5">
      <c r="I3169" s="894" t="s">
        <v>1243</v>
      </c>
      <c r="J3169" s="894"/>
      <c r="K3169" s="894"/>
      <c r="L3169" s="894"/>
      <c r="M3169" s="894"/>
      <c r="N3169" s="894"/>
      <c r="O3169" s="894"/>
      <c r="P3169" s="894"/>
    </row>
    <row r="3170" spans="9:16" ht="13.5" customHeight="1" thickBot="1"/>
    <row r="3171" spans="9:16">
      <c r="I3171" s="895" t="s">
        <v>94</v>
      </c>
      <c r="J3171" s="897" t="s">
        <v>95</v>
      </c>
      <c r="K3171" s="897" t="s">
        <v>96</v>
      </c>
      <c r="L3171" s="897" t="s">
        <v>3</v>
      </c>
      <c r="M3171" s="897" t="s">
        <v>97</v>
      </c>
      <c r="N3171" s="897" t="s">
        <v>98</v>
      </c>
      <c r="O3171" s="897" t="s">
        <v>99</v>
      </c>
      <c r="P3171" s="899"/>
    </row>
    <row r="3172" spans="9:16" ht="15.75" thickBot="1">
      <c r="I3172" s="896"/>
      <c r="J3172" s="898"/>
      <c r="K3172" s="898"/>
      <c r="L3172" s="898"/>
      <c r="M3172" s="898"/>
      <c r="N3172" s="898"/>
      <c r="O3172" s="240" t="s">
        <v>100</v>
      </c>
      <c r="P3172" s="182" t="s">
        <v>101</v>
      </c>
    </row>
    <row r="3173" spans="9:16" ht="13.5" customHeight="1">
      <c r="I3173" s="881">
        <v>339</v>
      </c>
      <c r="J3173" s="875">
        <v>42712</v>
      </c>
      <c r="K3173" s="877" t="s">
        <v>1014</v>
      </c>
      <c r="L3173" s="879" t="s">
        <v>1239</v>
      </c>
      <c r="M3173" s="881" t="s">
        <v>115</v>
      </c>
      <c r="N3173" s="883">
        <v>80000</v>
      </c>
      <c r="O3173" s="55">
        <v>719</v>
      </c>
      <c r="P3173" s="78">
        <v>80000</v>
      </c>
    </row>
    <row r="3174" spans="9:16" ht="13.5" customHeight="1" thickBot="1">
      <c r="I3174" s="882"/>
      <c r="J3174" s="876"/>
      <c r="K3174" s="878"/>
      <c r="L3174" s="880"/>
      <c r="M3174" s="882"/>
      <c r="N3174" s="884"/>
      <c r="O3174" s="56">
        <v>721</v>
      </c>
      <c r="P3174" s="79">
        <f>+N3173-P3173</f>
        <v>0</v>
      </c>
    </row>
    <row r="3175" spans="9:16" ht="14.25" customHeight="1">
      <c r="I3175" s="881">
        <v>340</v>
      </c>
      <c r="J3175" s="875">
        <v>42712</v>
      </c>
      <c r="K3175" s="877" t="s">
        <v>120</v>
      </c>
      <c r="L3175" s="879" t="s">
        <v>1239</v>
      </c>
      <c r="M3175" s="881" t="s">
        <v>115</v>
      </c>
      <c r="N3175" s="883">
        <v>140000</v>
      </c>
      <c r="O3175" s="55">
        <v>719</v>
      </c>
      <c r="P3175" s="78">
        <v>140000</v>
      </c>
    </row>
    <row r="3176" spans="9:16" ht="14.25" customHeight="1" thickBot="1">
      <c r="I3176" s="882"/>
      <c r="J3176" s="876"/>
      <c r="K3176" s="878"/>
      <c r="L3176" s="880"/>
      <c r="M3176" s="882"/>
      <c r="N3176" s="884"/>
      <c r="O3176" s="56">
        <v>721</v>
      </c>
      <c r="P3176" s="79">
        <f>+N3175-P3175</f>
        <v>0</v>
      </c>
    </row>
    <row r="3177" spans="9:16" ht="12.75" customHeight="1">
      <c r="I3177" s="881">
        <v>341</v>
      </c>
      <c r="J3177" s="875">
        <v>42712</v>
      </c>
      <c r="K3177" s="877" t="s">
        <v>28</v>
      </c>
      <c r="L3177" s="879" t="s">
        <v>1239</v>
      </c>
      <c r="M3177" s="881" t="s">
        <v>115</v>
      </c>
      <c r="N3177" s="883">
        <v>60000</v>
      </c>
      <c r="O3177" s="55">
        <v>719</v>
      </c>
      <c r="P3177" s="78">
        <v>60000</v>
      </c>
    </row>
    <row r="3178" spans="9:16" ht="13.5" customHeight="1" thickBot="1">
      <c r="I3178" s="882"/>
      <c r="J3178" s="876"/>
      <c r="K3178" s="878"/>
      <c r="L3178" s="880"/>
      <c r="M3178" s="882"/>
      <c r="N3178" s="884"/>
      <c r="O3178" s="56">
        <v>721</v>
      </c>
      <c r="P3178" s="79">
        <f>+N3177-P3177</f>
        <v>0</v>
      </c>
    </row>
    <row r="3179" spans="9:16" ht="13.5" customHeight="1">
      <c r="I3179" s="881">
        <v>342</v>
      </c>
      <c r="J3179" s="875">
        <v>42712</v>
      </c>
      <c r="K3179" s="877" t="s">
        <v>1174</v>
      </c>
      <c r="L3179" s="879" t="s">
        <v>1240</v>
      </c>
      <c r="M3179" s="881" t="s">
        <v>148</v>
      </c>
      <c r="N3179" s="883">
        <v>6287553</v>
      </c>
      <c r="O3179" s="55">
        <v>719</v>
      </c>
      <c r="P3179" s="78"/>
    </row>
    <row r="3180" spans="9:16" ht="15.75" customHeight="1" thickBot="1">
      <c r="I3180" s="882"/>
      <c r="J3180" s="876"/>
      <c r="K3180" s="878"/>
      <c r="L3180" s="880"/>
      <c r="M3180" s="882"/>
      <c r="N3180" s="884"/>
      <c r="O3180" s="56">
        <v>723</v>
      </c>
      <c r="P3180" s="79">
        <f>+N3179-P3179</f>
        <v>6287553</v>
      </c>
    </row>
    <row r="3181" spans="9:16" ht="14.25" customHeight="1">
      <c r="I3181" s="881">
        <v>343</v>
      </c>
      <c r="J3181" s="875">
        <v>42712</v>
      </c>
      <c r="K3181" s="877" t="s">
        <v>738</v>
      </c>
      <c r="L3181" s="879" t="s">
        <v>1244</v>
      </c>
      <c r="M3181" s="881" t="s">
        <v>148</v>
      </c>
      <c r="N3181" s="883">
        <v>5345430</v>
      </c>
      <c r="O3181" s="55">
        <v>719</v>
      </c>
      <c r="P3181" s="78">
        <v>0</v>
      </c>
    </row>
    <row r="3182" spans="9:16" ht="14.25" customHeight="1" thickBot="1">
      <c r="I3182" s="882"/>
      <c r="J3182" s="876"/>
      <c r="K3182" s="878"/>
      <c r="L3182" s="880"/>
      <c r="M3182" s="882"/>
      <c r="N3182" s="884"/>
      <c r="O3182" s="56">
        <v>721</v>
      </c>
      <c r="P3182" s="351">
        <f>+N3181-P3181</f>
        <v>5345430</v>
      </c>
    </row>
    <row r="3183" spans="9:16" ht="13.5" customHeight="1">
      <c r="I3183" s="881">
        <v>344</v>
      </c>
      <c r="J3183" s="875">
        <v>42712</v>
      </c>
      <c r="K3183" s="877" t="s">
        <v>738</v>
      </c>
      <c r="L3183" s="879" t="s">
        <v>1245</v>
      </c>
      <c r="M3183" s="881" t="s">
        <v>148</v>
      </c>
      <c r="N3183" s="883">
        <v>64517844</v>
      </c>
      <c r="O3183" s="55">
        <v>719</v>
      </c>
      <c r="P3183" s="78">
        <v>0</v>
      </c>
    </row>
    <row r="3184" spans="9:16" ht="13.5" customHeight="1" thickBot="1">
      <c r="I3184" s="882"/>
      <c r="J3184" s="876"/>
      <c r="K3184" s="878"/>
      <c r="L3184" s="880"/>
      <c r="M3184" s="882"/>
      <c r="N3184" s="884"/>
      <c r="O3184" s="56">
        <v>721</v>
      </c>
      <c r="P3184" s="351">
        <f>+N3183-P3183</f>
        <v>64517844</v>
      </c>
    </row>
    <row r="3185" spans="9:16" ht="16.5" thickBot="1">
      <c r="I3185" s="901" t="s">
        <v>102</v>
      </c>
      <c r="J3185" s="902"/>
      <c r="K3185" s="902"/>
      <c r="L3185" s="902"/>
      <c r="M3185" s="903"/>
      <c r="N3185" s="81">
        <f>SUM(N3173:N3184)</f>
        <v>76430827</v>
      </c>
    </row>
    <row r="3186" spans="9:16" ht="16.5" thickBot="1">
      <c r="I3186" s="885" t="s">
        <v>103</v>
      </c>
      <c r="J3186" s="886"/>
      <c r="K3186" s="886"/>
      <c r="L3186" s="886"/>
      <c r="M3186" s="887"/>
      <c r="N3186" s="69">
        <f>+N3148</f>
        <v>647195647</v>
      </c>
      <c r="O3186" s="241" t="s">
        <v>561</v>
      </c>
      <c r="P3186" s="242">
        <f>95+174+227</f>
        <v>496</v>
      </c>
    </row>
    <row r="3187" spans="9:16" ht="16.5" thickBot="1">
      <c r="I3187" s="888" t="s">
        <v>104</v>
      </c>
      <c r="J3187" s="889"/>
      <c r="K3187" s="889"/>
      <c r="L3187" s="889"/>
      <c r="M3187" s="890"/>
      <c r="N3187" s="183">
        <f>SUM(N3185:N3186)</f>
        <v>723626474</v>
      </c>
    </row>
    <row r="3188" spans="9:16" ht="13.5" customHeight="1">
      <c r="I3188" s="61"/>
      <c r="J3188" s="61"/>
      <c r="K3188" s="61"/>
      <c r="L3188" s="61"/>
      <c r="M3188" s="61"/>
    </row>
    <row r="3189" spans="9:16">
      <c r="I3189" s="51" t="s">
        <v>1246</v>
      </c>
    </row>
    <row r="3190" spans="9:16" ht="11.25" customHeight="1">
      <c r="N3190" s="139"/>
    </row>
    <row r="3191" spans="9:16">
      <c r="I3191" s="50" t="s">
        <v>105</v>
      </c>
      <c r="L3191" s="146"/>
      <c r="N3191" s="139"/>
    </row>
    <row r="3192" spans="9:16" ht="11.25" customHeight="1" thickBot="1"/>
    <row r="3193" spans="9:16" ht="15.75" thickBot="1">
      <c r="I3193" s="891" t="s">
        <v>106</v>
      </c>
      <c r="J3193" s="892"/>
      <c r="K3193" s="892"/>
      <c r="L3193" s="893"/>
      <c r="N3193" s="50" t="s">
        <v>1126</v>
      </c>
    </row>
    <row r="3194" spans="9:16" ht="30.75" thickBot="1">
      <c r="I3194" s="57" t="s">
        <v>100</v>
      </c>
      <c r="J3194" s="58" t="s">
        <v>108</v>
      </c>
      <c r="K3194" s="287" t="s">
        <v>109</v>
      </c>
      <c r="L3194" s="60" t="s">
        <v>110</v>
      </c>
    </row>
    <row r="3195" spans="9:16">
      <c r="I3195" s="71">
        <v>719</v>
      </c>
      <c r="J3195" s="73">
        <f>+P3173+P3177+P3179+P3175</f>
        <v>280000</v>
      </c>
      <c r="K3195" s="74">
        <f>+L3156</f>
        <v>48761700</v>
      </c>
      <c r="L3195" s="195">
        <f>+J3195+K3195</f>
        <v>49041700</v>
      </c>
    </row>
    <row r="3196" spans="9:16">
      <c r="I3196" s="72">
        <v>721</v>
      </c>
      <c r="J3196" s="80">
        <f>+P3184</f>
        <v>64517844</v>
      </c>
      <c r="K3196" s="74">
        <f>+L3157</f>
        <v>171010996</v>
      </c>
      <c r="L3196" s="195">
        <f>+J3196+K3196</f>
        <v>235528840</v>
      </c>
    </row>
    <row r="3197" spans="9:16" ht="13.5" customHeight="1">
      <c r="I3197" s="72">
        <v>722</v>
      </c>
      <c r="J3197" s="80"/>
      <c r="K3197" s="74">
        <f>+L3158</f>
        <v>21129900</v>
      </c>
      <c r="L3197" s="195">
        <f>+J3197+K3197</f>
        <v>21129900</v>
      </c>
    </row>
    <row r="3198" spans="9:16" ht="14.25" customHeight="1">
      <c r="I3198" s="72">
        <v>723</v>
      </c>
      <c r="J3198" s="80">
        <f>+P3180+P3182</f>
        <v>11632983</v>
      </c>
      <c r="K3198" s="74">
        <f>+L3159</f>
        <v>405495551</v>
      </c>
      <c r="L3198" s="195">
        <f>+J3198+K3198</f>
        <v>417128534</v>
      </c>
      <c r="M3198" s="139"/>
      <c r="N3198" s="193" t="s">
        <v>1125</v>
      </c>
      <c r="O3198" s="175"/>
    </row>
    <row r="3199" spans="9:16" ht="15" customHeight="1" thickBot="1">
      <c r="I3199" s="164" t="s">
        <v>1077</v>
      </c>
      <c r="J3199" s="165"/>
      <c r="K3199" s="74">
        <f>+L3160</f>
        <v>797500</v>
      </c>
      <c r="L3199" s="196">
        <f>+J3199+K3199</f>
        <v>797500</v>
      </c>
      <c r="N3199" s="52"/>
    </row>
    <row r="3200" spans="9:16" ht="16.5" thickBot="1">
      <c r="I3200" s="169"/>
      <c r="J3200" s="197">
        <f>SUM(J3195:J3199)</f>
        <v>76430827</v>
      </c>
      <c r="K3200" s="197">
        <f>SUM(K3195:K3199)</f>
        <v>647195647</v>
      </c>
      <c r="L3200" s="198">
        <f>SUM(L3195:L3199)</f>
        <v>723626474</v>
      </c>
    </row>
    <row r="3201" spans="9:18" ht="16.5">
      <c r="I3201" s="49" t="s">
        <v>88</v>
      </c>
      <c r="J3201" s="50"/>
    </row>
    <row r="3202" spans="9:18">
      <c r="I3202" s="51" t="s">
        <v>89</v>
      </c>
    </row>
    <row r="3203" spans="9:18">
      <c r="I3203" s="51" t="s">
        <v>90</v>
      </c>
    </row>
    <row r="3204" spans="9:18">
      <c r="I3204" s="51" t="s">
        <v>91</v>
      </c>
    </row>
    <row r="3205" spans="9:18" ht="17.25" customHeight="1">
      <c r="I3205" s="50"/>
      <c r="J3205" s="50"/>
    </row>
    <row r="3206" spans="9:18" ht="15.75">
      <c r="I3206" s="260" t="s">
        <v>1242</v>
      </c>
      <c r="O3206" s="52"/>
    </row>
    <row r="3207" spans="9:18" ht="18" customHeight="1">
      <c r="I3207" s="53" t="s">
        <v>535</v>
      </c>
      <c r="O3207" s="53"/>
    </row>
    <row r="3208" spans="9:18" ht="16.5">
      <c r="I3208" s="894" t="s">
        <v>1278</v>
      </c>
      <c r="J3208" s="894"/>
      <c r="K3208" s="894"/>
      <c r="L3208" s="894"/>
      <c r="M3208" s="894"/>
      <c r="N3208" s="894"/>
      <c r="O3208" s="894"/>
      <c r="P3208" s="894"/>
    </row>
    <row r="3209" spans="9:18" ht="15.75" thickBot="1"/>
    <row r="3210" spans="9:18">
      <c r="I3210" s="895" t="s">
        <v>94</v>
      </c>
      <c r="J3210" s="897" t="s">
        <v>95</v>
      </c>
      <c r="K3210" s="897" t="s">
        <v>96</v>
      </c>
      <c r="L3210" s="897" t="s">
        <v>3</v>
      </c>
      <c r="M3210" s="897" t="s">
        <v>97</v>
      </c>
      <c r="N3210" s="897" t="s">
        <v>98</v>
      </c>
      <c r="O3210" s="897" t="s">
        <v>99</v>
      </c>
      <c r="P3210" s="899"/>
    </row>
    <row r="3211" spans="9:18" ht="15.75" thickBot="1">
      <c r="I3211" s="896"/>
      <c r="J3211" s="898"/>
      <c r="K3211" s="898"/>
      <c r="L3211" s="898"/>
      <c r="M3211" s="898"/>
      <c r="N3211" s="898"/>
      <c r="O3211" s="240" t="s">
        <v>100</v>
      </c>
      <c r="P3211" s="182" t="s">
        <v>101</v>
      </c>
    </row>
    <row r="3212" spans="9:18">
      <c r="I3212" s="881">
        <v>345</v>
      </c>
      <c r="J3212" s="875">
        <v>42725</v>
      </c>
      <c r="K3212" s="877" t="s">
        <v>1014</v>
      </c>
      <c r="L3212" s="879" t="s">
        <v>1260</v>
      </c>
      <c r="M3212" s="881" t="s">
        <v>115</v>
      </c>
      <c r="N3212" s="883">
        <v>160000</v>
      </c>
      <c r="O3212" s="55">
        <v>719</v>
      </c>
      <c r="P3212" s="78">
        <v>160000</v>
      </c>
    </row>
    <row r="3213" spans="9:18" ht="15.75" thickBot="1">
      <c r="I3213" s="882"/>
      <c r="J3213" s="876"/>
      <c r="K3213" s="878"/>
      <c r="L3213" s="880"/>
      <c r="M3213" s="882"/>
      <c r="N3213" s="884"/>
      <c r="O3213" s="56">
        <v>721</v>
      </c>
      <c r="P3213" s="351">
        <f>+N3212-P3212</f>
        <v>0</v>
      </c>
    </row>
    <row r="3214" spans="9:18" ht="15" customHeight="1">
      <c r="I3214" s="881">
        <f>+I3212+1</f>
        <v>346</v>
      </c>
      <c r="J3214" s="875">
        <v>42725</v>
      </c>
      <c r="K3214" s="877" t="s">
        <v>28</v>
      </c>
      <c r="L3214" s="879" t="s">
        <v>1276</v>
      </c>
      <c r="M3214" s="881" t="s">
        <v>115</v>
      </c>
      <c r="N3214" s="883">
        <v>60000</v>
      </c>
      <c r="O3214" s="55">
        <v>722</v>
      </c>
      <c r="P3214" s="78">
        <v>60000</v>
      </c>
    </row>
    <row r="3215" spans="9:18" ht="15.75" customHeight="1" thickBot="1">
      <c r="I3215" s="882"/>
      <c r="J3215" s="876"/>
      <c r="K3215" s="878"/>
      <c r="L3215" s="880"/>
      <c r="M3215" s="882"/>
      <c r="N3215" s="884"/>
      <c r="O3215" s="56">
        <v>721</v>
      </c>
      <c r="P3215" s="352">
        <f>+N3214-P3214</f>
        <v>0</v>
      </c>
    </row>
    <row r="3216" spans="9:18" ht="15" customHeight="1">
      <c r="I3216" s="881">
        <f>+I3214+1</f>
        <v>347</v>
      </c>
      <c r="J3216" s="875">
        <v>42725</v>
      </c>
      <c r="K3216" s="877" t="s">
        <v>120</v>
      </c>
      <c r="L3216" s="879" t="s">
        <v>1276</v>
      </c>
      <c r="M3216" s="881" t="s">
        <v>115</v>
      </c>
      <c r="N3216" s="883">
        <v>140000</v>
      </c>
      <c r="O3216" s="55">
        <v>722</v>
      </c>
      <c r="P3216" s="78">
        <v>140000</v>
      </c>
      <c r="R3216" s="875"/>
    </row>
    <row r="3217" spans="9:18" ht="15.75" customHeight="1" thickBot="1">
      <c r="I3217" s="882"/>
      <c r="J3217" s="876"/>
      <c r="K3217" s="878"/>
      <c r="L3217" s="880"/>
      <c r="M3217" s="882"/>
      <c r="N3217" s="884"/>
      <c r="O3217" s="56">
        <v>721</v>
      </c>
      <c r="P3217" s="352">
        <f>+N3216-P3216</f>
        <v>0</v>
      </c>
      <c r="R3217" s="876"/>
    </row>
    <row r="3218" spans="9:18" ht="15" customHeight="1">
      <c r="I3218" s="881"/>
      <c r="J3218" s="875"/>
      <c r="K3218" s="877"/>
      <c r="L3218" s="879"/>
      <c r="M3218" s="881"/>
      <c r="N3218" s="883"/>
      <c r="O3218" s="55">
        <v>722</v>
      </c>
      <c r="P3218" s="78"/>
    </row>
    <row r="3219" spans="9:18" ht="15.75" customHeight="1" thickBot="1">
      <c r="I3219" s="882"/>
      <c r="J3219" s="876"/>
      <c r="K3219" s="878"/>
      <c r="L3219" s="880"/>
      <c r="M3219" s="882"/>
      <c r="N3219" s="884"/>
      <c r="O3219" s="56">
        <v>721</v>
      </c>
      <c r="P3219" s="79">
        <f>+N3218-P3218</f>
        <v>0</v>
      </c>
    </row>
    <row r="3220" spans="9:18" ht="16.5" thickBot="1">
      <c r="I3220" s="901" t="s">
        <v>102</v>
      </c>
      <c r="J3220" s="902"/>
      <c r="K3220" s="902"/>
      <c r="L3220" s="902"/>
      <c r="M3220" s="903"/>
      <c r="N3220" s="81">
        <f>SUM(N3212:N3219)</f>
        <v>360000</v>
      </c>
    </row>
    <row r="3221" spans="9:18" ht="16.5" thickBot="1">
      <c r="I3221" s="885" t="s">
        <v>103</v>
      </c>
      <c r="J3221" s="886"/>
      <c r="K3221" s="886"/>
      <c r="L3221" s="886"/>
      <c r="M3221" s="887"/>
      <c r="N3221" s="69">
        <f>+N3187</f>
        <v>723626474</v>
      </c>
      <c r="O3221" s="241" t="s">
        <v>561</v>
      </c>
      <c r="P3221" s="242">
        <f>108+107+310</f>
        <v>525</v>
      </c>
    </row>
    <row r="3222" spans="9:18" ht="16.5" thickBot="1">
      <c r="I3222" s="888" t="s">
        <v>104</v>
      </c>
      <c r="J3222" s="889"/>
      <c r="K3222" s="889"/>
      <c r="L3222" s="889"/>
      <c r="M3222" s="890"/>
      <c r="N3222" s="183">
        <f>SUM(N3220:N3221)</f>
        <v>723986474</v>
      </c>
    </row>
    <row r="3223" spans="9:18">
      <c r="I3223" s="61"/>
      <c r="J3223" s="61"/>
      <c r="K3223" s="61"/>
      <c r="L3223" s="61"/>
      <c r="M3223" s="61"/>
    </row>
    <row r="3224" spans="9:18">
      <c r="I3224" s="51" t="s">
        <v>1261</v>
      </c>
    </row>
    <row r="3225" spans="9:18" ht="19.5" customHeight="1">
      <c r="N3225" s="139"/>
    </row>
    <row r="3226" spans="9:18">
      <c r="I3226" s="50" t="s">
        <v>105</v>
      </c>
      <c r="L3226" s="146"/>
      <c r="N3226" s="139"/>
    </row>
    <row r="3227" spans="9:18" ht="15.75" thickBot="1"/>
    <row r="3228" spans="9:18" ht="15.75" thickBot="1">
      <c r="I3228" s="891" t="s">
        <v>106</v>
      </c>
      <c r="J3228" s="892"/>
      <c r="K3228" s="892"/>
      <c r="L3228" s="893"/>
      <c r="N3228" s="50" t="s">
        <v>288</v>
      </c>
    </row>
    <row r="3229" spans="9:18" ht="30.75" thickBot="1">
      <c r="I3229" s="57" t="s">
        <v>100</v>
      </c>
      <c r="J3229" s="58" t="s">
        <v>108</v>
      </c>
      <c r="K3229" s="287" t="s">
        <v>109</v>
      </c>
      <c r="L3229" s="60" t="s">
        <v>110</v>
      </c>
    </row>
    <row r="3230" spans="9:18">
      <c r="I3230" s="71">
        <v>719</v>
      </c>
      <c r="J3230" s="73">
        <f>+P3212+P3214+P3216+P3218</f>
        <v>360000</v>
      </c>
      <c r="K3230" s="74">
        <f>+L3195</f>
        <v>49041700</v>
      </c>
      <c r="L3230" s="195">
        <f>+J3230+K3230</f>
        <v>49401700</v>
      </c>
    </row>
    <row r="3231" spans="9:18">
      <c r="I3231" s="72">
        <v>721</v>
      </c>
      <c r="J3231" s="80"/>
      <c r="K3231" s="74">
        <f>+L3196</f>
        <v>235528840</v>
      </c>
      <c r="L3231" s="195">
        <f>+J3231+K3231</f>
        <v>235528840</v>
      </c>
    </row>
    <row r="3232" spans="9:18">
      <c r="I3232" s="72">
        <v>722</v>
      </c>
      <c r="J3232" s="80"/>
      <c r="K3232" s="74">
        <f>+L3197</f>
        <v>21129900</v>
      </c>
      <c r="L3232" s="195">
        <f>+J3232+K3232</f>
        <v>21129900</v>
      </c>
    </row>
    <row r="3233" spans="9:16" ht="15.75">
      <c r="I3233" s="72">
        <v>723</v>
      </c>
      <c r="J3233" s="80"/>
      <c r="K3233" s="74">
        <f>+L3198</f>
        <v>417128534</v>
      </c>
      <c r="L3233" s="195">
        <f>+J3233+K3233</f>
        <v>417128534</v>
      </c>
      <c r="N3233" s="193" t="s">
        <v>289</v>
      </c>
      <c r="O3233" s="175"/>
    </row>
    <row r="3234" spans="9:16" ht="16.5" thickBot="1">
      <c r="I3234" s="164" t="s">
        <v>1077</v>
      </c>
      <c r="J3234" s="165"/>
      <c r="K3234" s="74">
        <f>+L3199</f>
        <v>797500</v>
      </c>
      <c r="L3234" s="196">
        <f>+J3234+K3234</f>
        <v>797500</v>
      </c>
      <c r="N3234" s="52"/>
    </row>
    <row r="3235" spans="9:16" ht="16.5" thickBot="1">
      <c r="I3235" s="169"/>
      <c r="J3235" s="197">
        <f>SUM(J3230:J3234)</f>
        <v>360000</v>
      </c>
      <c r="K3235" s="197">
        <f>SUM(K3230:K3234)</f>
        <v>723626474</v>
      </c>
      <c r="L3235" s="198">
        <f>SUM(L3230:L3234)</f>
        <v>723986474</v>
      </c>
    </row>
    <row r="3236" spans="9:16" ht="16.5">
      <c r="I3236" s="49" t="s">
        <v>88</v>
      </c>
      <c r="J3236" s="50"/>
    </row>
    <row r="3237" spans="9:16">
      <c r="I3237" s="51" t="s">
        <v>89</v>
      </c>
    </row>
    <row r="3238" spans="9:16">
      <c r="I3238" s="51" t="s">
        <v>90</v>
      </c>
    </row>
    <row r="3239" spans="9:16">
      <c r="I3239" s="51" t="s">
        <v>91</v>
      </c>
    </row>
    <row r="3240" spans="9:16" ht="14.25" customHeight="1">
      <c r="I3240" s="50"/>
      <c r="J3240" s="50"/>
    </row>
    <row r="3241" spans="9:16" ht="15.75">
      <c r="I3241" s="260" t="s">
        <v>1264</v>
      </c>
      <c r="O3241" s="52"/>
    </row>
    <row r="3242" spans="9:16" ht="15.75">
      <c r="I3242" s="53" t="s">
        <v>535</v>
      </c>
      <c r="O3242" s="53"/>
    </row>
    <row r="3243" spans="9:16" ht="16.5">
      <c r="I3243" s="894" t="s">
        <v>1278</v>
      </c>
      <c r="J3243" s="894"/>
      <c r="K3243" s="894"/>
      <c r="L3243" s="894"/>
      <c r="M3243" s="894"/>
      <c r="N3243" s="894"/>
      <c r="O3243" s="894"/>
      <c r="P3243" s="894"/>
    </row>
    <row r="3244" spans="9:16" ht="15.75" thickBot="1"/>
    <row r="3245" spans="9:16">
      <c r="I3245" s="895" t="s">
        <v>94</v>
      </c>
      <c r="J3245" s="897" t="s">
        <v>95</v>
      </c>
      <c r="K3245" s="897" t="s">
        <v>96</v>
      </c>
      <c r="L3245" s="897" t="s">
        <v>3</v>
      </c>
      <c r="M3245" s="897" t="s">
        <v>97</v>
      </c>
      <c r="N3245" s="897" t="s">
        <v>98</v>
      </c>
      <c r="O3245" s="897" t="s">
        <v>99</v>
      </c>
      <c r="P3245" s="899"/>
    </row>
    <row r="3246" spans="9:16" ht="15.75" thickBot="1">
      <c r="I3246" s="896"/>
      <c r="J3246" s="898"/>
      <c r="K3246" s="898"/>
      <c r="L3246" s="898"/>
      <c r="M3246" s="898"/>
      <c r="N3246" s="898"/>
      <c r="O3246" s="240" t="s">
        <v>100</v>
      </c>
      <c r="P3246" s="182" t="s">
        <v>101</v>
      </c>
    </row>
    <row r="3247" spans="9:16">
      <c r="I3247" s="881">
        <v>348</v>
      </c>
      <c r="J3247" s="875">
        <v>42725</v>
      </c>
      <c r="K3247" s="877" t="s">
        <v>1014</v>
      </c>
      <c r="L3247" s="879" t="s">
        <v>1263</v>
      </c>
      <c r="M3247" s="881" t="s">
        <v>115</v>
      </c>
      <c r="N3247" s="883">
        <v>140000</v>
      </c>
      <c r="O3247" s="55">
        <v>719</v>
      </c>
      <c r="P3247" s="78">
        <v>140000</v>
      </c>
    </row>
    <row r="3248" spans="9:16" ht="15.75" thickBot="1">
      <c r="I3248" s="882"/>
      <c r="J3248" s="876"/>
      <c r="K3248" s="878"/>
      <c r="L3248" s="880"/>
      <c r="M3248" s="882"/>
      <c r="N3248" s="884"/>
      <c r="O3248" s="56">
        <v>721</v>
      </c>
      <c r="P3248" s="351">
        <f>+N3247-P3247</f>
        <v>0</v>
      </c>
    </row>
    <row r="3249" spans="9:16">
      <c r="I3249" s="881">
        <f>+I3247+1</f>
        <v>349</v>
      </c>
      <c r="J3249" s="875">
        <v>42725</v>
      </c>
      <c r="K3249" s="877" t="s">
        <v>28</v>
      </c>
      <c r="L3249" s="879" t="s">
        <v>1266</v>
      </c>
      <c r="M3249" s="881" t="s">
        <v>115</v>
      </c>
      <c r="N3249" s="883">
        <v>50000</v>
      </c>
      <c r="O3249" s="55">
        <v>722</v>
      </c>
      <c r="P3249" s="78">
        <v>50000</v>
      </c>
    </row>
    <row r="3250" spans="9:16" ht="15.75" thickBot="1">
      <c r="I3250" s="882"/>
      <c r="J3250" s="876"/>
      <c r="K3250" s="878"/>
      <c r="L3250" s="880"/>
      <c r="M3250" s="882"/>
      <c r="N3250" s="884"/>
      <c r="O3250" s="56">
        <v>721</v>
      </c>
      <c r="P3250" s="352"/>
    </row>
    <row r="3251" spans="9:16">
      <c r="I3251" s="881">
        <f>+I3249+1</f>
        <v>350</v>
      </c>
      <c r="J3251" s="875">
        <v>42725</v>
      </c>
      <c r="K3251" s="877" t="s">
        <v>120</v>
      </c>
      <c r="L3251" s="879" t="s">
        <v>1262</v>
      </c>
      <c r="M3251" s="881" t="s">
        <v>115</v>
      </c>
      <c r="N3251" s="883">
        <v>140000</v>
      </c>
      <c r="O3251" s="55">
        <v>722</v>
      </c>
      <c r="P3251" s="78">
        <v>140000</v>
      </c>
    </row>
    <row r="3252" spans="9:16" ht="15.75" thickBot="1">
      <c r="I3252" s="882"/>
      <c r="J3252" s="876"/>
      <c r="K3252" s="878"/>
      <c r="L3252" s="880"/>
      <c r="M3252" s="882"/>
      <c r="N3252" s="884"/>
      <c r="O3252" s="56">
        <v>721</v>
      </c>
      <c r="P3252" s="352">
        <f>+N3251-P3251</f>
        <v>0</v>
      </c>
    </row>
    <row r="3253" spans="9:16">
      <c r="I3253" s="881"/>
      <c r="J3253" s="875"/>
      <c r="K3253" s="877"/>
      <c r="L3253" s="879"/>
      <c r="M3253" s="881"/>
      <c r="N3253" s="883"/>
      <c r="O3253" s="55">
        <v>722</v>
      </c>
      <c r="P3253" s="78"/>
    </row>
    <row r="3254" spans="9:16" ht="15.75" thickBot="1">
      <c r="I3254" s="882"/>
      <c r="J3254" s="876"/>
      <c r="K3254" s="878"/>
      <c r="L3254" s="880"/>
      <c r="M3254" s="882"/>
      <c r="N3254" s="884"/>
      <c r="O3254" s="56">
        <v>721</v>
      </c>
      <c r="P3254" s="79">
        <f>+N3253-P3253</f>
        <v>0</v>
      </c>
    </row>
    <row r="3255" spans="9:16" ht="16.5" thickBot="1">
      <c r="I3255" s="901" t="s">
        <v>102</v>
      </c>
      <c r="J3255" s="902"/>
      <c r="K3255" s="902"/>
      <c r="L3255" s="902"/>
      <c r="M3255" s="903"/>
      <c r="N3255" s="81">
        <f>SUM(N3247:N3254)</f>
        <v>330000</v>
      </c>
    </row>
    <row r="3256" spans="9:16" ht="16.5" thickBot="1">
      <c r="I3256" s="885" t="s">
        <v>103</v>
      </c>
      <c r="J3256" s="886"/>
      <c r="K3256" s="886"/>
      <c r="L3256" s="886"/>
      <c r="M3256" s="887"/>
      <c r="N3256" s="69">
        <f>+N3222</f>
        <v>723986474</v>
      </c>
      <c r="O3256" s="241" t="s">
        <v>561</v>
      </c>
      <c r="P3256" s="242">
        <f>404+83+122</f>
        <v>609</v>
      </c>
    </row>
    <row r="3257" spans="9:16" ht="16.5" thickBot="1">
      <c r="I3257" s="888" t="s">
        <v>104</v>
      </c>
      <c r="J3257" s="889"/>
      <c r="K3257" s="889"/>
      <c r="L3257" s="889"/>
      <c r="M3257" s="890"/>
      <c r="N3257" s="183">
        <f>SUM(N3255:N3256)</f>
        <v>724316474</v>
      </c>
    </row>
    <row r="3258" spans="9:16">
      <c r="I3258" s="61"/>
      <c r="J3258" s="61"/>
      <c r="K3258" s="61"/>
      <c r="L3258" s="61"/>
      <c r="M3258" s="61"/>
    </row>
    <row r="3259" spans="9:16">
      <c r="I3259" s="51" t="s">
        <v>1265</v>
      </c>
    </row>
    <row r="3260" spans="9:16">
      <c r="N3260" s="139"/>
    </row>
    <row r="3261" spans="9:16">
      <c r="I3261" s="50" t="s">
        <v>105</v>
      </c>
      <c r="L3261" s="146"/>
      <c r="N3261" s="139"/>
    </row>
    <row r="3262" spans="9:16" ht="15.75" thickBot="1"/>
    <row r="3263" spans="9:16" ht="15.75" thickBot="1">
      <c r="I3263" s="891" t="s">
        <v>106</v>
      </c>
      <c r="J3263" s="892"/>
      <c r="K3263" s="892"/>
      <c r="L3263" s="893"/>
      <c r="N3263" s="50" t="s">
        <v>288</v>
      </c>
    </row>
    <row r="3264" spans="9:16" ht="30.75" thickBot="1">
      <c r="I3264" s="57" t="s">
        <v>100</v>
      </c>
      <c r="J3264" s="58" t="s">
        <v>108</v>
      </c>
      <c r="K3264" s="287" t="s">
        <v>109</v>
      </c>
      <c r="L3264" s="60" t="s">
        <v>110</v>
      </c>
    </row>
    <row r="3265" spans="9:16">
      <c r="I3265" s="71">
        <v>719</v>
      </c>
      <c r="J3265" s="73">
        <f>+P3247+P3249+P3251+P3253</f>
        <v>330000</v>
      </c>
      <c r="K3265" s="74">
        <f>+L3230</f>
        <v>49401700</v>
      </c>
      <c r="L3265" s="195">
        <f>+J3265+K3265</f>
        <v>49731700</v>
      </c>
    </row>
    <row r="3266" spans="9:16">
      <c r="I3266" s="72">
        <v>721</v>
      </c>
      <c r="J3266" s="80"/>
      <c r="K3266" s="74">
        <f>+L3231</f>
        <v>235528840</v>
      </c>
      <c r="L3266" s="195">
        <f>+J3266+K3266</f>
        <v>235528840</v>
      </c>
    </row>
    <row r="3267" spans="9:16">
      <c r="I3267" s="72">
        <v>722</v>
      </c>
      <c r="J3267" s="80"/>
      <c r="K3267" s="74">
        <f>+L3232</f>
        <v>21129900</v>
      </c>
      <c r="L3267" s="195">
        <f>+J3267+K3267</f>
        <v>21129900</v>
      </c>
    </row>
    <row r="3268" spans="9:16" ht="15.75">
      <c r="I3268" s="72">
        <v>723</v>
      </c>
      <c r="J3268" s="80"/>
      <c r="K3268" s="74">
        <f>+L3233</f>
        <v>417128534</v>
      </c>
      <c r="L3268" s="195">
        <f>+J3268+K3268</f>
        <v>417128534</v>
      </c>
      <c r="N3268" s="193" t="s">
        <v>289</v>
      </c>
      <c r="O3268" s="175"/>
    </row>
    <row r="3269" spans="9:16" ht="16.5" thickBot="1">
      <c r="I3269" s="164" t="s">
        <v>1077</v>
      </c>
      <c r="J3269" s="165"/>
      <c r="K3269" s="74">
        <f>+L3234</f>
        <v>797500</v>
      </c>
      <c r="L3269" s="196">
        <f>+J3269+K3269</f>
        <v>797500</v>
      </c>
      <c r="N3269" s="52"/>
    </row>
    <row r="3270" spans="9:16" ht="16.5" thickBot="1">
      <c r="I3270" s="169"/>
      <c r="J3270" s="197">
        <f>SUM(J3265:J3269)</f>
        <v>330000</v>
      </c>
      <c r="K3270" s="197">
        <f>SUM(K3265:K3269)</f>
        <v>723986474</v>
      </c>
      <c r="L3270" s="198">
        <f>SUM(L3265:L3269)</f>
        <v>724316474</v>
      </c>
    </row>
    <row r="3272" spans="9:16" ht="16.5">
      <c r="I3272" s="49" t="s">
        <v>88</v>
      </c>
      <c r="J3272" s="50"/>
    </row>
    <row r="3273" spans="9:16">
      <c r="I3273" s="51" t="s">
        <v>89</v>
      </c>
    </row>
    <row r="3274" spans="9:16">
      <c r="I3274" s="51" t="s">
        <v>90</v>
      </c>
    </row>
    <row r="3275" spans="9:16">
      <c r="I3275" s="51" t="s">
        <v>91</v>
      </c>
    </row>
    <row r="3276" spans="9:16">
      <c r="I3276" s="50"/>
      <c r="J3276" s="50"/>
    </row>
    <row r="3277" spans="9:16" ht="15.75">
      <c r="I3277" s="260" t="s">
        <v>1272</v>
      </c>
      <c r="O3277" s="52"/>
    </row>
    <row r="3278" spans="9:16" ht="15.75">
      <c r="I3278" s="53" t="s">
        <v>535</v>
      </c>
      <c r="O3278" s="53"/>
    </row>
    <row r="3279" spans="9:16" ht="16.5">
      <c r="I3279" s="894" t="s">
        <v>1277</v>
      </c>
      <c r="J3279" s="894"/>
      <c r="K3279" s="894"/>
      <c r="L3279" s="894"/>
      <c r="M3279" s="894"/>
      <c r="N3279" s="894"/>
      <c r="O3279" s="894"/>
      <c r="P3279" s="894"/>
    </row>
    <row r="3280" spans="9:16" ht="15.75" thickBot="1"/>
    <row r="3281" spans="9:16">
      <c r="I3281" s="895" t="s">
        <v>94</v>
      </c>
      <c r="J3281" s="897" t="s">
        <v>95</v>
      </c>
      <c r="K3281" s="897" t="s">
        <v>96</v>
      </c>
      <c r="L3281" s="897" t="s">
        <v>3</v>
      </c>
      <c r="M3281" s="897" t="s">
        <v>97</v>
      </c>
      <c r="N3281" s="897" t="s">
        <v>98</v>
      </c>
      <c r="O3281" s="897" t="s">
        <v>99</v>
      </c>
      <c r="P3281" s="899"/>
    </row>
    <row r="3282" spans="9:16" ht="15.75" thickBot="1">
      <c r="I3282" s="896"/>
      <c r="J3282" s="898"/>
      <c r="K3282" s="898"/>
      <c r="L3282" s="898"/>
      <c r="M3282" s="898"/>
      <c r="N3282" s="898"/>
      <c r="O3282" s="240" t="s">
        <v>100</v>
      </c>
      <c r="P3282" s="182" t="s">
        <v>101</v>
      </c>
    </row>
    <row r="3283" spans="9:16" ht="15" customHeight="1">
      <c r="I3283" s="881">
        <v>351</v>
      </c>
      <c r="J3283" s="875">
        <v>42732</v>
      </c>
      <c r="K3283" s="877" t="s">
        <v>1267</v>
      </c>
      <c r="L3283" s="879" t="s">
        <v>1270</v>
      </c>
      <c r="M3283" s="881" t="s">
        <v>115</v>
      </c>
      <c r="N3283" s="883">
        <v>14718204</v>
      </c>
      <c r="O3283" s="55">
        <v>719</v>
      </c>
      <c r="P3283" s="78">
        <v>0</v>
      </c>
    </row>
    <row r="3284" spans="9:16" ht="15.75" thickBot="1">
      <c r="I3284" s="882"/>
      <c r="J3284" s="876"/>
      <c r="K3284" s="900"/>
      <c r="L3284" s="880"/>
      <c r="M3284" s="882"/>
      <c r="N3284" s="884"/>
      <c r="O3284" s="56">
        <v>721</v>
      </c>
      <c r="P3284" s="351">
        <f>+N3283-P3283</f>
        <v>14718204</v>
      </c>
    </row>
    <row r="3285" spans="9:16" ht="15" customHeight="1">
      <c r="I3285" s="881">
        <f>+I3283+1</f>
        <v>352</v>
      </c>
      <c r="J3285" s="875">
        <v>42732</v>
      </c>
      <c r="K3285" s="900"/>
      <c r="L3285" s="879" t="s">
        <v>1271</v>
      </c>
      <c r="M3285" s="881" t="s">
        <v>115</v>
      </c>
      <c r="N3285" s="883">
        <v>3962065</v>
      </c>
      <c r="O3285" s="55">
        <v>722</v>
      </c>
      <c r="P3285" s="78">
        <v>0</v>
      </c>
    </row>
    <row r="3286" spans="9:16" ht="15.75" customHeight="1" thickBot="1">
      <c r="I3286" s="882"/>
      <c r="J3286" s="876"/>
      <c r="K3286" s="878"/>
      <c r="L3286" s="880"/>
      <c r="M3286" s="882"/>
      <c r="N3286" s="884"/>
      <c r="O3286" s="56">
        <v>721</v>
      </c>
      <c r="P3286" s="352">
        <f>+N3285-P3285</f>
        <v>3962065</v>
      </c>
    </row>
    <row r="3287" spans="9:16" ht="15" customHeight="1">
      <c r="I3287" s="881">
        <f>+I3285+1</f>
        <v>353</v>
      </c>
      <c r="J3287" s="875">
        <v>42732</v>
      </c>
      <c r="K3287" s="877" t="s">
        <v>1014</v>
      </c>
      <c r="L3287" s="879" t="s">
        <v>1273</v>
      </c>
      <c r="M3287" s="881" t="s">
        <v>115</v>
      </c>
      <c r="N3287" s="883">
        <v>90000</v>
      </c>
      <c r="O3287" s="55">
        <v>722</v>
      </c>
      <c r="P3287" s="78">
        <v>90000</v>
      </c>
    </row>
    <row r="3288" spans="9:16" ht="15.75" customHeight="1" thickBot="1">
      <c r="I3288" s="882"/>
      <c r="J3288" s="876"/>
      <c r="K3288" s="878"/>
      <c r="L3288" s="880"/>
      <c r="M3288" s="882"/>
      <c r="N3288" s="884"/>
      <c r="O3288" s="56">
        <v>721</v>
      </c>
      <c r="P3288" s="352">
        <f>+N3287-P3287</f>
        <v>0</v>
      </c>
    </row>
    <row r="3289" spans="9:16" ht="15" customHeight="1">
      <c r="I3289" s="881">
        <f>+I3287+1</f>
        <v>354</v>
      </c>
      <c r="J3289" s="875">
        <v>42732</v>
      </c>
      <c r="K3289" s="877" t="s">
        <v>120</v>
      </c>
      <c r="L3289" s="879" t="s">
        <v>1274</v>
      </c>
      <c r="M3289" s="881" t="s">
        <v>115</v>
      </c>
      <c r="N3289" s="883">
        <v>60000</v>
      </c>
      <c r="O3289" s="55">
        <v>722</v>
      </c>
      <c r="P3289" s="78">
        <v>60000</v>
      </c>
    </row>
    <row r="3290" spans="9:16" ht="15.75" customHeight="1" thickBot="1">
      <c r="I3290" s="882"/>
      <c r="J3290" s="876"/>
      <c r="K3290" s="878"/>
      <c r="L3290" s="880"/>
      <c r="M3290" s="882"/>
      <c r="N3290" s="884"/>
      <c r="O3290" s="56">
        <v>721</v>
      </c>
      <c r="P3290" s="79">
        <f>+N3289-P3289</f>
        <v>0</v>
      </c>
    </row>
    <row r="3291" spans="9:16" ht="16.5" thickBot="1">
      <c r="I3291" s="901" t="s">
        <v>102</v>
      </c>
      <c r="J3291" s="902"/>
      <c r="K3291" s="902"/>
      <c r="L3291" s="902"/>
      <c r="M3291" s="903"/>
      <c r="N3291" s="81">
        <f>SUM(N3283:N3290)</f>
        <v>18830269</v>
      </c>
    </row>
    <row r="3292" spans="9:16" ht="16.5" thickBot="1">
      <c r="I3292" s="885" t="s">
        <v>103</v>
      </c>
      <c r="J3292" s="886"/>
      <c r="K3292" s="886"/>
      <c r="L3292" s="886"/>
      <c r="M3292" s="887"/>
      <c r="N3292" s="69">
        <f>+N3257</f>
        <v>724316474</v>
      </c>
      <c r="O3292" s="241" t="s">
        <v>561</v>
      </c>
      <c r="P3292" s="242">
        <f>38+294</f>
        <v>332</v>
      </c>
    </row>
    <row r="3293" spans="9:16" ht="16.5" thickBot="1">
      <c r="I3293" s="888" t="s">
        <v>104</v>
      </c>
      <c r="J3293" s="889"/>
      <c r="K3293" s="889"/>
      <c r="L3293" s="889"/>
      <c r="M3293" s="890"/>
      <c r="N3293" s="183">
        <f>SUM(N3291:N3292)</f>
        <v>743146743</v>
      </c>
    </row>
    <row r="3294" spans="9:16">
      <c r="I3294" s="61"/>
      <c r="J3294" s="61"/>
      <c r="K3294" s="61"/>
      <c r="L3294" s="61"/>
      <c r="M3294" s="61"/>
    </row>
    <row r="3295" spans="9:16">
      <c r="I3295" s="51" t="s">
        <v>1275</v>
      </c>
    </row>
    <row r="3296" spans="9:16">
      <c r="N3296" s="139"/>
    </row>
    <row r="3297" spans="9:15">
      <c r="I3297" s="50" t="s">
        <v>105</v>
      </c>
      <c r="L3297" s="146"/>
      <c r="N3297" s="139"/>
    </row>
    <row r="3298" spans="9:15" ht="15.75" thickBot="1"/>
    <row r="3299" spans="9:15" ht="15.75" thickBot="1">
      <c r="I3299" s="891" t="s">
        <v>106</v>
      </c>
      <c r="J3299" s="892"/>
      <c r="K3299" s="892"/>
      <c r="L3299" s="893"/>
      <c r="N3299" s="50" t="s">
        <v>288</v>
      </c>
    </row>
    <row r="3300" spans="9:15" ht="30.75" thickBot="1">
      <c r="I3300" s="57" t="s">
        <v>100</v>
      </c>
      <c r="J3300" s="58" t="s">
        <v>108</v>
      </c>
      <c r="K3300" s="287" t="s">
        <v>109</v>
      </c>
      <c r="L3300" s="60" t="s">
        <v>110</v>
      </c>
    </row>
    <row r="3301" spans="9:15">
      <c r="I3301" s="71">
        <v>719</v>
      </c>
      <c r="J3301" s="73">
        <f>+P3283+P3285+P3287+P3289</f>
        <v>150000</v>
      </c>
      <c r="K3301" s="74">
        <f>+L3265</f>
        <v>49731700</v>
      </c>
      <c r="L3301" s="195">
        <f>+J3301+K3301</f>
        <v>49881700</v>
      </c>
    </row>
    <row r="3302" spans="9:15">
      <c r="I3302" s="72">
        <v>721</v>
      </c>
      <c r="J3302" s="80">
        <f>+P3284+P3286</f>
        <v>18680269</v>
      </c>
      <c r="K3302" s="74">
        <f>+L3266</f>
        <v>235528840</v>
      </c>
      <c r="L3302" s="195">
        <f>+J3302+K3302</f>
        <v>254209109</v>
      </c>
    </row>
    <row r="3303" spans="9:15">
      <c r="I3303" s="72">
        <v>722</v>
      </c>
      <c r="J3303" s="80"/>
      <c r="K3303" s="74">
        <f>+L3267</f>
        <v>21129900</v>
      </c>
      <c r="L3303" s="195">
        <f>+J3303+K3303</f>
        <v>21129900</v>
      </c>
    </row>
    <row r="3304" spans="9:15" ht="15.75">
      <c r="I3304" s="72">
        <v>723</v>
      </c>
      <c r="J3304" s="80"/>
      <c r="K3304" s="74">
        <f>+L3268</f>
        <v>417128534</v>
      </c>
      <c r="L3304" s="195">
        <f>+J3304+K3304</f>
        <v>417128534</v>
      </c>
      <c r="N3304" s="193" t="s">
        <v>289</v>
      </c>
      <c r="O3304" s="175"/>
    </row>
    <row r="3305" spans="9:15" ht="16.5" thickBot="1">
      <c r="I3305" s="164" t="s">
        <v>1077</v>
      </c>
      <c r="J3305" s="165"/>
      <c r="K3305" s="74">
        <f>+L3269</f>
        <v>797500</v>
      </c>
      <c r="L3305" s="196">
        <f>+J3305+K3305</f>
        <v>797500</v>
      </c>
      <c r="N3305" s="52"/>
    </row>
    <row r="3306" spans="9:15" ht="16.5" thickBot="1">
      <c r="I3306" s="169"/>
      <c r="J3306" s="197">
        <f>SUM(J3301:J3305)</f>
        <v>18830269</v>
      </c>
      <c r="K3306" s="197">
        <f>SUM(K3301:K3305)</f>
        <v>724316474</v>
      </c>
      <c r="L3306" s="198">
        <f>SUM(L3301:L3305)</f>
        <v>743146743</v>
      </c>
    </row>
    <row r="3307" spans="9:15" ht="16.5">
      <c r="I3307" s="49" t="s">
        <v>88</v>
      </c>
      <c r="J3307" s="50"/>
    </row>
    <row r="3308" spans="9:15">
      <c r="I3308" s="51" t="s">
        <v>89</v>
      </c>
    </row>
    <row r="3309" spans="9:15">
      <c r="I3309" s="51" t="s">
        <v>90</v>
      </c>
    </row>
    <row r="3310" spans="9:15">
      <c r="I3310" s="51" t="s">
        <v>91</v>
      </c>
    </row>
    <row r="3311" spans="9:15" ht="12" customHeight="1">
      <c r="I3311" s="50"/>
      <c r="J3311" s="50"/>
    </row>
    <row r="3312" spans="9:15" ht="15.75">
      <c r="I3312" s="260" t="s">
        <v>1279</v>
      </c>
      <c r="O3312" s="52"/>
    </row>
    <row r="3313" spans="9:16" ht="15.75">
      <c r="I3313" s="53" t="s">
        <v>535</v>
      </c>
      <c r="O3313" s="53"/>
    </row>
    <row r="3314" spans="9:16" ht="14.25" customHeight="1">
      <c r="I3314" s="894" t="s">
        <v>1288</v>
      </c>
      <c r="J3314" s="894"/>
      <c r="K3314" s="894"/>
      <c r="L3314" s="894"/>
      <c r="M3314" s="894"/>
      <c r="N3314" s="894"/>
      <c r="O3314" s="894"/>
      <c r="P3314" s="894"/>
    </row>
    <row r="3315" spans="9:16" ht="12.75" customHeight="1" thickBot="1"/>
    <row r="3316" spans="9:16">
      <c r="I3316" s="895" t="s">
        <v>94</v>
      </c>
      <c r="J3316" s="897" t="s">
        <v>95</v>
      </c>
      <c r="K3316" s="897" t="s">
        <v>96</v>
      </c>
      <c r="L3316" s="897" t="s">
        <v>3</v>
      </c>
      <c r="M3316" s="897" t="s">
        <v>97</v>
      </c>
      <c r="N3316" s="897" t="s">
        <v>98</v>
      </c>
      <c r="O3316" s="897" t="s">
        <v>99</v>
      </c>
      <c r="P3316" s="899"/>
    </row>
    <row r="3317" spans="9:16" ht="15.75" thickBot="1">
      <c r="I3317" s="896"/>
      <c r="J3317" s="898"/>
      <c r="K3317" s="898"/>
      <c r="L3317" s="898"/>
      <c r="M3317" s="898"/>
      <c r="N3317" s="898"/>
      <c r="O3317" s="240" t="s">
        <v>100</v>
      </c>
      <c r="P3317" s="182" t="s">
        <v>101</v>
      </c>
    </row>
    <row r="3318" spans="9:16" ht="12.75" customHeight="1">
      <c r="I3318" s="881">
        <v>355</v>
      </c>
      <c r="J3318" s="875">
        <v>42734</v>
      </c>
      <c r="K3318" s="877" t="s">
        <v>1280</v>
      </c>
      <c r="L3318" s="904">
        <v>42569</v>
      </c>
      <c r="M3318" s="881" t="s">
        <v>148</v>
      </c>
      <c r="N3318" s="883">
        <v>100000</v>
      </c>
      <c r="O3318" s="55">
        <v>719</v>
      </c>
      <c r="P3318" s="78">
        <v>0</v>
      </c>
    </row>
    <row r="3319" spans="9:16" ht="15.75" thickBot="1">
      <c r="I3319" s="882"/>
      <c r="J3319" s="876"/>
      <c r="K3319" s="878"/>
      <c r="L3319" s="880"/>
      <c r="M3319" s="882"/>
      <c r="N3319" s="884"/>
      <c r="O3319" s="56">
        <v>722</v>
      </c>
      <c r="P3319" s="351">
        <f>+N3318-P3318</f>
        <v>100000</v>
      </c>
    </row>
    <row r="3320" spans="9:16" ht="12" customHeight="1">
      <c r="I3320" s="881">
        <f>+I3318+1</f>
        <v>356</v>
      </c>
      <c r="J3320" s="875">
        <v>42734</v>
      </c>
      <c r="K3320" s="877" t="s">
        <v>1281</v>
      </c>
      <c r="L3320" s="904">
        <v>42569</v>
      </c>
      <c r="M3320" s="881" t="s">
        <v>148</v>
      </c>
      <c r="N3320" s="883">
        <v>100000</v>
      </c>
      <c r="O3320" s="55">
        <v>719</v>
      </c>
      <c r="P3320" s="78">
        <v>0</v>
      </c>
    </row>
    <row r="3321" spans="9:16" ht="15.75" customHeight="1" thickBot="1">
      <c r="I3321" s="882"/>
      <c r="J3321" s="876"/>
      <c r="K3321" s="878"/>
      <c r="L3321" s="880"/>
      <c r="M3321" s="882"/>
      <c r="N3321" s="884"/>
      <c r="O3321" s="56">
        <v>722</v>
      </c>
      <c r="P3321" s="352">
        <f>+N3320-P3320</f>
        <v>100000</v>
      </c>
    </row>
    <row r="3322" spans="9:16" ht="12.75" customHeight="1">
      <c r="I3322" s="881">
        <f>+I3320+1</f>
        <v>357</v>
      </c>
      <c r="J3322" s="875">
        <v>42734</v>
      </c>
      <c r="K3322" s="877" t="s">
        <v>1282</v>
      </c>
      <c r="L3322" s="904">
        <v>42569</v>
      </c>
      <c r="M3322" s="881" t="s">
        <v>148</v>
      </c>
      <c r="N3322" s="883">
        <v>100000</v>
      </c>
      <c r="O3322" s="55">
        <v>719</v>
      </c>
      <c r="P3322" s="78"/>
    </row>
    <row r="3323" spans="9:16" ht="15.75" customHeight="1" thickBot="1">
      <c r="I3323" s="882"/>
      <c r="J3323" s="876"/>
      <c r="K3323" s="878"/>
      <c r="L3323" s="880"/>
      <c r="M3323" s="882"/>
      <c r="N3323" s="884"/>
      <c r="O3323" s="56">
        <v>722</v>
      </c>
      <c r="P3323" s="352">
        <f>+N3322-P3322</f>
        <v>100000</v>
      </c>
    </row>
    <row r="3324" spans="9:16" ht="16.5" customHeight="1">
      <c r="I3324" s="881">
        <f>+I3322+1</f>
        <v>358</v>
      </c>
      <c r="J3324" s="875">
        <v>42734</v>
      </c>
      <c r="K3324" s="877" t="s">
        <v>1284</v>
      </c>
      <c r="L3324" s="904">
        <v>42569</v>
      </c>
      <c r="M3324" s="881" t="s">
        <v>148</v>
      </c>
      <c r="N3324" s="883">
        <v>100000</v>
      </c>
      <c r="O3324" s="55">
        <v>719</v>
      </c>
      <c r="P3324" s="78"/>
    </row>
    <row r="3325" spans="9:16" ht="15" customHeight="1" thickBot="1">
      <c r="I3325" s="882"/>
      <c r="J3325" s="876"/>
      <c r="K3325" s="878"/>
      <c r="L3325" s="907"/>
      <c r="M3325" s="882"/>
      <c r="N3325" s="884"/>
      <c r="O3325" s="56">
        <v>722</v>
      </c>
      <c r="P3325" s="352">
        <f>+N3324-P3324</f>
        <v>100000</v>
      </c>
    </row>
    <row r="3326" spans="9:16" ht="12.75" customHeight="1">
      <c r="I3326" s="881">
        <f>+I3324+1</f>
        <v>359</v>
      </c>
      <c r="J3326" s="875">
        <v>42734</v>
      </c>
      <c r="K3326" s="905" t="s">
        <v>1285</v>
      </c>
      <c r="L3326" s="904">
        <v>42570</v>
      </c>
      <c r="M3326" s="881" t="s">
        <v>148</v>
      </c>
      <c r="N3326" s="883">
        <v>100000</v>
      </c>
      <c r="O3326" s="55">
        <v>719</v>
      </c>
      <c r="P3326" s="78"/>
    </row>
    <row r="3327" spans="9:16" ht="14.25" customHeight="1" thickBot="1">
      <c r="I3327" s="882"/>
      <c r="J3327" s="876"/>
      <c r="K3327" s="906"/>
      <c r="L3327" s="907"/>
      <c r="M3327" s="882"/>
      <c r="N3327" s="884"/>
      <c r="O3327" s="56">
        <v>722</v>
      </c>
      <c r="P3327" s="352">
        <f>+N3326-P3326</f>
        <v>100000</v>
      </c>
    </row>
    <row r="3328" spans="9:16" ht="15" customHeight="1">
      <c r="I3328" s="881">
        <f>+I3326+1</f>
        <v>360</v>
      </c>
      <c r="J3328" s="875">
        <v>42734</v>
      </c>
      <c r="K3328" s="905" t="s">
        <v>1285</v>
      </c>
      <c r="L3328" s="904">
        <v>42570</v>
      </c>
      <c r="M3328" s="881" t="s">
        <v>148</v>
      </c>
      <c r="N3328" s="883">
        <v>100000</v>
      </c>
      <c r="O3328" s="55">
        <v>719</v>
      </c>
      <c r="P3328" s="78"/>
    </row>
    <row r="3329" spans="9:16" ht="15.75" customHeight="1" thickBot="1">
      <c r="I3329" s="882"/>
      <c r="J3329" s="876"/>
      <c r="K3329" s="906"/>
      <c r="L3329" s="907"/>
      <c r="M3329" s="882"/>
      <c r="N3329" s="884"/>
      <c r="O3329" s="56">
        <v>722</v>
      </c>
      <c r="P3329" s="79">
        <f>+N3328-P3328</f>
        <v>100000</v>
      </c>
    </row>
    <row r="3330" spans="9:16" ht="16.5" thickBot="1">
      <c r="I3330" s="901" t="s">
        <v>102</v>
      </c>
      <c r="J3330" s="902"/>
      <c r="K3330" s="902"/>
      <c r="L3330" s="902"/>
      <c r="M3330" s="903"/>
      <c r="N3330" s="81">
        <f>SUM(N3318:N3329)</f>
        <v>600000</v>
      </c>
    </row>
    <row r="3331" spans="9:16" ht="16.5" thickBot="1">
      <c r="I3331" s="885" t="s">
        <v>103</v>
      </c>
      <c r="J3331" s="886"/>
      <c r="K3331" s="886"/>
      <c r="L3331" s="886"/>
      <c r="M3331" s="887"/>
      <c r="N3331" s="69">
        <f>+N3293</f>
        <v>743146743</v>
      </c>
      <c r="O3331" s="241" t="s">
        <v>561</v>
      </c>
      <c r="P3331" s="242"/>
    </row>
    <row r="3332" spans="9:16" ht="16.5" thickBot="1">
      <c r="I3332" s="888" t="s">
        <v>104</v>
      </c>
      <c r="J3332" s="889"/>
      <c r="K3332" s="889"/>
      <c r="L3332" s="889"/>
      <c r="M3332" s="890"/>
      <c r="N3332" s="183">
        <f>SUM(N3330:N3331)</f>
        <v>743746743</v>
      </c>
    </row>
    <row r="3333" spans="9:16">
      <c r="I3333" s="61"/>
      <c r="J3333" s="61"/>
      <c r="K3333" s="61"/>
      <c r="L3333" s="61"/>
      <c r="M3333" s="61"/>
    </row>
    <row r="3334" spans="9:16">
      <c r="I3334" s="51" t="s">
        <v>1286</v>
      </c>
    </row>
    <row r="3335" spans="9:16" ht="11.25" customHeight="1">
      <c r="N3335" s="139"/>
    </row>
    <row r="3336" spans="9:16">
      <c r="I3336" s="50" t="s">
        <v>105</v>
      </c>
      <c r="L3336" s="146"/>
      <c r="N3336" s="139"/>
    </row>
    <row r="3337" spans="9:16" ht="13.5" customHeight="1" thickBot="1"/>
    <row r="3338" spans="9:16" ht="15.75" thickBot="1">
      <c r="I3338" s="891" t="s">
        <v>106</v>
      </c>
      <c r="J3338" s="892"/>
      <c r="K3338" s="892"/>
      <c r="L3338" s="893"/>
      <c r="N3338" s="50" t="s">
        <v>288</v>
      </c>
    </row>
    <row r="3339" spans="9:16" ht="30.75" thickBot="1">
      <c r="I3339" s="57" t="s">
        <v>100</v>
      </c>
      <c r="J3339" s="58" t="s">
        <v>108</v>
      </c>
      <c r="K3339" s="287" t="s">
        <v>109</v>
      </c>
      <c r="L3339" s="60" t="s">
        <v>110</v>
      </c>
    </row>
    <row r="3340" spans="9:16">
      <c r="I3340" s="71">
        <v>719</v>
      </c>
      <c r="J3340" s="73">
        <f>+P3318+P3320+P3326+P3328</f>
        <v>0</v>
      </c>
      <c r="K3340" s="74">
        <f>+L3301</f>
        <v>49881700</v>
      </c>
      <c r="L3340" s="195">
        <f>+J3340+K3340</f>
        <v>49881700</v>
      </c>
    </row>
    <row r="3341" spans="9:16">
      <c r="I3341" s="72">
        <v>721</v>
      </c>
      <c r="J3341" s="80"/>
      <c r="K3341" s="74">
        <f>+L3302</f>
        <v>254209109</v>
      </c>
      <c r="L3341" s="195">
        <f>+J3341+K3341</f>
        <v>254209109</v>
      </c>
    </row>
    <row r="3342" spans="9:16">
      <c r="I3342" s="72">
        <v>722</v>
      </c>
      <c r="J3342" s="80">
        <f>+P3329+P3327+P3323+P3321+P3319+P3325</f>
        <v>600000</v>
      </c>
      <c r="K3342" s="74">
        <f>+L3303</f>
        <v>21129900</v>
      </c>
      <c r="L3342" s="195">
        <f>+J3342+K3342</f>
        <v>21729900</v>
      </c>
    </row>
    <row r="3343" spans="9:16" ht="15.75">
      <c r="I3343" s="72">
        <v>723</v>
      </c>
      <c r="J3343" s="80"/>
      <c r="K3343" s="74">
        <f>+L3304</f>
        <v>417128534</v>
      </c>
      <c r="L3343" s="195">
        <f>+J3343+K3343</f>
        <v>417128534</v>
      </c>
      <c r="N3343" s="193" t="s">
        <v>289</v>
      </c>
      <c r="O3343" s="175"/>
    </row>
    <row r="3344" spans="9:16" ht="16.5" thickBot="1">
      <c r="I3344" s="164" t="s">
        <v>1077</v>
      </c>
      <c r="J3344" s="165"/>
      <c r="K3344" s="74">
        <f>+L3305</f>
        <v>797500</v>
      </c>
      <c r="L3344" s="196">
        <f>+J3344+K3344</f>
        <v>797500</v>
      </c>
      <c r="N3344" s="52"/>
    </row>
    <row r="3345" spans="9:16" ht="16.5" thickBot="1">
      <c r="I3345" s="169"/>
      <c r="J3345" s="197">
        <f>SUM(J3340:J3344)</f>
        <v>600000</v>
      </c>
      <c r="K3345" s="197">
        <f>SUM(K3340:K3344)</f>
        <v>743146743</v>
      </c>
      <c r="L3345" s="198">
        <f>SUM(L3340:L3344)</f>
        <v>743746743</v>
      </c>
    </row>
    <row r="3346" spans="9:16" ht="16.5">
      <c r="I3346" s="49" t="s">
        <v>88</v>
      </c>
      <c r="J3346" s="50"/>
    </row>
    <row r="3347" spans="9:16">
      <c r="I3347" s="51" t="s">
        <v>89</v>
      </c>
    </row>
    <row r="3348" spans="9:16">
      <c r="I3348" s="51" t="s">
        <v>90</v>
      </c>
    </row>
    <row r="3349" spans="9:16">
      <c r="I3349" s="51" t="s">
        <v>91</v>
      </c>
    </row>
    <row r="3350" spans="9:16">
      <c r="I3350" s="50"/>
      <c r="J3350" s="50"/>
    </row>
    <row r="3351" spans="9:16" ht="15.75">
      <c r="I3351" s="260" t="s">
        <v>1283</v>
      </c>
      <c r="O3351" s="52"/>
    </row>
    <row r="3352" spans="9:16" ht="15.75">
      <c r="I3352" s="53" t="s">
        <v>535</v>
      </c>
      <c r="O3352" s="53"/>
    </row>
    <row r="3353" spans="9:16" ht="16.5">
      <c r="I3353" s="894" t="s">
        <v>1288</v>
      </c>
      <c r="J3353" s="894"/>
      <c r="K3353" s="894"/>
      <c r="L3353" s="894"/>
      <c r="M3353" s="894"/>
      <c r="N3353" s="894"/>
      <c r="O3353" s="894"/>
      <c r="P3353" s="894"/>
    </row>
    <row r="3354" spans="9:16" ht="15.75" thickBot="1"/>
    <row r="3355" spans="9:16">
      <c r="I3355" s="895" t="s">
        <v>94</v>
      </c>
      <c r="J3355" s="897" t="s">
        <v>95</v>
      </c>
      <c r="K3355" s="897" t="s">
        <v>96</v>
      </c>
      <c r="L3355" s="897" t="s">
        <v>3</v>
      </c>
      <c r="M3355" s="897" t="s">
        <v>97</v>
      </c>
      <c r="N3355" s="897" t="s">
        <v>98</v>
      </c>
      <c r="O3355" s="897" t="s">
        <v>99</v>
      </c>
      <c r="P3355" s="899"/>
    </row>
    <row r="3356" spans="9:16" ht="15.75" thickBot="1">
      <c r="I3356" s="896"/>
      <c r="J3356" s="898"/>
      <c r="K3356" s="898"/>
      <c r="L3356" s="898"/>
      <c r="M3356" s="898"/>
      <c r="N3356" s="898"/>
      <c r="O3356" s="240" t="s">
        <v>100</v>
      </c>
      <c r="P3356" s="182" t="s">
        <v>101</v>
      </c>
    </row>
    <row r="3357" spans="9:16" ht="15" customHeight="1">
      <c r="I3357" s="873" t="s">
        <v>552</v>
      </c>
      <c r="J3357" s="875">
        <v>42735</v>
      </c>
      <c r="K3357" s="877" t="s">
        <v>790</v>
      </c>
      <c r="L3357" s="879" t="s">
        <v>1293</v>
      </c>
      <c r="M3357" s="881" t="s">
        <v>165</v>
      </c>
      <c r="N3357" s="883">
        <v>-401330</v>
      </c>
      <c r="O3357" s="55">
        <v>719</v>
      </c>
      <c r="P3357" s="78"/>
    </row>
    <row r="3358" spans="9:16" ht="15.75" thickBot="1">
      <c r="I3358" s="874"/>
      <c r="J3358" s="876"/>
      <c r="K3358" s="878"/>
      <c r="L3358" s="880"/>
      <c r="M3358" s="882"/>
      <c r="N3358" s="884"/>
      <c r="O3358" s="56">
        <v>723</v>
      </c>
      <c r="P3358" s="351">
        <f>+N3357-P3357</f>
        <v>-401330</v>
      </c>
    </row>
    <row r="3359" spans="9:16" ht="15" customHeight="1">
      <c r="I3359" s="873" t="s">
        <v>553</v>
      </c>
      <c r="J3359" s="875">
        <v>42735</v>
      </c>
      <c r="K3359" s="877" t="s">
        <v>791</v>
      </c>
      <c r="L3359" s="879" t="s">
        <v>1294</v>
      </c>
      <c r="M3359" s="881" t="s">
        <v>165</v>
      </c>
      <c r="N3359" s="883">
        <v>-164000</v>
      </c>
      <c r="O3359" s="55">
        <v>719</v>
      </c>
      <c r="P3359" s="78"/>
    </row>
    <row r="3360" spans="9:16" ht="15.75" customHeight="1" thickBot="1">
      <c r="I3360" s="874"/>
      <c r="J3360" s="876"/>
      <c r="K3360" s="878"/>
      <c r="L3360" s="880"/>
      <c r="M3360" s="882"/>
      <c r="N3360" s="884"/>
      <c r="O3360" s="56">
        <v>723</v>
      </c>
      <c r="P3360" s="352">
        <f>+N3359-P3359</f>
        <v>-164000</v>
      </c>
    </row>
    <row r="3361" spans="9:16" ht="15" customHeight="1">
      <c r="I3361" s="873"/>
      <c r="J3361" s="875"/>
      <c r="K3361" s="877"/>
      <c r="L3361" s="879"/>
      <c r="M3361" s="881"/>
      <c r="N3361" s="883"/>
      <c r="O3361" s="55">
        <v>719</v>
      </c>
      <c r="P3361" s="78"/>
    </row>
    <row r="3362" spans="9:16" ht="15.75" customHeight="1" thickBot="1">
      <c r="I3362" s="874"/>
      <c r="J3362" s="876"/>
      <c r="K3362" s="878"/>
      <c r="L3362" s="880"/>
      <c r="M3362" s="882"/>
      <c r="N3362" s="884"/>
      <c r="O3362" s="56">
        <v>722</v>
      </c>
      <c r="P3362" s="352"/>
    </row>
    <row r="3363" spans="9:16" ht="15" customHeight="1">
      <c r="I3363" s="873"/>
      <c r="J3363" s="875"/>
      <c r="K3363" s="877"/>
      <c r="L3363" s="879"/>
      <c r="M3363" s="881"/>
      <c r="N3363" s="883"/>
      <c r="O3363" s="55">
        <v>719</v>
      </c>
      <c r="P3363" s="78"/>
    </row>
    <row r="3364" spans="9:16" ht="15.75" customHeight="1" thickBot="1">
      <c r="I3364" s="874"/>
      <c r="J3364" s="876"/>
      <c r="K3364" s="878"/>
      <c r="L3364" s="880"/>
      <c r="M3364" s="882"/>
      <c r="N3364" s="884"/>
      <c r="O3364" s="56">
        <v>722</v>
      </c>
      <c r="P3364" s="79">
        <f>+N3363-P3363</f>
        <v>0</v>
      </c>
    </row>
    <row r="3365" spans="9:16" ht="16.5" thickBot="1">
      <c r="I3365" s="901" t="s">
        <v>102</v>
      </c>
      <c r="J3365" s="902"/>
      <c r="K3365" s="902"/>
      <c r="L3365" s="902"/>
      <c r="M3365" s="903"/>
      <c r="N3365" s="81">
        <f>SUM(N3357:N3364)</f>
        <v>-565330</v>
      </c>
    </row>
    <row r="3366" spans="9:16" ht="16.5" thickBot="1">
      <c r="I3366" s="885" t="s">
        <v>103</v>
      </c>
      <c r="J3366" s="886"/>
      <c r="K3366" s="886"/>
      <c r="L3366" s="886"/>
      <c r="M3366" s="887"/>
      <c r="N3366" s="69">
        <f>+N3332</f>
        <v>743746743</v>
      </c>
      <c r="O3366" s="241" t="s">
        <v>561</v>
      </c>
      <c r="P3366" s="242"/>
    </row>
    <row r="3367" spans="9:16" ht="16.5" thickBot="1">
      <c r="I3367" s="888" t="s">
        <v>104</v>
      </c>
      <c r="J3367" s="889"/>
      <c r="K3367" s="889"/>
      <c r="L3367" s="889"/>
      <c r="M3367" s="890"/>
      <c r="N3367" s="183">
        <f>SUM(N3365:N3366)</f>
        <v>743181413</v>
      </c>
    </row>
    <row r="3368" spans="9:16">
      <c r="I3368" s="61"/>
      <c r="J3368" s="61"/>
      <c r="K3368" s="61"/>
      <c r="L3368" s="61"/>
      <c r="M3368" s="61"/>
    </row>
    <row r="3369" spans="9:16">
      <c r="I3369" s="51" t="s">
        <v>1287</v>
      </c>
    </row>
    <row r="3370" spans="9:16">
      <c r="N3370" s="139"/>
    </row>
    <row r="3371" spans="9:16">
      <c r="I3371" s="50" t="s">
        <v>105</v>
      </c>
      <c r="L3371" s="146"/>
      <c r="N3371" s="139"/>
    </row>
    <row r="3372" spans="9:16" ht="15.75" thickBot="1"/>
    <row r="3373" spans="9:16" ht="15.75" thickBot="1">
      <c r="I3373" s="891" t="s">
        <v>106</v>
      </c>
      <c r="J3373" s="892"/>
      <c r="K3373" s="892"/>
      <c r="L3373" s="893"/>
      <c r="N3373" s="50" t="s">
        <v>288</v>
      </c>
    </row>
    <row r="3374" spans="9:16" ht="30.75" thickBot="1">
      <c r="I3374" s="57" t="s">
        <v>100</v>
      </c>
      <c r="J3374" s="58" t="s">
        <v>108</v>
      </c>
      <c r="K3374" s="287" t="s">
        <v>109</v>
      </c>
      <c r="L3374" s="60" t="s">
        <v>110</v>
      </c>
    </row>
    <row r="3375" spans="9:16">
      <c r="I3375" s="71">
        <v>719</v>
      </c>
      <c r="J3375" s="73">
        <f>+P3357+P3359+P3363</f>
        <v>0</v>
      </c>
      <c r="K3375" s="74">
        <f>+L3340</f>
        <v>49881700</v>
      </c>
      <c r="L3375" s="195">
        <f>+J3375+K3375</f>
        <v>49881700</v>
      </c>
    </row>
    <row r="3376" spans="9:16">
      <c r="I3376" s="72">
        <v>721</v>
      </c>
      <c r="J3376" s="80"/>
      <c r="K3376" s="74">
        <f>+L3341</f>
        <v>254209109</v>
      </c>
      <c r="L3376" s="195">
        <f>+J3376+K3376</f>
        <v>254209109</v>
      </c>
    </row>
    <row r="3377" spans="9:16">
      <c r="I3377" s="72">
        <v>722</v>
      </c>
      <c r="J3377" s="80"/>
      <c r="K3377" s="74">
        <f>+L3342</f>
        <v>21729900</v>
      </c>
      <c r="L3377" s="195">
        <f>+J3377+K3377</f>
        <v>21729900</v>
      </c>
    </row>
    <row r="3378" spans="9:16" ht="15.75">
      <c r="I3378" s="72">
        <v>723</v>
      </c>
      <c r="J3378" s="80">
        <f>+P3360+P3358</f>
        <v>-565330</v>
      </c>
      <c r="K3378" s="74">
        <f>+L3343</f>
        <v>417128534</v>
      </c>
      <c r="L3378" s="195">
        <f>+J3378+K3378</f>
        <v>416563204</v>
      </c>
      <c r="N3378" s="193" t="s">
        <v>289</v>
      </c>
      <c r="O3378" s="175"/>
    </row>
    <row r="3379" spans="9:16" ht="16.5" thickBot="1">
      <c r="I3379" s="164" t="s">
        <v>1077</v>
      </c>
      <c r="J3379" s="165"/>
      <c r="K3379" s="74">
        <f>+L3344</f>
        <v>797500</v>
      </c>
      <c r="L3379" s="196">
        <f>+J3379+K3379</f>
        <v>797500</v>
      </c>
      <c r="N3379" s="52"/>
    </row>
    <row r="3380" spans="9:16" ht="16.5" thickBot="1">
      <c r="I3380" s="169"/>
      <c r="J3380" s="197">
        <f>SUM(J3375:J3379)</f>
        <v>-565330</v>
      </c>
      <c r="K3380" s="197">
        <f>SUM(K3375:K3379)</f>
        <v>743746743</v>
      </c>
      <c r="L3380" s="198">
        <f>SUM(L3375:L3379)</f>
        <v>743181413</v>
      </c>
    </row>
    <row r="3381" spans="9:16" ht="15.75">
      <c r="I3381" s="397"/>
      <c r="J3381" s="398"/>
      <c r="K3381" s="398"/>
      <c r="L3381" s="399"/>
    </row>
    <row r="3382" spans="9:16" ht="16.5">
      <c r="I3382" s="49" t="s">
        <v>88</v>
      </c>
      <c r="J3382" s="50"/>
    </row>
    <row r="3383" spans="9:16">
      <c r="I3383" s="51" t="s">
        <v>89</v>
      </c>
    </row>
    <row r="3384" spans="9:16">
      <c r="I3384" s="51" t="s">
        <v>90</v>
      </c>
    </row>
    <row r="3385" spans="9:16">
      <c r="I3385" s="51" t="s">
        <v>91</v>
      </c>
    </row>
    <row r="3386" spans="9:16" ht="14.25" customHeight="1">
      <c r="I3386" s="50"/>
      <c r="J3386" s="50"/>
    </row>
    <row r="3387" spans="9:16" ht="15.75">
      <c r="I3387" s="260" t="s">
        <v>1289</v>
      </c>
      <c r="O3387" s="52"/>
    </row>
    <row r="3388" spans="9:16" ht="15.75">
      <c r="I3388" s="53" t="s">
        <v>535</v>
      </c>
      <c r="O3388" s="53"/>
    </row>
    <row r="3389" spans="9:16" ht="16.5">
      <c r="I3389" s="894" t="s">
        <v>1278</v>
      </c>
      <c r="J3389" s="894"/>
      <c r="K3389" s="894"/>
      <c r="L3389" s="894"/>
      <c r="M3389" s="894"/>
      <c r="N3389" s="894"/>
      <c r="O3389" s="894"/>
      <c r="P3389" s="894"/>
    </row>
    <row r="3390" spans="9:16" ht="15.75" thickBot="1"/>
    <row r="3391" spans="9:16">
      <c r="I3391" s="895" t="s">
        <v>94</v>
      </c>
      <c r="J3391" s="897" t="s">
        <v>95</v>
      </c>
      <c r="K3391" s="897" t="s">
        <v>96</v>
      </c>
      <c r="L3391" s="897" t="s">
        <v>3</v>
      </c>
      <c r="M3391" s="897" t="s">
        <v>97</v>
      </c>
      <c r="N3391" s="897" t="s">
        <v>98</v>
      </c>
      <c r="O3391" s="897" t="s">
        <v>99</v>
      </c>
      <c r="P3391" s="899"/>
    </row>
    <row r="3392" spans="9:16" ht="15.75" thickBot="1">
      <c r="I3392" s="896"/>
      <c r="J3392" s="898"/>
      <c r="K3392" s="898"/>
      <c r="L3392" s="898"/>
      <c r="M3392" s="898"/>
      <c r="N3392" s="898"/>
      <c r="O3392" s="240" t="s">
        <v>100</v>
      </c>
      <c r="P3392" s="182" t="s">
        <v>101</v>
      </c>
    </row>
    <row r="3393" spans="9:16" ht="15" customHeight="1">
      <c r="I3393" s="873" t="s">
        <v>1290</v>
      </c>
      <c r="J3393" s="875">
        <v>42734</v>
      </c>
      <c r="K3393" s="877" t="s">
        <v>1014</v>
      </c>
      <c r="L3393" s="879" t="s">
        <v>1293</v>
      </c>
      <c r="M3393" s="881" t="s">
        <v>115</v>
      </c>
      <c r="N3393" s="883">
        <v>50000</v>
      </c>
      <c r="O3393" s="55">
        <v>719</v>
      </c>
      <c r="P3393" s="78">
        <v>50000</v>
      </c>
    </row>
    <row r="3394" spans="9:16" ht="15.75" customHeight="1" thickBot="1">
      <c r="I3394" s="874"/>
      <c r="J3394" s="876"/>
      <c r="K3394" s="878"/>
      <c r="L3394" s="880"/>
      <c r="M3394" s="882"/>
      <c r="N3394" s="884"/>
      <c r="O3394" s="56">
        <v>723</v>
      </c>
      <c r="P3394" s="351">
        <f>+N3393-P3393</f>
        <v>0</v>
      </c>
    </row>
    <row r="3395" spans="9:16" ht="15" customHeight="1">
      <c r="I3395" s="873" t="s">
        <v>1291</v>
      </c>
      <c r="J3395" s="875">
        <v>42734</v>
      </c>
      <c r="K3395" s="877" t="s">
        <v>28</v>
      </c>
      <c r="L3395" s="879" t="s">
        <v>1294</v>
      </c>
      <c r="M3395" s="881" t="s">
        <v>115</v>
      </c>
      <c r="N3395" s="883">
        <v>50000</v>
      </c>
      <c r="O3395" s="55">
        <v>719</v>
      </c>
      <c r="P3395" s="78">
        <v>50000</v>
      </c>
    </row>
    <row r="3396" spans="9:16" ht="15.75" customHeight="1" thickBot="1">
      <c r="I3396" s="874"/>
      <c r="J3396" s="876"/>
      <c r="K3396" s="878"/>
      <c r="L3396" s="880"/>
      <c r="M3396" s="882"/>
      <c r="N3396" s="884"/>
      <c r="O3396" s="56">
        <v>723</v>
      </c>
      <c r="P3396" s="352">
        <f>+N3395-P3395</f>
        <v>0</v>
      </c>
    </row>
    <row r="3397" spans="9:16" ht="15" customHeight="1">
      <c r="I3397" s="873" t="s">
        <v>1292</v>
      </c>
      <c r="J3397" s="875">
        <v>42734</v>
      </c>
      <c r="K3397" s="877" t="s">
        <v>120</v>
      </c>
      <c r="L3397" s="879" t="s">
        <v>1294</v>
      </c>
      <c r="M3397" s="881" t="s">
        <v>115</v>
      </c>
      <c r="N3397" s="883">
        <v>140000</v>
      </c>
      <c r="O3397" s="55">
        <v>719</v>
      </c>
      <c r="P3397" s="78">
        <v>140000</v>
      </c>
    </row>
    <row r="3398" spans="9:16" ht="15.75" customHeight="1" thickBot="1">
      <c r="I3398" s="874"/>
      <c r="J3398" s="876"/>
      <c r="K3398" s="878"/>
      <c r="L3398" s="880"/>
      <c r="M3398" s="882"/>
      <c r="N3398" s="884"/>
      <c r="O3398" s="56">
        <v>722</v>
      </c>
      <c r="P3398" s="352">
        <f>+N3397-P3397</f>
        <v>0</v>
      </c>
    </row>
    <row r="3399" spans="9:16">
      <c r="I3399" s="881"/>
      <c r="J3399" s="875"/>
      <c r="K3399" s="877"/>
      <c r="L3399" s="904"/>
      <c r="M3399" s="881"/>
      <c r="N3399" s="883"/>
      <c r="O3399" s="55">
        <v>719</v>
      </c>
      <c r="P3399" s="78"/>
    </row>
    <row r="3400" spans="9:16" ht="15.75" thickBot="1">
      <c r="I3400" s="882"/>
      <c r="J3400" s="876"/>
      <c r="K3400" s="878"/>
      <c r="L3400" s="880"/>
      <c r="M3400" s="882"/>
      <c r="N3400" s="884"/>
      <c r="O3400" s="56">
        <v>722</v>
      </c>
      <c r="P3400" s="79">
        <f>+N3399-P3399</f>
        <v>0</v>
      </c>
    </row>
    <row r="3401" spans="9:16" ht="16.5" thickBot="1">
      <c r="I3401" s="901" t="s">
        <v>102</v>
      </c>
      <c r="J3401" s="902"/>
      <c r="K3401" s="902"/>
      <c r="L3401" s="902"/>
      <c r="M3401" s="903"/>
      <c r="N3401" s="81">
        <f>SUM(N3393:N3400)</f>
        <v>240000</v>
      </c>
    </row>
    <row r="3402" spans="9:16" ht="16.5" thickBot="1">
      <c r="I3402" s="885" t="s">
        <v>103</v>
      </c>
      <c r="J3402" s="886"/>
      <c r="K3402" s="886"/>
      <c r="L3402" s="886"/>
      <c r="M3402" s="887"/>
      <c r="N3402" s="69">
        <f>+N3367</f>
        <v>743181413</v>
      </c>
      <c r="O3402" s="241" t="s">
        <v>561</v>
      </c>
      <c r="P3402" s="242">
        <v>349</v>
      </c>
    </row>
    <row r="3403" spans="9:16" ht="16.5" thickBot="1">
      <c r="I3403" s="888" t="s">
        <v>104</v>
      </c>
      <c r="J3403" s="889"/>
      <c r="K3403" s="889"/>
      <c r="L3403" s="889"/>
      <c r="M3403" s="890"/>
      <c r="N3403" s="183">
        <f>SUM(N3401:N3402)</f>
        <v>743421413</v>
      </c>
    </row>
    <row r="3404" spans="9:16">
      <c r="I3404" s="61"/>
      <c r="J3404" s="61"/>
      <c r="K3404" s="61"/>
      <c r="L3404" s="61"/>
      <c r="M3404" s="61"/>
    </row>
    <row r="3405" spans="9:16">
      <c r="I3405" s="51" t="s">
        <v>1295</v>
      </c>
    </row>
    <row r="3406" spans="9:16">
      <c r="N3406" s="139"/>
    </row>
    <row r="3407" spans="9:16" ht="19.5" customHeight="1">
      <c r="I3407" s="50" t="s">
        <v>105</v>
      </c>
      <c r="L3407" s="146"/>
      <c r="N3407" s="139"/>
    </row>
    <row r="3408" spans="9:16" ht="18" customHeight="1" thickBot="1"/>
    <row r="3409" spans="9:15" ht="15.75" thickBot="1">
      <c r="I3409" s="891" t="s">
        <v>106</v>
      </c>
      <c r="J3409" s="892"/>
      <c r="K3409" s="892"/>
      <c r="L3409" s="893"/>
      <c r="N3409" s="50" t="s">
        <v>288</v>
      </c>
    </row>
    <row r="3410" spans="9:15" ht="30.75" thickBot="1">
      <c r="I3410" s="57" t="s">
        <v>100</v>
      </c>
      <c r="J3410" s="58" t="s">
        <v>108</v>
      </c>
      <c r="K3410" s="287" t="s">
        <v>109</v>
      </c>
      <c r="L3410" s="60" t="s">
        <v>110</v>
      </c>
    </row>
    <row r="3411" spans="9:15">
      <c r="I3411" s="71">
        <v>719</v>
      </c>
      <c r="J3411" s="73">
        <f>+P3393+P3395+P3399+P3397</f>
        <v>240000</v>
      </c>
      <c r="K3411" s="74">
        <f>+L3375</f>
        <v>49881700</v>
      </c>
      <c r="L3411" s="195">
        <f>+J3411+K3411</f>
        <v>50121700</v>
      </c>
    </row>
    <row r="3412" spans="9:15">
      <c r="I3412" s="72">
        <v>721</v>
      </c>
      <c r="J3412" s="80"/>
      <c r="K3412" s="74">
        <f>+L3376</f>
        <v>254209109</v>
      </c>
      <c r="L3412" s="195">
        <f>+J3412+K3412</f>
        <v>254209109</v>
      </c>
    </row>
    <row r="3413" spans="9:15">
      <c r="I3413" s="72">
        <v>722</v>
      </c>
      <c r="J3413" s="80"/>
      <c r="K3413" s="74">
        <f>+L3377</f>
        <v>21729900</v>
      </c>
      <c r="L3413" s="195">
        <f>+J3413+K3413</f>
        <v>21729900</v>
      </c>
    </row>
    <row r="3414" spans="9:15" ht="15.75">
      <c r="I3414" s="72">
        <v>723</v>
      </c>
      <c r="J3414" s="80">
        <f>+P3396+P3394</f>
        <v>0</v>
      </c>
      <c r="K3414" s="74">
        <f>+L3378</f>
        <v>416563204</v>
      </c>
      <c r="L3414" s="195">
        <f>+J3414+K3414</f>
        <v>416563204</v>
      </c>
      <c r="N3414" s="193" t="s">
        <v>289</v>
      </c>
      <c r="O3414" s="175"/>
    </row>
    <row r="3415" spans="9:15" ht="16.5" thickBot="1">
      <c r="I3415" s="164" t="s">
        <v>1077</v>
      </c>
      <c r="J3415" s="165"/>
      <c r="K3415" s="74">
        <f>+L3379</f>
        <v>797500</v>
      </c>
      <c r="L3415" s="196">
        <f>+J3415+K3415</f>
        <v>797500</v>
      </c>
      <c r="N3415" s="52"/>
    </row>
    <row r="3416" spans="9:15" ht="16.5" thickBot="1">
      <c r="I3416" s="169"/>
      <c r="J3416" s="197">
        <f>SUM(J3411:J3415)</f>
        <v>240000</v>
      </c>
      <c r="K3416" s="197">
        <f>SUM(K3411:K3415)</f>
        <v>743181413</v>
      </c>
      <c r="L3416" s="198">
        <f>SUM(L3411:L3415)</f>
        <v>743421413</v>
      </c>
    </row>
    <row r="3417" spans="9:15" ht="15.75">
      <c r="I3417" s="397"/>
      <c r="J3417" s="398"/>
      <c r="K3417" s="398"/>
      <c r="L3417" s="399"/>
    </row>
    <row r="3418" spans="9:15" ht="16.5">
      <c r="I3418" s="49" t="s">
        <v>88</v>
      </c>
      <c r="J3418" s="50"/>
    </row>
    <row r="3419" spans="9:15">
      <c r="I3419" s="50" t="s">
        <v>89</v>
      </c>
    </row>
    <row r="3420" spans="9:15">
      <c r="I3420" s="51" t="s">
        <v>90</v>
      </c>
    </row>
    <row r="3421" spans="9:15">
      <c r="I3421" s="51" t="s">
        <v>91</v>
      </c>
    </row>
    <row r="3422" spans="9:15" ht="9" customHeight="1">
      <c r="I3422" s="50"/>
      <c r="J3422" s="50"/>
    </row>
    <row r="3423" spans="9:15" ht="15.75">
      <c r="I3423" s="260" t="s">
        <v>1296</v>
      </c>
      <c r="O3423" s="52"/>
    </row>
    <row r="3424" spans="9:15" ht="15.75">
      <c r="I3424" s="53" t="s">
        <v>535</v>
      </c>
      <c r="O3424" s="53"/>
    </row>
    <row r="3425" spans="9:16" ht="15.75" customHeight="1">
      <c r="I3425" s="894" t="s">
        <v>1302</v>
      </c>
      <c r="J3425" s="894"/>
      <c r="K3425" s="894"/>
      <c r="L3425" s="894"/>
      <c r="M3425" s="894"/>
      <c r="N3425" s="894"/>
      <c r="O3425" s="894"/>
      <c r="P3425" s="894"/>
    </row>
    <row r="3426" spans="9:16" ht="12.75" customHeight="1" thickBot="1"/>
    <row r="3427" spans="9:16">
      <c r="I3427" s="895" t="s">
        <v>94</v>
      </c>
      <c r="J3427" s="897" t="s">
        <v>95</v>
      </c>
      <c r="K3427" s="897" t="s">
        <v>96</v>
      </c>
      <c r="L3427" s="897" t="s">
        <v>3</v>
      </c>
      <c r="M3427" s="897" t="s">
        <v>97</v>
      </c>
      <c r="N3427" s="897" t="s">
        <v>98</v>
      </c>
      <c r="O3427" s="897" t="s">
        <v>99</v>
      </c>
      <c r="P3427" s="899"/>
    </row>
    <row r="3428" spans="9:16" ht="15.75" thickBot="1">
      <c r="I3428" s="896"/>
      <c r="J3428" s="898"/>
      <c r="K3428" s="898"/>
      <c r="L3428" s="898"/>
      <c r="M3428" s="898"/>
      <c r="N3428" s="898"/>
      <c r="O3428" s="240" t="s">
        <v>100</v>
      </c>
      <c r="P3428" s="182" t="s">
        <v>101</v>
      </c>
    </row>
    <row r="3429" spans="9:16" ht="13.5" customHeight="1">
      <c r="I3429" s="873" t="s">
        <v>1297</v>
      </c>
      <c r="J3429" s="875">
        <v>42734</v>
      </c>
      <c r="K3429" s="400" t="s">
        <v>1267</v>
      </c>
      <c r="L3429" s="879" t="s">
        <v>1221</v>
      </c>
      <c r="M3429" s="881" t="s">
        <v>145</v>
      </c>
      <c r="N3429" s="883">
        <v>14718204</v>
      </c>
      <c r="O3429" s="55">
        <v>719</v>
      </c>
      <c r="P3429" s="78">
        <v>0</v>
      </c>
    </row>
    <row r="3430" spans="9:16" ht="14.25" customHeight="1" thickBot="1">
      <c r="I3430" s="874"/>
      <c r="J3430" s="876"/>
      <c r="K3430" s="402"/>
      <c r="L3430" s="880"/>
      <c r="M3430" s="882"/>
      <c r="N3430" s="884"/>
      <c r="O3430" s="56">
        <v>721</v>
      </c>
      <c r="P3430" s="351">
        <f>+N3429-P3429</f>
        <v>14718204</v>
      </c>
    </row>
    <row r="3431" spans="9:16" ht="13.5" customHeight="1">
      <c r="I3431" s="873" t="s">
        <v>1298</v>
      </c>
      <c r="J3431" s="875">
        <v>42734</v>
      </c>
      <c r="K3431" s="402"/>
      <c r="L3431" s="879" t="s">
        <v>1304</v>
      </c>
      <c r="M3431" s="881" t="s">
        <v>145</v>
      </c>
      <c r="N3431" s="883">
        <v>4941638</v>
      </c>
      <c r="O3431" s="55">
        <v>719</v>
      </c>
      <c r="P3431" s="78">
        <v>0</v>
      </c>
    </row>
    <row r="3432" spans="9:16" ht="15" customHeight="1" thickBot="1">
      <c r="I3432" s="874"/>
      <c r="J3432" s="876"/>
      <c r="K3432" s="402"/>
      <c r="L3432" s="880"/>
      <c r="M3432" s="882"/>
      <c r="N3432" s="884"/>
      <c r="O3432" s="56">
        <v>721</v>
      </c>
      <c r="P3432" s="352">
        <f>+N3431-P3431</f>
        <v>4941638</v>
      </c>
    </row>
    <row r="3433" spans="9:16" ht="15" customHeight="1">
      <c r="I3433" s="873" t="s">
        <v>1299</v>
      </c>
      <c r="J3433" s="875">
        <v>42734</v>
      </c>
      <c r="K3433" s="402"/>
      <c r="L3433" s="879" t="s">
        <v>1305</v>
      </c>
      <c r="M3433" s="881" t="s">
        <v>145</v>
      </c>
      <c r="N3433" s="883">
        <v>3962065</v>
      </c>
      <c r="O3433" s="55">
        <v>719</v>
      </c>
      <c r="P3433" s="78">
        <v>0</v>
      </c>
    </row>
    <row r="3434" spans="9:16" ht="15.75" customHeight="1" thickBot="1">
      <c r="I3434" s="874"/>
      <c r="J3434" s="876"/>
      <c r="K3434" s="402"/>
      <c r="L3434" s="880"/>
      <c r="M3434" s="882"/>
      <c r="N3434" s="884"/>
      <c r="O3434" s="56">
        <v>721</v>
      </c>
      <c r="P3434" s="352">
        <f>+N3433-P3433</f>
        <v>3962065</v>
      </c>
    </row>
    <row r="3435" spans="9:16" ht="14.25" customHeight="1">
      <c r="I3435" s="873" t="s">
        <v>1300</v>
      </c>
      <c r="J3435" s="875">
        <v>42734</v>
      </c>
      <c r="K3435" s="402"/>
      <c r="L3435" s="879" t="s">
        <v>1303</v>
      </c>
      <c r="M3435" s="881" t="s">
        <v>145</v>
      </c>
      <c r="N3435" s="883">
        <v>2449488</v>
      </c>
      <c r="O3435" s="55">
        <v>719</v>
      </c>
      <c r="P3435" s="78">
        <v>0</v>
      </c>
    </row>
    <row r="3436" spans="9:16" ht="14.25" customHeight="1" thickBot="1">
      <c r="I3436" s="874"/>
      <c r="J3436" s="876"/>
      <c r="K3436" s="402"/>
      <c r="L3436" s="880"/>
      <c r="M3436" s="882"/>
      <c r="N3436" s="884"/>
      <c r="O3436" s="56">
        <v>721</v>
      </c>
      <c r="P3436" s="352">
        <f>+N3435-P3435</f>
        <v>2449488</v>
      </c>
    </row>
    <row r="3437" spans="9:16" ht="13.5" customHeight="1">
      <c r="I3437" s="873" t="s">
        <v>1308</v>
      </c>
      <c r="J3437" s="875">
        <v>42734</v>
      </c>
      <c r="K3437" s="402"/>
      <c r="L3437" s="879" t="s">
        <v>1306</v>
      </c>
      <c r="M3437" s="881" t="s">
        <v>145</v>
      </c>
      <c r="N3437" s="883">
        <v>4151192</v>
      </c>
      <c r="O3437" s="55">
        <v>719</v>
      </c>
      <c r="P3437" s="78">
        <v>0</v>
      </c>
    </row>
    <row r="3438" spans="9:16" ht="15.75" customHeight="1" thickBot="1">
      <c r="I3438" s="874"/>
      <c r="J3438" s="876"/>
      <c r="K3438" s="402"/>
      <c r="L3438" s="880"/>
      <c r="M3438" s="882"/>
      <c r="N3438" s="884"/>
      <c r="O3438" s="56">
        <v>721</v>
      </c>
      <c r="P3438" s="352">
        <f>+N3437-P3437</f>
        <v>4151192</v>
      </c>
    </row>
    <row r="3439" spans="9:16" ht="12.75" customHeight="1">
      <c r="I3439" s="873" t="s">
        <v>1309</v>
      </c>
      <c r="J3439" s="875">
        <v>42734</v>
      </c>
      <c r="K3439" s="402"/>
      <c r="L3439" s="879" t="s">
        <v>1307</v>
      </c>
      <c r="M3439" s="881" t="s">
        <v>145</v>
      </c>
      <c r="N3439" s="883">
        <v>1734563</v>
      </c>
      <c r="O3439" s="55">
        <v>719</v>
      </c>
      <c r="P3439" s="78"/>
    </row>
    <row r="3440" spans="9:16" ht="12.75" customHeight="1" thickBot="1">
      <c r="I3440" s="874"/>
      <c r="J3440" s="876"/>
      <c r="K3440" s="401"/>
      <c r="L3440" s="880"/>
      <c r="M3440" s="882"/>
      <c r="N3440" s="884"/>
      <c r="O3440" s="56">
        <v>721</v>
      </c>
      <c r="P3440" s="79">
        <f>+N3439-P3439</f>
        <v>1734563</v>
      </c>
    </row>
    <row r="3441" spans="9:16" ht="16.5" thickBot="1">
      <c r="I3441" s="901" t="s">
        <v>102</v>
      </c>
      <c r="J3441" s="902"/>
      <c r="K3441" s="902"/>
      <c r="L3441" s="902"/>
      <c r="M3441" s="903"/>
      <c r="N3441" s="81">
        <f>SUM(N3429:N3440)</f>
        <v>31957150</v>
      </c>
    </row>
    <row r="3442" spans="9:16" ht="16.5" thickBot="1">
      <c r="I3442" s="885" t="s">
        <v>103</v>
      </c>
      <c r="J3442" s="886"/>
      <c r="K3442" s="886"/>
      <c r="L3442" s="886"/>
      <c r="M3442" s="887"/>
      <c r="N3442" s="69">
        <f>+N3403</f>
        <v>743421413</v>
      </c>
      <c r="O3442" s="241" t="s">
        <v>561</v>
      </c>
      <c r="P3442" s="242"/>
    </row>
    <row r="3443" spans="9:16" ht="16.5" thickBot="1">
      <c r="I3443" s="888" t="s">
        <v>104</v>
      </c>
      <c r="J3443" s="889"/>
      <c r="K3443" s="889"/>
      <c r="L3443" s="889"/>
      <c r="M3443" s="890"/>
      <c r="N3443" s="183">
        <f>SUM(N3441:N3442)</f>
        <v>775378563</v>
      </c>
    </row>
    <row r="3444" spans="9:16" ht="12.75" customHeight="1">
      <c r="I3444" s="61"/>
      <c r="J3444" s="61"/>
      <c r="K3444" s="61"/>
      <c r="L3444" s="61"/>
      <c r="M3444" s="61"/>
    </row>
    <row r="3445" spans="9:16">
      <c r="I3445" s="51" t="s">
        <v>1310</v>
      </c>
    </row>
    <row r="3446" spans="9:16" ht="8.25" customHeight="1">
      <c r="N3446" s="139"/>
    </row>
    <row r="3447" spans="9:16">
      <c r="I3447" s="50" t="s">
        <v>105</v>
      </c>
      <c r="L3447" s="146"/>
      <c r="N3447" s="139"/>
    </row>
    <row r="3448" spans="9:16" ht="9" customHeight="1" thickBot="1"/>
    <row r="3449" spans="9:16" ht="15.75" thickBot="1">
      <c r="I3449" s="891" t="s">
        <v>106</v>
      </c>
      <c r="J3449" s="892"/>
      <c r="K3449" s="892"/>
      <c r="L3449" s="893"/>
      <c r="N3449" s="50" t="s">
        <v>1126</v>
      </c>
    </row>
    <row r="3450" spans="9:16" ht="30.75" thickBot="1">
      <c r="I3450" s="57" t="s">
        <v>100</v>
      </c>
      <c r="J3450" s="58" t="s">
        <v>108</v>
      </c>
      <c r="K3450" s="287" t="s">
        <v>109</v>
      </c>
      <c r="L3450" s="60" t="s">
        <v>110</v>
      </c>
    </row>
    <row r="3451" spans="9:16">
      <c r="I3451" s="71">
        <v>719</v>
      </c>
      <c r="J3451" s="73">
        <f>+P3433+P3435+P3439+P3437</f>
        <v>0</v>
      </c>
      <c r="K3451" s="74">
        <f>+L3411</f>
        <v>50121700</v>
      </c>
      <c r="L3451" s="195">
        <f>+J3451+K3451</f>
        <v>50121700</v>
      </c>
    </row>
    <row r="3452" spans="9:16">
      <c r="I3452" s="72">
        <v>721</v>
      </c>
      <c r="J3452" s="80">
        <f>+P3440+P3438+P3436+P3434+P3432+P3430</f>
        <v>31957150</v>
      </c>
      <c r="K3452" s="74">
        <f>+L3412</f>
        <v>254209109</v>
      </c>
      <c r="L3452" s="195">
        <f>+J3452+K3452</f>
        <v>286166259</v>
      </c>
    </row>
    <row r="3453" spans="9:16">
      <c r="I3453" s="72">
        <v>722</v>
      </c>
      <c r="J3453" s="80"/>
      <c r="K3453" s="74">
        <f>+L3413</f>
        <v>21729900</v>
      </c>
      <c r="L3453" s="195">
        <f>+J3453+K3453</f>
        <v>21729900</v>
      </c>
    </row>
    <row r="3454" spans="9:16" ht="15.75">
      <c r="I3454" s="72">
        <v>723</v>
      </c>
      <c r="J3454" s="80"/>
      <c r="K3454" s="74">
        <f>+L3414</f>
        <v>416563204</v>
      </c>
      <c r="L3454" s="195">
        <f>+J3454+K3454</f>
        <v>416563204</v>
      </c>
      <c r="N3454" s="193" t="s">
        <v>1125</v>
      </c>
      <c r="O3454" s="175"/>
    </row>
    <row r="3455" spans="9:16" ht="16.5" thickBot="1">
      <c r="I3455" s="164" t="s">
        <v>1077</v>
      </c>
      <c r="J3455" s="165"/>
      <c r="K3455" s="74">
        <f>+L3415</f>
        <v>797500</v>
      </c>
      <c r="L3455" s="196">
        <f>+J3455+K3455</f>
        <v>797500</v>
      </c>
      <c r="N3455" s="52"/>
    </row>
    <row r="3456" spans="9:16" ht="16.5" thickBot="1">
      <c r="I3456" s="169"/>
      <c r="J3456" s="197">
        <f>SUM(J3451:J3455)</f>
        <v>31957150</v>
      </c>
      <c r="K3456" s="197">
        <f>SUM(K3451:K3455)</f>
        <v>743421413</v>
      </c>
      <c r="L3456" s="198">
        <f>SUM(L3451:L3455)</f>
        <v>775378563</v>
      </c>
    </row>
    <row r="3457" spans="9:16" ht="16.5">
      <c r="I3457" s="49" t="s">
        <v>88</v>
      </c>
      <c r="J3457" s="50"/>
    </row>
    <row r="3458" spans="9:16">
      <c r="I3458" s="51" t="s">
        <v>89</v>
      </c>
    </row>
    <row r="3459" spans="9:16">
      <c r="I3459" s="51" t="s">
        <v>90</v>
      </c>
    </row>
    <row r="3460" spans="9:16">
      <c r="I3460" s="51" t="s">
        <v>91</v>
      </c>
    </row>
    <row r="3461" spans="9:16">
      <c r="I3461" s="50"/>
      <c r="J3461" s="50"/>
    </row>
    <row r="3462" spans="9:16" ht="15.75">
      <c r="I3462" s="260" t="s">
        <v>1312</v>
      </c>
      <c r="O3462" s="52"/>
    </row>
    <row r="3463" spans="9:16" ht="15.75">
      <c r="I3463" s="53" t="s">
        <v>535</v>
      </c>
      <c r="O3463" s="53"/>
    </row>
    <row r="3464" spans="9:16" ht="16.5">
      <c r="I3464" s="894" t="s">
        <v>1316</v>
      </c>
      <c r="J3464" s="894"/>
      <c r="K3464" s="894"/>
      <c r="L3464" s="894"/>
      <c r="M3464" s="894"/>
      <c r="N3464" s="894"/>
      <c r="O3464" s="894"/>
      <c r="P3464" s="894"/>
    </row>
    <row r="3465" spans="9:16" ht="15.75" thickBot="1"/>
    <row r="3466" spans="9:16">
      <c r="I3466" s="895" t="s">
        <v>94</v>
      </c>
      <c r="J3466" s="897" t="s">
        <v>95</v>
      </c>
      <c r="K3466" s="897" t="s">
        <v>96</v>
      </c>
      <c r="L3466" s="897" t="s">
        <v>3</v>
      </c>
      <c r="M3466" s="897" t="s">
        <v>97</v>
      </c>
      <c r="N3466" s="897" t="s">
        <v>98</v>
      </c>
      <c r="O3466" s="897" t="s">
        <v>99</v>
      </c>
      <c r="P3466" s="899"/>
    </row>
    <row r="3467" spans="9:16" ht="15.75" thickBot="1">
      <c r="I3467" s="896"/>
      <c r="J3467" s="898"/>
      <c r="K3467" s="898"/>
      <c r="L3467" s="898"/>
      <c r="M3467" s="898"/>
      <c r="N3467" s="898"/>
      <c r="O3467" s="240" t="s">
        <v>100</v>
      </c>
      <c r="P3467" s="182" t="s">
        <v>101</v>
      </c>
    </row>
    <row r="3468" spans="9:16">
      <c r="I3468" s="873" t="s">
        <v>1311</v>
      </c>
      <c r="J3468" s="875">
        <v>42734</v>
      </c>
      <c r="K3468" s="877" t="s">
        <v>1315</v>
      </c>
      <c r="L3468" s="879" t="s">
        <v>1301</v>
      </c>
      <c r="M3468" s="881" t="s">
        <v>148</v>
      </c>
      <c r="N3468" s="883">
        <v>1817700</v>
      </c>
      <c r="O3468" s="55">
        <v>719</v>
      </c>
      <c r="P3468" s="78"/>
    </row>
    <row r="3469" spans="9:16" ht="15.75" thickBot="1">
      <c r="I3469" s="874"/>
      <c r="J3469" s="876"/>
      <c r="K3469" s="878"/>
      <c r="L3469" s="880"/>
      <c r="M3469" s="882"/>
      <c r="N3469" s="884"/>
      <c r="O3469" s="56">
        <v>723</v>
      </c>
      <c r="P3469" s="351">
        <f>+N3468-P3468</f>
        <v>1817700</v>
      </c>
    </row>
    <row r="3470" spans="9:16">
      <c r="I3470" s="873"/>
      <c r="J3470" s="875"/>
      <c r="K3470" s="877"/>
      <c r="L3470" s="879"/>
      <c r="M3470" s="881"/>
      <c r="N3470" s="883"/>
      <c r="O3470" s="55">
        <v>719</v>
      </c>
      <c r="P3470" s="78"/>
    </row>
    <row r="3471" spans="9:16" ht="15.75" thickBot="1">
      <c r="I3471" s="874"/>
      <c r="J3471" s="876"/>
      <c r="K3471" s="878"/>
      <c r="L3471" s="880"/>
      <c r="M3471" s="882"/>
      <c r="N3471" s="884"/>
      <c r="O3471" s="56">
        <v>723</v>
      </c>
      <c r="P3471" s="352">
        <f>+N3470-P3470</f>
        <v>0</v>
      </c>
    </row>
    <row r="3472" spans="9:16">
      <c r="I3472" s="873"/>
      <c r="J3472" s="875"/>
      <c r="K3472" s="877"/>
      <c r="L3472" s="879"/>
      <c r="M3472" s="881"/>
      <c r="N3472" s="883"/>
      <c r="O3472" s="55">
        <v>719</v>
      </c>
      <c r="P3472" s="78"/>
    </row>
    <row r="3473" spans="9:16" ht="15.75" thickBot="1">
      <c r="I3473" s="874"/>
      <c r="J3473" s="876"/>
      <c r="K3473" s="878"/>
      <c r="L3473" s="880"/>
      <c r="M3473" s="882"/>
      <c r="N3473" s="884"/>
      <c r="O3473" s="56">
        <v>722</v>
      </c>
      <c r="P3473" s="352">
        <f>+N3472-P3472</f>
        <v>0</v>
      </c>
    </row>
    <row r="3474" spans="9:16">
      <c r="I3474" s="881"/>
      <c r="J3474" s="875"/>
      <c r="K3474" s="877"/>
      <c r="L3474" s="904"/>
      <c r="M3474" s="881"/>
      <c r="N3474" s="883"/>
      <c r="O3474" s="55">
        <v>719</v>
      </c>
      <c r="P3474" s="78"/>
    </row>
    <row r="3475" spans="9:16" ht="15.75" thickBot="1">
      <c r="I3475" s="882"/>
      <c r="J3475" s="876"/>
      <c r="K3475" s="878"/>
      <c r="L3475" s="880"/>
      <c r="M3475" s="882"/>
      <c r="N3475" s="884"/>
      <c r="O3475" s="56">
        <v>722</v>
      </c>
      <c r="P3475" s="79">
        <f>+N3474-P3474</f>
        <v>0</v>
      </c>
    </row>
    <row r="3476" spans="9:16" ht="16.5" thickBot="1">
      <c r="I3476" s="901" t="s">
        <v>102</v>
      </c>
      <c r="J3476" s="902"/>
      <c r="K3476" s="902"/>
      <c r="L3476" s="902"/>
      <c r="M3476" s="903"/>
      <c r="N3476" s="81">
        <f>SUM(N3468:N3475)</f>
        <v>1817700</v>
      </c>
    </row>
    <row r="3477" spans="9:16" ht="16.5" thickBot="1">
      <c r="I3477" s="885" t="s">
        <v>103</v>
      </c>
      <c r="J3477" s="886"/>
      <c r="K3477" s="886"/>
      <c r="L3477" s="886"/>
      <c r="M3477" s="887"/>
      <c r="N3477" s="69">
        <f>+N3443</f>
        <v>775378563</v>
      </c>
      <c r="O3477" s="241" t="s">
        <v>561</v>
      </c>
      <c r="P3477" s="242"/>
    </row>
    <row r="3478" spans="9:16" ht="16.5" thickBot="1">
      <c r="I3478" s="888" t="s">
        <v>104</v>
      </c>
      <c r="J3478" s="889"/>
      <c r="K3478" s="889"/>
      <c r="L3478" s="889"/>
      <c r="M3478" s="890"/>
      <c r="N3478" s="183">
        <f>SUM(N3476:N3477)</f>
        <v>777196263</v>
      </c>
    </row>
    <row r="3479" spans="9:16">
      <c r="I3479" s="61"/>
      <c r="J3479" s="61"/>
      <c r="K3479" s="61"/>
      <c r="L3479" s="61"/>
      <c r="M3479" s="61"/>
    </row>
    <row r="3480" spans="9:16">
      <c r="I3480" s="51" t="s">
        <v>1314</v>
      </c>
    </row>
    <row r="3481" spans="9:16">
      <c r="N3481" s="139"/>
    </row>
    <row r="3482" spans="9:16">
      <c r="I3482" s="50" t="s">
        <v>105</v>
      </c>
      <c r="L3482" s="146"/>
      <c r="N3482" s="139"/>
    </row>
    <row r="3483" spans="9:16" ht="15.75" thickBot="1"/>
    <row r="3484" spans="9:16" ht="15.75" thickBot="1">
      <c r="I3484" s="891" t="s">
        <v>106</v>
      </c>
      <c r="J3484" s="892"/>
      <c r="K3484" s="892"/>
      <c r="L3484" s="893"/>
      <c r="N3484" s="50" t="s">
        <v>1313</v>
      </c>
    </row>
    <row r="3485" spans="9:16" ht="30.75" thickBot="1">
      <c r="I3485" s="57" t="s">
        <v>100</v>
      </c>
      <c r="J3485" s="58" t="s">
        <v>108</v>
      </c>
      <c r="K3485" s="287" t="s">
        <v>109</v>
      </c>
      <c r="L3485" s="60" t="s">
        <v>110</v>
      </c>
    </row>
    <row r="3486" spans="9:16">
      <c r="I3486" s="71">
        <v>719</v>
      </c>
      <c r="J3486" s="73"/>
      <c r="K3486" s="74">
        <f>+L3451</f>
        <v>50121700</v>
      </c>
      <c r="L3486" s="195">
        <f>+J3486+K3486</f>
        <v>50121700</v>
      </c>
    </row>
    <row r="3487" spans="9:16">
      <c r="I3487" s="72">
        <v>721</v>
      </c>
      <c r="J3487" s="80"/>
      <c r="K3487" s="74">
        <f>+L3452</f>
        <v>286166259</v>
      </c>
      <c r="L3487" s="195">
        <f>+J3487+K3487</f>
        <v>286166259</v>
      </c>
    </row>
    <row r="3488" spans="9:16">
      <c r="I3488" s="72">
        <v>722</v>
      </c>
      <c r="J3488" s="80"/>
      <c r="K3488" s="74">
        <f>+L3453</f>
        <v>21729900</v>
      </c>
      <c r="L3488" s="195">
        <f>+J3488+K3488</f>
        <v>21729900</v>
      </c>
    </row>
    <row r="3489" spans="9:16" ht="15.75">
      <c r="I3489" s="72">
        <v>723</v>
      </c>
      <c r="J3489" s="80">
        <f>+P3469</f>
        <v>1817700</v>
      </c>
      <c r="K3489" s="74">
        <f>+L3454</f>
        <v>416563204</v>
      </c>
      <c r="L3489" s="195">
        <f>+J3489+K3489</f>
        <v>418380904</v>
      </c>
      <c r="N3489" s="193" t="s">
        <v>1125</v>
      </c>
      <c r="O3489" s="175"/>
    </row>
    <row r="3490" spans="9:16" ht="16.5" thickBot="1">
      <c r="I3490" s="164" t="s">
        <v>1077</v>
      </c>
      <c r="J3490" s="165"/>
      <c r="K3490" s="74">
        <f>+L3455</f>
        <v>797500</v>
      </c>
      <c r="L3490" s="196">
        <f>+J3490+K3490</f>
        <v>797500</v>
      </c>
      <c r="N3490" s="52"/>
    </row>
    <row r="3491" spans="9:16" ht="16.5" thickBot="1">
      <c r="I3491" s="169"/>
      <c r="J3491" s="197">
        <f>SUM(J3486:J3490)</f>
        <v>1817700</v>
      </c>
      <c r="K3491" s="197">
        <f>SUM(K3486:K3490)</f>
        <v>775378563</v>
      </c>
      <c r="L3491" s="198">
        <f>SUM(L3486:L3490)</f>
        <v>777196263</v>
      </c>
    </row>
    <row r="3492" spans="9:16" ht="15.75">
      <c r="I3492" s="397"/>
      <c r="J3492" s="398"/>
      <c r="K3492" s="398"/>
      <c r="L3492" s="399"/>
    </row>
    <row r="3493" spans="9:16" ht="16.5">
      <c r="I3493" s="49" t="s">
        <v>88</v>
      </c>
      <c r="J3493" s="50"/>
    </row>
    <row r="3494" spans="9:16">
      <c r="I3494" s="51" t="s">
        <v>89</v>
      </c>
    </row>
    <row r="3495" spans="9:16">
      <c r="I3495" s="51" t="s">
        <v>90</v>
      </c>
    </row>
    <row r="3496" spans="9:16">
      <c r="I3496" s="51" t="s">
        <v>91</v>
      </c>
    </row>
    <row r="3497" spans="9:16">
      <c r="I3497" s="50"/>
      <c r="J3497" s="50"/>
    </row>
    <row r="3498" spans="9:16" ht="15.75">
      <c r="I3498" s="260" t="s">
        <v>1320</v>
      </c>
      <c r="O3498" s="52"/>
    </row>
    <row r="3499" spans="9:16" ht="15.75">
      <c r="I3499" s="53" t="s">
        <v>535</v>
      </c>
      <c r="O3499" s="53"/>
    </row>
    <row r="3500" spans="9:16" ht="16.5">
      <c r="I3500" s="894" t="s">
        <v>1317</v>
      </c>
      <c r="J3500" s="894"/>
      <c r="K3500" s="894"/>
      <c r="L3500" s="894"/>
      <c r="M3500" s="894"/>
      <c r="N3500" s="894"/>
      <c r="O3500" s="894"/>
      <c r="P3500" s="894"/>
    </row>
    <row r="3501" spans="9:16" ht="15.75" thickBot="1"/>
    <row r="3502" spans="9:16">
      <c r="I3502" s="895" t="s">
        <v>94</v>
      </c>
      <c r="J3502" s="897" t="s">
        <v>95</v>
      </c>
      <c r="K3502" s="897" t="s">
        <v>96</v>
      </c>
      <c r="L3502" s="897" t="s">
        <v>3</v>
      </c>
      <c r="M3502" s="897" t="s">
        <v>97</v>
      </c>
      <c r="N3502" s="897" t="s">
        <v>98</v>
      </c>
      <c r="O3502" s="897" t="s">
        <v>99</v>
      </c>
      <c r="P3502" s="899"/>
    </row>
    <row r="3503" spans="9:16" ht="15.75" thickBot="1">
      <c r="I3503" s="896"/>
      <c r="J3503" s="898"/>
      <c r="K3503" s="898"/>
      <c r="L3503" s="898"/>
      <c r="M3503" s="898"/>
      <c r="N3503" s="898"/>
      <c r="O3503" s="240" t="s">
        <v>100</v>
      </c>
      <c r="P3503" s="182" t="s">
        <v>101</v>
      </c>
    </row>
    <row r="3504" spans="9:16" ht="15" customHeight="1">
      <c r="I3504" s="873" t="s">
        <v>554</v>
      </c>
      <c r="J3504" s="875">
        <v>42735</v>
      </c>
      <c r="K3504" s="877" t="s">
        <v>1267</v>
      </c>
      <c r="L3504" s="879" t="s">
        <v>1221</v>
      </c>
      <c r="M3504" s="881" t="s">
        <v>145</v>
      </c>
      <c r="N3504" s="883">
        <v>-14718204</v>
      </c>
      <c r="O3504" s="55">
        <v>719</v>
      </c>
      <c r="P3504" s="78"/>
    </row>
    <row r="3505" spans="9:16" ht="15.75" customHeight="1" thickBot="1">
      <c r="I3505" s="874"/>
      <c r="J3505" s="876"/>
      <c r="K3505" s="900"/>
      <c r="L3505" s="880"/>
      <c r="M3505" s="882"/>
      <c r="N3505" s="884"/>
      <c r="O3505" s="56">
        <v>721</v>
      </c>
      <c r="P3505" s="351">
        <f>+N3504-P3504</f>
        <v>-14718204</v>
      </c>
    </row>
    <row r="3506" spans="9:16" ht="15" customHeight="1">
      <c r="I3506" s="873" t="s">
        <v>1318</v>
      </c>
      <c r="J3506" s="875">
        <v>42735</v>
      </c>
      <c r="K3506" s="900"/>
      <c r="L3506" s="879" t="s">
        <v>1305</v>
      </c>
      <c r="M3506" s="881" t="s">
        <v>145</v>
      </c>
      <c r="N3506" s="883">
        <v>-3962065</v>
      </c>
      <c r="O3506" s="55">
        <v>719</v>
      </c>
      <c r="P3506" s="78"/>
    </row>
    <row r="3507" spans="9:16" ht="15.75" customHeight="1" thickBot="1">
      <c r="I3507" s="874"/>
      <c r="J3507" s="876"/>
      <c r="K3507" s="878"/>
      <c r="L3507" s="880"/>
      <c r="M3507" s="882"/>
      <c r="N3507" s="884"/>
      <c r="O3507" s="56">
        <v>721</v>
      </c>
      <c r="P3507" s="352">
        <f>+N3506-P3506</f>
        <v>-3962065</v>
      </c>
    </row>
    <row r="3508" spans="9:16">
      <c r="I3508" s="873"/>
      <c r="J3508" s="875"/>
      <c r="K3508" s="877"/>
      <c r="L3508" s="879"/>
      <c r="M3508" s="881"/>
      <c r="N3508" s="883"/>
      <c r="O3508" s="55">
        <v>719</v>
      </c>
      <c r="P3508" s="78"/>
    </row>
    <row r="3509" spans="9:16" ht="15.75" thickBot="1">
      <c r="I3509" s="874"/>
      <c r="J3509" s="876"/>
      <c r="K3509" s="878"/>
      <c r="L3509" s="880"/>
      <c r="M3509" s="882"/>
      <c r="N3509" s="884"/>
      <c r="O3509" s="56">
        <v>722</v>
      </c>
      <c r="P3509" s="352"/>
    </row>
    <row r="3510" spans="9:16">
      <c r="I3510" s="873"/>
      <c r="J3510" s="875"/>
      <c r="K3510" s="877"/>
      <c r="L3510" s="879"/>
      <c r="M3510" s="881"/>
      <c r="N3510" s="883"/>
      <c r="O3510" s="55">
        <v>719</v>
      </c>
      <c r="P3510" s="78"/>
    </row>
    <row r="3511" spans="9:16" ht="15.75" thickBot="1">
      <c r="I3511" s="874"/>
      <c r="J3511" s="876"/>
      <c r="K3511" s="878"/>
      <c r="L3511" s="880"/>
      <c r="M3511" s="882"/>
      <c r="N3511" s="884"/>
      <c r="O3511" s="56">
        <v>722</v>
      </c>
      <c r="P3511" s="79">
        <f>+N3510-P3510</f>
        <v>0</v>
      </c>
    </row>
    <row r="3512" spans="9:16" ht="16.5" thickBot="1">
      <c r="I3512" s="901" t="s">
        <v>102</v>
      </c>
      <c r="J3512" s="902"/>
      <c r="K3512" s="902"/>
      <c r="L3512" s="902"/>
      <c r="M3512" s="903"/>
      <c r="N3512" s="81">
        <f>SUM(N3504:N3511)</f>
        <v>-18680269</v>
      </c>
    </row>
    <row r="3513" spans="9:16" ht="16.5" thickBot="1">
      <c r="I3513" s="885" t="s">
        <v>103</v>
      </c>
      <c r="J3513" s="886"/>
      <c r="K3513" s="886"/>
      <c r="L3513" s="886"/>
      <c r="M3513" s="887"/>
      <c r="N3513" s="69">
        <f>+N3478</f>
        <v>777196263</v>
      </c>
      <c r="O3513" s="241" t="s">
        <v>561</v>
      </c>
      <c r="P3513" s="242"/>
    </row>
    <row r="3514" spans="9:16" ht="16.5" thickBot="1">
      <c r="I3514" s="888" t="s">
        <v>104</v>
      </c>
      <c r="J3514" s="889"/>
      <c r="K3514" s="889"/>
      <c r="L3514" s="889"/>
      <c r="M3514" s="890"/>
      <c r="N3514" s="183">
        <f>SUM(N3512:N3513)</f>
        <v>758515994</v>
      </c>
    </row>
    <row r="3515" spans="9:16">
      <c r="I3515" s="61"/>
      <c r="J3515" s="61"/>
      <c r="K3515" s="61"/>
      <c r="L3515" s="61"/>
      <c r="M3515" s="61"/>
    </row>
    <row r="3516" spans="9:16">
      <c r="I3516" s="51" t="s">
        <v>1319</v>
      </c>
    </row>
    <row r="3517" spans="9:16">
      <c r="N3517" s="139"/>
    </row>
    <row r="3518" spans="9:16">
      <c r="I3518" s="50" t="s">
        <v>105</v>
      </c>
      <c r="L3518" s="146"/>
      <c r="N3518" s="139"/>
    </row>
    <row r="3519" spans="9:16" ht="15.75" thickBot="1"/>
    <row r="3520" spans="9:16" ht="15.75" thickBot="1">
      <c r="I3520" s="891" t="s">
        <v>106</v>
      </c>
      <c r="J3520" s="892"/>
      <c r="K3520" s="892"/>
      <c r="L3520" s="893"/>
      <c r="N3520" s="50" t="s">
        <v>288</v>
      </c>
    </row>
    <row r="3521" spans="9:16" ht="30.75" thickBot="1">
      <c r="I3521" s="57" t="s">
        <v>100</v>
      </c>
      <c r="J3521" s="58" t="s">
        <v>108</v>
      </c>
      <c r="K3521" s="287" t="s">
        <v>109</v>
      </c>
      <c r="L3521" s="60" t="s">
        <v>110</v>
      </c>
    </row>
    <row r="3522" spans="9:16">
      <c r="I3522" s="71">
        <v>719</v>
      </c>
      <c r="J3522" s="73">
        <f>+P3504+P3506+P3510</f>
        <v>0</v>
      </c>
      <c r="K3522" s="74">
        <f>+L3486</f>
        <v>50121700</v>
      </c>
      <c r="L3522" s="195">
        <f>+J3522+K3522</f>
        <v>50121700</v>
      </c>
    </row>
    <row r="3523" spans="9:16">
      <c r="I3523" s="72">
        <v>721</v>
      </c>
      <c r="J3523" s="80">
        <f>+P3505+P3507</f>
        <v>-18680269</v>
      </c>
      <c r="K3523" s="74">
        <f>+L3487</f>
        <v>286166259</v>
      </c>
      <c r="L3523" s="195">
        <f>+J3523+K3523</f>
        <v>267485990</v>
      </c>
    </row>
    <row r="3524" spans="9:16" ht="15.75">
      <c r="I3524" s="72">
        <v>722</v>
      </c>
      <c r="J3524" s="80"/>
      <c r="K3524" s="74">
        <f>+L3488</f>
        <v>21729900</v>
      </c>
      <c r="L3524" s="195">
        <f>+J3524+K3524</f>
        <v>21729900</v>
      </c>
      <c r="N3524" s="193" t="s">
        <v>1125</v>
      </c>
    </row>
    <row r="3525" spans="9:16" ht="15.75">
      <c r="I3525" s="72">
        <v>723</v>
      </c>
      <c r="J3525" s="80"/>
      <c r="K3525" s="74">
        <f>+L3489</f>
        <v>418380904</v>
      </c>
      <c r="L3525" s="195">
        <f>+J3525+K3525</f>
        <v>418380904</v>
      </c>
      <c r="N3525" s="193"/>
      <c r="O3525" s="175"/>
    </row>
    <row r="3526" spans="9:16" ht="16.5" thickBot="1">
      <c r="I3526" s="164" t="s">
        <v>1077</v>
      </c>
      <c r="J3526" s="165"/>
      <c r="K3526" s="74">
        <f>+L3490</f>
        <v>797500</v>
      </c>
      <c r="L3526" s="196">
        <f>+J3526+K3526</f>
        <v>797500</v>
      </c>
      <c r="N3526" s="52"/>
    </row>
    <row r="3527" spans="9:16" ht="16.5" thickBot="1">
      <c r="I3527" s="169"/>
      <c r="J3527" s="197">
        <f>SUM(J3522:J3526)</f>
        <v>-18680269</v>
      </c>
      <c r="K3527" s="197">
        <f>SUM(K3522:K3526)</f>
        <v>777196263</v>
      </c>
      <c r="L3527" s="198">
        <f>SUM(L3522:L3526)</f>
        <v>758515994</v>
      </c>
    </row>
    <row r="3528" spans="9:16" ht="15.75">
      <c r="I3528" s="397"/>
      <c r="J3528" s="398"/>
      <c r="K3528" s="398"/>
      <c r="L3528" s="399"/>
    </row>
    <row r="3529" spans="9:16" ht="16.5">
      <c r="I3529" s="49" t="s">
        <v>88</v>
      </c>
      <c r="J3529" s="50"/>
    </row>
    <row r="3530" spans="9:16">
      <c r="I3530" s="51" t="s">
        <v>89</v>
      </c>
    </row>
    <row r="3531" spans="9:16">
      <c r="I3531" s="51" t="s">
        <v>90</v>
      </c>
    </row>
    <row r="3532" spans="9:16">
      <c r="I3532" s="51" t="s">
        <v>91</v>
      </c>
    </row>
    <row r="3533" spans="9:16">
      <c r="I3533" s="50"/>
      <c r="J3533" s="50"/>
    </row>
    <row r="3534" spans="9:16" ht="15.75">
      <c r="I3534" s="260" t="s">
        <v>1322</v>
      </c>
      <c r="O3534" s="52"/>
    </row>
    <row r="3535" spans="9:16" ht="15.75">
      <c r="I3535" s="53" t="s">
        <v>535</v>
      </c>
      <c r="O3535" s="53"/>
    </row>
    <row r="3536" spans="9:16" ht="16.5">
      <c r="I3536" s="894" t="s">
        <v>1328</v>
      </c>
      <c r="J3536" s="894"/>
      <c r="K3536" s="894"/>
      <c r="L3536" s="894"/>
      <c r="M3536" s="894"/>
      <c r="N3536" s="894"/>
      <c r="O3536" s="894"/>
      <c r="P3536" s="894"/>
    </row>
    <row r="3537" spans="9:16" ht="15.75" thickBot="1"/>
    <row r="3538" spans="9:16">
      <c r="I3538" s="895" t="s">
        <v>94</v>
      </c>
      <c r="J3538" s="897" t="s">
        <v>95</v>
      </c>
      <c r="K3538" s="897" t="s">
        <v>96</v>
      </c>
      <c r="L3538" s="897" t="s">
        <v>3</v>
      </c>
      <c r="M3538" s="897" t="s">
        <v>97</v>
      </c>
      <c r="N3538" s="897" t="s">
        <v>98</v>
      </c>
      <c r="O3538" s="897" t="s">
        <v>99</v>
      </c>
      <c r="P3538" s="899"/>
    </row>
    <row r="3539" spans="9:16" ht="15.75" thickBot="1">
      <c r="I3539" s="896"/>
      <c r="J3539" s="898"/>
      <c r="K3539" s="898"/>
      <c r="L3539" s="898"/>
      <c r="M3539" s="898"/>
      <c r="N3539" s="898"/>
      <c r="O3539" s="240" t="s">
        <v>100</v>
      </c>
      <c r="P3539" s="182" t="s">
        <v>101</v>
      </c>
    </row>
    <row r="3540" spans="9:16">
      <c r="I3540" s="873" t="s">
        <v>1323</v>
      </c>
      <c r="J3540" s="875">
        <v>42735</v>
      </c>
      <c r="K3540" s="877" t="s">
        <v>1267</v>
      </c>
      <c r="L3540" s="879" t="s">
        <v>1325</v>
      </c>
      <c r="M3540" s="881" t="s">
        <v>145</v>
      </c>
      <c r="N3540" s="883">
        <v>3379917</v>
      </c>
      <c r="O3540" s="55">
        <v>719</v>
      </c>
      <c r="P3540" s="78"/>
    </row>
    <row r="3541" spans="9:16" ht="15.75" thickBot="1">
      <c r="I3541" s="874"/>
      <c r="J3541" s="876"/>
      <c r="K3541" s="900"/>
      <c r="L3541" s="880"/>
      <c r="M3541" s="882"/>
      <c r="N3541" s="884"/>
      <c r="O3541" s="56">
        <v>721</v>
      </c>
      <c r="P3541" s="351">
        <f>+N3540-P3540</f>
        <v>3379917</v>
      </c>
    </row>
    <row r="3542" spans="9:16">
      <c r="I3542" s="873" t="s">
        <v>1324</v>
      </c>
      <c r="J3542" s="875">
        <v>42735</v>
      </c>
      <c r="K3542" s="900"/>
      <c r="L3542" s="879" t="s">
        <v>1326</v>
      </c>
      <c r="M3542" s="881" t="s">
        <v>145</v>
      </c>
      <c r="N3542" s="883">
        <v>1673382</v>
      </c>
      <c r="O3542" s="55">
        <v>719</v>
      </c>
      <c r="P3542" s="78"/>
    </row>
    <row r="3543" spans="9:16" ht="15.75" thickBot="1">
      <c r="I3543" s="874"/>
      <c r="J3543" s="876"/>
      <c r="K3543" s="878"/>
      <c r="L3543" s="880"/>
      <c r="M3543" s="882"/>
      <c r="N3543" s="884"/>
      <c r="O3543" s="56">
        <v>721</v>
      </c>
      <c r="P3543" s="352">
        <f>+N3542-P3542</f>
        <v>1673382</v>
      </c>
    </row>
    <row r="3544" spans="9:16">
      <c r="I3544" s="873"/>
      <c r="J3544" s="875"/>
      <c r="K3544" s="877"/>
      <c r="L3544" s="879"/>
      <c r="M3544" s="881"/>
      <c r="N3544" s="883"/>
      <c r="O3544" s="55">
        <v>719</v>
      </c>
      <c r="P3544" s="78"/>
    </row>
    <row r="3545" spans="9:16" ht="15.75" thickBot="1">
      <c r="I3545" s="874"/>
      <c r="J3545" s="876"/>
      <c r="K3545" s="878"/>
      <c r="L3545" s="880"/>
      <c r="M3545" s="882"/>
      <c r="N3545" s="884"/>
      <c r="O3545" s="56">
        <v>722</v>
      </c>
      <c r="P3545" s="352"/>
    </row>
    <row r="3546" spans="9:16">
      <c r="I3546" s="873"/>
      <c r="J3546" s="875"/>
      <c r="K3546" s="877"/>
      <c r="L3546" s="879"/>
      <c r="M3546" s="881"/>
      <c r="N3546" s="883"/>
      <c r="O3546" s="55">
        <v>719</v>
      </c>
      <c r="P3546" s="78"/>
    </row>
    <row r="3547" spans="9:16" ht="15.75" thickBot="1">
      <c r="I3547" s="874"/>
      <c r="J3547" s="876"/>
      <c r="K3547" s="878"/>
      <c r="L3547" s="880"/>
      <c r="M3547" s="882"/>
      <c r="N3547" s="884"/>
      <c r="O3547" s="56">
        <v>722</v>
      </c>
      <c r="P3547" s="79">
        <f>+N3546-P3546</f>
        <v>0</v>
      </c>
    </row>
    <row r="3548" spans="9:16" ht="16.5" thickBot="1">
      <c r="I3548" s="901" t="s">
        <v>102</v>
      </c>
      <c r="J3548" s="902"/>
      <c r="K3548" s="902"/>
      <c r="L3548" s="902"/>
      <c r="M3548" s="903"/>
      <c r="N3548" s="81">
        <f>SUM(N3540:N3547)</f>
        <v>5053299</v>
      </c>
    </row>
    <row r="3549" spans="9:16" ht="16.5" thickBot="1">
      <c r="I3549" s="885" t="s">
        <v>103</v>
      </c>
      <c r="J3549" s="886"/>
      <c r="K3549" s="886"/>
      <c r="L3549" s="886"/>
      <c r="M3549" s="887"/>
      <c r="N3549" s="69">
        <f>+N3514</f>
        <v>758515994</v>
      </c>
      <c r="O3549" s="241" t="s">
        <v>561</v>
      </c>
      <c r="P3549" s="242"/>
    </row>
    <row r="3550" spans="9:16" ht="16.5" thickBot="1">
      <c r="I3550" s="888" t="s">
        <v>104</v>
      </c>
      <c r="J3550" s="889"/>
      <c r="K3550" s="889"/>
      <c r="L3550" s="889"/>
      <c r="M3550" s="890"/>
      <c r="N3550" s="183">
        <f>SUM(N3548:N3549)</f>
        <v>763569293</v>
      </c>
    </row>
    <row r="3551" spans="9:16">
      <c r="I3551" s="61"/>
      <c r="J3551" s="61"/>
      <c r="K3551" s="61"/>
      <c r="L3551" s="61"/>
      <c r="M3551" s="61"/>
    </row>
    <row r="3552" spans="9:16">
      <c r="I3552" s="51" t="s">
        <v>1327</v>
      </c>
    </row>
    <row r="3553" spans="9:15">
      <c r="N3553" s="139"/>
    </row>
    <row r="3554" spans="9:15">
      <c r="I3554" s="50" t="s">
        <v>105</v>
      </c>
      <c r="L3554" s="146"/>
      <c r="N3554" s="139"/>
    </row>
    <row r="3555" spans="9:15" ht="15.75" thickBot="1"/>
    <row r="3556" spans="9:15" ht="15.75" thickBot="1">
      <c r="I3556" s="891" t="s">
        <v>106</v>
      </c>
      <c r="J3556" s="892"/>
      <c r="K3556" s="892"/>
      <c r="L3556" s="893"/>
      <c r="N3556" s="50" t="s">
        <v>288</v>
      </c>
    </row>
    <row r="3557" spans="9:15" ht="30.75" thickBot="1">
      <c r="I3557" s="57" t="s">
        <v>100</v>
      </c>
      <c r="J3557" s="58" t="s">
        <v>108</v>
      </c>
      <c r="K3557" s="287" t="s">
        <v>109</v>
      </c>
      <c r="L3557" s="60" t="s">
        <v>110</v>
      </c>
    </row>
    <row r="3558" spans="9:15">
      <c r="I3558" s="71">
        <v>719</v>
      </c>
      <c r="J3558" s="73">
        <f>+P3540+P3542+P3546</f>
        <v>0</v>
      </c>
      <c r="K3558" s="74">
        <f>+L3522</f>
        <v>50121700</v>
      </c>
      <c r="L3558" s="195">
        <f>+J3558+K3558</f>
        <v>50121700</v>
      </c>
    </row>
    <row r="3559" spans="9:15">
      <c r="I3559" s="72">
        <v>721</v>
      </c>
      <c r="J3559" s="80">
        <f>+P3541+P3543</f>
        <v>5053299</v>
      </c>
      <c r="K3559" s="74">
        <f>+L3523</f>
        <v>267485990</v>
      </c>
      <c r="L3559" s="195">
        <f>+J3559+K3559</f>
        <v>272539289</v>
      </c>
    </row>
    <row r="3560" spans="9:15" ht="15.75">
      <c r="I3560" s="72">
        <v>722</v>
      </c>
      <c r="J3560" s="80"/>
      <c r="K3560" s="74">
        <f>+L3524</f>
        <v>21729900</v>
      </c>
      <c r="L3560" s="195">
        <f>+J3560+K3560</f>
        <v>21729900</v>
      </c>
      <c r="N3560" s="193" t="s">
        <v>23</v>
      </c>
    </row>
    <row r="3561" spans="9:15" ht="15.75">
      <c r="I3561" s="72">
        <v>723</v>
      </c>
      <c r="J3561" s="80"/>
      <c r="K3561" s="74">
        <f>+L3525</f>
        <v>418380904</v>
      </c>
      <c r="L3561" s="195">
        <f>+J3561+K3561</f>
        <v>418380904</v>
      </c>
      <c r="N3561" s="193"/>
      <c r="O3561" s="175"/>
    </row>
    <row r="3562" spans="9:15" ht="16.5" thickBot="1">
      <c r="I3562" s="164" t="s">
        <v>1077</v>
      </c>
      <c r="J3562" s="165"/>
      <c r="K3562" s="74">
        <f>+L3526</f>
        <v>797500</v>
      </c>
      <c r="L3562" s="196">
        <f>+J3562+K3562</f>
        <v>797500</v>
      </c>
      <c r="N3562" s="52"/>
    </row>
    <row r="3563" spans="9:15" ht="16.5" thickBot="1">
      <c r="I3563" s="169"/>
      <c r="J3563" s="197">
        <f>SUM(J3558:J3562)</f>
        <v>5053299</v>
      </c>
      <c r="K3563" s="197">
        <f>SUM(K3558:K3562)</f>
        <v>758515994</v>
      </c>
      <c r="L3563" s="198">
        <f>SUM(L3558:L3562)</f>
        <v>763569293</v>
      </c>
    </row>
    <row r="3564" spans="9:15" ht="16.5">
      <c r="I3564" s="49" t="s">
        <v>88</v>
      </c>
      <c r="J3564" s="50"/>
    </row>
    <row r="3565" spans="9:15">
      <c r="I3565" s="51" t="s">
        <v>89</v>
      </c>
    </row>
    <row r="3566" spans="9:15">
      <c r="I3566" s="51" t="s">
        <v>90</v>
      </c>
    </row>
    <row r="3567" spans="9:15">
      <c r="I3567" s="51" t="s">
        <v>91</v>
      </c>
    </row>
    <row r="3568" spans="9:15">
      <c r="I3568" s="50"/>
      <c r="J3568" s="50"/>
    </row>
    <row r="3569" spans="9:16" ht="15.75">
      <c r="I3569" s="260" t="s">
        <v>1329</v>
      </c>
      <c r="O3569" s="52"/>
    </row>
    <row r="3570" spans="9:16" ht="15.75">
      <c r="I3570" s="53" t="s">
        <v>535</v>
      </c>
      <c r="O3570" s="53"/>
    </row>
    <row r="3571" spans="9:16" ht="16.5">
      <c r="I3571" s="894" t="s">
        <v>1328</v>
      </c>
      <c r="J3571" s="894"/>
      <c r="K3571" s="894"/>
      <c r="L3571" s="894"/>
      <c r="M3571" s="894"/>
      <c r="N3571" s="894"/>
      <c r="O3571" s="894"/>
      <c r="P3571" s="894"/>
    </row>
    <row r="3572" spans="9:16" ht="15.75" thickBot="1"/>
    <row r="3573" spans="9:16">
      <c r="I3573" s="895" t="s">
        <v>94</v>
      </c>
      <c r="J3573" s="897" t="s">
        <v>95</v>
      </c>
      <c r="K3573" s="897" t="s">
        <v>96</v>
      </c>
      <c r="L3573" s="897" t="s">
        <v>3</v>
      </c>
      <c r="M3573" s="897" t="s">
        <v>97</v>
      </c>
      <c r="N3573" s="897" t="s">
        <v>98</v>
      </c>
      <c r="O3573" s="897" t="s">
        <v>99</v>
      </c>
      <c r="P3573" s="899"/>
    </row>
    <row r="3574" spans="9:16" ht="15.75" thickBot="1">
      <c r="I3574" s="896"/>
      <c r="J3574" s="898"/>
      <c r="K3574" s="898"/>
      <c r="L3574" s="898"/>
      <c r="M3574" s="898"/>
      <c r="N3574" s="898"/>
      <c r="O3574" s="240" t="s">
        <v>100</v>
      </c>
      <c r="P3574" s="182" t="s">
        <v>101</v>
      </c>
    </row>
    <row r="3575" spans="9:16">
      <c r="I3575" s="873" t="s">
        <v>1323</v>
      </c>
      <c r="J3575" s="875">
        <v>42735</v>
      </c>
      <c r="K3575" s="877" t="s">
        <v>1267</v>
      </c>
      <c r="L3575" s="879" t="s">
        <v>1325</v>
      </c>
      <c r="M3575" s="881" t="s">
        <v>145</v>
      </c>
      <c r="N3575" s="883">
        <v>3379917</v>
      </c>
      <c r="O3575" s="55">
        <v>719</v>
      </c>
      <c r="P3575" s="78"/>
    </row>
    <row r="3576" spans="9:16" ht="15.75" thickBot="1">
      <c r="I3576" s="874"/>
      <c r="J3576" s="876"/>
      <c r="K3576" s="900"/>
      <c r="L3576" s="880"/>
      <c r="M3576" s="882"/>
      <c r="N3576" s="884"/>
      <c r="O3576" s="56">
        <v>721</v>
      </c>
      <c r="P3576" s="351">
        <f>+N3575-P3575</f>
        <v>3379917</v>
      </c>
    </row>
    <row r="3577" spans="9:16">
      <c r="I3577" s="873" t="s">
        <v>1324</v>
      </c>
      <c r="J3577" s="875">
        <v>42735</v>
      </c>
      <c r="K3577" s="900"/>
      <c r="L3577" s="879" t="s">
        <v>1326</v>
      </c>
      <c r="M3577" s="881" t="s">
        <v>145</v>
      </c>
      <c r="N3577" s="883">
        <v>1673382</v>
      </c>
      <c r="O3577" s="55">
        <v>719</v>
      </c>
      <c r="P3577" s="78"/>
    </row>
    <row r="3578" spans="9:16" ht="15.75" thickBot="1">
      <c r="I3578" s="874"/>
      <c r="J3578" s="876"/>
      <c r="K3578" s="878"/>
      <c r="L3578" s="880"/>
      <c r="M3578" s="882"/>
      <c r="N3578" s="884"/>
      <c r="O3578" s="56">
        <v>721</v>
      </c>
      <c r="P3578" s="352">
        <f>+N3577-P3577</f>
        <v>1673382</v>
      </c>
    </row>
    <row r="3579" spans="9:16">
      <c r="I3579" s="873"/>
      <c r="J3579" s="875"/>
      <c r="K3579" s="877"/>
      <c r="L3579" s="879"/>
      <c r="M3579" s="881"/>
      <c r="N3579" s="883"/>
      <c r="O3579" s="55">
        <v>719</v>
      </c>
      <c r="P3579" s="78"/>
    </row>
    <row r="3580" spans="9:16" ht="15.75" thickBot="1">
      <c r="I3580" s="874"/>
      <c r="J3580" s="876"/>
      <c r="K3580" s="878"/>
      <c r="L3580" s="880"/>
      <c r="M3580" s="882"/>
      <c r="N3580" s="884"/>
      <c r="O3580" s="56">
        <v>722</v>
      </c>
      <c r="P3580" s="352"/>
    </row>
    <row r="3581" spans="9:16">
      <c r="I3581" s="873"/>
      <c r="J3581" s="875"/>
      <c r="K3581" s="877"/>
      <c r="L3581" s="879"/>
      <c r="M3581" s="881"/>
      <c r="N3581" s="883"/>
      <c r="O3581" s="55">
        <v>719</v>
      </c>
      <c r="P3581" s="78"/>
    </row>
    <row r="3582" spans="9:16" ht="15.75" thickBot="1">
      <c r="I3582" s="874"/>
      <c r="J3582" s="876"/>
      <c r="K3582" s="878"/>
      <c r="L3582" s="880"/>
      <c r="M3582" s="882"/>
      <c r="N3582" s="884"/>
      <c r="O3582" s="56">
        <v>722</v>
      </c>
      <c r="P3582" s="79">
        <f>+N3581-P3581</f>
        <v>0</v>
      </c>
    </row>
    <row r="3583" spans="9:16" ht="16.5" thickBot="1">
      <c r="I3583" s="901" t="s">
        <v>102</v>
      </c>
      <c r="J3583" s="902"/>
      <c r="K3583" s="902"/>
      <c r="L3583" s="902"/>
      <c r="M3583" s="903"/>
      <c r="N3583" s="81">
        <f>SUM(N3575:N3582)</f>
        <v>5053299</v>
      </c>
    </row>
    <row r="3584" spans="9:16" ht="16.5" thickBot="1">
      <c r="I3584" s="885" t="s">
        <v>103</v>
      </c>
      <c r="J3584" s="886"/>
      <c r="K3584" s="886"/>
      <c r="L3584" s="886"/>
      <c r="M3584" s="887"/>
      <c r="N3584" s="69">
        <f>+N3549</f>
        <v>758515994</v>
      </c>
      <c r="O3584" s="241" t="s">
        <v>561</v>
      </c>
      <c r="P3584" s="242"/>
    </row>
    <row r="3585" spans="9:15" ht="16.5" thickBot="1">
      <c r="I3585" s="888" t="s">
        <v>104</v>
      </c>
      <c r="J3585" s="889"/>
      <c r="K3585" s="889"/>
      <c r="L3585" s="889"/>
      <c r="M3585" s="890"/>
      <c r="N3585" s="183">
        <f>SUM(N3583:N3584)</f>
        <v>763569293</v>
      </c>
    </row>
    <row r="3586" spans="9:15">
      <c r="I3586" s="61"/>
      <c r="J3586" s="61"/>
      <c r="K3586" s="61"/>
      <c r="L3586" s="61"/>
      <c r="M3586" s="61"/>
    </row>
    <row r="3587" spans="9:15">
      <c r="I3587" s="51" t="s">
        <v>1327</v>
      </c>
    </row>
    <row r="3588" spans="9:15">
      <c r="N3588" s="139"/>
    </row>
    <row r="3589" spans="9:15">
      <c r="I3589" s="50" t="s">
        <v>105</v>
      </c>
      <c r="L3589" s="146"/>
      <c r="N3589" s="139"/>
    </row>
    <row r="3590" spans="9:15" ht="15.75" thickBot="1"/>
    <row r="3591" spans="9:15" ht="15.75" thickBot="1">
      <c r="I3591" s="891" t="s">
        <v>106</v>
      </c>
      <c r="J3591" s="892"/>
      <c r="K3591" s="892"/>
      <c r="L3591" s="893"/>
      <c r="N3591" s="50" t="s">
        <v>288</v>
      </c>
    </row>
    <row r="3592" spans="9:15" ht="30.75" thickBot="1">
      <c r="I3592" s="57" t="s">
        <v>100</v>
      </c>
      <c r="J3592" s="58" t="s">
        <v>108</v>
      </c>
      <c r="K3592" s="287" t="s">
        <v>109</v>
      </c>
      <c r="L3592" s="60" t="s">
        <v>110</v>
      </c>
    </row>
    <row r="3593" spans="9:15">
      <c r="I3593" s="71">
        <v>719</v>
      </c>
      <c r="J3593" s="73">
        <f>+P3575+P3577+P3581</f>
        <v>0</v>
      </c>
      <c r="K3593" s="74" t="str">
        <f>+L3557</f>
        <v>Cumul</v>
      </c>
      <c r="L3593" s="195" t="e">
        <f>+J3593+K3593</f>
        <v>#VALUE!</v>
      </c>
    </row>
    <row r="3594" spans="9:15">
      <c r="I3594" s="72">
        <v>721</v>
      </c>
      <c r="J3594" s="80">
        <f>+P3576+P3578</f>
        <v>5053299</v>
      </c>
      <c r="K3594" s="74">
        <f>+L3558</f>
        <v>50121700</v>
      </c>
      <c r="L3594" s="195">
        <f>+J3594+K3594</f>
        <v>55174999</v>
      </c>
    </row>
    <row r="3595" spans="9:15" ht="15.75">
      <c r="I3595" s="72">
        <v>722</v>
      </c>
      <c r="J3595" s="80"/>
      <c r="K3595" s="74">
        <f>+L3559</f>
        <v>272539289</v>
      </c>
      <c r="L3595" s="195">
        <f>+J3595+K3595</f>
        <v>272539289</v>
      </c>
      <c r="N3595" s="193" t="s">
        <v>23</v>
      </c>
    </row>
    <row r="3596" spans="9:15" ht="15.75">
      <c r="I3596" s="72">
        <v>723</v>
      </c>
      <c r="J3596" s="80"/>
      <c r="K3596" s="74">
        <f>+L3560</f>
        <v>21729900</v>
      </c>
      <c r="L3596" s="195">
        <f>+J3596+K3596</f>
        <v>21729900</v>
      </c>
      <c r="N3596" s="193"/>
      <c r="O3596" s="175"/>
    </row>
    <row r="3597" spans="9:15" ht="16.5" thickBot="1">
      <c r="I3597" s="164" t="s">
        <v>1077</v>
      </c>
      <c r="J3597" s="165"/>
      <c r="K3597" s="74">
        <f>+L3561</f>
        <v>418380904</v>
      </c>
      <c r="L3597" s="196">
        <f>+J3597+K3597</f>
        <v>418380904</v>
      </c>
      <c r="N3597" s="52"/>
    </row>
    <row r="3598" spans="9:15" ht="16.5" thickBot="1">
      <c r="I3598" s="169"/>
      <c r="J3598" s="197">
        <f>SUM(J3593:J3597)</f>
        <v>5053299</v>
      </c>
      <c r="K3598" s="197">
        <f>SUM(K3593:K3597)</f>
        <v>762771793</v>
      </c>
      <c r="L3598" s="198" t="e">
        <f>SUM(L3593:L3597)</f>
        <v>#VALUE!</v>
      </c>
    </row>
  </sheetData>
  <mergeCells count="5810">
    <mergeCell ref="N1484:P1484"/>
    <mergeCell ref="N1036:P1036"/>
    <mergeCell ref="N1073:P1073"/>
    <mergeCell ref="N1110:P1110"/>
    <mergeCell ref="N1146:P1146"/>
    <mergeCell ref="A8:H8"/>
    <mergeCell ref="I8:P8"/>
    <mergeCell ref="A10:A11"/>
    <mergeCell ref="B10:B11"/>
    <mergeCell ref="C10:C11"/>
    <mergeCell ref="D10:D11"/>
    <mergeCell ref="E10:E11"/>
    <mergeCell ref="F10:F11"/>
    <mergeCell ref="G10:H10"/>
    <mergeCell ref="I10:I11"/>
    <mergeCell ref="I12:I13"/>
    <mergeCell ref="J12:J13"/>
    <mergeCell ref="L12:L13"/>
    <mergeCell ref="M12:M13"/>
    <mergeCell ref="N12:N13"/>
    <mergeCell ref="A12:A13"/>
    <mergeCell ref="B12:B13"/>
    <mergeCell ref="C12:C13"/>
    <mergeCell ref="D12:D13"/>
    <mergeCell ref="E12:E13"/>
    <mergeCell ref="F12:F13"/>
    <mergeCell ref="J10:J11"/>
    <mergeCell ref="K10:K11"/>
    <mergeCell ref="L10:L11"/>
    <mergeCell ref="M10:M11"/>
    <mergeCell ref="N10:N11"/>
    <mergeCell ref="O10:P10"/>
    <mergeCell ref="I16:I17"/>
    <mergeCell ref="J16:J17"/>
    <mergeCell ref="K16:K17"/>
    <mergeCell ref="L16:L17"/>
    <mergeCell ref="M16:M17"/>
    <mergeCell ref="N16:N17"/>
    <mergeCell ref="A16:A17"/>
    <mergeCell ref="B16:B17"/>
    <mergeCell ref="C16:C17"/>
    <mergeCell ref="D16:D17"/>
    <mergeCell ref="E16:E17"/>
    <mergeCell ref="F16:F17"/>
    <mergeCell ref="I14:I15"/>
    <mergeCell ref="J14:J15"/>
    <mergeCell ref="L14:L15"/>
    <mergeCell ref="M14:M15"/>
    <mergeCell ref="N14:N15"/>
    <mergeCell ref="A14:A15"/>
    <mergeCell ref="B14:B15"/>
    <mergeCell ref="C14:C15"/>
    <mergeCell ref="D14:D15"/>
    <mergeCell ref="E14:E15"/>
    <mergeCell ref="F14:F15"/>
    <mergeCell ref="A20:E20"/>
    <mergeCell ref="I20:M20"/>
    <mergeCell ref="A21:E21"/>
    <mergeCell ref="I21:M21"/>
    <mergeCell ref="A22:E22"/>
    <mergeCell ref="I22:M22"/>
    <mergeCell ref="I18:I19"/>
    <mergeCell ref="J18:J19"/>
    <mergeCell ref="K18:K19"/>
    <mergeCell ref="L18:L19"/>
    <mergeCell ref="M18:M19"/>
    <mergeCell ref="N18:N19"/>
    <mergeCell ref="A18:A19"/>
    <mergeCell ref="B18:B19"/>
    <mergeCell ref="C18:C19"/>
    <mergeCell ref="D18:D19"/>
    <mergeCell ref="E18:E19"/>
    <mergeCell ref="F18:F19"/>
    <mergeCell ref="O45:P45"/>
    <mergeCell ref="A47:A48"/>
    <mergeCell ref="B47:B48"/>
    <mergeCell ref="C47:C48"/>
    <mergeCell ref="D47:D48"/>
    <mergeCell ref="E47:E48"/>
    <mergeCell ref="F47:F48"/>
    <mergeCell ref="I47:I48"/>
    <mergeCell ref="J47:J48"/>
    <mergeCell ref="G45:H45"/>
    <mergeCell ref="I45:I46"/>
    <mergeCell ref="J45:J46"/>
    <mergeCell ref="K45:K46"/>
    <mergeCell ref="L45:L46"/>
    <mergeCell ref="M45:M46"/>
    <mergeCell ref="A28:D28"/>
    <mergeCell ref="I28:L28"/>
    <mergeCell ref="A43:H43"/>
    <mergeCell ref="I43:P43"/>
    <mergeCell ref="A45:A46"/>
    <mergeCell ref="B45:B46"/>
    <mergeCell ref="C45:C46"/>
    <mergeCell ref="D45:D46"/>
    <mergeCell ref="E45:E46"/>
    <mergeCell ref="F45:F46"/>
    <mergeCell ref="I49:I50"/>
    <mergeCell ref="J49:J50"/>
    <mergeCell ref="K49:K50"/>
    <mergeCell ref="L49:L50"/>
    <mergeCell ref="M49:M50"/>
    <mergeCell ref="N49:N50"/>
    <mergeCell ref="K47:K48"/>
    <mergeCell ref="L47:L48"/>
    <mergeCell ref="M47:M48"/>
    <mergeCell ref="N47:N48"/>
    <mergeCell ref="A49:A50"/>
    <mergeCell ref="B49:B50"/>
    <mergeCell ref="C49:C50"/>
    <mergeCell ref="D49:D50"/>
    <mergeCell ref="E49:E50"/>
    <mergeCell ref="F49:F50"/>
    <mergeCell ref="N45:N46"/>
    <mergeCell ref="I53:I54"/>
    <mergeCell ref="J53:J54"/>
    <mergeCell ref="K53:K54"/>
    <mergeCell ref="L53:L54"/>
    <mergeCell ref="M53:M54"/>
    <mergeCell ref="N53:N54"/>
    <mergeCell ref="A53:A54"/>
    <mergeCell ref="B53:B54"/>
    <mergeCell ref="C53:C54"/>
    <mergeCell ref="D53:D54"/>
    <mergeCell ref="E53:E54"/>
    <mergeCell ref="F53:F54"/>
    <mergeCell ref="I51:I52"/>
    <mergeCell ref="J51:J52"/>
    <mergeCell ref="K51:K52"/>
    <mergeCell ref="L51:L52"/>
    <mergeCell ref="M51:M52"/>
    <mergeCell ref="N51:N52"/>
    <mergeCell ref="A51:A52"/>
    <mergeCell ref="B51:B52"/>
    <mergeCell ref="C51:C52"/>
    <mergeCell ref="D51:D52"/>
    <mergeCell ref="E51:E52"/>
    <mergeCell ref="F51:F52"/>
    <mergeCell ref="A65:D65"/>
    <mergeCell ref="I65:L65"/>
    <mergeCell ref="A80:H80"/>
    <mergeCell ref="I80:P80"/>
    <mergeCell ref="A82:A83"/>
    <mergeCell ref="B82:B83"/>
    <mergeCell ref="C82:C83"/>
    <mergeCell ref="D82:D83"/>
    <mergeCell ref="E82:E83"/>
    <mergeCell ref="F82:F83"/>
    <mergeCell ref="A57:E57"/>
    <mergeCell ref="I57:M57"/>
    <mergeCell ref="A58:E58"/>
    <mergeCell ref="I58:M58"/>
    <mergeCell ref="A59:E59"/>
    <mergeCell ref="I59:M59"/>
    <mergeCell ref="I55:I56"/>
    <mergeCell ref="J55:J56"/>
    <mergeCell ref="K55:K56"/>
    <mergeCell ref="L55:L56"/>
    <mergeCell ref="M55:M56"/>
    <mergeCell ref="N55:N56"/>
    <mergeCell ref="A55:A56"/>
    <mergeCell ref="B55:B56"/>
    <mergeCell ref="C55:C56"/>
    <mergeCell ref="D55:D56"/>
    <mergeCell ref="E55:E56"/>
    <mergeCell ref="F55:F56"/>
    <mergeCell ref="K84:K85"/>
    <mergeCell ref="L84:L85"/>
    <mergeCell ref="M84:M85"/>
    <mergeCell ref="N84:N85"/>
    <mergeCell ref="A86:A87"/>
    <mergeCell ref="B86:B87"/>
    <mergeCell ref="C86:C87"/>
    <mergeCell ref="D86:D87"/>
    <mergeCell ref="E86:E87"/>
    <mergeCell ref="F86:F87"/>
    <mergeCell ref="N82:N83"/>
    <mergeCell ref="O82:P82"/>
    <mergeCell ref="A84:A85"/>
    <mergeCell ref="B84:B85"/>
    <mergeCell ref="C84:C85"/>
    <mergeCell ref="D84:D85"/>
    <mergeCell ref="E84:E85"/>
    <mergeCell ref="F84:F85"/>
    <mergeCell ref="I84:I85"/>
    <mergeCell ref="J84:J85"/>
    <mergeCell ref="G82:H82"/>
    <mergeCell ref="I82:I83"/>
    <mergeCell ref="J82:J83"/>
    <mergeCell ref="K82:K83"/>
    <mergeCell ref="L82:L83"/>
    <mergeCell ref="M82:M83"/>
    <mergeCell ref="I88:I89"/>
    <mergeCell ref="J88:J89"/>
    <mergeCell ref="K88:K89"/>
    <mergeCell ref="L88:L89"/>
    <mergeCell ref="M88:M89"/>
    <mergeCell ref="N88:N89"/>
    <mergeCell ref="A88:A89"/>
    <mergeCell ref="B88:B89"/>
    <mergeCell ref="C88:C89"/>
    <mergeCell ref="D88:D89"/>
    <mergeCell ref="E88:E89"/>
    <mergeCell ref="F88:F89"/>
    <mergeCell ref="I86:I87"/>
    <mergeCell ref="J86:J87"/>
    <mergeCell ref="K86:K87"/>
    <mergeCell ref="L86:L87"/>
    <mergeCell ref="M86:M87"/>
    <mergeCell ref="N86:N87"/>
    <mergeCell ref="A92:E92"/>
    <mergeCell ref="I92:M92"/>
    <mergeCell ref="A93:E93"/>
    <mergeCell ref="I93:M93"/>
    <mergeCell ref="A94:E94"/>
    <mergeCell ref="I94:M94"/>
    <mergeCell ref="I90:I91"/>
    <mergeCell ref="J90:J91"/>
    <mergeCell ref="K90:K91"/>
    <mergeCell ref="L90:L91"/>
    <mergeCell ref="M90:M91"/>
    <mergeCell ref="N90:N91"/>
    <mergeCell ref="A90:A91"/>
    <mergeCell ref="B90:B91"/>
    <mergeCell ref="C90:C91"/>
    <mergeCell ref="D90:D91"/>
    <mergeCell ref="E90:E91"/>
    <mergeCell ref="F90:F91"/>
    <mergeCell ref="O117:P117"/>
    <mergeCell ref="A119:A120"/>
    <mergeCell ref="B119:B120"/>
    <mergeCell ref="C119:C120"/>
    <mergeCell ref="D119:D120"/>
    <mergeCell ref="E119:E120"/>
    <mergeCell ref="F119:F120"/>
    <mergeCell ref="I119:I120"/>
    <mergeCell ref="J119:J120"/>
    <mergeCell ref="G117:H117"/>
    <mergeCell ref="I117:I118"/>
    <mergeCell ref="J117:J118"/>
    <mergeCell ref="K117:K118"/>
    <mergeCell ref="L117:L118"/>
    <mergeCell ref="M117:M118"/>
    <mergeCell ref="A100:D100"/>
    <mergeCell ref="I100:L100"/>
    <mergeCell ref="A115:H115"/>
    <mergeCell ref="I115:P115"/>
    <mergeCell ref="A117:A118"/>
    <mergeCell ref="B117:B118"/>
    <mergeCell ref="C117:C118"/>
    <mergeCell ref="D117:D118"/>
    <mergeCell ref="E117:E118"/>
    <mergeCell ref="F117:F118"/>
    <mergeCell ref="I121:I122"/>
    <mergeCell ref="J121:J122"/>
    <mergeCell ref="K121:K122"/>
    <mergeCell ref="L121:L122"/>
    <mergeCell ref="M121:M122"/>
    <mergeCell ref="N121:N122"/>
    <mergeCell ref="K119:K120"/>
    <mergeCell ref="L119:L120"/>
    <mergeCell ref="M119:M120"/>
    <mergeCell ref="N119:N120"/>
    <mergeCell ref="A121:A122"/>
    <mergeCell ref="B121:B122"/>
    <mergeCell ref="C121:C122"/>
    <mergeCell ref="D121:D122"/>
    <mergeCell ref="E121:E122"/>
    <mergeCell ref="F121:F122"/>
    <mergeCell ref="N117:N118"/>
    <mergeCell ref="I125:I126"/>
    <mergeCell ref="J125:J126"/>
    <mergeCell ref="K125:K126"/>
    <mergeCell ref="L125:L126"/>
    <mergeCell ref="M125:M126"/>
    <mergeCell ref="N125:N126"/>
    <mergeCell ref="A125:A126"/>
    <mergeCell ref="B125:B126"/>
    <mergeCell ref="C125:C126"/>
    <mergeCell ref="D125:D126"/>
    <mergeCell ref="E125:E126"/>
    <mergeCell ref="F125:F126"/>
    <mergeCell ref="I123:I124"/>
    <mergeCell ref="J123:J124"/>
    <mergeCell ref="K123:K124"/>
    <mergeCell ref="L123:L124"/>
    <mergeCell ref="M123:M124"/>
    <mergeCell ref="N123:N124"/>
    <mergeCell ref="A123:A124"/>
    <mergeCell ref="B123:B124"/>
    <mergeCell ref="C123:C124"/>
    <mergeCell ref="D123:D124"/>
    <mergeCell ref="E123:E124"/>
    <mergeCell ref="F123:F124"/>
    <mergeCell ref="A129:E129"/>
    <mergeCell ref="I129:M129"/>
    <mergeCell ref="A130:E130"/>
    <mergeCell ref="I130:M130"/>
    <mergeCell ref="A131:E131"/>
    <mergeCell ref="I131:M131"/>
    <mergeCell ref="I127:I128"/>
    <mergeCell ref="J127:J128"/>
    <mergeCell ref="K127:K128"/>
    <mergeCell ref="L127:L128"/>
    <mergeCell ref="M127:M128"/>
    <mergeCell ref="N127:N128"/>
    <mergeCell ref="A127:A128"/>
    <mergeCell ref="B127:B128"/>
    <mergeCell ref="C127:C128"/>
    <mergeCell ref="D127:D128"/>
    <mergeCell ref="E127:E128"/>
    <mergeCell ref="F127:F128"/>
    <mergeCell ref="O154:P154"/>
    <mergeCell ref="A156:A157"/>
    <mergeCell ref="B156:B157"/>
    <mergeCell ref="C156:C157"/>
    <mergeCell ref="D156:D157"/>
    <mergeCell ref="E156:E157"/>
    <mergeCell ref="F156:F157"/>
    <mergeCell ref="I156:I157"/>
    <mergeCell ref="J156:J157"/>
    <mergeCell ref="G154:H154"/>
    <mergeCell ref="I154:I155"/>
    <mergeCell ref="J154:J155"/>
    <mergeCell ref="K154:K155"/>
    <mergeCell ref="L154:L155"/>
    <mergeCell ref="M154:M155"/>
    <mergeCell ref="A137:D137"/>
    <mergeCell ref="I137:L137"/>
    <mergeCell ref="A152:H152"/>
    <mergeCell ref="I152:P152"/>
    <mergeCell ref="A154:A155"/>
    <mergeCell ref="B154:B155"/>
    <mergeCell ref="C154:C155"/>
    <mergeCell ref="D154:D155"/>
    <mergeCell ref="E154:E155"/>
    <mergeCell ref="F154:F155"/>
    <mergeCell ref="N137:P137"/>
    <mergeCell ref="I158:I159"/>
    <mergeCell ref="J158:J159"/>
    <mergeCell ref="K158:K159"/>
    <mergeCell ref="L158:L159"/>
    <mergeCell ref="M158:M159"/>
    <mergeCell ref="N158:N159"/>
    <mergeCell ref="K156:K157"/>
    <mergeCell ref="L156:L157"/>
    <mergeCell ref="M156:M157"/>
    <mergeCell ref="N156:N157"/>
    <mergeCell ref="A158:A159"/>
    <mergeCell ref="B158:B159"/>
    <mergeCell ref="C158:C159"/>
    <mergeCell ref="D158:D159"/>
    <mergeCell ref="E158:E159"/>
    <mergeCell ref="F158:F159"/>
    <mergeCell ref="N154:N155"/>
    <mergeCell ref="I162:I163"/>
    <mergeCell ref="J162:J163"/>
    <mergeCell ref="K162:K163"/>
    <mergeCell ref="L162:L163"/>
    <mergeCell ref="M162:M163"/>
    <mergeCell ref="N162:N163"/>
    <mergeCell ref="A162:A163"/>
    <mergeCell ref="B162:B163"/>
    <mergeCell ref="C162:C163"/>
    <mergeCell ref="D162:D163"/>
    <mergeCell ref="E162:E163"/>
    <mergeCell ref="F162:F163"/>
    <mergeCell ref="I160:I161"/>
    <mergeCell ref="J160:J161"/>
    <mergeCell ref="K160:K161"/>
    <mergeCell ref="L160:L161"/>
    <mergeCell ref="M160:M161"/>
    <mergeCell ref="N160:N161"/>
    <mergeCell ref="A160:A161"/>
    <mergeCell ref="B160:B161"/>
    <mergeCell ref="C160:C161"/>
    <mergeCell ref="D160:D161"/>
    <mergeCell ref="E160:E161"/>
    <mergeCell ref="F160:F161"/>
    <mergeCell ref="A166:E166"/>
    <mergeCell ref="I166:M166"/>
    <mergeCell ref="A167:E167"/>
    <mergeCell ref="I167:M167"/>
    <mergeCell ref="A168:E168"/>
    <mergeCell ref="I168:M168"/>
    <mergeCell ref="I164:I165"/>
    <mergeCell ref="J164:J165"/>
    <mergeCell ref="K164:K165"/>
    <mergeCell ref="L164:L165"/>
    <mergeCell ref="M164:M165"/>
    <mergeCell ref="N164:N165"/>
    <mergeCell ref="A164:A165"/>
    <mergeCell ref="B164:B165"/>
    <mergeCell ref="C164:C165"/>
    <mergeCell ref="D164:D165"/>
    <mergeCell ref="E164:E165"/>
    <mergeCell ref="F164:F165"/>
    <mergeCell ref="O191:P191"/>
    <mergeCell ref="A193:A194"/>
    <mergeCell ref="B193:B194"/>
    <mergeCell ref="C193:C194"/>
    <mergeCell ref="D193:D194"/>
    <mergeCell ref="E193:E194"/>
    <mergeCell ref="F193:F194"/>
    <mergeCell ref="I193:I194"/>
    <mergeCell ref="J193:J194"/>
    <mergeCell ref="G191:H191"/>
    <mergeCell ref="I191:I192"/>
    <mergeCell ref="J191:J192"/>
    <mergeCell ref="K191:K192"/>
    <mergeCell ref="L191:L192"/>
    <mergeCell ref="M191:M192"/>
    <mergeCell ref="A174:D174"/>
    <mergeCell ref="I174:L174"/>
    <mergeCell ref="A189:H189"/>
    <mergeCell ref="I189:P189"/>
    <mergeCell ref="A191:A192"/>
    <mergeCell ref="B191:B192"/>
    <mergeCell ref="C191:C192"/>
    <mergeCell ref="D191:D192"/>
    <mergeCell ref="E191:E192"/>
    <mergeCell ref="F191:F192"/>
    <mergeCell ref="I195:I196"/>
    <mergeCell ref="J195:J196"/>
    <mergeCell ref="K195:K196"/>
    <mergeCell ref="L195:L196"/>
    <mergeCell ref="M195:M196"/>
    <mergeCell ref="N195:N196"/>
    <mergeCell ref="K193:K194"/>
    <mergeCell ref="L193:L194"/>
    <mergeCell ref="M193:M194"/>
    <mergeCell ref="N193:N194"/>
    <mergeCell ref="A195:A196"/>
    <mergeCell ref="B195:B196"/>
    <mergeCell ref="C195:C196"/>
    <mergeCell ref="D195:D196"/>
    <mergeCell ref="E195:E196"/>
    <mergeCell ref="F195:F196"/>
    <mergeCell ref="N191:N192"/>
    <mergeCell ref="I199:I200"/>
    <mergeCell ref="J199:J200"/>
    <mergeCell ref="K199:K200"/>
    <mergeCell ref="L199:L200"/>
    <mergeCell ref="M199:M200"/>
    <mergeCell ref="N199:N200"/>
    <mergeCell ref="A199:A200"/>
    <mergeCell ref="B199:B200"/>
    <mergeCell ref="C199:C200"/>
    <mergeCell ref="D199:D200"/>
    <mergeCell ref="E199:E200"/>
    <mergeCell ref="F199:F200"/>
    <mergeCell ref="I197:I198"/>
    <mergeCell ref="J197:J198"/>
    <mergeCell ref="K197:K198"/>
    <mergeCell ref="L197:L198"/>
    <mergeCell ref="M197:M198"/>
    <mergeCell ref="N197:N198"/>
    <mergeCell ref="A197:A198"/>
    <mergeCell ref="B197:B198"/>
    <mergeCell ref="C197:C198"/>
    <mergeCell ref="D197:D198"/>
    <mergeCell ref="E197:E198"/>
    <mergeCell ref="F197:F198"/>
    <mergeCell ref="A203:E203"/>
    <mergeCell ref="I203:M203"/>
    <mergeCell ref="A204:E204"/>
    <mergeCell ref="I204:M204"/>
    <mergeCell ref="A205:E205"/>
    <mergeCell ref="I205:M205"/>
    <mergeCell ref="I201:I202"/>
    <mergeCell ref="J201:J202"/>
    <mergeCell ref="K201:K202"/>
    <mergeCell ref="L201:L202"/>
    <mergeCell ref="M201:M202"/>
    <mergeCell ref="N201:N202"/>
    <mergeCell ref="A201:A202"/>
    <mergeCell ref="B201:B202"/>
    <mergeCell ref="C201:C202"/>
    <mergeCell ref="D201:D202"/>
    <mergeCell ref="E201:E202"/>
    <mergeCell ref="F201:F202"/>
    <mergeCell ref="O228:P228"/>
    <mergeCell ref="A230:A231"/>
    <mergeCell ref="B230:B231"/>
    <mergeCell ref="C230:C231"/>
    <mergeCell ref="D230:D231"/>
    <mergeCell ref="E230:E231"/>
    <mergeCell ref="F230:F231"/>
    <mergeCell ref="I230:I231"/>
    <mergeCell ref="J230:J231"/>
    <mergeCell ref="G228:H228"/>
    <mergeCell ref="I228:I229"/>
    <mergeCell ref="J228:J229"/>
    <mergeCell ref="K228:K229"/>
    <mergeCell ref="L228:L229"/>
    <mergeCell ref="M228:M229"/>
    <mergeCell ref="A211:D211"/>
    <mergeCell ref="I211:L211"/>
    <mergeCell ref="A226:H226"/>
    <mergeCell ref="I226:P226"/>
    <mergeCell ref="A228:A229"/>
    <mergeCell ref="B228:B229"/>
    <mergeCell ref="C228:C229"/>
    <mergeCell ref="D228:D229"/>
    <mergeCell ref="E228:E229"/>
    <mergeCell ref="F228:F229"/>
    <mergeCell ref="I232:I233"/>
    <mergeCell ref="J232:J233"/>
    <mergeCell ref="K232:K233"/>
    <mergeCell ref="L232:L233"/>
    <mergeCell ref="M232:M233"/>
    <mergeCell ref="N232:N233"/>
    <mergeCell ref="K230:K231"/>
    <mergeCell ref="L230:L231"/>
    <mergeCell ref="M230:M231"/>
    <mergeCell ref="N230:N231"/>
    <mergeCell ref="A232:A233"/>
    <mergeCell ref="B232:B233"/>
    <mergeCell ref="C232:C233"/>
    <mergeCell ref="D232:D233"/>
    <mergeCell ref="E232:E233"/>
    <mergeCell ref="F232:F233"/>
    <mergeCell ref="N228:N229"/>
    <mergeCell ref="I236:I237"/>
    <mergeCell ref="J236:J237"/>
    <mergeCell ref="K236:K237"/>
    <mergeCell ref="L236:L237"/>
    <mergeCell ref="M236:M237"/>
    <mergeCell ref="N236:N237"/>
    <mergeCell ref="A236:A237"/>
    <mergeCell ref="B236:B237"/>
    <mergeCell ref="C236:C237"/>
    <mergeCell ref="D236:D237"/>
    <mergeCell ref="E236:E237"/>
    <mergeCell ref="F236:F237"/>
    <mergeCell ref="I234:I235"/>
    <mergeCell ref="J234:J235"/>
    <mergeCell ref="K234:K235"/>
    <mergeCell ref="L234:L235"/>
    <mergeCell ref="M234:M235"/>
    <mergeCell ref="N234:N235"/>
    <mergeCell ref="A234:A235"/>
    <mergeCell ref="B234:B235"/>
    <mergeCell ref="C234:C235"/>
    <mergeCell ref="D234:D235"/>
    <mergeCell ref="E234:E235"/>
    <mergeCell ref="F234:F235"/>
    <mergeCell ref="A240:E240"/>
    <mergeCell ref="I240:M240"/>
    <mergeCell ref="A241:E241"/>
    <mergeCell ref="I241:M241"/>
    <mergeCell ref="A242:E242"/>
    <mergeCell ref="I242:M242"/>
    <mergeCell ref="I238:I239"/>
    <mergeCell ref="J238:J239"/>
    <mergeCell ref="K238:K239"/>
    <mergeCell ref="L238:L239"/>
    <mergeCell ref="M238:M239"/>
    <mergeCell ref="N238:N239"/>
    <mergeCell ref="A238:A239"/>
    <mergeCell ref="B238:B239"/>
    <mergeCell ref="C238:C239"/>
    <mergeCell ref="D238:D239"/>
    <mergeCell ref="E238:E239"/>
    <mergeCell ref="F238:F239"/>
    <mergeCell ref="O265:P265"/>
    <mergeCell ref="A267:A268"/>
    <mergeCell ref="B267:B268"/>
    <mergeCell ref="C267:C268"/>
    <mergeCell ref="D267:D268"/>
    <mergeCell ref="E267:E268"/>
    <mergeCell ref="F267:F268"/>
    <mergeCell ref="I267:I268"/>
    <mergeCell ref="J267:J268"/>
    <mergeCell ref="G265:H265"/>
    <mergeCell ref="I265:I266"/>
    <mergeCell ref="J265:J266"/>
    <mergeCell ref="K265:K266"/>
    <mergeCell ref="L265:L266"/>
    <mergeCell ref="M265:M266"/>
    <mergeCell ref="A248:D248"/>
    <mergeCell ref="I248:L248"/>
    <mergeCell ref="A263:H263"/>
    <mergeCell ref="I263:P263"/>
    <mergeCell ref="A265:A266"/>
    <mergeCell ref="B265:B266"/>
    <mergeCell ref="C265:C266"/>
    <mergeCell ref="D265:D266"/>
    <mergeCell ref="E265:E266"/>
    <mergeCell ref="F265:F266"/>
    <mergeCell ref="I269:I270"/>
    <mergeCell ref="J269:J270"/>
    <mergeCell ref="K269:K270"/>
    <mergeCell ref="L269:L270"/>
    <mergeCell ref="M269:M270"/>
    <mergeCell ref="N269:N270"/>
    <mergeCell ref="K267:K268"/>
    <mergeCell ref="L267:L268"/>
    <mergeCell ref="M267:M268"/>
    <mergeCell ref="N267:N268"/>
    <mergeCell ref="A269:A270"/>
    <mergeCell ref="B269:B270"/>
    <mergeCell ref="C269:C270"/>
    <mergeCell ref="D269:D270"/>
    <mergeCell ref="E269:E270"/>
    <mergeCell ref="F269:F270"/>
    <mergeCell ref="N265:N266"/>
    <mergeCell ref="I273:I274"/>
    <mergeCell ref="J273:J274"/>
    <mergeCell ref="K273:K274"/>
    <mergeCell ref="L273:L274"/>
    <mergeCell ref="M273:M274"/>
    <mergeCell ref="N273:N274"/>
    <mergeCell ref="A273:A274"/>
    <mergeCell ref="B273:B274"/>
    <mergeCell ref="C273:C274"/>
    <mergeCell ref="D273:D274"/>
    <mergeCell ref="E273:E274"/>
    <mergeCell ref="F273:F274"/>
    <mergeCell ref="I271:I272"/>
    <mergeCell ref="J271:J272"/>
    <mergeCell ref="K271:K272"/>
    <mergeCell ref="L271:L272"/>
    <mergeCell ref="M271:M272"/>
    <mergeCell ref="N271:N272"/>
    <mergeCell ref="A271:A272"/>
    <mergeCell ref="B271:B272"/>
    <mergeCell ref="C271:C272"/>
    <mergeCell ref="D271:D272"/>
    <mergeCell ref="E271:E272"/>
    <mergeCell ref="F271:F272"/>
    <mergeCell ref="A277:E277"/>
    <mergeCell ref="I277:M277"/>
    <mergeCell ref="A278:E278"/>
    <mergeCell ref="I278:M278"/>
    <mergeCell ref="A279:E279"/>
    <mergeCell ref="I279:M279"/>
    <mergeCell ref="I275:I276"/>
    <mergeCell ref="J275:J276"/>
    <mergeCell ref="K275:K276"/>
    <mergeCell ref="L275:L276"/>
    <mergeCell ref="M275:M276"/>
    <mergeCell ref="N275:N276"/>
    <mergeCell ref="A275:A276"/>
    <mergeCell ref="B275:B276"/>
    <mergeCell ref="C275:C276"/>
    <mergeCell ref="D275:D276"/>
    <mergeCell ref="E275:E276"/>
    <mergeCell ref="F275:F276"/>
    <mergeCell ref="O302:P302"/>
    <mergeCell ref="A304:A305"/>
    <mergeCell ref="B304:B305"/>
    <mergeCell ref="C304:C305"/>
    <mergeCell ref="D304:D305"/>
    <mergeCell ref="E304:E305"/>
    <mergeCell ref="F304:F305"/>
    <mergeCell ref="I304:I305"/>
    <mergeCell ref="J304:J305"/>
    <mergeCell ref="G302:H302"/>
    <mergeCell ref="I302:I303"/>
    <mergeCell ref="J302:J303"/>
    <mergeCell ref="K302:K303"/>
    <mergeCell ref="L302:L303"/>
    <mergeCell ref="M302:M303"/>
    <mergeCell ref="A285:D285"/>
    <mergeCell ref="I285:L285"/>
    <mergeCell ref="A300:H300"/>
    <mergeCell ref="I300:P300"/>
    <mergeCell ref="A302:A303"/>
    <mergeCell ref="B302:B303"/>
    <mergeCell ref="C302:C303"/>
    <mergeCell ref="D302:D303"/>
    <mergeCell ref="E302:E303"/>
    <mergeCell ref="F302:F303"/>
    <mergeCell ref="I306:I307"/>
    <mergeCell ref="J306:J307"/>
    <mergeCell ref="K306:K307"/>
    <mergeCell ref="L306:L307"/>
    <mergeCell ref="M306:M307"/>
    <mergeCell ref="N306:N307"/>
    <mergeCell ref="K304:K305"/>
    <mergeCell ref="L304:L305"/>
    <mergeCell ref="M304:M305"/>
    <mergeCell ref="N304:N305"/>
    <mergeCell ref="A306:A307"/>
    <mergeCell ref="B306:B307"/>
    <mergeCell ref="C306:C307"/>
    <mergeCell ref="D306:D307"/>
    <mergeCell ref="E306:E307"/>
    <mergeCell ref="F306:F307"/>
    <mergeCell ref="N302:N303"/>
    <mergeCell ref="I310:I311"/>
    <mergeCell ref="J310:J311"/>
    <mergeCell ref="K310:K311"/>
    <mergeCell ref="L310:L311"/>
    <mergeCell ref="M310:M311"/>
    <mergeCell ref="N310:N311"/>
    <mergeCell ref="A310:A311"/>
    <mergeCell ref="B310:B311"/>
    <mergeCell ref="C310:C311"/>
    <mergeCell ref="D310:D311"/>
    <mergeCell ref="E310:E311"/>
    <mergeCell ref="F310:F311"/>
    <mergeCell ref="I308:I309"/>
    <mergeCell ref="J308:J309"/>
    <mergeCell ref="K308:K309"/>
    <mergeCell ref="L308:L309"/>
    <mergeCell ref="M308:M309"/>
    <mergeCell ref="N308:N309"/>
    <mergeCell ref="A308:A309"/>
    <mergeCell ref="B308:B309"/>
    <mergeCell ref="C308:C309"/>
    <mergeCell ref="D308:D309"/>
    <mergeCell ref="E308:E309"/>
    <mergeCell ref="F308:F309"/>
    <mergeCell ref="A314:E314"/>
    <mergeCell ref="I314:M314"/>
    <mergeCell ref="A315:E315"/>
    <mergeCell ref="I315:M315"/>
    <mergeCell ref="A316:E316"/>
    <mergeCell ref="I316:M316"/>
    <mergeCell ref="I312:I313"/>
    <mergeCell ref="J312:J313"/>
    <mergeCell ref="K312:K313"/>
    <mergeCell ref="L312:L313"/>
    <mergeCell ref="M312:M313"/>
    <mergeCell ref="N312:N313"/>
    <mergeCell ref="A312:A313"/>
    <mergeCell ref="B312:B313"/>
    <mergeCell ref="C312:C313"/>
    <mergeCell ref="D312:D313"/>
    <mergeCell ref="E312:E313"/>
    <mergeCell ref="F312:F313"/>
    <mergeCell ref="O339:P339"/>
    <mergeCell ref="A341:A342"/>
    <mergeCell ref="B341:B342"/>
    <mergeCell ref="C341:C342"/>
    <mergeCell ref="D341:D342"/>
    <mergeCell ref="E341:E342"/>
    <mergeCell ref="F341:F342"/>
    <mergeCell ref="I341:I342"/>
    <mergeCell ref="J341:J342"/>
    <mergeCell ref="G339:H339"/>
    <mergeCell ref="I339:I340"/>
    <mergeCell ref="J339:J340"/>
    <mergeCell ref="K339:K340"/>
    <mergeCell ref="L339:L340"/>
    <mergeCell ref="M339:M340"/>
    <mergeCell ref="A322:D322"/>
    <mergeCell ref="I322:L322"/>
    <mergeCell ref="A337:H337"/>
    <mergeCell ref="I337:P337"/>
    <mergeCell ref="A339:A340"/>
    <mergeCell ref="B339:B340"/>
    <mergeCell ref="C339:C340"/>
    <mergeCell ref="D339:D340"/>
    <mergeCell ref="E339:E340"/>
    <mergeCell ref="F339:F340"/>
    <mergeCell ref="N327:P327"/>
    <mergeCell ref="N322:P322"/>
    <mergeCell ref="I343:I344"/>
    <mergeCell ref="J343:J344"/>
    <mergeCell ref="K343:K344"/>
    <mergeCell ref="L343:L344"/>
    <mergeCell ref="M343:M344"/>
    <mergeCell ref="N343:N344"/>
    <mergeCell ref="K341:K342"/>
    <mergeCell ref="L341:L342"/>
    <mergeCell ref="M341:M342"/>
    <mergeCell ref="N341:N342"/>
    <mergeCell ref="A343:A344"/>
    <mergeCell ref="B343:B344"/>
    <mergeCell ref="C343:C344"/>
    <mergeCell ref="D343:D344"/>
    <mergeCell ref="E343:E344"/>
    <mergeCell ref="F343:F344"/>
    <mergeCell ref="N339:N340"/>
    <mergeCell ref="I347:I348"/>
    <mergeCell ref="J347:J348"/>
    <mergeCell ref="K347:K348"/>
    <mergeCell ref="L347:L348"/>
    <mergeCell ref="M347:M348"/>
    <mergeCell ref="N347:N348"/>
    <mergeCell ref="A347:A348"/>
    <mergeCell ref="B347:B348"/>
    <mergeCell ref="C347:C348"/>
    <mergeCell ref="D347:D348"/>
    <mergeCell ref="E347:E348"/>
    <mergeCell ref="F347:F348"/>
    <mergeCell ref="I345:I346"/>
    <mergeCell ref="J345:J346"/>
    <mergeCell ref="K345:K346"/>
    <mergeCell ref="L345:L346"/>
    <mergeCell ref="M345:M346"/>
    <mergeCell ref="N345:N346"/>
    <mergeCell ref="A345:A346"/>
    <mergeCell ref="B345:B346"/>
    <mergeCell ref="C345:C346"/>
    <mergeCell ref="D345:D346"/>
    <mergeCell ref="E345:E346"/>
    <mergeCell ref="F345:F346"/>
    <mergeCell ref="A351:E351"/>
    <mergeCell ref="I351:M351"/>
    <mergeCell ref="A352:E352"/>
    <mergeCell ref="I352:M352"/>
    <mergeCell ref="A353:E353"/>
    <mergeCell ref="I353:M353"/>
    <mergeCell ref="I349:I350"/>
    <mergeCell ref="J349:J350"/>
    <mergeCell ref="K349:K350"/>
    <mergeCell ref="L349:L350"/>
    <mergeCell ref="M349:M350"/>
    <mergeCell ref="N349:N350"/>
    <mergeCell ref="A349:A350"/>
    <mergeCell ref="B349:B350"/>
    <mergeCell ref="C349:C350"/>
    <mergeCell ref="D349:D350"/>
    <mergeCell ref="E349:E350"/>
    <mergeCell ref="F349:F350"/>
    <mergeCell ref="O376:P376"/>
    <mergeCell ref="A378:A379"/>
    <mergeCell ref="B378:B379"/>
    <mergeCell ref="C378:C379"/>
    <mergeCell ref="D378:D379"/>
    <mergeCell ref="E378:E379"/>
    <mergeCell ref="F378:F379"/>
    <mergeCell ref="I378:I379"/>
    <mergeCell ref="J378:J379"/>
    <mergeCell ref="G376:H376"/>
    <mergeCell ref="I376:I377"/>
    <mergeCell ref="J376:J377"/>
    <mergeCell ref="K376:K377"/>
    <mergeCell ref="L376:L377"/>
    <mergeCell ref="M376:M377"/>
    <mergeCell ref="A359:D359"/>
    <mergeCell ref="I359:L359"/>
    <mergeCell ref="A374:H374"/>
    <mergeCell ref="I374:P374"/>
    <mergeCell ref="A376:A377"/>
    <mergeCell ref="B376:B377"/>
    <mergeCell ref="C376:C377"/>
    <mergeCell ref="D376:D377"/>
    <mergeCell ref="E376:E377"/>
    <mergeCell ref="F376:F377"/>
    <mergeCell ref="N364:P364"/>
    <mergeCell ref="N359:P359"/>
    <mergeCell ref="I380:I381"/>
    <mergeCell ref="J380:J381"/>
    <mergeCell ref="K380:K381"/>
    <mergeCell ref="L380:L381"/>
    <mergeCell ref="M380:M381"/>
    <mergeCell ref="N380:N381"/>
    <mergeCell ref="K378:K379"/>
    <mergeCell ref="L378:L379"/>
    <mergeCell ref="M378:M379"/>
    <mergeCell ref="N378:N379"/>
    <mergeCell ref="A380:A381"/>
    <mergeCell ref="B380:B381"/>
    <mergeCell ref="C380:C381"/>
    <mergeCell ref="D380:D381"/>
    <mergeCell ref="E380:E381"/>
    <mergeCell ref="F380:F381"/>
    <mergeCell ref="N376:N377"/>
    <mergeCell ref="I384:I385"/>
    <mergeCell ref="J384:J385"/>
    <mergeCell ref="K384:K385"/>
    <mergeCell ref="L384:L385"/>
    <mergeCell ref="M384:M385"/>
    <mergeCell ref="N384:N385"/>
    <mergeCell ref="A384:A385"/>
    <mergeCell ref="B384:B385"/>
    <mergeCell ref="C384:C385"/>
    <mergeCell ref="D384:D385"/>
    <mergeCell ref="E384:E385"/>
    <mergeCell ref="F384:F385"/>
    <mergeCell ref="I382:I383"/>
    <mergeCell ref="J382:J383"/>
    <mergeCell ref="K382:K383"/>
    <mergeCell ref="L382:L383"/>
    <mergeCell ref="M382:M383"/>
    <mergeCell ref="N382:N383"/>
    <mergeCell ref="A382:A383"/>
    <mergeCell ref="B382:B383"/>
    <mergeCell ref="C382:C383"/>
    <mergeCell ref="D382:D383"/>
    <mergeCell ref="E382:E383"/>
    <mergeCell ref="F382:F383"/>
    <mergeCell ref="A388:E388"/>
    <mergeCell ref="I388:M388"/>
    <mergeCell ref="A389:E389"/>
    <mergeCell ref="I389:M389"/>
    <mergeCell ref="A390:E390"/>
    <mergeCell ref="I390:M390"/>
    <mergeCell ref="I386:I387"/>
    <mergeCell ref="J386:J387"/>
    <mergeCell ref="K386:K387"/>
    <mergeCell ref="L386:L387"/>
    <mergeCell ref="M386:M387"/>
    <mergeCell ref="N386:N387"/>
    <mergeCell ref="A386:A387"/>
    <mergeCell ref="B386:B387"/>
    <mergeCell ref="C386:C387"/>
    <mergeCell ref="D386:D387"/>
    <mergeCell ref="E386:E387"/>
    <mergeCell ref="F386:F387"/>
    <mergeCell ref="O413:P413"/>
    <mergeCell ref="A415:A416"/>
    <mergeCell ref="B415:B416"/>
    <mergeCell ref="C415:C416"/>
    <mergeCell ref="D415:D416"/>
    <mergeCell ref="E415:E416"/>
    <mergeCell ref="F415:F416"/>
    <mergeCell ref="I415:I416"/>
    <mergeCell ref="J415:J416"/>
    <mergeCell ref="G413:H413"/>
    <mergeCell ref="I413:I414"/>
    <mergeCell ref="J413:J414"/>
    <mergeCell ref="K413:K414"/>
    <mergeCell ref="L413:L414"/>
    <mergeCell ref="M413:M414"/>
    <mergeCell ref="A396:D396"/>
    <mergeCell ref="I396:L396"/>
    <mergeCell ref="A411:H411"/>
    <mergeCell ref="I411:P411"/>
    <mergeCell ref="A413:A414"/>
    <mergeCell ref="B413:B414"/>
    <mergeCell ref="C413:C414"/>
    <mergeCell ref="D413:D414"/>
    <mergeCell ref="E413:E414"/>
    <mergeCell ref="F413:F414"/>
    <mergeCell ref="N396:P396"/>
    <mergeCell ref="N401:P401"/>
    <mergeCell ref="I417:I418"/>
    <mergeCell ref="J417:J418"/>
    <mergeCell ref="K417:K418"/>
    <mergeCell ref="L417:L418"/>
    <mergeCell ref="M417:M418"/>
    <mergeCell ref="N417:N418"/>
    <mergeCell ref="K415:K416"/>
    <mergeCell ref="L415:L416"/>
    <mergeCell ref="M415:M416"/>
    <mergeCell ref="N415:N416"/>
    <mergeCell ref="A417:A418"/>
    <mergeCell ref="B417:B418"/>
    <mergeCell ref="C417:C418"/>
    <mergeCell ref="D417:D418"/>
    <mergeCell ref="E417:E418"/>
    <mergeCell ref="F417:F418"/>
    <mergeCell ref="N413:N414"/>
    <mergeCell ref="I421:I422"/>
    <mergeCell ref="J421:J422"/>
    <mergeCell ref="K421:K422"/>
    <mergeCell ref="L421:L422"/>
    <mergeCell ref="M421:M422"/>
    <mergeCell ref="N421:N422"/>
    <mergeCell ref="A421:A422"/>
    <mergeCell ref="B421:B422"/>
    <mergeCell ref="C421:C422"/>
    <mergeCell ref="D421:D422"/>
    <mergeCell ref="E421:E422"/>
    <mergeCell ref="F421:F422"/>
    <mergeCell ref="I419:I420"/>
    <mergeCell ref="J419:J420"/>
    <mergeCell ref="K419:K420"/>
    <mergeCell ref="L419:L420"/>
    <mergeCell ref="M419:M420"/>
    <mergeCell ref="N419:N420"/>
    <mergeCell ref="A419:A420"/>
    <mergeCell ref="B419:B420"/>
    <mergeCell ref="C419:C420"/>
    <mergeCell ref="D419:D420"/>
    <mergeCell ref="E419:E420"/>
    <mergeCell ref="F419:F420"/>
    <mergeCell ref="A425:E425"/>
    <mergeCell ref="I425:M425"/>
    <mergeCell ref="A426:E426"/>
    <mergeCell ref="I426:M426"/>
    <mergeCell ref="A427:E427"/>
    <mergeCell ref="I427:M427"/>
    <mergeCell ref="I423:I424"/>
    <mergeCell ref="J423:J424"/>
    <mergeCell ref="K423:K424"/>
    <mergeCell ref="L423:L424"/>
    <mergeCell ref="M423:M424"/>
    <mergeCell ref="N423:N424"/>
    <mergeCell ref="A423:A424"/>
    <mergeCell ref="B423:B424"/>
    <mergeCell ref="C423:C424"/>
    <mergeCell ref="D423:D424"/>
    <mergeCell ref="E423:E424"/>
    <mergeCell ref="F423:F424"/>
    <mergeCell ref="O450:P450"/>
    <mergeCell ref="A452:A453"/>
    <mergeCell ref="B452:B453"/>
    <mergeCell ref="C452:C453"/>
    <mergeCell ref="D452:D453"/>
    <mergeCell ref="E452:E453"/>
    <mergeCell ref="F452:F453"/>
    <mergeCell ref="I452:I453"/>
    <mergeCell ref="J452:J453"/>
    <mergeCell ref="G450:H450"/>
    <mergeCell ref="I450:I451"/>
    <mergeCell ref="J450:J451"/>
    <mergeCell ref="K450:K451"/>
    <mergeCell ref="L450:L451"/>
    <mergeCell ref="M450:M451"/>
    <mergeCell ref="A433:D433"/>
    <mergeCell ref="I433:L433"/>
    <mergeCell ref="A448:H448"/>
    <mergeCell ref="I448:P448"/>
    <mergeCell ref="A450:A451"/>
    <mergeCell ref="B450:B451"/>
    <mergeCell ref="C450:C451"/>
    <mergeCell ref="D450:D451"/>
    <mergeCell ref="E450:E451"/>
    <mergeCell ref="F450:F451"/>
    <mergeCell ref="N433:P433"/>
    <mergeCell ref="N438:P438"/>
    <mergeCell ref="I454:I455"/>
    <mergeCell ref="J454:J455"/>
    <mergeCell ref="K454:K455"/>
    <mergeCell ref="L454:L455"/>
    <mergeCell ref="M454:M455"/>
    <mergeCell ref="N454:N455"/>
    <mergeCell ref="K452:K453"/>
    <mergeCell ref="L452:L453"/>
    <mergeCell ref="M452:M453"/>
    <mergeCell ref="N452:N453"/>
    <mergeCell ref="A454:A455"/>
    <mergeCell ref="B454:B455"/>
    <mergeCell ref="C454:C455"/>
    <mergeCell ref="D454:D455"/>
    <mergeCell ref="E454:E455"/>
    <mergeCell ref="F454:F455"/>
    <mergeCell ref="N450:N451"/>
    <mergeCell ref="I458:I459"/>
    <mergeCell ref="J458:J459"/>
    <mergeCell ref="K458:K459"/>
    <mergeCell ref="L458:L459"/>
    <mergeCell ref="M458:M459"/>
    <mergeCell ref="N458:N459"/>
    <mergeCell ref="A458:A459"/>
    <mergeCell ref="B458:B459"/>
    <mergeCell ref="C458:C459"/>
    <mergeCell ref="D458:D459"/>
    <mergeCell ref="E458:E459"/>
    <mergeCell ref="F458:F459"/>
    <mergeCell ref="I456:I457"/>
    <mergeCell ref="J456:J457"/>
    <mergeCell ref="K456:K457"/>
    <mergeCell ref="L456:L457"/>
    <mergeCell ref="M456:M457"/>
    <mergeCell ref="N456:N457"/>
    <mergeCell ref="A456:A457"/>
    <mergeCell ref="B456:B457"/>
    <mergeCell ref="C456:C457"/>
    <mergeCell ref="D456:D457"/>
    <mergeCell ref="E456:E457"/>
    <mergeCell ref="F456:F457"/>
    <mergeCell ref="A462:E462"/>
    <mergeCell ref="I462:M462"/>
    <mergeCell ref="A463:E463"/>
    <mergeCell ref="I463:M463"/>
    <mergeCell ref="A464:E464"/>
    <mergeCell ref="I464:M464"/>
    <mergeCell ref="I460:I461"/>
    <mergeCell ref="J460:J461"/>
    <mergeCell ref="K460:K461"/>
    <mergeCell ref="L460:L461"/>
    <mergeCell ref="M460:M461"/>
    <mergeCell ref="N460:N461"/>
    <mergeCell ref="A460:A461"/>
    <mergeCell ref="B460:B461"/>
    <mergeCell ref="C460:C461"/>
    <mergeCell ref="D460:D461"/>
    <mergeCell ref="E460:E461"/>
    <mergeCell ref="F460:F461"/>
    <mergeCell ref="O487:P487"/>
    <mergeCell ref="A489:A490"/>
    <mergeCell ref="B489:B490"/>
    <mergeCell ref="C489:C490"/>
    <mergeCell ref="D489:D490"/>
    <mergeCell ref="E489:E490"/>
    <mergeCell ref="F489:F490"/>
    <mergeCell ref="I489:I490"/>
    <mergeCell ref="J489:J490"/>
    <mergeCell ref="G487:H487"/>
    <mergeCell ref="I487:I488"/>
    <mergeCell ref="J487:J488"/>
    <mergeCell ref="K487:K488"/>
    <mergeCell ref="L487:L488"/>
    <mergeCell ref="M487:M488"/>
    <mergeCell ref="A470:D470"/>
    <mergeCell ref="I470:L470"/>
    <mergeCell ref="A485:H485"/>
    <mergeCell ref="I485:P485"/>
    <mergeCell ref="A487:A488"/>
    <mergeCell ref="B487:B488"/>
    <mergeCell ref="C487:C488"/>
    <mergeCell ref="D487:D488"/>
    <mergeCell ref="E487:E488"/>
    <mergeCell ref="F487:F488"/>
    <mergeCell ref="N470:P470"/>
    <mergeCell ref="N475:P475"/>
    <mergeCell ref="I491:I492"/>
    <mergeCell ref="J491:J492"/>
    <mergeCell ref="K491:K492"/>
    <mergeCell ref="L491:L492"/>
    <mergeCell ref="M491:M492"/>
    <mergeCell ref="N491:N492"/>
    <mergeCell ref="K489:K490"/>
    <mergeCell ref="L489:L490"/>
    <mergeCell ref="M489:M490"/>
    <mergeCell ref="N489:N490"/>
    <mergeCell ref="A491:A492"/>
    <mergeCell ref="B491:B492"/>
    <mergeCell ref="C491:C492"/>
    <mergeCell ref="D491:D492"/>
    <mergeCell ref="E491:E492"/>
    <mergeCell ref="F491:F492"/>
    <mergeCell ref="N487:N488"/>
    <mergeCell ref="I495:I496"/>
    <mergeCell ref="J495:J496"/>
    <mergeCell ref="K495:K496"/>
    <mergeCell ref="L495:L496"/>
    <mergeCell ref="M495:M496"/>
    <mergeCell ref="N495:N496"/>
    <mergeCell ref="A495:A496"/>
    <mergeCell ref="B495:B496"/>
    <mergeCell ref="C495:C496"/>
    <mergeCell ref="D495:D496"/>
    <mergeCell ref="E495:E496"/>
    <mergeCell ref="F495:F496"/>
    <mergeCell ref="I493:I494"/>
    <mergeCell ref="J493:J494"/>
    <mergeCell ref="K493:K494"/>
    <mergeCell ref="L493:L494"/>
    <mergeCell ref="M493:M494"/>
    <mergeCell ref="N493:N494"/>
    <mergeCell ref="A493:A494"/>
    <mergeCell ref="B493:B494"/>
    <mergeCell ref="C493:C494"/>
    <mergeCell ref="D493:D494"/>
    <mergeCell ref="E493:E494"/>
    <mergeCell ref="F493:F494"/>
    <mergeCell ref="A499:E499"/>
    <mergeCell ref="I499:M499"/>
    <mergeCell ref="A500:E500"/>
    <mergeCell ref="I500:M500"/>
    <mergeCell ref="A501:E501"/>
    <mergeCell ref="I501:M501"/>
    <mergeCell ref="I497:I498"/>
    <mergeCell ref="J497:J498"/>
    <mergeCell ref="K497:K498"/>
    <mergeCell ref="L497:L498"/>
    <mergeCell ref="M497:M498"/>
    <mergeCell ref="N497:N498"/>
    <mergeCell ref="A497:A498"/>
    <mergeCell ref="B497:B498"/>
    <mergeCell ref="C497:C498"/>
    <mergeCell ref="D497:D498"/>
    <mergeCell ref="E497:E498"/>
    <mergeCell ref="F497:F498"/>
    <mergeCell ref="O524:P524"/>
    <mergeCell ref="A526:A527"/>
    <mergeCell ref="B526:B527"/>
    <mergeCell ref="C526:C527"/>
    <mergeCell ref="D526:D527"/>
    <mergeCell ref="E526:E527"/>
    <mergeCell ref="F526:F527"/>
    <mergeCell ref="I526:I527"/>
    <mergeCell ref="J526:J527"/>
    <mergeCell ref="G524:H524"/>
    <mergeCell ref="I524:I525"/>
    <mergeCell ref="J524:J525"/>
    <mergeCell ref="K524:K525"/>
    <mergeCell ref="L524:L525"/>
    <mergeCell ref="M524:M525"/>
    <mergeCell ref="A507:D507"/>
    <mergeCell ref="I507:L507"/>
    <mergeCell ref="A522:H522"/>
    <mergeCell ref="I522:P522"/>
    <mergeCell ref="A524:A525"/>
    <mergeCell ref="B524:B525"/>
    <mergeCell ref="C524:C525"/>
    <mergeCell ref="D524:D525"/>
    <mergeCell ref="E524:E525"/>
    <mergeCell ref="F524:F525"/>
    <mergeCell ref="N507:P507"/>
    <mergeCell ref="N512:P512"/>
    <mergeCell ref="I528:I529"/>
    <mergeCell ref="J528:J529"/>
    <mergeCell ref="K528:K529"/>
    <mergeCell ref="L528:L529"/>
    <mergeCell ref="M528:M529"/>
    <mergeCell ref="N528:N529"/>
    <mergeCell ref="K526:K527"/>
    <mergeCell ref="L526:L527"/>
    <mergeCell ref="M526:M527"/>
    <mergeCell ref="N526:N527"/>
    <mergeCell ref="A528:A529"/>
    <mergeCell ref="B528:B529"/>
    <mergeCell ref="C528:C529"/>
    <mergeCell ref="D528:D529"/>
    <mergeCell ref="E528:E529"/>
    <mergeCell ref="F528:F529"/>
    <mergeCell ref="N524:N525"/>
    <mergeCell ref="I532:I533"/>
    <mergeCell ref="J532:J533"/>
    <mergeCell ref="K532:K533"/>
    <mergeCell ref="L532:L533"/>
    <mergeCell ref="M532:M533"/>
    <mergeCell ref="N532:N533"/>
    <mergeCell ref="A532:A533"/>
    <mergeCell ref="B532:B533"/>
    <mergeCell ref="C532:C533"/>
    <mergeCell ref="D532:D533"/>
    <mergeCell ref="E532:E533"/>
    <mergeCell ref="F532:F533"/>
    <mergeCell ref="I530:I531"/>
    <mergeCell ref="J530:J531"/>
    <mergeCell ref="K530:K531"/>
    <mergeCell ref="L530:L531"/>
    <mergeCell ref="M530:M531"/>
    <mergeCell ref="N530:N531"/>
    <mergeCell ref="A530:A531"/>
    <mergeCell ref="B530:B531"/>
    <mergeCell ref="C530:C531"/>
    <mergeCell ref="D530:D531"/>
    <mergeCell ref="E530:E531"/>
    <mergeCell ref="F530:F531"/>
    <mergeCell ref="A536:E536"/>
    <mergeCell ref="I536:M536"/>
    <mergeCell ref="A537:E537"/>
    <mergeCell ref="I537:M537"/>
    <mergeCell ref="A538:E538"/>
    <mergeCell ref="I538:M538"/>
    <mergeCell ref="I534:I535"/>
    <mergeCell ref="J534:J535"/>
    <mergeCell ref="K534:K535"/>
    <mergeCell ref="L534:L535"/>
    <mergeCell ref="M534:M535"/>
    <mergeCell ref="N534:N535"/>
    <mergeCell ref="A534:A535"/>
    <mergeCell ref="B534:B535"/>
    <mergeCell ref="C534:C535"/>
    <mergeCell ref="D534:D535"/>
    <mergeCell ref="E534:E535"/>
    <mergeCell ref="F534:F535"/>
    <mergeCell ref="O561:P561"/>
    <mergeCell ref="A563:A564"/>
    <mergeCell ref="B563:B564"/>
    <mergeCell ref="C563:C564"/>
    <mergeCell ref="D563:D564"/>
    <mergeCell ref="E563:E564"/>
    <mergeCell ref="F563:F564"/>
    <mergeCell ref="I563:I564"/>
    <mergeCell ref="J563:J564"/>
    <mergeCell ref="G561:H561"/>
    <mergeCell ref="I561:I562"/>
    <mergeCell ref="J561:J562"/>
    <mergeCell ref="K561:K562"/>
    <mergeCell ref="L561:L562"/>
    <mergeCell ref="M561:M562"/>
    <mergeCell ref="A544:D544"/>
    <mergeCell ref="I544:L544"/>
    <mergeCell ref="A559:H559"/>
    <mergeCell ref="I559:P559"/>
    <mergeCell ref="A561:A562"/>
    <mergeCell ref="B561:B562"/>
    <mergeCell ref="C561:C562"/>
    <mergeCell ref="D561:D562"/>
    <mergeCell ref="E561:E562"/>
    <mergeCell ref="F561:F562"/>
    <mergeCell ref="I565:I566"/>
    <mergeCell ref="J565:J566"/>
    <mergeCell ref="K565:K566"/>
    <mergeCell ref="L565:L566"/>
    <mergeCell ref="M565:M566"/>
    <mergeCell ref="N565:N566"/>
    <mergeCell ref="K563:K564"/>
    <mergeCell ref="L563:L564"/>
    <mergeCell ref="M563:M564"/>
    <mergeCell ref="N563:N564"/>
    <mergeCell ref="A565:A566"/>
    <mergeCell ref="B565:B566"/>
    <mergeCell ref="C565:C566"/>
    <mergeCell ref="D565:D566"/>
    <mergeCell ref="E565:E566"/>
    <mergeCell ref="F565:F566"/>
    <mergeCell ref="N561:N562"/>
    <mergeCell ref="I569:I570"/>
    <mergeCell ref="J569:J570"/>
    <mergeCell ref="K569:K570"/>
    <mergeCell ref="L569:L570"/>
    <mergeCell ref="M569:M570"/>
    <mergeCell ref="N569:N570"/>
    <mergeCell ref="A569:A570"/>
    <mergeCell ref="B569:B570"/>
    <mergeCell ref="C569:C570"/>
    <mergeCell ref="D569:D570"/>
    <mergeCell ref="E569:E570"/>
    <mergeCell ref="F569:F570"/>
    <mergeCell ref="I567:I568"/>
    <mergeCell ref="J567:J568"/>
    <mergeCell ref="K567:K568"/>
    <mergeCell ref="L567:L568"/>
    <mergeCell ref="M567:M568"/>
    <mergeCell ref="N567:N568"/>
    <mergeCell ref="A567:A568"/>
    <mergeCell ref="B567:B568"/>
    <mergeCell ref="C567:C568"/>
    <mergeCell ref="D567:D568"/>
    <mergeCell ref="E567:E568"/>
    <mergeCell ref="F567:F568"/>
    <mergeCell ref="A573:E573"/>
    <mergeCell ref="I573:M573"/>
    <mergeCell ref="A574:E574"/>
    <mergeCell ref="I574:M574"/>
    <mergeCell ref="A575:E575"/>
    <mergeCell ref="I575:M575"/>
    <mergeCell ref="I571:I572"/>
    <mergeCell ref="J571:J572"/>
    <mergeCell ref="K571:K572"/>
    <mergeCell ref="L571:L572"/>
    <mergeCell ref="M571:M572"/>
    <mergeCell ref="N571:N572"/>
    <mergeCell ref="A571:A572"/>
    <mergeCell ref="B571:B572"/>
    <mergeCell ref="C571:C572"/>
    <mergeCell ref="D571:D572"/>
    <mergeCell ref="E571:E572"/>
    <mergeCell ref="F571:F572"/>
    <mergeCell ref="O598:P598"/>
    <mergeCell ref="A600:A601"/>
    <mergeCell ref="B600:B601"/>
    <mergeCell ref="C600:C601"/>
    <mergeCell ref="D600:D601"/>
    <mergeCell ref="E600:E601"/>
    <mergeCell ref="F600:F601"/>
    <mergeCell ref="I600:I601"/>
    <mergeCell ref="J600:J601"/>
    <mergeCell ref="G598:H598"/>
    <mergeCell ref="I598:I599"/>
    <mergeCell ref="J598:J599"/>
    <mergeCell ref="K598:K599"/>
    <mergeCell ref="L598:L599"/>
    <mergeCell ref="M598:M599"/>
    <mergeCell ref="A581:D581"/>
    <mergeCell ref="I581:L581"/>
    <mergeCell ref="A596:H596"/>
    <mergeCell ref="I596:P596"/>
    <mergeCell ref="A598:A599"/>
    <mergeCell ref="B598:B599"/>
    <mergeCell ref="C598:C599"/>
    <mergeCell ref="D598:D599"/>
    <mergeCell ref="E598:E599"/>
    <mergeCell ref="F598:F599"/>
    <mergeCell ref="I602:I603"/>
    <mergeCell ref="J602:J603"/>
    <mergeCell ref="K602:K603"/>
    <mergeCell ref="L602:L603"/>
    <mergeCell ref="M602:M603"/>
    <mergeCell ref="N602:N603"/>
    <mergeCell ref="K600:K601"/>
    <mergeCell ref="L600:L601"/>
    <mergeCell ref="M600:M601"/>
    <mergeCell ref="N600:N601"/>
    <mergeCell ref="A602:A603"/>
    <mergeCell ref="B602:B603"/>
    <mergeCell ref="C602:C603"/>
    <mergeCell ref="D602:D603"/>
    <mergeCell ref="E602:E603"/>
    <mergeCell ref="F602:F603"/>
    <mergeCell ref="N598:N599"/>
    <mergeCell ref="I606:I607"/>
    <mergeCell ref="J606:J607"/>
    <mergeCell ref="K606:K607"/>
    <mergeCell ref="L606:L607"/>
    <mergeCell ref="M606:M607"/>
    <mergeCell ref="N606:N607"/>
    <mergeCell ref="A606:A607"/>
    <mergeCell ref="B606:B607"/>
    <mergeCell ref="C606:C607"/>
    <mergeCell ref="D606:D607"/>
    <mergeCell ref="E606:E607"/>
    <mergeCell ref="F606:F607"/>
    <mergeCell ref="I604:I605"/>
    <mergeCell ref="J604:J605"/>
    <mergeCell ref="K604:K605"/>
    <mergeCell ref="L604:L605"/>
    <mergeCell ref="M604:M605"/>
    <mergeCell ref="N604:N605"/>
    <mergeCell ref="A604:A605"/>
    <mergeCell ref="B604:B605"/>
    <mergeCell ref="C604:C605"/>
    <mergeCell ref="D604:D605"/>
    <mergeCell ref="E604:E605"/>
    <mergeCell ref="F604:F605"/>
    <mergeCell ref="A610:E610"/>
    <mergeCell ref="I610:M610"/>
    <mergeCell ref="A611:E611"/>
    <mergeCell ref="I611:M611"/>
    <mergeCell ref="A612:E612"/>
    <mergeCell ref="I612:M612"/>
    <mergeCell ref="I608:I609"/>
    <mergeCell ref="J608:J609"/>
    <mergeCell ref="K608:K609"/>
    <mergeCell ref="L608:L609"/>
    <mergeCell ref="M608:M609"/>
    <mergeCell ref="N608:N609"/>
    <mergeCell ref="A608:A609"/>
    <mergeCell ref="B608:B609"/>
    <mergeCell ref="C608:C609"/>
    <mergeCell ref="D608:D609"/>
    <mergeCell ref="E608:E609"/>
    <mergeCell ref="F608:F609"/>
    <mergeCell ref="O635:P635"/>
    <mergeCell ref="A637:A638"/>
    <mergeCell ref="B637:B638"/>
    <mergeCell ref="C637:C638"/>
    <mergeCell ref="D637:D638"/>
    <mergeCell ref="E637:E638"/>
    <mergeCell ref="F637:F638"/>
    <mergeCell ref="I637:I638"/>
    <mergeCell ref="J637:J638"/>
    <mergeCell ref="G635:H635"/>
    <mergeCell ref="I635:I636"/>
    <mergeCell ref="J635:J636"/>
    <mergeCell ref="K635:K636"/>
    <mergeCell ref="L635:L636"/>
    <mergeCell ref="M635:M636"/>
    <mergeCell ref="A618:D618"/>
    <mergeCell ref="I618:L618"/>
    <mergeCell ref="A633:H633"/>
    <mergeCell ref="I633:P633"/>
    <mergeCell ref="A635:A636"/>
    <mergeCell ref="B635:B636"/>
    <mergeCell ref="C635:C636"/>
    <mergeCell ref="D635:D636"/>
    <mergeCell ref="E635:E636"/>
    <mergeCell ref="F635:F636"/>
    <mergeCell ref="I639:I640"/>
    <mergeCell ref="J639:J640"/>
    <mergeCell ref="K639:K640"/>
    <mergeCell ref="L639:L640"/>
    <mergeCell ref="M639:M640"/>
    <mergeCell ref="N639:N640"/>
    <mergeCell ref="K637:K638"/>
    <mergeCell ref="L637:L638"/>
    <mergeCell ref="M637:M638"/>
    <mergeCell ref="N637:N638"/>
    <mergeCell ref="A639:A640"/>
    <mergeCell ref="B639:B640"/>
    <mergeCell ref="C639:C640"/>
    <mergeCell ref="D639:D640"/>
    <mergeCell ref="E639:E640"/>
    <mergeCell ref="F639:F640"/>
    <mergeCell ref="N635:N636"/>
    <mergeCell ref="I643:I644"/>
    <mergeCell ref="J643:J644"/>
    <mergeCell ref="K643:K644"/>
    <mergeCell ref="L643:L644"/>
    <mergeCell ref="M643:M644"/>
    <mergeCell ref="N643:N644"/>
    <mergeCell ref="A643:A644"/>
    <mergeCell ref="B643:B644"/>
    <mergeCell ref="C643:C644"/>
    <mergeCell ref="D643:D644"/>
    <mergeCell ref="E643:E644"/>
    <mergeCell ref="F643:F644"/>
    <mergeCell ref="I641:I642"/>
    <mergeCell ref="J641:J642"/>
    <mergeCell ref="K641:K642"/>
    <mergeCell ref="L641:L642"/>
    <mergeCell ref="M641:M642"/>
    <mergeCell ref="N641:N642"/>
    <mergeCell ref="A641:A642"/>
    <mergeCell ref="B641:B642"/>
    <mergeCell ref="C641:C642"/>
    <mergeCell ref="D641:D642"/>
    <mergeCell ref="E641:E642"/>
    <mergeCell ref="F641:F642"/>
    <mergeCell ref="A655:D655"/>
    <mergeCell ref="I655:L655"/>
    <mergeCell ref="A670:H670"/>
    <mergeCell ref="I670:P670"/>
    <mergeCell ref="A672:A673"/>
    <mergeCell ref="B672:B673"/>
    <mergeCell ref="C672:C673"/>
    <mergeCell ref="D672:D673"/>
    <mergeCell ref="E672:E673"/>
    <mergeCell ref="F672:F673"/>
    <mergeCell ref="A647:E647"/>
    <mergeCell ref="I647:M647"/>
    <mergeCell ref="A648:E648"/>
    <mergeCell ref="I648:M648"/>
    <mergeCell ref="A649:E649"/>
    <mergeCell ref="I649:M649"/>
    <mergeCell ref="I645:I646"/>
    <mergeCell ref="J645:J646"/>
    <mergeCell ref="K645:K646"/>
    <mergeCell ref="L645:L646"/>
    <mergeCell ref="M645:M646"/>
    <mergeCell ref="N645:N646"/>
    <mergeCell ref="A645:A646"/>
    <mergeCell ref="B645:B646"/>
    <mergeCell ref="C645:C646"/>
    <mergeCell ref="D645:D646"/>
    <mergeCell ref="E645:E646"/>
    <mergeCell ref="F645:F646"/>
    <mergeCell ref="N656:P656"/>
    <mergeCell ref="N661:P661"/>
    <mergeCell ref="K674:K675"/>
    <mergeCell ref="L674:L675"/>
    <mergeCell ref="M674:M675"/>
    <mergeCell ref="N674:N675"/>
    <mergeCell ref="A676:A677"/>
    <mergeCell ref="B676:B677"/>
    <mergeCell ref="C676:C677"/>
    <mergeCell ref="D676:D677"/>
    <mergeCell ref="E676:E677"/>
    <mergeCell ref="F676:F677"/>
    <mergeCell ref="N672:N673"/>
    <mergeCell ref="O672:P672"/>
    <mergeCell ref="A674:A675"/>
    <mergeCell ref="B674:B675"/>
    <mergeCell ref="C674:C675"/>
    <mergeCell ref="D674:D675"/>
    <mergeCell ref="E674:E675"/>
    <mergeCell ref="F674:F675"/>
    <mergeCell ref="I674:I675"/>
    <mergeCell ref="J674:J675"/>
    <mergeCell ref="G672:H672"/>
    <mergeCell ref="I672:I673"/>
    <mergeCell ref="J672:J673"/>
    <mergeCell ref="K672:K673"/>
    <mergeCell ref="L672:L673"/>
    <mergeCell ref="M672:M673"/>
    <mergeCell ref="I678:I679"/>
    <mergeCell ref="J678:J679"/>
    <mergeCell ref="K678:K679"/>
    <mergeCell ref="L678:L679"/>
    <mergeCell ref="M678:M679"/>
    <mergeCell ref="N678:N679"/>
    <mergeCell ref="A678:A679"/>
    <mergeCell ref="B678:B679"/>
    <mergeCell ref="C678:C679"/>
    <mergeCell ref="D678:D679"/>
    <mergeCell ref="E678:E679"/>
    <mergeCell ref="F678:F679"/>
    <mergeCell ref="I676:I677"/>
    <mergeCell ref="J676:J677"/>
    <mergeCell ref="K676:K677"/>
    <mergeCell ref="L676:L677"/>
    <mergeCell ref="M676:M677"/>
    <mergeCell ref="N676:N677"/>
    <mergeCell ref="I682:I683"/>
    <mergeCell ref="J682:J683"/>
    <mergeCell ref="K682:K683"/>
    <mergeCell ref="L682:L683"/>
    <mergeCell ref="M682:M683"/>
    <mergeCell ref="N682:N683"/>
    <mergeCell ref="I680:I681"/>
    <mergeCell ref="J680:J681"/>
    <mergeCell ref="K680:K681"/>
    <mergeCell ref="L680:L681"/>
    <mergeCell ref="M680:M681"/>
    <mergeCell ref="N680:N681"/>
    <mergeCell ref="A680:A681"/>
    <mergeCell ref="B680:B681"/>
    <mergeCell ref="C680:C681"/>
    <mergeCell ref="D680:D681"/>
    <mergeCell ref="E680:E681"/>
    <mergeCell ref="F680:F681"/>
    <mergeCell ref="A694:D694"/>
    <mergeCell ref="I694:L694"/>
    <mergeCell ref="A709:H709"/>
    <mergeCell ref="I709:P709"/>
    <mergeCell ref="A711:A712"/>
    <mergeCell ref="B711:B712"/>
    <mergeCell ref="C711:C712"/>
    <mergeCell ref="D711:D712"/>
    <mergeCell ref="E711:E712"/>
    <mergeCell ref="F711:F712"/>
    <mergeCell ref="A686:E686"/>
    <mergeCell ref="I686:M686"/>
    <mergeCell ref="A687:E687"/>
    <mergeCell ref="I687:M687"/>
    <mergeCell ref="A688:E688"/>
    <mergeCell ref="I688:M688"/>
    <mergeCell ref="I684:I685"/>
    <mergeCell ref="J684:J685"/>
    <mergeCell ref="K684:K685"/>
    <mergeCell ref="L684:L685"/>
    <mergeCell ref="M684:M685"/>
    <mergeCell ref="N684:N685"/>
    <mergeCell ref="A684:A685"/>
    <mergeCell ref="B684:B685"/>
    <mergeCell ref="C684:C685"/>
    <mergeCell ref="D684:D685"/>
    <mergeCell ref="E684:E685"/>
    <mergeCell ref="F684:F685"/>
    <mergeCell ref="N694:P694"/>
    <mergeCell ref="N699:P699"/>
    <mergeCell ref="K713:K714"/>
    <mergeCell ref="L713:L714"/>
    <mergeCell ref="M713:M714"/>
    <mergeCell ref="N713:N714"/>
    <mergeCell ref="A715:A716"/>
    <mergeCell ref="B715:B716"/>
    <mergeCell ref="C715:C716"/>
    <mergeCell ref="D715:D716"/>
    <mergeCell ref="E715:E716"/>
    <mergeCell ref="F715:F716"/>
    <mergeCell ref="N711:N712"/>
    <mergeCell ref="O711:P711"/>
    <mergeCell ref="A713:A714"/>
    <mergeCell ref="B713:B714"/>
    <mergeCell ref="C713:C714"/>
    <mergeCell ref="D713:D714"/>
    <mergeCell ref="E713:E714"/>
    <mergeCell ref="F713:F714"/>
    <mergeCell ref="I713:I714"/>
    <mergeCell ref="J713:J714"/>
    <mergeCell ref="G711:H711"/>
    <mergeCell ref="I711:I712"/>
    <mergeCell ref="J711:J712"/>
    <mergeCell ref="K711:K712"/>
    <mergeCell ref="L711:L712"/>
    <mergeCell ref="M711:M712"/>
    <mergeCell ref="I717:I718"/>
    <mergeCell ref="J717:J718"/>
    <mergeCell ref="K717:K718"/>
    <mergeCell ref="L717:L718"/>
    <mergeCell ref="M717:M718"/>
    <mergeCell ref="N717:N718"/>
    <mergeCell ref="A717:A718"/>
    <mergeCell ref="B717:B718"/>
    <mergeCell ref="C717:C718"/>
    <mergeCell ref="D717:D718"/>
    <mergeCell ref="E717:E718"/>
    <mergeCell ref="F717:F718"/>
    <mergeCell ref="I715:I716"/>
    <mergeCell ref="J715:J716"/>
    <mergeCell ref="K715:K716"/>
    <mergeCell ref="L715:L716"/>
    <mergeCell ref="M715:M716"/>
    <mergeCell ref="N715:N716"/>
    <mergeCell ref="I721:I722"/>
    <mergeCell ref="J721:J722"/>
    <mergeCell ref="K721:K722"/>
    <mergeCell ref="L721:L722"/>
    <mergeCell ref="M721:M722"/>
    <mergeCell ref="N721:N722"/>
    <mergeCell ref="A721:A722"/>
    <mergeCell ref="B721:B722"/>
    <mergeCell ref="C721:C722"/>
    <mergeCell ref="D721:D722"/>
    <mergeCell ref="E721:E722"/>
    <mergeCell ref="F721:F722"/>
    <mergeCell ref="I719:I720"/>
    <mergeCell ref="J719:J720"/>
    <mergeCell ref="K719:K720"/>
    <mergeCell ref="L719:L720"/>
    <mergeCell ref="M719:M720"/>
    <mergeCell ref="N719:N720"/>
    <mergeCell ref="A719:A720"/>
    <mergeCell ref="B719:B720"/>
    <mergeCell ref="C719:C720"/>
    <mergeCell ref="D719:D720"/>
    <mergeCell ref="E719:E720"/>
    <mergeCell ref="F719:F720"/>
    <mergeCell ref="I731:L731"/>
    <mergeCell ref="A733:D733"/>
    <mergeCell ref="I746:P746"/>
    <mergeCell ref="A748:H748"/>
    <mergeCell ref="I748:I749"/>
    <mergeCell ref="J748:J749"/>
    <mergeCell ref="K748:K749"/>
    <mergeCell ref="L748:L749"/>
    <mergeCell ref="M748:M749"/>
    <mergeCell ref="N748:N749"/>
    <mergeCell ref="I723:M723"/>
    <mergeCell ref="I724:M724"/>
    <mergeCell ref="A725:E725"/>
    <mergeCell ref="I725:M725"/>
    <mergeCell ref="A726:E726"/>
    <mergeCell ref="A727:E727"/>
    <mergeCell ref="A723:A724"/>
    <mergeCell ref="B723:B724"/>
    <mergeCell ref="C723:C724"/>
    <mergeCell ref="D723:D724"/>
    <mergeCell ref="E723:E724"/>
    <mergeCell ref="F723:F724"/>
    <mergeCell ref="N731:P731"/>
    <mergeCell ref="N736:P736"/>
    <mergeCell ref="K750:K751"/>
    <mergeCell ref="L750:L751"/>
    <mergeCell ref="M750:M751"/>
    <mergeCell ref="N750:N751"/>
    <mergeCell ref="A752:A753"/>
    <mergeCell ref="B752:B753"/>
    <mergeCell ref="C752:C753"/>
    <mergeCell ref="D752:D753"/>
    <mergeCell ref="E752:E753"/>
    <mergeCell ref="F752:F753"/>
    <mergeCell ref="O748:P748"/>
    <mergeCell ref="A750:A751"/>
    <mergeCell ref="B750:B751"/>
    <mergeCell ref="C750:C751"/>
    <mergeCell ref="D750:D751"/>
    <mergeCell ref="E750:E751"/>
    <mergeCell ref="F750:F751"/>
    <mergeCell ref="G750:H750"/>
    <mergeCell ref="I750:I751"/>
    <mergeCell ref="J750:J751"/>
    <mergeCell ref="I754:I755"/>
    <mergeCell ref="J754:J755"/>
    <mergeCell ref="K754:K755"/>
    <mergeCell ref="L754:L755"/>
    <mergeCell ref="M754:M755"/>
    <mergeCell ref="N754:N755"/>
    <mergeCell ref="A754:A755"/>
    <mergeCell ref="B754:B755"/>
    <mergeCell ref="C754:C755"/>
    <mergeCell ref="D754:D755"/>
    <mergeCell ref="E754:E755"/>
    <mergeCell ref="F754:F755"/>
    <mergeCell ref="I752:I753"/>
    <mergeCell ref="J752:J753"/>
    <mergeCell ref="K752:K753"/>
    <mergeCell ref="L752:L753"/>
    <mergeCell ref="M752:M753"/>
    <mergeCell ref="N752:N753"/>
    <mergeCell ref="N758:N759"/>
    <mergeCell ref="A758:A759"/>
    <mergeCell ref="B758:B759"/>
    <mergeCell ref="C758:C759"/>
    <mergeCell ref="D758:D759"/>
    <mergeCell ref="E758:E759"/>
    <mergeCell ref="F758:F759"/>
    <mergeCell ref="I756:I757"/>
    <mergeCell ref="J756:J757"/>
    <mergeCell ref="K756:K757"/>
    <mergeCell ref="L756:L757"/>
    <mergeCell ref="M756:M757"/>
    <mergeCell ref="N756:N757"/>
    <mergeCell ref="A756:A757"/>
    <mergeCell ref="B756:B757"/>
    <mergeCell ref="C756:C757"/>
    <mergeCell ref="D756:D757"/>
    <mergeCell ref="E756:E757"/>
    <mergeCell ref="F756:F757"/>
    <mergeCell ref="I760:M760"/>
    <mergeCell ref="I761:M761"/>
    <mergeCell ref="A762:E762"/>
    <mergeCell ref="I762:M762"/>
    <mergeCell ref="A763:E763"/>
    <mergeCell ref="A764:E764"/>
    <mergeCell ref="A760:A761"/>
    <mergeCell ref="B760:B761"/>
    <mergeCell ref="C760:C761"/>
    <mergeCell ref="D760:D761"/>
    <mergeCell ref="E760:E761"/>
    <mergeCell ref="F760:F761"/>
    <mergeCell ref="I758:I759"/>
    <mergeCell ref="J758:J759"/>
    <mergeCell ref="K758:K759"/>
    <mergeCell ref="L758:L759"/>
    <mergeCell ref="M758:M759"/>
    <mergeCell ref="I787:I788"/>
    <mergeCell ref="J787:J788"/>
    <mergeCell ref="K787:K788"/>
    <mergeCell ref="L787:L788"/>
    <mergeCell ref="M787:M788"/>
    <mergeCell ref="N787:N788"/>
    <mergeCell ref="M785:M786"/>
    <mergeCell ref="N785:N786"/>
    <mergeCell ref="O785:P785"/>
    <mergeCell ref="A787:A788"/>
    <mergeCell ref="B787:B788"/>
    <mergeCell ref="C787:C788"/>
    <mergeCell ref="D787:D788"/>
    <mergeCell ref="E787:E788"/>
    <mergeCell ref="F787:F788"/>
    <mergeCell ref="G787:H787"/>
    <mergeCell ref="I768:L768"/>
    <mergeCell ref="N768:P768"/>
    <mergeCell ref="A770:D770"/>
    <mergeCell ref="N773:P773"/>
    <mergeCell ref="I783:P783"/>
    <mergeCell ref="A785:H785"/>
    <mergeCell ref="I785:I786"/>
    <mergeCell ref="J785:J786"/>
    <mergeCell ref="K785:K786"/>
    <mergeCell ref="L785:L786"/>
    <mergeCell ref="I791:I792"/>
    <mergeCell ref="J791:J792"/>
    <mergeCell ref="K791:K792"/>
    <mergeCell ref="L791:L792"/>
    <mergeCell ref="M791:M792"/>
    <mergeCell ref="N791:N792"/>
    <mergeCell ref="A791:A792"/>
    <mergeCell ref="B791:B792"/>
    <mergeCell ref="C791:C792"/>
    <mergeCell ref="D791:D792"/>
    <mergeCell ref="E791:E792"/>
    <mergeCell ref="F791:F792"/>
    <mergeCell ref="I789:I790"/>
    <mergeCell ref="J789:J790"/>
    <mergeCell ref="K789:K790"/>
    <mergeCell ref="L789:L790"/>
    <mergeCell ref="M789:M790"/>
    <mergeCell ref="N789:N790"/>
    <mergeCell ref="A789:A790"/>
    <mergeCell ref="B789:B790"/>
    <mergeCell ref="C789:C790"/>
    <mergeCell ref="D789:D790"/>
    <mergeCell ref="E789:E790"/>
    <mergeCell ref="F789:F790"/>
    <mergeCell ref="N795:N796"/>
    <mergeCell ref="A795:A796"/>
    <mergeCell ref="B795:B796"/>
    <mergeCell ref="C795:C796"/>
    <mergeCell ref="D795:D796"/>
    <mergeCell ref="E795:E796"/>
    <mergeCell ref="F795:F796"/>
    <mergeCell ref="I793:I794"/>
    <mergeCell ref="J793:J794"/>
    <mergeCell ref="K793:K794"/>
    <mergeCell ref="L793:L794"/>
    <mergeCell ref="M793:M794"/>
    <mergeCell ref="N793:N794"/>
    <mergeCell ref="A793:A794"/>
    <mergeCell ref="B793:B794"/>
    <mergeCell ref="C793:C794"/>
    <mergeCell ref="D793:D794"/>
    <mergeCell ref="E793:E794"/>
    <mergeCell ref="F793:F794"/>
    <mergeCell ref="I797:M797"/>
    <mergeCell ref="I798:M798"/>
    <mergeCell ref="A799:E799"/>
    <mergeCell ref="I799:M799"/>
    <mergeCell ref="A800:E800"/>
    <mergeCell ref="A801:E801"/>
    <mergeCell ref="A797:A798"/>
    <mergeCell ref="B797:B798"/>
    <mergeCell ref="C797:C798"/>
    <mergeCell ref="D797:D798"/>
    <mergeCell ref="E797:E798"/>
    <mergeCell ref="F797:F798"/>
    <mergeCell ref="I795:I796"/>
    <mergeCell ref="J795:J796"/>
    <mergeCell ref="K795:K796"/>
    <mergeCell ref="L795:L796"/>
    <mergeCell ref="M795:M796"/>
    <mergeCell ref="I824:I825"/>
    <mergeCell ref="J824:J825"/>
    <mergeCell ref="K824:K825"/>
    <mergeCell ref="L824:L825"/>
    <mergeCell ref="M824:M825"/>
    <mergeCell ref="N824:N825"/>
    <mergeCell ref="M822:M823"/>
    <mergeCell ref="N822:N823"/>
    <mergeCell ref="O822:P822"/>
    <mergeCell ref="A824:A825"/>
    <mergeCell ref="B824:B825"/>
    <mergeCell ref="C824:C825"/>
    <mergeCell ref="D824:D825"/>
    <mergeCell ref="E824:E825"/>
    <mergeCell ref="F824:F825"/>
    <mergeCell ref="G824:H824"/>
    <mergeCell ref="I805:L805"/>
    <mergeCell ref="N805:P805"/>
    <mergeCell ref="A807:D807"/>
    <mergeCell ref="N810:P810"/>
    <mergeCell ref="I820:P820"/>
    <mergeCell ref="A822:H822"/>
    <mergeCell ref="I822:I823"/>
    <mergeCell ref="J822:J823"/>
    <mergeCell ref="K822:K823"/>
    <mergeCell ref="L822:L823"/>
    <mergeCell ref="I828:I829"/>
    <mergeCell ref="J828:J829"/>
    <mergeCell ref="K828:K829"/>
    <mergeCell ref="L828:L829"/>
    <mergeCell ref="M828:M829"/>
    <mergeCell ref="N828:N829"/>
    <mergeCell ref="A828:A829"/>
    <mergeCell ref="B828:B829"/>
    <mergeCell ref="C828:C829"/>
    <mergeCell ref="D828:D829"/>
    <mergeCell ref="E828:E829"/>
    <mergeCell ref="F828:F829"/>
    <mergeCell ref="I826:I827"/>
    <mergeCell ref="J826:J827"/>
    <mergeCell ref="K826:K827"/>
    <mergeCell ref="L826:L827"/>
    <mergeCell ref="M826:M827"/>
    <mergeCell ref="N826:N827"/>
    <mergeCell ref="A826:A827"/>
    <mergeCell ref="B826:B827"/>
    <mergeCell ref="C826:C827"/>
    <mergeCell ref="D826:D827"/>
    <mergeCell ref="E826:E827"/>
    <mergeCell ref="F826:F827"/>
    <mergeCell ref="N832:N833"/>
    <mergeCell ref="A832:A833"/>
    <mergeCell ref="B832:B833"/>
    <mergeCell ref="C832:C833"/>
    <mergeCell ref="D832:D833"/>
    <mergeCell ref="E832:E833"/>
    <mergeCell ref="F832:F833"/>
    <mergeCell ref="I830:I831"/>
    <mergeCell ref="J830:J831"/>
    <mergeCell ref="K830:K831"/>
    <mergeCell ref="L830:L831"/>
    <mergeCell ref="M830:M831"/>
    <mergeCell ref="N830:N831"/>
    <mergeCell ref="A830:A831"/>
    <mergeCell ref="B830:B831"/>
    <mergeCell ref="C830:C831"/>
    <mergeCell ref="D830:D831"/>
    <mergeCell ref="E830:E831"/>
    <mergeCell ref="F830:F831"/>
    <mergeCell ref="I834:M834"/>
    <mergeCell ref="I835:M835"/>
    <mergeCell ref="A836:E836"/>
    <mergeCell ref="I836:M836"/>
    <mergeCell ref="A837:E837"/>
    <mergeCell ref="A838:E838"/>
    <mergeCell ref="A834:A835"/>
    <mergeCell ref="B834:B835"/>
    <mergeCell ref="C834:C835"/>
    <mergeCell ref="D834:D835"/>
    <mergeCell ref="E834:E835"/>
    <mergeCell ref="F834:F835"/>
    <mergeCell ref="I832:I833"/>
    <mergeCell ref="J832:J833"/>
    <mergeCell ref="K832:K833"/>
    <mergeCell ref="L832:L833"/>
    <mergeCell ref="M832:M833"/>
    <mergeCell ref="I861:I862"/>
    <mergeCell ref="J861:J862"/>
    <mergeCell ref="K861:K862"/>
    <mergeCell ref="L861:L862"/>
    <mergeCell ref="M861:M862"/>
    <mergeCell ref="N861:N862"/>
    <mergeCell ref="M859:M860"/>
    <mergeCell ref="N859:N860"/>
    <mergeCell ref="O859:P859"/>
    <mergeCell ref="A861:A862"/>
    <mergeCell ref="B861:B862"/>
    <mergeCell ref="C861:C862"/>
    <mergeCell ref="D861:D862"/>
    <mergeCell ref="E861:E862"/>
    <mergeCell ref="F861:F862"/>
    <mergeCell ref="G861:H861"/>
    <mergeCell ref="I842:L842"/>
    <mergeCell ref="N844:P844"/>
    <mergeCell ref="A844:D844"/>
    <mergeCell ref="N847:P847"/>
    <mergeCell ref="I857:P857"/>
    <mergeCell ref="A859:H859"/>
    <mergeCell ref="I859:I860"/>
    <mergeCell ref="J859:J860"/>
    <mergeCell ref="K859:K860"/>
    <mergeCell ref="L859:L860"/>
    <mergeCell ref="N846:P846"/>
    <mergeCell ref="N848:P848"/>
    <mergeCell ref="I865:I866"/>
    <mergeCell ref="J865:J866"/>
    <mergeCell ref="K865:K866"/>
    <mergeCell ref="L865:L866"/>
    <mergeCell ref="M865:M866"/>
    <mergeCell ref="N865:N866"/>
    <mergeCell ref="A865:A866"/>
    <mergeCell ref="B865:B866"/>
    <mergeCell ref="C865:C866"/>
    <mergeCell ref="D865:D866"/>
    <mergeCell ref="E865:E866"/>
    <mergeCell ref="F865:F866"/>
    <mergeCell ref="I863:I864"/>
    <mergeCell ref="J863:J864"/>
    <mergeCell ref="K863:K864"/>
    <mergeCell ref="L863:L864"/>
    <mergeCell ref="M863:M864"/>
    <mergeCell ref="N863:N864"/>
    <mergeCell ref="A863:A864"/>
    <mergeCell ref="B863:B864"/>
    <mergeCell ref="C863:C864"/>
    <mergeCell ref="D863:D864"/>
    <mergeCell ref="E863:E864"/>
    <mergeCell ref="F863:F864"/>
    <mergeCell ref="N869:N870"/>
    <mergeCell ref="A869:A870"/>
    <mergeCell ref="B869:B870"/>
    <mergeCell ref="C869:C870"/>
    <mergeCell ref="D869:D870"/>
    <mergeCell ref="E869:E870"/>
    <mergeCell ref="F869:F870"/>
    <mergeCell ref="I867:I868"/>
    <mergeCell ref="J867:J868"/>
    <mergeCell ref="K867:K868"/>
    <mergeCell ref="L867:L868"/>
    <mergeCell ref="M867:M868"/>
    <mergeCell ref="N867:N868"/>
    <mergeCell ref="A867:A868"/>
    <mergeCell ref="B867:B868"/>
    <mergeCell ref="C867:C868"/>
    <mergeCell ref="D867:D868"/>
    <mergeCell ref="E867:E868"/>
    <mergeCell ref="F867:F868"/>
    <mergeCell ref="I871:M871"/>
    <mergeCell ref="I872:M872"/>
    <mergeCell ref="A873:E873"/>
    <mergeCell ref="I873:M873"/>
    <mergeCell ref="A874:E874"/>
    <mergeCell ref="A875:E875"/>
    <mergeCell ref="A871:A872"/>
    <mergeCell ref="B871:B872"/>
    <mergeCell ref="C871:C872"/>
    <mergeCell ref="D871:D872"/>
    <mergeCell ref="E871:E872"/>
    <mergeCell ref="F871:F872"/>
    <mergeCell ref="I869:I870"/>
    <mergeCell ref="J869:J870"/>
    <mergeCell ref="K869:K870"/>
    <mergeCell ref="L869:L870"/>
    <mergeCell ref="M869:M870"/>
    <mergeCell ref="I898:I899"/>
    <mergeCell ref="J898:J899"/>
    <mergeCell ref="K898:K899"/>
    <mergeCell ref="L898:L899"/>
    <mergeCell ref="M898:M899"/>
    <mergeCell ref="N898:N899"/>
    <mergeCell ref="M896:M897"/>
    <mergeCell ref="N896:N897"/>
    <mergeCell ref="O896:P896"/>
    <mergeCell ref="A898:A899"/>
    <mergeCell ref="B898:B899"/>
    <mergeCell ref="C898:C899"/>
    <mergeCell ref="D898:D899"/>
    <mergeCell ref="E898:E899"/>
    <mergeCell ref="F898:F899"/>
    <mergeCell ref="G898:H898"/>
    <mergeCell ref="I879:L879"/>
    <mergeCell ref="N879:P879"/>
    <mergeCell ref="A881:D881"/>
    <mergeCell ref="N884:P884"/>
    <mergeCell ref="I894:P894"/>
    <mergeCell ref="A896:H896"/>
    <mergeCell ref="I896:I897"/>
    <mergeCell ref="J896:J897"/>
    <mergeCell ref="K896:K897"/>
    <mergeCell ref="L896:L897"/>
    <mergeCell ref="N881:P881"/>
    <mergeCell ref="N882:P882"/>
    <mergeCell ref="N883:P883"/>
    <mergeCell ref="I902:I903"/>
    <mergeCell ref="J902:J903"/>
    <mergeCell ref="K902:K903"/>
    <mergeCell ref="L902:L903"/>
    <mergeCell ref="M902:M903"/>
    <mergeCell ref="N902:N903"/>
    <mergeCell ref="A902:A903"/>
    <mergeCell ref="B902:B903"/>
    <mergeCell ref="C902:C903"/>
    <mergeCell ref="D902:D903"/>
    <mergeCell ref="E902:E903"/>
    <mergeCell ref="F902:F903"/>
    <mergeCell ref="I900:I901"/>
    <mergeCell ref="J900:J901"/>
    <mergeCell ref="K900:K901"/>
    <mergeCell ref="L900:L901"/>
    <mergeCell ref="M900:M901"/>
    <mergeCell ref="N900:N901"/>
    <mergeCell ref="A900:A901"/>
    <mergeCell ref="B900:B901"/>
    <mergeCell ref="C900:C901"/>
    <mergeCell ref="D900:D901"/>
    <mergeCell ref="E900:E901"/>
    <mergeCell ref="F900:F901"/>
    <mergeCell ref="N906:N907"/>
    <mergeCell ref="A906:A907"/>
    <mergeCell ref="B906:B907"/>
    <mergeCell ref="C906:C907"/>
    <mergeCell ref="D906:D907"/>
    <mergeCell ref="E906:E907"/>
    <mergeCell ref="F906:F907"/>
    <mergeCell ref="I904:I905"/>
    <mergeCell ref="J904:J905"/>
    <mergeCell ref="K904:K905"/>
    <mergeCell ref="L904:L905"/>
    <mergeCell ref="M904:M905"/>
    <mergeCell ref="N904:N905"/>
    <mergeCell ref="A904:A905"/>
    <mergeCell ref="B904:B905"/>
    <mergeCell ref="C904:C905"/>
    <mergeCell ref="D904:D905"/>
    <mergeCell ref="E904:E905"/>
    <mergeCell ref="F904:F905"/>
    <mergeCell ref="I908:M908"/>
    <mergeCell ref="I909:M909"/>
    <mergeCell ref="A910:E910"/>
    <mergeCell ref="I910:M910"/>
    <mergeCell ref="A911:E911"/>
    <mergeCell ref="A912:E912"/>
    <mergeCell ref="A908:A909"/>
    <mergeCell ref="B908:B909"/>
    <mergeCell ref="C908:C909"/>
    <mergeCell ref="D908:D909"/>
    <mergeCell ref="E908:E909"/>
    <mergeCell ref="F908:F909"/>
    <mergeCell ref="I906:I907"/>
    <mergeCell ref="J906:J907"/>
    <mergeCell ref="K906:K907"/>
    <mergeCell ref="L906:L907"/>
    <mergeCell ref="M906:M907"/>
    <mergeCell ref="M933:M934"/>
    <mergeCell ref="N933:N934"/>
    <mergeCell ref="O933:P933"/>
    <mergeCell ref="A935:A936"/>
    <mergeCell ref="B935:B936"/>
    <mergeCell ref="C935:C936"/>
    <mergeCell ref="D935:D936"/>
    <mergeCell ref="E935:E936"/>
    <mergeCell ref="F935:F936"/>
    <mergeCell ref="G935:H935"/>
    <mergeCell ref="I916:L916"/>
    <mergeCell ref="N916:P916"/>
    <mergeCell ref="A918:D918"/>
    <mergeCell ref="N921:P921"/>
    <mergeCell ref="I931:P931"/>
    <mergeCell ref="A933:H933"/>
    <mergeCell ref="I933:I934"/>
    <mergeCell ref="J933:J934"/>
    <mergeCell ref="K933:K934"/>
    <mergeCell ref="L933:L934"/>
    <mergeCell ref="I937:I938"/>
    <mergeCell ref="J937:J938"/>
    <mergeCell ref="K937:K938"/>
    <mergeCell ref="L937:L938"/>
    <mergeCell ref="M937:M938"/>
    <mergeCell ref="N937:N938"/>
    <mergeCell ref="A937:A938"/>
    <mergeCell ref="B937:B938"/>
    <mergeCell ref="C937:C938"/>
    <mergeCell ref="D937:D938"/>
    <mergeCell ref="E937:E938"/>
    <mergeCell ref="F937:F938"/>
    <mergeCell ref="I935:I936"/>
    <mergeCell ref="J935:J936"/>
    <mergeCell ref="K935:K936"/>
    <mergeCell ref="L935:L936"/>
    <mergeCell ref="M935:M936"/>
    <mergeCell ref="N935:N936"/>
    <mergeCell ref="I941:I942"/>
    <mergeCell ref="J941:J942"/>
    <mergeCell ref="K941:K942"/>
    <mergeCell ref="L941:L942"/>
    <mergeCell ref="M941:M942"/>
    <mergeCell ref="N941:N942"/>
    <mergeCell ref="I939:I940"/>
    <mergeCell ref="J939:J940"/>
    <mergeCell ref="K939:K940"/>
    <mergeCell ref="L939:L940"/>
    <mergeCell ref="M939:M940"/>
    <mergeCell ref="N939:N940"/>
    <mergeCell ref="A939:A940"/>
    <mergeCell ref="B939:B940"/>
    <mergeCell ref="C939:C940"/>
    <mergeCell ref="D939:D940"/>
    <mergeCell ref="E939:E940"/>
    <mergeCell ref="F939:F940"/>
    <mergeCell ref="I945:I946"/>
    <mergeCell ref="J945:J946"/>
    <mergeCell ref="K945:K946"/>
    <mergeCell ref="L945:L946"/>
    <mergeCell ref="M945:M946"/>
    <mergeCell ref="N945:N946"/>
    <mergeCell ref="A945:A946"/>
    <mergeCell ref="B945:B946"/>
    <mergeCell ref="C945:C946"/>
    <mergeCell ref="D945:D946"/>
    <mergeCell ref="E945:E946"/>
    <mergeCell ref="F945:F946"/>
    <mergeCell ref="I943:I944"/>
    <mergeCell ref="J943:J944"/>
    <mergeCell ref="K943:K944"/>
    <mergeCell ref="L943:L944"/>
    <mergeCell ref="M943:M944"/>
    <mergeCell ref="N943:N944"/>
    <mergeCell ref="A943:A944"/>
    <mergeCell ref="B943:B944"/>
    <mergeCell ref="C943:C944"/>
    <mergeCell ref="D943:D944"/>
    <mergeCell ref="E943:E944"/>
    <mergeCell ref="F943:F944"/>
    <mergeCell ref="I955:L955"/>
    <mergeCell ref="A957:D957"/>
    <mergeCell ref="I970:P970"/>
    <mergeCell ref="A972:H972"/>
    <mergeCell ref="I972:I973"/>
    <mergeCell ref="J972:J973"/>
    <mergeCell ref="K972:K973"/>
    <mergeCell ref="L972:L973"/>
    <mergeCell ref="M972:M973"/>
    <mergeCell ref="N972:N973"/>
    <mergeCell ref="I947:M947"/>
    <mergeCell ref="I948:M948"/>
    <mergeCell ref="A949:E949"/>
    <mergeCell ref="I949:M949"/>
    <mergeCell ref="A950:E950"/>
    <mergeCell ref="A951:E951"/>
    <mergeCell ref="A947:A948"/>
    <mergeCell ref="B947:B948"/>
    <mergeCell ref="C947:C948"/>
    <mergeCell ref="D947:D948"/>
    <mergeCell ref="E947:E948"/>
    <mergeCell ref="F947:F948"/>
    <mergeCell ref="N960:P960"/>
    <mergeCell ref="I976:I977"/>
    <mergeCell ref="J976:J977"/>
    <mergeCell ref="K976:K977"/>
    <mergeCell ref="L976:L977"/>
    <mergeCell ref="M976:M977"/>
    <mergeCell ref="N976:N977"/>
    <mergeCell ref="K974:K975"/>
    <mergeCell ref="L974:L975"/>
    <mergeCell ref="M974:M975"/>
    <mergeCell ref="N974:N975"/>
    <mergeCell ref="A976:A977"/>
    <mergeCell ref="B976:B977"/>
    <mergeCell ref="C976:C977"/>
    <mergeCell ref="D976:D977"/>
    <mergeCell ref="E976:E977"/>
    <mergeCell ref="F976:F977"/>
    <mergeCell ref="O972:P972"/>
    <mergeCell ref="A974:A975"/>
    <mergeCell ref="B974:B975"/>
    <mergeCell ref="C974:C975"/>
    <mergeCell ref="D974:D975"/>
    <mergeCell ref="E974:E975"/>
    <mergeCell ref="F974:F975"/>
    <mergeCell ref="G974:H974"/>
    <mergeCell ref="I974:I975"/>
    <mergeCell ref="J974:J975"/>
    <mergeCell ref="I980:I981"/>
    <mergeCell ref="J980:J981"/>
    <mergeCell ref="K980:K981"/>
    <mergeCell ref="L980:L981"/>
    <mergeCell ref="M980:M981"/>
    <mergeCell ref="N980:N981"/>
    <mergeCell ref="I978:I979"/>
    <mergeCell ref="J978:J979"/>
    <mergeCell ref="K978:K979"/>
    <mergeCell ref="L978:L979"/>
    <mergeCell ref="M978:M979"/>
    <mergeCell ref="N978:N979"/>
    <mergeCell ref="A978:A979"/>
    <mergeCell ref="B978:B979"/>
    <mergeCell ref="C978:C979"/>
    <mergeCell ref="D978:D979"/>
    <mergeCell ref="E978:E979"/>
    <mergeCell ref="F978:F979"/>
    <mergeCell ref="I984:I985"/>
    <mergeCell ref="J984:J985"/>
    <mergeCell ref="K984:K985"/>
    <mergeCell ref="L984:L985"/>
    <mergeCell ref="M984:M985"/>
    <mergeCell ref="N984:N985"/>
    <mergeCell ref="A984:A985"/>
    <mergeCell ref="B984:B985"/>
    <mergeCell ref="C984:C985"/>
    <mergeCell ref="D984:D985"/>
    <mergeCell ref="E984:E985"/>
    <mergeCell ref="F984:F985"/>
    <mergeCell ref="I982:I983"/>
    <mergeCell ref="J982:J983"/>
    <mergeCell ref="K982:K983"/>
    <mergeCell ref="L982:L983"/>
    <mergeCell ref="M982:M983"/>
    <mergeCell ref="N982:N983"/>
    <mergeCell ref="A982:A983"/>
    <mergeCell ref="B982:B983"/>
    <mergeCell ref="C982:C983"/>
    <mergeCell ref="D982:D983"/>
    <mergeCell ref="E982:E983"/>
    <mergeCell ref="F982:F983"/>
    <mergeCell ref="I994:L994"/>
    <mergeCell ref="A996:D996"/>
    <mergeCell ref="I1009:P1009"/>
    <mergeCell ref="A1011:H1011"/>
    <mergeCell ref="I1011:I1012"/>
    <mergeCell ref="J1011:J1012"/>
    <mergeCell ref="K1011:K1012"/>
    <mergeCell ref="L1011:L1012"/>
    <mergeCell ref="M1011:M1012"/>
    <mergeCell ref="N1011:N1012"/>
    <mergeCell ref="I986:M986"/>
    <mergeCell ref="I987:M987"/>
    <mergeCell ref="A988:E988"/>
    <mergeCell ref="I988:M988"/>
    <mergeCell ref="A989:E989"/>
    <mergeCell ref="A990:E990"/>
    <mergeCell ref="A986:A987"/>
    <mergeCell ref="B986:B987"/>
    <mergeCell ref="C986:C987"/>
    <mergeCell ref="D986:D987"/>
    <mergeCell ref="E986:E987"/>
    <mergeCell ref="F986:F987"/>
    <mergeCell ref="N999:P999"/>
    <mergeCell ref="K1013:K1014"/>
    <mergeCell ref="L1013:L1014"/>
    <mergeCell ref="M1013:M1014"/>
    <mergeCell ref="N1013:N1014"/>
    <mergeCell ref="A1015:A1016"/>
    <mergeCell ref="B1015:B1016"/>
    <mergeCell ref="C1015:C1016"/>
    <mergeCell ref="D1015:D1016"/>
    <mergeCell ref="E1015:E1016"/>
    <mergeCell ref="F1015:F1016"/>
    <mergeCell ref="O1011:P1011"/>
    <mergeCell ref="A1013:A1014"/>
    <mergeCell ref="B1013:B1014"/>
    <mergeCell ref="C1013:C1014"/>
    <mergeCell ref="D1013:D1014"/>
    <mergeCell ref="E1013:E1014"/>
    <mergeCell ref="F1013:F1014"/>
    <mergeCell ref="G1013:H1013"/>
    <mergeCell ref="I1013:I1014"/>
    <mergeCell ref="J1013:J1014"/>
    <mergeCell ref="A1017:A1018"/>
    <mergeCell ref="B1017:B1018"/>
    <mergeCell ref="C1017:C1018"/>
    <mergeCell ref="D1017:D1018"/>
    <mergeCell ref="E1017:E1018"/>
    <mergeCell ref="F1017:F1018"/>
    <mergeCell ref="I1015:I1016"/>
    <mergeCell ref="J1015:J1016"/>
    <mergeCell ref="K1015:K1016"/>
    <mergeCell ref="L1015:L1016"/>
    <mergeCell ref="M1015:M1016"/>
    <mergeCell ref="N1015:N1016"/>
    <mergeCell ref="A1021:A1022"/>
    <mergeCell ref="B1021:B1022"/>
    <mergeCell ref="C1021:C1022"/>
    <mergeCell ref="D1021:D1022"/>
    <mergeCell ref="E1021:E1022"/>
    <mergeCell ref="F1021:F1022"/>
    <mergeCell ref="A1019:A1020"/>
    <mergeCell ref="B1019:B1020"/>
    <mergeCell ref="C1019:C1020"/>
    <mergeCell ref="D1019:D1020"/>
    <mergeCell ref="E1019:E1020"/>
    <mergeCell ref="F1019:F1020"/>
    <mergeCell ref="K1017:K1018"/>
    <mergeCell ref="K1019:K1020"/>
    <mergeCell ref="K1021:K1022"/>
    <mergeCell ref="L1017:L1018"/>
    <mergeCell ref="L1019:L1020"/>
    <mergeCell ref="L1021:L1022"/>
    <mergeCell ref="M1017:M1018"/>
    <mergeCell ref="M1019:M1020"/>
    <mergeCell ref="I1023:M1023"/>
    <mergeCell ref="I1024:M1024"/>
    <mergeCell ref="A1025:E1025"/>
    <mergeCell ref="I1025:M1025"/>
    <mergeCell ref="A1026:E1026"/>
    <mergeCell ref="A1027:E1027"/>
    <mergeCell ref="A1023:A1024"/>
    <mergeCell ref="B1023:B1024"/>
    <mergeCell ref="C1023:C1024"/>
    <mergeCell ref="D1023:D1024"/>
    <mergeCell ref="E1023:E1024"/>
    <mergeCell ref="F1023:F1024"/>
    <mergeCell ref="O1048:P1048"/>
    <mergeCell ref="A1050:A1051"/>
    <mergeCell ref="B1050:B1051"/>
    <mergeCell ref="C1050:C1051"/>
    <mergeCell ref="D1050:D1051"/>
    <mergeCell ref="E1050:E1051"/>
    <mergeCell ref="F1050:F1051"/>
    <mergeCell ref="I1050:I1051"/>
    <mergeCell ref="J1050:J1051"/>
    <mergeCell ref="G1048:H1048"/>
    <mergeCell ref="I1048:I1049"/>
    <mergeCell ref="J1048:J1049"/>
    <mergeCell ref="K1048:K1049"/>
    <mergeCell ref="L1048:L1049"/>
    <mergeCell ref="M1048:M1049"/>
    <mergeCell ref="I1031:L1031"/>
    <mergeCell ref="A1033:D1033"/>
    <mergeCell ref="A1046:H1046"/>
    <mergeCell ref="I1046:P1046"/>
    <mergeCell ref="A1048:A1049"/>
    <mergeCell ref="B1048:B1049"/>
    <mergeCell ref="C1048:C1049"/>
    <mergeCell ref="D1048:D1049"/>
    <mergeCell ref="E1048:E1049"/>
    <mergeCell ref="F1048:F1049"/>
    <mergeCell ref="I1052:I1053"/>
    <mergeCell ref="J1052:J1053"/>
    <mergeCell ref="K1052:K1053"/>
    <mergeCell ref="L1052:L1053"/>
    <mergeCell ref="M1052:M1053"/>
    <mergeCell ref="N1052:N1053"/>
    <mergeCell ref="K1050:K1051"/>
    <mergeCell ref="L1050:L1051"/>
    <mergeCell ref="M1050:M1051"/>
    <mergeCell ref="N1050:N1051"/>
    <mergeCell ref="A1052:A1053"/>
    <mergeCell ref="B1052:B1053"/>
    <mergeCell ref="C1052:C1053"/>
    <mergeCell ref="D1052:D1053"/>
    <mergeCell ref="E1052:E1053"/>
    <mergeCell ref="F1052:F1053"/>
    <mergeCell ref="N1048:N1049"/>
    <mergeCell ref="I1056:I1057"/>
    <mergeCell ref="J1056:J1057"/>
    <mergeCell ref="K1056:K1057"/>
    <mergeCell ref="L1056:L1057"/>
    <mergeCell ref="M1056:M1057"/>
    <mergeCell ref="N1056:N1057"/>
    <mergeCell ref="A1056:A1057"/>
    <mergeCell ref="B1056:B1057"/>
    <mergeCell ref="C1056:C1057"/>
    <mergeCell ref="D1056:D1057"/>
    <mergeCell ref="E1056:E1057"/>
    <mergeCell ref="F1056:F1057"/>
    <mergeCell ref="I1054:I1055"/>
    <mergeCell ref="J1054:J1055"/>
    <mergeCell ref="K1054:K1055"/>
    <mergeCell ref="L1054:L1055"/>
    <mergeCell ref="M1054:M1055"/>
    <mergeCell ref="N1054:N1055"/>
    <mergeCell ref="A1054:A1055"/>
    <mergeCell ref="B1054:B1055"/>
    <mergeCell ref="C1054:C1055"/>
    <mergeCell ref="D1054:D1055"/>
    <mergeCell ref="E1054:E1055"/>
    <mergeCell ref="F1054:F1055"/>
    <mergeCell ref="A1060:E1060"/>
    <mergeCell ref="I1060:M1060"/>
    <mergeCell ref="A1061:E1061"/>
    <mergeCell ref="I1061:M1061"/>
    <mergeCell ref="A1062:E1062"/>
    <mergeCell ref="I1062:M1062"/>
    <mergeCell ref="I1058:I1059"/>
    <mergeCell ref="J1058:J1059"/>
    <mergeCell ref="K1058:K1059"/>
    <mergeCell ref="L1058:L1059"/>
    <mergeCell ref="M1058:M1059"/>
    <mergeCell ref="N1058:N1059"/>
    <mergeCell ref="A1058:A1059"/>
    <mergeCell ref="B1058:B1059"/>
    <mergeCell ref="C1058:C1059"/>
    <mergeCell ref="D1058:D1059"/>
    <mergeCell ref="E1058:E1059"/>
    <mergeCell ref="F1058:F1059"/>
    <mergeCell ref="O1085:P1085"/>
    <mergeCell ref="A1087:A1088"/>
    <mergeCell ref="B1087:B1088"/>
    <mergeCell ref="C1087:C1088"/>
    <mergeCell ref="D1087:D1088"/>
    <mergeCell ref="E1087:E1088"/>
    <mergeCell ref="F1087:F1088"/>
    <mergeCell ref="I1087:I1088"/>
    <mergeCell ref="J1087:J1088"/>
    <mergeCell ref="G1085:H1085"/>
    <mergeCell ref="I1085:I1086"/>
    <mergeCell ref="J1085:J1086"/>
    <mergeCell ref="K1085:K1086"/>
    <mergeCell ref="L1085:L1086"/>
    <mergeCell ref="M1085:M1086"/>
    <mergeCell ref="A1068:D1068"/>
    <mergeCell ref="I1068:L1068"/>
    <mergeCell ref="A1083:H1083"/>
    <mergeCell ref="I1083:P1083"/>
    <mergeCell ref="A1085:A1086"/>
    <mergeCell ref="B1085:B1086"/>
    <mergeCell ref="C1085:C1086"/>
    <mergeCell ref="D1085:D1086"/>
    <mergeCell ref="E1085:E1086"/>
    <mergeCell ref="F1085:F1086"/>
    <mergeCell ref="I1089:I1090"/>
    <mergeCell ref="J1089:J1090"/>
    <mergeCell ref="K1089:K1090"/>
    <mergeCell ref="L1089:L1090"/>
    <mergeCell ref="M1089:M1090"/>
    <mergeCell ref="N1089:N1090"/>
    <mergeCell ref="K1087:K1088"/>
    <mergeCell ref="L1087:L1088"/>
    <mergeCell ref="M1087:M1088"/>
    <mergeCell ref="N1087:N1088"/>
    <mergeCell ref="A1089:A1090"/>
    <mergeCell ref="B1089:B1090"/>
    <mergeCell ref="C1089:C1090"/>
    <mergeCell ref="D1089:D1090"/>
    <mergeCell ref="E1089:E1090"/>
    <mergeCell ref="F1089:F1090"/>
    <mergeCell ref="N1085:N1086"/>
    <mergeCell ref="I1093:I1094"/>
    <mergeCell ref="J1093:J1094"/>
    <mergeCell ref="K1093:K1094"/>
    <mergeCell ref="L1093:L1094"/>
    <mergeCell ref="M1093:M1094"/>
    <mergeCell ref="N1093:N1094"/>
    <mergeCell ref="A1093:A1094"/>
    <mergeCell ref="B1093:B1094"/>
    <mergeCell ref="C1093:C1094"/>
    <mergeCell ref="D1093:D1094"/>
    <mergeCell ref="E1093:E1094"/>
    <mergeCell ref="F1093:F1094"/>
    <mergeCell ref="I1091:I1092"/>
    <mergeCell ref="J1091:J1092"/>
    <mergeCell ref="K1091:K1092"/>
    <mergeCell ref="L1091:L1092"/>
    <mergeCell ref="M1091:M1092"/>
    <mergeCell ref="N1091:N1092"/>
    <mergeCell ref="A1091:A1092"/>
    <mergeCell ref="B1091:B1092"/>
    <mergeCell ref="C1091:C1092"/>
    <mergeCell ref="D1091:D1092"/>
    <mergeCell ref="E1091:E1092"/>
    <mergeCell ref="F1091:F1092"/>
    <mergeCell ref="A1097:E1097"/>
    <mergeCell ref="I1097:M1097"/>
    <mergeCell ref="A1098:E1098"/>
    <mergeCell ref="I1098:M1098"/>
    <mergeCell ref="A1099:E1099"/>
    <mergeCell ref="I1099:M1099"/>
    <mergeCell ref="I1095:I1096"/>
    <mergeCell ref="J1095:J1096"/>
    <mergeCell ref="K1095:K1096"/>
    <mergeCell ref="L1095:L1096"/>
    <mergeCell ref="M1095:M1096"/>
    <mergeCell ref="N1095:N1096"/>
    <mergeCell ref="A1095:A1096"/>
    <mergeCell ref="B1095:B1096"/>
    <mergeCell ref="C1095:C1096"/>
    <mergeCell ref="D1095:D1096"/>
    <mergeCell ref="E1095:E1096"/>
    <mergeCell ref="F1095:F1096"/>
    <mergeCell ref="O1122:P1122"/>
    <mergeCell ref="A1124:A1125"/>
    <mergeCell ref="B1124:B1125"/>
    <mergeCell ref="C1124:C1125"/>
    <mergeCell ref="D1124:D1125"/>
    <mergeCell ref="E1124:E1125"/>
    <mergeCell ref="F1124:F1125"/>
    <mergeCell ref="I1124:I1125"/>
    <mergeCell ref="J1124:J1125"/>
    <mergeCell ref="G1122:H1122"/>
    <mergeCell ref="I1122:I1123"/>
    <mergeCell ref="J1122:J1123"/>
    <mergeCell ref="K1122:K1123"/>
    <mergeCell ref="L1122:L1123"/>
    <mergeCell ref="M1122:M1123"/>
    <mergeCell ref="A1105:D1105"/>
    <mergeCell ref="I1105:L1105"/>
    <mergeCell ref="A1120:H1120"/>
    <mergeCell ref="I1120:P1120"/>
    <mergeCell ref="A1122:A1123"/>
    <mergeCell ref="B1122:B1123"/>
    <mergeCell ref="C1122:C1123"/>
    <mergeCell ref="D1122:D1123"/>
    <mergeCell ref="E1122:E1123"/>
    <mergeCell ref="F1122:F1123"/>
    <mergeCell ref="N1105:P1105"/>
    <mergeCell ref="I1126:I1127"/>
    <mergeCell ref="J1126:J1127"/>
    <mergeCell ref="K1126:K1127"/>
    <mergeCell ref="L1126:L1127"/>
    <mergeCell ref="M1126:M1127"/>
    <mergeCell ref="N1126:N1127"/>
    <mergeCell ref="K1124:K1125"/>
    <mergeCell ref="L1124:L1125"/>
    <mergeCell ref="M1124:M1125"/>
    <mergeCell ref="N1124:N1125"/>
    <mergeCell ref="A1126:A1127"/>
    <mergeCell ref="B1126:B1127"/>
    <mergeCell ref="C1126:C1127"/>
    <mergeCell ref="D1126:D1127"/>
    <mergeCell ref="E1126:E1127"/>
    <mergeCell ref="F1126:F1127"/>
    <mergeCell ref="N1122:N1123"/>
    <mergeCell ref="I1130:I1131"/>
    <mergeCell ref="J1130:J1131"/>
    <mergeCell ref="K1130:K1131"/>
    <mergeCell ref="L1130:L1131"/>
    <mergeCell ref="M1130:M1131"/>
    <mergeCell ref="N1130:N1131"/>
    <mergeCell ref="A1130:A1131"/>
    <mergeCell ref="B1130:B1131"/>
    <mergeCell ref="C1130:C1131"/>
    <mergeCell ref="D1130:D1131"/>
    <mergeCell ref="E1130:E1131"/>
    <mergeCell ref="F1130:F1131"/>
    <mergeCell ref="I1128:I1129"/>
    <mergeCell ref="J1128:J1129"/>
    <mergeCell ref="K1128:K1129"/>
    <mergeCell ref="L1128:L1129"/>
    <mergeCell ref="M1128:M1129"/>
    <mergeCell ref="N1128:N1129"/>
    <mergeCell ref="A1128:A1129"/>
    <mergeCell ref="B1128:B1129"/>
    <mergeCell ref="C1128:C1129"/>
    <mergeCell ref="D1128:D1129"/>
    <mergeCell ref="E1128:E1129"/>
    <mergeCell ref="F1128:F1129"/>
    <mergeCell ref="A1134:E1134"/>
    <mergeCell ref="I1134:M1134"/>
    <mergeCell ref="A1135:E1135"/>
    <mergeCell ref="I1135:M1135"/>
    <mergeCell ref="A1136:E1136"/>
    <mergeCell ref="I1136:M1136"/>
    <mergeCell ref="I1132:I1133"/>
    <mergeCell ref="J1132:J1133"/>
    <mergeCell ref="K1132:K1133"/>
    <mergeCell ref="L1132:L1133"/>
    <mergeCell ref="M1132:M1133"/>
    <mergeCell ref="N1132:N1133"/>
    <mergeCell ref="A1132:A1133"/>
    <mergeCell ref="B1132:B1133"/>
    <mergeCell ref="C1132:C1133"/>
    <mergeCell ref="D1132:D1133"/>
    <mergeCell ref="E1132:E1133"/>
    <mergeCell ref="F1132:F1133"/>
    <mergeCell ref="O1159:P1159"/>
    <mergeCell ref="A1161:A1162"/>
    <mergeCell ref="B1161:B1162"/>
    <mergeCell ref="C1161:C1162"/>
    <mergeCell ref="D1161:D1162"/>
    <mergeCell ref="E1161:E1162"/>
    <mergeCell ref="F1161:F1162"/>
    <mergeCell ref="I1161:I1162"/>
    <mergeCell ref="J1161:J1162"/>
    <mergeCell ref="G1159:H1159"/>
    <mergeCell ref="I1159:I1160"/>
    <mergeCell ref="J1159:J1160"/>
    <mergeCell ref="K1159:K1160"/>
    <mergeCell ref="L1159:L1160"/>
    <mergeCell ref="M1159:M1160"/>
    <mergeCell ref="A1142:D1142"/>
    <mergeCell ref="I1142:L1142"/>
    <mergeCell ref="A1157:H1157"/>
    <mergeCell ref="I1157:P1157"/>
    <mergeCell ref="A1159:A1160"/>
    <mergeCell ref="B1159:B1160"/>
    <mergeCell ref="C1159:C1160"/>
    <mergeCell ref="D1159:D1160"/>
    <mergeCell ref="E1159:E1160"/>
    <mergeCell ref="F1159:F1160"/>
    <mergeCell ref="N1142:P1142"/>
    <mergeCell ref="I1163:I1164"/>
    <mergeCell ref="J1163:J1164"/>
    <mergeCell ref="K1163:K1164"/>
    <mergeCell ref="L1163:L1164"/>
    <mergeCell ref="M1163:M1164"/>
    <mergeCell ref="N1163:N1164"/>
    <mergeCell ref="K1161:K1162"/>
    <mergeCell ref="L1161:L1162"/>
    <mergeCell ref="M1161:M1162"/>
    <mergeCell ref="N1161:N1162"/>
    <mergeCell ref="A1163:A1164"/>
    <mergeCell ref="B1163:B1164"/>
    <mergeCell ref="C1163:C1164"/>
    <mergeCell ref="D1163:D1164"/>
    <mergeCell ref="E1163:E1164"/>
    <mergeCell ref="F1163:F1164"/>
    <mergeCell ref="N1159:N1160"/>
    <mergeCell ref="I1167:I1168"/>
    <mergeCell ref="J1167:J1168"/>
    <mergeCell ref="K1167:K1168"/>
    <mergeCell ref="L1167:L1168"/>
    <mergeCell ref="M1167:M1168"/>
    <mergeCell ref="N1167:N1168"/>
    <mergeCell ref="A1167:A1168"/>
    <mergeCell ref="B1167:B1168"/>
    <mergeCell ref="C1167:C1168"/>
    <mergeCell ref="D1167:D1168"/>
    <mergeCell ref="E1167:E1168"/>
    <mergeCell ref="F1167:F1168"/>
    <mergeCell ref="I1165:I1166"/>
    <mergeCell ref="J1165:J1166"/>
    <mergeCell ref="K1165:K1166"/>
    <mergeCell ref="L1165:L1166"/>
    <mergeCell ref="M1165:M1166"/>
    <mergeCell ref="N1165:N1166"/>
    <mergeCell ref="A1165:A1166"/>
    <mergeCell ref="B1165:B1166"/>
    <mergeCell ref="C1165:C1166"/>
    <mergeCell ref="D1165:D1166"/>
    <mergeCell ref="E1165:E1166"/>
    <mergeCell ref="F1165:F1166"/>
    <mergeCell ref="A1171:E1171"/>
    <mergeCell ref="I1171:M1171"/>
    <mergeCell ref="A1172:E1172"/>
    <mergeCell ref="I1172:M1172"/>
    <mergeCell ref="A1173:E1173"/>
    <mergeCell ref="I1173:M1173"/>
    <mergeCell ref="I1169:I1170"/>
    <mergeCell ref="J1169:J1170"/>
    <mergeCell ref="K1169:K1170"/>
    <mergeCell ref="L1169:L1170"/>
    <mergeCell ref="M1169:M1170"/>
    <mergeCell ref="N1169:N1170"/>
    <mergeCell ref="A1169:A1170"/>
    <mergeCell ref="B1169:B1170"/>
    <mergeCell ref="C1169:C1170"/>
    <mergeCell ref="D1169:D1170"/>
    <mergeCell ref="E1169:E1170"/>
    <mergeCell ref="F1169:F1170"/>
    <mergeCell ref="O1196:P1196"/>
    <mergeCell ref="A1198:A1199"/>
    <mergeCell ref="B1198:B1199"/>
    <mergeCell ref="C1198:C1199"/>
    <mergeCell ref="D1198:D1199"/>
    <mergeCell ref="E1198:E1199"/>
    <mergeCell ref="F1198:F1199"/>
    <mergeCell ref="I1198:I1199"/>
    <mergeCell ref="J1198:J1199"/>
    <mergeCell ref="G1196:H1196"/>
    <mergeCell ref="I1196:I1197"/>
    <mergeCell ref="J1196:J1197"/>
    <mergeCell ref="K1196:K1197"/>
    <mergeCell ref="L1196:L1197"/>
    <mergeCell ref="M1196:M1197"/>
    <mergeCell ref="A1179:D1179"/>
    <mergeCell ref="I1179:L1179"/>
    <mergeCell ref="A1194:H1194"/>
    <mergeCell ref="I1194:P1194"/>
    <mergeCell ref="A1196:A1197"/>
    <mergeCell ref="B1196:B1197"/>
    <mergeCell ref="C1196:C1197"/>
    <mergeCell ref="D1196:D1197"/>
    <mergeCell ref="E1196:E1197"/>
    <mergeCell ref="F1196:F1197"/>
    <mergeCell ref="N1183:P1183"/>
    <mergeCell ref="N1179:P1179"/>
    <mergeCell ref="I1200:I1201"/>
    <mergeCell ref="J1200:J1201"/>
    <mergeCell ref="K1200:K1201"/>
    <mergeCell ref="L1200:L1201"/>
    <mergeCell ref="M1200:M1201"/>
    <mergeCell ref="N1200:N1201"/>
    <mergeCell ref="K1198:K1199"/>
    <mergeCell ref="L1198:L1199"/>
    <mergeCell ref="M1198:M1199"/>
    <mergeCell ref="N1198:N1199"/>
    <mergeCell ref="A1200:A1201"/>
    <mergeCell ref="B1200:B1201"/>
    <mergeCell ref="C1200:C1201"/>
    <mergeCell ref="D1200:D1201"/>
    <mergeCell ref="E1200:E1201"/>
    <mergeCell ref="F1200:F1201"/>
    <mergeCell ref="N1196:N1197"/>
    <mergeCell ref="I1204:I1205"/>
    <mergeCell ref="J1204:J1205"/>
    <mergeCell ref="K1204:K1205"/>
    <mergeCell ref="L1204:L1205"/>
    <mergeCell ref="M1204:M1205"/>
    <mergeCell ref="N1204:N1205"/>
    <mergeCell ref="A1204:A1205"/>
    <mergeCell ref="B1204:B1205"/>
    <mergeCell ref="C1204:C1205"/>
    <mergeCell ref="D1204:D1205"/>
    <mergeCell ref="E1204:E1205"/>
    <mergeCell ref="F1204:F1205"/>
    <mergeCell ref="I1202:I1203"/>
    <mergeCell ref="J1202:J1203"/>
    <mergeCell ref="K1202:K1203"/>
    <mergeCell ref="L1202:L1203"/>
    <mergeCell ref="M1202:M1203"/>
    <mergeCell ref="N1202:N1203"/>
    <mergeCell ref="A1202:A1203"/>
    <mergeCell ref="B1202:B1203"/>
    <mergeCell ref="C1202:C1203"/>
    <mergeCell ref="D1202:D1203"/>
    <mergeCell ref="E1202:E1203"/>
    <mergeCell ref="F1202:F1203"/>
    <mergeCell ref="A1210:E1210"/>
    <mergeCell ref="I1210:M1210"/>
    <mergeCell ref="A1211:E1211"/>
    <mergeCell ref="I1211:M1211"/>
    <mergeCell ref="A1212:E1212"/>
    <mergeCell ref="I1212:M1212"/>
    <mergeCell ref="I1208:I1209"/>
    <mergeCell ref="J1208:J1209"/>
    <mergeCell ref="K1208:K1209"/>
    <mergeCell ref="L1208:L1209"/>
    <mergeCell ref="M1208:M1209"/>
    <mergeCell ref="N1208:N1209"/>
    <mergeCell ref="A1208:A1209"/>
    <mergeCell ref="B1208:B1209"/>
    <mergeCell ref="C1208:C1209"/>
    <mergeCell ref="D1208:D1209"/>
    <mergeCell ref="E1208:E1209"/>
    <mergeCell ref="F1208:F1209"/>
    <mergeCell ref="O1235:P1235"/>
    <mergeCell ref="A1237:A1238"/>
    <mergeCell ref="B1237:B1238"/>
    <mergeCell ref="C1237:C1238"/>
    <mergeCell ref="D1237:D1238"/>
    <mergeCell ref="E1237:E1238"/>
    <mergeCell ref="F1237:F1238"/>
    <mergeCell ref="I1237:I1238"/>
    <mergeCell ref="J1237:J1238"/>
    <mergeCell ref="G1235:H1235"/>
    <mergeCell ref="I1235:I1236"/>
    <mergeCell ref="J1235:J1236"/>
    <mergeCell ref="K1235:K1236"/>
    <mergeCell ref="L1235:L1236"/>
    <mergeCell ref="M1235:M1236"/>
    <mergeCell ref="A1218:D1218"/>
    <mergeCell ref="I1218:L1218"/>
    <mergeCell ref="A1233:H1233"/>
    <mergeCell ref="I1233:P1233"/>
    <mergeCell ref="A1235:A1236"/>
    <mergeCell ref="B1235:B1236"/>
    <mergeCell ref="C1235:C1236"/>
    <mergeCell ref="D1235:D1236"/>
    <mergeCell ref="E1235:E1236"/>
    <mergeCell ref="F1235:F1236"/>
    <mergeCell ref="N1223:P1223"/>
    <mergeCell ref="N1218:P1218"/>
    <mergeCell ref="I1239:I1240"/>
    <mergeCell ref="J1239:J1240"/>
    <mergeCell ref="K1239:K1240"/>
    <mergeCell ref="L1239:L1240"/>
    <mergeCell ref="M1239:M1240"/>
    <mergeCell ref="N1239:N1240"/>
    <mergeCell ref="K1237:K1238"/>
    <mergeCell ref="L1237:L1238"/>
    <mergeCell ref="M1237:M1238"/>
    <mergeCell ref="N1237:N1238"/>
    <mergeCell ref="A1239:A1240"/>
    <mergeCell ref="B1239:B1240"/>
    <mergeCell ref="C1239:C1240"/>
    <mergeCell ref="D1239:D1240"/>
    <mergeCell ref="E1239:E1240"/>
    <mergeCell ref="F1239:F1240"/>
    <mergeCell ref="N1235:N1236"/>
    <mergeCell ref="I1243:I1244"/>
    <mergeCell ref="J1243:J1244"/>
    <mergeCell ref="K1243:K1244"/>
    <mergeCell ref="L1243:L1244"/>
    <mergeCell ref="M1243:M1244"/>
    <mergeCell ref="N1243:N1244"/>
    <mergeCell ref="A1243:A1244"/>
    <mergeCell ref="B1243:B1244"/>
    <mergeCell ref="C1243:C1244"/>
    <mergeCell ref="D1243:D1244"/>
    <mergeCell ref="E1243:E1244"/>
    <mergeCell ref="F1243:F1244"/>
    <mergeCell ref="I1241:I1242"/>
    <mergeCell ref="J1241:J1242"/>
    <mergeCell ref="K1241:K1242"/>
    <mergeCell ref="L1241:L1242"/>
    <mergeCell ref="M1241:M1242"/>
    <mergeCell ref="N1241:N1242"/>
    <mergeCell ref="A1241:A1242"/>
    <mergeCell ref="B1241:B1242"/>
    <mergeCell ref="C1241:C1242"/>
    <mergeCell ref="D1241:D1242"/>
    <mergeCell ref="E1241:E1242"/>
    <mergeCell ref="F1241:F1242"/>
    <mergeCell ref="A1247:E1247"/>
    <mergeCell ref="I1247:M1247"/>
    <mergeCell ref="A1248:E1248"/>
    <mergeCell ref="I1248:M1248"/>
    <mergeCell ref="A1249:E1249"/>
    <mergeCell ref="I1249:M1249"/>
    <mergeCell ref="I1245:I1246"/>
    <mergeCell ref="J1245:J1246"/>
    <mergeCell ref="K1245:K1246"/>
    <mergeCell ref="L1245:L1246"/>
    <mergeCell ref="M1245:M1246"/>
    <mergeCell ref="N1245:N1246"/>
    <mergeCell ref="A1245:A1246"/>
    <mergeCell ref="B1245:B1246"/>
    <mergeCell ref="C1245:C1246"/>
    <mergeCell ref="D1245:D1246"/>
    <mergeCell ref="E1245:E1246"/>
    <mergeCell ref="F1245:F1246"/>
    <mergeCell ref="O1272:P1272"/>
    <mergeCell ref="A1274:A1275"/>
    <mergeCell ref="B1274:B1275"/>
    <mergeCell ref="C1274:C1275"/>
    <mergeCell ref="D1274:D1275"/>
    <mergeCell ref="E1274:E1275"/>
    <mergeCell ref="F1274:F1275"/>
    <mergeCell ref="I1274:I1275"/>
    <mergeCell ref="J1274:J1275"/>
    <mergeCell ref="G1272:H1272"/>
    <mergeCell ref="I1272:I1273"/>
    <mergeCell ref="J1272:J1273"/>
    <mergeCell ref="K1272:K1273"/>
    <mergeCell ref="L1272:L1273"/>
    <mergeCell ref="M1272:M1273"/>
    <mergeCell ref="A1255:D1255"/>
    <mergeCell ref="I1255:L1255"/>
    <mergeCell ref="A1270:H1270"/>
    <mergeCell ref="I1270:P1270"/>
    <mergeCell ref="A1272:A1273"/>
    <mergeCell ref="B1272:B1273"/>
    <mergeCell ref="C1272:C1273"/>
    <mergeCell ref="D1272:D1273"/>
    <mergeCell ref="E1272:E1273"/>
    <mergeCell ref="F1272:F1273"/>
    <mergeCell ref="N1255:P1255"/>
    <mergeCell ref="N1260:P1260"/>
    <mergeCell ref="N1259:P1259"/>
    <mergeCell ref="I1276:I1277"/>
    <mergeCell ref="J1276:J1277"/>
    <mergeCell ref="K1276:K1277"/>
    <mergeCell ref="L1276:L1277"/>
    <mergeCell ref="M1276:M1277"/>
    <mergeCell ref="N1276:N1277"/>
    <mergeCell ref="K1274:K1275"/>
    <mergeCell ref="L1274:L1275"/>
    <mergeCell ref="M1274:M1275"/>
    <mergeCell ref="N1274:N1275"/>
    <mergeCell ref="A1276:A1277"/>
    <mergeCell ref="B1276:B1277"/>
    <mergeCell ref="C1276:C1277"/>
    <mergeCell ref="D1276:D1277"/>
    <mergeCell ref="E1276:E1277"/>
    <mergeCell ref="F1276:F1277"/>
    <mergeCell ref="N1272:N1273"/>
    <mergeCell ref="I1280:I1281"/>
    <mergeCell ref="J1280:J1281"/>
    <mergeCell ref="K1280:K1281"/>
    <mergeCell ref="L1280:L1281"/>
    <mergeCell ref="M1280:M1281"/>
    <mergeCell ref="N1280:N1281"/>
    <mergeCell ref="A1280:A1281"/>
    <mergeCell ref="B1280:B1281"/>
    <mergeCell ref="C1280:C1281"/>
    <mergeCell ref="D1280:D1281"/>
    <mergeCell ref="E1280:E1281"/>
    <mergeCell ref="F1280:F1281"/>
    <mergeCell ref="I1278:I1279"/>
    <mergeCell ref="J1278:J1279"/>
    <mergeCell ref="K1278:K1279"/>
    <mergeCell ref="L1278:L1279"/>
    <mergeCell ref="M1278:M1279"/>
    <mergeCell ref="N1278:N1279"/>
    <mergeCell ref="A1278:A1279"/>
    <mergeCell ref="B1278:B1279"/>
    <mergeCell ref="C1278:C1279"/>
    <mergeCell ref="D1278:D1279"/>
    <mergeCell ref="E1278:E1279"/>
    <mergeCell ref="F1278:F1279"/>
    <mergeCell ref="A1284:E1284"/>
    <mergeCell ref="I1284:M1284"/>
    <mergeCell ref="A1285:E1285"/>
    <mergeCell ref="I1285:M1285"/>
    <mergeCell ref="A1286:E1286"/>
    <mergeCell ref="I1286:M1286"/>
    <mergeCell ref="I1282:I1283"/>
    <mergeCell ref="J1282:J1283"/>
    <mergeCell ref="K1282:K1283"/>
    <mergeCell ref="L1282:L1283"/>
    <mergeCell ref="M1282:M1283"/>
    <mergeCell ref="N1282:N1283"/>
    <mergeCell ref="A1282:A1283"/>
    <mergeCell ref="B1282:B1283"/>
    <mergeCell ref="C1282:C1283"/>
    <mergeCell ref="D1282:D1283"/>
    <mergeCell ref="E1282:E1283"/>
    <mergeCell ref="F1282:F1283"/>
    <mergeCell ref="O1309:P1309"/>
    <mergeCell ref="A1311:A1312"/>
    <mergeCell ref="B1311:B1312"/>
    <mergeCell ref="C1311:C1312"/>
    <mergeCell ref="D1311:D1312"/>
    <mergeCell ref="E1311:E1312"/>
    <mergeCell ref="F1311:F1312"/>
    <mergeCell ref="I1311:I1312"/>
    <mergeCell ref="J1311:J1312"/>
    <mergeCell ref="G1309:H1309"/>
    <mergeCell ref="I1309:I1310"/>
    <mergeCell ref="J1309:J1310"/>
    <mergeCell ref="K1309:K1310"/>
    <mergeCell ref="L1309:L1310"/>
    <mergeCell ref="M1309:M1310"/>
    <mergeCell ref="A1292:D1292"/>
    <mergeCell ref="I1292:L1292"/>
    <mergeCell ref="A1307:H1307"/>
    <mergeCell ref="I1307:P1307"/>
    <mergeCell ref="A1309:A1310"/>
    <mergeCell ref="B1309:B1310"/>
    <mergeCell ref="C1309:C1310"/>
    <mergeCell ref="D1309:D1310"/>
    <mergeCell ref="E1309:E1310"/>
    <mergeCell ref="F1309:F1310"/>
    <mergeCell ref="N1297:P1297"/>
    <mergeCell ref="I1313:I1314"/>
    <mergeCell ref="J1313:J1314"/>
    <mergeCell ref="K1313:K1314"/>
    <mergeCell ref="L1313:L1314"/>
    <mergeCell ref="M1313:M1314"/>
    <mergeCell ref="N1313:N1314"/>
    <mergeCell ref="K1311:K1312"/>
    <mergeCell ref="L1311:L1312"/>
    <mergeCell ref="M1311:M1312"/>
    <mergeCell ref="N1311:N1312"/>
    <mergeCell ref="A1313:A1314"/>
    <mergeCell ref="B1313:B1314"/>
    <mergeCell ref="C1313:C1314"/>
    <mergeCell ref="D1313:D1314"/>
    <mergeCell ref="E1313:E1314"/>
    <mergeCell ref="F1313:F1314"/>
    <mergeCell ref="N1309:N1310"/>
    <mergeCell ref="I1317:I1318"/>
    <mergeCell ref="J1317:J1318"/>
    <mergeCell ref="K1317:K1318"/>
    <mergeCell ref="L1317:L1318"/>
    <mergeCell ref="M1317:M1318"/>
    <mergeCell ref="N1317:N1318"/>
    <mergeCell ref="A1317:A1318"/>
    <mergeCell ref="B1317:B1318"/>
    <mergeCell ref="C1317:C1318"/>
    <mergeCell ref="D1317:D1318"/>
    <mergeCell ref="E1317:E1318"/>
    <mergeCell ref="F1317:F1318"/>
    <mergeCell ref="I1315:I1316"/>
    <mergeCell ref="J1315:J1316"/>
    <mergeCell ref="K1315:K1316"/>
    <mergeCell ref="L1315:L1316"/>
    <mergeCell ref="M1315:M1316"/>
    <mergeCell ref="N1315:N1316"/>
    <mergeCell ref="A1315:A1316"/>
    <mergeCell ref="B1315:B1316"/>
    <mergeCell ref="C1315:C1316"/>
    <mergeCell ref="D1315:D1316"/>
    <mergeCell ref="E1315:E1316"/>
    <mergeCell ref="F1315:F1316"/>
    <mergeCell ref="A1329:D1329"/>
    <mergeCell ref="I1329:L1329"/>
    <mergeCell ref="A1344:H1344"/>
    <mergeCell ref="I1344:P1344"/>
    <mergeCell ref="A1346:A1347"/>
    <mergeCell ref="B1346:B1347"/>
    <mergeCell ref="C1346:C1347"/>
    <mergeCell ref="D1346:D1347"/>
    <mergeCell ref="E1346:E1347"/>
    <mergeCell ref="F1346:F1347"/>
    <mergeCell ref="A1321:E1321"/>
    <mergeCell ref="I1321:M1321"/>
    <mergeCell ref="A1322:E1322"/>
    <mergeCell ref="I1322:M1322"/>
    <mergeCell ref="A1323:E1323"/>
    <mergeCell ref="I1323:M1323"/>
    <mergeCell ref="I1319:I1320"/>
    <mergeCell ref="J1319:J1320"/>
    <mergeCell ref="K1319:K1320"/>
    <mergeCell ref="L1319:L1320"/>
    <mergeCell ref="M1319:M1320"/>
    <mergeCell ref="N1319:N1320"/>
    <mergeCell ref="A1319:A1320"/>
    <mergeCell ref="B1319:B1320"/>
    <mergeCell ref="C1319:C1320"/>
    <mergeCell ref="D1319:D1320"/>
    <mergeCell ref="E1319:E1320"/>
    <mergeCell ref="F1319:F1320"/>
    <mergeCell ref="N1334:P1334"/>
    <mergeCell ref="K1348:K1349"/>
    <mergeCell ref="L1348:L1349"/>
    <mergeCell ref="M1348:M1349"/>
    <mergeCell ref="N1348:N1349"/>
    <mergeCell ref="A1350:A1351"/>
    <mergeCell ref="B1350:B1351"/>
    <mergeCell ref="C1350:C1351"/>
    <mergeCell ref="D1350:D1351"/>
    <mergeCell ref="E1350:E1351"/>
    <mergeCell ref="F1350:F1351"/>
    <mergeCell ref="N1346:N1347"/>
    <mergeCell ref="O1346:P1346"/>
    <mergeCell ref="A1348:A1349"/>
    <mergeCell ref="B1348:B1349"/>
    <mergeCell ref="C1348:C1349"/>
    <mergeCell ref="D1348:D1349"/>
    <mergeCell ref="E1348:E1349"/>
    <mergeCell ref="F1348:F1349"/>
    <mergeCell ref="I1348:I1349"/>
    <mergeCell ref="J1348:J1349"/>
    <mergeCell ref="G1346:H1346"/>
    <mergeCell ref="I1346:I1347"/>
    <mergeCell ref="J1346:J1347"/>
    <mergeCell ref="K1346:K1347"/>
    <mergeCell ref="L1346:L1347"/>
    <mergeCell ref="M1346:M1347"/>
    <mergeCell ref="I1352:I1353"/>
    <mergeCell ref="J1352:J1353"/>
    <mergeCell ref="K1352:K1353"/>
    <mergeCell ref="L1352:L1353"/>
    <mergeCell ref="M1352:M1353"/>
    <mergeCell ref="N1352:N1353"/>
    <mergeCell ref="A1352:A1353"/>
    <mergeCell ref="B1352:B1353"/>
    <mergeCell ref="C1352:C1353"/>
    <mergeCell ref="D1352:D1353"/>
    <mergeCell ref="E1352:E1353"/>
    <mergeCell ref="F1352:F1353"/>
    <mergeCell ref="I1350:I1351"/>
    <mergeCell ref="J1350:J1351"/>
    <mergeCell ref="K1350:K1351"/>
    <mergeCell ref="L1350:L1351"/>
    <mergeCell ref="M1350:M1351"/>
    <mergeCell ref="N1350:N1351"/>
    <mergeCell ref="I1356:I1357"/>
    <mergeCell ref="J1356:J1357"/>
    <mergeCell ref="K1356:K1357"/>
    <mergeCell ref="L1356:L1357"/>
    <mergeCell ref="M1356:M1357"/>
    <mergeCell ref="N1356:N1357"/>
    <mergeCell ref="A1356:A1357"/>
    <mergeCell ref="B1356:B1357"/>
    <mergeCell ref="C1356:C1357"/>
    <mergeCell ref="D1356:D1357"/>
    <mergeCell ref="E1356:E1357"/>
    <mergeCell ref="F1356:F1357"/>
    <mergeCell ref="I1354:I1355"/>
    <mergeCell ref="J1354:J1355"/>
    <mergeCell ref="K1354:K1355"/>
    <mergeCell ref="L1354:L1355"/>
    <mergeCell ref="M1354:M1355"/>
    <mergeCell ref="N1354:N1355"/>
    <mergeCell ref="A1354:A1355"/>
    <mergeCell ref="B1354:B1355"/>
    <mergeCell ref="C1354:C1355"/>
    <mergeCell ref="D1354:D1355"/>
    <mergeCell ref="E1354:E1355"/>
    <mergeCell ref="F1354:F1355"/>
    <mergeCell ref="I1366:L1366"/>
    <mergeCell ref="A1368:D1368"/>
    <mergeCell ref="I1381:P1381"/>
    <mergeCell ref="A1383:H1383"/>
    <mergeCell ref="I1383:I1384"/>
    <mergeCell ref="J1383:J1384"/>
    <mergeCell ref="K1383:K1384"/>
    <mergeCell ref="L1383:L1384"/>
    <mergeCell ref="M1383:M1384"/>
    <mergeCell ref="N1383:N1384"/>
    <mergeCell ref="I1358:M1358"/>
    <mergeCell ref="I1359:M1359"/>
    <mergeCell ref="A1360:E1360"/>
    <mergeCell ref="I1360:M1360"/>
    <mergeCell ref="A1361:E1361"/>
    <mergeCell ref="A1362:E1362"/>
    <mergeCell ref="A1358:A1359"/>
    <mergeCell ref="B1358:B1359"/>
    <mergeCell ref="C1358:C1359"/>
    <mergeCell ref="D1358:D1359"/>
    <mergeCell ref="E1358:E1359"/>
    <mergeCell ref="F1358:F1359"/>
    <mergeCell ref="N1371:P1371"/>
    <mergeCell ref="K1385:K1386"/>
    <mergeCell ref="L1385:L1386"/>
    <mergeCell ref="M1385:M1386"/>
    <mergeCell ref="N1385:N1386"/>
    <mergeCell ref="A1387:A1388"/>
    <mergeCell ref="B1387:B1388"/>
    <mergeCell ref="C1387:C1388"/>
    <mergeCell ref="D1387:D1388"/>
    <mergeCell ref="E1387:E1388"/>
    <mergeCell ref="F1387:F1388"/>
    <mergeCell ref="O1383:P1383"/>
    <mergeCell ref="A1385:A1386"/>
    <mergeCell ref="B1385:B1386"/>
    <mergeCell ref="C1385:C1386"/>
    <mergeCell ref="D1385:D1386"/>
    <mergeCell ref="E1385:E1386"/>
    <mergeCell ref="F1385:F1386"/>
    <mergeCell ref="G1385:H1385"/>
    <mergeCell ref="I1385:I1386"/>
    <mergeCell ref="J1385:J1386"/>
    <mergeCell ref="I1389:I1390"/>
    <mergeCell ref="J1389:J1390"/>
    <mergeCell ref="K1389:K1390"/>
    <mergeCell ref="L1389:L1390"/>
    <mergeCell ref="M1389:M1390"/>
    <mergeCell ref="N1389:N1390"/>
    <mergeCell ref="A1389:A1390"/>
    <mergeCell ref="B1389:B1390"/>
    <mergeCell ref="C1389:C1390"/>
    <mergeCell ref="D1389:D1390"/>
    <mergeCell ref="E1389:E1390"/>
    <mergeCell ref="F1389:F1390"/>
    <mergeCell ref="I1387:I1388"/>
    <mergeCell ref="J1387:J1388"/>
    <mergeCell ref="K1387:K1388"/>
    <mergeCell ref="L1387:L1388"/>
    <mergeCell ref="M1387:M1388"/>
    <mergeCell ref="N1387:N1388"/>
    <mergeCell ref="I1393:I1394"/>
    <mergeCell ref="J1393:J1394"/>
    <mergeCell ref="K1393:K1394"/>
    <mergeCell ref="L1393:L1394"/>
    <mergeCell ref="M1393:M1394"/>
    <mergeCell ref="N1393:N1394"/>
    <mergeCell ref="A1393:A1394"/>
    <mergeCell ref="B1393:B1394"/>
    <mergeCell ref="C1393:C1394"/>
    <mergeCell ref="D1393:D1394"/>
    <mergeCell ref="E1393:E1394"/>
    <mergeCell ref="F1393:F1394"/>
    <mergeCell ref="I1391:I1392"/>
    <mergeCell ref="J1391:J1392"/>
    <mergeCell ref="K1391:K1392"/>
    <mergeCell ref="L1391:L1392"/>
    <mergeCell ref="M1391:M1392"/>
    <mergeCell ref="N1391:N1392"/>
    <mergeCell ref="A1391:A1392"/>
    <mergeCell ref="B1391:B1392"/>
    <mergeCell ref="C1391:C1392"/>
    <mergeCell ref="D1391:D1392"/>
    <mergeCell ref="E1391:E1392"/>
    <mergeCell ref="F1391:F1392"/>
    <mergeCell ref="I1403:L1403"/>
    <mergeCell ref="A1405:D1405"/>
    <mergeCell ref="I1418:P1418"/>
    <mergeCell ref="A1420:H1420"/>
    <mergeCell ref="I1420:I1421"/>
    <mergeCell ref="J1420:J1421"/>
    <mergeCell ref="K1420:K1421"/>
    <mergeCell ref="L1420:L1421"/>
    <mergeCell ref="M1420:M1421"/>
    <mergeCell ref="N1420:N1421"/>
    <mergeCell ref="I1395:M1395"/>
    <mergeCell ref="I1396:M1396"/>
    <mergeCell ref="A1397:E1397"/>
    <mergeCell ref="I1397:M1397"/>
    <mergeCell ref="A1398:E1398"/>
    <mergeCell ref="A1399:E1399"/>
    <mergeCell ref="A1395:A1396"/>
    <mergeCell ref="B1395:B1396"/>
    <mergeCell ref="C1395:C1396"/>
    <mergeCell ref="D1395:D1396"/>
    <mergeCell ref="E1395:E1396"/>
    <mergeCell ref="F1395:F1396"/>
    <mergeCell ref="N1408:P1408"/>
    <mergeCell ref="K1422:K1423"/>
    <mergeCell ref="L1422:L1423"/>
    <mergeCell ref="M1422:M1423"/>
    <mergeCell ref="N1422:N1423"/>
    <mergeCell ref="A1424:A1425"/>
    <mergeCell ref="B1424:B1425"/>
    <mergeCell ref="C1424:C1425"/>
    <mergeCell ref="D1424:D1425"/>
    <mergeCell ref="E1424:E1425"/>
    <mergeCell ref="F1424:F1425"/>
    <mergeCell ref="O1420:P1420"/>
    <mergeCell ref="A1422:A1423"/>
    <mergeCell ref="B1422:B1423"/>
    <mergeCell ref="C1422:C1423"/>
    <mergeCell ref="D1422:D1423"/>
    <mergeCell ref="E1422:E1423"/>
    <mergeCell ref="F1422:F1423"/>
    <mergeCell ref="G1422:H1422"/>
    <mergeCell ref="I1422:I1423"/>
    <mergeCell ref="J1422:J1423"/>
    <mergeCell ref="I1426:I1427"/>
    <mergeCell ref="J1426:J1427"/>
    <mergeCell ref="K1426:K1427"/>
    <mergeCell ref="L1426:L1427"/>
    <mergeCell ref="M1426:M1427"/>
    <mergeCell ref="N1426:N1427"/>
    <mergeCell ref="A1426:A1427"/>
    <mergeCell ref="B1426:B1427"/>
    <mergeCell ref="C1426:C1427"/>
    <mergeCell ref="D1426:D1427"/>
    <mergeCell ref="E1426:E1427"/>
    <mergeCell ref="F1426:F1427"/>
    <mergeCell ref="I1424:I1425"/>
    <mergeCell ref="J1424:J1425"/>
    <mergeCell ref="K1424:K1425"/>
    <mergeCell ref="L1424:L1425"/>
    <mergeCell ref="M1424:M1425"/>
    <mergeCell ref="N1424:N1425"/>
    <mergeCell ref="I1430:I1431"/>
    <mergeCell ref="J1430:J1431"/>
    <mergeCell ref="K1430:K1431"/>
    <mergeCell ref="L1430:L1431"/>
    <mergeCell ref="M1430:M1431"/>
    <mergeCell ref="N1430:N1431"/>
    <mergeCell ref="A1430:A1431"/>
    <mergeCell ref="B1430:B1431"/>
    <mergeCell ref="C1430:C1431"/>
    <mergeCell ref="D1430:D1431"/>
    <mergeCell ref="E1430:E1431"/>
    <mergeCell ref="F1430:F1431"/>
    <mergeCell ref="I1428:I1429"/>
    <mergeCell ref="J1428:J1429"/>
    <mergeCell ref="K1428:K1429"/>
    <mergeCell ref="L1428:L1429"/>
    <mergeCell ref="M1428:M1429"/>
    <mergeCell ref="N1428:N1429"/>
    <mergeCell ref="A1428:A1429"/>
    <mergeCell ref="B1428:B1429"/>
    <mergeCell ref="C1428:C1429"/>
    <mergeCell ref="D1428:D1429"/>
    <mergeCell ref="E1428:E1429"/>
    <mergeCell ref="F1428:F1429"/>
    <mergeCell ref="I1440:L1440"/>
    <mergeCell ref="A1442:D1442"/>
    <mergeCell ref="I1455:P1455"/>
    <mergeCell ref="A1456:H1456"/>
    <mergeCell ref="I1457:I1458"/>
    <mergeCell ref="J1457:J1458"/>
    <mergeCell ref="K1457:K1458"/>
    <mergeCell ref="L1457:L1458"/>
    <mergeCell ref="M1457:M1458"/>
    <mergeCell ref="N1457:N1458"/>
    <mergeCell ref="I1432:M1432"/>
    <mergeCell ref="I1433:M1433"/>
    <mergeCell ref="A1434:E1434"/>
    <mergeCell ref="I1434:M1434"/>
    <mergeCell ref="A1435:E1435"/>
    <mergeCell ref="A1436:E1436"/>
    <mergeCell ref="A1432:A1433"/>
    <mergeCell ref="B1432:B1433"/>
    <mergeCell ref="C1432:C1433"/>
    <mergeCell ref="D1432:D1433"/>
    <mergeCell ref="E1432:E1433"/>
    <mergeCell ref="F1432:F1433"/>
    <mergeCell ref="N1445:P1445"/>
    <mergeCell ref="K1459:K1460"/>
    <mergeCell ref="L1459:L1460"/>
    <mergeCell ref="M1459:M1460"/>
    <mergeCell ref="N1459:N1460"/>
    <mergeCell ref="A1460:A1461"/>
    <mergeCell ref="B1460:B1461"/>
    <mergeCell ref="C1460:C1461"/>
    <mergeCell ref="D1460:D1461"/>
    <mergeCell ref="E1460:E1461"/>
    <mergeCell ref="F1460:F1461"/>
    <mergeCell ref="O1457:P1457"/>
    <mergeCell ref="A1458:A1459"/>
    <mergeCell ref="B1458:B1459"/>
    <mergeCell ref="C1458:C1459"/>
    <mergeCell ref="D1458:D1459"/>
    <mergeCell ref="E1458:E1459"/>
    <mergeCell ref="F1458:F1459"/>
    <mergeCell ref="G1458:H1458"/>
    <mergeCell ref="I1459:I1460"/>
    <mergeCell ref="J1459:J1460"/>
    <mergeCell ref="E1468:E1469"/>
    <mergeCell ref="F1468:F1469"/>
    <mergeCell ref="I1467:I1468"/>
    <mergeCell ref="J1467:J1468"/>
    <mergeCell ref="K1467:K1468"/>
    <mergeCell ref="L1467:L1468"/>
    <mergeCell ref="M1467:M1468"/>
    <mergeCell ref="N1467:N1468"/>
    <mergeCell ref="A1464:A1467"/>
    <mergeCell ref="B1464:B1467"/>
    <mergeCell ref="C1464:C1467"/>
    <mergeCell ref="D1464:D1467"/>
    <mergeCell ref="E1464:E1467"/>
    <mergeCell ref="F1464:F1467"/>
    <mergeCell ref="I1463:I1464"/>
    <mergeCell ref="J1463:J1464"/>
    <mergeCell ref="K1463:K1464"/>
    <mergeCell ref="L1463:L1464"/>
    <mergeCell ref="M1463:M1464"/>
    <mergeCell ref="N1463:N1464"/>
    <mergeCell ref="A1462:A1463"/>
    <mergeCell ref="B1462:B1463"/>
    <mergeCell ref="C1462:C1463"/>
    <mergeCell ref="D1462:D1463"/>
    <mergeCell ref="E1462:E1463"/>
    <mergeCell ref="F1462:F1463"/>
    <mergeCell ref="I1461:I1462"/>
    <mergeCell ref="J1461:J1462"/>
    <mergeCell ref="K1461:K1462"/>
    <mergeCell ref="L1461:L1462"/>
    <mergeCell ref="M1461:M1462"/>
    <mergeCell ref="N1461:N1462"/>
    <mergeCell ref="I1479:L1479"/>
    <mergeCell ref="A1480:D1480"/>
    <mergeCell ref="I1494:P1494"/>
    <mergeCell ref="I1496:I1497"/>
    <mergeCell ref="J1496:J1497"/>
    <mergeCell ref="K1496:K1497"/>
    <mergeCell ref="L1496:L1497"/>
    <mergeCell ref="M1496:M1497"/>
    <mergeCell ref="N1496:N1497"/>
    <mergeCell ref="O1496:P1496"/>
    <mergeCell ref="I1471:M1471"/>
    <mergeCell ref="A1472:E1472"/>
    <mergeCell ref="I1472:M1472"/>
    <mergeCell ref="A1473:E1473"/>
    <mergeCell ref="I1473:M1473"/>
    <mergeCell ref="A1474:E1474"/>
    <mergeCell ref="A1470:A1471"/>
    <mergeCell ref="B1470:B1471"/>
    <mergeCell ref="C1470:C1471"/>
    <mergeCell ref="D1470:D1471"/>
    <mergeCell ref="E1470:E1471"/>
    <mergeCell ref="F1470:F1471"/>
    <mergeCell ref="I1469:I1470"/>
    <mergeCell ref="J1469:J1470"/>
    <mergeCell ref="K1469:K1470"/>
    <mergeCell ref="L1469:L1470"/>
    <mergeCell ref="M1469:M1470"/>
    <mergeCell ref="N1469:N1470"/>
    <mergeCell ref="A1468:A1469"/>
    <mergeCell ref="B1468:B1469"/>
    <mergeCell ref="C1468:C1469"/>
    <mergeCell ref="D1468:D1469"/>
    <mergeCell ref="I1502:I1503"/>
    <mergeCell ref="J1502:J1503"/>
    <mergeCell ref="K1502:K1503"/>
    <mergeCell ref="L1502:L1503"/>
    <mergeCell ref="M1502:M1503"/>
    <mergeCell ref="N1502:N1503"/>
    <mergeCell ref="I1500:I1501"/>
    <mergeCell ref="J1500:J1501"/>
    <mergeCell ref="K1500:K1501"/>
    <mergeCell ref="L1500:L1501"/>
    <mergeCell ref="M1500:M1501"/>
    <mergeCell ref="N1500:N1501"/>
    <mergeCell ref="I1498:I1499"/>
    <mergeCell ref="J1498:J1499"/>
    <mergeCell ref="K1498:K1499"/>
    <mergeCell ref="L1498:L1499"/>
    <mergeCell ref="M1498:M1499"/>
    <mergeCell ref="N1498:N1499"/>
    <mergeCell ref="I1510:M1510"/>
    <mergeCell ref="I1511:M1511"/>
    <mergeCell ref="I1512:M1512"/>
    <mergeCell ref="I1518:L1518"/>
    <mergeCell ref="I1533:P1533"/>
    <mergeCell ref="I1535:I1536"/>
    <mergeCell ref="J1535:J1536"/>
    <mergeCell ref="K1535:K1536"/>
    <mergeCell ref="L1535:L1536"/>
    <mergeCell ref="M1535:M1536"/>
    <mergeCell ref="I1508:I1509"/>
    <mergeCell ref="J1508:J1509"/>
    <mergeCell ref="K1508:K1509"/>
    <mergeCell ref="L1508:L1509"/>
    <mergeCell ref="M1508:M1509"/>
    <mergeCell ref="N1508:N1509"/>
    <mergeCell ref="I1504:I1505"/>
    <mergeCell ref="J1504:J1505"/>
    <mergeCell ref="K1504:K1505"/>
    <mergeCell ref="L1504:L1505"/>
    <mergeCell ref="M1504:M1505"/>
    <mergeCell ref="N1504:N1505"/>
    <mergeCell ref="I1506:I1507"/>
    <mergeCell ref="J1506:J1507"/>
    <mergeCell ref="K1506:K1507"/>
    <mergeCell ref="L1506:L1507"/>
    <mergeCell ref="M1506:M1507"/>
    <mergeCell ref="N1506:N1507"/>
    <mergeCell ref="N1523:P1523"/>
    <mergeCell ref="I1541:I1542"/>
    <mergeCell ref="J1541:J1542"/>
    <mergeCell ref="K1541:K1542"/>
    <mergeCell ref="L1541:L1542"/>
    <mergeCell ref="M1541:M1542"/>
    <mergeCell ref="N1541:N1542"/>
    <mergeCell ref="I1539:I1540"/>
    <mergeCell ref="J1539:J1540"/>
    <mergeCell ref="K1539:K1540"/>
    <mergeCell ref="L1539:L1540"/>
    <mergeCell ref="M1539:M1540"/>
    <mergeCell ref="N1539:N1540"/>
    <mergeCell ref="N1535:N1536"/>
    <mergeCell ref="O1535:P1535"/>
    <mergeCell ref="I1537:I1538"/>
    <mergeCell ref="J1537:J1538"/>
    <mergeCell ref="K1537:K1538"/>
    <mergeCell ref="L1537:L1538"/>
    <mergeCell ref="M1537:M1538"/>
    <mergeCell ref="N1537:N1538"/>
    <mergeCell ref="I1547:M1547"/>
    <mergeCell ref="I1548:M1548"/>
    <mergeCell ref="I1549:M1549"/>
    <mergeCell ref="I1555:L1555"/>
    <mergeCell ref="I1570:P1570"/>
    <mergeCell ref="I1572:I1573"/>
    <mergeCell ref="J1572:J1573"/>
    <mergeCell ref="K1572:K1573"/>
    <mergeCell ref="L1572:L1573"/>
    <mergeCell ref="M1572:M1573"/>
    <mergeCell ref="I1545:I1546"/>
    <mergeCell ref="J1545:J1546"/>
    <mergeCell ref="K1545:K1546"/>
    <mergeCell ref="L1545:L1546"/>
    <mergeCell ref="M1545:M1546"/>
    <mergeCell ref="N1545:N1546"/>
    <mergeCell ref="I1543:I1544"/>
    <mergeCell ref="J1543:J1544"/>
    <mergeCell ref="K1543:K1544"/>
    <mergeCell ref="L1543:L1544"/>
    <mergeCell ref="M1543:M1544"/>
    <mergeCell ref="N1543:N1544"/>
    <mergeCell ref="I1578:I1579"/>
    <mergeCell ref="J1578:J1579"/>
    <mergeCell ref="K1578:K1579"/>
    <mergeCell ref="L1578:L1579"/>
    <mergeCell ref="M1578:M1579"/>
    <mergeCell ref="N1578:N1579"/>
    <mergeCell ref="I1576:I1577"/>
    <mergeCell ref="J1576:J1577"/>
    <mergeCell ref="K1576:K1577"/>
    <mergeCell ref="L1576:L1577"/>
    <mergeCell ref="M1576:M1577"/>
    <mergeCell ref="N1576:N1577"/>
    <mergeCell ref="N1572:N1573"/>
    <mergeCell ref="O1572:P1572"/>
    <mergeCell ref="I1574:I1575"/>
    <mergeCell ref="J1574:J1575"/>
    <mergeCell ref="K1574:K1575"/>
    <mergeCell ref="L1574:L1575"/>
    <mergeCell ref="M1574:M1575"/>
    <mergeCell ref="N1574:N1575"/>
    <mergeCell ref="I1582:M1582"/>
    <mergeCell ref="I1583:M1583"/>
    <mergeCell ref="I1584:M1584"/>
    <mergeCell ref="I1590:L1590"/>
    <mergeCell ref="I1605:P1605"/>
    <mergeCell ref="I1607:I1608"/>
    <mergeCell ref="J1607:J1608"/>
    <mergeCell ref="K1607:K1608"/>
    <mergeCell ref="L1607:L1608"/>
    <mergeCell ref="M1607:M1608"/>
    <mergeCell ref="I1580:I1581"/>
    <mergeCell ref="J1580:J1581"/>
    <mergeCell ref="K1580:K1581"/>
    <mergeCell ref="L1580:L1581"/>
    <mergeCell ref="M1580:M1581"/>
    <mergeCell ref="N1580:N1581"/>
    <mergeCell ref="I1613:I1614"/>
    <mergeCell ref="J1613:J1614"/>
    <mergeCell ref="K1613:K1614"/>
    <mergeCell ref="L1613:L1614"/>
    <mergeCell ref="M1613:M1614"/>
    <mergeCell ref="N1613:N1614"/>
    <mergeCell ref="I1611:I1612"/>
    <mergeCell ref="J1611:J1612"/>
    <mergeCell ref="K1611:K1612"/>
    <mergeCell ref="L1611:L1612"/>
    <mergeCell ref="M1611:M1612"/>
    <mergeCell ref="N1611:N1612"/>
    <mergeCell ref="N1607:N1608"/>
    <mergeCell ref="O1607:P1607"/>
    <mergeCell ref="I1609:I1610"/>
    <mergeCell ref="J1609:J1610"/>
    <mergeCell ref="K1609:K1610"/>
    <mergeCell ref="L1609:L1610"/>
    <mergeCell ref="M1609:M1610"/>
    <mergeCell ref="N1609:N1610"/>
    <mergeCell ref="I1617:M1617"/>
    <mergeCell ref="I1618:M1618"/>
    <mergeCell ref="I1619:M1619"/>
    <mergeCell ref="I1625:L1625"/>
    <mergeCell ref="I1640:P1640"/>
    <mergeCell ref="I1642:I1643"/>
    <mergeCell ref="J1642:J1643"/>
    <mergeCell ref="K1642:K1643"/>
    <mergeCell ref="L1642:L1643"/>
    <mergeCell ref="M1642:M1643"/>
    <mergeCell ref="I1615:I1616"/>
    <mergeCell ref="J1615:J1616"/>
    <mergeCell ref="K1615:K1616"/>
    <mergeCell ref="L1615:L1616"/>
    <mergeCell ref="M1615:M1616"/>
    <mergeCell ref="N1615:N1616"/>
    <mergeCell ref="N1630:P1630"/>
    <mergeCell ref="N1625:P1625"/>
    <mergeCell ref="I1648:I1649"/>
    <mergeCell ref="J1648:J1649"/>
    <mergeCell ref="K1648:K1649"/>
    <mergeCell ref="L1648:L1649"/>
    <mergeCell ref="M1648:M1649"/>
    <mergeCell ref="N1648:N1649"/>
    <mergeCell ref="I1646:I1647"/>
    <mergeCell ref="J1646:J1647"/>
    <mergeCell ref="K1646:K1647"/>
    <mergeCell ref="L1646:L1647"/>
    <mergeCell ref="M1646:M1647"/>
    <mergeCell ref="N1646:N1647"/>
    <mergeCell ref="N1642:N1643"/>
    <mergeCell ref="O1642:P1642"/>
    <mergeCell ref="I1644:I1645"/>
    <mergeCell ref="J1644:J1645"/>
    <mergeCell ref="K1644:K1645"/>
    <mergeCell ref="L1644:L1645"/>
    <mergeCell ref="M1644:M1645"/>
    <mergeCell ref="N1644:N1645"/>
    <mergeCell ref="I1654:M1654"/>
    <mergeCell ref="I1655:M1655"/>
    <mergeCell ref="I1656:M1656"/>
    <mergeCell ref="I1662:L1662"/>
    <mergeCell ref="I1677:P1677"/>
    <mergeCell ref="I1679:I1680"/>
    <mergeCell ref="J1679:J1680"/>
    <mergeCell ref="K1679:K1680"/>
    <mergeCell ref="L1679:L1680"/>
    <mergeCell ref="M1679:M1680"/>
    <mergeCell ref="I1652:I1653"/>
    <mergeCell ref="J1652:J1653"/>
    <mergeCell ref="K1652:K1653"/>
    <mergeCell ref="L1652:L1653"/>
    <mergeCell ref="M1652:M1653"/>
    <mergeCell ref="N1652:N1653"/>
    <mergeCell ref="I1650:I1651"/>
    <mergeCell ref="J1650:J1651"/>
    <mergeCell ref="K1650:K1651"/>
    <mergeCell ref="L1650:L1651"/>
    <mergeCell ref="M1650:M1651"/>
    <mergeCell ref="N1650:N1651"/>
    <mergeCell ref="I1685:I1686"/>
    <mergeCell ref="J1685:J1686"/>
    <mergeCell ref="K1685:K1686"/>
    <mergeCell ref="L1685:L1686"/>
    <mergeCell ref="M1685:M1686"/>
    <mergeCell ref="N1685:N1686"/>
    <mergeCell ref="I1683:I1684"/>
    <mergeCell ref="J1683:J1684"/>
    <mergeCell ref="K1683:K1684"/>
    <mergeCell ref="L1683:L1684"/>
    <mergeCell ref="M1683:M1684"/>
    <mergeCell ref="N1683:N1684"/>
    <mergeCell ref="N1679:N1680"/>
    <mergeCell ref="O1679:P1679"/>
    <mergeCell ref="I1681:I1682"/>
    <mergeCell ref="J1681:J1682"/>
    <mergeCell ref="K1681:K1682"/>
    <mergeCell ref="L1681:L1682"/>
    <mergeCell ref="M1681:M1682"/>
    <mergeCell ref="N1681:N1682"/>
    <mergeCell ref="I1691:M1691"/>
    <mergeCell ref="I1692:M1692"/>
    <mergeCell ref="I1693:M1693"/>
    <mergeCell ref="I1699:L1699"/>
    <mergeCell ref="I1714:P1714"/>
    <mergeCell ref="I1716:I1717"/>
    <mergeCell ref="J1716:J1717"/>
    <mergeCell ref="K1716:K1717"/>
    <mergeCell ref="L1716:L1717"/>
    <mergeCell ref="M1716:M1717"/>
    <mergeCell ref="I1689:I1690"/>
    <mergeCell ref="J1689:J1690"/>
    <mergeCell ref="K1689:K1690"/>
    <mergeCell ref="L1689:L1690"/>
    <mergeCell ref="M1689:M1690"/>
    <mergeCell ref="N1689:N1690"/>
    <mergeCell ref="I1687:I1688"/>
    <mergeCell ref="J1687:J1688"/>
    <mergeCell ref="K1687:K1688"/>
    <mergeCell ref="L1687:L1688"/>
    <mergeCell ref="M1687:M1688"/>
    <mergeCell ref="N1687:N1688"/>
    <mergeCell ref="I1722:I1723"/>
    <mergeCell ref="J1722:J1723"/>
    <mergeCell ref="K1722:K1723"/>
    <mergeCell ref="L1722:L1723"/>
    <mergeCell ref="M1722:M1723"/>
    <mergeCell ref="N1722:N1723"/>
    <mergeCell ref="I1720:I1721"/>
    <mergeCell ref="J1720:J1721"/>
    <mergeCell ref="K1720:K1721"/>
    <mergeCell ref="L1720:L1721"/>
    <mergeCell ref="M1720:M1721"/>
    <mergeCell ref="N1720:N1721"/>
    <mergeCell ref="N1716:N1717"/>
    <mergeCell ref="O1716:P1716"/>
    <mergeCell ref="I1718:I1719"/>
    <mergeCell ref="J1718:J1719"/>
    <mergeCell ref="K1718:K1719"/>
    <mergeCell ref="L1718:L1719"/>
    <mergeCell ref="M1718:M1719"/>
    <mergeCell ref="N1718:N1719"/>
    <mergeCell ref="I1728:I1729"/>
    <mergeCell ref="J1728:J1729"/>
    <mergeCell ref="K1728:K1729"/>
    <mergeCell ref="L1728:L1729"/>
    <mergeCell ref="M1728:M1729"/>
    <mergeCell ref="N1728:N1729"/>
    <mergeCell ref="I1726:I1727"/>
    <mergeCell ref="J1726:J1727"/>
    <mergeCell ref="K1726:K1727"/>
    <mergeCell ref="L1726:L1727"/>
    <mergeCell ref="M1726:M1727"/>
    <mergeCell ref="N1726:N1727"/>
    <mergeCell ref="I1724:I1725"/>
    <mergeCell ref="J1724:J1725"/>
    <mergeCell ref="K1724:K1725"/>
    <mergeCell ref="L1724:L1725"/>
    <mergeCell ref="M1724:M1725"/>
    <mergeCell ref="N1724:N1725"/>
    <mergeCell ref="I1759:I1760"/>
    <mergeCell ref="J1759:J1760"/>
    <mergeCell ref="K1759:K1760"/>
    <mergeCell ref="L1759:L1760"/>
    <mergeCell ref="M1759:M1760"/>
    <mergeCell ref="N1759:N1760"/>
    <mergeCell ref="N1755:N1756"/>
    <mergeCell ref="O1755:P1755"/>
    <mergeCell ref="I1757:I1758"/>
    <mergeCell ref="J1757:J1758"/>
    <mergeCell ref="K1757:K1758"/>
    <mergeCell ref="L1757:L1758"/>
    <mergeCell ref="M1757:M1758"/>
    <mergeCell ref="N1757:N1758"/>
    <mergeCell ref="I1730:M1730"/>
    <mergeCell ref="I1731:M1731"/>
    <mergeCell ref="I1732:M1732"/>
    <mergeCell ref="I1738:L1738"/>
    <mergeCell ref="I1753:P1753"/>
    <mergeCell ref="I1755:I1756"/>
    <mergeCell ref="J1755:J1756"/>
    <mergeCell ref="K1755:K1756"/>
    <mergeCell ref="L1755:L1756"/>
    <mergeCell ref="M1755:M1756"/>
    <mergeCell ref="I1765:I1766"/>
    <mergeCell ref="J1765:J1766"/>
    <mergeCell ref="K1765:K1766"/>
    <mergeCell ref="L1765:L1766"/>
    <mergeCell ref="M1765:M1766"/>
    <mergeCell ref="N1765:N1766"/>
    <mergeCell ref="I1763:I1764"/>
    <mergeCell ref="J1763:J1764"/>
    <mergeCell ref="K1763:K1764"/>
    <mergeCell ref="L1763:L1764"/>
    <mergeCell ref="M1763:M1764"/>
    <mergeCell ref="N1763:N1764"/>
    <mergeCell ref="I1761:I1762"/>
    <mergeCell ref="J1761:J1762"/>
    <mergeCell ref="K1761:K1762"/>
    <mergeCell ref="L1761:L1762"/>
    <mergeCell ref="M1761:M1762"/>
    <mergeCell ref="N1761:N1762"/>
    <mergeCell ref="I1796:I1797"/>
    <mergeCell ref="J1796:J1797"/>
    <mergeCell ref="K1796:K1797"/>
    <mergeCell ref="L1796:L1797"/>
    <mergeCell ref="M1796:M1797"/>
    <mergeCell ref="N1796:N1797"/>
    <mergeCell ref="N1792:N1793"/>
    <mergeCell ref="O1792:P1792"/>
    <mergeCell ref="I1794:I1795"/>
    <mergeCell ref="J1794:J1795"/>
    <mergeCell ref="K1794:K1795"/>
    <mergeCell ref="L1794:L1795"/>
    <mergeCell ref="M1794:M1795"/>
    <mergeCell ref="N1794:N1795"/>
    <mergeCell ref="I1767:M1767"/>
    <mergeCell ref="I1768:M1768"/>
    <mergeCell ref="I1769:M1769"/>
    <mergeCell ref="I1775:L1775"/>
    <mergeCell ref="I1790:P1790"/>
    <mergeCell ref="I1792:I1793"/>
    <mergeCell ref="J1792:J1793"/>
    <mergeCell ref="K1792:K1793"/>
    <mergeCell ref="L1792:L1793"/>
    <mergeCell ref="M1792:M1793"/>
    <mergeCell ref="I1802:I1803"/>
    <mergeCell ref="J1802:J1803"/>
    <mergeCell ref="K1802:K1803"/>
    <mergeCell ref="L1802:L1803"/>
    <mergeCell ref="M1802:M1803"/>
    <mergeCell ref="N1802:N1803"/>
    <mergeCell ref="I1800:I1801"/>
    <mergeCell ref="J1800:J1801"/>
    <mergeCell ref="K1800:K1801"/>
    <mergeCell ref="L1800:L1801"/>
    <mergeCell ref="M1800:M1801"/>
    <mergeCell ref="N1800:N1801"/>
    <mergeCell ref="I1798:I1799"/>
    <mergeCell ref="J1798:J1799"/>
    <mergeCell ref="K1798:K1799"/>
    <mergeCell ref="L1798:L1799"/>
    <mergeCell ref="M1798:M1799"/>
    <mergeCell ref="N1798:N1799"/>
    <mergeCell ref="I1833:I1834"/>
    <mergeCell ref="J1833:J1834"/>
    <mergeCell ref="K1833:K1834"/>
    <mergeCell ref="L1833:L1834"/>
    <mergeCell ref="M1833:M1834"/>
    <mergeCell ref="N1833:N1834"/>
    <mergeCell ref="N1829:N1830"/>
    <mergeCell ref="O1829:P1829"/>
    <mergeCell ref="I1831:I1832"/>
    <mergeCell ref="J1831:J1832"/>
    <mergeCell ref="K1831:K1832"/>
    <mergeCell ref="L1831:L1832"/>
    <mergeCell ref="M1831:M1832"/>
    <mergeCell ref="N1831:N1832"/>
    <mergeCell ref="I1804:M1804"/>
    <mergeCell ref="I1805:M1805"/>
    <mergeCell ref="I1806:M1806"/>
    <mergeCell ref="I1812:L1812"/>
    <mergeCell ref="I1827:P1827"/>
    <mergeCell ref="I1829:I1830"/>
    <mergeCell ref="J1829:J1830"/>
    <mergeCell ref="K1829:K1830"/>
    <mergeCell ref="L1829:L1830"/>
    <mergeCell ref="M1829:M1830"/>
    <mergeCell ref="I1839:I1840"/>
    <mergeCell ref="J1839:J1840"/>
    <mergeCell ref="K1839:K1840"/>
    <mergeCell ref="L1839:L1840"/>
    <mergeCell ref="M1839:M1840"/>
    <mergeCell ref="N1839:N1840"/>
    <mergeCell ref="I1837:I1838"/>
    <mergeCell ref="J1837:J1838"/>
    <mergeCell ref="K1837:K1838"/>
    <mergeCell ref="L1837:L1838"/>
    <mergeCell ref="M1837:M1838"/>
    <mergeCell ref="N1837:N1838"/>
    <mergeCell ref="I1835:I1836"/>
    <mergeCell ref="J1835:J1836"/>
    <mergeCell ref="K1835:K1836"/>
    <mergeCell ref="L1835:L1836"/>
    <mergeCell ref="M1835:M1836"/>
    <mergeCell ref="N1835:N1836"/>
    <mergeCell ref="I1870:I1871"/>
    <mergeCell ref="J1870:J1871"/>
    <mergeCell ref="K1870:K1871"/>
    <mergeCell ref="L1870:L1871"/>
    <mergeCell ref="M1870:M1871"/>
    <mergeCell ref="N1870:N1871"/>
    <mergeCell ref="N1866:N1867"/>
    <mergeCell ref="O1866:P1866"/>
    <mergeCell ref="I1868:I1869"/>
    <mergeCell ref="J1868:J1869"/>
    <mergeCell ref="K1868:K1869"/>
    <mergeCell ref="L1868:L1869"/>
    <mergeCell ref="M1868:M1869"/>
    <mergeCell ref="N1868:N1869"/>
    <mergeCell ref="I1841:M1841"/>
    <mergeCell ref="I1842:M1842"/>
    <mergeCell ref="I1843:M1843"/>
    <mergeCell ref="I1849:L1849"/>
    <mergeCell ref="I1864:P1864"/>
    <mergeCell ref="I1866:I1867"/>
    <mergeCell ref="J1866:J1867"/>
    <mergeCell ref="K1866:K1867"/>
    <mergeCell ref="L1866:L1867"/>
    <mergeCell ref="M1866:M1867"/>
    <mergeCell ref="I1876:I1877"/>
    <mergeCell ref="J1876:J1877"/>
    <mergeCell ref="K1876:K1877"/>
    <mergeCell ref="L1876:L1877"/>
    <mergeCell ref="M1876:M1877"/>
    <mergeCell ref="N1876:N1877"/>
    <mergeCell ref="I1874:I1875"/>
    <mergeCell ref="J1874:J1875"/>
    <mergeCell ref="K1874:K1875"/>
    <mergeCell ref="L1874:L1875"/>
    <mergeCell ref="M1874:M1875"/>
    <mergeCell ref="N1874:N1875"/>
    <mergeCell ref="I1872:I1873"/>
    <mergeCell ref="J1872:J1873"/>
    <mergeCell ref="K1872:K1873"/>
    <mergeCell ref="L1872:L1873"/>
    <mergeCell ref="M1872:M1873"/>
    <mergeCell ref="N1872:N1873"/>
    <mergeCell ref="I1907:I1908"/>
    <mergeCell ref="J1907:J1908"/>
    <mergeCell ref="K1907:K1908"/>
    <mergeCell ref="L1907:L1908"/>
    <mergeCell ref="M1907:M1908"/>
    <mergeCell ref="N1907:N1908"/>
    <mergeCell ref="N1903:N1904"/>
    <mergeCell ref="O1903:P1903"/>
    <mergeCell ref="I1905:I1906"/>
    <mergeCell ref="J1905:J1906"/>
    <mergeCell ref="K1905:K1906"/>
    <mergeCell ref="L1905:L1906"/>
    <mergeCell ref="M1905:M1906"/>
    <mergeCell ref="N1905:N1906"/>
    <mergeCell ref="I1878:M1878"/>
    <mergeCell ref="I1879:M1879"/>
    <mergeCell ref="I1880:M1880"/>
    <mergeCell ref="I1886:L1886"/>
    <mergeCell ref="I1901:P1901"/>
    <mergeCell ref="I1903:I1904"/>
    <mergeCell ref="J1903:J1904"/>
    <mergeCell ref="K1903:K1904"/>
    <mergeCell ref="L1903:L1904"/>
    <mergeCell ref="M1903:M1904"/>
    <mergeCell ref="I1913:I1914"/>
    <mergeCell ref="J1913:J1914"/>
    <mergeCell ref="K1913:K1914"/>
    <mergeCell ref="L1913:L1914"/>
    <mergeCell ref="M1913:M1914"/>
    <mergeCell ref="N1913:N1914"/>
    <mergeCell ref="I1911:I1912"/>
    <mergeCell ref="J1911:J1912"/>
    <mergeCell ref="K1911:K1912"/>
    <mergeCell ref="L1911:L1912"/>
    <mergeCell ref="M1911:M1912"/>
    <mergeCell ref="N1911:N1912"/>
    <mergeCell ref="I1909:I1910"/>
    <mergeCell ref="J1909:J1910"/>
    <mergeCell ref="K1909:K1910"/>
    <mergeCell ref="L1909:L1910"/>
    <mergeCell ref="M1909:M1910"/>
    <mergeCell ref="N1909:N1910"/>
    <mergeCell ref="I1944:I1945"/>
    <mergeCell ref="J1944:J1945"/>
    <mergeCell ref="K1944:K1945"/>
    <mergeCell ref="L1944:L1945"/>
    <mergeCell ref="M1944:M1945"/>
    <mergeCell ref="N1944:N1945"/>
    <mergeCell ref="N1940:N1941"/>
    <mergeCell ref="O1940:P1940"/>
    <mergeCell ref="I1942:I1943"/>
    <mergeCell ref="J1942:J1943"/>
    <mergeCell ref="K1942:K1943"/>
    <mergeCell ref="L1942:L1943"/>
    <mergeCell ref="M1942:M1943"/>
    <mergeCell ref="N1942:N1943"/>
    <mergeCell ref="I1915:M1915"/>
    <mergeCell ref="I1916:M1916"/>
    <mergeCell ref="I1917:M1917"/>
    <mergeCell ref="I1923:L1923"/>
    <mergeCell ref="I1938:P1938"/>
    <mergeCell ref="I1940:I1941"/>
    <mergeCell ref="J1940:J1941"/>
    <mergeCell ref="K1940:K1941"/>
    <mergeCell ref="L1940:L1941"/>
    <mergeCell ref="M1940:M1941"/>
    <mergeCell ref="I1950:I1951"/>
    <mergeCell ref="J1950:J1951"/>
    <mergeCell ref="K1950:K1951"/>
    <mergeCell ref="L1950:L1951"/>
    <mergeCell ref="M1950:M1951"/>
    <mergeCell ref="N1950:N1951"/>
    <mergeCell ref="I1948:I1949"/>
    <mergeCell ref="J1948:J1949"/>
    <mergeCell ref="K1948:K1949"/>
    <mergeCell ref="L1948:L1949"/>
    <mergeCell ref="M1948:M1949"/>
    <mergeCell ref="N1948:N1949"/>
    <mergeCell ref="I1946:I1947"/>
    <mergeCell ref="J1946:J1947"/>
    <mergeCell ref="K1946:K1947"/>
    <mergeCell ref="L1946:L1947"/>
    <mergeCell ref="M1946:M1947"/>
    <mergeCell ref="N1946:N1947"/>
    <mergeCell ref="I1981:I1982"/>
    <mergeCell ref="J1981:J1982"/>
    <mergeCell ref="K1981:K1982"/>
    <mergeCell ref="L1981:L1982"/>
    <mergeCell ref="M1981:M1982"/>
    <mergeCell ref="N1981:N1982"/>
    <mergeCell ref="N1977:N1978"/>
    <mergeCell ref="O1977:P1977"/>
    <mergeCell ref="I1979:I1980"/>
    <mergeCell ref="J1979:J1980"/>
    <mergeCell ref="K1979:K1980"/>
    <mergeCell ref="L1979:L1980"/>
    <mergeCell ref="M1979:M1980"/>
    <mergeCell ref="N1979:N1980"/>
    <mergeCell ref="I1952:M1952"/>
    <mergeCell ref="I1953:M1953"/>
    <mergeCell ref="I1954:M1954"/>
    <mergeCell ref="I1960:L1960"/>
    <mergeCell ref="I1975:P1975"/>
    <mergeCell ref="I1977:I1978"/>
    <mergeCell ref="J1977:J1978"/>
    <mergeCell ref="K1977:K1978"/>
    <mergeCell ref="L1977:L1978"/>
    <mergeCell ref="M1977:M1978"/>
    <mergeCell ref="I1987:I1988"/>
    <mergeCell ref="J1987:J1988"/>
    <mergeCell ref="K1987:K1988"/>
    <mergeCell ref="L1987:L1988"/>
    <mergeCell ref="M1987:M1988"/>
    <mergeCell ref="N1987:N1988"/>
    <mergeCell ref="I1985:I1986"/>
    <mergeCell ref="J1985:J1986"/>
    <mergeCell ref="K1985:K1986"/>
    <mergeCell ref="L1985:L1986"/>
    <mergeCell ref="M1985:M1986"/>
    <mergeCell ref="N1985:N1986"/>
    <mergeCell ref="I1983:I1984"/>
    <mergeCell ref="J1983:J1984"/>
    <mergeCell ref="K1983:K1984"/>
    <mergeCell ref="L1983:L1984"/>
    <mergeCell ref="M1983:M1984"/>
    <mergeCell ref="N1983:N1984"/>
    <mergeCell ref="I2018:I2019"/>
    <mergeCell ref="J2018:J2019"/>
    <mergeCell ref="K2018:K2019"/>
    <mergeCell ref="L2018:L2019"/>
    <mergeCell ref="M2018:M2019"/>
    <mergeCell ref="N2018:N2019"/>
    <mergeCell ref="N2014:N2015"/>
    <mergeCell ref="O2014:P2014"/>
    <mergeCell ref="I2016:I2017"/>
    <mergeCell ref="J2016:J2017"/>
    <mergeCell ref="K2016:K2017"/>
    <mergeCell ref="L2016:L2017"/>
    <mergeCell ref="M2016:M2017"/>
    <mergeCell ref="N2016:N2017"/>
    <mergeCell ref="I1989:M1989"/>
    <mergeCell ref="I1990:M1990"/>
    <mergeCell ref="I1991:M1991"/>
    <mergeCell ref="I1997:L1997"/>
    <mergeCell ref="I2012:P2012"/>
    <mergeCell ref="I2014:I2015"/>
    <mergeCell ref="J2014:J2015"/>
    <mergeCell ref="K2014:K2015"/>
    <mergeCell ref="L2014:L2015"/>
    <mergeCell ref="M2014:M2015"/>
    <mergeCell ref="I2024:I2025"/>
    <mergeCell ref="J2024:J2025"/>
    <mergeCell ref="K2024:K2025"/>
    <mergeCell ref="L2024:L2025"/>
    <mergeCell ref="M2024:M2025"/>
    <mergeCell ref="N2024:N2025"/>
    <mergeCell ref="I2022:I2023"/>
    <mergeCell ref="J2022:J2023"/>
    <mergeCell ref="K2022:K2023"/>
    <mergeCell ref="L2022:L2023"/>
    <mergeCell ref="M2022:M2023"/>
    <mergeCell ref="N2022:N2023"/>
    <mergeCell ref="I2020:I2021"/>
    <mergeCell ref="J2020:J2021"/>
    <mergeCell ref="K2020:K2021"/>
    <mergeCell ref="L2020:L2021"/>
    <mergeCell ref="M2020:M2021"/>
    <mergeCell ref="N2020:N2021"/>
    <mergeCell ref="I2055:I2056"/>
    <mergeCell ref="J2055:J2056"/>
    <mergeCell ref="K2055:K2056"/>
    <mergeCell ref="L2055:L2056"/>
    <mergeCell ref="M2055:M2056"/>
    <mergeCell ref="N2055:N2056"/>
    <mergeCell ref="N2051:N2052"/>
    <mergeCell ref="O2051:P2051"/>
    <mergeCell ref="I2053:I2054"/>
    <mergeCell ref="J2053:J2054"/>
    <mergeCell ref="K2053:K2054"/>
    <mergeCell ref="L2053:L2054"/>
    <mergeCell ref="M2053:M2054"/>
    <mergeCell ref="N2053:N2054"/>
    <mergeCell ref="I2026:M2026"/>
    <mergeCell ref="I2027:M2027"/>
    <mergeCell ref="I2028:M2028"/>
    <mergeCell ref="I2034:L2034"/>
    <mergeCell ref="I2049:P2049"/>
    <mergeCell ref="I2051:I2052"/>
    <mergeCell ref="J2051:J2052"/>
    <mergeCell ref="K2051:K2052"/>
    <mergeCell ref="L2051:L2052"/>
    <mergeCell ref="M2051:M2052"/>
    <mergeCell ref="I2061:I2062"/>
    <mergeCell ref="J2061:J2062"/>
    <mergeCell ref="K2061:K2062"/>
    <mergeCell ref="L2061:L2062"/>
    <mergeCell ref="M2061:M2062"/>
    <mergeCell ref="N2061:N2062"/>
    <mergeCell ref="I2059:I2060"/>
    <mergeCell ref="J2059:J2060"/>
    <mergeCell ref="K2059:K2060"/>
    <mergeCell ref="L2059:L2060"/>
    <mergeCell ref="M2059:M2060"/>
    <mergeCell ref="N2059:N2060"/>
    <mergeCell ref="I2057:I2058"/>
    <mergeCell ref="J2057:J2058"/>
    <mergeCell ref="K2057:K2058"/>
    <mergeCell ref="L2057:L2058"/>
    <mergeCell ref="M2057:M2058"/>
    <mergeCell ref="N2057:N2058"/>
    <mergeCell ref="I2092:I2093"/>
    <mergeCell ref="J2092:J2093"/>
    <mergeCell ref="K2092:K2093"/>
    <mergeCell ref="L2092:L2093"/>
    <mergeCell ref="M2092:M2093"/>
    <mergeCell ref="N2092:N2093"/>
    <mergeCell ref="N2088:N2089"/>
    <mergeCell ref="O2088:P2088"/>
    <mergeCell ref="I2090:I2091"/>
    <mergeCell ref="J2090:J2091"/>
    <mergeCell ref="K2090:K2091"/>
    <mergeCell ref="L2090:L2091"/>
    <mergeCell ref="M2090:M2091"/>
    <mergeCell ref="N2090:N2091"/>
    <mergeCell ref="I2063:M2063"/>
    <mergeCell ref="I2064:M2064"/>
    <mergeCell ref="I2065:M2065"/>
    <mergeCell ref="I2071:L2071"/>
    <mergeCell ref="I2086:P2086"/>
    <mergeCell ref="I2088:I2089"/>
    <mergeCell ref="J2088:J2089"/>
    <mergeCell ref="K2088:K2089"/>
    <mergeCell ref="L2088:L2089"/>
    <mergeCell ref="M2088:M2089"/>
    <mergeCell ref="I2098:I2099"/>
    <mergeCell ref="J2098:J2099"/>
    <mergeCell ref="K2098:K2099"/>
    <mergeCell ref="L2098:L2099"/>
    <mergeCell ref="M2098:M2099"/>
    <mergeCell ref="N2098:N2099"/>
    <mergeCell ref="I2096:I2097"/>
    <mergeCell ref="J2096:J2097"/>
    <mergeCell ref="K2096:K2097"/>
    <mergeCell ref="L2096:L2097"/>
    <mergeCell ref="M2096:M2097"/>
    <mergeCell ref="N2096:N2097"/>
    <mergeCell ref="I2094:I2095"/>
    <mergeCell ref="J2094:J2095"/>
    <mergeCell ref="K2094:K2095"/>
    <mergeCell ref="L2094:L2095"/>
    <mergeCell ref="M2094:M2095"/>
    <mergeCell ref="N2094:N2095"/>
    <mergeCell ref="I2129:I2130"/>
    <mergeCell ref="J2129:J2130"/>
    <mergeCell ref="K2129:K2130"/>
    <mergeCell ref="L2129:L2130"/>
    <mergeCell ref="M2129:M2130"/>
    <mergeCell ref="N2129:N2130"/>
    <mergeCell ref="N2125:N2126"/>
    <mergeCell ref="O2125:P2125"/>
    <mergeCell ref="I2127:I2128"/>
    <mergeCell ref="J2127:J2128"/>
    <mergeCell ref="K2127:K2128"/>
    <mergeCell ref="L2127:L2128"/>
    <mergeCell ref="M2127:M2128"/>
    <mergeCell ref="N2127:N2128"/>
    <mergeCell ref="I2100:M2100"/>
    <mergeCell ref="I2101:M2101"/>
    <mergeCell ref="I2102:M2102"/>
    <mergeCell ref="I2108:L2108"/>
    <mergeCell ref="I2123:P2123"/>
    <mergeCell ref="I2125:I2126"/>
    <mergeCell ref="J2125:J2126"/>
    <mergeCell ref="K2125:K2126"/>
    <mergeCell ref="L2125:L2126"/>
    <mergeCell ref="M2125:M2126"/>
    <mergeCell ref="I2135:I2136"/>
    <mergeCell ref="J2135:J2136"/>
    <mergeCell ref="K2135:K2136"/>
    <mergeCell ref="L2135:L2136"/>
    <mergeCell ref="M2135:M2136"/>
    <mergeCell ref="N2135:N2136"/>
    <mergeCell ref="I2133:I2134"/>
    <mergeCell ref="J2133:J2134"/>
    <mergeCell ref="K2133:K2134"/>
    <mergeCell ref="L2133:L2134"/>
    <mergeCell ref="M2133:M2134"/>
    <mergeCell ref="N2133:N2134"/>
    <mergeCell ref="I2131:I2132"/>
    <mergeCell ref="J2131:J2132"/>
    <mergeCell ref="K2131:K2132"/>
    <mergeCell ref="L2131:L2132"/>
    <mergeCell ref="M2131:M2132"/>
    <mergeCell ref="N2131:N2132"/>
    <mergeCell ref="N2162:N2163"/>
    <mergeCell ref="O2162:P2162"/>
    <mergeCell ref="I2164:I2165"/>
    <mergeCell ref="J2164:J2165"/>
    <mergeCell ref="K2164:K2165"/>
    <mergeCell ref="L2164:L2165"/>
    <mergeCell ref="M2164:M2165"/>
    <mergeCell ref="N2164:N2165"/>
    <mergeCell ref="I2137:M2137"/>
    <mergeCell ref="I2138:M2138"/>
    <mergeCell ref="I2139:M2139"/>
    <mergeCell ref="I2145:L2145"/>
    <mergeCell ref="I2160:P2160"/>
    <mergeCell ref="I2162:I2163"/>
    <mergeCell ref="J2162:J2163"/>
    <mergeCell ref="K2162:K2163"/>
    <mergeCell ref="L2162:L2163"/>
    <mergeCell ref="M2162:M2163"/>
    <mergeCell ref="I2170:I2171"/>
    <mergeCell ref="J2170:J2171"/>
    <mergeCell ref="K2170:K2171"/>
    <mergeCell ref="L2170:L2171"/>
    <mergeCell ref="M2170:M2171"/>
    <mergeCell ref="N2170:N2171"/>
    <mergeCell ref="I2168:I2169"/>
    <mergeCell ref="J2168:J2169"/>
    <mergeCell ref="K2168:K2169"/>
    <mergeCell ref="L2168:L2169"/>
    <mergeCell ref="M2168:M2169"/>
    <mergeCell ref="N2168:N2169"/>
    <mergeCell ref="I2166:I2167"/>
    <mergeCell ref="J2166:J2167"/>
    <mergeCell ref="K2166:K2167"/>
    <mergeCell ref="L2166:L2167"/>
    <mergeCell ref="M2166:M2167"/>
    <mergeCell ref="N2166:N2167"/>
    <mergeCell ref="I2176:M2176"/>
    <mergeCell ref="I2177:M2177"/>
    <mergeCell ref="I2178:M2178"/>
    <mergeCell ref="I2184:L2184"/>
    <mergeCell ref="I2199:P2199"/>
    <mergeCell ref="I2201:I2202"/>
    <mergeCell ref="J2201:J2202"/>
    <mergeCell ref="K2201:K2202"/>
    <mergeCell ref="L2201:L2202"/>
    <mergeCell ref="M2201:M2202"/>
    <mergeCell ref="I2174:I2175"/>
    <mergeCell ref="J2174:J2175"/>
    <mergeCell ref="K2174:K2175"/>
    <mergeCell ref="L2174:L2175"/>
    <mergeCell ref="M2174:M2175"/>
    <mergeCell ref="N2174:N2175"/>
    <mergeCell ref="I2172:I2173"/>
    <mergeCell ref="J2172:J2173"/>
    <mergeCell ref="K2172:K2173"/>
    <mergeCell ref="L2172:L2173"/>
    <mergeCell ref="M2172:M2173"/>
    <mergeCell ref="N2172:N2173"/>
    <mergeCell ref="I2207:I2208"/>
    <mergeCell ref="J2207:J2208"/>
    <mergeCell ref="K2207:K2208"/>
    <mergeCell ref="L2207:L2208"/>
    <mergeCell ref="M2207:M2208"/>
    <mergeCell ref="N2207:N2208"/>
    <mergeCell ref="I2205:I2206"/>
    <mergeCell ref="J2205:J2206"/>
    <mergeCell ref="K2205:K2206"/>
    <mergeCell ref="L2205:L2206"/>
    <mergeCell ref="M2205:M2206"/>
    <mergeCell ref="N2205:N2206"/>
    <mergeCell ref="N2201:N2202"/>
    <mergeCell ref="O2201:P2201"/>
    <mergeCell ref="I2203:I2204"/>
    <mergeCell ref="J2203:J2204"/>
    <mergeCell ref="K2203:K2204"/>
    <mergeCell ref="L2203:L2204"/>
    <mergeCell ref="M2203:M2204"/>
    <mergeCell ref="N2203:N2204"/>
    <mergeCell ref="I2213:M2213"/>
    <mergeCell ref="I2214:M2214"/>
    <mergeCell ref="I2215:M2215"/>
    <mergeCell ref="I2221:L2221"/>
    <mergeCell ref="I2236:P2236"/>
    <mergeCell ref="I2238:I2239"/>
    <mergeCell ref="J2238:J2239"/>
    <mergeCell ref="K2238:K2239"/>
    <mergeCell ref="L2238:L2239"/>
    <mergeCell ref="M2238:M2239"/>
    <mergeCell ref="I2211:I2212"/>
    <mergeCell ref="J2211:J2212"/>
    <mergeCell ref="K2211:K2212"/>
    <mergeCell ref="L2211:L2212"/>
    <mergeCell ref="M2211:M2212"/>
    <mergeCell ref="N2211:N2212"/>
    <mergeCell ref="I2209:I2210"/>
    <mergeCell ref="J2209:J2210"/>
    <mergeCell ref="K2209:K2210"/>
    <mergeCell ref="L2209:L2210"/>
    <mergeCell ref="M2209:M2210"/>
    <mergeCell ref="N2209:N2210"/>
    <mergeCell ref="I2244:I2245"/>
    <mergeCell ref="J2244:J2245"/>
    <mergeCell ref="K2244:K2245"/>
    <mergeCell ref="L2244:L2245"/>
    <mergeCell ref="M2244:M2245"/>
    <mergeCell ref="N2244:N2245"/>
    <mergeCell ref="I2242:I2243"/>
    <mergeCell ref="J2242:J2243"/>
    <mergeCell ref="K2242:K2243"/>
    <mergeCell ref="L2242:L2243"/>
    <mergeCell ref="M2242:M2243"/>
    <mergeCell ref="N2242:N2243"/>
    <mergeCell ref="N2238:N2239"/>
    <mergeCell ref="O2238:P2238"/>
    <mergeCell ref="I2240:I2241"/>
    <mergeCell ref="J2240:J2241"/>
    <mergeCell ref="K2240:K2241"/>
    <mergeCell ref="L2240:L2241"/>
    <mergeCell ref="M2240:M2241"/>
    <mergeCell ref="N2240:N2241"/>
    <mergeCell ref="I2250:M2250"/>
    <mergeCell ref="I2251:M2251"/>
    <mergeCell ref="I2252:M2252"/>
    <mergeCell ref="I2258:L2258"/>
    <mergeCell ref="I2273:P2273"/>
    <mergeCell ref="I2275:I2276"/>
    <mergeCell ref="J2275:J2276"/>
    <mergeCell ref="K2275:K2276"/>
    <mergeCell ref="L2275:L2276"/>
    <mergeCell ref="M2275:M2276"/>
    <mergeCell ref="I2248:I2249"/>
    <mergeCell ref="J2248:J2249"/>
    <mergeCell ref="K2248:K2249"/>
    <mergeCell ref="L2248:L2249"/>
    <mergeCell ref="M2248:M2249"/>
    <mergeCell ref="N2248:N2249"/>
    <mergeCell ref="I2246:I2247"/>
    <mergeCell ref="J2246:J2247"/>
    <mergeCell ref="K2246:K2247"/>
    <mergeCell ref="L2246:L2247"/>
    <mergeCell ref="M2246:M2247"/>
    <mergeCell ref="N2246:N2247"/>
    <mergeCell ref="I2281:I2282"/>
    <mergeCell ref="J2281:J2282"/>
    <mergeCell ref="K2281:K2282"/>
    <mergeCell ref="L2281:L2282"/>
    <mergeCell ref="M2281:M2282"/>
    <mergeCell ref="N2281:N2282"/>
    <mergeCell ref="I2279:I2280"/>
    <mergeCell ref="J2279:J2280"/>
    <mergeCell ref="K2279:K2280"/>
    <mergeCell ref="L2279:L2280"/>
    <mergeCell ref="M2279:M2280"/>
    <mergeCell ref="N2279:N2280"/>
    <mergeCell ref="N2275:N2276"/>
    <mergeCell ref="O2275:P2275"/>
    <mergeCell ref="I2277:I2278"/>
    <mergeCell ref="J2277:J2278"/>
    <mergeCell ref="K2277:K2278"/>
    <mergeCell ref="L2277:L2278"/>
    <mergeCell ref="M2277:M2278"/>
    <mergeCell ref="N2277:N2278"/>
    <mergeCell ref="I2287:M2287"/>
    <mergeCell ref="I2288:M2288"/>
    <mergeCell ref="I2289:M2289"/>
    <mergeCell ref="I2295:L2295"/>
    <mergeCell ref="I2310:P2310"/>
    <mergeCell ref="I2312:I2313"/>
    <mergeCell ref="J2312:J2313"/>
    <mergeCell ref="K2312:K2313"/>
    <mergeCell ref="L2312:L2313"/>
    <mergeCell ref="M2312:M2313"/>
    <mergeCell ref="I2285:I2286"/>
    <mergeCell ref="J2285:J2286"/>
    <mergeCell ref="K2285:K2286"/>
    <mergeCell ref="L2285:L2286"/>
    <mergeCell ref="M2285:M2286"/>
    <mergeCell ref="N2285:N2286"/>
    <mergeCell ref="I2283:I2284"/>
    <mergeCell ref="J2283:J2284"/>
    <mergeCell ref="K2283:K2284"/>
    <mergeCell ref="L2283:L2284"/>
    <mergeCell ref="M2283:M2284"/>
    <mergeCell ref="N2283:N2284"/>
    <mergeCell ref="I2318:I2319"/>
    <mergeCell ref="J2318:J2319"/>
    <mergeCell ref="K2318:K2319"/>
    <mergeCell ref="L2318:L2319"/>
    <mergeCell ref="M2318:M2319"/>
    <mergeCell ref="N2318:N2319"/>
    <mergeCell ref="I2316:I2317"/>
    <mergeCell ref="J2316:J2317"/>
    <mergeCell ref="K2316:K2317"/>
    <mergeCell ref="L2316:L2317"/>
    <mergeCell ref="M2316:M2317"/>
    <mergeCell ref="N2316:N2317"/>
    <mergeCell ref="N2312:N2313"/>
    <mergeCell ref="O2312:P2312"/>
    <mergeCell ref="I2314:I2315"/>
    <mergeCell ref="J2314:J2315"/>
    <mergeCell ref="K2314:K2315"/>
    <mergeCell ref="L2314:L2315"/>
    <mergeCell ref="M2314:M2315"/>
    <mergeCell ref="N2314:N2315"/>
    <mergeCell ref="I2324:M2324"/>
    <mergeCell ref="I2325:M2325"/>
    <mergeCell ref="I2326:M2326"/>
    <mergeCell ref="I2332:L2332"/>
    <mergeCell ref="I2347:P2347"/>
    <mergeCell ref="I2349:I2350"/>
    <mergeCell ref="J2349:J2350"/>
    <mergeCell ref="K2349:K2350"/>
    <mergeCell ref="L2349:L2350"/>
    <mergeCell ref="M2349:M2350"/>
    <mergeCell ref="I2322:I2323"/>
    <mergeCell ref="J2322:J2323"/>
    <mergeCell ref="K2322:K2323"/>
    <mergeCell ref="L2322:L2323"/>
    <mergeCell ref="M2322:M2323"/>
    <mergeCell ref="N2322:N2323"/>
    <mergeCell ref="I2320:I2321"/>
    <mergeCell ref="J2320:J2321"/>
    <mergeCell ref="K2320:K2321"/>
    <mergeCell ref="L2320:L2321"/>
    <mergeCell ref="M2320:M2321"/>
    <mergeCell ref="N2320:N2321"/>
    <mergeCell ref="I2355:I2356"/>
    <mergeCell ref="J2355:J2356"/>
    <mergeCell ref="K2355:K2356"/>
    <mergeCell ref="L2355:L2356"/>
    <mergeCell ref="M2355:M2356"/>
    <mergeCell ref="N2355:N2356"/>
    <mergeCell ref="I2353:I2354"/>
    <mergeCell ref="J2353:J2354"/>
    <mergeCell ref="K2353:K2354"/>
    <mergeCell ref="L2353:L2354"/>
    <mergeCell ref="M2353:M2354"/>
    <mergeCell ref="N2353:N2354"/>
    <mergeCell ref="N2349:N2350"/>
    <mergeCell ref="O2349:P2349"/>
    <mergeCell ref="I2351:I2352"/>
    <mergeCell ref="J2351:J2352"/>
    <mergeCell ref="K2351:K2352"/>
    <mergeCell ref="L2351:L2352"/>
    <mergeCell ref="M2351:M2352"/>
    <mergeCell ref="N2351:N2352"/>
    <mergeCell ref="I2361:M2361"/>
    <mergeCell ref="I2362:M2362"/>
    <mergeCell ref="I2363:M2363"/>
    <mergeCell ref="I2369:L2369"/>
    <mergeCell ref="I2384:P2384"/>
    <mergeCell ref="I2386:I2387"/>
    <mergeCell ref="J2386:J2387"/>
    <mergeCell ref="K2386:K2387"/>
    <mergeCell ref="L2386:L2387"/>
    <mergeCell ref="M2386:M2387"/>
    <mergeCell ref="I2359:I2360"/>
    <mergeCell ref="J2359:J2360"/>
    <mergeCell ref="K2359:K2360"/>
    <mergeCell ref="L2359:L2360"/>
    <mergeCell ref="M2359:M2360"/>
    <mergeCell ref="N2359:N2360"/>
    <mergeCell ref="I2357:I2358"/>
    <mergeCell ref="J2357:J2358"/>
    <mergeCell ref="K2357:K2358"/>
    <mergeCell ref="L2357:L2358"/>
    <mergeCell ref="M2357:M2358"/>
    <mergeCell ref="N2357:N2358"/>
    <mergeCell ref="I2392:I2393"/>
    <mergeCell ref="J2392:J2393"/>
    <mergeCell ref="K2392:K2393"/>
    <mergeCell ref="L2392:L2393"/>
    <mergeCell ref="M2392:M2393"/>
    <mergeCell ref="N2392:N2393"/>
    <mergeCell ref="I2390:I2391"/>
    <mergeCell ref="J2390:J2391"/>
    <mergeCell ref="K2390:K2391"/>
    <mergeCell ref="L2390:L2391"/>
    <mergeCell ref="M2390:M2391"/>
    <mergeCell ref="N2390:N2391"/>
    <mergeCell ref="N2386:N2387"/>
    <mergeCell ref="O2386:P2386"/>
    <mergeCell ref="I2388:I2389"/>
    <mergeCell ref="J2388:J2389"/>
    <mergeCell ref="K2388:K2389"/>
    <mergeCell ref="L2388:L2389"/>
    <mergeCell ref="M2388:M2389"/>
    <mergeCell ref="N2388:N2389"/>
    <mergeCell ref="I2398:M2398"/>
    <mergeCell ref="I2399:M2399"/>
    <mergeCell ref="I2400:M2400"/>
    <mergeCell ref="I2406:L2406"/>
    <mergeCell ref="I2421:P2421"/>
    <mergeCell ref="I2423:I2424"/>
    <mergeCell ref="J2423:J2424"/>
    <mergeCell ref="K2423:K2424"/>
    <mergeCell ref="L2423:L2424"/>
    <mergeCell ref="M2423:M2424"/>
    <mergeCell ref="I2396:I2397"/>
    <mergeCell ref="J2396:J2397"/>
    <mergeCell ref="K2396:K2397"/>
    <mergeCell ref="L2396:L2397"/>
    <mergeCell ref="M2396:M2397"/>
    <mergeCell ref="N2396:N2397"/>
    <mergeCell ref="I2394:I2395"/>
    <mergeCell ref="J2394:J2395"/>
    <mergeCell ref="K2394:K2395"/>
    <mergeCell ref="L2394:L2395"/>
    <mergeCell ref="M2394:M2395"/>
    <mergeCell ref="N2394:N2395"/>
    <mergeCell ref="I2429:I2430"/>
    <mergeCell ref="J2429:J2430"/>
    <mergeCell ref="K2429:K2430"/>
    <mergeCell ref="L2429:L2430"/>
    <mergeCell ref="M2429:M2430"/>
    <mergeCell ref="N2429:N2430"/>
    <mergeCell ref="I2427:I2428"/>
    <mergeCell ref="J2427:J2428"/>
    <mergeCell ref="K2427:K2428"/>
    <mergeCell ref="L2427:L2428"/>
    <mergeCell ref="M2427:M2428"/>
    <mergeCell ref="N2427:N2428"/>
    <mergeCell ref="N2423:N2424"/>
    <mergeCell ref="O2423:P2423"/>
    <mergeCell ref="I2425:I2426"/>
    <mergeCell ref="J2425:J2426"/>
    <mergeCell ref="K2425:K2426"/>
    <mergeCell ref="L2425:L2426"/>
    <mergeCell ref="M2425:M2426"/>
    <mergeCell ref="N2425:N2426"/>
    <mergeCell ref="I2435:M2435"/>
    <mergeCell ref="I2436:M2436"/>
    <mergeCell ref="I2437:M2437"/>
    <mergeCell ref="I2443:L2443"/>
    <mergeCell ref="I2458:P2458"/>
    <mergeCell ref="I2460:I2461"/>
    <mergeCell ref="J2460:J2461"/>
    <mergeCell ref="K2460:K2461"/>
    <mergeCell ref="L2460:L2461"/>
    <mergeCell ref="M2460:M2461"/>
    <mergeCell ref="I2433:I2434"/>
    <mergeCell ref="J2433:J2434"/>
    <mergeCell ref="K2433:K2434"/>
    <mergeCell ref="L2433:L2434"/>
    <mergeCell ref="M2433:M2434"/>
    <mergeCell ref="N2433:N2434"/>
    <mergeCell ref="I2431:I2432"/>
    <mergeCell ref="J2431:J2432"/>
    <mergeCell ref="K2431:K2432"/>
    <mergeCell ref="L2431:L2432"/>
    <mergeCell ref="M2431:M2432"/>
    <mergeCell ref="N2431:N2432"/>
    <mergeCell ref="I2466:I2467"/>
    <mergeCell ref="J2466:J2467"/>
    <mergeCell ref="K2466:K2467"/>
    <mergeCell ref="L2466:L2467"/>
    <mergeCell ref="M2466:M2467"/>
    <mergeCell ref="N2466:N2467"/>
    <mergeCell ref="I2464:I2465"/>
    <mergeCell ref="J2464:J2465"/>
    <mergeCell ref="K2464:K2465"/>
    <mergeCell ref="L2464:L2465"/>
    <mergeCell ref="M2464:M2465"/>
    <mergeCell ref="N2464:N2465"/>
    <mergeCell ref="N2460:N2461"/>
    <mergeCell ref="O2460:P2460"/>
    <mergeCell ref="I2462:I2463"/>
    <mergeCell ref="J2462:J2463"/>
    <mergeCell ref="K2462:K2463"/>
    <mergeCell ref="L2462:L2463"/>
    <mergeCell ref="M2462:M2463"/>
    <mergeCell ref="N2462:N2463"/>
    <mergeCell ref="I2472:I2473"/>
    <mergeCell ref="J2472:J2473"/>
    <mergeCell ref="K2472:K2473"/>
    <mergeCell ref="L2472:L2473"/>
    <mergeCell ref="M2472:M2473"/>
    <mergeCell ref="N2472:N2473"/>
    <mergeCell ref="I2470:I2471"/>
    <mergeCell ref="J2470:J2471"/>
    <mergeCell ref="K2470:K2471"/>
    <mergeCell ref="L2470:L2471"/>
    <mergeCell ref="M2470:M2471"/>
    <mergeCell ref="N2470:N2471"/>
    <mergeCell ref="I2468:I2469"/>
    <mergeCell ref="J2468:J2469"/>
    <mergeCell ref="K2468:K2469"/>
    <mergeCell ref="L2468:L2469"/>
    <mergeCell ref="M2468:M2469"/>
    <mergeCell ref="N2468:N2469"/>
    <mergeCell ref="I2503:I2504"/>
    <mergeCell ref="J2503:J2504"/>
    <mergeCell ref="K2503:K2504"/>
    <mergeCell ref="L2503:L2504"/>
    <mergeCell ref="M2503:M2504"/>
    <mergeCell ref="N2503:N2504"/>
    <mergeCell ref="N2499:N2500"/>
    <mergeCell ref="O2499:P2499"/>
    <mergeCell ref="I2501:I2502"/>
    <mergeCell ref="J2501:J2502"/>
    <mergeCell ref="K2501:K2502"/>
    <mergeCell ref="L2501:L2502"/>
    <mergeCell ref="M2501:M2502"/>
    <mergeCell ref="N2501:N2502"/>
    <mergeCell ref="I2474:M2474"/>
    <mergeCell ref="I2475:M2475"/>
    <mergeCell ref="I2476:M2476"/>
    <mergeCell ref="I2482:L2482"/>
    <mergeCell ref="I2497:P2497"/>
    <mergeCell ref="I2499:I2500"/>
    <mergeCell ref="J2499:J2500"/>
    <mergeCell ref="K2499:K2500"/>
    <mergeCell ref="L2499:L2500"/>
    <mergeCell ref="M2499:M2500"/>
    <mergeCell ref="I2509:I2510"/>
    <mergeCell ref="J2509:J2510"/>
    <mergeCell ref="K2509:K2510"/>
    <mergeCell ref="L2509:L2510"/>
    <mergeCell ref="M2509:M2510"/>
    <mergeCell ref="N2509:N2510"/>
    <mergeCell ref="I2507:I2508"/>
    <mergeCell ref="J2507:J2508"/>
    <mergeCell ref="K2507:K2508"/>
    <mergeCell ref="L2507:L2508"/>
    <mergeCell ref="M2507:M2508"/>
    <mergeCell ref="N2507:N2508"/>
    <mergeCell ref="I2505:I2506"/>
    <mergeCell ref="J2505:J2506"/>
    <mergeCell ref="K2505:K2506"/>
    <mergeCell ref="L2505:L2506"/>
    <mergeCell ref="M2505:M2506"/>
    <mergeCell ref="N2505:N2506"/>
    <mergeCell ref="I2540:I2541"/>
    <mergeCell ref="J2540:J2541"/>
    <mergeCell ref="K2540:K2541"/>
    <mergeCell ref="L2540:L2541"/>
    <mergeCell ref="M2540:M2541"/>
    <mergeCell ref="N2540:N2541"/>
    <mergeCell ref="N2536:N2537"/>
    <mergeCell ref="O2536:P2536"/>
    <mergeCell ref="I2538:I2539"/>
    <mergeCell ref="J2538:J2539"/>
    <mergeCell ref="K2538:K2539"/>
    <mergeCell ref="L2538:L2539"/>
    <mergeCell ref="M2538:M2539"/>
    <mergeCell ref="N2538:N2539"/>
    <mergeCell ref="I2511:M2511"/>
    <mergeCell ref="I2512:M2512"/>
    <mergeCell ref="I2513:M2513"/>
    <mergeCell ref="I2519:L2519"/>
    <mergeCell ref="I2534:P2534"/>
    <mergeCell ref="I2536:I2537"/>
    <mergeCell ref="J2536:J2537"/>
    <mergeCell ref="K2536:K2537"/>
    <mergeCell ref="L2536:L2537"/>
    <mergeCell ref="M2536:M2537"/>
    <mergeCell ref="I2546:I2547"/>
    <mergeCell ref="J2546:J2547"/>
    <mergeCell ref="K2546:K2547"/>
    <mergeCell ref="L2546:L2547"/>
    <mergeCell ref="M2546:M2547"/>
    <mergeCell ref="N2546:N2547"/>
    <mergeCell ref="I2544:I2545"/>
    <mergeCell ref="J2544:J2545"/>
    <mergeCell ref="K2544:K2545"/>
    <mergeCell ref="L2544:L2545"/>
    <mergeCell ref="M2544:M2545"/>
    <mergeCell ref="N2544:N2545"/>
    <mergeCell ref="I2542:I2543"/>
    <mergeCell ref="J2542:J2543"/>
    <mergeCell ref="K2542:K2543"/>
    <mergeCell ref="L2542:L2543"/>
    <mergeCell ref="M2542:M2543"/>
    <mergeCell ref="N2542:N2543"/>
    <mergeCell ref="I2577:I2578"/>
    <mergeCell ref="J2577:J2578"/>
    <mergeCell ref="K2577:K2578"/>
    <mergeCell ref="L2577:L2578"/>
    <mergeCell ref="M2577:M2578"/>
    <mergeCell ref="N2577:N2578"/>
    <mergeCell ref="N2573:N2574"/>
    <mergeCell ref="O2573:P2573"/>
    <mergeCell ref="I2575:I2576"/>
    <mergeCell ref="J2575:J2576"/>
    <mergeCell ref="K2575:K2576"/>
    <mergeCell ref="L2575:L2576"/>
    <mergeCell ref="M2575:M2576"/>
    <mergeCell ref="N2575:N2576"/>
    <mergeCell ref="I2548:M2548"/>
    <mergeCell ref="I2549:M2549"/>
    <mergeCell ref="I2550:M2550"/>
    <mergeCell ref="I2556:L2556"/>
    <mergeCell ref="I2571:P2571"/>
    <mergeCell ref="I2573:I2574"/>
    <mergeCell ref="J2573:J2574"/>
    <mergeCell ref="K2573:K2574"/>
    <mergeCell ref="L2573:L2574"/>
    <mergeCell ref="M2573:M2574"/>
    <mergeCell ref="I2583:I2584"/>
    <mergeCell ref="J2583:J2584"/>
    <mergeCell ref="K2583:K2584"/>
    <mergeCell ref="L2583:L2584"/>
    <mergeCell ref="M2583:M2584"/>
    <mergeCell ref="N2583:N2584"/>
    <mergeCell ref="I2581:I2582"/>
    <mergeCell ref="J2581:J2582"/>
    <mergeCell ref="K2581:K2582"/>
    <mergeCell ref="L2581:L2582"/>
    <mergeCell ref="M2581:M2582"/>
    <mergeCell ref="N2581:N2582"/>
    <mergeCell ref="I2579:I2580"/>
    <mergeCell ref="J2579:J2580"/>
    <mergeCell ref="K2579:K2580"/>
    <mergeCell ref="L2579:L2580"/>
    <mergeCell ref="M2579:M2580"/>
    <mergeCell ref="N2579:N2580"/>
    <mergeCell ref="I2612:I2613"/>
    <mergeCell ref="J2612:J2613"/>
    <mergeCell ref="K2612:K2613"/>
    <mergeCell ref="L2612:L2613"/>
    <mergeCell ref="M2612:M2613"/>
    <mergeCell ref="N2612:N2613"/>
    <mergeCell ref="I2608:P2608"/>
    <mergeCell ref="I2610:I2611"/>
    <mergeCell ref="J2610:J2611"/>
    <mergeCell ref="K2610:K2611"/>
    <mergeCell ref="L2610:L2611"/>
    <mergeCell ref="M2610:M2611"/>
    <mergeCell ref="N2610:N2611"/>
    <mergeCell ref="O2610:P2610"/>
    <mergeCell ref="I2585:M2585"/>
    <mergeCell ref="I2586:M2586"/>
    <mergeCell ref="I2587:M2587"/>
    <mergeCell ref="I2593:L2593"/>
    <mergeCell ref="N2593:P2593"/>
    <mergeCell ref="N2598:P2598"/>
    <mergeCell ref="I2618:I2619"/>
    <mergeCell ref="J2618:J2619"/>
    <mergeCell ref="K2618:K2619"/>
    <mergeCell ref="L2618:L2619"/>
    <mergeCell ref="M2618:M2619"/>
    <mergeCell ref="N2618:N2619"/>
    <mergeCell ref="I2616:I2617"/>
    <mergeCell ref="J2616:J2617"/>
    <mergeCell ref="K2616:K2617"/>
    <mergeCell ref="L2616:L2617"/>
    <mergeCell ref="M2616:M2617"/>
    <mergeCell ref="N2616:N2617"/>
    <mergeCell ref="I2614:I2615"/>
    <mergeCell ref="J2614:J2615"/>
    <mergeCell ref="K2614:K2615"/>
    <mergeCell ref="L2614:L2615"/>
    <mergeCell ref="M2614:M2615"/>
    <mergeCell ref="N2614:N2615"/>
    <mergeCell ref="I2624:M2624"/>
    <mergeCell ref="I2625:M2625"/>
    <mergeCell ref="I2626:M2626"/>
    <mergeCell ref="I2632:L2632"/>
    <mergeCell ref="I2647:P2647"/>
    <mergeCell ref="I2649:I2650"/>
    <mergeCell ref="J2649:J2650"/>
    <mergeCell ref="K2649:K2650"/>
    <mergeCell ref="L2649:L2650"/>
    <mergeCell ref="M2649:M2650"/>
    <mergeCell ref="I2622:I2623"/>
    <mergeCell ref="J2622:J2623"/>
    <mergeCell ref="K2622:K2623"/>
    <mergeCell ref="L2622:L2623"/>
    <mergeCell ref="M2622:M2623"/>
    <mergeCell ref="N2622:N2623"/>
    <mergeCell ref="I2620:I2621"/>
    <mergeCell ref="J2620:J2621"/>
    <mergeCell ref="K2620:K2621"/>
    <mergeCell ref="L2620:L2621"/>
    <mergeCell ref="M2620:M2621"/>
    <mergeCell ref="N2620:N2621"/>
    <mergeCell ref="I2655:I2656"/>
    <mergeCell ref="J2655:J2656"/>
    <mergeCell ref="K2655:K2656"/>
    <mergeCell ref="L2655:L2656"/>
    <mergeCell ref="M2655:M2656"/>
    <mergeCell ref="N2655:N2656"/>
    <mergeCell ref="I2653:I2654"/>
    <mergeCell ref="J2653:J2654"/>
    <mergeCell ref="K2653:K2654"/>
    <mergeCell ref="L2653:L2654"/>
    <mergeCell ref="M2653:M2654"/>
    <mergeCell ref="N2653:N2654"/>
    <mergeCell ref="N2649:N2650"/>
    <mergeCell ref="O2649:P2649"/>
    <mergeCell ref="I2651:I2652"/>
    <mergeCell ref="J2651:J2652"/>
    <mergeCell ref="K2651:K2652"/>
    <mergeCell ref="L2651:L2652"/>
    <mergeCell ref="M2651:M2652"/>
    <mergeCell ref="N2651:N2652"/>
    <mergeCell ref="I2661:M2661"/>
    <mergeCell ref="I2662:M2662"/>
    <mergeCell ref="I2663:M2663"/>
    <mergeCell ref="I2669:L2669"/>
    <mergeCell ref="I2684:P2684"/>
    <mergeCell ref="I2686:I2687"/>
    <mergeCell ref="J2686:J2687"/>
    <mergeCell ref="K2686:K2687"/>
    <mergeCell ref="L2686:L2687"/>
    <mergeCell ref="M2686:M2687"/>
    <mergeCell ref="I2659:I2660"/>
    <mergeCell ref="J2659:J2660"/>
    <mergeCell ref="K2659:K2660"/>
    <mergeCell ref="L2659:L2660"/>
    <mergeCell ref="M2659:M2660"/>
    <mergeCell ref="N2659:N2660"/>
    <mergeCell ref="I2657:I2658"/>
    <mergeCell ref="J2657:J2658"/>
    <mergeCell ref="K2657:K2658"/>
    <mergeCell ref="L2657:L2658"/>
    <mergeCell ref="M2657:M2658"/>
    <mergeCell ref="N2657:N2658"/>
    <mergeCell ref="I2692:I2693"/>
    <mergeCell ref="J2692:J2693"/>
    <mergeCell ref="K2692:K2693"/>
    <mergeCell ref="L2692:L2693"/>
    <mergeCell ref="M2692:M2693"/>
    <mergeCell ref="N2692:N2693"/>
    <mergeCell ref="I2690:I2691"/>
    <mergeCell ref="J2690:J2691"/>
    <mergeCell ref="K2690:K2691"/>
    <mergeCell ref="L2690:L2691"/>
    <mergeCell ref="M2690:M2691"/>
    <mergeCell ref="N2690:N2691"/>
    <mergeCell ref="N2686:N2687"/>
    <mergeCell ref="O2686:P2686"/>
    <mergeCell ref="I2688:I2689"/>
    <mergeCell ref="J2688:J2689"/>
    <mergeCell ref="K2688:K2689"/>
    <mergeCell ref="L2688:L2689"/>
    <mergeCell ref="M2688:M2689"/>
    <mergeCell ref="N2688:N2689"/>
    <mergeCell ref="I2698:M2698"/>
    <mergeCell ref="I2699:M2699"/>
    <mergeCell ref="I2700:M2700"/>
    <mergeCell ref="I2706:L2706"/>
    <mergeCell ref="I2721:P2721"/>
    <mergeCell ref="I2723:I2724"/>
    <mergeCell ref="J2723:J2724"/>
    <mergeCell ref="K2723:K2724"/>
    <mergeCell ref="L2723:L2724"/>
    <mergeCell ref="M2723:M2724"/>
    <mergeCell ref="I2696:I2697"/>
    <mergeCell ref="J2696:J2697"/>
    <mergeCell ref="K2696:K2697"/>
    <mergeCell ref="L2696:L2697"/>
    <mergeCell ref="M2696:M2697"/>
    <mergeCell ref="N2696:N2697"/>
    <mergeCell ref="I2694:I2695"/>
    <mergeCell ref="J2694:J2695"/>
    <mergeCell ref="K2694:K2695"/>
    <mergeCell ref="L2694:L2695"/>
    <mergeCell ref="M2694:M2695"/>
    <mergeCell ref="N2694:N2695"/>
    <mergeCell ref="I2729:I2730"/>
    <mergeCell ref="J2729:J2730"/>
    <mergeCell ref="K2729:K2730"/>
    <mergeCell ref="L2729:L2730"/>
    <mergeCell ref="M2729:M2730"/>
    <mergeCell ref="N2729:N2730"/>
    <mergeCell ref="I2727:I2728"/>
    <mergeCell ref="J2727:J2728"/>
    <mergeCell ref="K2727:K2728"/>
    <mergeCell ref="L2727:L2728"/>
    <mergeCell ref="M2727:M2728"/>
    <mergeCell ref="N2727:N2728"/>
    <mergeCell ref="N2723:N2724"/>
    <mergeCell ref="O2723:P2723"/>
    <mergeCell ref="I2725:I2726"/>
    <mergeCell ref="J2725:J2726"/>
    <mergeCell ref="K2725:K2726"/>
    <mergeCell ref="L2725:L2726"/>
    <mergeCell ref="M2725:M2726"/>
    <mergeCell ref="N2725:N2726"/>
    <mergeCell ref="I2735:M2735"/>
    <mergeCell ref="I2736:M2736"/>
    <mergeCell ref="I2737:M2737"/>
    <mergeCell ref="I2743:L2743"/>
    <mergeCell ref="I2758:P2758"/>
    <mergeCell ref="I2760:I2761"/>
    <mergeCell ref="J2760:J2761"/>
    <mergeCell ref="K2760:K2761"/>
    <mergeCell ref="L2760:L2761"/>
    <mergeCell ref="M2760:M2761"/>
    <mergeCell ref="I2733:I2734"/>
    <mergeCell ref="J2733:J2734"/>
    <mergeCell ref="K2733:K2734"/>
    <mergeCell ref="L2733:L2734"/>
    <mergeCell ref="M2733:M2734"/>
    <mergeCell ref="N2733:N2734"/>
    <mergeCell ref="I2731:I2732"/>
    <mergeCell ref="J2731:J2732"/>
    <mergeCell ref="K2731:K2732"/>
    <mergeCell ref="L2731:L2732"/>
    <mergeCell ref="M2731:M2732"/>
    <mergeCell ref="N2731:N2732"/>
    <mergeCell ref="I2766:I2767"/>
    <mergeCell ref="J2766:J2767"/>
    <mergeCell ref="K2766:K2767"/>
    <mergeCell ref="L2766:L2767"/>
    <mergeCell ref="M2766:M2767"/>
    <mergeCell ref="N2766:N2767"/>
    <mergeCell ref="I2764:I2765"/>
    <mergeCell ref="J2764:J2765"/>
    <mergeCell ref="K2764:K2765"/>
    <mergeCell ref="L2764:L2765"/>
    <mergeCell ref="M2764:M2765"/>
    <mergeCell ref="N2764:N2765"/>
    <mergeCell ref="N2760:N2761"/>
    <mergeCell ref="O2760:P2760"/>
    <mergeCell ref="I2762:I2763"/>
    <mergeCell ref="J2762:J2763"/>
    <mergeCell ref="K2762:K2763"/>
    <mergeCell ref="L2762:L2763"/>
    <mergeCell ref="M2762:M2763"/>
    <mergeCell ref="N2762:N2763"/>
    <mergeCell ref="I2772:M2772"/>
    <mergeCell ref="I2773:M2773"/>
    <mergeCell ref="I2774:M2774"/>
    <mergeCell ref="I2780:L2780"/>
    <mergeCell ref="I2795:P2795"/>
    <mergeCell ref="I2797:I2798"/>
    <mergeCell ref="J2797:J2798"/>
    <mergeCell ref="K2797:K2798"/>
    <mergeCell ref="L2797:L2798"/>
    <mergeCell ref="M2797:M2798"/>
    <mergeCell ref="I2770:I2771"/>
    <mergeCell ref="J2770:J2771"/>
    <mergeCell ref="K2770:K2771"/>
    <mergeCell ref="L2770:L2771"/>
    <mergeCell ref="M2770:M2771"/>
    <mergeCell ref="N2770:N2771"/>
    <mergeCell ref="I2768:I2769"/>
    <mergeCell ref="J2768:J2769"/>
    <mergeCell ref="K2768:K2769"/>
    <mergeCell ref="L2768:L2769"/>
    <mergeCell ref="M2768:M2769"/>
    <mergeCell ref="N2768:N2769"/>
    <mergeCell ref="I2803:I2804"/>
    <mergeCell ref="J2803:J2804"/>
    <mergeCell ref="K2803:K2804"/>
    <mergeCell ref="L2803:L2804"/>
    <mergeCell ref="M2803:M2804"/>
    <mergeCell ref="N2803:N2804"/>
    <mergeCell ref="I2801:I2802"/>
    <mergeCell ref="J2801:J2802"/>
    <mergeCell ref="K2801:K2802"/>
    <mergeCell ref="L2801:L2802"/>
    <mergeCell ref="M2801:M2802"/>
    <mergeCell ref="N2801:N2802"/>
    <mergeCell ref="N2797:N2798"/>
    <mergeCell ref="O2797:P2797"/>
    <mergeCell ref="I2799:I2800"/>
    <mergeCell ref="J2799:J2800"/>
    <mergeCell ref="K2799:K2800"/>
    <mergeCell ref="L2799:L2800"/>
    <mergeCell ref="M2799:M2800"/>
    <mergeCell ref="N2799:N2800"/>
    <mergeCell ref="I2809:I2810"/>
    <mergeCell ref="J2809:J2810"/>
    <mergeCell ref="K2809:K2810"/>
    <mergeCell ref="L2809:L2810"/>
    <mergeCell ref="M2809:M2810"/>
    <mergeCell ref="N2809:N2810"/>
    <mergeCell ref="I2807:I2808"/>
    <mergeCell ref="J2807:J2808"/>
    <mergeCell ref="K2807:K2808"/>
    <mergeCell ref="L2807:L2808"/>
    <mergeCell ref="M2807:M2808"/>
    <mergeCell ref="N2807:N2808"/>
    <mergeCell ref="I2805:I2806"/>
    <mergeCell ref="J2805:J2806"/>
    <mergeCell ref="K2805:K2806"/>
    <mergeCell ref="L2805:L2806"/>
    <mergeCell ref="M2805:M2806"/>
    <mergeCell ref="N2805:N2806"/>
    <mergeCell ref="N2836:N2837"/>
    <mergeCell ref="O2836:P2836"/>
    <mergeCell ref="I2838:I2839"/>
    <mergeCell ref="J2838:J2839"/>
    <mergeCell ref="K2838:K2839"/>
    <mergeCell ref="L2838:L2839"/>
    <mergeCell ref="M2838:M2839"/>
    <mergeCell ref="N2838:N2839"/>
    <mergeCell ref="I2811:M2811"/>
    <mergeCell ref="I2812:M2812"/>
    <mergeCell ref="I2813:M2813"/>
    <mergeCell ref="I2819:L2819"/>
    <mergeCell ref="I2834:P2834"/>
    <mergeCell ref="I2836:I2837"/>
    <mergeCell ref="J2836:J2837"/>
    <mergeCell ref="K2836:K2837"/>
    <mergeCell ref="L2836:L2837"/>
    <mergeCell ref="M2836:M2837"/>
    <mergeCell ref="I2844:I2845"/>
    <mergeCell ref="J2844:J2845"/>
    <mergeCell ref="K2844:K2845"/>
    <mergeCell ref="L2844:L2845"/>
    <mergeCell ref="M2844:M2845"/>
    <mergeCell ref="N2844:N2845"/>
    <mergeCell ref="I2842:I2843"/>
    <mergeCell ref="J2842:J2843"/>
    <mergeCell ref="K2842:K2843"/>
    <mergeCell ref="L2842:L2843"/>
    <mergeCell ref="M2842:M2843"/>
    <mergeCell ref="N2842:N2843"/>
    <mergeCell ref="I2840:I2841"/>
    <mergeCell ref="J2840:J2841"/>
    <mergeCell ref="K2840:K2841"/>
    <mergeCell ref="L2840:L2841"/>
    <mergeCell ref="M2840:M2841"/>
    <mergeCell ref="N2840:N2841"/>
    <mergeCell ref="I2850:M2850"/>
    <mergeCell ref="I2851:M2851"/>
    <mergeCell ref="I2852:M2852"/>
    <mergeCell ref="I2858:L2858"/>
    <mergeCell ref="I2873:P2873"/>
    <mergeCell ref="I2875:I2876"/>
    <mergeCell ref="J2875:J2876"/>
    <mergeCell ref="K2875:K2876"/>
    <mergeCell ref="L2875:L2876"/>
    <mergeCell ref="M2875:M2876"/>
    <mergeCell ref="I2848:I2849"/>
    <mergeCell ref="J2848:J2849"/>
    <mergeCell ref="K2848:K2849"/>
    <mergeCell ref="L2848:L2849"/>
    <mergeCell ref="M2848:M2849"/>
    <mergeCell ref="N2848:N2849"/>
    <mergeCell ref="I2846:I2847"/>
    <mergeCell ref="J2846:J2847"/>
    <mergeCell ref="K2846:K2847"/>
    <mergeCell ref="L2846:L2847"/>
    <mergeCell ref="M2846:M2847"/>
    <mergeCell ref="N2846:N2847"/>
    <mergeCell ref="I2881:I2882"/>
    <mergeCell ref="J2881:J2882"/>
    <mergeCell ref="K2881:K2882"/>
    <mergeCell ref="L2881:L2882"/>
    <mergeCell ref="M2881:M2882"/>
    <mergeCell ref="N2881:N2882"/>
    <mergeCell ref="I2879:I2880"/>
    <mergeCell ref="J2879:J2880"/>
    <mergeCell ref="K2879:K2880"/>
    <mergeCell ref="L2879:L2880"/>
    <mergeCell ref="M2879:M2880"/>
    <mergeCell ref="N2879:N2880"/>
    <mergeCell ref="N2875:N2876"/>
    <mergeCell ref="O2875:P2875"/>
    <mergeCell ref="I2877:I2878"/>
    <mergeCell ref="J2877:J2878"/>
    <mergeCell ref="K2877:K2878"/>
    <mergeCell ref="L2877:L2878"/>
    <mergeCell ref="M2877:M2878"/>
    <mergeCell ref="N2877:N2878"/>
    <mergeCell ref="I2887:M2887"/>
    <mergeCell ref="I2888:M2888"/>
    <mergeCell ref="I2889:M2889"/>
    <mergeCell ref="I2895:L2895"/>
    <mergeCell ref="I2910:P2910"/>
    <mergeCell ref="I2912:I2913"/>
    <mergeCell ref="J2912:J2913"/>
    <mergeCell ref="K2912:K2913"/>
    <mergeCell ref="L2912:L2913"/>
    <mergeCell ref="M2912:M2913"/>
    <mergeCell ref="I2885:I2886"/>
    <mergeCell ref="J2885:J2886"/>
    <mergeCell ref="K2885:K2886"/>
    <mergeCell ref="L2885:L2886"/>
    <mergeCell ref="M2885:M2886"/>
    <mergeCell ref="N2885:N2886"/>
    <mergeCell ref="I2883:I2884"/>
    <mergeCell ref="J2883:J2884"/>
    <mergeCell ref="K2883:K2884"/>
    <mergeCell ref="L2883:L2884"/>
    <mergeCell ref="M2883:M2884"/>
    <mergeCell ref="N2883:N2884"/>
    <mergeCell ref="I2918:I2919"/>
    <mergeCell ref="J2918:J2919"/>
    <mergeCell ref="K2918:K2919"/>
    <mergeCell ref="L2918:L2919"/>
    <mergeCell ref="M2918:M2919"/>
    <mergeCell ref="N2918:N2919"/>
    <mergeCell ref="I2916:I2917"/>
    <mergeCell ref="J2916:J2917"/>
    <mergeCell ref="K2916:K2917"/>
    <mergeCell ref="L2916:L2917"/>
    <mergeCell ref="M2916:M2917"/>
    <mergeCell ref="N2916:N2917"/>
    <mergeCell ref="N2912:N2913"/>
    <mergeCell ref="O2912:P2912"/>
    <mergeCell ref="I2914:I2915"/>
    <mergeCell ref="J2914:J2915"/>
    <mergeCell ref="K2914:K2915"/>
    <mergeCell ref="L2914:L2915"/>
    <mergeCell ref="M2914:M2915"/>
    <mergeCell ref="N2914:N2915"/>
    <mergeCell ref="I2924:M2924"/>
    <mergeCell ref="I2925:M2925"/>
    <mergeCell ref="I2926:M2926"/>
    <mergeCell ref="I2932:L2932"/>
    <mergeCell ref="I2947:P2947"/>
    <mergeCell ref="I2949:I2950"/>
    <mergeCell ref="J2949:J2950"/>
    <mergeCell ref="K2949:K2950"/>
    <mergeCell ref="L2949:L2950"/>
    <mergeCell ref="M2949:M2950"/>
    <mergeCell ref="I2922:I2923"/>
    <mergeCell ref="J2922:J2923"/>
    <mergeCell ref="K2922:K2923"/>
    <mergeCell ref="L2922:L2923"/>
    <mergeCell ref="M2922:M2923"/>
    <mergeCell ref="N2922:N2923"/>
    <mergeCell ref="I2920:I2921"/>
    <mergeCell ref="J2920:J2921"/>
    <mergeCell ref="K2920:K2921"/>
    <mergeCell ref="L2920:L2921"/>
    <mergeCell ref="M2920:M2921"/>
    <mergeCell ref="N2920:N2921"/>
    <mergeCell ref="I2955:I2956"/>
    <mergeCell ref="J2955:J2956"/>
    <mergeCell ref="K2955:K2956"/>
    <mergeCell ref="L2955:L2956"/>
    <mergeCell ref="M2955:M2956"/>
    <mergeCell ref="N2955:N2956"/>
    <mergeCell ref="I2953:I2954"/>
    <mergeCell ref="J2953:J2954"/>
    <mergeCell ref="K2953:K2954"/>
    <mergeCell ref="L2953:L2954"/>
    <mergeCell ref="M2953:M2954"/>
    <mergeCell ref="N2953:N2954"/>
    <mergeCell ref="N2949:N2950"/>
    <mergeCell ref="O2949:P2949"/>
    <mergeCell ref="I2951:I2952"/>
    <mergeCell ref="J2951:J2952"/>
    <mergeCell ref="K2951:K2952"/>
    <mergeCell ref="L2951:L2952"/>
    <mergeCell ref="M2951:M2952"/>
    <mergeCell ref="N2951:N2952"/>
    <mergeCell ref="I2961:M2961"/>
    <mergeCell ref="I2962:M2962"/>
    <mergeCell ref="I2963:M2963"/>
    <mergeCell ref="I2969:L2969"/>
    <mergeCell ref="I2984:P2984"/>
    <mergeCell ref="I2986:I2987"/>
    <mergeCell ref="J2986:J2987"/>
    <mergeCell ref="K2986:K2987"/>
    <mergeCell ref="L2986:L2987"/>
    <mergeCell ref="M2986:M2987"/>
    <mergeCell ref="I2959:I2960"/>
    <mergeCell ref="J2959:J2960"/>
    <mergeCell ref="K2959:K2960"/>
    <mergeCell ref="L2959:L2960"/>
    <mergeCell ref="M2959:M2960"/>
    <mergeCell ref="N2959:N2960"/>
    <mergeCell ref="I2957:I2958"/>
    <mergeCell ref="J2957:J2958"/>
    <mergeCell ref="K2957:K2958"/>
    <mergeCell ref="L2957:L2958"/>
    <mergeCell ref="M2957:M2958"/>
    <mergeCell ref="N2957:N2958"/>
    <mergeCell ref="I2992:I2993"/>
    <mergeCell ref="J2992:J2993"/>
    <mergeCell ref="K2992:K2993"/>
    <mergeCell ref="L2992:L2993"/>
    <mergeCell ref="M2992:M2993"/>
    <mergeCell ref="N2992:N2993"/>
    <mergeCell ref="I2990:I2991"/>
    <mergeCell ref="J2990:J2991"/>
    <mergeCell ref="K2990:K2991"/>
    <mergeCell ref="L2990:L2991"/>
    <mergeCell ref="M2990:M2991"/>
    <mergeCell ref="N2990:N2991"/>
    <mergeCell ref="N2986:N2987"/>
    <mergeCell ref="O2986:P2986"/>
    <mergeCell ref="I2988:I2989"/>
    <mergeCell ref="J2988:J2989"/>
    <mergeCell ref="K2988:K2989"/>
    <mergeCell ref="L2988:L2989"/>
    <mergeCell ref="M2988:M2989"/>
    <mergeCell ref="N2988:N2989"/>
    <mergeCell ref="I2998:M2998"/>
    <mergeCell ref="I2999:M2999"/>
    <mergeCell ref="I3000:M3000"/>
    <mergeCell ref="I3006:L3006"/>
    <mergeCell ref="I3021:P3021"/>
    <mergeCell ref="I3023:I3024"/>
    <mergeCell ref="J3023:J3024"/>
    <mergeCell ref="K3023:K3024"/>
    <mergeCell ref="L3023:L3024"/>
    <mergeCell ref="M3023:M3024"/>
    <mergeCell ref="I2996:I2997"/>
    <mergeCell ref="J2996:J2997"/>
    <mergeCell ref="K2996:K2997"/>
    <mergeCell ref="L2996:L2997"/>
    <mergeCell ref="M2996:M2997"/>
    <mergeCell ref="N2996:N2997"/>
    <mergeCell ref="I2994:I2995"/>
    <mergeCell ref="J2994:J2995"/>
    <mergeCell ref="K2994:K2995"/>
    <mergeCell ref="L2994:L2995"/>
    <mergeCell ref="M2994:M2995"/>
    <mergeCell ref="N2994:N2995"/>
    <mergeCell ref="I3029:I3030"/>
    <mergeCell ref="J3029:J3030"/>
    <mergeCell ref="K3029:K3030"/>
    <mergeCell ref="L3029:L3030"/>
    <mergeCell ref="M3029:M3030"/>
    <mergeCell ref="N3029:N3030"/>
    <mergeCell ref="I3027:I3028"/>
    <mergeCell ref="J3027:J3028"/>
    <mergeCell ref="K3027:K3028"/>
    <mergeCell ref="L3027:L3028"/>
    <mergeCell ref="M3027:M3028"/>
    <mergeCell ref="N3027:N3028"/>
    <mergeCell ref="N3023:N3024"/>
    <mergeCell ref="O3023:P3023"/>
    <mergeCell ref="I3025:I3026"/>
    <mergeCell ref="J3025:J3026"/>
    <mergeCell ref="K3025:K3026"/>
    <mergeCell ref="L3025:L3026"/>
    <mergeCell ref="M3025:M3026"/>
    <mergeCell ref="N3025:N3026"/>
    <mergeCell ref="I3035:M3035"/>
    <mergeCell ref="I3036:M3036"/>
    <mergeCell ref="I3037:M3037"/>
    <mergeCell ref="I3043:L3043"/>
    <mergeCell ref="I3058:P3058"/>
    <mergeCell ref="I3060:I3061"/>
    <mergeCell ref="J3060:J3061"/>
    <mergeCell ref="K3060:K3061"/>
    <mergeCell ref="L3060:L3061"/>
    <mergeCell ref="M3060:M3061"/>
    <mergeCell ref="I3033:I3034"/>
    <mergeCell ref="J3033:J3034"/>
    <mergeCell ref="K3033:K3034"/>
    <mergeCell ref="L3033:L3034"/>
    <mergeCell ref="M3033:M3034"/>
    <mergeCell ref="N3033:N3034"/>
    <mergeCell ref="I3031:I3032"/>
    <mergeCell ref="J3031:J3032"/>
    <mergeCell ref="K3031:K3032"/>
    <mergeCell ref="L3031:L3032"/>
    <mergeCell ref="M3031:M3032"/>
    <mergeCell ref="N3031:N3032"/>
    <mergeCell ref="I3066:I3067"/>
    <mergeCell ref="J3066:J3067"/>
    <mergeCell ref="K3066:K3067"/>
    <mergeCell ref="L3066:L3067"/>
    <mergeCell ref="M3066:M3067"/>
    <mergeCell ref="N3066:N3067"/>
    <mergeCell ref="I3064:I3065"/>
    <mergeCell ref="J3064:J3065"/>
    <mergeCell ref="K3064:K3065"/>
    <mergeCell ref="L3064:L3065"/>
    <mergeCell ref="M3064:M3065"/>
    <mergeCell ref="N3064:N3065"/>
    <mergeCell ref="N3060:N3061"/>
    <mergeCell ref="O3060:P3060"/>
    <mergeCell ref="I3062:I3063"/>
    <mergeCell ref="J3062:J3063"/>
    <mergeCell ref="K3062:K3063"/>
    <mergeCell ref="L3062:L3063"/>
    <mergeCell ref="M3062:M3063"/>
    <mergeCell ref="N3062:N3063"/>
    <mergeCell ref="I3072:M3072"/>
    <mergeCell ref="I3073:M3073"/>
    <mergeCell ref="I3074:M3074"/>
    <mergeCell ref="I3080:L3080"/>
    <mergeCell ref="I3095:P3095"/>
    <mergeCell ref="I3097:I3098"/>
    <mergeCell ref="J3097:J3098"/>
    <mergeCell ref="K3097:K3098"/>
    <mergeCell ref="L3097:L3098"/>
    <mergeCell ref="M3097:M3098"/>
    <mergeCell ref="I3070:I3071"/>
    <mergeCell ref="J3070:J3071"/>
    <mergeCell ref="K3070:K3071"/>
    <mergeCell ref="L3070:L3071"/>
    <mergeCell ref="M3070:M3071"/>
    <mergeCell ref="N3070:N3071"/>
    <mergeCell ref="I3068:I3069"/>
    <mergeCell ref="J3068:J3069"/>
    <mergeCell ref="K3068:K3069"/>
    <mergeCell ref="L3068:L3069"/>
    <mergeCell ref="M3068:M3069"/>
    <mergeCell ref="N3068:N3069"/>
    <mergeCell ref="I3103:I3104"/>
    <mergeCell ref="J3103:J3104"/>
    <mergeCell ref="K3103:K3104"/>
    <mergeCell ref="L3103:L3104"/>
    <mergeCell ref="M3103:M3104"/>
    <mergeCell ref="N3103:N3104"/>
    <mergeCell ref="I3101:I3102"/>
    <mergeCell ref="J3101:J3102"/>
    <mergeCell ref="K3101:K3102"/>
    <mergeCell ref="L3101:L3102"/>
    <mergeCell ref="M3101:M3102"/>
    <mergeCell ref="N3101:N3102"/>
    <mergeCell ref="N3097:N3098"/>
    <mergeCell ref="O3097:P3097"/>
    <mergeCell ref="I3099:I3100"/>
    <mergeCell ref="J3099:J3100"/>
    <mergeCell ref="K3099:K3100"/>
    <mergeCell ref="L3099:L3100"/>
    <mergeCell ref="M3099:M3100"/>
    <mergeCell ref="N3099:N3100"/>
    <mergeCell ref="I3109:M3109"/>
    <mergeCell ref="I3110:M3110"/>
    <mergeCell ref="I3111:M3111"/>
    <mergeCell ref="I3117:L3117"/>
    <mergeCell ref="I3132:P3132"/>
    <mergeCell ref="I3134:I3135"/>
    <mergeCell ref="J3134:J3135"/>
    <mergeCell ref="K3134:K3135"/>
    <mergeCell ref="L3134:L3135"/>
    <mergeCell ref="M3134:M3135"/>
    <mergeCell ref="I3107:I3108"/>
    <mergeCell ref="J3107:J3108"/>
    <mergeCell ref="K3107:K3108"/>
    <mergeCell ref="L3107:L3108"/>
    <mergeCell ref="M3107:M3108"/>
    <mergeCell ref="N3107:N3108"/>
    <mergeCell ref="I3105:I3106"/>
    <mergeCell ref="J3105:J3106"/>
    <mergeCell ref="K3105:K3106"/>
    <mergeCell ref="L3105:L3106"/>
    <mergeCell ref="M3105:M3106"/>
    <mergeCell ref="N3105:N3106"/>
    <mergeCell ref="I3140:I3141"/>
    <mergeCell ref="J3140:J3141"/>
    <mergeCell ref="K3140:K3141"/>
    <mergeCell ref="L3140:L3141"/>
    <mergeCell ref="M3140:M3141"/>
    <mergeCell ref="N3140:N3141"/>
    <mergeCell ref="I3138:I3139"/>
    <mergeCell ref="J3138:J3139"/>
    <mergeCell ref="K3138:K3139"/>
    <mergeCell ref="L3138:L3139"/>
    <mergeCell ref="M3138:M3139"/>
    <mergeCell ref="N3138:N3139"/>
    <mergeCell ref="N3134:N3135"/>
    <mergeCell ref="O3134:P3134"/>
    <mergeCell ref="I3136:I3137"/>
    <mergeCell ref="J3136:J3137"/>
    <mergeCell ref="K3136:K3137"/>
    <mergeCell ref="L3136:L3137"/>
    <mergeCell ref="M3136:M3137"/>
    <mergeCell ref="N3136:N3137"/>
    <mergeCell ref="I3146:M3146"/>
    <mergeCell ref="I3147:M3147"/>
    <mergeCell ref="I3148:M3148"/>
    <mergeCell ref="I3154:L3154"/>
    <mergeCell ref="I3169:P3169"/>
    <mergeCell ref="I3171:I3172"/>
    <mergeCell ref="J3171:J3172"/>
    <mergeCell ref="K3171:K3172"/>
    <mergeCell ref="L3171:L3172"/>
    <mergeCell ref="M3171:M3172"/>
    <mergeCell ref="I3144:I3145"/>
    <mergeCell ref="J3144:J3145"/>
    <mergeCell ref="K3144:K3145"/>
    <mergeCell ref="L3144:L3145"/>
    <mergeCell ref="M3144:M3145"/>
    <mergeCell ref="N3144:N3145"/>
    <mergeCell ref="I3142:I3143"/>
    <mergeCell ref="J3142:J3143"/>
    <mergeCell ref="K3142:K3143"/>
    <mergeCell ref="L3142:L3143"/>
    <mergeCell ref="M3142:M3143"/>
    <mergeCell ref="N3142:N3143"/>
    <mergeCell ref="I3177:I3178"/>
    <mergeCell ref="J3177:J3178"/>
    <mergeCell ref="K3177:K3178"/>
    <mergeCell ref="L3177:L3178"/>
    <mergeCell ref="M3177:M3178"/>
    <mergeCell ref="N3177:N3178"/>
    <mergeCell ref="I3175:I3176"/>
    <mergeCell ref="J3175:J3176"/>
    <mergeCell ref="K3175:K3176"/>
    <mergeCell ref="L3175:L3176"/>
    <mergeCell ref="M3175:M3176"/>
    <mergeCell ref="N3175:N3176"/>
    <mergeCell ref="N3171:N3172"/>
    <mergeCell ref="O3171:P3171"/>
    <mergeCell ref="I3173:I3174"/>
    <mergeCell ref="J3173:J3174"/>
    <mergeCell ref="K3173:K3174"/>
    <mergeCell ref="L3173:L3174"/>
    <mergeCell ref="M3173:M3174"/>
    <mergeCell ref="N3173:N3174"/>
    <mergeCell ref="I3183:I3184"/>
    <mergeCell ref="J3183:J3184"/>
    <mergeCell ref="K3183:K3184"/>
    <mergeCell ref="L3183:L3184"/>
    <mergeCell ref="M3183:M3184"/>
    <mergeCell ref="N3183:N3184"/>
    <mergeCell ref="I3181:I3182"/>
    <mergeCell ref="J3181:J3182"/>
    <mergeCell ref="K3181:K3182"/>
    <mergeCell ref="L3181:L3182"/>
    <mergeCell ref="M3181:M3182"/>
    <mergeCell ref="N3181:N3182"/>
    <mergeCell ref="I3179:I3180"/>
    <mergeCell ref="J3179:J3180"/>
    <mergeCell ref="K3179:K3180"/>
    <mergeCell ref="L3179:L3180"/>
    <mergeCell ref="M3179:M3180"/>
    <mergeCell ref="N3179:N3180"/>
    <mergeCell ref="N3210:N3211"/>
    <mergeCell ref="O3210:P3210"/>
    <mergeCell ref="I3212:I3213"/>
    <mergeCell ref="J3212:J3213"/>
    <mergeCell ref="K3212:K3213"/>
    <mergeCell ref="L3212:L3213"/>
    <mergeCell ref="M3212:M3213"/>
    <mergeCell ref="N3212:N3213"/>
    <mergeCell ref="I3185:M3185"/>
    <mergeCell ref="I3186:M3186"/>
    <mergeCell ref="I3187:M3187"/>
    <mergeCell ref="I3193:L3193"/>
    <mergeCell ref="I3208:P3208"/>
    <mergeCell ref="I3210:I3211"/>
    <mergeCell ref="J3210:J3211"/>
    <mergeCell ref="K3210:K3211"/>
    <mergeCell ref="L3210:L3211"/>
    <mergeCell ref="M3210:M3211"/>
    <mergeCell ref="R3216:R3217"/>
    <mergeCell ref="I3218:I3219"/>
    <mergeCell ref="J3218:J3219"/>
    <mergeCell ref="K3218:K3219"/>
    <mergeCell ref="L3218:L3219"/>
    <mergeCell ref="M3218:M3219"/>
    <mergeCell ref="N3218:N3219"/>
    <mergeCell ref="I3216:I3217"/>
    <mergeCell ref="J3216:J3217"/>
    <mergeCell ref="K3216:K3217"/>
    <mergeCell ref="L3216:L3217"/>
    <mergeCell ref="M3216:M3217"/>
    <mergeCell ref="N3216:N3217"/>
    <mergeCell ref="I3214:I3215"/>
    <mergeCell ref="J3214:J3215"/>
    <mergeCell ref="K3214:K3215"/>
    <mergeCell ref="L3214:L3215"/>
    <mergeCell ref="M3214:M3215"/>
    <mergeCell ref="N3214:N3215"/>
    <mergeCell ref="N3245:N3246"/>
    <mergeCell ref="O3245:P3245"/>
    <mergeCell ref="I3247:I3248"/>
    <mergeCell ref="J3247:J3248"/>
    <mergeCell ref="K3247:K3248"/>
    <mergeCell ref="L3247:L3248"/>
    <mergeCell ref="M3247:M3248"/>
    <mergeCell ref="N3247:N3248"/>
    <mergeCell ref="I3220:M3220"/>
    <mergeCell ref="I3221:M3221"/>
    <mergeCell ref="I3222:M3222"/>
    <mergeCell ref="I3228:L3228"/>
    <mergeCell ref="I3243:P3243"/>
    <mergeCell ref="I3245:I3246"/>
    <mergeCell ref="J3245:J3246"/>
    <mergeCell ref="K3245:K3246"/>
    <mergeCell ref="L3245:L3246"/>
    <mergeCell ref="M3245:M3246"/>
    <mergeCell ref="I3253:I3254"/>
    <mergeCell ref="J3253:J3254"/>
    <mergeCell ref="K3253:K3254"/>
    <mergeCell ref="L3253:L3254"/>
    <mergeCell ref="M3253:M3254"/>
    <mergeCell ref="N3253:N3254"/>
    <mergeCell ref="I3251:I3252"/>
    <mergeCell ref="J3251:J3252"/>
    <mergeCell ref="K3251:K3252"/>
    <mergeCell ref="L3251:L3252"/>
    <mergeCell ref="M3251:M3252"/>
    <mergeCell ref="N3251:N3252"/>
    <mergeCell ref="I3249:I3250"/>
    <mergeCell ref="J3249:J3250"/>
    <mergeCell ref="K3249:K3250"/>
    <mergeCell ref="L3249:L3250"/>
    <mergeCell ref="M3249:M3250"/>
    <mergeCell ref="N3249:N3250"/>
    <mergeCell ref="N3281:N3282"/>
    <mergeCell ref="O3281:P3281"/>
    <mergeCell ref="I3283:I3284"/>
    <mergeCell ref="J3283:J3284"/>
    <mergeCell ref="K3283:K3286"/>
    <mergeCell ref="L3283:L3284"/>
    <mergeCell ref="M3283:M3284"/>
    <mergeCell ref="N3283:N3284"/>
    <mergeCell ref="I3285:I3286"/>
    <mergeCell ref="J3285:J3286"/>
    <mergeCell ref="I3255:M3255"/>
    <mergeCell ref="I3256:M3256"/>
    <mergeCell ref="I3257:M3257"/>
    <mergeCell ref="I3263:L3263"/>
    <mergeCell ref="I3279:P3279"/>
    <mergeCell ref="I3281:I3282"/>
    <mergeCell ref="J3281:J3282"/>
    <mergeCell ref="K3281:K3282"/>
    <mergeCell ref="L3281:L3282"/>
    <mergeCell ref="M3281:M3282"/>
    <mergeCell ref="I3291:M3291"/>
    <mergeCell ref="I3292:M3292"/>
    <mergeCell ref="I3293:M3293"/>
    <mergeCell ref="I3299:L3299"/>
    <mergeCell ref="I3314:P3314"/>
    <mergeCell ref="I3316:I3317"/>
    <mergeCell ref="J3316:J3317"/>
    <mergeCell ref="K3316:K3317"/>
    <mergeCell ref="L3316:L3317"/>
    <mergeCell ref="M3316:M3317"/>
    <mergeCell ref="I3289:I3290"/>
    <mergeCell ref="J3289:J3290"/>
    <mergeCell ref="K3289:K3290"/>
    <mergeCell ref="L3289:L3290"/>
    <mergeCell ref="M3289:M3290"/>
    <mergeCell ref="N3289:N3290"/>
    <mergeCell ref="L3285:L3286"/>
    <mergeCell ref="M3285:M3286"/>
    <mergeCell ref="N3285:N3286"/>
    <mergeCell ref="I3287:I3288"/>
    <mergeCell ref="J3287:J3288"/>
    <mergeCell ref="K3287:K3288"/>
    <mergeCell ref="L3287:L3288"/>
    <mergeCell ref="M3287:M3288"/>
    <mergeCell ref="N3287:N3288"/>
    <mergeCell ref="I3322:I3323"/>
    <mergeCell ref="J3322:J3323"/>
    <mergeCell ref="K3322:K3323"/>
    <mergeCell ref="L3322:L3323"/>
    <mergeCell ref="M3322:M3323"/>
    <mergeCell ref="N3322:N3323"/>
    <mergeCell ref="I3320:I3321"/>
    <mergeCell ref="J3320:J3321"/>
    <mergeCell ref="K3320:K3321"/>
    <mergeCell ref="L3320:L3321"/>
    <mergeCell ref="M3320:M3321"/>
    <mergeCell ref="N3320:N3321"/>
    <mergeCell ref="N3316:N3317"/>
    <mergeCell ref="O3316:P3316"/>
    <mergeCell ref="I3318:I3319"/>
    <mergeCell ref="J3318:J3319"/>
    <mergeCell ref="K3318:K3319"/>
    <mergeCell ref="L3318:L3319"/>
    <mergeCell ref="M3318:M3319"/>
    <mergeCell ref="N3318:N3319"/>
    <mergeCell ref="I3328:I3329"/>
    <mergeCell ref="J3328:J3329"/>
    <mergeCell ref="K3328:K3329"/>
    <mergeCell ref="L3328:L3329"/>
    <mergeCell ref="M3328:M3329"/>
    <mergeCell ref="N3328:N3329"/>
    <mergeCell ref="I3326:I3327"/>
    <mergeCell ref="J3326:J3327"/>
    <mergeCell ref="K3326:K3327"/>
    <mergeCell ref="L3326:L3327"/>
    <mergeCell ref="M3326:M3327"/>
    <mergeCell ref="N3326:N3327"/>
    <mergeCell ref="I3324:I3325"/>
    <mergeCell ref="J3324:J3325"/>
    <mergeCell ref="K3324:K3325"/>
    <mergeCell ref="L3324:L3325"/>
    <mergeCell ref="M3324:M3325"/>
    <mergeCell ref="N3324:N3325"/>
    <mergeCell ref="N3355:N3356"/>
    <mergeCell ref="O3355:P3355"/>
    <mergeCell ref="I3357:I3358"/>
    <mergeCell ref="J3357:J3358"/>
    <mergeCell ref="K3357:K3358"/>
    <mergeCell ref="L3357:L3358"/>
    <mergeCell ref="M3357:M3358"/>
    <mergeCell ref="N3357:N3358"/>
    <mergeCell ref="I3330:M3330"/>
    <mergeCell ref="I3331:M3331"/>
    <mergeCell ref="I3332:M3332"/>
    <mergeCell ref="I3338:L3338"/>
    <mergeCell ref="I3353:P3353"/>
    <mergeCell ref="I3355:I3356"/>
    <mergeCell ref="J3355:J3356"/>
    <mergeCell ref="K3355:K3356"/>
    <mergeCell ref="L3355:L3356"/>
    <mergeCell ref="M3355:M3356"/>
    <mergeCell ref="I3363:I3364"/>
    <mergeCell ref="J3363:J3364"/>
    <mergeCell ref="K3363:K3364"/>
    <mergeCell ref="L3363:L3364"/>
    <mergeCell ref="M3363:M3364"/>
    <mergeCell ref="N3363:N3364"/>
    <mergeCell ref="I3361:I3362"/>
    <mergeCell ref="J3361:J3362"/>
    <mergeCell ref="K3361:K3362"/>
    <mergeCell ref="L3361:L3362"/>
    <mergeCell ref="M3361:M3362"/>
    <mergeCell ref="N3361:N3362"/>
    <mergeCell ref="I3359:I3360"/>
    <mergeCell ref="J3359:J3360"/>
    <mergeCell ref="K3359:K3360"/>
    <mergeCell ref="L3359:L3360"/>
    <mergeCell ref="M3359:M3360"/>
    <mergeCell ref="N3359:N3360"/>
    <mergeCell ref="N3391:N3392"/>
    <mergeCell ref="O3391:P3391"/>
    <mergeCell ref="I3393:I3394"/>
    <mergeCell ref="J3393:J3394"/>
    <mergeCell ref="K3393:K3394"/>
    <mergeCell ref="L3393:L3394"/>
    <mergeCell ref="M3393:M3394"/>
    <mergeCell ref="N3393:N3394"/>
    <mergeCell ref="I3365:M3365"/>
    <mergeCell ref="I3366:M3366"/>
    <mergeCell ref="I3367:M3367"/>
    <mergeCell ref="I3373:L3373"/>
    <mergeCell ref="I3389:P3389"/>
    <mergeCell ref="I3391:I3392"/>
    <mergeCell ref="J3391:J3392"/>
    <mergeCell ref="K3391:K3392"/>
    <mergeCell ref="L3391:L3392"/>
    <mergeCell ref="M3391:M3392"/>
    <mergeCell ref="I3399:I3400"/>
    <mergeCell ref="J3399:J3400"/>
    <mergeCell ref="K3399:K3400"/>
    <mergeCell ref="L3399:L3400"/>
    <mergeCell ref="M3399:M3400"/>
    <mergeCell ref="N3399:N3400"/>
    <mergeCell ref="I3397:I3398"/>
    <mergeCell ref="J3397:J3398"/>
    <mergeCell ref="K3397:K3398"/>
    <mergeCell ref="L3397:L3398"/>
    <mergeCell ref="M3397:M3398"/>
    <mergeCell ref="N3397:N3398"/>
    <mergeCell ref="I3395:I3396"/>
    <mergeCell ref="J3395:J3396"/>
    <mergeCell ref="K3395:K3396"/>
    <mergeCell ref="L3395:L3396"/>
    <mergeCell ref="M3395:M3396"/>
    <mergeCell ref="N3395:N3396"/>
    <mergeCell ref="N3427:N3428"/>
    <mergeCell ref="O3427:P3427"/>
    <mergeCell ref="I3429:I3430"/>
    <mergeCell ref="J3429:J3430"/>
    <mergeCell ref="L3429:L3430"/>
    <mergeCell ref="M3429:M3430"/>
    <mergeCell ref="N3429:N3430"/>
    <mergeCell ref="I3401:M3401"/>
    <mergeCell ref="I3402:M3402"/>
    <mergeCell ref="I3403:M3403"/>
    <mergeCell ref="I3409:L3409"/>
    <mergeCell ref="I3425:P3425"/>
    <mergeCell ref="I3427:I3428"/>
    <mergeCell ref="J3427:J3428"/>
    <mergeCell ref="K3427:K3428"/>
    <mergeCell ref="L3427:L3428"/>
    <mergeCell ref="M3427:M3428"/>
    <mergeCell ref="I3439:I3440"/>
    <mergeCell ref="J3439:J3440"/>
    <mergeCell ref="L3439:L3440"/>
    <mergeCell ref="M3439:M3440"/>
    <mergeCell ref="N3439:N3440"/>
    <mergeCell ref="I3441:M3441"/>
    <mergeCell ref="I3435:I3436"/>
    <mergeCell ref="J3435:J3436"/>
    <mergeCell ref="L3435:L3436"/>
    <mergeCell ref="M3435:M3436"/>
    <mergeCell ref="N3435:N3436"/>
    <mergeCell ref="I3437:I3438"/>
    <mergeCell ref="J3437:J3438"/>
    <mergeCell ref="L3437:L3438"/>
    <mergeCell ref="M3437:M3438"/>
    <mergeCell ref="N3437:N3438"/>
    <mergeCell ref="I3431:I3432"/>
    <mergeCell ref="J3431:J3432"/>
    <mergeCell ref="L3431:L3432"/>
    <mergeCell ref="M3431:M3432"/>
    <mergeCell ref="N3431:N3432"/>
    <mergeCell ref="I3433:I3434"/>
    <mergeCell ref="J3433:J3434"/>
    <mergeCell ref="L3433:L3434"/>
    <mergeCell ref="M3433:M3434"/>
    <mergeCell ref="N3433:N3434"/>
    <mergeCell ref="O3466:P3466"/>
    <mergeCell ref="I3468:I3469"/>
    <mergeCell ref="J3468:J3469"/>
    <mergeCell ref="K3468:K3469"/>
    <mergeCell ref="L3468:L3469"/>
    <mergeCell ref="M3468:M3469"/>
    <mergeCell ref="N3468:N3469"/>
    <mergeCell ref="I3442:M3442"/>
    <mergeCell ref="I3443:M3443"/>
    <mergeCell ref="I3449:L3449"/>
    <mergeCell ref="I3464:P3464"/>
    <mergeCell ref="I3466:I3467"/>
    <mergeCell ref="J3466:J3467"/>
    <mergeCell ref="K3466:K3467"/>
    <mergeCell ref="L3466:L3467"/>
    <mergeCell ref="M3466:M3467"/>
    <mergeCell ref="N3466:N3467"/>
    <mergeCell ref="I3474:I3475"/>
    <mergeCell ref="J3474:J3475"/>
    <mergeCell ref="K3474:K3475"/>
    <mergeCell ref="L3474:L3475"/>
    <mergeCell ref="M3474:M3475"/>
    <mergeCell ref="N3474:N3475"/>
    <mergeCell ref="I3472:I3473"/>
    <mergeCell ref="J3472:J3473"/>
    <mergeCell ref="K3472:K3473"/>
    <mergeCell ref="L3472:L3473"/>
    <mergeCell ref="M3472:M3473"/>
    <mergeCell ref="N3472:N3473"/>
    <mergeCell ref="I3470:I3471"/>
    <mergeCell ref="J3470:J3471"/>
    <mergeCell ref="K3470:K3471"/>
    <mergeCell ref="L3470:L3471"/>
    <mergeCell ref="M3470:M3471"/>
    <mergeCell ref="N3470:N3471"/>
    <mergeCell ref="M3508:M3509"/>
    <mergeCell ref="N3508:N3509"/>
    <mergeCell ref="N3502:N3503"/>
    <mergeCell ref="O3502:P3502"/>
    <mergeCell ref="I3504:I3505"/>
    <mergeCell ref="J3504:J3505"/>
    <mergeCell ref="K3504:K3507"/>
    <mergeCell ref="L3504:L3505"/>
    <mergeCell ref="M3504:M3505"/>
    <mergeCell ref="N3504:N3505"/>
    <mergeCell ref="I3506:I3507"/>
    <mergeCell ref="J3506:J3507"/>
    <mergeCell ref="I3476:M3476"/>
    <mergeCell ref="I3477:M3477"/>
    <mergeCell ref="I3478:M3478"/>
    <mergeCell ref="I3484:L3484"/>
    <mergeCell ref="I3500:P3500"/>
    <mergeCell ref="I3502:I3503"/>
    <mergeCell ref="J3502:J3503"/>
    <mergeCell ref="K3502:K3503"/>
    <mergeCell ref="L3502:L3503"/>
    <mergeCell ref="M3502:M3503"/>
    <mergeCell ref="O3538:P3538"/>
    <mergeCell ref="I3540:I3541"/>
    <mergeCell ref="J3540:J3541"/>
    <mergeCell ref="K3540:K3543"/>
    <mergeCell ref="L3540:L3541"/>
    <mergeCell ref="M3540:M3541"/>
    <mergeCell ref="N3540:N3541"/>
    <mergeCell ref="I3542:I3543"/>
    <mergeCell ref="J3542:J3543"/>
    <mergeCell ref="I3512:M3512"/>
    <mergeCell ref="I3513:M3513"/>
    <mergeCell ref="I3514:M3514"/>
    <mergeCell ref="I3520:L3520"/>
    <mergeCell ref="I3536:P3536"/>
    <mergeCell ref="I3538:I3539"/>
    <mergeCell ref="J3538:J3539"/>
    <mergeCell ref="K3538:K3539"/>
    <mergeCell ref="L3538:L3539"/>
    <mergeCell ref="M3538:M3539"/>
    <mergeCell ref="M3542:M3543"/>
    <mergeCell ref="N3542:N3543"/>
    <mergeCell ref="O3573:P3573"/>
    <mergeCell ref="I3575:I3576"/>
    <mergeCell ref="J3575:J3576"/>
    <mergeCell ref="K3575:K3578"/>
    <mergeCell ref="L3575:L3576"/>
    <mergeCell ref="M3575:M3576"/>
    <mergeCell ref="N3575:N3576"/>
    <mergeCell ref="I3577:I3578"/>
    <mergeCell ref="J3577:J3578"/>
    <mergeCell ref="I3548:M3548"/>
    <mergeCell ref="I3549:M3549"/>
    <mergeCell ref="I3550:M3550"/>
    <mergeCell ref="I3556:L3556"/>
    <mergeCell ref="I3571:P3571"/>
    <mergeCell ref="I3573:I3574"/>
    <mergeCell ref="J3573:J3574"/>
    <mergeCell ref="K3573:K3574"/>
    <mergeCell ref="L3573:L3574"/>
    <mergeCell ref="M3573:M3574"/>
    <mergeCell ref="I3584:M3584"/>
    <mergeCell ref="I3585:M3585"/>
    <mergeCell ref="I3591:L3591"/>
    <mergeCell ref="K12:K15"/>
    <mergeCell ref="I3581:I3582"/>
    <mergeCell ref="J3581:J3582"/>
    <mergeCell ref="K3581:K3582"/>
    <mergeCell ref="L3581:L3582"/>
    <mergeCell ref="M3581:M3582"/>
    <mergeCell ref="N3581:N3582"/>
    <mergeCell ref="L3577:L3578"/>
    <mergeCell ref="M3577:M3578"/>
    <mergeCell ref="N3577:N3578"/>
    <mergeCell ref="I3579:I3580"/>
    <mergeCell ref="J3579:J3580"/>
    <mergeCell ref="K3579:K3580"/>
    <mergeCell ref="L3579:L3580"/>
    <mergeCell ref="M3579:M3580"/>
    <mergeCell ref="N3579:N3580"/>
    <mergeCell ref="N3573:N3574"/>
    <mergeCell ref="I3546:I3547"/>
    <mergeCell ref="J3546:J3547"/>
    <mergeCell ref="K3546:K3547"/>
    <mergeCell ref="L3546:L3547"/>
    <mergeCell ref="M3546:M3547"/>
    <mergeCell ref="N3546:N3547"/>
    <mergeCell ref="L3542:L3543"/>
    <mergeCell ref="I3544:I3545"/>
    <mergeCell ref="J3544:J3545"/>
    <mergeCell ref="K3544:K3545"/>
    <mergeCell ref="L3544:L3545"/>
    <mergeCell ref="M3544:M3545"/>
    <mergeCell ref="I1465:I1466"/>
    <mergeCell ref="J1465:J1466"/>
    <mergeCell ref="K1465:K1466"/>
    <mergeCell ref="L1465:L1466"/>
    <mergeCell ref="M1465:M1466"/>
    <mergeCell ref="N1465:N1466"/>
    <mergeCell ref="I1206:I1207"/>
    <mergeCell ref="J1206:J1207"/>
    <mergeCell ref="K1206:K1207"/>
    <mergeCell ref="L1206:L1207"/>
    <mergeCell ref="M1206:M1207"/>
    <mergeCell ref="N1206:N1207"/>
    <mergeCell ref="M1021:M1022"/>
    <mergeCell ref="N1017:N1018"/>
    <mergeCell ref="N1019:N1020"/>
    <mergeCell ref="N1021:N1022"/>
    <mergeCell ref="I3583:M3583"/>
    <mergeCell ref="N3544:N3545"/>
    <mergeCell ref="N3538:N3539"/>
    <mergeCell ref="I3510:I3511"/>
    <mergeCell ref="J3510:J3511"/>
    <mergeCell ref="K3510:K3511"/>
    <mergeCell ref="L3510:L3511"/>
    <mergeCell ref="M3510:M3511"/>
    <mergeCell ref="N3510:N3511"/>
    <mergeCell ref="L3506:L3507"/>
    <mergeCell ref="M3506:M3507"/>
    <mergeCell ref="N3506:N3507"/>
    <mergeCell ref="I3508:I3509"/>
    <mergeCell ref="J3508:J3509"/>
    <mergeCell ref="K3508:K3509"/>
    <mergeCell ref="L3508:L3509"/>
  </mergeCells>
  <pageMargins left="0.7" right="0.63" top="0.37" bottom="0.45" header="0.22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00"/>
  <sheetViews>
    <sheetView topLeftCell="I3171" workbookViewId="0">
      <selection activeCell="K4" sqref="K4"/>
    </sheetView>
  </sheetViews>
  <sheetFormatPr baseColWidth="10" defaultRowHeight="15"/>
  <cols>
    <col min="1" max="1" width="13.28515625" style="51" hidden="1" customWidth="1"/>
    <col min="2" max="2" width="21.140625" style="51" hidden="1" customWidth="1"/>
    <col min="3" max="3" width="19.7109375" style="51" hidden="1" customWidth="1"/>
    <col min="4" max="4" width="19.140625" style="51" hidden="1" customWidth="1"/>
    <col min="5" max="5" width="18.28515625" style="51" hidden="1" customWidth="1"/>
    <col min="6" max="6" width="22.140625" style="51" hidden="1" customWidth="1"/>
    <col min="7" max="7" width="7.140625" style="51" hidden="1" customWidth="1"/>
    <col min="8" max="8" width="14.42578125" style="51" hidden="1" customWidth="1"/>
    <col min="9" max="9" width="13.28515625" style="51" customWidth="1"/>
    <col min="10" max="10" width="21.140625" style="51" customWidth="1"/>
    <col min="11" max="11" width="19.7109375" style="51" customWidth="1"/>
    <col min="12" max="12" width="20.7109375" style="51" customWidth="1"/>
    <col min="13" max="13" width="18.28515625" style="51" customWidth="1"/>
    <col min="14" max="14" width="22.140625" style="51" customWidth="1"/>
    <col min="15" max="15" width="8.28515625" style="51" customWidth="1"/>
    <col min="16" max="16" width="13" style="51" customWidth="1"/>
    <col min="17" max="16384" width="11.42578125" style="51"/>
  </cols>
  <sheetData>
    <row r="1" spans="1:16" ht="16.5">
      <c r="A1" s="49" t="s">
        <v>88</v>
      </c>
      <c r="B1" s="50"/>
      <c r="I1" s="49" t="s">
        <v>88</v>
      </c>
      <c r="J1" s="50"/>
    </row>
    <row r="2" spans="1:16">
      <c r="A2" s="51" t="s">
        <v>89</v>
      </c>
      <c r="I2" s="51" t="s">
        <v>89</v>
      </c>
    </row>
    <row r="3" spans="1:16">
      <c r="A3" s="51" t="s">
        <v>90</v>
      </c>
      <c r="I3" s="51" t="s">
        <v>90</v>
      </c>
    </row>
    <row r="4" spans="1:16">
      <c r="A4" s="51" t="s">
        <v>91</v>
      </c>
      <c r="I4" s="51" t="s">
        <v>91</v>
      </c>
    </row>
    <row r="5" spans="1:16" ht="12" customHeight="1">
      <c r="A5" s="50"/>
      <c r="B5" s="50"/>
      <c r="I5" s="50"/>
      <c r="J5" s="50"/>
    </row>
    <row r="6" spans="1:16" ht="16.5">
      <c r="A6" s="52" t="s">
        <v>172</v>
      </c>
      <c r="G6" s="52"/>
      <c r="I6" s="52" t="s">
        <v>534</v>
      </c>
      <c r="O6" s="52"/>
    </row>
    <row r="7" spans="1:16" ht="15.75">
      <c r="A7" s="53" t="s">
        <v>92</v>
      </c>
      <c r="G7" s="53"/>
      <c r="I7" s="53" t="s">
        <v>535</v>
      </c>
      <c r="O7" s="53"/>
    </row>
    <row r="8" spans="1:16" ht="13.5" customHeight="1">
      <c r="A8" s="894" t="s">
        <v>93</v>
      </c>
      <c r="B8" s="894"/>
      <c r="C8" s="894"/>
      <c r="D8" s="894"/>
      <c r="E8" s="894"/>
      <c r="F8" s="894"/>
      <c r="G8" s="894"/>
      <c r="H8" s="894"/>
      <c r="I8" s="894" t="s">
        <v>261</v>
      </c>
      <c r="J8" s="894"/>
      <c r="K8" s="894"/>
      <c r="L8" s="894"/>
      <c r="M8" s="894"/>
      <c r="N8" s="894"/>
      <c r="O8" s="894"/>
      <c r="P8" s="894"/>
    </row>
    <row r="9" spans="1:16" ht="12" customHeight="1" thickBot="1"/>
    <row r="10" spans="1:16">
      <c r="A10" s="895" t="s">
        <v>94</v>
      </c>
      <c r="B10" s="897" t="s">
        <v>95</v>
      </c>
      <c r="C10" s="897" t="s">
        <v>96</v>
      </c>
      <c r="D10" s="897" t="s">
        <v>3</v>
      </c>
      <c r="E10" s="897" t="s">
        <v>97</v>
      </c>
      <c r="F10" s="897" t="s">
        <v>98</v>
      </c>
      <c r="G10" s="897" t="s">
        <v>99</v>
      </c>
      <c r="H10" s="899"/>
      <c r="I10" s="895" t="s">
        <v>94</v>
      </c>
      <c r="J10" s="897" t="s">
        <v>95</v>
      </c>
      <c r="K10" s="897" t="s">
        <v>96</v>
      </c>
      <c r="L10" s="897" t="s">
        <v>3</v>
      </c>
      <c r="M10" s="897" t="s">
        <v>97</v>
      </c>
      <c r="N10" s="897" t="s">
        <v>98</v>
      </c>
      <c r="O10" s="897" t="s">
        <v>99</v>
      </c>
      <c r="P10" s="899"/>
    </row>
    <row r="11" spans="1:16" ht="15.75" thickBot="1">
      <c r="A11" s="896"/>
      <c r="B11" s="898"/>
      <c r="C11" s="898"/>
      <c r="D11" s="898"/>
      <c r="E11" s="898"/>
      <c r="F11" s="898"/>
      <c r="G11" s="240" t="s">
        <v>100</v>
      </c>
      <c r="H11" s="182" t="s">
        <v>101</v>
      </c>
      <c r="I11" s="896"/>
      <c r="J11" s="898"/>
      <c r="K11" s="898"/>
      <c r="L11" s="898"/>
      <c r="M11" s="898"/>
      <c r="N11" s="898"/>
      <c r="O11" s="240" t="s">
        <v>100</v>
      </c>
      <c r="P11" s="182" t="s">
        <v>101</v>
      </c>
    </row>
    <row r="12" spans="1:16" ht="13.5" customHeight="1">
      <c r="A12" s="881">
        <v>237</v>
      </c>
      <c r="B12" s="875">
        <v>42228</v>
      </c>
      <c r="C12" s="942" t="s">
        <v>31</v>
      </c>
      <c r="D12" s="881" t="s">
        <v>174</v>
      </c>
      <c r="E12" s="881" t="s">
        <v>115</v>
      </c>
      <c r="F12" s="883">
        <v>120000</v>
      </c>
      <c r="G12" s="55">
        <v>719</v>
      </c>
      <c r="H12" s="78">
        <v>120000</v>
      </c>
      <c r="I12" s="873" t="s">
        <v>545</v>
      </c>
      <c r="J12" s="875">
        <v>42380</v>
      </c>
      <c r="K12" s="877" t="s">
        <v>272</v>
      </c>
      <c r="L12" s="881" t="s">
        <v>537</v>
      </c>
      <c r="M12" s="881" t="s">
        <v>115</v>
      </c>
      <c r="N12" s="883">
        <v>80000</v>
      </c>
      <c r="O12" s="55">
        <v>719</v>
      </c>
      <c r="P12" s="78">
        <v>80000</v>
      </c>
    </row>
    <row r="13" spans="1:16" ht="14.25" customHeight="1" thickBot="1">
      <c r="A13" s="882"/>
      <c r="B13" s="934"/>
      <c r="C13" s="943"/>
      <c r="D13" s="882"/>
      <c r="E13" s="882"/>
      <c r="F13" s="884"/>
      <c r="G13" s="56">
        <v>721</v>
      </c>
      <c r="H13" s="79">
        <f>+F12-H12</f>
        <v>0</v>
      </c>
      <c r="I13" s="874"/>
      <c r="J13" s="876"/>
      <c r="K13" s="878"/>
      <c r="L13" s="882"/>
      <c r="M13" s="882"/>
      <c r="N13" s="884"/>
      <c r="O13" s="56">
        <v>721</v>
      </c>
      <c r="P13" s="79">
        <f>+N12-P12</f>
        <v>0</v>
      </c>
    </row>
    <row r="14" spans="1:16" ht="13.5" customHeight="1">
      <c r="A14" s="881">
        <f>+A12+1</f>
        <v>238</v>
      </c>
      <c r="B14" s="875">
        <v>42228</v>
      </c>
      <c r="C14" s="935" t="s">
        <v>28</v>
      </c>
      <c r="D14" s="881" t="s">
        <v>175</v>
      </c>
      <c r="E14" s="881" t="s">
        <v>115</v>
      </c>
      <c r="F14" s="883">
        <v>90000</v>
      </c>
      <c r="G14" s="55">
        <v>719</v>
      </c>
      <c r="H14" s="78">
        <v>90000</v>
      </c>
      <c r="I14" s="873" t="s">
        <v>547</v>
      </c>
      <c r="J14" s="875">
        <v>42380</v>
      </c>
      <c r="K14" s="881" t="s">
        <v>28</v>
      </c>
      <c r="L14" s="881" t="s">
        <v>538</v>
      </c>
      <c r="M14" s="881" t="s">
        <v>115</v>
      </c>
      <c r="N14" s="883">
        <v>30000</v>
      </c>
      <c r="O14" s="55">
        <v>719</v>
      </c>
      <c r="P14" s="78">
        <v>30000</v>
      </c>
    </row>
    <row r="15" spans="1:16" ht="14.25" customHeight="1" thickBot="1">
      <c r="A15" s="882"/>
      <c r="B15" s="876"/>
      <c r="C15" s="936"/>
      <c r="D15" s="882"/>
      <c r="E15" s="882"/>
      <c r="F15" s="884"/>
      <c r="G15" s="56">
        <v>721</v>
      </c>
      <c r="H15" s="79"/>
      <c r="I15" s="874"/>
      <c r="J15" s="876"/>
      <c r="K15" s="882"/>
      <c r="L15" s="882"/>
      <c r="M15" s="882"/>
      <c r="N15" s="884"/>
      <c r="O15" s="56">
        <v>721</v>
      </c>
      <c r="P15" s="79">
        <f>+N14-P14</f>
        <v>0</v>
      </c>
    </row>
    <row r="16" spans="1:16" ht="14.25" customHeight="1">
      <c r="A16" s="881"/>
      <c r="B16" s="875"/>
      <c r="C16" s="935"/>
      <c r="D16" s="881"/>
      <c r="E16" s="881"/>
      <c r="F16" s="883"/>
      <c r="G16" s="55">
        <v>719</v>
      </c>
      <c r="H16" s="78"/>
      <c r="I16" s="873" t="s">
        <v>548</v>
      </c>
      <c r="J16" s="875">
        <v>42380</v>
      </c>
      <c r="K16" s="877" t="s">
        <v>32</v>
      </c>
      <c r="L16" s="881" t="s">
        <v>538</v>
      </c>
      <c r="M16" s="881" t="s">
        <v>115</v>
      </c>
      <c r="N16" s="883">
        <v>40000</v>
      </c>
      <c r="O16" s="55">
        <v>719</v>
      </c>
      <c r="P16" s="78">
        <v>40000</v>
      </c>
    </row>
    <row r="17" spans="1:16" ht="12.75" customHeight="1" thickBot="1">
      <c r="A17" s="882"/>
      <c r="B17" s="934"/>
      <c r="C17" s="936"/>
      <c r="D17" s="882"/>
      <c r="E17" s="882"/>
      <c r="F17" s="884"/>
      <c r="G17" s="56">
        <v>721</v>
      </c>
      <c r="H17" s="79">
        <f>+F16-H16</f>
        <v>0</v>
      </c>
      <c r="I17" s="882"/>
      <c r="J17" s="876"/>
      <c r="K17" s="878"/>
      <c r="L17" s="882"/>
      <c r="M17" s="882"/>
      <c r="N17" s="884"/>
      <c r="O17" s="56">
        <v>721</v>
      </c>
      <c r="P17" s="79">
        <f>+N16-P16</f>
        <v>0</v>
      </c>
    </row>
    <row r="18" spans="1:16" ht="14.25" customHeight="1">
      <c r="A18" s="881"/>
      <c r="B18" s="875"/>
      <c r="C18" s="935"/>
      <c r="D18" s="877"/>
      <c r="E18" s="881"/>
      <c r="F18" s="883"/>
      <c r="G18" s="55">
        <v>719</v>
      </c>
      <c r="H18" s="78"/>
      <c r="I18" s="873" t="s">
        <v>549</v>
      </c>
      <c r="J18" s="875">
        <v>42380</v>
      </c>
      <c r="K18" s="877" t="s">
        <v>120</v>
      </c>
      <c r="L18" s="881" t="s">
        <v>529</v>
      </c>
      <c r="M18" s="881" t="s">
        <v>115</v>
      </c>
      <c r="N18" s="883">
        <v>30000</v>
      </c>
      <c r="O18" s="55">
        <v>719</v>
      </c>
      <c r="P18" s="78">
        <v>30000</v>
      </c>
    </row>
    <row r="19" spans="1:16" ht="15" customHeight="1" thickBot="1">
      <c r="A19" s="882"/>
      <c r="B19" s="934"/>
      <c r="C19" s="936"/>
      <c r="D19" s="878"/>
      <c r="E19" s="882"/>
      <c r="F19" s="884"/>
      <c r="G19" s="56">
        <v>721</v>
      </c>
      <c r="H19" s="79">
        <f>+F18-H18</f>
        <v>0</v>
      </c>
      <c r="I19" s="882"/>
      <c r="J19" s="876"/>
      <c r="K19" s="878"/>
      <c r="L19" s="882"/>
      <c r="M19" s="882"/>
      <c r="N19" s="884"/>
      <c r="O19" s="56">
        <v>721</v>
      </c>
      <c r="P19" s="79">
        <f>+N18-P18</f>
        <v>0</v>
      </c>
    </row>
    <row r="20" spans="1:16" ht="13.5" customHeight="1">
      <c r="A20" s="881"/>
      <c r="B20" s="875"/>
      <c r="C20" s="935"/>
      <c r="D20" s="877"/>
      <c r="E20" s="881"/>
      <c r="F20" s="883"/>
      <c r="G20" s="55">
        <v>719</v>
      </c>
      <c r="H20" s="78"/>
      <c r="I20" s="881"/>
      <c r="J20" s="875"/>
      <c r="K20" s="877"/>
      <c r="L20" s="881"/>
      <c r="M20" s="881"/>
      <c r="N20" s="883"/>
      <c r="O20" s="55">
        <v>719</v>
      </c>
      <c r="P20" s="78"/>
    </row>
    <row r="21" spans="1:16" ht="14.25" customHeight="1" thickBot="1">
      <c r="A21" s="882"/>
      <c r="B21" s="934"/>
      <c r="C21" s="936"/>
      <c r="D21" s="878"/>
      <c r="E21" s="882"/>
      <c r="F21" s="884"/>
      <c r="G21" s="56">
        <v>721</v>
      </c>
      <c r="H21" s="79">
        <f>+F20-H20</f>
        <v>0</v>
      </c>
      <c r="I21" s="882"/>
      <c r="J21" s="876"/>
      <c r="K21" s="878"/>
      <c r="L21" s="882"/>
      <c r="M21" s="882"/>
      <c r="N21" s="884"/>
      <c r="O21" s="56">
        <v>721</v>
      </c>
      <c r="P21" s="79">
        <f>+N20-P20</f>
        <v>0</v>
      </c>
    </row>
    <row r="22" spans="1:16" ht="16.5" thickBot="1">
      <c r="A22" s="901" t="s">
        <v>102</v>
      </c>
      <c r="B22" s="902"/>
      <c r="C22" s="902"/>
      <c r="D22" s="902"/>
      <c r="E22" s="903"/>
      <c r="F22" s="81">
        <f>SUM(F12:F21)</f>
        <v>210000</v>
      </c>
      <c r="I22" s="901" t="s">
        <v>102</v>
      </c>
      <c r="J22" s="902"/>
      <c r="K22" s="902"/>
      <c r="L22" s="902"/>
      <c r="M22" s="903"/>
      <c r="N22" s="81">
        <f>SUM(N12:N21)</f>
        <v>180000</v>
      </c>
    </row>
    <row r="23" spans="1:16" ht="16.5" thickBot="1">
      <c r="A23" s="885" t="s">
        <v>103</v>
      </c>
      <c r="B23" s="886"/>
      <c r="C23" s="886"/>
      <c r="D23" s="886"/>
      <c r="E23" s="887"/>
      <c r="F23" s="69">
        <f>+C37</f>
        <v>610857841</v>
      </c>
      <c r="I23" s="885" t="s">
        <v>103</v>
      </c>
      <c r="J23" s="886"/>
      <c r="K23" s="886"/>
      <c r="L23" s="886"/>
      <c r="M23" s="887"/>
      <c r="N23" s="69">
        <v>0</v>
      </c>
    </row>
    <row r="24" spans="1:16" ht="16.5" thickBot="1">
      <c r="A24" s="888" t="s">
        <v>104</v>
      </c>
      <c r="B24" s="889"/>
      <c r="C24" s="889"/>
      <c r="D24" s="889"/>
      <c r="E24" s="890"/>
      <c r="F24" s="183">
        <f>SUM(F22:F23)</f>
        <v>611067841</v>
      </c>
      <c r="I24" s="888" t="s">
        <v>104</v>
      </c>
      <c r="J24" s="889"/>
      <c r="K24" s="889"/>
      <c r="L24" s="889"/>
      <c r="M24" s="890"/>
      <c r="N24" s="183">
        <f>SUM(N22:N23)</f>
        <v>180000</v>
      </c>
    </row>
    <row r="25" spans="1:16" ht="12" customHeight="1">
      <c r="A25" s="61"/>
      <c r="B25" s="61"/>
      <c r="C25" s="61"/>
      <c r="D25" s="61"/>
      <c r="E25" s="61"/>
      <c r="I25" s="61"/>
      <c r="J25" s="61"/>
      <c r="K25" s="61"/>
      <c r="L25" s="61"/>
      <c r="M25" s="61"/>
    </row>
    <row r="26" spans="1:16" ht="16.5" customHeight="1">
      <c r="A26" s="51" t="s">
        <v>176</v>
      </c>
      <c r="I26" s="51" t="s">
        <v>541</v>
      </c>
    </row>
    <row r="27" spans="1:16" ht="12" customHeight="1">
      <c r="F27" s="139"/>
      <c r="N27" s="139"/>
    </row>
    <row r="28" spans="1:16" ht="18.75" customHeight="1">
      <c r="A28" s="50" t="s">
        <v>105</v>
      </c>
      <c r="D28" s="146"/>
      <c r="F28" s="139"/>
      <c r="I28" s="50" t="s">
        <v>105</v>
      </c>
      <c r="L28" s="146"/>
      <c r="N28" s="139"/>
    </row>
    <row r="29" spans="1:16" ht="13.5" customHeight="1" thickBot="1"/>
    <row r="30" spans="1:16" ht="15.75" thickBot="1">
      <c r="A30" s="891" t="s">
        <v>106</v>
      </c>
      <c r="B30" s="892"/>
      <c r="C30" s="892"/>
      <c r="D30" s="893"/>
      <c r="F30" s="50" t="s">
        <v>107</v>
      </c>
      <c r="I30" s="891" t="s">
        <v>106</v>
      </c>
      <c r="J30" s="892"/>
      <c r="K30" s="892"/>
      <c r="L30" s="893"/>
      <c r="N30" s="50" t="s">
        <v>288</v>
      </c>
    </row>
    <row r="31" spans="1:16" ht="38.25" customHeight="1" thickBot="1">
      <c r="A31" s="57" t="s">
        <v>100</v>
      </c>
      <c r="B31" s="58" t="s">
        <v>108</v>
      </c>
      <c r="C31" s="59" t="s">
        <v>109</v>
      </c>
      <c r="D31" s="60" t="s">
        <v>110</v>
      </c>
      <c r="I31" s="57" t="s">
        <v>100</v>
      </c>
      <c r="J31" s="58" t="s">
        <v>108</v>
      </c>
      <c r="K31" s="59" t="s">
        <v>109</v>
      </c>
      <c r="L31" s="60" t="s">
        <v>110</v>
      </c>
    </row>
    <row r="32" spans="1:16">
      <c r="A32" s="71">
        <v>719</v>
      </c>
      <c r="B32" s="73">
        <v>210000</v>
      </c>
      <c r="C32" s="74">
        <v>28120000</v>
      </c>
      <c r="D32" s="76">
        <f>+B32+C32</f>
        <v>28330000</v>
      </c>
      <c r="I32" s="71">
        <v>719</v>
      </c>
      <c r="J32" s="73">
        <f>+P12+P14+P16+P18+P20</f>
        <v>180000</v>
      </c>
      <c r="K32" s="74">
        <v>0</v>
      </c>
      <c r="L32" s="195">
        <f>+J32+K32</f>
        <v>180000</v>
      </c>
    </row>
    <row r="33" spans="1:22" ht="15" customHeight="1">
      <c r="A33" s="72">
        <v>721</v>
      </c>
      <c r="B33" s="80"/>
      <c r="C33" s="75">
        <v>36156092</v>
      </c>
      <c r="D33" s="76">
        <f>+B33+C33</f>
        <v>36156092</v>
      </c>
      <c r="I33" s="72">
        <v>721</v>
      </c>
      <c r="J33" s="80">
        <f>+P13+P15+P17+P19+P21</f>
        <v>0</v>
      </c>
      <c r="K33" s="74">
        <v>0</v>
      </c>
      <c r="L33" s="195">
        <f>+J33+K33</f>
        <v>0</v>
      </c>
    </row>
    <row r="34" spans="1:22" ht="14.25" customHeight="1">
      <c r="A34" s="72">
        <v>722</v>
      </c>
      <c r="B34" s="80"/>
      <c r="C34" s="75">
        <v>224787287</v>
      </c>
      <c r="D34" s="76">
        <f>+B34+C34</f>
        <v>224787287</v>
      </c>
      <c r="I34" s="72">
        <v>722</v>
      </c>
      <c r="J34" s="80"/>
      <c r="K34" s="74">
        <v>0</v>
      </c>
      <c r="L34" s="195">
        <f>+J34+K34</f>
        <v>0</v>
      </c>
    </row>
    <row r="35" spans="1:22" ht="13.5" customHeight="1">
      <c r="A35" s="72">
        <v>723</v>
      </c>
      <c r="B35" s="80"/>
      <c r="C35" s="75">
        <v>319828837</v>
      </c>
      <c r="D35" s="76">
        <f>+B35+C35</f>
        <v>319828837</v>
      </c>
      <c r="F35" s="174" t="s">
        <v>23</v>
      </c>
      <c r="G35" s="175"/>
      <c r="I35" s="72">
        <v>723</v>
      </c>
      <c r="J35" s="80"/>
      <c r="K35" s="74">
        <v>0</v>
      </c>
      <c r="L35" s="195">
        <f>+J35+K35</f>
        <v>0</v>
      </c>
      <c r="N35" s="193" t="s">
        <v>289</v>
      </c>
      <c r="O35" s="175"/>
    </row>
    <row r="36" spans="1:22" ht="16.5" thickBot="1">
      <c r="A36" s="164" t="s">
        <v>181</v>
      </c>
      <c r="B36" s="165"/>
      <c r="C36" s="166">
        <v>1965625</v>
      </c>
      <c r="D36" s="168">
        <f>+B36+C36</f>
        <v>1965625</v>
      </c>
      <c r="F36" s="52"/>
      <c r="I36" s="164" t="s">
        <v>181</v>
      </c>
      <c r="J36" s="165"/>
      <c r="K36" s="74">
        <v>0</v>
      </c>
      <c r="L36" s="196">
        <f>+J36+K36</f>
        <v>0</v>
      </c>
      <c r="N36" s="52"/>
    </row>
    <row r="37" spans="1:22" ht="16.5" thickBot="1">
      <c r="A37" s="169"/>
      <c r="B37" s="170">
        <f>SUM(B32:B36)</f>
        <v>210000</v>
      </c>
      <c r="C37" s="171">
        <f>SUM(C32:C36)</f>
        <v>610857841</v>
      </c>
      <c r="D37" s="172">
        <f>SUM(D32:D36)</f>
        <v>611067841</v>
      </c>
      <c r="I37" s="169"/>
      <c r="J37" s="197">
        <f>SUM(J32:J36)</f>
        <v>180000</v>
      </c>
      <c r="K37" s="197">
        <f>SUM(K32:K36)</f>
        <v>0</v>
      </c>
      <c r="L37" s="198">
        <f>SUM(L32:L36)</f>
        <v>180000</v>
      </c>
    </row>
    <row r="38" spans="1:22" ht="16.5">
      <c r="A38" s="49" t="s">
        <v>88</v>
      </c>
      <c r="B38" s="50"/>
      <c r="I38" s="49" t="s">
        <v>88</v>
      </c>
      <c r="J38" s="50"/>
    </row>
    <row r="39" spans="1:22">
      <c r="A39" s="51" t="s">
        <v>89</v>
      </c>
      <c r="I39" s="51" t="s">
        <v>89</v>
      </c>
    </row>
    <row r="40" spans="1:22">
      <c r="A40" s="51" t="s">
        <v>90</v>
      </c>
      <c r="I40" s="51" t="s">
        <v>90</v>
      </c>
    </row>
    <row r="41" spans="1:22" ht="16.5" customHeight="1">
      <c r="A41" s="51" t="s">
        <v>91</v>
      </c>
      <c r="I41" s="51" t="s">
        <v>91</v>
      </c>
    </row>
    <row r="42" spans="1:22" ht="13.5" customHeight="1">
      <c r="A42" s="50"/>
      <c r="B42" s="50"/>
      <c r="I42" s="50"/>
      <c r="J42" s="50"/>
    </row>
    <row r="43" spans="1:22" ht="16.5" customHeight="1">
      <c r="A43" s="52" t="s">
        <v>222</v>
      </c>
      <c r="G43" s="52"/>
      <c r="I43" s="52" t="s">
        <v>536</v>
      </c>
      <c r="O43" s="52"/>
    </row>
    <row r="44" spans="1:22" ht="15.75" customHeight="1">
      <c r="A44" s="53" t="s">
        <v>92</v>
      </c>
      <c r="G44" s="53"/>
      <c r="I44" s="53" t="s">
        <v>535</v>
      </c>
      <c r="O44" s="53"/>
    </row>
    <row r="45" spans="1:22" ht="15.75" customHeight="1">
      <c r="A45" s="894" t="s">
        <v>93</v>
      </c>
      <c r="B45" s="894"/>
      <c r="C45" s="894"/>
      <c r="D45" s="894"/>
      <c r="E45" s="894"/>
      <c r="F45" s="894"/>
      <c r="G45" s="894"/>
      <c r="H45" s="894"/>
      <c r="I45" s="894" t="s">
        <v>261</v>
      </c>
      <c r="J45" s="894"/>
      <c r="K45" s="894"/>
      <c r="L45" s="894"/>
      <c r="M45" s="894"/>
      <c r="N45" s="894"/>
      <c r="O45" s="894"/>
      <c r="P45" s="894"/>
      <c r="V45" s="51">
        <v>189000000</v>
      </c>
    </row>
    <row r="46" spans="1:22" ht="12" customHeight="1" thickBot="1"/>
    <row r="47" spans="1:22">
      <c r="A47" s="895" t="s">
        <v>94</v>
      </c>
      <c r="B47" s="897" t="s">
        <v>95</v>
      </c>
      <c r="C47" s="897" t="s">
        <v>96</v>
      </c>
      <c r="D47" s="897" t="s">
        <v>3</v>
      </c>
      <c r="E47" s="897" t="s">
        <v>97</v>
      </c>
      <c r="F47" s="897" t="s">
        <v>98</v>
      </c>
      <c r="G47" s="897" t="s">
        <v>99</v>
      </c>
      <c r="H47" s="899"/>
      <c r="I47" s="895" t="s">
        <v>94</v>
      </c>
      <c r="J47" s="897" t="s">
        <v>95</v>
      </c>
      <c r="K47" s="897" t="s">
        <v>96</v>
      </c>
      <c r="L47" s="897" t="s">
        <v>3</v>
      </c>
      <c r="M47" s="897" t="s">
        <v>97</v>
      </c>
      <c r="N47" s="897" t="s">
        <v>98</v>
      </c>
      <c r="O47" s="897" t="s">
        <v>99</v>
      </c>
      <c r="P47" s="899"/>
    </row>
    <row r="48" spans="1:22" ht="15.75" thickBot="1">
      <c r="A48" s="896"/>
      <c r="B48" s="898"/>
      <c r="C48" s="898"/>
      <c r="D48" s="898"/>
      <c r="E48" s="898"/>
      <c r="F48" s="898"/>
      <c r="G48" s="240" t="s">
        <v>100</v>
      </c>
      <c r="H48" s="182" t="s">
        <v>101</v>
      </c>
      <c r="I48" s="896"/>
      <c r="J48" s="898"/>
      <c r="K48" s="898"/>
      <c r="L48" s="898"/>
      <c r="M48" s="898"/>
      <c r="N48" s="898"/>
      <c r="O48" s="240" t="s">
        <v>100</v>
      </c>
      <c r="P48" s="182" t="s">
        <v>101</v>
      </c>
    </row>
    <row r="49" spans="1:16" ht="15" customHeight="1">
      <c r="A49" s="881">
        <f>+A14+1</f>
        <v>239</v>
      </c>
      <c r="B49" s="875">
        <v>42240</v>
      </c>
      <c r="C49" s="935" t="s">
        <v>28</v>
      </c>
      <c r="D49" s="881" t="s">
        <v>223</v>
      </c>
      <c r="E49" s="881" t="s">
        <v>115</v>
      </c>
      <c r="F49" s="883">
        <v>60000</v>
      </c>
      <c r="G49" s="55">
        <v>719</v>
      </c>
      <c r="H49" s="78">
        <v>60000</v>
      </c>
      <c r="I49" s="873" t="s">
        <v>550</v>
      </c>
      <c r="J49" s="875">
        <v>42380</v>
      </c>
      <c r="K49" s="877" t="s">
        <v>40</v>
      </c>
      <c r="L49" s="881" t="s">
        <v>531</v>
      </c>
      <c r="M49" s="881" t="s">
        <v>148</v>
      </c>
      <c r="N49" s="883">
        <v>14000</v>
      </c>
      <c r="O49" s="55">
        <v>719</v>
      </c>
      <c r="P49" s="78">
        <v>10000</v>
      </c>
    </row>
    <row r="50" spans="1:16" ht="14.25" customHeight="1" thickBot="1">
      <c r="A50" s="882"/>
      <c r="B50" s="934"/>
      <c r="C50" s="936"/>
      <c r="D50" s="882"/>
      <c r="E50" s="882"/>
      <c r="F50" s="884"/>
      <c r="G50" s="56">
        <v>721</v>
      </c>
      <c r="H50" s="79">
        <f>+F49-H49</f>
        <v>0</v>
      </c>
      <c r="I50" s="874"/>
      <c r="J50" s="876"/>
      <c r="K50" s="878"/>
      <c r="L50" s="882"/>
      <c r="M50" s="882"/>
      <c r="N50" s="884"/>
      <c r="O50" s="56">
        <v>721</v>
      </c>
      <c r="P50" s="79">
        <f>+N49-P49</f>
        <v>4000</v>
      </c>
    </row>
    <row r="51" spans="1:16" ht="15.75" customHeight="1">
      <c r="A51" s="881">
        <f>+A49+1</f>
        <v>240</v>
      </c>
      <c r="B51" s="875">
        <v>42240</v>
      </c>
      <c r="C51" s="942" t="s">
        <v>31</v>
      </c>
      <c r="D51" s="881" t="s">
        <v>224</v>
      </c>
      <c r="E51" s="881" t="s">
        <v>115</v>
      </c>
      <c r="F51" s="883">
        <v>140000</v>
      </c>
      <c r="G51" s="55">
        <v>719</v>
      </c>
      <c r="H51" s="78">
        <v>140000</v>
      </c>
      <c r="I51" s="873" t="s">
        <v>551</v>
      </c>
      <c r="J51" s="875">
        <v>42380</v>
      </c>
      <c r="K51" s="881" t="s">
        <v>28</v>
      </c>
      <c r="L51" s="881" t="s">
        <v>532</v>
      </c>
      <c r="M51" s="881" t="s">
        <v>148</v>
      </c>
      <c r="N51" s="883">
        <v>84000</v>
      </c>
      <c r="O51" s="55">
        <v>719</v>
      </c>
      <c r="P51" s="78">
        <v>60000</v>
      </c>
    </row>
    <row r="52" spans="1:16" ht="15" customHeight="1" thickBot="1">
      <c r="A52" s="882"/>
      <c r="B52" s="934"/>
      <c r="C52" s="943"/>
      <c r="D52" s="882"/>
      <c r="E52" s="882"/>
      <c r="F52" s="884"/>
      <c r="G52" s="56">
        <v>721</v>
      </c>
      <c r="H52" s="79"/>
      <c r="I52" s="874"/>
      <c r="J52" s="876"/>
      <c r="K52" s="882"/>
      <c r="L52" s="882"/>
      <c r="M52" s="882"/>
      <c r="N52" s="884"/>
      <c r="O52" s="56">
        <v>721</v>
      </c>
      <c r="P52" s="79">
        <f>+N51-P51</f>
        <v>24000</v>
      </c>
    </row>
    <row r="53" spans="1:16" ht="15.75" customHeight="1">
      <c r="A53" s="881">
        <f>+A51+1</f>
        <v>241</v>
      </c>
      <c r="B53" s="875">
        <v>42240</v>
      </c>
      <c r="C53" s="942" t="s">
        <v>32</v>
      </c>
      <c r="D53" s="881" t="s">
        <v>225</v>
      </c>
      <c r="E53" s="881" t="s">
        <v>115</v>
      </c>
      <c r="F53" s="883">
        <v>50000</v>
      </c>
      <c r="G53" s="55">
        <v>719</v>
      </c>
      <c r="H53" s="78">
        <v>50000</v>
      </c>
      <c r="I53" s="873" t="s">
        <v>552</v>
      </c>
      <c r="J53" s="875">
        <v>42380</v>
      </c>
      <c r="K53" s="877" t="s">
        <v>32</v>
      </c>
      <c r="L53" s="881" t="s">
        <v>533</v>
      </c>
      <c r="M53" s="881" t="s">
        <v>148</v>
      </c>
      <c r="N53" s="883">
        <v>42000</v>
      </c>
      <c r="O53" s="55">
        <v>719</v>
      </c>
      <c r="P53" s="78">
        <v>30000</v>
      </c>
    </row>
    <row r="54" spans="1:16" ht="15" customHeight="1" thickBot="1">
      <c r="A54" s="882"/>
      <c r="B54" s="934"/>
      <c r="C54" s="943"/>
      <c r="D54" s="882"/>
      <c r="E54" s="882"/>
      <c r="F54" s="884"/>
      <c r="G54" s="56">
        <v>721</v>
      </c>
      <c r="H54" s="79">
        <f>+F53-H53</f>
        <v>0</v>
      </c>
      <c r="I54" s="874"/>
      <c r="J54" s="876"/>
      <c r="K54" s="878"/>
      <c r="L54" s="882"/>
      <c r="M54" s="882"/>
      <c r="N54" s="884"/>
      <c r="O54" s="56">
        <v>721</v>
      </c>
      <c r="P54" s="79">
        <f>+N53-P53</f>
        <v>12000</v>
      </c>
    </row>
    <row r="55" spans="1:16" ht="15.75" customHeight="1">
      <c r="A55" s="881"/>
      <c r="B55" s="875"/>
      <c r="C55" s="935"/>
      <c r="D55" s="877"/>
      <c r="E55" s="881"/>
      <c r="F55" s="883"/>
      <c r="G55" s="55">
        <v>719</v>
      </c>
      <c r="H55" s="78"/>
      <c r="I55" s="873" t="s">
        <v>553</v>
      </c>
      <c r="J55" s="875">
        <v>42380</v>
      </c>
      <c r="K55" s="877" t="s">
        <v>111</v>
      </c>
      <c r="L55" s="881" t="s">
        <v>542</v>
      </c>
      <c r="M55" s="881" t="s">
        <v>148</v>
      </c>
      <c r="N55" s="883">
        <v>28000</v>
      </c>
      <c r="O55" s="55">
        <v>719</v>
      </c>
      <c r="P55" s="78">
        <v>20000</v>
      </c>
    </row>
    <row r="56" spans="1:16" ht="15" customHeight="1" thickBot="1">
      <c r="A56" s="882"/>
      <c r="B56" s="934"/>
      <c r="C56" s="936"/>
      <c r="D56" s="878"/>
      <c r="E56" s="882"/>
      <c r="F56" s="884"/>
      <c r="G56" s="56">
        <v>721</v>
      </c>
      <c r="H56" s="79">
        <f>+F55-H55</f>
        <v>0</v>
      </c>
      <c r="I56" s="874"/>
      <c r="J56" s="876"/>
      <c r="K56" s="878"/>
      <c r="L56" s="882"/>
      <c r="M56" s="882"/>
      <c r="N56" s="884"/>
      <c r="O56" s="56">
        <v>721</v>
      </c>
      <c r="P56" s="79">
        <f>+N55-P55</f>
        <v>8000</v>
      </c>
    </row>
    <row r="57" spans="1:16" ht="15.75" customHeight="1">
      <c r="A57" s="881"/>
      <c r="B57" s="875"/>
      <c r="C57" s="935"/>
      <c r="D57" s="877"/>
      <c r="E57" s="881"/>
      <c r="F57" s="883"/>
      <c r="G57" s="55">
        <v>719</v>
      </c>
      <c r="H57" s="78"/>
      <c r="I57" s="873" t="s">
        <v>554</v>
      </c>
      <c r="J57" s="875">
        <v>42380</v>
      </c>
      <c r="K57" s="877" t="s">
        <v>272</v>
      </c>
      <c r="L57" s="881" t="s">
        <v>532</v>
      </c>
      <c r="M57" s="881" t="s">
        <v>148</v>
      </c>
      <c r="N57" s="883">
        <v>126000</v>
      </c>
      <c r="O57" s="55">
        <v>719</v>
      </c>
      <c r="P57" s="78">
        <v>90000</v>
      </c>
    </row>
    <row r="58" spans="1:16" ht="15" customHeight="1" thickBot="1">
      <c r="A58" s="882"/>
      <c r="B58" s="934"/>
      <c r="C58" s="936"/>
      <c r="D58" s="878"/>
      <c r="E58" s="882"/>
      <c r="F58" s="884"/>
      <c r="G58" s="56">
        <v>721</v>
      </c>
      <c r="H58" s="79">
        <f>+F57-H57</f>
        <v>0</v>
      </c>
      <c r="I58" s="874"/>
      <c r="J58" s="876"/>
      <c r="K58" s="878"/>
      <c r="L58" s="882"/>
      <c r="M58" s="882"/>
      <c r="N58" s="884"/>
      <c r="O58" s="56">
        <v>721</v>
      </c>
      <c r="P58" s="79">
        <f>+N57-P57</f>
        <v>36000</v>
      </c>
    </row>
    <row r="59" spans="1:16" ht="15.75" customHeight="1" thickBot="1">
      <c r="A59" s="901" t="s">
        <v>102</v>
      </c>
      <c r="B59" s="902"/>
      <c r="C59" s="902"/>
      <c r="D59" s="902"/>
      <c r="E59" s="903"/>
      <c r="F59" s="81">
        <f>SUM(F49:F58)</f>
        <v>250000</v>
      </c>
      <c r="I59" s="901" t="s">
        <v>102</v>
      </c>
      <c r="J59" s="902"/>
      <c r="K59" s="902"/>
      <c r="L59" s="902"/>
      <c r="M59" s="903"/>
      <c r="N59" s="81">
        <f>SUM(N49:N58)</f>
        <v>294000</v>
      </c>
    </row>
    <row r="60" spans="1:16" ht="16.5" thickBot="1">
      <c r="A60" s="885" t="s">
        <v>103</v>
      </c>
      <c r="B60" s="886"/>
      <c r="C60" s="886"/>
      <c r="D60" s="886"/>
      <c r="E60" s="887"/>
      <c r="F60" s="69">
        <f>+C74</f>
        <v>611067841</v>
      </c>
      <c r="I60" s="885" t="s">
        <v>103</v>
      </c>
      <c r="J60" s="886"/>
      <c r="K60" s="886"/>
      <c r="L60" s="886"/>
      <c r="M60" s="887"/>
      <c r="N60" s="69">
        <f>+N24</f>
        <v>180000</v>
      </c>
    </row>
    <row r="61" spans="1:16" ht="16.5" thickBot="1">
      <c r="A61" s="888" t="s">
        <v>104</v>
      </c>
      <c r="B61" s="889"/>
      <c r="C61" s="889"/>
      <c r="D61" s="889"/>
      <c r="E61" s="890"/>
      <c r="F61" s="183">
        <f>SUM(F59:F60)</f>
        <v>611317841</v>
      </c>
      <c r="I61" s="888" t="s">
        <v>104</v>
      </c>
      <c r="J61" s="889"/>
      <c r="K61" s="889"/>
      <c r="L61" s="889"/>
      <c r="M61" s="890"/>
      <c r="N61" s="183">
        <f>SUM(N59:N60)</f>
        <v>474000</v>
      </c>
    </row>
    <row r="62" spans="1:16" ht="13.5" customHeight="1">
      <c r="A62" s="61"/>
      <c r="B62" s="61"/>
      <c r="C62" s="61"/>
      <c r="D62" s="61"/>
      <c r="E62" s="61"/>
      <c r="I62" s="61"/>
      <c r="J62" s="61"/>
      <c r="K62" s="61"/>
      <c r="L62" s="61"/>
      <c r="M62" s="61"/>
    </row>
    <row r="63" spans="1:16">
      <c r="A63" s="51" t="s">
        <v>226</v>
      </c>
      <c r="I63" s="51" t="s">
        <v>543</v>
      </c>
    </row>
    <row r="64" spans="1:16" ht="11.25" customHeight="1">
      <c r="F64" s="139"/>
      <c r="N64" s="139"/>
    </row>
    <row r="65" spans="1:15">
      <c r="A65" s="50" t="s">
        <v>105</v>
      </c>
      <c r="D65" s="146"/>
      <c r="F65" s="139"/>
      <c r="I65" s="50" t="s">
        <v>105</v>
      </c>
      <c r="L65" s="146"/>
      <c r="N65" s="139"/>
    </row>
    <row r="66" spans="1:15" ht="12.75" customHeight="1" thickBot="1"/>
    <row r="67" spans="1:15" ht="15.75" thickBot="1">
      <c r="A67" s="891" t="s">
        <v>106</v>
      </c>
      <c r="B67" s="892"/>
      <c r="C67" s="892"/>
      <c r="D67" s="893"/>
      <c r="F67" s="50" t="s">
        <v>107</v>
      </c>
      <c r="I67" s="891" t="s">
        <v>106</v>
      </c>
      <c r="J67" s="892"/>
      <c r="K67" s="892"/>
      <c r="L67" s="893"/>
      <c r="N67" s="50" t="s">
        <v>288</v>
      </c>
    </row>
    <row r="68" spans="1:15" ht="30.75" thickBot="1">
      <c r="A68" s="57" t="s">
        <v>100</v>
      </c>
      <c r="B68" s="58" t="s">
        <v>108</v>
      </c>
      <c r="C68" s="59" t="s">
        <v>109</v>
      </c>
      <c r="D68" s="60" t="s">
        <v>110</v>
      </c>
      <c r="I68" s="57" t="s">
        <v>100</v>
      </c>
      <c r="J68" s="58" t="s">
        <v>108</v>
      </c>
      <c r="K68" s="59" t="s">
        <v>109</v>
      </c>
      <c r="L68" s="60" t="s">
        <v>110</v>
      </c>
    </row>
    <row r="69" spans="1:15">
      <c r="A69" s="71">
        <v>719</v>
      </c>
      <c r="B69" s="73">
        <f>+H49+H51+H53</f>
        <v>250000</v>
      </c>
      <c r="C69" s="74">
        <f>+D32</f>
        <v>28330000</v>
      </c>
      <c r="D69" s="76">
        <f>+B69+C69</f>
        <v>28580000</v>
      </c>
      <c r="I69" s="71">
        <v>719</v>
      </c>
      <c r="J69" s="73">
        <f>+P49+P51+P53+P55+P57</f>
        <v>210000</v>
      </c>
      <c r="K69" s="74">
        <f>+L32</f>
        <v>180000</v>
      </c>
      <c r="L69" s="195">
        <f>+J69+K69</f>
        <v>390000</v>
      </c>
    </row>
    <row r="70" spans="1:15">
      <c r="A70" s="72">
        <v>721</v>
      </c>
      <c r="B70" s="80"/>
      <c r="C70" s="74">
        <f>+D33</f>
        <v>36156092</v>
      </c>
      <c r="D70" s="76">
        <f>+B70+C70</f>
        <v>36156092</v>
      </c>
      <c r="I70" s="72">
        <v>721</v>
      </c>
      <c r="J70" s="80">
        <f>+P50+P52+P54+P56+P58</f>
        <v>84000</v>
      </c>
      <c r="K70" s="74">
        <f>+L33</f>
        <v>0</v>
      </c>
      <c r="L70" s="195">
        <f>+J70+K70</f>
        <v>84000</v>
      </c>
    </row>
    <row r="71" spans="1:15" ht="16.5" customHeight="1">
      <c r="A71" s="72">
        <v>722</v>
      </c>
      <c r="B71" s="80"/>
      <c r="C71" s="74">
        <f>+D34</f>
        <v>224787287</v>
      </c>
      <c r="D71" s="76">
        <f>+B71+C71</f>
        <v>224787287</v>
      </c>
      <c r="I71" s="72">
        <v>722</v>
      </c>
      <c r="J71" s="80"/>
      <c r="K71" s="74">
        <f>+L34</f>
        <v>0</v>
      </c>
      <c r="L71" s="195">
        <f>+J71+K71</f>
        <v>0</v>
      </c>
    </row>
    <row r="72" spans="1:15" ht="14.25" customHeight="1">
      <c r="A72" s="72">
        <v>723</v>
      </c>
      <c r="B72" s="80"/>
      <c r="C72" s="74">
        <f>+D35</f>
        <v>319828837</v>
      </c>
      <c r="D72" s="76">
        <f>+B72+C72</f>
        <v>319828837</v>
      </c>
      <c r="F72" s="174" t="s">
        <v>23</v>
      </c>
      <c r="G72" s="175"/>
      <c r="I72" s="72">
        <v>723</v>
      </c>
      <c r="J72" s="80"/>
      <c r="K72" s="74">
        <f>+L35</f>
        <v>0</v>
      </c>
      <c r="L72" s="195">
        <f>+J72+K72</f>
        <v>0</v>
      </c>
      <c r="N72" s="193" t="s">
        <v>289</v>
      </c>
      <c r="O72" s="175"/>
    </row>
    <row r="73" spans="1:15" ht="14.25" customHeight="1" thickBot="1">
      <c r="A73" s="164" t="s">
        <v>181</v>
      </c>
      <c r="B73" s="165"/>
      <c r="C73" s="74">
        <f>+D36</f>
        <v>1965625</v>
      </c>
      <c r="D73" s="168">
        <f>+B73+C73</f>
        <v>1965625</v>
      </c>
      <c r="F73" s="52"/>
      <c r="I73" s="164" t="s">
        <v>181</v>
      </c>
      <c r="J73" s="165"/>
      <c r="K73" s="74">
        <f>+L36</f>
        <v>0</v>
      </c>
      <c r="L73" s="196">
        <f>+J73+K73</f>
        <v>0</v>
      </c>
      <c r="N73" s="52"/>
    </row>
    <row r="74" spans="1:15" ht="16.5" thickBot="1">
      <c r="A74" s="169"/>
      <c r="B74" s="170">
        <f>SUM(B69:B73)</f>
        <v>250000</v>
      </c>
      <c r="C74" s="171">
        <f>SUM(C69:C73)</f>
        <v>611067841</v>
      </c>
      <c r="D74" s="172">
        <f>SUM(D69:D73)</f>
        <v>611317841</v>
      </c>
      <c r="I74" s="169"/>
      <c r="J74" s="197">
        <f>SUM(J69:J73)</f>
        <v>294000</v>
      </c>
      <c r="K74" s="197">
        <f>SUM(K69:K73)</f>
        <v>180000</v>
      </c>
      <c r="L74" s="198">
        <f>SUM(L69:L73)</f>
        <v>474000</v>
      </c>
    </row>
    <row r="75" spans="1:15" ht="16.5">
      <c r="A75" s="49" t="s">
        <v>88</v>
      </c>
      <c r="B75" s="50"/>
      <c r="I75" s="49" t="s">
        <v>88</v>
      </c>
      <c r="J75" s="50"/>
    </row>
    <row r="76" spans="1:15">
      <c r="A76" s="51" t="s">
        <v>89</v>
      </c>
      <c r="I76" s="51" t="s">
        <v>89</v>
      </c>
    </row>
    <row r="77" spans="1:15">
      <c r="A77" s="51" t="s">
        <v>90</v>
      </c>
      <c r="I77" s="51" t="s">
        <v>90</v>
      </c>
    </row>
    <row r="78" spans="1:15" ht="15" customHeight="1">
      <c r="A78" s="51" t="s">
        <v>91</v>
      </c>
      <c r="I78" s="51" t="s">
        <v>91</v>
      </c>
    </row>
    <row r="79" spans="1:15" ht="12" customHeight="1">
      <c r="A79" s="50"/>
      <c r="B79" s="50"/>
      <c r="I79" s="50"/>
      <c r="J79" s="50"/>
    </row>
    <row r="80" spans="1:15" ht="15" customHeight="1">
      <c r="A80" s="52" t="s">
        <v>227</v>
      </c>
      <c r="B80" s="50"/>
      <c r="G80" s="52"/>
      <c r="I80" s="52" t="s">
        <v>539</v>
      </c>
      <c r="O80" s="52"/>
    </row>
    <row r="81" spans="1:16" ht="15.75" customHeight="1">
      <c r="A81" s="53" t="s">
        <v>92</v>
      </c>
      <c r="G81" s="53"/>
      <c r="I81" s="53" t="s">
        <v>535</v>
      </c>
      <c r="O81" s="53"/>
    </row>
    <row r="82" spans="1:16" ht="15" customHeight="1">
      <c r="A82" s="894" t="s">
        <v>228</v>
      </c>
      <c r="B82" s="894"/>
      <c r="C82" s="894"/>
      <c r="D82" s="894"/>
      <c r="E82" s="894"/>
      <c r="F82" s="894"/>
      <c r="G82" s="894"/>
      <c r="H82" s="894"/>
      <c r="I82" s="894" t="s">
        <v>261</v>
      </c>
      <c r="J82" s="894"/>
      <c r="K82" s="894"/>
      <c r="L82" s="894"/>
      <c r="M82" s="894"/>
      <c r="N82" s="894"/>
      <c r="O82" s="894"/>
      <c r="P82" s="894"/>
    </row>
    <row r="83" spans="1:16" ht="12.75" customHeight="1" thickBot="1"/>
    <row r="84" spans="1:16" ht="15" customHeight="1">
      <c r="A84" s="895" t="s">
        <v>94</v>
      </c>
      <c r="B84" s="897" t="s">
        <v>95</v>
      </c>
      <c r="C84" s="897" t="s">
        <v>96</v>
      </c>
      <c r="D84" s="897" t="s">
        <v>3</v>
      </c>
      <c r="E84" s="897" t="s">
        <v>97</v>
      </c>
      <c r="F84" s="897" t="s">
        <v>98</v>
      </c>
      <c r="G84" s="897" t="s">
        <v>99</v>
      </c>
      <c r="H84" s="899"/>
      <c r="I84" s="895" t="s">
        <v>94</v>
      </c>
      <c r="J84" s="897" t="s">
        <v>95</v>
      </c>
      <c r="K84" s="897" t="s">
        <v>96</v>
      </c>
      <c r="L84" s="897" t="s">
        <v>3</v>
      </c>
      <c r="M84" s="897" t="s">
        <v>97</v>
      </c>
      <c r="N84" s="897" t="s">
        <v>98</v>
      </c>
      <c r="O84" s="897" t="s">
        <v>99</v>
      </c>
      <c r="P84" s="899"/>
    </row>
    <row r="85" spans="1:16" ht="15.75" customHeight="1" thickBot="1">
      <c r="A85" s="896"/>
      <c r="B85" s="898"/>
      <c r="C85" s="898"/>
      <c r="D85" s="898"/>
      <c r="E85" s="898"/>
      <c r="F85" s="898"/>
      <c r="G85" s="240" t="s">
        <v>100</v>
      </c>
      <c r="H85" s="182" t="s">
        <v>101</v>
      </c>
      <c r="I85" s="896"/>
      <c r="J85" s="898"/>
      <c r="K85" s="898"/>
      <c r="L85" s="898"/>
      <c r="M85" s="898"/>
      <c r="N85" s="898"/>
      <c r="O85" s="240" t="s">
        <v>100</v>
      </c>
      <c r="P85" s="182" t="s">
        <v>101</v>
      </c>
    </row>
    <row r="86" spans="1:16" ht="13.5" customHeight="1">
      <c r="A86" s="881">
        <f>+A53+1</f>
        <v>242</v>
      </c>
      <c r="B86" s="875">
        <v>42242</v>
      </c>
      <c r="C86" s="877" t="s">
        <v>230</v>
      </c>
      <c r="D86" s="881" t="s">
        <v>244</v>
      </c>
      <c r="E86" s="881" t="s">
        <v>148</v>
      </c>
      <c r="F86" s="883">
        <v>182000</v>
      </c>
      <c r="G86" s="55">
        <v>719</v>
      </c>
      <c r="H86" s="78">
        <v>130000</v>
      </c>
      <c r="I86" s="873">
        <f>+I57+1</f>
        <v>10</v>
      </c>
      <c r="J86" s="875">
        <v>42387</v>
      </c>
      <c r="K86" s="910" t="s">
        <v>555</v>
      </c>
      <c r="L86" s="910" t="s">
        <v>556</v>
      </c>
      <c r="M86" s="881" t="s">
        <v>163</v>
      </c>
      <c r="N86" s="883">
        <v>7623000</v>
      </c>
      <c r="O86" s="55">
        <v>719</v>
      </c>
      <c r="P86" s="78"/>
    </row>
    <row r="87" spans="1:16" ht="14.25" customHeight="1" thickBot="1">
      <c r="A87" s="882"/>
      <c r="B87" s="934"/>
      <c r="C87" s="878"/>
      <c r="D87" s="882"/>
      <c r="E87" s="882"/>
      <c r="F87" s="884"/>
      <c r="G87" s="56">
        <v>721</v>
      </c>
      <c r="H87" s="79">
        <f>+F86-H86</f>
        <v>52000</v>
      </c>
      <c r="I87" s="882"/>
      <c r="J87" s="876"/>
      <c r="K87" s="911"/>
      <c r="L87" s="911"/>
      <c r="M87" s="882"/>
      <c r="N87" s="884"/>
      <c r="O87" s="56">
        <v>723</v>
      </c>
      <c r="P87" s="79">
        <f>+N86-P86</f>
        <v>7623000</v>
      </c>
    </row>
    <row r="88" spans="1:16" ht="15" customHeight="1">
      <c r="A88" s="881">
        <f>+A86+1</f>
        <v>243</v>
      </c>
      <c r="B88" s="875">
        <v>42242</v>
      </c>
      <c r="C88" s="881" t="s">
        <v>28</v>
      </c>
      <c r="D88" s="881" t="s">
        <v>229</v>
      </c>
      <c r="E88" s="881" t="s">
        <v>148</v>
      </c>
      <c r="F88" s="883">
        <v>336000</v>
      </c>
      <c r="G88" s="55">
        <v>719</v>
      </c>
      <c r="H88" s="78">
        <v>240000</v>
      </c>
      <c r="I88" s="881"/>
      <c r="J88" s="875"/>
      <c r="K88" s="881"/>
      <c r="L88" s="881"/>
      <c r="M88" s="881"/>
      <c r="N88" s="883"/>
      <c r="O88" s="55">
        <v>719</v>
      </c>
      <c r="P88" s="78"/>
    </row>
    <row r="89" spans="1:16" ht="14.25" customHeight="1" thickBot="1">
      <c r="A89" s="882"/>
      <c r="B89" s="934"/>
      <c r="C89" s="882"/>
      <c r="D89" s="882"/>
      <c r="E89" s="882"/>
      <c r="F89" s="884"/>
      <c r="G89" s="56">
        <v>721</v>
      </c>
      <c r="H89" s="79">
        <f>+F88-H88</f>
        <v>96000</v>
      </c>
      <c r="I89" s="882"/>
      <c r="J89" s="876"/>
      <c r="K89" s="882"/>
      <c r="L89" s="882"/>
      <c r="M89" s="882"/>
      <c r="N89" s="884"/>
      <c r="O89" s="56">
        <v>721</v>
      </c>
      <c r="P89" s="79">
        <f>+N88-P88</f>
        <v>0</v>
      </c>
    </row>
    <row r="90" spans="1:16" ht="15" customHeight="1">
      <c r="A90" s="881">
        <f>+A88+1</f>
        <v>244</v>
      </c>
      <c r="B90" s="875">
        <v>42242</v>
      </c>
      <c r="C90" s="877" t="s">
        <v>32</v>
      </c>
      <c r="D90" s="881" t="s">
        <v>229</v>
      </c>
      <c r="E90" s="881" t="s">
        <v>148</v>
      </c>
      <c r="F90" s="883">
        <v>56000</v>
      </c>
      <c r="G90" s="55">
        <v>719</v>
      </c>
      <c r="H90" s="78">
        <v>40000</v>
      </c>
      <c r="I90" s="881"/>
      <c r="J90" s="875"/>
      <c r="K90" s="877"/>
      <c r="L90" s="881"/>
      <c r="M90" s="881"/>
      <c r="N90" s="883"/>
      <c r="O90" s="55">
        <v>719</v>
      </c>
      <c r="P90" s="78"/>
    </row>
    <row r="91" spans="1:16" ht="14.25" customHeight="1" thickBot="1">
      <c r="A91" s="882"/>
      <c r="B91" s="934"/>
      <c r="C91" s="878"/>
      <c r="D91" s="882"/>
      <c r="E91" s="882"/>
      <c r="F91" s="884"/>
      <c r="G91" s="56">
        <v>721</v>
      </c>
      <c r="H91" s="79">
        <f>+F90-H90</f>
        <v>16000</v>
      </c>
      <c r="I91" s="882"/>
      <c r="J91" s="876"/>
      <c r="K91" s="878"/>
      <c r="L91" s="882"/>
      <c r="M91" s="882"/>
      <c r="N91" s="884"/>
      <c r="O91" s="56">
        <v>721</v>
      </c>
      <c r="P91" s="79">
        <f>+N90-P90</f>
        <v>0</v>
      </c>
    </row>
    <row r="92" spans="1:16" ht="15" customHeight="1">
      <c r="A92" s="881">
        <f>+A90+1</f>
        <v>245</v>
      </c>
      <c r="B92" s="875">
        <v>42242</v>
      </c>
      <c r="C92" s="881" t="s">
        <v>169</v>
      </c>
      <c r="D92" s="881" t="s">
        <v>231</v>
      </c>
      <c r="E92" s="881" t="s">
        <v>148</v>
      </c>
      <c r="F92" s="883">
        <v>56000</v>
      </c>
      <c r="G92" s="55">
        <v>719</v>
      </c>
      <c r="H92" s="78">
        <v>40000</v>
      </c>
      <c r="I92" s="881"/>
      <c r="J92" s="875"/>
      <c r="K92" s="877"/>
      <c r="L92" s="881"/>
      <c r="M92" s="881"/>
      <c r="N92" s="883"/>
      <c r="O92" s="55">
        <v>719</v>
      </c>
      <c r="P92" s="78"/>
    </row>
    <row r="93" spans="1:16" ht="15.75" customHeight="1" thickBot="1">
      <c r="A93" s="882"/>
      <c r="B93" s="934"/>
      <c r="C93" s="882"/>
      <c r="D93" s="882"/>
      <c r="E93" s="882"/>
      <c r="F93" s="884"/>
      <c r="G93" s="56">
        <v>721</v>
      </c>
      <c r="H93" s="79">
        <f>+F92-H92</f>
        <v>16000</v>
      </c>
      <c r="I93" s="882"/>
      <c r="J93" s="876"/>
      <c r="K93" s="878"/>
      <c r="L93" s="882"/>
      <c r="M93" s="882"/>
      <c r="N93" s="884"/>
      <c r="O93" s="56">
        <v>721</v>
      </c>
      <c r="P93" s="79">
        <f>+N92-P92</f>
        <v>0</v>
      </c>
    </row>
    <row r="94" spans="1:16" ht="15" customHeight="1">
      <c r="A94" s="881">
        <f>+A92+1</f>
        <v>246</v>
      </c>
      <c r="B94" s="875">
        <v>42242</v>
      </c>
      <c r="C94" s="881" t="s">
        <v>31</v>
      </c>
      <c r="D94" s="881" t="s">
        <v>229</v>
      </c>
      <c r="E94" s="881" t="s">
        <v>148</v>
      </c>
      <c r="F94" s="883">
        <v>588000</v>
      </c>
      <c r="G94" s="55">
        <v>719</v>
      </c>
      <c r="H94" s="78">
        <v>420000</v>
      </c>
      <c r="I94" s="881"/>
      <c r="J94" s="875"/>
      <c r="K94" s="877"/>
      <c r="L94" s="881"/>
      <c r="M94" s="881"/>
      <c r="N94" s="883"/>
      <c r="O94" s="55">
        <v>719</v>
      </c>
      <c r="P94" s="78"/>
    </row>
    <row r="95" spans="1:16" ht="15" customHeight="1" thickBot="1">
      <c r="A95" s="882"/>
      <c r="B95" s="934"/>
      <c r="C95" s="882"/>
      <c r="D95" s="882"/>
      <c r="E95" s="882"/>
      <c r="F95" s="884"/>
      <c r="G95" s="56">
        <v>721</v>
      </c>
      <c r="H95" s="79">
        <f>+F94-H94</f>
        <v>168000</v>
      </c>
      <c r="I95" s="882"/>
      <c r="J95" s="876"/>
      <c r="K95" s="878"/>
      <c r="L95" s="882"/>
      <c r="M95" s="882"/>
      <c r="N95" s="884"/>
      <c r="O95" s="56">
        <v>721</v>
      </c>
      <c r="P95" s="79">
        <f>+N94-P94</f>
        <v>0</v>
      </c>
    </row>
    <row r="96" spans="1:16" ht="16.5" thickBot="1">
      <c r="A96" s="901" t="s">
        <v>102</v>
      </c>
      <c r="B96" s="902"/>
      <c r="C96" s="902"/>
      <c r="D96" s="902"/>
      <c r="E96" s="903"/>
      <c r="F96" s="81">
        <f>SUM(F86:F95)</f>
        <v>1218000</v>
      </c>
      <c r="I96" s="901" t="s">
        <v>102</v>
      </c>
      <c r="J96" s="902"/>
      <c r="K96" s="902"/>
      <c r="L96" s="902"/>
      <c r="M96" s="903"/>
      <c r="N96" s="81">
        <f>SUM(N86:N95)</f>
        <v>7623000</v>
      </c>
    </row>
    <row r="97" spans="1:15" ht="16.5" thickBot="1">
      <c r="A97" s="885" t="s">
        <v>103</v>
      </c>
      <c r="B97" s="886"/>
      <c r="C97" s="886"/>
      <c r="D97" s="886"/>
      <c r="E97" s="887"/>
      <c r="F97" s="184">
        <f>+C111</f>
        <v>611317841</v>
      </c>
      <c r="I97" s="885" t="s">
        <v>103</v>
      </c>
      <c r="J97" s="886"/>
      <c r="K97" s="886"/>
      <c r="L97" s="886"/>
      <c r="M97" s="887"/>
      <c r="N97" s="69">
        <f>+N61</f>
        <v>474000</v>
      </c>
    </row>
    <row r="98" spans="1:15" ht="16.5" thickBot="1">
      <c r="A98" s="888" t="s">
        <v>104</v>
      </c>
      <c r="B98" s="889"/>
      <c r="C98" s="889"/>
      <c r="D98" s="889"/>
      <c r="E98" s="890"/>
      <c r="F98" s="183">
        <f>SUM(F96:F97)</f>
        <v>612535841</v>
      </c>
      <c r="I98" s="888" t="s">
        <v>104</v>
      </c>
      <c r="J98" s="889"/>
      <c r="K98" s="889"/>
      <c r="L98" s="889"/>
      <c r="M98" s="890"/>
      <c r="N98" s="183">
        <f>SUM(N96:N97)</f>
        <v>8097000</v>
      </c>
    </row>
    <row r="99" spans="1:15" ht="14.25" customHeight="1">
      <c r="A99" s="61"/>
      <c r="B99" s="61"/>
      <c r="C99" s="61"/>
      <c r="D99" s="61"/>
      <c r="E99" s="61"/>
      <c r="I99" s="61"/>
      <c r="J99" s="61"/>
      <c r="K99" s="61"/>
      <c r="L99" s="61"/>
      <c r="M99" s="61"/>
    </row>
    <row r="100" spans="1:15">
      <c r="A100" s="51" t="s">
        <v>232</v>
      </c>
      <c r="I100" s="51" t="s">
        <v>557</v>
      </c>
    </row>
    <row r="101" spans="1:15" ht="11.25" customHeight="1">
      <c r="F101" s="139"/>
      <c r="N101" s="139"/>
    </row>
    <row r="102" spans="1:15">
      <c r="A102" s="50" t="s">
        <v>105</v>
      </c>
      <c r="D102" s="146"/>
      <c r="I102" s="50" t="s">
        <v>105</v>
      </c>
      <c r="L102" s="146"/>
      <c r="N102" s="139"/>
    </row>
    <row r="103" spans="1:15" ht="15.75" thickBot="1"/>
    <row r="104" spans="1:15" ht="15.75" thickBot="1">
      <c r="A104" s="891" t="s">
        <v>106</v>
      </c>
      <c r="B104" s="892"/>
      <c r="C104" s="892"/>
      <c r="D104" s="893"/>
      <c r="F104" s="50" t="s">
        <v>107</v>
      </c>
      <c r="I104" s="891" t="s">
        <v>106</v>
      </c>
      <c r="J104" s="892"/>
      <c r="K104" s="892"/>
      <c r="L104" s="893"/>
      <c r="N104" s="50" t="s">
        <v>288</v>
      </c>
    </row>
    <row r="105" spans="1:15" ht="30.75" thickBot="1">
      <c r="A105" s="57" t="s">
        <v>100</v>
      </c>
      <c r="B105" s="58" t="s">
        <v>108</v>
      </c>
      <c r="C105" s="59" t="s">
        <v>109</v>
      </c>
      <c r="D105" s="60" t="s">
        <v>110</v>
      </c>
      <c r="I105" s="57" t="s">
        <v>100</v>
      </c>
      <c r="J105" s="58" t="s">
        <v>108</v>
      </c>
      <c r="K105" s="59" t="s">
        <v>109</v>
      </c>
      <c r="L105" s="60" t="s">
        <v>110</v>
      </c>
    </row>
    <row r="106" spans="1:15">
      <c r="A106" s="71">
        <v>719</v>
      </c>
      <c r="B106" s="73">
        <f>+H86+H88+H90+H92+H94</f>
        <v>870000</v>
      </c>
      <c r="C106" s="74">
        <f>+D69</f>
        <v>28580000</v>
      </c>
      <c r="D106" s="76">
        <f>+B106+C106</f>
        <v>29450000</v>
      </c>
      <c r="I106" s="71">
        <v>719</v>
      </c>
      <c r="J106" s="73">
        <f>+P86+P88+P90+P92+P94</f>
        <v>0</v>
      </c>
      <c r="K106" s="74">
        <f>+L69</f>
        <v>390000</v>
      </c>
      <c r="L106" s="195">
        <f>+J106+K106</f>
        <v>390000</v>
      </c>
    </row>
    <row r="107" spans="1:15">
      <c r="A107" s="72">
        <v>721</v>
      </c>
      <c r="B107" s="80">
        <f>+H95+H93+H91+H89+H87</f>
        <v>348000</v>
      </c>
      <c r="C107" s="74">
        <f>+D70</f>
        <v>36156092</v>
      </c>
      <c r="D107" s="76">
        <f>+B107+C107</f>
        <v>36504092</v>
      </c>
      <c r="I107" s="72">
        <v>721</v>
      </c>
      <c r="J107" s="80"/>
      <c r="K107" s="74">
        <f>+L70</f>
        <v>84000</v>
      </c>
      <c r="L107" s="195">
        <f>+J107+K107</f>
        <v>84000</v>
      </c>
    </row>
    <row r="108" spans="1:15">
      <c r="A108" s="72">
        <v>722</v>
      </c>
      <c r="B108" s="80"/>
      <c r="C108" s="74">
        <f>+D71</f>
        <v>224787287</v>
      </c>
      <c r="D108" s="76">
        <f>+B108+C108</f>
        <v>224787287</v>
      </c>
      <c r="I108" s="72">
        <v>722</v>
      </c>
      <c r="J108" s="80">
        <f>+P88+P90+P92+P94+P96</f>
        <v>0</v>
      </c>
      <c r="K108" s="74">
        <f>+L71</f>
        <v>0</v>
      </c>
      <c r="L108" s="195">
        <f>+J108+K108</f>
        <v>0</v>
      </c>
    </row>
    <row r="109" spans="1:15" ht="15.75">
      <c r="A109" s="72">
        <v>723</v>
      </c>
      <c r="B109" s="80"/>
      <c r="C109" s="74">
        <f>+D72</f>
        <v>319828837</v>
      </c>
      <c r="D109" s="76">
        <f>+B109+C109</f>
        <v>319828837</v>
      </c>
      <c r="F109" s="174" t="s">
        <v>23</v>
      </c>
      <c r="I109" s="72">
        <v>723</v>
      </c>
      <c r="J109" s="80">
        <f>+P87</f>
        <v>7623000</v>
      </c>
      <c r="K109" s="74">
        <f>+L72</f>
        <v>0</v>
      </c>
      <c r="L109" s="195">
        <f>+J109+K109</f>
        <v>7623000</v>
      </c>
      <c r="N109" s="174" t="s">
        <v>558</v>
      </c>
      <c r="O109" s="175"/>
    </row>
    <row r="110" spans="1:15" ht="16.5" thickBot="1">
      <c r="A110" s="164" t="s">
        <v>181</v>
      </c>
      <c r="B110" s="165"/>
      <c r="C110" s="74">
        <f>+D73</f>
        <v>1965625</v>
      </c>
      <c r="D110" s="168">
        <f>+B110+C110</f>
        <v>1965625</v>
      </c>
      <c r="F110" s="52"/>
      <c r="I110" s="164" t="s">
        <v>181</v>
      </c>
      <c r="J110" s="165"/>
      <c r="K110" s="74">
        <f>+L73</f>
        <v>0</v>
      </c>
      <c r="L110" s="196">
        <f>+J110+K110</f>
        <v>0</v>
      </c>
      <c r="N110" s="52"/>
    </row>
    <row r="111" spans="1:15" ht="16.5" thickBot="1">
      <c r="A111" s="169"/>
      <c r="B111" s="170">
        <f>SUM(B106:B110)</f>
        <v>1218000</v>
      </c>
      <c r="C111" s="171">
        <f>SUM(C106:C110)</f>
        <v>611317841</v>
      </c>
      <c r="D111" s="172">
        <f>SUM(D106:D110)</f>
        <v>612535841</v>
      </c>
      <c r="I111" s="169"/>
      <c r="J111" s="197">
        <f>SUM(J106:J110)</f>
        <v>7623000</v>
      </c>
      <c r="K111" s="197">
        <f>SUM(K106:K110)</f>
        <v>474000</v>
      </c>
      <c r="L111" s="198">
        <f>SUM(L106:L110)</f>
        <v>8097000</v>
      </c>
    </row>
    <row r="112" spans="1:15" ht="16.5">
      <c r="A112" s="49" t="s">
        <v>88</v>
      </c>
      <c r="B112" s="50"/>
      <c r="I112" s="49" t="s">
        <v>88</v>
      </c>
      <c r="J112" s="50"/>
    </row>
    <row r="113" spans="1:16">
      <c r="A113" s="51" t="s">
        <v>89</v>
      </c>
      <c r="I113" s="51" t="s">
        <v>89</v>
      </c>
    </row>
    <row r="114" spans="1:16">
      <c r="A114" s="51" t="s">
        <v>90</v>
      </c>
      <c r="I114" s="51" t="s">
        <v>90</v>
      </c>
    </row>
    <row r="115" spans="1:16" ht="18.75" customHeight="1">
      <c r="A115" s="51" t="s">
        <v>91</v>
      </c>
      <c r="I115" s="51" t="s">
        <v>91</v>
      </c>
    </row>
    <row r="116" spans="1:16" ht="10.5" customHeight="1">
      <c r="A116" s="50"/>
      <c r="B116" s="50"/>
      <c r="I116" s="50"/>
      <c r="J116" s="50"/>
    </row>
    <row r="117" spans="1:16" ht="15.75" customHeight="1">
      <c r="A117" s="52" t="s">
        <v>233</v>
      </c>
      <c r="B117" s="50"/>
      <c r="G117" s="52"/>
      <c r="I117" s="52" t="s">
        <v>540</v>
      </c>
      <c r="O117" s="52"/>
    </row>
    <row r="118" spans="1:16" ht="15.75">
      <c r="A118" s="53" t="s">
        <v>92</v>
      </c>
      <c r="G118" s="53"/>
      <c r="I118" s="53" t="s">
        <v>535</v>
      </c>
      <c r="O118" s="53"/>
    </row>
    <row r="119" spans="1:16" ht="15.75" customHeight="1">
      <c r="A119" s="894" t="s">
        <v>228</v>
      </c>
      <c r="B119" s="894"/>
      <c r="C119" s="894"/>
      <c r="D119" s="894"/>
      <c r="E119" s="894"/>
      <c r="F119" s="894"/>
      <c r="G119" s="894"/>
      <c r="H119" s="894"/>
      <c r="I119" s="894" t="s">
        <v>261</v>
      </c>
      <c r="J119" s="894"/>
      <c r="K119" s="894"/>
      <c r="L119" s="894"/>
      <c r="M119" s="894"/>
      <c r="N119" s="894"/>
      <c r="O119" s="894"/>
      <c r="P119" s="894"/>
    </row>
    <row r="120" spans="1:16" ht="15.75" thickBot="1"/>
    <row r="121" spans="1:16" ht="15.75" customHeight="1">
      <c r="A121" s="895" t="s">
        <v>94</v>
      </c>
      <c r="B121" s="897" t="s">
        <v>95</v>
      </c>
      <c r="C121" s="897" t="s">
        <v>96</v>
      </c>
      <c r="D121" s="897" t="s">
        <v>3</v>
      </c>
      <c r="E121" s="897" t="s">
        <v>97</v>
      </c>
      <c r="F121" s="897" t="s">
        <v>98</v>
      </c>
      <c r="G121" s="897" t="s">
        <v>99</v>
      </c>
      <c r="H121" s="899"/>
      <c r="I121" s="895" t="s">
        <v>94</v>
      </c>
      <c r="J121" s="897" t="s">
        <v>95</v>
      </c>
      <c r="K121" s="897" t="s">
        <v>96</v>
      </c>
      <c r="L121" s="897" t="s">
        <v>3</v>
      </c>
      <c r="M121" s="897" t="s">
        <v>97</v>
      </c>
      <c r="N121" s="897" t="s">
        <v>98</v>
      </c>
      <c r="O121" s="897" t="s">
        <v>99</v>
      </c>
      <c r="P121" s="899"/>
    </row>
    <row r="122" spans="1:16" ht="15" customHeight="1" thickBot="1">
      <c r="A122" s="896"/>
      <c r="B122" s="898"/>
      <c r="C122" s="898"/>
      <c r="D122" s="898"/>
      <c r="E122" s="898"/>
      <c r="F122" s="898"/>
      <c r="G122" s="240" t="s">
        <v>100</v>
      </c>
      <c r="H122" s="182" t="s">
        <v>101</v>
      </c>
      <c r="I122" s="896"/>
      <c r="J122" s="898"/>
      <c r="K122" s="898"/>
      <c r="L122" s="898"/>
      <c r="M122" s="898"/>
      <c r="N122" s="898"/>
      <c r="O122" s="240" t="s">
        <v>100</v>
      </c>
      <c r="P122" s="182" t="s">
        <v>101</v>
      </c>
    </row>
    <row r="123" spans="1:16" ht="15.75" customHeight="1">
      <c r="A123" s="881">
        <f>+A94+1</f>
        <v>247</v>
      </c>
      <c r="B123" s="875">
        <v>42242</v>
      </c>
      <c r="C123" s="942" t="s">
        <v>230</v>
      </c>
      <c r="D123" s="881" t="s">
        <v>234</v>
      </c>
      <c r="E123" s="881" t="s">
        <v>148</v>
      </c>
      <c r="F123" s="883">
        <v>196000</v>
      </c>
      <c r="G123" s="55">
        <v>719</v>
      </c>
      <c r="H123" s="78">
        <v>140000</v>
      </c>
      <c r="I123" s="873">
        <f>+I86+1</f>
        <v>11</v>
      </c>
      <c r="J123" s="875">
        <v>42395</v>
      </c>
      <c r="K123" s="881" t="s">
        <v>28</v>
      </c>
      <c r="L123" s="881" t="s">
        <v>559</v>
      </c>
      <c r="M123" s="881" t="s">
        <v>148</v>
      </c>
      <c r="N123" s="883">
        <v>238000</v>
      </c>
      <c r="O123" s="55">
        <v>719</v>
      </c>
      <c r="P123" s="78">
        <v>170000</v>
      </c>
    </row>
    <row r="124" spans="1:16" ht="15" customHeight="1" thickBot="1">
      <c r="A124" s="882"/>
      <c r="B124" s="934"/>
      <c r="C124" s="943"/>
      <c r="D124" s="882"/>
      <c r="E124" s="882"/>
      <c r="F124" s="884"/>
      <c r="G124" s="56">
        <v>721</v>
      </c>
      <c r="H124" s="79">
        <f>+F123-H123</f>
        <v>56000</v>
      </c>
      <c r="I124" s="882"/>
      <c r="J124" s="876"/>
      <c r="K124" s="882"/>
      <c r="L124" s="882"/>
      <c r="M124" s="882"/>
      <c r="N124" s="884"/>
      <c r="O124" s="56">
        <v>721</v>
      </c>
      <c r="P124" s="79">
        <f>+N123-P123</f>
        <v>68000</v>
      </c>
    </row>
    <row r="125" spans="1:16" ht="15.75" customHeight="1">
      <c r="A125" s="881">
        <f>+A123+1</f>
        <v>248</v>
      </c>
      <c r="B125" s="875">
        <v>42242</v>
      </c>
      <c r="C125" s="935" t="s">
        <v>28</v>
      </c>
      <c r="D125" s="881" t="s">
        <v>234</v>
      </c>
      <c r="E125" s="881" t="s">
        <v>148</v>
      </c>
      <c r="F125" s="883">
        <v>364000</v>
      </c>
      <c r="G125" s="55">
        <v>719</v>
      </c>
      <c r="H125" s="78">
        <v>260000</v>
      </c>
      <c r="I125" s="881">
        <f>+I123+1</f>
        <v>12</v>
      </c>
      <c r="J125" s="875">
        <v>42395</v>
      </c>
      <c r="K125" s="877" t="s">
        <v>32</v>
      </c>
      <c r="L125" s="881" t="s">
        <v>559</v>
      </c>
      <c r="M125" s="881" t="s">
        <v>148</v>
      </c>
      <c r="N125" s="883">
        <v>126000</v>
      </c>
      <c r="O125" s="55">
        <v>719</v>
      </c>
      <c r="P125" s="78">
        <v>90000</v>
      </c>
    </row>
    <row r="126" spans="1:16" ht="15" customHeight="1" thickBot="1">
      <c r="A126" s="882"/>
      <c r="B126" s="934"/>
      <c r="C126" s="936"/>
      <c r="D126" s="882"/>
      <c r="E126" s="882"/>
      <c r="F126" s="884"/>
      <c r="G126" s="56">
        <v>721</v>
      </c>
      <c r="H126" s="79">
        <f>+F125-H125</f>
        <v>104000</v>
      </c>
      <c r="I126" s="882"/>
      <c r="J126" s="876"/>
      <c r="K126" s="878"/>
      <c r="L126" s="882"/>
      <c r="M126" s="882"/>
      <c r="N126" s="884"/>
      <c r="O126" s="56">
        <v>721</v>
      </c>
      <c r="P126" s="79">
        <f>+N125-P125</f>
        <v>36000</v>
      </c>
    </row>
    <row r="127" spans="1:16" ht="15.75" customHeight="1">
      <c r="A127" s="881">
        <f>+A125+1</f>
        <v>249</v>
      </c>
      <c r="B127" s="875">
        <v>42242</v>
      </c>
      <c r="C127" s="942" t="s">
        <v>32</v>
      </c>
      <c r="D127" s="881" t="s">
        <v>235</v>
      </c>
      <c r="E127" s="881" t="s">
        <v>148</v>
      </c>
      <c r="F127" s="883">
        <v>70000</v>
      </c>
      <c r="G127" s="55">
        <v>719</v>
      </c>
      <c r="H127" s="78">
        <v>50000</v>
      </c>
      <c r="I127" s="881">
        <f>+I125+1</f>
        <v>13</v>
      </c>
      <c r="J127" s="875">
        <v>42395</v>
      </c>
      <c r="K127" s="877" t="s">
        <v>111</v>
      </c>
      <c r="L127" s="881" t="s">
        <v>560</v>
      </c>
      <c r="M127" s="881" t="s">
        <v>148</v>
      </c>
      <c r="N127" s="883">
        <v>56000</v>
      </c>
      <c r="O127" s="55">
        <v>719</v>
      </c>
      <c r="P127" s="78">
        <v>40000</v>
      </c>
    </row>
    <row r="128" spans="1:16" ht="15" customHeight="1" thickBot="1">
      <c r="A128" s="882"/>
      <c r="B128" s="934"/>
      <c r="C128" s="943"/>
      <c r="D128" s="882"/>
      <c r="E128" s="882"/>
      <c r="F128" s="884"/>
      <c r="G128" s="56">
        <v>721</v>
      </c>
      <c r="H128" s="79">
        <f>+F127-H127</f>
        <v>20000</v>
      </c>
      <c r="I128" s="882"/>
      <c r="J128" s="876"/>
      <c r="K128" s="878"/>
      <c r="L128" s="882"/>
      <c r="M128" s="882"/>
      <c r="N128" s="884"/>
      <c r="O128" s="56">
        <v>721</v>
      </c>
      <c r="P128" s="79">
        <f>+N127-P127</f>
        <v>16000</v>
      </c>
    </row>
    <row r="129" spans="1:16" ht="15.75" customHeight="1">
      <c r="A129" s="881">
        <f>+A127+1</f>
        <v>250</v>
      </c>
      <c r="B129" s="875">
        <v>42242</v>
      </c>
      <c r="C129" s="935" t="s">
        <v>169</v>
      </c>
      <c r="D129" s="881" t="s">
        <v>236</v>
      </c>
      <c r="E129" s="881" t="s">
        <v>148</v>
      </c>
      <c r="F129" s="883">
        <v>56000</v>
      </c>
      <c r="G129" s="55">
        <v>719</v>
      </c>
      <c r="H129" s="78">
        <v>40000</v>
      </c>
      <c r="I129" s="881">
        <f>+I127+1</f>
        <v>14</v>
      </c>
      <c r="J129" s="875">
        <v>42395</v>
      </c>
      <c r="K129" s="877" t="s">
        <v>272</v>
      </c>
      <c r="L129" s="881" t="s">
        <v>559</v>
      </c>
      <c r="M129" s="881" t="s">
        <v>148</v>
      </c>
      <c r="N129" s="883">
        <v>686000</v>
      </c>
      <c r="O129" s="55">
        <v>719</v>
      </c>
      <c r="P129" s="78">
        <v>490000</v>
      </c>
    </row>
    <row r="130" spans="1:16" ht="15.75" customHeight="1" thickBot="1">
      <c r="A130" s="882"/>
      <c r="B130" s="934"/>
      <c r="C130" s="936"/>
      <c r="D130" s="882"/>
      <c r="E130" s="882"/>
      <c r="F130" s="884"/>
      <c r="G130" s="56">
        <v>721</v>
      </c>
      <c r="H130" s="79">
        <f>+F129-H129</f>
        <v>16000</v>
      </c>
      <c r="I130" s="882"/>
      <c r="J130" s="876"/>
      <c r="K130" s="878"/>
      <c r="L130" s="882"/>
      <c r="M130" s="882"/>
      <c r="N130" s="884"/>
      <c r="O130" s="56">
        <v>721</v>
      </c>
      <c r="P130" s="79">
        <f>+N129-P129</f>
        <v>196000</v>
      </c>
    </row>
    <row r="131" spans="1:16" ht="15.75" customHeight="1">
      <c r="A131" s="881">
        <f>+A129+1</f>
        <v>251</v>
      </c>
      <c r="B131" s="875">
        <v>42242</v>
      </c>
      <c r="C131" s="935" t="s">
        <v>31</v>
      </c>
      <c r="D131" s="881" t="s">
        <v>234</v>
      </c>
      <c r="E131" s="881" t="s">
        <v>148</v>
      </c>
      <c r="F131" s="883">
        <v>476000</v>
      </c>
      <c r="G131" s="55">
        <v>719</v>
      </c>
      <c r="H131" s="78">
        <v>340000</v>
      </c>
      <c r="I131" s="881"/>
      <c r="J131" s="875"/>
      <c r="K131" s="877"/>
      <c r="L131" s="881"/>
      <c r="M131" s="881"/>
      <c r="N131" s="883"/>
      <c r="O131" s="55">
        <v>719</v>
      </c>
      <c r="P131" s="78"/>
    </row>
    <row r="132" spans="1:16" ht="15.75" customHeight="1" thickBot="1">
      <c r="A132" s="882"/>
      <c r="B132" s="934"/>
      <c r="C132" s="936"/>
      <c r="D132" s="882"/>
      <c r="E132" s="882"/>
      <c r="F132" s="884"/>
      <c r="G132" s="56">
        <v>721</v>
      </c>
      <c r="H132" s="79">
        <f>+F131-H131</f>
        <v>136000</v>
      </c>
      <c r="I132" s="882"/>
      <c r="J132" s="876"/>
      <c r="K132" s="878"/>
      <c r="L132" s="882"/>
      <c r="M132" s="882"/>
      <c r="N132" s="884"/>
      <c r="O132" s="56">
        <v>721</v>
      </c>
      <c r="P132" s="79">
        <f>+N131-P131</f>
        <v>0</v>
      </c>
    </row>
    <row r="133" spans="1:16" ht="16.5" thickBot="1">
      <c r="A133" s="901" t="s">
        <v>102</v>
      </c>
      <c r="B133" s="902"/>
      <c r="C133" s="902"/>
      <c r="D133" s="902"/>
      <c r="E133" s="903"/>
      <c r="F133" s="81">
        <f>SUM(F123:F132)</f>
        <v>1162000</v>
      </c>
      <c r="I133" s="901" t="s">
        <v>102</v>
      </c>
      <c r="J133" s="902"/>
      <c r="K133" s="902"/>
      <c r="L133" s="902"/>
      <c r="M133" s="903"/>
      <c r="N133" s="81">
        <f>SUM(N123:N132)</f>
        <v>1106000</v>
      </c>
    </row>
    <row r="134" spans="1:16" ht="16.5" thickBot="1">
      <c r="A134" s="885" t="s">
        <v>103</v>
      </c>
      <c r="B134" s="886"/>
      <c r="C134" s="886"/>
      <c r="D134" s="886"/>
      <c r="E134" s="887"/>
      <c r="F134" s="184">
        <f>+F98</f>
        <v>612535841</v>
      </c>
      <c r="I134" s="885" t="s">
        <v>103</v>
      </c>
      <c r="J134" s="886"/>
      <c r="K134" s="886"/>
      <c r="L134" s="886"/>
      <c r="M134" s="887"/>
      <c r="N134" s="239">
        <f>+N98</f>
        <v>8097000</v>
      </c>
      <c r="O134" s="241" t="s">
        <v>561</v>
      </c>
      <c r="P134" s="242">
        <f>11+103+315+692</f>
        <v>1121</v>
      </c>
    </row>
    <row r="135" spans="1:16" ht="15" customHeight="1" thickBot="1">
      <c r="A135" s="888" t="s">
        <v>104</v>
      </c>
      <c r="B135" s="889"/>
      <c r="C135" s="889"/>
      <c r="D135" s="889"/>
      <c r="E135" s="890"/>
      <c r="F135" s="183">
        <f>SUM(F133:F134)</f>
        <v>613697841</v>
      </c>
      <c r="I135" s="888" t="s">
        <v>104</v>
      </c>
      <c r="J135" s="889"/>
      <c r="K135" s="889"/>
      <c r="L135" s="889"/>
      <c r="M135" s="890"/>
      <c r="N135" s="183">
        <f>SUM(N133:N134)</f>
        <v>9203000</v>
      </c>
    </row>
    <row r="136" spans="1:16">
      <c r="A136" s="61"/>
      <c r="B136" s="61"/>
      <c r="C136" s="61"/>
      <c r="D136" s="61"/>
      <c r="E136" s="61"/>
      <c r="I136" s="61"/>
      <c r="J136" s="61"/>
      <c r="K136" s="61"/>
      <c r="L136" s="61"/>
      <c r="M136" s="61"/>
    </row>
    <row r="137" spans="1:16" ht="15" customHeight="1">
      <c r="A137" s="51" t="s">
        <v>238</v>
      </c>
      <c r="I137" s="51" t="s">
        <v>562</v>
      </c>
    </row>
    <row r="138" spans="1:16" ht="12" customHeight="1">
      <c r="F138" s="139"/>
      <c r="N138" s="139"/>
    </row>
    <row r="139" spans="1:16">
      <c r="A139" s="50" t="s">
        <v>105</v>
      </c>
      <c r="D139" s="146"/>
      <c r="I139" s="50" t="s">
        <v>105</v>
      </c>
      <c r="L139" s="146"/>
      <c r="N139" s="139"/>
    </row>
    <row r="140" spans="1:16" ht="12" customHeight="1" thickBot="1"/>
    <row r="141" spans="1:16" ht="15.75" thickBot="1">
      <c r="A141" s="891" t="s">
        <v>106</v>
      </c>
      <c r="B141" s="892"/>
      <c r="C141" s="892"/>
      <c r="D141" s="893"/>
      <c r="F141" s="50" t="s">
        <v>107</v>
      </c>
      <c r="I141" s="891" t="s">
        <v>106</v>
      </c>
      <c r="J141" s="892"/>
      <c r="K141" s="892"/>
      <c r="L141" s="893"/>
      <c r="N141" s="50" t="s">
        <v>270</v>
      </c>
    </row>
    <row r="142" spans="1:16" ht="30.75" thickBot="1">
      <c r="A142" s="57" t="s">
        <v>100</v>
      </c>
      <c r="B142" s="58" t="s">
        <v>108</v>
      </c>
      <c r="C142" s="59" t="s">
        <v>109</v>
      </c>
      <c r="D142" s="60" t="s">
        <v>110</v>
      </c>
      <c r="I142" s="57" t="s">
        <v>100</v>
      </c>
      <c r="J142" s="58" t="s">
        <v>108</v>
      </c>
      <c r="K142" s="59" t="s">
        <v>109</v>
      </c>
      <c r="L142" s="60" t="s">
        <v>110</v>
      </c>
    </row>
    <row r="143" spans="1:16">
      <c r="A143" s="71">
        <v>719</v>
      </c>
      <c r="B143" s="73">
        <f>+H123+H125+H127+H129+H131</f>
        <v>830000</v>
      </c>
      <c r="C143" s="74">
        <f>+D106</f>
        <v>29450000</v>
      </c>
      <c r="D143" s="76">
        <f>+B143+C143</f>
        <v>30280000</v>
      </c>
      <c r="I143" s="71">
        <v>719</v>
      </c>
      <c r="J143" s="73">
        <f>+P123+P125+P127+P129+P131</f>
        <v>790000</v>
      </c>
      <c r="K143" s="74">
        <f>+L106</f>
        <v>390000</v>
      </c>
      <c r="L143" s="195">
        <f>+J143+K143</f>
        <v>1180000</v>
      </c>
    </row>
    <row r="144" spans="1:16" ht="13.5" customHeight="1">
      <c r="A144" s="72">
        <v>721</v>
      </c>
      <c r="B144" s="80">
        <f>+H132+H130+H128+H126+H124</f>
        <v>332000</v>
      </c>
      <c r="C144" s="74">
        <f>+D107</f>
        <v>36504092</v>
      </c>
      <c r="D144" s="76">
        <f>+B144+C144</f>
        <v>36836092</v>
      </c>
      <c r="I144" s="72">
        <v>721</v>
      </c>
      <c r="J144" s="80">
        <f>+P124+P126+P128+P130+P132</f>
        <v>316000</v>
      </c>
      <c r="K144" s="74">
        <f>+L107</f>
        <v>84000</v>
      </c>
      <c r="L144" s="195">
        <f>+J144+K144</f>
        <v>400000</v>
      </c>
    </row>
    <row r="145" spans="1:16" ht="15.75" customHeight="1">
      <c r="A145" s="72">
        <v>722</v>
      </c>
      <c r="B145" s="80"/>
      <c r="C145" s="74">
        <f>+D108</f>
        <v>224787287</v>
      </c>
      <c r="D145" s="76">
        <f>+B145+C145</f>
        <v>224787287</v>
      </c>
      <c r="I145" s="72">
        <v>722</v>
      </c>
      <c r="J145" s="80"/>
      <c r="K145" s="74">
        <f>+L108</f>
        <v>0</v>
      </c>
      <c r="L145" s="195">
        <f>+J145+K145</f>
        <v>0</v>
      </c>
    </row>
    <row r="146" spans="1:16" ht="13.5" customHeight="1">
      <c r="A146" s="72">
        <v>723</v>
      </c>
      <c r="B146" s="80"/>
      <c r="C146" s="74">
        <f>+D109</f>
        <v>319828837</v>
      </c>
      <c r="D146" s="76">
        <f>+B146+C146</f>
        <v>319828837</v>
      </c>
      <c r="F146" s="174" t="s">
        <v>23</v>
      </c>
      <c r="I146" s="72">
        <v>723</v>
      </c>
      <c r="J146" s="80"/>
      <c r="K146" s="74">
        <f>+L109</f>
        <v>7623000</v>
      </c>
      <c r="L146" s="195">
        <f>+J146+K146</f>
        <v>7623000</v>
      </c>
      <c r="N146" s="193" t="s">
        <v>348</v>
      </c>
      <c r="O146" s="175"/>
    </row>
    <row r="147" spans="1:16" ht="13.5" customHeight="1" thickBot="1">
      <c r="A147" s="164" t="s">
        <v>181</v>
      </c>
      <c r="B147" s="165"/>
      <c r="C147" s="74">
        <f>+D110</f>
        <v>1965625</v>
      </c>
      <c r="D147" s="168">
        <f>+B147+C147</f>
        <v>1965625</v>
      </c>
      <c r="F147" s="52"/>
      <c r="I147" s="164" t="s">
        <v>181</v>
      </c>
      <c r="J147" s="165"/>
      <c r="K147" s="74">
        <f>+L110</f>
        <v>0</v>
      </c>
      <c r="L147" s="196">
        <f>+J147+K147</f>
        <v>0</v>
      </c>
      <c r="N147" s="52"/>
    </row>
    <row r="148" spans="1:16" ht="14.25" customHeight="1" thickBot="1">
      <c r="A148" s="169"/>
      <c r="B148" s="170">
        <f>SUM(B143:B147)</f>
        <v>1162000</v>
      </c>
      <c r="C148" s="171">
        <f>SUM(C143:C147)</f>
        <v>612535841</v>
      </c>
      <c r="D148" s="172">
        <f>SUM(D143:D147)</f>
        <v>613697841</v>
      </c>
      <c r="I148" s="169"/>
      <c r="J148" s="197">
        <f>SUM(J143:J147)</f>
        <v>1106000</v>
      </c>
      <c r="K148" s="197">
        <f>SUM(K143:K147)</f>
        <v>8097000</v>
      </c>
      <c r="L148" s="198">
        <f>SUM(L143:L147)</f>
        <v>9203000</v>
      </c>
    </row>
    <row r="149" spans="1:16" ht="16.5">
      <c r="A149" s="49" t="s">
        <v>88</v>
      </c>
      <c r="B149" s="50"/>
      <c r="I149" s="49" t="s">
        <v>88</v>
      </c>
      <c r="J149" s="50"/>
    </row>
    <row r="150" spans="1:16">
      <c r="A150" s="51" t="s">
        <v>89</v>
      </c>
      <c r="I150" s="51" t="s">
        <v>89</v>
      </c>
    </row>
    <row r="151" spans="1:16">
      <c r="A151" s="51" t="s">
        <v>90</v>
      </c>
      <c r="I151" s="51" t="s">
        <v>90</v>
      </c>
    </row>
    <row r="152" spans="1:16">
      <c r="A152" s="51" t="s">
        <v>91</v>
      </c>
      <c r="I152" s="51" t="s">
        <v>91</v>
      </c>
    </row>
    <row r="153" spans="1:16" ht="8.25" customHeight="1">
      <c r="A153" s="50"/>
      <c r="B153" s="50"/>
      <c r="I153" s="50"/>
      <c r="J153" s="50"/>
    </row>
    <row r="154" spans="1:16" ht="15.75" customHeight="1">
      <c r="A154" s="52" t="s">
        <v>237</v>
      </c>
      <c r="B154" s="50"/>
      <c r="G154" s="52"/>
      <c r="I154" s="52" t="s">
        <v>564</v>
      </c>
      <c r="O154" s="52"/>
    </row>
    <row r="155" spans="1:16" ht="15" customHeight="1">
      <c r="A155" s="53" t="s">
        <v>92</v>
      </c>
      <c r="G155" s="53"/>
      <c r="I155" s="53" t="s">
        <v>535</v>
      </c>
      <c r="O155" s="53"/>
    </row>
    <row r="156" spans="1:16" ht="15.75" customHeight="1">
      <c r="A156" s="894" t="s">
        <v>228</v>
      </c>
      <c r="B156" s="894"/>
      <c r="C156" s="894"/>
      <c r="D156" s="894"/>
      <c r="E156" s="894"/>
      <c r="F156" s="894"/>
      <c r="G156" s="894"/>
      <c r="H156" s="894"/>
      <c r="I156" s="894" t="s">
        <v>261</v>
      </c>
      <c r="J156" s="894"/>
      <c r="K156" s="894"/>
      <c r="L156" s="894"/>
      <c r="M156" s="894"/>
      <c r="N156" s="894"/>
      <c r="O156" s="894"/>
      <c r="P156" s="894"/>
    </row>
    <row r="157" spans="1:16" ht="15" customHeight="1" thickBot="1"/>
    <row r="158" spans="1:16" ht="15.75" customHeight="1">
      <c r="A158" s="895" t="s">
        <v>94</v>
      </c>
      <c r="B158" s="897" t="s">
        <v>95</v>
      </c>
      <c r="C158" s="897" t="s">
        <v>96</v>
      </c>
      <c r="D158" s="897" t="s">
        <v>3</v>
      </c>
      <c r="E158" s="897" t="s">
        <v>97</v>
      </c>
      <c r="F158" s="897" t="s">
        <v>98</v>
      </c>
      <c r="G158" s="897" t="s">
        <v>99</v>
      </c>
      <c r="H158" s="899"/>
      <c r="I158" s="895" t="s">
        <v>94</v>
      </c>
      <c r="J158" s="897" t="s">
        <v>95</v>
      </c>
      <c r="K158" s="897" t="s">
        <v>96</v>
      </c>
      <c r="L158" s="897" t="s">
        <v>3</v>
      </c>
      <c r="M158" s="897" t="s">
        <v>97</v>
      </c>
      <c r="N158" s="897" t="s">
        <v>98</v>
      </c>
      <c r="O158" s="897" t="s">
        <v>99</v>
      </c>
      <c r="P158" s="899"/>
    </row>
    <row r="159" spans="1:16" ht="15" customHeight="1" thickBot="1">
      <c r="A159" s="896"/>
      <c r="B159" s="898"/>
      <c r="C159" s="898"/>
      <c r="D159" s="898"/>
      <c r="E159" s="898"/>
      <c r="F159" s="898"/>
      <c r="G159" s="240" t="s">
        <v>100</v>
      </c>
      <c r="H159" s="182" t="s">
        <v>101</v>
      </c>
      <c r="I159" s="896"/>
      <c r="J159" s="898"/>
      <c r="K159" s="898"/>
      <c r="L159" s="898"/>
      <c r="M159" s="898"/>
      <c r="N159" s="898"/>
      <c r="O159" s="240" t="s">
        <v>100</v>
      </c>
      <c r="P159" s="182" t="s">
        <v>101</v>
      </c>
    </row>
    <row r="160" spans="1:16" ht="15.75" customHeight="1">
      <c r="A160" s="881">
        <f>+A131+1</f>
        <v>252</v>
      </c>
      <c r="B160" s="875">
        <v>42242</v>
      </c>
      <c r="C160" s="942" t="s">
        <v>230</v>
      </c>
      <c r="D160" s="881" t="s">
        <v>242</v>
      </c>
      <c r="E160" s="881" t="s">
        <v>148</v>
      </c>
      <c r="F160" s="883">
        <v>182000</v>
      </c>
      <c r="G160" s="55">
        <v>719</v>
      </c>
      <c r="H160" s="78">
        <v>130000</v>
      </c>
      <c r="I160" s="873" t="s">
        <v>565</v>
      </c>
      <c r="J160" s="875">
        <v>42397</v>
      </c>
      <c r="K160" s="877" t="s">
        <v>272</v>
      </c>
      <c r="L160" s="881" t="s">
        <v>566</v>
      </c>
      <c r="M160" s="881" t="s">
        <v>115</v>
      </c>
      <c r="N160" s="883">
        <v>60000</v>
      </c>
      <c r="O160" s="55">
        <v>719</v>
      </c>
      <c r="P160" s="78">
        <v>60000</v>
      </c>
    </row>
    <row r="161" spans="1:16" ht="15" customHeight="1" thickBot="1">
      <c r="A161" s="882"/>
      <c r="B161" s="934"/>
      <c r="C161" s="943"/>
      <c r="D161" s="882"/>
      <c r="E161" s="882"/>
      <c r="F161" s="884"/>
      <c r="G161" s="56">
        <v>721</v>
      </c>
      <c r="H161" s="79">
        <f>+F160-H160</f>
        <v>52000</v>
      </c>
      <c r="I161" s="882"/>
      <c r="J161" s="876"/>
      <c r="K161" s="878"/>
      <c r="L161" s="882"/>
      <c r="M161" s="882"/>
      <c r="N161" s="884"/>
      <c r="O161" s="56">
        <v>721</v>
      </c>
      <c r="P161" s="79">
        <f>+N160-P160</f>
        <v>0</v>
      </c>
    </row>
    <row r="162" spans="1:16" ht="15.75" customHeight="1">
      <c r="A162" s="881">
        <f>+A160+1</f>
        <v>253</v>
      </c>
      <c r="B162" s="875">
        <v>42242</v>
      </c>
      <c r="C162" s="935" t="s">
        <v>28</v>
      </c>
      <c r="D162" s="881" t="s">
        <v>240</v>
      </c>
      <c r="E162" s="881" t="s">
        <v>148</v>
      </c>
      <c r="F162" s="883">
        <v>364000</v>
      </c>
      <c r="G162" s="55">
        <v>719</v>
      </c>
      <c r="H162" s="78">
        <v>260000</v>
      </c>
      <c r="I162" s="881">
        <f>+I160+1</f>
        <v>16</v>
      </c>
      <c r="J162" s="875">
        <v>42397</v>
      </c>
      <c r="K162" s="881" t="s">
        <v>28</v>
      </c>
      <c r="L162" s="881" t="s">
        <v>567</v>
      </c>
      <c r="M162" s="881" t="s">
        <v>115</v>
      </c>
      <c r="N162" s="883">
        <v>40000</v>
      </c>
      <c r="O162" s="55">
        <v>719</v>
      </c>
      <c r="P162" s="78">
        <v>40000</v>
      </c>
    </row>
    <row r="163" spans="1:16" ht="15.75" customHeight="1" thickBot="1">
      <c r="A163" s="882"/>
      <c r="B163" s="934"/>
      <c r="C163" s="936"/>
      <c r="D163" s="882"/>
      <c r="E163" s="882"/>
      <c r="F163" s="884"/>
      <c r="G163" s="56">
        <v>721</v>
      </c>
      <c r="H163" s="79">
        <f>+F162-H162</f>
        <v>104000</v>
      </c>
      <c r="I163" s="882"/>
      <c r="J163" s="876"/>
      <c r="K163" s="882"/>
      <c r="L163" s="882"/>
      <c r="M163" s="882"/>
      <c r="N163" s="884"/>
      <c r="O163" s="56">
        <v>721</v>
      </c>
      <c r="P163" s="79">
        <f>+N162-P162</f>
        <v>0</v>
      </c>
    </row>
    <row r="164" spans="1:16" ht="15" customHeight="1">
      <c r="A164" s="881">
        <f>+A162+1</f>
        <v>254</v>
      </c>
      <c r="B164" s="875">
        <v>42242</v>
      </c>
      <c r="C164" s="942" t="s">
        <v>32</v>
      </c>
      <c r="D164" s="881" t="s">
        <v>241</v>
      </c>
      <c r="E164" s="881" t="s">
        <v>148</v>
      </c>
      <c r="F164" s="883">
        <v>84000</v>
      </c>
      <c r="G164" s="55">
        <v>719</v>
      </c>
      <c r="H164" s="78">
        <v>60000</v>
      </c>
      <c r="I164" s="881">
        <f>+I162+1</f>
        <v>17</v>
      </c>
      <c r="J164" s="875">
        <v>42397</v>
      </c>
      <c r="K164" s="877" t="s">
        <v>32</v>
      </c>
      <c r="L164" s="881" t="s">
        <v>567</v>
      </c>
      <c r="M164" s="881" t="s">
        <v>115</v>
      </c>
      <c r="N164" s="883">
        <v>30000</v>
      </c>
      <c r="O164" s="55">
        <v>719</v>
      </c>
      <c r="P164" s="78">
        <v>30000</v>
      </c>
    </row>
    <row r="165" spans="1:16" ht="15.75" customHeight="1" thickBot="1">
      <c r="A165" s="882"/>
      <c r="B165" s="934"/>
      <c r="C165" s="943"/>
      <c r="D165" s="882"/>
      <c r="E165" s="882"/>
      <c r="F165" s="884"/>
      <c r="G165" s="56">
        <v>721</v>
      </c>
      <c r="H165" s="79">
        <f>+F164-H164</f>
        <v>24000</v>
      </c>
      <c r="I165" s="882"/>
      <c r="J165" s="876"/>
      <c r="K165" s="878"/>
      <c r="L165" s="882"/>
      <c r="M165" s="882"/>
      <c r="N165" s="884"/>
      <c r="O165" s="56">
        <v>721</v>
      </c>
      <c r="P165" s="79">
        <f>+N164-P164</f>
        <v>0</v>
      </c>
    </row>
    <row r="166" spans="1:16" ht="13.5" customHeight="1">
      <c r="A166" s="881">
        <f>+A164+1</f>
        <v>255</v>
      </c>
      <c r="B166" s="875">
        <v>42242</v>
      </c>
      <c r="C166" s="935" t="s">
        <v>169</v>
      </c>
      <c r="D166" s="881" t="s">
        <v>239</v>
      </c>
      <c r="E166" s="881" t="s">
        <v>148</v>
      </c>
      <c r="F166" s="883">
        <v>56000</v>
      </c>
      <c r="G166" s="55">
        <v>719</v>
      </c>
      <c r="H166" s="78">
        <v>40000</v>
      </c>
      <c r="I166" s="881">
        <f>+I164+1</f>
        <v>18</v>
      </c>
      <c r="J166" s="875">
        <v>42397</v>
      </c>
      <c r="K166" s="877" t="s">
        <v>272</v>
      </c>
      <c r="L166" s="881" t="s">
        <v>568</v>
      </c>
      <c r="M166" s="881" t="s">
        <v>115</v>
      </c>
      <c r="N166" s="883">
        <v>120000</v>
      </c>
      <c r="O166" s="55">
        <v>719</v>
      </c>
      <c r="P166" s="78">
        <v>120000</v>
      </c>
    </row>
    <row r="167" spans="1:16" ht="13.5" customHeight="1" thickBot="1">
      <c r="A167" s="882"/>
      <c r="B167" s="934"/>
      <c r="C167" s="936"/>
      <c r="D167" s="882"/>
      <c r="E167" s="882"/>
      <c r="F167" s="884"/>
      <c r="G167" s="56">
        <v>721</v>
      </c>
      <c r="H167" s="79">
        <f>+F166-H166</f>
        <v>16000</v>
      </c>
      <c r="I167" s="882"/>
      <c r="J167" s="876"/>
      <c r="K167" s="878"/>
      <c r="L167" s="882"/>
      <c r="M167" s="882"/>
      <c r="N167" s="884"/>
      <c r="O167" s="56">
        <v>721</v>
      </c>
      <c r="P167" s="79">
        <f>+N166-P166</f>
        <v>0</v>
      </c>
    </row>
    <row r="168" spans="1:16" ht="13.5" customHeight="1">
      <c r="A168" s="881">
        <f>+A166+1</f>
        <v>256</v>
      </c>
      <c r="B168" s="875">
        <v>42242</v>
      </c>
      <c r="C168" s="935" t="s">
        <v>31</v>
      </c>
      <c r="D168" s="881" t="s">
        <v>241</v>
      </c>
      <c r="E168" s="881" t="s">
        <v>148</v>
      </c>
      <c r="F168" s="883">
        <v>308000</v>
      </c>
      <c r="G168" s="55">
        <v>719</v>
      </c>
      <c r="H168" s="78">
        <v>220000</v>
      </c>
      <c r="I168" s="881">
        <f>+I166+1</f>
        <v>19</v>
      </c>
      <c r="J168" s="875">
        <v>42397</v>
      </c>
      <c r="K168" s="881" t="s">
        <v>28</v>
      </c>
      <c r="L168" s="881" t="s">
        <v>569</v>
      </c>
      <c r="M168" s="881" t="s">
        <v>115</v>
      </c>
      <c r="N168" s="883">
        <v>40000</v>
      </c>
      <c r="O168" s="55">
        <v>719</v>
      </c>
      <c r="P168" s="78">
        <v>40000</v>
      </c>
    </row>
    <row r="169" spans="1:16" ht="15.75" customHeight="1" thickBot="1">
      <c r="A169" s="882"/>
      <c r="B169" s="934"/>
      <c r="C169" s="936"/>
      <c r="D169" s="882"/>
      <c r="E169" s="882"/>
      <c r="F169" s="884"/>
      <c r="G169" s="56">
        <v>721</v>
      </c>
      <c r="H169" s="79">
        <f>+F168-H168</f>
        <v>88000</v>
      </c>
      <c r="I169" s="882"/>
      <c r="J169" s="876"/>
      <c r="K169" s="882"/>
      <c r="L169" s="882"/>
      <c r="M169" s="882"/>
      <c r="N169" s="884"/>
      <c r="O169" s="56">
        <v>721</v>
      </c>
      <c r="P169" s="79">
        <f>+N168-P168</f>
        <v>0</v>
      </c>
    </row>
    <row r="170" spans="1:16" ht="17.25" customHeight="1" thickBot="1">
      <c r="A170" s="901" t="s">
        <v>102</v>
      </c>
      <c r="B170" s="902"/>
      <c r="C170" s="902"/>
      <c r="D170" s="902"/>
      <c r="E170" s="903"/>
      <c r="F170" s="81">
        <f>SUM(F160:F169)</f>
        <v>994000</v>
      </c>
      <c r="I170" s="901" t="s">
        <v>102</v>
      </c>
      <c r="J170" s="902"/>
      <c r="K170" s="902"/>
      <c r="L170" s="902"/>
      <c r="M170" s="903"/>
      <c r="N170" s="81">
        <f>SUM(N160:N169)</f>
        <v>290000</v>
      </c>
    </row>
    <row r="171" spans="1:16" ht="16.5" thickBot="1">
      <c r="A171" s="885" t="s">
        <v>103</v>
      </c>
      <c r="B171" s="886"/>
      <c r="C171" s="886"/>
      <c r="D171" s="886"/>
      <c r="E171" s="887"/>
      <c r="F171" s="69">
        <f>+F135</f>
        <v>613697841</v>
      </c>
      <c r="I171" s="885" t="s">
        <v>103</v>
      </c>
      <c r="J171" s="886"/>
      <c r="K171" s="886"/>
      <c r="L171" s="886"/>
      <c r="M171" s="887"/>
      <c r="N171" s="239">
        <f>+N135</f>
        <v>9203000</v>
      </c>
      <c r="O171" s="241" t="s">
        <v>561</v>
      </c>
      <c r="P171" s="242">
        <f>26+18+199+334+65</f>
        <v>642</v>
      </c>
    </row>
    <row r="172" spans="1:16" ht="15.75" customHeight="1" thickBot="1">
      <c r="A172" s="888" t="s">
        <v>104</v>
      </c>
      <c r="B172" s="889"/>
      <c r="C172" s="889"/>
      <c r="D172" s="889"/>
      <c r="E172" s="890"/>
      <c r="F172" s="70">
        <f>SUM(F170:F171)</f>
        <v>614691841</v>
      </c>
      <c r="I172" s="888" t="s">
        <v>104</v>
      </c>
      <c r="J172" s="889"/>
      <c r="K172" s="889"/>
      <c r="L172" s="889"/>
      <c r="M172" s="890"/>
      <c r="N172" s="183">
        <f>SUM(N170:N171)</f>
        <v>9493000</v>
      </c>
    </row>
    <row r="173" spans="1:16" ht="12.75" customHeight="1">
      <c r="A173" s="61"/>
      <c r="B173" s="61"/>
      <c r="C173" s="61"/>
      <c r="D173" s="61"/>
      <c r="E173" s="61"/>
      <c r="I173" s="61"/>
      <c r="J173" s="61"/>
      <c r="K173" s="61"/>
      <c r="L173" s="61"/>
      <c r="M173" s="61"/>
    </row>
    <row r="174" spans="1:16" ht="13.5" customHeight="1">
      <c r="A174" s="51" t="s">
        <v>243</v>
      </c>
      <c r="I174" s="51" t="s">
        <v>570</v>
      </c>
    </row>
    <row r="175" spans="1:16" ht="11.25" customHeight="1">
      <c r="F175" s="139"/>
      <c r="N175" s="139"/>
    </row>
    <row r="176" spans="1:16" ht="18" customHeight="1">
      <c r="A176" s="50" t="s">
        <v>105</v>
      </c>
      <c r="D176" s="146"/>
      <c r="I176" s="50" t="s">
        <v>105</v>
      </c>
      <c r="L176" s="146"/>
      <c r="N176" s="139"/>
    </row>
    <row r="177" spans="1:15" ht="12" customHeight="1" thickBot="1"/>
    <row r="178" spans="1:15" ht="15.75" thickBot="1">
      <c r="A178" s="891" t="s">
        <v>106</v>
      </c>
      <c r="B178" s="892"/>
      <c r="C178" s="892"/>
      <c r="D178" s="893"/>
      <c r="F178" s="50" t="s">
        <v>107</v>
      </c>
      <c r="I178" s="891" t="s">
        <v>106</v>
      </c>
      <c r="J178" s="892"/>
      <c r="K178" s="892"/>
      <c r="L178" s="893"/>
      <c r="N178" s="50" t="s">
        <v>270</v>
      </c>
    </row>
    <row r="179" spans="1:15" ht="30.75" thickBot="1">
      <c r="A179" s="57" t="s">
        <v>100</v>
      </c>
      <c r="B179" s="58" t="s">
        <v>108</v>
      </c>
      <c r="C179" s="59" t="s">
        <v>109</v>
      </c>
      <c r="D179" s="60" t="s">
        <v>110</v>
      </c>
      <c r="I179" s="57" t="s">
        <v>100</v>
      </c>
      <c r="J179" s="58" t="s">
        <v>108</v>
      </c>
      <c r="K179" s="59" t="s">
        <v>109</v>
      </c>
      <c r="L179" s="60" t="s">
        <v>110</v>
      </c>
    </row>
    <row r="180" spans="1:15">
      <c r="A180" s="71">
        <v>719</v>
      </c>
      <c r="B180" s="73">
        <f>+H160+H162+H164+H166+H168</f>
        <v>710000</v>
      </c>
      <c r="C180" s="74">
        <f>+D143</f>
        <v>30280000</v>
      </c>
      <c r="D180" s="76">
        <f>+B180+C180</f>
        <v>30990000</v>
      </c>
      <c r="I180" s="71">
        <v>719</v>
      </c>
      <c r="J180" s="73">
        <f>+P160+P162+P164+P166+P168</f>
        <v>290000</v>
      </c>
      <c r="K180" s="74">
        <f>+L143</f>
        <v>1180000</v>
      </c>
      <c r="L180" s="195">
        <f>+J180+K180</f>
        <v>1470000</v>
      </c>
    </row>
    <row r="181" spans="1:15">
      <c r="A181" s="72">
        <v>721</v>
      </c>
      <c r="B181" s="80">
        <f>+H169+H167+H165+H163+H161</f>
        <v>284000</v>
      </c>
      <c r="C181" s="74">
        <f>+D144</f>
        <v>36836092</v>
      </c>
      <c r="D181" s="76">
        <f>+B181+C181</f>
        <v>37120092</v>
      </c>
      <c r="I181" s="72">
        <v>721</v>
      </c>
      <c r="J181" s="80">
        <f>+P161+P163+P165+P167+P169</f>
        <v>0</v>
      </c>
      <c r="K181" s="74">
        <f>+L144</f>
        <v>400000</v>
      </c>
      <c r="L181" s="195">
        <f>+J181+K181</f>
        <v>400000</v>
      </c>
    </row>
    <row r="182" spans="1:15">
      <c r="A182" s="72">
        <v>722</v>
      </c>
      <c r="B182" s="80"/>
      <c r="C182" s="74">
        <f>+D145</f>
        <v>224787287</v>
      </c>
      <c r="D182" s="76">
        <f>+B182+C182</f>
        <v>224787287</v>
      </c>
      <c r="I182" s="72">
        <v>722</v>
      </c>
      <c r="J182" s="80"/>
      <c r="K182" s="74">
        <f>+L145</f>
        <v>0</v>
      </c>
      <c r="L182" s="195">
        <f>+J182+K182</f>
        <v>0</v>
      </c>
    </row>
    <row r="183" spans="1:15" ht="15.75">
      <c r="A183" s="72">
        <v>723</v>
      </c>
      <c r="B183" s="80"/>
      <c r="C183" s="74">
        <f>+D146</f>
        <v>319828837</v>
      </c>
      <c r="D183" s="76">
        <f>+B183+C183</f>
        <v>319828837</v>
      </c>
      <c r="F183" s="174" t="s">
        <v>23</v>
      </c>
      <c r="I183" s="72">
        <v>723</v>
      </c>
      <c r="J183" s="80"/>
      <c r="K183" s="74">
        <f>+L146</f>
        <v>7623000</v>
      </c>
      <c r="L183" s="195">
        <f>+J183+K183</f>
        <v>7623000</v>
      </c>
      <c r="N183" s="193" t="s">
        <v>348</v>
      </c>
      <c r="O183" s="175"/>
    </row>
    <row r="184" spans="1:15" ht="16.5" thickBot="1">
      <c r="A184" s="164" t="s">
        <v>181</v>
      </c>
      <c r="B184" s="165"/>
      <c r="C184" s="74">
        <f>+D147</f>
        <v>1965625</v>
      </c>
      <c r="D184" s="168">
        <f>+B184+C184</f>
        <v>1965625</v>
      </c>
      <c r="F184" s="52"/>
      <c r="I184" s="164" t="s">
        <v>181</v>
      </c>
      <c r="J184" s="165"/>
      <c r="K184" s="74">
        <f>+L147</f>
        <v>0</v>
      </c>
      <c r="L184" s="196">
        <f>+J184+K184</f>
        <v>0</v>
      </c>
      <c r="N184" s="52"/>
    </row>
    <row r="185" spans="1:15" ht="16.5" thickBot="1">
      <c r="A185" s="169"/>
      <c r="B185" s="170">
        <f>SUM(B180:B184)</f>
        <v>994000</v>
      </c>
      <c r="C185" s="171">
        <f>SUM(C180:C184)</f>
        <v>613697841</v>
      </c>
      <c r="D185" s="172">
        <f>SUM(D180:D184)</f>
        <v>614691841</v>
      </c>
      <c r="I185" s="169"/>
      <c r="J185" s="197">
        <f>SUM(J180:J184)</f>
        <v>290000</v>
      </c>
      <c r="K185" s="197">
        <f>SUM(K180:K184)</f>
        <v>9203000</v>
      </c>
      <c r="L185" s="198">
        <f>SUM(L180:L184)</f>
        <v>9493000</v>
      </c>
    </row>
    <row r="186" spans="1:15" ht="16.5">
      <c r="A186" s="49" t="s">
        <v>88</v>
      </c>
      <c r="B186" s="50"/>
      <c r="I186" s="49" t="s">
        <v>88</v>
      </c>
      <c r="J186" s="50"/>
    </row>
    <row r="187" spans="1:15">
      <c r="A187" s="51" t="s">
        <v>89</v>
      </c>
      <c r="I187" s="51" t="s">
        <v>89</v>
      </c>
    </row>
    <row r="188" spans="1:15">
      <c r="A188" s="51" t="s">
        <v>90</v>
      </c>
      <c r="I188" s="51" t="s">
        <v>90</v>
      </c>
    </row>
    <row r="189" spans="1:15">
      <c r="A189" s="51" t="s">
        <v>91</v>
      </c>
      <c r="I189" s="51" t="s">
        <v>91</v>
      </c>
    </row>
    <row r="190" spans="1:15" ht="11.25" customHeight="1">
      <c r="A190" s="50"/>
      <c r="B190" s="50"/>
      <c r="I190" s="50"/>
      <c r="J190" s="50"/>
    </row>
    <row r="191" spans="1:15" ht="16.5">
      <c r="A191" s="52" t="s">
        <v>245</v>
      </c>
      <c r="G191" s="52"/>
      <c r="I191" s="52" t="s">
        <v>571</v>
      </c>
      <c r="O191" s="52"/>
    </row>
    <row r="192" spans="1:15" ht="15.75">
      <c r="A192" s="53" t="s">
        <v>92</v>
      </c>
      <c r="G192" s="53"/>
      <c r="I192" s="53" t="s">
        <v>535</v>
      </c>
      <c r="O192" s="53"/>
    </row>
    <row r="193" spans="1:16" ht="16.5">
      <c r="A193" s="894" t="s">
        <v>255</v>
      </c>
      <c r="B193" s="894"/>
      <c r="C193" s="894"/>
      <c r="D193" s="894"/>
      <c r="E193" s="894"/>
      <c r="F193" s="894"/>
      <c r="G193" s="894"/>
      <c r="H193" s="894"/>
      <c r="I193" s="894" t="s">
        <v>261</v>
      </c>
      <c r="J193" s="894"/>
      <c r="K193" s="894"/>
      <c r="L193" s="894"/>
      <c r="M193" s="894"/>
      <c r="N193" s="894"/>
      <c r="O193" s="894"/>
      <c r="P193" s="894"/>
    </row>
    <row r="194" spans="1:16" ht="12" customHeight="1" thickBot="1"/>
    <row r="195" spans="1:16">
      <c r="A195" s="895" t="s">
        <v>94</v>
      </c>
      <c r="B195" s="897" t="s">
        <v>95</v>
      </c>
      <c r="C195" s="897" t="s">
        <v>96</v>
      </c>
      <c r="D195" s="897" t="s">
        <v>3</v>
      </c>
      <c r="E195" s="897" t="s">
        <v>97</v>
      </c>
      <c r="F195" s="897" t="s">
        <v>98</v>
      </c>
      <c r="G195" s="897" t="s">
        <v>99</v>
      </c>
      <c r="H195" s="899"/>
      <c r="I195" s="895" t="s">
        <v>94</v>
      </c>
      <c r="J195" s="897" t="s">
        <v>95</v>
      </c>
      <c r="K195" s="897" t="s">
        <v>96</v>
      </c>
      <c r="L195" s="897" t="s">
        <v>3</v>
      </c>
      <c r="M195" s="897" t="s">
        <v>97</v>
      </c>
      <c r="N195" s="897" t="s">
        <v>98</v>
      </c>
      <c r="O195" s="897" t="s">
        <v>99</v>
      </c>
      <c r="P195" s="899"/>
    </row>
    <row r="196" spans="1:16" ht="15.75" thickBot="1">
      <c r="A196" s="896"/>
      <c r="B196" s="898"/>
      <c r="C196" s="898"/>
      <c r="D196" s="898"/>
      <c r="E196" s="898"/>
      <c r="F196" s="898"/>
      <c r="G196" s="240" t="s">
        <v>100</v>
      </c>
      <c r="H196" s="182" t="s">
        <v>101</v>
      </c>
      <c r="I196" s="896"/>
      <c r="J196" s="898"/>
      <c r="K196" s="898"/>
      <c r="L196" s="898"/>
      <c r="M196" s="898"/>
      <c r="N196" s="898"/>
      <c r="O196" s="240" t="s">
        <v>100</v>
      </c>
      <c r="P196" s="182" t="s">
        <v>101</v>
      </c>
    </row>
    <row r="197" spans="1:16">
      <c r="A197" s="881">
        <f>+A168+1</f>
        <v>257</v>
      </c>
      <c r="B197" s="875">
        <v>42243</v>
      </c>
      <c r="C197" s="942" t="s">
        <v>31</v>
      </c>
      <c r="D197" s="881" t="s">
        <v>246</v>
      </c>
      <c r="E197" s="881" t="s">
        <v>115</v>
      </c>
      <c r="F197" s="883">
        <v>120000</v>
      </c>
      <c r="G197" s="55">
        <v>719</v>
      </c>
      <c r="H197" s="78">
        <v>120000</v>
      </c>
      <c r="I197" s="873" t="s">
        <v>574</v>
      </c>
      <c r="J197" s="875">
        <v>42417</v>
      </c>
      <c r="K197" s="877" t="s">
        <v>272</v>
      </c>
      <c r="L197" s="881" t="s">
        <v>584</v>
      </c>
      <c r="M197" s="881" t="s">
        <v>115</v>
      </c>
      <c r="N197" s="883">
        <v>70000</v>
      </c>
      <c r="O197" s="55">
        <v>719</v>
      </c>
      <c r="P197" s="78">
        <v>70000</v>
      </c>
    </row>
    <row r="198" spans="1:16" ht="15.75" thickBot="1">
      <c r="A198" s="882"/>
      <c r="B198" s="934"/>
      <c r="C198" s="943"/>
      <c r="D198" s="882"/>
      <c r="E198" s="882"/>
      <c r="F198" s="884"/>
      <c r="G198" s="56">
        <v>721</v>
      </c>
      <c r="H198" s="79">
        <f>+F197-H197</f>
        <v>0</v>
      </c>
      <c r="I198" s="874"/>
      <c r="J198" s="876"/>
      <c r="K198" s="878"/>
      <c r="L198" s="882"/>
      <c r="M198" s="882"/>
      <c r="N198" s="884"/>
      <c r="O198" s="56">
        <v>721</v>
      </c>
      <c r="P198" s="79">
        <f>+N197-P197</f>
        <v>0</v>
      </c>
    </row>
    <row r="199" spans="1:16" ht="15" customHeight="1">
      <c r="A199" s="881">
        <f>+A197+1</f>
        <v>258</v>
      </c>
      <c r="B199" s="875">
        <v>42243</v>
      </c>
      <c r="C199" s="935" t="s">
        <v>28</v>
      </c>
      <c r="D199" s="881" t="s">
        <v>247</v>
      </c>
      <c r="E199" s="881" t="s">
        <v>115</v>
      </c>
      <c r="F199" s="883">
        <v>50000</v>
      </c>
      <c r="G199" s="55">
        <v>719</v>
      </c>
      <c r="H199" s="78">
        <v>50000</v>
      </c>
      <c r="I199" s="873" t="s">
        <v>575</v>
      </c>
      <c r="J199" s="875">
        <v>42417</v>
      </c>
      <c r="K199" s="881" t="s">
        <v>28</v>
      </c>
      <c r="L199" s="881" t="s">
        <v>585</v>
      </c>
      <c r="M199" s="881" t="s">
        <v>115</v>
      </c>
      <c r="N199" s="883">
        <v>40000</v>
      </c>
      <c r="O199" s="55">
        <v>719</v>
      </c>
      <c r="P199" s="78">
        <v>40000</v>
      </c>
    </row>
    <row r="200" spans="1:16" ht="15.75" customHeight="1" thickBot="1">
      <c r="A200" s="882"/>
      <c r="B200" s="934"/>
      <c r="C200" s="936"/>
      <c r="D200" s="882"/>
      <c r="E200" s="882"/>
      <c r="F200" s="884"/>
      <c r="G200" s="56">
        <v>721</v>
      </c>
      <c r="H200" s="79"/>
      <c r="I200" s="874"/>
      <c r="J200" s="876"/>
      <c r="K200" s="882"/>
      <c r="L200" s="882"/>
      <c r="M200" s="882"/>
      <c r="N200" s="884"/>
      <c r="O200" s="56">
        <v>721</v>
      </c>
      <c r="P200" s="79">
        <f>+N199-P199</f>
        <v>0</v>
      </c>
    </row>
    <row r="201" spans="1:16" ht="15" customHeight="1">
      <c r="A201" s="881">
        <f>+A199+1</f>
        <v>259</v>
      </c>
      <c r="B201" s="875">
        <v>42243</v>
      </c>
      <c r="C201" s="877" t="s">
        <v>250</v>
      </c>
      <c r="D201" s="877" t="s">
        <v>248</v>
      </c>
      <c r="E201" s="881" t="s">
        <v>145</v>
      </c>
      <c r="F201" s="883">
        <v>4280256</v>
      </c>
      <c r="G201" s="55">
        <v>719</v>
      </c>
      <c r="H201" s="78"/>
      <c r="I201" s="873" t="s">
        <v>576</v>
      </c>
      <c r="J201" s="875">
        <v>42417</v>
      </c>
      <c r="K201" s="877" t="s">
        <v>32</v>
      </c>
      <c r="L201" s="881" t="s">
        <v>586</v>
      </c>
      <c r="M201" s="881" t="s">
        <v>115</v>
      </c>
      <c r="N201" s="883">
        <v>60000</v>
      </c>
      <c r="O201" s="55">
        <v>719</v>
      </c>
      <c r="P201" s="78">
        <v>60000</v>
      </c>
    </row>
    <row r="202" spans="1:16" ht="15.75" customHeight="1" thickBot="1">
      <c r="A202" s="882"/>
      <c r="B202" s="934"/>
      <c r="C202" s="878"/>
      <c r="D202" s="878"/>
      <c r="E202" s="882"/>
      <c r="F202" s="884"/>
      <c r="G202" s="56">
        <v>722</v>
      </c>
      <c r="H202" s="79">
        <f>+F201-H201</f>
        <v>4280256</v>
      </c>
      <c r="I202" s="874"/>
      <c r="J202" s="876"/>
      <c r="K202" s="878"/>
      <c r="L202" s="882"/>
      <c r="M202" s="882"/>
      <c r="N202" s="884"/>
      <c r="O202" s="56">
        <v>721</v>
      </c>
      <c r="P202" s="79">
        <f>+N201-P201</f>
        <v>0</v>
      </c>
    </row>
    <row r="203" spans="1:16" ht="15" customHeight="1">
      <c r="A203" s="881">
        <f>+A201+1</f>
        <v>260</v>
      </c>
      <c r="B203" s="875">
        <v>42243</v>
      </c>
      <c r="C203" s="877" t="s">
        <v>249</v>
      </c>
      <c r="D203" s="877" t="s">
        <v>248</v>
      </c>
      <c r="E203" s="881" t="s">
        <v>145</v>
      </c>
      <c r="F203" s="883">
        <v>2140128</v>
      </c>
      <c r="G203" s="55">
        <v>719</v>
      </c>
      <c r="H203" s="78"/>
      <c r="I203" s="873" t="s">
        <v>577</v>
      </c>
      <c r="J203" s="875">
        <v>42417</v>
      </c>
      <c r="K203" s="877" t="s">
        <v>272</v>
      </c>
      <c r="L203" s="881" t="s">
        <v>587</v>
      </c>
      <c r="M203" s="881" t="s">
        <v>115</v>
      </c>
      <c r="N203" s="883">
        <v>80000</v>
      </c>
      <c r="O203" s="55">
        <v>719</v>
      </c>
      <c r="P203" s="78">
        <v>80000</v>
      </c>
    </row>
    <row r="204" spans="1:16" ht="15.75" customHeight="1" thickBot="1">
      <c r="A204" s="882"/>
      <c r="B204" s="934"/>
      <c r="C204" s="878"/>
      <c r="D204" s="878"/>
      <c r="E204" s="882"/>
      <c r="F204" s="884"/>
      <c r="G204" s="56">
        <v>722</v>
      </c>
      <c r="H204" s="79">
        <f>+F203-H203</f>
        <v>2140128</v>
      </c>
      <c r="I204" s="874"/>
      <c r="J204" s="876"/>
      <c r="K204" s="878"/>
      <c r="L204" s="882"/>
      <c r="M204" s="882"/>
      <c r="N204" s="884"/>
      <c r="O204" s="56">
        <v>721</v>
      </c>
      <c r="P204" s="79">
        <f>+N203-P203</f>
        <v>0</v>
      </c>
    </row>
    <row r="205" spans="1:16" ht="15" customHeight="1">
      <c r="A205" s="881"/>
      <c r="B205" s="875"/>
      <c r="C205" s="935"/>
      <c r="D205" s="877"/>
      <c r="E205" s="881"/>
      <c r="F205" s="883"/>
      <c r="G205" s="55">
        <v>719</v>
      </c>
      <c r="H205" s="78"/>
      <c r="I205" s="873" t="s">
        <v>578</v>
      </c>
      <c r="J205" s="875">
        <v>42417</v>
      </c>
      <c r="K205" s="881" t="s">
        <v>28</v>
      </c>
      <c r="L205" s="881" t="s">
        <v>588</v>
      </c>
      <c r="M205" s="881" t="s">
        <v>115</v>
      </c>
      <c r="N205" s="883">
        <v>20000</v>
      </c>
      <c r="O205" s="55">
        <v>719</v>
      </c>
      <c r="P205" s="78">
        <v>20000</v>
      </c>
    </row>
    <row r="206" spans="1:16" ht="15.75" customHeight="1" thickBot="1">
      <c r="A206" s="882"/>
      <c r="B206" s="934"/>
      <c r="C206" s="936"/>
      <c r="D206" s="878"/>
      <c r="E206" s="882"/>
      <c r="F206" s="884"/>
      <c r="G206" s="56">
        <v>721</v>
      </c>
      <c r="H206" s="79">
        <f>+F205-H205</f>
        <v>0</v>
      </c>
      <c r="I206" s="874"/>
      <c r="J206" s="876"/>
      <c r="K206" s="882"/>
      <c r="L206" s="882"/>
      <c r="M206" s="882"/>
      <c r="N206" s="884"/>
      <c r="O206" s="56">
        <v>721</v>
      </c>
      <c r="P206" s="79">
        <f>+N205-P205</f>
        <v>0</v>
      </c>
    </row>
    <row r="207" spans="1:16" ht="16.5" thickBot="1">
      <c r="A207" s="901" t="s">
        <v>102</v>
      </c>
      <c r="B207" s="902"/>
      <c r="C207" s="902"/>
      <c r="D207" s="902"/>
      <c r="E207" s="903"/>
      <c r="F207" s="81">
        <f>SUM(F197:F206)</f>
        <v>6590384</v>
      </c>
      <c r="I207" s="901" t="s">
        <v>102</v>
      </c>
      <c r="J207" s="902"/>
      <c r="K207" s="902"/>
      <c r="L207" s="902"/>
      <c r="M207" s="903"/>
      <c r="N207" s="81">
        <f>SUM(N197:N206)</f>
        <v>270000</v>
      </c>
    </row>
    <row r="208" spans="1:16" ht="16.5" thickBot="1">
      <c r="A208" s="885" t="s">
        <v>103</v>
      </c>
      <c r="B208" s="886"/>
      <c r="C208" s="886"/>
      <c r="D208" s="886"/>
      <c r="E208" s="887"/>
      <c r="F208" s="69">
        <f>+F172</f>
        <v>614691841</v>
      </c>
      <c r="I208" s="885" t="s">
        <v>103</v>
      </c>
      <c r="J208" s="886"/>
      <c r="K208" s="886"/>
      <c r="L208" s="886"/>
      <c r="M208" s="887"/>
      <c r="N208" s="239">
        <f>+N172</f>
        <v>9493000</v>
      </c>
      <c r="O208" s="241" t="s">
        <v>561</v>
      </c>
      <c r="P208" s="242">
        <f>44+252+38+53+283</f>
        <v>670</v>
      </c>
    </row>
    <row r="209" spans="1:15" ht="16.5" thickBot="1">
      <c r="A209" s="888" t="s">
        <v>104</v>
      </c>
      <c r="B209" s="889"/>
      <c r="C209" s="889"/>
      <c r="D209" s="889"/>
      <c r="E209" s="890"/>
      <c r="F209" s="183">
        <f>SUM(F207:F208)</f>
        <v>621282225</v>
      </c>
      <c r="I209" s="888" t="s">
        <v>104</v>
      </c>
      <c r="J209" s="889"/>
      <c r="K209" s="889"/>
      <c r="L209" s="889"/>
      <c r="M209" s="890"/>
      <c r="N209" s="183">
        <f>SUM(N207:N208)</f>
        <v>9763000</v>
      </c>
    </row>
    <row r="210" spans="1:15" ht="12" customHeight="1">
      <c r="A210" s="61"/>
      <c r="B210" s="61"/>
      <c r="C210" s="61"/>
      <c r="D210" s="61"/>
      <c r="E210" s="61"/>
      <c r="I210" s="61"/>
      <c r="J210" s="61"/>
      <c r="K210" s="61"/>
      <c r="L210" s="61"/>
      <c r="M210" s="61"/>
    </row>
    <row r="211" spans="1:15">
      <c r="A211" s="51" t="s">
        <v>254</v>
      </c>
      <c r="I211" s="51" t="s">
        <v>597</v>
      </c>
    </row>
    <row r="212" spans="1:15">
      <c r="F212" s="139"/>
      <c r="N212" s="139"/>
    </row>
    <row r="213" spans="1:15">
      <c r="A213" s="50" t="s">
        <v>105</v>
      </c>
      <c r="D213" s="146"/>
      <c r="F213" s="139"/>
      <c r="I213" s="50" t="s">
        <v>105</v>
      </c>
      <c r="L213" s="146"/>
      <c r="N213" s="139"/>
    </row>
    <row r="214" spans="1:15" ht="13.5" customHeight="1" thickBot="1"/>
    <row r="215" spans="1:15" ht="15.75" thickBot="1">
      <c r="A215" s="891" t="s">
        <v>106</v>
      </c>
      <c r="B215" s="892"/>
      <c r="C215" s="892"/>
      <c r="D215" s="893"/>
      <c r="F215" s="50" t="s">
        <v>107</v>
      </c>
      <c r="I215" s="891" t="s">
        <v>106</v>
      </c>
      <c r="J215" s="892"/>
      <c r="K215" s="892"/>
      <c r="L215" s="893"/>
      <c r="N215" s="50" t="s">
        <v>288</v>
      </c>
    </row>
    <row r="216" spans="1:15" ht="30.75" thickBot="1">
      <c r="A216" s="57" t="s">
        <v>100</v>
      </c>
      <c r="B216" s="58" t="s">
        <v>108</v>
      </c>
      <c r="C216" s="59" t="s">
        <v>109</v>
      </c>
      <c r="D216" s="60" t="s">
        <v>110</v>
      </c>
      <c r="I216" s="57" t="s">
        <v>100</v>
      </c>
      <c r="J216" s="58" t="s">
        <v>108</v>
      </c>
      <c r="K216" s="59" t="s">
        <v>109</v>
      </c>
      <c r="L216" s="60" t="s">
        <v>110</v>
      </c>
    </row>
    <row r="217" spans="1:15">
      <c r="A217" s="71">
        <v>719</v>
      </c>
      <c r="B217" s="73">
        <f>+H197+H199</f>
        <v>170000</v>
      </c>
      <c r="C217" s="74">
        <f>+D180</f>
        <v>30990000</v>
      </c>
      <c r="D217" s="76">
        <f>+B217+C217</f>
        <v>31160000</v>
      </c>
      <c r="I217" s="71">
        <v>719</v>
      </c>
      <c r="J217" s="73">
        <f>+P197+P199+P201+P203+P205</f>
        <v>270000</v>
      </c>
      <c r="K217" s="74">
        <f>+L180</f>
        <v>1470000</v>
      </c>
      <c r="L217" s="195">
        <f>+J217+K217</f>
        <v>1740000</v>
      </c>
    </row>
    <row r="218" spans="1:15" ht="12.75" customHeight="1">
      <c r="A218" s="72">
        <v>721</v>
      </c>
      <c r="B218" s="80"/>
      <c r="C218" s="74">
        <f>+D181</f>
        <v>37120092</v>
      </c>
      <c r="D218" s="76">
        <f>+B218+C218</f>
        <v>37120092</v>
      </c>
      <c r="I218" s="72">
        <v>721</v>
      </c>
      <c r="J218" s="80">
        <f>+P198+P200+P202+P204+P206</f>
        <v>0</v>
      </c>
      <c r="K218" s="74">
        <f>+L181</f>
        <v>400000</v>
      </c>
      <c r="L218" s="195">
        <f>+J218+K218</f>
        <v>400000</v>
      </c>
    </row>
    <row r="219" spans="1:15">
      <c r="A219" s="72">
        <v>722</v>
      </c>
      <c r="B219" s="80">
        <f>+H202+H204</f>
        <v>6420384</v>
      </c>
      <c r="C219" s="74">
        <f>+D182</f>
        <v>224787287</v>
      </c>
      <c r="D219" s="76">
        <f>+B219+C219</f>
        <v>231207671</v>
      </c>
      <c r="I219" s="72">
        <v>722</v>
      </c>
      <c r="J219" s="80"/>
      <c r="K219" s="74">
        <f>+L182</f>
        <v>0</v>
      </c>
      <c r="L219" s="195">
        <f>+J219+K219</f>
        <v>0</v>
      </c>
    </row>
    <row r="220" spans="1:15" ht="15" customHeight="1">
      <c r="A220" s="72">
        <v>723</v>
      </c>
      <c r="B220" s="80"/>
      <c r="C220" s="74">
        <f>+D183</f>
        <v>319828837</v>
      </c>
      <c r="D220" s="76">
        <f>+B220+C220</f>
        <v>319828837</v>
      </c>
      <c r="F220" s="174" t="s">
        <v>23</v>
      </c>
      <c r="G220" s="175"/>
      <c r="I220" s="72">
        <v>723</v>
      </c>
      <c r="J220" s="80"/>
      <c r="K220" s="74">
        <f>+L183</f>
        <v>7623000</v>
      </c>
      <c r="L220" s="195">
        <f>+J220+K220</f>
        <v>7623000</v>
      </c>
      <c r="N220" s="174" t="s">
        <v>23</v>
      </c>
      <c r="O220" s="175"/>
    </row>
    <row r="221" spans="1:15" ht="16.5" thickBot="1">
      <c r="A221" s="164" t="s">
        <v>181</v>
      </c>
      <c r="B221" s="165"/>
      <c r="C221" s="74">
        <f>+D184</f>
        <v>1965625</v>
      </c>
      <c r="D221" s="168">
        <f>+B221+C221</f>
        <v>1965625</v>
      </c>
      <c r="F221" s="52"/>
      <c r="I221" s="164" t="s">
        <v>181</v>
      </c>
      <c r="J221" s="165"/>
      <c r="K221" s="74">
        <f>+L184</f>
        <v>0</v>
      </c>
      <c r="L221" s="196">
        <f>+J221+K221</f>
        <v>0</v>
      </c>
      <c r="N221" s="52"/>
    </row>
    <row r="222" spans="1:15" ht="16.5" thickBot="1">
      <c r="A222" s="169"/>
      <c r="B222" s="170">
        <f>SUM(B217:B221)</f>
        <v>6590384</v>
      </c>
      <c r="C222" s="171">
        <f>SUM(C217:C221)</f>
        <v>614691841</v>
      </c>
      <c r="D222" s="172">
        <f>SUM(D217:D221)</f>
        <v>621282225</v>
      </c>
      <c r="I222" s="169"/>
      <c r="J222" s="197">
        <f>SUM(J217:J221)</f>
        <v>270000</v>
      </c>
      <c r="K222" s="197">
        <f>SUM(K217:K221)</f>
        <v>9493000</v>
      </c>
      <c r="L222" s="198">
        <f>SUM(L217:L221)</f>
        <v>9763000</v>
      </c>
    </row>
    <row r="223" spans="1:15" ht="16.5">
      <c r="A223" s="49" t="s">
        <v>88</v>
      </c>
      <c r="B223" s="50"/>
      <c r="I223" s="49" t="s">
        <v>88</v>
      </c>
      <c r="J223" s="50"/>
    </row>
    <row r="224" spans="1:15">
      <c r="A224" s="51" t="s">
        <v>89</v>
      </c>
      <c r="I224" s="51" t="s">
        <v>89</v>
      </c>
    </row>
    <row r="225" spans="1:16">
      <c r="A225" s="51" t="s">
        <v>90</v>
      </c>
      <c r="I225" s="51" t="s">
        <v>90</v>
      </c>
    </row>
    <row r="226" spans="1:16">
      <c r="A226" s="51" t="s">
        <v>91</v>
      </c>
      <c r="I226" s="51" t="s">
        <v>91</v>
      </c>
    </row>
    <row r="227" spans="1:16" ht="11.25" customHeight="1">
      <c r="A227" s="50"/>
      <c r="B227" s="50"/>
      <c r="I227" s="50"/>
      <c r="J227" s="50"/>
    </row>
    <row r="228" spans="1:16" ht="16.5">
      <c r="A228" s="52" t="s">
        <v>256</v>
      </c>
      <c r="G228" s="52"/>
      <c r="I228" s="52" t="s">
        <v>572</v>
      </c>
      <c r="J228" s="243" t="s">
        <v>552</v>
      </c>
      <c r="O228" s="52"/>
    </row>
    <row r="229" spans="1:16" ht="15.75">
      <c r="A229" s="53" t="s">
        <v>92</v>
      </c>
      <c r="G229" s="53"/>
      <c r="I229" s="53" t="s">
        <v>535</v>
      </c>
      <c r="O229" s="53"/>
    </row>
    <row r="230" spans="1:16" ht="16.5">
      <c r="A230" s="894" t="s">
        <v>261</v>
      </c>
      <c r="B230" s="894"/>
      <c r="C230" s="894"/>
      <c r="D230" s="894"/>
      <c r="E230" s="894"/>
      <c r="F230" s="894"/>
      <c r="G230" s="894"/>
      <c r="H230" s="894"/>
      <c r="I230" s="894" t="s">
        <v>261</v>
      </c>
      <c r="J230" s="894"/>
      <c r="K230" s="894"/>
      <c r="L230" s="894"/>
      <c r="M230" s="894"/>
      <c r="N230" s="894"/>
      <c r="O230" s="894"/>
      <c r="P230" s="894"/>
    </row>
    <row r="231" spans="1:16" ht="12" customHeight="1" thickBot="1"/>
    <row r="232" spans="1:16">
      <c r="A232" s="895" t="s">
        <v>94</v>
      </c>
      <c r="B232" s="897" t="s">
        <v>95</v>
      </c>
      <c r="C232" s="897" t="s">
        <v>96</v>
      </c>
      <c r="D232" s="897" t="s">
        <v>3</v>
      </c>
      <c r="E232" s="897" t="s">
        <v>97</v>
      </c>
      <c r="F232" s="897" t="s">
        <v>98</v>
      </c>
      <c r="G232" s="897" t="s">
        <v>99</v>
      </c>
      <c r="H232" s="899"/>
      <c r="I232" s="895" t="s">
        <v>94</v>
      </c>
      <c r="J232" s="897" t="s">
        <v>95</v>
      </c>
      <c r="K232" s="897" t="s">
        <v>96</v>
      </c>
      <c r="L232" s="897" t="s">
        <v>3</v>
      </c>
      <c r="M232" s="897" t="s">
        <v>97</v>
      </c>
      <c r="N232" s="897" t="s">
        <v>98</v>
      </c>
      <c r="O232" s="897" t="s">
        <v>99</v>
      </c>
      <c r="P232" s="899"/>
    </row>
    <row r="233" spans="1:16" ht="15.75" thickBot="1">
      <c r="A233" s="896"/>
      <c r="B233" s="898"/>
      <c r="C233" s="898"/>
      <c r="D233" s="898"/>
      <c r="E233" s="898"/>
      <c r="F233" s="898"/>
      <c r="G233" s="240" t="s">
        <v>100</v>
      </c>
      <c r="H233" s="182" t="s">
        <v>101</v>
      </c>
      <c r="I233" s="896"/>
      <c r="J233" s="898"/>
      <c r="K233" s="898"/>
      <c r="L233" s="898"/>
      <c r="M233" s="898"/>
      <c r="N233" s="898"/>
      <c r="O233" s="240" t="s">
        <v>100</v>
      </c>
      <c r="P233" s="182" t="s">
        <v>101</v>
      </c>
    </row>
    <row r="234" spans="1:16" ht="15" customHeight="1">
      <c r="A234" s="881">
        <f>+A203+1</f>
        <v>261</v>
      </c>
      <c r="B234" s="875">
        <v>42252</v>
      </c>
      <c r="C234" s="942" t="s">
        <v>31</v>
      </c>
      <c r="D234" s="881" t="s">
        <v>257</v>
      </c>
      <c r="E234" s="881" t="s">
        <v>115</v>
      </c>
      <c r="F234" s="883">
        <v>90000</v>
      </c>
      <c r="G234" s="55">
        <v>719</v>
      </c>
      <c r="H234" s="78">
        <v>90000</v>
      </c>
      <c r="I234" s="873" t="s">
        <v>579</v>
      </c>
      <c r="J234" s="875">
        <v>42417</v>
      </c>
      <c r="K234" s="877" t="s">
        <v>32</v>
      </c>
      <c r="L234" s="881" t="s">
        <v>588</v>
      </c>
      <c r="M234" s="881" t="s">
        <v>115</v>
      </c>
      <c r="N234" s="883">
        <v>20000</v>
      </c>
      <c r="O234" s="55">
        <v>719</v>
      </c>
      <c r="P234" s="78">
        <v>20000</v>
      </c>
    </row>
    <row r="235" spans="1:16" ht="15.75" customHeight="1" thickBot="1">
      <c r="A235" s="882"/>
      <c r="B235" s="934"/>
      <c r="C235" s="943"/>
      <c r="D235" s="882"/>
      <c r="E235" s="882"/>
      <c r="F235" s="884"/>
      <c r="G235" s="56">
        <v>721</v>
      </c>
      <c r="H235" s="79">
        <f>+F234-H234</f>
        <v>0</v>
      </c>
      <c r="I235" s="882"/>
      <c r="J235" s="876"/>
      <c r="K235" s="878"/>
      <c r="L235" s="882"/>
      <c r="M235" s="882"/>
      <c r="N235" s="884"/>
      <c r="O235" s="56">
        <v>721</v>
      </c>
      <c r="P235" s="79">
        <f>+N234-P234</f>
        <v>0</v>
      </c>
    </row>
    <row r="236" spans="1:16" ht="15" customHeight="1">
      <c r="A236" s="881">
        <f>+A234+1</f>
        <v>262</v>
      </c>
      <c r="B236" s="875">
        <v>42252</v>
      </c>
      <c r="C236" s="935" t="s">
        <v>28</v>
      </c>
      <c r="D236" s="881" t="s">
        <v>258</v>
      </c>
      <c r="E236" s="881" t="s">
        <v>115</v>
      </c>
      <c r="F236" s="883">
        <v>40000</v>
      </c>
      <c r="G236" s="55">
        <v>719</v>
      </c>
      <c r="H236" s="78">
        <f>+F236</f>
        <v>40000</v>
      </c>
      <c r="I236" s="873" t="s">
        <v>580</v>
      </c>
      <c r="J236" s="875">
        <v>42417</v>
      </c>
      <c r="K236" s="877" t="s">
        <v>272</v>
      </c>
      <c r="L236" s="881" t="s">
        <v>589</v>
      </c>
      <c r="M236" s="881" t="s">
        <v>115</v>
      </c>
      <c r="N236" s="883">
        <v>220000</v>
      </c>
      <c r="O236" s="55">
        <v>719</v>
      </c>
      <c r="P236" s="78">
        <v>220000</v>
      </c>
    </row>
    <row r="237" spans="1:16" ht="15.75" customHeight="1" thickBot="1">
      <c r="A237" s="882"/>
      <c r="B237" s="934"/>
      <c r="C237" s="936"/>
      <c r="D237" s="882"/>
      <c r="E237" s="882"/>
      <c r="F237" s="884"/>
      <c r="G237" s="56">
        <v>721</v>
      </c>
      <c r="H237" s="79"/>
      <c r="I237" s="882"/>
      <c r="J237" s="876"/>
      <c r="K237" s="878"/>
      <c r="L237" s="882"/>
      <c r="M237" s="882"/>
      <c r="N237" s="884"/>
      <c r="O237" s="56">
        <v>721</v>
      </c>
      <c r="P237" s="79">
        <f>+N236-P236</f>
        <v>0</v>
      </c>
    </row>
    <row r="238" spans="1:16" ht="15" customHeight="1">
      <c r="A238" s="881">
        <f>+A236+1</f>
        <v>263</v>
      </c>
      <c r="B238" s="875">
        <v>42252</v>
      </c>
      <c r="C238" s="877" t="s">
        <v>32</v>
      </c>
      <c r="D238" s="881" t="s">
        <v>259</v>
      </c>
      <c r="E238" s="881" t="s">
        <v>115</v>
      </c>
      <c r="F238" s="883">
        <v>80000</v>
      </c>
      <c r="G238" s="55">
        <v>719</v>
      </c>
      <c r="H238" s="78">
        <v>80000</v>
      </c>
      <c r="I238" s="873" t="s">
        <v>581</v>
      </c>
      <c r="J238" s="875">
        <v>42417</v>
      </c>
      <c r="K238" s="881" t="s">
        <v>28</v>
      </c>
      <c r="L238" s="881" t="s">
        <v>589</v>
      </c>
      <c r="M238" s="881" t="s">
        <v>115</v>
      </c>
      <c r="N238" s="883">
        <v>60000</v>
      </c>
      <c r="O238" s="55">
        <v>719</v>
      </c>
      <c r="P238" s="78">
        <v>60000</v>
      </c>
    </row>
    <row r="239" spans="1:16" ht="15.75" customHeight="1" thickBot="1">
      <c r="A239" s="882"/>
      <c r="B239" s="934"/>
      <c r="C239" s="878"/>
      <c r="D239" s="882"/>
      <c r="E239" s="882"/>
      <c r="F239" s="884"/>
      <c r="G239" s="56">
        <v>721</v>
      </c>
      <c r="H239" s="79">
        <f>+F238-H238</f>
        <v>0</v>
      </c>
      <c r="I239" s="882"/>
      <c r="J239" s="876"/>
      <c r="K239" s="882"/>
      <c r="L239" s="882"/>
      <c r="M239" s="882"/>
      <c r="N239" s="884"/>
      <c r="O239" s="56">
        <v>721</v>
      </c>
      <c r="P239" s="79">
        <f>+N238-P238</f>
        <v>0</v>
      </c>
    </row>
    <row r="240" spans="1:16" ht="15" customHeight="1">
      <c r="A240" s="881"/>
      <c r="B240" s="875"/>
      <c r="C240" s="877"/>
      <c r="D240" s="877"/>
      <c r="E240" s="881"/>
      <c r="F240" s="883"/>
      <c r="G240" s="55">
        <v>719</v>
      </c>
      <c r="H240" s="78"/>
      <c r="I240" s="873" t="s">
        <v>582</v>
      </c>
      <c r="J240" s="875">
        <v>42417</v>
      </c>
      <c r="K240" s="877" t="s">
        <v>32</v>
      </c>
      <c r="L240" s="881" t="s">
        <v>589</v>
      </c>
      <c r="M240" s="881" t="s">
        <v>115</v>
      </c>
      <c r="N240" s="883">
        <v>60000</v>
      </c>
      <c r="O240" s="55">
        <v>719</v>
      </c>
      <c r="P240" s="78">
        <v>60000</v>
      </c>
    </row>
    <row r="241" spans="1:16" ht="15.75" customHeight="1" thickBot="1">
      <c r="A241" s="882"/>
      <c r="B241" s="934"/>
      <c r="C241" s="878"/>
      <c r="D241" s="878"/>
      <c r="E241" s="882"/>
      <c r="F241" s="884"/>
      <c r="G241" s="56">
        <v>721</v>
      </c>
      <c r="H241" s="79">
        <f>+F240-H240</f>
        <v>0</v>
      </c>
      <c r="I241" s="882"/>
      <c r="J241" s="876"/>
      <c r="K241" s="878"/>
      <c r="L241" s="882"/>
      <c r="M241" s="882"/>
      <c r="N241" s="884"/>
      <c r="O241" s="56">
        <v>721</v>
      </c>
      <c r="P241" s="79">
        <f>+N240-P240</f>
        <v>0</v>
      </c>
    </row>
    <row r="242" spans="1:16" ht="15" customHeight="1">
      <c r="A242" s="881"/>
      <c r="B242" s="875"/>
      <c r="C242" s="935"/>
      <c r="D242" s="877"/>
      <c r="E242" s="881"/>
      <c r="F242" s="883"/>
      <c r="G242" s="55">
        <v>719</v>
      </c>
      <c r="H242" s="78"/>
      <c r="I242" s="873"/>
      <c r="J242" s="875"/>
      <c r="K242" s="877"/>
      <c r="L242" s="881"/>
      <c r="M242" s="881"/>
      <c r="N242" s="883"/>
      <c r="O242" s="55">
        <v>719</v>
      </c>
      <c r="P242" s="78"/>
    </row>
    <row r="243" spans="1:16" ht="15.75" customHeight="1" thickBot="1">
      <c r="A243" s="882"/>
      <c r="B243" s="934"/>
      <c r="C243" s="936"/>
      <c r="D243" s="878"/>
      <c r="E243" s="882"/>
      <c r="F243" s="884"/>
      <c r="G243" s="56">
        <v>721</v>
      </c>
      <c r="H243" s="79">
        <f>+F242-H242</f>
        <v>0</v>
      </c>
      <c r="I243" s="882"/>
      <c r="J243" s="876"/>
      <c r="K243" s="878"/>
      <c r="L243" s="882"/>
      <c r="M243" s="882"/>
      <c r="N243" s="884"/>
      <c r="O243" s="56">
        <v>721</v>
      </c>
      <c r="P243" s="79">
        <f>+N242-P242</f>
        <v>0</v>
      </c>
    </row>
    <row r="244" spans="1:16" ht="16.5" thickBot="1">
      <c r="A244" s="901" t="s">
        <v>102</v>
      </c>
      <c r="B244" s="902"/>
      <c r="C244" s="902"/>
      <c r="D244" s="902"/>
      <c r="E244" s="903"/>
      <c r="F244" s="81">
        <f>SUM(F234:F243)</f>
        <v>210000</v>
      </c>
      <c r="I244" s="901" t="s">
        <v>102</v>
      </c>
      <c r="J244" s="902"/>
      <c r="K244" s="902"/>
      <c r="L244" s="902"/>
      <c r="M244" s="903"/>
      <c r="N244" s="81">
        <f>SUM(N234:N243)</f>
        <v>360000</v>
      </c>
    </row>
    <row r="245" spans="1:16" ht="16.5" thickBot="1">
      <c r="A245" s="885" t="s">
        <v>103</v>
      </c>
      <c r="B245" s="886"/>
      <c r="C245" s="886"/>
      <c r="D245" s="886"/>
      <c r="E245" s="887"/>
      <c r="F245" s="69">
        <f>+F209</f>
        <v>621282225</v>
      </c>
      <c r="I245" s="885" t="s">
        <v>103</v>
      </c>
      <c r="J245" s="886"/>
      <c r="K245" s="886"/>
      <c r="L245" s="886"/>
      <c r="M245" s="887"/>
      <c r="N245" s="239">
        <f>+N209</f>
        <v>9763000</v>
      </c>
      <c r="O245" s="241" t="s">
        <v>561</v>
      </c>
      <c r="P245" s="242">
        <f>35+566+99+72</f>
        <v>772</v>
      </c>
    </row>
    <row r="246" spans="1:16" ht="16.5" thickBot="1">
      <c r="A246" s="888" t="s">
        <v>104</v>
      </c>
      <c r="B246" s="889"/>
      <c r="C246" s="889"/>
      <c r="D246" s="889"/>
      <c r="E246" s="890"/>
      <c r="F246" s="183">
        <f>SUM(F244:F245)</f>
        <v>621492225</v>
      </c>
      <c r="I246" s="888" t="s">
        <v>104</v>
      </c>
      <c r="J246" s="889"/>
      <c r="K246" s="889"/>
      <c r="L246" s="889"/>
      <c r="M246" s="890"/>
      <c r="N246" s="183">
        <f>SUM(N244:N245)</f>
        <v>10123000</v>
      </c>
    </row>
    <row r="247" spans="1:16">
      <c r="A247" s="61"/>
      <c r="B247" s="61"/>
      <c r="C247" s="61"/>
      <c r="D247" s="61"/>
      <c r="E247" s="61"/>
      <c r="I247" s="61"/>
      <c r="J247" s="61"/>
      <c r="K247" s="61"/>
      <c r="L247" s="61"/>
      <c r="M247" s="61"/>
    </row>
    <row r="248" spans="1:16">
      <c r="A248" s="51" t="s">
        <v>260</v>
      </c>
      <c r="I248" s="51" t="s">
        <v>598</v>
      </c>
    </row>
    <row r="249" spans="1:16">
      <c r="F249" s="139"/>
      <c r="N249" s="139"/>
    </row>
    <row r="250" spans="1:16">
      <c r="A250" s="50" t="s">
        <v>105</v>
      </c>
      <c r="D250" s="146"/>
      <c r="F250" s="139"/>
      <c r="I250" s="50" t="s">
        <v>105</v>
      </c>
      <c r="L250" s="146"/>
      <c r="N250" s="139"/>
    </row>
    <row r="251" spans="1:16" ht="12" customHeight="1" thickBot="1"/>
    <row r="252" spans="1:16" ht="15.75" thickBot="1">
      <c r="A252" s="891" t="s">
        <v>106</v>
      </c>
      <c r="B252" s="892"/>
      <c r="C252" s="892"/>
      <c r="D252" s="893"/>
      <c r="F252" s="50" t="s">
        <v>263</v>
      </c>
      <c r="I252" s="891" t="s">
        <v>106</v>
      </c>
      <c r="J252" s="892"/>
      <c r="K252" s="892"/>
      <c r="L252" s="893"/>
      <c r="N252" s="50" t="s">
        <v>288</v>
      </c>
    </row>
    <row r="253" spans="1:16" ht="30.75" thickBot="1">
      <c r="A253" s="57" t="s">
        <v>100</v>
      </c>
      <c r="B253" s="58" t="s">
        <v>108</v>
      </c>
      <c r="C253" s="59" t="s">
        <v>109</v>
      </c>
      <c r="D253" s="60" t="s">
        <v>110</v>
      </c>
      <c r="I253" s="57" t="s">
        <v>100</v>
      </c>
      <c r="J253" s="58" t="s">
        <v>108</v>
      </c>
      <c r="K253" s="59" t="s">
        <v>109</v>
      </c>
      <c r="L253" s="60" t="s">
        <v>110</v>
      </c>
    </row>
    <row r="254" spans="1:16">
      <c r="A254" s="71">
        <v>719</v>
      </c>
      <c r="B254" s="73">
        <f>+H234+H236+H238</f>
        <v>210000</v>
      </c>
      <c r="C254" s="74">
        <f>+D217</f>
        <v>31160000</v>
      </c>
      <c r="D254" s="76">
        <f>+B254+C254</f>
        <v>31370000</v>
      </c>
      <c r="I254" s="71">
        <v>719</v>
      </c>
      <c r="J254" s="73">
        <f>+P234+P236+P238+P240+P242</f>
        <v>360000</v>
      </c>
      <c r="K254" s="74">
        <f>+L217</f>
        <v>1740000</v>
      </c>
      <c r="L254" s="195">
        <f>+J254+K254</f>
        <v>2100000</v>
      </c>
    </row>
    <row r="255" spans="1:16">
      <c r="A255" s="72">
        <v>721</v>
      </c>
      <c r="B255" s="80"/>
      <c r="C255" s="74">
        <f>+D218</f>
        <v>37120092</v>
      </c>
      <c r="D255" s="76">
        <f>+B255+C255</f>
        <v>37120092</v>
      </c>
      <c r="I255" s="72">
        <v>721</v>
      </c>
      <c r="J255" s="80">
        <f>+P235+P237+P239+P241+P243</f>
        <v>0</v>
      </c>
      <c r="K255" s="74">
        <f>+L218</f>
        <v>400000</v>
      </c>
      <c r="L255" s="195">
        <f>+J255+K255</f>
        <v>400000</v>
      </c>
    </row>
    <row r="256" spans="1:16">
      <c r="A256" s="72">
        <v>722</v>
      </c>
      <c r="B256" s="80"/>
      <c r="C256" s="74">
        <f>+D219</f>
        <v>231207671</v>
      </c>
      <c r="D256" s="76">
        <f>+B256+C256</f>
        <v>231207671</v>
      </c>
      <c r="I256" s="72">
        <v>722</v>
      </c>
      <c r="J256" s="80"/>
      <c r="K256" s="74">
        <f>+L219</f>
        <v>0</v>
      </c>
      <c r="L256" s="195">
        <f>+J256+K256</f>
        <v>0</v>
      </c>
    </row>
    <row r="257" spans="1:16" ht="15.75">
      <c r="A257" s="72">
        <v>723</v>
      </c>
      <c r="B257" s="80"/>
      <c r="C257" s="74">
        <f>+D220</f>
        <v>319828837</v>
      </c>
      <c r="D257" s="76">
        <f>+B257+C257</f>
        <v>319828837</v>
      </c>
      <c r="F257" s="174" t="s">
        <v>262</v>
      </c>
      <c r="G257" s="175"/>
      <c r="I257" s="72">
        <v>723</v>
      </c>
      <c r="J257" s="80"/>
      <c r="K257" s="74">
        <f>+L220</f>
        <v>7623000</v>
      </c>
      <c r="L257" s="195">
        <f>+J257+K257</f>
        <v>7623000</v>
      </c>
      <c r="N257" s="193" t="s">
        <v>289</v>
      </c>
      <c r="O257" s="175"/>
    </row>
    <row r="258" spans="1:16" ht="16.5" thickBot="1">
      <c r="A258" s="164" t="s">
        <v>181</v>
      </c>
      <c r="B258" s="165"/>
      <c r="C258" s="74">
        <f>+D221</f>
        <v>1965625</v>
      </c>
      <c r="D258" s="168">
        <f>+B258+C258</f>
        <v>1965625</v>
      </c>
      <c r="F258" s="52"/>
      <c r="I258" s="164" t="s">
        <v>181</v>
      </c>
      <c r="J258" s="165"/>
      <c r="K258" s="74">
        <f>+L221</f>
        <v>0</v>
      </c>
      <c r="L258" s="196">
        <f>+J258+K258</f>
        <v>0</v>
      </c>
      <c r="N258" s="52"/>
    </row>
    <row r="259" spans="1:16" ht="16.5" thickBot="1">
      <c r="A259" s="169"/>
      <c r="B259" s="170">
        <f>SUM(B254:B258)</f>
        <v>210000</v>
      </c>
      <c r="C259" s="171">
        <f>SUM(C254:C258)</f>
        <v>621282225</v>
      </c>
      <c r="D259" s="172">
        <f>SUM(D254:D258)</f>
        <v>621492225</v>
      </c>
      <c r="I259" s="169"/>
      <c r="J259" s="197">
        <f>SUM(J254:J258)</f>
        <v>360000</v>
      </c>
      <c r="K259" s="197">
        <f>SUM(K254:K258)</f>
        <v>9763000</v>
      </c>
      <c r="L259" s="198">
        <f>SUM(L254:L258)</f>
        <v>10123000</v>
      </c>
    </row>
    <row r="260" spans="1:16" ht="16.5">
      <c r="A260" s="49" t="s">
        <v>88</v>
      </c>
      <c r="B260" s="50"/>
      <c r="I260" s="49" t="s">
        <v>88</v>
      </c>
      <c r="J260" s="50"/>
    </row>
    <row r="261" spans="1:16">
      <c r="A261" s="51" t="s">
        <v>89</v>
      </c>
      <c r="I261" s="51" t="s">
        <v>89</v>
      </c>
    </row>
    <row r="262" spans="1:16">
      <c r="A262" s="51" t="s">
        <v>90</v>
      </c>
      <c r="I262" s="51" t="s">
        <v>90</v>
      </c>
    </row>
    <row r="263" spans="1:16">
      <c r="A263" s="51" t="s">
        <v>91</v>
      </c>
      <c r="I263" s="51" t="s">
        <v>91</v>
      </c>
    </row>
    <row r="264" spans="1:16" ht="10.5" customHeight="1">
      <c r="A264" s="50"/>
      <c r="B264" s="50"/>
      <c r="I264" s="50"/>
      <c r="J264" s="50"/>
    </row>
    <row r="265" spans="1:16" ht="16.5">
      <c r="A265" s="52" t="s">
        <v>264</v>
      </c>
      <c r="G265" s="52"/>
      <c r="I265" s="52" t="s">
        <v>564</v>
      </c>
      <c r="J265" s="244" t="s">
        <v>553</v>
      </c>
      <c r="O265" s="52"/>
    </row>
    <row r="266" spans="1:16" ht="15.75">
      <c r="A266" s="53" t="s">
        <v>92</v>
      </c>
      <c r="G266" s="53"/>
      <c r="I266" s="53" t="s">
        <v>535</v>
      </c>
      <c r="O266" s="53"/>
    </row>
    <row r="267" spans="1:16" ht="16.5">
      <c r="A267" s="894" t="s">
        <v>261</v>
      </c>
      <c r="B267" s="894"/>
      <c r="C267" s="894"/>
      <c r="D267" s="894"/>
      <c r="E267" s="894"/>
      <c r="F267" s="894"/>
      <c r="G267" s="894"/>
      <c r="H267" s="894"/>
      <c r="I267" s="894" t="s">
        <v>261</v>
      </c>
      <c r="J267" s="894"/>
      <c r="K267" s="894"/>
      <c r="L267" s="894"/>
      <c r="M267" s="894"/>
      <c r="N267" s="894"/>
      <c r="O267" s="894"/>
      <c r="P267" s="894"/>
    </row>
    <row r="268" spans="1:16" ht="11.25" customHeight="1" thickBot="1"/>
    <row r="269" spans="1:16">
      <c r="A269" s="895" t="s">
        <v>94</v>
      </c>
      <c r="B269" s="897" t="s">
        <v>95</v>
      </c>
      <c r="C269" s="897" t="s">
        <v>96</v>
      </c>
      <c r="D269" s="897" t="s">
        <v>3</v>
      </c>
      <c r="E269" s="897" t="s">
        <v>97</v>
      </c>
      <c r="F269" s="897" t="s">
        <v>98</v>
      </c>
      <c r="G269" s="897" t="s">
        <v>99</v>
      </c>
      <c r="H269" s="899"/>
      <c r="I269" s="895" t="s">
        <v>94</v>
      </c>
      <c r="J269" s="897" t="s">
        <v>95</v>
      </c>
      <c r="K269" s="897" t="s">
        <v>96</v>
      </c>
      <c r="L269" s="897" t="s">
        <v>3</v>
      </c>
      <c r="M269" s="897" t="s">
        <v>97</v>
      </c>
      <c r="N269" s="897" t="s">
        <v>98</v>
      </c>
      <c r="O269" s="897" t="s">
        <v>99</v>
      </c>
      <c r="P269" s="899"/>
    </row>
    <row r="270" spans="1:16" ht="15.75" thickBot="1">
      <c r="A270" s="896"/>
      <c r="B270" s="898"/>
      <c r="C270" s="898"/>
      <c r="D270" s="898"/>
      <c r="E270" s="898"/>
      <c r="F270" s="898"/>
      <c r="G270" s="240" t="s">
        <v>100</v>
      </c>
      <c r="H270" s="182" t="s">
        <v>101</v>
      </c>
      <c r="I270" s="896"/>
      <c r="J270" s="898"/>
      <c r="K270" s="898"/>
      <c r="L270" s="898"/>
      <c r="M270" s="898"/>
      <c r="N270" s="898"/>
      <c r="O270" s="240" t="s">
        <v>100</v>
      </c>
      <c r="P270" s="182" t="s">
        <v>101</v>
      </c>
    </row>
    <row r="271" spans="1:16">
      <c r="A271" s="881">
        <f>+A238+1</f>
        <v>264</v>
      </c>
      <c r="B271" s="875">
        <v>42254</v>
      </c>
      <c r="C271" s="877" t="s">
        <v>267</v>
      </c>
      <c r="D271" s="881" t="s">
        <v>266</v>
      </c>
      <c r="E271" s="881" t="s">
        <v>148</v>
      </c>
      <c r="F271" s="883">
        <v>252000</v>
      </c>
      <c r="G271" s="55">
        <v>719</v>
      </c>
      <c r="H271" s="78">
        <v>180000</v>
      </c>
      <c r="I271" s="873" t="s">
        <v>583</v>
      </c>
      <c r="J271" s="875">
        <v>42417</v>
      </c>
      <c r="K271" s="877" t="s">
        <v>40</v>
      </c>
      <c r="L271" s="881" t="s">
        <v>595</v>
      </c>
      <c r="M271" s="881" t="s">
        <v>148</v>
      </c>
      <c r="N271" s="883">
        <v>280000</v>
      </c>
      <c r="O271" s="55">
        <v>719</v>
      </c>
      <c r="P271" s="78">
        <v>200000</v>
      </c>
    </row>
    <row r="272" spans="1:16" ht="15.75" thickBot="1">
      <c r="A272" s="882"/>
      <c r="B272" s="934"/>
      <c r="C272" s="878"/>
      <c r="D272" s="882"/>
      <c r="E272" s="882"/>
      <c r="F272" s="884"/>
      <c r="G272" s="56">
        <v>721</v>
      </c>
      <c r="H272" s="79">
        <f>+F271-H271</f>
        <v>72000</v>
      </c>
      <c r="I272" s="882"/>
      <c r="J272" s="876"/>
      <c r="K272" s="878"/>
      <c r="L272" s="882"/>
      <c r="M272" s="882"/>
      <c r="N272" s="884"/>
      <c r="O272" s="56">
        <v>721</v>
      </c>
      <c r="P272" s="79">
        <f>+N271-P271</f>
        <v>80000</v>
      </c>
    </row>
    <row r="273" spans="1:16" ht="15" customHeight="1">
      <c r="A273" s="881">
        <f>+A271+1</f>
        <v>265</v>
      </c>
      <c r="B273" s="875">
        <v>42254</v>
      </c>
      <c r="C273" s="881" t="s">
        <v>28</v>
      </c>
      <c r="D273" s="881" t="s">
        <v>258</v>
      </c>
      <c r="E273" s="881" t="s">
        <v>148</v>
      </c>
      <c r="F273" s="883">
        <v>560000</v>
      </c>
      <c r="G273" s="55">
        <v>719</v>
      </c>
      <c r="H273" s="78">
        <v>400000</v>
      </c>
      <c r="I273" s="873" t="s">
        <v>591</v>
      </c>
      <c r="J273" s="875">
        <v>42417</v>
      </c>
      <c r="K273" s="881" t="s">
        <v>28</v>
      </c>
      <c r="L273" s="881" t="s">
        <v>596</v>
      </c>
      <c r="M273" s="881" t="s">
        <v>148</v>
      </c>
      <c r="N273" s="883">
        <v>238000</v>
      </c>
      <c r="O273" s="55">
        <v>719</v>
      </c>
      <c r="P273" s="78">
        <v>170000</v>
      </c>
    </row>
    <row r="274" spans="1:16" ht="15.75" customHeight="1" thickBot="1">
      <c r="A274" s="882"/>
      <c r="B274" s="934"/>
      <c r="C274" s="882"/>
      <c r="D274" s="882"/>
      <c r="E274" s="882"/>
      <c r="F274" s="884"/>
      <c r="G274" s="56">
        <v>721</v>
      </c>
      <c r="H274" s="79">
        <f>+F273-H273</f>
        <v>160000</v>
      </c>
      <c r="I274" s="882"/>
      <c r="J274" s="876"/>
      <c r="K274" s="882"/>
      <c r="L274" s="882"/>
      <c r="M274" s="882"/>
      <c r="N274" s="884"/>
      <c r="O274" s="56">
        <v>721</v>
      </c>
      <c r="P274" s="79">
        <f>+N273-P273</f>
        <v>68000</v>
      </c>
    </row>
    <row r="275" spans="1:16" ht="15" customHeight="1">
      <c r="A275" s="881">
        <f>+A273+1</f>
        <v>266</v>
      </c>
      <c r="B275" s="875">
        <v>42254</v>
      </c>
      <c r="C275" s="877" t="s">
        <v>32</v>
      </c>
      <c r="D275" s="881" t="s">
        <v>265</v>
      </c>
      <c r="E275" s="881" t="s">
        <v>148</v>
      </c>
      <c r="F275" s="883">
        <v>154000</v>
      </c>
      <c r="G275" s="55">
        <v>719</v>
      </c>
      <c r="H275" s="78">
        <v>110000</v>
      </c>
      <c r="I275" s="873" t="s">
        <v>592</v>
      </c>
      <c r="J275" s="875">
        <v>42417</v>
      </c>
      <c r="K275" s="877" t="s">
        <v>32</v>
      </c>
      <c r="L275" s="881" t="s">
        <v>596</v>
      </c>
      <c r="M275" s="881" t="s">
        <v>148</v>
      </c>
      <c r="N275" s="883">
        <v>70000</v>
      </c>
      <c r="O275" s="55">
        <v>719</v>
      </c>
      <c r="P275" s="78">
        <v>50000</v>
      </c>
    </row>
    <row r="276" spans="1:16" ht="15.75" customHeight="1" thickBot="1">
      <c r="A276" s="882"/>
      <c r="B276" s="934"/>
      <c r="C276" s="878"/>
      <c r="D276" s="882"/>
      <c r="E276" s="882"/>
      <c r="F276" s="884"/>
      <c r="G276" s="56">
        <v>721</v>
      </c>
      <c r="H276" s="79">
        <f>+F275-H275</f>
        <v>44000</v>
      </c>
      <c r="I276" s="882"/>
      <c r="J276" s="876"/>
      <c r="K276" s="878"/>
      <c r="L276" s="882"/>
      <c r="M276" s="882"/>
      <c r="N276" s="884"/>
      <c r="O276" s="56">
        <v>721</v>
      </c>
      <c r="P276" s="79">
        <f>+N275-P275</f>
        <v>20000</v>
      </c>
    </row>
    <row r="277" spans="1:16" ht="15" customHeight="1">
      <c r="A277" s="881">
        <f>+A275+1</f>
        <v>267</v>
      </c>
      <c r="B277" s="875">
        <v>42254</v>
      </c>
      <c r="C277" s="877" t="s">
        <v>31</v>
      </c>
      <c r="D277" s="881" t="s">
        <v>265</v>
      </c>
      <c r="E277" s="881" t="s">
        <v>148</v>
      </c>
      <c r="F277" s="883">
        <v>1078000</v>
      </c>
      <c r="G277" s="55">
        <v>719</v>
      </c>
      <c r="H277" s="78">
        <v>770000</v>
      </c>
      <c r="I277" s="873" t="s">
        <v>593</v>
      </c>
      <c r="J277" s="875">
        <v>42417</v>
      </c>
      <c r="K277" s="877" t="s">
        <v>272</v>
      </c>
      <c r="L277" s="881" t="s">
        <v>596</v>
      </c>
      <c r="M277" s="881" t="s">
        <v>148</v>
      </c>
      <c r="N277" s="883">
        <v>672000</v>
      </c>
      <c r="O277" s="55">
        <v>719</v>
      </c>
      <c r="P277" s="78">
        <v>480000</v>
      </c>
    </row>
    <row r="278" spans="1:16" ht="15.75" customHeight="1" thickBot="1">
      <c r="A278" s="882"/>
      <c r="B278" s="934"/>
      <c r="C278" s="878"/>
      <c r="D278" s="882"/>
      <c r="E278" s="882"/>
      <c r="F278" s="884"/>
      <c r="G278" s="56">
        <v>721</v>
      </c>
      <c r="H278" s="79">
        <f>+F277-H277</f>
        <v>308000</v>
      </c>
      <c r="I278" s="882"/>
      <c r="J278" s="876"/>
      <c r="K278" s="878"/>
      <c r="L278" s="882"/>
      <c r="M278" s="882"/>
      <c r="N278" s="884"/>
      <c r="O278" s="56">
        <v>721</v>
      </c>
      <c r="P278" s="79">
        <f>+N277-P277</f>
        <v>192000</v>
      </c>
    </row>
    <row r="279" spans="1:16" ht="15" customHeight="1">
      <c r="A279" s="881">
        <f>+A277+1</f>
        <v>268</v>
      </c>
      <c r="B279" s="875">
        <v>42254</v>
      </c>
      <c r="C279" s="877" t="s">
        <v>111</v>
      </c>
      <c r="D279" s="881" t="s">
        <v>268</v>
      </c>
      <c r="E279" s="881" t="s">
        <v>148</v>
      </c>
      <c r="F279" s="883">
        <v>112000</v>
      </c>
      <c r="G279" s="55">
        <v>719</v>
      </c>
      <c r="H279" s="78">
        <v>80000</v>
      </c>
      <c r="I279" s="873"/>
      <c r="J279" s="875"/>
      <c r="K279" s="877"/>
      <c r="L279" s="881"/>
      <c r="M279" s="881"/>
      <c r="N279" s="883"/>
      <c r="O279" s="55">
        <v>719</v>
      </c>
      <c r="P279" s="78"/>
    </row>
    <row r="280" spans="1:16" ht="15.75" customHeight="1" thickBot="1">
      <c r="A280" s="882"/>
      <c r="B280" s="934"/>
      <c r="C280" s="878"/>
      <c r="D280" s="882"/>
      <c r="E280" s="882"/>
      <c r="F280" s="884"/>
      <c r="G280" s="56">
        <v>721</v>
      </c>
      <c r="H280" s="79">
        <f>+F279-H279</f>
        <v>32000</v>
      </c>
      <c r="I280" s="882"/>
      <c r="J280" s="876"/>
      <c r="K280" s="878"/>
      <c r="L280" s="882"/>
      <c r="M280" s="882"/>
      <c r="N280" s="884"/>
      <c r="O280" s="56">
        <v>721</v>
      </c>
      <c r="P280" s="79">
        <f>+N279-P279</f>
        <v>0</v>
      </c>
    </row>
    <row r="281" spans="1:16" ht="16.5" thickBot="1">
      <c r="A281" s="901" t="s">
        <v>102</v>
      </c>
      <c r="B281" s="902"/>
      <c r="C281" s="902"/>
      <c r="D281" s="902"/>
      <c r="E281" s="903"/>
      <c r="F281" s="81">
        <f>SUM(F271:F280)</f>
        <v>2156000</v>
      </c>
      <c r="I281" s="901" t="s">
        <v>102</v>
      </c>
      <c r="J281" s="902"/>
      <c r="K281" s="902"/>
      <c r="L281" s="902"/>
      <c r="M281" s="903"/>
      <c r="N281" s="81">
        <f>SUM(N271:N280)</f>
        <v>1260000</v>
      </c>
    </row>
    <row r="282" spans="1:16" ht="16.5" thickBot="1">
      <c r="A282" s="885" t="s">
        <v>103</v>
      </c>
      <c r="B282" s="886"/>
      <c r="C282" s="886"/>
      <c r="D282" s="886"/>
      <c r="E282" s="887"/>
      <c r="F282" s="69">
        <f>+F246</f>
        <v>621492225</v>
      </c>
      <c r="I282" s="885" t="s">
        <v>103</v>
      </c>
      <c r="J282" s="886"/>
      <c r="K282" s="886"/>
      <c r="L282" s="886"/>
      <c r="M282" s="887"/>
      <c r="N282" s="239">
        <f>+N246</f>
        <v>10123000</v>
      </c>
      <c r="O282" s="241" t="s">
        <v>561</v>
      </c>
      <c r="P282" s="242">
        <f>188+333+71+695</f>
        <v>1287</v>
      </c>
    </row>
    <row r="283" spans="1:16" ht="16.5" thickBot="1">
      <c r="A283" s="888" t="s">
        <v>104</v>
      </c>
      <c r="B283" s="889"/>
      <c r="C283" s="889"/>
      <c r="D283" s="889"/>
      <c r="E283" s="890"/>
      <c r="F283" s="183">
        <f>SUM(F281:F282)</f>
        <v>623648225</v>
      </c>
      <c r="I283" s="888" t="s">
        <v>104</v>
      </c>
      <c r="J283" s="889"/>
      <c r="K283" s="889"/>
      <c r="L283" s="889"/>
      <c r="M283" s="890"/>
      <c r="N283" s="183">
        <f>SUM(N281:N282)</f>
        <v>11383000</v>
      </c>
    </row>
    <row r="284" spans="1:16" ht="12.75" customHeight="1">
      <c r="A284" s="61"/>
      <c r="B284" s="61"/>
      <c r="C284" s="61"/>
      <c r="D284" s="61"/>
      <c r="E284" s="61"/>
      <c r="I284" s="61"/>
      <c r="J284" s="61"/>
      <c r="K284" s="61"/>
      <c r="L284" s="61"/>
      <c r="M284" s="61"/>
    </row>
    <row r="285" spans="1:16">
      <c r="A285" s="51" t="s">
        <v>269</v>
      </c>
      <c r="I285" s="51" t="s">
        <v>616</v>
      </c>
    </row>
    <row r="286" spans="1:16">
      <c r="F286" s="139"/>
      <c r="N286" s="139"/>
    </row>
    <row r="287" spans="1:16">
      <c r="A287" s="50" t="s">
        <v>105</v>
      </c>
      <c r="D287" s="146"/>
      <c r="F287" s="139"/>
      <c r="I287" s="50" t="s">
        <v>105</v>
      </c>
      <c r="L287" s="146"/>
      <c r="N287" s="139"/>
    </row>
    <row r="288" spans="1:16" ht="13.5" customHeight="1" thickBot="1"/>
    <row r="289" spans="1:16" ht="15.75" thickBot="1">
      <c r="A289" s="891" t="s">
        <v>106</v>
      </c>
      <c r="B289" s="892"/>
      <c r="C289" s="892"/>
      <c r="D289" s="893"/>
      <c r="F289" s="50" t="s">
        <v>270</v>
      </c>
      <c r="I289" s="891" t="s">
        <v>106</v>
      </c>
      <c r="J289" s="892"/>
      <c r="K289" s="892"/>
      <c r="L289" s="893"/>
      <c r="N289" s="50" t="s">
        <v>288</v>
      </c>
    </row>
    <row r="290" spans="1:16" ht="30.75" thickBot="1">
      <c r="A290" s="57" t="s">
        <v>100</v>
      </c>
      <c r="B290" s="58" t="s">
        <v>108</v>
      </c>
      <c r="C290" s="59" t="s">
        <v>109</v>
      </c>
      <c r="D290" s="60" t="s">
        <v>110</v>
      </c>
      <c r="I290" s="57" t="s">
        <v>100</v>
      </c>
      <c r="J290" s="58" t="s">
        <v>108</v>
      </c>
      <c r="K290" s="59" t="s">
        <v>109</v>
      </c>
      <c r="L290" s="60" t="s">
        <v>110</v>
      </c>
    </row>
    <row r="291" spans="1:16">
      <c r="A291" s="71">
        <v>719</v>
      </c>
      <c r="B291" s="73">
        <f>+H271+H273+H275+H277+H279</f>
        <v>1540000</v>
      </c>
      <c r="C291" s="74">
        <f>+D254</f>
        <v>31370000</v>
      </c>
      <c r="D291" s="76">
        <f>+B291+C291</f>
        <v>32910000</v>
      </c>
      <c r="I291" s="71">
        <v>719</v>
      </c>
      <c r="J291" s="73">
        <f>+P271+P273+P275+P277+P279</f>
        <v>900000</v>
      </c>
      <c r="K291" s="74">
        <f>+L254</f>
        <v>2100000</v>
      </c>
      <c r="L291" s="195">
        <f>+J291+K291</f>
        <v>3000000</v>
      </c>
    </row>
    <row r="292" spans="1:16">
      <c r="A292" s="72">
        <v>721</v>
      </c>
      <c r="B292" s="80">
        <f>+H278+H276+H274+H272+H280</f>
        <v>616000</v>
      </c>
      <c r="C292" s="74">
        <f>+D255</f>
        <v>37120092</v>
      </c>
      <c r="D292" s="76">
        <f>+B292+C292</f>
        <v>37736092</v>
      </c>
      <c r="I292" s="72">
        <v>721</v>
      </c>
      <c r="J292" s="80">
        <f>+P272+P274+P276+P278+P280</f>
        <v>360000</v>
      </c>
      <c r="K292" s="74">
        <f>+L255</f>
        <v>400000</v>
      </c>
      <c r="L292" s="195">
        <f>+J292+K292</f>
        <v>760000</v>
      </c>
    </row>
    <row r="293" spans="1:16">
      <c r="A293" s="72">
        <v>722</v>
      </c>
      <c r="B293" s="80"/>
      <c r="C293" s="74">
        <f>+D256</f>
        <v>231207671</v>
      </c>
      <c r="D293" s="76">
        <f>+B293+C293</f>
        <v>231207671</v>
      </c>
      <c r="I293" s="72">
        <v>722</v>
      </c>
      <c r="J293" s="80"/>
      <c r="K293" s="74">
        <f>+L256</f>
        <v>0</v>
      </c>
      <c r="L293" s="195">
        <f>+J293+K293</f>
        <v>0</v>
      </c>
    </row>
    <row r="294" spans="1:16" ht="15.75">
      <c r="A294" s="72">
        <v>723</v>
      </c>
      <c r="B294" s="80"/>
      <c r="C294" s="74">
        <f>+D257</f>
        <v>319828837</v>
      </c>
      <c r="D294" s="76">
        <f>+B294+C294</f>
        <v>319828837</v>
      </c>
      <c r="F294" s="174" t="s">
        <v>262</v>
      </c>
      <c r="G294" s="175"/>
      <c r="I294" s="72">
        <v>723</v>
      </c>
      <c r="J294" s="80"/>
      <c r="K294" s="74">
        <f>+L257</f>
        <v>7623000</v>
      </c>
      <c r="L294" s="195">
        <f>+J294+K294</f>
        <v>7623000</v>
      </c>
      <c r="N294" s="193" t="s">
        <v>289</v>
      </c>
      <c r="O294" s="175"/>
    </row>
    <row r="295" spans="1:16" ht="16.5" thickBot="1">
      <c r="A295" s="164" t="s">
        <v>181</v>
      </c>
      <c r="B295" s="165"/>
      <c r="C295" s="74">
        <f>+D258</f>
        <v>1965625</v>
      </c>
      <c r="D295" s="168">
        <f>+B295+C295</f>
        <v>1965625</v>
      </c>
      <c r="F295" s="52"/>
      <c r="I295" s="164" t="s">
        <v>181</v>
      </c>
      <c r="J295" s="165"/>
      <c r="K295" s="74">
        <f>+L258</f>
        <v>0</v>
      </c>
      <c r="L295" s="196">
        <f>+J295+K295</f>
        <v>0</v>
      </c>
      <c r="N295" s="52"/>
    </row>
    <row r="296" spans="1:16" ht="16.5" thickBot="1">
      <c r="A296" s="169"/>
      <c r="B296" s="170">
        <f>SUM(B291:B295)</f>
        <v>2156000</v>
      </c>
      <c r="C296" s="171">
        <f>SUM(C291:C295)</f>
        <v>621492225</v>
      </c>
      <c r="D296" s="172">
        <f>SUM(D291:D295)</f>
        <v>623648225</v>
      </c>
      <c r="I296" s="169"/>
      <c r="J296" s="197">
        <f>SUM(J291:J295)</f>
        <v>1260000</v>
      </c>
      <c r="K296" s="197">
        <f>SUM(K291:K295)</f>
        <v>10123000</v>
      </c>
      <c r="L296" s="198">
        <f>SUM(L291:L295)</f>
        <v>11383000</v>
      </c>
    </row>
    <row r="297" spans="1:16" ht="16.5">
      <c r="A297" s="49" t="s">
        <v>88</v>
      </c>
      <c r="B297" s="50"/>
      <c r="I297" s="49" t="s">
        <v>88</v>
      </c>
      <c r="J297" s="50"/>
    </row>
    <row r="298" spans="1:16">
      <c r="A298" s="51" t="s">
        <v>89</v>
      </c>
      <c r="I298" s="51" t="s">
        <v>89</v>
      </c>
    </row>
    <row r="299" spans="1:16">
      <c r="A299" s="51" t="s">
        <v>90</v>
      </c>
      <c r="I299" s="51" t="s">
        <v>90</v>
      </c>
    </row>
    <row r="300" spans="1:16">
      <c r="A300" s="51" t="s">
        <v>91</v>
      </c>
      <c r="I300" s="51" t="s">
        <v>91</v>
      </c>
    </row>
    <row r="301" spans="1:16" ht="12" customHeight="1">
      <c r="A301" s="50"/>
      <c r="B301" s="50"/>
      <c r="I301" s="50"/>
      <c r="J301" s="50"/>
    </row>
    <row r="302" spans="1:16" ht="16.5">
      <c r="A302" s="52" t="s">
        <v>271</v>
      </c>
      <c r="G302" s="52"/>
      <c r="I302" s="52" t="s">
        <v>573</v>
      </c>
      <c r="O302" s="52"/>
    </row>
    <row r="303" spans="1:16" ht="15.75">
      <c r="A303" s="53" t="s">
        <v>92</v>
      </c>
      <c r="G303" s="53"/>
      <c r="I303" s="53" t="s">
        <v>535</v>
      </c>
      <c r="O303" s="53"/>
    </row>
    <row r="304" spans="1:16" ht="16.5">
      <c r="A304" s="894" t="s">
        <v>261</v>
      </c>
      <c r="B304" s="894"/>
      <c r="C304" s="894"/>
      <c r="D304" s="894"/>
      <c r="E304" s="894"/>
      <c r="F304" s="894"/>
      <c r="G304" s="894"/>
      <c r="H304" s="894"/>
      <c r="I304" s="894" t="s">
        <v>261</v>
      </c>
      <c r="J304" s="894"/>
      <c r="K304" s="894"/>
      <c r="L304" s="894"/>
      <c r="M304" s="894"/>
      <c r="N304" s="894"/>
      <c r="O304" s="894"/>
      <c r="P304" s="894"/>
    </row>
    <row r="305" spans="1:16" ht="15.75" thickBot="1"/>
    <row r="306" spans="1:16">
      <c r="A306" s="895" t="s">
        <v>94</v>
      </c>
      <c r="B306" s="897" t="s">
        <v>95</v>
      </c>
      <c r="C306" s="897" t="s">
        <v>96</v>
      </c>
      <c r="D306" s="897" t="s">
        <v>3</v>
      </c>
      <c r="E306" s="897" t="s">
        <v>97</v>
      </c>
      <c r="F306" s="897" t="s">
        <v>98</v>
      </c>
      <c r="G306" s="897" t="s">
        <v>99</v>
      </c>
      <c r="H306" s="899"/>
      <c r="I306" s="895" t="s">
        <v>94</v>
      </c>
      <c r="J306" s="897" t="s">
        <v>95</v>
      </c>
      <c r="K306" s="897" t="s">
        <v>96</v>
      </c>
      <c r="L306" s="897" t="s">
        <v>3</v>
      </c>
      <c r="M306" s="897" t="s">
        <v>97</v>
      </c>
      <c r="N306" s="897" t="s">
        <v>98</v>
      </c>
      <c r="O306" s="897" t="s">
        <v>99</v>
      </c>
      <c r="P306" s="899"/>
    </row>
    <row r="307" spans="1:16" ht="15.75" thickBot="1">
      <c r="A307" s="896"/>
      <c r="B307" s="898"/>
      <c r="C307" s="898"/>
      <c r="D307" s="898"/>
      <c r="E307" s="898"/>
      <c r="F307" s="898"/>
      <c r="G307" s="240" t="s">
        <v>100</v>
      </c>
      <c r="H307" s="182" t="s">
        <v>101</v>
      </c>
      <c r="I307" s="896"/>
      <c r="J307" s="898"/>
      <c r="K307" s="898"/>
      <c r="L307" s="898"/>
      <c r="M307" s="898"/>
      <c r="N307" s="898"/>
      <c r="O307" s="240" t="s">
        <v>100</v>
      </c>
      <c r="P307" s="182" t="s">
        <v>101</v>
      </c>
    </row>
    <row r="308" spans="1:16" ht="15" customHeight="1">
      <c r="A308" s="881">
        <f>+A279+1</f>
        <v>269</v>
      </c>
      <c r="B308" s="875">
        <v>42261</v>
      </c>
      <c r="C308" s="877" t="s">
        <v>267</v>
      </c>
      <c r="D308" s="881" t="s">
        <v>273</v>
      </c>
      <c r="E308" s="881" t="s">
        <v>148</v>
      </c>
      <c r="F308" s="883">
        <v>154000</v>
      </c>
      <c r="G308" s="55">
        <v>719</v>
      </c>
      <c r="H308" s="78">
        <v>110000</v>
      </c>
      <c r="I308" s="873" t="s">
        <v>594</v>
      </c>
      <c r="J308" s="875">
        <v>42417</v>
      </c>
      <c r="K308" s="877" t="s">
        <v>40</v>
      </c>
      <c r="L308" s="881" t="s">
        <v>605</v>
      </c>
      <c r="M308" s="881" t="s">
        <v>148</v>
      </c>
      <c r="N308" s="883">
        <v>70000</v>
      </c>
      <c r="O308" s="55">
        <v>719</v>
      </c>
      <c r="P308" s="78">
        <v>50000</v>
      </c>
    </row>
    <row r="309" spans="1:16" ht="15.75" customHeight="1" thickBot="1">
      <c r="A309" s="882"/>
      <c r="B309" s="934"/>
      <c r="C309" s="878"/>
      <c r="D309" s="882"/>
      <c r="E309" s="882"/>
      <c r="F309" s="884"/>
      <c r="G309" s="56">
        <v>721</v>
      </c>
      <c r="H309" s="79">
        <f>+F308-H308</f>
        <v>44000</v>
      </c>
      <c r="I309" s="882"/>
      <c r="J309" s="876"/>
      <c r="K309" s="878"/>
      <c r="L309" s="882"/>
      <c r="M309" s="882"/>
      <c r="N309" s="884"/>
      <c r="O309" s="56">
        <v>721</v>
      </c>
      <c r="P309" s="79">
        <f>+N308-P308</f>
        <v>20000</v>
      </c>
    </row>
    <row r="310" spans="1:16" ht="15" customHeight="1">
      <c r="A310" s="881">
        <f>+A308+1</f>
        <v>270</v>
      </c>
      <c r="B310" s="875">
        <v>42261</v>
      </c>
      <c r="C310" s="881" t="s">
        <v>28</v>
      </c>
      <c r="D310" s="881" t="s">
        <v>274</v>
      </c>
      <c r="E310" s="881" t="s">
        <v>148</v>
      </c>
      <c r="F310" s="883">
        <v>238000</v>
      </c>
      <c r="G310" s="55">
        <v>719</v>
      </c>
      <c r="H310" s="78">
        <v>170000</v>
      </c>
      <c r="I310" s="873" t="s">
        <v>599</v>
      </c>
      <c r="J310" s="875">
        <v>42417</v>
      </c>
      <c r="K310" s="881" t="s">
        <v>28</v>
      </c>
      <c r="L310" s="881" t="s">
        <v>603</v>
      </c>
      <c r="M310" s="881" t="s">
        <v>148</v>
      </c>
      <c r="N310" s="883">
        <v>224000</v>
      </c>
      <c r="O310" s="55">
        <v>719</v>
      </c>
      <c r="P310" s="78">
        <v>160000</v>
      </c>
    </row>
    <row r="311" spans="1:16" ht="15.75" customHeight="1" thickBot="1">
      <c r="A311" s="882"/>
      <c r="B311" s="934"/>
      <c r="C311" s="882"/>
      <c r="D311" s="882"/>
      <c r="E311" s="882"/>
      <c r="F311" s="884"/>
      <c r="G311" s="56">
        <v>721</v>
      </c>
      <c r="H311" s="79">
        <f>+F310-H310</f>
        <v>68000</v>
      </c>
      <c r="I311" s="882"/>
      <c r="J311" s="876"/>
      <c r="K311" s="882"/>
      <c r="L311" s="882"/>
      <c r="M311" s="882"/>
      <c r="N311" s="884"/>
      <c r="O311" s="56">
        <v>721</v>
      </c>
      <c r="P311" s="79">
        <f>+N310-P310</f>
        <v>64000</v>
      </c>
    </row>
    <row r="312" spans="1:16" ht="15" customHeight="1">
      <c r="A312" s="881">
        <f>+A310+1</f>
        <v>271</v>
      </c>
      <c r="B312" s="875">
        <v>42261</v>
      </c>
      <c r="C312" s="877" t="s">
        <v>32</v>
      </c>
      <c r="D312" s="881" t="s">
        <v>275</v>
      </c>
      <c r="E312" s="881" t="s">
        <v>148</v>
      </c>
      <c r="F312" s="883">
        <v>98000</v>
      </c>
      <c r="G312" s="55">
        <v>719</v>
      </c>
      <c r="H312" s="78">
        <v>70000</v>
      </c>
      <c r="I312" s="873" t="s">
        <v>600</v>
      </c>
      <c r="J312" s="875">
        <v>42417</v>
      </c>
      <c r="K312" s="877" t="s">
        <v>32</v>
      </c>
      <c r="L312" s="881" t="s">
        <v>603</v>
      </c>
      <c r="M312" s="881" t="s">
        <v>148</v>
      </c>
      <c r="N312" s="883">
        <v>98000</v>
      </c>
      <c r="O312" s="55">
        <v>719</v>
      </c>
      <c r="P312" s="78">
        <v>70000</v>
      </c>
    </row>
    <row r="313" spans="1:16" ht="15.75" customHeight="1" thickBot="1">
      <c r="A313" s="882"/>
      <c r="B313" s="934"/>
      <c r="C313" s="878"/>
      <c r="D313" s="882"/>
      <c r="E313" s="882"/>
      <c r="F313" s="884"/>
      <c r="G313" s="56">
        <v>721</v>
      </c>
      <c r="H313" s="79">
        <f>+F312-H312</f>
        <v>28000</v>
      </c>
      <c r="I313" s="882"/>
      <c r="J313" s="876"/>
      <c r="K313" s="878"/>
      <c r="L313" s="882"/>
      <c r="M313" s="882"/>
      <c r="N313" s="884"/>
      <c r="O313" s="56">
        <v>721</v>
      </c>
      <c r="P313" s="79">
        <f>+N312-P312</f>
        <v>28000</v>
      </c>
    </row>
    <row r="314" spans="1:16" ht="15" customHeight="1">
      <c r="A314" s="881">
        <f>+A312+1</f>
        <v>272</v>
      </c>
      <c r="B314" s="875">
        <v>42261</v>
      </c>
      <c r="C314" s="877" t="s">
        <v>111</v>
      </c>
      <c r="D314" s="881" t="s">
        <v>273</v>
      </c>
      <c r="E314" s="881" t="s">
        <v>148</v>
      </c>
      <c r="F314" s="883">
        <v>42000</v>
      </c>
      <c r="G314" s="55">
        <v>719</v>
      </c>
      <c r="H314" s="78">
        <v>30000</v>
      </c>
      <c r="I314" s="873" t="s">
        <v>601</v>
      </c>
      <c r="J314" s="875">
        <v>42417</v>
      </c>
      <c r="K314" s="877" t="s">
        <v>111</v>
      </c>
      <c r="L314" s="881" t="s">
        <v>604</v>
      </c>
      <c r="M314" s="881" t="s">
        <v>148</v>
      </c>
      <c r="N314" s="883">
        <v>140000</v>
      </c>
      <c r="O314" s="55">
        <v>719</v>
      </c>
      <c r="P314" s="78">
        <v>100000</v>
      </c>
    </row>
    <row r="315" spans="1:16" ht="15.75" customHeight="1" thickBot="1">
      <c r="A315" s="882"/>
      <c r="B315" s="934"/>
      <c r="C315" s="878"/>
      <c r="D315" s="882"/>
      <c r="E315" s="882"/>
      <c r="F315" s="884"/>
      <c r="G315" s="56">
        <v>721</v>
      </c>
      <c r="H315" s="79">
        <f>+F314-H314</f>
        <v>12000</v>
      </c>
      <c r="I315" s="882"/>
      <c r="J315" s="876"/>
      <c r="K315" s="878"/>
      <c r="L315" s="882"/>
      <c r="M315" s="882"/>
      <c r="N315" s="884"/>
      <c r="O315" s="56">
        <v>721</v>
      </c>
      <c r="P315" s="79">
        <f>+N314-P314</f>
        <v>40000</v>
      </c>
    </row>
    <row r="316" spans="1:16" ht="15" customHeight="1">
      <c r="A316" s="881">
        <f>+A314+1</f>
        <v>273</v>
      </c>
      <c r="B316" s="875">
        <v>42261</v>
      </c>
      <c r="C316" s="877" t="s">
        <v>272</v>
      </c>
      <c r="D316" s="881" t="s">
        <v>274</v>
      </c>
      <c r="E316" s="881" t="s">
        <v>148</v>
      </c>
      <c r="F316" s="883">
        <v>378000</v>
      </c>
      <c r="G316" s="55">
        <v>719</v>
      </c>
      <c r="H316" s="78">
        <v>270000</v>
      </c>
      <c r="I316" s="873" t="s">
        <v>602</v>
      </c>
      <c r="J316" s="875">
        <v>42417</v>
      </c>
      <c r="K316" s="877" t="s">
        <v>272</v>
      </c>
      <c r="L316" s="881" t="s">
        <v>603</v>
      </c>
      <c r="M316" s="881" t="s">
        <v>148</v>
      </c>
      <c r="N316" s="883">
        <v>476000</v>
      </c>
      <c r="O316" s="55">
        <v>719</v>
      </c>
      <c r="P316" s="78">
        <v>340000</v>
      </c>
    </row>
    <row r="317" spans="1:16" ht="15.75" customHeight="1" thickBot="1">
      <c r="A317" s="882"/>
      <c r="B317" s="934"/>
      <c r="C317" s="878"/>
      <c r="D317" s="882"/>
      <c r="E317" s="882"/>
      <c r="F317" s="884"/>
      <c r="G317" s="56">
        <v>721</v>
      </c>
      <c r="H317" s="79">
        <f>+F316-H316</f>
        <v>108000</v>
      </c>
      <c r="I317" s="882"/>
      <c r="J317" s="876"/>
      <c r="K317" s="878"/>
      <c r="L317" s="882"/>
      <c r="M317" s="882"/>
      <c r="N317" s="884"/>
      <c r="O317" s="56">
        <v>721</v>
      </c>
      <c r="P317" s="79">
        <f>+N316-P316</f>
        <v>136000</v>
      </c>
    </row>
    <row r="318" spans="1:16" ht="16.5" thickBot="1">
      <c r="A318" s="901" t="s">
        <v>102</v>
      </c>
      <c r="B318" s="902"/>
      <c r="C318" s="902"/>
      <c r="D318" s="902"/>
      <c r="E318" s="903"/>
      <c r="F318" s="81">
        <f>SUM(F308:F317)</f>
        <v>910000</v>
      </c>
      <c r="I318" s="901" t="s">
        <v>102</v>
      </c>
      <c r="J318" s="902"/>
      <c r="K318" s="902"/>
      <c r="L318" s="902"/>
      <c r="M318" s="903"/>
      <c r="N318" s="81">
        <f>SUM(N308:N317)</f>
        <v>1008000</v>
      </c>
    </row>
    <row r="319" spans="1:16" ht="16.5" thickBot="1">
      <c r="A319" s="885" t="s">
        <v>103</v>
      </c>
      <c r="B319" s="886"/>
      <c r="C319" s="886"/>
      <c r="D319" s="886"/>
      <c r="E319" s="887"/>
      <c r="F319" s="69">
        <f>+F283</f>
        <v>623648225</v>
      </c>
      <c r="I319" s="885" t="s">
        <v>103</v>
      </c>
      <c r="J319" s="886"/>
      <c r="K319" s="886"/>
      <c r="L319" s="886"/>
      <c r="M319" s="887"/>
      <c r="N319" s="239">
        <f>+N283</f>
        <v>11383000</v>
      </c>
      <c r="O319" s="241" t="s">
        <v>561</v>
      </c>
      <c r="P319" s="242">
        <f>582+36+115+350</f>
        <v>1083</v>
      </c>
    </row>
    <row r="320" spans="1:16" ht="16.5" thickBot="1">
      <c r="A320" s="888" t="s">
        <v>104</v>
      </c>
      <c r="B320" s="889"/>
      <c r="C320" s="889"/>
      <c r="D320" s="889"/>
      <c r="E320" s="890"/>
      <c r="F320" s="183">
        <f>SUM(F318:F319)</f>
        <v>624558225</v>
      </c>
      <c r="I320" s="888" t="s">
        <v>104</v>
      </c>
      <c r="J320" s="889"/>
      <c r="K320" s="889"/>
      <c r="L320" s="889"/>
      <c r="M320" s="890"/>
      <c r="N320" s="183">
        <f>SUM(N318:N319)</f>
        <v>12391000</v>
      </c>
    </row>
    <row r="321" spans="1:15">
      <c r="A321" s="61"/>
      <c r="B321" s="61"/>
      <c r="C321" s="61"/>
      <c r="D321" s="61"/>
      <c r="E321" s="61"/>
      <c r="I321" s="61"/>
      <c r="J321" s="61"/>
      <c r="K321" s="61"/>
      <c r="L321" s="61"/>
      <c r="M321" s="61"/>
    </row>
    <row r="322" spans="1:15">
      <c r="A322" s="51" t="s">
        <v>276</v>
      </c>
      <c r="I322" s="51" t="s">
        <v>626</v>
      </c>
    </row>
    <row r="323" spans="1:15" ht="11.25" customHeight="1">
      <c r="F323" s="139"/>
      <c r="N323" s="139"/>
    </row>
    <row r="324" spans="1:15">
      <c r="A324" s="50" t="s">
        <v>105</v>
      </c>
      <c r="D324" s="146"/>
      <c r="F324" s="139"/>
      <c r="I324" s="50" t="s">
        <v>105</v>
      </c>
      <c r="L324" s="146"/>
      <c r="N324" s="139"/>
    </row>
    <row r="325" spans="1:15" ht="12.75" customHeight="1" thickBot="1"/>
    <row r="326" spans="1:15" ht="15.75" thickBot="1">
      <c r="A326" s="891" t="s">
        <v>106</v>
      </c>
      <c r="B326" s="892"/>
      <c r="C326" s="892"/>
      <c r="D326" s="893"/>
      <c r="F326" s="50" t="s">
        <v>270</v>
      </c>
      <c r="I326" s="891" t="s">
        <v>106</v>
      </c>
      <c r="J326" s="892"/>
      <c r="K326" s="892"/>
      <c r="L326" s="893"/>
      <c r="N326" s="50" t="s">
        <v>288</v>
      </c>
    </row>
    <row r="327" spans="1:15" ht="30.75" thickBot="1">
      <c r="A327" s="57" t="s">
        <v>100</v>
      </c>
      <c r="B327" s="58" t="s">
        <v>108</v>
      </c>
      <c r="C327" s="59" t="s">
        <v>109</v>
      </c>
      <c r="D327" s="60" t="s">
        <v>110</v>
      </c>
      <c r="I327" s="57" t="s">
        <v>100</v>
      </c>
      <c r="J327" s="58" t="s">
        <v>108</v>
      </c>
      <c r="K327" s="59" t="s">
        <v>109</v>
      </c>
      <c r="L327" s="60" t="s">
        <v>110</v>
      </c>
    </row>
    <row r="328" spans="1:15">
      <c r="A328" s="71">
        <v>719</v>
      </c>
      <c r="B328" s="73">
        <f>+H308+H310+H312+H314+H316</f>
        <v>650000</v>
      </c>
      <c r="C328" s="74">
        <f>+D291</f>
        <v>32910000</v>
      </c>
      <c r="D328" s="76">
        <f>+B328+C328</f>
        <v>33560000</v>
      </c>
      <c r="I328" s="71">
        <v>719</v>
      </c>
      <c r="J328" s="73">
        <f>+P308+P310+P312+P314+P316</f>
        <v>720000</v>
      </c>
      <c r="K328" s="74">
        <f>+L291</f>
        <v>3000000</v>
      </c>
      <c r="L328" s="195">
        <f>+J328+K328</f>
        <v>3720000</v>
      </c>
    </row>
    <row r="329" spans="1:15">
      <c r="A329" s="72">
        <v>721</v>
      </c>
      <c r="B329" s="80">
        <f>+H315+H313+H311+H309+H317</f>
        <v>260000</v>
      </c>
      <c r="C329" s="74">
        <f>+D292</f>
        <v>37736092</v>
      </c>
      <c r="D329" s="76">
        <f>+B329+C329</f>
        <v>37996092</v>
      </c>
      <c r="I329" s="72">
        <v>721</v>
      </c>
      <c r="J329" s="80">
        <f>+P309+P311+P313+P315+P317</f>
        <v>288000</v>
      </c>
      <c r="K329" s="74">
        <f>+L292</f>
        <v>760000</v>
      </c>
      <c r="L329" s="195">
        <f>+J329+K329</f>
        <v>1048000</v>
      </c>
    </row>
    <row r="330" spans="1:15">
      <c r="A330" s="72">
        <v>722</v>
      </c>
      <c r="B330" s="80"/>
      <c r="C330" s="74">
        <f>+D293</f>
        <v>231207671</v>
      </c>
      <c r="D330" s="76">
        <f>+B330+C330</f>
        <v>231207671</v>
      </c>
      <c r="I330" s="72">
        <v>722</v>
      </c>
      <c r="J330" s="80"/>
      <c r="K330" s="74">
        <f>+L293</f>
        <v>0</v>
      </c>
      <c r="L330" s="195">
        <f>+J330+K330</f>
        <v>0</v>
      </c>
    </row>
    <row r="331" spans="1:15" ht="15.75">
      <c r="A331" s="72">
        <v>723</v>
      </c>
      <c r="B331" s="80"/>
      <c r="C331" s="74">
        <f>+D294</f>
        <v>319828837</v>
      </c>
      <c r="D331" s="76">
        <f>+B331+C331</f>
        <v>319828837</v>
      </c>
      <c r="F331" s="174" t="s">
        <v>262</v>
      </c>
      <c r="G331" s="175"/>
      <c r="I331" s="72">
        <v>723</v>
      </c>
      <c r="J331" s="80"/>
      <c r="K331" s="74">
        <f>+L294</f>
        <v>7623000</v>
      </c>
      <c r="L331" s="195">
        <f>+J331+K331</f>
        <v>7623000</v>
      </c>
      <c r="N331" s="174" t="s">
        <v>23</v>
      </c>
      <c r="O331" s="175"/>
    </row>
    <row r="332" spans="1:15" ht="15" customHeight="1" thickBot="1">
      <c r="A332" s="164" t="s">
        <v>181</v>
      </c>
      <c r="B332" s="165"/>
      <c r="C332" s="74">
        <f>+D295</f>
        <v>1965625</v>
      </c>
      <c r="D332" s="168">
        <f>+B332+C332</f>
        <v>1965625</v>
      </c>
      <c r="F332" s="52"/>
      <c r="I332" s="164" t="s">
        <v>181</v>
      </c>
      <c r="J332" s="165"/>
      <c r="K332" s="74">
        <f>+L295</f>
        <v>0</v>
      </c>
      <c r="L332" s="196">
        <f>+J332+K332</f>
        <v>0</v>
      </c>
      <c r="N332" s="52"/>
    </row>
    <row r="333" spans="1:15" ht="16.5" thickBot="1">
      <c r="A333" s="169"/>
      <c r="B333" s="170">
        <f>SUM(B328:B332)</f>
        <v>910000</v>
      </c>
      <c r="C333" s="171">
        <f>SUM(C328:C332)</f>
        <v>623648225</v>
      </c>
      <c r="D333" s="172">
        <f>SUM(D328:D332)</f>
        <v>624558225</v>
      </c>
      <c r="I333" s="169"/>
      <c r="J333" s="197">
        <f>SUM(J328:J332)</f>
        <v>1008000</v>
      </c>
      <c r="K333" s="197">
        <f>SUM(K328:K332)</f>
        <v>11383000</v>
      </c>
      <c r="L333" s="198">
        <f>SUM(L328:L332)</f>
        <v>12391000</v>
      </c>
    </row>
    <row r="334" spans="1:15" ht="16.5">
      <c r="A334" s="49" t="s">
        <v>88</v>
      </c>
      <c r="B334" s="50"/>
      <c r="I334" s="49" t="s">
        <v>88</v>
      </c>
      <c r="J334" s="50"/>
    </row>
    <row r="335" spans="1:15">
      <c r="A335" s="51" t="s">
        <v>89</v>
      </c>
      <c r="I335" s="51" t="s">
        <v>89</v>
      </c>
    </row>
    <row r="336" spans="1:15">
      <c r="A336" s="51" t="s">
        <v>90</v>
      </c>
      <c r="I336" s="51" t="s">
        <v>90</v>
      </c>
    </row>
    <row r="337" spans="1:16">
      <c r="A337" s="51" t="s">
        <v>91</v>
      </c>
      <c r="I337" s="51" t="s">
        <v>91</v>
      </c>
    </row>
    <row r="338" spans="1:16" ht="12" customHeight="1">
      <c r="A338" s="50"/>
      <c r="B338" s="50"/>
      <c r="I338" s="50"/>
      <c r="J338" s="50"/>
    </row>
    <row r="339" spans="1:16" ht="16.5">
      <c r="A339" s="52" t="s">
        <v>277</v>
      </c>
      <c r="G339" s="52"/>
      <c r="I339" s="52" t="s">
        <v>590</v>
      </c>
      <c r="O339" s="52"/>
    </row>
    <row r="340" spans="1:16" ht="15.75">
      <c r="A340" s="53" t="s">
        <v>92</v>
      </c>
      <c r="G340" s="53"/>
      <c r="I340" s="53" t="s">
        <v>535</v>
      </c>
      <c r="O340" s="53"/>
    </row>
    <row r="341" spans="1:16" ht="16.5">
      <c r="A341" s="894" t="s">
        <v>278</v>
      </c>
      <c r="B341" s="894"/>
      <c r="C341" s="894"/>
      <c r="D341" s="894"/>
      <c r="E341" s="894"/>
      <c r="F341" s="894"/>
      <c r="G341" s="894"/>
      <c r="H341" s="894"/>
      <c r="I341" s="894" t="s">
        <v>261</v>
      </c>
      <c r="J341" s="894"/>
      <c r="K341" s="894"/>
      <c r="L341" s="894"/>
      <c r="M341" s="894"/>
      <c r="N341" s="894"/>
      <c r="O341" s="894"/>
      <c r="P341" s="894"/>
    </row>
    <row r="342" spans="1:16" ht="13.5" customHeight="1" thickBot="1"/>
    <row r="343" spans="1:16">
      <c r="A343" s="895" t="s">
        <v>94</v>
      </c>
      <c r="B343" s="897" t="s">
        <v>95</v>
      </c>
      <c r="C343" s="897" t="s">
        <v>96</v>
      </c>
      <c r="D343" s="897" t="s">
        <v>3</v>
      </c>
      <c r="E343" s="897" t="s">
        <v>97</v>
      </c>
      <c r="F343" s="897" t="s">
        <v>98</v>
      </c>
      <c r="G343" s="897" t="s">
        <v>99</v>
      </c>
      <c r="H343" s="899"/>
      <c r="I343" s="895" t="s">
        <v>94</v>
      </c>
      <c r="J343" s="897" t="s">
        <v>95</v>
      </c>
      <c r="K343" s="897" t="s">
        <v>96</v>
      </c>
      <c r="L343" s="897" t="s">
        <v>3</v>
      </c>
      <c r="M343" s="897" t="s">
        <v>97</v>
      </c>
      <c r="N343" s="897" t="s">
        <v>98</v>
      </c>
      <c r="O343" s="897" t="s">
        <v>99</v>
      </c>
      <c r="P343" s="899"/>
    </row>
    <row r="344" spans="1:16" ht="15.75" thickBot="1">
      <c r="A344" s="896"/>
      <c r="B344" s="898"/>
      <c r="C344" s="898"/>
      <c r="D344" s="898"/>
      <c r="E344" s="898"/>
      <c r="F344" s="898"/>
      <c r="G344" s="240" t="s">
        <v>100</v>
      </c>
      <c r="H344" s="182" t="s">
        <v>101</v>
      </c>
      <c r="I344" s="896"/>
      <c r="J344" s="898"/>
      <c r="K344" s="898"/>
      <c r="L344" s="898"/>
      <c r="M344" s="898"/>
      <c r="N344" s="898"/>
      <c r="O344" s="240" t="s">
        <v>100</v>
      </c>
      <c r="P344" s="182" t="s">
        <v>101</v>
      </c>
    </row>
    <row r="345" spans="1:16" ht="15" customHeight="1">
      <c r="A345" s="881">
        <f>+A316+1</f>
        <v>274</v>
      </c>
      <c r="B345" s="875">
        <v>42261</v>
      </c>
      <c r="C345" s="877" t="s">
        <v>267</v>
      </c>
      <c r="D345" s="881" t="s">
        <v>284</v>
      </c>
      <c r="E345" s="881" t="s">
        <v>115</v>
      </c>
      <c r="F345" s="883">
        <v>130000</v>
      </c>
      <c r="G345" s="55">
        <v>719</v>
      </c>
      <c r="H345" s="78">
        <v>130000</v>
      </c>
      <c r="I345" s="873" t="s">
        <v>607</v>
      </c>
      <c r="J345" s="875">
        <v>42417</v>
      </c>
      <c r="K345" s="877" t="s">
        <v>40</v>
      </c>
      <c r="L345" s="881" t="s">
        <v>612</v>
      </c>
      <c r="M345" s="881" t="s">
        <v>148</v>
      </c>
      <c r="N345" s="883">
        <v>70000</v>
      </c>
      <c r="O345" s="55">
        <v>719</v>
      </c>
      <c r="P345" s="78">
        <v>50000</v>
      </c>
    </row>
    <row r="346" spans="1:16" ht="15.75" customHeight="1" thickBot="1">
      <c r="A346" s="882"/>
      <c r="B346" s="934"/>
      <c r="C346" s="878"/>
      <c r="D346" s="882"/>
      <c r="E346" s="882"/>
      <c r="F346" s="884"/>
      <c r="G346" s="56">
        <v>721</v>
      </c>
      <c r="H346" s="79">
        <f>+F345-H345</f>
        <v>0</v>
      </c>
      <c r="I346" s="882"/>
      <c r="J346" s="876"/>
      <c r="K346" s="878"/>
      <c r="L346" s="882"/>
      <c r="M346" s="882"/>
      <c r="N346" s="884"/>
      <c r="O346" s="56">
        <v>721</v>
      </c>
      <c r="P346" s="79">
        <f>+N345-P345</f>
        <v>20000</v>
      </c>
    </row>
    <row r="347" spans="1:16" ht="15" customHeight="1">
      <c r="A347" s="881">
        <f>+A345+1</f>
        <v>275</v>
      </c>
      <c r="B347" s="875">
        <v>42261</v>
      </c>
      <c r="C347" s="881" t="s">
        <v>28</v>
      </c>
      <c r="D347" s="881" t="s">
        <v>283</v>
      </c>
      <c r="E347" s="881" t="s">
        <v>115</v>
      </c>
      <c r="F347" s="883">
        <v>70000</v>
      </c>
      <c r="G347" s="55">
        <v>719</v>
      </c>
      <c r="H347" s="78">
        <v>70000</v>
      </c>
      <c r="I347" s="873" t="s">
        <v>608</v>
      </c>
      <c r="J347" s="875">
        <v>42417</v>
      </c>
      <c r="K347" s="881" t="s">
        <v>28</v>
      </c>
      <c r="L347" s="881" t="s">
        <v>613</v>
      </c>
      <c r="M347" s="881" t="s">
        <v>148</v>
      </c>
      <c r="N347" s="883">
        <v>224000</v>
      </c>
      <c r="O347" s="55">
        <v>719</v>
      </c>
      <c r="P347" s="78">
        <v>160000</v>
      </c>
    </row>
    <row r="348" spans="1:16" ht="15.75" customHeight="1" thickBot="1">
      <c r="A348" s="882"/>
      <c r="B348" s="934"/>
      <c r="C348" s="882"/>
      <c r="D348" s="882"/>
      <c r="E348" s="882"/>
      <c r="F348" s="884"/>
      <c r="G348" s="56">
        <v>721</v>
      </c>
      <c r="H348" s="79">
        <f>+F347-H347</f>
        <v>0</v>
      </c>
      <c r="I348" s="882"/>
      <c r="J348" s="876"/>
      <c r="K348" s="882"/>
      <c r="L348" s="882"/>
      <c r="M348" s="882"/>
      <c r="N348" s="884"/>
      <c r="O348" s="56">
        <v>721</v>
      </c>
      <c r="P348" s="79">
        <f>+N347-P347</f>
        <v>64000</v>
      </c>
    </row>
    <row r="349" spans="1:16" ht="15" customHeight="1">
      <c r="A349" s="881">
        <f>+A347+1</f>
        <v>276</v>
      </c>
      <c r="B349" s="875">
        <v>42261</v>
      </c>
      <c r="C349" s="877" t="s">
        <v>32</v>
      </c>
      <c r="D349" s="881" t="s">
        <v>283</v>
      </c>
      <c r="E349" s="881" t="s">
        <v>115</v>
      </c>
      <c r="F349" s="883">
        <v>50000</v>
      </c>
      <c r="G349" s="55">
        <v>719</v>
      </c>
      <c r="H349" s="78">
        <v>50000</v>
      </c>
      <c r="I349" s="873" t="s">
        <v>609</v>
      </c>
      <c r="J349" s="875">
        <v>42417</v>
      </c>
      <c r="K349" s="877" t="s">
        <v>32</v>
      </c>
      <c r="L349" s="881" t="s">
        <v>613</v>
      </c>
      <c r="M349" s="881" t="s">
        <v>148</v>
      </c>
      <c r="N349" s="883">
        <v>98000</v>
      </c>
      <c r="O349" s="55">
        <v>719</v>
      </c>
      <c r="P349" s="78">
        <v>70000</v>
      </c>
    </row>
    <row r="350" spans="1:16" ht="15.75" customHeight="1" thickBot="1">
      <c r="A350" s="882"/>
      <c r="B350" s="934"/>
      <c r="C350" s="878"/>
      <c r="D350" s="882"/>
      <c r="E350" s="882"/>
      <c r="F350" s="884"/>
      <c r="G350" s="56">
        <v>721</v>
      </c>
      <c r="H350" s="79">
        <f>+F349-H349</f>
        <v>0</v>
      </c>
      <c r="I350" s="882"/>
      <c r="J350" s="876"/>
      <c r="K350" s="878"/>
      <c r="L350" s="882"/>
      <c r="M350" s="882"/>
      <c r="N350" s="884"/>
      <c r="O350" s="56">
        <v>721</v>
      </c>
      <c r="P350" s="79">
        <f>+N349-P349</f>
        <v>28000</v>
      </c>
    </row>
    <row r="351" spans="1:16" ht="15" customHeight="1">
      <c r="A351" s="881">
        <f>+A349+1</f>
        <v>277</v>
      </c>
      <c r="B351" s="875">
        <v>42261</v>
      </c>
      <c r="C351" s="910" t="s">
        <v>281</v>
      </c>
      <c r="D351" s="881" t="s">
        <v>280</v>
      </c>
      <c r="E351" s="881" t="s">
        <v>148</v>
      </c>
      <c r="F351" s="883">
        <v>1100000</v>
      </c>
      <c r="G351" s="55">
        <v>719</v>
      </c>
      <c r="H351" s="78"/>
      <c r="I351" s="873" t="s">
        <v>610</v>
      </c>
      <c r="J351" s="875">
        <v>42417</v>
      </c>
      <c r="K351" s="877" t="s">
        <v>111</v>
      </c>
      <c r="L351" s="881" t="s">
        <v>614</v>
      </c>
      <c r="M351" s="881" t="s">
        <v>148</v>
      </c>
      <c r="N351" s="883">
        <v>112000</v>
      </c>
      <c r="O351" s="55">
        <v>719</v>
      </c>
      <c r="P351" s="78">
        <v>80000</v>
      </c>
    </row>
    <row r="352" spans="1:16" ht="15.75" customHeight="1" thickBot="1">
      <c r="A352" s="882"/>
      <c r="B352" s="934"/>
      <c r="C352" s="911"/>
      <c r="D352" s="882"/>
      <c r="E352" s="882"/>
      <c r="F352" s="884"/>
      <c r="G352" s="56">
        <v>723</v>
      </c>
      <c r="H352" s="79">
        <f>+F351-H351</f>
        <v>1100000</v>
      </c>
      <c r="I352" s="882"/>
      <c r="J352" s="876"/>
      <c r="K352" s="878"/>
      <c r="L352" s="882"/>
      <c r="M352" s="882"/>
      <c r="N352" s="884"/>
      <c r="O352" s="56">
        <v>721</v>
      </c>
      <c r="P352" s="79">
        <f>+N351-P351</f>
        <v>32000</v>
      </c>
    </row>
    <row r="353" spans="1:16" ht="15" customHeight="1">
      <c r="A353" s="881">
        <f>+A351+1</f>
        <v>278</v>
      </c>
      <c r="B353" s="875">
        <v>42261</v>
      </c>
      <c r="C353" s="910" t="s">
        <v>282</v>
      </c>
      <c r="D353" s="881" t="s">
        <v>279</v>
      </c>
      <c r="E353" s="881" t="s">
        <v>165</v>
      </c>
      <c r="F353" s="883">
        <v>300000</v>
      </c>
      <c r="G353" s="55">
        <v>719</v>
      </c>
      <c r="H353" s="78"/>
      <c r="I353" s="873" t="s">
        <v>611</v>
      </c>
      <c r="J353" s="875">
        <v>42417</v>
      </c>
      <c r="K353" s="877" t="s">
        <v>272</v>
      </c>
      <c r="L353" s="881" t="s">
        <v>613</v>
      </c>
      <c r="M353" s="881" t="s">
        <v>148</v>
      </c>
      <c r="N353" s="883">
        <v>742000</v>
      </c>
      <c r="O353" s="55">
        <v>719</v>
      </c>
      <c r="P353" s="78">
        <v>530000</v>
      </c>
    </row>
    <row r="354" spans="1:16" ht="15.75" customHeight="1" thickBot="1">
      <c r="A354" s="882"/>
      <c r="B354" s="934"/>
      <c r="C354" s="911"/>
      <c r="D354" s="882"/>
      <c r="E354" s="882"/>
      <c r="F354" s="884"/>
      <c r="G354" s="56">
        <v>723</v>
      </c>
      <c r="H354" s="79">
        <f>+F353-H353</f>
        <v>300000</v>
      </c>
      <c r="I354" s="882"/>
      <c r="J354" s="876"/>
      <c r="K354" s="878"/>
      <c r="L354" s="882"/>
      <c r="M354" s="882"/>
      <c r="N354" s="884"/>
      <c r="O354" s="56">
        <v>721</v>
      </c>
      <c r="P354" s="79">
        <f>+N353-P353</f>
        <v>212000</v>
      </c>
    </row>
    <row r="355" spans="1:16" ht="16.5" thickBot="1">
      <c r="A355" s="901" t="s">
        <v>102</v>
      </c>
      <c r="B355" s="902"/>
      <c r="C355" s="902"/>
      <c r="D355" s="902"/>
      <c r="E355" s="903"/>
      <c r="F355" s="81">
        <f>SUM(F345:F354)</f>
        <v>1650000</v>
      </c>
      <c r="I355" s="901" t="s">
        <v>102</v>
      </c>
      <c r="J355" s="902"/>
      <c r="K355" s="902"/>
      <c r="L355" s="902"/>
      <c r="M355" s="903"/>
      <c r="N355" s="81">
        <f>SUM(N345:N354)</f>
        <v>1246000</v>
      </c>
    </row>
    <row r="356" spans="1:16" ht="16.5" thickBot="1">
      <c r="A356" s="885" t="s">
        <v>103</v>
      </c>
      <c r="B356" s="886"/>
      <c r="C356" s="886"/>
      <c r="D356" s="886"/>
      <c r="E356" s="887"/>
      <c r="F356" s="69">
        <f>+F320</f>
        <v>624558225</v>
      </c>
      <c r="I356" s="885" t="s">
        <v>103</v>
      </c>
      <c r="J356" s="886"/>
      <c r="K356" s="886"/>
      <c r="L356" s="886"/>
      <c r="M356" s="887"/>
      <c r="N356" s="239">
        <f>+N320</f>
        <v>12391000</v>
      </c>
      <c r="O356" s="241" t="s">
        <v>561</v>
      </c>
      <c r="P356" s="242">
        <f>45+338+96+974+35</f>
        <v>1488</v>
      </c>
    </row>
    <row r="357" spans="1:16" ht="16.5" thickBot="1">
      <c r="A357" s="888" t="s">
        <v>104</v>
      </c>
      <c r="B357" s="889"/>
      <c r="C357" s="889"/>
      <c r="D357" s="889"/>
      <c r="E357" s="890"/>
      <c r="F357" s="183">
        <f>SUM(F355:F356)</f>
        <v>626208225</v>
      </c>
      <c r="I357" s="888" t="s">
        <v>104</v>
      </c>
      <c r="J357" s="889"/>
      <c r="K357" s="889"/>
      <c r="L357" s="889"/>
      <c r="M357" s="890"/>
      <c r="N357" s="183">
        <f>SUM(N355:N356)</f>
        <v>13637000</v>
      </c>
    </row>
    <row r="358" spans="1:16" ht="12.75" customHeight="1">
      <c r="A358" s="61"/>
      <c r="B358" s="61"/>
      <c r="C358" s="61"/>
      <c r="D358" s="61"/>
      <c r="E358" s="61"/>
      <c r="I358" s="61"/>
      <c r="J358" s="61"/>
      <c r="K358" s="61"/>
      <c r="L358" s="61"/>
      <c r="M358" s="61"/>
    </row>
    <row r="359" spans="1:16">
      <c r="A359" s="51" t="s">
        <v>285</v>
      </c>
      <c r="I359" s="51" t="s">
        <v>615</v>
      </c>
    </row>
    <row r="360" spans="1:16" ht="13.5" customHeight="1">
      <c r="F360" s="139"/>
      <c r="N360" s="139"/>
    </row>
    <row r="361" spans="1:16">
      <c r="A361" s="50" t="s">
        <v>105</v>
      </c>
      <c r="D361" s="146"/>
      <c r="F361" s="139"/>
      <c r="I361" s="50" t="s">
        <v>105</v>
      </c>
      <c r="L361" s="146"/>
      <c r="N361" s="139" t="s">
        <v>631</v>
      </c>
    </row>
    <row r="362" spans="1:16" ht="13.5" customHeight="1" thickBot="1"/>
    <row r="363" spans="1:16" ht="15.75" thickBot="1">
      <c r="A363" s="891" t="s">
        <v>106</v>
      </c>
      <c r="B363" s="892"/>
      <c r="C363" s="892"/>
      <c r="D363" s="893"/>
      <c r="F363" s="50" t="s">
        <v>270</v>
      </c>
      <c r="I363" s="891" t="s">
        <v>106</v>
      </c>
      <c r="J363" s="892"/>
      <c r="K363" s="892"/>
      <c r="L363" s="893"/>
      <c r="N363" s="50" t="s">
        <v>288</v>
      </c>
    </row>
    <row r="364" spans="1:16" ht="30.75" thickBot="1">
      <c r="A364" s="57" t="s">
        <v>100</v>
      </c>
      <c r="B364" s="58" t="s">
        <v>108</v>
      </c>
      <c r="C364" s="59" t="s">
        <v>109</v>
      </c>
      <c r="D364" s="60" t="s">
        <v>110</v>
      </c>
      <c r="I364" s="57" t="s">
        <v>100</v>
      </c>
      <c r="J364" s="58" t="s">
        <v>108</v>
      </c>
      <c r="K364" s="59" t="s">
        <v>109</v>
      </c>
      <c r="L364" s="60" t="s">
        <v>110</v>
      </c>
    </row>
    <row r="365" spans="1:16">
      <c r="A365" s="71">
        <v>719</v>
      </c>
      <c r="B365" s="73">
        <f>+H345+H347+H349+H351+H353</f>
        <v>250000</v>
      </c>
      <c r="C365" s="74">
        <f>+D328</f>
        <v>33560000</v>
      </c>
      <c r="D365" s="76">
        <f>+B365+C365</f>
        <v>33810000</v>
      </c>
      <c r="I365" s="71">
        <v>719</v>
      </c>
      <c r="J365" s="73">
        <f>+P345+P347+P349+P351+P353</f>
        <v>890000</v>
      </c>
      <c r="K365" s="74">
        <f>+L328</f>
        <v>3720000</v>
      </c>
      <c r="L365" s="195">
        <f>+J365+K365</f>
        <v>4610000</v>
      </c>
    </row>
    <row r="366" spans="1:16">
      <c r="A366" s="72">
        <v>721</v>
      </c>
      <c r="B366" s="80"/>
      <c r="C366" s="74">
        <f>+D329</f>
        <v>37996092</v>
      </c>
      <c r="D366" s="76">
        <f>+B366+C366</f>
        <v>37996092</v>
      </c>
      <c r="I366" s="72">
        <v>721</v>
      </c>
      <c r="J366" s="80">
        <f>+P346+P348+P350+P352+P354</f>
        <v>356000</v>
      </c>
      <c r="K366" s="74">
        <f>+L329</f>
        <v>1048000</v>
      </c>
      <c r="L366" s="195">
        <f>+J366+K366</f>
        <v>1404000</v>
      </c>
    </row>
    <row r="367" spans="1:16" ht="15" customHeight="1">
      <c r="A367" s="72">
        <v>722</v>
      </c>
      <c r="B367" s="80"/>
      <c r="C367" s="74">
        <f>+D330</f>
        <v>231207671</v>
      </c>
      <c r="D367" s="76">
        <f>+B367+C367</f>
        <v>231207671</v>
      </c>
      <c r="I367" s="72">
        <v>722</v>
      </c>
      <c r="J367" s="80"/>
      <c r="K367" s="74">
        <f>+L330</f>
        <v>0</v>
      </c>
      <c r="L367" s="195">
        <f>+J367+K367</f>
        <v>0</v>
      </c>
    </row>
    <row r="368" spans="1:16" ht="15.75">
      <c r="A368" s="72">
        <v>723</v>
      </c>
      <c r="B368" s="80">
        <f>+H352+H354</f>
        <v>1400000</v>
      </c>
      <c r="C368" s="74">
        <f>+D331</f>
        <v>319828837</v>
      </c>
      <c r="D368" s="76">
        <f>+B368+C368</f>
        <v>321228837</v>
      </c>
      <c r="F368" s="174" t="s">
        <v>262</v>
      </c>
      <c r="G368" s="175"/>
      <c r="I368" s="72">
        <v>723</v>
      </c>
      <c r="J368" s="80"/>
      <c r="K368" s="74">
        <f>+L331</f>
        <v>7623000</v>
      </c>
      <c r="L368" s="195">
        <f>+J368+K368</f>
        <v>7623000</v>
      </c>
      <c r="N368" s="174" t="s">
        <v>23</v>
      </c>
      <c r="O368" s="175"/>
    </row>
    <row r="369" spans="1:16" ht="16.5" thickBot="1">
      <c r="A369" s="164" t="s">
        <v>181</v>
      </c>
      <c r="B369" s="165"/>
      <c r="C369" s="74">
        <f>+D332</f>
        <v>1965625</v>
      </c>
      <c r="D369" s="168">
        <f>+B369+C369</f>
        <v>1965625</v>
      </c>
      <c r="F369" s="52"/>
      <c r="I369" s="164" t="s">
        <v>181</v>
      </c>
      <c r="J369" s="165"/>
      <c r="K369" s="74">
        <f>+L332</f>
        <v>0</v>
      </c>
      <c r="L369" s="196">
        <f>+J369+K369</f>
        <v>0</v>
      </c>
      <c r="N369" s="52"/>
    </row>
    <row r="370" spans="1:16" ht="16.5" thickBot="1">
      <c r="A370" s="169"/>
      <c r="B370" s="170">
        <f>SUM(B365:B369)</f>
        <v>1650000</v>
      </c>
      <c r="C370" s="171">
        <f>SUM(C365:C369)</f>
        <v>624558225</v>
      </c>
      <c r="D370" s="172">
        <f>SUM(D365:D369)</f>
        <v>626208225</v>
      </c>
      <c r="I370" s="169"/>
      <c r="J370" s="197">
        <f>SUM(J365:J369)</f>
        <v>1246000</v>
      </c>
      <c r="K370" s="197">
        <f>SUM(K365:K369)</f>
        <v>12391000</v>
      </c>
      <c r="L370" s="198">
        <f>SUM(L365:L369)</f>
        <v>13637000</v>
      </c>
    </row>
    <row r="371" spans="1:16" ht="16.5">
      <c r="A371" s="49" t="s">
        <v>88</v>
      </c>
      <c r="B371" s="50"/>
      <c r="I371" s="49" t="s">
        <v>88</v>
      </c>
      <c r="J371" s="50"/>
    </row>
    <row r="372" spans="1:16">
      <c r="A372" s="51" t="s">
        <v>89</v>
      </c>
      <c r="I372" s="51" t="s">
        <v>89</v>
      </c>
    </row>
    <row r="373" spans="1:16">
      <c r="A373" s="51" t="s">
        <v>90</v>
      </c>
      <c r="I373" s="51" t="s">
        <v>90</v>
      </c>
    </row>
    <row r="374" spans="1:16">
      <c r="A374" s="51" t="s">
        <v>91</v>
      </c>
      <c r="I374" s="51" t="s">
        <v>91</v>
      </c>
    </row>
    <row r="375" spans="1:16" ht="12.75" customHeight="1">
      <c r="A375" s="50"/>
      <c r="B375" s="50"/>
      <c r="I375" s="50"/>
      <c r="J375" s="50"/>
    </row>
    <row r="376" spans="1:16" ht="16.5">
      <c r="A376" s="52" t="s">
        <v>287</v>
      </c>
      <c r="G376" s="52"/>
      <c r="I376" s="52" t="s">
        <v>606</v>
      </c>
      <c r="O376" s="52"/>
    </row>
    <row r="377" spans="1:16" ht="15.75">
      <c r="A377" s="53" t="s">
        <v>92</v>
      </c>
      <c r="G377" s="53"/>
      <c r="I377" s="53" t="s">
        <v>535</v>
      </c>
      <c r="O377" s="53"/>
    </row>
    <row r="378" spans="1:16" ht="16.5">
      <c r="A378" s="894" t="s">
        <v>261</v>
      </c>
      <c r="B378" s="894"/>
      <c r="C378" s="894"/>
      <c r="D378" s="894"/>
      <c r="E378" s="894"/>
      <c r="F378" s="894"/>
      <c r="G378" s="894"/>
      <c r="H378" s="894"/>
      <c r="I378" s="894" t="s">
        <v>261</v>
      </c>
      <c r="J378" s="894"/>
      <c r="K378" s="894"/>
      <c r="L378" s="894"/>
      <c r="M378" s="894"/>
      <c r="N378" s="894"/>
      <c r="O378" s="894"/>
      <c r="P378" s="894"/>
    </row>
    <row r="379" spans="1:16" ht="15.75" thickBot="1"/>
    <row r="380" spans="1:16">
      <c r="A380" s="895" t="s">
        <v>94</v>
      </c>
      <c r="B380" s="897" t="s">
        <v>95</v>
      </c>
      <c r="C380" s="897" t="s">
        <v>96</v>
      </c>
      <c r="D380" s="897" t="s">
        <v>3</v>
      </c>
      <c r="E380" s="897" t="s">
        <v>97</v>
      </c>
      <c r="F380" s="897" t="s">
        <v>98</v>
      </c>
      <c r="G380" s="897" t="s">
        <v>99</v>
      </c>
      <c r="H380" s="899"/>
      <c r="I380" s="895" t="s">
        <v>94</v>
      </c>
      <c r="J380" s="897" t="s">
        <v>95</v>
      </c>
      <c r="K380" s="897" t="s">
        <v>96</v>
      </c>
      <c r="L380" s="897" t="s">
        <v>3</v>
      </c>
      <c r="M380" s="897" t="s">
        <v>97</v>
      </c>
      <c r="N380" s="897" t="s">
        <v>98</v>
      </c>
      <c r="O380" s="897" t="s">
        <v>99</v>
      </c>
      <c r="P380" s="899"/>
    </row>
    <row r="381" spans="1:16" ht="15.75" thickBot="1">
      <c r="A381" s="896"/>
      <c r="B381" s="898"/>
      <c r="C381" s="898"/>
      <c r="D381" s="898"/>
      <c r="E381" s="898"/>
      <c r="F381" s="898"/>
      <c r="G381" s="240" t="s">
        <v>100</v>
      </c>
      <c r="H381" s="182" t="s">
        <v>101</v>
      </c>
      <c r="I381" s="896"/>
      <c r="J381" s="898"/>
      <c r="K381" s="898"/>
      <c r="L381" s="898"/>
      <c r="M381" s="898"/>
      <c r="N381" s="898"/>
      <c r="O381" s="240" t="s">
        <v>100</v>
      </c>
      <c r="P381" s="182" t="s">
        <v>101</v>
      </c>
    </row>
    <row r="382" spans="1:16" ht="15" customHeight="1">
      <c r="A382" s="881">
        <f>+A353+1</f>
        <v>279</v>
      </c>
      <c r="B382" s="875">
        <v>42264</v>
      </c>
      <c r="C382" s="877" t="s">
        <v>267</v>
      </c>
      <c r="D382" s="881" t="s">
        <v>290</v>
      </c>
      <c r="E382" s="881" t="s">
        <v>148</v>
      </c>
      <c r="F382" s="883">
        <v>168000</v>
      </c>
      <c r="G382" s="55">
        <v>719</v>
      </c>
      <c r="H382" s="78">
        <v>120000</v>
      </c>
      <c r="I382" s="873" t="s">
        <v>617</v>
      </c>
      <c r="J382" s="875">
        <v>42417</v>
      </c>
      <c r="K382" s="877" t="s">
        <v>40</v>
      </c>
      <c r="L382" s="881" t="s">
        <v>621</v>
      </c>
      <c r="M382" s="881" t="s">
        <v>148</v>
      </c>
      <c r="N382" s="883">
        <v>70000</v>
      </c>
      <c r="O382" s="55">
        <v>719</v>
      </c>
      <c r="P382" s="78">
        <v>50000</v>
      </c>
    </row>
    <row r="383" spans="1:16" ht="13.5" customHeight="1" thickBot="1">
      <c r="A383" s="882"/>
      <c r="B383" s="934"/>
      <c r="C383" s="878"/>
      <c r="D383" s="882"/>
      <c r="E383" s="882"/>
      <c r="F383" s="884"/>
      <c r="G383" s="56">
        <v>721</v>
      </c>
      <c r="H383" s="79">
        <f>+F382-H382</f>
        <v>48000</v>
      </c>
      <c r="I383" s="882"/>
      <c r="J383" s="876"/>
      <c r="K383" s="878"/>
      <c r="L383" s="882"/>
      <c r="M383" s="882"/>
      <c r="N383" s="884"/>
      <c r="O383" s="56">
        <v>721</v>
      </c>
      <c r="P383" s="79">
        <f>+N382-P382</f>
        <v>20000</v>
      </c>
    </row>
    <row r="384" spans="1:16" ht="15" customHeight="1">
      <c r="A384" s="881">
        <f>+A382+1</f>
        <v>280</v>
      </c>
      <c r="B384" s="875">
        <v>42264</v>
      </c>
      <c r="C384" s="881" t="s">
        <v>28</v>
      </c>
      <c r="D384" s="881" t="s">
        <v>292</v>
      </c>
      <c r="E384" s="881" t="s">
        <v>148</v>
      </c>
      <c r="F384" s="883">
        <v>238000</v>
      </c>
      <c r="G384" s="55">
        <v>719</v>
      </c>
      <c r="H384" s="78">
        <v>170000</v>
      </c>
      <c r="I384" s="873" t="s">
        <v>618</v>
      </c>
      <c r="J384" s="875">
        <v>42417</v>
      </c>
      <c r="K384" s="881" t="s">
        <v>28</v>
      </c>
      <c r="L384" s="881" t="s">
        <v>622</v>
      </c>
      <c r="M384" s="881" t="s">
        <v>148</v>
      </c>
      <c r="N384" s="883">
        <v>210000</v>
      </c>
      <c r="O384" s="55">
        <v>719</v>
      </c>
      <c r="P384" s="78">
        <v>150000</v>
      </c>
    </row>
    <row r="385" spans="1:16" ht="15.75" customHeight="1" thickBot="1">
      <c r="A385" s="882"/>
      <c r="B385" s="934"/>
      <c r="C385" s="882"/>
      <c r="D385" s="882"/>
      <c r="E385" s="882"/>
      <c r="F385" s="884"/>
      <c r="G385" s="56">
        <v>721</v>
      </c>
      <c r="H385" s="79">
        <f>+F384-H384</f>
        <v>68000</v>
      </c>
      <c r="I385" s="882"/>
      <c r="J385" s="876"/>
      <c r="K385" s="882"/>
      <c r="L385" s="882"/>
      <c r="M385" s="882"/>
      <c r="N385" s="884"/>
      <c r="O385" s="56">
        <v>721</v>
      </c>
      <c r="P385" s="79">
        <f>+N384-P384</f>
        <v>60000</v>
      </c>
    </row>
    <row r="386" spans="1:16" ht="15" customHeight="1">
      <c r="A386" s="881">
        <f>+A384+1</f>
        <v>281</v>
      </c>
      <c r="B386" s="875">
        <v>42264</v>
      </c>
      <c r="C386" s="877" t="s">
        <v>32</v>
      </c>
      <c r="D386" s="881" t="s">
        <v>292</v>
      </c>
      <c r="E386" s="881" t="s">
        <v>148</v>
      </c>
      <c r="F386" s="883">
        <v>126000</v>
      </c>
      <c r="G386" s="55">
        <v>719</v>
      </c>
      <c r="H386" s="78">
        <v>90000</v>
      </c>
      <c r="I386" s="873" t="s">
        <v>619</v>
      </c>
      <c r="J386" s="875">
        <v>42417</v>
      </c>
      <c r="K386" s="877" t="s">
        <v>32</v>
      </c>
      <c r="L386" s="881" t="s">
        <v>623</v>
      </c>
      <c r="M386" s="881" t="s">
        <v>148</v>
      </c>
      <c r="N386" s="883">
        <v>70000</v>
      </c>
      <c r="O386" s="55">
        <v>719</v>
      </c>
      <c r="P386" s="78">
        <v>50000</v>
      </c>
    </row>
    <row r="387" spans="1:16" ht="15.75" customHeight="1" thickBot="1">
      <c r="A387" s="882"/>
      <c r="B387" s="934"/>
      <c r="C387" s="878"/>
      <c r="D387" s="882"/>
      <c r="E387" s="882"/>
      <c r="F387" s="884"/>
      <c r="G387" s="56">
        <v>721</v>
      </c>
      <c r="H387" s="79">
        <f>+F386-H386</f>
        <v>36000</v>
      </c>
      <c r="I387" s="882"/>
      <c r="J387" s="876"/>
      <c r="K387" s="878"/>
      <c r="L387" s="882"/>
      <c r="M387" s="882"/>
      <c r="N387" s="884"/>
      <c r="O387" s="56">
        <v>721</v>
      </c>
      <c r="P387" s="79">
        <f>+N386-P386</f>
        <v>20000</v>
      </c>
    </row>
    <row r="388" spans="1:16" ht="15" customHeight="1">
      <c r="A388" s="881">
        <f>+A386+1</f>
        <v>282</v>
      </c>
      <c r="B388" s="875">
        <v>42264</v>
      </c>
      <c r="C388" s="877" t="s">
        <v>111</v>
      </c>
      <c r="D388" s="881" t="s">
        <v>291</v>
      </c>
      <c r="E388" s="881" t="s">
        <v>148</v>
      </c>
      <c r="F388" s="883">
        <v>84000</v>
      </c>
      <c r="G388" s="55">
        <v>719</v>
      </c>
      <c r="H388" s="78">
        <v>60000</v>
      </c>
      <c r="I388" s="873" t="s">
        <v>620</v>
      </c>
      <c r="J388" s="875">
        <v>42417</v>
      </c>
      <c r="K388" s="877" t="s">
        <v>272</v>
      </c>
      <c r="L388" s="881" t="s">
        <v>622</v>
      </c>
      <c r="M388" s="881" t="s">
        <v>148</v>
      </c>
      <c r="N388" s="883">
        <v>560000</v>
      </c>
      <c r="O388" s="55">
        <v>719</v>
      </c>
      <c r="P388" s="78">
        <v>400000</v>
      </c>
    </row>
    <row r="389" spans="1:16" ht="15.75" customHeight="1" thickBot="1">
      <c r="A389" s="882"/>
      <c r="B389" s="934"/>
      <c r="C389" s="878"/>
      <c r="D389" s="882"/>
      <c r="E389" s="882"/>
      <c r="F389" s="884"/>
      <c r="G389" s="56">
        <v>721</v>
      </c>
      <c r="H389" s="79">
        <f>+F388-H388</f>
        <v>24000</v>
      </c>
      <c r="I389" s="882"/>
      <c r="J389" s="876"/>
      <c r="K389" s="878"/>
      <c r="L389" s="882"/>
      <c r="M389" s="882"/>
      <c r="N389" s="884"/>
      <c r="O389" s="56">
        <v>721</v>
      </c>
      <c r="P389" s="79">
        <f>+N388-P388</f>
        <v>160000</v>
      </c>
    </row>
    <row r="390" spans="1:16" ht="15" customHeight="1">
      <c r="A390" s="881">
        <f>+A388+1</f>
        <v>283</v>
      </c>
      <c r="B390" s="875">
        <v>42264</v>
      </c>
      <c r="C390" s="877" t="s">
        <v>272</v>
      </c>
      <c r="D390" s="881" t="s">
        <v>290</v>
      </c>
      <c r="E390" s="881" t="s">
        <v>148</v>
      </c>
      <c r="F390" s="883">
        <v>532000</v>
      </c>
      <c r="G390" s="55">
        <v>719</v>
      </c>
      <c r="H390" s="78">
        <v>380000</v>
      </c>
      <c r="I390" s="873" t="s">
        <v>632</v>
      </c>
      <c r="J390" s="875">
        <v>42417</v>
      </c>
      <c r="K390" s="877" t="s">
        <v>169</v>
      </c>
      <c r="L390" s="881" t="s">
        <v>633</v>
      </c>
      <c r="M390" s="881" t="s">
        <v>148</v>
      </c>
      <c r="N390" s="883">
        <v>112000</v>
      </c>
      <c r="O390" s="55">
        <v>719</v>
      </c>
      <c r="P390" s="78">
        <v>80000</v>
      </c>
    </row>
    <row r="391" spans="1:16" ht="14.25" customHeight="1" thickBot="1">
      <c r="A391" s="882"/>
      <c r="B391" s="934"/>
      <c r="C391" s="878"/>
      <c r="D391" s="882"/>
      <c r="E391" s="882"/>
      <c r="F391" s="884"/>
      <c r="G391" s="56">
        <v>721</v>
      </c>
      <c r="H391" s="79">
        <f>+F390-H390</f>
        <v>152000</v>
      </c>
      <c r="I391" s="882"/>
      <c r="J391" s="876"/>
      <c r="K391" s="878"/>
      <c r="L391" s="882"/>
      <c r="M391" s="882"/>
      <c r="N391" s="884"/>
      <c r="O391" s="56">
        <v>721</v>
      </c>
      <c r="P391" s="79">
        <f>+N390-P390</f>
        <v>32000</v>
      </c>
    </row>
    <row r="392" spans="1:16" ht="16.5" thickBot="1">
      <c r="A392" s="901" t="s">
        <v>102</v>
      </c>
      <c r="B392" s="902"/>
      <c r="C392" s="902"/>
      <c r="D392" s="902"/>
      <c r="E392" s="903"/>
      <c r="F392" s="81">
        <f>SUM(F382:F391)</f>
        <v>1148000</v>
      </c>
      <c r="I392" s="901" t="s">
        <v>102</v>
      </c>
      <c r="J392" s="902"/>
      <c r="K392" s="902"/>
      <c r="L392" s="902"/>
      <c r="M392" s="903"/>
      <c r="N392" s="81">
        <f>SUM(N382:N391)</f>
        <v>1022000</v>
      </c>
    </row>
    <row r="393" spans="1:16" ht="16.5" thickBot="1">
      <c r="A393" s="885" t="s">
        <v>103</v>
      </c>
      <c r="B393" s="886"/>
      <c r="C393" s="886"/>
      <c r="D393" s="886"/>
      <c r="E393" s="887"/>
      <c r="F393" s="69">
        <f>+F357</f>
        <v>626208225</v>
      </c>
      <c r="I393" s="885" t="s">
        <v>103</v>
      </c>
      <c r="J393" s="886"/>
      <c r="K393" s="886"/>
      <c r="L393" s="886"/>
      <c r="M393" s="887"/>
      <c r="N393" s="239">
        <f>+N357</f>
        <v>13637000</v>
      </c>
      <c r="O393" s="241" t="s">
        <v>561</v>
      </c>
      <c r="P393" s="242">
        <f>36+318+110+714+53</f>
        <v>1231</v>
      </c>
    </row>
    <row r="394" spans="1:16" ht="16.5" thickBot="1">
      <c r="A394" s="888" t="s">
        <v>104</v>
      </c>
      <c r="B394" s="889"/>
      <c r="C394" s="889"/>
      <c r="D394" s="889"/>
      <c r="E394" s="890"/>
      <c r="F394" s="183">
        <f>SUM(F392:F393)</f>
        <v>627356225</v>
      </c>
      <c r="I394" s="888" t="s">
        <v>104</v>
      </c>
      <c r="J394" s="889"/>
      <c r="K394" s="889"/>
      <c r="L394" s="889"/>
      <c r="M394" s="890"/>
      <c r="N394" s="183">
        <f>SUM(N392:N393)</f>
        <v>14659000</v>
      </c>
    </row>
    <row r="395" spans="1:16">
      <c r="A395" s="61"/>
      <c r="B395" s="61"/>
      <c r="C395" s="61"/>
      <c r="D395" s="61"/>
      <c r="E395" s="61"/>
      <c r="I395" s="61"/>
      <c r="J395" s="61"/>
      <c r="K395" s="61"/>
      <c r="L395" s="61"/>
      <c r="M395" s="61"/>
    </row>
    <row r="396" spans="1:16">
      <c r="A396" s="51" t="s">
        <v>294</v>
      </c>
      <c r="I396" s="51" t="s">
        <v>634</v>
      </c>
    </row>
    <row r="397" spans="1:16" ht="13.5" customHeight="1">
      <c r="F397" s="139"/>
      <c r="N397" s="139"/>
    </row>
    <row r="398" spans="1:16">
      <c r="A398" s="50" t="s">
        <v>105</v>
      </c>
      <c r="D398" s="146"/>
      <c r="F398" s="139"/>
      <c r="I398" s="50" t="s">
        <v>105</v>
      </c>
      <c r="L398" s="146"/>
      <c r="N398" s="139"/>
    </row>
    <row r="399" spans="1:16" ht="12.75" customHeight="1" thickBot="1"/>
    <row r="400" spans="1:16" ht="15.75" thickBot="1">
      <c r="A400" s="891" t="s">
        <v>106</v>
      </c>
      <c r="B400" s="892"/>
      <c r="C400" s="892"/>
      <c r="D400" s="893"/>
      <c r="F400" s="50" t="s">
        <v>288</v>
      </c>
      <c r="I400" s="891" t="s">
        <v>106</v>
      </c>
      <c r="J400" s="892"/>
      <c r="K400" s="892"/>
      <c r="L400" s="893"/>
      <c r="N400" s="50" t="s">
        <v>288</v>
      </c>
    </row>
    <row r="401" spans="1:16" ht="30.75" thickBot="1">
      <c r="A401" s="57" t="s">
        <v>100</v>
      </c>
      <c r="B401" s="58" t="s">
        <v>108</v>
      </c>
      <c r="C401" s="59" t="s">
        <v>109</v>
      </c>
      <c r="D401" s="60" t="s">
        <v>110</v>
      </c>
      <c r="I401" s="57" t="s">
        <v>100</v>
      </c>
      <c r="J401" s="58" t="s">
        <v>108</v>
      </c>
      <c r="K401" s="59" t="s">
        <v>109</v>
      </c>
      <c r="L401" s="60" t="s">
        <v>110</v>
      </c>
    </row>
    <row r="402" spans="1:16">
      <c r="A402" s="71">
        <v>719</v>
      </c>
      <c r="B402" s="73">
        <f>+H382+H384+H386+H388+H390</f>
        <v>820000</v>
      </c>
      <c r="C402" s="74">
        <f>+D365</f>
        <v>33810000</v>
      </c>
      <c r="D402" s="76">
        <f>+B402+C402</f>
        <v>34630000</v>
      </c>
      <c r="I402" s="71">
        <v>719</v>
      </c>
      <c r="J402" s="73">
        <f>+P382+P384+P386+P388+P390</f>
        <v>730000</v>
      </c>
      <c r="K402" s="74">
        <f>+L365</f>
        <v>4610000</v>
      </c>
      <c r="L402" s="195">
        <f>+J402+K402</f>
        <v>5340000</v>
      </c>
    </row>
    <row r="403" spans="1:16">
      <c r="A403" s="72">
        <v>721</v>
      </c>
      <c r="B403" s="80">
        <f>+H383+H385+H387+H389+H391</f>
        <v>328000</v>
      </c>
      <c r="C403" s="74">
        <f>+D366</f>
        <v>37996092</v>
      </c>
      <c r="D403" s="76">
        <f>+B403+C403</f>
        <v>38324092</v>
      </c>
      <c r="I403" s="72">
        <v>721</v>
      </c>
      <c r="J403" s="80">
        <f>+P383+P385+P387+P389+P391</f>
        <v>292000</v>
      </c>
      <c r="K403" s="74">
        <f>+L366</f>
        <v>1404000</v>
      </c>
      <c r="L403" s="195">
        <f>+J403+K403</f>
        <v>1696000</v>
      </c>
    </row>
    <row r="404" spans="1:16">
      <c r="A404" s="72">
        <v>722</v>
      </c>
      <c r="B404" s="80"/>
      <c r="C404" s="74">
        <f>+D367</f>
        <v>231207671</v>
      </c>
      <c r="D404" s="76">
        <f>+B404+C404</f>
        <v>231207671</v>
      </c>
      <c r="I404" s="72">
        <v>722</v>
      </c>
      <c r="J404" s="80"/>
      <c r="K404" s="74">
        <f>+L367</f>
        <v>0</v>
      </c>
      <c r="L404" s="195">
        <f>+J404+K404</f>
        <v>0</v>
      </c>
    </row>
    <row r="405" spans="1:16" ht="15.75">
      <c r="A405" s="72">
        <v>723</v>
      </c>
      <c r="B405" s="80"/>
      <c r="C405" s="74">
        <f>+D368</f>
        <v>321228837</v>
      </c>
      <c r="D405" s="76">
        <f>+B405+C405</f>
        <v>321228837</v>
      </c>
      <c r="F405" s="193" t="s">
        <v>289</v>
      </c>
      <c r="G405" s="175"/>
      <c r="I405" s="72">
        <v>723</v>
      </c>
      <c r="J405" s="80"/>
      <c r="K405" s="74">
        <f>+L368</f>
        <v>7623000</v>
      </c>
      <c r="L405" s="195">
        <f>+J405+K405</f>
        <v>7623000</v>
      </c>
      <c r="N405" s="174" t="s">
        <v>23</v>
      </c>
      <c r="O405" s="175"/>
    </row>
    <row r="406" spans="1:16" ht="16.5" thickBot="1">
      <c r="A406" s="164" t="s">
        <v>181</v>
      </c>
      <c r="B406" s="165"/>
      <c r="C406" s="74">
        <f>+D369</f>
        <v>1965625</v>
      </c>
      <c r="D406" s="168">
        <f>+B406+C406</f>
        <v>1965625</v>
      </c>
      <c r="F406" s="52"/>
      <c r="I406" s="164" t="s">
        <v>181</v>
      </c>
      <c r="J406" s="165"/>
      <c r="K406" s="74">
        <f>+L369</f>
        <v>0</v>
      </c>
      <c r="L406" s="196">
        <f>+J406+K406</f>
        <v>0</v>
      </c>
      <c r="N406" s="52"/>
    </row>
    <row r="407" spans="1:16" ht="16.5" thickBot="1">
      <c r="A407" s="169"/>
      <c r="B407" s="170">
        <f>SUM(B402:B406)</f>
        <v>1148000</v>
      </c>
      <c r="C407" s="171">
        <f>SUM(C402:C406)</f>
        <v>626208225</v>
      </c>
      <c r="D407" s="172">
        <f>SUM(D402:D406)</f>
        <v>627356225</v>
      </c>
      <c r="I407" s="169"/>
      <c r="J407" s="197">
        <f>SUM(J402:J406)</f>
        <v>1022000</v>
      </c>
      <c r="K407" s="197">
        <f>SUM(K402:K406)</f>
        <v>13637000</v>
      </c>
      <c r="L407" s="198">
        <f>SUM(L402:L406)</f>
        <v>14659000</v>
      </c>
    </row>
    <row r="408" spans="1:16" ht="16.5">
      <c r="A408" s="49" t="s">
        <v>88</v>
      </c>
      <c r="B408" s="50"/>
      <c r="I408" s="49" t="s">
        <v>88</v>
      </c>
      <c r="J408" s="50"/>
    </row>
    <row r="409" spans="1:16">
      <c r="A409" s="51" t="s">
        <v>89</v>
      </c>
      <c r="I409" s="51" t="s">
        <v>89</v>
      </c>
    </row>
    <row r="410" spans="1:16">
      <c r="A410" s="51" t="s">
        <v>90</v>
      </c>
      <c r="I410" s="51" t="s">
        <v>90</v>
      </c>
    </row>
    <row r="411" spans="1:16">
      <c r="A411" s="51" t="s">
        <v>91</v>
      </c>
      <c r="I411" s="51" t="s">
        <v>91</v>
      </c>
    </row>
    <row r="412" spans="1:16" ht="11.25" customHeight="1">
      <c r="A412" s="50"/>
      <c r="B412" s="50"/>
      <c r="I412" s="50"/>
      <c r="J412" s="50"/>
    </row>
    <row r="413" spans="1:16" ht="16.5">
      <c r="A413" s="52" t="s">
        <v>295</v>
      </c>
      <c r="G413" s="52"/>
      <c r="I413" s="52" t="s">
        <v>635</v>
      </c>
      <c r="O413" s="52"/>
    </row>
    <row r="414" spans="1:16" ht="15.75">
      <c r="A414" s="53" t="s">
        <v>92</v>
      </c>
      <c r="G414" s="53"/>
      <c r="I414" s="53" t="s">
        <v>535</v>
      </c>
      <c r="O414" s="53"/>
    </row>
    <row r="415" spans="1:16" ht="16.5">
      <c r="A415" s="894" t="s">
        <v>261</v>
      </c>
      <c r="B415" s="894"/>
      <c r="C415" s="894"/>
      <c r="D415" s="894"/>
      <c r="E415" s="894"/>
      <c r="F415" s="894"/>
      <c r="G415" s="894"/>
      <c r="H415" s="894"/>
      <c r="I415" s="894" t="s">
        <v>212</v>
      </c>
      <c r="J415" s="894"/>
      <c r="K415" s="894"/>
      <c r="L415" s="894"/>
      <c r="M415" s="894"/>
      <c r="N415" s="894"/>
      <c r="O415" s="894"/>
      <c r="P415" s="894"/>
    </row>
    <row r="416" spans="1:16" ht="13.5" customHeight="1" thickBot="1"/>
    <row r="417" spans="1:16">
      <c r="A417" s="895" t="s">
        <v>94</v>
      </c>
      <c r="B417" s="897" t="s">
        <v>95</v>
      </c>
      <c r="C417" s="897" t="s">
        <v>96</v>
      </c>
      <c r="D417" s="897" t="s">
        <v>3</v>
      </c>
      <c r="E417" s="897" t="s">
        <v>97</v>
      </c>
      <c r="F417" s="897" t="s">
        <v>98</v>
      </c>
      <c r="G417" s="897" t="s">
        <v>99</v>
      </c>
      <c r="H417" s="899"/>
      <c r="I417" s="895" t="s">
        <v>94</v>
      </c>
      <c r="J417" s="897" t="s">
        <v>95</v>
      </c>
      <c r="K417" s="897" t="s">
        <v>96</v>
      </c>
      <c r="L417" s="897" t="s">
        <v>3</v>
      </c>
      <c r="M417" s="897" t="s">
        <v>97</v>
      </c>
      <c r="N417" s="897" t="s">
        <v>98</v>
      </c>
      <c r="O417" s="897" t="s">
        <v>99</v>
      </c>
      <c r="P417" s="899"/>
    </row>
    <row r="418" spans="1:16" ht="15.75" thickBot="1">
      <c r="A418" s="896"/>
      <c r="B418" s="898"/>
      <c r="C418" s="898"/>
      <c r="D418" s="898"/>
      <c r="E418" s="898"/>
      <c r="F418" s="898"/>
      <c r="G418" s="240" t="s">
        <v>100</v>
      </c>
      <c r="H418" s="182" t="s">
        <v>101</v>
      </c>
      <c r="I418" s="896"/>
      <c r="J418" s="898"/>
      <c r="K418" s="898"/>
      <c r="L418" s="898"/>
      <c r="M418" s="898"/>
      <c r="N418" s="898"/>
      <c r="O418" s="240" t="s">
        <v>100</v>
      </c>
      <c r="P418" s="182" t="s">
        <v>101</v>
      </c>
    </row>
    <row r="419" spans="1:16">
      <c r="A419" s="881">
        <f>+A390+1</f>
        <v>284</v>
      </c>
      <c r="B419" s="875">
        <v>42275</v>
      </c>
      <c r="C419" s="877" t="s">
        <v>267</v>
      </c>
      <c r="D419" s="881" t="s">
        <v>296</v>
      </c>
      <c r="E419" s="935" t="s">
        <v>31</v>
      </c>
      <c r="F419" s="883">
        <v>100000</v>
      </c>
      <c r="G419" s="55">
        <v>719</v>
      </c>
      <c r="H419" s="78">
        <v>100000</v>
      </c>
      <c r="I419" s="873" t="s">
        <v>641</v>
      </c>
      <c r="J419" s="875">
        <v>42422</v>
      </c>
      <c r="K419" s="877" t="s">
        <v>272</v>
      </c>
      <c r="L419" s="881" t="s">
        <v>671</v>
      </c>
      <c r="M419" s="881" t="s">
        <v>148</v>
      </c>
      <c r="N419" s="883">
        <v>31900000</v>
      </c>
      <c r="O419" s="55">
        <v>723</v>
      </c>
      <c r="P419" s="78">
        <v>31900000</v>
      </c>
    </row>
    <row r="420" spans="1:16" ht="15.75" thickBot="1">
      <c r="A420" s="882"/>
      <c r="B420" s="934"/>
      <c r="C420" s="878"/>
      <c r="D420" s="882"/>
      <c r="E420" s="936"/>
      <c r="F420" s="884"/>
      <c r="G420" s="56">
        <v>721</v>
      </c>
      <c r="H420" s="79"/>
      <c r="I420" s="882"/>
      <c r="J420" s="876"/>
      <c r="K420" s="878"/>
      <c r="L420" s="882"/>
      <c r="M420" s="882"/>
      <c r="N420" s="884"/>
      <c r="O420" s="56">
        <v>721</v>
      </c>
      <c r="P420" s="79">
        <f>+N419-P419</f>
        <v>0</v>
      </c>
    </row>
    <row r="421" spans="1:16" ht="15" customHeight="1">
      <c r="A421" s="881">
        <f>+A419+1</f>
        <v>285</v>
      </c>
      <c r="B421" s="875">
        <v>42275</v>
      </c>
      <c r="C421" s="881" t="s">
        <v>28</v>
      </c>
      <c r="D421" s="881" t="s">
        <v>297</v>
      </c>
      <c r="E421" s="935" t="s">
        <v>28</v>
      </c>
      <c r="F421" s="883">
        <v>50000</v>
      </c>
      <c r="G421" s="55">
        <v>719</v>
      </c>
      <c r="H421" s="78">
        <v>50000</v>
      </c>
      <c r="I421" s="873" t="s">
        <v>642</v>
      </c>
      <c r="J421" s="875">
        <v>42422</v>
      </c>
      <c r="K421" s="877" t="s">
        <v>32</v>
      </c>
      <c r="L421" s="881" t="s">
        <v>671</v>
      </c>
      <c r="M421" s="881" t="s">
        <v>148</v>
      </c>
      <c r="N421" s="883">
        <v>5040000</v>
      </c>
      <c r="O421" s="55">
        <v>723</v>
      </c>
      <c r="P421" s="78">
        <v>5040000</v>
      </c>
    </row>
    <row r="422" spans="1:16" ht="15.75" customHeight="1" thickBot="1">
      <c r="A422" s="882"/>
      <c r="B422" s="934"/>
      <c r="C422" s="882"/>
      <c r="D422" s="882"/>
      <c r="E422" s="936"/>
      <c r="F422" s="884"/>
      <c r="G422" s="56">
        <v>721</v>
      </c>
      <c r="H422" s="79">
        <f>+F421-H421</f>
        <v>0</v>
      </c>
      <c r="I422" s="882"/>
      <c r="J422" s="876"/>
      <c r="K422" s="878"/>
      <c r="L422" s="882"/>
      <c r="M422" s="882"/>
      <c r="N422" s="884"/>
      <c r="O422" s="56">
        <v>721</v>
      </c>
      <c r="P422" s="79">
        <f>+N421-P421</f>
        <v>0</v>
      </c>
    </row>
    <row r="423" spans="1:16" ht="15" customHeight="1">
      <c r="A423" s="881">
        <f>+A421+1</f>
        <v>286</v>
      </c>
      <c r="B423" s="875">
        <v>42275</v>
      </c>
      <c r="C423" s="877" t="s">
        <v>32</v>
      </c>
      <c r="D423" s="881" t="s">
        <v>297</v>
      </c>
      <c r="E423" s="877" t="s">
        <v>32</v>
      </c>
      <c r="F423" s="883">
        <v>30000</v>
      </c>
      <c r="G423" s="55">
        <v>719</v>
      </c>
      <c r="H423" s="78">
        <v>30000</v>
      </c>
      <c r="I423" s="873" t="s">
        <v>643</v>
      </c>
      <c r="J423" s="875">
        <v>42422</v>
      </c>
      <c r="K423" s="877" t="s">
        <v>672</v>
      </c>
      <c r="L423" s="881" t="s">
        <v>671</v>
      </c>
      <c r="M423" s="881" t="s">
        <v>148</v>
      </c>
      <c r="N423" s="883">
        <v>21530865</v>
      </c>
      <c r="O423" s="55">
        <v>723</v>
      </c>
      <c r="P423" s="78">
        <v>21530865</v>
      </c>
    </row>
    <row r="424" spans="1:16" ht="15.75" customHeight="1" thickBot="1">
      <c r="A424" s="882"/>
      <c r="B424" s="934"/>
      <c r="C424" s="878"/>
      <c r="D424" s="882"/>
      <c r="E424" s="878"/>
      <c r="F424" s="884"/>
      <c r="G424" s="56">
        <v>721</v>
      </c>
      <c r="H424" s="79">
        <f>+F423-H423</f>
        <v>0</v>
      </c>
      <c r="I424" s="882"/>
      <c r="J424" s="876"/>
      <c r="K424" s="878"/>
      <c r="L424" s="882"/>
      <c r="M424" s="882"/>
      <c r="N424" s="884"/>
      <c r="O424" s="56">
        <v>721</v>
      </c>
      <c r="P424" s="79">
        <f>+N423-P423</f>
        <v>0</v>
      </c>
    </row>
    <row r="425" spans="1:16" ht="15" customHeight="1">
      <c r="A425" s="881"/>
      <c r="B425" s="875"/>
      <c r="C425" s="877"/>
      <c r="D425" s="881"/>
      <c r="E425" s="881"/>
      <c r="F425" s="883"/>
      <c r="G425" s="55">
        <v>719</v>
      </c>
      <c r="H425" s="78"/>
      <c r="I425" s="873" t="s">
        <v>644</v>
      </c>
      <c r="J425" s="875">
        <v>42422</v>
      </c>
      <c r="K425" s="877" t="s">
        <v>673</v>
      </c>
      <c r="L425" s="881" t="s">
        <v>671</v>
      </c>
      <c r="M425" s="881" t="s">
        <v>148</v>
      </c>
      <c r="N425" s="883">
        <v>3780000</v>
      </c>
      <c r="O425" s="55">
        <v>723</v>
      </c>
      <c r="P425" s="78">
        <v>3780000</v>
      </c>
    </row>
    <row r="426" spans="1:16" ht="15.75" customHeight="1" thickBot="1">
      <c r="A426" s="882"/>
      <c r="B426" s="934"/>
      <c r="C426" s="878"/>
      <c r="D426" s="882"/>
      <c r="E426" s="882"/>
      <c r="F426" s="884"/>
      <c r="G426" s="56">
        <v>721</v>
      </c>
      <c r="H426" s="79">
        <f>+F425-H425</f>
        <v>0</v>
      </c>
      <c r="I426" s="882"/>
      <c r="J426" s="876"/>
      <c r="K426" s="878"/>
      <c r="L426" s="882"/>
      <c r="M426" s="882"/>
      <c r="N426" s="884"/>
      <c r="O426" s="56">
        <v>721</v>
      </c>
      <c r="P426" s="79">
        <f>+N425-P425</f>
        <v>0</v>
      </c>
    </row>
    <row r="427" spans="1:16" ht="15" customHeight="1">
      <c r="A427" s="881"/>
      <c r="B427" s="875"/>
      <c r="C427" s="877"/>
      <c r="D427" s="881"/>
      <c r="E427" s="881"/>
      <c r="F427" s="883"/>
      <c r="G427" s="55">
        <v>719</v>
      </c>
      <c r="H427" s="78"/>
      <c r="I427" s="873" t="s">
        <v>645</v>
      </c>
      <c r="J427" s="875">
        <v>42422</v>
      </c>
      <c r="K427" s="877" t="s">
        <v>674</v>
      </c>
      <c r="L427" s="881" t="s">
        <v>671</v>
      </c>
      <c r="M427" s="881" t="s">
        <v>148</v>
      </c>
      <c r="N427" s="883">
        <v>6615000</v>
      </c>
      <c r="O427" s="55">
        <v>723</v>
      </c>
      <c r="P427" s="78">
        <v>6615000</v>
      </c>
    </row>
    <row r="428" spans="1:16" ht="15.75" customHeight="1" thickBot="1">
      <c r="A428" s="882"/>
      <c r="B428" s="934"/>
      <c r="C428" s="878"/>
      <c r="D428" s="882"/>
      <c r="E428" s="882"/>
      <c r="F428" s="884"/>
      <c r="G428" s="56">
        <v>721</v>
      </c>
      <c r="H428" s="79">
        <f>+F427-H427</f>
        <v>0</v>
      </c>
      <c r="I428" s="882"/>
      <c r="J428" s="876"/>
      <c r="K428" s="878"/>
      <c r="L428" s="882"/>
      <c r="M428" s="882"/>
      <c r="N428" s="884"/>
      <c r="O428" s="56">
        <v>721</v>
      </c>
      <c r="P428" s="79">
        <f>+N427-P427</f>
        <v>0</v>
      </c>
    </row>
    <row r="429" spans="1:16" ht="16.5" thickBot="1">
      <c r="A429" s="901" t="s">
        <v>102</v>
      </c>
      <c r="B429" s="902"/>
      <c r="C429" s="902"/>
      <c r="D429" s="902"/>
      <c r="E429" s="903"/>
      <c r="F429" s="81">
        <f>SUM(F419:F428)</f>
        <v>180000</v>
      </c>
      <c r="I429" s="901" t="s">
        <v>102</v>
      </c>
      <c r="J429" s="902"/>
      <c r="K429" s="902"/>
      <c r="L429" s="902"/>
      <c r="M429" s="903"/>
      <c r="N429" s="81">
        <f>SUM(N419:N428)</f>
        <v>68865865</v>
      </c>
    </row>
    <row r="430" spans="1:16" ht="16.5" thickBot="1">
      <c r="A430" s="885" t="s">
        <v>103</v>
      </c>
      <c r="B430" s="886"/>
      <c r="C430" s="886"/>
      <c r="D430" s="886"/>
      <c r="E430" s="887"/>
      <c r="F430" s="69">
        <f>+F394</f>
        <v>627356225</v>
      </c>
      <c r="I430" s="885" t="s">
        <v>103</v>
      </c>
      <c r="J430" s="886"/>
      <c r="K430" s="886"/>
      <c r="L430" s="886"/>
      <c r="M430" s="887"/>
      <c r="N430" s="239">
        <f>+N394</f>
        <v>14659000</v>
      </c>
      <c r="O430" s="241" t="s">
        <v>561</v>
      </c>
      <c r="P430" s="242"/>
    </row>
    <row r="431" spans="1:16" ht="16.5" thickBot="1">
      <c r="A431" s="888" t="s">
        <v>104</v>
      </c>
      <c r="B431" s="889"/>
      <c r="C431" s="889"/>
      <c r="D431" s="889"/>
      <c r="E431" s="890"/>
      <c r="F431" s="183">
        <f>SUM(F429:F430)</f>
        <v>627536225</v>
      </c>
      <c r="I431" s="888" t="s">
        <v>104</v>
      </c>
      <c r="J431" s="889"/>
      <c r="K431" s="889"/>
      <c r="L431" s="889"/>
      <c r="M431" s="890"/>
      <c r="N431" s="183">
        <f>SUM(N429:N430)</f>
        <v>83524865</v>
      </c>
    </row>
    <row r="432" spans="1:16" ht="12" customHeight="1">
      <c r="A432" s="61"/>
      <c r="B432" s="61"/>
      <c r="C432" s="61"/>
      <c r="D432" s="61"/>
      <c r="E432" s="61"/>
      <c r="I432" s="61"/>
      <c r="J432" s="61"/>
      <c r="K432" s="61"/>
      <c r="L432" s="61"/>
      <c r="M432" s="61"/>
    </row>
    <row r="433" spans="1:15">
      <c r="A433" s="51" t="s">
        <v>298</v>
      </c>
      <c r="I433" s="51" t="s">
        <v>675</v>
      </c>
    </row>
    <row r="434" spans="1:15" ht="12.75" customHeight="1">
      <c r="F434" s="139"/>
      <c r="N434" s="139"/>
    </row>
    <row r="435" spans="1:15">
      <c r="A435" s="50" t="s">
        <v>105</v>
      </c>
      <c r="D435" s="146"/>
      <c r="F435" s="139"/>
      <c r="I435" s="50" t="s">
        <v>105</v>
      </c>
      <c r="L435" s="146"/>
      <c r="N435" s="139"/>
    </row>
    <row r="436" spans="1:15" ht="15.75" thickBot="1"/>
    <row r="437" spans="1:15" ht="15.75" thickBot="1">
      <c r="A437" s="891" t="s">
        <v>106</v>
      </c>
      <c r="B437" s="892"/>
      <c r="C437" s="892"/>
      <c r="D437" s="893"/>
      <c r="F437" s="50" t="s">
        <v>288</v>
      </c>
      <c r="I437" s="891" t="s">
        <v>106</v>
      </c>
      <c r="J437" s="892"/>
      <c r="K437" s="892"/>
      <c r="L437" s="893"/>
      <c r="N437" s="50" t="s">
        <v>270</v>
      </c>
    </row>
    <row r="438" spans="1:15" ht="30.75" thickBot="1">
      <c r="A438" s="57" t="s">
        <v>100</v>
      </c>
      <c r="B438" s="58" t="s">
        <v>108</v>
      </c>
      <c r="C438" s="59" t="s">
        <v>109</v>
      </c>
      <c r="D438" s="60" t="s">
        <v>110</v>
      </c>
      <c r="I438" s="57" t="s">
        <v>100</v>
      </c>
      <c r="J438" s="58" t="s">
        <v>108</v>
      </c>
      <c r="K438" s="59" t="s">
        <v>109</v>
      </c>
      <c r="L438" s="60" t="s">
        <v>110</v>
      </c>
    </row>
    <row r="439" spans="1:15">
      <c r="A439" s="71">
        <v>719</v>
      </c>
      <c r="B439" s="73">
        <f>+H419+H421+H423+H425+H427</f>
        <v>180000</v>
      </c>
      <c r="C439" s="74">
        <f>+D402</f>
        <v>34630000</v>
      </c>
      <c r="D439" s="76">
        <f>+B439+C439</f>
        <v>34810000</v>
      </c>
      <c r="I439" s="71">
        <v>719</v>
      </c>
      <c r="J439" s="73">
        <v>0</v>
      </c>
      <c r="K439" s="74">
        <f>+L402</f>
        <v>5340000</v>
      </c>
      <c r="L439" s="195">
        <f>+J439+K439</f>
        <v>5340000</v>
      </c>
    </row>
    <row r="440" spans="1:15">
      <c r="A440" s="72">
        <v>721</v>
      </c>
      <c r="B440" s="80">
        <f>+H420+H422+H424+H426+H428</f>
        <v>0</v>
      </c>
      <c r="C440" s="74">
        <f>+D403</f>
        <v>38324092</v>
      </c>
      <c r="D440" s="76">
        <f>+B440+C440</f>
        <v>38324092</v>
      </c>
      <c r="I440" s="72">
        <v>721</v>
      </c>
      <c r="J440" s="80">
        <f>+P420+P422+P424+P426+P428</f>
        <v>0</v>
      </c>
      <c r="K440" s="74">
        <f>+L403</f>
        <v>1696000</v>
      </c>
      <c r="L440" s="195">
        <f>+J440+K440</f>
        <v>1696000</v>
      </c>
    </row>
    <row r="441" spans="1:15">
      <c r="A441" s="72">
        <v>722</v>
      </c>
      <c r="B441" s="80"/>
      <c r="C441" s="74">
        <f>+D404</f>
        <v>231207671</v>
      </c>
      <c r="D441" s="76">
        <f>+B441+C441</f>
        <v>231207671</v>
      </c>
      <c r="I441" s="72">
        <v>722</v>
      </c>
      <c r="J441" s="80"/>
      <c r="K441" s="74">
        <f>+L404</f>
        <v>0</v>
      </c>
      <c r="L441" s="195">
        <f>+J441+K441</f>
        <v>0</v>
      </c>
    </row>
    <row r="442" spans="1:15" ht="15.75">
      <c r="A442" s="72">
        <v>723</v>
      </c>
      <c r="B442" s="80"/>
      <c r="C442" s="74">
        <f>+D405</f>
        <v>321228837</v>
      </c>
      <c r="D442" s="76">
        <f>+B442+C442</f>
        <v>321228837</v>
      </c>
      <c r="F442" s="193" t="s">
        <v>289</v>
      </c>
      <c r="G442" s="175"/>
      <c r="I442" s="72">
        <v>723</v>
      </c>
      <c r="J442" s="80">
        <f>+P419+P421+P423+P425+P427</f>
        <v>68865865</v>
      </c>
      <c r="K442" s="74">
        <f>+L405</f>
        <v>7623000</v>
      </c>
      <c r="L442" s="195">
        <f>+J442+K442</f>
        <v>76488865</v>
      </c>
      <c r="N442" s="174" t="s">
        <v>558</v>
      </c>
      <c r="O442" s="175"/>
    </row>
    <row r="443" spans="1:15" ht="16.5" thickBot="1">
      <c r="A443" s="164" t="s">
        <v>181</v>
      </c>
      <c r="B443" s="165"/>
      <c r="C443" s="74">
        <f>+D406</f>
        <v>1965625</v>
      </c>
      <c r="D443" s="168">
        <f>+B443+C443</f>
        <v>1965625</v>
      </c>
      <c r="F443" s="52"/>
      <c r="I443" s="164" t="s">
        <v>181</v>
      </c>
      <c r="J443" s="165"/>
      <c r="K443" s="74">
        <f>+L406</f>
        <v>0</v>
      </c>
      <c r="L443" s="196">
        <f>+J443+K443</f>
        <v>0</v>
      </c>
      <c r="N443" s="52"/>
    </row>
    <row r="444" spans="1:15" ht="16.5" thickBot="1">
      <c r="A444" s="169"/>
      <c r="B444" s="170">
        <f>SUM(B439:B443)</f>
        <v>180000</v>
      </c>
      <c r="C444" s="171">
        <f>SUM(C439:C443)</f>
        <v>627356225</v>
      </c>
      <c r="D444" s="172">
        <f>SUM(D439:D443)</f>
        <v>627536225</v>
      </c>
      <c r="I444" s="169"/>
      <c r="J444" s="197">
        <f>SUM(J439:J443)</f>
        <v>68865865</v>
      </c>
      <c r="K444" s="197">
        <f>SUM(K439:K443)</f>
        <v>14659000</v>
      </c>
      <c r="L444" s="198">
        <f>SUM(L439:L443)</f>
        <v>83524865</v>
      </c>
    </row>
    <row r="445" spans="1:15" ht="16.5">
      <c r="A445" s="49" t="s">
        <v>88</v>
      </c>
      <c r="B445" s="50"/>
      <c r="I445" s="49" t="s">
        <v>88</v>
      </c>
      <c r="J445" s="50"/>
    </row>
    <row r="446" spans="1:15">
      <c r="A446" s="51" t="s">
        <v>89</v>
      </c>
      <c r="I446" s="51" t="s">
        <v>89</v>
      </c>
    </row>
    <row r="447" spans="1:15">
      <c r="A447" s="51" t="s">
        <v>90</v>
      </c>
      <c r="I447" s="51" t="s">
        <v>90</v>
      </c>
    </row>
    <row r="448" spans="1:15">
      <c r="A448" s="51" t="s">
        <v>91</v>
      </c>
      <c r="I448" s="51" t="s">
        <v>91</v>
      </c>
    </row>
    <row r="449" spans="1:16" ht="11.25" customHeight="1">
      <c r="A449" s="50"/>
      <c r="B449" s="50"/>
      <c r="I449" s="50"/>
      <c r="J449" s="50"/>
    </row>
    <row r="450" spans="1:16" ht="16.5">
      <c r="A450" s="52" t="s">
        <v>299</v>
      </c>
      <c r="G450" s="52"/>
      <c r="I450" s="52" t="s">
        <v>636</v>
      </c>
      <c r="O450" s="52"/>
    </row>
    <row r="451" spans="1:16" ht="15.75">
      <c r="A451" s="53" t="s">
        <v>92</v>
      </c>
      <c r="G451" s="53"/>
      <c r="I451" s="53" t="s">
        <v>535</v>
      </c>
      <c r="O451" s="53"/>
    </row>
    <row r="452" spans="1:16" ht="16.5">
      <c r="A452" s="894" t="s">
        <v>261</v>
      </c>
      <c r="B452" s="894"/>
      <c r="C452" s="894"/>
      <c r="D452" s="894"/>
      <c r="E452" s="894"/>
      <c r="F452" s="894"/>
      <c r="G452" s="894"/>
      <c r="H452" s="894"/>
      <c r="I452" s="894" t="s">
        <v>212</v>
      </c>
      <c r="J452" s="894"/>
      <c r="K452" s="894"/>
      <c r="L452" s="894"/>
      <c r="M452" s="894"/>
      <c r="N452" s="894"/>
      <c r="O452" s="894"/>
      <c r="P452" s="894"/>
    </row>
    <row r="453" spans="1:16" ht="15.75" customHeight="1" thickBot="1"/>
    <row r="454" spans="1:16">
      <c r="A454" s="895" t="s">
        <v>94</v>
      </c>
      <c r="B454" s="897" t="s">
        <v>95</v>
      </c>
      <c r="C454" s="897" t="s">
        <v>96</v>
      </c>
      <c r="D454" s="897" t="s">
        <v>3</v>
      </c>
      <c r="E454" s="897" t="s">
        <v>97</v>
      </c>
      <c r="F454" s="897" t="s">
        <v>98</v>
      </c>
      <c r="G454" s="897" t="s">
        <v>99</v>
      </c>
      <c r="H454" s="899"/>
      <c r="I454" s="895" t="s">
        <v>94</v>
      </c>
      <c r="J454" s="897" t="s">
        <v>95</v>
      </c>
      <c r="K454" s="897" t="s">
        <v>96</v>
      </c>
      <c r="L454" s="897" t="s">
        <v>3</v>
      </c>
      <c r="M454" s="897" t="s">
        <v>97</v>
      </c>
      <c r="N454" s="897" t="s">
        <v>98</v>
      </c>
      <c r="O454" s="897" t="s">
        <v>99</v>
      </c>
      <c r="P454" s="899"/>
    </row>
    <row r="455" spans="1:16" ht="15.75" thickBot="1">
      <c r="A455" s="896"/>
      <c r="B455" s="898"/>
      <c r="C455" s="898"/>
      <c r="D455" s="898"/>
      <c r="E455" s="898"/>
      <c r="F455" s="898"/>
      <c r="G455" s="240" t="s">
        <v>100</v>
      </c>
      <c r="H455" s="182" t="s">
        <v>101</v>
      </c>
      <c r="I455" s="896"/>
      <c r="J455" s="898"/>
      <c r="K455" s="898"/>
      <c r="L455" s="898"/>
      <c r="M455" s="898"/>
      <c r="N455" s="898"/>
      <c r="O455" s="240" t="s">
        <v>100</v>
      </c>
      <c r="P455" s="182" t="s">
        <v>101</v>
      </c>
    </row>
    <row r="456" spans="1:16" ht="15" customHeight="1">
      <c r="A456" s="881">
        <f>+A423+1</f>
        <v>287</v>
      </c>
      <c r="B456" s="875">
        <v>42278</v>
      </c>
      <c r="C456" s="877" t="s">
        <v>267</v>
      </c>
      <c r="D456" s="881" t="s">
        <v>300</v>
      </c>
      <c r="E456" s="881" t="s">
        <v>148</v>
      </c>
      <c r="F456" s="883">
        <v>196000</v>
      </c>
      <c r="G456" s="55">
        <v>719</v>
      </c>
      <c r="H456" s="78">
        <v>160000</v>
      </c>
      <c r="I456" s="873" t="s">
        <v>646</v>
      </c>
      <c r="J456" s="875">
        <v>42422</v>
      </c>
      <c r="K456" s="877" t="s">
        <v>676</v>
      </c>
      <c r="L456" s="881" t="s">
        <v>671</v>
      </c>
      <c r="M456" s="881" t="s">
        <v>148</v>
      </c>
      <c r="N456" s="883">
        <v>630000</v>
      </c>
      <c r="O456" s="55">
        <v>723</v>
      </c>
      <c r="P456" s="78">
        <v>630000</v>
      </c>
    </row>
    <row r="457" spans="1:16" ht="15.75" customHeight="1" thickBot="1">
      <c r="A457" s="882"/>
      <c r="B457" s="934"/>
      <c r="C457" s="878"/>
      <c r="D457" s="882"/>
      <c r="E457" s="882"/>
      <c r="F457" s="884"/>
      <c r="G457" s="56">
        <v>721</v>
      </c>
      <c r="H457" s="79">
        <f>+F456-H456</f>
        <v>36000</v>
      </c>
      <c r="I457" s="882"/>
      <c r="J457" s="876"/>
      <c r="K457" s="878"/>
      <c r="L457" s="882"/>
      <c r="M457" s="882"/>
      <c r="N457" s="884"/>
      <c r="O457" s="56">
        <v>721</v>
      </c>
      <c r="P457" s="79">
        <f>+N456-P456</f>
        <v>0</v>
      </c>
    </row>
    <row r="458" spans="1:16" ht="15" customHeight="1">
      <c r="A458" s="881">
        <f>+A456+1</f>
        <v>288</v>
      </c>
      <c r="B458" s="875">
        <v>42278</v>
      </c>
      <c r="C458" s="881" t="s">
        <v>28</v>
      </c>
      <c r="D458" s="881" t="s">
        <v>301</v>
      </c>
      <c r="E458" s="881" t="s">
        <v>148</v>
      </c>
      <c r="F458" s="883">
        <v>224000</v>
      </c>
      <c r="G458" s="55">
        <v>719</v>
      </c>
      <c r="H458" s="78">
        <v>160000</v>
      </c>
      <c r="I458" s="873" t="s">
        <v>647</v>
      </c>
      <c r="J458" s="875">
        <v>42422</v>
      </c>
      <c r="K458" s="877" t="s">
        <v>677</v>
      </c>
      <c r="L458" s="881" t="s">
        <v>671</v>
      </c>
      <c r="M458" s="881" t="s">
        <v>148</v>
      </c>
      <c r="N458" s="883">
        <v>30947490</v>
      </c>
      <c r="O458" s="55">
        <v>723</v>
      </c>
      <c r="P458" s="78">
        <v>30947490</v>
      </c>
    </row>
    <row r="459" spans="1:16" ht="15.75" customHeight="1" thickBot="1">
      <c r="A459" s="882"/>
      <c r="B459" s="934"/>
      <c r="C459" s="882"/>
      <c r="D459" s="882"/>
      <c r="E459" s="882"/>
      <c r="F459" s="884"/>
      <c r="G459" s="56">
        <v>721</v>
      </c>
      <c r="H459" s="79">
        <f>+F458-H458</f>
        <v>64000</v>
      </c>
      <c r="I459" s="882"/>
      <c r="J459" s="876"/>
      <c r="K459" s="878"/>
      <c r="L459" s="882"/>
      <c r="M459" s="882"/>
      <c r="N459" s="884"/>
      <c r="O459" s="56">
        <v>721</v>
      </c>
      <c r="P459" s="79">
        <f>+N458-P458</f>
        <v>0</v>
      </c>
    </row>
    <row r="460" spans="1:16" ht="15" customHeight="1">
      <c r="A460" s="881">
        <f>+A458+1</f>
        <v>289</v>
      </c>
      <c r="B460" s="875">
        <v>42278</v>
      </c>
      <c r="C460" s="877" t="s">
        <v>32</v>
      </c>
      <c r="D460" s="881" t="s">
        <v>301</v>
      </c>
      <c r="E460" s="881" t="s">
        <v>148</v>
      </c>
      <c r="F460" s="883">
        <v>112000</v>
      </c>
      <c r="G460" s="55">
        <v>719</v>
      </c>
      <c r="H460" s="78">
        <v>80000</v>
      </c>
      <c r="I460" s="873" t="s">
        <v>648</v>
      </c>
      <c r="J460" s="875">
        <v>42422</v>
      </c>
      <c r="K460" s="877" t="s">
        <v>678</v>
      </c>
      <c r="L460" s="881" t="s">
        <v>671</v>
      </c>
      <c r="M460" s="881" t="s">
        <v>148</v>
      </c>
      <c r="N460" s="883">
        <v>1260000</v>
      </c>
      <c r="O460" s="55">
        <v>723</v>
      </c>
      <c r="P460" s="78">
        <v>1260000</v>
      </c>
    </row>
    <row r="461" spans="1:16" ht="15.75" customHeight="1" thickBot="1">
      <c r="A461" s="882"/>
      <c r="B461" s="934"/>
      <c r="C461" s="878"/>
      <c r="D461" s="882"/>
      <c r="E461" s="882"/>
      <c r="F461" s="884"/>
      <c r="G461" s="56">
        <v>721</v>
      </c>
      <c r="H461" s="79">
        <f>+F460-H460</f>
        <v>32000</v>
      </c>
      <c r="I461" s="882"/>
      <c r="J461" s="876"/>
      <c r="K461" s="878"/>
      <c r="L461" s="882"/>
      <c r="M461" s="882"/>
      <c r="N461" s="884"/>
      <c r="O461" s="56">
        <v>721</v>
      </c>
      <c r="P461" s="79">
        <f>+N460-P460</f>
        <v>0</v>
      </c>
    </row>
    <row r="462" spans="1:16" ht="15" customHeight="1">
      <c r="A462" s="881">
        <f>+A460+1</f>
        <v>290</v>
      </c>
      <c r="B462" s="875">
        <v>42278</v>
      </c>
      <c r="C462" s="877" t="s">
        <v>111</v>
      </c>
      <c r="D462" s="881" t="s">
        <v>302</v>
      </c>
      <c r="E462" s="881" t="s">
        <v>148</v>
      </c>
      <c r="F462" s="883">
        <v>84000</v>
      </c>
      <c r="G462" s="55">
        <v>719</v>
      </c>
      <c r="H462" s="78">
        <v>60000</v>
      </c>
      <c r="I462" s="873" t="s">
        <v>649</v>
      </c>
      <c r="J462" s="875">
        <v>42422</v>
      </c>
      <c r="K462" s="877" t="s">
        <v>679</v>
      </c>
      <c r="L462" s="881" t="s">
        <v>671</v>
      </c>
      <c r="M462" s="881" t="s">
        <v>148</v>
      </c>
      <c r="N462" s="883">
        <v>945000</v>
      </c>
      <c r="O462" s="55">
        <v>723</v>
      </c>
      <c r="P462" s="78">
        <v>945000</v>
      </c>
    </row>
    <row r="463" spans="1:16" ht="15.75" customHeight="1" thickBot="1">
      <c r="A463" s="882"/>
      <c r="B463" s="934"/>
      <c r="C463" s="878"/>
      <c r="D463" s="882"/>
      <c r="E463" s="882"/>
      <c r="F463" s="884"/>
      <c r="G463" s="56">
        <v>721</v>
      </c>
      <c r="H463" s="79">
        <f>+F462-H462</f>
        <v>24000</v>
      </c>
      <c r="I463" s="882"/>
      <c r="J463" s="876"/>
      <c r="K463" s="878"/>
      <c r="L463" s="882"/>
      <c r="M463" s="882"/>
      <c r="N463" s="884"/>
      <c r="O463" s="56">
        <v>721</v>
      </c>
      <c r="P463" s="79">
        <f>+N462-P462</f>
        <v>0</v>
      </c>
    </row>
    <row r="464" spans="1:16" ht="15" customHeight="1">
      <c r="A464" s="881">
        <f>+A462+1</f>
        <v>291</v>
      </c>
      <c r="B464" s="875">
        <v>42278</v>
      </c>
      <c r="C464" s="877" t="s">
        <v>272</v>
      </c>
      <c r="D464" s="881" t="s">
        <v>301</v>
      </c>
      <c r="E464" s="881" t="s">
        <v>148</v>
      </c>
      <c r="F464" s="883">
        <v>560000</v>
      </c>
      <c r="G464" s="55">
        <v>719</v>
      </c>
      <c r="H464" s="78">
        <v>400000</v>
      </c>
      <c r="I464" s="873" t="s">
        <v>650</v>
      </c>
      <c r="J464" s="875">
        <v>42422</v>
      </c>
      <c r="K464" s="877" t="s">
        <v>680</v>
      </c>
      <c r="L464" s="881" t="s">
        <v>671</v>
      </c>
      <c r="M464" s="881" t="s">
        <v>148</v>
      </c>
      <c r="N464" s="883">
        <v>8820000</v>
      </c>
      <c r="O464" s="55">
        <v>723</v>
      </c>
      <c r="P464" s="78">
        <v>8820000</v>
      </c>
    </row>
    <row r="465" spans="1:16" ht="15.75" customHeight="1" thickBot="1">
      <c r="A465" s="882"/>
      <c r="B465" s="934"/>
      <c r="C465" s="878"/>
      <c r="D465" s="882"/>
      <c r="E465" s="882"/>
      <c r="F465" s="884"/>
      <c r="G465" s="56">
        <v>721</v>
      </c>
      <c r="H465" s="79">
        <f>+F464-H464</f>
        <v>160000</v>
      </c>
      <c r="I465" s="882"/>
      <c r="J465" s="876"/>
      <c r="K465" s="878"/>
      <c r="L465" s="882"/>
      <c r="M465" s="882"/>
      <c r="N465" s="884"/>
      <c r="O465" s="56">
        <v>721</v>
      </c>
      <c r="P465" s="79">
        <f>+N464-P464</f>
        <v>0</v>
      </c>
    </row>
    <row r="466" spans="1:16" ht="16.5" thickBot="1">
      <c r="A466" s="901" t="s">
        <v>102</v>
      </c>
      <c r="B466" s="902"/>
      <c r="C466" s="902"/>
      <c r="D466" s="902"/>
      <c r="E466" s="903"/>
      <c r="F466" s="81">
        <f>SUM(F456:F465)</f>
        <v>1176000</v>
      </c>
      <c r="I466" s="901" t="s">
        <v>102</v>
      </c>
      <c r="J466" s="902"/>
      <c r="K466" s="902"/>
      <c r="L466" s="902"/>
      <c r="M466" s="903"/>
      <c r="N466" s="81">
        <f>SUM(N456:N465)</f>
        <v>42602490</v>
      </c>
    </row>
    <row r="467" spans="1:16" ht="16.5" thickBot="1">
      <c r="A467" s="885" t="s">
        <v>103</v>
      </c>
      <c r="B467" s="886"/>
      <c r="C467" s="886"/>
      <c r="D467" s="886"/>
      <c r="E467" s="887"/>
      <c r="F467" s="69">
        <f>+F431</f>
        <v>627536225</v>
      </c>
      <c r="I467" s="885" t="s">
        <v>103</v>
      </c>
      <c r="J467" s="886"/>
      <c r="K467" s="886"/>
      <c r="L467" s="886"/>
      <c r="M467" s="887"/>
      <c r="N467" s="239">
        <f>+N431</f>
        <v>83524865</v>
      </c>
      <c r="O467" s="241" t="s">
        <v>561</v>
      </c>
      <c r="P467" s="242"/>
    </row>
    <row r="468" spans="1:16" ht="16.5" thickBot="1">
      <c r="A468" s="888" t="s">
        <v>104</v>
      </c>
      <c r="B468" s="889"/>
      <c r="C468" s="889"/>
      <c r="D468" s="889"/>
      <c r="E468" s="890"/>
      <c r="F468" s="183">
        <f>SUM(F466:F467)</f>
        <v>628712225</v>
      </c>
      <c r="I468" s="888" t="s">
        <v>104</v>
      </c>
      <c r="J468" s="889"/>
      <c r="K468" s="889"/>
      <c r="L468" s="889"/>
      <c r="M468" s="890"/>
      <c r="N468" s="183">
        <f>SUM(N466:N467)</f>
        <v>126127355</v>
      </c>
    </row>
    <row r="469" spans="1:16">
      <c r="A469" s="61"/>
      <c r="B469" s="61"/>
      <c r="C469" s="61"/>
      <c r="D469" s="61"/>
      <c r="E469" s="61"/>
      <c r="I469" s="61"/>
      <c r="J469" s="61"/>
      <c r="K469" s="61"/>
      <c r="L469" s="61"/>
      <c r="M469" s="61"/>
    </row>
    <row r="470" spans="1:16">
      <c r="A470" s="51" t="s">
        <v>303</v>
      </c>
      <c r="I470" s="51" t="s">
        <v>681</v>
      </c>
    </row>
    <row r="471" spans="1:16" ht="11.25" customHeight="1">
      <c r="F471" s="139"/>
      <c r="N471" s="139"/>
    </row>
    <row r="472" spans="1:16">
      <c r="A472" s="50" t="s">
        <v>105</v>
      </c>
      <c r="D472" s="146"/>
      <c r="F472" s="139"/>
      <c r="I472" s="50" t="s">
        <v>105</v>
      </c>
      <c r="L472" s="146"/>
      <c r="N472" s="139"/>
    </row>
    <row r="473" spans="1:16" ht="13.5" customHeight="1" thickBot="1"/>
    <row r="474" spans="1:16" ht="15.75" thickBot="1">
      <c r="A474" s="891" t="s">
        <v>106</v>
      </c>
      <c r="B474" s="892"/>
      <c r="C474" s="892"/>
      <c r="D474" s="893"/>
      <c r="F474" s="50" t="s">
        <v>288</v>
      </c>
      <c r="I474" s="891" t="s">
        <v>106</v>
      </c>
      <c r="J474" s="892"/>
      <c r="K474" s="892"/>
      <c r="L474" s="893"/>
      <c r="N474" s="50" t="s">
        <v>270</v>
      </c>
    </row>
    <row r="475" spans="1:16" ht="30.75" thickBot="1">
      <c r="A475" s="57" t="s">
        <v>100</v>
      </c>
      <c r="B475" s="58" t="s">
        <v>108</v>
      </c>
      <c r="C475" s="59" t="s">
        <v>109</v>
      </c>
      <c r="D475" s="60" t="s">
        <v>110</v>
      </c>
      <c r="I475" s="57" t="s">
        <v>100</v>
      </c>
      <c r="J475" s="58" t="s">
        <v>108</v>
      </c>
      <c r="K475" s="59" t="s">
        <v>109</v>
      </c>
      <c r="L475" s="60" t="s">
        <v>110</v>
      </c>
    </row>
    <row r="476" spans="1:16">
      <c r="A476" s="71">
        <v>719</v>
      </c>
      <c r="B476" s="73">
        <f>+H456+H458+H460+H462+H464</f>
        <v>860000</v>
      </c>
      <c r="C476" s="74">
        <f>+D439</f>
        <v>34810000</v>
      </c>
      <c r="D476" s="195">
        <f>+B476+C476</f>
        <v>35670000</v>
      </c>
      <c r="I476" s="71">
        <v>719</v>
      </c>
      <c r="J476" s="73">
        <v>0</v>
      </c>
      <c r="K476" s="74">
        <f>+L439</f>
        <v>5340000</v>
      </c>
      <c r="L476" s="195">
        <f>+J476+K476</f>
        <v>5340000</v>
      </c>
    </row>
    <row r="477" spans="1:16">
      <c r="A477" s="72">
        <v>721</v>
      </c>
      <c r="B477" s="80">
        <f>+H457+H459+H461+H463+H465</f>
        <v>316000</v>
      </c>
      <c r="C477" s="74">
        <f>+D440</f>
        <v>38324092</v>
      </c>
      <c r="D477" s="195">
        <f>+B477+C477</f>
        <v>38640092</v>
      </c>
      <c r="I477" s="72">
        <v>721</v>
      </c>
      <c r="J477" s="80">
        <f>+P457+P459+P461+P463+P465</f>
        <v>0</v>
      </c>
      <c r="K477" s="74">
        <f>+L440</f>
        <v>1696000</v>
      </c>
      <c r="L477" s="195">
        <f>+J477+K477</f>
        <v>1696000</v>
      </c>
    </row>
    <row r="478" spans="1:16">
      <c r="A478" s="72">
        <v>722</v>
      </c>
      <c r="B478" s="80"/>
      <c r="C478" s="74">
        <f>+D441</f>
        <v>231207671</v>
      </c>
      <c r="D478" s="195">
        <f>+B478+C478</f>
        <v>231207671</v>
      </c>
      <c r="I478" s="72">
        <v>722</v>
      </c>
      <c r="J478" s="80"/>
      <c r="K478" s="74">
        <f>+L441</f>
        <v>0</v>
      </c>
      <c r="L478" s="195">
        <f>+J478+K478</f>
        <v>0</v>
      </c>
    </row>
    <row r="479" spans="1:16" ht="15.75">
      <c r="A479" s="72">
        <v>723</v>
      </c>
      <c r="B479" s="80"/>
      <c r="C479" s="74">
        <f>+D442</f>
        <v>321228837</v>
      </c>
      <c r="D479" s="195">
        <f>+B479+C479</f>
        <v>321228837</v>
      </c>
      <c r="F479" s="193" t="s">
        <v>289</v>
      </c>
      <c r="G479" s="175"/>
      <c r="I479" s="72">
        <v>723</v>
      </c>
      <c r="J479" s="80">
        <f>+P456+P458+P460+P462+P464</f>
        <v>42602490</v>
      </c>
      <c r="K479" s="74">
        <f>+L442</f>
        <v>76488865</v>
      </c>
      <c r="L479" s="195">
        <f>+J479+K479</f>
        <v>119091355</v>
      </c>
      <c r="N479" s="174" t="s">
        <v>558</v>
      </c>
      <c r="O479" s="175"/>
    </row>
    <row r="480" spans="1:16" ht="16.5" thickBot="1">
      <c r="A480" s="164" t="s">
        <v>181</v>
      </c>
      <c r="B480" s="165"/>
      <c r="C480" s="74">
        <f>+D443</f>
        <v>1965625</v>
      </c>
      <c r="D480" s="196">
        <f>+B480+C480</f>
        <v>1965625</v>
      </c>
      <c r="F480" s="52"/>
      <c r="I480" s="164" t="s">
        <v>181</v>
      </c>
      <c r="J480" s="165"/>
      <c r="K480" s="74">
        <f>+L443</f>
        <v>0</v>
      </c>
      <c r="L480" s="196">
        <f>+J480+K480</f>
        <v>0</v>
      </c>
      <c r="N480" s="52"/>
    </row>
    <row r="481" spans="1:16" ht="16.5" thickBot="1">
      <c r="A481" s="169"/>
      <c r="B481" s="170">
        <f>SUM(B476:B480)</f>
        <v>1176000</v>
      </c>
      <c r="C481" s="171">
        <f>SUM(C476:C480)</f>
        <v>627536225</v>
      </c>
      <c r="D481" s="172">
        <f>SUM(D476:D480)</f>
        <v>628712225</v>
      </c>
      <c r="I481" s="169"/>
      <c r="J481" s="197">
        <f>SUM(J476:J480)</f>
        <v>42602490</v>
      </c>
      <c r="K481" s="197">
        <f>SUM(K476:K480)</f>
        <v>83524865</v>
      </c>
      <c r="L481" s="198">
        <f>SUM(L476:L480)</f>
        <v>126127355</v>
      </c>
    </row>
    <row r="482" spans="1:16" ht="16.5">
      <c r="A482" s="49" t="s">
        <v>88</v>
      </c>
      <c r="B482" s="50"/>
      <c r="I482" s="49" t="s">
        <v>88</v>
      </c>
      <c r="J482" s="50"/>
    </row>
    <row r="483" spans="1:16">
      <c r="A483" s="51" t="s">
        <v>89</v>
      </c>
      <c r="I483" s="51" t="s">
        <v>89</v>
      </c>
    </row>
    <row r="484" spans="1:16">
      <c r="A484" s="51" t="s">
        <v>90</v>
      </c>
      <c r="I484" s="51" t="s">
        <v>90</v>
      </c>
    </row>
    <row r="485" spans="1:16">
      <c r="A485" s="51" t="s">
        <v>91</v>
      </c>
      <c r="I485" s="51" t="s">
        <v>91</v>
      </c>
    </row>
    <row r="486" spans="1:16" ht="10.5" customHeight="1">
      <c r="A486" s="50"/>
      <c r="B486" s="50"/>
      <c r="I486" s="50"/>
      <c r="J486" s="50"/>
    </row>
    <row r="487" spans="1:16" ht="16.5">
      <c r="A487" s="52" t="s">
        <v>307</v>
      </c>
      <c r="G487" s="52"/>
      <c r="I487" s="52" t="s">
        <v>637</v>
      </c>
      <c r="O487" s="52"/>
    </row>
    <row r="488" spans="1:16" ht="15.75">
      <c r="A488" s="53" t="s">
        <v>92</v>
      </c>
      <c r="G488" s="53"/>
      <c r="I488" s="53" t="s">
        <v>535</v>
      </c>
      <c r="O488" s="53"/>
    </row>
    <row r="489" spans="1:16" ht="16.5">
      <c r="A489" s="894" t="s">
        <v>261</v>
      </c>
      <c r="B489" s="894"/>
      <c r="C489" s="894"/>
      <c r="D489" s="894"/>
      <c r="E489" s="894"/>
      <c r="F489" s="894"/>
      <c r="G489" s="894"/>
      <c r="H489" s="894"/>
      <c r="I489" s="894" t="s">
        <v>212</v>
      </c>
      <c r="J489" s="894"/>
      <c r="K489" s="894"/>
      <c r="L489" s="894"/>
      <c r="M489" s="894"/>
      <c r="N489" s="894"/>
      <c r="O489" s="894"/>
      <c r="P489" s="894"/>
    </row>
    <row r="490" spans="1:16" ht="15.75" thickBot="1"/>
    <row r="491" spans="1:16">
      <c r="A491" s="895" t="s">
        <v>94</v>
      </c>
      <c r="B491" s="897" t="s">
        <v>95</v>
      </c>
      <c r="C491" s="897" t="s">
        <v>96</v>
      </c>
      <c r="D491" s="897" t="s">
        <v>3</v>
      </c>
      <c r="E491" s="897" t="s">
        <v>97</v>
      </c>
      <c r="F491" s="897" t="s">
        <v>98</v>
      </c>
      <c r="G491" s="897" t="s">
        <v>99</v>
      </c>
      <c r="H491" s="899"/>
      <c r="I491" s="895" t="s">
        <v>94</v>
      </c>
      <c r="J491" s="897" t="s">
        <v>95</v>
      </c>
      <c r="K491" s="897" t="s">
        <v>96</v>
      </c>
      <c r="L491" s="897" t="s">
        <v>3</v>
      </c>
      <c r="M491" s="897" t="s">
        <v>97</v>
      </c>
      <c r="N491" s="897" t="s">
        <v>98</v>
      </c>
      <c r="O491" s="897" t="s">
        <v>99</v>
      </c>
      <c r="P491" s="899"/>
    </row>
    <row r="492" spans="1:16" ht="15.75" thickBot="1">
      <c r="A492" s="896"/>
      <c r="B492" s="898"/>
      <c r="C492" s="898"/>
      <c r="D492" s="898"/>
      <c r="E492" s="898"/>
      <c r="F492" s="898"/>
      <c r="G492" s="240" t="s">
        <v>100</v>
      </c>
      <c r="H492" s="182" t="s">
        <v>101</v>
      </c>
      <c r="I492" s="896"/>
      <c r="J492" s="898"/>
      <c r="K492" s="898"/>
      <c r="L492" s="898"/>
      <c r="M492" s="898"/>
      <c r="N492" s="898"/>
      <c r="O492" s="240" t="s">
        <v>100</v>
      </c>
      <c r="P492" s="182" t="s">
        <v>101</v>
      </c>
    </row>
    <row r="493" spans="1:16" ht="15" customHeight="1">
      <c r="A493" s="881">
        <f>+A464+1</f>
        <v>292</v>
      </c>
      <c r="B493" s="875">
        <v>42278</v>
      </c>
      <c r="C493" s="877" t="s">
        <v>272</v>
      </c>
      <c r="D493" s="881" t="s">
        <v>305</v>
      </c>
      <c r="E493" s="881" t="s">
        <v>148</v>
      </c>
      <c r="F493" s="883">
        <v>100000</v>
      </c>
      <c r="G493" s="55">
        <v>719</v>
      </c>
      <c r="H493" s="78">
        <v>100000</v>
      </c>
      <c r="I493" s="873" t="s">
        <v>651</v>
      </c>
      <c r="J493" s="875">
        <v>42422</v>
      </c>
      <c r="K493" s="877" t="s">
        <v>682</v>
      </c>
      <c r="L493" s="881" t="s">
        <v>671</v>
      </c>
      <c r="M493" s="881" t="s">
        <v>148</v>
      </c>
      <c r="N493" s="883">
        <v>2142000</v>
      </c>
      <c r="O493" s="55">
        <v>723</v>
      </c>
      <c r="P493" s="78">
        <v>2142000</v>
      </c>
    </row>
    <row r="494" spans="1:16" ht="15.75" customHeight="1" thickBot="1">
      <c r="A494" s="882"/>
      <c r="B494" s="934"/>
      <c r="C494" s="878"/>
      <c r="D494" s="882"/>
      <c r="E494" s="882"/>
      <c r="F494" s="884"/>
      <c r="G494" s="56">
        <v>721</v>
      </c>
      <c r="H494" s="79">
        <f>+F493-H493</f>
        <v>0</v>
      </c>
      <c r="I494" s="882"/>
      <c r="J494" s="876"/>
      <c r="K494" s="878"/>
      <c r="L494" s="882"/>
      <c r="M494" s="882"/>
      <c r="N494" s="884"/>
      <c r="O494" s="56">
        <v>721</v>
      </c>
      <c r="P494" s="79">
        <f>+N493-P493</f>
        <v>0</v>
      </c>
    </row>
    <row r="495" spans="1:16" ht="15" customHeight="1">
      <c r="A495" s="881">
        <f>+A493+1</f>
        <v>293</v>
      </c>
      <c r="B495" s="875">
        <v>42278</v>
      </c>
      <c r="C495" s="881" t="s">
        <v>28</v>
      </c>
      <c r="D495" s="881" t="s">
        <v>304</v>
      </c>
      <c r="E495" s="881" t="s">
        <v>115</v>
      </c>
      <c r="F495" s="883">
        <v>80000</v>
      </c>
      <c r="G495" s="55">
        <v>719</v>
      </c>
      <c r="H495" s="78">
        <v>80000</v>
      </c>
      <c r="I495" s="873" t="s">
        <v>652</v>
      </c>
      <c r="J495" s="875">
        <v>42422</v>
      </c>
      <c r="K495" s="877" t="s">
        <v>683</v>
      </c>
      <c r="L495" s="881" t="s">
        <v>671</v>
      </c>
      <c r="M495" s="881" t="s">
        <v>148</v>
      </c>
      <c r="N495" s="883">
        <v>3150000</v>
      </c>
      <c r="O495" s="55">
        <v>723</v>
      </c>
      <c r="P495" s="78">
        <v>3150000</v>
      </c>
    </row>
    <row r="496" spans="1:16" ht="15.75" customHeight="1" thickBot="1">
      <c r="A496" s="882"/>
      <c r="B496" s="934"/>
      <c r="C496" s="882"/>
      <c r="D496" s="882"/>
      <c r="E496" s="882"/>
      <c r="F496" s="884"/>
      <c r="G496" s="56">
        <v>721</v>
      </c>
      <c r="H496" s="79">
        <f>+F495-H495</f>
        <v>0</v>
      </c>
      <c r="I496" s="882"/>
      <c r="J496" s="876"/>
      <c r="K496" s="878"/>
      <c r="L496" s="882"/>
      <c r="M496" s="882"/>
      <c r="N496" s="884"/>
      <c r="O496" s="56">
        <v>721</v>
      </c>
      <c r="P496" s="79">
        <f>+N495-P495</f>
        <v>0</v>
      </c>
    </row>
    <row r="497" spans="1:16" ht="15" customHeight="1">
      <c r="A497" s="881">
        <f>+A495+1</f>
        <v>294</v>
      </c>
      <c r="B497" s="875">
        <v>42278</v>
      </c>
      <c r="C497" s="877" t="s">
        <v>120</v>
      </c>
      <c r="D497" s="881" t="s">
        <v>304</v>
      </c>
      <c r="E497" s="881" t="s">
        <v>115</v>
      </c>
      <c r="F497" s="883">
        <v>80000</v>
      </c>
      <c r="G497" s="55">
        <v>719</v>
      </c>
      <c r="H497" s="78">
        <v>80000</v>
      </c>
      <c r="I497" s="873" t="s">
        <v>653</v>
      </c>
      <c r="J497" s="875">
        <v>42422</v>
      </c>
      <c r="K497" s="877" t="s">
        <v>684</v>
      </c>
      <c r="L497" s="881" t="s">
        <v>671</v>
      </c>
      <c r="M497" s="881" t="s">
        <v>148</v>
      </c>
      <c r="N497" s="883">
        <v>4410000</v>
      </c>
      <c r="O497" s="55">
        <v>723</v>
      </c>
      <c r="P497" s="78">
        <v>4410000</v>
      </c>
    </row>
    <row r="498" spans="1:16" ht="15.75" customHeight="1" thickBot="1">
      <c r="A498" s="882"/>
      <c r="B498" s="934"/>
      <c r="C498" s="878"/>
      <c r="D498" s="882"/>
      <c r="E498" s="882"/>
      <c r="F498" s="884"/>
      <c r="G498" s="56">
        <v>721</v>
      </c>
      <c r="H498" s="79">
        <f>+F497-H497</f>
        <v>0</v>
      </c>
      <c r="I498" s="882"/>
      <c r="J498" s="876"/>
      <c r="K498" s="878"/>
      <c r="L498" s="882"/>
      <c r="M498" s="882"/>
      <c r="N498" s="884"/>
      <c r="O498" s="56">
        <v>721</v>
      </c>
      <c r="P498" s="79">
        <f>+N497-P497</f>
        <v>0</v>
      </c>
    </row>
    <row r="499" spans="1:16" ht="15" customHeight="1">
      <c r="A499" s="881"/>
      <c r="B499" s="875"/>
      <c r="C499" s="877"/>
      <c r="D499" s="881"/>
      <c r="E499" s="881"/>
      <c r="F499" s="883"/>
      <c r="G499" s="55">
        <v>719</v>
      </c>
      <c r="H499" s="78"/>
      <c r="I499" s="873" t="s">
        <v>654</v>
      </c>
      <c r="J499" s="875">
        <v>42422</v>
      </c>
      <c r="K499" s="877" t="s">
        <v>685</v>
      </c>
      <c r="L499" s="881" t="s">
        <v>671</v>
      </c>
      <c r="M499" s="881" t="s">
        <v>148</v>
      </c>
      <c r="N499" s="883">
        <v>3150000</v>
      </c>
      <c r="O499" s="55">
        <v>723</v>
      </c>
      <c r="P499" s="78">
        <v>3150000</v>
      </c>
    </row>
    <row r="500" spans="1:16" ht="15.75" customHeight="1" thickBot="1">
      <c r="A500" s="882"/>
      <c r="B500" s="934"/>
      <c r="C500" s="878"/>
      <c r="D500" s="882"/>
      <c r="E500" s="882"/>
      <c r="F500" s="884"/>
      <c r="G500" s="56">
        <v>721</v>
      </c>
      <c r="H500" s="79">
        <f>+F499-H499</f>
        <v>0</v>
      </c>
      <c r="I500" s="882"/>
      <c r="J500" s="876"/>
      <c r="K500" s="878"/>
      <c r="L500" s="882"/>
      <c r="M500" s="882"/>
      <c r="N500" s="884"/>
      <c r="O500" s="56">
        <v>721</v>
      </c>
      <c r="P500" s="79">
        <f>+N499-P499</f>
        <v>0</v>
      </c>
    </row>
    <row r="501" spans="1:16" ht="15" customHeight="1">
      <c r="A501" s="881"/>
      <c r="B501" s="875"/>
      <c r="C501" s="877"/>
      <c r="D501" s="881"/>
      <c r="E501" s="881"/>
      <c r="F501" s="883"/>
      <c r="G501" s="55">
        <v>719</v>
      </c>
      <c r="H501" s="78"/>
      <c r="I501" s="873" t="s">
        <v>655</v>
      </c>
      <c r="J501" s="875">
        <v>42422</v>
      </c>
      <c r="K501" s="877" t="s">
        <v>686</v>
      </c>
      <c r="L501" s="881" t="s">
        <v>671</v>
      </c>
      <c r="M501" s="881" t="s">
        <v>148</v>
      </c>
      <c r="N501" s="883">
        <v>46252500</v>
      </c>
      <c r="O501" s="55">
        <v>723</v>
      </c>
      <c r="P501" s="78">
        <v>46252500</v>
      </c>
    </row>
    <row r="502" spans="1:16" ht="15.75" customHeight="1" thickBot="1">
      <c r="A502" s="882"/>
      <c r="B502" s="934"/>
      <c r="C502" s="878"/>
      <c r="D502" s="882"/>
      <c r="E502" s="882"/>
      <c r="F502" s="884"/>
      <c r="G502" s="56">
        <v>721</v>
      </c>
      <c r="H502" s="79">
        <f>+F501-H501</f>
        <v>0</v>
      </c>
      <c r="I502" s="882"/>
      <c r="J502" s="876"/>
      <c r="K502" s="878"/>
      <c r="L502" s="882"/>
      <c r="M502" s="882"/>
      <c r="N502" s="884"/>
      <c r="O502" s="56">
        <v>721</v>
      </c>
      <c r="P502" s="79">
        <f>+N501-P501</f>
        <v>0</v>
      </c>
    </row>
    <row r="503" spans="1:16" ht="16.5" thickBot="1">
      <c r="A503" s="901" t="s">
        <v>102</v>
      </c>
      <c r="B503" s="902"/>
      <c r="C503" s="902"/>
      <c r="D503" s="902"/>
      <c r="E503" s="903"/>
      <c r="F503" s="81">
        <f>SUM(F493:F502)</f>
        <v>260000</v>
      </c>
      <c r="I503" s="901" t="s">
        <v>102</v>
      </c>
      <c r="J503" s="902"/>
      <c r="K503" s="902"/>
      <c r="L503" s="902"/>
      <c r="M503" s="903"/>
      <c r="N503" s="81">
        <f>SUM(N493:N502)</f>
        <v>59104500</v>
      </c>
    </row>
    <row r="504" spans="1:16" ht="16.5" thickBot="1">
      <c r="A504" s="885" t="s">
        <v>103</v>
      </c>
      <c r="B504" s="886"/>
      <c r="C504" s="886"/>
      <c r="D504" s="886"/>
      <c r="E504" s="887"/>
      <c r="F504" s="69">
        <f>+F468</f>
        <v>628712225</v>
      </c>
      <c r="I504" s="885" t="s">
        <v>103</v>
      </c>
      <c r="J504" s="886"/>
      <c r="K504" s="886"/>
      <c r="L504" s="886"/>
      <c r="M504" s="887"/>
      <c r="N504" s="239">
        <f>+N468</f>
        <v>126127355</v>
      </c>
      <c r="O504" s="241" t="s">
        <v>561</v>
      </c>
      <c r="P504" s="242"/>
    </row>
    <row r="505" spans="1:16" ht="16.5" thickBot="1">
      <c r="A505" s="888" t="s">
        <v>104</v>
      </c>
      <c r="B505" s="889"/>
      <c r="C505" s="889"/>
      <c r="D505" s="889"/>
      <c r="E505" s="890"/>
      <c r="F505" s="183">
        <f>SUM(F503:F504)</f>
        <v>628972225</v>
      </c>
      <c r="I505" s="888" t="s">
        <v>104</v>
      </c>
      <c r="J505" s="889"/>
      <c r="K505" s="889"/>
      <c r="L505" s="889"/>
      <c r="M505" s="890"/>
      <c r="N505" s="183">
        <f>SUM(N503:N504)</f>
        <v>185231855</v>
      </c>
    </row>
    <row r="506" spans="1:16">
      <c r="A506" s="61"/>
      <c r="B506" s="61"/>
      <c r="C506" s="61"/>
      <c r="D506" s="61"/>
      <c r="E506" s="61"/>
      <c r="I506" s="61"/>
      <c r="J506" s="61"/>
      <c r="K506" s="61"/>
      <c r="L506" s="61"/>
      <c r="M506" s="61"/>
    </row>
    <row r="507" spans="1:16">
      <c r="A507" s="51" t="s">
        <v>306</v>
      </c>
      <c r="I507" s="51" t="s">
        <v>687</v>
      </c>
    </row>
    <row r="508" spans="1:16" ht="12" customHeight="1">
      <c r="F508" s="139"/>
      <c r="N508" s="139"/>
    </row>
    <row r="509" spans="1:16">
      <c r="A509" s="50" t="s">
        <v>105</v>
      </c>
      <c r="D509" s="146"/>
      <c r="F509" s="139"/>
      <c r="I509" s="50" t="s">
        <v>105</v>
      </c>
      <c r="L509" s="146"/>
      <c r="N509" s="139"/>
    </row>
    <row r="510" spans="1:16" ht="12.75" customHeight="1" thickBot="1"/>
    <row r="511" spans="1:16" ht="15.75" thickBot="1">
      <c r="A511" s="891" t="s">
        <v>106</v>
      </c>
      <c r="B511" s="892"/>
      <c r="C511" s="892"/>
      <c r="D511" s="893"/>
      <c r="F511" s="50" t="s">
        <v>288</v>
      </c>
      <c r="I511" s="891" t="s">
        <v>106</v>
      </c>
      <c r="J511" s="892"/>
      <c r="K511" s="892"/>
      <c r="L511" s="893"/>
      <c r="N511" s="50" t="s">
        <v>270</v>
      </c>
    </row>
    <row r="512" spans="1:16" ht="30.75" thickBot="1">
      <c r="A512" s="57" t="s">
        <v>100</v>
      </c>
      <c r="B512" s="58" t="s">
        <v>108</v>
      </c>
      <c r="C512" s="59" t="s">
        <v>109</v>
      </c>
      <c r="D512" s="60" t="s">
        <v>110</v>
      </c>
      <c r="I512" s="57" t="s">
        <v>100</v>
      </c>
      <c r="J512" s="58" t="s">
        <v>108</v>
      </c>
      <c r="K512" s="59" t="s">
        <v>109</v>
      </c>
      <c r="L512" s="60" t="s">
        <v>110</v>
      </c>
    </row>
    <row r="513" spans="1:16">
      <c r="A513" s="71">
        <v>719</v>
      </c>
      <c r="B513" s="73">
        <f>+H493+H495+H497+H499+H501</f>
        <v>260000</v>
      </c>
      <c r="C513" s="74">
        <f>+D476</f>
        <v>35670000</v>
      </c>
      <c r="D513" s="195">
        <f>+B513+C513</f>
        <v>35930000</v>
      </c>
      <c r="I513" s="71">
        <v>719</v>
      </c>
      <c r="J513" s="73">
        <v>0</v>
      </c>
      <c r="K513" s="74">
        <f>+L476</f>
        <v>5340000</v>
      </c>
      <c r="L513" s="195">
        <f>+J513+K513</f>
        <v>5340000</v>
      </c>
    </row>
    <row r="514" spans="1:16">
      <c r="A514" s="72">
        <v>721</v>
      </c>
      <c r="B514" s="80">
        <f>+H494+H496+H498+H500+H502</f>
        <v>0</v>
      </c>
      <c r="C514" s="74">
        <f>+D477</f>
        <v>38640092</v>
      </c>
      <c r="D514" s="195">
        <f>+B514+C514</f>
        <v>38640092</v>
      </c>
      <c r="I514" s="72">
        <v>721</v>
      </c>
      <c r="J514" s="80">
        <v>0</v>
      </c>
      <c r="K514" s="74">
        <f>+L477</f>
        <v>1696000</v>
      </c>
      <c r="L514" s="195">
        <f>+J514+K514</f>
        <v>1696000</v>
      </c>
    </row>
    <row r="515" spans="1:16">
      <c r="A515" s="72">
        <v>722</v>
      </c>
      <c r="B515" s="80"/>
      <c r="C515" s="74">
        <f>+D478</f>
        <v>231207671</v>
      </c>
      <c r="D515" s="195">
        <f>+B515+C515</f>
        <v>231207671</v>
      </c>
      <c r="I515" s="72">
        <v>722</v>
      </c>
      <c r="J515" s="80"/>
      <c r="K515" s="74">
        <f>+L478</f>
        <v>0</v>
      </c>
      <c r="L515" s="195">
        <f>+J515+K515</f>
        <v>0</v>
      </c>
    </row>
    <row r="516" spans="1:16" ht="15.75">
      <c r="A516" s="72">
        <v>723</v>
      </c>
      <c r="B516" s="80"/>
      <c r="C516" s="74">
        <f>+D479</f>
        <v>321228837</v>
      </c>
      <c r="D516" s="195">
        <f>+B516+C516</f>
        <v>321228837</v>
      </c>
      <c r="F516" s="193" t="s">
        <v>289</v>
      </c>
      <c r="G516" s="175"/>
      <c r="I516" s="72">
        <v>723</v>
      </c>
      <c r="J516" s="80">
        <f>+P493+P495+P497+P499+P501</f>
        <v>59104500</v>
      </c>
      <c r="K516" s="74">
        <f>+L479</f>
        <v>119091355</v>
      </c>
      <c r="L516" s="195">
        <f>+J516+K516</f>
        <v>178195855</v>
      </c>
      <c r="N516" s="174" t="s">
        <v>558</v>
      </c>
      <c r="O516" s="175"/>
    </row>
    <row r="517" spans="1:16" ht="16.5" thickBot="1">
      <c r="A517" s="164" t="s">
        <v>181</v>
      </c>
      <c r="B517" s="165"/>
      <c r="C517" s="74">
        <f>+D480</f>
        <v>1965625</v>
      </c>
      <c r="D517" s="196">
        <f>+B517+C517</f>
        <v>1965625</v>
      </c>
      <c r="F517" s="52"/>
      <c r="I517" s="164" t="s">
        <v>181</v>
      </c>
      <c r="J517" s="165"/>
      <c r="K517" s="74">
        <f>+L480</f>
        <v>0</v>
      </c>
      <c r="L517" s="196">
        <f>+J517+K517</f>
        <v>0</v>
      </c>
      <c r="N517" s="52"/>
    </row>
    <row r="518" spans="1:16" ht="16.5" thickBot="1">
      <c r="A518" s="169"/>
      <c r="B518" s="170">
        <f>SUM(B513:B517)</f>
        <v>260000</v>
      </c>
      <c r="C518" s="171">
        <f>SUM(C513:C517)</f>
        <v>628712225</v>
      </c>
      <c r="D518" s="172">
        <f>SUM(D513:D517)</f>
        <v>628972225</v>
      </c>
      <c r="I518" s="169"/>
      <c r="J518" s="197">
        <f>SUM(J513:J517)</f>
        <v>59104500</v>
      </c>
      <c r="K518" s="197">
        <f>SUM(K513:K517)</f>
        <v>126127355</v>
      </c>
      <c r="L518" s="198">
        <f>SUM(L513:L517)</f>
        <v>185231855</v>
      </c>
    </row>
    <row r="519" spans="1:16" ht="16.5">
      <c r="A519" s="49" t="s">
        <v>88</v>
      </c>
      <c r="B519" s="50"/>
      <c r="I519" s="49" t="s">
        <v>88</v>
      </c>
      <c r="J519" s="50"/>
    </row>
    <row r="520" spans="1:16">
      <c r="A520" s="51" t="s">
        <v>89</v>
      </c>
      <c r="I520" s="51" t="s">
        <v>89</v>
      </c>
    </row>
    <row r="521" spans="1:16">
      <c r="A521" s="51" t="s">
        <v>90</v>
      </c>
      <c r="I521" s="51" t="s">
        <v>90</v>
      </c>
    </row>
    <row r="522" spans="1:16">
      <c r="A522" s="51" t="s">
        <v>91</v>
      </c>
      <c r="I522" s="51" t="s">
        <v>91</v>
      </c>
    </row>
    <row r="523" spans="1:16" ht="11.25" customHeight="1">
      <c r="A523" s="50"/>
      <c r="B523" s="50"/>
      <c r="I523" s="50"/>
      <c r="J523" s="50"/>
    </row>
    <row r="524" spans="1:16" ht="16.5">
      <c r="A524" s="52" t="s">
        <v>308</v>
      </c>
      <c r="G524" s="52"/>
      <c r="I524" s="52" t="s">
        <v>638</v>
      </c>
      <c r="O524" s="52"/>
    </row>
    <row r="525" spans="1:16" ht="15.75">
      <c r="A525" s="53" t="s">
        <v>92</v>
      </c>
      <c r="G525" s="53"/>
      <c r="I525" s="53" t="s">
        <v>535</v>
      </c>
      <c r="O525" s="53"/>
    </row>
    <row r="526" spans="1:16" ht="16.5">
      <c r="A526" s="894" t="s">
        <v>261</v>
      </c>
      <c r="B526" s="894"/>
      <c r="C526" s="894"/>
      <c r="D526" s="894"/>
      <c r="E526" s="894"/>
      <c r="F526" s="894"/>
      <c r="G526" s="894"/>
      <c r="H526" s="894"/>
      <c r="I526" s="894" t="s">
        <v>212</v>
      </c>
      <c r="J526" s="894"/>
      <c r="K526" s="894"/>
      <c r="L526" s="894"/>
      <c r="M526" s="894"/>
      <c r="N526" s="894"/>
      <c r="O526" s="894"/>
      <c r="P526" s="894"/>
    </row>
    <row r="527" spans="1:16" ht="15.75" thickBot="1"/>
    <row r="528" spans="1:16">
      <c r="A528" s="895" t="s">
        <v>94</v>
      </c>
      <c r="B528" s="897" t="s">
        <v>95</v>
      </c>
      <c r="C528" s="897" t="s">
        <v>96</v>
      </c>
      <c r="D528" s="897" t="s">
        <v>3</v>
      </c>
      <c r="E528" s="897" t="s">
        <v>97</v>
      </c>
      <c r="F528" s="897" t="s">
        <v>98</v>
      </c>
      <c r="G528" s="897" t="s">
        <v>99</v>
      </c>
      <c r="H528" s="899"/>
      <c r="I528" s="895" t="s">
        <v>94</v>
      </c>
      <c r="J528" s="897" t="s">
        <v>95</v>
      </c>
      <c r="K528" s="897" t="s">
        <v>96</v>
      </c>
      <c r="L528" s="897" t="s">
        <v>3</v>
      </c>
      <c r="M528" s="897" t="s">
        <v>97</v>
      </c>
      <c r="N528" s="897" t="s">
        <v>98</v>
      </c>
      <c r="O528" s="897" t="s">
        <v>99</v>
      </c>
      <c r="P528" s="899"/>
    </row>
    <row r="529" spans="1:16" ht="15.75" thickBot="1">
      <c r="A529" s="896"/>
      <c r="B529" s="898"/>
      <c r="C529" s="898"/>
      <c r="D529" s="898"/>
      <c r="E529" s="898"/>
      <c r="F529" s="898"/>
      <c r="G529" s="240" t="s">
        <v>100</v>
      </c>
      <c r="H529" s="182" t="s">
        <v>101</v>
      </c>
      <c r="I529" s="896"/>
      <c r="J529" s="898"/>
      <c r="K529" s="898"/>
      <c r="L529" s="898"/>
      <c r="M529" s="898"/>
      <c r="N529" s="898"/>
      <c r="O529" s="240" t="s">
        <v>100</v>
      </c>
      <c r="P529" s="182" t="s">
        <v>101</v>
      </c>
    </row>
    <row r="530" spans="1:16" ht="15" customHeight="1">
      <c r="A530" s="881">
        <f>+A497+1</f>
        <v>295</v>
      </c>
      <c r="B530" s="875">
        <v>42286</v>
      </c>
      <c r="C530" s="877" t="s">
        <v>267</v>
      </c>
      <c r="D530" s="881" t="s">
        <v>310</v>
      </c>
      <c r="E530" s="881" t="s">
        <v>148</v>
      </c>
      <c r="F530" s="883">
        <v>224000</v>
      </c>
      <c r="G530" s="55">
        <v>719</v>
      </c>
      <c r="H530" s="78">
        <v>160000</v>
      </c>
      <c r="I530" s="873" t="s">
        <v>656</v>
      </c>
      <c r="J530" s="875">
        <v>42422</v>
      </c>
      <c r="K530" s="877" t="s">
        <v>688</v>
      </c>
      <c r="L530" s="881" t="s">
        <v>671</v>
      </c>
      <c r="M530" s="881" t="s">
        <v>148</v>
      </c>
      <c r="N530" s="883">
        <v>630000</v>
      </c>
      <c r="O530" s="55">
        <v>723</v>
      </c>
      <c r="P530" s="78">
        <v>630000</v>
      </c>
    </row>
    <row r="531" spans="1:16" ht="15.75" customHeight="1" thickBot="1">
      <c r="A531" s="882"/>
      <c r="B531" s="934"/>
      <c r="C531" s="878"/>
      <c r="D531" s="882"/>
      <c r="E531" s="882"/>
      <c r="F531" s="884"/>
      <c r="G531" s="56">
        <v>721</v>
      </c>
      <c r="H531" s="79">
        <f>+F530-H530</f>
        <v>64000</v>
      </c>
      <c r="I531" s="882"/>
      <c r="J531" s="876"/>
      <c r="K531" s="878"/>
      <c r="L531" s="882"/>
      <c r="M531" s="882"/>
      <c r="N531" s="884"/>
      <c r="O531" s="56">
        <v>721</v>
      </c>
      <c r="P531" s="79">
        <f>+N530-P530</f>
        <v>0</v>
      </c>
    </row>
    <row r="532" spans="1:16" ht="15" customHeight="1">
      <c r="A532" s="881">
        <f>+A530+1</f>
        <v>296</v>
      </c>
      <c r="B532" s="875">
        <v>42286</v>
      </c>
      <c r="C532" s="881" t="s">
        <v>28</v>
      </c>
      <c r="D532" s="881" t="s">
        <v>310</v>
      </c>
      <c r="E532" s="881" t="s">
        <v>148</v>
      </c>
      <c r="F532" s="883">
        <v>392000</v>
      </c>
      <c r="G532" s="55">
        <v>719</v>
      </c>
      <c r="H532" s="78">
        <v>280000</v>
      </c>
      <c r="I532" s="873" t="s">
        <v>657</v>
      </c>
      <c r="J532" s="875">
        <v>42422</v>
      </c>
      <c r="K532" s="881" t="s">
        <v>28</v>
      </c>
      <c r="L532" s="881" t="s">
        <v>671</v>
      </c>
      <c r="M532" s="881" t="s">
        <v>148</v>
      </c>
      <c r="N532" s="883">
        <v>1544550</v>
      </c>
      <c r="O532" s="55">
        <v>723</v>
      </c>
      <c r="P532" s="78">
        <v>1544550</v>
      </c>
    </row>
    <row r="533" spans="1:16" ht="15.75" customHeight="1" thickBot="1">
      <c r="A533" s="882"/>
      <c r="B533" s="934"/>
      <c r="C533" s="882"/>
      <c r="D533" s="882"/>
      <c r="E533" s="882"/>
      <c r="F533" s="884"/>
      <c r="G533" s="56">
        <v>721</v>
      </c>
      <c r="H533" s="79">
        <f>+F532-H532</f>
        <v>112000</v>
      </c>
      <c r="I533" s="882"/>
      <c r="J533" s="876"/>
      <c r="K533" s="882"/>
      <c r="L533" s="882"/>
      <c r="M533" s="882"/>
      <c r="N533" s="884"/>
      <c r="O533" s="56">
        <v>721</v>
      </c>
      <c r="P533" s="79">
        <f>+N532-P532</f>
        <v>0</v>
      </c>
    </row>
    <row r="534" spans="1:16" ht="15" customHeight="1">
      <c r="A534" s="881">
        <f>+A532+1</f>
        <v>297</v>
      </c>
      <c r="B534" s="875">
        <v>42286</v>
      </c>
      <c r="C534" s="877" t="s">
        <v>32</v>
      </c>
      <c r="D534" s="881" t="s">
        <v>310</v>
      </c>
      <c r="E534" s="881" t="s">
        <v>148</v>
      </c>
      <c r="F534" s="883">
        <v>140000</v>
      </c>
      <c r="G534" s="55">
        <v>719</v>
      </c>
      <c r="H534" s="78">
        <v>100000</v>
      </c>
      <c r="I534" s="873" t="s">
        <v>658</v>
      </c>
      <c r="J534" s="875">
        <v>42422</v>
      </c>
      <c r="K534" s="877" t="s">
        <v>689</v>
      </c>
      <c r="L534" s="881" t="s">
        <v>671</v>
      </c>
      <c r="M534" s="881" t="s">
        <v>148</v>
      </c>
      <c r="N534" s="883">
        <v>12600000</v>
      </c>
      <c r="O534" s="55">
        <v>723</v>
      </c>
      <c r="P534" s="78">
        <v>12600000</v>
      </c>
    </row>
    <row r="535" spans="1:16" ht="15.75" customHeight="1" thickBot="1">
      <c r="A535" s="882"/>
      <c r="B535" s="934"/>
      <c r="C535" s="878"/>
      <c r="D535" s="882"/>
      <c r="E535" s="882"/>
      <c r="F535" s="884"/>
      <c r="G535" s="56">
        <v>721</v>
      </c>
      <c r="H535" s="79">
        <f>+F534-H534</f>
        <v>40000</v>
      </c>
      <c r="I535" s="882"/>
      <c r="J535" s="876"/>
      <c r="K535" s="878"/>
      <c r="L535" s="882"/>
      <c r="M535" s="882"/>
      <c r="N535" s="884"/>
      <c r="O535" s="56">
        <v>721</v>
      </c>
      <c r="P535" s="79">
        <f>+N534-P534</f>
        <v>0</v>
      </c>
    </row>
    <row r="536" spans="1:16" ht="15" customHeight="1">
      <c r="A536" s="881">
        <f>+A534+1</f>
        <v>298</v>
      </c>
      <c r="B536" s="875">
        <v>42286</v>
      </c>
      <c r="C536" s="877" t="s">
        <v>111</v>
      </c>
      <c r="D536" s="881" t="s">
        <v>311</v>
      </c>
      <c r="E536" s="881" t="s">
        <v>148</v>
      </c>
      <c r="F536" s="883">
        <v>84000</v>
      </c>
      <c r="G536" s="55">
        <v>719</v>
      </c>
      <c r="H536" s="78">
        <v>60000</v>
      </c>
      <c r="I536" s="873" t="s">
        <v>659</v>
      </c>
      <c r="J536" s="875">
        <v>42422</v>
      </c>
      <c r="K536" s="877" t="s">
        <v>690</v>
      </c>
      <c r="L536" s="881" t="s">
        <v>671</v>
      </c>
      <c r="M536" s="881" t="s">
        <v>148</v>
      </c>
      <c r="N536" s="883">
        <v>17995950</v>
      </c>
      <c r="O536" s="55">
        <v>723</v>
      </c>
      <c r="P536" s="78">
        <v>17995950</v>
      </c>
    </row>
    <row r="537" spans="1:16" ht="15.75" customHeight="1" thickBot="1">
      <c r="A537" s="882"/>
      <c r="B537" s="934"/>
      <c r="C537" s="878"/>
      <c r="D537" s="882"/>
      <c r="E537" s="882"/>
      <c r="F537" s="884"/>
      <c r="G537" s="56">
        <v>721</v>
      </c>
      <c r="H537" s="79">
        <f>+F536-H536</f>
        <v>24000</v>
      </c>
      <c r="I537" s="882"/>
      <c r="J537" s="876"/>
      <c r="K537" s="878"/>
      <c r="L537" s="882"/>
      <c r="M537" s="882"/>
      <c r="N537" s="884"/>
      <c r="O537" s="56">
        <v>721</v>
      </c>
      <c r="P537" s="79">
        <f>+N536-P536</f>
        <v>0</v>
      </c>
    </row>
    <row r="538" spans="1:16" ht="15" customHeight="1">
      <c r="A538" s="881">
        <f>+A536+1</f>
        <v>299</v>
      </c>
      <c r="B538" s="875">
        <v>42286</v>
      </c>
      <c r="C538" s="877" t="s">
        <v>272</v>
      </c>
      <c r="D538" s="881" t="s">
        <v>310</v>
      </c>
      <c r="E538" s="881" t="s">
        <v>148</v>
      </c>
      <c r="F538" s="883">
        <v>868000</v>
      </c>
      <c r="G538" s="55">
        <v>719</v>
      </c>
      <c r="H538" s="78">
        <v>620000</v>
      </c>
      <c r="I538" s="873" t="s">
        <v>660</v>
      </c>
      <c r="J538" s="875">
        <v>42422</v>
      </c>
      <c r="K538" s="877" t="s">
        <v>691</v>
      </c>
      <c r="L538" s="881" t="s">
        <v>671</v>
      </c>
      <c r="M538" s="881" t="s">
        <v>148</v>
      </c>
      <c r="N538" s="883">
        <v>1260000</v>
      </c>
      <c r="O538" s="55">
        <v>723</v>
      </c>
      <c r="P538" s="78">
        <v>1260000</v>
      </c>
    </row>
    <row r="539" spans="1:16" ht="15.75" customHeight="1" thickBot="1">
      <c r="A539" s="882"/>
      <c r="B539" s="934"/>
      <c r="C539" s="878"/>
      <c r="D539" s="882"/>
      <c r="E539" s="882"/>
      <c r="F539" s="884"/>
      <c r="G539" s="56">
        <v>721</v>
      </c>
      <c r="H539" s="79">
        <f>+F538-H538</f>
        <v>248000</v>
      </c>
      <c r="I539" s="882"/>
      <c r="J539" s="876"/>
      <c r="K539" s="878"/>
      <c r="L539" s="882"/>
      <c r="M539" s="882"/>
      <c r="N539" s="884"/>
      <c r="O539" s="56">
        <v>721</v>
      </c>
      <c r="P539" s="79">
        <f>+N538-P538</f>
        <v>0</v>
      </c>
    </row>
    <row r="540" spans="1:16" ht="16.5" thickBot="1">
      <c r="A540" s="901" t="s">
        <v>102</v>
      </c>
      <c r="B540" s="902"/>
      <c r="C540" s="902"/>
      <c r="D540" s="902"/>
      <c r="E540" s="903"/>
      <c r="F540" s="81">
        <f>SUM(F530:F539)</f>
        <v>1708000</v>
      </c>
      <c r="I540" s="901" t="s">
        <v>102</v>
      </c>
      <c r="J540" s="902"/>
      <c r="K540" s="902"/>
      <c r="L540" s="902"/>
      <c r="M540" s="903"/>
      <c r="N540" s="81">
        <f>SUM(N530:N539)</f>
        <v>34030500</v>
      </c>
    </row>
    <row r="541" spans="1:16" ht="16.5" thickBot="1">
      <c r="A541" s="885" t="s">
        <v>103</v>
      </c>
      <c r="B541" s="886"/>
      <c r="C541" s="886"/>
      <c r="D541" s="886"/>
      <c r="E541" s="887"/>
      <c r="F541" s="69">
        <f>+F505</f>
        <v>628972225</v>
      </c>
      <c r="I541" s="885" t="s">
        <v>103</v>
      </c>
      <c r="J541" s="886"/>
      <c r="K541" s="886"/>
      <c r="L541" s="886"/>
      <c r="M541" s="887"/>
      <c r="N541" s="239">
        <f>+N505</f>
        <v>185231855</v>
      </c>
      <c r="O541" s="241" t="s">
        <v>561</v>
      </c>
      <c r="P541" s="242"/>
    </row>
    <row r="542" spans="1:16" ht="16.5" thickBot="1">
      <c r="A542" s="888" t="s">
        <v>104</v>
      </c>
      <c r="B542" s="889"/>
      <c r="C542" s="889"/>
      <c r="D542" s="889"/>
      <c r="E542" s="890"/>
      <c r="F542" s="183">
        <f>SUM(F540:F541)</f>
        <v>630680225</v>
      </c>
      <c r="I542" s="888" t="s">
        <v>104</v>
      </c>
      <c r="J542" s="889"/>
      <c r="K542" s="889"/>
      <c r="L542" s="889"/>
      <c r="M542" s="890"/>
      <c r="N542" s="183">
        <f>SUM(N540:N541)</f>
        <v>219262355</v>
      </c>
    </row>
    <row r="543" spans="1:16">
      <c r="A543" s="61"/>
      <c r="B543" s="61"/>
      <c r="C543" s="61"/>
      <c r="D543" s="61"/>
      <c r="E543" s="61"/>
      <c r="I543" s="61"/>
      <c r="J543" s="61"/>
      <c r="K543" s="61"/>
      <c r="L543" s="61"/>
      <c r="M543" s="61"/>
    </row>
    <row r="544" spans="1:16">
      <c r="A544" s="51" t="s">
        <v>312</v>
      </c>
      <c r="I544" s="51" t="s">
        <v>692</v>
      </c>
    </row>
    <row r="545" spans="1:15" ht="12" customHeight="1">
      <c r="F545" s="139"/>
      <c r="N545" s="139"/>
    </row>
    <row r="546" spans="1:15">
      <c r="A546" s="50" t="s">
        <v>105</v>
      </c>
      <c r="D546" s="146"/>
      <c r="F546" s="139"/>
      <c r="I546" s="50" t="s">
        <v>105</v>
      </c>
      <c r="L546" s="146"/>
      <c r="N546" s="139"/>
    </row>
    <row r="547" spans="1:15" ht="12.75" customHeight="1" thickBot="1"/>
    <row r="548" spans="1:15" ht="15.75" thickBot="1">
      <c r="A548" s="891" t="s">
        <v>106</v>
      </c>
      <c r="B548" s="892"/>
      <c r="C548" s="892"/>
      <c r="D548" s="893"/>
      <c r="F548" s="50" t="s">
        <v>288</v>
      </c>
      <c r="I548" s="891" t="s">
        <v>106</v>
      </c>
      <c r="J548" s="892"/>
      <c r="K548" s="892"/>
      <c r="L548" s="893"/>
      <c r="N548" s="50" t="s">
        <v>270</v>
      </c>
    </row>
    <row r="549" spans="1:15" ht="30.75" thickBot="1">
      <c r="A549" s="57" t="s">
        <v>100</v>
      </c>
      <c r="B549" s="58" t="s">
        <v>108</v>
      </c>
      <c r="C549" s="59" t="s">
        <v>109</v>
      </c>
      <c r="D549" s="60" t="s">
        <v>110</v>
      </c>
      <c r="I549" s="57" t="s">
        <v>100</v>
      </c>
      <c r="J549" s="58" t="s">
        <v>108</v>
      </c>
      <c r="K549" s="59" t="s">
        <v>109</v>
      </c>
      <c r="L549" s="60" t="s">
        <v>110</v>
      </c>
    </row>
    <row r="550" spans="1:15">
      <c r="A550" s="71">
        <v>719</v>
      </c>
      <c r="B550" s="73">
        <f>+H530+H532+H534+H536+H538</f>
        <v>1220000</v>
      </c>
      <c r="C550" s="74">
        <f>+D513</f>
        <v>35930000</v>
      </c>
      <c r="D550" s="195">
        <f>+B550+C550</f>
        <v>37150000</v>
      </c>
      <c r="I550" s="71">
        <v>719</v>
      </c>
      <c r="J550" s="73"/>
      <c r="K550" s="74">
        <f>+L513</f>
        <v>5340000</v>
      </c>
      <c r="L550" s="195">
        <f>+J550+K550</f>
        <v>5340000</v>
      </c>
    </row>
    <row r="551" spans="1:15">
      <c r="A551" s="72">
        <v>721</v>
      </c>
      <c r="B551" s="80">
        <f>+H531+H533+H535+H537+H539</f>
        <v>488000</v>
      </c>
      <c r="C551" s="74">
        <f>+D514</f>
        <v>38640092</v>
      </c>
      <c r="D551" s="195">
        <f>+B551+C551</f>
        <v>39128092</v>
      </c>
      <c r="I551" s="72">
        <v>721</v>
      </c>
      <c r="J551" s="80"/>
      <c r="K551" s="74">
        <f>+L514</f>
        <v>1696000</v>
      </c>
      <c r="L551" s="195">
        <f>+J551+K551</f>
        <v>1696000</v>
      </c>
    </row>
    <row r="552" spans="1:15">
      <c r="A552" s="72">
        <v>722</v>
      </c>
      <c r="B552" s="80"/>
      <c r="C552" s="74">
        <f>+D515</f>
        <v>231207671</v>
      </c>
      <c r="D552" s="195">
        <f>+B552+C552</f>
        <v>231207671</v>
      </c>
      <c r="I552" s="72">
        <v>722</v>
      </c>
      <c r="J552" s="80"/>
      <c r="K552" s="74">
        <f>+L515</f>
        <v>0</v>
      </c>
      <c r="L552" s="195">
        <f>+J552+K552</f>
        <v>0</v>
      </c>
    </row>
    <row r="553" spans="1:15" ht="15.75">
      <c r="A553" s="72">
        <v>723</v>
      </c>
      <c r="B553" s="80"/>
      <c r="C553" s="74">
        <f>+D516</f>
        <v>321228837</v>
      </c>
      <c r="D553" s="195">
        <f>+B553+C553</f>
        <v>321228837</v>
      </c>
      <c r="F553" s="193" t="s">
        <v>289</v>
      </c>
      <c r="G553" s="175"/>
      <c r="I553" s="72">
        <v>723</v>
      </c>
      <c r="J553" s="80">
        <f>+P530+P532+P534+P536+P538</f>
        <v>34030500</v>
      </c>
      <c r="K553" s="74">
        <f>+L516</f>
        <v>178195855</v>
      </c>
      <c r="L553" s="195">
        <f>+J553+K553</f>
        <v>212226355</v>
      </c>
      <c r="N553" s="174" t="s">
        <v>558</v>
      </c>
      <c r="O553" s="175"/>
    </row>
    <row r="554" spans="1:15" ht="16.5" thickBot="1">
      <c r="A554" s="164" t="s">
        <v>181</v>
      </c>
      <c r="B554" s="165"/>
      <c r="C554" s="74">
        <f>+D517</f>
        <v>1965625</v>
      </c>
      <c r="D554" s="196">
        <f>+B554+C554</f>
        <v>1965625</v>
      </c>
      <c r="F554" s="52"/>
      <c r="I554" s="164" t="s">
        <v>181</v>
      </c>
      <c r="J554" s="165"/>
      <c r="K554" s="74">
        <f>+L517</f>
        <v>0</v>
      </c>
      <c r="L554" s="196">
        <f>+J554+K554</f>
        <v>0</v>
      </c>
      <c r="N554" s="52"/>
    </row>
    <row r="555" spans="1:15" ht="16.5" thickBot="1">
      <c r="A555" s="169"/>
      <c r="B555" s="170">
        <f>SUM(B550:B554)</f>
        <v>1708000</v>
      </c>
      <c r="C555" s="171">
        <f>SUM(C550:C554)</f>
        <v>628972225</v>
      </c>
      <c r="D555" s="172">
        <f>SUM(D550:D554)</f>
        <v>630680225</v>
      </c>
      <c r="I555" s="169"/>
      <c r="J555" s="197">
        <f>SUM(J550:J554)</f>
        <v>34030500</v>
      </c>
      <c r="K555" s="197">
        <f>SUM(K550:K554)</f>
        <v>185231855</v>
      </c>
      <c r="L555" s="198">
        <f>SUM(L550:L554)</f>
        <v>219262355</v>
      </c>
    </row>
    <row r="556" spans="1:15" ht="16.5">
      <c r="A556" s="49" t="s">
        <v>88</v>
      </c>
      <c r="B556" s="50"/>
      <c r="I556" s="49" t="s">
        <v>88</v>
      </c>
      <c r="J556" s="50"/>
    </row>
    <row r="557" spans="1:15">
      <c r="A557" s="51" t="s">
        <v>89</v>
      </c>
      <c r="I557" s="51" t="s">
        <v>89</v>
      </c>
    </row>
    <row r="558" spans="1:15">
      <c r="A558" s="51" t="s">
        <v>90</v>
      </c>
      <c r="I558" s="51" t="s">
        <v>90</v>
      </c>
    </row>
    <row r="559" spans="1:15">
      <c r="A559" s="51" t="s">
        <v>91</v>
      </c>
      <c r="I559" s="51" t="s">
        <v>91</v>
      </c>
    </row>
    <row r="560" spans="1:15" ht="12.75" customHeight="1">
      <c r="A560" s="50"/>
      <c r="B560" s="50"/>
      <c r="I560" s="50"/>
      <c r="J560" s="50"/>
    </row>
    <row r="561" spans="1:16" ht="16.5">
      <c r="A561" s="52" t="s">
        <v>309</v>
      </c>
      <c r="G561" s="52"/>
      <c r="I561" s="52" t="s">
        <v>639</v>
      </c>
      <c r="O561" s="52"/>
    </row>
    <row r="562" spans="1:16" ht="15.75">
      <c r="A562" s="53" t="s">
        <v>92</v>
      </c>
      <c r="G562" s="53"/>
      <c r="I562" s="53" t="s">
        <v>535</v>
      </c>
      <c r="O562" s="53"/>
    </row>
    <row r="563" spans="1:16" ht="16.5">
      <c r="A563" s="894" t="s">
        <v>261</v>
      </c>
      <c r="B563" s="894"/>
      <c r="C563" s="894"/>
      <c r="D563" s="894"/>
      <c r="E563" s="894"/>
      <c r="F563" s="894"/>
      <c r="G563" s="894"/>
      <c r="H563" s="894"/>
      <c r="I563" s="894" t="s">
        <v>212</v>
      </c>
      <c r="J563" s="894"/>
      <c r="K563" s="894"/>
      <c r="L563" s="894"/>
      <c r="M563" s="894"/>
      <c r="N563" s="894"/>
      <c r="O563" s="894"/>
      <c r="P563" s="894"/>
    </row>
    <row r="564" spans="1:16" ht="12.75" customHeight="1" thickBot="1"/>
    <row r="565" spans="1:16">
      <c r="A565" s="895" t="s">
        <v>94</v>
      </c>
      <c r="B565" s="897" t="s">
        <v>95</v>
      </c>
      <c r="C565" s="897" t="s">
        <v>96</v>
      </c>
      <c r="D565" s="897" t="s">
        <v>3</v>
      </c>
      <c r="E565" s="897" t="s">
        <v>97</v>
      </c>
      <c r="F565" s="897" t="s">
        <v>98</v>
      </c>
      <c r="G565" s="897" t="s">
        <v>99</v>
      </c>
      <c r="H565" s="899"/>
      <c r="I565" s="895" t="s">
        <v>94</v>
      </c>
      <c r="J565" s="897" t="s">
        <v>95</v>
      </c>
      <c r="K565" s="897" t="s">
        <v>96</v>
      </c>
      <c r="L565" s="897" t="s">
        <v>3</v>
      </c>
      <c r="M565" s="897" t="s">
        <v>97</v>
      </c>
      <c r="N565" s="897" t="s">
        <v>98</v>
      </c>
      <c r="O565" s="897" t="s">
        <v>99</v>
      </c>
      <c r="P565" s="899"/>
    </row>
    <row r="566" spans="1:16" ht="15.75" thickBot="1">
      <c r="A566" s="896"/>
      <c r="B566" s="898"/>
      <c r="C566" s="898"/>
      <c r="D566" s="898"/>
      <c r="E566" s="898"/>
      <c r="F566" s="898"/>
      <c r="G566" s="240" t="s">
        <v>100</v>
      </c>
      <c r="H566" s="182" t="s">
        <v>101</v>
      </c>
      <c r="I566" s="896"/>
      <c r="J566" s="898"/>
      <c r="K566" s="898"/>
      <c r="L566" s="898"/>
      <c r="M566" s="898"/>
      <c r="N566" s="898"/>
      <c r="O566" s="240" t="s">
        <v>100</v>
      </c>
      <c r="P566" s="182" t="s">
        <v>101</v>
      </c>
    </row>
    <row r="567" spans="1:16" ht="15" customHeight="1">
      <c r="A567" s="881">
        <f>+A538+1</f>
        <v>300</v>
      </c>
      <c r="B567" s="875">
        <v>42286</v>
      </c>
      <c r="C567" s="877" t="s">
        <v>272</v>
      </c>
      <c r="D567" s="881" t="s">
        <v>313</v>
      </c>
      <c r="E567" s="881" t="s">
        <v>115</v>
      </c>
      <c r="F567" s="883">
        <v>50000</v>
      </c>
      <c r="G567" s="55">
        <v>719</v>
      </c>
      <c r="H567" s="78">
        <v>50000</v>
      </c>
      <c r="I567" s="873" t="s">
        <v>661</v>
      </c>
      <c r="J567" s="875">
        <v>42422</v>
      </c>
      <c r="K567" s="877" t="s">
        <v>693</v>
      </c>
      <c r="L567" s="881" t="s">
        <v>671</v>
      </c>
      <c r="M567" s="881" t="s">
        <v>148</v>
      </c>
      <c r="N567" s="883">
        <v>5250000</v>
      </c>
      <c r="O567" s="55">
        <v>723</v>
      </c>
      <c r="P567" s="78">
        <v>5250000</v>
      </c>
    </row>
    <row r="568" spans="1:16" ht="15.75" customHeight="1" thickBot="1">
      <c r="A568" s="882"/>
      <c r="B568" s="876"/>
      <c r="C568" s="878"/>
      <c r="D568" s="882"/>
      <c r="E568" s="882"/>
      <c r="F568" s="884"/>
      <c r="G568" s="56">
        <v>721</v>
      </c>
      <c r="H568" s="79">
        <f>+F567-H567</f>
        <v>0</v>
      </c>
      <c r="I568" s="882"/>
      <c r="J568" s="876"/>
      <c r="K568" s="878"/>
      <c r="L568" s="882"/>
      <c r="M568" s="882"/>
      <c r="N568" s="884"/>
      <c r="O568" s="56">
        <v>721</v>
      </c>
      <c r="P568" s="79">
        <f>+N567-P567</f>
        <v>0</v>
      </c>
    </row>
    <row r="569" spans="1:16" ht="15" customHeight="1">
      <c r="A569" s="881">
        <f>+A567+1</f>
        <v>301</v>
      </c>
      <c r="B569" s="875">
        <v>42286</v>
      </c>
      <c r="C569" s="881" t="s">
        <v>28</v>
      </c>
      <c r="D569" s="881" t="s">
        <v>314</v>
      </c>
      <c r="E569" s="881" t="s">
        <v>115</v>
      </c>
      <c r="F569" s="883">
        <v>20000</v>
      </c>
      <c r="G569" s="55">
        <v>719</v>
      </c>
      <c r="H569" s="78">
        <v>20000</v>
      </c>
      <c r="I569" s="873" t="s">
        <v>662</v>
      </c>
      <c r="J569" s="875">
        <v>42422</v>
      </c>
      <c r="K569" s="881" t="s">
        <v>694</v>
      </c>
      <c r="L569" s="881" t="s">
        <v>671</v>
      </c>
      <c r="M569" s="881" t="s">
        <v>148</v>
      </c>
      <c r="N569" s="883">
        <v>26075228</v>
      </c>
      <c r="O569" s="55">
        <v>723</v>
      </c>
      <c r="P569" s="78">
        <v>26075228</v>
      </c>
    </row>
    <row r="570" spans="1:16" ht="15.75" customHeight="1" thickBot="1">
      <c r="A570" s="882"/>
      <c r="B570" s="876"/>
      <c r="C570" s="882"/>
      <c r="D570" s="882"/>
      <c r="E570" s="882"/>
      <c r="F570" s="884"/>
      <c r="G570" s="56">
        <v>721</v>
      </c>
      <c r="H570" s="79">
        <f>+F569-H569</f>
        <v>0</v>
      </c>
      <c r="I570" s="882"/>
      <c r="J570" s="876"/>
      <c r="K570" s="882"/>
      <c r="L570" s="882"/>
      <c r="M570" s="882"/>
      <c r="N570" s="884"/>
      <c r="O570" s="56">
        <v>721</v>
      </c>
      <c r="P570" s="79">
        <f>+N569-P569</f>
        <v>0</v>
      </c>
    </row>
    <row r="571" spans="1:16" ht="15" customHeight="1">
      <c r="A571" s="881">
        <f>+A569+1</f>
        <v>302</v>
      </c>
      <c r="B571" s="875">
        <v>42286</v>
      </c>
      <c r="C571" s="877" t="s">
        <v>32</v>
      </c>
      <c r="D571" s="881" t="s">
        <v>315</v>
      </c>
      <c r="E571" s="881" t="s">
        <v>115</v>
      </c>
      <c r="F571" s="883">
        <v>60000</v>
      </c>
      <c r="G571" s="55">
        <v>719</v>
      </c>
      <c r="H571" s="78">
        <v>60000</v>
      </c>
      <c r="I571" s="873" t="s">
        <v>663</v>
      </c>
      <c r="J571" s="875">
        <v>42422</v>
      </c>
      <c r="K571" s="877" t="s">
        <v>122</v>
      </c>
      <c r="L571" s="881" t="s">
        <v>671</v>
      </c>
      <c r="M571" s="881" t="s">
        <v>148</v>
      </c>
      <c r="N571" s="883">
        <v>1512000</v>
      </c>
      <c r="O571" s="55">
        <v>723</v>
      </c>
      <c r="P571" s="78">
        <v>1512000</v>
      </c>
    </row>
    <row r="572" spans="1:16" ht="15.75" customHeight="1" thickBot="1">
      <c r="A572" s="882"/>
      <c r="B572" s="876"/>
      <c r="C572" s="878"/>
      <c r="D572" s="882"/>
      <c r="E572" s="882"/>
      <c r="F572" s="884"/>
      <c r="G572" s="56">
        <v>721</v>
      </c>
      <c r="H572" s="79">
        <f>+F571-H571</f>
        <v>0</v>
      </c>
      <c r="I572" s="882"/>
      <c r="J572" s="876"/>
      <c r="K572" s="878"/>
      <c r="L572" s="882"/>
      <c r="M572" s="882"/>
      <c r="N572" s="884"/>
      <c r="O572" s="56">
        <v>721</v>
      </c>
      <c r="P572" s="79">
        <f>+N571-P571</f>
        <v>0</v>
      </c>
    </row>
    <row r="573" spans="1:16" ht="15" customHeight="1">
      <c r="A573" s="881">
        <f>+A571+1</f>
        <v>303</v>
      </c>
      <c r="B573" s="875">
        <v>42286</v>
      </c>
      <c r="C573" s="877" t="s">
        <v>120</v>
      </c>
      <c r="D573" s="881" t="s">
        <v>316</v>
      </c>
      <c r="E573" s="881" t="s">
        <v>115</v>
      </c>
      <c r="F573" s="883">
        <v>10000</v>
      </c>
      <c r="G573" s="55">
        <v>719</v>
      </c>
      <c r="H573" s="78">
        <v>10000</v>
      </c>
      <c r="I573" s="873" t="s">
        <v>664</v>
      </c>
      <c r="J573" s="875">
        <v>42422</v>
      </c>
      <c r="K573" s="877" t="s">
        <v>695</v>
      </c>
      <c r="L573" s="881" t="s">
        <v>671</v>
      </c>
      <c r="M573" s="881" t="s">
        <v>148</v>
      </c>
      <c r="N573" s="883">
        <v>5066040</v>
      </c>
      <c r="O573" s="55">
        <v>723</v>
      </c>
      <c r="P573" s="78">
        <v>5066040</v>
      </c>
    </row>
    <row r="574" spans="1:16" ht="15.75" customHeight="1" thickBot="1">
      <c r="A574" s="882"/>
      <c r="B574" s="876"/>
      <c r="C574" s="878"/>
      <c r="D574" s="882"/>
      <c r="E574" s="882"/>
      <c r="F574" s="884"/>
      <c r="G574" s="56">
        <v>721</v>
      </c>
      <c r="H574" s="79">
        <f>+F573-H573</f>
        <v>0</v>
      </c>
      <c r="I574" s="882"/>
      <c r="J574" s="876"/>
      <c r="K574" s="878"/>
      <c r="L574" s="882"/>
      <c r="M574" s="882"/>
      <c r="N574" s="884"/>
      <c r="O574" s="56">
        <v>721</v>
      </c>
      <c r="P574" s="79">
        <f>+N573-P573</f>
        <v>0</v>
      </c>
    </row>
    <row r="575" spans="1:16" ht="15" customHeight="1">
      <c r="A575" s="881"/>
      <c r="B575" s="875"/>
      <c r="C575" s="877"/>
      <c r="D575" s="881"/>
      <c r="E575" s="881"/>
      <c r="F575" s="883"/>
      <c r="G575" s="55">
        <v>719</v>
      </c>
      <c r="H575" s="78"/>
      <c r="I575" s="873" t="s">
        <v>665</v>
      </c>
      <c r="J575" s="875">
        <v>42422</v>
      </c>
      <c r="K575" s="877" t="s">
        <v>696</v>
      </c>
      <c r="L575" s="881" t="s">
        <v>671</v>
      </c>
      <c r="M575" s="881" t="s">
        <v>148</v>
      </c>
      <c r="N575" s="883">
        <v>3150000</v>
      </c>
      <c r="O575" s="55">
        <v>723</v>
      </c>
      <c r="P575" s="78">
        <v>3150000</v>
      </c>
    </row>
    <row r="576" spans="1:16" ht="15.75" customHeight="1" thickBot="1">
      <c r="A576" s="882"/>
      <c r="B576" s="876"/>
      <c r="C576" s="878"/>
      <c r="D576" s="882"/>
      <c r="E576" s="882"/>
      <c r="F576" s="884"/>
      <c r="G576" s="56">
        <v>721</v>
      </c>
      <c r="H576" s="79">
        <f>+F575-H575</f>
        <v>0</v>
      </c>
      <c r="I576" s="882"/>
      <c r="J576" s="876"/>
      <c r="K576" s="878"/>
      <c r="L576" s="882"/>
      <c r="M576" s="882"/>
      <c r="N576" s="884"/>
      <c r="O576" s="56">
        <v>721</v>
      </c>
      <c r="P576" s="79">
        <f>+N575-P575</f>
        <v>0</v>
      </c>
    </row>
    <row r="577" spans="1:16" ht="16.5" thickBot="1">
      <c r="A577" s="901" t="s">
        <v>102</v>
      </c>
      <c r="B577" s="902"/>
      <c r="C577" s="902"/>
      <c r="D577" s="902"/>
      <c r="E577" s="903"/>
      <c r="F577" s="81">
        <f>SUM(F567:F576)</f>
        <v>140000</v>
      </c>
      <c r="I577" s="901" t="s">
        <v>102</v>
      </c>
      <c r="J577" s="902"/>
      <c r="K577" s="902"/>
      <c r="L577" s="902"/>
      <c r="M577" s="903"/>
      <c r="N577" s="81">
        <f>SUM(N567:N576)</f>
        <v>41053268</v>
      </c>
    </row>
    <row r="578" spans="1:16" ht="16.5" thickBot="1">
      <c r="A578" s="885" t="s">
        <v>103</v>
      </c>
      <c r="B578" s="886"/>
      <c r="C578" s="886"/>
      <c r="D578" s="886"/>
      <c r="E578" s="887"/>
      <c r="F578" s="69">
        <f>+F542</f>
        <v>630680225</v>
      </c>
      <c r="I578" s="885" t="s">
        <v>103</v>
      </c>
      <c r="J578" s="886"/>
      <c r="K578" s="886"/>
      <c r="L578" s="886"/>
      <c r="M578" s="887"/>
      <c r="N578" s="239">
        <f>+N542</f>
        <v>219262355</v>
      </c>
      <c r="O578" s="241" t="s">
        <v>561</v>
      </c>
      <c r="P578" s="242"/>
    </row>
    <row r="579" spans="1:16" ht="16.5" thickBot="1">
      <c r="A579" s="888" t="s">
        <v>104</v>
      </c>
      <c r="B579" s="889"/>
      <c r="C579" s="889"/>
      <c r="D579" s="889"/>
      <c r="E579" s="890"/>
      <c r="F579" s="183">
        <f>SUM(F577:F578)</f>
        <v>630820225</v>
      </c>
      <c r="I579" s="888" t="s">
        <v>104</v>
      </c>
      <c r="J579" s="889"/>
      <c r="K579" s="889"/>
      <c r="L579" s="889"/>
      <c r="M579" s="890"/>
      <c r="N579" s="183">
        <f>SUM(N577:N578)</f>
        <v>260315623</v>
      </c>
    </row>
    <row r="580" spans="1:16" ht="12.75" customHeight="1">
      <c r="A580" s="61"/>
      <c r="B580" s="61"/>
      <c r="C580" s="61"/>
      <c r="D580" s="61"/>
      <c r="E580" s="61"/>
      <c r="I580" s="61"/>
      <c r="J580" s="61"/>
      <c r="K580" s="61"/>
      <c r="L580" s="61"/>
      <c r="M580" s="61"/>
    </row>
    <row r="581" spans="1:16">
      <c r="A581" s="51" t="s">
        <v>317</v>
      </c>
      <c r="I581" s="51" t="s">
        <v>697</v>
      </c>
    </row>
    <row r="582" spans="1:16">
      <c r="F582" s="139"/>
      <c r="N582" s="139"/>
    </row>
    <row r="583" spans="1:16">
      <c r="A583" s="50" t="s">
        <v>105</v>
      </c>
      <c r="D583" s="146"/>
      <c r="F583" s="139"/>
      <c r="I583" s="50" t="s">
        <v>105</v>
      </c>
      <c r="L583" s="146"/>
      <c r="N583" s="139"/>
    </row>
    <row r="584" spans="1:16" ht="12.75" customHeight="1" thickBot="1"/>
    <row r="585" spans="1:16" ht="15.75" thickBot="1">
      <c r="A585" s="891" t="s">
        <v>106</v>
      </c>
      <c r="B585" s="892"/>
      <c r="C585" s="892"/>
      <c r="D585" s="893"/>
      <c r="F585" s="50" t="s">
        <v>288</v>
      </c>
      <c r="I585" s="891" t="s">
        <v>106</v>
      </c>
      <c r="J585" s="892"/>
      <c r="K585" s="892"/>
      <c r="L585" s="893"/>
      <c r="N585" s="50" t="s">
        <v>270</v>
      </c>
    </row>
    <row r="586" spans="1:16" ht="30.75" thickBot="1">
      <c r="A586" s="57" t="s">
        <v>100</v>
      </c>
      <c r="B586" s="58" t="s">
        <v>108</v>
      </c>
      <c r="C586" s="59" t="s">
        <v>109</v>
      </c>
      <c r="D586" s="60" t="s">
        <v>110</v>
      </c>
      <c r="I586" s="57" t="s">
        <v>100</v>
      </c>
      <c r="J586" s="58" t="s">
        <v>108</v>
      </c>
      <c r="K586" s="59" t="s">
        <v>109</v>
      </c>
      <c r="L586" s="60" t="s">
        <v>110</v>
      </c>
    </row>
    <row r="587" spans="1:16">
      <c r="A587" s="71">
        <v>719</v>
      </c>
      <c r="B587" s="73">
        <f>+H567+H569+H571+H573+H575</f>
        <v>140000</v>
      </c>
      <c r="C587" s="74">
        <f t="shared" ref="C587:C592" si="0">+D550</f>
        <v>37150000</v>
      </c>
      <c r="D587" s="195">
        <f>+B587+C587</f>
        <v>37290000</v>
      </c>
      <c r="I587" s="71">
        <v>719</v>
      </c>
      <c r="J587" s="73"/>
      <c r="K587" s="74">
        <f>+L550</f>
        <v>5340000</v>
      </c>
      <c r="L587" s="195">
        <f>+J587+K587</f>
        <v>5340000</v>
      </c>
    </row>
    <row r="588" spans="1:16">
      <c r="A588" s="72">
        <v>721</v>
      </c>
      <c r="B588" s="80">
        <f>+H568+H570+H572+H574+H576</f>
        <v>0</v>
      </c>
      <c r="C588" s="74">
        <f t="shared" si="0"/>
        <v>39128092</v>
      </c>
      <c r="D588" s="195">
        <f>+B588+C588</f>
        <v>39128092</v>
      </c>
      <c r="I588" s="72">
        <v>721</v>
      </c>
      <c r="J588" s="80"/>
      <c r="K588" s="74">
        <f>+L551</f>
        <v>1696000</v>
      </c>
      <c r="L588" s="195">
        <f>+J588+K588</f>
        <v>1696000</v>
      </c>
    </row>
    <row r="589" spans="1:16">
      <c r="A589" s="72">
        <v>722</v>
      </c>
      <c r="B589" s="80"/>
      <c r="C589" s="74">
        <f t="shared" si="0"/>
        <v>231207671</v>
      </c>
      <c r="D589" s="195">
        <f>+B589+C589</f>
        <v>231207671</v>
      </c>
      <c r="I589" s="72">
        <v>722</v>
      </c>
      <c r="J589" s="80"/>
      <c r="K589" s="74">
        <f>+L552</f>
        <v>0</v>
      </c>
      <c r="L589" s="195">
        <f>+J589+K589</f>
        <v>0</v>
      </c>
    </row>
    <row r="590" spans="1:16" ht="15.75">
      <c r="A590" s="72">
        <v>723</v>
      </c>
      <c r="B590" s="80"/>
      <c r="C590" s="74">
        <f t="shared" si="0"/>
        <v>321228837</v>
      </c>
      <c r="D590" s="195">
        <f>+B590+C590</f>
        <v>321228837</v>
      </c>
      <c r="F590" s="193" t="s">
        <v>289</v>
      </c>
      <c r="G590" s="175"/>
      <c r="I590" s="72">
        <v>723</v>
      </c>
      <c r="J590" s="80">
        <f>+P567+P569+P571+P573+P575</f>
        <v>41053268</v>
      </c>
      <c r="K590" s="74">
        <f>+L553</f>
        <v>212226355</v>
      </c>
      <c r="L590" s="195">
        <f>+J590+K590</f>
        <v>253279623</v>
      </c>
      <c r="N590" s="174" t="s">
        <v>558</v>
      </c>
      <c r="O590" s="175"/>
    </row>
    <row r="591" spans="1:16" ht="16.5" thickBot="1">
      <c r="A591" s="164" t="s">
        <v>181</v>
      </c>
      <c r="B591" s="165"/>
      <c r="C591" s="199">
        <f t="shared" si="0"/>
        <v>1965625</v>
      </c>
      <c r="D591" s="196">
        <f>+B591+C591</f>
        <v>1965625</v>
      </c>
      <c r="F591" s="52"/>
      <c r="I591" s="164" t="s">
        <v>181</v>
      </c>
      <c r="J591" s="165"/>
      <c r="K591" s="74">
        <f>+L554</f>
        <v>0</v>
      </c>
      <c r="L591" s="196">
        <f>+J591+K591</f>
        <v>0</v>
      </c>
      <c r="N591" s="52"/>
    </row>
    <row r="592" spans="1:16" ht="16.5" thickBot="1">
      <c r="A592" s="169"/>
      <c r="B592" s="197">
        <f>SUM(B587:B591)</f>
        <v>140000</v>
      </c>
      <c r="C592" s="200">
        <f t="shared" si="0"/>
        <v>630680225</v>
      </c>
      <c r="D592" s="198">
        <f>SUM(D587:D591)</f>
        <v>630820225</v>
      </c>
      <c r="I592" s="169"/>
      <c r="J592" s="197">
        <f>SUM(J587:J591)</f>
        <v>41053268</v>
      </c>
      <c r="K592" s="197">
        <f>SUM(K587:K591)</f>
        <v>219262355</v>
      </c>
      <c r="L592" s="198">
        <f>SUM(L587:L591)</f>
        <v>260315623</v>
      </c>
    </row>
    <row r="593" spans="1:16" ht="16.5">
      <c r="A593" s="49" t="s">
        <v>88</v>
      </c>
      <c r="B593" s="50"/>
      <c r="I593" s="49" t="s">
        <v>88</v>
      </c>
      <c r="J593" s="50"/>
    </row>
    <row r="594" spans="1:16">
      <c r="A594" s="51" t="s">
        <v>89</v>
      </c>
      <c r="I594" s="51" t="s">
        <v>89</v>
      </c>
    </row>
    <row r="595" spans="1:16">
      <c r="A595" s="51" t="s">
        <v>90</v>
      </c>
      <c r="I595" s="51" t="s">
        <v>90</v>
      </c>
    </row>
    <row r="596" spans="1:16">
      <c r="A596" s="51" t="s">
        <v>91</v>
      </c>
      <c r="I596" s="51" t="s">
        <v>91</v>
      </c>
    </row>
    <row r="597" spans="1:16" ht="12" customHeight="1">
      <c r="A597" s="50"/>
      <c r="B597" s="50"/>
      <c r="I597" s="50"/>
      <c r="J597" s="50"/>
    </row>
    <row r="598" spans="1:16" ht="16.5">
      <c r="A598" s="52" t="s">
        <v>318</v>
      </c>
      <c r="G598" s="52"/>
      <c r="I598" s="52" t="s">
        <v>640</v>
      </c>
      <c r="O598" s="52"/>
    </row>
    <row r="599" spans="1:16" ht="15.75">
      <c r="A599" s="53" t="s">
        <v>92</v>
      </c>
      <c r="G599" s="53"/>
      <c r="I599" s="53" t="s">
        <v>535</v>
      </c>
      <c r="O599" s="53"/>
    </row>
    <row r="600" spans="1:16" ht="16.5">
      <c r="A600" s="894" t="s">
        <v>261</v>
      </c>
      <c r="B600" s="894"/>
      <c r="C600" s="894"/>
      <c r="D600" s="894"/>
      <c r="E600" s="894"/>
      <c r="F600" s="894"/>
      <c r="G600" s="894"/>
      <c r="H600" s="894"/>
      <c r="I600" s="894" t="s">
        <v>212</v>
      </c>
      <c r="J600" s="894"/>
      <c r="K600" s="894"/>
      <c r="L600" s="894"/>
      <c r="M600" s="894"/>
      <c r="N600" s="894"/>
      <c r="O600" s="894"/>
      <c r="P600" s="894"/>
    </row>
    <row r="601" spans="1:16" ht="15.75" thickBot="1"/>
    <row r="602" spans="1:16">
      <c r="A602" s="895" t="s">
        <v>94</v>
      </c>
      <c r="B602" s="897" t="s">
        <v>95</v>
      </c>
      <c r="C602" s="897" t="s">
        <v>96</v>
      </c>
      <c r="D602" s="897" t="s">
        <v>3</v>
      </c>
      <c r="E602" s="897" t="s">
        <v>97</v>
      </c>
      <c r="F602" s="897" t="s">
        <v>98</v>
      </c>
      <c r="G602" s="897" t="s">
        <v>99</v>
      </c>
      <c r="H602" s="899"/>
      <c r="I602" s="895" t="s">
        <v>94</v>
      </c>
      <c r="J602" s="897" t="s">
        <v>95</v>
      </c>
      <c r="K602" s="897" t="s">
        <v>96</v>
      </c>
      <c r="L602" s="897" t="s">
        <v>3</v>
      </c>
      <c r="M602" s="897" t="s">
        <v>97</v>
      </c>
      <c r="N602" s="897" t="s">
        <v>98</v>
      </c>
      <c r="O602" s="897" t="s">
        <v>99</v>
      </c>
      <c r="P602" s="899"/>
    </row>
    <row r="603" spans="1:16" ht="15.75" thickBot="1">
      <c r="A603" s="896"/>
      <c r="B603" s="898"/>
      <c r="C603" s="898"/>
      <c r="D603" s="898"/>
      <c r="E603" s="898"/>
      <c r="F603" s="898"/>
      <c r="G603" s="240" t="s">
        <v>100</v>
      </c>
      <c r="H603" s="182" t="s">
        <v>101</v>
      </c>
      <c r="I603" s="896"/>
      <c r="J603" s="898"/>
      <c r="K603" s="898"/>
      <c r="L603" s="898"/>
      <c r="M603" s="898"/>
      <c r="N603" s="898"/>
      <c r="O603" s="240" t="s">
        <v>100</v>
      </c>
      <c r="P603" s="182" t="s">
        <v>101</v>
      </c>
    </row>
    <row r="604" spans="1:16" ht="15" customHeight="1">
      <c r="A604" s="881">
        <f>+A573+1</f>
        <v>304</v>
      </c>
      <c r="B604" s="875">
        <v>42286</v>
      </c>
      <c r="C604" s="877" t="s">
        <v>267</v>
      </c>
      <c r="D604" s="881" t="s">
        <v>320</v>
      </c>
      <c r="E604" s="881" t="s">
        <v>148</v>
      </c>
      <c r="F604" s="883">
        <v>70000</v>
      </c>
      <c r="G604" s="55">
        <v>719</v>
      </c>
      <c r="H604" s="78">
        <v>50000</v>
      </c>
      <c r="I604" s="873" t="s">
        <v>666</v>
      </c>
      <c r="J604" s="875">
        <v>42422</v>
      </c>
      <c r="K604" s="877" t="s">
        <v>698</v>
      </c>
      <c r="L604" s="881" t="s">
        <v>671</v>
      </c>
      <c r="M604" s="881" t="s">
        <v>148</v>
      </c>
      <c r="N604" s="883">
        <v>945000</v>
      </c>
      <c r="O604" s="55">
        <v>723</v>
      </c>
      <c r="P604" s="78">
        <v>945000</v>
      </c>
    </row>
    <row r="605" spans="1:16" ht="15.75" customHeight="1" thickBot="1">
      <c r="A605" s="882"/>
      <c r="B605" s="934"/>
      <c r="C605" s="878"/>
      <c r="D605" s="882"/>
      <c r="E605" s="882"/>
      <c r="F605" s="884"/>
      <c r="G605" s="56">
        <v>721</v>
      </c>
      <c r="H605" s="79">
        <f>+F604-H604</f>
        <v>20000</v>
      </c>
      <c r="I605" s="882"/>
      <c r="J605" s="876"/>
      <c r="K605" s="878"/>
      <c r="L605" s="882"/>
      <c r="M605" s="882"/>
      <c r="N605" s="884"/>
      <c r="O605" s="56">
        <v>721</v>
      </c>
      <c r="P605" s="79">
        <f>+N604-P604</f>
        <v>0</v>
      </c>
    </row>
    <row r="606" spans="1:16" ht="15" customHeight="1">
      <c r="A606" s="881">
        <f>+A604+1</f>
        <v>305</v>
      </c>
      <c r="B606" s="875">
        <v>42286</v>
      </c>
      <c r="C606" s="881" t="s">
        <v>28</v>
      </c>
      <c r="D606" s="881" t="s">
        <v>321</v>
      </c>
      <c r="E606" s="881" t="s">
        <v>148</v>
      </c>
      <c r="F606" s="883">
        <v>182000</v>
      </c>
      <c r="G606" s="55">
        <v>719</v>
      </c>
      <c r="H606" s="78">
        <v>130000</v>
      </c>
      <c r="I606" s="873" t="s">
        <v>667</v>
      </c>
      <c r="J606" s="875">
        <v>42422</v>
      </c>
      <c r="K606" s="877" t="s">
        <v>699</v>
      </c>
      <c r="L606" s="881" t="s">
        <v>671</v>
      </c>
      <c r="M606" s="881" t="s">
        <v>148</v>
      </c>
      <c r="N606" s="883">
        <v>3150000</v>
      </c>
      <c r="O606" s="55">
        <v>723</v>
      </c>
      <c r="P606" s="78">
        <v>3150000</v>
      </c>
    </row>
    <row r="607" spans="1:16" ht="15.75" customHeight="1" thickBot="1">
      <c r="A607" s="882"/>
      <c r="B607" s="934"/>
      <c r="C607" s="882"/>
      <c r="D607" s="882"/>
      <c r="E607" s="882"/>
      <c r="F607" s="884"/>
      <c r="G607" s="56">
        <v>721</v>
      </c>
      <c r="H607" s="79">
        <f>+F606-H606</f>
        <v>52000</v>
      </c>
      <c r="I607" s="882"/>
      <c r="J607" s="876"/>
      <c r="K607" s="878"/>
      <c r="L607" s="882"/>
      <c r="M607" s="882"/>
      <c r="N607" s="884"/>
      <c r="O607" s="56">
        <v>721</v>
      </c>
      <c r="P607" s="79">
        <f>+N606-P606</f>
        <v>0</v>
      </c>
    </row>
    <row r="608" spans="1:16" ht="15" customHeight="1">
      <c r="A608" s="881">
        <f>+A606+1</f>
        <v>306</v>
      </c>
      <c r="B608" s="875">
        <v>42286</v>
      </c>
      <c r="C608" s="877" t="s">
        <v>32</v>
      </c>
      <c r="D608" s="881" t="s">
        <v>322</v>
      </c>
      <c r="E608" s="881" t="s">
        <v>148</v>
      </c>
      <c r="F608" s="883">
        <v>70000</v>
      </c>
      <c r="G608" s="55">
        <v>719</v>
      </c>
      <c r="H608" s="78">
        <v>50000</v>
      </c>
      <c r="I608" s="873" t="s">
        <v>668</v>
      </c>
      <c r="J608" s="875">
        <v>42422</v>
      </c>
      <c r="K608" s="877" t="s">
        <v>700</v>
      </c>
      <c r="L608" s="881" t="s">
        <v>671</v>
      </c>
      <c r="M608" s="881" t="s">
        <v>148</v>
      </c>
      <c r="N608" s="883">
        <v>504000</v>
      </c>
      <c r="O608" s="55">
        <v>723</v>
      </c>
      <c r="P608" s="78">
        <v>504000</v>
      </c>
    </row>
    <row r="609" spans="1:16" ht="15.75" customHeight="1" thickBot="1">
      <c r="A609" s="882"/>
      <c r="B609" s="934"/>
      <c r="C609" s="878"/>
      <c r="D609" s="882"/>
      <c r="E609" s="882"/>
      <c r="F609" s="884"/>
      <c r="G609" s="56">
        <v>721</v>
      </c>
      <c r="H609" s="79">
        <f>+F608-H608</f>
        <v>20000</v>
      </c>
      <c r="I609" s="882"/>
      <c r="J609" s="876"/>
      <c r="K609" s="878"/>
      <c r="L609" s="882"/>
      <c r="M609" s="882"/>
      <c r="N609" s="884"/>
      <c r="O609" s="56">
        <v>721</v>
      </c>
      <c r="P609" s="79">
        <f>+N608-P608</f>
        <v>0</v>
      </c>
    </row>
    <row r="610" spans="1:16" ht="15" customHeight="1">
      <c r="A610" s="881">
        <f>+A608+1</f>
        <v>307</v>
      </c>
      <c r="B610" s="875">
        <v>42286</v>
      </c>
      <c r="C610" s="877" t="s">
        <v>111</v>
      </c>
      <c r="D610" s="881" t="s">
        <v>319</v>
      </c>
      <c r="E610" s="881" t="s">
        <v>148</v>
      </c>
      <c r="F610" s="883">
        <v>28000</v>
      </c>
      <c r="G610" s="55">
        <v>719</v>
      </c>
      <c r="H610" s="78">
        <v>20000</v>
      </c>
      <c r="I610" s="873" t="s">
        <v>669</v>
      </c>
      <c r="J610" s="875">
        <v>42422</v>
      </c>
      <c r="K610" s="877" t="s">
        <v>701</v>
      </c>
      <c r="L610" s="881" t="s">
        <v>671</v>
      </c>
      <c r="M610" s="881" t="s">
        <v>148</v>
      </c>
      <c r="N610" s="883">
        <v>630000</v>
      </c>
      <c r="O610" s="55">
        <v>723</v>
      </c>
      <c r="P610" s="78">
        <v>630000</v>
      </c>
    </row>
    <row r="611" spans="1:16" ht="15.75" customHeight="1" thickBot="1">
      <c r="A611" s="882"/>
      <c r="B611" s="934"/>
      <c r="C611" s="878"/>
      <c r="D611" s="882"/>
      <c r="E611" s="882"/>
      <c r="F611" s="884"/>
      <c r="G611" s="56">
        <v>721</v>
      </c>
      <c r="H611" s="79">
        <f>+F610-H610</f>
        <v>8000</v>
      </c>
      <c r="I611" s="882"/>
      <c r="J611" s="876"/>
      <c r="K611" s="878"/>
      <c r="L611" s="882"/>
      <c r="M611" s="882"/>
      <c r="N611" s="884"/>
      <c r="O611" s="56">
        <v>721</v>
      </c>
      <c r="P611" s="79">
        <f>+N610-P610</f>
        <v>0</v>
      </c>
    </row>
    <row r="612" spans="1:16" ht="15" customHeight="1">
      <c r="A612" s="881">
        <f>+A610+1</f>
        <v>308</v>
      </c>
      <c r="B612" s="875">
        <v>42286</v>
      </c>
      <c r="C612" s="877" t="s">
        <v>272</v>
      </c>
      <c r="D612" s="881" t="s">
        <v>322</v>
      </c>
      <c r="E612" s="881" t="s">
        <v>148</v>
      </c>
      <c r="F612" s="883">
        <v>322000</v>
      </c>
      <c r="G612" s="55">
        <v>719</v>
      </c>
      <c r="H612" s="78">
        <v>230000</v>
      </c>
      <c r="I612" s="873" t="s">
        <v>670</v>
      </c>
      <c r="J612" s="875">
        <v>42422</v>
      </c>
      <c r="K612" s="877" t="s">
        <v>117</v>
      </c>
      <c r="L612" s="881" t="s">
        <v>671</v>
      </c>
      <c r="M612" s="881" t="s">
        <v>148</v>
      </c>
      <c r="N612" s="883">
        <v>1512000</v>
      </c>
      <c r="O612" s="55">
        <v>723</v>
      </c>
      <c r="P612" s="78">
        <v>1512000</v>
      </c>
    </row>
    <row r="613" spans="1:16" ht="15.75" customHeight="1" thickBot="1">
      <c r="A613" s="882"/>
      <c r="B613" s="934"/>
      <c r="C613" s="878"/>
      <c r="D613" s="882"/>
      <c r="E613" s="882"/>
      <c r="F613" s="884"/>
      <c r="G613" s="56">
        <v>721</v>
      </c>
      <c r="H613" s="79">
        <f>+F612-H612</f>
        <v>92000</v>
      </c>
      <c r="I613" s="882"/>
      <c r="J613" s="876"/>
      <c r="K613" s="878"/>
      <c r="L613" s="882"/>
      <c r="M613" s="882"/>
      <c r="N613" s="884"/>
      <c r="O613" s="56">
        <v>721</v>
      </c>
      <c r="P613" s="79">
        <f>+N612-P612</f>
        <v>0</v>
      </c>
    </row>
    <row r="614" spans="1:16" ht="16.5" thickBot="1">
      <c r="A614" s="901" t="s">
        <v>102</v>
      </c>
      <c r="B614" s="902"/>
      <c r="C614" s="902"/>
      <c r="D614" s="902"/>
      <c r="E614" s="903"/>
      <c r="F614" s="81">
        <f>SUM(F604:F613)</f>
        <v>672000</v>
      </c>
      <c r="I614" s="901" t="s">
        <v>102</v>
      </c>
      <c r="J614" s="902"/>
      <c r="K614" s="902"/>
      <c r="L614" s="902"/>
      <c r="M614" s="903"/>
      <c r="N614" s="81">
        <f>SUM(N604:N613)</f>
        <v>6741000</v>
      </c>
    </row>
    <row r="615" spans="1:16" ht="16.5" thickBot="1">
      <c r="A615" s="885" t="s">
        <v>103</v>
      </c>
      <c r="B615" s="886"/>
      <c r="C615" s="886"/>
      <c r="D615" s="886"/>
      <c r="E615" s="887"/>
      <c r="F615" s="69">
        <f>+F579</f>
        <v>630820225</v>
      </c>
      <c r="I615" s="885" t="s">
        <v>103</v>
      </c>
      <c r="J615" s="886"/>
      <c r="K615" s="886"/>
      <c r="L615" s="886"/>
      <c r="M615" s="887"/>
      <c r="N615" s="239">
        <f>+N579</f>
        <v>260315623</v>
      </c>
      <c r="O615" s="241" t="s">
        <v>561</v>
      </c>
      <c r="P615" s="242"/>
    </row>
    <row r="616" spans="1:16" ht="16.5" thickBot="1">
      <c r="A616" s="888" t="s">
        <v>104</v>
      </c>
      <c r="B616" s="889"/>
      <c r="C616" s="889"/>
      <c r="D616" s="889"/>
      <c r="E616" s="890"/>
      <c r="F616" s="183">
        <f>SUM(F614:F615)</f>
        <v>631492225</v>
      </c>
      <c r="I616" s="888" t="s">
        <v>104</v>
      </c>
      <c r="J616" s="889"/>
      <c r="K616" s="889"/>
      <c r="L616" s="889"/>
      <c r="M616" s="890"/>
      <c r="N616" s="183">
        <f>SUM(N614:N615)</f>
        <v>267056623</v>
      </c>
    </row>
    <row r="617" spans="1:16" ht="13.5" customHeight="1">
      <c r="A617" s="61"/>
      <c r="B617" s="61"/>
      <c r="C617" s="61"/>
      <c r="D617" s="61"/>
      <c r="E617" s="61"/>
      <c r="I617" s="61"/>
      <c r="J617" s="61"/>
      <c r="K617" s="61"/>
      <c r="L617" s="61"/>
      <c r="M617" s="61"/>
    </row>
    <row r="618" spans="1:16">
      <c r="A618" s="51" t="s">
        <v>323</v>
      </c>
      <c r="I618" s="51" t="s">
        <v>702</v>
      </c>
    </row>
    <row r="619" spans="1:16" ht="10.5" customHeight="1">
      <c r="F619" s="139"/>
      <c r="N619" s="139"/>
    </row>
    <row r="620" spans="1:16">
      <c r="A620" s="50" t="s">
        <v>105</v>
      </c>
      <c r="D620" s="146"/>
      <c r="F620" s="139"/>
      <c r="I620" s="50" t="s">
        <v>105</v>
      </c>
      <c r="L620" s="146"/>
      <c r="N620" s="139"/>
    </row>
    <row r="621" spans="1:16" ht="13.5" customHeight="1" thickBot="1"/>
    <row r="622" spans="1:16" ht="15.75" thickBot="1">
      <c r="A622" s="891" t="s">
        <v>106</v>
      </c>
      <c r="B622" s="892"/>
      <c r="C622" s="892"/>
      <c r="D622" s="893"/>
      <c r="F622" s="50" t="s">
        <v>288</v>
      </c>
      <c r="I622" s="891" t="s">
        <v>106</v>
      </c>
      <c r="J622" s="892"/>
      <c r="K622" s="892"/>
      <c r="L622" s="893"/>
      <c r="N622" s="50" t="s">
        <v>270</v>
      </c>
    </row>
    <row r="623" spans="1:16" ht="30.75" thickBot="1">
      <c r="A623" s="57" t="s">
        <v>100</v>
      </c>
      <c r="B623" s="58" t="s">
        <v>108</v>
      </c>
      <c r="C623" s="59" t="s">
        <v>109</v>
      </c>
      <c r="D623" s="60" t="s">
        <v>110</v>
      </c>
      <c r="I623" s="57" t="s">
        <v>100</v>
      </c>
      <c r="J623" s="58" t="s">
        <v>108</v>
      </c>
      <c r="K623" s="59" t="s">
        <v>109</v>
      </c>
      <c r="L623" s="60" t="s">
        <v>110</v>
      </c>
    </row>
    <row r="624" spans="1:16">
      <c r="A624" s="71">
        <v>719</v>
      </c>
      <c r="B624" s="73">
        <f>+H604+H606+H608+H610+H612</f>
        <v>480000</v>
      </c>
      <c r="C624" s="74">
        <f>+D587</f>
        <v>37290000</v>
      </c>
      <c r="D624" s="195">
        <f>+B624+C624</f>
        <v>37770000</v>
      </c>
      <c r="I624" s="71">
        <v>719</v>
      </c>
      <c r="J624" s="73"/>
      <c r="K624" s="74">
        <f>+L587</f>
        <v>5340000</v>
      </c>
      <c r="L624" s="195">
        <f>+J624+K624</f>
        <v>5340000</v>
      </c>
    </row>
    <row r="625" spans="1:16">
      <c r="A625" s="72">
        <v>721</v>
      </c>
      <c r="B625" s="80">
        <f>+H605+H607+H609+H611+H613</f>
        <v>192000</v>
      </c>
      <c r="C625" s="74">
        <f>+D588</f>
        <v>39128092</v>
      </c>
      <c r="D625" s="195">
        <f>+B625+C625</f>
        <v>39320092</v>
      </c>
      <c r="I625" s="72">
        <v>721</v>
      </c>
      <c r="J625" s="80"/>
      <c r="K625" s="74">
        <f>+L588</f>
        <v>1696000</v>
      </c>
      <c r="L625" s="195">
        <f>+J625+K625</f>
        <v>1696000</v>
      </c>
    </row>
    <row r="626" spans="1:16">
      <c r="A626" s="72">
        <v>722</v>
      </c>
      <c r="B626" s="80"/>
      <c r="C626" s="74">
        <f>+D589</f>
        <v>231207671</v>
      </c>
      <c r="D626" s="195">
        <f>+B626+C626</f>
        <v>231207671</v>
      </c>
      <c r="I626" s="72">
        <v>722</v>
      </c>
      <c r="J626" s="80"/>
      <c r="K626" s="74">
        <f>+L589</f>
        <v>0</v>
      </c>
      <c r="L626" s="195">
        <f>+J626+K626</f>
        <v>0</v>
      </c>
    </row>
    <row r="627" spans="1:16" ht="15.75">
      <c r="A627" s="72">
        <v>723</v>
      </c>
      <c r="B627" s="80"/>
      <c r="C627" s="74">
        <f>+D590</f>
        <v>321228837</v>
      </c>
      <c r="D627" s="195">
        <f>+B627+C627</f>
        <v>321228837</v>
      </c>
      <c r="F627" s="193" t="s">
        <v>289</v>
      </c>
      <c r="G627" s="175"/>
      <c r="I627" s="72">
        <v>723</v>
      </c>
      <c r="J627" s="80">
        <f>+P604+P606+P608+P610+P612</f>
        <v>6741000</v>
      </c>
      <c r="K627" s="74">
        <f>+L590</f>
        <v>253279623</v>
      </c>
      <c r="L627" s="195">
        <f>+J627+K627</f>
        <v>260020623</v>
      </c>
      <c r="N627" s="174" t="s">
        <v>558</v>
      </c>
      <c r="O627" s="175"/>
    </row>
    <row r="628" spans="1:16" ht="16.5" thickBot="1">
      <c r="A628" s="164" t="s">
        <v>181</v>
      </c>
      <c r="B628" s="165"/>
      <c r="C628" s="74">
        <f>+D591</f>
        <v>1965625</v>
      </c>
      <c r="D628" s="196">
        <f>+B628+C628</f>
        <v>1965625</v>
      </c>
      <c r="F628" s="52"/>
      <c r="I628" s="164" t="s">
        <v>181</v>
      </c>
      <c r="J628" s="165"/>
      <c r="K628" s="74">
        <f>+L591</f>
        <v>0</v>
      </c>
      <c r="L628" s="196">
        <f>+J628+K628</f>
        <v>0</v>
      </c>
      <c r="N628" s="52"/>
    </row>
    <row r="629" spans="1:16" ht="16.5" thickBot="1">
      <c r="A629" s="169"/>
      <c r="B629" s="170">
        <f>SUM(B624:B628)</f>
        <v>672000</v>
      </c>
      <c r="C629" s="171">
        <f>SUM(C624:C628)</f>
        <v>630820225</v>
      </c>
      <c r="D629" s="172">
        <f>SUM(D624:D628)</f>
        <v>631492225</v>
      </c>
      <c r="I629" s="169"/>
      <c r="J629" s="197">
        <f>SUM(J624:J628)</f>
        <v>6741000</v>
      </c>
      <c r="K629" s="197">
        <f>SUM(K624:K628)</f>
        <v>260315623</v>
      </c>
      <c r="L629" s="198">
        <f>SUM(L624:L628)</f>
        <v>267056623</v>
      </c>
    </row>
    <row r="630" spans="1:16" ht="16.5">
      <c r="A630" s="49" t="s">
        <v>88</v>
      </c>
      <c r="B630" s="50"/>
      <c r="I630" s="49" t="s">
        <v>88</v>
      </c>
      <c r="J630" s="50"/>
    </row>
    <row r="631" spans="1:16">
      <c r="A631" s="51" t="s">
        <v>89</v>
      </c>
      <c r="I631" s="51" t="s">
        <v>89</v>
      </c>
    </row>
    <row r="632" spans="1:16">
      <c r="A632" s="51" t="s">
        <v>90</v>
      </c>
      <c r="I632" s="51" t="s">
        <v>90</v>
      </c>
    </row>
    <row r="633" spans="1:16">
      <c r="A633" s="51" t="s">
        <v>91</v>
      </c>
      <c r="I633" s="51" t="s">
        <v>91</v>
      </c>
    </row>
    <row r="634" spans="1:16" ht="13.5" customHeight="1">
      <c r="A634" s="50"/>
      <c r="B634" s="50"/>
      <c r="I634" s="50"/>
      <c r="J634" s="50"/>
    </row>
    <row r="635" spans="1:16" ht="16.5">
      <c r="A635" s="52" t="s">
        <v>344</v>
      </c>
      <c r="G635" s="52"/>
      <c r="I635" s="52" t="s">
        <v>725</v>
      </c>
      <c r="O635" s="52"/>
    </row>
    <row r="636" spans="1:16" ht="15.75">
      <c r="A636" s="53" t="s">
        <v>92</v>
      </c>
      <c r="G636" s="53"/>
      <c r="I636" s="53" t="s">
        <v>535</v>
      </c>
      <c r="O636" s="53"/>
    </row>
    <row r="637" spans="1:16" ht="16.5">
      <c r="A637" s="894" t="s">
        <v>347</v>
      </c>
      <c r="B637" s="894"/>
      <c r="C637" s="894"/>
      <c r="D637" s="894"/>
      <c r="E637" s="894"/>
      <c r="F637" s="894"/>
      <c r="G637" s="894"/>
      <c r="H637" s="894"/>
      <c r="I637" s="894" t="s">
        <v>212</v>
      </c>
      <c r="J637" s="894"/>
      <c r="K637" s="894"/>
      <c r="L637" s="894"/>
      <c r="M637" s="894"/>
      <c r="N637" s="894"/>
      <c r="O637" s="894"/>
      <c r="P637" s="894"/>
    </row>
    <row r="638" spans="1:16" ht="15.75" thickBot="1"/>
    <row r="639" spans="1:16">
      <c r="A639" s="895" t="s">
        <v>94</v>
      </c>
      <c r="B639" s="897" t="s">
        <v>95</v>
      </c>
      <c r="C639" s="897" t="s">
        <v>96</v>
      </c>
      <c r="D639" s="897" t="s">
        <v>3</v>
      </c>
      <c r="E639" s="897" t="s">
        <v>97</v>
      </c>
      <c r="F639" s="897" t="s">
        <v>98</v>
      </c>
      <c r="G639" s="897" t="s">
        <v>99</v>
      </c>
      <c r="H639" s="899"/>
      <c r="I639" s="895" t="s">
        <v>94</v>
      </c>
      <c r="J639" s="897" t="s">
        <v>95</v>
      </c>
      <c r="K639" s="897" t="s">
        <v>96</v>
      </c>
      <c r="L639" s="897" t="s">
        <v>3</v>
      </c>
      <c r="M639" s="897" t="s">
        <v>97</v>
      </c>
      <c r="N639" s="897" t="s">
        <v>98</v>
      </c>
      <c r="O639" s="897" t="s">
        <v>99</v>
      </c>
      <c r="P639" s="899"/>
    </row>
    <row r="640" spans="1:16" ht="15.75" thickBot="1">
      <c r="A640" s="896"/>
      <c r="B640" s="898"/>
      <c r="C640" s="898"/>
      <c r="D640" s="898"/>
      <c r="E640" s="898"/>
      <c r="F640" s="898"/>
      <c r="G640" s="240" t="s">
        <v>100</v>
      </c>
      <c r="H640" s="182" t="s">
        <v>101</v>
      </c>
      <c r="I640" s="896"/>
      <c r="J640" s="898"/>
      <c r="K640" s="898"/>
      <c r="L640" s="898"/>
      <c r="M640" s="898"/>
      <c r="N640" s="898"/>
      <c r="O640" s="240" t="s">
        <v>100</v>
      </c>
      <c r="P640" s="182" t="s">
        <v>101</v>
      </c>
    </row>
    <row r="641" spans="1:16" ht="15" customHeight="1">
      <c r="A641" s="881">
        <f>+A612+1</f>
        <v>309</v>
      </c>
      <c r="B641" s="875">
        <v>42293</v>
      </c>
      <c r="C641" s="877" t="s">
        <v>325</v>
      </c>
      <c r="D641" s="877" t="s">
        <v>324</v>
      </c>
      <c r="E641" s="881" t="s">
        <v>145</v>
      </c>
      <c r="F641" s="883">
        <v>20276705</v>
      </c>
      <c r="G641" s="55">
        <v>719</v>
      </c>
      <c r="H641" s="78"/>
      <c r="I641" s="873" t="s">
        <v>717</v>
      </c>
      <c r="J641" s="875">
        <v>42422</v>
      </c>
      <c r="K641" s="877" t="s">
        <v>722</v>
      </c>
      <c r="L641" s="881" t="s">
        <v>671</v>
      </c>
      <c r="M641" s="881" t="s">
        <v>148</v>
      </c>
      <c r="N641" s="883">
        <v>1050000</v>
      </c>
      <c r="O641" s="55">
        <v>723</v>
      </c>
      <c r="P641" s="258">
        <v>1050000</v>
      </c>
    </row>
    <row r="642" spans="1:16" ht="15.75" customHeight="1" thickBot="1">
      <c r="A642" s="882"/>
      <c r="B642" s="876"/>
      <c r="C642" s="878"/>
      <c r="D642" s="878"/>
      <c r="E642" s="882"/>
      <c r="F642" s="884"/>
      <c r="G642" s="56">
        <v>721</v>
      </c>
      <c r="H642" s="79">
        <f>+F641-H641</f>
        <v>20276705</v>
      </c>
      <c r="I642" s="882"/>
      <c r="J642" s="876"/>
      <c r="K642" s="878"/>
      <c r="L642" s="882"/>
      <c r="M642" s="882"/>
      <c r="N642" s="884"/>
      <c r="O642" s="56">
        <v>721</v>
      </c>
      <c r="P642" s="79">
        <f>+N641-P641</f>
        <v>0</v>
      </c>
    </row>
    <row r="643" spans="1:16" ht="15" customHeight="1">
      <c r="A643" s="881">
        <f>+A641+1</f>
        <v>310</v>
      </c>
      <c r="B643" s="875">
        <v>42293</v>
      </c>
      <c r="C643" s="877" t="s">
        <v>345</v>
      </c>
      <c r="D643" s="877" t="s">
        <v>346</v>
      </c>
      <c r="E643" s="881" t="s">
        <v>165</v>
      </c>
      <c r="F643" s="883">
        <v>200000</v>
      </c>
      <c r="G643" s="55">
        <v>719</v>
      </c>
      <c r="H643" s="78"/>
      <c r="I643" s="873" t="s">
        <v>718</v>
      </c>
      <c r="J643" s="875">
        <v>42422</v>
      </c>
      <c r="K643" s="877" t="s">
        <v>722</v>
      </c>
      <c r="L643" s="881" t="s">
        <v>671</v>
      </c>
      <c r="M643" s="881" t="s">
        <v>148</v>
      </c>
      <c r="N643" s="883">
        <v>2100000</v>
      </c>
      <c r="O643" s="55">
        <v>723</v>
      </c>
      <c r="P643" s="78">
        <v>2100000</v>
      </c>
    </row>
    <row r="644" spans="1:16" ht="15.75" customHeight="1" thickBot="1">
      <c r="A644" s="882"/>
      <c r="B644" s="876"/>
      <c r="C644" s="878"/>
      <c r="D644" s="878"/>
      <c r="E644" s="882"/>
      <c r="F644" s="884"/>
      <c r="G644" s="56">
        <v>723</v>
      </c>
      <c r="H644" s="79">
        <f>+F643-H643</f>
        <v>200000</v>
      </c>
      <c r="I644" s="882"/>
      <c r="J644" s="876"/>
      <c r="K644" s="878"/>
      <c r="L644" s="882"/>
      <c r="M644" s="882"/>
      <c r="N644" s="884"/>
      <c r="O644" s="56">
        <v>721</v>
      </c>
      <c r="P644" s="79">
        <f>+N643-P643</f>
        <v>0</v>
      </c>
    </row>
    <row r="645" spans="1:16" ht="15" customHeight="1">
      <c r="A645" s="881"/>
      <c r="B645" s="875"/>
      <c r="C645" s="877"/>
      <c r="D645" s="881"/>
      <c r="E645" s="881"/>
      <c r="F645" s="883"/>
      <c r="G645" s="55">
        <v>719</v>
      </c>
      <c r="H645" s="78"/>
      <c r="I645" s="873" t="s">
        <v>719</v>
      </c>
      <c r="J645" s="875">
        <v>42422</v>
      </c>
      <c r="K645" s="877" t="s">
        <v>729</v>
      </c>
      <c r="L645" s="881" t="s">
        <v>671</v>
      </c>
      <c r="M645" s="881" t="s">
        <v>148</v>
      </c>
      <c r="N645" s="883">
        <v>945000</v>
      </c>
      <c r="O645" s="55">
        <v>723</v>
      </c>
      <c r="P645" s="78">
        <v>945000</v>
      </c>
    </row>
    <row r="646" spans="1:16" ht="15.75" customHeight="1" thickBot="1">
      <c r="A646" s="882"/>
      <c r="B646" s="876"/>
      <c r="C646" s="878"/>
      <c r="D646" s="882"/>
      <c r="E646" s="882"/>
      <c r="F646" s="884"/>
      <c r="G646" s="56">
        <v>721</v>
      </c>
      <c r="H646" s="79">
        <f>+F645-H645</f>
        <v>0</v>
      </c>
      <c r="I646" s="882"/>
      <c r="J646" s="876"/>
      <c r="K646" s="878"/>
      <c r="L646" s="882"/>
      <c r="M646" s="882"/>
      <c r="N646" s="884"/>
      <c r="O646" s="56">
        <v>721</v>
      </c>
      <c r="P646" s="79">
        <f>+N645-P645</f>
        <v>0</v>
      </c>
    </row>
    <row r="647" spans="1:16" ht="15" customHeight="1">
      <c r="A647" s="881"/>
      <c r="B647" s="875"/>
      <c r="C647" s="877"/>
      <c r="D647" s="881"/>
      <c r="E647" s="881"/>
      <c r="F647" s="883"/>
      <c r="G647" s="55">
        <v>719</v>
      </c>
      <c r="H647" s="78"/>
      <c r="I647" s="873" t="s">
        <v>720</v>
      </c>
      <c r="J647" s="875">
        <v>42422</v>
      </c>
      <c r="K647" s="877" t="s">
        <v>723</v>
      </c>
      <c r="L647" s="881" t="s">
        <v>671</v>
      </c>
      <c r="M647" s="881" t="s">
        <v>148</v>
      </c>
      <c r="N647" s="883">
        <v>630000</v>
      </c>
      <c r="O647" s="55">
        <v>723</v>
      </c>
      <c r="P647" s="78">
        <v>630000</v>
      </c>
    </row>
    <row r="648" spans="1:16" ht="15.75" customHeight="1" thickBot="1">
      <c r="A648" s="882"/>
      <c r="B648" s="876"/>
      <c r="C648" s="878"/>
      <c r="D648" s="882"/>
      <c r="E648" s="882"/>
      <c r="F648" s="884"/>
      <c r="G648" s="56">
        <v>721</v>
      </c>
      <c r="H648" s="79">
        <f>+F647-H647</f>
        <v>0</v>
      </c>
      <c r="I648" s="882"/>
      <c r="J648" s="876"/>
      <c r="K648" s="878"/>
      <c r="L648" s="882"/>
      <c r="M648" s="882"/>
      <c r="N648" s="884"/>
      <c r="O648" s="56">
        <v>721</v>
      </c>
      <c r="P648" s="79">
        <f>+N647-P647</f>
        <v>0</v>
      </c>
    </row>
    <row r="649" spans="1:16" ht="15" customHeight="1">
      <c r="A649" s="881"/>
      <c r="B649" s="875"/>
      <c r="C649" s="877"/>
      <c r="D649" s="881"/>
      <c r="E649" s="881"/>
      <c r="F649" s="883"/>
      <c r="G649" s="55">
        <v>719</v>
      </c>
      <c r="H649" s="78"/>
      <c r="I649" s="873" t="s">
        <v>721</v>
      </c>
      <c r="J649" s="875">
        <v>42422</v>
      </c>
      <c r="K649" s="877" t="s">
        <v>724</v>
      </c>
      <c r="L649" s="881" t="s">
        <v>671</v>
      </c>
      <c r="M649" s="881" t="s">
        <v>148</v>
      </c>
      <c r="N649" s="883">
        <v>1260000</v>
      </c>
      <c r="O649" s="55">
        <v>723</v>
      </c>
      <c r="P649" s="78">
        <v>1260000</v>
      </c>
    </row>
    <row r="650" spans="1:16" ht="15.75" customHeight="1" thickBot="1">
      <c r="A650" s="882"/>
      <c r="B650" s="876"/>
      <c r="C650" s="878"/>
      <c r="D650" s="882"/>
      <c r="E650" s="882"/>
      <c r="F650" s="884"/>
      <c r="G650" s="56">
        <v>721</v>
      </c>
      <c r="H650" s="79">
        <f>+F649-H649</f>
        <v>0</v>
      </c>
      <c r="I650" s="882"/>
      <c r="J650" s="876"/>
      <c r="K650" s="878"/>
      <c r="L650" s="882"/>
      <c r="M650" s="882"/>
      <c r="N650" s="884"/>
      <c r="O650" s="56">
        <v>721</v>
      </c>
      <c r="P650" s="79">
        <f>+N649-P649</f>
        <v>0</v>
      </c>
    </row>
    <row r="651" spans="1:16" ht="16.5" thickBot="1">
      <c r="A651" s="901" t="s">
        <v>102</v>
      </c>
      <c r="B651" s="902"/>
      <c r="C651" s="902"/>
      <c r="D651" s="902"/>
      <c r="E651" s="903"/>
      <c r="F651" s="81">
        <f>SUM(F641:F650)</f>
        <v>20476705</v>
      </c>
      <c r="I651" s="901" t="s">
        <v>102</v>
      </c>
      <c r="J651" s="902"/>
      <c r="K651" s="902"/>
      <c r="L651" s="902"/>
      <c r="M651" s="903"/>
      <c r="N651" s="81">
        <f>SUM(N641:N650)</f>
        <v>5985000</v>
      </c>
    </row>
    <row r="652" spans="1:16" ht="16.5" thickBot="1">
      <c r="A652" s="885" t="s">
        <v>103</v>
      </c>
      <c r="B652" s="886"/>
      <c r="C652" s="886"/>
      <c r="D652" s="886"/>
      <c r="E652" s="887"/>
      <c r="F652" s="69">
        <f>+F616</f>
        <v>631492225</v>
      </c>
      <c r="I652" s="885" t="s">
        <v>103</v>
      </c>
      <c r="J652" s="886"/>
      <c r="K652" s="886"/>
      <c r="L652" s="886"/>
      <c r="M652" s="887"/>
      <c r="N652" s="239">
        <f>+N616</f>
        <v>267056623</v>
      </c>
      <c r="O652" s="241" t="s">
        <v>561</v>
      </c>
      <c r="P652" s="242"/>
    </row>
    <row r="653" spans="1:16" ht="16.5" thickBot="1">
      <c r="A653" s="888" t="s">
        <v>104</v>
      </c>
      <c r="B653" s="889"/>
      <c r="C653" s="889"/>
      <c r="D653" s="889"/>
      <c r="E653" s="890"/>
      <c r="F653" s="183">
        <f>SUM(F651:F652)</f>
        <v>651968930</v>
      </c>
      <c r="I653" s="888" t="s">
        <v>104</v>
      </c>
      <c r="J653" s="889"/>
      <c r="K653" s="889"/>
      <c r="L653" s="889"/>
      <c r="M653" s="890"/>
      <c r="N653" s="183">
        <f>SUM(N651:N652)</f>
        <v>273041623</v>
      </c>
    </row>
    <row r="654" spans="1:16">
      <c r="A654" s="61"/>
      <c r="B654" s="61"/>
      <c r="C654" s="61"/>
      <c r="D654" s="61"/>
      <c r="E654" s="61"/>
      <c r="I654" s="61"/>
      <c r="J654" s="61"/>
      <c r="K654" s="61"/>
      <c r="L654" s="61"/>
      <c r="M654" s="61"/>
    </row>
    <row r="655" spans="1:16">
      <c r="A655" s="51" t="s">
        <v>349</v>
      </c>
      <c r="I655" s="51" t="s">
        <v>730</v>
      </c>
    </row>
    <row r="656" spans="1:16" ht="12" customHeight="1">
      <c r="F656" s="139"/>
      <c r="N656" s="139"/>
    </row>
    <row r="657" spans="1:15">
      <c r="A657" s="50" t="s">
        <v>105</v>
      </c>
      <c r="D657" s="146"/>
      <c r="F657" s="139"/>
      <c r="I657" s="50" t="s">
        <v>105</v>
      </c>
      <c r="L657" s="146"/>
      <c r="N657" s="139"/>
    </row>
    <row r="658" spans="1:15" ht="10.5" customHeight="1" thickBot="1"/>
    <row r="659" spans="1:15" ht="15.75" thickBot="1">
      <c r="A659" s="891" t="s">
        <v>106</v>
      </c>
      <c r="B659" s="892"/>
      <c r="C659" s="892"/>
      <c r="D659" s="893"/>
      <c r="F659" s="50" t="s">
        <v>270</v>
      </c>
      <c r="I659" s="891" t="s">
        <v>106</v>
      </c>
      <c r="J659" s="892"/>
      <c r="K659" s="892"/>
      <c r="L659" s="893"/>
      <c r="N659" s="50" t="s">
        <v>270</v>
      </c>
    </row>
    <row r="660" spans="1:15" ht="30.75" thickBot="1">
      <c r="A660" s="57" t="s">
        <v>100</v>
      </c>
      <c r="B660" s="58" t="s">
        <v>108</v>
      </c>
      <c r="C660" s="59" t="s">
        <v>109</v>
      </c>
      <c r="D660" s="60" t="s">
        <v>110</v>
      </c>
      <c r="I660" s="57" t="s">
        <v>100</v>
      </c>
      <c r="J660" s="58" t="s">
        <v>108</v>
      </c>
      <c r="K660" s="59" t="s">
        <v>109</v>
      </c>
      <c r="L660" s="60" t="s">
        <v>110</v>
      </c>
    </row>
    <row r="661" spans="1:15">
      <c r="A661" s="71">
        <v>719</v>
      </c>
      <c r="B661" s="73">
        <f>+H641+H643+H645+H647+H649</f>
        <v>0</v>
      </c>
      <c r="C661" s="74">
        <f>+D624</f>
        <v>37770000</v>
      </c>
      <c r="D661" s="195">
        <f>+B661+C661</f>
        <v>37770000</v>
      </c>
      <c r="I661" s="71">
        <v>719</v>
      </c>
      <c r="J661" s="73"/>
      <c r="K661" s="74">
        <f>+L624</f>
        <v>5340000</v>
      </c>
      <c r="L661" s="195">
        <f>+J661+K661</f>
        <v>5340000</v>
      </c>
    </row>
    <row r="662" spans="1:15">
      <c r="A662" s="72">
        <v>721</v>
      </c>
      <c r="B662" s="80">
        <f>+H642</f>
        <v>20276705</v>
      </c>
      <c r="C662" s="74">
        <f>+D625</f>
        <v>39320092</v>
      </c>
      <c r="D662" s="195">
        <f>+B662+C662</f>
        <v>59596797</v>
      </c>
      <c r="I662" s="72">
        <v>721</v>
      </c>
      <c r="J662" s="80"/>
      <c r="K662" s="74">
        <f>+L625</f>
        <v>1696000</v>
      </c>
      <c r="L662" s="195">
        <f>+J662+K662</f>
        <v>1696000</v>
      </c>
    </row>
    <row r="663" spans="1:15">
      <c r="A663" s="72">
        <v>722</v>
      </c>
      <c r="B663" s="80"/>
      <c r="C663" s="74">
        <f>+D626</f>
        <v>231207671</v>
      </c>
      <c r="D663" s="195">
        <f>+B663+C663</f>
        <v>231207671</v>
      </c>
      <c r="I663" s="72">
        <v>722</v>
      </c>
      <c r="J663" s="80"/>
      <c r="K663" s="74">
        <f>+L626</f>
        <v>0</v>
      </c>
      <c r="L663" s="195">
        <f>+J663+K663</f>
        <v>0</v>
      </c>
    </row>
    <row r="664" spans="1:15" ht="15.75">
      <c r="A664" s="72">
        <v>723</v>
      </c>
      <c r="B664" s="80">
        <f>+H644</f>
        <v>200000</v>
      </c>
      <c r="C664" s="74">
        <f>+D627</f>
        <v>321228837</v>
      </c>
      <c r="D664" s="195">
        <f>+B664+C664</f>
        <v>321428837</v>
      </c>
      <c r="F664" s="193" t="s">
        <v>348</v>
      </c>
      <c r="G664" s="175"/>
      <c r="I664" s="72">
        <v>723</v>
      </c>
      <c r="J664" s="80">
        <f>+P641+P643+P645+P647+P649</f>
        <v>5985000</v>
      </c>
      <c r="K664" s="74">
        <f>+L627</f>
        <v>260020623</v>
      </c>
      <c r="L664" s="195">
        <f>+J664+K664</f>
        <v>266005623</v>
      </c>
      <c r="N664" s="174" t="s">
        <v>558</v>
      </c>
      <c r="O664" s="175"/>
    </row>
    <row r="665" spans="1:15" ht="16.5" thickBot="1">
      <c r="A665" s="164" t="s">
        <v>181</v>
      </c>
      <c r="B665" s="165"/>
      <c r="C665" s="74">
        <f>+D628</f>
        <v>1965625</v>
      </c>
      <c r="D665" s="196">
        <f>+B665+C665</f>
        <v>1965625</v>
      </c>
      <c r="F665" s="52"/>
      <c r="I665" s="164" t="s">
        <v>181</v>
      </c>
      <c r="J665" s="165"/>
      <c r="K665" s="74">
        <f>+L628</f>
        <v>0</v>
      </c>
      <c r="L665" s="196">
        <f>+J665+K665</f>
        <v>0</v>
      </c>
      <c r="N665" s="52"/>
    </row>
    <row r="666" spans="1:15" ht="16.5" thickBot="1">
      <c r="A666" s="169"/>
      <c r="B666" s="170">
        <f>SUM(B661:B665)</f>
        <v>20476705</v>
      </c>
      <c r="C666" s="171">
        <f>SUM(C661:C665)</f>
        <v>631492225</v>
      </c>
      <c r="D666" s="172">
        <f>SUM(D661:D665)</f>
        <v>651968930</v>
      </c>
      <c r="I666" s="169"/>
      <c r="J666" s="197">
        <f>SUM(J661:J665)</f>
        <v>5985000</v>
      </c>
      <c r="K666" s="197">
        <f>SUM(K661:K665)</f>
        <v>267056623</v>
      </c>
      <c r="L666" s="198">
        <f>SUM(L661:L665)</f>
        <v>273041623</v>
      </c>
    </row>
    <row r="667" spans="1:15" ht="16.5">
      <c r="A667" s="49" t="s">
        <v>88</v>
      </c>
      <c r="B667" s="50"/>
      <c r="I667" s="49" t="s">
        <v>88</v>
      </c>
      <c r="J667" s="50"/>
    </row>
    <row r="668" spans="1:15">
      <c r="A668" s="51" t="s">
        <v>89</v>
      </c>
      <c r="I668" s="51" t="s">
        <v>89</v>
      </c>
    </row>
    <row r="669" spans="1:15">
      <c r="A669" s="51" t="s">
        <v>90</v>
      </c>
      <c r="I669" s="51" t="s">
        <v>90</v>
      </c>
    </row>
    <row r="670" spans="1:15">
      <c r="A670" s="51" t="s">
        <v>91</v>
      </c>
      <c r="I670" s="51" t="s">
        <v>91</v>
      </c>
    </row>
    <row r="671" spans="1:15" ht="11.25" customHeight="1">
      <c r="A671" s="50"/>
      <c r="B671" s="50"/>
      <c r="I671" s="50"/>
      <c r="J671" s="50"/>
    </row>
    <row r="672" spans="1:15" ht="16.5">
      <c r="A672" s="52" t="s">
        <v>351</v>
      </c>
      <c r="G672" s="52"/>
      <c r="I672" s="52" t="s">
        <v>731</v>
      </c>
      <c r="O672" s="52"/>
    </row>
    <row r="673" spans="1:16" ht="15.75">
      <c r="A673" s="53" t="s">
        <v>92</v>
      </c>
      <c r="G673" s="53"/>
      <c r="I673" s="53" t="s">
        <v>535</v>
      </c>
      <c r="O673" s="53"/>
    </row>
    <row r="674" spans="1:16" ht="12.75" customHeight="1">
      <c r="A674" s="894" t="s">
        <v>93</v>
      </c>
      <c r="B674" s="894"/>
      <c r="C674" s="894"/>
      <c r="D674" s="894"/>
      <c r="E674" s="894"/>
      <c r="F674" s="894"/>
      <c r="G674" s="894"/>
      <c r="H674" s="894"/>
      <c r="I674" s="894" t="s">
        <v>212</v>
      </c>
      <c r="J674" s="894"/>
      <c r="K674" s="894"/>
      <c r="L674" s="894"/>
      <c r="M674" s="894"/>
      <c r="N674" s="894"/>
      <c r="O674" s="894"/>
      <c r="P674" s="894"/>
    </row>
    <row r="675" spans="1:16" ht="14.25" customHeight="1" thickBot="1"/>
    <row r="676" spans="1:16">
      <c r="A676" s="895" t="s">
        <v>94</v>
      </c>
      <c r="B676" s="897" t="s">
        <v>95</v>
      </c>
      <c r="C676" s="897" t="s">
        <v>96</v>
      </c>
      <c r="D676" s="897" t="s">
        <v>3</v>
      </c>
      <c r="E676" s="897" t="s">
        <v>97</v>
      </c>
      <c r="F676" s="897" t="s">
        <v>98</v>
      </c>
      <c r="G676" s="897" t="s">
        <v>99</v>
      </c>
      <c r="H676" s="899"/>
      <c r="I676" s="895" t="s">
        <v>94</v>
      </c>
      <c r="J676" s="897" t="s">
        <v>95</v>
      </c>
      <c r="K676" s="897" t="s">
        <v>96</v>
      </c>
      <c r="L676" s="897" t="s">
        <v>3</v>
      </c>
      <c r="M676" s="897" t="s">
        <v>97</v>
      </c>
      <c r="N676" s="897" t="s">
        <v>98</v>
      </c>
      <c r="O676" s="897" t="s">
        <v>99</v>
      </c>
      <c r="P676" s="899"/>
    </row>
    <row r="677" spans="1:16" ht="15.75" thickBot="1">
      <c r="A677" s="896"/>
      <c r="B677" s="898"/>
      <c r="C677" s="898"/>
      <c r="D677" s="898"/>
      <c r="E677" s="898"/>
      <c r="F677" s="898"/>
      <c r="G677" s="240" t="s">
        <v>100</v>
      </c>
      <c r="H677" s="182" t="s">
        <v>101</v>
      </c>
      <c r="I677" s="896"/>
      <c r="J677" s="898"/>
      <c r="K677" s="898"/>
      <c r="L677" s="898"/>
      <c r="M677" s="898"/>
      <c r="N677" s="898"/>
      <c r="O677" s="240" t="s">
        <v>100</v>
      </c>
      <c r="P677" s="182" t="s">
        <v>101</v>
      </c>
    </row>
    <row r="678" spans="1:16">
      <c r="A678" s="881">
        <f>+A643+1</f>
        <v>311</v>
      </c>
      <c r="B678" s="875">
        <v>42296</v>
      </c>
      <c r="C678" s="877" t="s">
        <v>267</v>
      </c>
      <c r="D678" s="881" t="s">
        <v>359</v>
      </c>
      <c r="E678" s="881" t="s">
        <v>148</v>
      </c>
      <c r="F678" s="883">
        <v>154000</v>
      </c>
      <c r="G678" s="55">
        <v>719</v>
      </c>
      <c r="H678" s="78">
        <v>110000</v>
      </c>
      <c r="I678" s="873" t="s">
        <v>732</v>
      </c>
      <c r="J678" s="875">
        <v>42422</v>
      </c>
      <c r="K678" s="877" t="s">
        <v>738</v>
      </c>
      <c r="L678" s="881" t="s">
        <v>671</v>
      </c>
      <c r="M678" s="881" t="s">
        <v>148</v>
      </c>
      <c r="N678" s="883">
        <v>3750000</v>
      </c>
      <c r="O678" s="55">
        <v>723</v>
      </c>
      <c r="P678" s="78">
        <v>3750000</v>
      </c>
    </row>
    <row r="679" spans="1:16" ht="11.25" customHeight="1" thickBot="1">
      <c r="A679" s="882"/>
      <c r="B679" s="876"/>
      <c r="C679" s="878"/>
      <c r="D679" s="882"/>
      <c r="E679" s="882"/>
      <c r="F679" s="884"/>
      <c r="G679" s="56">
        <v>721</v>
      </c>
      <c r="H679" s="79">
        <f>+F678-H678</f>
        <v>44000</v>
      </c>
      <c r="I679" s="882"/>
      <c r="J679" s="876"/>
      <c r="K679" s="878"/>
      <c r="L679" s="882"/>
      <c r="M679" s="882"/>
      <c r="N679" s="884"/>
      <c r="O679" s="56">
        <v>721</v>
      </c>
      <c r="P679" s="79">
        <f>+N678-P678</f>
        <v>0</v>
      </c>
    </row>
    <row r="680" spans="1:16" ht="15" customHeight="1">
      <c r="A680" s="881">
        <f>+A678+1</f>
        <v>312</v>
      </c>
      <c r="B680" s="875">
        <v>42296</v>
      </c>
      <c r="C680" s="881" t="s">
        <v>28</v>
      </c>
      <c r="D680" s="881" t="s">
        <v>357</v>
      </c>
      <c r="E680" s="881" t="s">
        <v>148</v>
      </c>
      <c r="F680" s="883">
        <v>280000</v>
      </c>
      <c r="G680" s="55">
        <v>719</v>
      </c>
      <c r="H680" s="78">
        <v>200000</v>
      </c>
      <c r="I680" s="873" t="s">
        <v>733</v>
      </c>
      <c r="J680" s="875">
        <v>42422</v>
      </c>
      <c r="K680" s="877" t="s">
        <v>40</v>
      </c>
      <c r="L680" s="881" t="s">
        <v>671</v>
      </c>
      <c r="M680" s="881" t="s">
        <v>148</v>
      </c>
      <c r="N680" s="883">
        <v>4830000</v>
      </c>
      <c r="O680" s="55">
        <v>723</v>
      </c>
      <c r="P680" s="78">
        <v>4830000</v>
      </c>
    </row>
    <row r="681" spans="1:16" ht="12.75" customHeight="1" thickBot="1">
      <c r="A681" s="882"/>
      <c r="B681" s="876"/>
      <c r="C681" s="882"/>
      <c r="D681" s="882"/>
      <c r="E681" s="882"/>
      <c r="F681" s="884"/>
      <c r="G681" s="56">
        <v>721</v>
      </c>
      <c r="H681" s="79">
        <f>+F680-H680</f>
        <v>80000</v>
      </c>
      <c r="I681" s="882"/>
      <c r="J681" s="876"/>
      <c r="K681" s="878"/>
      <c r="L681" s="882"/>
      <c r="M681" s="882"/>
      <c r="N681" s="884"/>
      <c r="O681" s="56">
        <v>721</v>
      </c>
      <c r="P681" s="79">
        <f>+N680-P680</f>
        <v>0</v>
      </c>
    </row>
    <row r="682" spans="1:16" ht="12" customHeight="1">
      <c r="A682" s="881">
        <f>+A680+1</f>
        <v>313</v>
      </c>
      <c r="B682" s="875">
        <v>42296</v>
      </c>
      <c r="C682" s="877" t="s">
        <v>32</v>
      </c>
      <c r="D682" s="881" t="s">
        <v>357</v>
      </c>
      <c r="E682" s="881" t="s">
        <v>148</v>
      </c>
      <c r="F682" s="883">
        <v>98000</v>
      </c>
      <c r="G682" s="55">
        <v>719</v>
      </c>
      <c r="H682" s="78">
        <v>70000</v>
      </c>
      <c r="I682" s="873" t="s">
        <v>734</v>
      </c>
      <c r="J682" s="875">
        <v>42422</v>
      </c>
      <c r="K682" s="877" t="s">
        <v>739</v>
      </c>
      <c r="L682" s="881" t="s">
        <v>671</v>
      </c>
      <c r="M682" s="881" t="s">
        <v>148</v>
      </c>
      <c r="N682" s="883">
        <v>1440000</v>
      </c>
      <c r="O682" s="55">
        <v>723</v>
      </c>
      <c r="P682" s="78">
        <v>1440000</v>
      </c>
    </row>
    <row r="683" spans="1:16" ht="15.75" customHeight="1" thickBot="1">
      <c r="A683" s="882"/>
      <c r="B683" s="876"/>
      <c r="C683" s="878"/>
      <c r="D683" s="882"/>
      <c r="E683" s="882"/>
      <c r="F683" s="884"/>
      <c r="G683" s="56">
        <v>721</v>
      </c>
      <c r="H683" s="79">
        <f>+F682-H682</f>
        <v>28000</v>
      </c>
      <c r="I683" s="882"/>
      <c r="J683" s="876"/>
      <c r="K683" s="878"/>
      <c r="L683" s="882"/>
      <c r="M683" s="882"/>
      <c r="N683" s="884"/>
      <c r="O683" s="56">
        <v>721</v>
      </c>
      <c r="P683" s="79">
        <f>+N682-P682</f>
        <v>0</v>
      </c>
    </row>
    <row r="684" spans="1:16" ht="15" customHeight="1">
      <c r="A684" s="881">
        <f>+A682+1</f>
        <v>314</v>
      </c>
      <c r="B684" s="875">
        <v>42296</v>
      </c>
      <c r="C684" s="877" t="s">
        <v>111</v>
      </c>
      <c r="D684" s="881" t="s">
        <v>358</v>
      </c>
      <c r="E684" s="881" t="s">
        <v>148</v>
      </c>
      <c r="F684" s="883">
        <v>56000</v>
      </c>
      <c r="G684" s="55">
        <v>719</v>
      </c>
      <c r="H684" s="78">
        <v>40000</v>
      </c>
      <c r="I684" s="873" t="s">
        <v>735</v>
      </c>
      <c r="J684" s="875">
        <v>42422</v>
      </c>
      <c r="K684" s="877" t="s">
        <v>740</v>
      </c>
      <c r="L684" s="881" t="s">
        <v>671</v>
      </c>
      <c r="M684" s="881" t="s">
        <v>148</v>
      </c>
      <c r="N684" s="883">
        <v>900000</v>
      </c>
      <c r="O684" s="55">
        <v>723</v>
      </c>
      <c r="P684" s="78">
        <v>900000</v>
      </c>
    </row>
    <row r="685" spans="1:16" ht="13.5" customHeight="1" thickBot="1">
      <c r="A685" s="882"/>
      <c r="B685" s="876"/>
      <c r="C685" s="878"/>
      <c r="D685" s="882"/>
      <c r="E685" s="882"/>
      <c r="F685" s="884"/>
      <c r="G685" s="56">
        <v>721</v>
      </c>
      <c r="H685" s="79">
        <f>+F684-H684</f>
        <v>16000</v>
      </c>
      <c r="I685" s="882"/>
      <c r="J685" s="876"/>
      <c r="K685" s="878"/>
      <c r="L685" s="882"/>
      <c r="M685" s="882"/>
      <c r="N685" s="884"/>
      <c r="O685" s="56">
        <v>721</v>
      </c>
      <c r="P685" s="79">
        <f>+N684-P684</f>
        <v>0</v>
      </c>
    </row>
    <row r="686" spans="1:16" ht="13.5" customHeight="1">
      <c r="A686" s="251"/>
      <c r="B686" s="252"/>
      <c r="C686" s="253"/>
      <c r="D686" s="251"/>
      <c r="E686" s="251"/>
      <c r="F686" s="254"/>
      <c r="G686" s="255"/>
      <c r="H686" s="256"/>
      <c r="I686" s="873" t="s">
        <v>736</v>
      </c>
      <c r="J686" s="875">
        <v>42422</v>
      </c>
      <c r="K686" s="877" t="s">
        <v>741</v>
      </c>
      <c r="L686" s="881" t="s">
        <v>671</v>
      </c>
      <c r="M686" s="881" t="s">
        <v>148</v>
      </c>
      <c r="N686" s="883">
        <v>635200</v>
      </c>
      <c r="O686" s="55">
        <v>723</v>
      </c>
      <c r="P686" s="78">
        <v>635200</v>
      </c>
    </row>
    <row r="687" spans="1:16" ht="14.25" customHeight="1" thickBot="1">
      <c r="A687" s="251"/>
      <c r="B687" s="252"/>
      <c r="C687" s="253"/>
      <c r="D687" s="251"/>
      <c r="E687" s="251"/>
      <c r="F687" s="254"/>
      <c r="G687" s="255"/>
      <c r="H687" s="256"/>
      <c r="I687" s="882"/>
      <c r="J687" s="876"/>
      <c r="K687" s="878"/>
      <c r="L687" s="882"/>
      <c r="M687" s="882"/>
      <c r="N687" s="884"/>
      <c r="O687" s="56">
        <v>721</v>
      </c>
      <c r="P687" s="79">
        <f>+N686-P686</f>
        <v>0</v>
      </c>
    </row>
    <row r="688" spans="1:16" ht="15" customHeight="1">
      <c r="A688" s="881">
        <f>+A684+1</f>
        <v>315</v>
      </c>
      <c r="B688" s="875">
        <v>42296</v>
      </c>
      <c r="C688" s="877" t="s">
        <v>272</v>
      </c>
      <c r="D688" s="881" t="s">
        <v>357</v>
      </c>
      <c r="E688" s="881" t="s">
        <v>148</v>
      </c>
      <c r="F688" s="883">
        <v>616000</v>
      </c>
      <c r="G688" s="55">
        <v>719</v>
      </c>
      <c r="H688" s="78">
        <v>440000</v>
      </c>
      <c r="I688" s="873" t="s">
        <v>737</v>
      </c>
      <c r="J688" s="875">
        <v>42422</v>
      </c>
      <c r="K688" s="877" t="s">
        <v>120</v>
      </c>
      <c r="L688" s="881" t="s">
        <v>671</v>
      </c>
      <c r="M688" s="881" t="s">
        <v>148</v>
      </c>
      <c r="N688" s="883">
        <v>5000000</v>
      </c>
      <c r="O688" s="55">
        <v>723</v>
      </c>
      <c r="P688" s="78">
        <v>5000000</v>
      </c>
    </row>
    <row r="689" spans="1:16" ht="12.75" customHeight="1" thickBot="1">
      <c r="A689" s="882"/>
      <c r="B689" s="876"/>
      <c r="C689" s="878"/>
      <c r="D689" s="882"/>
      <c r="E689" s="882"/>
      <c r="F689" s="884"/>
      <c r="G689" s="56">
        <v>721</v>
      </c>
      <c r="H689" s="79">
        <f>+F688-H688</f>
        <v>176000</v>
      </c>
      <c r="I689" s="882"/>
      <c r="J689" s="876"/>
      <c r="K689" s="878"/>
      <c r="L689" s="882"/>
      <c r="M689" s="882"/>
      <c r="N689" s="884"/>
      <c r="O689" s="56">
        <v>721</v>
      </c>
      <c r="P689" s="79">
        <f>+N688-P688</f>
        <v>0</v>
      </c>
    </row>
    <row r="690" spans="1:16" ht="16.5" thickBot="1">
      <c r="A690" s="901" t="s">
        <v>102</v>
      </c>
      <c r="B690" s="902"/>
      <c r="C690" s="902"/>
      <c r="D690" s="902"/>
      <c r="E690" s="903"/>
      <c r="F690" s="81">
        <f>SUM(F678:F689)</f>
        <v>1204000</v>
      </c>
      <c r="I690" s="901" t="s">
        <v>102</v>
      </c>
      <c r="J690" s="902"/>
      <c r="K690" s="902"/>
      <c r="L690" s="902"/>
      <c r="M690" s="903"/>
      <c r="N690" s="81">
        <f>SUM(N678:N689)</f>
        <v>16555200</v>
      </c>
    </row>
    <row r="691" spans="1:16" ht="16.5" thickBot="1">
      <c r="A691" s="885" t="s">
        <v>103</v>
      </c>
      <c r="B691" s="886"/>
      <c r="C691" s="886"/>
      <c r="D691" s="886"/>
      <c r="E691" s="887"/>
      <c r="F691" s="69">
        <f>+F653</f>
        <v>651968930</v>
      </c>
      <c r="I691" s="885" t="s">
        <v>103</v>
      </c>
      <c r="J691" s="886"/>
      <c r="K691" s="886"/>
      <c r="L691" s="886"/>
      <c r="M691" s="887"/>
      <c r="N691" s="239">
        <f>+N653</f>
        <v>273041623</v>
      </c>
      <c r="O691" s="241" t="s">
        <v>561</v>
      </c>
      <c r="P691" s="242"/>
    </row>
    <row r="692" spans="1:16" ht="16.5" thickBot="1">
      <c r="A692" s="888" t="s">
        <v>104</v>
      </c>
      <c r="B692" s="889"/>
      <c r="C692" s="889"/>
      <c r="D692" s="889"/>
      <c r="E692" s="890"/>
      <c r="F692" s="183">
        <f>SUM(F690:F691)</f>
        <v>653172930</v>
      </c>
      <c r="I692" s="888" t="s">
        <v>104</v>
      </c>
      <c r="J692" s="889"/>
      <c r="K692" s="889"/>
      <c r="L692" s="889"/>
      <c r="M692" s="890"/>
      <c r="N692" s="183">
        <f>SUM(N690:N691)</f>
        <v>289596823</v>
      </c>
    </row>
    <row r="693" spans="1:16" ht="12" customHeight="1">
      <c r="A693" s="61"/>
      <c r="B693" s="61"/>
      <c r="C693" s="61"/>
      <c r="D693" s="61"/>
      <c r="E693" s="61"/>
      <c r="I693" s="61"/>
      <c r="J693" s="61"/>
      <c r="K693" s="61"/>
      <c r="L693" s="61"/>
      <c r="M693" s="61"/>
    </row>
    <row r="694" spans="1:16">
      <c r="A694" s="51" t="s">
        <v>353</v>
      </c>
      <c r="I694" s="51" t="s">
        <v>742</v>
      </c>
    </row>
    <row r="695" spans="1:16" ht="10.5" customHeight="1">
      <c r="F695" s="139"/>
      <c r="N695" s="139"/>
    </row>
    <row r="696" spans="1:16">
      <c r="A696" s="50" t="s">
        <v>105</v>
      </c>
      <c r="D696" s="146"/>
      <c r="F696" s="139"/>
      <c r="I696" s="50" t="s">
        <v>105</v>
      </c>
      <c r="L696" s="146"/>
      <c r="N696" s="139"/>
    </row>
    <row r="697" spans="1:16" ht="12" customHeight="1" thickBot="1"/>
    <row r="698" spans="1:16" ht="15.75" thickBot="1">
      <c r="A698" s="891" t="s">
        <v>106</v>
      </c>
      <c r="B698" s="892"/>
      <c r="C698" s="892"/>
      <c r="D698" s="893"/>
      <c r="F698" s="50" t="s">
        <v>270</v>
      </c>
      <c r="I698" s="891" t="s">
        <v>106</v>
      </c>
      <c r="J698" s="892"/>
      <c r="K698" s="892"/>
      <c r="L698" s="893"/>
      <c r="N698" s="50" t="s">
        <v>270</v>
      </c>
    </row>
    <row r="699" spans="1:16" ht="30.75" thickBot="1">
      <c r="A699" s="57" t="s">
        <v>100</v>
      </c>
      <c r="B699" s="58" t="s">
        <v>108</v>
      </c>
      <c r="C699" s="59" t="s">
        <v>109</v>
      </c>
      <c r="D699" s="60" t="s">
        <v>110</v>
      </c>
      <c r="I699" s="57" t="s">
        <v>100</v>
      </c>
      <c r="J699" s="58" t="s">
        <v>108</v>
      </c>
      <c r="K699" s="59" t="s">
        <v>109</v>
      </c>
      <c r="L699" s="60" t="s">
        <v>110</v>
      </c>
    </row>
    <row r="700" spans="1:16">
      <c r="A700" s="71">
        <v>719</v>
      </c>
      <c r="B700" s="73">
        <f>+H678+H680+H682+H684+H688</f>
        <v>860000</v>
      </c>
      <c r="C700" s="74">
        <f>+D661</f>
        <v>37770000</v>
      </c>
      <c r="D700" s="195">
        <f>+B700+C700</f>
        <v>38630000</v>
      </c>
      <c r="I700" s="71">
        <v>719</v>
      </c>
      <c r="J700" s="73"/>
      <c r="K700" s="74">
        <f>+L661</f>
        <v>5340000</v>
      </c>
      <c r="L700" s="195">
        <f>+J700+K700</f>
        <v>5340000</v>
      </c>
    </row>
    <row r="701" spans="1:16">
      <c r="A701" s="72">
        <v>721</v>
      </c>
      <c r="B701" s="80">
        <f>+H679+H681+H683+H685+H689</f>
        <v>344000</v>
      </c>
      <c r="C701" s="74">
        <f>+D662</f>
        <v>59596797</v>
      </c>
      <c r="D701" s="195">
        <f>+B701+C701</f>
        <v>59940797</v>
      </c>
      <c r="I701" s="72">
        <v>721</v>
      </c>
      <c r="J701" s="80"/>
      <c r="K701" s="74">
        <f>+L662</f>
        <v>1696000</v>
      </c>
      <c r="L701" s="195">
        <f>+J701+K701</f>
        <v>1696000</v>
      </c>
    </row>
    <row r="702" spans="1:16">
      <c r="A702" s="72">
        <v>722</v>
      </c>
      <c r="B702" s="80"/>
      <c r="C702" s="74">
        <f>+D663</f>
        <v>231207671</v>
      </c>
      <c r="D702" s="195">
        <f>+B702+C702</f>
        <v>231207671</v>
      </c>
      <c r="I702" s="72">
        <v>722</v>
      </c>
      <c r="J702" s="80"/>
      <c r="K702" s="74">
        <f>+L663</f>
        <v>0</v>
      </c>
      <c r="L702" s="195">
        <f>+J702+K702</f>
        <v>0</v>
      </c>
    </row>
    <row r="703" spans="1:16" ht="15.75">
      <c r="A703" s="72">
        <v>723</v>
      </c>
      <c r="B703" s="80"/>
      <c r="C703" s="74">
        <f>+D664</f>
        <v>321428837</v>
      </c>
      <c r="D703" s="195">
        <f>+B703+C703</f>
        <v>321428837</v>
      </c>
      <c r="F703" s="193" t="s">
        <v>348</v>
      </c>
      <c r="G703" s="175"/>
      <c r="I703" s="72">
        <v>723</v>
      </c>
      <c r="J703" s="80">
        <f>+P678+P680+P682+P684+P688+P686</f>
        <v>16555200</v>
      </c>
      <c r="K703" s="74">
        <f>+L664</f>
        <v>266005623</v>
      </c>
      <c r="L703" s="195">
        <f>+J703+K703</f>
        <v>282560823</v>
      </c>
      <c r="N703" s="174" t="s">
        <v>558</v>
      </c>
      <c r="O703" s="175"/>
    </row>
    <row r="704" spans="1:16" ht="16.5" thickBot="1">
      <c r="A704" s="164" t="s">
        <v>181</v>
      </c>
      <c r="B704" s="165"/>
      <c r="C704" s="74">
        <f>+D665</f>
        <v>1965625</v>
      </c>
      <c r="D704" s="196">
        <f>+B704+C704</f>
        <v>1965625</v>
      </c>
      <c r="F704" s="52"/>
      <c r="I704" s="164" t="s">
        <v>181</v>
      </c>
      <c r="J704" s="165"/>
      <c r="K704" s="74">
        <f>+L665</f>
        <v>0</v>
      </c>
      <c r="L704" s="196">
        <f>+J704+K704</f>
        <v>0</v>
      </c>
      <c r="N704" s="52"/>
    </row>
    <row r="705" spans="1:16" ht="16.5" thickBot="1">
      <c r="A705" s="169"/>
      <c r="B705" s="170">
        <f>SUM(B700:B704)</f>
        <v>1204000</v>
      </c>
      <c r="C705" s="171">
        <f>SUM(C700:C704)</f>
        <v>651968930</v>
      </c>
      <c r="D705" s="172">
        <f>SUM(D700:D704)</f>
        <v>653172930</v>
      </c>
      <c r="I705" s="169"/>
      <c r="J705" s="197">
        <f>SUM(J700:J704)</f>
        <v>16555200</v>
      </c>
      <c r="K705" s="197">
        <f>SUM(K700:K704)</f>
        <v>273041623</v>
      </c>
      <c r="L705" s="198">
        <f>SUM(L700:L704)</f>
        <v>289596823</v>
      </c>
    </row>
    <row r="706" spans="1:16" ht="16.5">
      <c r="A706" s="49" t="s">
        <v>88</v>
      </c>
      <c r="B706" s="50"/>
      <c r="I706" s="49" t="s">
        <v>88</v>
      </c>
      <c r="J706" s="50"/>
    </row>
    <row r="707" spans="1:16">
      <c r="A707" s="51" t="s">
        <v>89</v>
      </c>
      <c r="I707" s="51" t="s">
        <v>89</v>
      </c>
    </row>
    <row r="708" spans="1:16">
      <c r="A708" s="51" t="s">
        <v>90</v>
      </c>
      <c r="I708" s="51" t="s">
        <v>90</v>
      </c>
    </row>
    <row r="709" spans="1:16">
      <c r="A709" s="51" t="s">
        <v>91</v>
      </c>
      <c r="I709" s="51" t="s">
        <v>91</v>
      </c>
    </row>
    <row r="710" spans="1:16" ht="12" customHeight="1">
      <c r="A710" s="50"/>
      <c r="B710" s="50"/>
      <c r="I710" s="50"/>
      <c r="J710" s="50"/>
    </row>
    <row r="711" spans="1:16" ht="16.5">
      <c r="A711" s="52" t="s">
        <v>352</v>
      </c>
      <c r="G711" s="52"/>
      <c r="I711" s="260" t="s">
        <v>743</v>
      </c>
      <c r="J711" s="262"/>
      <c r="O711" s="52"/>
    </row>
    <row r="712" spans="1:16" ht="15.75">
      <c r="A712" s="53" t="s">
        <v>92</v>
      </c>
      <c r="G712" s="53"/>
      <c r="I712" s="261" t="s">
        <v>535</v>
      </c>
      <c r="J712" s="262"/>
      <c r="O712" s="53"/>
    </row>
    <row r="713" spans="1:16" ht="17.25" customHeight="1">
      <c r="A713" s="894" t="s">
        <v>93</v>
      </c>
      <c r="B713" s="894"/>
      <c r="C713" s="894"/>
      <c r="D713" s="894"/>
      <c r="E713" s="894"/>
      <c r="F713" s="894"/>
      <c r="G713" s="894"/>
      <c r="H713" s="894"/>
      <c r="I713" s="894" t="s">
        <v>749</v>
      </c>
      <c r="J713" s="894"/>
      <c r="K713" s="894"/>
      <c r="L713" s="894"/>
      <c r="M713" s="894"/>
      <c r="N713" s="894"/>
      <c r="O713" s="894"/>
      <c r="P713" s="894"/>
    </row>
    <row r="714" spans="1:16" ht="16.5" customHeight="1" thickBot="1"/>
    <row r="715" spans="1:16">
      <c r="A715" s="895" t="s">
        <v>94</v>
      </c>
      <c r="B715" s="897" t="s">
        <v>95</v>
      </c>
      <c r="C715" s="897" t="s">
        <v>96</v>
      </c>
      <c r="D715" s="897" t="s">
        <v>3</v>
      </c>
      <c r="E715" s="897" t="s">
        <v>97</v>
      </c>
      <c r="F715" s="897" t="s">
        <v>98</v>
      </c>
      <c r="G715" s="897" t="s">
        <v>99</v>
      </c>
      <c r="H715" s="899"/>
      <c r="I715" s="895" t="s">
        <v>94</v>
      </c>
      <c r="J715" s="897" t="s">
        <v>95</v>
      </c>
      <c r="K715" s="897" t="s">
        <v>96</v>
      </c>
      <c r="L715" s="897" t="s">
        <v>3</v>
      </c>
      <c r="M715" s="897" t="s">
        <v>97</v>
      </c>
      <c r="N715" s="897" t="s">
        <v>98</v>
      </c>
      <c r="O715" s="897" t="s">
        <v>99</v>
      </c>
      <c r="P715" s="899"/>
    </row>
    <row r="716" spans="1:16" ht="15.75" thickBot="1">
      <c r="A716" s="896"/>
      <c r="B716" s="898"/>
      <c r="C716" s="898"/>
      <c r="D716" s="898"/>
      <c r="E716" s="898"/>
      <c r="F716" s="898"/>
      <c r="G716" s="240" t="s">
        <v>100</v>
      </c>
      <c r="H716" s="182" t="s">
        <v>101</v>
      </c>
      <c r="I716" s="896"/>
      <c r="J716" s="898"/>
      <c r="K716" s="898"/>
      <c r="L716" s="898"/>
      <c r="M716" s="898"/>
      <c r="N716" s="898"/>
      <c r="O716" s="240" t="s">
        <v>100</v>
      </c>
      <c r="P716" s="182" t="s">
        <v>101</v>
      </c>
    </row>
    <row r="717" spans="1:16" ht="14.25" customHeight="1">
      <c r="A717" s="881">
        <f>+A688+1</f>
        <v>316</v>
      </c>
      <c r="B717" s="875">
        <v>42296</v>
      </c>
      <c r="C717" s="877" t="s">
        <v>272</v>
      </c>
      <c r="D717" s="881" t="s">
        <v>356</v>
      </c>
      <c r="E717" s="881" t="s">
        <v>115</v>
      </c>
      <c r="F717" s="883">
        <v>100000</v>
      </c>
      <c r="G717" s="55">
        <v>719</v>
      </c>
      <c r="H717" s="78">
        <v>100000</v>
      </c>
      <c r="I717" s="873" t="s">
        <v>744</v>
      </c>
      <c r="J717" s="875">
        <v>42422</v>
      </c>
      <c r="K717" s="877" t="s">
        <v>746</v>
      </c>
      <c r="L717" s="881" t="s">
        <v>671</v>
      </c>
      <c r="M717" s="881" t="s">
        <v>148</v>
      </c>
      <c r="N717" s="883">
        <v>3529415</v>
      </c>
      <c r="O717" s="55">
        <v>723</v>
      </c>
      <c r="P717" s="78">
        <v>3529415</v>
      </c>
    </row>
    <row r="718" spans="1:16" ht="15.75" customHeight="1" thickBot="1">
      <c r="A718" s="882"/>
      <c r="B718" s="876"/>
      <c r="C718" s="878"/>
      <c r="D718" s="882"/>
      <c r="E718" s="882"/>
      <c r="F718" s="884"/>
      <c r="G718" s="56">
        <v>721</v>
      </c>
      <c r="H718" s="79">
        <f>+F717-H717</f>
        <v>0</v>
      </c>
      <c r="I718" s="882"/>
      <c r="J718" s="876"/>
      <c r="K718" s="878"/>
      <c r="L718" s="882"/>
      <c r="M718" s="882"/>
      <c r="N718" s="884"/>
      <c r="O718" s="56">
        <v>721</v>
      </c>
      <c r="P718" s="79">
        <f>+N717-P717</f>
        <v>0</v>
      </c>
    </row>
    <row r="719" spans="1:16" ht="13.5" customHeight="1">
      <c r="A719" s="881">
        <f>+A717+1</f>
        <v>317</v>
      </c>
      <c r="B719" s="875">
        <v>42296</v>
      </c>
      <c r="C719" s="881" t="s">
        <v>28</v>
      </c>
      <c r="D719" s="881" t="s">
        <v>355</v>
      </c>
      <c r="E719" s="881" t="s">
        <v>115</v>
      </c>
      <c r="F719" s="883">
        <v>50000</v>
      </c>
      <c r="G719" s="55">
        <v>719</v>
      </c>
      <c r="H719" s="78">
        <v>50000</v>
      </c>
      <c r="I719" s="873" t="s">
        <v>745</v>
      </c>
      <c r="J719" s="875">
        <v>42422</v>
      </c>
      <c r="K719" s="877" t="s">
        <v>747</v>
      </c>
      <c r="L719" s="881" t="s">
        <v>671</v>
      </c>
      <c r="M719" s="881" t="s">
        <v>148</v>
      </c>
      <c r="N719" s="883">
        <v>1100000</v>
      </c>
      <c r="O719" s="55">
        <v>723</v>
      </c>
      <c r="P719" s="78">
        <v>1100000</v>
      </c>
    </row>
    <row r="720" spans="1:16" ht="12.75" customHeight="1" thickBot="1">
      <c r="A720" s="882"/>
      <c r="B720" s="876"/>
      <c r="C720" s="882"/>
      <c r="D720" s="882"/>
      <c r="E720" s="882"/>
      <c r="F720" s="884"/>
      <c r="G720" s="56">
        <v>721</v>
      </c>
      <c r="H720" s="79">
        <f>+F719-H719</f>
        <v>0</v>
      </c>
      <c r="I720" s="882"/>
      <c r="J720" s="876"/>
      <c r="K720" s="878"/>
      <c r="L720" s="882"/>
      <c r="M720" s="882"/>
      <c r="N720" s="884"/>
      <c r="O720" s="56">
        <v>721</v>
      </c>
      <c r="P720" s="79">
        <f>+N719-P719</f>
        <v>0</v>
      </c>
    </row>
    <row r="721" spans="1:16" ht="15" customHeight="1">
      <c r="A721" s="881">
        <f>+A719+1</f>
        <v>318</v>
      </c>
      <c r="B721" s="875">
        <v>42296</v>
      </c>
      <c r="C721" s="877" t="s">
        <v>32</v>
      </c>
      <c r="D721" s="881" t="s">
        <v>355</v>
      </c>
      <c r="E721" s="881" t="s">
        <v>115</v>
      </c>
      <c r="F721" s="883">
        <v>30000</v>
      </c>
      <c r="G721" s="55">
        <v>719</v>
      </c>
      <c r="H721" s="78">
        <v>30000</v>
      </c>
      <c r="I721" s="873" t="s">
        <v>757</v>
      </c>
      <c r="J721" s="875">
        <v>42422</v>
      </c>
      <c r="K721" s="877" t="s">
        <v>28</v>
      </c>
      <c r="L721" s="881" t="s">
        <v>748</v>
      </c>
      <c r="M721" s="881" t="s">
        <v>115</v>
      </c>
      <c r="N721" s="883">
        <v>40000</v>
      </c>
      <c r="O721" s="55">
        <v>719</v>
      </c>
      <c r="P721" s="78">
        <v>40000</v>
      </c>
    </row>
    <row r="722" spans="1:16" ht="15" customHeight="1" thickBot="1">
      <c r="A722" s="882"/>
      <c r="B722" s="876"/>
      <c r="C722" s="878"/>
      <c r="D722" s="882"/>
      <c r="E722" s="882"/>
      <c r="F722" s="884"/>
      <c r="G722" s="56">
        <v>721</v>
      </c>
      <c r="H722" s="79">
        <f>+F721-H721</f>
        <v>0</v>
      </c>
      <c r="I722" s="882"/>
      <c r="J722" s="876"/>
      <c r="K722" s="878"/>
      <c r="L722" s="882"/>
      <c r="M722" s="882"/>
      <c r="N722" s="884"/>
      <c r="O722" s="56">
        <v>721</v>
      </c>
      <c r="P722" s="79">
        <f>+N721-P721</f>
        <v>0</v>
      </c>
    </row>
    <row r="723" spans="1:16" ht="13.5" customHeight="1">
      <c r="A723" s="881">
        <f>+A721+1</f>
        <v>319</v>
      </c>
      <c r="B723" s="875">
        <v>42296</v>
      </c>
      <c r="C723" s="877" t="s">
        <v>120</v>
      </c>
      <c r="D723" s="881" t="s">
        <v>354</v>
      </c>
      <c r="E723" s="881" t="s">
        <v>115</v>
      </c>
      <c r="F723" s="883">
        <v>20000</v>
      </c>
      <c r="G723" s="55">
        <v>719</v>
      </c>
      <c r="H723" s="78">
        <v>20000</v>
      </c>
      <c r="I723" s="873" t="s">
        <v>758</v>
      </c>
      <c r="J723" s="875">
        <v>42422</v>
      </c>
      <c r="K723" s="877" t="s">
        <v>32</v>
      </c>
      <c r="L723" s="881" t="s">
        <v>750</v>
      </c>
      <c r="M723" s="881" t="s">
        <v>115</v>
      </c>
      <c r="N723" s="883">
        <v>20000</v>
      </c>
      <c r="O723" s="55">
        <v>719</v>
      </c>
      <c r="P723" s="78">
        <v>20000</v>
      </c>
    </row>
    <row r="724" spans="1:16" ht="16.5" customHeight="1" thickBot="1">
      <c r="A724" s="882"/>
      <c r="B724" s="876"/>
      <c r="C724" s="878"/>
      <c r="D724" s="882"/>
      <c r="E724" s="882"/>
      <c r="F724" s="884"/>
      <c r="G724" s="56">
        <v>721</v>
      </c>
      <c r="H724" s="79">
        <f>+F723-H723</f>
        <v>0</v>
      </c>
      <c r="I724" s="882"/>
      <c r="J724" s="876"/>
      <c r="K724" s="878"/>
      <c r="L724" s="882"/>
      <c r="M724" s="882"/>
      <c r="N724" s="884"/>
      <c r="O724" s="56">
        <v>721</v>
      </c>
      <c r="P724" s="79">
        <f>+N723-P723</f>
        <v>0</v>
      </c>
    </row>
    <row r="725" spans="1:16" ht="15" customHeight="1">
      <c r="A725" s="881">
        <f>+A723+1</f>
        <v>320</v>
      </c>
      <c r="B725" s="875">
        <v>42296</v>
      </c>
      <c r="C725" s="877" t="s">
        <v>272</v>
      </c>
      <c r="D725" s="881" t="s">
        <v>427</v>
      </c>
      <c r="E725" s="881" t="s">
        <v>115</v>
      </c>
      <c r="F725" s="883">
        <v>90000</v>
      </c>
      <c r="G725" s="55">
        <v>719</v>
      </c>
      <c r="H725" s="78">
        <f>+F725</f>
        <v>90000</v>
      </c>
      <c r="I725" s="873" t="s">
        <v>759</v>
      </c>
      <c r="J725" s="875">
        <v>42422</v>
      </c>
      <c r="K725" s="877" t="s">
        <v>120</v>
      </c>
      <c r="L725" s="881" t="s">
        <v>751</v>
      </c>
      <c r="M725" s="881" t="s">
        <v>115</v>
      </c>
      <c r="N725" s="883">
        <v>130000</v>
      </c>
      <c r="O725" s="55">
        <v>719</v>
      </c>
      <c r="P725" s="78">
        <v>130000</v>
      </c>
    </row>
    <row r="726" spans="1:16" ht="16.5" customHeight="1" thickBot="1">
      <c r="A726" s="882"/>
      <c r="B726" s="876"/>
      <c r="C726" s="878"/>
      <c r="D726" s="882"/>
      <c r="E726" s="882"/>
      <c r="F726" s="884"/>
      <c r="G726" s="56">
        <v>721</v>
      </c>
      <c r="H726" s="79"/>
      <c r="I726" s="882"/>
      <c r="J726" s="876"/>
      <c r="K726" s="878"/>
      <c r="L726" s="882"/>
      <c r="M726" s="882"/>
      <c r="N726" s="884"/>
      <c r="O726" s="56">
        <v>721</v>
      </c>
      <c r="P726" s="79">
        <f>+N725-P725</f>
        <v>0</v>
      </c>
    </row>
    <row r="727" spans="1:16" ht="15" customHeight="1" thickBot="1">
      <c r="A727" s="881">
        <f>+A725+1</f>
        <v>321</v>
      </c>
      <c r="B727" s="875">
        <v>42296</v>
      </c>
      <c r="C727" s="881" t="s">
        <v>28</v>
      </c>
      <c r="D727" s="881" t="s">
        <v>355</v>
      </c>
      <c r="E727" s="881" t="s">
        <v>115</v>
      </c>
      <c r="F727" s="883">
        <v>50000</v>
      </c>
      <c r="G727" s="55">
        <v>719</v>
      </c>
      <c r="H727" s="78">
        <v>50000</v>
      </c>
      <c r="I727" s="901" t="s">
        <v>102</v>
      </c>
      <c r="J727" s="902"/>
      <c r="K727" s="902"/>
      <c r="L727" s="902"/>
      <c r="M727" s="903"/>
      <c r="N727" s="81">
        <f>SUM(N717:N726)</f>
        <v>4819415</v>
      </c>
    </row>
    <row r="728" spans="1:16" ht="12.75" customHeight="1" thickBot="1">
      <c r="A728" s="882"/>
      <c r="B728" s="876"/>
      <c r="C728" s="882"/>
      <c r="D728" s="882"/>
      <c r="E728" s="882"/>
      <c r="F728" s="884"/>
      <c r="G728" s="56">
        <v>721</v>
      </c>
      <c r="H728" s="79">
        <f>+F727-H727</f>
        <v>0</v>
      </c>
      <c r="I728" s="885" t="s">
        <v>103</v>
      </c>
      <c r="J728" s="886"/>
      <c r="K728" s="886"/>
      <c r="L728" s="886"/>
      <c r="M728" s="887"/>
      <c r="N728" s="239">
        <f>+N692</f>
        <v>289596823</v>
      </c>
      <c r="O728" s="241" t="s">
        <v>561</v>
      </c>
      <c r="P728" s="242">
        <f>60+44+8</f>
        <v>112</v>
      </c>
    </row>
    <row r="729" spans="1:16" ht="16.5" thickBot="1">
      <c r="A729" s="901" t="s">
        <v>102</v>
      </c>
      <c r="B729" s="902"/>
      <c r="C729" s="902"/>
      <c r="D729" s="902"/>
      <c r="E729" s="903"/>
      <c r="F729" s="81">
        <f>SUM(F717:F728)</f>
        <v>340000</v>
      </c>
      <c r="I729" s="888" t="s">
        <v>104</v>
      </c>
      <c r="J729" s="889"/>
      <c r="K729" s="889"/>
      <c r="L729" s="889"/>
      <c r="M729" s="890"/>
      <c r="N729" s="183">
        <f>SUM(N727:N728)</f>
        <v>294416238</v>
      </c>
    </row>
    <row r="730" spans="1:16" ht="16.5" thickBot="1">
      <c r="A730" s="885" t="s">
        <v>103</v>
      </c>
      <c r="B730" s="886"/>
      <c r="C730" s="886"/>
      <c r="D730" s="886"/>
      <c r="E730" s="887"/>
      <c r="F730" s="69">
        <f>+F692</f>
        <v>653172930</v>
      </c>
      <c r="I730" s="61"/>
      <c r="J730" s="61"/>
      <c r="K730" s="61"/>
      <c r="L730" s="61"/>
      <c r="M730" s="61"/>
    </row>
    <row r="731" spans="1:16" ht="18" customHeight="1" thickBot="1">
      <c r="A731" s="888" t="s">
        <v>104</v>
      </c>
      <c r="B731" s="889"/>
      <c r="C731" s="889"/>
      <c r="D731" s="889"/>
      <c r="E731" s="890"/>
      <c r="F731" s="183">
        <f>SUM(F729:F730)</f>
        <v>653512930</v>
      </c>
      <c r="I731" s="51" t="s">
        <v>752</v>
      </c>
    </row>
    <row r="732" spans="1:16" ht="12.75" customHeight="1">
      <c r="A732" s="61"/>
      <c r="B732" s="61"/>
      <c r="C732" s="61"/>
      <c r="D732" s="61"/>
      <c r="E732" s="61"/>
      <c r="N732" s="139"/>
    </row>
    <row r="733" spans="1:16">
      <c r="A733" s="51" t="s">
        <v>428</v>
      </c>
      <c r="I733" s="50" t="s">
        <v>105</v>
      </c>
      <c r="L733" s="146"/>
      <c r="N733" s="139"/>
    </row>
    <row r="734" spans="1:16" ht="15.75" customHeight="1" thickBot="1">
      <c r="F734" s="139"/>
    </row>
    <row r="735" spans="1:16" ht="15.75" thickBot="1">
      <c r="A735" s="50" t="s">
        <v>105</v>
      </c>
      <c r="D735" s="146"/>
      <c r="F735" s="139"/>
      <c r="I735" s="891" t="s">
        <v>106</v>
      </c>
      <c r="J735" s="892"/>
      <c r="K735" s="892"/>
      <c r="L735" s="893"/>
      <c r="N735" s="50" t="s">
        <v>270</v>
      </c>
    </row>
    <row r="736" spans="1:16" ht="26.25" customHeight="1" thickBot="1">
      <c r="I736" s="57" t="s">
        <v>100</v>
      </c>
      <c r="J736" s="58" t="s">
        <v>108</v>
      </c>
      <c r="K736" s="59" t="s">
        <v>109</v>
      </c>
      <c r="L736" s="60" t="s">
        <v>110</v>
      </c>
    </row>
    <row r="737" spans="1:16" ht="15.75" thickBot="1">
      <c r="A737" s="891" t="s">
        <v>106</v>
      </c>
      <c r="B737" s="892"/>
      <c r="C737" s="892"/>
      <c r="D737" s="893"/>
      <c r="F737" s="50" t="s">
        <v>288</v>
      </c>
      <c r="I737" s="71">
        <v>719</v>
      </c>
      <c r="J737" s="73">
        <f>+P725+P723+P721</f>
        <v>190000</v>
      </c>
      <c r="K737" s="74">
        <f>+L700</f>
        <v>5340000</v>
      </c>
      <c r="L737" s="195">
        <f>+J737+K737</f>
        <v>5530000</v>
      </c>
    </row>
    <row r="738" spans="1:16" ht="16.5" customHeight="1" thickBot="1">
      <c r="A738" s="57" t="s">
        <v>100</v>
      </c>
      <c r="B738" s="58" t="s">
        <v>108</v>
      </c>
      <c r="C738" s="59" t="s">
        <v>109</v>
      </c>
      <c r="D738" s="60" t="s">
        <v>110</v>
      </c>
      <c r="I738" s="72">
        <v>721</v>
      </c>
      <c r="J738" s="257"/>
      <c r="K738" s="74">
        <f>+L701</f>
        <v>1696000</v>
      </c>
      <c r="L738" s="195">
        <f>+J738+K738</f>
        <v>1696000</v>
      </c>
    </row>
    <row r="739" spans="1:16">
      <c r="A739" s="71">
        <v>719</v>
      </c>
      <c r="B739" s="73">
        <f>+H717+H719+H721+H723+H727+H725</f>
        <v>340000</v>
      </c>
      <c r="C739" s="74">
        <f>+D700</f>
        <v>38630000</v>
      </c>
      <c r="D739" s="195">
        <f>+B739+C739</f>
        <v>38970000</v>
      </c>
      <c r="I739" s="72">
        <v>722</v>
      </c>
      <c r="J739" s="257"/>
      <c r="K739" s="74">
        <f>+L702</f>
        <v>0</v>
      </c>
      <c r="L739" s="195">
        <f>+J739+K739</f>
        <v>0</v>
      </c>
    </row>
    <row r="740" spans="1:16" ht="15.75">
      <c r="A740" s="72">
        <v>721</v>
      </c>
      <c r="B740" s="80">
        <f>+H718</f>
        <v>0</v>
      </c>
      <c r="C740" s="74">
        <f>+D701</f>
        <v>59940797</v>
      </c>
      <c r="D740" s="195">
        <f>+B740+C740</f>
        <v>59940797</v>
      </c>
      <c r="I740" s="72">
        <v>723</v>
      </c>
      <c r="J740" s="257">
        <f>+P717+P719</f>
        <v>4629415</v>
      </c>
      <c r="K740" s="74">
        <f>+L703</f>
        <v>282560823</v>
      </c>
      <c r="L740" s="195">
        <f>+J740+K740</f>
        <v>287190238</v>
      </c>
      <c r="N740" s="174" t="s">
        <v>558</v>
      </c>
      <c r="O740" s="175"/>
    </row>
    <row r="741" spans="1:16" ht="16.5" thickBot="1">
      <c r="A741" s="72">
        <v>722</v>
      </c>
      <c r="B741" s="80"/>
      <c r="C741" s="74">
        <f>+D702</f>
        <v>231207671</v>
      </c>
      <c r="D741" s="195">
        <f>+B741+C741</f>
        <v>231207671</v>
      </c>
      <c r="I741" s="164" t="s">
        <v>181</v>
      </c>
      <c r="J741" s="165"/>
      <c r="K741" s="74">
        <f>+L704</f>
        <v>0</v>
      </c>
      <c r="L741" s="196">
        <f>+J741+K741</f>
        <v>0</v>
      </c>
      <c r="N741" s="52"/>
    </row>
    <row r="742" spans="1:16" ht="16.5" thickBot="1">
      <c r="A742" s="72">
        <v>723</v>
      </c>
      <c r="B742" s="80">
        <f>+H720</f>
        <v>0</v>
      </c>
      <c r="C742" s="74">
        <f>+D703</f>
        <v>321428837</v>
      </c>
      <c r="D742" s="195">
        <f>+B742+C742</f>
        <v>321428837</v>
      </c>
      <c r="F742" s="193" t="s">
        <v>23</v>
      </c>
      <c r="G742" s="175"/>
      <c r="I742" s="169"/>
      <c r="J742" s="197">
        <f>SUM(J737:J741)</f>
        <v>4819415</v>
      </c>
      <c r="K742" s="197">
        <f>SUM(K737:K741)</f>
        <v>289596823</v>
      </c>
      <c r="L742" s="198">
        <f>SUM(L737:L741)</f>
        <v>294416238</v>
      </c>
    </row>
    <row r="743" spans="1:16" ht="17.25" thickBot="1">
      <c r="A743" s="164" t="s">
        <v>181</v>
      </c>
      <c r="B743" s="165"/>
      <c r="C743" s="74">
        <f>+D704</f>
        <v>1965625</v>
      </c>
      <c r="D743" s="196">
        <f>+B743+C743</f>
        <v>1965625</v>
      </c>
      <c r="F743" s="52"/>
      <c r="I743" s="49" t="s">
        <v>88</v>
      </c>
      <c r="J743" s="50"/>
    </row>
    <row r="744" spans="1:16" ht="16.5" thickBot="1">
      <c r="A744" s="169"/>
      <c r="B744" s="170">
        <f>SUM(B739:B743)</f>
        <v>340000</v>
      </c>
      <c r="C744" s="171">
        <f>SUM(C739:C743)</f>
        <v>653172930</v>
      </c>
      <c r="D744" s="172">
        <f>SUM(D739:D743)</f>
        <v>653512930</v>
      </c>
      <c r="I744" s="51" t="s">
        <v>89</v>
      </c>
    </row>
    <row r="745" spans="1:16" ht="16.5">
      <c r="A745" s="49" t="s">
        <v>88</v>
      </c>
      <c r="B745" s="50"/>
      <c r="I745" s="51" t="s">
        <v>90</v>
      </c>
    </row>
    <row r="746" spans="1:16">
      <c r="A746" s="51" t="s">
        <v>89</v>
      </c>
      <c r="I746" s="51" t="s">
        <v>91</v>
      </c>
    </row>
    <row r="747" spans="1:16" ht="12.75" customHeight="1">
      <c r="A747" s="51" t="s">
        <v>90</v>
      </c>
      <c r="I747" s="50"/>
      <c r="J747" s="50"/>
    </row>
    <row r="748" spans="1:16" ht="16.5">
      <c r="A748" s="51" t="s">
        <v>91</v>
      </c>
      <c r="I748" s="260" t="s">
        <v>761</v>
      </c>
      <c r="J748" s="262"/>
      <c r="O748" s="52"/>
    </row>
    <row r="749" spans="1:16" ht="15.75" customHeight="1">
      <c r="A749" s="50"/>
      <c r="B749" s="50"/>
      <c r="I749" s="261" t="s">
        <v>535</v>
      </c>
      <c r="J749" s="262"/>
      <c r="O749" s="53"/>
    </row>
    <row r="750" spans="1:16" ht="16.5">
      <c r="A750" s="52" t="s">
        <v>431</v>
      </c>
      <c r="G750" s="52"/>
      <c r="I750" s="894" t="s">
        <v>788</v>
      </c>
      <c r="J750" s="894"/>
      <c r="K750" s="894"/>
      <c r="L750" s="894"/>
      <c r="M750" s="894"/>
      <c r="N750" s="894"/>
      <c r="O750" s="894"/>
      <c r="P750" s="894"/>
    </row>
    <row r="751" spans="1:16" ht="14.25" customHeight="1" thickBot="1">
      <c r="A751" s="53" t="s">
        <v>92</v>
      </c>
      <c r="G751" s="53"/>
    </row>
    <row r="752" spans="1:16" ht="16.5">
      <c r="A752" s="894" t="s">
        <v>93</v>
      </c>
      <c r="B752" s="894"/>
      <c r="C752" s="894"/>
      <c r="D752" s="894"/>
      <c r="E752" s="894"/>
      <c r="F752" s="894"/>
      <c r="G752" s="894"/>
      <c r="H752" s="894"/>
      <c r="I752" s="895" t="s">
        <v>94</v>
      </c>
      <c r="J752" s="897" t="s">
        <v>95</v>
      </c>
      <c r="K752" s="897" t="s">
        <v>96</v>
      </c>
      <c r="L752" s="897" t="s">
        <v>3</v>
      </c>
      <c r="M752" s="897" t="s">
        <v>97</v>
      </c>
      <c r="N752" s="897" t="s">
        <v>98</v>
      </c>
      <c r="O752" s="897" t="s">
        <v>99</v>
      </c>
      <c r="P752" s="899"/>
    </row>
    <row r="753" spans="1:16" ht="13.5" customHeight="1" thickBot="1">
      <c r="I753" s="896"/>
      <c r="J753" s="898"/>
      <c r="K753" s="898"/>
      <c r="L753" s="898"/>
      <c r="M753" s="898"/>
      <c r="N753" s="898"/>
      <c r="O753" s="240" t="s">
        <v>100</v>
      </c>
      <c r="P753" s="182" t="s">
        <v>101</v>
      </c>
    </row>
    <row r="754" spans="1:16">
      <c r="A754" s="895" t="s">
        <v>94</v>
      </c>
      <c r="B754" s="897" t="s">
        <v>95</v>
      </c>
      <c r="C754" s="897" t="s">
        <v>96</v>
      </c>
      <c r="D754" s="897" t="s">
        <v>3</v>
      </c>
      <c r="E754" s="897" t="s">
        <v>97</v>
      </c>
      <c r="F754" s="897" t="s">
        <v>98</v>
      </c>
      <c r="G754" s="897" t="s">
        <v>99</v>
      </c>
      <c r="H754" s="899"/>
      <c r="I754" s="873" t="s">
        <v>764</v>
      </c>
      <c r="J754" s="875">
        <v>42429</v>
      </c>
      <c r="K754" s="877" t="s">
        <v>350</v>
      </c>
      <c r="L754" s="881" t="s">
        <v>671</v>
      </c>
      <c r="M754" s="881" t="s">
        <v>775</v>
      </c>
      <c r="N754" s="883">
        <v>5166000</v>
      </c>
      <c r="O754" s="55">
        <v>723</v>
      </c>
      <c r="P754" s="78">
        <v>5166000</v>
      </c>
    </row>
    <row r="755" spans="1:16" ht="15.75" thickBot="1">
      <c r="A755" s="896"/>
      <c r="B755" s="898"/>
      <c r="C755" s="898"/>
      <c r="D755" s="898"/>
      <c r="E755" s="898"/>
      <c r="F755" s="898"/>
      <c r="G755" s="240" t="s">
        <v>100</v>
      </c>
      <c r="H755" s="182" t="s">
        <v>101</v>
      </c>
      <c r="I755" s="882"/>
      <c r="J755" s="876"/>
      <c r="K755" s="878"/>
      <c r="L755" s="882"/>
      <c r="M755" s="882"/>
      <c r="N755" s="884"/>
      <c r="O755" s="56">
        <v>721</v>
      </c>
      <c r="P755" s="79">
        <f>+N754-P754</f>
        <v>0</v>
      </c>
    </row>
    <row r="756" spans="1:16" ht="15" customHeight="1">
      <c r="A756" s="881">
        <f>+A727+1</f>
        <v>322</v>
      </c>
      <c r="B756" s="875">
        <v>42306</v>
      </c>
      <c r="C756" s="877" t="s">
        <v>267</v>
      </c>
      <c r="D756" s="881" t="s">
        <v>436</v>
      </c>
      <c r="E756" s="881" t="s">
        <v>148</v>
      </c>
      <c r="F756" s="883">
        <v>112000</v>
      </c>
      <c r="G756" s="55">
        <v>719</v>
      </c>
      <c r="H756" s="78">
        <v>80000</v>
      </c>
      <c r="I756" s="873" t="s">
        <v>765</v>
      </c>
      <c r="J756" s="875">
        <v>42429</v>
      </c>
      <c r="K756" s="877" t="s">
        <v>32</v>
      </c>
      <c r="L756" s="881" t="s">
        <v>671</v>
      </c>
      <c r="M756" s="881" t="s">
        <v>775</v>
      </c>
      <c r="N756" s="883">
        <v>630000</v>
      </c>
      <c r="O756" s="55">
        <v>723</v>
      </c>
      <c r="P756" s="78">
        <v>630000</v>
      </c>
    </row>
    <row r="757" spans="1:16" ht="15.75" customHeight="1" thickBot="1">
      <c r="A757" s="882"/>
      <c r="B757" s="876"/>
      <c r="C757" s="878"/>
      <c r="D757" s="882"/>
      <c r="E757" s="882"/>
      <c r="F757" s="884"/>
      <c r="G757" s="56">
        <v>721</v>
      </c>
      <c r="H757" s="79">
        <f>+F756-H756</f>
        <v>32000</v>
      </c>
      <c r="I757" s="882"/>
      <c r="J757" s="876"/>
      <c r="K757" s="878"/>
      <c r="L757" s="882"/>
      <c r="M757" s="882"/>
      <c r="N757" s="884"/>
      <c r="O757" s="56">
        <v>721</v>
      </c>
      <c r="P757" s="79">
        <f>+N756-P756</f>
        <v>0</v>
      </c>
    </row>
    <row r="758" spans="1:16" ht="15" customHeight="1">
      <c r="A758" s="881">
        <f>+A756+1</f>
        <v>323</v>
      </c>
      <c r="B758" s="875">
        <v>42306</v>
      </c>
      <c r="C758" s="881" t="s">
        <v>28</v>
      </c>
      <c r="D758" s="881" t="s">
        <v>437</v>
      </c>
      <c r="E758" s="881" t="s">
        <v>148</v>
      </c>
      <c r="F758" s="883">
        <v>210000</v>
      </c>
      <c r="G758" s="55">
        <v>719</v>
      </c>
      <c r="H758" s="78">
        <v>150000</v>
      </c>
      <c r="I758" s="873" t="s">
        <v>766</v>
      </c>
      <c r="J758" s="875">
        <v>42429</v>
      </c>
      <c r="K758" s="877" t="s">
        <v>776</v>
      </c>
      <c r="L758" s="881" t="s">
        <v>671</v>
      </c>
      <c r="M758" s="881" t="s">
        <v>775</v>
      </c>
      <c r="N758" s="883">
        <v>1008000</v>
      </c>
      <c r="O758" s="55">
        <v>723</v>
      </c>
      <c r="P758" s="78">
        <v>1008000</v>
      </c>
    </row>
    <row r="759" spans="1:16" ht="15.75" customHeight="1" thickBot="1">
      <c r="A759" s="882"/>
      <c r="B759" s="876"/>
      <c r="C759" s="882"/>
      <c r="D759" s="882"/>
      <c r="E759" s="882"/>
      <c r="F759" s="884"/>
      <c r="G759" s="56">
        <v>721</v>
      </c>
      <c r="H759" s="79">
        <f>+F758-H758</f>
        <v>60000</v>
      </c>
      <c r="I759" s="882"/>
      <c r="J759" s="876"/>
      <c r="K759" s="878"/>
      <c r="L759" s="882"/>
      <c r="M759" s="882"/>
      <c r="N759" s="884"/>
      <c r="O759" s="56">
        <v>721</v>
      </c>
      <c r="P759" s="79">
        <f>+N758-P758</f>
        <v>0</v>
      </c>
    </row>
    <row r="760" spans="1:16" ht="15" customHeight="1">
      <c r="A760" s="881">
        <f>+A758+1</f>
        <v>324</v>
      </c>
      <c r="B760" s="875">
        <v>42306</v>
      </c>
      <c r="C760" s="877" t="s">
        <v>32</v>
      </c>
      <c r="D760" s="881" t="s">
        <v>438</v>
      </c>
      <c r="E760" s="881" t="s">
        <v>148</v>
      </c>
      <c r="F760" s="883">
        <v>14000</v>
      </c>
      <c r="G760" s="55">
        <v>719</v>
      </c>
      <c r="H760" s="78">
        <v>10000</v>
      </c>
      <c r="I760" s="873" t="s">
        <v>767</v>
      </c>
      <c r="J760" s="875">
        <v>42429</v>
      </c>
      <c r="K760" s="877" t="s">
        <v>28</v>
      </c>
      <c r="L760" s="881" t="s">
        <v>671</v>
      </c>
      <c r="M760" s="881" t="s">
        <v>775</v>
      </c>
      <c r="N760" s="883">
        <v>546672</v>
      </c>
      <c r="O760" s="55">
        <v>723</v>
      </c>
      <c r="P760" s="78">
        <v>546672</v>
      </c>
    </row>
    <row r="761" spans="1:16" ht="15.75" customHeight="1" thickBot="1">
      <c r="A761" s="882"/>
      <c r="B761" s="876"/>
      <c r="C761" s="878"/>
      <c r="D761" s="882"/>
      <c r="E761" s="882"/>
      <c r="F761" s="884"/>
      <c r="G761" s="56">
        <v>721</v>
      </c>
      <c r="H761" s="79">
        <f>+F760-H760</f>
        <v>4000</v>
      </c>
      <c r="I761" s="882"/>
      <c r="J761" s="876"/>
      <c r="K761" s="878"/>
      <c r="L761" s="882"/>
      <c r="M761" s="882"/>
      <c r="N761" s="884"/>
      <c r="O761" s="56">
        <v>721</v>
      </c>
      <c r="P761" s="79">
        <f>+N760-P760</f>
        <v>0</v>
      </c>
    </row>
    <row r="762" spans="1:16" ht="15" customHeight="1">
      <c r="A762" s="881">
        <f>+A760+1</f>
        <v>325</v>
      </c>
      <c r="B762" s="875">
        <v>42306</v>
      </c>
      <c r="C762" s="877" t="s">
        <v>111</v>
      </c>
      <c r="D762" s="881" t="s">
        <v>439</v>
      </c>
      <c r="E762" s="881" t="s">
        <v>148</v>
      </c>
      <c r="F762" s="883">
        <v>56000</v>
      </c>
      <c r="G762" s="55">
        <v>719</v>
      </c>
      <c r="H762" s="78">
        <v>40000</v>
      </c>
      <c r="I762" s="873" t="s">
        <v>768</v>
      </c>
      <c r="J762" s="875">
        <v>42429</v>
      </c>
      <c r="K762" s="877" t="s">
        <v>693</v>
      </c>
      <c r="L762" s="881" t="s">
        <v>671</v>
      </c>
      <c r="M762" s="881" t="s">
        <v>775</v>
      </c>
      <c r="N762" s="883">
        <v>8820000</v>
      </c>
      <c r="O762" s="55">
        <v>723</v>
      </c>
      <c r="P762" s="78">
        <v>8820000</v>
      </c>
    </row>
    <row r="763" spans="1:16" ht="15.75" customHeight="1" thickBot="1">
      <c r="A763" s="882"/>
      <c r="B763" s="876"/>
      <c r="C763" s="878"/>
      <c r="D763" s="882"/>
      <c r="E763" s="882"/>
      <c r="F763" s="884"/>
      <c r="G763" s="56">
        <v>721</v>
      </c>
      <c r="H763" s="79">
        <f>+F762-H762</f>
        <v>16000</v>
      </c>
      <c r="I763" s="882"/>
      <c r="J763" s="876"/>
      <c r="K763" s="878"/>
      <c r="L763" s="882"/>
      <c r="M763" s="882"/>
      <c r="N763" s="884"/>
      <c r="O763" s="56">
        <v>721</v>
      </c>
      <c r="P763" s="79">
        <f>+N762-P762</f>
        <v>0</v>
      </c>
    </row>
    <row r="764" spans="1:16" ht="15" customHeight="1" thickBot="1">
      <c r="A764" s="881">
        <f>+A762+1</f>
        <v>326</v>
      </c>
      <c r="B764" s="875">
        <v>42306</v>
      </c>
      <c r="C764" s="877" t="s">
        <v>272</v>
      </c>
      <c r="D764" s="881" t="s">
        <v>437</v>
      </c>
      <c r="E764" s="881" t="s">
        <v>115</v>
      </c>
      <c r="F764" s="931">
        <v>714000</v>
      </c>
      <c r="G764" s="55">
        <v>719</v>
      </c>
      <c r="H764" s="78">
        <v>510000</v>
      </c>
      <c r="I764" s="901" t="s">
        <v>102</v>
      </c>
      <c r="J764" s="902"/>
      <c r="K764" s="902"/>
      <c r="L764" s="902"/>
      <c r="M764" s="903"/>
      <c r="N764" s="81">
        <f>SUM(N754:N763)</f>
        <v>16170672</v>
      </c>
    </row>
    <row r="765" spans="1:16" ht="15.75" customHeight="1" thickBot="1">
      <c r="A765" s="882"/>
      <c r="B765" s="876"/>
      <c r="C765" s="878"/>
      <c r="D765" s="882"/>
      <c r="E765" s="882"/>
      <c r="F765" s="932"/>
      <c r="G765" s="56">
        <v>721</v>
      </c>
      <c r="H765" s="79">
        <f>+F764-H764</f>
        <v>204000</v>
      </c>
      <c r="I765" s="885" t="s">
        <v>103</v>
      </c>
      <c r="J765" s="886"/>
      <c r="K765" s="886"/>
      <c r="L765" s="886"/>
      <c r="M765" s="887"/>
      <c r="N765" s="239">
        <f>+N729</f>
        <v>294416238</v>
      </c>
      <c r="O765" s="241" t="s">
        <v>561</v>
      </c>
      <c r="P765" s="242"/>
    </row>
    <row r="766" spans="1:16" ht="16.5" thickBot="1">
      <c r="A766" s="901" t="s">
        <v>102</v>
      </c>
      <c r="B766" s="902"/>
      <c r="C766" s="902"/>
      <c r="D766" s="902"/>
      <c r="E766" s="903"/>
      <c r="F766" s="81">
        <f>SUM(F756:F765)</f>
        <v>1106000</v>
      </c>
      <c r="I766" s="888" t="s">
        <v>104</v>
      </c>
      <c r="J766" s="889"/>
      <c r="K766" s="889"/>
      <c r="L766" s="889"/>
      <c r="M766" s="890"/>
      <c r="N766" s="183">
        <f>SUM(N764:N765)</f>
        <v>310586910</v>
      </c>
    </row>
    <row r="767" spans="1:16" ht="13.5" customHeight="1" thickBot="1">
      <c r="A767" s="885" t="s">
        <v>103</v>
      </c>
      <c r="B767" s="886"/>
      <c r="C767" s="886"/>
      <c r="D767" s="886"/>
      <c r="E767" s="887"/>
      <c r="F767" s="69">
        <f>+F731</f>
        <v>653512930</v>
      </c>
      <c r="I767" s="61"/>
      <c r="J767" s="61"/>
      <c r="K767" s="61"/>
      <c r="L767" s="61"/>
      <c r="M767" s="61"/>
    </row>
    <row r="768" spans="1:16" ht="16.5" thickBot="1">
      <c r="A768" s="888" t="s">
        <v>104</v>
      </c>
      <c r="B768" s="889"/>
      <c r="C768" s="889"/>
      <c r="D768" s="889"/>
      <c r="E768" s="890"/>
      <c r="F768" s="183">
        <f>SUM(F766:F767)</f>
        <v>654618930</v>
      </c>
      <c r="I768" s="51" t="s">
        <v>777</v>
      </c>
    </row>
    <row r="769" spans="1:16" ht="12" customHeight="1">
      <c r="A769" s="61"/>
      <c r="B769" s="61"/>
      <c r="C769" s="61"/>
      <c r="D769" s="61"/>
      <c r="E769" s="61"/>
      <c r="N769" s="139"/>
    </row>
    <row r="770" spans="1:16">
      <c r="A770" s="51" t="s">
        <v>440</v>
      </c>
      <c r="I770" s="50" t="s">
        <v>105</v>
      </c>
      <c r="L770" s="146"/>
      <c r="N770" s="139"/>
    </row>
    <row r="771" spans="1:16" ht="12.75" customHeight="1" thickBot="1">
      <c r="F771" s="139"/>
    </row>
    <row r="772" spans="1:16" ht="15.75" thickBot="1">
      <c r="A772" s="50" t="s">
        <v>105</v>
      </c>
      <c r="D772" s="146"/>
      <c r="F772" s="139"/>
      <c r="I772" s="891" t="s">
        <v>106</v>
      </c>
      <c r="J772" s="892"/>
      <c r="K772" s="892"/>
      <c r="L772" s="893"/>
      <c r="N772" s="908" t="s">
        <v>288</v>
      </c>
      <c r="O772" s="908"/>
      <c r="P772" s="908"/>
    </row>
    <row r="773" spans="1:16" ht="29.25" customHeight="1" thickBot="1">
      <c r="I773" s="57" t="s">
        <v>100</v>
      </c>
      <c r="J773" s="58" t="s">
        <v>108</v>
      </c>
      <c r="K773" s="263" t="s">
        <v>109</v>
      </c>
      <c r="L773" s="60" t="s">
        <v>110</v>
      </c>
    </row>
    <row r="774" spans="1:16" ht="15.75" thickBot="1">
      <c r="A774" s="891" t="s">
        <v>106</v>
      </c>
      <c r="B774" s="892"/>
      <c r="C774" s="892"/>
      <c r="D774" s="893"/>
      <c r="F774" s="50" t="s">
        <v>288</v>
      </c>
      <c r="I774" s="71">
        <v>719</v>
      </c>
      <c r="J774" s="73"/>
      <c r="K774" s="74">
        <f>+L737</f>
        <v>5530000</v>
      </c>
      <c r="L774" s="195">
        <f>+J774+K774</f>
        <v>5530000</v>
      </c>
    </row>
    <row r="775" spans="1:16" ht="15" customHeight="1" thickBot="1">
      <c r="A775" s="57" t="s">
        <v>100</v>
      </c>
      <c r="B775" s="58" t="s">
        <v>108</v>
      </c>
      <c r="C775" s="59" t="s">
        <v>109</v>
      </c>
      <c r="D775" s="60" t="s">
        <v>110</v>
      </c>
      <c r="I775" s="72">
        <v>721</v>
      </c>
      <c r="J775" s="257"/>
      <c r="K775" s="74">
        <f>+L738</f>
        <v>1696000</v>
      </c>
      <c r="L775" s="195">
        <f>+J775+K775</f>
        <v>1696000</v>
      </c>
    </row>
    <row r="776" spans="1:16">
      <c r="A776" s="71">
        <v>719</v>
      </c>
      <c r="B776" s="73">
        <f>+H756+H758+H760+H762+H764</f>
        <v>790000</v>
      </c>
      <c r="C776" s="74">
        <f>+D739</f>
        <v>38970000</v>
      </c>
      <c r="D776" s="195">
        <f>+B776+C776</f>
        <v>39760000</v>
      </c>
      <c r="I776" s="72">
        <v>722</v>
      </c>
      <c r="J776" s="257"/>
      <c r="K776" s="74">
        <f>+L739</f>
        <v>0</v>
      </c>
      <c r="L776" s="195">
        <f>+J776+K776</f>
        <v>0</v>
      </c>
    </row>
    <row r="777" spans="1:16" ht="15.75">
      <c r="A777" s="72">
        <v>721</v>
      </c>
      <c r="B777" s="80">
        <f>+H757+H759+H761+H763+H765</f>
        <v>316000</v>
      </c>
      <c r="C777" s="74">
        <f>+D740</f>
        <v>59940797</v>
      </c>
      <c r="D777" s="195">
        <f>+B777+C777</f>
        <v>60256797</v>
      </c>
      <c r="I777" s="72">
        <v>723</v>
      </c>
      <c r="J777" s="257">
        <f>+P754+P756+P758+P760+P762</f>
        <v>16170672</v>
      </c>
      <c r="K777" s="74">
        <f>+L740</f>
        <v>287190238</v>
      </c>
      <c r="L777" s="195">
        <f>+J777+K777</f>
        <v>303360910</v>
      </c>
      <c r="N777" s="930" t="s">
        <v>23</v>
      </c>
      <c r="O777" s="930"/>
      <c r="P777" s="930"/>
    </row>
    <row r="778" spans="1:16" ht="16.5" thickBot="1">
      <c r="A778" s="72">
        <v>722</v>
      </c>
      <c r="B778" s="80"/>
      <c r="C778" s="74">
        <f>+D741</f>
        <v>231207671</v>
      </c>
      <c r="D778" s="195">
        <f>+B778+C778</f>
        <v>231207671</v>
      </c>
      <c r="I778" s="164" t="s">
        <v>181</v>
      </c>
      <c r="J778" s="165"/>
      <c r="K778" s="74">
        <f>+L741</f>
        <v>0</v>
      </c>
      <c r="L778" s="196">
        <f>+J778+K778</f>
        <v>0</v>
      </c>
      <c r="N778" s="52"/>
    </row>
    <row r="779" spans="1:16" ht="16.5" thickBot="1">
      <c r="A779" s="72">
        <v>723</v>
      </c>
      <c r="B779" s="80"/>
      <c r="C779" s="74">
        <f>+D742</f>
        <v>321428837</v>
      </c>
      <c r="D779" s="195">
        <f>+B779+C779</f>
        <v>321428837</v>
      </c>
      <c r="F779" s="174" t="s">
        <v>23</v>
      </c>
      <c r="G779" s="175"/>
      <c r="I779" s="169"/>
      <c r="J779" s="197">
        <f>SUM(J774:J778)</f>
        <v>16170672</v>
      </c>
      <c r="K779" s="197">
        <f>SUM(K774:K778)</f>
        <v>294416238</v>
      </c>
      <c r="L779" s="198">
        <f>SUM(L774:L778)</f>
        <v>310586910</v>
      </c>
    </row>
    <row r="780" spans="1:16" ht="17.25" thickBot="1">
      <c r="A780" s="164" t="s">
        <v>181</v>
      </c>
      <c r="B780" s="165"/>
      <c r="C780" s="74">
        <f>+D743</f>
        <v>1965625</v>
      </c>
      <c r="D780" s="196">
        <f>+B780+C780</f>
        <v>1965625</v>
      </c>
      <c r="F780" s="52"/>
      <c r="I780" s="49" t="s">
        <v>88</v>
      </c>
      <c r="J780" s="50"/>
    </row>
    <row r="781" spans="1:16" ht="16.5" thickBot="1">
      <c r="A781" s="169"/>
      <c r="B781" s="170">
        <f>SUM(B776:B780)</f>
        <v>1106000</v>
      </c>
      <c r="C781" s="171">
        <f>SUM(C776:C780)</f>
        <v>653512930</v>
      </c>
      <c r="D781" s="172">
        <f>SUM(D776:D780)</f>
        <v>654618930</v>
      </c>
      <c r="I781" s="51" t="s">
        <v>89</v>
      </c>
    </row>
    <row r="782" spans="1:16" ht="16.5">
      <c r="A782" s="49" t="s">
        <v>88</v>
      </c>
      <c r="B782" s="50"/>
      <c r="I782" s="51" t="s">
        <v>90</v>
      </c>
    </row>
    <row r="783" spans="1:16">
      <c r="A783" s="51" t="s">
        <v>89</v>
      </c>
      <c r="I783" s="51" t="s">
        <v>91</v>
      </c>
    </row>
    <row r="784" spans="1:16" ht="13.5" customHeight="1">
      <c r="A784" s="51" t="s">
        <v>90</v>
      </c>
      <c r="I784" s="50"/>
      <c r="J784" s="50"/>
    </row>
    <row r="785" spans="1:16" ht="16.5">
      <c r="A785" s="51" t="s">
        <v>91</v>
      </c>
      <c r="I785" s="260" t="s">
        <v>762</v>
      </c>
      <c r="J785" s="262"/>
      <c r="O785" s="52"/>
    </row>
    <row r="786" spans="1:16" ht="15" customHeight="1">
      <c r="A786" s="50"/>
      <c r="B786" s="50"/>
      <c r="I786" s="261" t="s">
        <v>535</v>
      </c>
      <c r="J786" s="262"/>
      <c r="O786" s="53"/>
    </row>
    <row r="787" spans="1:16" ht="16.5">
      <c r="A787" s="52" t="s">
        <v>432</v>
      </c>
      <c r="G787" s="52"/>
      <c r="I787" s="894" t="s">
        <v>788</v>
      </c>
      <c r="J787" s="894"/>
      <c r="K787" s="894"/>
      <c r="L787" s="894"/>
      <c r="M787" s="894"/>
      <c r="N787" s="894"/>
      <c r="O787" s="894"/>
      <c r="P787" s="894"/>
    </row>
    <row r="788" spans="1:16" ht="13.5" customHeight="1" thickBot="1">
      <c r="A788" s="53" t="s">
        <v>92</v>
      </c>
      <c r="G788" s="53"/>
    </row>
    <row r="789" spans="1:16" ht="16.5">
      <c r="A789" s="894" t="s">
        <v>93</v>
      </c>
      <c r="B789" s="894"/>
      <c r="C789" s="894"/>
      <c r="D789" s="894"/>
      <c r="E789" s="894"/>
      <c r="F789" s="894"/>
      <c r="G789" s="894"/>
      <c r="H789" s="894"/>
      <c r="I789" s="895" t="s">
        <v>94</v>
      </c>
      <c r="J789" s="897" t="s">
        <v>95</v>
      </c>
      <c r="K789" s="897" t="s">
        <v>96</v>
      </c>
      <c r="L789" s="897" t="s">
        <v>3</v>
      </c>
      <c r="M789" s="897" t="s">
        <v>97</v>
      </c>
      <c r="N789" s="897" t="s">
        <v>98</v>
      </c>
      <c r="O789" s="897" t="s">
        <v>99</v>
      </c>
      <c r="P789" s="899"/>
    </row>
    <row r="790" spans="1:16" ht="13.5" customHeight="1" thickBot="1">
      <c r="I790" s="896"/>
      <c r="J790" s="898"/>
      <c r="K790" s="898"/>
      <c r="L790" s="898"/>
      <c r="M790" s="898"/>
      <c r="N790" s="898"/>
      <c r="O790" s="240" t="s">
        <v>100</v>
      </c>
      <c r="P790" s="182" t="s">
        <v>101</v>
      </c>
    </row>
    <row r="791" spans="1:16" ht="13.5" customHeight="1">
      <c r="A791" s="895" t="s">
        <v>94</v>
      </c>
      <c r="B791" s="897" t="s">
        <v>95</v>
      </c>
      <c r="C791" s="897" t="s">
        <v>96</v>
      </c>
      <c r="D791" s="897" t="s">
        <v>3</v>
      </c>
      <c r="E791" s="897" t="s">
        <v>97</v>
      </c>
      <c r="F791" s="897" t="s">
        <v>98</v>
      </c>
      <c r="G791" s="897" t="s">
        <v>99</v>
      </c>
      <c r="H791" s="899"/>
      <c r="I791" s="873" t="s">
        <v>769</v>
      </c>
      <c r="J791" s="875">
        <v>42429</v>
      </c>
      <c r="K791" s="877" t="s">
        <v>695</v>
      </c>
      <c r="L791" s="881" t="s">
        <v>671</v>
      </c>
      <c r="M791" s="881" t="s">
        <v>115</v>
      </c>
      <c r="N791" s="883">
        <v>11025000</v>
      </c>
      <c r="O791" s="55">
        <v>723</v>
      </c>
      <c r="P791" s="78">
        <v>11025000</v>
      </c>
    </row>
    <row r="792" spans="1:16" ht="15.75" customHeight="1" thickBot="1">
      <c r="A792" s="896"/>
      <c r="B792" s="898"/>
      <c r="C792" s="898"/>
      <c r="D792" s="898"/>
      <c r="E792" s="898"/>
      <c r="F792" s="898"/>
      <c r="G792" s="240" t="s">
        <v>100</v>
      </c>
      <c r="H792" s="182" t="s">
        <v>101</v>
      </c>
      <c r="I792" s="882"/>
      <c r="J792" s="876"/>
      <c r="K792" s="878"/>
      <c r="L792" s="882"/>
      <c r="M792" s="882"/>
      <c r="N792" s="884"/>
      <c r="O792" s="56">
        <v>721</v>
      </c>
      <c r="P792" s="79">
        <f>+N791-P791</f>
        <v>0</v>
      </c>
    </row>
    <row r="793" spans="1:16" ht="14.25" customHeight="1">
      <c r="A793" s="881">
        <f>+A764+1</f>
        <v>327</v>
      </c>
      <c r="B793" s="875">
        <v>42306</v>
      </c>
      <c r="C793" s="877" t="s">
        <v>272</v>
      </c>
      <c r="D793" s="881" t="s">
        <v>433</v>
      </c>
      <c r="E793" s="881" t="s">
        <v>115</v>
      </c>
      <c r="F793" s="883">
        <v>40000</v>
      </c>
      <c r="G793" s="55">
        <v>719</v>
      </c>
      <c r="H793" s="78">
        <v>40000</v>
      </c>
      <c r="I793" s="873" t="s">
        <v>770</v>
      </c>
      <c r="J793" s="875">
        <v>42429</v>
      </c>
      <c r="K793" s="877" t="s">
        <v>117</v>
      </c>
      <c r="L793" s="881" t="s">
        <v>671</v>
      </c>
      <c r="M793" s="881" t="s">
        <v>115</v>
      </c>
      <c r="N793" s="883">
        <v>882000</v>
      </c>
      <c r="O793" s="55">
        <v>723</v>
      </c>
      <c r="P793" s="78">
        <v>882000</v>
      </c>
    </row>
    <row r="794" spans="1:16" ht="15.75" customHeight="1" thickBot="1">
      <c r="A794" s="882"/>
      <c r="B794" s="876"/>
      <c r="C794" s="878"/>
      <c r="D794" s="882"/>
      <c r="E794" s="882"/>
      <c r="F794" s="884"/>
      <c r="G794" s="56">
        <v>721</v>
      </c>
      <c r="H794" s="79">
        <f>+F793-H793</f>
        <v>0</v>
      </c>
      <c r="I794" s="882"/>
      <c r="J794" s="876"/>
      <c r="K794" s="878"/>
      <c r="L794" s="882"/>
      <c r="M794" s="882"/>
      <c r="N794" s="884"/>
      <c r="O794" s="56">
        <v>721</v>
      </c>
      <c r="P794" s="79">
        <f>+N793-P793</f>
        <v>0</v>
      </c>
    </row>
    <row r="795" spans="1:16" ht="15" customHeight="1">
      <c r="A795" s="881">
        <f>+A793+1</f>
        <v>328</v>
      </c>
      <c r="B795" s="875">
        <v>42306</v>
      </c>
      <c r="C795" s="881" t="s">
        <v>28</v>
      </c>
      <c r="D795" s="881" t="s">
        <v>434</v>
      </c>
      <c r="E795" s="881" t="s">
        <v>115</v>
      </c>
      <c r="F795" s="883">
        <v>80000</v>
      </c>
      <c r="G795" s="55">
        <v>719</v>
      </c>
      <c r="H795" s="78">
        <v>80000</v>
      </c>
      <c r="I795" s="873" t="s">
        <v>771</v>
      </c>
      <c r="J795" s="875">
        <v>42429</v>
      </c>
      <c r="K795" s="877" t="s">
        <v>778</v>
      </c>
      <c r="L795" s="881" t="s">
        <v>671</v>
      </c>
      <c r="M795" s="881" t="s">
        <v>115</v>
      </c>
      <c r="N795" s="883">
        <v>441000</v>
      </c>
      <c r="O795" s="55">
        <v>723</v>
      </c>
      <c r="P795" s="78">
        <v>441000</v>
      </c>
    </row>
    <row r="796" spans="1:16" ht="15.75" customHeight="1" thickBot="1">
      <c r="A796" s="882"/>
      <c r="B796" s="876"/>
      <c r="C796" s="882"/>
      <c r="D796" s="882"/>
      <c r="E796" s="882"/>
      <c r="F796" s="884"/>
      <c r="G796" s="56">
        <v>721</v>
      </c>
      <c r="H796" s="79">
        <f>+F795-H795</f>
        <v>0</v>
      </c>
      <c r="I796" s="882"/>
      <c r="J796" s="876"/>
      <c r="K796" s="878"/>
      <c r="L796" s="882"/>
      <c r="M796" s="882"/>
      <c r="N796" s="884"/>
      <c r="O796" s="56">
        <v>721</v>
      </c>
      <c r="P796" s="79">
        <f>+N795-P795</f>
        <v>0</v>
      </c>
    </row>
    <row r="797" spans="1:16" ht="15.75" customHeight="1">
      <c r="A797" s="881">
        <f>+A795+1</f>
        <v>329</v>
      </c>
      <c r="B797" s="875">
        <v>42306</v>
      </c>
      <c r="C797" s="877" t="s">
        <v>32</v>
      </c>
      <c r="D797" s="881" t="s">
        <v>435</v>
      </c>
      <c r="E797" s="881" t="s">
        <v>115</v>
      </c>
      <c r="F797" s="883">
        <v>30000</v>
      </c>
      <c r="G797" s="55">
        <v>719</v>
      </c>
      <c r="H797" s="78">
        <v>30000</v>
      </c>
      <c r="I797" s="873" t="s">
        <v>772</v>
      </c>
      <c r="J797" s="875">
        <v>42429</v>
      </c>
      <c r="K797" s="877" t="s">
        <v>779</v>
      </c>
      <c r="L797" s="881" t="s">
        <v>671</v>
      </c>
      <c r="M797" s="881" t="s">
        <v>115</v>
      </c>
      <c r="N797" s="883">
        <v>1974320</v>
      </c>
      <c r="O797" s="55">
        <v>723</v>
      </c>
      <c r="P797" s="78">
        <v>1974320</v>
      </c>
    </row>
    <row r="798" spans="1:16" ht="15.75" customHeight="1" thickBot="1">
      <c r="A798" s="882"/>
      <c r="B798" s="876"/>
      <c r="C798" s="878"/>
      <c r="D798" s="882"/>
      <c r="E798" s="882"/>
      <c r="F798" s="884"/>
      <c r="G798" s="56">
        <v>721</v>
      </c>
      <c r="H798" s="79">
        <f>+F797-H797</f>
        <v>0</v>
      </c>
      <c r="I798" s="882"/>
      <c r="J798" s="876"/>
      <c r="K798" s="878"/>
      <c r="L798" s="882"/>
      <c r="M798" s="882"/>
      <c r="N798" s="884"/>
      <c r="O798" s="56">
        <v>721</v>
      </c>
      <c r="P798" s="79">
        <f>+N797-P797</f>
        <v>0</v>
      </c>
    </row>
    <row r="799" spans="1:16" ht="16.5" customHeight="1">
      <c r="A799" s="881"/>
      <c r="B799" s="875"/>
      <c r="C799" s="877"/>
      <c r="D799" s="881"/>
      <c r="E799" s="881"/>
      <c r="F799" s="883"/>
      <c r="G799" s="55">
        <v>719</v>
      </c>
      <c r="H799" s="78"/>
      <c r="I799" s="873" t="s">
        <v>773</v>
      </c>
      <c r="J799" s="875">
        <v>42429</v>
      </c>
      <c r="K799" s="877" t="s">
        <v>781</v>
      </c>
      <c r="L799" s="881" t="s">
        <v>671</v>
      </c>
      <c r="M799" s="881" t="s">
        <v>115</v>
      </c>
      <c r="N799" s="883">
        <v>6420225</v>
      </c>
      <c r="O799" s="55">
        <v>723</v>
      </c>
      <c r="P799" s="78">
        <v>6420225</v>
      </c>
    </row>
    <row r="800" spans="1:16" ht="14.25" customHeight="1" thickBot="1">
      <c r="A800" s="882"/>
      <c r="B800" s="876"/>
      <c r="C800" s="878"/>
      <c r="D800" s="882"/>
      <c r="E800" s="882"/>
      <c r="F800" s="884"/>
      <c r="G800" s="56">
        <v>721</v>
      </c>
      <c r="H800" s="79">
        <f>+F799-H799</f>
        <v>0</v>
      </c>
      <c r="I800" s="882"/>
      <c r="J800" s="876"/>
      <c r="K800" s="878"/>
      <c r="L800" s="882"/>
      <c r="M800" s="882"/>
      <c r="N800" s="884"/>
      <c r="O800" s="56">
        <v>721</v>
      </c>
      <c r="P800" s="79">
        <f>+N799-P799</f>
        <v>0</v>
      </c>
    </row>
    <row r="801" spans="1:16" ht="15" customHeight="1" thickBot="1">
      <c r="A801" s="881"/>
      <c r="B801" s="875"/>
      <c r="C801" s="881"/>
      <c r="D801" s="881"/>
      <c r="E801" s="881"/>
      <c r="F801" s="883"/>
      <c r="G801" s="55">
        <v>719</v>
      </c>
      <c r="H801" s="78"/>
      <c r="I801" s="901" t="s">
        <v>102</v>
      </c>
      <c r="J801" s="902"/>
      <c r="K801" s="902"/>
      <c r="L801" s="902"/>
      <c r="M801" s="903"/>
      <c r="N801" s="81">
        <f>SUM(N791:N800)</f>
        <v>20742545</v>
      </c>
    </row>
    <row r="802" spans="1:16" ht="15.75" customHeight="1" thickBot="1">
      <c r="A802" s="882"/>
      <c r="B802" s="876"/>
      <c r="C802" s="882"/>
      <c r="D802" s="882"/>
      <c r="E802" s="882"/>
      <c r="F802" s="884"/>
      <c r="G802" s="56">
        <v>721</v>
      </c>
      <c r="H802" s="79">
        <f>+F801-H801</f>
        <v>0</v>
      </c>
      <c r="I802" s="885" t="s">
        <v>103</v>
      </c>
      <c r="J802" s="886"/>
      <c r="K802" s="886"/>
      <c r="L802" s="886"/>
      <c r="M802" s="887"/>
      <c r="N802" s="239">
        <f>+N766</f>
        <v>310586910</v>
      </c>
      <c r="O802" s="241" t="s">
        <v>561</v>
      </c>
      <c r="P802" s="242"/>
    </row>
    <row r="803" spans="1:16" ht="16.5" thickBot="1">
      <c r="A803" s="901" t="s">
        <v>102</v>
      </c>
      <c r="B803" s="902"/>
      <c r="C803" s="902"/>
      <c r="D803" s="902"/>
      <c r="E803" s="903"/>
      <c r="F803" s="81">
        <f>SUM(F793:F802)</f>
        <v>150000</v>
      </c>
      <c r="I803" s="888" t="s">
        <v>104</v>
      </c>
      <c r="J803" s="889"/>
      <c r="K803" s="889"/>
      <c r="L803" s="889"/>
      <c r="M803" s="890"/>
      <c r="N803" s="183">
        <f>SUM(N801:N802)</f>
        <v>331329455</v>
      </c>
    </row>
    <row r="804" spans="1:16" ht="13.5" customHeight="1" thickBot="1">
      <c r="A804" s="885" t="s">
        <v>103</v>
      </c>
      <c r="B804" s="886"/>
      <c r="C804" s="886"/>
      <c r="D804" s="886"/>
      <c r="E804" s="887"/>
      <c r="F804" s="69">
        <f>+F768</f>
        <v>654618930</v>
      </c>
      <c r="I804" s="61"/>
      <c r="J804" s="61"/>
      <c r="K804" s="61"/>
      <c r="L804" s="61"/>
      <c r="M804" s="61"/>
    </row>
    <row r="805" spans="1:16" ht="16.5" thickBot="1">
      <c r="A805" s="888" t="s">
        <v>104</v>
      </c>
      <c r="B805" s="889"/>
      <c r="C805" s="889"/>
      <c r="D805" s="889"/>
      <c r="E805" s="890"/>
      <c r="F805" s="183">
        <f>SUM(F803:F804)</f>
        <v>654768930</v>
      </c>
      <c r="I805" s="51" t="s">
        <v>786</v>
      </c>
    </row>
    <row r="806" spans="1:16" ht="12.75" customHeight="1">
      <c r="A806" s="61"/>
      <c r="B806" s="61"/>
      <c r="C806" s="61"/>
      <c r="D806" s="61"/>
      <c r="E806" s="61"/>
      <c r="N806" s="139"/>
    </row>
    <row r="807" spans="1:16">
      <c r="A807" s="51" t="s">
        <v>441</v>
      </c>
      <c r="I807" s="50" t="s">
        <v>105</v>
      </c>
      <c r="L807" s="146"/>
      <c r="N807" s="139"/>
    </row>
    <row r="808" spans="1:16" ht="12.75" customHeight="1" thickBot="1">
      <c r="F808" s="139"/>
    </row>
    <row r="809" spans="1:16" ht="15.75" thickBot="1">
      <c r="A809" s="50" t="s">
        <v>105</v>
      </c>
      <c r="D809" s="146"/>
      <c r="F809" s="139"/>
      <c r="I809" s="891" t="s">
        <v>106</v>
      </c>
      <c r="J809" s="892"/>
      <c r="K809" s="892"/>
      <c r="L809" s="893"/>
      <c r="N809" s="908" t="s">
        <v>288</v>
      </c>
      <c r="O809" s="908"/>
      <c r="P809" s="908"/>
    </row>
    <row r="810" spans="1:16" ht="27" customHeight="1" thickBot="1">
      <c r="I810" s="57" t="s">
        <v>100</v>
      </c>
      <c r="J810" s="58" t="s">
        <v>108</v>
      </c>
      <c r="K810" s="264" t="s">
        <v>109</v>
      </c>
      <c r="L810" s="60" t="s">
        <v>110</v>
      </c>
    </row>
    <row r="811" spans="1:16" ht="15.75" thickBot="1">
      <c r="A811" s="891" t="s">
        <v>106</v>
      </c>
      <c r="B811" s="892"/>
      <c r="C811" s="892"/>
      <c r="D811" s="893"/>
      <c r="F811" s="50" t="s">
        <v>288</v>
      </c>
      <c r="I811" s="71">
        <v>719</v>
      </c>
      <c r="J811" s="73">
        <f>0</f>
        <v>0</v>
      </c>
      <c r="K811" s="74">
        <f>+L774</f>
        <v>5530000</v>
      </c>
      <c r="L811" s="195">
        <f>+J811+K811</f>
        <v>5530000</v>
      </c>
    </row>
    <row r="812" spans="1:16" ht="18" customHeight="1" thickBot="1">
      <c r="A812" s="57" t="s">
        <v>100</v>
      </c>
      <c r="B812" s="58" t="s">
        <v>108</v>
      </c>
      <c r="C812" s="59" t="s">
        <v>109</v>
      </c>
      <c r="D812" s="60" t="s">
        <v>110</v>
      </c>
      <c r="I812" s="72">
        <v>721</v>
      </c>
      <c r="J812" s="257"/>
      <c r="K812" s="74">
        <f>+L775</f>
        <v>1696000</v>
      </c>
      <c r="L812" s="195">
        <f>+J812+K812</f>
        <v>1696000</v>
      </c>
    </row>
    <row r="813" spans="1:16">
      <c r="A813" s="71">
        <v>719</v>
      </c>
      <c r="B813" s="73">
        <f>+H793+H795+H797+H799+H801</f>
        <v>150000</v>
      </c>
      <c r="C813" s="74">
        <f>+D776</f>
        <v>39760000</v>
      </c>
      <c r="D813" s="195">
        <f>+B813+C813</f>
        <v>39910000</v>
      </c>
      <c r="I813" s="72">
        <v>722</v>
      </c>
      <c r="J813" s="257"/>
      <c r="K813" s="74">
        <f>+L776</f>
        <v>0</v>
      </c>
      <c r="L813" s="195">
        <f>+J813+K813</f>
        <v>0</v>
      </c>
    </row>
    <row r="814" spans="1:16" ht="15.75">
      <c r="A814" s="72">
        <v>721</v>
      </c>
      <c r="B814" s="80">
        <f>+H794</f>
        <v>0</v>
      </c>
      <c r="C814" s="74">
        <f>+D777</f>
        <v>60256797</v>
      </c>
      <c r="D814" s="195">
        <f>+B814+C814</f>
        <v>60256797</v>
      </c>
      <c r="I814" s="72">
        <v>723</v>
      </c>
      <c r="J814" s="257">
        <f>+P791+P793+P795+P797+P799</f>
        <v>20742545</v>
      </c>
      <c r="K814" s="74">
        <f>+L777</f>
        <v>303360910</v>
      </c>
      <c r="L814" s="195">
        <f>+J814+K814</f>
        <v>324103455</v>
      </c>
      <c r="N814" s="930" t="s">
        <v>23</v>
      </c>
      <c r="O814" s="930"/>
      <c r="P814" s="930"/>
    </row>
    <row r="815" spans="1:16" ht="16.5" thickBot="1">
      <c r="A815" s="72">
        <v>722</v>
      </c>
      <c r="B815" s="80"/>
      <c r="C815" s="74">
        <f>+D778</f>
        <v>231207671</v>
      </c>
      <c r="D815" s="195">
        <f>+B815+C815</f>
        <v>231207671</v>
      </c>
      <c r="I815" s="164" t="s">
        <v>181</v>
      </c>
      <c r="J815" s="165"/>
      <c r="K815" s="74">
        <f>+L778</f>
        <v>0</v>
      </c>
      <c r="L815" s="196">
        <f>+J815+K815</f>
        <v>0</v>
      </c>
      <c r="N815" s="52"/>
    </row>
    <row r="816" spans="1:16" ht="16.5" thickBot="1">
      <c r="A816" s="72">
        <v>723</v>
      </c>
      <c r="B816" s="80">
        <f>+H796</f>
        <v>0</v>
      </c>
      <c r="C816" s="74">
        <f>+D779</f>
        <v>321428837</v>
      </c>
      <c r="D816" s="195">
        <f>+B816+C816</f>
        <v>321428837</v>
      </c>
      <c r="F816" s="174" t="s">
        <v>23</v>
      </c>
      <c r="G816" s="175"/>
      <c r="I816" s="169"/>
      <c r="J816" s="197">
        <f>SUM(J811:J815)</f>
        <v>20742545</v>
      </c>
      <c r="K816" s="197">
        <f>SUM(K811:K815)</f>
        <v>310586910</v>
      </c>
      <c r="L816" s="198">
        <f>SUM(L811:L815)</f>
        <v>331329455</v>
      </c>
    </row>
    <row r="817" spans="1:16" ht="17.25" thickBot="1">
      <c r="A817" s="164" t="s">
        <v>181</v>
      </c>
      <c r="B817" s="165"/>
      <c r="C817" s="74">
        <f>+D780</f>
        <v>1965625</v>
      </c>
      <c r="D817" s="196">
        <f>+B817+C817</f>
        <v>1965625</v>
      </c>
      <c r="F817" s="52"/>
      <c r="I817" s="49" t="s">
        <v>88</v>
      </c>
      <c r="J817" s="50"/>
    </row>
    <row r="818" spans="1:16" ht="16.5" thickBot="1">
      <c r="A818" s="169"/>
      <c r="B818" s="170">
        <f>SUM(B813:B817)</f>
        <v>150000</v>
      </c>
      <c r="C818" s="171">
        <f>SUM(C813:C817)</f>
        <v>654618930</v>
      </c>
      <c r="D818" s="172">
        <f>SUM(D813:D817)</f>
        <v>654768930</v>
      </c>
      <c r="I818" s="51" t="s">
        <v>89</v>
      </c>
    </row>
    <row r="819" spans="1:16" ht="16.5">
      <c r="A819" s="49" t="s">
        <v>88</v>
      </c>
      <c r="B819" s="50"/>
      <c r="I819" s="51" t="s">
        <v>90</v>
      </c>
    </row>
    <row r="820" spans="1:16">
      <c r="A820" s="51" t="s">
        <v>89</v>
      </c>
      <c r="I820" s="51" t="s">
        <v>91</v>
      </c>
    </row>
    <row r="821" spans="1:16" ht="12.75" customHeight="1">
      <c r="A821" s="51" t="s">
        <v>90</v>
      </c>
      <c r="I821" s="50"/>
      <c r="J821" s="50"/>
    </row>
    <row r="822" spans="1:16" ht="16.5">
      <c r="A822" s="51" t="s">
        <v>91</v>
      </c>
      <c r="I822" s="260" t="s">
        <v>763</v>
      </c>
      <c r="J822" s="262"/>
      <c r="O822" s="52"/>
    </row>
    <row r="823" spans="1:16" ht="14.25" customHeight="1">
      <c r="A823" s="50"/>
      <c r="B823" s="50"/>
      <c r="I823" s="261" t="s">
        <v>535</v>
      </c>
      <c r="J823" s="262"/>
      <c r="O823" s="53"/>
    </row>
    <row r="824" spans="1:16" ht="16.5">
      <c r="A824" s="52" t="s">
        <v>442</v>
      </c>
      <c r="G824" s="52"/>
      <c r="I824" s="894" t="s">
        <v>788</v>
      </c>
      <c r="J824" s="894"/>
      <c r="K824" s="894"/>
      <c r="L824" s="894"/>
      <c r="M824" s="894"/>
      <c r="N824" s="894"/>
      <c r="O824" s="894"/>
      <c r="P824" s="894"/>
    </row>
    <row r="825" spans="1:16" ht="12.75" customHeight="1" thickBot="1">
      <c r="A825" s="53" t="s">
        <v>92</v>
      </c>
      <c r="G825" s="53"/>
    </row>
    <row r="826" spans="1:16" ht="16.5">
      <c r="A826" s="894" t="s">
        <v>93</v>
      </c>
      <c r="B826" s="894"/>
      <c r="C826" s="894"/>
      <c r="D826" s="894"/>
      <c r="E826" s="894"/>
      <c r="F826" s="894"/>
      <c r="G826" s="894"/>
      <c r="H826" s="894"/>
      <c r="I826" s="895" t="s">
        <v>94</v>
      </c>
      <c r="J826" s="897" t="s">
        <v>95</v>
      </c>
      <c r="K826" s="897" t="s">
        <v>96</v>
      </c>
      <c r="L826" s="897" t="s">
        <v>3</v>
      </c>
      <c r="M826" s="897" t="s">
        <v>97</v>
      </c>
      <c r="N826" s="897" t="s">
        <v>98</v>
      </c>
      <c r="O826" s="897" t="s">
        <v>99</v>
      </c>
      <c r="P826" s="899"/>
    </row>
    <row r="827" spans="1:16" ht="15.75" thickBot="1">
      <c r="I827" s="896"/>
      <c r="J827" s="898"/>
      <c r="K827" s="898"/>
      <c r="L827" s="898"/>
      <c r="M827" s="898"/>
      <c r="N827" s="898"/>
      <c r="O827" s="240" t="s">
        <v>100</v>
      </c>
      <c r="P827" s="182" t="s">
        <v>101</v>
      </c>
    </row>
    <row r="828" spans="1:16" ht="15" customHeight="1">
      <c r="A828" s="895" t="s">
        <v>94</v>
      </c>
      <c r="B828" s="897" t="s">
        <v>95</v>
      </c>
      <c r="C828" s="897" t="s">
        <v>96</v>
      </c>
      <c r="D828" s="897" t="s">
        <v>3</v>
      </c>
      <c r="E828" s="897" t="s">
        <v>97</v>
      </c>
      <c r="F828" s="897" t="s">
        <v>98</v>
      </c>
      <c r="G828" s="897" t="s">
        <v>99</v>
      </c>
      <c r="H828" s="899"/>
      <c r="I828" s="971" t="s">
        <v>774</v>
      </c>
      <c r="J828" s="875">
        <v>42429</v>
      </c>
      <c r="K828" s="877" t="s">
        <v>350</v>
      </c>
      <c r="L828" s="881" t="s">
        <v>671</v>
      </c>
      <c r="M828" s="881" t="s">
        <v>783</v>
      </c>
      <c r="N828" s="883">
        <v>1804000</v>
      </c>
      <c r="O828" s="55">
        <v>723</v>
      </c>
      <c r="P828" s="78">
        <v>1804000</v>
      </c>
    </row>
    <row r="829" spans="1:16" ht="15.75" customHeight="1" thickBot="1">
      <c r="A829" s="896"/>
      <c r="B829" s="898"/>
      <c r="C829" s="898"/>
      <c r="D829" s="898"/>
      <c r="E829" s="898"/>
      <c r="F829" s="898"/>
      <c r="G829" s="240" t="s">
        <v>100</v>
      </c>
      <c r="H829" s="182" t="s">
        <v>101</v>
      </c>
      <c r="I829" s="972"/>
      <c r="J829" s="876"/>
      <c r="K829" s="878"/>
      <c r="L829" s="882"/>
      <c r="M829" s="882"/>
      <c r="N829" s="884"/>
      <c r="O829" s="56">
        <v>721</v>
      </c>
      <c r="P829" s="79">
        <f>+N828-P828</f>
        <v>0</v>
      </c>
    </row>
    <row r="830" spans="1:16" ht="15" customHeight="1">
      <c r="A830" s="881">
        <f>+A797+1</f>
        <v>330</v>
      </c>
      <c r="B830" s="875">
        <v>42317</v>
      </c>
      <c r="C830" s="877" t="s">
        <v>267</v>
      </c>
      <c r="D830" s="881" t="s">
        <v>444</v>
      </c>
      <c r="E830" s="881" t="s">
        <v>148</v>
      </c>
      <c r="F830" s="883">
        <v>252000</v>
      </c>
      <c r="G830" s="55">
        <v>719</v>
      </c>
      <c r="H830" s="78">
        <v>180000</v>
      </c>
      <c r="I830" s="928">
        <f>+I828+1</f>
        <v>105</v>
      </c>
      <c r="J830" s="875">
        <v>42429</v>
      </c>
      <c r="K830" s="877" t="s">
        <v>782</v>
      </c>
      <c r="L830" s="881" t="s">
        <v>671</v>
      </c>
      <c r="M830" s="881" t="s">
        <v>165</v>
      </c>
      <c r="N830" s="883">
        <v>1600000</v>
      </c>
      <c r="O830" s="55">
        <v>723</v>
      </c>
      <c r="P830" s="78">
        <v>1600000</v>
      </c>
    </row>
    <row r="831" spans="1:16" ht="15.75" customHeight="1" thickBot="1">
      <c r="A831" s="882"/>
      <c r="B831" s="876"/>
      <c r="C831" s="878"/>
      <c r="D831" s="882"/>
      <c r="E831" s="882"/>
      <c r="F831" s="884"/>
      <c r="G831" s="56">
        <v>721</v>
      </c>
      <c r="H831" s="79">
        <f>+F830-H830</f>
        <v>72000</v>
      </c>
      <c r="I831" s="929"/>
      <c r="J831" s="876"/>
      <c r="K831" s="878"/>
      <c r="L831" s="882"/>
      <c r="M831" s="882"/>
      <c r="N831" s="884"/>
      <c r="O831" s="56">
        <v>721</v>
      </c>
      <c r="P831" s="79">
        <f>+N830-P830</f>
        <v>0</v>
      </c>
    </row>
    <row r="832" spans="1:16" ht="15" customHeight="1">
      <c r="A832" s="881">
        <f>+A830+1</f>
        <v>331</v>
      </c>
      <c r="B832" s="875">
        <v>42317</v>
      </c>
      <c r="C832" s="881" t="s">
        <v>28</v>
      </c>
      <c r="D832" s="881" t="s">
        <v>445</v>
      </c>
      <c r="E832" s="881" t="s">
        <v>148</v>
      </c>
      <c r="F832" s="883">
        <v>574000</v>
      </c>
      <c r="G832" s="55">
        <v>719</v>
      </c>
      <c r="H832" s="78">
        <v>410000</v>
      </c>
      <c r="I832" s="928">
        <f>+I830+1</f>
        <v>106</v>
      </c>
      <c r="J832" s="875">
        <v>42429</v>
      </c>
      <c r="K832" s="877" t="s">
        <v>28</v>
      </c>
      <c r="L832" s="881" t="s">
        <v>671</v>
      </c>
      <c r="M832" s="881" t="s">
        <v>784</v>
      </c>
      <c r="N832" s="883">
        <v>164000</v>
      </c>
      <c r="O832" s="55">
        <v>723</v>
      </c>
      <c r="P832" s="78">
        <v>164000</v>
      </c>
    </row>
    <row r="833" spans="1:16" ht="15.75" customHeight="1" thickBot="1">
      <c r="A833" s="882"/>
      <c r="B833" s="876"/>
      <c r="C833" s="882"/>
      <c r="D833" s="882"/>
      <c r="E833" s="882"/>
      <c r="F833" s="884"/>
      <c r="G833" s="56">
        <v>721</v>
      </c>
      <c r="H833" s="79">
        <f>+F832-H832</f>
        <v>164000</v>
      </c>
      <c r="I833" s="929"/>
      <c r="J833" s="876"/>
      <c r="K833" s="878"/>
      <c r="L833" s="882"/>
      <c r="M833" s="882"/>
      <c r="N833" s="884"/>
      <c r="O833" s="56">
        <v>721</v>
      </c>
      <c r="P833" s="79">
        <f>+N832-P832</f>
        <v>0</v>
      </c>
    </row>
    <row r="834" spans="1:16" ht="15" customHeight="1">
      <c r="A834" s="881">
        <f>+A832+1</f>
        <v>332</v>
      </c>
      <c r="B834" s="875">
        <v>42317</v>
      </c>
      <c r="C834" s="877" t="s">
        <v>32</v>
      </c>
      <c r="D834" s="881" t="s">
        <v>446</v>
      </c>
      <c r="E834" s="881" t="s">
        <v>148</v>
      </c>
      <c r="F834" s="883">
        <v>28000</v>
      </c>
      <c r="G834" s="55">
        <v>719</v>
      </c>
      <c r="H834" s="78">
        <v>20000</v>
      </c>
      <c r="I834" s="928">
        <f>+I832+1</f>
        <v>107</v>
      </c>
      <c r="J834" s="875">
        <v>42429</v>
      </c>
      <c r="K834" s="877" t="s">
        <v>28</v>
      </c>
      <c r="L834" s="881" t="s">
        <v>671</v>
      </c>
      <c r="M834" s="881" t="s">
        <v>785</v>
      </c>
      <c r="N834" s="883">
        <v>459200</v>
      </c>
      <c r="O834" s="55">
        <v>723</v>
      </c>
      <c r="P834" s="78">
        <v>459200</v>
      </c>
    </row>
    <row r="835" spans="1:16" ht="15.75" customHeight="1" thickBot="1">
      <c r="A835" s="882"/>
      <c r="B835" s="876"/>
      <c r="C835" s="878"/>
      <c r="D835" s="882"/>
      <c r="E835" s="882"/>
      <c r="F835" s="884"/>
      <c r="G835" s="56">
        <v>721</v>
      </c>
      <c r="H835" s="79">
        <f>+F834-H834</f>
        <v>8000</v>
      </c>
      <c r="I835" s="929"/>
      <c r="J835" s="876"/>
      <c r="K835" s="878"/>
      <c r="L835" s="882"/>
      <c r="M835" s="882"/>
      <c r="N835" s="884"/>
      <c r="O835" s="56">
        <v>721</v>
      </c>
      <c r="P835" s="79">
        <f>+N834-P834</f>
        <v>0</v>
      </c>
    </row>
    <row r="836" spans="1:16" ht="15" customHeight="1">
      <c r="A836" s="881">
        <f>+A834+1</f>
        <v>333</v>
      </c>
      <c r="B836" s="875">
        <v>42317</v>
      </c>
      <c r="C836" s="877" t="s">
        <v>111</v>
      </c>
      <c r="D836" s="881" t="s">
        <v>447</v>
      </c>
      <c r="E836" s="881" t="s">
        <v>148</v>
      </c>
      <c r="F836" s="883">
        <v>140000</v>
      </c>
      <c r="G836" s="55">
        <v>719</v>
      </c>
      <c r="H836" s="78">
        <v>100000</v>
      </c>
      <c r="I836" s="928">
        <f>+I834+1</f>
        <v>108</v>
      </c>
      <c r="J836" s="875">
        <v>42429</v>
      </c>
      <c r="K836" s="877" t="s">
        <v>28</v>
      </c>
      <c r="L836" s="881" t="s">
        <v>671</v>
      </c>
      <c r="M836" s="881" t="s">
        <v>214</v>
      </c>
      <c r="N836" s="883">
        <v>918400</v>
      </c>
      <c r="O836" s="55">
        <v>723</v>
      </c>
      <c r="P836" s="78">
        <v>918400</v>
      </c>
    </row>
    <row r="837" spans="1:16" ht="15.75" customHeight="1" thickBot="1">
      <c r="A837" s="882"/>
      <c r="B837" s="876"/>
      <c r="C837" s="878"/>
      <c r="D837" s="882"/>
      <c r="E837" s="882"/>
      <c r="F837" s="884"/>
      <c r="G837" s="56">
        <v>721</v>
      </c>
      <c r="H837" s="79">
        <f>+F836-H836</f>
        <v>40000</v>
      </c>
      <c r="I837" s="929"/>
      <c r="J837" s="876"/>
      <c r="K837" s="878"/>
      <c r="L837" s="882"/>
      <c r="M837" s="882"/>
      <c r="N837" s="884"/>
      <c r="O837" s="56">
        <v>721</v>
      </c>
      <c r="P837" s="79">
        <f>+N836-P836</f>
        <v>0</v>
      </c>
    </row>
    <row r="838" spans="1:16" ht="15" customHeight="1" thickBot="1">
      <c r="A838" s="881">
        <f>+A836+1</f>
        <v>334</v>
      </c>
      <c r="B838" s="875">
        <v>42317</v>
      </c>
      <c r="C838" s="877" t="s">
        <v>272</v>
      </c>
      <c r="D838" s="881" t="s">
        <v>444</v>
      </c>
      <c r="E838" s="881" t="s">
        <v>148</v>
      </c>
      <c r="F838" s="883">
        <v>756000</v>
      </c>
      <c r="G838" s="55">
        <v>719</v>
      </c>
      <c r="H838" s="78">
        <v>540000</v>
      </c>
      <c r="I838" s="901" t="s">
        <v>102</v>
      </c>
      <c r="J838" s="902"/>
      <c r="K838" s="902"/>
      <c r="L838" s="902"/>
      <c r="M838" s="903"/>
      <c r="N838" s="81">
        <f>SUM(N828:N837)</f>
        <v>4945600</v>
      </c>
    </row>
    <row r="839" spans="1:16" ht="15.75" customHeight="1" thickBot="1">
      <c r="A839" s="882"/>
      <c r="B839" s="876"/>
      <c r="C839" s="878"/>
      <c r="D839" s="882"/>
      <c r="E839" s="882"/>
      <c r="F839" s="884"/>
      <c r="G839" s="56">
        <v>721</v>
      </c>
      <c r="H839" s="79">
        <f>+F838-H838</f>
        <v>216000</v>
      </c>
      <c r="I839" s="885" t="s">
        <v>103</v>
      </c>
      <c r="J839" s="886"/>
      <c r="K839" s="886"/>
      <c r="L839" s="886"/>
      <c r="M839" s="887"/>
      <c r="N839" s="239">
        <f>+N803</f>
        <v>331329455</v>
      </c>
      <c r="O839" s="241" t="s">
        <v>561</v>
      </c>
      <c r="P839" s="242">
        <f>60+44+8</f>
        <v>112</v>
      </c>
    </row>
    <row r="840" spans="1:16" ht="16.5" thickBot="1">
      <c r="A840" s="901" t="s">
        <v>102</v>
      </c>
      <c r="B840" s="902"/>
      <c r="C840" s="902"/>
      <c r="D840" s="902"/>
      <c r="E840" s="903"/>
      <c r="F840" s="81">
        <f>SUM(F830:F839)</f>
        <v>1750000</v>
      </c>
      <c r="I840" s="888" t="s">
        <v>104</v>
      </c>
      <c r="J840" s="889"/>
      <c r="K840" s="889"/>
      <c r="L840" s="889"/>
      <c r="M840" s="890"/>
      <c r="N840" s="183">
        <f>SUM(N838:N839)</f>
        <v>336275055</v>
      </c>
    </row>
    <row r="841" spans="1:16" ht="16.5" thickBot="1">
      <c r="A841" s="885" t="s">
        <v>103</v>
      </c>
      <c r="B841" s="886"/>
      <c r="C841" s="886"/>
      <c r="D841" s="886"/>
      <c r="E841" s="887"/>
      <c r="F841" s="69">
        <f>+F805</f>
        <v>654768930</v>
      </c>
      <c r="I841" s="61"/>
      <c r="J841" s="61"/>
      <c r="K841" s="61"/>
      <c r="L841" s="61"/>
      <c r="M841" s="61"/>
    </row>
    <row r="842" spans="1:16" ht="16.5" thickBot="1">
      <c r="A842" s="888" t="s">
        <v>104</v>
      </c>
      <c r="B842" s="889"/>
      <c r="C842" s="889"/>
      <c r="D842" s="889"/>
      <c r="E842" s="890"/>
      <c r="F842" s="183">
        <f>SUM(F840:F841)</f>
        <v>656518930</v>
      </c>
      <c r="I842" s="51" t="s">
        <v>787</v>
      </c>
    </row>
    <row r="843" spans="1:16" ht="12.75" customHeight="1">
      <c r="A843" s="61"/>
      <c r="B843" s="61"/>
      <c r="C843" s="61"/>
      <c r="D843" s="61"/>
      <c r="E843" s="61"/>
      <c r="N843" s="139"/>
    </row>
    <row r="844" spans="1:16">
      <c r="A844" s="51" t="s">
        <v>448</v>
      </c>
      <c r="I844" s="50" t="s">
        <v>105</v>
      </c>
      <c r="L844" s="146"/>
      <c r="N844" s="139"/>
    </row>
    <row r="845" spans="1:16" ht="12" customHeight="1" thickBot="1">
      <c r="F845" s="139"/>
    </row>
    <row r="846" spans="1:16" ht="15.75" thickBot="1">
      <c r="A846" s="50" t="s">
        <v>105</v>
      </c>
      <c r="D846" s="146"/>
      <c r="F846" s="139"/>
      <c r="I846" s="891" t="s">
        <v>106</v>
      </c>
      <c r="J846" s="892"/>
      <c r="K846" s="892"/>
      <c r="L846" s="893"/>
      <c r="N846" s="908" t="s">
        <v>288</v>
      </c>
      <c r="O846" s="908"/>
      <c r="P846" s="908"/>
    </row>
    <row r="847" spans="1:16" ht="28.5" customHeight="1" thickBot="1">
      <c r="I847" s="57" t="s">
        <v>100</v>
      </c>
      <c r="J847" s="58" t="s">
        <v>108</v>
      </c>
      <c r="K847" s="263" t="s">
        <v>109</v>
      </c>
      <c r="L847" s="60" t="s">
        <v>110</v>
      </c>
    </row>
    <row r="848" spans="1:16" ht="15.75" thickBot="1">
      <c r="A848" s="891" t="s">
        <v>106</v>
      </c>
      <c r="B848" s="892"/>
      <c r="C848" s="892"/>
      <c r="D848" s="893"/>
      <c r="F848" s="50" t="s">
        <v>288</v>
      </c>
      <c r="I848" s="71">
        <v>719</v>
      </c>
      <c r="J848" s="73"/>
      <c r="K848" s="74">
        <f>+L811</f>
        <v>5530000</v>
      </c>
      <c r="L848" s="195">
        <f>+J848+K848</f>
        <v>5530000</v>
      </c>
    </row>
    <row r="849" spans="1:16" ht="15.75" customHeight="1" thickBot="1">
      <c r="A849" s="57" t="s">
        <v>100</v>
      </c>
      <c r="B849" s="58" t="s">
        <v>108</v>
      </c>
      <c r="C849" s="59" t="s">
        <v>109</v>
      </c>
      <c r="D849" s="60" t="s">
        <v>110</v>
      </c>
      <c r="I849" s="72">
        <v>721</v>
      </c>
      <c r="J849" s="257"/>
      <c r="K849" s="74">
        <f>+L812</f>
        <v>1696000</v>
      </c>
      <c r="L849" s="195">
        <f>+J849+K849</f>
        <v>1696000</v>
      </c>
    </row>
    <row r="850" spans="1:16">
      <c r="A850" s="71">
        <v>719</v>
      </c>
      <c r="B850" s="73">
        <f>+H830+H832+H834+H836+H838</f>
        <v>1250000</v>
      </c>
      <c r="C850" s="74">
        <f>+D813</f>
        <v>39910000</v>
      </c>
      <c r="D850" s="195">
        <f>+B850+C850</f>
        <v>41160000</v>
      </c>
      <c r="I850" s="72">
        <v>722</v>
      </c>
      <c r="J850" s="257"/>
      <c r="K850" s="74">
        <f>+L813</f>
        <v>0</v>
      </c>
      <c r="L850" s="195">
        <f>+J850+K850</f>
        <v>0</v>
      </c>
    </row>
    <row r="851" spans="1:16" ht="14.25" customHeight="1">
      <c r="A851" s="72">
        <v>721</v>
      </c>
      <c r="B851" s="80">
        <f>+H831+H833+H835+H837+H839</f>
        <v>500000</v>
      </c>
      <c r="C851" s="74">
        <f>+D814</f>
        <v>60256797</v>
      </c>
      <c r="D851" s="195">
        <f>+B851+C851</f>
        <v>60756797</v>
      </c>
      <c r="I851" s="72">
        <v>723</v>
      </c>
      <c r="J851" s="257">
        <f>+P828+P830+P832+P834+P836</f>
        <v>4945600</v>
      </c>
      <c r="K851" s="74">
        <f>+L814</f>
        <v>324103455</v>
      </c>
      <c r="L851" s="195">
        <f>+J851+K851</f>
        <v>329049055</v>
      </c>
      <c r="N851" s="930" t="s">
        <v>23</v>
      </c>
      <c r="O851" s="930"/>
      <c r="P851" s="930"/>
    </row>
    <row r="852" spans="1:16" ht="16.5" thickBot="1">
      <c r="A852" s="72">
        <v>722</v>
      </c>
      <c r="B852" s="80"/>
      <c r="C852" s="74">
        <f>+D815</f>
        <v>231207671</v>
      </c>
      <c r="D852" s="195">
        <f>+B852+C852</f>
        <v>231207671</v>
      </c>
      <c r="I852" s="164" t="s">
        <v>181</v>
      </c>
      <c r="J852" s="165"/>
      <c r="K852" s="74">
        <f>+L815</f>
        <v>0</v>
      </c>
      <c r="L852" s="196">
        <f>+J852+K852</f>
        <v>0</v>
      </c>
      <c r="N852" s="52"/>
    </row>
    <row r="853" spans="1:16" ht="16.5" thickBot="1">
      <c r="A853" s="72">
        <v>723</v>
      </c>
      <c r="B853" s="80"/>
      <c r="C853" s="74">
        <f>+D816</f>
        <v>321428837</v>
      </c>
      <c r="D853" s="195">
        <f>+B853+C853</f>
        <v>321428837</v>
      </c>
      <c r="F853" s="174" t="s">
        <v>23</v>
      </c>
      <c r="G853" s="175"/>
      <c r="I853" s="169"/>
      <c r="J853" s="197">
        <f>SUM(J848:J852)</f>
        <v>4945600</v>
      </c>
      <c r="K853" s="197">
        <f>SUM(K848:K852)</f>
        <v>331329455</v>
      </c>
      <c r="L853" s="198">
        <f>SUM(L848:L852)</f>
        <v>336275055</v>
      </c>
    </row>
    <row r="854" spans="1:16" ht="17.25" thickBot="1">
      <c r="A854" s="164" t="s">
        <v>181</v>
      </c>
      <c r="B854" s="165"/>
      <c r="C854" s="74">
        <f>+D817</f>
        <v>1965625</v>
      </c>
      <c r="D854" s="196">
        <f>+B854+C854</f>
        <v>1965625</v>
      </c>
      <c r="F854" s="52"/>
      <c r="I854" s="49" t="s">
        <v>88</v>
      </c>
      <c r="J854" s="50"/>
    </row>
    <row r="855" spans="1:16" ht="16.5" thickBot="1">
      <c r="A855" s="169"/>
      <c r="B855" s="170">
        <f>SUM(B850:B854)</f>
        <v>1750000</v>
      </c>
      <c r="C855" s="171">
        <f>SUM(C850:C854)</f>
        <v>654768930</v>
      </c>
      <c r="D855" s="172">
        <f>SUM(D850:D854)</f>
        <v>656518930</v>
      </c>
      <c r="I855" s="51" t="s">
        <v>89</v>
      </c>
    </row>
    <row r="856" spans="1:16" ht="16.5">
      <c r="A856" s="49" t="s">
        <v>88</v>
      </c>
      <c r="B856" s="50"/>
      <c r="I856" s="51" t="s">
        <v>90</v>
      </c>
    </row>
    <row r="857" spans="1:16">
      <c r="A857" s="51" t="s">
        <v>89</v>
      </c>
      <c r="I857" s="51" t="s">
        <v>91</v>
      </c>
    </row>
    <row r="858" spans="1:16" ht="12.75" customHeight="1">
      <c r="A858" s="51" t="s">
        <v>90</v>
      </c>
      <c r="I858" s="50"/>
      <c r="J858" s="50"/>
    </row>
    <row r="859" spans="1:16" ht="16.5">
      <c r="A859" s="51" t="s">
        <v>91</v>
      </c>
      <c r="I859" s="260" t="s">
        <v>789</v>
      </c>
      <c r="J859" s="262"/>
      <c r="O859" s="52"/>
    </row>
    <row r="860" spans="1:16" ht="14.25" customHeight="1">
      <c r="A860" s="50"/>
      <c r="B860" s="50"/>
      <c r="I860" s="261" t="s">
        <v>535</v>
      </c>
      <c r="J860" s="262"/>
      <c r="O860" s="53"/>
    </row>
    <row r="861" spans="1:16" ht="16.5">
      <c r="A861" s="52" t="s">
        <v>443</v>
      </c>
      <c r="G861" s="52"/>
      <c r="I861" s="894" t="s">
        <v>788</v>
      </c>
      <c r="J861" s="894"/>
      <c r="K861" s="894"/>
      <c r="L861" s="894"/>
      <c r="M861" s="894"/>
      <c r="N861" s="894"/>
      <c r="O861" s="894"/>
      <c r="P861" s="894"/>
    </row>
    <row r="862" spans="1:16" ht="16.5" thickBot="1">
      <c r="A862" s="53" t="s">
        <v>92</v>
      </c>
      <c r="G862" s="53"/>
    </row>
    <row r="863" spans="1:16" ht="16.5">
      <c r="A863" s="894" t="s">
        <v>93</v>
      </c>
      <c r="B863" s="894"/>
      <c r="C863" s="894"/>
      <c r="D863" s="894"/>
      <c r="E863" s="894"/>
      <c r="F863" s="894"/>
      <c r="G863" s="894"/>
      <c r="H863" s="894"/>
      <c r="I863" s="895" t="s">
        <v>94</v>
      </c>
      <c r="J863" s="897" t="s">
        <v>95</v>
      </c>
      <c r="K863" s="897" t="s">
        <v>96</v>
      </c>
      <c r="L863" s="897" t="s">
        <v>3</v>
      </c>
      <c r="M863" s="897" t="s">
        <v>97</v>
      </c>
      <c r="N863" s="897" t="s">
        <v>98</v>
      </c>
      <c r="O863" s="897" t="s">
        <v>99</v>
      </c>
      <c r="P863" s="899"/>
    </row>
    <row r="864" spans="1:16" ht="12.75" customHeight="1" thickBot="1">
      <c r="I864" s="896"/>
      <c r="J864" s="898"/>
      <c r="K864" s="898"/>
      <c r="L864" s="898"/>
      <c r="M864" s="898"/>
      <c r="N864" s="898"/>
      <c r="O864" s="240" t="s">
        <v>100</v>
      </c>
      <c r="P864" s="182" t="s">
        <v>101</v>
      </c>
    </row>
    <row r="865" spans="1:16">
      <c r="A865" s="895" t="s">
        <v>94</v>
      </c>
      <c r="B865" s="897" t="s">
        <v>95</v>
      </c>
      <c r="C865" s="897" t="s">
        <v>96</v>
      </c>
      <c r="D865" s="897" t="s">
        <v>3</v>
      </c>
      <c r="E865" s="897" t="s">
        <v>97</v>
      </c>
      <c r="F865" s="897" t="s">
        <v>98</v>
      </c>
      <c r="G865" s="897" t="s">
        <v>99</v>
      </c>
      <c r="H865" s="899"/>
      <c r="I865" s="928">
        <f>+I836+1</f>
        <v>109</v>
      </c>
      <c r="J865" s="875">
        <v>42429</v>
      </c>
      <c r="K865" s="877" t="s">
        <v>28</v>
      </c>
      <c r="L865" s="881" t="s">
        <v>671</v>
      </c>
      <c r="M865" s="881" t="s">
        <v>783</v>
      </c>
      <c r="N865" s="883">
        <v>564160</v>
      </c>
      <c r="O865" s="55">
        <v>723</v>
      </c>
      <c r="P865" s="78">
        <v>564160</v>
      </c>
    </row>
    <row r="866" spans="1:16" ht="14.25" customHeight="1" thickBot="1">
      <c r="A866" s="896"/>
      <c r="B866" s="898"/>
      <c r="C866" s="898"/>
      <c r="D866" s="898"/>
      <c r="E866" s="898"/>
      <c r="F866" s="898"/>
      <c r="G866" s="240" t="s">
        <v>100</v>
      </c>
      <c r="H866" s="182" t="s">
        <v>101</v>
      </c>
      <c r="I866" s="929"/>
      <c r="J866" s="876"/>
      <c r="K866" s="878"/>
      <c r="L866" s="882"/>
      <c r="M866" s="882"/>
      <c r="N866" s="884"/>
      <c r="O866" s="56">
        <v>721</v>
      </c>
      <c r="P866" s="79">
        <f>+N865-P865</f>
        <v>0</v>
      </c>
    </row>
    <row r="867" spans="1:16">
      <c r="A867" s="881">
        <f>+A838+1</f>
        <v>335</v>
      </c>
      <c r="B867" s="875">
        <v>42317</v>
      </c>
      <c r="C867" s="877" t="s">
        <v>272</v>
      </c>
      <c r="D867" s="881" t="s">
        <v>449</v>
      </c>
      <c r="E867" s="881" t="s">
        <v>115</v>
      </c>
      <c r="F867" s="883">
        <v>210000</v>
      </c>
      <c r="G867" s="55">
        <v>719</v>
      </c>
      <c r="H867" s="78">
        <v>210000</v>
      </c>
      <c r="I867" s="928">
        <f>+I865+1</f>
        <v>110</v>
      </c>
      <c r="J867" s="875">
        <v>42429</v>
      </c>
      <c r="K867" s="877" t="s">
        <v>790</v>
      </c>
      <c r="L867" s="881" t="s">
        <v>671</v>
      </c>
      <c r="M867" s="881" t="s">
        <v>165</v>
      </c>
      <c r="N867" s="883">
        <v>1204000</v>
      </c>
      <c r="O867" s="55">
        <v>723</v>
      </c>
      <c r="P867" s="78">
        <v>1204000</v>
      </c>
    </row>
    <row r="868" spans="1:16" ht="15.75" thickBot="1">
      <c r="A868" s="882"/>
      <c r="B868" s="876"/>
      <c r="C868" s="878"/>
      <c r="D868" s="882"/>
      <c r="E868" s="882"/>
      <c r="F868" s="884"/>
      <c r="G868" s="56">
        <v>721</v>
      </c>
      <c r="H868" s="79">
        <f>+F867-H867</f>
        <v>0</v>
      </c>
      <c r="I868" s="929"/>
      <c r="J868" s="876"/>
      <c r="K868" s="878"/>
      <c r="L868" s="882"/>
      <c r="M868" s="882"/>
      <c r="N868" s="884"/>
      <c r="O868" s="56">
        <v>721</v>
      </c>
      <c r="P868" s="79">
        <f>+N867-P867</f>
        <v>0</v>
      </c>
    </row>
    <row r="869" spans="1:16" ht="15" customHeight="1">
      <c r="A869" s="881">
        <f>+A867+1</f>
        <v>336</v>
      </c>
      <c r="B869" s="875">
        <v>42317</v>
      </c>
      <c r="C869" s="881" t="s">
        <v>28</v>
      </c>
      <c r="D869" s="881" t="s">
        <v>450</v>
      </c>
      <c r="E869" s="881" t="s">
        <v>115</v>
      </c>
      <c r="F869" s="883">
        <v>20000</v>
      </c>
      <c r="G869" s="55">
        <v>719</v>
      </c>
      <c r="H869" s="78">
        <v>20000</v>
      </c>
      <c r="I869" s="928">
        <f>+I867+1</f>
        <v>111</v>
      </c>
      <c r="J869" s="875">
        <v>42429</v>
      </c>
      <c r="K869" s="877" t="s">
        <v>791</v>
      </c>
      <c r="L869" s="881" t="s">
        <v>671</v>
      </c>
      <c r="M869" s="881" t="s">
        <v>165</v>
      </c>
      <c r="N869" s="883">
        <v>492000</v>
      </c>
      <c r="O869" s="55">
        <v>723</v>
      </c>
      <c r="P869" s="78">
        <v>492000</v>
      </c>
    </row>
    <row r="870" spans="1:16" ht="15" customHeight="1" thickBot="1">
      <c r="A870" s="882"/>
      <c r="B870" s="876"/>
      <c r="C870" s="882"/>
      <c r="D870" s="882"/>
      <c r="E870" s="882"/>
      <c r="F870" s="884"/>
      <c r="G870" s="56">
        <v>721</v>
      </c>
      <c r="H870" s="79">
        <f>+F869-H869</f>
        <v>0</v>
      </c>
      <c r="I870" s="929"/>
      <c r="J870" s="876"/>
      <c r="K870" s="878"/>
      <c r="L870" s="882"/>
      <c r="M870" s="882"/>
      <c r="N870" s="884"/>
      <c r="O870" s="56">
        <v>721</v>
      </c>
      <c r="P870" s="79">
        <f>+N869-P869</f>
        <v>0</v>
      </c>
    </row>
    <row r="871" spans="1:16" ht="15" customHeight="1">
      <c r="A871" s="881">
        <f>+A869+1</f>
        <v>337</v>
      </c>
      <c r="B871" s="875">
        <v>42317</v>
      </c>
      <c r="C871" s="877" t="s">
        <v>32</v>
      </c>
      <c r="D871" s="881" t="s">
        <v>451</v>
      </c>
      <c r="E871" s="881" t="s">
        <v>115</v>
      </c>
      <c r="F871" s="883">
        <v>30000</v>
      </c>
      <c r="G871" s="55">
        <v>719</v>
      </c>
      <c r="H871" s="78">
        <v>30000</v>
      </c>
      <c r="I871" s="928">
        <f>+I869+1</f>
        <v>112</v>
      </c>
      <c r="J871" s="875">
        <v>42429</v>
      </c>
      <c r="K871" s="877" t="s">
        <v>792</v>
      </c>
      <c r="L871" s="881" t="s">
        <v>671</v>
      </c>
      <c r="M871" s="881" t="s">
        <v>784</v>
      </c>
      <c r="N871" s="883">
        <v>615000</v>
      </c>
      <c r="O871" s="55">
        <v>723</v>
      </c>
      <c r="P871" s="78">
        <v>615000</v>
      </c>
    </row>
    <row r="872" spans="1:16" ht="15.75" customHeight="1" thickBot="1">
      <c r="A872" s="882"/>
      <c r="B872" s="876"/>
      <c r="C872" s="878"/>
      <c r="D872" s="882"/>
      <c r="E872" s="882"/>
      <c r="F872" s="884"/>
      <c r="G872" s="56">
        <v>721</v>
      </c>
      <c r="H872" s="79">
        <f>+F871-H871</f>
        <v>0</v>
      </c>
      <c r="I872" s="929"/>
      <c r="J872" s="876"/>
      <c r="K872" s="878"/>
      <c r="L872" s="882"/>
      <c r="M872" s="882"/>
      <c r="N872" s="884"/>
      <c r="O872" s="56">
        <v>721</v>
      </c>
      <c r="P872" s="79">
        <f>+N871-P871</f>
        <v>0</v>
      </c>
    </row>
    <row r="873" spans="1:16" ht="15" customHeight="1">
      <c r="A873" s="881">
        <f>+A871+1</f>
        <v>338</v>
      </c>
      <c r="B873" s="875">
        <v>42317</v>
      </c>
      <c r="C873" s="881" t="s">
        <v>28</v>
      </c>
      <c r="D873" s="881" t="s">
        <v>452</v>
      </c>
      <c r="E873" s="881" t="s">
        <v>115</v>
      </c>
      <c r="F873" s="883">
        <v>30000</v>
      </c>
      <c r="G873" s="55">
        <v>719</v>
      </c>
      <c r="H873" s="78">
        <v>30000</v>
      </c>
      <c r="I873" s="928">
        <f>+I871+1</f>
        <v>113</v>
      </c>
      <c r="J873" s="875">
        <v>42429</v>
      </c>
      <c r="K873" s="877" t="s">
        <v>793</v>
      </c>
      <c r="L873" s="881" t="s">
        <v>671</v>
      </c>
      <c r="M873" s="881" t="s">
        <v>214</v>
      </c>
      <c r="N873" s="883">
        <v>768750</v>
      </c>
      <c r="O873" s="55">
        <v>723</v>
      </c>
      <c r="P873" s="78">
        <v>768750</v>
      </c>
    </row>
    <row r="874" spans="1:16" ht="13.5" customHeight="1" thickBot="1">
      <c r="A874" s="882"/>
      <c r="B874" s="876"/>
      <c r="C874" s="882"/>
      <c r="D874" s="882"/>
      <c r="E874" s="882"/>
      <c r="F874" s="884"/>
      <c r="G874" s="56">
        <v>721</v>
      </c>
      <c r="H874" s="79">
        <f>+F873-H873</f>
        <v>0</v>
      </c>
      <c r="I874" s="929"/>
      <c r="J874" s="876"/>
      <c r="K874" s="878"/>
      <c r="L874" s="882"/>
      <c r="M874" s="882"/>
      <c r="N874" s="884"/>
      <c r="O874" s="56">
        <v>721</v>
      </c>
      <c r="P874" s="79">
        <f>+N873-P873</f>
        <v>0</v>
      </c>
    </row>
    <row r="875" spans="1:16" ht="15" customHeight="1" thickBot="1">
      <c r="A875" s="881">
        <f>+A873+1</f>
        <v>339</v>
      </c>
      <c r="B875" s="875">
        <v>42317</v>
      </c>
      <c r="C875" s="877" t="s">
        <v>272</v>
      </c>
      <c r="D875" s="881" t="s">
        <v>453</v>
      </c>
      <c r="E875" s="881" t="s">
        <v>115</v>
      </c>
      <c r="F875" s="883">
        <v>50000</v>
      </c>
      <c r="G875" s="55">
        <v>719</v>
      </c>
      <c r="H875" s="78">
        <v>50000</v>
      </c>
      <c r="I875" s="901" t="s">
        <v>102</v>
      </c>
      <c r="J875" s="902"/>
      <c r="K875" s="902"/>
      <c r="L875" s="902"/>
      <c r="M875" s="903"/>
      <c r="N875" s="81">
        <f>SUM(N865:N874)</f>
        <v>3643910</v>
      </c>
    </row>
    <row r="876" spans="1:16" ht="15.75" customHeight="1" thickBot="1">
      <c r="A876" s="882"/>
      <c r="B876" s="876"/>
      <c r="C876" s="878"/>
      <c r="D876" s="882"/>
      <c r="E876" s="882"/>
      <c r="F876" s="884"/>
      <c r="G876" s="56">
        <v>721</v>
      </c>
      <c r="H876" s="79">
        <f>+F875-H875</f>
        <v>0</v>
      </c>
      <c r="I876" s="885" t="s">
        <v>103</v>
      </c>
      <c r="J876" s="886"/>
      <c r="K876" s="886"/>
      <c r="L876" s="886"/>
      <c r="M876" s="887"/>
      <c r="N876" s="239">
        <f>+N840</f>
        <v>336275055</v>
      </c>
      <c r="O876" s="241" t="s">
        <v>561</v>
      </c>
      <c r="P876" s="242"/>
    </row>
    <row r="877" spans="1:16" ht="16.5" thickBot="1">
      <c r="A877" s="901" t="s">
        <v>102</v>
      </c>
      <c r="B877" s="902"/>
      <c r="C877" s="902"/>
      <c r="D877" s="902"/>
      <c r="E877" s="903"/>
      <c r="F877" s="81">
        <f>SUM(F867:F876)</f>
        <v>340000</v>
      </c>
      <c r="I877" s="888" t="s">
        <v>104</v>
      </c>
      <c r="J877" s="889"/>
      <c r="K877" s="889"/>
      <c r="L877" s="889"/>
      <c r="M877" s="890"/>
      <c r="N877" s="183">
        <f>SUM(N875:N876)</f>
        <v>339918965</v>
      </c>
    </row>
    <row r="878" spans="1:16" ht="16.5" thickBot="1">
      <c r="A878" s="885" t="s">
        <v>103</v>
      </c>
      <c r="B878" s="886"/>
      <c r="C878" s="886"/>
      <c r="D878" s="886"/>
      <c r="E878" s="887"/>
      <c r="F878" s="69">
        <f>+F842</f>
        <v>656518930</v>
      </c>
      <c r="I878" s="61"/>
      <c r="J878" s="61"/>
      <c r="K878" s="61"/>
      <c r="L878" s="61"/>
      <c r="M878" s="61"/>
    </row>
    <row r="879" spans="1:16" ht="16.5" thickBot="1">
      <c r="A879" s="888" t="s">
        <v>104</v>
      </c>
      <c r="B879" s="889"/>
      <c r="C879" s="889"/>
      <c r="D879" s="889"/>
      <c r="E879" s="890"/>
      <c r="F879" s="183">
        <f>SUM(F877:F878)</f>
        <v>656858930</v>
      </c>
      <c r="I879" s="51" t="s">
        <v>794</v>
      </c>
    </row>
    <row r="880" spans="1:16" ht="12.75" customHeight="1">
      <c r="A880" s="61"/>
      <c r="B880" s="61"/>
      <c r="C880" s="61"/>
      <c r="D880" s="61"/>
      <c r="E880" s="61"/>
      <c r="N880" s="139"/>
    </row>
    <row r="881" spans="1:16">
      <c r="A881" s="51" t="s">
        <v>454</v>
      </c>
      <c r="I881" s="50" t="s">
        <v>105</v>
      </c>
      <c r="L881" s="146"/>
      <c r="N881" s="139"/>
    </row>
    <row r="882" spans="1:16" ht="12.75" customHeight="1" thickBot="1">
      <c r="F882" s="139"/>
    </row>
    <row r="883" spans="1:16" ht="15.75" thickBot="1">
      <c r="A883" s="50" t="s">
        <v>105</v>
      </c>
      <c r="D883" s="146"/>
      <c r="F883" s="139"/>
      <c r="I883" s="891" t="s">
        <v>106</v>
      </c>
      <c r="J883" s="892"/>
      <c r="K883" s="892"/>
      <c r="L883" s="893"/>
      <c r="N883" s="908" t="s">
        <v>288</v>
      </c>
      <c r="O883" s="908"/>
      <c r="P883" s="908"/>
    </row>
    <row r="884" spans="1:16" ht="30.75" thickBot="1">
      <c r="I884" s="57" t="s">
        <v>100</v>
      </c>
      <c r="J884" s="58" t="s">
        <v>108</v>
      </c>
      <c r="K884" s="59" t="s">
        <v>109</v>
      </c>
      <c r="L884" s="60" t="s">
        <v>110</v>
      </c>
    </row>
    <row r="885" spans="1:16" ht="15.75" thickBot="1">
      <c r="A885" s="891" t="s">
        <v>106</v>
      </c>
      <c r="B885" s="892"/>
      <c r="C885" s="892"/>
      <c r="D885" s="893"/>
      <c r="F885" s="50" t="s">
        <v>288</v>
      </c>
      <c r="I885" s="71">
        <v>719</v>
      </c>
      <c r="J885" s="73"/>
      <c r="K885" s="74">
        <f>+L848</f>
        <v>5530000</v>
      </c>
      <c r="L885" s="195">
        <f>+J885+K885</f>
        <v>5530000</v>
      </c>
    </row>
    <row r="886" spans="1:16" ht="15" customHeight="1" thickBot="1">
      <c r="A886" s="57" t="s">
        <v>100</v>
      </c>
      <c r="B886" s="58" t="s">
        <v>108</v>
      </c>
      <c r="C886" s="59" t="s">
        <v>109</v>
      </c>
      <c r="D886" s="60" t="s">
        <v>110</v>
      </c>
      <c r="I886" s="72">
        <v>721</v>
      </c>
      <c r="J886" s="257"/>
      <c r="K886" s="74">
        <f>+L849</f>
        <v>1696000</v>
      </c>
      <c r="L886" s="195">
        <f>+J886+K886</f>
        <v>1696000</v>
      </c>
    </row>
    <row r="887" spans="1:16">
      <c r="A887" s="71">
        <v>719</v>
      </c>
      <c r="B887" s="73">
        <f>+H867+H869+H871+H873+H875</f>
        <v>340000</v>
      </c>
      <c r="C887" s="74">
        <f>+D850</f>
        <v>41160000</v>
      </c>
      <c r="D887" s="195">
        <f>+B887+C887</f>
        <v>41500000</v>
      </c>
      <c r="I887" s="72">
        <v>722</v>
      </c>
      <c r="J887" s="257"/>
      <c r="K887" s="74">
        <f>+L850</f>
        <v>0</v>
      </c>
      <c r="L887" s="195">
        <f>+J887+K887</f>
        <v>0</v>
      </c>
    </row>
    <row r="888" spans="1:16" ht="15.75">
      <c r="A888" s="72">
        <v>721</v>
      </c>
      <c r="B888" s="80">
        <f>+H868</f>
        <v>0</v>
      </c>
      <c r="C888" s="74">
        <f>+D851</f>
        <v>60756797</v>
      </c>
      <c r="D888" s="195">
        <f>+B888+C888</f>
        <v>60756797</v>
      </c>
      <c r="I888" s="72">
        <v>723</v>
      </c>
      <c r="J888" s="257">
        <f>+P865+P867+P869+P871+P873</f>
        <v>3643910</v>
      </c>
      <c r="K888" s="74">
        <f>+L851</f>
        <v>329049055</v>
      </c>
      <c r="L888" s="195">
        <f>+J888+K888</f>
        <v>332692965</v>
      </c>
      <c r="N888" s="930" t="s">
        <v>23</v>
      </c>
      <c r="O888" s="930"/>
      <c r="P888" s="930"/>
    </row>
    <row r="889" spans="1:16" ht="16.5" thickBot="1">
      <c r="A889" s="72">
        <v>722</v>
      </c>
      <c r="B889" s="80"/>
      <c r="C889" s="74">
        <f>+D852</f>
        <v>231207671</v>
      </c>
      <c r="D889" s="195">
        <f>+B889+C889</f>
        <v>231207671</v>
      </c>
      <c r="I889" s="164" t="s">
        <v>181</v>
      </c>
      <c r="J889" s="165"/>
      <c r="K889" s="74">
        <f>+L852</f>
        <v>0</v>
      </c>
      <c r="L889" s="196">
        <f>+J889+K889</f>
        <v>0</v>
      </c>
      <c r="N889" s="52"/>
    </row>
    <row r="890" spans="1:16" ht="16.5" thickBot="1">
      <c r="A890" s="72">
        <v>723</v>
      </c>
      <c r="B890" s="80">
        <f>+H870</f>
        <v>0</v>
      </c>
      <c r="C890" s="74">
        <f>+D853</f>
        <v>321428837</v>
      </c>
      <c r="D890" s="195">
        <f>+B890+C890</f>
        <v>321428837</v>
      </c>
      <c r="F890" s="174" t="s">
        <v>23</v>
      </c>
      <c r="G890" s="175"/>
      <c r="I890" s="169"/>
      <c r="J890" s="197">
        <f>SUM(J885:J889)</f>
        <v>3643910</v>
      </c>
      <c r="K890" s="197">
        <f>SUM(K885:K889)</f>
        <v>336275055</v>
      </c>
      <c r="L890" s="198">
        <f>SUM(L885:L889)</f>
        <v>339918965</v>
      </c>
    </row>
    <row r="891" spans="1:16" ht="17.25" thickBot="1">
      <c r="A891" s="164" t="s">
        <v>181</v>
      </c>
      <c r="B891" s="165"/>
      <c r="C891" s="74">
        <f>+D854</f>
        <v>1965625</v>
      </c>
      <c r="D891" s="196">
        <f>+B891+C891</f>
        <v>1965625</v>
      </c>
      <c r="F891" s="52"/>
      <c r="I891" s="49" t="s">
        <v>88</v>
      </c>
      <c r="J891" s="50"/>
    </row>
    <row r="892" spans="1:16" ht="16.5" thickBot="1">
      <c r="A892" s="169"/>
      <c r="B892" s="170">
        <f>SUM(B887:B891)</f>
        <v>340000</v>
      </c>
      <c r="C892" s="171">
        <f>SUM(C887:C891)</f>
        <v>656518930</v>
      </c>
      <c r="D892" s="172">
        <f>SUM(D887:D891)</f>
        <v>656858930</v>
      </c>
      <c r="I892" s="51" t="s">
        <v>89</v>
      </c>
    </row>
    <row r="893" spans="1:16" ht="15.75" customHeight="1">
      <c r="A893" s="49" t="s">
        <v>88</v>
      </c>
      <c r="B893" s="50"/>
      <c r="I893" s="51" t="s">
        <v>90</v>
      </c>
    </row>
    <row r="894" spans="1:16">
      <c r="A894" s="51" t="s">
        <v>89</v>
      </c>
      <c r="I894" s="51" t="s">
        <v>91</v>
      </c>
    </row>
    <row r="895" spans="1:16" ht="12" customHeight="1">
      <c r="A895" s="51" t="s">
        <v>90</v>
      </c>
      <c r="I895" s="50"/>
      <c r="J895" s="50"/>
    </row>
    <row r="896" spans="1:16" ht="16.5">
      <c r="A896" s="51" t="s">
        <v>91</v>
      </c>
      <c r="I896" s="260" t="s">
        <v>795</v>
      </c>
      <c r="O896" s="52"/>
    </row>
    <row r="897" spans="1:16" ht="15" customHeight="1">
      <c r="A897" s="50"/>
      <c r="B897" s="50"/>
      <c r="I897" s="261" t="s">
        <v>535</v>
      </c>
      <c r="O897" s="53"/>
    </row>
    <row r="898" spans="1:16" ht="15" customHeight="1">
      <c r="A898" s="52" t="s">
        <v>455</v>
      </c>
      <c r="G898" s="52"/>
      <c r="I898" s="894" t="s">
        <v>788</v>
      </c>
      <c r="J898" s="894"/>
      <c r="K898" s="894"/>
      <c r="L898" s="894"/>
      <c r="M898" s="894"/>
      <c r="N898" s="894"/>
      <c r="O898" s="894"/>
      <c r="P898" s="894"/>
    </row>
    <row r="899" spans="1:16" ht="14.25" customHeight="1" thickBot="1">
      <c r="A899" s="53" t="s">
        <v>92</v>
      </c>
      <c r="G899" s="53"/>
    </row>
    <row r="900" spans="1:16" ht="16.5">
      <c r="A900" s="894" t="s">
        <v>93</v>
      </c>
      <c r="B900" s="894"/>
      <c r="C900" s="894"/>
      <c r="D900" s="894"/>
      <c r="E900" s="894"/>
      <c r="F900" s="894"/>
      <c r="G900" s="894"/>
      <c r="H900" s="894"/>
      <c r="I900" s="895" t="s">
        <v>94</v>
      </c>
      <c r="J900" s="897" t="s">
        <v>95</v>
      </c>
      <c r="K900" s="897" t="s">
        <v>96</v>
      </c>
      <c r="L900" s="897" t="s">
        <v>3</v>
      </c>
      <c r="M900" s="897" t="s">
        <v>97</v>
      </c>
      <c r="N900" s="897" t="s">
        <v>98</v>
      </c>
      <c r="O900" s="897" t="s">
        <v>99</v>
      </c>
      <c r="P900" s="899"/>
    </row>
    <row r="901" spans="1:16" ht="15.75" thickBot="1">
      <c r="I901" s="896"/>
      <c r="J901" s="898"/>
      <c r="K901" s="898"/>
      <c r="L901" s="898"/>
      <c r="M901" s="898"/>
      <c r="N901" s="898"/>
      <c r="O901" s="240" t="s">
        <v>100</v>
      </c>
      <c r="P901" s="182" t="s">
        <v>101</v>
      </c>
    </row>
    <row r="902" spans="1:16">
      <c r="A902" s="895" t="s">
        <v>94</v>
      </c>
      <c r="B902" s="897" t="s">
        <v>95</v>
      </c>
      <c r="C902" s="897" t="s">
        <v>96</v>
      </c>
      <c r="D902" s="897" t="s">
        <v>3</v>
      </c>
      <c r="E902" s="897" t="s">
        <v>97</v>
      </c>
      <c r="F902" s="897" t="s">
        <v>98</v>
      </c>
      <c r="G902" s="897" t="s">
        <v>99</v>
      </c>
      <c r="H902" s="899"/>
      <c r="I902" s="928">
        <f>+I873+1</f>
        <v>114</v>
      </c>
      <c r="J902" s="875">
        <v>42429</v>
      </c>
      <c r="K902" s="877" t="s">
        <v>796</v>
      </c>
      <c r="L902" s="881" t="s">
        <v>671</v>
      </c>
      <c r="M902" s="881" t="s">
        <v>214</v>
      </c>
      <c r="N902" s="883">
        <v>420000</v>
      </c>
      <c r="O902" s="55">
        <v>723</v>
      </c>
      <c r="P902" s="78">
        <v>420000</v>
      </c>
    </row>
    <row r="903" spans="1:16" ht="15.75" thickBot="1">
      <c r="A903" s="896"/>
      <c r="B903" s="898"/>
      <c r="C903" s="898"/>
      <c r="D903" s="898"/>
      <c r="E903" s="898"/>
      <c r="F903" s="898"/>
      <c r="G903" s="240" t="s">
        <v>100</v>
      </c>
      <c r="H903" s="182" t="s">
        <v>101</v>
      </c>
      <c r="I903" s="929"/>
      <c r="J903" s="876"/>
      <c r="K903" s="878"/>
      <c r="L903" s="882"/>
      <c r="M903" s="882"/>
      <c r="N903" s="884"/>
      <c r="O903" s="56">
        <v>721</v>
      </c>
      <c r="P903" s="79">
        <f>+N902-P902</f>
        <v>0</v>
      </c>
    </row>
    <row r="904" spans="1:16">
      <c r="A904" s="881">
        <f>+A875+1</f>
        <v>340</v>
      </c>
      <c r="B904" s="875">
        <v>42320</v>
      </c>
      <c r="C904" s="877" t="s">
        <v>272</v>
      </c>
      <c r="D904" s="881" t="s">
        <v>456</v>
      </c>
      <c r="E904" s="881" t="s">
        <v>115</v>
      </c>
      <c r="F904" s="883">
        <v>60000</v>
      </c>
      <c r="G904" s="55">
        <v>719</v>
      </c>
      <c r="H904" s="78">
        <v>60000</v>
      </c>
      <c r="I904" s="928">
        <f>+I902+1</f>
        <v>115</v>
      </c>
      <c r="J904" s="875">
        <v>42429</v>
      </c>
      <c r="K904" s="877" t="s">
        <v>797</v>
      </c>
      <c r="L904" s="881" t="s">
        <v>671</v>
      </c>
      <c r="M904" s="881" t="s">
        <v>165</v>
      </c>
      <c r="N904" s="883">
        <v>1500000</v>
      </c>
      <c r="O904" s="55">
        <v>723</v>
      </c>
      <c r="P904" s="78">
        <v>1500000</v>
      </c>
    </row>
    <row r="905" spans="1:16" ht="15.75" thickBot="1">
      <c r="A905" s="882"/>
      <c r="B905" s="876"/>
      <c r="C905" s="878"/>
      <c r="D905" s="882"/>
      <c r="E905" s="882"/>
      <c r="F905" s="884"/>
      <c r="G905" s="56">
        <v>721</v>
      </c>
      <c r="H905" s="79">
        <f>+F904-H904</f>
        <v>0</v>
      </c>
      <c r="I905" s="929"/>
      <c r="J905" s="876"/>
      <c r="K905" s="878"/>
      <c r="L905" s="882"/>
      <c r="M905" s="882"/>
      <c r="N905" s="884"/>
      <c r="O905" s="56">
        <v>721</v>
      </c>
      <c r="P905" s="79">
        <f>+N904-P904</f>
        <v>0</v>
      </c>
    </row>
    <row r="906" spans="1:16" ht="15" customHeight="1">
      <c r="A906" s="881">
        <f>+A904+1</f>
        <v>341</v>
      </c>
      <c r="B906" s="875">
        <v>42320</v>
      </c>
      <c r="C906" s="881" t="s">
        <v>28</v>
      </c>
      <c r="D906" s="881" t="s">
        <v>456</v>
      </c>
      <c r="E906" s="881" t="s">
        <v>115</v>
      </c>
      <c r="F906" s="883">
        <v>30000</v>
      </c>
      <c r="G906" s="55">
        <v>719</v>
      </c>
      <c r="H906" s="78">
        <v>30000</v>
      </c>
      <c r="I906" s="928">
        <f>+I904+1</f>
        <v>116</v>
      </c>
      <c r="J906" s="875">
        <v>42429</v>
      </c>
      <c r="K906" s="877" t="s">
        <v>798</v>
      </c>
      <c r="L906" s="881" t="s">
        <v>671</v>
      </c>
      <c r="M906" s="881" t="s">
        <v>165</v>
      </c>
      <c r="N906" s="883">
        <v>600000</v>
      </c>
      <c r="O906" s="55">
        <v>723</v>
      </c>
      <c r="P906" s="78">
        <v>600000</v>
      </c>
    </row>
    <row r="907" spans="1:16" ht="15.75" customHeight="1" thickBot="1">
      <c r="A907" s="882"/>
      <c r="B907" s="876"/>
      <c r="C907" s="882"/>
      <c r="D907" s="882"/>
      <c r="E907" s="882"/>
      <c r="F907" s="884"/>
      <c r="G907" s="56">
        <v>721</v>
      </c>
      <c r="H907" s="79">
        <f>+F906-H906</f>
        <v>0</v>
      </c>
      <c r="I907" s="929"/>
      <c r="J907" s="876"/>
      <c r="K907" s="878"/>
      <c r="L907" s="882"/>
      <c r="M907" s="882"/>
      <c r="N907" s="884"/>
      <c r="O907" s="56">
        <v>721</v>
      </c>
      <c r="P907" s="79">
        <f>+N906-P906</f>
        <v>0</v>
      </c>
    </row>
    <row r="908" spans="1:16" ht="15" customHeight="1">
      <c r="A908" s="881">
        <f>+A906+1</f>
        <v>342</v>
      </c>
      <c r="B908" s="875">
        <v>42320</v>
      </c>
      <c r="C908" s="877" t="s">
        <v>32</v>
      </c>
      <c r="D908" s="881" t="s">
        <v>457</v>
      </c>
      <c r="E908" s="881" t="s">
        <v>115</v>
      </c>
      <c r="F908" s="883">
        <v>20000</v>
      </c>
      <c r="G908" s="55">
        <v>719</v>
      </c>
      <c r="H908" s="78">
        <v>20000</v>
      </c>
      <c r="I908" s="928">
        <f>+I906+1</f>
        <v>117</v>
      </c>
      <c r="J908" s="875">
        <v>42429</v>
      </c>
      <c r="K908" s="877" t="s">
        <v>800</v>
      </c>
      <c r="L908" s="881" t="s">
        <v>671</v>
      </c>
      <c r="M908" s="881" t="s">
        <v>165</v>
      </c>
      <c r="N908" s="883">
        <v>600000</v>
      </c>
      <c r="O908" s="55">
        <v>723</v>
      </c>
      <c r="P908" s="78">
        <v>600000</v>
      </c>
    </row>
    <row r="909" spans="1:16" ht="15.75" customHeight="1" thickBot="1">
      <c r="A909" s="882"/>
      <c r="B909" s="876"/>
      <c r="C909" s="878"/>
      <c r="D909" s="882"/>
      <c r="E909" s="882"/>
      <c r="F909" s="884"/>
      <c r="G909" s="56">
        <v>721</v>
      </c>
      <c r="H909" s="79">
        <f>+F908-H908</f>
        <v>0</v>
      </c>
      <c r="I909" s="929"/>
      <c r="J909" s="876"/>
      <c r="K909" s="878"/>
      <c r="L909" s="882"/>
      <c r="M909" s="882"/>
      <c r="N909" s="884"/>
      <c r="O909" s="56">
        <v>721</v>
      </c>
      <c r="P909" s="79">
        <f>+N908-P908</f>
        <v>0</v>
      </c>
    </row>
    <row r="910" spans="1:16">
      <c r="A910" s="881"/>
      <c r="B910" s="875"/>
      <c r="C910" s="881"/>
      <c r="D910" s="881"/>
      <c r="E910" s="881"/>
      <c r="F910" s="883"/>
      <c r="G910" s="55">
        <v>719</v>
      </c>
      <c r="H910" s="78"/>
      <c r="I910" s="928">
        <f>+I908+1</f>
        <v>118</v>
      </c>
      <c r="J910" s="875">
        <v>42429</v>
      </c>
      <c r="K910" s="877" t="s">
        <v>799</v>
      </c>
      <c r="L910" s="881" t="s">
        <v>671</v>
      </c>
      <c r="M910" s="881" t="s">
        <v>165</v>
      </c>
      <c r="N910" s="883">
        <v>975000</v>
      </c>
      <c r="O910" s="55">
        <v>723</v>
      </c>
      <c r="P910" s="78">
        <v>975000</v>
      </c>
    </row>
    <row r="911" spans="1:16" ht="15.75" thickBot="1">
      <c r="A911" s="882"/>
      <c r="B911" s="876"/>
      <c r="C911" s="882"/>
      <c r="D911" s="882"/>
      <c r="E911" s="882"/>
      <c r="F911" s="884"/>
      <c r="G911" s="56">
        <v>721</v>
      </c>
      <c r="H911" s="79">
        <f>+F910-H910</f>
        <v>0</v>
      </c>
      <c r="I911" s="929"/>
      <c r="J911" s="876"/>
      <c r="K911" s="878"/>
      <c r="L911" s="882"/>
      <c r="M911" s="882"/>
      <c r="N911" s="884"/>
      <c r="O911" s="56">
        <v>721</v>
      </c>
      <c r="P911" s="79">
        <f>+N910-P910</f>
        <v>0</v>
      </c>
    </row>
    <row r="912" spans="1:16" ht="16.5" thickBot="1">
      <c r="A912" s="881"/>
      <c r="B912" s="875"/>
      <c r="C912" s="877"/>
      <c r="D912" s="881"/>
      <c r="E912" s="881"/>
      <c r="F912" s="883"/>
      <c r="G912" s="55">
        <v>719</v>
      </c>
      <c r="H912" s="78"/>
      <c r="I912" s="901" t="s">
        <v>102</v>
      </c>
      <c r="J912" s="902"/>
      <c r="K912" s="902"/>
      <c r="L912" s="902"/>
      <c r="M912" s="903"/>
      <c r="N912" s="81">
        <f>SUM(N902:N911)</f>
        <v>4095000</v>
      </c>
    </row>
    <row r="913" spans="1:16" ht="16.5" thickBot="1">
      <c r="A913" s="882"/>
      <c r="B913" s="876"/>
      <c r="C913" s="878"/>
      <c r="D913" s="882"/>
      <c r="E913" s="882"/>
      <c r="F913" s="884"/>
      <c r="G913" s="56">
        <v>721</v>
      </c>
      <c r="H913" s="79">
        <f>+F912-H912</f>
        <v>0</v>
      </c>
      <c r="I913" s="885" t="s">
        <v>103</v>
      </c>
      <c r="J913" s="886"/>
      <c r="K913" s="886"/>
      <c r="L913" s="886"/>
      <c r="M913" s="887"/>
      <c r="N913" s="239">
        <f>+N877</f>
        <v>339918965</v>
      </c>
      <c r="O913" s="241" t="s">
        <v>561</v>
      </c>
      <c r="P913" s="242"/>
    </row>
    <row r="914" spans="1:16" ht="15" customHeight="1" thickBot="1">
      <c r="A914" s="901" t="s">
        <v>102</v>
      </c>
      <c r="B914" s="902"/>
      <c r="C914" s="902"/>
      <c r="D914" s="902"/>
      <c r="E914" s="903"/>
      <c r="F914" s="81">
        <f>SUM(F904:F913)</f>
        <v>110000</v>
      </c>
      <c r="I914" s="888" t="s">
        <v>104</v>
      </c>
      <c r="J914" s="889"/>
      <c r="K914" s="889"/>
      <c r="L914" s="889"/>
      <c r="M914" s="890"/>
      <c r="N914" s="183">
        <f>SUM(N912:N913)</f>
        <v>344013965</v>
      </c>
    </row>
    <row r="915" spans="1:16" ht="13.5" customHeight="1" thickBot="1">
      <c r="A915" s="885" t="s">
        <v>103</v>
      </c>
      <c r="B915" s="886"/>
      <c r="C915" s="886"/>
      <c r="D915" s="886"/>
      <c r="E915" s="887"/>
      <c r="F915" s="69">
        <f>+F879</f>
        <v>656858930</v>
      </c>
      <c r="I915" s="61"/>
      <c r="J915" s="61"/>
      <c r="K915" s="61"/>
      <c r="L915" s="61"/>
      <c r="M915" s="61"/>
    </row>
    <row r="916" spans="1:16" ht="16.5" thickBot="1">
      <c r="A916" s="888" t="s">
        <v>104</v>
      </c>
      <c r="B916" s="889"/>
      <c r="C916" s="889"/>
      <c r="D916" s="889"/>
      <c r="E916" s="890"/>
      <c r="F916" s="183">
        <f>SUM(F914:F915)</f>
        <v>656968930</v>
      </c>
      <c r="I916" s="51" t="s">
        <v>801</v>
      </c>
    </row>
    <row r="917" spans="1:16" ht="12.75" customHeight="1">
      <c r="A917" s="61"/>
      <c r="B917" s="61"/>
      <c r="C917" s="61"/>
      <c r="D917" s="61"/>
      <c r="E917" s="61"/>
      <c r="N917" s="139"/>
    </row>
    <row r="918" spans="1:16">
      <c r="A918" s="51" t="s">
        <v>458</v>
      </c>
      <c r="I918" s="50" t="s">
        <v>105</v>
      </c>
      <c r="L918" s="146"/>
      <c r="N918" s="139"/>
    </row>
    <row r="919" spans="1:16" ht="12.75" customHeight="1" thickBot="1">
      <c r="F919" s="139"/>
    </row>
    <row r="920" spans="1:16" ht="15.75" thickBot="1">
      <c r="A920" s="50" t="s">
        <v>105</v>
      </c>
      <c r="D920" s="146"/>
      <c r="F920" s="139"/>
      <c r="I920" s="891" t="s">
        <v>106</v>
      </c>
      <c r="J920" s="892"/>
      <c r="K920" s="892"/>
      <c r="L920" s="893"/>
      <c r="N920" s="925" t="s">
        <v>288</v>
      </c>
      <c r="O920" s="925"/>
      <c r="P920" s="925"/>
    </row>
    <row r="921" spans="1:16" ht="28.5" customHeight="1" thickBot="1">
      <c r="I921" s="57" t="s">
        <v>100</v>
      </c>
      <c r="J921" s="58" t="s">
        <v>108</v>
      </c>
      <c r="K921" s="59" t="s">
        <v>109</v>
      </c>
      <c r="L921" s="60" t="s">
        <v>110</v>
      </c>
    </row>
    <row r="922" spans="1:16" ht="14.25" customHeight="1" thickBot="1">
      <c r="A922" s="891" t="s">
        <v>106</v>
      </c>
      <c r="B922" s="892"/>
      <c r="C922" s="892"/>
      <c r="D922" s="893"/>
      <c r="F922" s="50" t="s">
        <v>288</v>
      </c>
      <c r="I922" s="71">
        <v>719</v>
      </c>
      <c r="J922" s="73"/>
      <c r="K922" s="74">
        <f>+L885</f>
        <v>5530000</v>
      </c>
      <c r="L922" s="195">
        <f>+J922+K922</f>
        <v>5530000</v>
      </c>
    </row>
    <row r="923" spans="1:16" ht="16.5" customHeight="1" thickBot="1">
      <c r="A923" s="57" t="s">
        <v>100</v>
      </c>
      <c r="B923" s="58" t="s">
        <v>108</v>
      </c>
      <c r="C923" s="59" t="s">
        <v>109</v>
      </c>
      <c r="D923" s="60" t="s">
        <v>110</v>
      </c>
      <c r="I923" s="72">
        <v>721</v>
      </c>
      <c r="J923" s="257"/>
      <c r="K923" s="74">
        <f>+L886</f>
        <v>1696000</v>
      </c>
      <c r="L923" s="195">
        <f>+J923+K923</f>
        <v>1696000</v>
      </c>
    </row>
    <row r="924" spans="1:16">
      <c r="A924" s="71">
        <v>719</v>
      </c>
      <c r="B924" s="73">
        <f>+H904+H906+H908+H910+H912</f>
        <v>110000</v>
      </c>
      <c r="C924" s="74">
        <f>+D887</f>
        <v>41500000</v>
      </c>
      <c r="D924" s="195">
        <f>+B924+C924</f>
        <v>41610000</v>
      </c>
      <c r="I924" s="72">
        <v>722</v>
      </c>
      <c r="J924" s="257"/>
      <c r="K924" s="74">
        <f>+L887</f>
        <v>0</v>
      </c>
      <c r="L924" s="195">
        <f>+J924+K924</f>
        <v>0</v>
      </c>
    </row>
    <row r="925" spans="1:16" ht="15.75">
      <c r="A925" s="72">
        <v>721</v>
      </c>
      <c r="B925" s="80">
        <f>+H905</f>
        <v>0</v>
      </c>
      <c r="C925" s="74">
        <f>+D888</f>
        <v>60756797</v>
      </c>
      <c r="D925" s="195">
        <f>+B925+C925</f>
        <v>60756797</v>
      </c>
      <c r="I925" s="72">
        <v>723</v>
      </c>
      <c r="J925" s="257">
        <f>+P902+P904+P906+P908+P910</f>
        <v>4095000</v>
      </c>
      <c r="K925" s="74">
        <f>+L888</f>
        <v>332692965</v>
      </c>
      <c r="L925" s="195">
        <f>+J925+K925</f>
        <v>336787965</v>
      </c>
      <c r="N925" s="930" t="s">
        <v>23</v>
      </c>
      <c r="O925" s="930"/>
      <c r="P925" s="930"/>
    </row>
    <row r="926" spans="1:16" ht="16.5" thickBot="1">
      <c r="A926" s="72">
        <v>722</v>
      </c>
      <c r="B926" s="80"/>
      <c r="C926" s="74">
        <f>+D889</f>
        <v>231207671</v>
      </c>
      <c r="D926" s="195">
        <f>+B926+C926</f>
        <v>231207671</v>
      </c>
      <c r="I926" s="164" t="s">
        <v>181</v>
      </c>
      <c r="J926" s="165"/>
      <c r="K926" s="74">
        <f>+L889</f>
        <v>0</v>
      </c>
      <c r="L926" s="196">
        <f>+J926+K926</f>
        <v>0</v>
      </c>
      <c r="N926" s="52"/>
    </row>
    <row r="927" spans="1:16" ht="16.5" thickBot="1">
      <c r="A927" s="72">
        <v>723</v>
      </c>
      <c r="B927" s="80">
        <f>+H907</f>
        <v>0</v>
      </c>
      <c r="C927" s="74">
        <f>+D890</f>
        <v>321428837</v>
      </c>
      <c r="D927" s="195">
        <f>+B927+C927</f>
        <v>321428837</v>
      </c>
      <c r="F927" s="174" t="s">
        <v>23</v>
      </c>
      <c r="G927" s="175"/>
      <c r="I927" s="169"/>
      <c r="J927" s="197">
        <f>SUM(J922:J926)</f>
        <v>4095000</v>
      </c>
      <c r="K927" s="197">
        <f>SUM(K922:K926)</f>
        <v>339918965</v>
      </c>
      <c r="L927" s="198">
        <f>SUM(L922:L926)</f>
        <v>344013965</v>
      </c>
    </row>
    <row r="928" spans="1:16" ht="17.25" thickBot="1">
      <c r="A928" s="164" t="s">
        <v>181</v>
      </c>
      <c r="B928" s="165"/>
      <c r="C928" s="74">
        <f>+D891</f>
        <v>1965625</v>
      </c>
      <c r="D928" s="196">
        <f>+B928+C928</f>
        <v>1965625</v>
      </c>
      <c r="F928" s="52"/>
      <c r="I928" s="49" t="s">
        <v>88</v>
      </c>
      <c r="J928" s="50"/>
    </row>
    <row r="929" spans="1:16" ht="15" customHeight="1" thickBot="1">
      <c r="A929" s="169"/>
      <c r="B929" s="170">
        <f>SUM(B924:B928)</f>
        <v>110000</v>
      </c>
      <c r="C929" s="171">
        <f>SUM(C924:C928)</f>
        <v>656858930</v>
      </c>
      <c r="D929" s="172">
        <f>SUM(D924:D928)</f>
        <v>656968930</v>
      </c>
      <c r="I929" s="51" t="s">
        <v>89</v>
      </c>
    </row>
    <row r="930" spans="1:16" ht="15" customHeight="1">
      <c r="A930" s="49" t="s">
        <v>88</v>
      </c>
      <c r="B930" s="50"/>
      <c r="I930" s="51" t="s">
        <v>90</v>
      </c>
    </row>
    <row r="931" spans="1:16" ht="12.75" customHeight="1">
      <c r="A931" s="51" t="s">
        <v>89</v>
      </c>
      <c r="I931" s="51" t="s">
        <v>91</v>
      </c>
    </row>
    <row r="932" spans="1:16" ht="12.75" customHeight="1">
      <c r="A932" s="51" t="s">
        <v>90</v>
      </c>
      <c r="I932" s="50"/>
      <c r="J932" s="50"/>
    </row>
    <row r="933" spans="1:16" ht="16.5">
      <c r="A933" s="51" t="s">
        <v>91</v>
      </c>
      <c r="I933" s="52" t="s">
        <v>813</v>
      </c>
      <c r="O933" s="52"/>
    </row>
    <row r="934" spans="1:16" ht="13.5" customHeight="1">
      <c r="A934" s="50"/>
      <c r="B934" s="50"/>
      <c r="I934" s="53" t="s">
        <v>535</v>
      </c>
      <c r="O934" s="53"/>
    </row>
    <row r="935" spans="1:16" ht="16.5">
      <c r="A935" s="52" t="s">
        <v>460</v>
      </c>
      <c r="G935" s="52"/>
      <c r="I935" s="894" t="s">
        <v>261</v>
      </c>
      <c r="J935" s="894"/>
      <c r="K935" s="894"/>
      <c r="L935" s="894"/>
      <c r="M935" s="894"/>
      <c r="N935" s="894"/>
      <c r="O935" s="894"/>
      <c r="P935" s="894"/>
    </row>
    <row r="936" spans="1:16" ht="13.5" customHeight="1" thickBot="1">
      <c r="A936" s="53" t="s">
        <v>92</v>
      </c>
      <c r="G936" s="53"/>
    </row>
    <row r="937" spans="1:16" ht="16.5">
      <c r="A937" s="894" t="s">
        <v>462</v>
      </c>
      <c r="B937" s="894"/>
      <c r="C937" s="894"/>
      <c r="D937" s="894"/>
      <c r="E937" s="894"/>
      <c r="F937" s="894"/>
      <c r="G937" s="894"/>
      <c r="H937" s="894"/>
      <c r="I937" s="895" t="s">
        <v>94</v>
      </c>
      <c r="J937" s="897" t="s">
        <v>95</v>
      </c>
      <c r="K937" s="897" t="s">
        <v>96</v>
      </c>
      <c r="L937" s="897" t="s">
        <v>3</v>
      </c>
      <c r="M937" s="897" t="s">
        <v>97</v>
      </c>
      <c r="N937" s="897" t="s">
        <v>98</v>
      </c>
      <c r="O937" s="897" t="s">
        <v>99</v>
      </c>
      <c r="P937" s="899"/>
    </row>
    <row r="938" spans="1:16" ht="15.75" thickBot="1">
      <c r="I938" s="896"/>
      <c r="J938" s="898"/>
      <c r="K938" s="898"/>
      <c r="L938" s="898"/>
      <c r="M938" s="898"/>
      <c r="N938" s="898"/>
      <c r="O938" s="240" t="s">
        <v>100</v>
      </c>
      <c r="P938" s="182" t="s">
        <v>101</v>
      </c>
    </row>
    <row r="939" spans="1:16" ht="12.75" customHeight="1">
      <c r="A939" s="895" t="s">
        <v>94</v>
      </c>
      <c r="B939" s="897" t="s">
        <v>95</v>
      </c>
      <c r="C939" s="897" t="s">
        <v>96</v>
      </c>
      <c r="D939" s="897" t="s">
        <v>3</v>
      </c>
      <c r="E939" s="897" t="s">
        <v>97</v>
      </c>
      <c r="F939" s="897" t="s">
        <v>98</v>
      </c>
      <c r="G939" s="897" t="s">
        <v>99</v>
      </c>
      <c r="H939" s="899"/>
      <c r="I939" s="873" t="s">
        <v>812</v>
      </c>
      <c r="J939" s="875">
        <v>42458</v>
      </c>
      <c r="K939" s="877" t="s">
        <v>272</v>
      </c>
      <c r="L939" s="881" t="s">
        <v>817</v>
      </c>
      <c r="M939" s="881" t="s">
        <v>115</v>
      </c>
      <c r="N939" s="883">
        <v>120000</v>
      </c>
      <c r="O939" s="55">
        <v>719</v>
      </c>
      <c r="P939" s="78">
        <v>120000</v>
      </c>
    </row>
    <row r="940" spans="1:16" ht="13.5" customHeight="1" thickBot="1">
      <c r="A940" s="896"/>
      <c r="B940" s="898"/>
      <c r="C940" s="898"/>
      <c r="D940" s="898"/>
      <c r="E940" s="898"/>
      <c r="F940" s="898"/>
      <c r="G940" s="240" t="s">
        <v>100</v>
      </c>
      <c r="H940" s="182" t="s">
        <v>101</v>
      </c>
      <c r="I940" s="882"/>
      <c r="J940" s="876"/>
      <c r="K940" s="878"/>
      <c r="L940" s="882"/>
      <c r="M940" s="882"/>
      <c r="N940" s="884"/>
      <c r="O940" s="56">
        <v>721</v>
      </c>
      <c r="P940" s="79">
        <f>+N939-P939</f>
        <v>0</v>
      </c>
    </row>
    <row r="941" spans="1:16" ht="12" customHeight="1">
      <c r="A941" s="881">
        <f>+A908+1</f>
        <v>343</v>
      </c>
      <c r="B941" s="875">
        <v>42328</v>
      </c>
      <c r="C941" s="877" t="s">
        <v>469</v>
      </c>
      <c r="D941" s="881" t="s">
        <v>459</v>
      </c>
      <c r="E941" s="881" t="s">
        <v>148</v>
      </c>
      <c r="F941" s="883">
        <v>1764708</v>
      </c>
      <c r="G941" s="55">
        <v>723</v>
      </c>
      <c r="H941" s="78">
        <f>+F941</f>
        <v>1764708</v>
      </c>
      <c r="I941" s="881">
        <f>+I939+1</f>
        <v>120</v>
      </c>
      <c r="J941" s="875">
        <v>42458</v>
      </c>
      <c r="K941" s="881" t="s">
        <v>28</v>
      </c>
      <c r="L941" s="881" t="s">
        <v>818</v>
      </c>
      <c r="M941" s="881" t="s">
        <v>115</v>
      </c>
      <c r="N941" s="883">
        <v>20000</v>
      </c>
      <c r="O941" s="55">
        <v>719</v>
      </c>
      <c r="P941" s="78">
        <v>20000</v>
      </c>
    </row>
    <row r="942" spans="1:16" ht="15.75" customHeight="1" thickBot="1">
      <c r="A942" s="882"/>
      <c r="B942" s="876"/>
      <c r="C942" s="878"/>
      <c r="D942" s="882"/>
      <c r="E942" s="882"/>
      <c r="F942" s="884"/>
      <c r="G942" s="56">
        <v>721</v>
      </c>
      <c r="H942" s="79">
        <f>+F941-H941</f>
        <v>0</v>
      </c>
      <c r="I942" s="882"/>
      <c r="J942" s="876"/>
      <c r="K942" s="882"/>
      <c r="L942" s="882"/>
      <c r="M942" s="882"/>
      <c r="N942" s="884"/>
      <c r="O942" s="56">
        <v>721</v>
      </c>
      <c r="P942" s="79">
        <f>+N941-P941</f>
        <v>0</v>
      </c>
    </row>
    <row r="943" spans="1:16" ht="15" customHeight="1">
      <c r="A943" s="881"/>
      <c r="B943" s="875"/>
      <c r="C943" s="881"/>
      <c r="D943" s="881"/>
      <c r="E943" s="881"/>
      <c r="F943" s="883"/>
      <c r="G943" s="55">
        <v>719</v>
      </c>
      <c r="H943" s="78"/>
      <c r="I943" s="881">
        <f t="shared" ref="I943:I949" si="1">+I941+1</f>
        <v>121</v>
      </c>
      <c r="J943" s="875">
        <v>42458</v>
      </c>
      <c r="K943" s="877" t="s">
        <v>32</v>
      </c>
      <c r="L943" s="881" t="s">
        <v>819</v>
      </c>
      <c r="M943" s="881" t="s">
        <v>115</v>
      </c>
      <c r="N943" s="883">
        <v>30000</v>
      </c>
      <c r="O943" s="55">
        <v>719</v>
      </c>
      <c r="P943" s="78">
        <v>30000</v>
      </c>
    </row>
    <row r="944" spans="1:16" ht="13.5" customHeight="1" thickBot="1">
      <c r="A944" s="882"/>
      <c r="B944" s="876"/>
      <c r="C944" s="882"/>
      <c r="D944" s="882"/>
      <c r="E944" s="882"/>
      <c r="F944" s="884"/>
      <c r="G944" s="56">
        <v>721</v>
      </c>
      <c r="H944" s="79">
        <f>+F943-H943</f>
        <v>0</v>
      </c>
      <c r="I944" s="882"/>
      <c r="J944" s="876"/>
      <c r="K944" s="878"/>
      <c r="L944" s="882"/>
      <c r="M944" s="882"/>
      <c r="N944" s="884"/>
      <c r="O944" s="56">
        <v>721</v>
      </c>
      <c r="P944" s="79">
        <f>+N943-P943</f>
        <v>0</v>
      </c>
    </row>
    <row r="945" spans="1:16" ht="14.25" customHeight="1">
      <c r="A945" s="251"/>
      <c r="B945" s="252"/>
      <c r="C945" s="251"/>
      <c r="D945" s="251"/>
      <c r="E945" s="251"/>
      <c r="F945" s="254"/>
      <c r="G945" s="255"/>
      <c r="H945" s="256"/>
      <c r="I945" s="881">
        <f t="shared" si="1"/>
        <v>122</v>
      </c>
      <c r="J945" s="875">
        <v>42458</v>
      </c>
      <c r="K945" s="877" t="s">
        <v>815</v>
      </c>
      <c r="L945" s="881" t="s">
        <v>820</v>
      </c>
      <c r="M945" s="881" t="s">
        <v>115</v>
      </c>
      <c r="N945" s="883">
        <v>20000</v>
      </c>
      <c r="O945" s="55">
        <v>719</v>
      </c>
      <c r="P945" s="78">
        <v>20000</v>
      </c>
    </row>
    <row r="946" spans="1:16" ht="14.25" customHeight="1" thickBot="1">
      <c r="A946" s="251"/>
      <c r="B946" s="252"/>
      <c r="C946" s="251"/>
      <c r="D946" s="251"/>
      <c r="E946" s="251"/>
      <c r="F946" s="254"/>
      <c r="G946" s="255"/>
      <c r="H946" s="256"/>
      <c r="I946" s="882"/>
      <c r="J946" s="876"/>
      <c r="K946" s="878"/>
      <c r="L946" s="882"/>
      <c r="M946" s="882"/>
      <c r="N946" s="884"/>
      <c r="O946" s="56">
        <v>721</v>
      </c>
      <c r="P946" s="79">
        <f>+N945-P945</f>
        <v>0</v>
      </c>
    </row>
    <row r="947" spans="1:16" ht="15" customHeight="1">
      <c r="A947" s="881"/>
      <c r="B947" s="875"/>
      <c r="C947" s="877"/>
      <c r="D947" s="881"/>
      <c r="E947" s="881"/>
      <c r="F947" s="883"/>
      <c r="G947" s="55">
        <v>719</v>
      </c>
      <c r="H947" s="78"/>
      <c r="I947" s="881">
        <f t="shared" si="1"/>
        <v>123</v>
      </c>
      <c r="J947" s="875">
        <v>42458</v>
      </c>
      <c r="K947" s="881" t="s">
        <v>272</v>
      </c>
      <c r="L947" s="881" t="s">
        <v>821</v>
      </c>
      <c r="M947" s="881" t="s">
        <v>115</v>
      </c>
      <c r="N947" s="883">
        <v>80000</v>
      </c>
      <c r="O947" s="55">
        <v>719</v>
      </c>
      <c r="P947" s="78">
        <v>80000</v>
      </c>
    </row>
    <row r="948" spans="1:16" ht="13.5" customHeight="1" thickBot="1">
      <c r="A948" s="882"/>
      <c r="B948" s="876"/>
      <c r="C948" s="878"/>
      <c r="D948" s="882"/>
      <c r="E948" s="882"/>
      <c r="F948" s="884"/>
      <c r="G948" s="56">
        <v>721</v>
      </c>
      <c r="H948" s="79">
        <f>+F947-H947</f>
        <v>0</v>
      </c>
      <c r="I948" s="882"/>
      <c r="J948" s="876"/>
      <c r="K948" s="882"/>
      <c r="L948" s="882"/>
      <c r="M948" s="882"/>
      <c r="N948" s="884"/>
      <c r="O948" s="56">
        <v>721</v>
      </c>
      <c r="P948" s="79">
        <f>+N947-P947</f>
        <v>0</v>
      </c>
    </row>
    <row r="949" spans="1:16" ht="15" customHeight="1">
      <c r="A949" s="881"/>
      <c r="B949" s="875"/>
      <c r="C949" s="881"/>
      <c r="D949" s="881"/>
      <c r="E949" s="881"/>
      <c r="F949" s="883"/>
      <c r="G949" s="55">
        <v>719</v>
      </c>
      <c r="H949" s="78"/>
      <c r="I949" s="881">
        <f t="shared" si="1"/>
        <v>124</v>
      </c>
      <c r="J949" s="875">
        <v>42458</v>
      </c>
      <c r="K949" s="881" t="s">
        <v>28</v>
      </c>
      <c r="L949" s="881" t="s">
        <v>822</v>
      </c>
      <c r="M949" s="881" t="s">
        <v>115</v>
      </c>
      <c r="N949" s="883">
        <v>30000</v>
      </c>
      <c r="O949" s="55">
        <v>719</v>
      </c>
      <c r="P949" s="78">
        <v>30000</v>
      </c>
    </row>
    <row r="950" spans="1:16" ht="13.5" customHeight="1" thickBot="1">
      <c r="A950" s="882"/>
      <c r="B950" s="876"/>
      <c r="C950" s="882"/>
      <c r="D950" s="882"/>
      <c r="E950" s="882"/>
      <c r="F950" s="884"/>
      <c r="G950" s="56">
        <v>721</v>
      </c>
      <c r="H950" s="79">
        <f>+F949-H949</f>
        <v>0</v>
      </c>
      <c r="I950" s="882"/>
      <c r="J950" s="876"/>
      <c r="K950" s="882"/>
      <c r="L950" s="882"/>
      <c r="M950" s="882"/>
      <c r="N950" s="884"/>
      <c r="O950" s="56">
        <v>721</v>
      </c>
      <c r="P950" s="79">
        <f>+N949-P949</f>
        <v>0</v>
      </c>
    </row>
    <row r="951" spans="1:16" ht="16.5" thickBot="1">
      <c r="A951" s="881"/>
      <c r="B951" s="875"/>
      <c r="C951" s="877"/>
      <c r="D951" s="881"/>
      <c r="E951" s="881"/>
      <c r="F951" s="883"/>
      <c r="G951" s="55">
        <v>719</v>
      </c>
      <c r="H951" s="78"/>
      <c r="I951" s="901" t="s">
        <v>102</v>
      </c>
      <c r="J951" s="902"/>
      <c r="K951" s="902"/>
      <c r="L951" s="902"/>
      <c r="M951" s="903"/>
      <c r="N951" s="81">
        <f>SUM(N939:N950)</f>
        <v>300000</v>
      </c>
    </row>
    <row r="952" spans="1:16" ht="16.5" thickBot="1">
      <c r="A952" s="882"/>
      <c r="B952" s="876"/>
      <c r="C952" s="878"/>
      <c r="D952" s="882"/>
      <c r="E952" s="882"/>
      <c r="F952" s="884"/>
      <c r="G952" s="56">
        <v>721</v>
      </c>
      <c r="H952" s="79">
        <f>+F951-H951</f>
        <v>0</v>
      </c>
      <c r="I952" s="885" t="s">
        <v>103</v>
      </c>
      <c r="J952" s="886"/>
      <c r="K952" s="886"/>
      <c r="L952" s="886"/>
      <c r="M952" s="887"/>
      <c r="N952" s="239">
        <f>+N914</f>
        <v>344013965</v>
      </c>
      <c r="O952" s="241" t="s">
        <v>561</v>
      </c>
      <c r="P952" s="242">
        <f>70+356+14+36+41+453</f>
        <v>970</v>
      </c>
    </row>
    <row r="953" spans="1:16" ht="16.5" thickBot="1">
      <c r="A953" s="901" t="s">
        <v>102</v>
      </c>
      <c r="B953" s="902"/>
      <c r="C953" s="902"/>
      <c r="D953" s="902"/>
      <c r="E953" s="903"/>
      <c r="F953" s="81">
        <f>SUM(F941:F952)</f>
        <v>1764708</v>
      </c>
      <c r="I953" s="888" t="s">
        <v>104</v>
      </c>
      <c r="J953" s="889"/>
      <c r="K953" s="889"/>
      <c r="L953" s="889"/>
      <c r="M953" s="890"/>
      <c r="N953" s="183">
        <f>SUM(N951:N952)</f>
        <v>344313965</v>
      </c>
    </row>
    <row r="954" spans="1:16" ht="16.5" thickBot="1">
      <c r="A954" s="885" t="s">
        <v>103</v>
      </c>
      <c r="B954" s="886"/>
      <c r="C954" s="886"/>
      <c r="D954" s="886"/>
      <c r="E954" s="887"/>
      <c r="F954" s="69">
        <f>+F916</f>
        <v>656968930</v>
      </c>
      <c r="I954" s="61"/>
      <c r="J954" s="61"/>
      <c r="K954" s="61"/>
      <c r="L954" s="61"/>
      <c r="M954" s="61"/>
    </row>
    <row r="955" spans="1:16" ht="16.5" thickBot="1">
      <c r="A955" s="888" t="s">
        <v>104</v>
      </c>
      <c r="B955" s="889"/>
      <c r="C955" s="889"/>
      <c r="D955" s="889"/>
      <c r="E955" s="890"/>
      <c r="F955" s="183">
        <f>SUM(F953:F954)</f>
        <v>658733638</v>
      </c>
      <c r="I955" s="51" t="s">
        <v>823</v>
      </c>
    </row>
    <row r="956" spans="1:16">
      <c r="A956" s="61"/>
      <c r="B956" s="61"/>
      <c r="C956" s="61"/>
      <c r="D956" s="61"/>
      <c r="E956" s="61"/>
      <c r="N956" s="139"/>
    </row>
    <row r="957" spans="1:16">
      <c r="A957" s="51" t="s">
        <v>461</v>
      </c>
      <c r="I957" s="50" t="s">
        <v>105</v>
      </c>
      <c r="L957" s="146"/>
      <c r="N957" s="139"/>
    </row>
    <row r="958" spans="1:16" ht="12.75" customHeight="1" thickBot="1">
      <c r="F958" s="139"/>
    </row>
    <row r="959" spans="1:16" ht="15.75" thickBot="1">
      <c r="A959" s="50" t="s">
        <v>105</v>
      </c>
      <c r="D959" s="146"/>
      <c r="F959" s="139"/>
      <c r="I959" s="891" t="s">
        <v>106</v>
      </c>
      <c r="J959" s="892"/>
      <c r="K959" s="892"/>
      <c r="L959" s="893"/>
      <c r="N959" s="50" t="s">
        <v>288</v>
      </c>
    </row>
    <row r="960" spans="1:16" ht="12.75" customHeight="1" thickBot="1">
      <c r="I960" s="57" t="s">
        <v>100</v>
      </c>
      <c r="J960" s="58" t="s">
        <v>108</v>
      </c>
      <c r="K960" s="59" t="s">
        <v>109</v>
      </c>
      <c r="L960" s="60" t="s">
        <v>110</v>
      </c>
    </row>
    <row r="961" spans="1:16" ht="15.75" thickBot="1">
      <c r="A961" s="891" t="s">
        <v>106</v>
      </c>
      <c r="B961" s="892"/>
      <c r="C961" s="892"/>
      <c r="D961" s="893"/>
      <c r="F961" s="50" t="s">
        <v>288</v>
      </c>
      <c r="I961" s="71">
        <v>719</v>
      </c>
      <c r="J961" s="73">
        <f>+P939+P941+P943+P947+P949+P945</f>
        <v>300000</v>
      </c>
      <c r="K961" s="74">
        <f>+L922</f>
        <v>5530000</v>
      </c>
      <c r="L961" s="195">
        <f>+J961+K961</f>
        <v>5830000</v>
      </c>
    </row>
    <row r="962" spans="1:16" ht="15.75" customHeight="1" thickBot="1">
      <c r="A962" s="57" t="s">
        <v>100</v>
      </c>
      <c r="B962" s="58" t="s">
        <v>108</v>
      </c>
      <c r="C962" s="59" t="s">
        <v>109</v>
      </c>
      <c r="D962" s="60" t="s">
        <v>110</v>
      </c>
      <c r="I962" s="72">
        <v>721</v>
      </c>
      <c r="J962" s="80">
        <f>+P940+P942+P944+P948+P950</f>
        <v>0</v>
      </c>
      <c r="K962" s="74">
        <f>+L923</f>
        <v>1696000</v>
      </c>
      <c r="L962" s="195">
        <f>+J962+K962</f>
        <v>1696000</v>
      </c>
    </row>
    <row r="963" spans="1:16">
      <c r="A963" s="71">
        <v>719</v>
      </c>
      <c r="B963" s="73">
        <f>0</f>
        <v>0</v>
      </c>
      <c r="C963" s="74">
        <f>+D924</f>
        <v>41610000</v>
      </c>
      <c r="D963" s="195">
        <f>+B963+C963</f>
        <v>41610000</v>
      </c>
      <c r="I963" s="72">
        <v>722</v>
      </c>
      <c r="J963" s="80"/>
      <c r="K963" s="74">
        <f>+L924</f>
        <v>0</v>
      </c>
      <c r="L963" s="195">
        <f>+J963+K963</f>
        <v>0</v>
      </c>
    </row>
    <row r="964" spans="1:16" ht="15.75">
      <c r="A964" s="72">
        <v>721</v>
      </c>
      <c r="B964" s="80">
        <f>+H942</f>
        <v>0</v>
      </c>
      <c r="C964" s="74">
        <f>+D925</f>
        <v>60756797</v>
      </c>
      <c r="D964" s="195">
        <f>+B964+C964</f>
        <v>60756797</v>
      </c>
      <c r="I964" s="72">
        <v>723</v>
      </c>
      <c r="J964" s="80"/>
      <c r="K964" s="74">
        <f>+L925</f>
        <v>336787965</v>
      </c>
      <c r="L964" s="195">
        <f>+J964+K964</f>
        <v>336787965</v>
      </c>
      <c r="N964" s="193" t="s">
        <v>289</v>
      </c>
      <c r="O964" s="175"/>
    </row>
    <row r="965" spans="1:16" ht="16.5" thickBot="1">
      <c r="A965" s="72">
        <v>722</v>
      </c>
      <c r="B965" s="80"/>
      <c r="C965" s="74">
        <f>+D926</f>
        <v>231207671</v>
      </c>
      <c r="D965" s="195">
        <f>+B965+C965</f>
        <v>231207671</v>
      </c>
      <c r="I965" s="164" t="s">
        <v>181</v>
      </c>
      <c r="J965" s="165"/>
      <c r="K965" s="74">
        <f>+L926</f>
        <v>0</v>
      </c>
      <c r="L965" s="196">
        <f>+J965+K965</f>
        <v>0</v>
      </c>
      <c r="N965" s="52"/>
    </row>
    <row r="966" spans="1:16" ht="16.5" thickBot="1">
      <c r="A966" s="72">
        <v>723</v>
      </c>
      <c r="B966" s="80">
        <f>+H941</f>
        <v>1764708</v>
      </c>
      <c r="C966" s="74">
        <f>+D927</f>
        <v>321428837</v>
      </c>
      <c r="D966" s="195">
        <f>+B966+C966</f>
        <v>323193545</v>
      </c>
      <c r="F966" s="174" t="s">
        <v>23</v>
      </c>
      <c r="G966" s="175"/>
      <c r="I966" s="169"/>
      <c r="J966" s="197">
        <f>SUM(J961:J965)</f>
        <v>300000</v>
      </c>
      <c r="K966" s="197">
        <f>SUM(K961:K965)</f>
        <v>344013965</v>
      </c>
      <c r="L966" s="198">
        <f>SUM(L961:L965)</f>
        <v>344313965</v>
      </c>
    </row>
    <row r="967" spans="1:16" ht="17.25" thickBot="1">
      <c r="A967" s="164" t="s">
        <v>181</v>
      </c>
      <c r="B967" s="165"/>
      <c r="C967" s="74">
        <f>+D928</f>
        <v>1965625</v>
      </c>
      <c r="D967" s="196">
        <f>+B967+C967</f>
        <v>1965625</v>
      </c>
      <c r="F967" s="52"/>
      <c r="I967" s="49" t="s">
        <v>88</v>
      </c>
      <c r="J967" s="50"/>
    </row>
    <row r="968" spans="1:16" ht="16.5" thickBot="1">
      <c r="A968" s="169"/>
      <c r="B968" s="170">
        <f>SUM(B963:B967)</f>
        <v>1764708</v>
      </c>
      <c r="C968" s="171">
        <f>SUM(C963:C967)</f>
        <v>656968930</v>
      </c>
      <c r="D968" s="172">
        <f>SUM(D963:D967)</f>
        <v>658733638</v>
      </c>
      <c r="I968" s="51" t="s">
        <v>89</v>
      </c>
    </row>
    <row r="969" spans="1:16" ht="16.5">
      <c r="A969" s="49" t="s">
        <v>88</v>
      </c>
      <c r="B969" s="50"/>
      <c r="I969" s="51" t="s">
        <v>90</v>
      </c>
    </row>
    <row r="970" spans="1:16">
      <c r="A970" s="51" t="s">
        <v>89</v>
      </c>
      <c r="I970" s="51" t="s">
        <v>91</v>
      </c>
    </row>
    <row r="971" spans="1:16" ht="13.5" customHeight="1">
      <c r="A971" s="51" t="s">
        <v>90</v>
      </c>
      <c r="I971" s="50"/>
      <c r="J971" s="50"/>
    </row>
    <row r="972" spans="1:16" ht="16.5">
      <c r="A972" s="51" t="s">
        <v>91</v>
      </c>
      <c r="I972" s="52" t="s">
        <v>814</v>
      </c>
      <c r="O972" s="52"/>
    </row>
    <row r="973" spans="1:16" ht="13.5" customHeight="1">
      <c r="A973" s="50"/>
      <c r="B973" s="50"/>
      <c r="I973" s="53" t="s">
        <v>535</v>
      </c>
      <c r="O973" s="53"/>
    </row>
    <row r="974" spans="1:16" ht="16.5">
      <c r="A974" s="52" t="s">
        <v>463</v>
      </c>
      <c r="G974" s="52"/>
      <c r="I974" s="894" t="s">
        <v>261</v>
      </c>
      <c r="J974" s="894"/>
      <c r="K974" s="894"/>
      <c r="L974" s="894"/>
      <c r="M974" s="894"/>
      <c r="N974" s="894"/>
      <c r="O974" s="894"/>
      <c r="P974" s="894"/>
    </row>
    <row r="975" spans="1:16" ht="13.5" customHeight="1" thickBot="1">
      <c r="A975" s="53" t="s">
        <v>92</v>
      </c>
      <c r="G975" s="53"/>
    </row>
    <row r="976" spans="1:16" ht="16.5">
      <c r="A976" s="894" t="s">
        <v>462</v>
      </c>
      <c r="B976" s="894"/>
      <c r="C976" s="894"/>
      <c r="D976" s="894"/>
      <c r="E976" s="894"/>
      <c r="F976" s="894"/>
      <c r="G976" s="894"/>
      <c r="H976" s="894"/>
      <c r="I976" s="895" t="s">
        <v>94</v>
      </c>
      <c r="J976" s="897" t="s">
        <v>95</v>
      </c>
      <c r="K976" s="897" t="s">
        <v>96</v>
      </c>
      <c r="L976" s="897" t="s">
        <v>3</v>
      </c>
      <c r="M976" s="897" t="s">
        <v>97</v>
      </c>
      <c r="N976" s="897" t="s">
        <v>98</v>
      </c>
      <c r="O976" s="897" t="s">
        <v>99</v>
      </c>
      <c r="P976" s="899"/>
    </row>
    <row r="977" spans="1:16" ht="15.75" thickBot="1">
      <c r="I977" s="896"/>
      <c r="J977" s="898"/>
      <c r="K977" s="898"/>
      <c r="L977" s="898"/>
      <c r="M977" s="898"/>
      <c r="N977" s="898"/>
      <c r="O977" s="240" t="s">
        <v>100</v>
      </c>
      <c r="P977" s="182" t="s">
        <v>101</v>
      </c>
    </row>
    <row r="978" spans="1:16" ht="15" customHeight="1">
      <c r="A978" s="895" t="s">
        <v>94</v>
      </c>
      <c r="B978" s="897" t="s">
        <v>95</v>
      </c>
      <c r="C978" s="897" t="s">
        <v>96</v>
      </c>
      <c r="D978" s="897" t="s">
        <v>3</v>
      </c>
      <c r="E978" s="897" t="s">
        <v>97</v>
      </c>
      <c r="F978" s="897" t="s">
        <v>98</v>
      </c>
      <c r="G978" s="897" t="s">
        <v>99</v>
      </c>
      <c r="H978" s="899"/>
      <c r="I978" s="873" t="s">
        <v>816</v>
      </c>
      <c r="J978" s="875">
        <v>42458</v>
      </c>
      <c r="K978" s="877" t="s">
        <v>815</v>
      </c>
      <c r="L978" s="881" t="s">
        <v>824</v>
      </c>
      <c r="M978" s="881" t="s">
        <v>115</v>
      </c>
      <c r="N978" s="883">
        <v>20000</v>
      </c>
      <c r="O978" s="55">
        <v>719</v>
      </c>
      <c r="P978" s="78">
        <v>20000</v>
      </c>
    </row>
    <row r="979" spans="1:16" ht="12.75" customHeight="1" thickBot="1">
      <c r="A979" s="896"/>
      <c r="B979" s="898"/>
      <c r="C979" s="898"/>
      <c r="D979" s="898"/>
      <c r="E979" s="898"/>
      <c r="F979" s="898"/>
      <c r="G979" s="240" t="s">
        <v>100</v>
      </c>
      <c r="H979" s="182" t="s">
        <v>101</v>
      </c>
      <c r="I979" s="874"/>
      <c r="J979" s="876"/>
      <c r="K979" s="878"/>
      <c r="L979" s="882"/>
      <c r="M979" s="882"/>
      <c r="N979" s="884"/>
      <c r="O979" s="56">
        <v>721</v>
      </c>
      <c r="P979" s="79">
        <f>+N978-P978</f>
        <v>0</v>
      </c>
    </row>
    <row r="980" spans="1:16" ht="15" customHeight="1">
      <c r="A980" s="881">
        <f>+A941+1</f>
        <v>344</v>
      </c>
      <c r="B980" s="875">
        <v>42332</v>
      </c>
      <c r="C980" s="877" t="s">
        <v>272</v>
      </c>
      <c r="D980" s="881" t="s">
        <v>467</v>
      </c>
      <c r="E980" s="881" t="s">
        <v>115</v>
      </c>
      <c r="F980" s="883">
        <v>120000</v>
      </c>
      <c r="G980" s="55">
        <v>719</v>
      </c>
      <c r="H980" s="78">
        <f>+F980</f>
        <v>120000</v>
      </c>
      <c r="I980" s="881">
        <f>+I978+1</f>
        <v>126</v>
      </c>
      <c r="J980" s="875">
        <v>42458</v>
      </c>
      <c r="K980" s="881" t="s">
        <v>272</v>
      </c>
      <c r="L980" s="881" t="s">
        <v>825</v>
      </c>
      <c r="M980" s="881" t="s">
        <v>115</v>
      </c>
      <c r="N980" s="883">
        <v>120000</v>
      </c>
      <c r="O980" s="55">
        <v>719</v>
      </c>
      <c r="P980" s="78">
        <v>120000</v>
      </c>
    </row>
    <row r="981" spans="1:16" ht="15.75" customHeight="1" thickBot="1">
      <c r="A981" s="882"/>
      <c r="B981" s="876"/>
      <c r="C981" s="878"/>
      <c r="D981" s="882"/>
      <c r="E981" s="882"/>
      <c r="F981" s="884"/>
      <c r="G981" s="56">
        <v>721</v>
      </c>
      <c r="H981" s="79">
        <f>+F980-H980</f>
        <v>0</v>
      </c>
      <c r="I981" s="882"/>
      <c r="J981" s="876"/>
      <c r="K981" s="882"/>
      <c r="L981" s="882"/>
      <c r="M981" s="882"/>
      <c r="N981" s="884"/>
      <c r="O981" s="56">
        <v>721</v>
      </c>
      <c r="P981" s="79">
        <f>+N980-P980</f>
        <v>0</v>
      </c>
    </row>
    <row r="982" spans="1:16" ht="15" customHeight="1">
      <c r="A982" s="881">
        <f>+A980+1</f>
        <v>345</v>
      </c>
      <c r="B982" s="875">
        <v>42332</v>
      </c>
      <c r="C982" s="881" t="s">
        <v>28</v>
      </c>
      <c r="D982" s="881" t="s">
        <v>466</v>
      </c>
      <c r="E982" s="881" t="s">
        <v>115</v>
      </c>
      <c r="F982" s="883">
        <v>50000</v>
      </c>
      <c r="G982" s="55">
        <v>719</v>
      </c>
      <c r="H982" s="78">
        <v>50000</v>
      </c>
      <c r="I982" s="881">
        <f t="shared" ref="I982:I988" si="2">+I980+1</f>
        <v>127</v>
      </c>
      <c r="J982" s="875">
        <v>42458</v>
      </c>
      <c r="K982" s="881" t="s">
        <v>28</v>
      </c>
      <c r="L982" s="881" t="s">
        <v>826</v>
      </c>
      <c r="M982" s="881" t="s">
        <v>115</v>
      </c>
      <c r="N982" s="883">
        <v>40000</v>
      </c>
      <c r="O982" s="55">
        <v>719</v>
      </c>
      <c r="P982" s="78">
        <v>40000</v>
      </c>
    </row>
    <row r="983" spans="1:16" ht="12.75" customHeight="1" thickBot="1">
      <c r="A983" s="882"/>
      <c r="B983" s="876"/>
      <c r="C983" s="882"/>
      <c r="D983" s="882"/>
      <c r="E983" s="882"/>
      <c r="F983" s="884"/>
      <c r="G983" s="56">
        <v>721</v>
      </c>
      <c r="H983" s="79">
        <f>+F982-H982</f>
        <v>0</v>
      </c>
      <c r="I983" s="882"/>
      <c r="J983" s="876"/>
      <c r="K983" s="882"/>
      <c r="L983" s="882"/>
      <c r="M983" s="882"/>
      <c r="N983" s="884"/>
      <c r="O983" s="56">
        <v>721</v>
      </c>
      <c r="P983" s="79">
        <f>+N982-P982</f>
        <v>0</v>
      </c>
    </row>
    <row r="984" spans="1:16" ht="13.5" customHeight="1">
      <c r="A984" s="251"/>
      <c r="B984" s="252"/>
      <c r="C984" s="251"/>
      <c r="D984" s="251"/>
      <c r="E984" s="251"/>
      <c r="F984" s="254"/>
      <c r="G984" s="255"/>
      <c r="H984" s="256"/>
      <c r="I984" s="881">
        <f t="shared" si="2"/>
        <v>128</v>
      </c>
      <c r="J984" s="875">
        <v>42458</v>
      </c>
      <c r="K984" s="877" t="s">
        <v>815</v>
      </c>
      <c r="L984" s="881" t="s">
        <v>827</v>
      </c>
      <c r="M984" s="881" t="s">
        <v>115</v>
      </c>
      <c r="N984" s="883">
        <v>30000</v>
      </c>
      <c r="O984" s="55">
        <v>719</v>
      </c>
      <c r="P984" s="78">
        <v>30000</v>
      </c>
    </row>
    <row r="985" spans="1:16" ht="14.25" customHeight="1" thickBot="1">
      <c r="A985" s="251"/>
      <c r="B985" s="252"/>
      <c r="C985" s="251"/>
      <c r="D985" s="251"/>
      <c r="E985" s="251"/>
      <c r="F985" s="254"/>
      <c r="G985" s="255"/>
      <c r="H985" s="256"/>
      <c r="I985" s="882"/>
      <c r="J985" s="876"/>
      <c r="K985" s="878"/>
      <c r="L985" s="882"/>
      <c r="M985" s="882"/>
      <c r="N985" s="884"/>
      <c r="O985" s="56">
        <v>721</v>
      </c>
      <c r="P985" s="79">
        <f>+N984-P984</f>
        <v>0</v>
      </c>
    </row>
    <row r="986" spans="1:16" ht="13.5" customHeight="1">
      <c r="A986" s="881">
        <f>+A982+1</f>
        <v>346</v>
      </c>
      <c r="B986" s="875">
        <v>42332</v>
      </c>
      <c r="C986" s="877" t="s">
        <v>32</v>
      </c>
      <c r="D986" s="881" t="s">
        <v>465</v>
      </c>
      <c r="E986" s="881" t="s">
        <v>115</v>
      </c>
      <c r="F986" s="883">
        <v>20000</v>
      </c>
      <c r="G986" s="55">
        <v>719</v>
      </c>
      <c r="H986" s="78">
        <v>20000</v>
      </c>
      <c r="I986" s="881">
        <f t="shared" si="2"/>
        <v>129</v>
      </c>
      <c r="J986" s="875">
        <v>42458</v>
      </c>
      <c r="K986" s="881" t="s">
        <v>272</v>
      </c>
      <c r="L986" s="881" t="s">
        <v>828</v>
      </c>
      <c r="M986" s="881" t="s">
        <v>115</v>
      </c>
      <c r="N986" s="883">
        <v>90000</v>
      </c>
      <c r="O986" s="55">
        <v>719</v>
      </c>
      <c r="P986" s="78">
        <v>90000</v>
      </c>
    </row>
    <row r="987" spans="1:16" ht="12.75" customHeight="1" thickBot="1">
      <c r="A987" s="882"/>
      <c r="B987" s="876"/>
      <c r="C987" s="878"/>
      <c r="D987" s="882"/>
      <c r="E987" s="882"/>
      <c r="F987" s="884"/>
      <c r="G987" s="56">
        <v>721</v>
      </c>
      <c r="H987" s="79">
        <f>+F986-H986</f>
        <v>0</v>
      </c>
      <c r="I987" s="882"/>
      <c r="J987" s="876"/>
      <c r="K987" s="882"/>
      <c r="L987" s="882"/>
      <c r="M987" s="882"/>
      <c r="N987" s="884"/>
      <c r="O987" s="56">
        <v>721</v>
      </c>
      <c r="P987" s="79">
        <f>+N986-P986</f>
        <v>0</v>
      </c>
    </row>
    <row r="988" spans="1:16" ht="13.5" customHeight="1">
      <c r="A988" s="881">
        <f>+A986+1</f>
        <v>347</v>
      </c>
      <c r="B988" s="875">
        <v>42332</v>
      </c>
      <c r="C988" s="877" t="s">
        <v>120</v>
      </c>
      <c r="D988" s="881" t="s">
        <v>464</v>
      </c>
      <c r="E988" s="881" t="s">
        <v>115</v>
      </c>
      <c r="F988" s="883">
        <v>120000</v>
      </c>
      <c r="G988" s="55">
        <v>719</v>
      </c>
      <c r="H988" s="78">
        <v>120000</v>
      </c>
      <c r="I988" s="881">
        <f t="shared" si="2"/>
        <v>130</v>
      </c>
      <c r="J988" s="875">
        <v>42458</v>
      </c>
      <c r="K988" s="881" t="s">
        <v>28</v>
      </c>
      <c r="L988" s="881" t="s">
        <v>829</v>
      </c>
      <c r="M988" s="881" t="s">
        <v>115</v>
      </c>
      <c r="N988" s="883">
        <v>30000</v>
      </c>
      <c r="O988" s="55">
        <v>719</v>
      </c>
      <c r="P988" s="78">
        <v>30000</v>
      </c>
    </row>
    <row r="989" spans="1:16" ht="13.5" customHeight="1" thickBot="1">
      <c r="A989" s="882"/>
      <c r="B989" s="876"/>
      <c r="C989" s="878"/>
      <c r="D989" s="882"/>
      <c r="E989" s="882"/>
      <c r="F989" s="884"/>
      <c r="G989" s="56">
        <v>721</v>
      </c>
      <c r="H989" s="79">
        <f>+F988-H988</f>
        <v>0</v>
      </c>
      <c r="I989" s="882"/>
      <c r="J989" s="876"/>
      <c r="K989" s="882"/>
      <c r="L989" s="882"/>
      <c r="M989" s="882"/>
      <c r="N989" s="884"/>
      <c r="O989" s="56">
        <v>721</v>
      </c>
      <c r="P989" s="79">
        <f>+N988-P988</f>
        <v>0</v>
      </c>
    </row>
    <row r="990" spans="1:16" ht="16.5" thickBot="1">
      <c r="A990" s="881"/>
      <c r="B990" s="875"/>
      <c r="C990" s="877"/>
      <c r="D990" s="881"/>
      <c r="E990" s="881"/>
      <c r="F990" s="883"/>
      <c r="G990" s="55">
        <v>719</v>
      </c>
      <c r="H990" s="78"/>
      <c r="I990" s="901" t="s">
        <v>102</v>
      </c>
      <c r="J990" s="902"/>
      <c r="K990" s="902"/>
      <c r="L990" s="902"/>
      <c r="M990" s="903"/>
      <c r="N990" s="81">
        <f>SUM(N978:N989)</f>
        <v>330000</v>
      </c>
    </row>
    <row r="991" spans="1:16" ht="16.5" thickBot="1">
      <c r="A991" s="882"/>
      <c r="B991" s="876"/>
      <c r="C991" s="878"/>
      <c r="D991" s="882"/>
      <c r="E991" s="882"/>
      <c r="F991" s="884"/>
      <c r="G991" s="56">
        <v>721</v>
      </c>
      <c r="H991" s="79">
        <f>+F990-H990</f>
        <v>0</v>
      </c>
      <c r="I991" s="885" t="s">
        <v>103</v>
      </c>
      <c r="J991" s="886"/>
      <c r="K991" s="886"/>
      <c r="L991" s="886"/>
      <c r="M991" s="887"/>
      <c r="N991" s="239">
        <f>+N953</f>
        <v>344313965</v>
      </c>
      <c r="O991" s="241" t="s">
        <v>561</v>
      </c>
      <c r="P991" s="242">
        <f>37+287+85+451+12</f>
        <v>872</v>
      </c>
    </row>
    <row r="992" spans="1:16" ht="16.5" thickBot="1">
      <c r="A992" s="901" t="s">
        <v>102</v>
      </c>
      <c r="B992" s="902"/>
      <c r="C992" s="902"/>
      <c r="D992" s="902"/>
      <c r="E992" s="903"/>
      <c r="F992" s="81">
        <f>SUM(F980:F991)</f>
        <v>310000</v>
      </c>
      <c r="I992" s="888" t="s">
        <v>104</v>
      </c>
      <c r="J992" s="889"/>
      <c r="K992" s="889"/>
      <c r="L992" s="889"/>
      <c r="M992" s="890"/>
      <c r="N992" s="183">
        <f>SUM(N990:N991)</f>
        <v>344643965</v>
      </c>
    </row>
    <row r="993" spans="1:15" ht="12.75" customHeight="1" thickBot="1">
      <c r="A993" s="885" t="s">
        <v>103</v>
      </c>
      <c r="B993" s="886"/>
      <c r="C993" s="886"/>
      <c r="D993" s="886"/>
      <c r="E993" s="887"/>
      <c r="F993" s="69">
        <f>+F955</f>
        <v>658733638</v>
      </c>
      <c r="I993" s="61"/>
      <c r="J993" s="61"/>
      <c r="K993" s="61"/>
      <c r="L993" s="61"/>
      <c r="M993" s="61"/>
    </row>
    <row r="994" spans="1:15" ht="16.5" thickBot="1">
      <c r="A994" s="888" t="s">
        <v>104</v>
      </c>
      <c r="B994" s="889"/>
      <c r="C994" s="889"/>
      <c r="D994" s="889"/>
      <c r="E994" s="890"/>
      <c r="F994" s="183">
        <f>SUM(F992:F993)</f>
        <v>659043638</v>
      </c>
      <c r="I994" s="51" t="s">
        <v>830</v>
      </c>
    </row>
    <row r="995" spans="1:15" ht="12" customHeight="1">
      <c r="A995" s="61"/>
      <c r="B995" s="61"/>
      <c r="C995" s="61"/>
      <c r="D995" s="61"/>
      <c r="E995" s="61"/>
      <c r="N995" s="139"/>
    </row>
    <row r="996" spans="1:15">
      <c r="A996" s="51" t="s">
        <v>468</v>
      </c>
      <c r="I996" s="50" t="s">
        <v>105</v>
      </c>
      <c r="L996" s="146"/>
      <c r="N996" s="139"/>
    </row>
    <row r="997" spans="1:15" ht="12" customHeight="1" thickBot="1">
      <c r="F997" s="139"/>
    </row>
    <row r="998" spans="1:15" ht="15.75" customHeight="1" thickBot="1">
      <c r="A998" s="50" t="s">
        <v>105</v>
      </c>
      <c r="D998" s="146"/>
      <c r="F998" s="139"/>
      <c r="I998" s="891" t="s">
        <v>106</v>
      </c>
      <c r="J998" s="892"/>
      <c r="K998" s="892"/>
      <c r="L998" s="893"/>
      <c r="N998" s="50" t="s">
        <v>288</v>
      </c>
    </row>
    <row r="999" spans="1:15" ht="12" customHeight="1" thickBot="1">
      <c r="I999" s="57" t="s">
        <v>100</v>
      </c>
      <c r="J999" s="58" t="s">
        <v>108</v>
      </c>
      <c r="K999" s="59" t="s">
        <v>109</v>
      </c>
      <c r="L999" s="60" t="s">
        <v>110</v>
      </c>
    </row>
    <row r="1000" spans="1:15" ht="15.75" customHeight="1" thickBot="1">
      <c r="A1000" s="891" t="s">
        <v>106</v>
      </c>
      <c r="B1000" s="892"/>
      <c r="C1000" s="892"/>
      <c r="D1000" s="893"/>
      <c r="F1000" s="50" t="s">
        <v>288</v>
      </c>
      <c r="I1000" s="71">
        <v>719</v>
      </c>
      <c r="J1000" s="73">
        <f>+P978+P980+P982+P986+P988+P984</f>
        <v>330000</v>
      </c>
      <c r="K1000" s="74">
        <f>+L961</f>
        <v>5830000</v>
      </c>
      <c r="L1000" s="195">
        <f>+J1000+K1000</f>
        <v>6160000</v>
      </c>
    </row>
    <row r="1001" spans="1:15" ht="16.5" customHeight="1" thickBot="1">
      <c r="A1001" s="57" t="s">
        <v>100</v>
      </c>
      <c r="B1001" s="58" t="s">
        <v>108</v>
      </c>
      <c r="C1001" s="59" t="s">
        <v>109</v>
      </c>
      <c r="D1001" s="60" t="s">
        <v>110</v>
      </c>
      <c r="I1001" s="72">
        <v>721</v>
      </c>
      <c r="J1001" s="80">
        <f>+P979+P981+P983+P987+P989</f>
        <v>0</v>
      </c>
      <c r="K1001" s="74">
        <f>+L962</f>
        <v>1696000</v>
      </c>
      <c r="L1001" s="195">
        <f>+J1001+K1001</f>
        <v>1696000</v>
      </c>
    </row>
    <row r="1002" spans="1:15" ht="15.75" customHeight="1">
      <c r="A1002" s="71">
        <v>719</v>
      </c>
      <c r="B1002" s="73">
        <f>+H980+H982+H986+H988</f>
        <v>310000</v>
      </c>
      <c r="C1002" s="74">
        <f>+D963</f>
        <v>41610000</v>
      </c>
      <c r="D1002" s="195">
        <f>+B1002+C1002</f>
        <v>41920000</v>
      </c>
      <c r="I1002" s="72">
        <v>722</v>
      </c>
      <c r="J1002" s="80"/>
      <c r="K1002" s="74">
        <f>+L963</f>
        <v>0</v>
      </c>
      <c r="L1002" s="195">
        <f>+J1002+K1002</f>
        <v>0</v>
      </c>
    </row>
    <row r="1003" spans="1:15" ht="15.75" customHeight="1">
      <c r="A1003" s="72">
        <v>721</v>
      </c>
      <c r="B1003" s="80">
        <f>+H981</f>
        <v>0</v>
      </c>
      <c r="C1003" s="74">
        <f>+D964</f>
        <v>60756797</v>
      </c>
      <c r="D1003" s="195">
        <f>+B1003+C1003</f>
        <v>60756797</v>
      </c>
      <c r="I1003" s="72">
        <v>723</v>
      </c>
      <c r="J1003" s="80"/>
      <c r="K1003" s="74">
        <f>+L964</f>
        <v>336787965</v>
      </c>
      <c r="L1003" s="195">
        <f>+J1003+K1003</f>
        <v>336787965</v>
      </c>
      <c r="N1003" s="193" t="s">
        <v>289</v>
      </c>
      <c r="O1003" s="175"/>
    </row>
    <row r="1004" spans="1:15" ht="16.5" customHeight="1" thickBot="1">
      <c r="A1004" s="72">
        <v>722</v>
      </c>
      <c r="B1004" s="80"/>
      <c r="C1004" s="74">
        <f>+D965</f>
        <v>231207671</v>
      </c>
      <c r="D1004" s="195">
        <f>+B1004+C1004</f>
        <v>231207671</v>
      </c>
      <c r="I1004" s="164" t="s">
        <v>181</v>
      </c>
      <c r="J1004" s="165"/>
      <c r="K1004" s="74">
        <f>+L965</f>
        <v>0</v>
      </c>
      <c r="L1004" s="196">
        <f>+J1004+K1004</f>
        <v>0</v>
      </c>
      <c r="N1004" s="52"/>
    </row>
    <row r="1005" spans="1:15" ht="16.5" customHeight="1" thickBot="1">
      <c r="A1005" s="72">
        <v>723</v>
      </c>
      <c r="B1005" s="80"/>
      <c r="C1005" s="74">
        <f>+D966</f>
        <v>323193545</v>
      </c>
      <c r="D1005" s="195">
        <f>+B1005+C1005</f>
        <v>323193545</v>
      </c>
      <c r="F1005" s="174" t="s">
        <v>23</v>
      </c>
      <c r="G1005" s="175"/>
      <c r="I1005" s="169"/>
      <c r="J1005" s="197">
        <f>SUM(J1000:J1004)</f>
        <v>330000</v>
      </c>
      <c r="K1005" s="197">
        <f>SUM(K1000:K1004)</f>
        <v>344313965</v>
      </c>
      <c r="L1005" s="198">
        <f>SUM(L1000:L1004)</f>
        <v>344643965</v>
      </c>
    </row>
    <row r="1006" spans="1:15" ht="16.5" customHeight="1" thickBot="1">
      <c r="A1006" s="164" t="s">
        <v>181</v>
      </c>
      <c r="B1006" s="165"/>
      <c r="C1006" s="74">
        <f>+D967</f>
        <v>1965625</v>
      </c>
      <c r="D1006" s="196">
        <f>+B1006+C1006</f>
        <v>1965625</v>
      </c>
      <c r="F1006" s="52"/>
      <c r="I1006" s="49" t="s">
        <v>88</v>
      </c>
      <c r="J1006" s="50"/>
    </row>
    <row r="1007" spans="1:15" ht="16.5" thickBot="1">
      <c r="A1007" s="169"/>
      <c r="B1007" s="170">
        <f>SUM(B1002:B1006)</f>
        <v>310000</v>
      </c>
      <c r="C1007" s="171">
        <f>SUM(C1002:C1006)</f>
        <v>658733638</v>
      </c>
      <c r="D1007" s="172">
        <f>SUM(D1002:D1006)</f>
        <v>659043638</v>
      </c>
      <c r="I1007" s="51" t="s">
        <v>89</v>
      </c>
    </row>
    <row r="1008" spans="1:15" ht="16.5">
      <c r="A1008" s="49" t="s">
        <v>88</v>
      </c>
      <c r="B1008" s="50"/>
      <c r="I1008" s="51" t="s">
        <v>90</v>
      </c>
    </row>
    <row r="1009" spans="1:16">
      <c r="A1009" s="51" t="s">
        <v>89</v>
      </c>
      <c r="I1009" s="51" t="s">
        <v>91</v>
      </c>
    </row>
    <row r="1010" spans="1:16" ht="15" customHeight="1">
      <c r="A1010" s="51" t="s">
        <v>90</v>
      </c>
      <c r="I1010" s="50"/>
      <c r="J1010" s="50"/>
    </row>
    <row r="1011" spans="1:16" ht="16.5">
      <c r="A1011" s="51" t="s">
        <v>91</v>
      </c>
      <c r="I1011" s="52" t="s">
        <v>836</v>
      </c>
      <c r="O1011" s="52"/>
    </row>
    <row r="1012" spans="1:16" ht="14.25" customHeight="1">
      <c r="A1012" s="50"/>
      <c r="B1012" s="50"/>
      <c r="I1012" s="53" t="s">
        <v>535</v>
      </c>
      <c r="O1012" s="53"/>
    </row>
    <row r="1013" spans="1:16" ht="16.5">
      <c r="A1013" s="52" t="s">
        <v>470</v>
      </c>
      <c r="G1013" s="52"/>
      <c r="I1013" s="894" t="s">
        <v>261</v>
      </c>
      <c r="J1013" s="894"/>
      <c r="K1013" s="894"/>
      <c r="L1013" s="894"/>
      <c r="M1013" s="894"/>
      <c r="N1013" s="894"/>
      <c r="O1013" s="894"/>
      <c r="P1013" s="894"/>
    </row>
    <row r="1014" spans="1:16" ht="17.25" customHeight="1" thickBot="1">
      <c r="A1014" s="53" t="s">
        <v>92</v>
      </c>
      <c r="G1014" s="53"/>
    </row>
    <row r="1015" spans="1:16" ht="16.5">
      <c r="A1015" s="894" t="s">
        <v>462</v>
      </c>
      <c r="B1015" s="894"/>
      <c r="C1015" s="894"/>
      <c r="D1015" s="894"/>
      <c r="E1015" s="894"/>
      <c r="F1015" s="894"/>
      <c r="G1015" s="894"/>
      <c r="H1015" s="894"/>
      <c r="I1015" s="895" t="s">
        <v>94</v>
      </c>
      <c r="J1015" s="897" t="s">
        <v>95</v>
      </c>
      <c r="K1015" s="897" t="s">
        <v>96</v>
      </c>
      <c r="L1015" s="897" t="s">
        <v>3</v>
      </c>
      <c r="M1015" s="897" t="s">
        <v>97</v>
      </c>
      <c r="N1015" s="897" t="s">
        <v>98</v>
      </c>
      <c r="O1015" s="897" t="s">
        <v>99</v>
      </c>
      <c r="P1015" s="899"/>
    </row>
    <row r="1016" spans="1:16" ht="15.75" thickBot="1">
      <c r="I1016" s="896"/>
      <c r="J1016" s="898"/>
      <c r="K1016" s="898"/>
      <c r="L1016" s="898"/>
      <c r="M1016" s="898"/>
      <c r="N1016" s="898"/>
      <c r="O1016" s="240" t="s">
        <v>100</v>
      </c>
      <c r="P1016" s="182" t="s">
        <v>101</v>
      </c>
    </row>
    <row r="1017" spans="1:16" ht="15" customHeight="1">
      <c r="A1017" s="895" t="s">
        <v>94</v>
      </c>
      <c r="B1017" s="897" t="s">
        <v>95</v>
      </c>
      <c r="C1017" s="897" t="s">
        <v>96</v>
      </c>
      <c r="D1017" s="897" t="s">
        <v>3</v>
      </c>
      <c r="E1017" s="897" t="s">
        <v>97</v>
      </c>
      <c r="F1017" s="897" t="s">
        <v>98</v>
      </c>
      <c r="G1017" s="897" t="s">
        <v>99</v>
      </c>
      <c r="H1017" s="899"/>
      <c r="I1017" s="873" t="s">
        <v>837</v>
      </c>
      <c r="J1017" s="875">
        <v>42458</v>
      </c>
      <c r="K1017" s="877" t="s">
        <v>40</v>
      </c>
      <c r="L1017" s="881" t="s">
        <v>842</v>
      </c>
      <c r="M1017" s="881" t="s">
        <v>148</v>
      </c>
      <c r="N1017" s="883">
        <v>84000</v>
      </c>
      <c r="O1017" s="55">
        <v>719</v>
      </c>
      <c r="P1017" s="78">
        <v>60000</v>
      </c>
    </row>
    <row r="1018" spans="1:16" ht="13.5" customHeight="1" thickBot="1">
      <c r="A1018" s="896"/>
      <c r="B1018" s="898"/>
      <c r="C1018" s="898"/>
      <c r="D1018" s="898"/>
      <c r="E1018" s="898"/>
      <c r="F1018" s="898"/>
      <c r="G1018" s="240" t="s">
        <v>100</v>
      </c>
      <c r="H1018" s="182" t="s">
        <v>101</v>
      </c>
      <c r="I1018" s="874"/>
      <c r="J1018" s="876"/>
      <c r="K1018" s="878"/>
      <c r="L1018" s="882"/>
      <c r="M1018" s="882"/>
      <c r="N1018" s="884"/>
      <c r="O1018" s="56">
        <v>721</v>
      </c>
      <c r="P1018" s="79">
        <f>+N1017-P1017</f>
        <v>24000</v>
      </c>
    </row>
    <row r="1019" spans="1:16" ht="14.25" customHeight="1">
      <c r="A1019" s="881">
        <f>+A980+1</f>
        <v>345</v>
      </c>
      <c r="B1019" s="875">
        <v>42345</v>
      </c>
      <c r="C1019" s="877" t="s">
        <v>267</v>
      </c>
      <c r="D1019" s="881" t="s">
        <v>475</v>
      </c>
      <c r="E1019" s="881" t="s">
        <v>148</v>
      </c>
      <c r="F1019" s="883">
        <v>420000</v>
      </c>
      <c r="G1019" s="55">
        <v>719</v>
      </c>
      <c r="H1019" s="78">
        <f>+F1019-H1020</f>
        <v>300000</v>
      </c>
      <c r="I1019" s="881">
        <f>+I1017+1</f>
        <v>132</v>
      </c>
      <c r="J1019" s="875">
        <v>42458</v>
      </c>
      <c r="K1019" s="881" t="s">
        <v>28</v>
      </c>
      <c r="L1019" s="881" t="s">
        <v>844</v>
      </c>
      <c r="M1019" s="881" t="s">
        <v>148</v>
      </c>
      <c r="N1019" s="883">
        <v>224000</v>
      </c>
      <c r="O1019" s="55">
        <v>719</v>
      </c>
      <c r="P1019" s="78">
        <v>160000</v>
      </c>
    </row>
    <row r="1020" spans="1:16" ht="13.5" customHeight="1" thickBot="1">
      <c r="A1020" s="882"/>
      <c r="B1020" s="876"/>
      <c r="C1020" s="878"/>
      <c r="D1020" s="882"/>
      <c r="E1020" s="882"/>
      <c r="F1020" s="884"/>
      <c r="G1020" s="56">
        <v>721</v>
      </c>
      <c r="H1020" s="79">
        <v>120000</v>
      </c>
      <c r="I1020" s="882"/>
      <c r="J1020" s="876"/>
      <c r="K1020" s="882"/>
      <c r="L1020" s="882"/>
      <c r="M1020" s="882"/>
      <c r="N1020" s="884"/>
      <c r="O1020" s="56">
        <v>721</v>
      </c>
      <c r="P1020" s="79">
        <f>+N1019-P1019</f>
        <v>64000</v>
      </c>
    </row>
    <row r="1021" spans="1:16" ht="13.5" customHeight="1">
      <c r="A1021" s="881">
        <f>+A1019+1</f>
        <v>346</v>
      </c>
      <c r="B1021" s="875">
        <v>42345</v>
      </c>
      <c r="C1021" s="881" t="s">
        <v>28</v>
      </c>
      <c r="D1021" s="881" t="s">
        <v>476</v>
      </c>
      <c r="E1021" s="881" t="s">
        <v>148</v>
      </c>
      <c r="F1021" s="883">
        <v>714000</v>
      </c>
      <c r="G1021" s="55">
        <v>719</v>
      </c>
      <c r="H1021" s="78">
        <v>510000</v>
      </c>
      <c r="I1021" s="881">
        <f>+I1019+1</f>
        <v>133</v>
      </c>
      <c r="J1021" s="875">
        <v>42458</v>
      </c>
      <c r="K1021" s="877" t="s">
        <v>32</v>
      </c>
      <c r="L1021" s="881" t="s">
        <v>853</v>
      </c>
      <c r="M1021" s="881" t="s">
        <v>148</v>
      </c>
      <c r="N1021" s="883">
        <v>56000</v>
      </c>
      <c r="O1021" s="55">
        <v>719</v>
      </c>
      <c r="P1021" s="78">
        <v>40000</v>
      </c>
    </row>
    <row r="1022" spans="1:16" ht="13.5" customHeight="1" thickBot="1">
      <c r="A1022" s="882"/>
      <c r="B1022" s="876"/>
      <c r="C1022" s="882"/>
      <c r="D1022" s="882"/>
      <c r="E1022" s="882"/>
      <c r="F1022" s="884"/>
      <c r="G1022" s="56">
        <v>721</v>
      </c>
      <c r="H1022" s="79">
        <f>+F1021-H1021</f>
        <v>204000</v>
      </c>
      <c r="I1022" s="882"/>
      <c r="J1022" s="876"/>
      <c r="K1022" s="878"/>
      <c r="L1022" s="882"/>
      <c r="M1022" s="882"/>
      <c r="N1022" s="884"/>
      <c r="O1022" s="56">
        <v>721</v>
      </c>
      <c r="P1022" s="79">
        <f>+N1021-P1021</f>
        <v>16000</v>
      </c>
    </row>
    <row r="1023" spans="1:16" ht="13.5" customHeight="1">
      <c r="A1023" s="881">
        <f>+A1021+1</f>
        <v>347</v>
      </c>
      <c r="B1023" s="875">
        <v>42345</v>
      </c>
      <c r="C1023" s="877" t="s">
        <v>32</v>
      </c>
      <c r="D1023" s="881" t="s">
        <v>476</v>
      </c>
      <c r="E1023" s="881" t="s">
        <v>148</v>
      </c>
      <c r="F1023" s="883">
        <v>140000</v>
      </c>
      <c r="G1023" s="55">
        <v>719</v>
      </c>
      <c r="H1023" s="78">
        <v>100000</v>
      </c>
      <c r="I1023" s="881">
        <f>+I1021+1</f>
        <v>134</v>
      </c>
      <c r="J1023" s="875">
        <v>42458</v>
      </c>
      <c r="K1023" s="877" t="s">
        <v>111</v>
      </c>
      <c r="L1023" s="881" t="s">
        <v>854</v>
      </c>
      <c r="M1023" s="881" t="s">
        <v>148</v>
      </c>
      <c r="N1023" s="883">
        <v>56000</v>
      </c>
      <c r="O1023" s="55">
        <v>719</v>
      </c>
      <c r="P1023" s="78">
        <v>40000</v>
      </c>
    </row>
    <row r="1024" spans="1:16" ht="12.75" customHeight="1" thickBot="1">
      <c r="A1024" s="882"/>
      <c r="B1024" s="876"/>
      <c r="C1024" s="878"/>
      <c r="D1024" s="882"/>
      <c r="E1024" s="882"/>
      <c r="F1024" s="884"/>
      <c r="G1024" s="56">
        <v>721</v>
      </c>
      <c r="H1024" s="79">
        <f>+F1023-H1023</f>
        <v>40000</v>
      </c>
      <c r="I1024" s="882"/>
      <c r="J1024" s="876"/>
      <c r="K1024" s="878"/>
      <c r="L1024" s="882"/>
      <c r="M1024" s="882"/>
      <c r="N1024" s="884"/>
      <c r="O1024" s="56">
        <v>721</v>
      </c>
      <c r="P1024" s="79">
        <f>+N1023-P1023</f>
        <v>16000</v>
      </c>
    </row>
    <row r="1025" spans="1:16" ht="13.5" customHeight="1">
      <c r="A1025" s="881">
        <f>+A1023+1</f>
        <v>348</v>
      </c>
      <c r="B1025" s="875">
        <v>42345</v>
      </c>
      <c r="C1025" s="877" t="s">
        <v>111</v>
      </c>
      <c r="D1025" s="881" t="s">
        <v>474</v>
      </c>
      <c r="E1025" s="881" t="s">
        <v>148</v>
      </c>
      <c r="F1025" s="883">
        <v>336000</v>
      </c>
      <c r="G1025" s="55">
        <v>719</v>
      </c>
      <c r="H1025" s="78">
        <v>240000</v>
      </c>
      <c r="I1025" s="881">
        <f>+I1023+1</f>
        <v>135</v>
      </c>
      <c r="J1025" s="875">
        <v>42458</v>
      </c>
      <c r="K1025" s="877" t="s">
        <v>272</v>
      </c>
      <c r="L1025" s="881" t="s">
        <v>844</v>
      </c>
      <c r="M1025" s="881" t="s">
        <v>148</v>
      </c>
      <c r="N1025" s="883">
        <v>588000</v>
      </c>
      <c r="O1025" s="55">
        <v>719</v>
      </c>
      <c r="P1025" s="78">
        <v>420000</v>
      </c>
    </row>
    <row r="1026" spans="1:16" ht="14.25" customHeight="1" thickBot="1">
      <c r="A1026" s="882"/>
      <c r="B1026" s="876"/>
      <c r="C1026" s="878"/>
      <c r="D1026" s="882"/>
      <c r="E1026" s="882"/>
      <c r="F1026" s="884"/>
      <c r="G1026" s="56">
        <v>721</v>
      </c>
      <c r="H1026" s="79">
        <f>+F1025-H1025</f>
        <v>96000</v>
      </c>
      <c r="I1026" s="882"/>
      <c r="J1026" s="876"/>
      <c r="K1026" s="878"/>
      <c r="L1026" s="882"/>
      <c r="M1026" s="882"/>
      <c r="N1026" s="884"/>
      <c r="O1026" s="56">
        <v>721</v>
      </c>
      <c r="P1026" s="79">
        <f>+N1025-P1025</f>
        <v>168000</v>
      </c>
    </row>
    <row r="1027" spans="1:16" ht="16.5" customHeight="1" thickBot="1">
      <c r="A1027" s="881">
        <f>+A1025+1</f>
        <v>349</v>
      </c>
      <c r="B1027" s="875">
        <v>42345</v>
      </c>
      <c r="C1027" s="877" t="s">
        <v>272</v>
      </c>
      <c r="D1027" s="881" t="s">
        <v>474</v>
      </c>
      <c r="E1027" s="881" t="s">
        <v>148</v>
      </c>
      <c r="F1027" s="883">
        <v>2058000</v>
      </c>
      <c r="G1027" s="55">
        <v>719</v>
      </c>
      <c r="H1027" s="78">
        <v>1470000</v>
      </c>
      <c r="I1027" s="901" t="s">
        <v>102</v>
      </c>
      <c r="J1027" s="902"/>
      <c r="K1027" s="902"/>
      <c r="L1027" s="902"/>
      <c r="M1027" s="903"/>
      <c r="N1027" s="81">
        <f>SUM(N1017:N1026)</f>
        <v>1008000</v>
      </c>
    </row>
    <row r="1028" spans="1:16" ht="16.5" customHeight="1" thickBot="1">
      <c r="A1028" s="882"/>
      <c r="B1028" s="876"/>
      <c r="C1028" s="878"/>
      <c r="D1028" s="882"/>
      <c r="E1028" s="882"/>
      <c r="F1028" s="884"/>
      <c r="G1028" s="56">
        <v>721</v>
      </c>
      <c r="H1028" s="79">
        <f>+F1027-H1027</f>
        <v>588000</v>
      </c>
      <c r="I1028" s="885" t="s">
        <v>103</v>
      </c>
      <c r="J1028" s="886"/>
      <c r="K1028" s="886"/>
      <c r="L1028" s="886"/>
      <c r="M1028" s="887"/>
      <c r="N1028" s="69">
        <f>+N992</f>
        <v>344643965</v>
      </c>
      <c r="O1028" s="241" t="s">
        <v>561</v>
      </c>
      <c r="P1028" s="242">
        <f>47+400+93+28+964</f>
        <v>1532</v>
      </c>
    </row>
    <row r="1029" spans="1:16" ht="16.5" thickBot="1">
      <c r="A1029" s="901" t="s">
        <v>102</v>
      </c>
      <c r="B1029" s="902"/>
      <c r="C1029" s="902"/>
      <c r="D1029" s="902"/>
      <c r="E1029" s="903"/>
      <c r="F1029" s="81">
        <f>SUM(F1019:F1028)</f>
        <v>3668000</v>
      </c>
      <c r="I1029" s="888" t="s">
        <v>104</v>
      </c>
      <c r="J1029" s="889"/>
      <c r="K1029" s="889"/>
      <c r="L1029" s="889"/>
      <c r="M1029" s="890"/>
      <c r="N1029" s="183">
        <f>SUM(N1027:N1028)</f>
        <v>345651965</v>
      </c>
    </row>
    <row r="1030" spans="1:16" ht="16.5" thickBot="1">
      <c r="A1030" s="885" t="s">
        <v>103</v>
      </c>
      <c r="B1030" s="886"/>
      <c r="C1030" s="886"/>
      <c r="D1030" s="886"/>
      <c r="E1030" s="887"/>
      <c r="F1030" s="69">
        <f>+F994</f>
        <v>659043638</v>
      </c>
      <c r="I1030" s="61"/>
      <c r="J1030" s="61"/>
      <c r="K1030" s="61"/>
      <c r="L1030" s="61"/>
      <c r="M1030" s="61"/>
    </row>
    <row r="1031" spans="1:16" ht="16.5" thickBot="1">
      <c r="A1031" s="888" t="s">
        <v>104</v>
      </c>
      <c r="B1031" s="889"/>
      <c r="C1031" s="889"/>
      <c r="D1031" s="889"/>
      <c r="E1031" s="890"/>
      <c r="F1031" s="183">
        <f>SUM(F1029:F1030)</f>
        <v>662711638</v>
      </c>
      <c r="I1031" s="51" t="s">
        <v>843</v>
      </c>
    </row>
    <row r="1032" spans="1:16" ht="15" customHeight="1">
      <c r="A1032" s="61"/>
      <c r="B1032" s="61"/>
      <c r="C1032" s="61"/>
      <c r="D1032" s="61"/>
      <c r="E1032" s="61"/>
      <c r="N1032" s="139"/>
    </row>
    <row r="1033" spans="1:16" ht="18" customHeight="1">
      <c r="A1033" s="51" t="s">
        <v>477</v>
      </c>
      <c r="I1033" s="50" t="s">
        <v>105</v>
      </c>
      <c r="L1033" s="146"/>
      <c r="N1033" s="139"/>
    </row>
    <row r="1034" spans="1:16" ht="15.75" customHeight="1" thickBot="1">
      <c r="F1034" s="139"/>
    </row>
    <row r="1035" spans="1:16" ht="16.5" customHeight="1" thickBot="1">
      <c r="A1035" s="50" t="s">
        <v>105</v>
      </c>
      <c r="D1035" s="146"/>
      <c r="F1035" s="139"/>
      <c r="I1035" s="891" t="s">
        <v>106</v>
      </c>
      <c r="J1035" s="892"/>
      <c r="K1035" s="892"/>
      <c r="L1035" s="893"/>
      <c r="N1035" s="50" t="s">
        <v>288</v>
      </c>
    </row>
    <row r="1036" spans="1:16" ht="11.25" customHeight="1" thickBot="1">
      <c r="I1036" s="57" t="s">
        <v>100</v>
      </c>
      <c r="J1036" s="58" t="s">
        <v>108</v>
      </c>
      <c r="K1036" s="59" t="s">
        <v>109</v>
      </c>
      <c r="L1036" s="60" t="s">
        <v>110</v>
      </c>
    </row>
    <row r="1037" spans="1:16" ht="15.75" thickBot="1">
      <c r="A1037" s="891" t="s">
        <v>106</v>
      </c>
      <c r="B1037" s="892"/>
      <c r="C1037" s="892"/>
      <c r="D1037" s="893"/>
      <c r="F1037" s="50" t="s">
        <v>288</v>
      </c>
      <c r="I1037" s="71">
        <v>719</v>
      </c>
      <c r="J1037" s="73">
        <f>+P1017+P1019+P1021+P1023+P1025</f>
        <v>720000</v>
      </c>
      <c r="K1037" s="74">
        <f>+L1000</f>
        <v>6160000</v>
      </c>
      <c r="L1037" s="195">
        <f>+J1037+K1037</f>
        <v>6880000</v>
      </c>
    </row>
    <row r="1038" spans="1:16" ht="15.75" customHeight="1" thickBot="1">
      <c r="A1038" s="57" t="s">
        <v>100</v>
      </c>
      <c r="B1038" s="58" t="s">
        <v>108</v>
      </c>
      <c r="C1038" s="59" t="s">
        <v>109</v>
      </c>
      <c r="D1038" s="60" t="s">
        <v>110</v>
      </c>
      <c r="I1038" s="72">
        <v>721</v>
      </c>
      <c r="J1038" s="80">
        <f>+P1018+P1020+P1022+P1024+P1026</f>
        <v>288000</v>
      </c>
      <c r="K1038" s="74">
        <f>+L1001</f>
        <v>1696000</v>
      </c>
      <c r="L1038" s="195">
        <f>+J1038+K1038</f>
        <v>1984000</v>
      </c>
    </row>
    <row r="1039" spans="1:16">
      <c r="A1039" s="71">
        <v>719</v>
      </c>
      <c r="B1039" s="73">
        <f>+H1019+H1021+H1023+H1025+H1027</f>
        <v>2620000</v>
      </c>
      <c r="C1039" s="74">
        <f>+D1002</f>
        <v>41920000</v>
      </c>
      <c r="D1039" s="195">
        <f>+B1039+C1039</f>
        <v>44540000</v>
      </c>
      <c r="I1039" s="72">
        <v>722</v>
      </c>
      <c r="J1039" s="80"/>
      <c r="K1039" s="74">
        <f>+L1002</f>
        <v>0</v>
      </c>
      <c r="L1039" s="195">
        <f>+J1039+K1039</f>
        <v>0</v>
      </c>
    </row>
    <row r="1040" spans="1:16" ht="15.75">
      <c r="A1040" s="72">
        <v>721</v>
      </c>
      <c r="B1040" s="80">
        <f>+H1028+H1026+H1024+H1022+H1020</f>
        <v>1048000</v>
      </c>
      <c r="C1040" s="74">
        <f>+D1003</f>
        <v>60756797</v>
      </c>
      <c r="D1040" s="195">
        <f>+B1040+C1040</f>
        <v>61804797</v>
      </c>
      <c r="I1040" s="72">
        <v>723</v>
      </c>
      <c r="J1040" s="80"/>
      <c r="K1040" s="74">
        <f>+L1003</f>
        <v>336787965</v>
      </c>
      <c r="L1040" s="195">
        <f>+J1040+K1040</f>
        <v>336787965</v>
      </c>
      <c r="N1040" s="193" t="s">
        <v>289</v>
      </c>
      <c r="O1040" s="175"/>
    </row>
    <row r="1041" spans="1:16" ht="16.5" thickBot="1">
      <c r="A1041" s="72">
        <v>722</v>
      </c>
      <c r="B1041" s="80"/>
      <c r="C1041" s="74">
        <f>+D1004</f>
        <v>231207671</v>
      </c>
      <c r="D1041" s="195">
        <f>+B1041+C1041</f>
        <v>231207671</v>
      </c>
      <c r="I1041" s="164" t="s">
        <v>181</v>
      </c>
      <c r="J1041" s="165"/>
      <c r="K1041" s="74">
        <f>+L1004</f>
        <v>0</v>
      </c>
      <c r="L1041" s="196">
        <f>+J1041+K1041</f>
        <v>0</v>
      </c>
      <c r="N1041" s="52"/>
    </row>
    <row r="1042" spans="1:16" ht="16.5" thickBot="1">
      <c r="A1042" s="72">
        <v>723</v>
      </c>
      <c r="B1042" s="80"/>
      <c r="C1042" s="74">
        <f>+D1005</f>
        <v>323193545</v>
      </c>
      <c r="D1042" s="195">
        <f>+B1042+C1042</f>
        <v>323193545</v>
      </c>
      <c r="F1042" s="174" t="s">
        <v>23</v>
      </c>
      <c r="G1042" s="175"/>
      <c r="I1042" s="169"/>
      <c r="J1042" s="197">
        <f>SUM(J1037:J1041)</f>
        <v>1008000</v>
      </c>
      <c r="K1042" s="197">
        <f>SUM(K1037:K1041)</f>
        <v>344643965</v>
      </c>
      <c r="L1042" s="198">
        <f>SUM(L1037:L1041)</f>
        <v>345651965</v>
      </c>
    </row>
    <row r="1043" spans="1:16" ht="16.5">
      <c r="A1043" s="49" t="s">
        <v>88</v>
      </c>
      <c r="B1043" s="50"/>
      <c r="I1043" s="49" t="s">
        <v>88</v>
      </c>
      <c r="J1043" s="50"/>
    </row>
    <row r="1044" spans="1:16">
      <c r="A1044" s="51" t="s">
        <v>89</v>
      </c>
      <c r="I1044" s="51" t="s">
        <v>89</v>
      </c>
    </row>
    <row r="1045" spans="1:16">
      <c r="A1045" s="51" t="s">
        <v>90</v>
      </c>
      <c r="I1045" s="51" t="s">
        <v>90</v>
      </c>
    </row>
    <row r="1046" spans="1:16">
      <c r="A1046" s="51" t="s">
        <v>91</v>
      </c>
      <c r="I1046" s="51" t="s">
        <v>91</v>
      </c>
    </row>
    <row r="1047" spans="1:16" ht="12" customHeight="1">
      <c r="A1047" s="50"/>
      <c r="B1047" s="50"/>
      <c r="I1047" s="50"/>
      <c r="J1047" s="50"/>
    </row>
    <row r="1048" spans="1:16" ht="16.5">
      <c r="A1048" s="52" t="s">
        <v>471</v>
      </c>
      <c r="G1048" s="52"/>
      <c r="I1048" s="260" t="s">
        <v>840</v>
      </c>
      <c r="O1048" s="52"/>
    </row>
    <row r="1049" spans="1:16" ht="15.75">
      <c r="A1049" s="53" t="s">
        <v>92</v>
      </c>
      <c r="G1049" s="53"/>
      <c r="I1049" s="53" t="s">
        <v>535</v>
      </c>
      <c r="O1049" s="53"/>
    </row>
    <row r="1050" spans="1:16" ht="16.5">
      <c r="A1050" s="894" t="s">
        <v>462</v>
      </c>
      <c r="B1050" s="894"/>
      <c r="C1050" s="894"/>
      <c r="D1050" s="894"/>
      <c r="E1050" s="894"/>
      <c r="F1050" s="894"/>
      <c r="G1050" s="894"/>
      <c r="H1050" s="894"/>
      <c r="I1050" s="894" t="s">
        <v>261</v>
      </c>
      <c r="J1050" s="894"/>
      <c r="K1050" s="894"/>
      <c r="L1050" s="894"/>
      <c r="M1050" s="894"/>
      <c r="N1050" s="894"/>
      <c r="O1050" s="894"/>
      <c r="P1050" s="894"/>
    </row>
    <row r="1051" spans="1:16" ht="15.75" thickBot="1"/>
    <row r="1052" spans="1:16">
      <c r="A1052" s="895" t="s">
        <v>94</v>
      </c>
      <c r="B1052" s="897" t="s">
        <v>95</v>
      </c>
      <c r="C1052" s="897" t="s">
        <v>96</v>
      </c>
      <c r="D1052" s="897" t="s">
        <v>3</v>
      </c>
      <c r="E1052" s="897" t="s">
        <v>97</v>
      </c>
      <c r="F1052" s="897" t="s">
        <v>98</v>
      </c>
      <c r="G1052" s="897" t="s">
        <v>99</v>
      </c>
      <c r="H1052" s="899"/>
      <c r="I1052" s="895" t="s">
        <v>94</v>
      </c>
      <c r="J1052" s="897" t="s">
        <v>95</v>
      </c>
      <c r="K1052" s="897" t="s">
        <v>96</v>
      </c>
      <c r="L1052" s="897" t="s">
        <v>3</v>
      </c>
      <c r="M1052" s="897" t="s">
        <v>97</v>
      </c>
      <c r="N1052" s="897" t="s">
        <v>98</v>
      </c>
      <c r="O1052" s="897" t="s">
        <v>99</v>
      </c>
      <c r="P1052" s="899"/>
    </row>
    <row r="1053" spans="1:16" ht="15.75" thickBot="1">
      <c r="A1053" s="896"/>
      <c r="B1053" s="898"/>
      <c r="C1053" s="898"/>
      <c r="D1053" s="898"/>
      <c r="E1053" s="898"/>
      <c r="F1053" s="898"/>
      <c r="G1053" s="240" t="s">
        <v>100</v>
      </c>
      <c r="H1053" s="182" t="s">
        <v>101</v>
      </c>
      <c r="I1053" s="896"/>
      <c r="J1053" s="898"/>
      <c r="K1053" s="898"/>
      <c r="L1053" s="898"/>
      <c r="M1053" s="898"/>
      <c r="N1053" s="898"/>
      <c r="O1053" s="240" t="s">
        <v>100</v>
      </c>
      <c r="P1053" s="182" t="s">
        <v>101</v>
      </c>
    </row>
    <row r="1054" spans="1:16" ht="15" customHeight="1">
      <c r="A1054" s="881">
        <f>+A1027+1</f>
        <v>350</v>
      </c>
      <c r="B1054" s="875">
        <v>42345</v>
      </c>
      <c r="C1054" s="877" t="s">
        <v>31</v>
      </c>
      <c r="D1054" s="881" t="s">
        <v>478</v>
      </c>
      <c r="E1054" s="881" t="s">
        <v>115</v>
      </c>
      <c r="F1054" s="883">
        <v>110000</v>
      </c>
      <c r="G1054" s="55">
        <v>719</v>
      </c>
      <c r="H1054" s="78">
        <f>+F1054</f>
        <v>110000</v>
      </c>
      <c r="I1054" s="873" t="s">
        <v>838</v>
      </c>
      <c r="J1054" s="875">
        <v>42458</v>
      </c>
      <c r="K1054" s="877" t="s">
        <v>40</v>
      </c>
      <c r="L1054" s="881" t="s">
        <v>845</v>
      </c>
      <c r="M1054" s="881" t="s">
        <v>148</v>
      </c>
      <c r="N1054" s="883">
        <v>42000</v>
      </c>
      <c r="O1054" s="55">
        <v>719</v>
      </c>
      <c r="P1054" s="78">
        <v>30000</v>
      </c>
    </row>
    <row r="1055" spans="1:16" ht="15.75" customHeight="1" thickBot="1">
      <c r="A1055" s="882"/>
      <c r="B1055" s="876"/>
      <c r="C1055" s="878"/>
      <c r="D1055" s="882"/>
      <c r="E1055" s="882"/>
      <c r="F1055" s="884"/>
      <c r="G1055" s="56">
        <v>721</v>
      </c>
      <c r="H1055" s="79">
        <f>+F1054-H1054</f>
        <v>0</v>
      </c>
      <c r="I1055" s="874"/>
      <c r="J1055" s="876"/>
      <c r="K1055" s="878"/>
      <c r="L1055" s="882"/>
      <c r="M1055" s="882"/>
      <c r="N1055" s="884"/>
      <c r="O1055" s="56">
        <v>721</v>
      </c>
      <c r="P1055" s="79">
        <f>+N1054-P1054</f>
        <v>12000</v>
      </c>
    </row>
    <row r="1056" spans="1:16" ht="15" customHeight="1">
      <c r="A1056" s="881">
        <f>+A1054+1</f>
        <v>351</v>
      </c>
      <c r="B1056" s="875">
        <v>42345</v>
      </c>
      <c r="C1056" s="881" t="s">
        <v>472</v>
      </c>
      <c r="D1056" s="881" t="s">
        <v>479</v>
      </c>
      <c r="E1056" s="881" t="s">
        <v>115</v>
      </c>
      <c r="F1056" s="883">
        <v>60000</v>
      </c>
      <c r="G1056" s="55">
        <v>719</v>
      </c>
      <c r="H1056" s="78">
        <v>60000</v>
      </c>
      <c r="I1056" s="881">
        <f>+I1054+1</f>
        <v>137</v>
      </c>
      <c r="J1056" s="875">
        <v>42458</v>
      </c>
      <c r="K1056" s="881" t="s">
        <v>28</v>
      </c>
      <c r="L1056" s="881" t="s">
        <v>846</v>
      </c>
      <c r="M1056" s="881" t="s">
        <v>148</v>
      </c>
      <c r="N1056" s="883">
        <v>196000</v>
      </c>
      <c r="O1056" s="55">
        <v>719</v>
      </c>
      <c r="P1056" s="78">
        <v>140000</v>
      </c>
    </row>
    <row r="1057" spans="1:16" ht="15.75" customHeight="1" thickBot="1">
      <c r="A1057" s="882"/>
      <c r="B1057" s="876"/>
      <c r="C1057" s="882"/>
      <c r="D1057" s="882"/>
      <c r="E1057" s="882"/>
      <c r="F1057" s="884"/>
      <c r="G1057" s="56">
        <v>721</v>
      </c>
      <c r="H1057" s="79">
        <f>+F1056-H1056</f>
        <v>0</v>
      </c>
      <c r="I1057" s="882"/>
      <c r="J1057" s="876"/>
      <c r="K1057" s="882"/>
      <c r="L1057" s="882"/>
      <c r="M1057" s="882"/>
      <c r="N1057" s="884"/>
      <c r="O1057" s="56">
        <v>721</v>
      </c>
      <c r="P1057" s="79">
        <f>+N1056-P1056</f>
        <v>56000</v>
      </c>
    </row>
    <row r="1058" spans="1:16" ht="15" customHeight="1">
      <c r="A1058" s="881"/>
      <c r="B1058" s="875"/>
      <c r="C1058" s="877"/>
      <c r="D1058" s="881"/>
      <c r="E1058" s="881"/>
      <c r="F1058" s="883"/>
      <c r="G1058" s="55">
        <v>719</v>
      </c>
      <c r="H1058" s="78"/>
      <c r="I1058" s="881">
        <f>+I1056+1</f>
        <v>138</v>
      </c>
      <c r="J1058" s="875">
        <v>42458</v>
      </c>
      <c r="K1058" s="877" t="s">
        <v>32</v>
      </c>
      <c r="L1058" s="881" t="s">
        <v>846</v>
      </c>
      <c r="M1058" s="881" t="s">
        <v>148</v>
      </c>
      <c r="N1058" s="883">
        <v>70000</v>
      </c>
      <c r="O1058" s="55">
        <v>719</v>
      </c>
      <c r="P1058" s="78">
        <v>50000</v>
      </c>
    </row>
    <row r="1059" spans="1:16" ht="15" customHeight="1" thickBot="1">
      <c r="A1059" s="882"/>
      <c r="B1059" s="876"/>
      <c r="C1059" s="878"/>
      <c r="D1059" s="882"/>
      <c r="E1059" s="882"/>
      <c r="F1059" s="884"/>
      <c r="G1059" s="56">
        <v>721</v>
      </c>
      <c r="H1059" s="79">
        <f>+F1058-H1058</f>
        <v>0</v>
      </c>
      <c r="I1059" s="882"/>
      <c r="J1059" s="876"/>
      <c r="K1059" s="878"/>
      <c r="L1059" s="882"/>
      <c r="M1059" s="882"/>
      <c r="N1059" s="884"/>
      <c r="O1059" s="56">
        <v>721</v>
      </c>
      <c r="P1059" s="79">
        <f>+N1058-P1058</f>
        <v>20000</v>
      </c>
    </row>
    <row r="1060" spans="1:16" ht="15" customHeight="1">
      <c r="A1060" s="881"/>
      <c r="B1060" s="875"/>
      <c r="C1060" s="877"/>
      <c r="D1060" s="881"/>
      <c r="E1060" s="881"/>
      <c r="F1060" s="883"/>
      <c r="G1060" s="55">
        <v>719</v>
      </c>
      <c r="H1060" s="78"/>
      <c r="I1060" s="881">
        <f>+I1058+1</f>
        <v>139</v>
      </c>
      <c r="J1060" s="875">
        <v>42458</v>
      </c>
      <c r="K1060" s="877" t="s">
        <v>111</v>
      </c>
      <c r="L1060" s="881" t="s">
        <v>847</v>
      </c>
      <c r="M1060" s="881" t="s">
        <v>148</v>
      </c>
      <c r="N1060" s="883">
        <v>56000</v>
      </c>
      <c r="O1060" s="55">
        <v>719</v>
      </c>
      <c r="P1060" s="78">
        <v>40000</v>
      </c>
    </row>
    <row r="1061" spans="1:16" ht="12.75" customHeight="1" thickBot="1">
      <c r="A1061" s="882"/>
      <c r="B1061" s="876"/>
      <c r="C1061" s="878"/>
      <c r="D1061" s="882"/>
      <c r="E1061" s="882"/>
      <c r="F1061" s="884"/>
      <c r="G1061" s="56">
        <v>721</v>
      </c>
      <c r="H1061" s="79">
        <f>+F1060-H1060</f>
        <v>0</v>
      </c>
      <c r="I1061" s="882"/>
      <c r="J1061" s="876"/>
      <c r="K1061" s="878"/>
      <c r="L1061" s="882"/>
      <c r="M1061" s="882"/>
      <c r="N1061" s="884"/>
      <c r="O1061" s="56">
        <v>721</v>
      </c>
      <c r="P1061" s="79">
        <f>+N1060-P1060</f>
        <v>16000</v>
      </c>
    </row>
    <row r="1062" spans="1:16" ht="15" customHeight="1">
      <c r="A1062" s="881"/>
      <c r="B1062" s="875"/>
      <c r="C1062" s="877"/>
      <c r="D1062" s="881"/>
      <c r="E1062" s="881"/>
      <c r="F1062" s="883"/>
      <c r="G1062" s="55">
        <v>719</v>
      </c>
      <c r="H1062" s="78"/>
      <c r="I1062" s="881">
        <f>+I1060+1</f>
        <v>140</v>
      </c>
      <c r="J1062" s="875">
        <v>42458</v>
      </c>
      <c r="K1062" s="877" t="s">
        <v>272</v>
      </c>
      <c r="L1062" s="881" t="s">
        <v>848</v>
      </c>
      <c r="M1062" s="881" t="s">
        <v>148</v>
      </c>
      <c r="N1062" s="883">
        <v>602000</v>
      </c>
      <c r="O1062" s="55">
        <v>719</v>
      </c>
      <c r="P1062" s="78">
        <v>430000</v>
      </c>
    </row>
    <row r="1063" spans="1:16" ht="14.25" customHeight="1" thickBot="1">
      <c r="A1063" s="882"/>
      <c r="B1063" s="876"/>
      <c r="C1063" s="878"/>
      <c r="D1063" s="882"/>
      <c r="E1063" s="882"/>
      <c r="F1063" s="884"/>
      <c r="G1063" s="56">
        <v>721</v>
      </c>
      <c r="H1063" s="79">
        <f>+F1062-H1062</f>
        <v>0</v>
      </c>
      <c r="I1063" s="882"/>
      <c r="J1063" s="876"/>
      <c r="K1063" s="878"/>
      <c r="L1063" s="882"/>
      <c r="M1063" s="882"/>
      <c r="N1063" s="884"/>
      <c r="O1063" s="56">
        <v>721</v>
      </c>
      <c r="P1063" s="79">
        <f>+N1062-P1062</f>
        <v>172000</v>
      </c>
    </row>
    <row r="1064" spans="1:16" ht="16.5" thickBot="1">
      <c r="A1064" s="901" t="s">
        <v>102</v>
      </c>
      <c r="B1064" s="902"/>
      <c r="C1064" s="902"/>
      <c r="D1064" s="902"/>
      <c r="E1064" s="903"/>
      <c r="F1064" s="81">
        <f>SUM(F1054:F1063)</f>
        <v>170000</v>
      </c>
      <c r="I1064" s="901" t="s">
        <v>102</v>
      </c>
      <c r="J1064" s="902"/>
      <c r="K1064" s="902"/>
      <c r="L1064" s="902"/>
      <c r="M1064" s="903"/>
      <c r="N1064" s="81">
        <f>SUM(N1054:N1063)</f>
        <v>966000</v>
      </c>
    </row>
    <row r="1065" spans="1:16" ht="16.5" thickBot="1">
      <c r="A1065" s="885" t="s">
        <v>103</v>
      </c>
      <c r="B1065" s="886"/>
      <c r="C1065" s="886"/>
      <c r="D1065" s="886"/>
      <c r="E1065" s="887"/>
      <c r="F1065" s="69">
        <f>+F1031</f>
        <v>662711638</v>
      </c>
      <c r="I1065" s="885" t="s">
        <v>103</v>
      </c>
      <c r="J1065" s="886"/>
      <c r="K1065" s="886"/>
      <c r="L1065" s="886"/>
      <c r="M1065" s="887"/>
      <c r="N1065" s="69">
        <f>+N1029</f>
        <v>345651965</v>
      </c>
      <c r="O1065" s="241" t="s">
        <v>561</v>
      </c>
      <c r="P1065" s="242">
        <f>927+22+84+337+21</f>
        <v>1391</v>
      </c>
    </row>
    <row r="1066" spans="1:16" ht="16.5" thickBot="1">
      <c r="A1066" s="888" t="s">
        <v>104</v>
      </c>
      <c r="B1066" s="889"/>
      <c r="C1066" s="889"/>
      <c r="D1066" s="889"/>
      <c r="E1066" s="890"/>
      <c r="F1066" s="183">
        <f>SUM(F1064:F1065)</f>
        <v>662881638</v>
      </c>
      <c r="I1066" s="888" t="s">
        <v>104</v>
      </c>
      <c r="J1066" s="889"/>
      <c r="K1066" s="889"/>
      <c r="L1066" s="889"/>
      <c r="M1066" s="890"/>
      <c r="N1066" s="183">
        <f>SUM(N1064:N1065)</f>
        <v>346617965</v>
      </c>
    </row>
    <row r="1067" spans="1:16">
      <c r="A1067" s="61"/>
      <c r="B1067" s="61"/>
      <c r="C1067" s="61"/>
      <c r="D1067" s="61"/>
      <c r="E1067" s="61"/>
      <c r="I1067" s="61"/>
      <c r="J1067" s="61"/>
      <c r="K1067" s="61"/>
      <c r="L1067" s="61"/>
      <c r="M1067" s="61"/>
    </row>
    <row r="1068" spans="1:16">
      <c r="A1068" s="51" t="s">
        <v>480</v>
      </c>
      <c r="I1068" s="51" t="s">
        <v>849</v>
      </c>
    </row>
    <row r="1069" spans="1:16" ht="12.75" customHeight="1">
      <c r="F1069" s="139"/>
      <c r="N1069" s="139"/>
    </row>
    <row r="1070" spans="1:16">
      <c r="A1070" s="50" t="s">
        <v>105</v>
      </c>
      <c r="D1070" s="146"/>
      <c r="F1070" s="139"/>
      <c r="I1070" s="50" t="s">
        <v>105</v>
      </c>
      <c r="L1070" s="146"/>
      <c r="N1070" s="139"/>
    </row>
    <row r="1071" spans="1:16" ht="15.75" customHeight="1" thickBot="1"/>
    <row r="1072" spans="1:16" ht="15.75" thickBot="1">
      <c r="A1072" s="891" t="s">
        <v>106</v>
      </c>
      <c r="B1072" s="892"/>
      <c r="C1072" s="892"/>
      <c r="D1072" s="893"/>
      <c r="F1072" s="50" t="s">
        <v>288</v>
      </c>
      <c r="I1072" s="891" t="s">
        <v>106</v>
      </c>
      <c r="J1072" s="892"/>
      <c r="K1072" s="892"/>
      <c r="L1072" s="893"/>
      <c r="N1072" s="50" t="s">
        <v>288</v>
      </c>
    </row>
    <row r="1073" spans="1:16" ht="30.75" thickBot="1">
      <c r="A1073" s="57" t="s">
        <v>100</v>
      </c>
      <c r="B1073" s="58" t="s">
        <v>108</v>
      </c>
      <c r="C1073" s="59" t="s">
        <v>109</v>
      </c>
      <c r="D1073" s="60" t="s">
        <v>110</v>
      </c>
      <c r="I1073" s="57" t="s">
        <v>100</v>
      </c>
      <c r="J1073" s="58" t="s">
        <v>108</v>
      </c>
      <c r="K1073" s="59" t="s">
        <v>109</v>
      </c>
      <c r="L1073" s="60" t="s">
        <v>110</v>
      </c>
    </row>
    <row r="1074" spans="1:16">
      <c r="A1074" s="71">
        <v>719</v>
      </c>
      <c r="B1074" s="73">
        <f>+H1054+H1056+H1058+H1060</f>
        <v>170000</v>
      </c>
      <c r="C1074" s="74">
        <f>+D1039</f>
        <v>44540000</v>
      </c>
      <c r="D1074" s="195">
        <f>+B1074+C1074</f>
        <v>44710000</v>
      </c>
      <c r="I1074" s="71">
        <v>719</v>
      </c>
      <c r="J1074" s="73">
        <f>+P1054+P1056+P1058+P1060+P1062</f>
        <v>690000</v>
      </c>
      <c r="K1074" s="74">
        <f>+L1037</f>
        <v>6880000</v>
      </c>
      <c r="L1074" s="195">
        <f>+J1074+K1074</f>
        <v>7570000</v>
      </c>
    </row>
    <row r="1075" spans="1:16">
      <c r="A1075" s="72">
        <v>721</v>
      </c>
      <c r="B1075" s="80">
        <f>+H1055</f>
        <v>0</v>
      </c>
      <c r="C1075" s="74">
        <f>+D1040</f>
        <v>61804797</v>
      </c>
      <c r="D1075" s="195">
        <f>+B1075+C1075</f>
        <v>61804797</v>
      </c>
      <c r="I1075" s="72">
        <v>721</v>
      </c>
      <c r="J1075" s="80">
        <f>+P1055+P1057+P1059+P1061+P1063</f>
        <v>276000</v>
      </c>
      <c r="K1075" s="74">
        <f>+L1038</f>
        <v>1984000</v>
      </c>
      <c r="L1075" s="195">
        <f>+J1075+K1075</f>
        <v>2260000</v>
      </c>
    </row>
    <row r="1076" spans="1:16">
      <c r="A1076" s="72">
        <v>722</v>
      </c>
      <c r="B1076" s="80"/>
      <c r="C1076" s="74">
        <f>+D1041</f>
        <v>231207671</v>
      </c>
      <c r="D1076" s="195">
        <f>+B1076+C1076</f>
        <v>231207671</v>
      </c>
      <c r="I1076" s="72">
        <v>722</v>
      </c>
      <c r="J1076" s="80"/>
      <c r="K1076" s="74">
        <f>+L1039</f>
        <v>0</v>
      </c>
      <c r="L1076" s="195">
        <f>+J1076+K1076</f>
        <v>0</v>
      </c>
    </row>
    <row r="1077" spans="1:16" ht="15.75">
      <c r="A1077" s="72">
        <v>723</v>
      </c>
      <c r="B1077" s="80"/>
      <c r="C1077" s="74">
        <f>+D1042</f>
        <v>323193545</v>
      </c>
      <c r="D1077" s="195">
        <f>+B1077+C1077</f>
        <v>323193545</v>
      </c>
      <c r="F1077" s="174" t="s">
        <v>23</v>
      </c>
      <c r="G1077" s="175"/>
      <c r="I1077" s="72">
        <v>723</v>
      </c>
      <c r="J1077" s="80"/>
      <c r="K1077" s="74">
        <f>+L1040</f>
        <v>336787965</v>
      </c>
      <c r="L1077" s="195">
        <f>+J1077+K1077</f>
        <v>336787965</v>
      </c>
      <c r="N1077" s="193" t="s">
        <v>289</v>
      </c>
      <c r="O1077" s="175"/>
    </row>
    <row r="1078" spans="1:16" ht="16.5" thickBot="1">
      <c r="A1078" s="164" t="s">
        <v>181</v>
      </c>
      <c r="B1078" s="165"/>
      <c r="C1078" s="74" t="e">
        <f>+#REF!</f>
        <v>#REF!</v>
      </c>
      <c r="D1078" s="196" t="e">
        <f>+B1078+C1078</f>
        <v>#REF!</v>
      </c>
      <c r="F1078" s="52"/>
      <c r="I1078" s="164" t="s">
        <v>181</v>
      </c>
      <c r="J1078" s="165"/>
      <c r="K1078" s="74">
        <f>+L1041</f>
        <v>0</v>
      </c>
      <c r="L1078" s="196">
        <f>+J1078+K1078</f>
        <v>0</v>
      </c>
      <c r="N1078" s="52"/>
    </row>
    <row r="1079" spans="1:16" ht="16.5" thickBot="1">
      <c r="A1079" s="169"/>
      <c r="B1079" s="170">
        <f>SUM(B1074:B1078)</f>
        <v>170000</v>
      </c>
      <c r="C1079" s="171" t="e">
        <f>SUM(C1074:C1078)</f>
        <v>#REF!</v>
      </c>
      <c r="D1079" s="172" t="e">
        <f>SUM(D1074:D1078)</f>
        <v>#REF!</v>
      </c>
      <c r="I1079" s="169"/>
      <c r="J1079" s="197">
        <f>SUM(J1074:J1078)</f>
        <v>966000</v>
      </c>
      <c r="K1079" s="197">
        <f>SUM(K1074:K1078)</f>
        <v>345651965</v>
      </c>
      <c r="L1079" s="198">
        <f>SUM(L1074:L1078)</f>
        <v>346617965</v>
      </c>
    </row>
    <row r="1080" spans="1:16" ht="16.5">
      <c r="A1080" s="49" t="s">
        <v>88</v>
      </c>
      <c r="B1080" s="50"/>
      <c r="I1080" s="49" t="s">
        <v>88</v>
      </c>
      <c r="J1080" s="50"/>
    </row>
    <row r="1081" spans="1:16">
      <c r="A1081" s="51" t="s">
        <v>89</v>
      </c>
      <c r="I1081" s="51" t="s">
        <v>89</v>
      </c>
    </row>
    <row r="1082" spans="1:16">
      <c r="A1082" s="51" t="s">
        <v>90</v>
      </c>
      <c r="I1082" s="51" t="s">
        <v>90</v>
      </c>
    </row>
    <row r="1083" spans="1:16">
      <c r="A1083" s="51" t="s">
        <v>91</v>
      </c>
      <c r="I1083" s="51" t="s">
        <v>91</v>
      </c>
    </row>
    <row r="1084" spans="1:16" ht="12.75" customHeight="1">
      <c r="A1084" s="50"/>
      <c r="B1084" s="50"/>
      <c r="I1084" s="50"/>
      <c r="J1084" s="50"/>
    </row>
    <row r="1085" spans="1:16" ht="16.5">
      <c r="A1085" s="52" t="s">
        <v>473</v>
      </c>
      <c r="G1085" s="52"/>
      <c r="I1085" s="260" t="s">
        <v>841</v>
      </c>
      <c r="O1085" s="52"/>
    </row>
    <row r="1086" spans="1:16" ht="15.75">
      <c r="A1086" s="53" t="s">
        <v>92</v>
      </c>
      <c r="G1086" s="53"/>
      <c r="I1086" s="53" t="s">
        <v>535</v>
      </c>
      <c r="O1086" s="53"/>
    </row>
    <row r="1087" spans="1:16" ht="16.5">
      <c r="A1087" s="894" t="s">
        <v>462</v>
      </c>
      <c r="B1087" s="894"/>
      <c r="C1087" s="894"/>
      <c r="D1087" s="894"/>
      <c r="E1087" s="894"/>
      <c r="F1087" s="894"/>
      <c r="G1087" s="894"/>
      <c r="H1087" s="894"/>
      <c r="I1087" s="894" t="s">
        <v>261</v>
      </c>
      <c r="J1087" s="894"/>
      <c r="K1087" s="894"/>
      <c r="L1087" s="894"/>
      <c r="M1087" s="894"/>
      <c r="N1087" s="894"/>
      <c r="O1087" s="894"/>
      <c r="P1087" s="894"/>
    </row>
    <row r="1088" spans="1:16" ht="15.75" thickBot="1"/>
    <row r="1089" spans="1:16">
      <c r="A1089" s="895" t="s">
        <v>94</v>
      </c>
      <c r="B1089" s="897" t="s">
        <v>95</v>
      </c>
      <c r="C1089" s="897" t="s">
        <v>96</v>
      </c>
      <c r="D1089" s="897" t="s">
        <v>3</v>
      </c>
      <c r="E1089" s="897" t="s">
        <v>97</v>
      </c>
      <c r="F1089" s="897" t="s">
        <v>98</v>
      </c>
      <c r="G1089" s="897" t="s">
        <v>99</v>
      </c>
      <c r="H1089" s="899"/>
      <c r="I1089" s="895" t="s">
        <v>94</v>
      </c>
      <c r="J1089" s="897" t="s">
        <v>95</v>
      </c>
      <c r="K1089" s="897" t="s">
        <v>96</v>
      </c>
      <c r="L1089" s="897" t="s">
        <v>3</v>
      </c>
      <c r="M1089" s="897" t="s">
        <v>97</v>
      </c>
      <c r="N1089" s="897" t="s">
        <v>98</v>
      </c>
      <c r="O1089" s="897" t="s">
        <v>99</v>
      </c>
      <c r="P1089" s="899"/>
    </row>
    <row r="1090" spans="1:16" ht="15.75" thickBot="1">
      <c r="A1090" s="896"/>
      <c r="B1090" s="898"/>
      <c r="C1090" s="898"/>
      <c r="D1090" s="898"/>
      <c r="E1090" s="898"/>
      <c r="F1090" s="898"/>
      <c r="G1090" s="240" t="s">
        <v>100</v>
      </c>
      <c r="H1090" s="182" t="s">
        <v>101</v>
      </c>
      <c r="I1090" s="896"/>
      <c r="J1090" s="898"/>
      <c r="K1090" s="898"/>
      <c r="L1090" s="898"/>
      <c r="M1090" s="898"/>
      <c r="N1090" s="898"/>
      <c r="O1090" s="240" t="s">
        <v>100</v>
      </c>
      <c r="P1090" s="182" t="s">
        <v>101</v>
      </c>
    </row>
    <row r="1091" spans="1:16" ht="15" customHeight="1">
      <c r="A1091" s="881">
        <f>+A1056+1</f>
        <v>352</v>
      </c>
      <c r="B1091" s="875">
        <v>42345</v>
      </c>
      <c r="C1091" s="877" t="s">
        <v>267</v>
      </c>
      <c r="D1091" s="881" t="s">
        <v>481</v>
      </c>
      <c r="E1091" s="881" t="s">
        <v>148</v>
      </c>
      <c r="F1091" s="883">
        <v>182000</v>
      </c>
      <c r="G1091" s="55">
        <v>719</v>
      </c>
      <c r="H1091" s="78">
        <v>130000</v>
      </c>
      <c r="I1091" s="873" t="s">
        <v>839</v>
      </c>
      <c r="J1091" s="875">
        <v>42458</v>
      </c>
      <c r="K1091" s="881" t="s">
        <v>28</v>
      </c>
      <c r="L1091" s="881" t="s">
        <v>821</v>
      </c>
      <c r="M1091" s="881" t="s">
        <v>148</v>
      </c>
      <c r="N1091" s="883">
        <v>224000</v>
      </c>
      <c r="O1091" s="55">
        <v>719</v>
      </c>
      <c r="P1091" s="78">
        <v>160000</v>
      </c>
    </row>
    <row r="1092" spans="1:16" ht="15.75" customHeight="1" thickBot="1">
      <c r="A1092" s="882"/>
      <c r="B1092" s="876"/>
      <c r="C1092" s="878"/>
      <c r="D1092" s="882"/>
      <c r="E1092" s="882"/>
      <c r="F1092" s="884"/>
      <c r="G1092" s="56">
        <v>721</v>
      </c>
      <c r="H1092" s="79">
        <f>+F1091-H1091</f>
        <v>52000</v>
      </c>
      <c r="I1092" s="874"/>
      <c r="J1092" s="876"/>
      <c r="K1092" s="882"/>
      <c r="L1092" s="882"/>
      <c r="M1092" s="882"/>
      <c r="N1092" s="884"/>
      <c r="O1092" s="56">
        <v>721</v>
      </c>
      <c r="P1092" s="79">
        <f>+N1091-P1091</f>
        <v>64000</v>
      </c>
    </row>
    <row r="1093" spans="1:16" ht="15" customHeight="1">
      <c r="A1093" s="881">
        <f>+A1091+1</f>
        <v>353</v>
      </c>
      <c r="B1093" s="875">
        <v>42345</v>
      </c>
      <c r="C1093" s="881" t="s">
        <v>28</v>
      </c>
      <c r="D1093" s="881" t="s">
        <v>482</v>
      </c>
      <c r="E1093" s="881" t="s">
        <v>148</v>
      </c>
      <c r="F1093" s="883">
        <v>266000</v>
      </c>
      <c r="G1093" s="55">
        <v>719</v>
      </c>
      <c r="H1093" s="78">
        <v>190000</v>
      </c>
      <c r="I1093" s="881">
        <f>+I1091+1</f>
        <v>142</v>
      </c>
      <c r="J1093" s="875">
        <v>42458</v>
      </c>
      <c r="K1093" s="877" t="s">
        <v>32</v>
      </c>
      <c r="L1093" s="881" t="s">
        <v>850</v>
      </c>
      <c r="M1093" s="881" t="s">
        <v>148</v>
      </c>
      <c r="N1093" s="883">
        <v>28000</v>
      </c>
      <c r="O1093" s="55">
        <v>719</v>
      </c>
      <c r="P1093" s="78">
        <v>20000</v>
      </c>
    </row>
    <row r="1094" spans="1:16" ht="15.75" customHeight="1" thickBot="1">
      <c r="A1094" s="882"/>
      <c r="B1094" s="876"/>
      <c r="C1094" s="882"/>
      <c r="D1094" s="882"/>
      <c r="E1094" s="882"/>
      <c r="F1094" s="884"/>
      <c r="G1094" s="56">
        <v>721</v>
      </c>
      <c r="H1094" s="79">
        <f>+F1093-H1093</f>
        <v>76000</v>
      </c>
      <c r="I1094" s="882"/>
      <c r="J1094" s="876"/>
      <c r="K1094" s="878"/>
      <c r="L1094" s="882"/>
      <c r="M1094" s="882"/>
      <c r="N1094" s="884"/>
      <c r="O1094" s="56">
        <v>721</v>
      </c>
      <c r="P1094" s="79">
        <f>+N1093-P1093</f>
        <v>8000</v>
      </c>
    </row>
    <row r="1095" spans="1:16" ht="15" customHeight="1">
      <c r="A1095" s="881">
        <f>+A1093+1</f>
        <v>354</v>
      </c>
      <c r="B1095" s="875">
        <v>42345</v>
      </c>
      <c r="C1095" s="877" t="s">
        <v>32</v>
      </c>
      <c r="D1095" s="881" t="s">
        <v>481</v>
      </c>
      <c r="E1095" s="881" t="s">
        <v>148</v>
      </c>
      <c r="F1095" s="883">
        <v>70000</v>
      </c>
      <c r="G1095" s="55">
        <v>719</v>
      </c>
      <c r="H1095" s="78">
        <v>50000</v>
      </c>
      <c r="I1095" s="881">
        <f>+I1093+1</f>
        <v>143</v>
      </c>
      <c r="J1095" s="875">
        <v>42458</v>
      </c>
      <c r="K1095" s="877" t="s">
        <v>111</v>
      </c>
      <c r="L1095" s="881" t="s">
        <v>851</v>
      </c>
      <c r="M1095" s="881" t="s">
        <v>148</v>
      </c>
      <c r="N1095" s="883">
        <v>56000</v>
      </c>
      <c r="O1095" s="55">
        <v>719</v>
      </c>
      <c r="P1095" s="78">
        <v>40000</v>
      </c>
    </row>
    <row r="1096" spans="1:16" ht="15.75" customHeight="1" thickBot="1">
      <c r="A1096" s="882"/>
      <c r="B1096" s="876"/>
      <c r="C1096" s="878"/>
      <c r="D1096" s="882"/>
      <c r="E1096" s="882"/>
      <c r="F1096" s="884"/>
      <c r="G1096" s="56">
        <v>721</v>
      </c>
      <c r="H1096" s="79">
        <f>+F1095-H1095</f>
        <v>20000</v>
      </c>
      <c r="I1096" s="882"/>
      <c r="J1096" s="876"/>
      <c r="K1096" s="878"/>
      <c r="L1096" s="882"/>
      <c r="M1096" s="882"/>
      <c r="N1096" s="884"/>
      <c r="O1096" s="56">
        <v>721</v>
      </c>
      <c r="P1096" s="79">
        <f>+N1095-P1095</f>
        <v>16000</v>
      </c>
    </row>
    <row r="1097" spans="1:16" ht="15" customHeight="1">
      <c r="A1097" s="881">
        <f>+A1095+1</f>
        <v>355</v>
      </c>
      <c r="B1097" s="875">
        <v>42345</v>
      </c>
      <c r="C1097" s="877" t="s">
        <v>111</v>
      </c>
      <c r="D1097" s="881" t="s">
        <v>483</v>
      </c>
      <c r="E1097" s="881" t="s">
        <v>148</v>
      </c>
      <c r="F1097" s="883">
        <v>140000</v>
      </c>
      <c r="G1097" s="55">
        <v>719</v>
      </c>
      <c r="H1097" s="78">
        <v>100000</v>
      </c>
      <c r="I1097" s="881">
        <f>+I1095+1</f>
        <v>144</v>
      </c>
      <c r="J1097" s="875">
        <v>42458</v>
      </c>
      <c r="K1097" s="877" t="s">
        <v>272</v>
      </c>
      <c r="L1097" s="881" t="s">
        <v>821</v>
      </c>
      <c r="M1097" s="881" t="s">
        <v>148</v>
      </c>
      <c r="N1097" s="883">
        <v>728000</v>
      </c>
      <c r="O1097" s="55">
        <v>719</v>
      </c>
      <c r="P1097" s="78">
        <v>520000</v>
      </c>
    </row>
    <row r="1098" spans="1:16" ht="15.75" customHeight="1" thickBot="1">
      <c r="A1098" s="882"/>
      <c r="B1098" s="876"/>
      <c r="C1098" s="878"/>
      <c r="D1098" s="882"/>
      <c r="E1098" s="882"/>
      <c r="F1098" s="884"/>
      <c r="G1098" s="56">
        <v>721</v>
      </c>
      <c r="H1098" s="79">
        <f>+F1097-H1097</f>
        <v>40000</v>
      </c>
      <c r="I1098" s="882"/>
      <c r="J1098" s="876"/>
      <c r="K1098" s="878"/>
      <c r="L1098" s="882"/>
      <c r="M1098" s="882"/>
      <c r="N1098" s="884"/>
      <c r="O1098" s="56">
        <v>721</v>
      </c>
      <c r="P1098" s="79">
        <f>+N1097-P1097</f>
        <v>208000</v>
      </c>
    </row>
    <row r="1099" spans="1:16" ht="15" customHeight="1">
      <c r="A1099" s="881">
        <f>+A1097+1</f>
        <v>356</v>
      </c>
      <c r="B1099" s="875">
        <v>42345</v>
      </c>
      <c r="C1099" s="877" t="s">
        <v>272</v>
      </c>
      <c r="D1099" s="881" t="s">
        <v>481</v>
      </c>
      <c r="E1099" s="881" t="s">
        <v>148</v>
      </c>
      <c r="F1099" s="883">
        <v>700000</v>
      </c>
      <c r="G1099" s="55">
        <v>719</v>
      </c>
      <c r="H1099" s="78">
        <v>500000</v>
      </c>
      <c r="I1099" s="881"/>
      <c r="J1099" s="875"/>
      <c r="K1099" s="877"/>
      <c r="L1099" s="881"/>
      <c r="M1099" s="881"/>
      <c r="N1099" s="883"/>
      <c r="O1099" s="55">
        <v>719</v>
      </c>
      <c r="P1099" s="78"/>
    </row>
    <row r="1100" spans="1:16" ht="15.75" customHeight="1" thickBot="1">
      <c r="A1100" s="882"/>
      <c r="B1100" s="876"/>
      <c r="C1100" s="878"/>
      <c r="D1100" s="882"/>
      <c r="E1100" s="882"/>
      <c r="F1100" s="884"/>
      <c r="G1100" s="56">
        <v>721</v>
      </c>
      <c r="H1100" s="79">
        <f>+F1099-H1099</f>
        <v>200000</v>
      </c>
      <c r="I1100" s="882"/>
      <c r="J1100" s="876"/>
      <c r="K1100" s="878"/>
      <c r="L1100" s="882"/>
      <c r="M1100" s="882"/>
      <c r="N1100" s="884"/>
      <c r="O1100" s="56">
        <v>721</v>
      </c>
      <c r="P1100" s="79">
        <f>+N1099-P1099</f>
        <v>0</v>
      </c>
    </row>
    <row r="1101" spans="1:16" ht="16.5" thickBot="1">
      <c r="A1101" s="901" t="s">
        <v>102</v>
      </c>
      <c r="B1101" s="902"/>
      <c r="C1101" s="902"/>
      <c r="D1101" s="902"/>
      <c r="E1101" s="903"/>
      <c r="F1101" s="81">
        <f>SUM(F1091:F1100)</f>
        <v>1358000</v>
      </c>
      <c r="I1101" s="901" t="s">
        <v>102</v>
      </c>
      <c r="J1101" s="902"/>
      <c r="K1101" s="902"/>
      <c r="L1101" s="902"/>
      <c r="M1101" s="903"/>
      <c r="N1101" s="81">
        <f>SUM(N1091:N1100)</f>
        <v>1036000</v>
      </c>
    </row>
    <row r="1102" spans="1:16" ht="16.5" thickBot="1">
      <c r="A1102" s="885" t="s">
        <v>103</v>
      </c>
      <c r="B1102" s="886"/>
      <c r="C1102" s="886"/>
      <c r="D1102" s="886"/>
      <c r="E1102" s="887"/>
      <c r="F1102" s="69">
        <f>+F1066</f>
        <v>662881638</v>
      </c>
      <c r="I1102" s="885" t="s">
        <v>103</v>
      </c>
      <c r="J1102" s="886"/>
      <c r="K1102" s="886"/>
      <c r="L1102" s="886"/>
      <c r="M1102" s="887"/>
      <c r="N1102" s="69">
        <f>+N1066</f>
        <v>346617965</v>
      </c>
      <c r="O1102" s="241" t="s">
        <v>561</v>
      </c>
      <c r="P1102" s="242">
        <f>343+63+27+946</f>
        <v>1379</v>
      </c>
    </row>
    <row r="1103" spans="1:16" ht="16.5" thickBot="1">
      <c r="A1103" s="888" t="s">
        <v>104</v>
      </c>
      <c r="B1103" s="889"/>
      <c r="C1103" s="889"/>
      <c r="D1103" s="889"/>
      <c r="E1103" s="890"/>
      <c r="F1103" s="183">
        <f>SUM(F1101:F1102)</f>
        <v>664239638</v>
      </c>
      <c r="I1103" s="888" t="s">
        <v>104</v>
      </c>
      <c r="J1103" s="889"/>
      <c r="K1103" s="889"/>
      <c r="L1103" s="889"/>
      <c r="M1103" s="890"/>
      <c r="N1103" s="183">
        <f>SUM(N1101:N1102)</f>
        <v>347653965</v>
      </c>
    </row>
    <row r="1104" spans="1:16" ht="12.75" customHeight="1">
      <c r="A1104" s="61"/>
      <c r="B1104" s="61"/>
      <c r="C1104" s="61"/>
      <c r="D1104" s="61"/>
      <c r="E1104" s="61"/>
      <c r="I1104" s="61"/>
      <c r="J1104" s="61"/>
      <c r="K1104" s="61"/>
      <c r="L1104" s="61"/>
      <c r="M1104" s="61"/>
    </row>
    <row r="1105" spans="1:15">
      <c r="A1105" s="51" t="s">
        <v>484</v>
      </c>
      <c r="I1105" s="51" t="s">
        <v>852</v>
      </c>
    </row>
    <row r="1106" spans="1:15" ht="7.5" customHeight="1">
      <c r="F1106" s="139"/>
      <c r="N1106" s="139"/>
    </row>
    <row r="1107" spans="1:15">
      <c r="A1107" s="50" t="s">
        <v>105</v>
      </c>
      <c r="D1107" s="146"/>
      <c r="F1107" s="139"/>
      <c r="I1107" s="50" t="s">
        <v>105</v>
      </c>
      <c r="L1107" s="146"/>
      <c r="N1107" s="139"/>
    </row>
    <row r="1108" spans="1:15" ht="13.5" customHeight="1" thickBot="1"/>
    <row r="1109" spans="1:15" ht="15.75" thickBot="1">
      <c r="A1109" s="891" t="s">
        <v>106</v>
      </c>
      <c r="B1109" s="892"/>
      <c r="C1109" s="892"/>
      <c r="D1109" s="893"/>
      <c r="F1109" s="50" t="s">
        <v>288</v>
      </c>
      <c r="I1109" s="891" t="s">
        <v>106</v>
      </c>
      <c r="J1109" s="892"/>
      <c r="K1109" s="892"/>
      <c r="L1109" s="893"/>
      <c r="N1109" s="50" t="s">
        <v>288</v>
      </c>
    </row>
    <row r="1110" spans="1:15" ht="30.75" thickBot="1">
      <c r="A1110" s="57" t="s">
        <v>100</v>
      </c>
      <c r="B1110" s="58" t="s">
        <v>108</v>
      </c>
      <c r="C1110" s="59" t="s">
        <v>109</v>
      </c>
      <c r="D1110" s="60" t="s">
        <v>110</v>
      </c>
      <c r="I1110" s="57" t="s">
        <v>100</v>
      </c>
      <c r="J1110" s="58" t="s">
        <v>108</v>
      </c>
      <c r="K1110" s="59" t="s">
        <v>109</v>
      </c>
      <c r="L1110" s="60" t="s">
        <v>110</v>
      </c>
    </row>
    <row r="1111" spans="1:15">
      <c r="A1111" s="71">
        <v>719</v>
      </c>
      <c r="B1111" s="73">
        <f>+H1091+H1093+H1095+H1097+H1099</f>
        <v>970000</v>
      </c>
      <c r="C1111" s="74">
        <f>+D1074</f>
        <v>44710000</v>
      </c>
      <c r="D1111" s="195">
        <f>+B1111+C1111</f>
        <v>45680000</v>
      </c>
      <c r="I1111" s="71">
        <v>719</v>
      </c>
      <c r="J1111" s="73">
        <f>+P1091+P1093+P1095+P1097+P1099</f>
        <v>740000</v>
      </c>
      <c r="K1111" s="74">
        <f>+L1074</f>
        <v>7570000</v>
      </c>
      <c r="L1111" s="195">
        <f>+J1111+K1111</f>
        <v>8310000</v>
      </c>
    </row>
    <row r="1112" spans="1:15">
      <c r="A1112" s="72">
        <v>721</v>
      </c>
      <c r="B1112" s="80">
        <f>+H1100+H1098+H1096+H1094+H1092</f>
        <v>388000</v>
      </c>
      <c r="C1112" s="74">
        <f>+D1075</f>
        <v>61804797</v>
      </c>
      <c r="D1112" s="195">
        <f>+B1112+C1112</f>
        <v>62192797</v>
      </c>
      <c r="I1112" s="72">
        <v>721</v>
      </c>
      <c r="J1112" s="80">
        <f>+P1092+P1094+P1096+P1098+P1100</f>
        <v>296000</v>
      </c>
      <c r="K1112" s="74">
        <f>+L1075</f>
        <v>2260000</v>
      </c>
      <c r="L1112" s="195">
        <f>+J1112+K1112</f>
        <v>2556000</v>
      </c>
    </row>
    <row r="1113" spans="1:15">
      <c r="A1113" s="72">
        <v>722</v>
      </c>
      <c r="B1113" s="80"/>
      <c r="C1113" s="74">
        <f>+D1076</f>
        <v>231207671</v>
      </c>
      <c r="D1113" s="195">
        <f>+B1113+C1113</f>
        <v>231207671</v>
      </c>
      <c r="I1113" s="72">
        <v>722</v>
      </c>
      <c r="J1113" s="80"/>
      <c r="K1113" s="74">
        <f>+L1076</f>
        <v>0</v>
      </c>
      <c r="L1113" s="195">
        <f>+J1113+K1113</f>
        <v>0</v>
      </c>
    </row>
    <row r="1114" spans="1:15" ht="15.75">
      <c r="A1114" s="72">
        <v>723</v>
      </c>
      <c r="B1114" s="80"/>
      <c r="C1114" s="74">
        <f>+D1077</f>
        <v>323193545</v>
      </c>
      <c r="D1114" s="195">
        <f>+B1114+C1114</f>
        <v>323193545</v>
      </c>
      <c r="F1114" s="174" t="s">
        <v>23</v>
      </c>
      <c r="G1114" s="175"/>
      <c r="I1114" s="72">
        <v>723</v>
      </c>
      <c r="J1114" s="80"/>
      <c r="K1114" s="74">
        <f>+L1077</f>
        <v>336787965</v>
      </c>
      <c r="L1114" s="195">
        <f>+J1114+K1114</f>
        <v>336787965</v>
      </c>
      <c r="N1114" s="193" t="s">
        <v>289</v>
      </c>
      <c r="O1114" s="175"/>
    </row>
    <row r="1115" spans="1:15" ht="16.5" thickBot="1">
      <c r="A1115" s="164" t="s">
        <v>181</v>
      </c>
      <c r="B1115" s="165"/>
      <c r="C1115" s="74" t="e">
        <f>+D1078</f>
        <v>#REF!</v>
      </c>
      <c r="D1115" s="196" t="e">
        <f>+B1115+C1115</f>
        <v>#REF!</v>
      </c>
      <c r="F1115" s="52"/>
      <c r="I1115" s="164" t="s">
        <v>181</v>
      </c>
      <c r="J1115" s="165"/>
      <c r="K1115" s="74">
        <f>+L1078</f>
        <v>0</v>
      </c>
      <c r="L1115" s="196">
        <f>+J1115+K1115</f>
        <v>0</v>
      </c>
      <c r="N1115" s="52"/>
    </row>
    <row r="1116" spans="1:15" ht="16.5" thickBot="1">
      <c r="A1116" s="169"/>
      <c r="B1116" s="170">
        <f>SUM(B1111:B1115)</f>
        <v>1358000</v>
      </c>
      <c r="C1116" s="171" t="e">
        <f>SUM(C1111:C1115)</f>
        <v>#REF!</v>
      </c>
      <c r="D1116" s="172" t="e">
        <f>SUM(D1111:D1115)</f>
        <v>#REF!</v>
      </c>
      <c r="I1116" s="169"/>
      <c r="J1116" s="197">
        <f>SUM(J1111:J1115)</f>
        <v>1036000</v>
      </c>
      <c r="K1116" s="197">
        <f>SUM(K1111:K1115)</f>
        <v>346617965</v>
      </c>
      <c r="L1116" s="198">
        <f>SUM(L1111:L1115)</f>
        <v>347653965</v>
      </c>
    </row>
    <row r="1117" spans="1:15" ht="16.5">
      <c r="A1117" s="49" t="s">
        <v>88</v>
      </c>
      <c r="B1117" s="50"/>
      <c r="I1117" s="49" t="s">
        <v>88</v>
      </c>
      <c r="J1117" s="50"/>
    </row>
    <row r="1118" spans="1:15">
      <c r="A1118" s="51" t="s">
        <v>89</v>
      </c>
      <c r="I1118" s="51" t="s">
        <v>89</v>
      </c>
    </row>
    <row r="1119" spans="1:15">
      <c r="A1119" s="51" t="s">
        <v>90</v>
      </c>
      <c r="I1119" s="51" t="s">
        <v>90</v>
      </c>
    </row>
    <row r="1120" spans="1:15">
      <c r="A1120" s="51" t="s">
        <v>91</v>
      </c>
      <c r="I1120" s="51" t="s">
        <v>91</v>
      </c>
    </row>
    <row r="1121" spans="1:16" ht="10.5" customHeight="1">
      <c r="A1121" s="50"/>
      <c r="B1121" s="50"/>
      <c r="I1121" s="50"/>
      <c r="J1121" s="50"/>
    </row>
    <row r="1122" spans="1:16" ht="16.5">
      <c r="A1122" s="52" t="s">
        <v>486</v>
      </c>
      <c r="G1122" s="52"/>
      <c r="I1122" s="260" t="s">
        <v>855</v>
      </c>
      <c r="O1122" s="52"/>
    </row>
    <row r="1123" spans="1:16" ht="15.75">
      <c r="A1123" s="53" t="s">
        <v>92</v>
      </c>
      <c r="G1123" s="53"/>
      <c r="I1123" s="53" t="s">
        <v>535</v>
      </c>
      <c r="O1123" s="53"/>
    </row>
    <row r="1124" spans="1:16" ht="16.5">
      <c r="A1124" s="894" t="s">
        <v>485</v>
      </c>
      <c r="B1124" s="894"/>
      <c r="C1124" s="894"/>
      <c r="D1124" s="894"/>
      <c r="E1124" s="894"/>
      <c r="F1124" s="894"/>
      <c r="G1124" s="894"/>
      <c r="H1124" s="894"/>
      <c r="I1124" s="894" t="s">
        <v>261</v>
      </c>
      <c r="J1124" s="894"/>
      <c r="K1124" s="894"/>
      <c r="L1124" s="894"/>
      <c r="M1124" s="894"/>
      <c r="N1124" s="894"/>
      <c r="O1124" s="894"/>
      <c r="P1124" s="894"/>
    </row>
    <row r="1125" spans="1:16" ht="15.75" thickBot="1"/>
    <row r="1126" spans="1:16">
      <c r="A1126" s="895" t="s">
        <v>94</v>
      </c>
      <c r="B1126" s="897" t="s">
        <v>95</v>
      </c>
      <c r="C1126" s="897" t="s">
        <v>96</v>
      </c>
      <c r="D1126" s="897" t="s">
        <v>3</v>
      </c>
      <c r="E1126" s="897" t="s">
        <v>97</v>
      </c>
      <c r="F1126" s="897" t="s">
        <v>98</v>
      </c>
      <c r="G1126" s="897" t="s">
        <v>99</v>
      </c>
      <c r="H1126" s="899"/>
      <c r="I1126" s="895" t="s">
        <v>94</v>
      </c>
      <c r="J1126" s="897" t="s">
        <v>95</v>
      </c>
      <c r="K1126" s="897" t="s">
        <v>96</v>
      </c>
      <c r="L1126" s="897" t="s">
        <v>3</v>
      </c>
      <c r="M1126" s="897" t="s">
        <v>97</v>
      </c>
      <c r="N1126" s="897" t="s">
        <v>98</v>
      </c>
      <c r="O1126" s="897" t="s">
        <v>99</v>
      </c>
      <c r="P1126" s="899"/>
    </row>
    <row r="1127" spans="1:16" ht="15.75" thickBot="1">
      <c r="A1127" s="896"/>
      <c r="B1127" s="898"/>
      <c r="C1127" s="898"/>
      <c r="D1127" s="898"/>
      <c r="E1127" s="898"/>
      <c r="F1127" s="898"/>
      <c r="G1127" s="240" t="s">
        <v>100</v>
      </c>
      <c r="H1127" s="182" t="s">
        <v>101</v>
      </c>
      <c r="I1127" s="896"/>
      <c r="J1127" s="898"/>
      <c r="K1127" s="898"/>
      <c r="L1127" s="898"/>
      <c r="M1127" s="898"/>
      <c r="N1127" s="898"/>
      <c r="O1127" s="240" t="s">
        <v>100</v>
      </c>
      <c r="P1127" s="182" t="s">
        <v>101</v>
      </c>
    </row>
    <row r="1128" spans="1:16">
      <c r="A1128" s="919">
        <v>1</v>
      </c>
      <c r="B1128" s="875">
        <v>42345</v>
      </c>
      <c r="C1128" s="877" t="s">
        <v>487</v>
      </c>
      <c r="D1128" s="877" t="s">
        <v>251</v>
      </c>
      <c r="E1128" s="881" t="s">
        <v>145</v>
      </c>
      <c r="F1128" s="883">
        <v>-4280256</v>
      </c>
      <c r="G1128" s="55">
        <v>719</v>
      </c>
      <c r="H1128" s="78"/>
      <c r="I1128" s="873" t="s">
        <v>856</v>
      </c>
      <c r="J1128" s="875">
        <v>42459</v>
      </c>
      <c r="K1128" s="881" t="s">
        <v>40</v>
      </c>
      <c r="L1128" s="881" t="s">
        <v>857</v>
      </c>
      <c r="M1128" s="881" t="s">
        <v>148</v>
      </c>
      <c r="N1128" s="883">
        <v>126000</v>
      </c>
      <c r="O1128" s="55">
        <v>719</v>
      </c>
      <c r="P1128" s="78">
        <v>90000</v>
      </c>
    </row>
    <row r="1129" spans="1:16" ht="15.75" thickBot="1">
      <c r="A1129" s="920"/>
      <c r="B1129" s="876"/>
      <c r="C1129" s="878"/>
      <c r="D1129" s="878"/>
      <c r="E1129" s="882"/>
      <c r="F1129" s="884"/>
      <c r="G1129" s="56">
        <v>721</v>
      </c>
      <c r="H1129" s="79">
        <f>+F1128-H1128</f>
        <v>-4280256</v>
      </c>
      <c r="I1129" s="874"/>
      <c r="J1129" s="876"/>
      <c r="K1129" s="882"/>
      <c r="L1129" s="882"/>
      <c r="M1129" s="882"/>
      <c r="N1129" s="884"/>
      <c r="O1129" s="56">
        <v>721</v>
      </c>
      <c r="P1129" s="79">
        <f>+N1128-P1128</f>
        <v>36000</v>
      </c>
    </row>
    <row r="1130" spans="1:16" ht="15" customHeight="1">
      <c r="A1130" s="919">
        <v>2</v>
      </c>
      <c r="B1130" s="875">
        <v>42345</v>
      </c>
      <c r="C1130" s="877" t="s">
        <v>249</v>
      </c>
      <c r="D1130" s="877" t="s">
        <v>251</v>
      </c>
      <c r="E1130" s="881" t="s">
        <v>145</v>
      </c>
      <c r="F1130" s="883">
        <v>-2140128</v>
      </c>
      <c r="G1130" s="55">
        <v>719</v>
      </c>
      <c r="H1130" s="78"/>
      <c r="I1130" s="881">
        <f>+I1128+1</f>
        <v>146</v>
      </c>
      <c r="J1130" s="875">
        <v>42459</v>
      </c>
      <c r="K1130" s="881" t="s">
        <v>28</v>
      </c>
      <c r="L1130" s="879" t="s">
        <v>858</v>
      </c>
      <c r="M1130" s="881" t="s">
        <v>148</v>
      </c>
      <c r="N1130" s="883">
        <v>392000</v>
      </c>
      <c r="O1130" s="55">
        <v>719</v>
      </c>
      <c r="P1130" s="78">
        <v>280000</v>
      </c>
    </row>
    <row r="1131" spans="1:16" ht="15.75" customHeight="1" thickBot="1">
      <c r="A1131" s="920"/>
      <c r="B1131" s="876"/>
      <c r="C1131" s="878"/>
      <c r="D1131" s="878"/>
      <c r="E1131" s="882"/>
      <c r="F1131" s="884"/>
      <c r="G1131" s="56">
        <v>721</v>
      </c>
      <c r="H1131" s="79">
        <f>+F1130-H1130</f>
        <v>-2140128</v>
      </c>
      <c r="I1131" s="882"/>
      <c r="J1131" s="876"/>
      <c r="K1131" s="882"/>
      <c r="L1131" s="880"/>
      <c r="M1131" s="882"/>
      <c r="N1131" s="884"/>
      <c r="O1131" s="56">
        <v>721</v>
      </c>
      <c r="P1131" s="79">
        <f>+N1130-P1130</f>
        <v>112000</v>
      </c>
    </row>
    <row r="1132" spans="1:16" ht="15" customHeight="1">
      <c r="A1132" s="881"/>
      <c r="B1132" s="875"/>
      <c r="C1132" s="877"/>
      <c r="D1132" s="881"/>
      <c r="E1132" s="881"/>
      <c r="F1132" s="883"/>
      <c r="G1132" s="55">
        <v>719</v>
      </c>
      <c r="H1132" s="78"/>
      <c r="I1132" s="881">
        <f>+I1130+1</f>
        <v>147</v>
      </c>
      <c r="J1132" s="875">
        <v>42459</v>
      </c>
      <c r="K1132" s="877" t="s">
        <v>32</v>
      </c>
      <c r="L1132" s="881" t="s">
        <v>859</v>
      </c>
      <c r="M1132" s="881" t="s">
        <v>148</v>
      </c>
      <c r="N1132" s="883">
        <v>28000</v>
      </c>
      <c r="O1132" s="55">
        <v>719</v>
      </c>
      <c r="P1132" s="78">
        <v>20000</v>
      </c>
    </row>
    <row r="1133" spans="1:16" ht="15.75" customHeight="1" thickBot="1">
      <c r="A1133" s="882"/>
      <c r="B1133" s="876"/>
      <c r="C1133" s="878"/>
      <c r="D1133" s="882"/>
      <c r="E1133" s="882"/>
      <c r="F1133" s="884"/>
      <c r="G1133" s="56">
        <v>721</v>
      </c>
      <c r="H1133" s="79"/>
      <c r="I1133" s="882"/>
      <c r="J1133" s="876"/>
      <c r="K1133" s="878"/>
      <c r="L1133" s="882"/>
      <c r="M1133" s="882"/>
      <c r="N1133" s="884"/>
      <c r="O1133" s="56">
        <v>721</v>
      </c>
      <c r="P1133" s="79">
        <f>+N1132-P1132</f>
        <v>8000</v>
      </c>
    </row>
    <row r="1134" spans="1:16" ht="15" customHeight="1">
      <c r="A1134" s="881"/>
      <c r="B1134" s="875"/>
      <c r="C1134" s="877"/>
      <c r="D1134" s="881"/>
      <c r="E1134" s="881"/>
      <c r="F1134" s="883"/>
      <c r="G1134" s="55">
        <v>719</v>
      </c>
      <c r="H1134" s="78"/>
      <c r="I1134" s="881">
        <f>+I1132+1</f>
        <v>148</v>
      </c>
      <c r="J1134" s="875">
        <v>42459</v>
      </c>
      <c r="K1134" s="877" t="s">
        <v>111</v>
      </c>
      <c r="L1134" s="881" t="s">
        <v>860</v>
      </c>
      <c r="M1134" s="881" t="s">
        <v>148</v>
      </c>
      <c r="N1134" s="883">
        <v>112000</v>
      </c>
      <c r="O1134" s="55">
        <v>719</v>
      </c>
      <c r="P1134" s="78">
        <v>80000</v>
      </c>
    </row>
    <row r="1135" spans="1:16" ht="15.75" customHeight="1" thickBot="1">
      <c r="A1135" s="882"/>
      <c r="B1135" s="876"/>
      <c r="C1135" s="878"/>
      <c r="D1135" s="882"/>
      <c r="E1135" s="882"/>
      <c r="F1135" s="884"/>
      <c r="G1135" s="56">
        <v>721</v>
      </c>
      <c r="H1135" s="79">
        <f>+F1134-H1134</f>
        <v>0</v>
      </c>
      <c r="I1135" s="882"/>
      <c r="J1135" s="876"/>
      <c r="K1135" s="878"/>
      <c r="L1135" s="882"/>
      <c r="M1135" s="882"/>
      <c r="N1135" s="884"/>
      <c r="O1135" s="56">
        <v>721</v>
      </c>
      <c r="P1135" s="79">
        <f>+N1134-P1134</f>
        <v>32000</v>
      </c>
    </row>
    <row r="1136" spans="1:16" ht="15" customHeight="1">
      <c r="A1136" s="881"/>
      <c r="B1136" s="875"/>
      <c r="C1136" s="877"/>
      <c r="D1136" s="881"/>
      <c r="E1136" s="881"/>
      <c r="F1136" s="883"/>
      <c r="G1136" s="55">
        <v>719</v>
      </c>
      <c r="H1136" s="78"/>
      <c r="I1136" s="881">
        <f>+I1134+1</f>
        <v>149</v>
      </c>
      <c r="J1136" s="875">
        <v>42459</v>
      </c>
      <c r="K1136" s="877" t="s">
        <v>272</v>
      </c>
      <c r="L1136" s="879" t="s">
        <v>861</v>
      </c>
      <c r="M1136" s="881" t="s">
        <v>148</v>
      </c>
      <c r="N1136" s="883">
        <v>924000</v>
      </c>
      <c r="O1136" s="55">
        <v>719</v>
      </c>
      <c r="P1136" s="78">
        <v>660000</v>
      </c>
    </row>
    <row r="1137" spans="1:16" ht="15.75" customHeight="1" thickBot="1">
      <c r="A1137" s="882"/>
      <c r="B1137" s="876"/>
      <c r="C1137" s="878"/>
      <c r="D1137" s="882"/>
      <c r="E1137" s="882"/>
      <c r="F1137" s="884"/>
      <c r="G1137" s="56">
        <v>721</v>
      </c>
      <c r="H1137" s="79">
        <f>+F1136-H1136</f>
        <v>0</v>
      </c>
      <c r="I1137" s="882"/>
      <c r="J1137" s="876"/>
      <c r="K1137" s="878"/>
      <c r="L1137" s="880"/>
      <c r="M1137" s="882"/>
      <c r="N1137" s="884"/>
      <c r="O1137" s="56">
        <v>721</v>
      </c>
      <c r="P1137" s="79">
        <f>+N1136-P1136</f>
        <v>264000</v>
      </c>
    </row>
    <row r="1138" spans="1:16" ht="16.5" thickBot="1">
      <c r="A1138" s="901" t="s">
        <v>102</v>
      </c>
      <c r="B1138" s="902"/>
      <c r="C1138" s="902"/>
      <c r="D1138" s="902"/>
      <c r="E1138" s="903"/>
      <c r="F1138" s="81">
        <f>SUM(F1128:F1137)</f>
        <v>-6420384</v>
      </c>
      <c r="I1138" s="901" t="s">
        <v>102</v>
      </c>
      <c r="J1138" s="902"/>
      <c r="K1138" s="902"/>
      <c r="L1138" s="902"/>
      <c r="M1138" s="903"/>
      <c r="N1138" s="81">
        <f>SUM(N1128:N1137)</f>
        <v>1582000</v>
      </c>
    </row>
    <row r="1139" spans="1:16" ht="16.5" thickBot="1">
      <c r="A1139" s="885" t="s">
        <v>103</v>
      </c>
      <c r="B1139" s="886"/>
      <c r="C1139" s="886"/>
      <c r="D1139" s="886"/>
      <c r="E1139" s="887"/>
      <c r="F1139" s="69">
        <f>+F1103</f>
        <v>664239638</v>
      </c>
      <c r="I1139" s="885" t="s">
        <v>103</v>
      </c>
      <c r="J1139" s="886"/>
      <c r="K1139" s="886"/>
      <c r="L1139" s="886"/>
      <c r="M1139" s="887"/>
      <c r="N1139" s="69">
        <f>+N1103</f>
        <v>347653965</v>
      </c>
      <c r="O1139" s="241" t="s">
        <v>561</v>
      </c>
      <c r="P1139" s="242">
        <f>1450+41+79+673+46</f>
        <v>2289</v>
      </c>
    </row>
    <row r="1140" spans="1:16" ht="16.5" thickBot="1">
      <c r="A1140" s="888" t="s">
        <v>104</v>
      </c>
      <c r="B1140" s="889"/>
      <c r="C1140" s="889"/>
      <c r="D1140" s="889"/>
      <c r="E1140" s="890"/>
      <c r="F1140" s="183">
        <f>SUM(F1138:F1139)</f>
        <v>657819254</v>
      </c>
      <c r="I1140" s="888" t="s">
        <v>104</v>
      </c>
      <c r="J1140" s="889"/>
      <c r="K1140" s="889"/>
      <c r="L1140" s="889"/>
      <c r="M1140" s="890"/>
      <c r="N1140" s="183">
        <f>SUM(N1138:N1139)</f>
        <v>349235965</v>
      </c>
    </row>
    <row r="1141" spans="1:16">
      <c r="A1141" s="61"/>
      <c r="B1141" s="61"/>
      <c r="C1141" s="61"/>
      <c r="D1141" s="61"/>
      <c r="E1141" s="61"/>
      <c r="I1141" s="61"/>
      <c r="J1141" s="61"/>
      <c r="K1141" s="61"/>
      <c r="L1141" s="61"/>
      <c r="M1141" s="61"/>
    </row>
    <row r="1142" spans="1:16">
      <c r="A1142" s="51" t="s">
        <v>488</v>
      </c>
      <c r="I1142" s="51" t="s">
        <v>862</v>
      </c>
    </row>
    <row r="1143" spans="1:16" ht="12" customHeight="1">
      <c r="F1143" s="139"/>
      <c r="N1143" s="139"/>
    </row>
    <row r="1144" spans="1:16">
      <c r="A1144" s="50" t="s">
        <v>105</v>
      </c>
      <c r="D1144" s="146"/>
      <c r="F1144" s="139"/>
      <c r="I1144" s="50" t="s">
        <v>105</v>
      </c>
      <c r="L1144" s="146"/>
      <c r="N1144" s="139"/>
    </row>
    <row r="1145" spans="1:16" ht="12.75" customHeight="1" thickBot="1"/>
    <row r="1146" spans="1:16" ht="15.75" thickBot="1">
      <c r="A1146" s="891" t="s">
        <v>106</v>
      </c>
      <c r="B1146" s="892"/>
      <c r="C1146" s="892"/>
      <c r="D1146" s="893"/>
      <c r="F1146" s="50" t="s">
        <v>288</v>
      </c>
      <c r="I1146" s="891" t="s">
        <v>106</v>
      </c>
      <c r="J1146" s="892"/>
      <c r="K1146" s="892"/>
      <c r="L1146" s="893"/>
      <c r="N1146" s="50" t="s">
        <v>288</v>
      </c>
    </row>
    <row r="1147" spans="1:16" ht="30.75" thickBot="1">
      <c r="A1147" s="57" t="s">
        <v>100</v>
      </c>
      <c r="B1147" s="58" t="s">
        <v>108</v>
      </c>
      <c r="C1147" s="59" t="s">
        <v>109</v>
      </c>
      <c r="D1147" s="60" t="s">
        <v>110</v>
      </c>
      <c r="I1147" s="57" t="s">
        <v>100</v>
      </c>
      <c r="J1147" s="58" t="s">
        <v>108</v>
      </c>
      <c r="K1147" s="59" t="s">
        <v>109</v>
      </c>
      <c r="L1147" s="60" t="s">
        <v>110</v>
      </c>
    </row>
    <row r="1148" spans="1:16">
      <c r="A1148" s="71">
        <v>719</v>
      </c>
      <c r="B1148" s="73">
        <f>+H1128+H1130+H1132+H1134+H1136</f>
        <v>0</v>
      </c>
      <c r="C1148" s="74">
        <f>+D1111</f>
        <v>45680000</v>
      </c>
      <c r="D1148" s="195">
        <f>+B1148+C1148</f>
        <v>45680000</v>
      </c>
      <c r="I1148" s="71">
        <v>719</v>
      </c>
      <c r="J1148" s="73">
        <f>+P1128+P1130+P1132+P1134+P1136</f>
        <v>1130000</v>
      </c>
      <c r="K1148" s="74">
        <f>+L1111</f>
        <v>8310000</v>
      </c>
      <c r="L1148" s="195">
        <f>+J1148+K1148</f>
        <v>9440000</v>
      </c>
    </row>
    <row r="1149" spans="1:16">
      <c r="A1149" s="72">
        <v>721</v>
      </c>
      <c r="B1149" s="80">
        <f>(+H1137+H1135+H1133+H1131+H1129)</f>
        <v>-6420384</v>
      </c>
      <c r="C1149" s="74">
        <f>+D1112</f>
        <v>62192797</v>
      </c>
      <c r="D1149" s="195">
        <f>+B1149+C1149</f>
        <v>55772413</v>
      </c>
      <c r="I1149" s="72">
        <v>721</v>
      </c>
      <c r="J1149" s="80">
        <f>+P1129+P1131+P1133+P1135+P1137</f>
        <v>452000</v>
      </c>
      <c r="K1149" s="74">
        <f>+L1112</f>
        <v>2556000</v>
      </c>
      <c r="L1149" s="195">
        <f>+J1149+K1149</f>
        <v>3008000</v>
      </c>
    </row>
    <row r="1150" spans="1:16">
      <c r="A1150" s="72">
        <v>722</v>
      </c>
      <c r="B1150" s="80"/>
      <c r="C1150" s="74">
        <f>+D1113</f>
        <v>231207671</v>
      </c>
      <c r="D1150" s="195">
        <f>+B1150+C1150</f>
        <v>231207671</v>
      </c>
      <c r="I1150" s="72">
        <v>722</v>
      </c>
      <c r="J1150" s="80"/>
      <c r="K1150" s="74">
        <f>+L1113</f>
        <v>0</v>
      </c>
      <c r="L1150" s="195">
        <f>+J1150+K1150</f>
        <v>0</v>
      </c>
    </row>
    <row r="1151" spans="1:16" ht="15.75">
      <c r="A1151" s="72">
        <v>723</v>
      </c>
      <c r="B1151" s="80"/>
      <c r="C1151" s="74">
        <f>+D1114</f>
        <v>323193545</v>
      </c>
      <c r="D1151" s="195">
        <f>+B1151+C1151</f>
        <v>323193545</v>
      </c>
      <c r="F1151" s="174" t="s">
        <v>23</v>
      </c>
      <c r="G1151" s="175"/>
      <c r="I1151" s="72">
        <v>723</v>
      </c>
      <c r="J1151" s="80"/>
      <c r="K1151" s="74">
        <f>+L1114</f>
        <v>336787965</v>
      </c>
      <c r="L1151" s="195">
        <f>+J1151+K1151</f>
        <v>336787965</v>
      </c>
      <c r="N1151" s="193" t="s">
        <v>289</v>
      </c>
      <c r="O1151" s="175"/>
    </row>
    <row r="1152" spans="1:16" ht="16.5" thickBot="1">
      <c r="A1152" s="164" t="s">
        <v>181</v>
      </c>
      <c r="B1152" s="165"/>
      <c r="C1152" s="74" t="e">
        <f>+D1115</f>
        <v>#REF!</v>
      </c>
      <c r="D1152" s="196" t="e">
        <f>+B1152+C1152</f>
        <v>#REF!</v>
      </c>
      <c r="F1152" s="52"/>
      <c r="I1152" s="164" t="s">
        <v>181</v>
      </c>
      <c r="J1152" s="165"/>
      <c r="K1152" s="74">
        <f>+L1115</f>
        <v>0</v>
      </c>
      <c r="L1152" s="196">
        <f>+J1152+K1152</f>
        <v>0</v>
      </c>
      <c r="N1152" s="52"/>
    </row>
    <row r="1153" spans="1:16" ht="16.5" thickBot="1">
      <c r="A1153" s="169"/>
      <c r="B1153" s="170">
        <f>SUM(B1148:B1152)</f>
        <v>-6420384</v>
      </c>
      <c r="C1153" s="171" t="e">
        <f>SUM(C1148:C1152)</f>
        <v>#REF!</v>
      </c>
      <c r="D1153" s="172" t="e">
        <f>SUM(D1148:D1152)</f>
        <v>#REF!</v>
      </c>
      <c r="I1153" s="169"/>
      <c r="J1153" s="197">
        <f>SUM(J1148:J1152)</f>
        <v>1582000</v>
      </c>
      <c r="K1153" s="197">
        <f>SUM(K1148:K1152)</f>
        <v>347653965</v>
      </c>
      <c r="L1153" s="198">
        <f>SUM(L1148:L1152)</f>
        <v>349235965</v>
      </c>
    </row>
    <row r="1154" spans="1:16" ht="16.5">
      <c r="A1154" s="49" t="s">
        <v>88</v>
      </c>
      <c r="B1154" s="50"/>
      <c r="I1154" s="49" t="s">
        <v>88</v>
      </c>
      <c r="J1154" s="50"/>
    </row>
    <row r="1155" spans="1:16">
      <c r="A1155" s="51" t="s">
        <v>89</v>
      </c>
      <c r="I1155" s="51" t="s">
        <v>89</v>
      </c>
    </row>
    <row r="1156" spans="1:16">
      <c r="A1156" s="51" t="s">
        <v>90</v>
      </c>
      <c r="I1156" s="51" t="s">
        <v>90</v>
      </c>
    </row>
    <row r="1157" spans="1:16">
      <c r="A1157" s="51" t="s">
        <v>91</v>
      </c>
      <c r="I1157" s="51" t="s">
        <v>91</v>
      </c>
    </row>
    <row r="1158" spans="1:16" ht="11.25" customHeight="1">
      <c r="A1158" s="50"/>
      <c r="B1158" s="50"/>
      <c r="I1158" s="50"/>
      <c r="J1158" s="50"/>
    </row>
    <row r="1159" spans="1:16" ht="16.5">
      <c r="A1159" s="52" t="s">
        <v>489</v>
      </c>
      <c r="G1159" s="52"/>
      <c r="I1159" s="260" t="s">
        <v>185</v>
      </c>
      <c r="O1159" s="52"/>
    </row>
    <row r="1160" spans="1:16" ht="15.75">
      <c r="A1160" s="53" t="s">
        <v>92</v>
      </c>
      <c r="G1160" s="53"/>
      <c r="I1160" s="53" t="s">
        <v>535</v>
      </c>
      <c r="O1160" s="53"/>
    </row>
    <row r="1161" spans="1:16" ht="16.5">
      <c r="A1161" s="894" t="s">
        <v>462</v>
      </c>
      <c r="B1161" s="894"/>
      <c r="C1161" s="894"/>
      <c r="D1161" s="894"/>
      <c r="E1161" s="894"/>
      <c r="F1161" s="894"/>
      <c r="G1161" s="894"/>
      <c r="H1161" s="894"/>
      <c r="I1161" s="894" t="s">
        <v>261</v>
      </c>
      <c r="J1161" s="894"/>
      <c r="K1161" s="894"/>
      <c r="L1161" s="894"/>
      <c r="M1161" s="894"/>
      <c r="N1161" s="894"/>
      <c r="O1161" s="894"/>
      <c r="P1161" s="894"/>
    </row>
    <row r="1162" spans="1:16" ht="15.75" thickBot="1"/>
    <row r="1163" spans="1:16">
      <c r="A1163" s="895" t="s">
        <v>94</v>
      </c>
      <c r="B1163" s="897" t="s">
        <v>95</v>
      </c>
      <c r="C1163" s="897" t="s">
        <v>96</v>
      </c>
      <c r="D1163" s="897" t="s">
        <v>3</v>
      </c>
      <c r="E1163" s="897" t="s">
        <v>97</v>
      </c>
      <c r="F1163" s="897" t="s">
        <v>98</v>
      </c>
      <c r="G1163" s="897" t="s">
        <v>99</v>
      </c>
      <c r="H1163" s="899"/>
      <c r="I1163" s="895" t="s">
        <v>94</v>
      </c>
      <c r="J1163" s="897" t="s">
        <v>95</v>
      </c>
      <c r="K1163" s="897" t="s">
        <v>96</v>
      </c>
      <c r="L1163" s="897" t="s">
        <v>3</v>
      </c>
      <c r="M1163" s="897" t="s">
        <v>97</v>
      </c>
      <c r="N1163" s="897" t="s">
        <v>98</v>
      </c>
      <c r="O1163" s="897" t="s">
        <v>99</v>
      </c>
      <c r="P1163" s="899"/>
    </row>
    <row r="1164" spans="1:16" ht="15.75" thickBot="1">
      <c r="A1164" s="896"/>
      <c r="B1164" s="898"/>
      <c r="C1164" s="898"/>
      <c r="D1164" s="898"/>
      <c r="E1164" s="898"/>
      <c r="F1164" s="898"/>
      <c r="G1164" s="240" t="s">
        <v>100</v>
      </c>
      <c r="H1164" s="182" t="s">
        <v>101</v>
      </c>
      <c r="I1164" s="896"/>
      <c r="J1164" s="898"/>
      <c r="K1164" s="898"/>
      <c r="L1164" s="898"/>
      <c r="M1164" s="898"/>
      <c r="N1164" s="898"/>
      <c r="O1164" s="240" t="s">
        <v>100</v>
      </c>
      <c r="P1164" s="182" t="s">
        <v>101</v>
      </c>
    </row>
    <row r="1165" spans="1:16" ht="15" customHeight="1">
      <c r="A1165" s="919">
        <f>+A1099+1</f>
        <v>357</v>
      </c>
      <c r="B1165" s="875">
        <v>42355</v>
      </c>
      <c r="C1165" s="877" t="s">
        <v>31</v>
      </c>
      <c r="D1165" s="877" t="s">
        <v>490</v>
      </c>
      <c r="E1165" s="881" t="s">
        <v>115</v>
      </c>
      <c r="F1165" s="883">
        <v>50000</v>
      </c>
      <c r="G1165" s="55">
        <v>719</v>
      </c>
      <c r="H1165" s="78">
        <v>50000</v>
      </c>
      <c r="I1165" s="873" t="s">
        <v>863</v>
      </c>
      <c r="J1165" s="875">
        <v>42485</v>
      </c>
      <c r="K1165" s="881" t="s">
        <v>40</v>
      </c>
      <c r="L1165" s="881" t="s">
        <v>874</v>
      </c>
      <c r="M1165" s="881" t="s">
        <v>148</v>
      </c>
      <c r="N1165" s="883">
        <v>154000</v>
      </c>
      <c r="O1165" s="55">
        <v>719</v>
      </c>
      <c r="P1165" s="78">
        <v>110000</v>
      </c>
    </row>
    <row r="1166" spans="1:16" ht="15.75" customHeight="1" thickBot="1">
      <c r="A1166" s="920"/>
      <c r="B1166" s="876"/>
      <c r="C1166" s="878"/>
      <c r="D1166" s="878"/>
      <c r="E1166" s="882"/>
      <c r="F1166" s="884"/>
      <c r="G1166" s="56">
        <v>721</v>
      </c>
      <c r="H1166" s="79">
        <f>+F1165-H1165</f>
        <v>0</v>
      </c>
      <c r="I1166" s="874"/>
      <c r="J1166" s="876"/>
      <c r="K1166" s="882"/>
      <c r="L1166" s="882"/>
      <c r="M1166" s="882"/>
      <c r="N1166" s="884"/>
      <c r="O1166" s="56">
        <v>721</v>
      </c>
      <c r="P1166" s="79">
        <f>+N1165-P1165</f>
        <v>44000</v>
      </c>
    </row>
    <row r="1167" spans="1:16" ht="15" customHeight="1">
      <c r="A1167" s="919">
        <f>+A1165+1</f>
        <v>358</v>
      </c>
      <c r="B1167" s="875">
        <v>42355</v>
      </c>
      <c r="C1167" s="877" t="s">
        <v>32</v>
      </c>
      <c r="D1167" s="877" t="s">
        <v>491</v>
      </c>
      <c r="E1167" s="881" t="s">
        <v>115</v>
      </c>
      <c r="F1167" s="883">
        <v>20000</v>
      </c>
      <c r="G1167" s="55">
        <v>719</v>
      </c>
      <c r="H1167" s="78">
        <v>20000</v>
      </c>
      <c r="I1167" s="881">
        <f>+I1165+1</f>
        <v>151</v>
      </c>
      <c r="J1167" s="875">
        <v>42485</v>
      </c>
      <c r="K1167" s="881" t="s">
        <v>28</v>
      </c>
      <c r="L1167" s="879" t="s">
        <v>875</v>
      </c>
      <c r="M1167" s="881" t="s">
        <v>148</v>
      </c>
      <c r="N1167" s="883">
        <v>364000</v>
      </c>
      <c r="O1167" s="55">
        <v>719</v>
      </c>
      <c r="P1167" s="78">
        <v>260000</v>
      </c>
    </row>
    <row r="1168" spans="1:16" ht="15.75" customHeight="1" thickBot="1">
      <c r="A1168" s="920"/>
      <c r="B1168" s="876"/>
      <c r="C1168" s="878"/>
      <c r="D1168" s="878"/>
      <c r="E1168" s="882"/>
      <c r="F1168" s="884"/>
      <c r="G1168" s="56">
        <v>721</v>
      </c>
      <c r="H1168" s="79">
        <f>+F1167-H1167</f>
        <v>0</v>
      </c>
      <c r="I1168" s="882"/>
      <c r="J1168" s="876"/>
      <c r="K1168" s="882"/>
      <c r="L1168" s="880"/>
      <c r="M1168" s="882"/>
      <c r="N1168" s="884"/>
      <c r="O1168" s="56">
        <v>721</v>
      </c>
      <c r="P1168" s="79">
        <f>+N1167-P1167</f>
        <v>104000</v>
      </c>
    </row>
    <row r="1169" spans="1:16" ht="15" customHeight="1">
      <c r="A1169" s="919"/>
      <c r="B1169" s="875"/>
      <c r="C1169" s="877"/>
      <c r="D1169" s="881"/>
      <c r="E1169" s="881"/>
      <c r="F1169" s="883"/>
      <c r="G1169" s="55">
        <v>719</v>
      </c>
      <c r="H1169" s="78"/>
      <c r="I1169" s="881">
        <f>+I1167+1</f>
        <v>152</v>
      </c>
      <c r="J1169" s="875">
        <v>42485</v>
      </c>
      <c r="K1169" s="877" t="s">
        <v>111</v>
      </c>
      <c r="L1169" s="879" t="s">
        <v>876</v>
      </c>
      <c r="M1169" s="881" t="s">
        <v>148</v>
      </c>
      <c r="N1169" s="883">
        <v>84000</v>
      </c>
      <c r="O1169" s="55">
        <v>719</v>
      </c>
      <c r="P1169" s="78">
        <v>60000</v>
      </c>
    </row>
    <row r="1170" spans="1:16" ht="15.75" customHeight="1" thickBot="1">
      <c r="A1170" s="920"/>
      <c r="B1170" s="876"/>
      <c r="C1170" s="878"/>
      <c r="D1170" s="882"/>
      <c r="E1170" s="882"/>
      <c r="F1170" s="884"/>
      <c r="G1170" s="56">
        <v>721</v>
      </c>
      <c r="H1170" s="79"/>
      <c r="I1170" s="882"/>
      <c r="J1170" s="876"/>
      <c r="K1170" s="878"/>
      <c r="L1170" s="880"/>
      <c r="M1170" s="882"/>
      <c r="N1170" s="884"/>
      <c r="O1170" s="56">
        <v>721</v>
      </c>
      <c r="P1170" s="79">
        <f>+N1169-P1169</f>
        <v>24000</v>
      </c>
    </row>
    <row r="1171" spans="1:16" ht="15" customHeight="1">
      <c r="A1171" s="881"/>
      <c r="B1171" s="875"/>
      <c r="C1171" s="877"/>
      <c r="D1171" s="881"/>
      <c r="E1171" s="881"/>
      <c r="F1171" s="883"/>
      <c r="G1171" s="55">
        <v>719</v>
      </c>
      <c r="H1171" s="78"/>
      <c r="I1171" s="881">
        <f>+I1169+1</f>
        <v>153</v>
      </c>
      <c r="J1171" s="875">
        <v>42485</v>
      </c>
      <c r="K1171" s="877" t="s">
        <v>272</v>
      </c>
      <c r="L1171" s="879" t="s">
        <v>877</v>
      </c>
      <c r="M1171" s="881" t="s">
        <v>148</v>
      </c>
      <c r="N1171" s="883">
        <v>700000</v>
      </c>
      <c r="O1171" s="55">
        <v>719</v>
      </c>
      <c r="P1171" s="78">
        <v>500000</v>
      </c>
    </row>
    <row r="1172" spans="1:16" ht="14.25" customHeight="1" thickBot="1">
      <c r="A1172" s="882"/>
      <c r="B1172" s="876"/>
      <c r="C1172" s="878"/>
      <c r="D1172" s="882"/>
      <c r="E1172" s="882"/>
      <c r="F1172" s="884"/>
      <c r="G1172" s="56">
        <v>721</v>
      </c>
      <c r="H1172" s="79">
        <f>+F1171-H1171</f>
        <v>0</v>
      </c>
      <c r="I1172" s="882"/>
      <c r="J1172" s="876"/>
      <c r="K1172" s="878"/>
      <c r="L1172" s="880"/>
      <c r="M1172" s="882"/>
      <c r="N1172" s="884"/>
      <c r="O1172" s="56">
        <v>721</v>
      </c>
      <c r="P1172" s="79">
        <f>+N1171-P1171</f>
        <v>200000</v>
      </c>
    </row>
    <row r="1173" spans="1:16" ht="15" customHeight="1">
      <c r="A1173" s="881"/>
      <c r="B1173" s="875"/>
      <c r="C1173" s="877"/>
      <c r="D1173" s="881"/>
      <c r="E1173" s="881"/>
      <c r="F1173" s="883"/>
      <c r="G1173" s="55">
        <v>719</v>
      </c>
      <c r="H1173" s="78"/>
      <c r="I1173" s="881">
        <f>+I1171+1</f>
        <v>154</v>
      </c>
      <c r="J1173" s="875">
        <v>42485</v>
      </c>
      <c r="K1173" s="877" t="s">
        <v>28</v>
      </c>
      <c r="L1173" s="879" t="s">
        <v>878</v>
      </c>
      <c r="M1173" s="881" t="s">
        <v>115</v>
      </c>
      <c r="N1173" s="883">
        <v>70000</v>
      </c>
      <c r="O1173" s="55">
        <v>719</v>
      </c>
      <c r="P1173" s="78">
        <v>70000</v>
      </c>
    </row>
    <row r="1174" spans="1:16" ht="15.75" customHeight="1" thickBot="1">
      <c r="A1174" s="882"/>
      <c r="B1174" s="876"/>
      <c r="C1174" s="878"/>
      <c r="D1174" s="882"/>
      <c r="E1174" s="882"/>
      <c r="F1174" s="884"/>
      <c r="G1174" s="56">
        <v>721</v>
      </c>
      <c r="H1174" s="79">
        <f>+F1173-H1173</f>
        <v>0</v>
      </c>
      <c r="I1174" s="882"/>
      <c r="J1174" s="876"/>
      <c r="K1174" s="878"/>
      <c r="L1174" s="880"/>
      <c r="M1174" s="882"/>
      <c r="N1174" s="884"/>
      <c r="O1174" s="56">
        <v>721</v>
      </c>
      <c r="P1174" s="79">
        <f>+N1173-P1173</f>
        <v>0</v>
      </c>
    </row>
    <row r="1175" spans="1:16" ht="16.5" thickBot="1">
      <c r="A1175" s="901" t="s">
        <v>102</v>
      </c>
      <c r="B1175" s="902"/>
      <c r="C1175" s="902"/>
      <c r="D1175" s="902"/>
      <c r="E1175" s="903"/>
      <c r="F1175" s="81">
        <f>SUM(F1165:F1174)</f>
        <v>70000</v>
      </c>
      <c r="I1175" s="901" t="s">
        <v>102</v>
      </c>
      <c r="J1175" s="902"/>
      <c r="K1175" s="902"/>
      <c r="L1175" s="902"/>
      <c r="M1175" s="903"/>
      <c r="N1175" s="81">
        <f>SUM(N1165:N1174)</f>
        <v>1372000</v>
      </c>
    </row>
    <row r="1176" spans="1:16" ht="16.5" thickBot="1">
      <c r="A1176" s="885" t="s">
        <v>103</v>
      </c>
      <c r="B1176" s="886"/>
      <c r="C1176" s="886"/>
      <c r="D1176" s="886"/>
      <c r="E1176" s="887"/>
      <c r="F1176" s="69">
        <f>+F1140</f>
        <v>657819254</v>
      </c>
      <c r="I1176" s="885" t="s">
        <v>103</v>
      </c>
      <c r="J1176" s="886"/>
      <c r="K1176" s="886"/>
      <c r="L1176" s="886"/>
      <c r="M1176" s="887"/>
      <c r="N1176" s="69">
        <f>+N1140</f>
        <v>349235965</v>
      </c>
      <c r="O1176" s="241" t="s">
        <v>561</v>
      </c>
      <c r="P1176" s="242">
        <f>193+89+638+11+1190</f>
        <v>2121</v>
      </c>
    </row>
    <row r="1177" spans="1:16" ht="16.5" thickBot="1">
      <c r="A1177" s="888" t="s">
        <v>104</v>
      </c>
      <c r="B1177" s="889"/>
      <c r="C1177" s="889"/>
      <c r="D1177" s="889"/>
      <c r="E1177" s="890"/>
      <c r="F1177" s="183">
        <f>SUM(F1175:F1176)</f>
        <v>657889254</v>
      </c>
      <c r="I1177" s="888" t="s">
        <v>104</v>
      </c>
      <c r="J1177" s="889"/>
      <c r="K1177" s="889"/>
      <c r="L1177" s="889"/>
      <c r="M1177" s="890"/>
      <c r="N1177" s="183">
        <f>SUM(N1175:N1176)</f>
        <v>350607965</v>
      </c>
    </row>
    <row r="1178" spans="1:16">
      <c r="A1178" s="61"/>
      <c r="B1178" s="61"/>
      <c r="C1178" s="61"/>
      <c r="D1178" s="61"/>
      <c r="E1178" s="61"/>
      <c r="I1178" s="61"/>
      <c r="J1178" s="61"/>
      <c r="K1178" s="61"/>
      <c r="L1178" s="61"/>
      <c r="M1178" s="61"/>
    </row>
    <row r="1179" spans="1:16">
      <c r="A1179" s="51" t="s">
        <v>492</v>
      </c>
      <c r="I1179" s="51" t="s">
        <v>882</v>
      </c>
    </row>
    <row r="1180" spans="1:16" ht="12" customHeight="1">
      <c r="F1180" s="139"/>
      <c r="N1180" s="139"/>
    </row>
    <row r="1181" spans="1:16">
      <c r="A1181" s="50" t="s">
        <v>105</v>
      </c>
      <c r="D1181" s="146"/>
      <c r="F1181" s="139"/>
      <c r="I1181" s="50" t="s">
        <v>105</v>
      </c>
      <c r="L1181" s="146"/>
      <c r="N1181" s="139"/>
    </row>
    <row r="1182" spans="1:16" ht="13.5" customHeight="1" thickBot="1"/>
    <row r="1183" spans="1:16" ht="15.75" thickBot="1">
      <c r="A1183" s="891" t="s">
        <v>106</v>
      </c>
      <c r="B1183" s="892"/>
      <c r="C1183" s="892"/>
      <c r="D1183" s="893"/>
      <c r="F1183" s="50" t="s">
        <v>288</v>
      </c>
      <c r="I1183" s="891" t="s">
        <v>106</v>
      </c>
      <c r="J1183" s="892"/>
      <c r="K1183" s="892"/>
      <c r="L1183" s="893"/>
      <c r="N1183" s="50" t="s">
        <v>288</v>
      </c>
    </row>
    <row r="1184" spans="1:16" ht="30.75" thickBot="1">
      <c r="A1184" s="57" t="s">
        <v>100</v>
      </c>
      <c r="B1184" s="58" t="s">
        <v>108</v>
      </c>
      <c r="C1184" s="59" t="s">
        <v>109</v>
      </c>
      <c r="D1184" s="60" t="s">
        <v>110</v>
      </c>
      <c r="I1184" s="57" t="s">
        <v>100</v>
      </c>
      <c r="J1184" s="58" t="s">
        <v>108</v>
      </c>
      <c r="K1184" s="59" t="s">
        <v>109</v>
      </c>
      <c r="L1184" s="60" t="s">
        <v>110</v>
      </c>
    </row>
    <row r="1185" spans="1:16">
      <c r="A1185" s="71">
        <v>719</v>
      </c>
      <c r="B1185" s="73">
        <f>+H1165+H1167+H1169+H1171+H1173</f>
        <v>70000</v>
      </c>
      <c r="C1185" s="74">
        <f>+D1148</f>
        <v>45680000</v>
      </c>
      <c r="D1185" s="195">
        <f>+B1185+C1185</f>
        <v>45750000</v>
      </c>
      <c r="I1185" s="71">
        <v>719</v>
      </c>
      <c r="J1185" s="73">
        <f>+P1165+P1167+P1169+P1171+P1173</f>
        <v>1000000</v>
      </c>
      <c r="K1185" s="74">
        <f>+L1148</f>
        <v>9440000</v>
      </c>
      <c r="L1185" s="195">
        <f>+J1185+K1185</f>
        <v>10440000</v>
      </c>
    </row>
    <row r="1186" spans="1:16">
      <c r="A1186" s="72">
        <v>721</v>
      </c>
      <c r="B1186" s="80">
        <f>(+H1174+H1172+H1170+H1168+H1166)</f>
        <v>0</v>
      </c>
      <c r="C1186" s="74">
        <f>+D1149</f>
        <v>55772413</v>
      </c>
      <c r="D1186" s="195">
        <f>+B1186+C1186</f>
        <v>55772413</v>
      </c>
      <c r="I1186" s="72">
        <v>721</v>
      </c>
      <c r="J1186" s="80">
        <f>+P1166+P1168+P1170+P1172+P1174</f>
        <v>372000</v>
      </c>
      <c r="K1186" s="74">
        <f>+L1149</f>
        <v>3008000</v>
      </c>
      <c r="L1186" s="195">
        <f>+J1186+K1186</f>
        <v>3380000</v>
      </c>
    </row>
    <row r="1187" spans="1:16">
      <c r="A1187" s="72">
        <v>722</v>
      </c>
      <c r="B1187" s="80"/>
      <c r="C1187" s="74">
        <f>+D1150</f>
        <v>231207671</v>
      </c>
      <c r="D1187" s="195">
        <f>+B1187+C1187</f>
        <v>231207671</v>
      </c>
      <c r="I1187" s="72">
        <v>722</v>
      </c>
      <c r="J1187" s="80"/>
      <c r="K1187" s="74">
        <f>+L1150</f>
        <v>0</v>
      </c>
      <c r="L1187" s="195">
        <f>+J1187+K1187</f>
        <v>0</v>
      </c>
    </row>
    <row r="1188" spans="1:16" ht="15.75">
      <c r="A1188" s="72">
        <v>723</v>
      </c>
      <c r="B1188" s="80"/>
      <c r="C1188" s="74">
        <f>+D1151</f>
        <v>323193545</v>
      </c>
      <c r="D1188" s="195">
        <f>+B1188+C1188</f>
        <v>323193545</v>
      </c>
      <c r="F1188" s="174" t="s">
        <v>23</v>
      </c>
      <c r="G1188" s="175"/>
      <c r="I1188" s="72">
        <v>723</v>
      </c>
      <c r="J1188" s="80"/>
      <c r="K1188" s="74">
        <f>+L1151</f>
        <v>336787965</v>
      </c>
      <c r="L1188" s="195">
        <f>+J1188+K1188</f>
        <v>336787965</v>
      </c>
      <c r="N1188" s="193" t="s">
        <v>289</v>
      </c>
      <c r="O1188" s="175"/>
    </row>
    <row r="1189" spans="1:16" ht="16.5" thickBot="1">
      <c r="A1189" s="164" t="s">
        <v>181</v>
      </c>
      <c r="B1189" s="165"/>
      <c r="C1189" s="74" t="e">
        <f>+D1152</f>
        <v>#REF!</v>
      </c>
      <c r="D1189" s="196" t="e">
        <f>+B1189+C1189</f>
        <v>#REF!</v>
      </c>
      <c r="F1189" s="52"/>
      <c r="I1189" s="164" t="s">
        <v>181</v>
      </c>
      <c r="J1189" s="165"/>
      <c r="K1189" s="74">
        <f>+L1152</f>
        <v>0</v>
      </c>
      <c r="L1189" s="196">
        <f>+J1189+K1189</f>
        <v>0</v>
      </c>
      <c r="N1189" s="52"/>
    </row>
    <row r="1190" spans="1:16" ht="16.5" thickBot="1">
      <c r="A1190" s="169"/>
      <c r="B1190" s="170">
        <f>SUM(B1185:B1189)</f>
        <v>70000</v>
      </c>
      <c r="C1190" s="171" t="e">
        <f>SUM(C1185:C1189)</f>
        <v>#REF!</v>
      </c>
      <c r="D1190" s="172" t="e">
        <f>SUM(D1185:D1189)</f>
        <v>#REF!</v>
      </c>
      <c r="I1190" s="169"/>
      <c r="J1190" s="197">
        <f>SUM(J1185:J1189)</f>
        <v>1372000</v>
      </c>
      <c r="K1190" s="197">
        <f>SUM(K1185:K1189)</f>
        <v>349235965</v>
      </c>
      <c r="L1190" s="198">
        <f>SUM(L1185:L1189)</f>
        <v>350607965</v>
      </c>
    </row>
    <row r="1191" spans="1:16" ht="16.5">
      <c r="A1191" s="49" t="s">
        <v>88</v>
      </c>
      <c r="B1191" s="50"/>
      <c r="I1191" s="49" t="s">
        <v>88</v>
      </c>
      <c r="J1191" s="50"/>
    </row>
    <row r="1192" spans="1:16">
      <c r="A1192" s="51" t="s">
        <v>89</v>
      </c>
      <c r="I1192" s="51" t="s">
        <v>89</v>
      </c>
    </row>
    <row r="1193" spans="1:16">
      <c r="A1193" s="51" t="s">
        <v>90</v>
      </c>
      <c r="I1193" s="51" t="s">
        <v>90</v>
      </c>
    </row>
    <row r="1194" spans="1:16">
      <c r="A1194" s="51" t="s">
        <v>91</v>
      </c>
      <c r="I1194" s="51" t="s">
        <v>91</v>
      </c>
    </row>
    <row r="1195" spans="1:16" ht="10.5" customHeight="1">
      <c r="A1195" s="50"/>
      <c r="B1195" s="50"/>
      <c r="I1195" s="50"/>
      <c r="J1195" s="50"/>
    </row>
    <row r="1196" spans="1:16" ht="16.5">
      <c r="A1196" s="52" t="s">
        <v>493</v>
      </c>
      <c r="G1196" s="52"/>
      <c r="I1196" s="260" t="s">
        <v>870</v>
      </c>
      <c r="O1196" s="52"/>
    </row>
    <row r="1197" spans="1:16" ht="15.75">
      <c r="A1197" s="53" t="s">
        <v>92</v>
      </c>
      <c r="G1197" s="53"/>
      <c r="I1197" s="53" t="s">
        <v>535</v>
      </c>
      <c r="O1197" s="53"/>
    </row>
    <row r="1198" spans="1:16" ht="16.5">
      <c r="A1198" s="894" t="s">
        <v>261</v>
      </c>
      <c r="B1198" s="894"/>
      <c r="C1198" s="894"/>
      <c r="D1198" s="894"/>
      <c r="E1198" s="894"/>
      <c r="F1198" s="894"/>
      <c r="G1198" s="894"/>
      <c r="H1198" s="894"/>
      <c r="I1198" s="894" t="s">
        <v>261</v>
      </c>
      <c r="J1198" s="894"/>
      <c r="K1198" s="894"/>
      <c r="L1198" s="894"/>
      <c r="M1198" s="894"/>
      <c r="N1198" s="894"/>
      <c r="O1198" s="894"/>
      <c r="P1198" s="894"/>
    </row>
    <row r="1199" spans="1:16" ht="15.75" thickBot="1"/>
    <row r="1200" spans="1:16">
      <c r="A1200" s="895" t="s">
        <v>94</v>
      </c>
      <c r="B1200" s="897" t="s">
        <v>95</v>
      </c>
      <c r="C1200" s="897" t="s">
        <v>96</v>
      </c>
      <c r="D1200" s="897" t="s">
        <v>3</v>
      </c>
      <c r="E1200" s="897" t="s">
        <v>97</v>
      </c>
      <c r="F1200" s="897" t="s">
        <v>98</v>
      </c>
      <c r="G1200" s="897" t="s">
        <v>99</v>
      </c>
      <c r="H1200" s="899"/>
      <c r="I1200" s="895" t="s">
        <v>94</v>
      </c>
      <c r="J1200" s="897" t="s">
        <v>95</v>
      </c>
      <c r="K1200" s="897" t="s">
        <v>96</v>
      </c>
      <c r="L1200" s="897" t="s">
        <v>3</v>
      </c>
      <c r="M1200" s="897" t="s">
        <v>97</v>
      </c>
      <c r="N1200" s="897" t="s">
        <v>98</v>
      </c>
      <c r="O1200" s="897" t="s">
        <v>99</v>
      </c>
      <c r="P1200" s="899"/>
    </row>
    <row r="1201" spans="1:16" ht="15.75" thickBot="1">
      <c r="A1201" s="896"/>
      <c r="B1201" s="898"/>
      <c r="C1201" s="898"/>
      <c r="D1201" s="898"/>
      <c r="E1201" s="898"/>
      <c r="F1201" s="898"/>
      <c r="G1201" s="240" t="s">
        <v>100</v>
      </c>
      <c r="H1201" s="182" t="s">
        <v>101</v>
      </c>
      <c r="I1201" s="896"/>
      <c r="J1201" s="898"/>
      <c r="K1201" s="898"/>
      <c r="L1201" s="898"/>
      <c r="M1201" s="898"/>
      <c r="N1201" s="898"/>
      <c r="O1201" s="240" t="s">
        <v>100</v>
      </c>
      <c r="P1201" s="182" t="s">
        <v>101</v>
      </c>
    </row>
    <row r="1202" spans="1:16">
      <c r="A1202" s="919">
        <f>+A1167+1</f>
        <v>359</v>
      </c>
      <c r="B1202" s="875">
        <v>42360</v>
      </c>
      <c r="C1202" s="877" t="s">
        <v>31</v>
      </c>
      <c r="D1202" s="877" t="s">
        <v>494</v>
      </c>
      <c r="E1202" s="881" t="s">
        <v>115</v>
      </c>
      <c r="F1202" s="883">
        <v>70000</v>
      </c>
      <c r="G1202" s="55">
        <v>719</v>
      </c>
      <c r="H1202" s="78">
        <v>70000</v>
      </c>
      <c r="I1202" s="873" t="s">
        <v>872</v>
      </c>
      <c r="J1202" s="875">
        <v>42485</v>
      </c>
      <c r="K1202" s="881" t="s">
        <v>40</v>
      </c>
      <c r="L1202" s="881" t="s">
        <v>879</v>
      </c>
      <c r="M1202" s="881" t="s">
        <v>148</v>
      </c>
      <c r="N1202" s="883">
        <v>112000</v>
      </c>
      <c r="O1202" s="55">
        <v>719</v>
      </c>
      <c r="P1202" s="78">
        <v>80000</v>
      </c>
    </row>
    <row r="1203" spans="1:16" ht="15.75" thickBot="1">
      <c r="A1203" s="920"/>
      <c r="B1203" s="876"/>
      <c r="C1203" s="878"/>
      <c r="D1203" s="878"/>
      <c r="E1203" s="882"/>
      <c r="F1203" s="884"/>
      <c r="G1203" s="56">
        <v>721</v>
      </c>
      <c r="H1203" s="79">
        <f>+F1202-H1202</f>
        <v>0</v>
      </c>
      <c r="I1203" s="874"/>
      <c r="J1203" s="876"/>
      <c r="K1203" s="882"/>
      <c r="L1203" s="882"/>
      <c r="M1203" s="882"/>
      <c r="N1203" s="884"/>
      <c r="O1203" s="56">
        <v>721</v>
      </c>
      <c r="P1203" s="79">
        <f>+N1202-P1202</f>
        <v>32000</v>
      </c>
    </row>
    <row r="1204" spans="1:16" ht="15" customHeight="1">
      <c r="A1204" s="919">
        <f>+A1202+1</f>
        <v>360</v>
      </c>
      <c r="B1204" s="875">
        <v>42360</v>
      </c>
      <c r="C1204" s="877" t="s">
        <v>472</v>
      </c>
      <c r="D1204" s="877" t="s">
        <v>495</v>
      </c>
      <c r="E1204" s="881" t="s">
        <v>115</v>
      </c>
      <c r="F1204" s="883">
        <v>60000</v>
      </c>
      <c r="G1204" s="55">
        <v>719</v>
      </c>
      <c r="H1204" s="78">
        <v>60000</v>
      </c>
      <c r="I1204" s="881">
        <f>+I1202+1</f>
        <v>156</v>
      </c>
      <c r="J1204" s="875">
        <v>42485</v>
      </c>
      <c r="K1204" s="881" t="s">
        <v>28</v>
      </c>
      <c r="L1204" s="879" t="s">
        <v>879</v>
      </c>
      <c r="M1204" s="881" t="s">
        <v>148</v>
      </c>
      <c r="N1204" s="883">
        <v>182000</v>
      </c>
      <c r="O1204" s="55">
        <v>719</v>
      </c>
      <c r="P1204" s="78">
        <v>130000</v>
      </c>
    </row>
    <row r="1205" spans="1:16" ht="15.75" customHeight="1" thickBot="1">
      <c r="A1205" s="920"/>
      <c r="B1205" s="876"/>
      <c r="C1205" s="878"/>
      <c r="D1205" s="878"/>
      <c r="E1205" s="882"/>
      <c r="F1205" s="884"/>
      <c r="G1205" s="56">
        <v>721</v>
      </c>
      <c r="H1205" s="79">
        <f>+F1204-H1204</f>
        <v>0</v>
      </c>
      <c r="I1205" s="882"/>
      <c r="J1205" s="876"/>
      <c r="K1205" s="882"/>
      <c r="L1205" s="880"/>
      <c r="M1205" s="882"/>
      <c r="N1205" s="884"/>
      <c r="O1205" s="56">
        <v>721</v>
      </c>
      <c r="P1205" s="79">
        <f>+N1204-P1204</f>
        <v>52000</v>
      </c>
    </row>
    <row r="1206" spans="1:16" ht="15" customHeight="1">
      <c r="A1206" s="919">
        <f>+A1204+1</f>
        <v>361</v>
      </c>
      <c r="B1206" s="875">
        <v>42360</v>
      </c>
      <c r="C1206" s="877" t="s">
        <v>32</v>
      </c>
      <c r="D1206" s="877" t="s">
        <v>496</v>
      </c>
      <c r="E1206" s="881" t="s">
        <v>115</v>
      </c>
      <c r="F1206" s="883">
        <v>50000</v>
      </c>
      <c r="G1206" s="55">
        <v>719</v>
      </c>
      <c r="H1206" s="78">
        <v>50000</v>
      </c>
      <c r="I1206" s="881">
        <f>+I1204+1</f>
        <v>157</v>
      </c>
      <c r="J1206" s="875">
        <v>42485</v>
      </c>
      <c r="K1206" s="877" t="s">
        <v>111</v>
      </c>
      <c r="L1206" s="881" t="s">
        <v>880</v>
      </c>
      <c r="M1206" s="881" t="s">
        <v>148</v>
      </c>
      <c r="N1206" s="883">
        <v>56000</v>
      </c>
      <c r="O1206" s="55">
        <v>719</v>
      </c>
      <c r="P1206" s="78">
        <v>40000</v>
      </c>
    </row>
    <row r="1207" spans="1:16" ht="15.75" customHeight="1" thickBot="1">
      <c r="A1207" s="920"/>
      <c r="B1207" s="876"/>
      <c r="C1207" s="878"/>
      <c r="D1207" s="878"/>
      <c r="E1207" s="882"/>
      <c r="F1207" s="884"/>
      <c r="G1207" s="56">
        <v>721</v>
      </c>
      <c r="H1207" s="79">
        <f>+F1206-H1206</f>
        <v>0</v>
      </c>
      <c r="I1207" s="882"/>
      <c r="J1207" s="876"/>
      <c r="K1207" s="878"/>
      <c r="L1207" s="882"/>
      <c r="M1207" s="882"/>
      <c r="N1207" s="884"/>
      <c r="O1207" s="56">
        <v>721</v>
      </c>
      <c r="P1207" s="79">
        <f>+N1206-P1206</f>
        <v>16000</v>
      </c>
    </row>
    <row r="1208" spans="1:16" ht="15" customHeight="1">
      <c r="A1208" s="919"/>
      <c r="B1208" s="875"/>
      <c r="C1208" s="877"/>
      <c r="D1208" s="881"/>
      <c r="E1208" s="881"/>
      <c r="F1208" s="883"/>
      <c r="G1208" s="55">
        <v>719</v>
      </c>
      <c r="H1208" s="78"/>
      <c r="I1208" s="881">
        <f>+I1206+1</f>
        <v>158</v>
      </c>
      <c r="J1208" s="875">
        <v>42485</v>
      </c>
      <c r="K1208" s="877" t="s">
        <v>272</v>
      </c>
      <c r="L1208" s="881" t="s">
        <v>879</v>
      </c>
      <c r="M1208" s="881" t="s">
        <v>148</v>
      </c>
      <c r="N1208" s="883">
        <v>616000</v>
      </c>
      <c r="O1208" s="55">
        <v>719</v>
      </c>
      <c r="P1208" s="78">
        <v>440000</v>
      </c>
    </row>
    <row r="1209" spans="1:16" ht="15.75" customHeight="1" thickBot="1">
      <c r="A1209" s="920"/>
      <c r="B1209" s="876"/>
      <c r="C1209" s="878"/>
      <c r="D1209" s="882"/>
      <c r="E1209" s="882"/>
      <c r="F1209" s="884"/>
      <c r="G1209" s="56">
        <v>721</v>
      </c>
      <c r="H1209" s="79">
        <f>+F1208-H1208</f>
        <v>0</v>
      </c>
      <c r="I1209" s="882"/>
      <c r="J1209" s="876"/>
      <c r="K1209" s="878"/>
      <c r="L1209" s="882"/>
      <c r="M1209" s="882"/>
      <c r="N1209" s="884"/>
      <c r="O1209" s="56">
        <v>721</v>
      </c>
      <c r="P1209" s="79">
        <f>+N1208-P1208</f>
        <v>176000</v>
      </c>
    </row>
    <row r="1210" spans="1:16" ht="15" customHeight="1">
      <c r="A1210" s="881"/>
      <c r="B1210" s="875"/>
      <c r="C1210" s="877"/>
      <c r="D1210" s="881"/>
      <c r="E1210" s="881"/>
      <c r="F1210" s="883"/>
      <c r="G1210" s="55">
        <v>719</v>
      </c>
      <c r="H1210" s="78"/>
      <c r="I1210" s="881">
        <f>+I1208+1</f>
        <v>159</v>
      </c>
      <c r="J1210" s="875">
        <v>42485</v>
      </c>
      <c r="K1210" s="877" t="s">
        <v>272</v>
      </c>
      <c r="L1210" s="879" t="s">
        <v>881</v>
      </c>
      <c r="M1210" s="881" t="s">
        <v>115</v>
      </c>
      <c r="N1210" s="883">
        <v>170000</v>
      </c>
      <c r="O1210" s="55">
        <v>719</v>
      </c>
      <c r="P1210" s="78">
        <v>170000</v>
      </c>
    </row>
    <row r="1211" spans="1:16" ht="15.75" customHeight="1" thickBot="1">
      <c r="A1211" s="882"/>
      <c r="B1211" s="876"/>
      <c r="C1211" s="878"/>
      <c r="D1211" s="882"/>
      <c r="E1211" s="882"/>
      <c r="F1211" s="884"/>
      <c r="G1211" s="56">
        <v>721</v>
      </c>
      <c r="H1211" s="79">
        <f>+F1210-H1210</f>
        <v>0</v>
      </c>
      <c r="I1211" s="882"/>
      <c r="J1211" s="876"/>
      <c r="K1211" s="878"/>
      <c r="L1211" s="880"/>
      <c r="M1211" s="882"/>
      <c r="N1211" s="884"/>
      <c r="O1211" s="56">
        <v>721</v>
      </c>
      <c r="P1211" s="79">
        <f>+N1210-P1210</f>
        <v>0</v>
      </c>
    </row>
    <row r="1212" spans="1:16" ht="16.5" thickBot="1">
      <c r="A1212" s="901" t="s">
        <v>102</v>
      </c>
      <c r="B1212" s="902"/>
      <c r="C1212" s="902"/>
      <c r="D1212" s="902"/>
      <c r="E1212" s="903"/>
      <c r="F1212" s="81">
        <f>SUM(F1202:F1211)</f>
        <v>180000</v>
      </c>
      <c r="I1212" s="901" t="s">
        <v>102</v>
      </c>
      <c r="J1212" s="902"/>
      <c r="K1212" s="902"/>
      <c r="L1212" s="902"/>
      <c r="M1212" s="903"/>
      <c r="N1212" s="81">
        <f>SUM(N1202:N1211)</f>
        <v>1136000</v>
      </c>
    </row>
    <row r="1213" spans="1:16" ht="16.5" thickBot="1">
      <c r="A1213" s="885" t="s">
        <v>103</v>
      </c>
      <c r="B1213" s="886"/>
      <c r="C1213" s="886"/>
      <c r="D1213" s="886"/>
      <c r="E1213" s="887"/>
      <c r="F1213" s="69">
        <f>+F1177</f>
        <v>657889254</v>
      </c>
      <c r="I1213" s="885" t="s">
        <v>103</v>
      </c>
      <c r="J1213" s="886"/>
      <c r="K1213" s="886"/>
      <c r="L1213" s="886"/>
      <c r="M1213" s="887"/>
      <c r="N1213" s="69">
        <f>+N1177</f>
        <v>350607965</v>
      </c>
      <c r="O1213" s="241" t="s">
        <v>561</v>
      </c>
      <c r="P1213" s="242">
        <f>594+78+297+11+857</f>
        <v>1837</v>
      </c>
    </row>
    <row r="1214" spans="1:16" ht="16.5" thickBot="1">
      <c r="A1214" s="888" t="s">
        <v>104</v>
      </c>
      <c r="B1214" s="889"/>
      <c r="C1214" s="889"/>
      <c r="D1214" s="889"/>
      <c r="E1214" s="890"/>
      <c r="F1214" s="183">
        <f>SUM(F1212:F1213)</f>
        <v>658069254</v>
      </c>
      <c r="I1214" s="888" t="s">
        <v>104</v>
      </c>
      <c r="J1214" s="889"/>
      <c r="K1214" s="889"/>
      <c r="L1214" s="889"/>
      <c r="M1214" s="890"/>
      <c r="N1214" s="183">
        <f>SUM(N1212:N1213)</f>
        <v>351743965</v>
      </c>
    </row>
    <row r="1215" spans="1:16" ht="12.75" customHeight="1">
      <c r="A1215" s="61"/>
      <c r="B1215" s="61"/>
      <c r="C1215" s="61"/>
      <c r="D1215" s="61"/>
      <c r="E1215" s="61"/>
      <c r="I1215" s="61"/>
      <c r="J1215" s="61"/>
      <c r="K1215" s="61"/>
      <c r="L1215" s="61"/>
      <c r="M1215" s="61"/>
    </row>
    <row r="1216" spans="1:16">
      <c r="A1216" s="51" t="s">
        <v>497</v>
      </c>
      <c r="I1216" s="51" t="s">
        <v>883</v>
      </c>
    </row>
    <row r="1217" spans="1:15" ht="12" customHeight="1">
      <c r="F1217" s="139"/>
      <c r="N1217" s="139"/>
    </row>
    <row r="1218" spans="1:15">
      <c r="A1218" s="50" t="s">
        <v>105</v>
      </c>
      <c r="D1218" s="146"/>
      <c r="F1218" s="139"/>
      <c r="I1218" s="50" t="s">
        <v>105</v>
      </c>
      <c r="L1218" s="146"/>
      <c r="N1218" s="139"/>
    </row>
    <row r="1219" spans="1:15" ht="15.75" thickBot="1"/>
    <row r="1220" spans="1:15" ht="15.75" thickBot="1">
      <c r="A1220" s="891" t="s">
        <v>106</v>
      </c>
      <c r="B1220" s="892"/>
      <c r="C1220" s="892"/>
      <c r="D1220" s="893"/>
      <c r="F1220" s="50" t="s">
        <v>288</v>
      </c>
      <c r="I1220" s="891" t="s">
        <v>106</v>
      </c>
      <c r="J1220" s="892"/>
      <c r="K1220" s="892"/>
      <c r="L1220" s="893"/>
      <c r="N1220" s="50" t="s">
        <v>288</v>
      </c>
    </row>
    <row r="1221" spans="1:15" ht="30.75" thickBot="1">
      <c r="A1221" s="57" t="s">
        <v>100</v>
      </c>
      <c r="B1221" s="58" t="s">
        <v>108</v>
      </c>
      <c r="C1221" s="59" t="s">
        <v>109</v>
      </c>
      <c r="D1221" s="60" t="s">
        <v>110</v>
      </c>
      <c r="I1221" s="57" t="s">
        <v>100</v>
      </c>
      <c r="J1221" s="58" t="s">
        <v>108</v>
      </c>
      <c r="K1221" s="59" t="s">
        <v>109</v>
      </c>
      <c r="L1221" s="60" t="s">
        <v>110</v>
      </c>
    </row>
    <row r="1222" spans="1:15">
      <c r="A1222" s="71">
        <v>719</v>
      </c>
      <c r="B1222" s="73">
        <f>+H1202+H1204+H1206+H1208+H1210</f>
        <v>180000</v>
      </c>
      <c r="C1222" s="74">
        <f>+D1185</f>
        <v>45750000</v>
      </c>
      <c r="D1222" s="195">
        <f>+B1222+C1222</f>
        <v>45930000</v>
      </c>
      <c r="I1222" s="71">
        <v>719</v>
      </c>
      <c r="J1222" s="73">
        <f>+P1202+P1204+P1206+P1208+P1210</f>
        <v>860000</v>
      </c>
      <c r="K1222" s="74">
        <f>+L1185</f>
        <v>10440000</v>
      </c>
      <c r="L1222" s="195">
        <f>+J1222+K1222</f>
        <v>11300000</v>
      </c>
    </row>
    <row r="1223" spans="1:15">
      <c r="A1223" s="72">
        <v>721</v>
      </c>
      <c r="B1223" s="80">
        <f>(+H1211+H1209+H1207+H1205+H1203)</f>
        <v>0</v>
      </c>
      <c r="C1223" s="74">
        <f>+D1186</f>
        <v>55772413</v>
      </c>
      <c r="D1223" s="195">
        <f>+B1223+C1223</f>
        <v>55772413</v>
      </c>
      <c r="I1223" s="72">
        <v>721</v>
      </c>
      <c r="J1223" s="80">
        <f>+P1203+P1205+P1207+P1209+P1211</f>
        <v>276000</v>
      </c>
      <c r="K1223" s="74">
        <f>+L1186</f>
        <v>3380000</v>
      </c>
      <c r="L1223" s="195">
        <f>+J1223+K1223</f>
        <v>3656000</v>
      </c>
    </row>
    <row r="1224" spans="1:15">
      <c r="A1224" s="72">
        <v>722</v>
      </c>
      <c r="B1224" s="80"/>
      <c r="C1224" s="74">
        <f>+D1187</f>
        <v>231207671</v>
      </c>
      <c r="D1224" s="195">
        <f>+B1224+C1224</f>
        <v>231207671</v>
      </c>
      <c r="I1224" s="72">
        <v>722</v>
      </c>
      <c r="J1224" s="80"/>
      <c r="K1224" s="74">
        <f>+L1187</f>
        <v>0</v>
      </c>
      <c r="L1224" s="195">
        <f>+J1224+K1224</f>
        <v>0</v>
      </c>
    </row>
    <row r="1225" spans="1:15" ht="15.75">
      <c r="A1225" s="72">
        <v>723</v>
      </c>
      <c r="B1225" s="80"/>
      <c r="C1225" s="74">
        <f>+D1188</f>
        <v>323193545</v>
      </c>
      <c r="D1225" s="195">
        <f>+B1225+C1225</f>
        <v>323193545</v>
      </c>
      <c r="F1225" s="174" t="s">
        <v>23</v>
      </c>
      <c r="G1225" s="175"/>
      <c r="I1225" s="72">
        <v>723</v>
      </c>
      <c r="J1225" s="80"/>
      <c r="K1225" s="74">
        <f>+L1188</f>
        <v>336787965</v>
      </c>
      <c r="L1225" s="195">
        <f>+J1225+K1225</f>
        <v>336787965</v>
      </c>
      <c r="N1225" s="193" t="s">
        <v>289</v>
      </c>
      <c r="O1225" s="175"/>
    </row>
    <row r="1226" spans="1:15" ht="16.5" thickBot="1">
      <c r="A1226" s="164" t="s">
        <v>181</v>
      </c>
      <c r="B1226" s="165"/>
      <c r="C1226" s="74" t="e">
        <f>+D1189</f>
        <v>#REF!</v>
      </c>
      <c r="D1226" s="196" t="e">
        <f>+B1226+C1226</f>
        <v>#REF!</v>
      </c>
      <c r="F1226" s="52"/>
      <c r="I1226" s="164" t="s">
        <v>181</v>
      </c>
      <c r="J1226" s="165"/>
      <c r="K1226" s="74">
        <f>+L1189</f>
        <v>0</v>
      </c>
      <c r="L1226" s="196">
        <f>+J1226+K1226</f>
        <v>0</v>
      </c>
      <c r="N1226" s="52"/>
    </row>
    <row r="1227" spans="1:15" ht="16.5" thickBot="1">
      <c r="A1227" s="169"/>
      <c r="B1227" s="170">
        <f>SUM(B1222:B1226)</f>
        <v>180000</v>
      </c>
      <c r="C1227" s="171" t="e">
        <f>SUM(C1222:C1226)</f>
        <v>#REF!</v>
      </c>
      <c r="D1227" s="172" t="e">
        <f>SUM(D1222:D1226)</f>
        <v>#REF!</v>
      </c>
      <c r="I1227" s="169"/>
      <c r="J1227" s="197">
        <f>SUM(J1222:J1226)</f>
        <v>1136000</v>
      </c>
      <c r="K1227" s="197">
        <f>SUM(K1222:K1226)</f>
        <v>350607965</v>
      </c>
      <c r="L1227" s="198">
        <f>SUM(L1222:L1226)</f>
        <v>351743965</v>
      </c>
    </row>
    <row r="1228" spans="1:15" ht="16.5">
      <c r="A1228" s="49" t="s">
        <v>88</v>
      </c>
      <c r="B1228" s="50"/>
      <c r="I1228" s="49" t="s">
        <v>88</v>
      </c>
      <c r="J1228" s="50"/>
    </row>
    <row r="1229" spans="1:15">
      <c r="A1229" s="51" t="s">
        <v>89</v>
      </c>
      <c r="I1229" s="51" t="s">
        <v>89</v>
      </c>
    </row>
    <row r="1230" spans="1:15">
      <c r="A1230" s="51" t="s">
        <v>90</v>
      </c>
      <c r="I1230" s="51" t="s">
        <v>90</v>
      </c>
    </row>
    <row r="1231" spans="1:15">
      <c r="A1231" s="51" t="s">
        <v>91</v>
      </c>
      <c r="I1231" s="51" t="s">
        <v>91</v>
      </c>
    </row>
    <row r="1232" spans="1:15" ht="12" customHeight="1">
      <c r="A1232" s="50"/>
      <c r="B1232" s="50"/>
      <c r="I1232" s="50"/>
      <c r="J1232" s="50"/>
    </row>
    <row r="1233" spans="1:16" ht="16.5">
      <c r="A1233" s="52" t="s">
        <v>498</v>
      </c>
      <c r="G1233" s="52"/>
      <c r="I1233" s="260" t="s">
        <v>200</v>
      </c>
      <c r="O1233" s="52"/>
    </row>
    <row r="1234" spans="1:16" ht="15.75">
      <c r="A1234" s="53" t="s">
        <v>92</v>
      </c>
      <c r="G1234" s="53"/>
      <c r="I1234" s="53" t="s">
        <v>535</v>
      </c>
      <c r="O1234" s="53"/>
    </row>
    <row r="1235" spans="1:16" ht="16.5">
      <c r="A1235" s="894" t="s">
        <v>261</v>
      </c>
      <c r="B1235" s="894"/>
      <c r="C1235" s="894"/>
      <c r="D1235" s="894"/>
      <c r="E1235" s="894"/>
      <c r="F1235" s="894"/>
      <c r="G1235" s="894"/>
      <c r="H1235" s="894"/>
      <c r="I1235" s="894" t="s">
        <v>261</v>
      </c>
      <c r="J1235" s="894"/>
      <c r="K1235" s="894"/>
      <c r="L1235" s="894"/>
      <c r="M1235" s="894"/>
      <c r="N1235" s="894"/>
      <c r="O1235" s="894"/>
      <c r="P1235" s="894"/>
    </row>
    <row r="1236" spans="1:16" ht="15.75" thickBot="1"/>
    <row r="1237" spans="1:16">
      <c r="A1237" s="895" t="s">
        <v>94</v>
      </c>
      <c r="B1237" s="897" t="s">
        <v>95</v>
      </c>
      <c r="C1237" s="897" t="s">
        <v>96</v>
      </c>
      <c r="D1237" s="897" t="s">
        <v>3</v>
      </c>
      <c r="E1237" s="897" t="s">
        <v>97</v>
      </c>
      <c r="F1237" s="897" t="s">
        <v>98</v>
      </c>
      <c r="G1237" s="897" t="s">
        <v>99</v>
      </c>
      <c r="H1237" s="899"/>
      <c r="I1237" s="895" t="s">
        <v>94</v>
      </c>
      <c r="J1237" s="897" t="s">
        <v>95</v>
      </c>
      <c r="K1237" s="897" t="s">
        <v>96</v>
      </c>
      <c r="L1237" s="897" t="s">
        <v>3</v>
      </c>
      <c r="M1237" s="897" t="s">
        <v>97</v>
      </c>
      <c r="N1237" s="897" t="s">
        <v>98</v>
      </c>
      <c r="O1237" s="897" t="s">
        <v>99</v>
      </c>
      <c r="P1237" s="899"/>
    </row>
    <row r="1238" spans="1:16" ht="15.75" thickBot="1">
      <c r="A1238" s="896"/>
      <c r="B1238" s="898"/>
      <c r="C1238" s="898"/>
      <c r="D1238" s="898"/>
      <c r="E1238" s="898"/>
      <c r="F1238" s="898"/>
      <c r="G1238" s="240" t="s">
        <v>100</v>
      </c>
      <c r="H1238" s="182" t="s">
        <v>101</v>
      </c>
      <c r="I1238" s="896"/>
      <c r="J1238" s="898"/>
      <c r="K1238" s="898"/>
      <c r="L1238" s="898"/>
      <c r="M1238" s="898"/>
      <c r="N1238" s="898"/>
      <c r="O1238" s="240" t="s">
        <v>100</v>
      </c>
      <c r="P1238" s="182" t="s">
        <v>101</v>
      </c>
    </row>
    <row r="1239" spans="1:16" ht="15" customHeight="1">
      <c r="A1239" s="919">
        <f>+A1206+1</f>
        <v>362</v>
      </c>
      <c r="B1239" s="875">
        <v>42361</v>
      </c>
      <c r="C1239" s="877" t="s">
        <v>267</v>
      </c>
      <c r="D1239" s="877" t="s">
        <v>499</v>
      </c>
      <c r="E1239" s="881" t="s">
        <v>148</v>
      </c>
      <c r="F1239" s="883">
        <v>126000</v>
      </c>
      <c r="G1239" s="55">
        <v>719</v>
      </c>
      <c r="H1239" s="78">
        <v>90000</v>
      </c>
      <c r="I1239" s="873" t="s">
        <v>873</v>
      </c>
      <c r="J1239" s="875">
        <v>42485</v>
      </c>
      <c r="K1239" s="881" t="s">
        <v>40</v>
      </c>
      <c r="L1239" s="881" t="s">
        <v>884</v>
      </c>
      <c r="M1239" s="881" t="s">
        <v>148</v>
      </c>
      <c r="N1239" s="883">
        <v>126000</v>
      </c>
      <c r="O1239" s="55">
        <v>719</v>
      </c>
      <c r="P1239" s="78">
        <v>90000</v>
      </c>
    </row>
    <row r="1240" spans="1:16" ht="15.75" customHeight="1" thickBot="1">
      <c r="A1240" s="920"/>
      <c r="B1240" s="876"/>
      <c r="C1240" s="878"/>
      <c r="D1240" s="878"/>
      <c r="E1240" s="882"/>
      <c r="F1240" s="884"/>
      <c r="G1240" s="56">
        <v>721</v>
      </c>
      <c r="H1240" s="79">
        <f>+F1239-H1239</f>
        <v>36000</v>
      </c>
      <c r="I1240" s="874"/>
      <c r="J1240" s="876"/>
      <c r="K1240" s="882"/>
      <c r="L1240" s="882"/>
      <c r="M1240" s="882"/>
      <c r="N1240" s="884"/>
      <c r="O1240" s="56">
        <v>721</v>
      </c>
      <c r="P1240" s="79">
        <f>+N1239-P1239</f>
        <v>36000</v>
      </c>
    </row>
    <row r="1241" spans="1:16" ht="15" customHeight="1">
      <c r="A1241" s="919">
        <f>+A1239+1</f>
        <v>363</v>
      </c>
      <c r="B1241" s="875">
        <v>42361</v>
      </c>
      <c r="C1241" s="881" t="s">
        <v>28</v>
      </c>
      <c r="D1241" s="877" t="s">
        <v>500</v>
      </c>
      <c r="E1241" s="881" t="s">
        <v>148</v>
      </c>
      <c r="F1241" s="883">
        <v>196000</v>
      </c>
      <c r="G1241" s="55">
        <v>719</v>
      </c>
      <c r="H1241" s="78">
        <v>140000</v>
      </c>
      <c r="I1241" s="881">
        <f>+I1239+1</f>
        <v>161</v>
      </c>
      <c r="J1241" s="875">
        <v>42485</v>
      </c>
      <c r="K1241" s="881" t="s">
        <v>28</v>
      </c>
      <c r="L1241" s="879" t="s">
        <v>885</v>
      </c>
      <c r="M1241" s="881" t="s">
        <v>148</v>
      </c>
      <c r="N1241" s="883">
        <v>308000</v>
      </c>
      <c r="O1241" s="55">
        <v>719</v>
      </c>
      <c r="P1241" s="78">
        <v>220000</v>
      </c>
    </row>
    <row r="1242" spans="1:16" ht="15.75" customHeight="1" thickBot="1">
      <c r="A1242" s="920"/>
      <c r="B1242" s="876"/>
      <c r="C1242" s="882"/>
      <c r="D1242" s="878"/>
      <c r="E1242" s="882"/>
      <c r="F1242" s="884"/>
      <c r="G1242" s="56">
        <v>721</v>
      </c>
      <c r="H1242" s="79">
        <f>+F1241-H1241</f>
        <v>56000</v>
      </c>
      <c r="I1242" s="882"/>
      <c r="J1242" s="876"/>
      <c r="K1242" s="882"/>
      <c r="L1242" s="880"/>
      <c r="M1242" s="882"/>
      <c r="N1242" s="884"/>
      <c r="O1242" s="56">
        <v>721</v>
      </c>
      <c r="P1242" s="79">
        <f>+N1241-P1241</f>
        <v>88000</v>
      </c>
    </row>
    <row r="1243" spans="1:16" ht="15" customHeight="1">
      <c r="A1243" s="919">
        <f>+A1241+1</f>
        <v>364</v>
      </c>
      <c r="B1243" s="875">
        <v>42361</v>
      </c>
      <c r="C1243" s="877" t="s">
        <v>32</v>
      </c>
      <c r="D1243" s="877" t="s">
        <v>500</v>
      </c>
      <c r="E1243" s="881" t="s">
        <v>148</v>
      </c>
      <c r="F1243" s="883">
        <v>42000</v>
      </c>
      <c r="G1243" s="55">
        <v>719</v>
      </c>
      <c r="H1243" s="78">
        <v>30000</v>
      </c>
      <c r="I1243" s="881">
        <f>+I1241+1</f>
        <v>162</v>
      </c>
      <c r="J1243" s="875">
        <v>42485</v>
      </c>
      <c r="K1243" s="877" t="s">
        <v>111</v>
      </c>
      <c r="L1243" s="881" t="s">
        <v>886</v>
      </c>
      <c r="M1243" s="881" t="s">
        <v>148</v>
      </c>
      <c r="N1243" s="883">
        <v>84000</v>
      </c>
      <c r="O1243" s="55">
        <v>719</v>
      </c>
      <c r="P1243" s="78">
        <v>60000</v>
      </c>
    </row>
    <row r="1244" spans="1:16" ht="15.75" customHeight="1" thickBot="1">
      <c r="A1244" s="920"/>
      <c r="B1244" s="876"/>
      <c r="C1244" s="878"/>
      <c r="D1244" s="878"/>
      <c r="E1244" s="882"/>
      <c r="F1244" s="884"/>
      <c r="G1244" s="56">
        <v>721</v>
      </c>
      <c r="H1244" s="79">
        <f>+F1243-H1243</f>
        <v>12000</v>
      </c>
      <c r="I1244" s="882"/>
      <c r="J1244" s="876"/>
      <c r="K1244" s="878"/>
      <c r="L1244" s="882"/>
      <c r="M1244" s="882"/>
      <c r="N1244" s="884"/>
      <c r="O1244" s="56">
        <v>721</v>
      </c>
      <c r="P1244" s="79">
        <f>+N1243-P1243</f>
        <v>24000</v>
      </c>
    </row>
    <row r="1245" spans="1:16" ht="15" customHeight="1">
      <c r="A1245" s="919">
        <f>+A1243+1</f>
        <v>365</v>
      </c>
      <c r="B1245" s="875">
        <v>42361</v>
      </c>
      <c r="C1245" s="877" t="s">
        <v>111</v>
      </c>
      <c r="D1245" s="877" t="s">
        <v>499</v>
      </c>
      <c r="E1245" s="881" t="s">
        <v>148</v>
      </c>
      <c r="F1245" s="883">
        <v>112000</v>
      </c>
      <c r="G1245" s="55">
        <v>719</v>
      </c>
      <c r="H1245" s="78">
        <v>80000</v>
      </c>
      <c r="I1245" s="881">
        <f>+I1243+1</f>
        <v>163</v>
      </c>
      <c r="J1245" s="875">
        <v>42485</v>
      </c>
      <c r="K1245" s="877" t="s">
        <v>272</v>
      </c>
      <c r="L1245" s="879" t="s">
        <v>887</v>
      </c>
      <c r="M1245" s="881" t="s">
        <v>148</v>
      </c>
      <c r="N1245" s="883">
        <v>770000</v>
      </c>
      <c r="O1245" s="55">
        <v>719</v>
      </c>
      <c r="P1245" s="78">
        <v>550000</v>
      </c>
    </row>
    <row r="1246" spans="1:16" ht="15.75" customHeight="1" thickBot="1">
      <c r="A1246" s="920"/>
      <c r="B1246" s="876"/>
      <c r="C1246" s="878"/>
      <c r="D1246" s="878"/>
      <c r="E1246" s="882"/>
      <c r="F1246" s="884"/>
      <c r="G1246" s="56">
        <v>721</v>
      </c>
      <c r="H1246" s="79">
        <f>+F1245-H1245</f>
        <v>32000</v>
      </c>
      <c r="I1246" s="882"/>
      <c r="J1246" s="876"/>
      <c r="K1246" s="878"/>
      <c r="L1246" s="880"/>
      <c r="M1246" s="882"/>
      <c r="N1246" s="884"/>
      <c r="O1246" s="56">
        <v>721</v>
      </c>
      <c r="P1246" s="79">
        <f>+N1245-P1245</f>
        <v>220000</v>
      </c>
    </row>
    <row r="1247" spans="1:16" ht="15" customHeight="1">
      <c r="A1247" s="919">
        <f>+A1245+1</f>
        <v>366</v>
      </c>
      <c r="B1247" s="875">
        <v>42361</v>
      </c>
      <c r="C1247" s="877" t="s">
        <v>272</v>
      </c>
      <c r="D1247" s="877" t="s">
        <v>500</v>
      </c>
      <c r="E1247" s="881" t="s">
        <v>148</v>
      </c>
      <c r="F1247" s="883">
        <v>588000</v>
      </c>
      <c r="G1247" s="55">
        <v>719</v>
      </c>
      <c r="H1247" s="78">
        <v>420000</v>
      </c>
      <c r="I1247" s="881"/>
      <c r="J1247" s="875"/>
      <c r="K1247" s="877"/>
      <c r="L1247" s="879"/>
      <c r="M1247" s="881"/>
      <c r="N1247" s="883"/>
      <c r="O1247" s="55">
        <v>719</v>
      </c>
      <c r="P1247" s="78"/>
    </row>
    <row r="1248" spans="1:16" ht="15.75" customHeight="1" thickBot="1">
      <c r="A1248" s="920"/>
      <c r="B1248" s="876"/>
      <c r="C1248" s="878"/>
      <c r="D1248" s="878"/>
      <c r="E1248" s="882"/>
      <c r="F1248" s="884"/>
      <c r="G1248" s="56">
        <v>721</v>
      </c>
      <c r="H1248" s="79">
        <f>+F1247-H1247</f>
        <v>168000</v>
      </c>
      <c r="I1248" s="882"/>
      <c r="J1248" s="876"/>
      <c r="K1248" s="878"/>
      <c r="L1248" s="880"/>
      <c r="M1248" s="882"/>
      <c r="N1248" s="884"/>
      <c r="O1248" s="56">
        <v>721</v>
      </c>
      <c r="P1248" s="79">
        <f>+N1247-P1247</f>
        <v>0</v>
      </c>
    </row>
    <row r="1249" spans="1:16" ht="16.5" thickBot="1">
      <c r="A1249" s="901" t="s">
        <v>102</v>
      </c>
      <c r="B1249" s="902"/>
      <c r="C1249" s="902"/>
      <c r="D1249" s="902"/>
      <c r="E1249" s="903"/>
      <c r="F1249" s="81">
        <f>SUM(F1239:F1248)</f>
        <v>1064000</v>
      </c>
      <c r="I1249" s="901" t="s">
        <v>102</v>
      </c>
      <c r="J1249" s="902"/>
      <c r="K1249" s="902"/>
      <c r="L1249" s="902"/>
      <c r="M1249" s="903"/>
      <c r="N1249" s="81">
        <f>SUM(N1239:N1248)</f>
        <v>1288000</v>
      </c>
    </row>
    <row r="1250" spans="1:16" ht="16.5" thickBot="1">
      <c r="A1250" s="885" t="s">
        <v>103</v>
      </c>
      <c r="B1250" s="886"/>
      <c r="C1250" s="886"/>
      <c r="D1250" s="886"/>
      <c r="E1250" s="887"/>
      <c r="F1250" s="69">
        <f>+F1214</f>
        <v>658069254</v>
      </c>
      <c r="I1250" s="885" t="s">
        <v>103</v>
      </c>
      <c r="J1250" s="886"/>
      <c r="K1250" s="886"/>
      <c r="L1250" s="886"/>
      <c r="M1250" s="887"/>
      <c r="N1250" s="69">
        <f>+N1214</f>
        <v>351743965</v>
      </c>
      <c r="O1250" s="241" t="s">
        <v>561</v>
      </c>
      <c r="P1250" s="242">
        <f>1400+36+640+69</f>
        <v>2145</v>
      </c>
    </row>
    <row r="1251" spans="1:16" ht="16.5" thickBot="1">
      <c r="A1251" s="888" t="s">
        <v>104</v>
      </c>
      <c r="B1251" s="889"/>
      <c r="C1251" s="889"/>
      <c r="D1251" s="889"/>
      <c r="E1251" s="890"/>
      <c r="F1251" s="183">
        <f>SUM(F1249:F1250)</f>
        <v>659133254</v>
      </c>
      <c r="I1251" s="888" t="s">
        <v>104</v>
      </c>
      <c r="J1251" s="889"/>
      <c r="K1251" s="889"/>
      <c r="L1251" s="889"/>
      <c r="M1251" s="890"/>
      <c r="N1251" s="183">
        <f>SUM(N1249:N1250)</f>
        <v>353031965</v>
      </c>
    </row>
    <row r="1252" spans="1:16">
      <c r="A1252" s="61"/>
      <c r="B1252" s="61"/>
      <c r="C1252" s="61"/>
      <c r="D1252" s="61"/>
      <c r="E1252" s="61"/>
      <c r="I1252" s="61"/>
      <c r="J1252" s="61"/>
      <c r="K1252" s="61"/>
      <c r="L1252" s="61"/>
      <c r="M1252" s="61"/>
    </row>
    <row r="1253" spans="1:16">
      <c r="A1253" s="51" t="s">
        <v>501</v>
      </c>
      <c r="I1253" s="51" t="s">
        <v>888</v>
      </c>
    </row>
    <row r="1254" spans="1:16" ht="11.25" customHeight="1">
      <c r="F1254" s="139"/>
      <c r="N1254" s="139"/>
    </row>
    <row r="1255" spans="1:16">
      <c r="A1255" s="50" t="s">
        <v>105</v>
      </c>
      <c r="D1255" s="146"/>
      <c r="F1255" s="139"/>
      <c r="I1255" s="50" t="s">
        <v>105</v>
      </c>
      <c r="L1255" s="146"/>
      <c r="N1255" s="139"/>
    </row>
    <row r="1256" spans="1:16" ht="13.5" customHeight="1" thickBot="1"/>
    <row r="1257" spans="1:16" ht="15.75" thickBot="1">
      <c r="A1257" s="891" t="s">
        <v>106</v>
      </c>
      <c r="B1257" s="892"/>
      <c r="C1257" s="892"/>
      <c r="D1257" s="893"/>
      <c r="F1257" s="50" t="s">
        <v>288</v>
      </c>
      <c r="I1257" s="891" t="s">
        <v>106</v>
      </c>
      <c r="J1257" s="892"/>
      <c r="K1257" s="892"/>
      <c r="L1257" s="893"/>
      <c r="N1257" s="50" t="s">
        <v>288</v>
      </c>
    </row>
    <row r="1258" spans="1:16" ht="30.75" thickBot="1">
      <c r="A1258" s="57" t="s">
        <v>100</v>
      </c>
      <c r="B1258" s="58" t="s">
        <v>108</v>
      </c>
      <c r="C1258" s="59" t="s">
        <v>109</v>
      </c>
      <c r="D1258" s="60" t="s">
        <v>110</v>
      </c>
      <c r="I1258" s="57" t="s">
        <v>100</v>
      </c>
      <c r="J1258" s="58" t="s">
        <v>108</v>
      </c>
      <c r="K1258" s="59" t="s">
        <v>109</v>
      </c>
      <c r="L1258" s="60" t="s">
        <v>110</v>
      </c>
    </row>
    <row r="1259" spans="1:16">
      <c r="A1259" s="71">
        <v>719</v>
      </c>
      <c r="B1259" s="73">
        <f>+H1239+H1241+H1243+H1245+H1247</f>
        <v>760000</v>
      </c>
      <c r="C1259" s="74">
        <f>+D1222</f>
        <v>45930000</v>
      </c>
      <c r="D1259" s="195">
        <f>+B1259+C1259</f>
        <v>46690000</v>
      </c>
      <c r="I1259" s="71">
        <v>719</v>
      </c>
      <c r="J1259" s="73">
        <f>+P1239+P1241+P1243+P1245+P1247</f>
        <v>920000</v>
      </c>
      <c r="K1259" s="74">
        <f>+L1222</f>
        <v>11300000</v>
      </c>
      <c r="L1259" s="195">
        <f>+J1259+K1259</f>
        <v>12220000</v>
      </c>
    </row>
    <row r="1260" spans="1:16">
      <c r="A1260" s="72">
        <v>721</v>
      </c>
      <c r="B1260" s="80">
        <f>(+H1248+H1246+H1244+H1242+H1240)</f>
        <v>304000</v>
      </c>
      <c r="C1260" s="74">
        <f>+D1223</f>
        <v>55772413</v>
      </c>
      <c r="D1260" s="195">
        <f>+B1260+C1260</f>
        <v>56076413</v>
      </c>
      <c r="I1260" s="72">
        <v>721</v>
      </c>
      <c r="J1260" s="80">
        <f>+P1240+P1242+P1244+P1246+P1248</f>
        <v>368000</v>
      </c>
      <c r="K1260" s="74">
        <f>+L1223</f>
        <v>3656000</v>
      </c>
      <c r="L1260" s="195">
        <f>+J1260+K1260</f>
        <v>4024000</v>
      </c>
    </row>
    <row r="1261" spans="1:16">
      <c r="A1261" s="72">
        <v>722</v>
      </c>
      <c r="B1261" s="80"/>
      <c r="C1261" s="74">
        <f>+D1224</f>
        <v>231207671</v>
      </c>
      <c r="D1261" s="195">
        <f>+B1261+C1261</f>
        <v>231207671</v>
      </c>
      <c r="I1261" s="72">
        <v>722</v>
      </c>
      <c r="J1261" s="80"/>
      <c r="K1261" s="74">
        <f>+L1224</f>
        <v>0</v>
      </c>
      <c r="L1261" s="195">
        <f>+J1261+K1261</f>
        <v>0</v>
      </c>
    </row>
    <row r="1262" spans="1:16" ht="15.75">
      <c r="A1262" s="72">
        <v>723</v>
      </c>
      <c r="B1262" s="80"/>
      <c r="C1262" s="74">
        <f>+D1225</f>
        <v>323193545</v>
      </c>
      <c r="D1262" s="195">
        <f>+B1262+C1262</f>
        <v>323193545</v>
      </c>
      <c r="F1262" s="174" t="s">
        <v>23</v>
      </c>
      <c r="G1262" s="175"/>
      <c r="I1262" s="72">
        <v>723</v>
      </c>
      <c r="J1262" s="80"/>
      <c r="K1262" s="74">
        <f>+L1225</f>
        <v>336787965</v>
      </c>
      <c r="L1262" s="195">
        <f>+J1262+K1262</f>
        <v>336787965</v>
      </c>
      <c r="N1262" s="193" t="s">
        <v>289</v>
      </c>
      <c r="O1262" s="175"/>
    </row>
    <row r="1263" spans="1:16" ht="16.5" thickBot="1">
      <c r="A1263" s="164" t="s">
        <v>181</v>
      </c>
      <c r="B1263" s="165"/>
      <c r="C1263" s="74" t="e">
        <f>+D1226</f>
        <v>#REF!</v>
      </c>
      <c r="D1263" s="196" t="e">
        <f>+B1263+C1263</f>
        <v>#REF!</v>
      </c>
      <c r="F1263" s="52"/>
      <c r="I1263" s="164" t="s">
        <v>181</v>
      </c>
      <c r="J1263" s="165"/>
      <c r="K1263" s="74">
        <f>+L1226</f>
        <v>0</v>
      </c>
      <c r="L1263" s="196">
        <f>+J1263+K1263</f>
        <v>0</v>
      </c>
      <c r="N1263" s="52"/>
    </row>
    <row r="1264" spans="1:16" ht="16.5" thickBot="1">
      <c r="A1264" s="169"/>
      <c r="B1264" s="170">
        <f>SUM(B1259:B1263)</f>
        <v>1064000</v>
      </c>
      <c r="C1264" s="171" t="e">
        <f>SUM(C1259:C1263)</f>
        <v>#REF!</v>
      </c>
      <c r="D1264" s="172" t="e">
        <f>SUM(D1259:D1263)</f>
        <v>#REF!</v>
      </c>
      <c r="I1264" s="169"/>
      <c r="J1264" s="197">
        <f>SUM(J1259:J1263)</f>
        <v>1288000</v>
      </c>
      <c r="K1264" s="197">
        <f>SUM(K1259:K1263)</f>
        <v>351743965</v>
      </c>
      <c r="L1264" s="198">
        <f>SUM(L1259:L1263)</f>
        <v>353031965</v>
      </c>
    </row>
    <row r="1265" spans="1:16" ht="16.5">
      <c r="A1265" s="49" t="s">
        <v>88</v>
      </c>
      <c r="B1265" s="50"/>
      <c r="I1265" s="49" t="s">
        <v>88</v>
      </c>
      <c r="J1265" s="50"/>
    </row>
    <row r="1266" spans="1:16">
      <c r="A1266" s="51" t="s">
        <v>89</v>
      </c>
      <c r="I1266" s="51" t="s">
        <v>89</v>
      </c>
    </row>
    <row r="1267" spans="1:16">
      <c r="A1267" s="51" t="s">
        <v>90</v>
      </c>
      <c r="I1267" s="51" t="s">
        <v>90</v>
      </c>
    </row>
    <row r="1268" spans="1:16">
      <c r="A1268" s="51" t="s">
        <v>91</v>
      </c>
      <c r="I1268" s="51" t="s">
        <v>91</v>
      </c>
    </row>
    <row r="1269" spans="1:16" ht="12" customHeight="1">
      <c r="A1269" s="50"/>
      <c r="B1269" s="50"/>
      <c r="I1269" s="50"/>
      <c r="J1269" s="50"/>
    </row>
    <row r="1270" spans="1:16" ht="16.5">
      <c r="A1270" s="52" t="s">
        <v>502</v>
      </c>
      <c r="G1270" s="52"/>
      <c r="I1270" s="260" t="s">
        <v>871</v>
      </c>
      <c r="O1270" s="52"/>
    </row>
    <row r="1271" spans="1:16" ht="15.75">
      <c r="A1271" s="53" t="s">
        <v>92</v>
      </c>
      <c r="G1271" s="53"/>
      <c r="I1271" s="53" t="s">
        <v>535</v>
      </c>
      <c r="O1271" s="53"/>
    </row>
    <row r="1272" spans="1:16" ht="16.5">
      <c r="A1272" s="894" t="s">
        <v>261</v>
      </c>
      <c r="B1272" s="894"/>
      <c r="C1272" s="894"/>
      <c r="D1272" s="894"/>
      <c r="E1272" s="894"/>
      <c r="F1272" s="894"/>
      <c r="G1272" s="894"/>
      <c r="H1272" s="894"/>
      <c r="I1272" s="894" t="s">
        <v>903</v>
      </c>
      <c r="J1272" s="894"/>
      <c r="K1272" s="894"/>
      <c r="L1272" s="894"/>
      <c r="M1272" s="894"/>
      <c r="N1272" s="894"/>
      <c r="O1272" s="894"/>
      <c r="P1272" s="894"/>
    </row>
    <row r="1273" spans="1:16" ht="15.75" thickBot="1"/>
    <row r="1274" spans="1:16">
      <c r="A1274" s="895" t="s">
        <v>94</v>
      </c>
      <c r="B1274" s="897" t="s">
        <v>95</v>
      </c>
      <c r="C1274" s="897" t="s">
        <v>96</v>
      </c>
      <c r="D1274" s="897" t="s">
        <v>3</v>
      </c>
      <c r="E1274" s="897" t="s">
        <v>97</v>
      </c>
      <c r="F1274" s="897" t="s">
        <v>98</v>
      </c>
      <c r="G1274" s="897" t="s">
        <v>99</v>
      </c>
      <c r="H1274" s="899"/>
      <c r="I1274" s="895" t="s">
        <v>94</v>
      </c>
      <c r="J1274" s="897" t="s">
        <v>95</v>
      </c>
      <c r="K1274" s="897" t="s">
        <v>96</v>
      </c>
      <c r="L1274" s="897" t="s">
        <v>3</v>
      </c>
      <c r="M1274" s="897" t="s">
        <v>97</v>
      </c>
      <c r="N1274" s="897" t="s">
        <v>98</v>
      </c>
      <c r="O1274" s="897" t="s">
        <v>99</v>
      </c>
      <c r="P1274" s="899"/>
    </row>
    <row r="1275" spans="1:16" ht="15.75" thickBot="1">
      <c r="A1275" s="896"/>
      <c r="B1275" s="898"/>
      <c r="C1275" s="898"/>
      <c r="D1275" s="898"/>
      <c r="E1275" s="898"/>
      <c r="F1275" s="898"/>
      <c r="G1275" s="240" t="s">
        <v>100</v>
      </c>
      <c r="H1275" s="182" t="s">
        <v>101</v>
      </c>
      <c r="I1275" s="896"/>
      <c r="J1275" s="898"/>
      <c r="K1275" s="898"/>
      <c r="L1275" s="898"/>
      <c r="M1275" s="898"/>
      <c r="N1275" s="898"/>
      <c r="O1275" s="240" t="s">
        <v>100</v>
      </c>
      <c r="P1275" s="182" t="s">
        <v>101</v>
      </c>
    </row>
    <row r="1276" spans="1:16" ht="15" customHeight="1">
      <c r="A1276" s="919">
        <f>+A1247+1</f>
        <v>367</v>
      </c>
      <c r="B1276" s="875">
        <v>42361</v>
      </c>
      <c r="C1276" s="877" t="s">
        <v>267</v>
      </c>
      <c r="D1276" s="877" t="s">
        <v>490</v>
      </c>
      <c r="E1276" s="881" t="s">
        <v>148</v>
      </c>
      <c r="F1276" s="883">
        <v>168000</v>
      </c>
      <c r="G1276" s="55">
        <v>719</v>
      </c>
      <c r="H1276" s="78">
        <v>120000</v>
      </c>
      <c r="I1276" s="873" t="s">
        <v>892</v>
      </c>
      <c r="J1276" s="875">
        <v>42485</v>
      </c>
      <c r="K1276" s="881" t="s">
        <v>889</v>
      </c>
      <c r="L1276" s="881" t="s">
        <v>556</v>
      </c>
      <c r="M1276" s="881" t="s">
        <v>145</v>
      </c>
      <c r="N1276" s="883">
        <v>1950000</v>
      </c>
      <c r="O1276" s="55">
        <v>719</v>
      </c>
      <c r="P1276" s="78"/>
    </row>
    <row r="1277" spans="1:16" ht="15.75" customHeight="1" thickBot="1">
      <c r="A1277" s="920"/>
      <c r="B1277" s="876"/>
      <c r="C1277" s="878"/>
      <c r="D1277" s="878"/>
      <c r="E1277" s="882"/>
      <c r="F1277" s="884"/>
      <c r="G1277" s="56">
        <v>721</v>
      </c>
      <c r="H1277" s="79">
        <f>+F1276-H1276</f>
        <v>48000</v>
      </c>
      <c r="I1277" s="874"/>
      <c r="J1277" s="876"/>
      <c r="K1277" s="882"/>
      <c r="L1277" s="882"/>
      <c r="M1277" s="882"/>
      <c r="N1277" s="884"/>
      <c r="O1277" s="56">
        <v>723</v>
      </c>
      <c r="P1277" s="79">
        <f>+N1276-P1276</f>
        <v>1950000</v>
      </c>
    </row>
    <row r="1278" spans="1:16" ht="15" customHeight="1">
      <c r="A1278" s="919">
        <f>+A1276+1</f>
        <v>368</v>
      </c>
      <c r="B1278" s="875">
        <v>42361</v>
      </c>
      <c r="C1278" s="881" t="s">
        <v>28</v>
      </c>
      <c r="D1278" s="877" t="s">
        <v>503</v>
      </c>
      <c r="E1278" s="881" t="s">
        <v>148</v>
      </c>
      <c r="F1278" s="883">
        <v>182000</v>
      </c>
      <c r="G1278" s="55">
        <v>719</v>
      </c>
      <c r="H1278" s="78">
        <v>130000</v>
      </c>
      <c r="I1278" s="881">
        <f>+I1276+1</f>
        <v>165</v>
      </c>
      <c r="J1278" s="875">
        <v>42485</v>
      </c>
      <c r="K1278" s="877" t="s">
        <v>891</v>
      </c>
      <c r="L1278" s="881" t="s">
        <v>556</v>
      </c>
      <c r="M1278" s="881" t="s">
        <v>784</v>
      </c>
      <c r="N1278" s="883">
        <v>1138122</v>
      </c>
      <c r="O1278" s="55">
        <v>719</v>
      </c>
      <c r="P1278" s="78"/>
    </row>
    <row r="1279" spans="1:16" ht="15.75" customHeight="1" thickBot="1">
      <c r="A1279" s="920"/>
      <c r="B1279" s="876"/>
      <c r="C1279" s="882"/>
      <c r="D1279" s="878"/>
      <c r="E1279" s="882"/>
      <c r="F1279" s="884"/>
      <c r="G1279" s="56">
        <v>721</v>
      </c>
      <c r="H1279" s="79">
        <f>+F1278-H1278</f>
        <v>52000</v>
      </c>
      <c r="I1279" s="882"/>
      <c r="J1279" s="876"/>
      <c r="K1279" s="878"/>
      <c r="L1279" s="882"/>
      <c r="M1279" s="882"/>
      <c r="N1279" s="884"/>
      <c r="O1279" s="56">
        <v>723</v>
      </c>
      <c r="P1279" s="79">
        <f>+N1278-P1278</f>
        <v>1138122</v>
      </c>
    </row>
    <row r="1280" spans="1:16" ht="15" customHeight="1">
      <c r="A1280" s="919">
        <f>+A1278+1</f>
        <v>369</v>
      </c>
      <c r="B1280" s="875">
        <v>42361</v>
      </c>
      <c r="C1280" s="877" t="s">
        <v>32</v>
      </c>
      <c r="D1280" s="877" t="s">
        <v>504</v>
      </c>
      <c r="E1280" s="881" t="s">
        <v>148</v>
      </c>
      <c r="F1280" s="883">
        <v>98000</v>
      </c>
      <c r="G1280" s="55">
        <v>719</v>
      </c>
      <c r="H1280" s="78">
        <v>70000</v>
      </c>
      <c r="I1280" s="881">
        <f>+I1278+1</f>
        <v>166</v>
      </c>
      <c r="J1280" s="875">
        <v>42485</v>
      </c>
      <c r="K1280" s="877" t="s">
        <v>31</v>
      </c>
      <c r="L1280" s="881" t="s">
        <v>556</v>
      </c>
      <c r="M1280" s="881" t="s">
        <v>783</v>
      </c>
      <c r="N1280" s="883">
        <v>1760000</v>
      </c>
      <c r="O1280" s="55">
        <v>719</v>
      </c>
      <c r="P1280" s="78"/>
    </row>
    <row r="1281" spans="1:16" ht="15.75" customHeight="1" thickBot="1">
      <c r="A1281" s="920"/>
      <c r="B1281" s="876"/>
      <c r="C1281" s="878"/>
      <c r="D1281" s="878"/>
      <c r="E1281" s="882"/>
      <c r="F1281" s="884"/>
      <c r="G1281" s="56">
        <v>721</v>
      </c>
      <c r="H1281" s="79">
        <f>+F1280-H1280</f>
        <v>28000</v>
      </c>
      <c r="I1281" s="882"/>
      <c r="J1281" s="876"/>
      <c r="K1281" s="878"/>
      <c r="L1281" s="882"/>
      <c r="M1281" s="882"/>
      <c r="N1281" s="884"/>
      <c r="O1281" s="56">
        <v>723</v>
      </c>
      <c r="P1281" s="79">
        <f>+N1280-P1280</f>
        <v>1760000</v>
      </c>
    </row>
    <row r="1282" spans="1:16" ht="15" customHeight="1">
      <c r="A1282" s="919">
        <f>+A1280+1</f>
        <v>370</v>
      </c>
      <c r="B1282" s="875">
        <v>42361</v>
      </c>
      <c r="C1282" s="877" t="s">
        <v>111</v>
      </c>
      <c r="D1282" s="877" t="s">
        <v>505</v>
      </c>
      <c r="E1282" s="881" t="s">
        <v>148</v>
      </c>
      <c r="F1282" s="883">
        <v>168000</v>
      </c>
      <c r="G1282" s="55">
        <v>719</v>
      </c>
      <c r="H1282" s="78">
        <v>120000</v>
      </c>
      <c r="I1282" s="881">
        <f>+I1280+1</f>
        <v>167</v>
      </c>
      <c r="J1282" s="875">
        <v>42485</v>
      </c>
      <c r="K1282" s="877" t="s">
        <v>890</v>
      </c>
      <c r="L1282" s="881" t="s">
        <v>556</v>
      </c>
      <c r="M1282" s="881" t="s">
        <v>214</v>
      </c>
      <c r="N1282" s="883">
        <v>540000</v>
      </c>
      <c r="O1282" s="55">
        <v>719</v>
      </c>
      <c r="P1282" s="78"/>
    </row>
    <row r="1283" spans="1:16" ht="15.75" customHeight="1" thickBot="1">
      <c r="A1283" s="920"/>
      <c r="B1283" s="876"/>
      <c r="C1283" s="878"/>
      <c r="D1283" s="878"/>
      <c r="E1283" s="882"/>
      <c r="F1283" s="884"/>
      <c r="G1283" s="56">
        <v>721</v>
      </c>
      <c r="H1283" s="79">
        <f>+F1282-H1282</f>
        <v>48000</v>
      </c>
      <c r="I1283" s="882"/>
      <c r="J1283" s="876"/>
      <c r="K1283" s="878"/>
      <c r="L1283" s="882"/>
      <c r="M1283" s="882"/>
      <c r="N1283" s="884"/>
      <c r="O1283" s="56">
        <v>723</v>
      </c>
      <c r="P1283" s="79">
        <f>+N1282-P1282</f>
        <v>540000</v>
      </c>
    </row>
    <row r="1284" spans="1:16" ht="15" customHeight="1">
      <c r="A1284" s="919">
        <f>+A1282+1</f>
        <v>371</v>
      </c>
      <c r="B1284" s="875">
        <v>42361</v>
      </c>
      <c r="C1284" s="877" t="s">
        <v>272</v>
      </c>
      <c r="D1284" s="877" t="s">
        <v>504</v>
      </c>
      <c r="E1284" s="881" t="s">
        <v>148</v>
      </c>
      <c r="F1284" s="883">
        <v>700000</v>
      </c>
      <c r="G1284" s="55">
        <v>719</v>
      </c>
      <c r="H1284" s="78">
        <v>500000</v>
      </c>
      <c r="I1284" s="881">
        <f>+I1282+1</f>
        <v>168</v>
      </c>
      <c r="J1284" s="875">
        <v>42485</v>
      </c>
      <c r="K1284" s="877" t="s">
        <v>28</v>
      </c>
      <c r="L1284" s="881" t="s">
        <v>556</v>
      </c>
      <c r="M1284" s="881" t="s">
        <v>214</v>
      </c>
      <c r="N1284" s="883">
        <v>940000</v>
      </c>
      <c r="O1284" s="55">
        <v>719</v>
      </c>
      <c r="P1284" s="78"/>
    </row>
    <row r="1285" spans="1:16" ht="15.75" customHeight="1" thickBot="1">
      <c r="A1285" s="920"/>
      <c r="B1285" s="876"/>
      <c r="C1285" s="878"/>
      <c r="D1285" s="878"/>
      <c r="E1285" s="882"/>
      <c r="F1285" s="884"/>
      <c r="G1285" s="56">
        <v>721</v>
      </c>
      <c r="H1285" s="79">
        <f>+F1284-H1284</f>
        <v>200000</v>
      </c>
      <c r="I1285" s="882"/>
      <c r="J1285" s="876"/>
      <c r="K1285" s="878"/>
      <c r="L1285" s="882"/>
      <c r="M1285" s="882"/>
      <c r="N1285" s="884"/>
      <c r="O1285" s="56">
        <v>723</v>
      </c>
      <c r="P1285" s="79">
        <f>+N1284-P1284</f>
        <v>940000</v>
      </c>
    </row>
    <row r="1286" spans="1:16" ht="16.5" thickBot="1">
      <c r="A1286" s="901" t="s">
        <v>102</v>
      </c>
      <c r="B1286" s="902"/>
      <c r="C1286" s="902"/>
      <c r="D1286" s="902"/>
      <c r="E1286" s="903"/>
      <c r="F1286" s="81">
        <f>SUM(F1276:F1285)</f>
        <v>1316000</v>
      </c>
      <c r="I1286" s="901" t="s">
        <v>102</v>
      </c>
      <c r="J1286" s="902"/>
      <c r="K1286" s="902"/>
      <c r="L1286" s="902"/>
      <c r="M1286" s="903"/>
      <c r="N1286" s="81">
        <f>SUM(N1276:N1285)</f>
        <v>6328122</v>
      </c>
    </row>
    <row r="1287" spans="1:16" ht="16.5" thickBot="1">
      <c r="A1287" s="885" t="s">
        <v>103</v>
      </c>
      <c r="B1287" s="886"/>
      <c r="C1287" s="886"/>
      <c r="D1287" s="886"/>
      <c r="E1287" s="887"/>
      <c r="F1287" s="69">
        <f>+F1251</f>
        <v>659133254</v>
      </c>
      <c r="I1287" s="885" t="s">
        <v>103</v>
      </c>
      <c r="J1287" s="886"/>
      <c r="K1287" s="886"/>
      <c r="L1287" s="886"/>
      <c r="M1287" s="887"/>
      <c r="N1287" s="69">
        <f>+N1251</f>
        <v>353031965</v>
      </c>
      <c r="O1287" s="241" t="s">
        <v>561</v>
      </c>
      <c r="P1287" s="242"/>
    </row>
    <row r="1288" spans="1:16" ht="16.5" thickBot="1">
      <c r="A1288" s="888" t="s">
        <v>104</v>
      </c>
      <c r="B1288" s="889"/>
      <c r="C1288" s="889"/>
      <c r="D1288" s="889"/>
      <c r="E1288" s="890"/>
      <c r="F1288" s="183">
        <f>SUM(F1286:F1287)</f>
        <v>660449254</v>
      </c>
      <c r="I1288" s="888" t="s">
        <v>104</v>
      </c>
      <c r="J1288" s="889"/>
      <c r="K1288" s="889"/>
      <c r="L1288" s="889"/>
      <c r="M1288" s="890"/>
      <c r="N1288" s="183">
        <f>SUM(N1286:N1287)</f>
        <v>359360087</v>
      </c>
    </row>
    <row r="1289" spans="1:16">
      <c r="A1289" s="61"/>
      <c r="B1289" s="61"/>
      <c r="C1289" s="61"/>
      <c r="D1289" s="61"/>
      <c r="E1289" s="61"/>
      <c r="I1289" s="61"/>
      <c r="J1289" s="61"/>
      <c r="K1289" s="61"/>
      <c r="L1289" s="61"/>
      <c r="M1289" s="61"/>
    </row>
    <row r="1290" spans="1:16">
      <c r="A1290" s="51" t="s">
        <v>506</v>
      </c>
      <c r="I1290" s="51" t="s">
        <v>895</v>
      </c>
    </row>
    <row r="1291" spans="1:16" ht="12" customHeight="1">
      <c r="F1291" s="139"/>
      <c r="N1291" s="139"/>
    </row>
    <row r="1292" spans="1:16">
      <c r="A1292" s="50" t="s">
        <v>105</v>
      </c>
      <c r="D1292" s="146"/>
      <c r="F1292" s="139"/>
      <c r="I1292" s="50" t="s">
        <v>105</v>
      </c>
      <c r="L1292" s="146"/>
      <c r="N1292" s="139"/>
    </row>
    <row r="1293" spans="1:16" ht="12" customHeight="1" thickBot="1"/>
    <row r="1294" spans="1:16" ht="15.75" thickBot="1">
      <c r="A1294" s="891" t="s">
        <v>106</v>
      </c>
      <c r="B1294" s="892"/>
      <c r="C1294" s="892"/>
      <c r="D1294" s="893"/>
      <c r="F1294" s="50" t="s">
        <v>288</v>
      </c>
      <c r="I1294" s="891" t="s">
        <v>106</v>
      </c>
      <c r="J1294" s="892"/>
      <c r="K1294" s="892"/>
      <c r="L1294" s="893"/>
      <c r="N1294" s="50" t="s">
        <v>288</v>
      </c>
    </row>
    <row r="1295" spans="1:16" ht="30.75" thickBot="1">
      <c r="A1295" s="57" t="s">
        <v>100</v>
      </c>
      <c r="B1295" s="58" t="s">
        <v>108</v>
      </c>
      <c r="C1295" s="59" t="s">
        <v>109</v>
      </c>
      <c r="D1295" s="60" t="s">
        <v>110</v>
      </c>
      <c r="I1295" s="57" t="s">
        <v>100</v>
      </c>
      <c r="J1295" s="58" t="s">
        <v>108</v>
      </c>
      <c r="K1295" s="59" t="s">
        <v>109</v>
      </c>
      <c r="L1295" s="60" t="s">
        <v>110</v>
      </c>
    </row>
    <row r="1296" spans="1:16">
      <c r="A1296" s="71">
        <v>719</v>
      </c>
      <c r="B1296" s="73">
        <f>+H1276+H1278+H1280+H1282+H1284</f>
        <v>940000</v>
      </c>
      <c r="C1296" s="74">
        <f>+D1259</f>
        <v>46690000</v>
      </c>
      <c r="D1296" s="195">
        <f>+B1296+C1296</f>
        <v>47630000</v>
      </c>
      <c r="I1296" s="71">
        <v>719</v>
      </c>
      <c r="J1296" s="73">
        <f>+P1276+P1278+P1280+P1282+P1284</f>
        <v>0</v>
      </c>
      <c r="K1296" s="74">
        <f>+L1259</f>
        <v>12220000</v>
      </c>
      <c r="L1296" s="195">
        <f>+J1296+K1296</f>
        <v>12220000</v>
      </c>
    </row>
    <row r="1297" spans="1:16">
      <c r="A1297" s="72">
        <v>721</v>
      </c>
      <c r="B1297" s="80">
        <f>(+H1285+H1283+H1281+H1279+H1277)</f>
        <v>376000</v>
      </c>
      <c r="C1297" s="74">
        <f>+D1260</f>
        <v>56076413</v>
      </c>
      <c r="D1297" s="195">
        <f>+B1297+C1297</f>
        <v>56452413</v>
      </c>
      <c r="I1297" s="72">
        <v>721</v>
      </c>
      <c r="J1297" s="80">
        <v>0</v>
      </c>
      <c r="K1297" s="74">
        <f>+L1260</f>
        <v>4024000</v>
      </c>
      <c r="L1297" s="195">
        <f>+J1297+K1297</f>
        <v>4024000</v>
      </c>
    </row>
    <row r="1298" spans="1:16">
      <c r="A1298" s="72">
        <v>722</v>
      </c>
      <c r="B1298" s="80"/>
      <c r="C1298" s="74">
        <f>+D1261</f>
        <v>231207671</v>
      </c>
      <c r="D1298" s="195">
        <f>+B1298+C1298</f>
        <v>231207671</v>
      </c>
      <c r="I1298" s="72">
        <v>722</v>
      </c>
      <c r="J1298" s="80"/>
      <c r="K1298" s="74">
        <f>+L1261</f>
        <v>0</v>
      </c>
      <c r="L1298" s="195">
        <f>+J1298+K1298</f>
        <v>0</v>
      </c>
    </row>
    <row r="1299" spans="1:16" ht="15.75">
      <c r="A1299" s="72">
        <v>723</v>
      </c>
      <c r="B1299" s="80"/>
      <c r="C1299" s="74">
        <f>+D1262</f>
        <v>323193545</v>
      </c>
      <c r="D1299" s="195">
        <f>+B1299+C1299</f>
        <v>323193545</v>
      </c>
      <c r="F1299" s="174" t="s">
        <v>23</v>
      </c>
      <c r="G1299" s="175"/>
      <c r="I1299" s="72">
        <v>723</v>
      </c>
      <c r="J1299" s="80">
        <f>+P1285+P1283+P1281+P1279+P1277</f>
        <v>6328122</v>
      </c>
      <c r="K1299" s="74">
        <f>+L1262</f>
        <v>336787965</v>
      </c>
      <c r="L1299" s="195">
        <f>+J1299+K1299</f>
        <v>343116087</v>
      </c>
      <c r="N1299" s="193" t="s">
        <v>289</v>
      </c>
      <c r="O1299" s="175"/>
    </row>
    <row r="1300" spans="1:16" ht="16.5" thickBot="1">
      <c r="A1300" s="164" t="s">
        <v>181</v>
      </c>
      <c r="B1300" s="165"/>
      <c r="C1300" s="74" t="e">
        <f>+D1263</f>
        <v>#REF!</v>
      </c>
      <c r="D1300" s="196" t="e">
        <f>+B1300+C1300</f>
        <v>#REF!</v>
      </c>
      <c r="F1300" s="52"/>
      <c r="I1300" s="164" t="s">
        <v>181</v>
      </c>
      <c r="J1300" s="165"/>
      <c r="K1300" s="74">
        <f>+L1263</f>
        <v>0</v>
      </c>
      <c r="L1300" s="196">
        <f>+J1300+K1300</f>
        <v>0</v>
      </c>
      <c r="N1300" s="52"/>
    </row>
    <row r="1301" spans="1:16" ht="16.5" thickBot="1">
      <c r="A1301" s="169"/>
      <c r="B1301" s="170">
        <f>SUM(B1296:B1300)</f>
        <v>1316000</v>
      </c>
      <c r="C1301" s="171" t="e">
        <f>SUM(C1296:C1300)</f>
        <v>#REF!</v>
      </c>
      <c r="D1301" s="172" t="e">
        <f>SUM(D1296:D1300)</f>
        <v>#REF!</v>
      </c>
      <c r="I1301" s="169"/>
      <c r="J1301" s="197">
        <f>SUM(J1296:J1300)</f>
        <v>6328122</v>
      </c>
      <c r="K1301" s="197">
        <f>SUM(K1296:K1300)</f>
        <v>353031965</v>
      </c>
      <c r="L1301" s="198">
        <f>SUM(L1296:L1300)</f>
        <v>359360087</v>
      </c>
    </row>
    <row r="1302" spans="1:16" ht="16.5">
      <c r="A1302" s="49" t="s">
        <v>88</v>
      </c>
      <c r="B1302" s="50"/>
      <c r="I1302" s="49" t="s">
        <v>88</v>
      </c>
      <c r="J1302" s="50"/>
    </row>
    <row r="1303" spans="1:16">
      <c r="A1303" s="51" t="s">
        <v>89</v>
      </c>
      <c r="I1303" s="51" t="s">
        <v>89</v>
      </c>
    </row>
    <row r="1304" spans="1:16">
      <c r="A1304" s="51" t="s">
        <v>90</v>
      </c>
      <c r="I1304" s="51" t="s">
        <v>90</v>
      </c>
    </row>
    <row r="1305" spans="1:16">
      <c r="A1305" s="51" t="s">
        <v>91</v>
      </c>
      <c r="I1305" s="51" t="s">
        <v>91</v>
      </c>
    </row>
    <row r="1306" spans="1:16" ht="12" customHeight="1">
      <c r="A1306" s="50"/>
      <c r="B1306" s="50"/>
      <c r="I1306" s="50"/>
      <c r="J1306" s="50"/>
    </row>
    <row r="1307" spans="1:16" ht="16.5">
      <c r="A1307" s="52" t="s">
        <v>507</v>
      </c>
      <c r="G1307" s="52"/>
      <c r="I1307" s="260" t="s">
        <v>209</v>
      </c>
      <c r="O1307" s="52"/>
    </row>
    <row r="1308" spans="1:16" ht="15.75">
      <c r="A1308" s="53" t="s">
        <v>92</v>
      </c>
      <c r="G1308" s="53"/>
      <c r="I1308" s="53" t="s">
        <v>535</v>
      </c>
      <c r="O1308" s="53"/>
    </row>
    <row r="1309" spans="1:16" ht="16.5">
      <c r="A1309" s="894" t="s">
        <v>261</v>
      </c>
      <c r="B1309" s="894"/>
      <c r="C1309" s="894"/>
      <c r="D1309" s="894"/>
      <c r="E1309" s="894"/>
      <c r="F1309" s="894"/>
      <c r="G1309" s="894"/>
      <c r="H1309" s="894"/>
      <c r="I1309" s="894" t="s">
        <v>903</v>
      </c>
      <c r="J1309" s="894"/>
      <c r="K1309" s="894"/>
      <c r="L1309" s="894"/>
      <c r="M1309" s="894"/>
      <c r="N1309" s="894"/>
      <c r="O1309" s="894"/>
      <c r="P1309" s="894"/>
    </row>
    <row r="1310" spans="1:16" ht="15.75" thickBot="1"/>
    <row r="1311" spans="1:16">
      <c r="A1311" s="895" t="s">
        <v>94</v>
      </c>
      <c r="B1311" s="897" t="s">
        <v>95</v>
      </c>
      <c r="C1311" s="897" t="s">
        <v>96</v>
      </c>
      <c r="D1311" s="897" t="s">
        <v>3</v>
      </c>
      <c r="E1311" s="897" t="s">
        <v>97</v>
      </c>
      <c r="F1311" s="897" t="s">
        <v>98</v>
      </c>
      <c r="G1311" s="897" t="s">
        <v>99</v>
      </c>
      <c r="H1311" s="899"/>
      <c r="I1311" s="895" t="s">
        <v>94</v>
      </c>
      <c r="J1311" s="897" t="s">
        <v>95</v>
      </c>
      <c r="K1311" s="897" t="s">
        <v>96</v>
      </c>
      <c r="L1311" s="897" t="s">
        <v>3</v>
      </c>
      <c r="M1311" s="897" t="s">
        <v>97</v>
      </c>
      <c r="N1311" s="897" t="s">
        <v>98</v>
      </c>
      <c r="O1311" s="897" t="s">
        <v>99</v>
      </c>
      <c r="P1311" s="899"/>
    </row>
    <row r="1312" spans="1:16" ht="15.75" thickBot="1">
      <c r="A1312" s="896"/>
      <c r="B1312" s="898"/>
      <c r="C1312" s="898"/>
      <c r="D1312" s="898"/>
      <c r="E1312" s="898"/>
      <c r="F1312" s="898"/>
      <c r="G1312" s="240" t="s">
        <v>100</v>
      </c>
      <c r="H1312" s="182" t="s">
        <v>101</v>
      </c>
      <c r="I1312" s="896"/>
      <c r="J1312" s="898"/>
      <c r="K1312" s="898"/>
      <c r="L1312" s="898"/>
      <c r="M1312" s="898"/>
      <c r="N1312" s="898"/>
      <c r="O1312" s="240" t="s">
        <v>100</v>
      </c>
      <c r="P1312" s="182" t="s">
        <v>101</v>
      </c>
    </row>
    <row r="1313" spans="1:16" ht="15" customHeight="1">
      <c r="A1313" s="919">
        <f>+A1284+1</f>
        <v>372</v>
      </c>
      <c r="B1313" s="875">
        <v>42364</v>
      </c>
      <c r="C1313" s="877" t="s">
        <v>267</v>
      </c>
      <c r="D1313" s="877" t="s">
        <v>509</v>
      </c>
      <c r="E1313" s="881" t="s">
        <v>148</v>
      </c>
      <c r="F1313" s="883">
        <v>112000</v>
      </c>
      <c r="G1313" s="55">
        <v>719</v>
      </c>
      <c r="H1313" s="78">
        <v>80000</v>
      </c>
      <c r="I1313" s="873" t="s">
        <v>893</v>
      </c>
      <c r="J1313" s="875">
        <v>42485</v>
      </c>
      <c r="K1313" s="877" t="s">
        <v>272</v>
      </c>
      <c r="L1313" s="881" t="s">
        <v>556</v>
      </c>
      <c r="M1313" s="881" t="s">
        <v>115</v>
      </c>
      <c r="N1313" s="883">
        <v>4920000</v>
      </c>
      <c r="O1313" s="55">
        <v>719</v>
      </c>
      <c r="P1313" s="78"/>
    </row>
    <row r="1314" spans="1:16" ht="15.75" customHeight="1" thickBot="1">
      <c r="A1314" s="920"/>
      <c r="B1314" s="876"/>
      <c r="C1314" s="878"/>
      <c r="D1314" s="878"/>
      <c r="E1314" s="882"/>
      <c r="F1314" s="884"/>
      <c r="G1314" s="56">
        <v>721</v>
      </c>
      <c r="H1314" s="79">
        <f>+F1313-H1313</f>
        <v>32000</v>
      </c>
      <c r="I1314" s="874"/>
      <c r="J1314" s="876"/>
      <c r="K1314" s="878"/>
      <c r="L1314" s="882"/>
      <c r="M1314" s="882"/>
      <c r="N1314" s="884"/>
      <c r="O1314" s="56">
        <v>723</v>
      </c>
      <c r="P1314" s="79">
        <f>+N1313-P1313</f>
        <v>4920000</v>
      </c>
    </row>
    <row r="1315" spans="1:16" ht="15" customHeight="1">
      <c r="A1315" s="919">
        <f>+A1313+1</f>
        <v>373</v>
      </c>
      <c r="B1315" s="875">
        <v>42364</v>
      </c>
      <c r="C1315" s="881" t="s">
        <v>28</v>
      </c>
      <c r="D1315" s="877" t="s">
        <v>510</v>
      </c>
      <c r="E1315" s="881" t="s">
        <v>148</v>
      </c>
      <c r="F1315" s="883">
        <v>238000</v>
      </c>
      <c r="G1315" s="55">
        <v>719</v>
      </c>
      <c r="H1315" s="78">
        <v>170000</v>
      </c>
      <c r="I1315" s="881">
        <f>+I1313+1</f>
        <v>170</v>
      </c>
      <c r="J1315" s="875">
        <v>42485</v>
      </c>
      <c r="K1315" s="877" t="s">
        <v>695</v>
      </c>
      <c r="L1315" s="881" t="s">
        <v>556</v>
      </c>
      <c r="M1315" s="881" t="s">
        <v>115</v>
      </c>
      <c r="N1315" s="883">
        <v>5066197</v>
      </c>
      <c r="O1315" s="55">
        <v>719</v>
      </c>
      <c r="P1315" s="78"/>
    </row>
    <row r="1316" spans="1:16" ht="15.75" customHeight="1" thickBot="1">
      <c r="A1316" s="920"/>
      <c r="B1316" s="876"/>
      <c r="C1316" s="882"/>
      <c r="D1316" s="878"/>
      <c r="E1316" s="882"/>
      <c r="F1316" s="884"/>
      <c r="G1316" s="56">
        <v>721</v>
      </c>
      <c r="H1316" s="79">
        <f>+F1315-H1315</f>
        <v>68000</v>
      </c>
      <c r="I1316" s="882"/>
      <c r="J1316" s="876"/>
      <c r="K1316" s="878"/>
      <c r="L1316" s="882"/>
      <c r="M1316" s="882"/>
      <c r="N1316" s="884"/>
      <c r="O1316" s="56">
        <v>723</v>
      </c>
      <c r="P1316" s="79">
        <f>+N1315-P1315</f>
        <v>5066197</v>
      </c>
    </row>
    <row r="1317" spans="1:16" ht="15" customHeight="1">
      <c r="A1317" s="919">
        <f>+A1315+1</f>
        <v>374</v>
      </c>
      <c r="B1317" s="875">
        <v>42364</v>
      </c>
      <c r="C1317" s="877" t="s">
        <v>32</v>
      </c>
      <c r="D1317" s="877" t="s">
        <v>510</v>
      </c>
      <c r="E1317" s="881" t="s">
        <v>148</v>
      </c>
      <c r="F1317" s="883">
        <v>112000</v>
      </c>
      <c r="G1317" s="55">
        <v>719</v>
      </c>
      <c r="H1317" s="78">
        <v>80000</v>
      </c>
      <c r="I1317" s="881">
        <f>+I1315+1</f>
        <v>171</v>
      </c>
      <c r="J1317" s="875">
        <v>42485</v>
      </c>
      <c r="K1317" s="877" t="s">
        <v>117</v>
      </c>
      <c r="L1317" s="881" t="s">
        <v>556</v>
      </c>
      <c r="M1317" s="881" t="s">
        <v>115</v>
      </c>
      <c r="N1317" s="883">
        <v>870000</v>
      </c>
      <c r="O1317" s="55">
        <v>719</v>
      </c>
      <c r="P1317" s="78"/>
    </row>
    <row r="1318" spans="1:16" ht="15.75" customHeight="1" thickBot="1">
      <c r="A1318" s="920"/>
      <c r="B1318" s="876"/>
      <c r="C1318" s="878"/>
      <c r="D1318" s="878"/>
      <c r="E1318" s="882"/>
      <c r="F1318" s="884"/>
      <c r="G1318" s="56">
        <v>721</v>
      </c>
      <c r="H1318" s="79">
        <f>+F1317-H1317</f>
        <v>32000</v>
      </c>
      <c r="I1318" s="882"/>
      <c r="J1318" s="876"/>
      <c r="K1318" s="878"/>
      <c r="L1318" s="882"/>
      <c r="M1318" s="882"/>
      <c r="N1318" s="884"/>
      <c r="O1318" s="56">
        <v>723</v>
      </c>
      <c r="P1318" s="79">
        <f>+N1317-P1317</f>
        <v>870000</v>
      </c>
    </row>
    <row r="1319" spans="1:16" ht="15" customHeight="1">
      <c r="A1319" s="919">
        <f>+A1317+1</f>
        <v>375</v>
      </c>
      <c r="B1319" s="875">
        <v>42364</v>
      </c>
      <c r="C1319" s="877" t="s">
        <v>111</v>
      </c>
      <c r="D1319" s="877" t="s">
        <v>511</v>
      </c>
      <c r="E1319" s="881" t="s">
        <v>148</v>
      </c>
      <c r="F1319" s="883">
        <v>112000</v>
      </c>
      <c r="G1319" s="55">
        <v>719</v>
      </c>
      <c r="H1319" s="78">
        <v>80000</v>
      </c>
      <c r="I1319" s="881">
        <f>+I1317+1</f>
        <v>172</v>
      </c>
      <c r="J1319" s="875">
        <v>42485</v>
      </c>
      <c r="K1319" s="877" t="s">
        <v>894</v>
      </c>
      <c r="L1319" s="881" t="s">
        <v>556</v>
      </c>
      <c r="M1319" s="881" t="s">
        <v>115</v>
      </c>
      <c r="N1319" s="883">
        <v>6114500</v>
      </c>
      <c r="O1319" s="55">
        <v>719</v>
      </c>
      <c r="P1319" s="78"/>
    </row>
    <row r="1320" spans="1:16" ht="15.75" customHeight="1" thickBot="1">
      <c r="A1320" s="920"/>
      <c r="B1320" s="876"/>
      <c r="C1320" s="878"/>
      <c r="D1320" s="878"/>
      <c r="E1320" s="882"/>
      <c r="F1320" s="884"/>
      <c r="G1320" s="56">
        <v>721</v>
      </c>
      <c r="H1320" s="79">
        <f>+F1319-H1319</f>
        <v>32000</v>
      </c>
      <c r="I1320" s="882"/>
      <c r="J1320" s="876"/>
      <c r="K1320" s="878"/>
      <c r="L1320" s="882"/>
      <c r="M1320" s="882"/>
      <c r="N1320" s="884"/>
      <c r="O1320" s="56">
        <v>723</v>
      </c>
      <c r="P1320" s="79">
        <f>+N1319-P1319</f>
        <v>6114500</v>
      </c>
    </row>
    <row r="1321" spans="1:16" ht="15" customHeight="1">
      <c r="A1321" s="919">
        <f>+A1319+1</f>
        <v>376</v>
      </c>
      <c r="B1321" s="875">
        <v>42364</v>
      </c>
      <c r="C1321" s="877" t="s">
        <v>272</v>
      </c>
      <c r="D1321" s="877" t="s">
        <v>510</v>
      </c>
      <c r="E1321" s="881" t="s">
        <v>148</v>
      </c>
      <c r="F1321" s="883">
        <v>616000</v>
      </c>
      <c r="G1321" s="55">
        <v>719</v>
      </c>
      <c r="H1321" s="78">
        <v>440000</v>
      </c>
      <c r="I1321" s="881">
        <f>+I1319+1</f>
        <v>173</v>
      </c>
      <c r="J1321" s="875">
        <v>42485</v>
      </c>
      <c r="K1321" s="877" t="s">
        <v>740</v>
      </c>
      <c r="L1321" s="881" t="s">
        <v>556</v>
      </c>
      <c r="M1321" s="881" t="s">
        <v>115</v>
      </c>
      <c r="N1321" s="883">
        <v>675000</v>
      </c>
      <c r="O1321" s="55">
        <v>719</v>
      </c>
      <c r="P1321" s="78"/>
    </row>
    <row r="1322" spans="1:16" ht="15.75" customHeight="1" thickBot="1">
      <c r="A1322" s="920"/>
      <c r="B1322" s="876"/>
      <c r="C1322" s="878"/>
      <c r="D1322" s="878"/>
      <c r="E1322" s="882"/>
      <c r="F1322" s="884"/>
      <c r="G1322" s="56">
        <v>721</v>
      </c>
      <c r="H1322" s="79">
        <f>+F1321-H1321</f>
        <v>176000</v>
      </c>
      <c r="I1322" s="882"/>
      <c r="J1322" s="876"/>
      <c r="K1322" s="878"/>
      <c r="L1322" s="882"/>
      <c r="M1322" s="882"/>
      <c r="N1322" s="884"/>
      <c r="O1322" s="56">
        <v>723</v>
      </c>
      <c r="P1322" s="79">
        <f>+N1321-P1321</f>
        <v>675000</v>
      </c>
    </row>
    <row r="1323" spans="1:16" ht="16.5" thickBot="1">
      <c r="A1323" s="901" t="s">
        <v>102</v>
      </c>
      <c r="B1323" s="902"/>
      <c r="C1323" s="902"/>
      <c r="D1323" s="902"/>
      <c r="E1323" s="903"/>
      <c r="F1323" s="81">
        <f>SUM(F1313:F1322)</f>
        <v>1190000</v>
      </c>
      <c r="I1323" s="901" t="s">
        <v>102</v>
      </c>
      <c r="J1323" s="902"/>
      <c r="K1323" s="902"/>
      <c r="L1323" s="902"/>
      <c r="M1323" s="903"/>
      <c r="N1323" s="81">
        <f>SUM(N1313:N1322)</f>
        <v>17645697</v>
      </c>
    </row>
    <row r="1324" spans="1:16" ht="16.5" thickBot="1">
      <c r="A1324" s="885" t="s">
        <v>103</v>
      </c>
      <c r="B1324" s="886"/>
      <c r="C1324" s="886"/>
      <c r="D1324" s="886"/>
      <c r="E1324" s="887"/>
      <c r="F1324" s="69">
        <f>+F1288</f>
        <v>660449254</v>
      </c>
      <c r="I1324" s="885" t="s">
        <v>103</v>
      </c>
      <c r="J1324" s="886"/>
      <c r="K1324" s="886"/>
      <c r="L1324" s="886"/>
      <c r="M1324" s="887"/>
      <c r="N1324" s="69">
        <f>+N1288</f>
        <v>359360087</v>
      </c>
      <c r="O1324" s="241" t="s">
        <v>561</v>
      </c>
      <c r="P1324" s="242"/>
    </row>
    <row r="1325" spans="1:16" ht="16.5" thickBot="1">
      <c r="A1325" s="888" t="s">
        <v>104</v>
      </c>
      <c r="B1325" s="889"/>
      <c r="C1325" s="889"/>
      <c r="D1325" s="889"/>
      <c r="E1325" s="890"/>
      <c r="F1325" s="183">
        <f>SUM(F1323:F1324)</f>
        <v>661639254</v>
      </c>
      <c r="I1325" s="888" t="s">
        <v>104</v>
      </c>
      <c r="J1325" s="889"/>
      <c r="K1325" s="889"/>
      <c r="L1325" s="889"/>
      <c r="M1325" s="890"/>
      <c r="N1325" s="183">
        <f>SUM(N1323:N1324)</f>
        <v>377005784</v>
      </c>
    </row>
    <row r="1326" spans="1:16">
      <c r="A1326" s="61"/>
      <c r="B1326" s="61"/>
      <c r="C1326" s="61"/>
      <c r="D1326" s="61"/>
      <c r="E1326" s="61"/>
      <c r="I1326" s="61"/>
      <c r="J1326" s="61"/>
      <c r="K1326" s="61"/>
      <c r="L1326" s="61"/>
      <c r="M1326" s="61"/>
    </row>
    <row r="1327" spans="1:16">
      <c r="A1327" s="51" t="s">
        <v>512</v>
      </c>
      <c r="I1327" s="51" t="s">
        <v>896</v>
      </c>
    </row>
    <row r="1328" spans="1:16" ht="9.75" customHeight="1">
      <c r="F1328" s="139"/>
      <c r="N1328" s="139"/>
    </row>
    <row r="1329" spans="1:15">
      <c r="A1329" s="50" t="s">
        <v>105</v>
      </c>
      <c r="D1329" s="146"/>
      <c r="F1329" s="139"/>
      <c r="I1329" s="50" t="s">
        <v>105</v>
      </c>
      <c r="L1329" s="146"/>
      <c r="N1329" s="139"/>
    </row>
    <row r="1330" spans="1:15" ht="13.5" customHeight="1" thickBot="1"/>
    <row r="1331" spans="1:15" ht="15.75" thickBot="1">
      <c r="A1331" s="891" t="s">
        <v>106</v>
      </c>
      <c r="B1331" s="892"/>
      <c r="C1331" s="892"/>
      <c r="D1331" s="893"/>
      <c r="F1331" s="50" t="s">
        <v>288</v>
      </c>
      <c r="I1331" s="891" t="s">
        <v>106</v>
      </c>
      <c r="J1331" s="892"/>
      <c r="K1331" s="892"/>
      <c r="L1331" s="893"/>
      <c r="N1331" s="50" t="s">
        <v>288</v>
      </c>
    </row>
    <row r="1332" spans="1:15" ht="30.75" thickBot="1">
      <c r="A1332" s="57" t="s">
        <v>100</v>
      </c>
      <c r="B1332" s="58" t="s">
        <v>108</v>
      </c>
      <c r="C1332" s="59" t="s">
        <v>109</v>
      </c>
      <c r="D1332" s="60" t="s">
        <v>110</v>
      </c>
      <c r="I1332" s="57" t="s">
        <v>100</v>
      </c>
      <c r="J1332" s="58" t="s">
        <v>108</v>
      </c>
      <c r="K1332" s="59" t="s">
        <v>109</v>
      </c>
      <c r="L1332" s="60" t="s">
        <v>110</v>
      </c>
    </row>
    <row r="1333" spans="1:15">
      <c r="A1333" s="71">
        <v>719</v>
      </c>
      <c r="B1333" s="73">
        <f>+H1313+H1315+H1317+H1319+H1321</f>
        <v>850000</v>
      </c>
      <c r="C1333" s="74">
        <f>+D1296</f>
        <v>47630000</v>
      </c>
      <c r="D1333" s="195">
        <f>+B1333+C1333</f>
        <v>48480000</v>
      </c>
      <c r="I1333" s="71">
        <v>719</v>
      </c>
      <c r="J1333" s="73">
        <f>+P1313+P1315+P1317+P1319+P1321</f>
        <v>0</v>
      </c>
      <c r="K1333" s="74">
        <f>+L1296</f>
        <v>12220000</v>
      </c>
      <c r="L1333" s="195">
        <f>+J1333+K1333</f>
        <v>12220000</v>
      </c>
    </row>
    <row r="1334" spans="1:15">
      <c r="A1334" s="72">
        <v>721</v>
      </c>
      <c r="B1334" s="80">
        <f>(+H1322+H1320+H1318+H1316+H1314)</f>
        <v>340000</v>
      </c>
      <c r="C1334" s="74">
        <f>+D1297</f>
        <v>56452413</v>
      </c>
      <c r="D1334" s="195">
        <f>+B1334+C1334</f>
        <v>56792413</v>
      </c>
      <c r="I1334" s="72">
        <v>721</v>
      </c>
      <c r="J1334" s="80">
        <v>0</v>
      </c>
      <c r="K1334" s="74">
        <f>+L1297</f>
        <v>4024000</v>
      </c>
      <c r="L1334" s="195">
        <f>+J1334+K1334</f>
        <v>4024000</v>
      </c>
    </row>
    <row r="1335" spans="1:15">
      <c r="A1335" s="72">
        <v>722</v>
      </c>
      <c r="B1335" s="80"/>
      <c r="C1335" s="74">
        <f>+D1298</f>
        <v>231207671</v>
      </c>
      <c r="D1335" s="195">
        <f>+B1335+C1335</f>
        <v>231207671</v>
      </c>
      <c r="I1335" s="72">
        <v>722</v>
      </c>
      <c r="J1335" s="80"/>
      <c r="K1335" s="74">
        <f>+L1298</f>
        <v>0</v>
      </c>
      <c r="L1335" s="195">
        <f>+J1335+K1335</f>
        <v>0</v>
      </c>
    </row>
    <row r="1336" spans="1:15" ht="15.75">
      <c r="A1336" s="72">
        <v>723</v>
      </c>
      <c r="B1336" s="80"/>
      <c r="C1336" s="74">
        <f>+D1299</f>
        <v>323193545</v>
      </c>
      <c r="D1336" s="195">
        <f>+B1336+C1336</f>
        <v>323193545</v>
      </c>
      <c r="F1336" s="174" t="s">
        <v>23</v>
      </c>
      <c r="G1336" s="175"/>
      <c r="I1336" s="72">
        <v>723</v>
      </c>
      <c r="J1336" s="80">
        <f>+P1322+P1320+P1318+P1316+P1314</f>
        <v>17645697</v>
      </c>
      <c r="K1336" s="74">
        <f>+L1299</f>
        <v>343116087</v>
      </c>
      <c r="L1336" s="195">
        <f>+J1336+K1336</f>
        <v>360761784</v>
      </c>
      <c r="N1336" s="193" t="s">
        <v>289</v>
      </c>
      <c r="O1336" s="175"/>
    </row>
    <row r="1337" spans="1:15" ht="16.5" thickBot="1">
      <c r="A1337" s="164" t="s">
        <v>181</v>
      </c>
      <c r="B1337" s="165"/>
      <c r="C1337" s="74" t="e">
        <f>+D1300</f>
        <v>#REF!</v>
      </c>
      <c r="D1337" s="196" t="e">
        <f>+B1337+C1337</f>
        <v>#REF!</v>
      </c>
      <c r="F1337" s="52"/>
      <c r="I1337" s="164" t="s">
        <v>181</v>
      </c>
      <c r="J1337" s="165"/>
      <c r="K1337" s="74">
        <f>+L1300</f>
        <v>0</v>
      </c>
      <c r="L1337" s="196">
        <f>+J1337+K1337</f>
        <v>0</v>
      </c>
      <c r="N1337" s="52"/>
    </row>
    <row r="1338" spans="1:15" ht="16.5" thickBot="1">
      <c r="A1338" s="169"/>
      <c r="B1338" s="170">
        <f>SUM(B1333:B1337)</f>
        <v>1190000</v>
      </c>
      <c r="C1338" s="171" t="e">
        <f>SUM(C1333:C1337)</f>
        <v>#REF!</v>
      </c>
      <c r="D1338" s="172" t="e">
        <f>SUM(D1333:D1337)</f>
        <v>#REF!</v>
      </c>
      <c r="I1338" s="169"/>
      <c r="J1338" s="197">
        <f>SUM(J1333:J1337)</f>
        <v>17645697</v>
      </c>
      <c r="K1338" s="197">
        <f>SUM(K1333:K1337)</f>
        <v>359360087</v>
      </c>
      <c r="L1338" s="198">
        <f>SUM(L1333:L1337)</f>
        <v>377005784</v>
      </c>
    </row>
    <row r="1339" spans="1:15" ht="16.5">
      <c r="A1339" s="49" t="s">
        <v>88</v>
      </c>
      <c r="B1339" s="50"/>
      <c r="I1339" s="49" t="s">
        <v>88</v>
      </c>
      <c r="J1339" s="50"/>
    </row>
    <row r="1340" spans="1:15">
      <c r="A1340" s="51" t="s">
        <v>89</v>
      </c>
      <c r="I1340" s="51" t="s">
        <v>89</v>
      </c>
    </row>
    <row r="1341" spans="1:15">
      <c r="A1341" s="51" t="s">
        <v>90</v>
      </c>
      <c r="I1341" s="51" t="s">
        <v>90</v>
      </c>
    </row>
    <row r="1342" spans="1:15">
      <c r="A1342" s="51" t="s">
        <v>91</v>
      </c>
      <c r="I1342" s="51" t="s">
        <v>91</v>
      </c>
    </row>
    <row r="1343" spans="1:15" ht="9.75" customHeight="1">
      <c r="A1343" s="50"/>
      <c r="B1343" s="50"/>
      <c r="I1343" s="50"/>
      <c r="J1343" s="50"/>
    </row>
    <row r="1344" spans="1:15" ht="16.5">
      <c r="A1344" s="52" t="s">
        <v>508</v>
      </c>
      <c r="G1344" s="52"/>
      <c r="I1344" s="260" t="s">
        <v>898</v>
      </c>
      <c r="O1344" s="52"/>
    </row>
    <row r="1345" spans="1:16" ht="14.25" customHeight="1">
      <c r="A1345" s="53" t="s">
        <v>92</v>
      </c>
      <c r="G1345" s="53"/>
      <c r="I1345" s="53" t="s">
        <v>535</v>
      </c>
      <c r="O1345" s="53"/>
    </row>
    <row r="1346" spans="1:16" ht="16.5">
      <c r="A1346" s="894" t="s">
        <v>261</v>
      </c>
      <c r="B1346" s="894"/>
      <c r="C1346" s="894"/>
      <c r="D1346" s="894"/>
      <c r="E1346" s="894"/>
      <c r="F1346" s="894"/>
      <c r="G1346" s="894"/>
      <c r="H1346" s="894"/>
      <c r="I1346" s="894" t="s">
        <v>903</v>
      </c>
      <c r="J1346" s="894"/>
      <c r="K1346" s="894"/>
      <c r="L1346" s="894"/>
      <c r="M1346" s="894"/>
      <c r="N1346" s="894"/>
      <c r="O1346" s="894"/>
      <c r="P1346" s="894"/>
    </row>
    <row r="1347" spans="1:16" ht="13.5" customHeight="1" thickBot="1"/>
    <row r="1348" spans="1:16">
      <c r="A1348" s="895" t="s">
        <v>94</v>
      </c>
      <c r="B1348" s="897" t="s">
        <v>95</v>
      </c>
      <c r="C1348" s="897" t="s">
        <v>96</v>
      </c>
      <c r="D1348" s="897" t="s">
        <v>3</v>
      </c>
      <c r="E1348" s="897" t="s">
        <v>97</v>
      </c>
      <c r="F1348" s="897" t="s">
        <v>98</v>
      </c>
      <c r="G1348" s="897" t="s">
        <v>99</v>
      </c>
      <c r="H1348" s="899"/>
      <c r="I1348" s="895" t="s">
        <v>94</v>
      </c>
      <c r="J1348" s="897" t="s">
        <v>95</v>
      </c>
      <c r="K1348" s="897" t="s">
        <v>96</v>
      </c>
      <c r="L1348" s="897" t="s">
        <v>3</v>
      </c>
      <c r="M1348" s="897" t="s">
        <v>97</v>
      </c>
      <c r="N1348" s="897" t="s">
        <v>98</v>
      </c>
      <c r="O1348" s="897" t="s">
        <v>99</v>
      </c>
      <c r="P1348" s="899"/>
    </row>
    <row r="1349" spans="1:16" ht="15.75" thickBot="1">
      <c r="A1349" s="896"/>
      <c r="B1349" s="898"/>
      <c r="C1349" s="898"/>
      <c r="D1349" s="898"/>
      <c r="E1349" s="898"/>
      <c r="F1349" s="898"/>
      <c r="G1349" s="240" t="s">
        <v>100</v>
      </c>
      <c r="H1349" s="182" t="s">
        <v>101</v>
      </c>
      <c r="I1349" s="896"/>
      <c r="J1349" s="898"/>
      <c r="K1349" s="898"/>
      <c r="L1349" s="898"/>
      <c r="M1349" s="898"/>
      <c r="N1349" s="898"/>
      <c r="O1349" s="240" t="s">
        <v>100</v>
      </c>
      <c r="P1349" s="182" t="s">
        <v>101</v>
      </c>
    </row>
    <row r="1350" spans="1:16" ht="12.75" customHeight="1">
      <c r="A1350" s="919">
        <f>+A1321+1</f>
        <v>377</v>
      </c>
      <c r="B1350" s="875">
        <v>42364</v>
      </c>
      <c r="C1350" s="877" t="s">
        <v>31</v>
      </c>
      <c r="D1350" s="877" t="s">
        <v>513</v>
      </c>
      <c r="E1350" s="881" t="s">
        <v>115</v>
      </c>
      <c r="F1350" s="883">
        <v>100000</v>
      </c>
      <c r="G1350" s="55">
        <v>719</v>
      </c>
      <c r="H1350" s="78">
        <v>100000</v>
      </c>
      <c r="I1350" s="873" t="s">
        <v>897</v>
      </c>
      <c r="J1350" s="875">
        <v>42485</v>
      </c>
      <c r="K1350" s="877" t="s">
        <v>899</v>
      </c>
      <c r="L1350" s="881" t="s">
        <v>556</v>
      </c>
      <c r="M1350" s="881" t="s">
        <v>148</v>
      </c>
      <c r="N1350" s="883">
        <v>3150000</v>
      </c>
      <c r="O1350" s="55">
        <v>719</v>
      </c>
      <c r="P1350" s="78"/>
    </row>
    <row r="1351" spans="1:16" ht="13.5" customHeight="1" thickBot="1">
      <c r="A1351" s="920"/>
      <c r="B1351" s="876"/>
      <c r="C1351" s="878"/>
      <c r="D1351" s="878"/>
      <c r="E1351" s="882"/>
      <c r="F1351" s="884"/>
      <c r="G1351" s="56">
        <v>721</v>
      </c>
      <c r="H1351" s="79">
        <f>+F1350-H1350</f>
        <v>0</v>
      </c>
      <c r="I1351" s="874"/>
      <c r="J1351" s="876"/>
      <c r="K1351" s="878"/>
      <c r="L1351" s="882"/>
      <c r="M1351" s="882"/>
      <c r="N1351" s="884"/>
      <c r="O1351" s="56">
        <v>723</v>
      </c>
      <c r="P1351" s="79">
        <f>+N1350-P1350</f>
        <v>3150000</v>
      </c>
    </row>
    <row r="1352" spans="1:16" ht="15" customHeight="1">
      <c r="A1352" s="919">
        <f>+A1350+1</f>
        <v>378</v>
      </c>
      <c r="B1352" s="875">
        <v>42364</v>
      </c>
      <c r="C1352" s="877" t="s">
        <v>472</v>
      </c>
      <c r="D1352" s="877" t="s">
        <v>517</v>
      </c>
      <c r="E1352" s="881" t="s">
        <v>115</v>
      </c>
      <c r="F1352" s="883">
        <v>40000</v>
      </c>
      <c r="G1352" s="55">
        <v>719</v>
      </c>
      <c r="H1352" s="78">
        <v>40000</v>
      </c>
      <c r="I1352" s="881">
        <f>+I1350+1</f>
        <v>175</v>
      </c>
      <c r="J1352" s="875">
        <v>42485</v>
      </c>
      <c r="K1352" s="877" t="s">
        <v>694</v>
      </c>
      <c r="L1352" s="881" t="s">
        <v>556</v>
      </c>
      <c r="M1352" s="881" t="s">
        <v>148</v>
      </c>
      <c r="N1352" s="883">
        <v>25661697</v>
      </c>
      <c r="O1352" s="55">
        <v>719</v>
      </c>
      <c r="P1352" s="78"/>
    </row>
    <row r="1353" spans="1:16" ht="15.75" customHeight="1" thickBot="1">
      <c r="A1353" s="920"/>
      <c r="B1353" s="876"/>
      <c r="C1353" s="878"/>
      <c r="D1353" s="878"/>
      <c r="E1353" s="882"/>
      <c r="F1353" s="884"/>
      <c r="G1353" s="56">
        <v>721</v>
      </c>
      <c r="H1353" s="79">
        <f>+F1352-H1352</f>
        <v>0</v>
      </c>
      <c r="I1353" s="882"/>
      <c r="J1353" s="876"/>
      <c r="K1353" s="878"/>
      <c r="L1353" s="882"/>
      <c r="M1353" s="882"/>
      <c r="N1353" s="884"/>
      <c r="O1353" s="56">
        <v>723</v>
      </c>
      <c r="P1353" s="79">
        <f>+N1352-P1352</f>
        <v>25661697</v>
      </c>
    </row>
    <row r="1354" spans="1:16" ht="14.25" customHeight="1">
      <c r="A1354" s="919">
        <f>+A1352+1</f>
        <v>379</v>
      </c>
      <c r="B1354" s="875">
        <v>42364</v>
      </c>
      <c r="C1354" s="877" t="s">
        <v>32</v>
      </c>
      <c r="D1354" s="877" t="s">
        <v>518</v>
      </c>
      <c r="E1354" s="881" t="s">
        <v>115</v>
      </c>
      <c r="F1354" s="883">
        <v>40000</v>
      </c>
      <c r="G1354" s="55">
        <v>719</v>
      </c>
      <c r="H1354" s="78">
        <v>40000</v>
      </c>
      <c r="I1354" s="881">
        <f>+I1352+1</f>
        <v>176</v>
      </c>
      <c r="J1354" s="875">
        <v>42485</v>
      </c>
      <c r="K1354" s="877" t="s">
        <v>900</v>
      </c>
      <c r="L1354" s="881" t="s">
        <v>556</v>
      </c>
      <c r="M1354" s="881" t="s">
        <v>148</v>
      </c>
      <c r="N1354" s="883">
        <v>3300000</v>
      </c>
      <c r="O1354" s="55">
        <v>719</v>
      </c>
      <c r="P1354" s="78"/>
    </row>
    <row r="1355" spans="1:16" ht="13.5" customHeight="1" thickBot="1">
      <c r="A1355" s="920"/>
      <c r="B1355" s="876"/>
      <c r="C1355" s="878"/>
      <c r="D1355" s="878"/>
      <c r="E1355" s="882"/>
      <c r="F1355" s="884"/>
      <c r="G1355" s="56">
        <v>721</v>
      </c>
      <c r="H1355" s="79">
        <f>+F1354-H1354</f>
        <v>0</v>
      </c>
      <c r="I1355" s="882"/>
      <c r="J1355" s="876"/>
      <c r="K1355" s="878"/>
      <c r="L1355" s="882"/>
      <c r="M1355" s="882"/>
      <c r="N1355" s="884"/>
      <c r="O1355" s="56">
        <v>723</v>
      </c>
      <c r="P1355" s="79">
        <f>+N1354-P1354</f>
        <v>3300000</v>
      </c>
    </row>
    <row r="1356" spans="1:16" ht="15" customHeight="1">
      <c r="A1356" s="919">
        <f>+A1354+1</f>
        <v>380</v>
      </c>
      <c r="B1356" s="875">
        <v>42364</v>
      </c>
      <c r="C1356" s="877" t="s">
        <v>120</v>
      </c>
      <c r="D1356" s="877" t="s">
        <v>519</v>
      </c>
      <c r="E1356" s="881" t="s">
        <v>115</v>
      </c>
      <c r="F1356" s="883">
        <v>20000</v>
      </c>
      <c r="G1356" s="55">
        <v>719</v>
      </c>
      <c r="H1356" s="78">
        <v>20000</v>
      </c>
      <c r="I1356" s="881">
        <f>+I1354+1</f>
        <v>177</v>
      </c>
      <c r="J1356" s="875">
        <v>42485</v>
      </c>
      <c r="K1356" s="877" t="s">
        <v>901</v>
      </c>
      <c r="L1356" s="881" t="s">
        <v>556</v>
      </c>
      <c r="M1356" s="881" t="s">
        <v>165</v>
      </c>
      <c r="N1356" s="883">
        <v>2829000</v>
      </c>
      <c r="O1356" s="55">
        <v>719</v>
      </c>
      <c r="P1356" s="78"/>
    </row>
    <row r="1357" spans="1:16" ht="15.75" customHeight="1" thickBot="1">
      <c r="A1357" s="920"/>
      <c r="B1357" s="876"/>
      <c r="C1357" s="878"/>
      <c r="D1357" s="878"/>
      <c r="E1357" s="882"/>
      <c r="F1357" s="884"/>
      <c r="G1357" s="56">
        <v>721</v>
      </c>
      <c r="H1357" s="79">
        <f>+F1356-H1356</f>
        <v>0</v>
      </c>
      <c r="I1357" s="882"/>
      <c r="J1357" s="876"/>
      <c r="K1357" s="878"/>
      <c r="L1357" s="882"/>
      <c r="M1357" s="882"/>
      <c r="N1357" s="884"/>
      <c r="O1357" s="56">
        <v>723</v>
      </c>
      <c r="P1357" s="79">
        <f>+N1356-P1356</f>
        <v>2829000</v>
      </c>
    </row>
    <row r="1358" spans="1:16" ht="12.75" customHeight="1">
      <c r="A1358" s="919">
        <f>+A1356+1</f>
        <v>381</v>
      </c>
      <c r="B1358" s="875">
        <v>42364</v>
      </c>
      <c r="C1358" s="877" t="s">
        <v>31</v>
      </c>
      <c r="D1358" s="877" t="s">
        <v>514</v>
      </c>
      <c r="E1358" s="881" t="s">
        <v>115</v>
      </c>
      <c r="F1358" s="883">
        <v>50000</v>
      </c>
      <c r="G1358" s="55">
        <v>719</v>
      </c>
      <c r="H1358" s="78">
        <v>50000</v>
      </c>
      <c r="I1358" s="881"/>
      <c r="J1358" s="875"/>
      <c r="K1358" s="877"/>
      <c r="L1358" s="881"/>
      <c r="M1358" s="881"/>
      <c r="N1358" s="883"/>
      <c r="O1358" s="55">
        <v>719</v>
      </c>
      <c r="P1358" s="78"/>
    </row>
    <row r="1359" spans="1:16" ht="13.5" customHeight="1" thickBot="1">
      <c r="A1359" s="920"/>
      <c r="B1359" s="876"/>
      <c r="C1359" s="878"/>
      <c r="D1359" s="878"/>
      <c r="E1359" s="882"/>
      <c r="F1359" s="884"/>
      <c r="G1359" s="56">
        <v>721</v>
      </c>
      <c r="H1359" s="79">
        <f>+F1358-H1358</f>
        <v>0</v>
      </c>
      <c r="I1359" s="882"/>
      <c r="J1359" s="876"/>
      <c r="K1359" s="878"/>
      <c r="L1359" s="882"/>
      <c r="M1359" s="882"/>
      <c r="N1359" s="884"/>
      <c r="O1359" s="56">
        <v>723</v>
      </c>
      <c r="P1359" s="79">
        <f>+N1358-P1358</f>
        <v>0</v>
      </c>
    </row>
    <row r="1360" spans="1:16" ht="14.25" customHeight="1" thickBot="1">
      <c r="A1360" s="919">
        <f>+A1358+1</f>
        <v>382</v>
      </c>
      <c r="B1360" s="875">
        <v>42364</v>
      </c>
      <c r="C1360" s="877" t="s">
        <v>472</v>
      </c>
      <c r="D1360" s="877" t="s">
        <v>515</v>
      </c>
      <c r="E1360" s="881" t="s">
        <v>115</v>
      </c>
      <c r="F1360" s="883">
        <v>20000</v>
      </c>
      <c r="G1360" s="55">
        <v>719</v>
      </c>
      <c r="H1360" s="78">
        <v>20000</v>
      </c>
      <c r="I1360" s="901" t="s">
        <v>102</v>
      </c>
      <c r="J1360" s="902"/>
      <c r="K1360" s="902"/>
      <c r="L1360" s="902"/>
      <c r="M1360" s="903"/>
      <c r="N1360" s="81">
        <f>SUM(N1350:N1359)</f>
        <v>34940697</v>
      </c>
    </row>
    <row r="1361" spans="1:16" ht="14.25" customHeight="1" thickBot="1">
      <c r="A1361" s="920"/>
      <c r="B1361" s="876"/>
      <c r="C1361" s="878"/>
      <c r="D1361" s="878"/>
      <c r="E1361" s="882"/>
      <c r="F1361" s="884"/>
      <c r="G1361" s="56">
        <v>721</v>
      </c>
      <c r="H1361" s="79">
        <f>+F1360-H1360</f>
        <v>0</v>
      </c>
      <c r="I1361" s="885" t="s">
        <v>103</v>
      </c>
      <c r="J1361" s="886"/>
      <c r="K1361" s="886"/>
      <c r="L1361" s="886"/>
      <c r="M1361" s="887"/>
      <c r="N1361" s="69">
        <f>+N1325</f>
        <v>377005784</v>
      </c>
      <c r="O1361" s="241" t="s">
        <v>561</v>
      </c>
      <c r="P1361" s="242"/>
    </row>
    <row r="1362" spans="1:16" ht="16.5" thickBot="1">
      <c r="A1362" s="901" t="s">
        <v>102</v>
      </c>
      <c r="B1362" s="902"/>
      <c r="C1362" s="902"/>
      <c r="D1362" s="902"/>
      <c r="E1362" s="903"/>
      <c r="F1362" s="81">
        <f>SUM(F1350:F1361)</f>
        <v>270000</v>
      </c>
      <c r="I1362" s="888" t="s">
        <v>104</v>
      </c>
      <c r="J1362" s="889"/>
      <c r="K1362" s="889"/>
      <c r="L1362" s="889"/>
      <c r="M1362" s="890"/>
      <c r="N1362" s="183">
        <f>SUM(N1360:N1361)</f>
        <v>411946481</v>
      </c>
    </row>
    <row r="1363" spans="1:16" ht="16.5" thickBot="1">
      <c r="A1363" s="885" t="s">
        <v>103</v>
      </c>
      <c r="B1363" s="886"/>
      <c r="C1363" s="886"/>
      <c r="D1363" s="886"/>
      <c r="E1363" s="887"/>
      <c r="F1363" s="69">
        <f>+F1325</f>
        <v>661639254</v>
      </c>
      <c r="I1363" s="61"/>
      <c r="J1363" s="61"/>
      <c r="K1363" s="61"/>
      <c r="L1363" s="61"/>
      <c r="M1363" s="61"/>
    </row>
    <row r="1364" spans="1:16" ht="16.5" thickBot="1">
      <c r="A1364" s="888" t="s">
        <v>104</v>
      </c>
      <c r="B1364" s="889"/>
      <c r="C1364" s="889"/>
      <c r="D1364" s="889"/>
      <c r="E1364" s="890"/>
      <c r="F1364" s="183">
        <f>SUM(F1362:F1363)</f>
        <v>661909254</v>
      </c>
      <c r="I1364" s="51" t="s">
        <v>902</v>
      </c>
    </row>
    <row r="1365" spans="1:16" ht="13.5" customHeight="1">
      <c r="A1365" s="61"/>
      <c r="B1365" s="61"/>
      <c r="C1365" s="61"/>
      <c r="D1365" s="61"/>
      <c r="E1365" s="61"/>
      <c r="N1365" s="139"/>
    </row>
    <row r="1366" spans="1:16">
      <c r="A1366" s="51" t="s">
        <v>516</v>
      </c>
      <c r="I1366" s="50" t="s">
        <v>105</v>
      </c>
      <c r="L1366" s="146"/>
      <c r="N1366" s="139"/>
    </row>
    <row r="1367" spans="1:16" ht="18.75" customHeight="1" thickBot="1">
      <c r="F1367" s="139"/>
    </row>
    <row r="1368" spans="1:16" ht="15.75" thickBot="1">
      <c r="A1368" s="50" t="s">
        <v>105</v>
      </c>
      <c r="D1368" s="146"/>
      <c r="F1368" s="139"/>
      <c r="I1368" s="891" t="s">
        <v>106</v>
      </c>
      <c r="J1368" s="892"/>
      <c r="K1368" s="892"/>
      <c r="L1368" s="893"/>
      <c r="N1368" s="50" t="s">
        <v>288</v>
      </c>
    </row>
    <row r="1369" spans="1:16" ht="28.5" customHeight="1" thickBot="1">
      <c r="I1369" s="57" t="s">
        <v>100</v>
      </c>
      <c r="J1369" s="58" t="s">
        <v>108</v>
      </c>
      <c r="K1369" s="287" t="s">
        <v>109</v>
      </c>
      <c r="L1369" s="60" t="s">
        <v>110</v>
      </c>
    </row>
    <row r="1370" spans="1:16" ht="15.75" thickBot="1">
      <c r="A1370" s="891" t="s">
        <v>106</v>
      </c>
      <c r="B1370" s="892"/>
      <c r="C1370" s="892"/>
      <c r="D1370" s="893"/>
      <c r="F1370" s="50" t="s">
        <v>288</v>
      </c>
      <c r="I1370" s="71">
        <v>719</v>
      </c>
      <c r="J1370" s="73">
        <f>+P1350+P1352+P1354+P1356+P1358</f>
        <v>0</v>
      </c>
      <c r="K1370" s="74">
        <f>+L1333</f>
        <v>12220000</v>
      </c>
      <c r="L1370" s="195">
        <f>+J1370+K1370</f>
        <v>12220000</v>
      </c>
    </row>
    <row r="1371" spans="1:16" ht="14.25" customHeight="1" thickBot="1">
      <c r="A1371" s="57" t="s">
        <v>100</v>
      </c>
      <c r="B1371" s="58" t="s">
        <v>108</v>
      </c>
      <c r="C1371" s="59" t="s">
        <v>109</v>
      </c>
      <c r="D1371" s="60" t="s">
        <v>110</v>
      </c>
      <c r="I1371" s="72">
        <v>721</v>
      </c>
      <c r="J1371" s="80">
        <v>0</v>
      </c>
      <c r="K1371" s="74">
        <f>+L1334</f>
        <v>4024000</v>
      </c>
      <c r="L1371" s="195">
        <f>+J1371+K1371</f>
        <v>4024000</v>
      </c>
    </row>
    <row r="1372" spans="1:16">
      <c r="A1372" s="71">
        <v>719</v>
      </c>
      <c r="B1372" s="73">
        <f>+H1350+H1352+H13+H1354+H135348+H1356+H1360+H1358</f>
        <v>270000</v>
      </c>
      <c r="C1372" s="74">
        <f>+D1333</f>
        <v>48480000</v>
      </c>
      <c r="D1372" s="195">
        <f>+B1372+C1372</f>
        <v>48750000</v>
      </c>
      <c r="I1372" s="72">
        <v>722</v>
      </c>
      <c r="J1372" s="80"/>
      <c r="K1372" s="74">
        <f>+L1335</f>
        <v>0</v>
      </c>
      <c r="L1372" s="195">
        <f>+J1372+K1372</f>
        <v>0</v>
      </c>
    </row>
    <row r="1373" spans="1:16" ht="15.75">
      <c r="A1373" s="72">
        <v>721</v>
      </c>
      <c r="B1373" s="80">
        <f>(+H1361+H1357+H1355+H1353+H1351)</f>
        <v>0</v>
      </c>
      <c r="C1373" s="74">
        <f>+D1334</f>
        <v>56792413</v>
      </c>
      <c r="D1373" s="195">
        <f>+B1373+C1373</f>
        <v>56792413</v>
      </c>
      <c r="I1373" s="72">
        <v>723</v>
      </c>
      <c r="J1373" s="80">
        <f>+P1359+P1357+P1355+P1353+P1351</f>
        <v>34940697</v>
      </c>
      <c r="K1373" s="74">
        <f>+L1336</f>
        <v>360761784</v>
      </c>
      <c r="L1373" s="195">
        <f>+J1373+K1373</f>
        <v>395702481</v>
      </c>
      <c r="N1373" s="193" t="s">
        <v>289</v>
      </c>
      <c r="O1373" s="175"/>
    </row>
    <row r="1374" spans="1:16" ht="16.5" thickBot="1">
      <c r="A1374" s="72">
        <v>722</v>
      </c>
      <c r="B1374" s="80"/>
      <c r="C1374" s="74">
        <f>+D1335</f>
        <v>231207671</v>
      </c>
      <c r="D1374" s="195">
        <f>+B1374+C1374</f>
        <v>231207671</v>
      </c>
      <c r="I1374" s="164" t="s">
        <v>181</v>
      </c>
      <c r="J1374" s="165"/>
      <c r="K1374" s="74">
        <f>+L1337</f>
        <v>0</v>
      </c>
      <c r="L1374" s="196">
        <f>+J1374+K1374</f>
        <v>0</v>
      </c>
      <c r="N1374" s="52"/>
    </row>
    <row r="1375" spans="1:16" ht="16.5" thickBot="1">
      <c r="A1375" s="72">
        <v>723</v>
      </c>
      <c r="B1375" s="80"/>
      <c r="C1375" s="74">
        <f>+D1336</f>
        <v>323193545</v>
      </c>
      <c r="D1375" s="195">
        <f>+B1375+C1375</f>
        <v>323193545</v>
      </c>
      <c r="F1375" s="174" t="s">
        <v>23</v>
      </c>
      <c r="G1375" s="175"/>
      <c r="I1375" s="169"/>
      <c r="J1375" s="197">
        <f>SUM(J1370:J1374)</f>
        <v>34940697</v>
      </c>
      <c r="K1375" s="197">
        <f>SUM(K1370:K1374)</f>
        <v>377005784</v>
      </c>
      <c r="L1375" s="198">
        <f>SUM(L1370:L1374)</f>
        <v>411946481</v>
      </c>
    </row>
    <row r="1376" spans="1:16" ht="17.25" thickBot="1">
      <c r="A1376" s="164" t="s">
        <v>181</v>
      </c>
      <c r="B1376" s="165"/>
      <c r="C1376" s="74" t="e">
        <f>+D1337</f>
        <v>#REF!</v>
      </c>
      <c r="D1376" s="196" t="e">
        <f>+B1376+C1376</f>
        <v>#REF!</v>
      </c>
      <c r="F1376" s="52"/>
      <c r="I1376" s="49" t="s">
        <v>88</v>
      </c>
      <c r="J1376" s="50"/>
    </row>
    <row r="1377" spans="1:16" ht="16.5" thickBot="1">
      <c r="A1377" s="169"/>
      <c r="B1377" s="170">
        <f>SUM(B1372:B1376)</f>
        <v>270000</v>
      </c>
      <c r="C1377" s="171" t="e">
        <f>SUM(C1372:C1376)</f>
        <v>#REF!</v>
      </c>
      <c r="D1377" s="172" t="e">
        <f>SUM(D1372:D1376)</f>
        <v>#REF!</v>
      </c>
      <c r="I1377" s="51" t="s">
        <v>89</v>
      </c>
    </row>
    <row r="1378" spans="1:16" ht="16.5">
      <c r="A1378" s="49" t="s">
        <v>88</v>
      </c>
      <c r="B1378" s="50"/>
      <c r="I1378" s="51" t="s">
        <v>90</v>
      </c>
    </row>
    <row r="1379" spans="1:16">
      <c r="A1379" s="51" t="s">
        <v>89</v>
      </c>
      <c r="I1379" s="51" t="s">
        <v>91</v>
      </c>
    </row>
    <row r="1380" spans="1:16">
      <c r="A1380" s="51" t="s">
        <v>90</v>
      </c>
      <c r="I1380" s="50"/>
      <c r="J1380" s="50"/>
    </row>
    <row r="1381" spans="1:16" ht="16.5">
      <c r="A1381" s="51" t="s">
        <v>91</v>
      </c>
      <c r="I1381" s="260" t="s">
        <v>908</v>
      </c>
      <c r="O1381" s="52"/>
    </row>
    <row r="1382" spans="1:16" ht="12.75" customHeight="1">
      <c r="A1382" s="50"/>
      <c r="B1382" s="50"/>
      <c r="I1382" s="53" t="s">
        <v>535</v>
      </c>
      <c r="O1382" s="53"/>
    </row>
    <row r="1383" spans="1:16" ht="16.5">
      <c r="A1383" s="52" t="s">
        <v>520</v>
      </c>
      <c r="G1383" s="52"/>
      <c r="I1383" s="894" t="s">
        <v>909</v>
      </c>
      <c r="J1383" s="894"/>
      <c r="K1383" s="894"/>
      <c r="L1383" s="894"/>
      <c r="M1383" s="894"/>
      <c r="N1383" s="894"/>
      <c r="O1383" s="894"/>
      <c r="P1383" s="894"/>
    </row>
    <row r="1384" spans="1:16" ht="16.5" thickBot="1">
      <c r="A1384" s="53" t="s">
        <v>92</v>
      </c>
      <c r="G1384" s="53"/>
    </row>
    <row r="1385" spans="1:16" ht="16.5">
      <c r="A1385" s="894" t="s">
        <v>261</v>
      </c>
      <c r="B1385" s="894"/>
      <c r="C1385" s="894"/>
      <c r="D1385" s="894"/>
      <c r="E1385" s="894"/>
      <c r="F1385" s="894"/>
      <c r="G1385" s="894"/>
      <c r="H1385" s="894"/>
      <c r="I1385" s="895" t="s">
        <v>94</v>
      </c>
      <c r="J1385" s="897" t="s">
        <v>95</v>
      </c>
      <c r="K1385" s="897" t="s">
        <v>96</v>
      </c>
      <c r="L1385" s="897" t="s">
        <v>3</v>
      </c>
      <c r="M1385" s="897" t="s">
        <v>97</v>
      </c>
      <c r="N1385" s="897" t="s">
        <v>98</v>
      </c>
      <c r="O1385" s="897" t="s">
        <v>99</v>
      </c>
      <c r="P1385" s="899"/>
    </row>
    <row r="1386" spans="1:16" ht="15.75" thickBot="1">
      <c r="I1386" s="896"/>
      <c r="J1386" s="898"/>
      <c r="K1386" s="898"/>
      <c r="L1386" s="898"/>
      <c r="M1386" s="898"/>
      <c r="N1386" s="898"/>
      <c r="O1386" s="240" t="s">
        <v>100</v>
      </c>
      <c r="P1386" s="182" t="s">
        <v>101</v>
      </c>
    </row>
    <row r="1387" spans="1:16">
      <c r="A1387" s="895" t="s">
        <v>94</v>
      </c>
      <c r="B1387" s="897" t="s">
        <v>95</v>
      </c>
      <c r="C1387" s="897" t="s">
        <v>96</v>
      </c>
      <c r="D1387" s="897" t="s">
        <v>3</v>
      </c>
      <c r="E1387" s="897" t="s">
        <v>97</v>
      </c>
      <c r="F1387" s="897" t="s">
        <v>98</v>
      </c>
      <c r="G1387" s="897" t="s">
        <v>99</v>
      </c>
      <c r="H1387" s="899"/>
      <c r="I1387" s="873" t="s">
        <v>910</v>
      </c>
      <c r="J1387" s="875">
        <v>42487</v>
      </c>
      <c r="K1387" s="877" t="s">
        <v>272</v>
      </c>
      <c r="L1387" s="881" t="s">
        <v>911</v>
      </c>
      <c r="M1387" s="881" t="s">
        <v>115</v>
      </c>
      <c r="N1387" s="883">
        <v>320000</v>
      </c>
      <c r="O1387" s="55">
        <v>719</v>
      </c>
      <c r="P1387" s="78">
        <v>320000</v>
      </c>
    </row>
    <row r="1388" spans="1:16" ht="15.75" thickBot="1">
      <c r="A1388" s="896"/>
      <c r="B1388" s="898"/>
      <c r="C1388" s="898"/>
      <c r="D1388" s="898"/>
      <c r="E1388" s="898"/>
      <c r="F1388" s="898"/>
      <c r="G1388" s="240" t="s">
        <v>100</v>
      </c>
      <c r="H1388" s="182" t="s">
        <v>101</v>
      </c>
      <c r="I1388" s="874"/>
      <c r="J1388" s="876"/>
      <c r="K1388" s="878"/>
      <c r="L1388" s="882"/>
      <c r="M1388" s="882"/>
      <c r="N1388" s="884"/>
      <c r="O1388" s="56">
        <v>721</v>
      </c>
      <c r="P1388" s="79">
        <f>+N1387-P1387</f>
        <v>0</v>
      </c>
    </row>
    <row r="1389" spans="1:16" ht="15" customHeight="1">
      <c r="A1389" s="919">
        <f>+A1360+1</f>
        <v>383</v>
      </c>
      <c r="B1389" s="875">
        <v>42369</v>
      </c>
      <c r="C1389" s="877" t="s">
        <v>31</v>
      </c>
      <c r="D1389" s="877" t="s">
        <v>523</v>
      </c>
      <c r="E1389" s="881" t="s">
        <v>115</v>
      </c>
      <c r="F1389" s="883">
        <v>180000</v>
      </c>
      <c r="G1389" s="55">
        <v>719</v>
      </c>
      <c r="H1389" s="78">
        <v>180000</v>
      </c>
      <c r="I1389" s="881">
        <f>+I1387+1</f>
        <v>179</v>
      </c>
      <c r="J1389" s="875">
        <v>42487</v>
      </c>
      <c r="K1389" s="881" t="s">
        <v>912</v>
      </c>
      <c r="L1389" s="881" t="s">
        <v>913</v>
      </c>
      <c r="M1389" s="881" t="s">
        <v>115</v>
      </c>
      <c r="N1389" s="883">
        <v>100000</v>
      </c>
      <c r="O1389" s="55">
        <v>719</v>
      </c>
      <c r="P1389" s="78">
        <v>100000</v>
      </c>
    </row>
    <row r="1390" spans="1:16" ht="15.75" customHeight="1" thickBot="1">
      <c r="A1390" s="920"/>
      <c r="B1390" s="876"/>
      <c r="C1390" s="878"/>
      <c r="D1390" s="878"/>
      <c r="E1390" s="882"/>
      <c r="F1390" s="884"/>
      <c r="G1390" s="56">
        <v>721</v>
      </c>
      <c r="H1390" s="79">
        <f>+F1389-H1389</f>
        <v>0</v>
      </c>
      <c r="I1390" s="882"/>
      <c r="J1390" s="876"/>
      <c r="K1390" s="882"/>
      <c r="L1390" s="882"/>
      <c r="M1390" s="882"/>
      <c r="N1390" s="884"/>
      <c r="O1390" s="56">
        <v>721</v>
      </c>
      <c r="P1390" s="79">
        <f>+N1389-P1389</f>
        <v>0</v>
      </c>
    </row>
    <row r="1391" spans="1:16" ht="15" customHeight="1">
      <c r="A1391" s="919">
        <f>+A1389+1</f>
        <v>384</v>
      </c>
      <c r="B1391" s="875">
        <v>42369</v>
      </c>
      <c r="C1391" s="877" t="s">
        <v>472</v>
      </c>
      <c r="D1391" s="877" t="s">
        <v>524</v>
      </c>
      <c r="E1391" s="881" t="s">
        <v>115</v>
      </c>
      <c r="F1391" s="883">
        <v>40000</v>
      </c>
      <c r="G1391" s="55">
        <v>719</v>
      </c>
      <c r="H1391" s="78">
        <v>40000</v>
      </c>
      <c r="I1391" s="881">
        <f>+I1389+1</f>
        <v>180</v>
      </c>
      <c r="J1391" s="875">
        <v>42487</v>
      </c>
      <c r="K1391" s="877" t="s">
        <v>272</v>
      </c>
      <c r="L1391" s="881" t="s">
        <v>914</v>
      </c>
      <c r="M1391" s="881" t="s">
        <v>115</v>
      </c>
      <c r="N1391" s="883">
        <v>100000</v>
      </c>
      <c r="O1391" s="55">
        <v>719</v>
      </c>
      <c r="P1391" s="78">
        <v>100000</v>
      </c>
    </row>
    <row r="1392" spans="1:16" ht="15.75" customHeight="1" thickBot="1">
      <c r="A1392" s="920"/>
      <c r="B1392" s="876"/>
      <c r="C1392" s="878"/>
      <c r="D1392" s="878"/>
      <c r="E1392" s="882"/>
      <c r="F1392" s="884"/>
      <c r="G1392" s="56">
        <v>721</v>
      </c>
      <c r="H1392" s="79">
        <f>+F1391-H1391</f>
        <v>0</v>
      </c>
      <c r="I1392" s="882"/>
      <c r="J1392" s="876"/>
      <c r="K1392" s="878"/>
      <c r="L1392" s="882"/>
      <c r="M1392" s="882"/>
      <c r="N1392" s="884"/>
      <c r="O1392" s="56">
        <v>721</v>
      </c>
      <c r="P1392" s="79">
        <f>+N1391-P1391</f>
        <v>0</v>
      </c>
    </row>
    <row r="1393" spans="1:16" ht="15" customHeight="1">
      <c r="A1393" s="919">
        <f>+A1391+1</f>
        <v>385</v>
      </c>
      <c r="B1393" s="875">
        <v>42369</v>
      </c>
      <c r="C1393" s="877" t="s">
        <v>32</v>
      </c>
      <c r="D1393" s="877" t="s">
        <v>521</v>
      </c>
      <c r="E1393" s="881" t="s">
        <v>115</v>
      </c>
      <c r="F1393" s="883">
        <v>40000</v>
      </c>
      <c r="G1393" s="55">
        <v>719</v>
      </c>
      <c r="H1393" s="78">
        <v>40000</v>
      </c>
      <c r="I1393" s="881"/>
      <c r="J1393" s="875"/>
      <c r="K1393" s="877"/>
      <c r="L1393" s="881"/>
      <c r="M1393" s="881"/>
      <c r="N1393" s="883"/>
      <c r="O1393" s="55">
        <v>719</v>
      </c>
      <c r="P1393" s="78"/>
    </row>
    <row r="1394" spans="1:16" ht="15.75" customHeight="1" thickBot="1">
      <c r="A1394" s="920"/>
      <c r="B1394" s="876"/>
      <c r="C1394" s="878"/>
      <c r="D1394" s="878"/>
      <c r="E1394" s="882"/>
      <c r="F1394" s="884"/>
      <c r="G1394" s="56">
        <v>721</v>
      </c>
      <c r="H1394" s="79">
        <f>+F1393-H1393</f>
        <v>0</v>
      </c>
      <c r="I1394" s="882"/>
      <c r="J1394" s="876"/>
      <c r="K1394" s="878"/>
      <c r="L1394" s="882"/>
      <c r="M1394" s="882"/>
      <c r="N1394" s="884"/>
      <c r="O1394" s="56">
        <v>721</v>
      </c>
      <c r="P1394" s="79">
        <f>+N1393-P1393</f>
        <v>0</v>
      </c>
    </row>
    <row r="1395" spans="1:16" ht="15" customHeight="1">
      <c r="A1395" s="919">
        <f>+A1393+1</f>
        <v>386</v>
      </c>
      <c r="B1395" s="875">
        <v>42369</v>
      </c>
      <c r="C1395" s="877" t="s">
        <v>120</v>
      </c>
      <c r="D1395" s="877" t="s">
        <v>522</v>
      </c>
      <c r="E1395" s="881" t="s">
        <v>115</v>
      </c>
      <c r="F1395" s="883">
        <v>20000</v>
      </c>
      <c r="G1395" s="55">
        <v>719</v>
      </c>
      <c r="H1395" s="78">
        <v>20000</v>
      </c>
      <c r="I1395" s="881"/>
      <c r="J1395" s="875"/>
      <c r="K1395" s="877"/>
      <c r="L1395" s="881"/>
      <c r="M1395" s="881"/>
      <c r="N1395" s="883"/>
      <c r="O1395" s="55">
        <v>719</v>
      </c>
      <c r="P1395" s="78"/>
    </row>
    <row r="1396" spans="1:16" ht="15.75" customHeight="1" thickBot="1">
      <c r="A1396" s="920"/>
      <c r="B1396" s="876"/>
      <c r="C1396" s="878"/>
      <c r="D1396" s="878"/>
      <c r="E1396" s="882"/>
      <c r="F1396" s="884"/>
      <c r="G1396" s="56">
        <v>721</v>
      </c>
      <c r="H1396" s="79">
        <f>+F1395-H1395</f>
        <v>0</v>
      </c>
      <c r="I1396" s="882"/>
      <c r="J1396" s="876"/>
      <c r="K1396" s="878"/>
      <c r="L1396" s="882"/>
      <c r="M1396" s="882"/>
      <c r="N1396" s="884"/>
      <c r="O1396" s="56">
        <v>721</v>
      </c>
      <c r="P1396" s="79">
        <f>+N1395-P1395</f>
        <v>0</v>
      </c>
    </row>
    <row r="1397" spans="1:16" ht="15" customHeight="1" thickBot="1">
      <c r="A1397" s="919"/>
      <c r="B1397" s="875"/>
      <c r="C1397" s="877"/>
      <c r="D1397" s="877"/>
      <c r="E1397" s="881"/>
      <c r="F1397" s="883"/>
      <c r="G1397" s="55">
        <v>719</v>
      </c>
      <c r="H1397" s="78"/>
      <c r="I1397" s="901" t="s">
        <v>102</v>
      </c>
      <c r="J1397" s="902"/>
      <c r="K1397" s="902"/>
      <c r="L1397" s="902"/>
      <c r="M1397" s="903"/>
      <c r="N1397" s="81">
        <f>SUM(N1387:N1396)</f>
        <v>520000</v>
      </c>
    </row>
    <row r="1398" spans="1:16" ht="15.75" customHeight="1" thickBot="1">
      <c r="A1398" s="920"/>
      <c r="B1398" s="876"/>
      <c r="C1398" s="878"/>
      <c r="D1398" s="878"/>
      <c r="E1398" s="882"/>
      <c r="F1398" s="884"/>
      <c r="G1398" s="56">
        <v>721</v>
      </c>
      <c r="H1398" s="79">
        <f>+F1397-H1397</f>
        <v>0</v>
      </c>
      <c r="I1398" s="885" t="s">
        <v>103</v>
      </c>
      <c r="J1398" s="886"/>
      <c r="K1398" s="886"/>
      <c r="L1398" s="886"/>
      <c r="M1398" s="887"/>
      <c r="N1398" s="69">
        <f>+N1362</f>
        <v>411946481</v>
      </c>
      <c r="O1398" s="241" t="s">
        <v>561</v>
      </c>
      <c r="P1398" s="242">
        <f>753+65+288</f>
        <v>1106</v>
      </c>
    </row>
    <row r="1399" spans="1:16" ht="15" customHeight="1" thickBot="1">
      <c r="A1399" s="901" t="s">
        <v>102</v>
      </c>
      <c r="B1399" s="902"/>
      <c r="C1399" s="902"/>
      <c r="D1399" s="902"/>
      <c r="E1399" s="903"/>
      <c r="F1399" s="81">
        <f>SUM(F1389:F1398)</f>
        <v>280000</v>
      </c>
      <c r="I1399" s="888" t="s">
        <v>104</v>
      </c>
      <c r="J1399" s="889"/>
      <c r="K1399" s="889"/>
      <c r="L1399" s="889"/>
      <c r="M1399" s="890"/>
      <c r="N1399" s="183">
        <f>SUM(N1397:N1398)</f>
        <v>412466481</v>
      </c>
    </row>
    <row r="1400" spans="1:16" ht="15.75" customHeight="1" thickBot="1">
      <c r="A1400" s="885" t="s">
        <v>103</v>
      </c>
      <c r="B1400" s="886"/>
      <c r="C1400" s="886"/>
      <c r="D1400" s="886"/>
      <c r="E1400" s="887"/>
      <c r="F1400" s="69">
        <f>+F1364</f>
        <v>661909254</v>
      </c>
      <c r="I1400" s="61"/>
      <c r="J1400" s="61"/>
      <c r="K1400" s="61"/>
      <c r="L1400" s="61"/>
      <c r="M1400" s="61"/>
    </row>
    <row r="1401" spans="1:16" ht="16.5" thickBot="1">
      <c r="A1401" s="888" t="s">
        <v>104</v>
      </c>
      <c r="B1401" s="889"/>
      <c r="C1401" s="889"/>
      <c r="D1401" s="889"/>
      <c r="E1401" s="890"/>
      <c r="F1401" s="183">
        <f>SUM(F1399:F1400)</f>
        <v>662189254</v>
      </c>
      <c r="I1401" s="51" t="s">
        <v>915</v>
      </c>
    </row>
    <row r="1402" spans="1:16">
      <c r="A1402" s="61"/>
      <c r="B1402" s="61"/>
      <c r="C1402" s="61"/>
      <c r="D1402" s="61"/>
      <c r="E1402" s="61"/>
      <c r="N1402" s="139"/>
    </row>
    <row r="1403" spans="1:16">
      <c r="A1403" s="51" t="s">
        <v>525</v>
      </c>
      <c r="I1403" s="50" t="s">
        <v>105</v>
      </c>
      <c r="L1403" s="146"/>
      <c r="N1403" s="139"/>
    </row>
    <row r="1404" spans="1:16" ht="14.25" customHeight="1" thickBot="1">
      <c r="F1404" s="139"/>
    </row>
    <row r="1405" spans="1:16" ht="15.75" thickBot="1">
      <c r="A1405" s="50" t="s">
        <v>105</v>
      </c>
      <c r="D1405" s="146"/>
      <c r="F1405" s="139"/>
      <c r="I1405" s="891" t="s">
        <v>106</v>
      </c>
      <c r="J1405" s="892"/>
      <c r="K1405" s="892"/>
      <c r="L1405" s="893"/>
      <c r="N1405" s="50" t="s">
        <v>288</v>
      </c>
    </row>
    <row r="1406" spans="1:16" ht="11.25" customHeight="1" thickBot="1">
      <c r="I1406" s="57" t="s">
        <v>100</v>
      </c>
      <c r="J1406" s="58" t="s">
        <v>108</v>
      </c>
      <c r="K1406" s="287" t="s">
        <v>109</v>
      </c>
      <c r="L1406" s="60" t="s">
        <v>110</v>
      </c>
    </row>
    <row r="1407" spans="1:16" ht="15.75" thickBot="1">
      <c r="A1407" s="891" t="s">
        <v>106</v>
      </c>
      <c r="B1407" s="892"/>
      <c r="C1407" s="892"/>
      <c r="D1407" s="893"/>
      <c r="F1407" s="50" t="s">
        <v>288</v>
      </c>
      <c r="I1407" s="71">
        <v>719</v>
      </c>
      <c r="J1407" s="73">
        <f>+P1387+P1389+P1391+P1393+P1395</f>
        <v>520000</v>
      </c>
      <c r="K1407" s="74">
        <f>+L1370</f>
        <v>12220000</v>
      </c>
      <c r="L1407" s="195">
        <f>+J1407+K1407</f>
        <v>12740000</v>
      </c>
    </row>
    <row r="1408" spans="1:16" ht="12.75" customHeight="1" thickBot="1">
      <c r="A1408" s="57" t="s">
        <v>100</v>
      </c>
      <c r="B1408" s="58" t="s">
        <v>108</v>
      </c>
      <c r="C1408" s="59" t="s">
        <v>109</v>
      </c>
      <c r="D1408" s="60" t="s">
        <v>110</v>
      </c>
      <c r="I1408" s="72">
        <v>721</v>
      </c>
      <c r="J1408" s="80">
        <v>0</v>
      </c>
      <c r="K1408" s="74">
        <f>+L1371</f>
        <v>4024000</v>
      </c>
      <c r="L1408" s="195">
        <f>+J1408+K1408</f>
        <v>4024000</v>
      </c>
    </row>
    <row r="1409" spans="1:16">
      <c r="A1409" s="71">
        <v>719</v>
      </c>
      <c r="B1409" s="73">
        <f>+H1389+H1391+H1393+H1395+H1397</f>
        <v>280000</v>
      </c>
      <c r="C1409" s="74">
        <f>+D1372</f>
        <v>48750000</v>
      </c>
      <c r="D1409" s="195">
        <f>+B1409+C1409</f>
        <v>49030000</v>
      </c>
      <c r="I1409" s="72">
        <v>722</v>
      </c>
      <c r="J1409" s="80"/>
      <c r="K1409" s="74">
        <f>+L1372</f>
        <v>0</v>
      </c>
      <c r="L1409" s="195">
        <f>+J1409+K1409</f>
        <v>0</v>
      </c>
    </row>
    <row r="1410" spans="1:16" ht="15.75">
      <c r="A1410" s="72">
        <v>721</v>
      </c>
      <c r="B1410" s="80">
        <f>(+H1398+H1396+H1394+H1392+H1390)</f>
        <v>0</v>
      </c>
      <c r="C1410" s="74">
        <f>+D1373</f>
        <v>56792413</v>
      </c>
      <c r="D1410" s="195">
        <f>+B1410+C1410</f>
        <v>56792413</v>
      </c>
      <c r="I1410" s="72">
        <v>723</v>
      </c>
      <c r="J1410" s="80">
        <f>+P1396+P1394+P1392+P1390+P1388</f>
        <v>0</v>
      </c>
      <c r="K1410" s="74">
        <f>+L1373</f>
        <v>395702481</v>
      </c>
      <c r="L1410" s="195">
        <f>+J1410+K1410</f>
        <v>395702481</v>
      </c>
      <c r="N1410" s="193" t="s">
        <v>289</v>
      </c>
      <c r="O1410" s="175"/>
    </row>
    <row r="1411" spans="1:16" ht="16.5" thickBot="1">
      <c r="A1411" s="72">
        <v>722</v>
      </c>
      <c r="B1411" s="80"/>
      <c r="C1411" s="74">
        <f>+D1374</f>
        <v>231207671</v>
      </c>
      <c r="D1411" s="195">
        <f>+B1411+C1411</f>
        <v>231207671</v>
      </c>
      <c r="I1411" s="164" t="s">
        <v>181</v>
      </c>
      <c r="J1411" s="165"/>
      <c r="K1411" s="74">
        <f>+L1374</f>
        <v>0</v>
      </c>
      <c r="L1411" s="196">
        <f>+J1411+K1411</f>
        <v>0</v>
      </c>
      <c r="N1411" s="52"/>
    </row>
    <row r="1412" spans="1:16" ht="16.5" thickBot="1">
      <c r="A1412" s="72">
        <v>723</v>
      </c>
      <c r="B1412" s="80"/>
      <c r="C1412" s="74">
        <f>+D1375</f>
        <v>323193545</v>
      </c>
      <c r="D1412" s="195">
        <f>+B1412+C1412</f>
        <v>323193545</v>
      </c>
      <c r="F1412" s="174" t="s">
        <v>23</v>
      </c>
      <c r="G1412" s="175"/>
      <c r="I1412" s="169"/>
      <c r="J1412" s="197">
        <f>SUM(J1407:J1411)</f>
        <v>520000</v>
      </c>
      <c r="K1412" s="197">
        <f>SUM(K1407:K1411)</f>
        <v>411946481</v>
      </c>
      <c r="L1412" s="198">
        <f>SUM(L1407:L1411)</f>
        <v>412466481</v>
      </c>
    </row>
    <row r="1413" spans="1:16" ht="17.25" thickBot="1">
      <c r="A1413" s="164" t="s">
        <v>181</v>
      </c>
      <c r="B1413" s="165"/>
      <c r="C1413" s="74" t="e">
        <f>+D1376</f>
        <v>#REF!</v>
      </c>
      <c r="D1413" s="196" t="e">
        <f>+B1413+C1413</f>
        <v>#REF!</v>
      </c>
      <c r="F1413" s="52"/>
      <c r="I1413" s="49" t="s">
        <v>88</v>
      </c>
      <c r="J1413" s="50"/>
    </row>
    <row r="1414" spans="1:16" ht="16.5" thickBot="1">
      <c r="A1414" s="169"/>
      <c r="B1414" s="170">
        <f>SUM(B1409:B1413)</f>
        <v>280000</v>
      </c>
      <c r="C1414" s="171" t="e">
        <f>SUM(C1409:C1413)</f>
        <v>#REF!</v>
      </c>
      <c r="D1414" s="172" t="e">
        <f>SUM(D1409:D1413)</f>
        <v>#REF!</v>
      </c>
      <c r="I1414" s="51" t="s">
        <v>89</v>
      </c>
    </row>
    <row r="1415" spans="1:16" ht="16.5">
      <c r="A1415" s="49" t="s">
        <v>88</v>
      </c>
      <c r="B1415" s="50"/>
      <c r="I1415" s="51" t="s">
        <v>90</v>
      </c>
    </row>
    <row r="1416" spans="1:16">
      <c r="A1416" s="51" t="s">
        <v>89</v>
      </c>
      <c r="I1416" s="51" t="s">
        <v>91</v>
      </c>
    </row>
    <row r="1417" spans="1:16">
      <c r="A1417" s="51" t="s">
        <v>90</v>
      </c>
      <c r="I1417" s="50"/>
      <c r="J1417" s="50"/>
    </row>
    <row r="1418" spans="1:16" ht="16.5">
      <c r="A1418" s="51" t="s">
        <v>91</v>
      </c>
      <c r="I1418" s="260" t="s">
        <v>917</v>
      </c>
      <c r="O1418" s="52"/>
    </row>
    <row r="1419" spans="1:16" ht="15" customHeight="1">
      <c r="A1419" s="50"/>
      <c r="B1419" s="50"/>
      <c r="I1419" s="53" t="s">
        <v>535</v>
      </c>
      <c r="O1419" s="53"/>
    </row>
    <row r="1420" spans="1:16" ht="16.5">
      <c r="A1420" s="52" t="s">
        <v>528</v>
      </c>
      <c r="G1420" s="52"/>
      <c r="I1420" s="894" t="s">
        <v>918</v>
      </c>
      <c r="J1420" s="894"/>
      <c r="K1420" s="894"/>
      <c r="L1420" s="894"/>
      <c r="M1420" s="894"/>
      <c r="N1420" s="894"/>
      <c r="O1420" s="894"/>
      <c r="P1420" s="894"/>
    </row>
    <row r="1421" spans="1:16" ht="16.5" thickBot="1">
      <c r="A1421" s="53" t="s">
        <v>92</v>
      </c>
      <c r="G1421" s="53"/>
    </row>
    <row r="1422" spans="1:16" ht="16.5">
      <c r="A1422" s="894" t="s">
        <v>261</v>
      </c>
      <c r="B1422" s="894"/>
      <c r="C1422" s="894"/>
      <c r="D1422" s="894"/>
      <c r="E1422" s="894"/>
      <c r="F1422" s="894"/>
      <c r="G1422" s="894"/>
      <c r="H1422" s="894"/>
      <c r="I1422" s="895" t="s">
        <v>94</v>
      </c>
      <c r="J1422" s="897" t="s">
        <v>95</v>
      </c>
      <c r="K1422" s="897" t="s">
        <v>96</v>
      </c>
      <c r="L1422" s="897" t="s">
        <v>3</v>
      </c>
      <c r="M1422" s="897" t="s">
        <v>97</v>
      </c>
      <c r="N1422" s="897" t="s">
        <v>98</v>
      </c>
      <c r="O1422" s="897" t="s">
        <v>99</v>
      </c>
      <c r="P1422" s="899"/>
    </row>
    <row r="1423" spans="1:16" ht="15.75" thickBot="1">
      <c r="I1423" s="896"/>
      <c r="J1423" s="898"/>
      <c r="K1423" s="898"/>
      <c r="L1423" s="898"/>
      <c r="M1423" s="898"/>
      <c r="N1423" s="898"/>
      <c r="O1423" s="240" t="s">
        <v>100</v>
      </c>
      <c r="P1423" s="182" t="s">
        <v>101</v>
      </c>
    </row>
    <row r="1424" spans="1:16">
      <c r="A1424" s="895" t="s">
        <v>94</v>
      </c>
      <c r="B1424" s="897" t="s">
        <v>95</v>
      </c>
      <c r="C1424" s="897" t="s">
        <v>96</v>
      </c>
      <c r="D1424" s="897" t="s">
        <v>3</v>
      </c>
      <c r="E1424" s="897" t="s">
        <v>97</v>
      </c>
      <c r="F1424" s="897" t="s">
        <v>98</v>
      </c>
      <c r="G1424" s="897" t="s">
        <v>99</v>
      </c>
      <c r="H1424" s="899"/>
      <c r="I1424" s="873" t="s">
        <v>916</v>
      </c>
      <c r="J1424" s="875">
        <v>42488</v>
      </c>
      <c r="K1424" s="877" t="s">
        <v>272</v>
      </c>
      <c r="L1424" s="881" t="s">
        <v>919</v>
      </c>
      <c r="M1424" s="881" t="s">
        <v>115</v>
      </c>
      <c r="N1424" s="883">
        <v>50000</v>
      </c>
      <c r="O1424" s="55">
        <v>719</v>
      </c>
      <c r="P1424" s="78">
        <v>50000</v>
      </c>
    </row>
    <row r="1425" spans="1:16" ht="15.75" thickBot="1">
      <c r="A1425" s="896"/>
      <c r="B1425" s="898"/>
      <c r="C1425" s="898"/>
      <c r="D1425" s="898"/>
      <c r="E1425" s="898"/>
      <c r="F1425" s="898"/>
      <c r="G1425" s="240" t="s">
        <v>100</v>
      </c>
      <c r="H1425" s="182" t="s">
        <v>101</v>
      </c>
      <c r="I1425" s="874"/>
      <c r="J1425" s="876"/>
      <c r="K1425" s="878"/>
      <c r="L1425" s="882"/>
      <c r="M1425" s="882"/>
      <c r="N1425" s="884"/>
      <c r="O1425" s="56">
        <v>721</v>
      </c>
      <c r="P1425" s="79">
        <f>+N1424-P1424</f>
        <v>0</v>
      </c>
    </row>
    <row r="1426" spans="1:16" ht="15" customHeight="1">
      <c r="A1426" s="919">
        <f>+A1395+1</f>
        <v>387</v>
      </c>
      <c r="B1426" s="875">
        <v>42369</v>
      </c>
      <c r="C1426" s="877" t="s">
        <v>267</v>
      </c>
      <c r="D1426" s="877" t="s">
        <v>526</v>
      </c>
      <c r="E1426" s="881" t="s">
        <v>148</v>
      </c>
      <c r="F1426" s="883">
        <v>224000</v>
      </c>
      <c r="G1426" s="55">
        <v>719</v>
      </c>
      <c r="H1426" s="78">
        <v>160000</v>
      </c>
      <c r="I1426" s="881">
        <f>+I1424+1</f>
        <v>182</v>
      </c>
      <c r="J1426" s="875">
        <v>42488</v>
      </c>
      <c r="K1426" s="877" t="s">
        <v>920</v>
      </c>
      <c r="L1426" s="881" t="s">
        <v>921</v>
      </c>
      <c r="M1426" s="881" t="s">
        <v>922</v>
      </c>
      <c r="N1426" s="883">
        <v>540000</v>
      </c>
      <c r="O1426" s="55">
        <v>719</v>
      </c>
      <c r="P1426" s="78"/>
    </row>
    <row r="1427" spans="1:16" ht="15.75" customHeight="1" thickBot="1">
      <c r="A1427" s="920"/>
      <c r="B1427" s="876"/>
      <c r="C1427" s="878"/>
      <c r="D1427" s="878"/>
      <c r="E1427" s="882"/>
      <c r="F1427" s="884"/>
      <c r="G1427" s="56">
        <v>721</v>
      </c>
      <c r="H1427" s="79">
        <f>+F1426-H1426</f>
        <v>64000</v>
      </c>
      <c r="I1427" s="882"/>
      <c r="J1427" s="876"/>
      <c r="K1427" s="878"/>
      <c r="L1427" s="882"/>
      <c r="M1427" s="882"/>
      <c r="N1427" s="884"/>
      <c r="O1427" s="56">
        <v>723</v>
      </c>
      <c r="P1427" s="79">
        <f>+N1426-P1426</f>
        <v>540000</v>
      </c>
    </row>
    <row r="1428" spans="1:16" ht="15" customHeight="1">
      <c r="A1428" s="919">
        <f>+A1426+1</f>
        <v>388</v>
      </c>
      <c r="B1428" s="875">
        <v>42369</v>
      </c>
      <c r="C1428" s="881" t="s">
        <v>28</v>
      </c>
      <c r="D1428" s="877" t="s">
        <v>526</v>
      </c>
      <c r="E1428" s="881" t="s">
        <v>148</v>
      </c>
      <c r="F1428" s="883">
        <v>224000</v>
      </c>
      <c r="G1428" s="55">
        <v>719</v>
      </c>
      <c r="H1428" s="78">
        <v>160000</v>
      </c>
      <c r="I1428" s="881"/>
      <c r="J1428" s="875"/>
      <c r="K1428" s="877"/>
      <c r="L1428" s="881"/>
      <c r="M1428" s="881"/>
      <c r="N1428" s="883"/>
      <c r="O1428" s="55">
        <v>719</v>
      </c>
      <c r="P1428" s="78"/>
    </row>
    <row r="1429" spans="1:16" ht="15.75" customHeight="1" thickBot="1">
      <c r="A1429" s="920"/>
      <c r="B1429" s="876"/>
      <c r="C1429" s="882"/>
      <c r="D1429" s="878"/>
      <c r="E1429" s="882"/>
      <c r="F1429" s="884"/>
      <c r="G1429" s="56">
        <v>721</v>
      </c>
      <c r="H1429" s="79">
        <f>+F1428-H1428</f>
        <v>64000</v>
      </c>
      <c r="I1429" s="882"/>
      <c r="J1429" s="876"/>
      <c r="K1429" s="878"/>
      <c r="L1429" s="882"/>
      <c r="M1429" s="882"/>
      <c r="N1429" s="884"/>
      <c r="O1429" s="56">
        <v>723</v>
      </c>
      <c r="P1429" s="79">
        <f>+N1428-P1428</f>
        <v>0</v>
      </c>
    </row>
    <row r="1430" spans="1:16" ht="15" customHeight="1">
      <c r="A1430" s="919">
        <f>+A1428+1</f>
        <v>389</v>
      </c>
      <c r="B1430" s="875">
        <v>42369</v>
      </c>
      <c r="C1430" s="877" t="s">
        <v>32</v>
      </c>
      <c r="D1430" s="877" t="s">
        <v>521</v>
      </c>
      <c r="E1430" s="881" t="s">
        <v>148</v>
      </c>
      <c r="F1430" s="883">
        <v>154000</v>
      </c>
      <c r="G1430" s="55">
        <v>719</v>
      </c>
      <c r="H1430" s="78">
        <v>110000</v>
      </c>
      <c r="I1430" s="881"/>
      <c r="J1430" s="875"/>
      <c r="K1430" s="877"/>
      <c r="L1430" s="881"/>
      <c r="M1430" s="881"/>
      <c r="N1430" s="883"/>
      <c r="O1430" s="55">
        <v>719</v>
      </c>
      <c r="P1430" s="78"/>
    </row>
    <row r="1431" spans="1:16" ht="15.75" customHeight="1" thickBot="1">
      <c r="A1431" s="920"/>
      <c r="B1431" s="876"/>
      <c r="C1431" s="878"/>
      <c r="D1431" s="878"/>
      <c r="E1431" s="882"/>
      <c r="F1431" s="884"/>
      <c r="G1431" s="56">
        <v>721</v>
      </c>
      <c r="H1431" s="79">
        <f>+F1430-H1430</f>
        <v>44000</v>
      </c>
      <c r="I1431" s="882"/>
      <c r="J1431" s="876"/>
      <c r="K1431" s="878"/>
      <c r="L1431" s="882"/>
      <c r="M1431" s="882"/>
      <c r="N1431" s="884"/>
      <c r="O1431" s="56">
        <v>722</v>
      </c>
      <c r="P1431" s="79">
        <f>+N1430-P1430</f>
        <v>0</v>
      </c>
    </row>
    <row r="1432" spans="1:16" ht="15" customHeight="1">
      <c r="A1432" s="919">
        <f>+A1430+1</f>
        <v>390</v>
      </c>
      <c r="B1432" s="875">
        <v>42369</v>
      </c>
      <c r="C1432" s="877" t="s">
        <v>272</v>
      </c>
      <c r="D1432" s="877" t="s">
        <v>526</v>
      </c>
      <c r="E1432" s="881" t="s">
        <v>148</v>
      </c>
      <c r="F1432" s="883">
        <v>644000</v>
      </c>
      <c r="G1432" s="55">
        <v>719</v>
      </c>
      <c r="H1432" s="78">
        <v>460000</v>
      </c>
      <c r="I1432" s="881"/>
      <c r="J1432" s="875"/>
      <c r="K1432" s="877"/>
      <c r="L1432" s="881"/>
      <c r="M1432" s="881"/>
      <c r="N1432" s="883"/>
      <c r="O1432" s="55">
        <v>719</v>
      </c>
      <c r="P1432" s="78"/>
    </row>
    <row r="1433" spans="1:16" ht="15.75" customHeight="1" thickBot="1">
      <c r="A1433" s="920"/>
      <c r="B1433" s="876"/>
      <c r="C1433" s="878"/>
      <c r="D1433" s="878"/>
      <c r="E1433" s="882"/>
      <c r="F1433" s="884"/>
      <c r="G1433" s="56">
        <v>721</v>
      </c>
      <c r="H1433" s="79">
        <f>+F1432-H1432</f>
        <v>184000</v>
      </c>
      <c r="I1433" s="882"/>
      <c r="J1433" s="876"/>
      <c r="K1433" s="878"/>
      <c r="L1433" s="882"/>
      <c r="M1433" s="882"/>
      <c r="N1433" s="884"/>
      <c r="O1433" s="56">
        <v>721</v>
      </c>
      <c r="P1433" s="79">
        <f>+N1432-P1432</f>
        <v>0</v>
      </c>
    </row>
    <row r="1434" spans="1:16" ht="15" customHeight="1" thickBot="1">
      <c r="A1434" s="919"/>
      <c r="B1434" s="875"/>
      <c r="C1434" s="877"/>
      <c r="D1434" s="877"/>
      <c r="E1434" s="881"/>
      <c r="F1434" s="883"/>
      <c r="G1434" s="55">
        <v>719</v>
      </c>
      <c r="H1434" s="78"/>
      <c r="I1434" s="901" t="s">
        <v>102</v>
      </c>
      <c r="J1434" s="902"/>
      <c r="K1434" s="902"/>
      <c r="L1434" s="902"/>
      <c r="M1434" s="903"/>
      <c r="N1434" s="81">
        <f>SUM(N1424:N1433)</f>
        <v>590000</v>
      </c>
    </row>
    <row r="1435" spans="1:16" ht="15.75" customHeight="1" thickBot="1">
      <c r="A1435" s="920"/>
      <c r="B1435" s="876"/>
      <c r="C1435" s="878"/>
      <c r="D1435" s="878"/>
      <c r="E1435" s="882"/>
      <c r="F1435" s="884"/>
      <c r="G1435" s="56">
        <v>721</v>
      </c>
      <c r="H1435" s="79">
        <f>+F1434-H1434</f>
        <v>0</v>
      </c>
      <c r="I1435" s="885" t="s">
        <v>103</v>
      </c>
      <c r="J1435" s="886"/>
      <c r="K1435" s="886"/>
      <c r="L1435" s="886"/>
      <c r="M1435" s="887"/>
      <c r="N1435" s="69">
        <f>+N1399</f>
        <v>412466481</v>
      </c>
      <c r="O1435" s="241" t="s">
        <v>561</v>
      </c>
      <c r="P1435" s="242">
        <v>124</v>
      </c>
    </row>
    <row r="1436" spans="1:16" ht="16.5" thickBot="1">
      <c r="A1436" s="901" t="s">
        <v>102</v>
      </c>
      <c r="B1436" s="902"/>
      <c r="C1436" s="902"/>
      <c r="D1436" s="902"/>
      <c r="E1436" s="903"/>
      <c r="F1436" s="81">
        <f>SUM(F1426:F1435)</f>
        <v>1246000</v>
      </c>
      <c r="I1436" s="888" t="s">
        <v>104</v>
      </c>
      <c r="J1436" s="889"/>
      <c r="K1436" s="889"/>
      <c r="L1436" s="889"/>
      <c r="M1436" s="890"/>
      <c r="N1436" s="183">
        <f>SUM(N1434:N1435)</f>
        <v>413056481</v>
      </c>
    </row>
    <row r="1437" spans="1:16" ht="16.5" thickBot="1">
      <c r="A1437" s="885" t="s">
        <v>103</v>
      </c>
      <c r="B1437" s="886"/>
      <c r="C1437" s="886"/>
      <c r="D1437" s="886"/>
      <c r="E1437" s="887"/>
      <c r="F1437" s="69">
        <f>+F1401</f>
        <v>662189254</v>
      </c>
      <c r="I1437" s="61"/>
      <c r="J1437" s="61"/>
      <c r="K1437" s="61"/>
      <c r="L1437" s="61"/>
      <c r="M1437" s="61"/>
    </row>
    <row r="1438" spans="1:16" ht="16.5" thickBot="1">
      <c r="A1438" s="888" t="s">
        <v>104</v>
      </c>
      <c r="B1438" s="889"/>
      <c r="C1438" s="889"/>
      <c r="D1438" s="889"/>
      <c r="E1438" s="890"/>
      <c r="F1438" s="183">
        <f>SUM(F1436:F1437)</f>
        <v>663435254</v>
      </c>
      <c r="I1438" s="51" t="s">
        <v>926</v>
      </c>
    </row>
    <row r="1439" spans="1:16" ht="12.75" customHeight="1">
      <c r="A1439" s="61"/>
      <c r="B1439" s="61"/>
      <c r="C1439" s="61"/>
      <c r="D1439" s="61"/>
      <c r="E1439" s="61"/>
      <c r="N1439" s="139"/>
    </row>
    <row r="1440" spans="1:16">
      <c r="A1440" s="51" t="s">
        <v>527</v>
      </c>
      <c r="I1440" s="50" t="s">
        <v>105</v>
      </c>
      <c r="L1440" s="146"/>
      <c r="N1440" s="139"/>
    </row>
    <row r="1441" spans="1:15" ht="15.75" thickBot="1">
      <c r="F1441" s="139"/>
    </row>
    <row r="1442" spans="1:15" ht="15.75" thickBot="1">
      <c r="A1442" s="50" t="s">
        <v>105</v>
      </c>
      <c r="D1442" s="146"/>
      <c r="F1442" s="139"/>
      <c r="I1442" s="891" t="s">
        <v>106</v>
      </c>
      <c r="J1442" s="892"/>
      <c r="K1442" s="892"/>
      <c r="L1442" s="893"/>
      <c r="N1442" s="50" t="s">
        <v>288</v>
      </c>
    </row>
    <row r="1443" spans="1:15" ht="11.25" customHeight="1" thickBot="1">
      <c r="I1443" s="57" t="s">
        <v>100</v>
      </c>
      <c r="J1443" s="58" t="s">
        <v>108</v>
      </c>
      <c r="K1443" s="287" t="s">
        <v>109</v>
      </c>
      <c r="L1443" s="60" t="s">
        <v>110</v>
      </c>
    </row>
    <row r="1444" spans="1:15" ht="15.75" thickBot="1">
      <c r="A1444" s="891" t="s">
        <v>106</v>
      </c>
      <c r="B1444" s="892"/>
      <c r="C1444" s="892"/>
      <c r="D1444" s="893"/>
      <c r="F1444" s="50" t="s">
        <v>288</v>
      </c>
      <c r="I1444" s="71">
        <v>719</v>
      </c>
      <c r="J1444" s="73">
        <f>+P1424+P1426+P1428+P1430+P1432</f>
        <v>50000</v>
      </c>
      <c r="K1444" s="74">
        <f>+L1407</f>
        <v>12740000</v>
      </c>
      <c r="L1444" s="195">
        <f>+J1444+K1444</f>
        <v>12790000</v>
      </c>
    </row>
    <row r="1445" spans="1:15" ht="17.25" customHeight="1" thickBot="1">
      <c r="A1445" s="57" t="s">
        <v>100</v>
      </c>
      <c r="B1445" s="58" t="s">
        <v>108</v>
      </c>
      <c r="C1445" s="59" t="s">
        <v>109</v>
      </c>
      <c r="D1445" s="60" t="s">
        <v>110</v>
      </c>
      <c r="I1445" s="72">
        <v>721</v>
      </c>
      <c r="J1445" s="80">
        <v>0</v>
      </c>
      <c r="K1445" s="74">
        <f>+L1408</f>
        <v>4024000</v>
      </c>
      <c r="L1445" s="195">
        <f>+J1445+K1445</f>
        <v>4024000</v>
      </c>
    </row>
    <row r="1446" spans="1:15">
      <c r="A1446" s="71">
        <v>719</v>
      </c>
      <c r="B1446" s="73">
        <f>+H1426+H1428+H1430+H1432</f>
        <v>890000</v>
      </c>
      <c r="C1446" s="74">
        <f>+D1409</f>
        <v>49030000</v>
      </c>
      <c r="D1446" s="195">
        <f>+B1446+C1446</f>
        <v>49920000</v>
      </c>
      <c r="I1446" s="72">
        <v>722</v>
      </c>
      <c r="J1446" s="80">
        <f>+P1429</f>
        <v>0</v>
      </c>
      <c r="K1446" s="74">
        <f>+L1409</f>
        <v>0</v>
      </c>
      <c r="L1446" s="195">
        <f>+J1446+K1446</f>
        <v>0</v>
      </c>
    </row>
    <row r="1447" spans="1:15" ht="15.75">
      <c r="A1447" s="72">
        <v>721</v>
      </c>
      <c r="B1447" s="80">
        <f>+H1427+H1429+H1431+H1433</f>
        <v>356000</v>
      </c>
      <c r="C1447" s="74">
        <f>+D1410</f>
        <v>56792413</v>
      </c>
      <c r="D1447" s="195">
        <f>+B1447+C1447</f>
        <v>57148413</v>
      </c>
      <c r="I1447" s="72">
        <v>723</v>
      </c>
      <c r="J1447" s="80">
        <f>+P1427</f>
        <v>540000</v>
      </c>
      <c r="K1447" s="74">
        <f>+L1410</f>
        <v>395702481</v>
      </c>
      <c r="L1447" s="195">
        <f>+J1447+K1447</f>
        <v>396242481</v>
      </c>
      <c r="N1447" s="193" t="s">
        <v>289</v>
      </c>
      <c r="O1447" s="175"/>
    </row>
    <row r="1448" spans="1:15" ht="16.5" thickBot="1">
      <c r="A1448" s="72">
        <v>722</v>
      </c>
      <c r="B1448" s="80"/>
      <c r="C1448" s="74">
        <f>+D1411</f>
        <v>231207671</v>
      </c>
      <c r="D1448" s="195">
        <f>+B1448+C1448</f>
        <v>231207671</v>
      </c>
      <c r="I1448" s="164" t="s">
        <v>181</v>
      </c>
      <c r="J1448" s="165"/>
      <c r="K1448" s="74">
        <f>+L1411</f>
        <v>0</v>
      </c>
      <c r="L1448" s="196">
        <f>+J1448+K1448</f>
        <v>0</v>
      </c>
      <c r="N1448" s="52"/>
    </row>
    <row r="1449" spans="1:15" ht="16.5" thickBot="1">
      <c r="A1449" s="72">
        <v>723</v>
      </c>
      <c r="B1449" s="80"/>
      <c r="C1449" s="74">
        <f>+D1412</f>
        <v>323193545</v>
      </c>
      <c r="D1449" s="195">
        <f>+B1449+C1449</f>
        <v>323193545</v>
      </c>
      <c r="F1449" s="174" t="s">
        <v>23</v>
      </c>
      <c r="G1449" s="175"/>
      <c r="I1449" s="169"/>
      <c r="J1449" s="197">
        <f>SUM(J1444:J1448)</f>
        <v>590000</v>
      </c>
      <c r="K1449" s="197">
        <f>SUM(K1444:K1448)</f>
        <v>412466481</v>
      </c>
      <c r="L1449" s="198">
        <f>SUM(L1444:L1448)</f>
        <v>413056481</v>
      </c>
    </row>
    <row r="1450" spans="1:15" ht="17.25" thickBot="1">
      <c r="A1450" s="169"/>
      <c r="B1450" s="170" t="e">
        <f>SUM(#REF!)</f>
        <v>#REF!</v>
      </c>
      <c r="C1450" s="171" t="e">
        <f>SUM(#REF!)</f>
        <v>#REF!</v>
      </c>
      <c r="D1450" s="172" t="e">
        <f>SUM(#REF!)</f>
        <v>#REF!</v>
      </c>
      <c r="I1450" s="49" t="s">
        <v>88</v>
      </c>
      <c r="J1450" s="50"/>
    </row>
    <row r="1451" spans="1:15" ht="15.75" customHeight="1">
      <c r="A1451" s="49" t="s">
        <v>88</v>
      </c>
      <c r="B1451" s="50"/>
      <c r="I1451" s="51" t="s">
        <v>89</v>
      </c>
    </row>
    <row r="1452" spans="1:15">
      <c r="A1452" s="51" t="s">
        <v>89</v>
      </c>
      <c r="I1452" s="51" t="s">
        <v>90</v>
      </c>
    </row>
    <row r="1453" spans="1:15">
      <c r="A1453" s="51" t="s">
        <v>90</v>
      </c>
      <c r="I1453" s="51" t="s">
        <v>91</v>
      </c>
    </row>
    <row r="1454" spans="1:15" ht="11.25" customHeight="1">
      <c r="A1454" s="51" t="s">
        <v>91</v>
      </c>
      <c r="I1454" s="50"/>
      <c r="J1454" s="50"/>
    </row>
    <row r="1455" spans="1:15" ht="12" customHeight="1">
      <c r="A1455" s="50"/>
      <c r="B1455" s="50"/>
      <c r="I1455" s="260" t="s">
        <v>927</v>
      </c>
      <c r="O1455" s="52"/>
    </row>
    <row r="1456" spans="1:15" ht="16.5">
      <c r="A1456" s="52" t="s">
        <v>544</v>
      </c>
      <c r="G1456" s="52"/>
      <c r="I1456" s="53" t="s">
        <v>535</v>
      </c>
      <c r="O1456" s="53"/>
    </row>
    <row r="1457" spans="1:16" ht="16.5">
      <c r="A1457" s="53" t="s">
        <v>92</v>
      </c>
      <c r="G1457" s="53"/>
      <c r="I1457" s="894" t="s">
        <v>261</v>
      </c>
      <c r="J1457" s="894"/>
      <c r="K1457" s="894"/>
      <c r="L1457" s="894"/>
      <c r="M1457" s="894"/>
      <c r="N1457" s="894"/>
      <c r="O1457" s="894"/>
      <c r="P1457" s="894"/>
    </row>
    <row r="1458" spans="1:16" ht="13.5" customHeight="1" thickBot="1">
      <c r="A1458" s="894" t="s">
        <v>261</v>
      </c>
      <c r="B1458" s="894"/>
      <c r="C1458" s="894"/>
      <c r="D1458" s="894"/>
      <c r="E1458" s="894"/>
      <c r="F1458" s="894"/>
      <c r="G1458" s="894"/>
      <c r="H1458" s="894"/>
    </row>
    <row r="1459" spans="1:16" ht="15.75" thickBot="1">
      <c r="I1459" s="895" t="s">
        <v>94</v>
      </c>
      <c r="J1459" s="897" t="s">
        <v>95</v>
      </c>
      <c r="K1459" s="897" t="s">
        <v>96</v>
      </c>
      <c r="L1459" s="897" t="s">
        <v>3</v>
      </c>
      <c r="M1459" s="897" t="s">
        <v>97</v>
      </c>
      <c r="N1459" s="897" t="s">
        <v>98</v>
      </c>
      <c r="O1459" s="897" t="s">
        <v>99</v>
      </c>
      <c r="P1459" s="899"/>
    </row>
    <row r="1460" spans="1:16" ht="15.75" thickBot="1">
      <c r="A1460" s="895" t="s">
        <v>94</v>
      </c>
      <c r="B1460" s="897" t="s">
        <v>95</v>
      </c>
      <c r="C1460" s="897" t="s">
        <v>96</v>
      </c>
      <c r="D1460" s="897" t="s">
        <v>3</v>
      </c>
      <c r="E1460" s="897" t="s">
        <v>97</v>
      </c>
      <c r="F1460" s="897" t="s">
        <v>98</v>
      </c>
      <c r="G1460" s="897" t="s">
        <v>99</v>
      </c>
      <c r="H1460" s="899"/>
      <c r="I1460" s="896"/>
      <c r="J1460" s="898"/>
      <c r="K1460" s="898"/>
      <c r="L1460" s="898"/>
      <c r="M1460" s="898"/>
      <c r="N1460" s="898"/>
      <c r="O1460" s="240" t="s">
        <v>100</v>
      </c>
      <c r="P1460" s="182" t="s">
        <v>101</v>
      </c>
    </row>
    <row r="1461" spans="1:16" ht="14.25" customHeight="1" thickBot="1">
      <c r="A1461" s="896"/>
      <c r="B1461" s="898"/>
      <c r="C1461" s="898"/>
      <c r="D1461" s="898"/>
      <c r="E1461" s="898"/>
      <c r="F1461" s="898"/>
      <c r="G1461" s="240" t="s">
        <v>100</v>
      </c>
      <c r="H1461" s="182" t="s">
        <v>101</v>
      </c>
      <c r="I1461" s="873" t="s">
        <v>930</v>
      </c>
      <c r="J1461" s="875">
        <v>42503</v>
      </c>
      <c r="K1461" s="881" t="s">
        <v>40</v>
      </c>
      <c r="L1461" s="881" t="s">
        <v>932</v>
      </c>
      <c r="M1461" s="881" t="s">
        <v>148</v>
      </c>
      <c r="N1461" s="883">
        <v>154000</v>
      </c>
      <c r="O1461" s="55">
        <v>719</v>
      </c>
      <c r="P1461" s="78">
        <v>110000</v>
      </c>
    </row>
    <row r="1462" spans="1:16" ht="14.25" customHeight="1" thickBot="1">
      <c r="A1462" s="919" t="e">
        <f>+#REF!+1</f>
        <v>#REF!</v>
      </c>
      <c r="B1462" s="875">
        <v>42369</v>
      </c>
      <c r="C1462" s="877" t="s">
        <v>267</v>
      </c>
      <c r="D1462" s="881" t="s">
        <v>530</v>
      </c>
      <c r="E1462" s="881" t="s">
        <v>148</v>
      </c>
      <c r="F1462" s="883">
        <v>70000</v>
      </c>
      <c r="G1462" s="55">
        <v>719</v>
      </c>
      <c r="H1462" s="78">
        <v>50000</v>
      </c>
      <c r="I1462" s="874"/>
      <c r="J1462" s="876"/>
      <c r="K1462" s="882"/>
      <c r="L1462" s="882"/>
      <c r="M1462" s="882"/>
      <c r="N1462" s="884"/>
      <c r="O1462" s="56">
        <v>721</v>
      </c>
      <c r="P1462" s="79">
        <f>+N1461-P1461</f>
        <v>44000</v>
      </c>
    </row>
    <row r="1463" spans="1:16" ht="14.25" customHeight="1" thickBot="1">
      <c r="A1463" s="920"/>
      <c r="B1463" s="876"/>
      <c r="C1463" s="878"/>
      <c r="D1463" s="882"/>
      <c r="E1463" s="882"/>
      <c r="F1463" s="884"/>
      <c r="G1463" s="56">
        <v>721</v>
      </c>
      <c r="H1463" s="79">
        <f>+F1462-H1462</f>
        <v>20000</v>
      </c>
      <c r="I1463" s="881">
        <f>+I1461+1</f>
        <v>184</v>
      </c>
      <c r="J1463" s="875">
        <v>42503</v>
      </c>
      <c r="K1463" s="881" t="s">
        <v>28</v>
      </c>
      <c r="L1463" s="879" t="s">
        <v>933</v>
      </c>
      <c r="M1463" s="881" t="s">
        <v>148</v>
      </c>
      <c r="N1463" s="883">
        <v>462000</v>
      </c>
      <c r="O1463" s="55">
        <v>719</v>
      </c>
      <c r="P1463" s="78">
        <v>330000</v>
      </c>
    </row>
    <row r="1464" spans="1:16" ht="15" customHeight="1" thickBot="1">
      <c r="A1464" s="919" t="e">
        <f>+A1462+1</f>
        <v>#REF!</v>
      </c>
      <c r="B1464" s="875">
        <v>42369</v>
      </c>
      <c r="C1464" s="881" t="s">
        <v>28</v>
      </c>
      <c r="D1464" s="881" t="s">
        <v>530</v>
      </c>
      <c r="E1464" s="881" t="s">
        <v>148</v>
      </c>
      <c r="F1464" s="883">
        <v>70000</v>
      </c>
      <c r="G1464" s="55">
        <v>719</v>
      </c>
      <c r="H1464" s="78">
        <v>50000</v>
      </c>
      <c r="I1464" s="882"/>
      <c r="J1464" s="876"/>
      <c r="K1464" s="882"/>
      <c r="L1464" s="880"/>
      <c r="M1464" s="882"/>
      <c r="N1464" s="884"/>
      <c r="O1464" s="56">
        <v>721</v>
      </c>
      <c r="P1464" s="79">
        <f>+N1463-P1463</f>
        <v>132000</v>
      </c>
    </row>
    <row r="1465" spans="1:16" ht="14.25" customHeight="1" thickBot="1">
      <c r="A1465" s="920"/>
      <c r="B1465" s="876"/>
      <c r="C1465" s="882"/>
      <c r="D1465" s="882"/>
      <c r="E1465" s="882"/>
      <c r="F1465" s="884"/>
      <c r="G1465" s="56">
        <v>721</v>
      </c>
      <c r="H1465" s="79">
        <f>+F1464-H1464</f>
        <v>20000</v>
      </c>
      <c r="I1465" s="881">
        <f>+I1463+1</f>
        <v>185</v>
      </c>
      <c r="J1465" s="875">
        <v>42503</v>
      </c>
      <c r="K1465" s="877" t="s">
        <v>111</v>
      </c>
      <c r="L1465" s="881" t="s">
        <v>934</v>
      </c>
      <c r="M1465" s="881" t="s">
        <v>148</v>
      </c>
      <c r="N1465" s="883">
        <v>112000</v>
      </c>
      <c r="O1465" s="55">
        <v>719</v>
      </c>
      <c r="P1465" s="78">
        <v>80000</v>
      </c>
    </row>
    <row r="1466" spans="1:16" ht="13.5" customHeight="1" thickBot="1">
      <c r="A1466" s="919" t="e">
        <f>+A1464+1</f>
        <v>#REF!</v>
      </c>
      <c r="B1466" s="875">
        <v>42369</v>
      </c>
      <c r="C1466" s="877" t="s">
        <v>32</v>
      </c>
      <c r="D1466" s="881" t="s">
        <v>530</v>
      </c>
      <c r="E1466" s="881" t="s">
        <v>148</v>
      </c>
      <c r="F1466" s="883">
        <v>84000</v>
      </c>
      <c r="G1466" s="55">
        <v>719</v>
      </c>
      <c r="H1466" s="78">
        <v>60000</v>
      </c>
      <c r="I1466" s="882"/>
      <c r="J1466" s="876"/>
      <c r="K1466" s="878"/>
      <c r="L1466" s="882"/>
      <c r="M1466" s="882"/>
      <c r="N1466" s="884"/>
      <c r="O1466" s="56">
        <v>721</v>
      </c>
      <c r="P1466" s="79">
        <f>+N1465-P1465</f>
        <v>32000</v>
      </c>
    </row>
    <row r="1467" spans="1:16" ht="14.25" customHeight="1" thickBot="1">
      <c r="A1467" s="920"/>
      <c r="B1467" s="876"/>
      <c r="C1467" s="878"/>
      <c r="D1467" s="882"/>
      <c r="E1467" s="882"/>
      <c r="F1467" s="884"/>
      <c r="G1467" s="56">
        <v>721</v>
      </c>
      <c r="H1467" s="79">
        <f>+F1466-H1466</f>
        <v>24000</v>
      </c>
      <c r="I1467" s="881">
        <f>+I1465+1</f>
        <v>186</v>
      </c>
      <c r="J1467" s="875">
        <v>42503</v>
      </c>
      <c r="K1467" s="877" t="s">
        <v>272</v>
      </c>
      <c r="L1467" s="879" t="s">
        <v>935</v>
      </c>
      <c r="M1467" s="881" t="s">
        <v>148</v>
      </c>
      <c r="N1467" s="883">
        <v>1148000</v>
      </c>
      <c r="O1467" s="55">
        <v>719</v>
      </c>
      <c r="P1467" s="78">
        <v>820000</v>
      </c>
    </row>
    <row r="1468" spans="1:16" ht="15" customHeight="1" thickBot="1">
      <c r="A1468" s="919" t="e">
        <f>+A1466+1</f>
        <v>#REF!</v>
      </c>
      <c r="B1468" s="875">
        <v>42369</v>
      </c>
      <c r="C1468" s="877" t="s">
        <v>272</v>
      </c>
      <c r="D1468" s="881" t="s">
        <v>530</v>
      </c>
      <c r="E1468" s="881" t="s">
        <v>148</v>
      </c>
      <c r="F1468" s="883">
        <v>294000</v>
      </c>
      <c r="G1468" s="55">
        <v>719</v>
      </c>
      <c r="H1468" s="78">
        <v>210000</v>
      </c>
      <c r="I1468" s="882"/>
      <c r="J1468" s="876"/>
      <c r="K1468" s="878"/>
      <c r="L1468" s="880"/>
      <c r="M1468" s="882"/>
      <c r="N1468" s="884"/>
      <c r="O1468" s="56">
        <v>721</v>
      </c>
      <c r="P1468" s="79">
        <f>+N1467-P1467</f>
        <v>328000</v>
      </c>
    </row>
    <row r="1469" spans="1:16" ht="13.5" customHeight="1" thickBot="1">
      <c r="A1469" s="920"/>
      <c r="B1469" s="876"/>
      <c r="C1469" s="878"/>
      <c r="D1469" s="882"/>
      <c r="E1469" s="882"/>
      <c r="F1469" s="884"/>
      <c r="G1469" s="56">
        <v>721</v>
      </c>
      <c r="H1469" s="79">
        <f>+F1468-H1468</f>
        <v>84000</v>
      </c>
      <c r="I1469" s="881">
        <f>+I1467+1</f>
        <v>187</v>
      </c>
      <c r="J1469" s="875">
        <v>42503</v>
      </c>
      <c r="K1469" s="881" t="s">
        <v>28</v>
      </c>
      <c r="L1469" s="926" t="s">
        <v>936</v>
      </c>
      <c r="M1469" s="881" t="s">
        <v>115</v>
      </c>
      <c r="N1469" s="883">
        <v>30000</v>
      </c>
      <c r="O1469" s="55">
        <v>719</v>
      </c>
      <c r="P1469" s="78">
        <v>30000</v>
      </c>
    </row>
    <row r="1470" spans="1:16" ht="14.25" customHeight="1" thickBot="1">
      <c r="A1470" s="919"/>
      <c r="B1470" s="875"/>
      <c r="C1470" s="877"/>
      <c r="D1470" s="877"/>
      <c r="E1470" s="881"/>
      <c r="F1470" s="883"/>
      <c r="G1470" s="55">
        <v>719</v>
      </c>
      <c r="H1470" s="78"/>
      <c r="I1470" s="882"/>
      <c r="J1470" s="876"/>
      <c r="K1470" s="882"/>
      <c r="L1470" s="927"/>
      <c r="M1470" s="882"/>
      <c r="N1470" s="884"/>
      <c r="O1470" s="56">
        <v>721</v>
      </c>
      <c r="P1470" s="79">
        <f>+N1469-P1469</f>
        <v>0</v>
      </c>
    </row>
    <row r="1471" spans="1:16" ht="16.5" thickBot="1">
      <c r="A1471" s="920"/>
      <c r="B1471" s="876"/>
      <c r="C1471" s="878"/>
      <c r="D1471" s="878"/>
      <c r="E1471" s="882"/>
      <c r="F1471" s="884"/>
      <c r="G1471" s="56">
        <v>721</v>
      </c>
      <c r="H1471" s="79">
        <f>+F1470-H1470</f>
        <v>0</v>
      </c>
      <c r="I1471" s="901" t="s">
        <v>102</v>
      </c>
      <c r="J1471" s="902"/>
      <c r="K1471" s="902"/>
      <c r="L1471" s="902"/>
      <c r="M1471" s="903"/>
      <c r="N1471" s="81">
        <f>SUM(N1461:N1470)</f>
        <v>1906000</v>
      </c>
    </row>
    <row r="1472" spans="1:16" ht="16.5" thickBot="1">
      <c r="A1472" s="901" t="s">
        <v>102</v>
      </c>
      <c r="B1472" s="902"/>
      <c r="C1472" s="902"/>
      <c r="D1472" s="902"/>
      <c r="E1472" s="903"/>
      <c r="F1472" s="81">
        <f>SUM(F1462:F1471)</f>
        <v>518000</v>
      </c>
      <c r="I1472" s="885" t="s">
        <v>103</v>
      </c>
      <c r="J1472" s="886"/>
      <c r="K1472" s="886"/>
      <c r="L1472" s="886"/>
      <c r="M1472" s="887"/>
      <c r="N1472" s="69">
        <f>+N1436</f>
        <v>413056481</v>
      </c>
      <c r="O1472" s="241" t="s">
        <v>561</v>
      </c>
      <c r="P1472" s="242">
        <f>106+855+41+1745+60</f>
        <v>2807</v>
      </c>
    </row>
    <row r="1473" spans="1:15" ht="16.5" thickBot="1">
      <c r="A1473" s="885" t="s">
        <v>103</v>
      </c>
      <c r="B1473" s="886"/>
      <c r="C1473" s="886"/>
      <c r="D1473" s="886"/>
      <c r="E1473" s="887"/>
      <c r="F1473" s="69" t="e">
        <f>+#REF!</f>
        <v>#REF!</v>
      </c>
      <c r="I1473" s="888" t="s">
        <v>104</v>
      </c>
      <c r="J1473" s="889"/>
      <c r="K1473" s="889"/>
      <c r="L1473" s="889"/>
      <c r="M1473" s="890"/>
      <c r="N1473" s="183">
        <f>SUM(N1471:N1472)</f>
        <v>414962481</v>
      </c>
    </row>
    <row r="1474" spans="1:15" ht="14.25" customHeight="1" thickBot="1">
      <c r="A1474" s="888" t="s">
        <v>104</v>
      </c>
      <c r="B1474" s="889"/>
      <c r="C1474" s="889"/>
      <c r="D1474" s="889"/>
      <c r="E1474" s="890"/>
      <c r="F1474" s="183" t="e">
        <f>SUM(F1472:F1473)</f>
        <v>#REF!</v>
      </c>
      <c r="I1474" s="61"/>
      <c r="J1474" s="61"/>
      <c r="K1474" s="61"/>
      <c r="L1474" s="61"/>
      <c r="M1474" s="61"/>
    </row>
    <row r="1475" spans="1:15">
      <c r="A1475" s="61"/>
      <c r="B1475" s="61"/>
      <c r="C1475" s="61"/>
      <c r="D1475" s="61"/>
      <c r="E1475" s="61"/>
      <c r="I1475" s="51" t="s">
        <v>941</v>
      </c>
    </row>
    <row r="1476" spans="1:15" ht="13.5" customHeight="1">
      <c r="A1476" s="51" t="s">
        <v>546</v>
      </c>
      <c r="N1476" s="139"/>
    </row>
    <row r="1477" spans="1:15" ht="12.75" customHeight="1">
      <c r="F1477" s="139"/>
      <c r="I1477" s="50" t="s">
        <v>105</v>
      </c>
      <c r="L1477" s="146"/>
      <c r="N1477" s="139"/>
    </row>
    <row r="1478" spans="1:15" ht="15.75" thickBot="1">
      <c r="A1478" s="50" t="s">
        <v>105</v>
      </c>
      <c r="D1478" s="146"/>
      <c r="F1478" s="139"/>
    </row>
    <row r="1479" spans="1:15" ht="12" customHeight="1" thickBot="1">
      <c r="I1479" s="891" t="s">
        <v>106</v>
      </c>
      <c r="J1479" s="892"/>
      <c r="K1479" s="892"/>
      <c r="L1479" s="893"/>
      <c r="N1479" s="50" t="s">
        <v>288</v>
      </c>
    </row>
    <row r="1480" spans="1:15" ht="30.75" thickBot="1">
      <c r="A1480" s="891" t="s">
        <v>106</v>
      </c>
      <c r="B1480" s="892"/>
      <c r="C1480" s="892"/>
      <c r="D1480" s="893"/>
      <c r="F1480" s="50" t="s">
        <v>288</v>
      </c>
      <c r="I1480" s="57" t="s">
        <v>100</v>
      </c>
      <c r="J1480" s="58" t="s">
        <v>108</v>
      </c>
      <c r="K1480" s="59" t="s">
        <v>109</v>
      </c>
      <c r="L1480" s="60" t="s">
        <v>110</v>
      </c>
    </row>
    <row r="1481" spans="1:15" ht="30.75" thickBot="1">
      <c r="A1481" s="57" t="s">
        <v>100</v>
      </c>
      <c r="B1481" s="58" t="s">
        <v>108</v>
      </c>
      <c r="C1481" s="59" t="s">
        <v>109</v>
      </c>
      <c r="D1481" s="60" t="s">
        <v>110</v>
      </c>
      <c r="I1481" s="71">
        <v>719</v>
      </c>
      <c r="J1481" s="73">
        <f>+P1461+P1463+P1465+P1467+P1469</f>
        <v>1370000</v>
      </c>
      <c r="K1481" s="74">
        <f>+L1444</f>
        <v>12790000</v>
      </c>
      <c r="L1481" s="195">
        <f>+J1481+K1481</f>
        <v>14160000</v>
      </c>
    </row>
    <row r="1482" spans="1:15">
      <c r="A1482" s="71">
        <v>719</v>
      </c>
      <c r="B1482" s="73">
        <f>+H1462+H1464+H1466+H1468</f>
        <v>370000</v>
      </c>
      <c r="C1482" s="74" t="e">
        <f>+#REF!</f>
        <v>#REF!</v>
      </c>
      <c r="D1482" s="195" t="e">
        <f>+B1482+C1482</f>
        <v>#REF!</v>
      </c>
      <c r="I1482" s="72">
        <v>721</v>
      </c>
      <c r="J1482" s="80">
        <f>+P1462+P1464+P1466+P1468+P1470</f>
        <v>536000</v>
      </c>
      <c r="K1482" s="74">
        <f>+L1445</f>
        <v>4024000</v>
      </c>
      <c r="L1482" s="195">
        <f>+J1482+K1482</f>
        <v>4560000</v>
      </c>
    </row>
    <row r="1483" spans="1:15">
      <c r="A1483" s="72">
        <v>721</v>
      </c>
      <c r="B1483" s="80">
        <f>+H1463+H1465+H1467+H1469+H1471</f>
        <v>148000</v>
      </c>
      <c r="C1483" s="74" t="e">
        <f>+#REF!</f>
        <v>#REF!</v>
      </c>
      <c r="D1483" s="195" t="e">
        <f>+B1483+C1483</f>
        <v>#REF!</v>
      </c>
      <c r="I1483" s="72">
        <v>722</v>
      </c>
      <c r="J1483" s="80"/>
      <c r="K1483" s="74">
        <f>+L1446</f>
        <v>0</v>
      </c>
      <c r="L1483" s="195">
        <f>+J1483+K1483</f>
        <v>0</v>
      </c>
    </row>
    <row r="1484" spans="1:15" ht="15.75">
      <c r="A1484" s="72">
        <v>722</v>
      </c>
      <c r="B1484" s="80"/>
      <c r="C1484" s="74" t="e">
        <f>+#REF!</f>
        <v>#REF!</v>
      </c>
      <c r="D1484" s="195" t="e">
        <f>+B1484+C1484</f>
        <v>#REF!</v>
      </c>
      <c r="I1484" s="72">
        <v>723</v>
      </c>
      <c r="J1484" s="80"/>
      <c r="K1484" s="74">
        <f>+L1447</f>
        <v>396242481</v>
      </c>
      <c r="L1484" s="195">
        <f>+J1484+K1484</f>
        <v>396242481</v>
      </c>
      <c r="N1484" s="193" t="s">
        <v>289</v>
      </c>
      <c r="O1484" s="175"/>
    </row>
    <row r="1485" spans="1:15" ht="16.5" thickBot="1">
      <c r="A1485" s="72">
        <v>723</v>
      </c>
      <c r="B1485" s="80"/>
      <c r="C1485" s="74" t="e">
        <f>+#REF!</f>
        <v>#REF!</v>
      </c>
      <c r="D1485" s="195" t="e">
        <f>+B1485+C1485</f>
        <v>#REF!</v>
      </c>
      <c r="F1485" s="174" t="s">
        <v>23</v>
      </c>
      <c r="G1485" s="175"/>
      <c r="I1485" s="164" t="s">
        <v>181</v>
      </c>
      <c r="J1485" s="165"/>
      <c r="K1485" s="74">
        <f>+L1448</f>
        <v>0</v>
      </c>
      <c r="L1485" s="196">
        <f>+J1485+K1485</f>
        <v>0</v>
      </c>
      <c r="N1485" s="52"/>
    </row>
    <row r="1486" spans="1:15" ht="16.5" thickBot="1">
      <c r="A1486" s="164" t="s">
        <v>181</v>
      </c>
      <c r="B1486" s="165"/>
      <c r="C1486" s="74" t="e">
        <f>+#REF!</f>
        <v>#REF!</v>
      </c>
      <c r="D1486" s="196" t="e">
        <f>+B1486+C1486</f>
        <v>#REF!</v>
      </c>
      <c r="F1486" s="52"/>
      <c r="I1486" s="169"/>
      <c r="J1486" s="197">
        <f>SUM(J1481:J1485)</f>
        <v>1906000</v>
      </c>
      <c r="K1486" s="197">
        <f>SUM(K1481:K1485)</f>
        <v>413056481</v>
      </c>
      <c r="L1486" s="198">
        <f>SUM(L1481:L1485)</f>
        <v>414962481</v>
      </c>
    </row>
    <row r="1487" spans="1:15" ht="17.25" thickBot="1">
      <c r="A1487" s="169"/>
      <c r="B1487" s="170">
        <f>SUM(B1482:B1486)</f>
        <v>518000</v>
      </c>
      <c r="C1487" s="171" t="e">
        <f>SUM(C1482:C1486)</f>
        <v>#REF!</v>
      </c>
      <c r="D1487" s="172" t="e">
        <f>SUM(D1482:D1486)</f>
        <v>#REF!</v>
      </c>
      <c r="I1487" s="49" t="s">
        <v>88</v>
      </c>
      <c r="J1487" s="50"/>
    </row>
    <row r="1488" spans="1:15">
      <c r="I1488" s="51" t="s">
        <v>89</v>
      </c>
    </row>
    <row r="1489" spans="9:16">
      <c r="I1489" s="51" t="s">
        <v>90</v>
      </c>
    </row>
    <row r="1490" spans="9:16">
      <c r="I1490" s="51" t="s">
        <v>91</v>
      </c>
    </row>
    <row r="1491" spans="9:16">
      <c r="I1491" s="50"/>
      <c r="J1491" s="50"/>
    </row>
    <row r="1492" spans="9:16" ht="15.75">
      <c r="I1492" s="260" t="s">
        <v>928</v>
      </c>
      <c r="O1492" s="52"/>
    </row>
    <row r="1493" spans="9:16" ht="15.75">
      <c r="I1493" s="53" t="s">
        <v>535</v>
      </c>
      <c r="O1493" s="53"/>
    </row>
    <row r="1494" spans="9:16" ht="16.5">
      <c r="I1494" s="894" t="s">
        <v>909</v>
      </c>
      <c r="J1494" s="894"/>
      <c r="K1494" s="894"/>
      <c r="L1494" s="894"/>
      <c r="M1494" s="894"/>
      <c r="N1494" s="894"/>
      <c r="O1494" s="894"/>
      <c r="P1494" s="894"/>
    </row>
    <row r="1495" spans="9:16" ht="15.75" thickBot="1"/>
    <row r="1496" spans="9:16">
      <c r="I1496" s="895" t="s">
        <v>94</v>
      </c>
      <c r="J1496" s="897" t="s">
        <v>95</v>
      </c>
      <c r="K1496" s="897" t="s">
        <v>96</v>
      </c>
      <c r="L1496" s="897" t="s">
        <v>3</v>
      </c>
      <c r="M1496" s="897" t="s">
        <v>97</v>
      </c>
      <c r="N1496" s="897" t="s">
        <v>98</v>
      </c>
      <c r="O1496" s="897" t="s">
        <v>99</v>
      </c>
      <c r="P1496" s="899"/>
    </row>
    <row r="1497" spans="9:16" ht="15.75" thickBot="1">
      <c r="I1497" s="896"/>
      <c r="J1497" s="898"/>
      <c r="K1497" s="898"/>
      <c r="L1497" s="898"/>
      <c r="M1497" s="898"/>
      <c r="N1497" s="898"/>
      <c r="O1497" s="240" t="s">
        <v>100</v>
      </c>
      <c r="P1497" s="182" t="s">
        <v>101</v>
      </c>
    </row>
    <row r="1498" spans="9:16" ht="15" customHeight="1">
      <c r="I1498" s="873" t="s">
        <v>931</v>
      </c>
      <c r="J1498" s="875">
        <v>42503</v>
      </c>
      <c r="K1498" s="881" t="s">
        <v>40</v>
      </c>
      <c r="L1498" s="881" t="s">
        <v>938</v>
      </c>
      <c r="M1498" s="881" t="s">
        <v>148</v>
      </c>
      <c r="N1498" s="883">
        <v>42000</v>
      </c>
      <c r="O1498" s="55">
        <v>719</v>
      </c>
      <c r="P1498" s="78">
        <v>30000</v>
      </c>
    </row>
    <row r="1499" spans="9:16" ht="13.5" customHeight="1" thickBot="1">
      <c r="I1499" s="874"/>
      <c r="J1499" s="876"/>
      <c r="K1499" s="882"/>
      <c r="L1499" s="882"/>
      <c r="M1499" s="882"/>
      <c r="N1499" s="884"/>
      <c r="O1499" s="56">
        <v>721</v>
      </c>
      <c r="P1499" s="79">
        <f>+N1498-P1498</f>
        <v>12000</v>
      </c>
    </row>
    <row r="1500" spans="9:16" ht="13.5" customHeight="1">
      <c r="I1500" s="881">
        <f>+I1498+1</f>
        <v>189</v>
      </c>
      <c r="J1500" s="875">
        <v>42503</v>
      </c>
      <c r="K1500" s="881" t="s">
        <v>28</v>
      </c>
      <c r="L1500" s="879" t="s">
        <v>939</v>
      </c>
      <c r="M1500" s="881" t="s">
        <v>148</v>
      </c>
      <c r="N1500" s="883">
        <v>252000</v>
      </c>
      <c r="O1500" s="55">
        <v>719</v>
      </c>
      <c r="P1500" s="78">
        <v>180000</v>
      </c>
    </row>
    <row r="1501" spans="9:16" ht="15.75" customHeight="1" thickBot="1">
      <c r="I1501" s="882"/>
      <c r="J1501" s="876"/>
      <c r="K1501" s="882"/>
      <c r="L1501" s="880"/>
      <c r="M1501" s="882"/>
      <c r="N1501" s="884"/>
      <c r="O1501" s="56">
        <v>721</v>
      </c>
      <c r="P1501" s="79">
        <f>+N1500-P1500</f>
        <v>72000</v>
      </c>
    </row>
    <row r="1502" spans="9:16" ht="15" customHeight="1">
      <c r="I1502" s="881">
        <f>+I1500+1</f>
        <v>190</v>
      </c>
      <c r="J1502" s="875">
        <v>42503</v>
      </c>
      <c r="K1502" s="877" t="s">
        <v>111</v>
      </c>
      <c r="L1502" s="881" t="s">
        <v>940</v>
      </c>
      <c r="M1502" s="881" t="s">
        <v>148</v>
      </c>
      <c r="N1502" s="883">
        <v>56000</v>
      </c>
      <c r="O1502" s="55">
        <v>719</v>
      </c>
      <c r="P1502" s="78">
        <v>40000</v>
      </c>
    </row>
    <row r="1503" spans="9:16" ht="15.75" customHeight="1" thickBot="1">
      <c r="I1503" s="882"/>
      <c r="J1503" s="876"/>
      <c r="K1503" s="878"/>
      <c r="L1503" s="882"/>
      <c r="M1503" s="882"/>
      <c r="N1503" s="884"/>
      <c r="O1503" s="56">
        <v>721</v>
      </c>
      <c r="P1503" s="79">
        <f>+N1502-P1502</f>
        <v>16000</v>
      </c>
    </row>
    <row r="1504" spans="9:16" ht="15" customHeight="1">
      <c r="I1504" s="881">
        <f>+I1502+1</f>
        <v>191</v>
      </c>
      <c r="J1504" s="875">
        <v>42503</v>
      </c>
      <c r="K1504" s="877" t="s">
        <v>272</v>
      </c>
      <c r="L1504" s="879" t="s">
        <v>939</v>
      </c>
      <c r="M1504" s="881" t="s">
        <v>148</v>
      </c>
      <c r="N1504" s="883">
        <v>448000</v>
      </c>
      <c r="O1504" s="55">
        <v>719</v>
      </c>
      <c r="P1504" s="78">
        <v>320000</v>
      </c>
    </row>
    <row r="1505" spans="9:16" ht="13.5" customHeight="1" thickBot="1">
      <c r="I1505" s="882"/>
      <c r="J1505" s="876"/>
      <c r="K1505" s="878"/>
      <c r="L1505" s="880"/>
      <c r="M1505" s="882"/>
      <c r="N1505" s="884"/>
      <c r="O1505" s="56">
        <v>721</v>
      </c>
      <c r="P1505" s="79">
        <f>+N1504-P1504</f>
        <v>128000</v>
      </c>
    </row>
    <row r="1506" spans="9:16" ht="15" customHeight="1">
      <c r="I1506" s="881">
        <f>+I1504+1</f>
        <v>192</v>
      </c>
      <c r="J1506" s="875">
        <v>42503</v>
      </c>
      <c r="K1506" s="877" t="s">
        <v>272</v>
      </c>
      <c r="L1506" s="879" t="s">
        <v>937</v>
      </c>
      <c r="M1506" s="881" t="s">
        <v>115</v>
      </c>
      <c r="N1506" s="883">
        <v>100000</v>
      </c>
      <c r="O1506" s="55">
        <v>719</v>
      </c>
      <c r="P1506" s="78">
        <v>100000</v>
      </c>
    </row>
    <row r="1507" spans="9:16" ht="15.75" customHeight="1" thickBot="1">
      <c r="I1507" s="882"/>
      <c r="J1507" s="876"/>
      <c r="K1507" s="878"/>
      <c r="L1507" s="880"/>
      <c r="M1507" s="882"/>
      <c r="N1507" s="884"/>
      <c r="O1507" s="56">
        <v>721</v>
      </c>
      <c r="P1507" s="79">
        <f>+N1506-P1506</f>
        <v>0</v>
      </c>
    </row>
    <row r="1508" spans="9:16" ht="16.5" thickBot="1">
      <c r="I1508" s="901" t="s">
        <v>102</v>
      </c>
      <c r="J1508" s="902"/>
      <c r="K1508" s="902"/>
      <c r="L1508" s="902"/>
      <c r="M1508" s="903"/>
      <c r="N1508" s="81">
        <f>SUM(N1498:N1507)</f>
        <v>898000</v>
      </c>
    </row>
    <row r="1509" spans="9:16" ht="16.5" thickBot="1">
      <c r="I1509" s="885" t="s">
        <v>103</v>
      </c>
      <c r="J1509" s="886"/>
      <c r="K1509" s="886"/>
      <c r="L1509" s="886"/>
      <c r="M1509" s="887"/>
      <c r="N1509" s="69">
        <f>+N1473</f>
        <v>414962481</v>
      </c>
      <c r="O1509" s="241" t="s">
        <v>561</v>
      </c>
      <c r="P1509" s="242">
        <v>1562</v>
      </c>
    </row>
    <row r="1510" spans="9:16" ht="16.5" thickBot="1">
      <c r="I1510" s="888" t="s">
        <v>104</v>
      </c>
      <c r="J1510" s="889"/>
      <c r="K1510" s="889"/>
      <c r="L1510" s="889"/>
      <c r="M1510" s="890"/>
      <c r="N1510" s="183">
        <f>SUM(N1508:N1509)</f>
        <v>415860481</v>
      </c>
    </row>
    <row r="1511" spans="9:16">
      <c r="I1511" s="61"/>
      <c r="J1511" s="61"/>
      <c r="K1511" s="61"/>
      <c r="L1511" s="61"/>
      <c r="M1511" s="61"/>
    </row>
    <row r="1512" spans="9:16">
      <c r="I1512" s="51" t="s">
        <v>942</v>
      </c>
    </row>
    <row r="1513" spans="9:16" ht="12" customHeight="1">
      <c r="N1513" s="139"/>
    </row>
    <row r="1514" spans="9:16">
      <c r="I1514" s="50" t="s">
        <v>105</v>
      </c>
      <c r="L1514" s="146"/>
      <c r="N1514" s="139"/>
    </row>
    <row r="1515" spans="9:16" ht="13.5" customHeight="1" thickBot="1"/>
    <row r="1516" spans="9:16" ht="15.75" thickBot="1">
      <c r="I1516" s="891" t="s">
        <v>106</v>
      </c>
      <c r="J1516" s="892"/>
      <c r="K1516" s="892"/>
      <c r="L1516" s="893"/>
      <c r="N1516" s="50" t="s">
        <v>288</v>
      </c>
    </row>
    <row r="1517" spans="9:16" ht="30.75" thickBot="1">
      <c r="I1517" s="57" t="s">
        <v>100</v>
      </c>
      <c r="J1517" s="58" t="s">
        <v>108</v>
      </c>
      <c r="K1517" s="287" t="s">
        <v>109</v>
      </c>
      <c r="L1517" s="60" t="s">
        <v>110</v>
      </c>
    </row>
    <row r="1518" spans="9:16">
      <c r="I1518" s="71">
        <v>719</v>
      </c>
      <c r="J1518" s="73">
        <f>+P1498+P1500+P1502+P1504+P1506</f>
        <v>670000</v>
      </c>
      <c r="K1518" s="74">
        <f>+L1481</f>
        <v>14160000</v>
      </c>
      <c r="L1518" s="195">
        <f>+J1518+K1518</f>
        <v>14830000</v>
      </c>
    </row>
    <row r="1519" spans="9:16">
      <c r="I1519" s="72">
        <v>721</v>
      </c>
      <c r="J1519" s="80">
        <f>+P1507+P1505+P1503+P1501+P1499</f>
        <v>228000</v>
      </c>
      <c r="K1519" s="74">
        <f>+L1482</f>
        <v>4560000</v>
      </c>
      <c r="L1519" s="195">
        <f>+J1519+K1519</f>
        <v>4788000</v>
      </c>
    </row>
    <row r="1520" spans="9:16">
      <c r="I1520" s="72">
        <v>722</v>
      </c>
      <c r="J1520" s="80"/>
      <c r="K1520" s="74">
        <f>+L1483</f>
        <v>0</v>
      </c>
      <c r="L1520" s="195">
        <f>+J1520+K1520</f>
        <v>0</v>
      </c>
    </row>
    <row r="1521" spans="9:16" ht="15.75">
      <c r="I1521" s="72">
        <v>723</v>
      </c>
      <c r="J1521" s="80"/>
      <c r="K1521" s="74">
        <f>+L1484</f>
        <v>396242481</v>
      </c>
      <c r="L1521" s="195">
        <f>+J1521+K1521</f>
        <v>396242481</v>
      </c>
      <c r="N1521" s="193" t="s">
        <v>289</v>
      </c>
      <c r="O1521" s="175"/>
    </row>
    <row r="1522" spans="9:16" ht="16.5" thickBot="1">
      <c r="I1522" s="164" t="s">
        <v>181</v>
      </c>
      <c r="J1522" s="165"/>
      <c r="K1522" s="74">
        <f>+L1485</f>
        <v>0</v>
      </c>
      <c r="L1522" s="196">
        <f>+J1522+K1522</f>
        <v>0</v>
      </c>
      <c r="N1522" s="52"/>
    </row>
    <row r="1523" spans="9:16" ht="16.5" thickBot="1">
      <c r="I1523" s="169"/>
      <c r="J1523" s="197">
        <f>SUM(J1518:J1522)</f>
        <v>898000</v>
      </c>
      <c r="K1523" s="197">
        <f>SUM(K1518:K1522)</f>
        <v>414962481</v>
      </c>
      <c r="L1523" s="198">
        <f>SUM(L1518:L1522)</f>
        <v>415860481</v>
      </c>
    </row>
    <row r="1524" spans="9:16" ht="16.5">
      <c r="I1524" s="49" t="s">
        <v>88</v>
      </c>
      <c r="J1524" s="50"/>
    </row>
    <row r="1525" spans="9:16">
      <c r="I1525" s="51" t="s">
        <v>89</v>
      </c>
    </row>
    <row r="1526" spans="9:16">
      <c r="I1526" s="51" t="s">
        <v>90</v>
      </c>
    </row>
    <row r="1527" spans="9:16">
      <c r="I1527" s="51" t="s">
        <v>91</v>
      </c>
    </row>
    <row r="1528" spans="9:16" ht="10.5" customHeight="1">
      <c r="I1528" s="50"/>
      <c r="J1528" s="50"/>
    </row>
    <row r="1529" spans="9:16" ht="15.75">
      <c r="I1529" s="260" t="s">
        <v>929</v>
      </c>
      <c r="O1529" s="52"/>
    </row>
    <row r="1530" spans="9:16" ht="15.75">
      <c r="I1530" s="53" t="s">
        <v>535</v>
      </c>
      <c r="O1530" s="53"/>
    </row>
    <row r="1531" spans="9:16" ht="16.5">
      <c r="I1531" s="894" t="s">
        <v>909</v>
      </c>
      <c r="J1531" s="894"/>
      <c r="K1531" s="894"/>
      <c r="L1531" s="894"/>
      <c r="M1531" s="894"/>
      <c r="N1531" s="894"/>
      <c r="O1531" s="894"/>
      <c r="P1531" s="894"/>
    </row>
    <row r="1532" spans="9:16" ht="13.5" customHeight="1" thickBot="1"/>
    <row r="1533" spans="9:16">
      <c r="I1533" s="895" t="s">
        <v>94</v>
      </c>
      <c r="J1533" s="897" t="s">
        <v>95</v>
      </c>
      <c r="K1533" s="897" t="s">
        <v>96</v>
      </c>
      <c r="L1533" s="897" t="s">
        <v>3</v>
      </c>
      <c r="M1533" s="897" t="s">
        <v>97</v>
      </c>
      <c r="N1533" s="897" t="s">
        <v>98</v>
      </c>
      <c r="O1533" s="897" t="s">
        <v>99</v>
      </c>
      <c r="P1533" s="899"/>
    </row>
    <row r="1534" spans="9:16" ht="15.75" thickBot="1">
      <c r="I1534" s="896"/>
      <c r="J1534" s="898"/>
      <c r="K1534" s="898"/>
      <c r="L1534" s="898"/>
      <c r="M1534" s="898"/>
      <c r="N1534" s="898"/>
      <c r="O1534" s="240" t="s">
        <v>100</v>
      </c>
      <c r="P1534" s="182" t="s">
        <v>101</v>
      </c>
    </row>
    <row r="1535" spans="9:16" ht="15" customHeight="1">
      <c r="I1535" s="881">
        <v>193</v>
      </c>
      <c r="J1535" s="875">
        <v>42514</v>
      </c>
      <c r="K1535" s="877" t="s">
        <v>272</v>
      </c>
      <c r="L1535" s="879" t="s">
        <v>939</v>
      </c>
      <c r="M1535" s="881" t="s">
        <v>115</v>
      </c>
      <c r="N1535" s="883">
        <v>120000</v>
      </c>
      <c r="O1535" s="55">
        <v>719</v>
      </c>
      <c r="P1535" s="78">
        <v>120000</v>
      </c>
    </row>
    <row r="1536" spans="9:16" ht="15.75" customHeight="1" thickBot="1">
      <c r="I1536" s="882"/>
      <c r="J1536" s="876"/>
      <c r="K1536" s="878"/>
      <c r="L1536" s="880"/>
      <c r="M1536" s="882"/>
      <c r="N1536" s="884"/>
      <c r="O1536" s="56">
        <v>721</v>
      </c>
      <c r="P1536" s="79">
        <f>+N1535-P1535</f>
        <v>0</v>
      </c>
    </row>
    <row r="1537" spans="9:16" ht="15" customHeight="1">
      <c r="I1537" s="881"/>
      <c r="J1537" s="875"/>
      <c r="K1537" s="881"/>
      <c r="L1537" s="879"/>
      <c r="M1537" s="881"/>
      <c r="N1537" s="883"/>
      <c r="O1537" s="55">
        <v>719</v>
      </c>
      <c r="P1537" s="78"/>
    </row>
    <row r="1538" spans="9:16" ht="15.75" customHeight="1" thickBot="1">
      <c r="I1538" s="882"/>
      <c r="J1538" s="876"/>
      <c r="K1538" s="882"/>
      <c r="L1538" s="880"/>
      <c r="M1538" s="882"/>
      <c r="N1538" s="884"/>
      <c r="O1538" s="56">
        <v>721</v>
      </c>
      <c r="P1538" s="79">
        <f>+N1537-P1537</f>
        <v>0</v>
      </c>
    </row>
    <row r="1539" spans="9:16" ht="15" customHeight="1">
      <c r="I1539" s="881"/>
      <c r="J1539" s="875"/>
      <c r="K1539" s="877"/>
      <c r="L1539" s="881"/>
      <c r="M1539" s="881"/>
      <c r="N1539" s="883"/>
      <c r="O1539" s="55">
        <v>719</v>
      </c>
      <c r="P1539" s="78"/>
    </row>
    <row r="1540" spans="9:16" ht="15.75" customHeight="1" thickBot="1">
      <c r="I1540" s="882"/>
      <c r="J1540" s="876"/>
      <c r="K1540" s="878"/>
      <c r="L1540" s="882"/>
      <c r="M1540" s="882"/>
      <c r="N1540" s="884"/>
      <c r="O1540" s="56">
        <v>721</v>
      </c>
      <c r="P1540" s="79">
        <f>+N1539-P1539</f>
        <v>0</v>
      </c>
    </row>
    <row r="1541" spans="9:16">
      <c r="I1541" s="881"/>
      <c r="J1541" s="875"/>
      <c r="K1541" s="877"/>
      <c r="L1541" s="879"/>
      <c r="M1541" s="881"/>
      <c r="N1541" s="883"/>
      <c r="O1541" s="55">
        <v>719</v>
      </c>
      <c r="P1541" s="78"/>
    </row>
    <row r="1542" spans="9:16" ht="15.75" thickBot="1">
      <c r="I1542" s="882"/>
      <c r="J1542" s="876"/>
      <c r="K1542" s="878"/>
      <c r="L1542" s="880"/>
      <c r="M1542" s="882"/>
      <c r="N1542" s="884"/>
      <c r="O1542" s="56">
        <v>721</v>
      </c>
      <c r="P1542" s="79">
        <f>+N1541-P1541</f>
        <v>0</v>
      </c>
    </row>
    <row r="1543" spans="9:16">
      <c r="I1543" s="881"/>
      <c r="J1543" s="875"/>
      <c r="K1543" s="877"/>
      <c r="L1543" s="881"/>
      <c r="M1543" s="881"/>
      <c r="N1543" s="883"/>
      <c r="O1543" s="55">
        <v>719</v>
      </c>
      <c r="P1543" s="78"/>
    </row>
    <row r="1544" spans="9:16" ht="15.75" thickBot="1">
      <c r="I1544" s="882"/>
      <c r="J1544" s="876"/>
      <c r="K1544" s="878"/>
      <c r="L1544" s="882"/>
      <c r="M1544" s="882"/>
      <c r="N1544" s="884"/>
      <c r="O1544" s="56">
        <v>721</v>
      </c>
      <c r="P1544" s="79">
        <f>+N1543-P1543</f>
        <v>0</v>
      </c>
    </row>
    <row r="1545" spans="9:16" ht="16.5" thickBot="1">
      <c r="I1545" s="901" t="s">
        <v>102</v>
      </c>
      <c r="J1545" s="902"/>
      <c r="K1545" s="902"/>
      <c r="L1545" s="902"/>
      <c r="M1545" s="903"/>
      <c r="N1545" s="81">
        <f>SUM(N1535:N1544)</f>
        <v>120000</v>
      </c>
    </row>
    <row r="1546" spans="9:16" ht="16.5" thickBot="1">
      <c r="I1546" s="885" t="s">
        <v>103</v>
      </c>
      <c r="J1546" s="886"/>
      <c r="K1546" s="886"/>
      <c r="L1546" s="886"/>
      <c r="M1546" s="887"/>
      <c r="N1546" s="69">
        <f>+N1510</f>
        <v>415860481</v>
      </c>
      <c r="O1546" s="241" t="s">
        <v>561</v>
      </c>
      <c r="P1546" s="242">
        <v>427</v>
      </c>
    </row>
    <row r="1547" spans="9:16" ht="16.5" thickBot="1">
      <c r="I1547" s="888" t="s">
        <v>104</v>
      </c>
      <c r="J1547" s="889"/>
      <c r="K1547" s="889"/>
      <c r="L1547" s="889"/>
      <c r="M1547" s="890"/>
      <c r="N1547" s="183">
        <f>SUM(N1545:N1546)</f>
        <v>415980481</v>
      </c>
    </row>
    <row r="1548" spans="9:16">
      <c r="I1548" s="61"/>
      <c r="J1548" s="61"/>
      <c r="K1548" s="61"/>
      <c r="L1548" s="61"/>
      <c r="M1548" s="61"/>
    </row>
    <row r="1549" spans="9:16">
      <c r="I1549" s="51" t="s">
        <v>943</v>
      </c>
    </row>
    <row r="1550" spans="9:16">
      <c r="N1550" s="139"/>
    </row>
    <row r="1551" spans="9:16">
      <c r="I1551" s="50" t="s">
        <v>105</v>
      </c>
      <c r="L1551" s="146"/>
      <c r="N1551" s="139"/>
    </row>
    <row r="1552" spans="9:16" ht="13.5" customHeight="1" thickBot="1"/>
    <row r="1553" spans="9:16" ht="15.75" thickBot="1">
      <c r="I1553" s="891" t="s">
        <v>106</v>
      </c>
      <c r="J1553" s="892"/>
      <c r="K1553" s="892"/>
      <c r="L1553" s="893"/>
      <c r="N1553" s="50" t="s">
        <v>288</v>
      </c>
    </row>
    <row r="1554" spans="9:16" ht="30.75" thickBot="1">
      <c r="I1554" s="57" t="s">
        <v>100</v>
      </c>
      <c r="J1554" s="58" t="s">
        <v>108</v>
      </c>
      <c r="K1554" s="287" t="s">
        <v>109</v>
      </c>
      <c r="L1554" s="60" t="s">
        <v>110</v>
      </c>
    </row>
    <row r="1555" spans="9:16">
      <c r="I1555" s="71">
        <v>719</v>
      </c>
      <c r="J1555" s="73">
        <f>+P1535+P1537+P1539+P1541+P1543</f>
        <v>120000</v>
      </c>
      <c r="K1555" s="74">
        <f>+L1518</f>
        <v>14830000</v>
      </c>
      <c r="L1555" s="195">
        <f>+J1555+K1555</f>
        <v>14950000</v>
      </c>
    </row>
    <row r="1556" spans="9:16">
      <c r="I1556" s="72">
        <v>721</v>
      </c>
      <c r="J1556" s="80">
        <v>0</v>
      </c>
      <c r="K1556" s="74">
        <f>+L1519</f>
        <v>4788000</v>
      </c>
      <c r="L1556" s="195">
        <f>+J1556+K1556</f>
        <v>4788000</v>
      </c>
    </row>
    <row r="1557" spans="9:16">
      <c r="I1557" s="72">
        <v>722</v>
      </c>
      <c r="J1557" s="80"/>
      <c r="K1557" s="74">
        <f>+L1520</f>
        <v>0</v>
      </c>
      <c r="L1557" s="195">
        <f>+J1557+K1557</f>
        <v>0</v>
      </c>
    </row>
    <row r="1558" spans="9:16" ht="15.75">
      <c r="I1558" s="72">
        <v>723</v>
      </c>
      <c r="J1558" s="80">
        <f>+P1544+P1542+P1540+P1538+P1536</f>
        <v>0</v>
      </c>
      <c r="K1558" s="74">
        <f>+L1521</f>
        <v>396242481</v>
      </c>
      <c r="L1558" s="195">
        <f>+J1558+K1558</f>
        <v>396242481</v>
      </c>
      <c r="N1558" s="193" t="s">
        <v>289</v>
      </c>
      <c r="O1558" s="175"/>
    </row>
    <row r="1559" spans="9:16" ht="16.5" thickBot="1">
      <c r="I1559" s="164" t="s">
        <v>181</v>
      </c>
      <c r="J1559" s="165"/>
      <c r="K1559" s="74">
        <f>+L1522</f>
        <v>0</v>
      </c>
      <c r="L1559" s="196">
        <f>+J1559+K1559</f>
        <v>0</v>
      </c>
      <c r="N1559" s="52"/>
    </row>
    <row r="1560" spans="9:16" ht="16.5" thickBot="1">
      <c r="I1560" s="169"/>
      <c r="J1560" s="197">
        <f>SUM(J1555:J1559)</f>
        <v>120000</v>
      </c>
      <c r="K1560" s="197">
        <f>SUM(K1555:K1559)</f>
        <v>415860481</v>
      </c>
      <c r="L1560" s="198">
        <f>SUM(L1555:L1559)</f>
        <v>415980481</v>
      </c>
    </row>
    <row r="1561" spans="9:16" ht="16.5">
      <c r="I1561" s="49" t="s">
        <v>88</v>
      </c>
      <c r="J1561" s="50"/>
    </row>
    <row r="1562" spans="9:16">
      <c r="I1562" s="51" t="s">
        <v>89</v>
      </c>
    </row>
    <row r="1563" spans="9:16">
      <c r="I1563" s="51" t="s">
        <v>90</v>
      </c>
    </row>
    <row r="1564" spans="9:16">
      <c r="I1564" s="51" t="s">
        <v>91</v>
      </c>
    </row>
    <row r="1565" spans="9:16" ht="12" customHeight="1">
      <c r="I1565" s="50"/>
      <c r="J1565" s="50"/>
    </row>
    <row r="1566" spans="9:16" ht="15.75">
      <c r="I1566" s="260" t="s">
        <v>944</v>
      </c>
      <c r="O1566" s="52"/>
    </row>
    <row r="1567" spans="9:16" ht="15.75">
      <c r="I1567" s="53" t="s">
        <v>535</v>
      </c>
      <c r="O1567" s="53"/>
    </row>
    <row r="1568" spans="9:16" ht="16.5">
      <c r="I1568" s="894" t="s">
        <v>909</v>
      </c>
      <c r="J1568" s="894"/>
      <c r="K1568" s="894"/>
      <c r="L1568" s="894"/>
      <c r="M1568" s="894"/>
      <c r="N1568" s="894"/>
      <c r="O1568" s="894"/>
      <c r="P1568" s="894"/>
    </row>
    <row r="1569" spans="9:16" ht="15.75" thickBot="1"/>
    <row r="1570" spans="9:16">
      <c r="I1570" s="895" t="s">
        <v>94</v>
      </c>
      <c r="J1570" s="897" t="s">
        <v>95</v>
      </c>
      <c r="K1570" s="897" t="s">
        <v>96</v>
      </c>
      <c r="L1570" s="897" t="s">
        <v>3</v>
      </c>
      <c r="M1570" s="897" t="s">
        <v>97</v>
      </c>
      <c r="N1570" s="897" t="s">
        <v>98</v>
      </c>
      <c r="O1570" s="897" t="s">
        <v>99</v>
      </c>
      <c r="P1570" s="899"/>
    </row>
    <row r="1571" spans="9:16" ht="15.75" thickBot="1">
      <c r="I1571" s="896"/>
      <c r="J1571" s="898"/>
      <c r="K1571" s="898"/>
      <c r="L1571" s="898"/>
      <c r="M1571" s="898"/>
      <c r="N1571" s="898"/>
      <c r="O1571" s="240" t="s">
        <v>100</v>
      </c>
      <c r="P1571" s="182" t="s">
        <v>101</v>
      </c>
    </row>
    <row r="1572" spans="9:16">
      <c r="I1572" s="881">
        <v>194</v>
      </c>
      <c r="J1572" s="875">
        <v>42515</v>
      </c>
      <c r="K1572" s="877" t="s">
        <v>272</v>
      </c>
      <c r="L1572" s="879" t="s">
        <v>945</v>
      </c>
      <c r="M1572" s="881" t="s">
        <v>115</v>
      </c>
      <c r="N1572" s="883">
        <v>100000</v>
      </c>
      <c r="O1572" s="55">
        <v>719</v>
      </c>
      <c r="P1572" s="78">
        <v>100000</v>
      </c>
    </row>
    <row r="1573" spans="9:16" ht="15.75" thickBot="1">
      <c r="I1573" s="882"/>
      <c r="J1573" s="876"/>
      <c r="K1573" s="878"/>
      <c r="L1573" s="880"/>
      <c r="M1573" s="882"/>
      <c r="N1573" s="884"/>
      <c r="O1573" s="56">
        <v>721</v>
      </c>
      <c r="P1573" s="79">
        <f>+N1572-P1572</f>
        <v>0</v>
      </c>
    </row>
    <row r="1574" spans="9:16" ht="15" customHeight="1">
      <c r="I1574" s="881">
        <v>195</v>
      </c>
      <c r="J1574" s="875">
        <v>42515</v>
      </c>
      <c r="K1574" s="877" t="s">
        <v>28</v>
      </c>
      <c r="L1574" s="879" t="s">
        <v>946</v>
      </c>
      <c r="M1574" s="881" t="s">
        <v>115</v>
      </c>
      <c r="N1574" s="883">
        <v>70000</v>
      </c>
      <c r="O1574" s="55">
        <v>719</v>
      </c>
      <c r="P1574" s="78">
        <v>70000</v>
      </c>
    </row>
    <row r="1575" spans="9:16" ht="15.75" customHeight="1" thickBot="1">
      <c r="I1575" s="882"/>
      <c r="J1575" s="876"/>
      <c r="K1575" s="878"/>
      <c r="L1575" s="880"/>
      <c r="M1575" s="882"/>
      <c r="N1575" s="884"/>
      <c r="O1575" s="56">
        <v>721</v>
      </c>
      <c r="P1575" s="79">
        <f>+N1574-P1574</f>
        <v>0</v>
      </c>
    </row>
    <row r="1576" spans="9:16">
      <c r="I1576" s="881"/>
      <c r="J1576" s="875"/>
      <c r="K1576" s="877"/>
      <c r="L1576" s="881"/>
      <c r="M1576" s="881"/>
      <c r="N1576" s="883"/>
      <c r="O1576" s="55">
        <v>719</v>
      </c>
      <c r="P1576" s="78"/>
    </row>
    <row r="1577" spans="9:16" ht="15.75" thickBot="1">
      <c r="I1577" s="882"/>
      <c r="J1577" s="876"/>
      <c r="K1577" s="878"/>
      <c r="L1577" s="882"/>
      <c r="M1577" s="882"/>
      <c r="N1577" s="884"/>
      <c r="O1577" s="56">
        <v>721</v>
      </c>
      <c r="P1577" s="79">
        <f>+N1576-P1576</f>
        <v>0</v>
      </c>
    </row>
    <row r="1578" spans="9:16">
      <c r="I1578" s="881"/>
      <c r="J1578" s="875"/>
      <c r="K1578" s="877"/>
      <c r="L1578" s="879"/>
      <c r="M1578" s="881"/>
      <c r="N1578" s="883"/>
      <c r="O1578" s="55">
        <v>719</v>
      </c>
      <c r="P1578" s="78"/>
    </row>
    <row r="1579" spans="9:16" ht="15.75" thickBot="1">
      <c r="I1579" s="882"/>
      <c r="J1579" s="876"/>
      <c r="K1579" s="878"/>
      <c r="L1579" s="880"/>
      <c r="M1579" s="882"/>
      <c r="N1579" s="884"/>
      <c r="O1579" s="56">
        <v>721</v>
      </c>
      <c r="P1579" s="79">
        <f>+N1578-P1578</f>
        <v>0</v>
      </c>
    </row>
    <row r="1580" spans="9:16">
      <c r="I1580" s="881"/>
      <c r="J1580" s="875"/>
      <c r="K1580" s="877"/>
      <c r="L1580" s="881"/>
      <c r="M1580" s="881"/>
      <c r="N1580" s="883"/>
      <c r="O1580" s="55">
        <v>719</v>
      </c>
      <c r="P1580" s="78"/>
    </row>
    <row r="1581" spans="9:16" ht="15.75" thickBot="1">
      <c r="I1581" s="882"/>
      <c r="J1581" s="876"/>
      <c r="K1581" s="878"/>
      <c r="L1581" s="882"/>
      <c r="M1581" s="882"/>
      <c r="N1581" s="884"/>
      <c r="O1581" s="56">
        <v>721</v>
      </c>
      <c r="P1581" s="79">
        <f>+N1580-P1580</f>
        <v>0</v>
      </c>
    </row>
    <row r="1582" spans="9:16" ht="16.5" thickBot="1">
      <c r="I1582" s="901" t="s">
        <v>102</v>
      </c>
      <c r="J1582" s="902"/>
      <c r="K1582" s="902"/>
      <c r="L1582" s="902"/>
      <c r="M1582" s="903"/>
      <c r="N1582" s="81">
        <f>SUM(N1572:N1581)</f>
        <v>170000</v>
      </c>
    </row>
    <row r="1583" spans="9:16" ht="16.5" thickBot="1">
      <c r="I1583" s="885" t="s">
        <v>103</v>
      </c>
      <c r="J1583" s="886"/>
      <c r="K1583" s="886"/>
      <c r="L1583" s="886"/>
      <c r="M1583" s="887"/>
      <c r="N1583" s="69">
        <f>+N1547</f>
        <v>415980481</v>
      </c>
      <c r="O1583" s="241" t="s">
        <v>561</v>
      </c>
      <c r="P1583" s="242">
        <f>108+281</f>
        <v>389</v>
      </c>
    </row>
    <row r="1584" spans="9:16" ht="16.5" thickBot="1">
      <c r="I1584" s="888" t="s">
        <v>104</v>
      </c>
      <c r="J1584" s="889"/>
      <c r="K1584" s="889"/>
      <c r="L1584" s="889"/>
      <c r="M1584" s="890"/>
      <c r="N1584" s="183">
        <f>SUM(N1582:N1583)</f>
        <v>416150481</v>
      </c>
    </row>
    <row r="1585" spans="9:15">
      <c r="I1585" s="61"/>
      <c r="J1585" s="61"/>
      <c r="K1585" s="61"/>
      <c r="L1585" s="61"/>
      <c r="M1585" s="61"/>
    </row>
    <row r="1586" spans="9:15">
      <c r="I1586" s="51" t="s">
        <v>947</v>
      </c>
    </row>
    <row r="1587" spans="9:15" ht="12.75" customHeight="1">
      <c r="N1587" s="139"/>
    </row>
    <row r="1588" spans="9:15">
      <c r="I1588" s="50" t="s">
        <v>105</v>
      </c>
      <c r="L1588" s="146"/>
      <c r="N1588" s="139"/>
    </row>
    <row r="1589" spans="9:15" ht="10.5" customHeight="1" thickBot="1"/>
    <row r="1590" spans="9:15" ht="15.75" thickBot="1">
      <c r="I1590" s="891" t="s">
        <v>106</v>
      </c>
      <c r="J1590" s="892"/>
      <c r="K1590" s="892"/>
      <c r="L1590" s="893"/>
      <c r="N1590" s="50" t="s">
        <v>288</v>
      </c>
    </row>
    <row r="1591" spans="9:15" ht="30.75" thickBot="1">
      <c r="I1591" s="57" t="s">
        <v>100</v>
      </c>
      <c r="J1591" s="58" t="s">
        <v>108</v>
      </c>
      <c r="K1591" s="287" t="s">
        <v>109</v>
      </c>
      <c r="L1591" s="60" t="s">
        <v>110</v>
      </c>
    </row>
    <row r="1592" spans="9:15">
      <c r="I1592" s="71">
        <v>719</v>
      </c>
      <c r="J1592" s="73">
        <f>+P1572+P1574+P1576+P1578+P1580</f>
        <v>170000</v>
      </c>
      <c r="K1592" s="74">
        <f>+L1555</f>
        <v>14950000</v>
      </c>
      <c r="L1592" s="195">
        <f>+J1592+K1592</f>
        <v>15120000</v>
      </c>
    </row>
    <row r="1593" spans="9:15">
      <c r="I1593" s="72">
        <v>721</v>
      </c>
      <c r="J1593" s="80">
        <v>0</v>
      </c>
      <c r="K1593" s="74">
        <f>+L1556</f>
        <v>4788000</v>
      </c>
      <c r="L1593" s="195">
        <f>+J1593+K1593</f>
        <v>4788000</v>
      </c>
    </row>
    <row r="1594" spans="9:15">
      <c r="I1594" s="72">
        <v>722</v>
      </c>
      <c r="J1594" s="80"/>
      <c r="K1594" s="74">
        <f>+L1557</f>
        <v>0</v>
      </c>
      <c r="L1594" s="195">
        <f>+J1594+K1594</f>
        <v>0</v>
      </c>
    </row>
    <row r="1595" spans="9:15" ht="15.75">
      <c r="I1595" s="72">
        <v>723</v>
      </c>
      <c r="J1595" s="80">
        <f>+P1581+P1579+P1577+P1575+P1573</f>
        <v>0</v>
      </c>
      <c r="K1595" s="74">
        <f>+L1558</f>
        <v>396242481</v>
      </c>
      <c r="L1595" s="195">
        <f>+J1595+K1595</f>
        <v>396242481</v>
      </c>
      <c r="N1595" s="193" t="s">
        <v>289</v>
      </c>
      <c r="O1595" s="175"/>
    </row>
    <row r="1596" spans="9:15" ht="16.5" thickBot="1">
      <c r="I1596" s="164" t="s">
        <v>181</v>
      </c>
      <c r="J1596" s="165"/>
      <c r="K1596" s="74">
        <f>+L1559</f>
        <v>0</v>
      </c>
      <c r="L1596" s="196">
        <f>+J1596+K1596</f>
        <v>0</v>
      </c>
      <c r="N1596" s="52"/>
    </row>
    <row r="1597" spans="9:15" ht="16.5" thickBot="1">
      <c r="I1597" s="169"/>
      <c r="J1597" s="197">
        <f>SUM(J1592:J1596)</f>
        <v>170000</v>
      </c>
      <c r="K1597" s="197">
        <f>SUM(K1592:K1596)</f>
        <v>415980481</v>
      </c>
      <c r="L1597" s="198">
        <f>SUM(L1592:L1596)</f>
        <v>416150481</v>
      </c>
    </row>
    <row r="1598" spans="9:15" ht="16.5">
      <c r="I1598" s="49" t="s">
        <v>88</v>
      </c>
      <c r="J1598" s="50"/>
    </row>
    <row r="1599" spans="9:15">
      <c r="I1599" s="51" t="s">
        <v>89</v>
      </c>
    </row>
    <row r="1600" spans="9:15">
      <c r="I1600" s="51" t="s">
        <v>90</v>
      </c>
    </row>
    <row r="1601" spans="9:16">
      <c r="I1601" s="51" t="s">
        <v>91</v>
      </c>
    </row>
    <row r="1602" spans="9:16" ht="12" customHeight="1">
      <c r="I1602" s="50"/>
      <c r="J1602" s="50"/>
    </row>
    <row r="1603" spans="9:16" ht="15.75">
      <c r="I1603" s="260" t="s">
        <v>948</v>
      </c>
      <c r="O1603" s="52"/>
    </row>
    <row r="1604" spans="9:16" ht="15.75">
      <c r="I1604" s="53" t="s">
        <v>535</v>
      </c>
      <c r="O1604" s="53"/>
    </row>
    <row r="1605" spans="9:16" ht="16.5">
      <c r="I1605" s="894" t="s">
        <v>909</v>
      </c>
      <c r="J1605" s="894"/>
      <c r="K1605" s="894"/>
      <c r="L1605" s="894"/>
      <c r="M1605" s="894"/>
      <c r="N1605" s="894"/>
      <c r="O1605" s="894"/>
      <c r="P1605" s="894"/>
    </row>
    <row r="1606" spans="9:16" ht="15.75" thickBot="1"/>
    <row r="1607" spans="9:16">
      <c r="I1607" s="895" t="s">
        <v>94</v>
      </c>
      <c r="J1607" s="897" t="s">
        <v>95</v>
      </c>
      <c r="K1607" s="897" t="s">
        <v>96</v>
      </c>
      <c r="L1607" s="897" t="s">
        <v>3</v>
      </c>
      <c r="M1607" s="897" t="s">
        <v>97</v>
      </c>
      <c r="N1607" s="897" t="s">
        <v>98</v>
      </c>
      <c r="O1607" s="897" t="s">
        <v>99</v>
      </c>
      <c r="P1607" s="899"/>
    </row>
    <row r="1608" spans="9:16" ht="15.75" thickBot="1">
      <c r="I1608" s="896"/>
      <c r="J1608" s="898"/>
      <c r="K1608" s="898"/>
      <c r="L1608" s="898"/>
      <c r="M1608" s="898"/>
      <c r="N1608" s="898"/>
      <c r="O1608" s="240" t="s">
        <v>100</v>
      </c>
      <c r="P1608" s="182" t="s">
        <v>101</v>
      </c>
    </row>
    <row r="1609" spans="9:16">
      <c r="I1609" s="881">
        <v>196</v>
      </c>
      <c r="J1609" s="875">
        <v>42520</v>
      </c>
      <c r="K1609" s="877" t="s">
        <v>272</v>
      </c>
      <c r="L1609" s="879" t="s">
        <v>951</v>
      </c>
      <c r="M1609" s="881" t="s">
        <v>115</v>
      </c>
      <c r="N1609" s="883">
        <v>140000</v>
      </c>
      <c r="O1609" s="55">
        <v>719</v>
      </c>
      <c r="P1609" s="78">
        <v>140000</v>
      </c>
    </row>
    <row r="1610" spans="9:16" ht="15.75" thickBot="1">
      <c r="I1610" s="882"/>
      <c r="J1610" s="876"/>
      <c r="K1610" s="878"/>
      <c r="L1610" s="880"/>
      <c r="M1610" s="882"/>
      <c r="N1610" s="884"/>
      <c r="O1610" s="56">
        <v>721</v>
      </c>
      <c r="P1610" s="79">
        <f>+N1609-P1609</f>
        <v>0</v>
      </c>
    </row>
    <row r="1611" spans="9:16">
      <c r="I1611" s="881">
        <v>197</v>
      </c>
      <c r="J1611" s="875">
        <v>42520</v>
      </c>
      <c r="K1611" s="877" t="s">
        <v>28</v>
      </c>
      <c r="L1611" s="879" t="s">
        <v>952</v>
      </c>
      <c r="M1611" s="881" t="s">
        <v>115</v>
      </c>
      <c r="N1611" s="883">
        <v>60000</v>
      </c>
      <c r="O1611" s="55">
        <v>719</v>
      </c>
      <c r="P1611" s="78">
        <v>60000</v>
      </c>
    </row>
    <row r="1612" spans="9:16" ht="15.75" thickBot="1">
      <c r="I1612" s="882"/>
      <c r="J1612" s="876"/>
      <c r="K1612" s="878"/>
      <c r="L1612" s="880"/>
      <c r="M1612" s="882"/>
      <c r="N1612" s="884"/>
      <c r="O1612" s="56">
        <v>721</v>
      </c>
      <c r="P1612" s="79">
        <f>+N1611-P1611</f>
        <v>0</v>
      </c>
    </row>
    <row r="1613" spans="9:16" ht="15" customHeight="1">
      <c r="I1613" s="881">
        <v>198</v>
      </c>
      <c r="J1613" s="875">
        <v>42520</v>
      </c>
      <c r="K1613" s="877" t="s">
        <v>120</v>
      </c>
      <c r="L1613" s="879" t="s">
        <v>953</v>
      </c>
      <c r="M1613" s="881" t="s">
        <v>115</v>
      </c>
      <c r="N1613" s="883">
        <v>60000</v>
      </c>
      <c r="O1613" s="55">
        <v>719</v>
      </c>
      <c r="P1613" s="78">
        <v>60000</v>
      </c>
    </row>
    <row r="1614" spans="9:16" ht="15.75" customHeight="1" thickBot="1">
      <c r="I1614" s="882"/>
      <c r="J1614" s="876"/>
      <c r="K1614" s="878"/>
      <c r="L1614" s="880"/>
      <c r="M1614" s="882"/>
      <c r="N1614" s="884"/>
      <c r="O1614" s="56">
        <v>721</v>
      </c>
      <c r="P1614" s="79">
        <f>+N1613-P1613</f>
        <v>0</v>
      </c>
    </row>
    <row r="1615" spans="9:16">
      <c r="I1615" s="881"/>
      <c r="J1615" s="875"/>
      <c r="K1615" s="877"/>
      <c r="L1615" s="879"/>
      <c r="M1615" s="881"/>
      <c r="N1615" s="883"/>
      <c r="O1615" s="55">
        <v>719</v>
      </c>
      <c r="P1615" s="78"/>
    </row>
    <row r="1616" spans="9:16" ht="15.75" thickBot="1">
      <c r="I1616" s="882"/>
      <c r="J1616" s="876"/>
      <c r="K1616" s="878"/>
      <c r="L1616" s="880"/>
      <c r="M1616" s="882"/>
      <c r="N1616" s="884"/>
      <c r="O1616" s="56">
        <v>721</v>
      </c>
      <c r="P1616" s="79">
        <f>+N1615-P1615</f>
        <v>0</v>
      </c>
    </row>
    <row r="1617" spans="9:16">
      <c r="I1617" s="881"/>
      <c r="J1617" s="875"/>
      <c r="K1617" s="877"/>
      <c r="L1617" s="881"/>
      <c r="M1617" s="881"/>
      <c r="N1617" s="883"/>
      <c r="O1617" s="55">
        <v>719</v>
      </c>
      <c r="P1617" s="78"/>
    </row>
    <row r="1618" spans="9:16" ht="15.75" thickBot="1">
      <c r="I1618" s="882"/>
      <c r="J1618" s="876"/>
      <c r="K1618" s="878"/>
      <c r="L1618" s="882"/>
      <c r="M1618" s="882"/>
      <c r="N1618" s="884"/>
      <c r="O1618" s="56">
        <v>721</v>
      </c>
      <c r="P1618" s="79">
        <f>+N1617-P1617</f>
        <v>0</v>
      </c>
    </row>
    <row r="1619" spans="9:16" ht="16.5" thickBot="1">
      <c r="I1619" s="901" t="s">
        <v>102</v>
      </c>
      <c r="J1619" s="902"/>
      <c r="K1619" s="902"/>
      <c r="L1619" s="902"/>
      <c r="M1619" s="903"/>
      <c r="N1619" s="81">
        <f>SUM(N1609:N1618)</f>
        <v>260000</v>
      </c>
    </row>
    <row r="1620" spans="9:16" ht="16.5" thickBot="1">
      <c r="I1620" s="885" t="s">
        <v>103</v>
      </c>
      <c r="J1620" s="886"/>
      <c r="K1620" s="886"/>
      <c r="L1620" s="886"/>
      <c r="M1620" s="887"/>
      <c r="N1620" s="69">
        <f>+N1584</f>
        <v>416150481</v>
      </c>
      <c r="O1620" s="241" t="s">
        <v>561</v>
      </c>
      <c r="P1620" s="242">
        <f>108+281</f>
        <v>389</v>
      </c>
    </row>
    <row r="1621" spans="9:16" ht="16.5" thickBot="1">
      <c r="I1621" s="888" t="s">
        <v>104</v>
      </c>
      <c r="J1621" s="889"/>
      <c r="K1621" s="889"/>
      <c r="L1621" s="889"/>
      <c r="M1621" s="890"/>
      <c r="N1621" s="183">
        <f>SUM(N1619:N1620)</f>
        <v>416410481</v>
      </c>
    </row>
    <row r="1622" spans="9:16">
      <c r="I1622" s="61"/>
      <c r="J1622" s="61"/>
      <c r="K1622" s="61"/>
      <c r="L1622" s="61"/>
      <c r="M1622" s="61"/>
    </row>
    <row r="1623" spans="9:16">
      <c r="I1623" s="51" t="s">
        <v>954</v>
      </c>
    </row>
    <row r="1624" spans="9:16" ht="12.75" customHeight="1">
      <c r="N1624" s="139"/>
    </row>
    <row r="1625" spans="9:16">
      <c r="I1625" s="50" t="s">
        <v>105</v>
      </c>
      <c r="L1625" s="146"/>
      <c r="N1625" s="139"/>
    </row>
    <row r="1626" spans="9:16" ht="11.25" customHeight="1" thickBot="1"/>
    <row r="1627" spans="9:16" ht="15.75" thickBot="1">
      <c r="I1627" s="891" t="s">
        <v>106</v>
      </c>
      <c r="J1627" s="892"/>
      <c r="K1627" s="892"/>
      <c r="L1627" s="893"/>
      <c r="N1627" s="50" t="s">
        <v>288</v>
      </c>
    </row>
    <row r="1628" spans="9:16" ht="30.75" thickBot="1">
      <c r="I1628" s="57" t="s">
        <v>100</v>
      </c>
      <c r="J1628" s="58" t="s">
        <v>108</v>
      </c>
      <c r="K1628" s="287" t="s">
        <v>109</v>
      </c>
      <c r="L1628" s="60" t="s">
        <v>110</v>
      </c>
    </row>
    <row r="1629" spans="9:16">
      <c r="I1629" s="71">
        <v>719</v>
      </c>
      <c r="J1629" s="73">
        <f>+P1609+P1611+P1613+P1615+P1617</f>
        <v>260000</v>
      </c>
      <c r="K1629" s="74">
        <f>+L1592</f>
        <v>15120000</v>
      </c>
      <c r="L1629" s="195">
        <f>+J1629+K1629</f>
        <v>15380000</v>
      </c>
    </row>
    <row r="1630" spans="9:16">
      <c r="I1630" s="72">
        <v>721</v>
      </c>
      <c r="J1630" s="80">
        <v>0</v>
      </c>
      <c r="K1630" s="74">
        <f>+L1593</f>
        <v>4788000</v>
      </c>
      <c r="L1630" s="195">
        <f>+J1630+K1630</f>
        <v>4788000</v>
      </c>
    </row>
    <row r="1631" spans="9:16">
      <c r="I1631" s="72">
        <v>722</v>
      </c>
      <c r="J1631" s="80"/>
      <c r="K1631" s="74">
        <f>+L1594</f>
        <v>0</v>
      </c>
      <c r="L1631" s="195">
        <f>+J1631+K1631</f>
        <v>0</v>
      </c>
    </row>
    <row r="1632" spans="9:16" ht="15.75">
      <c r="I1632" s="72">
        <v>723</v>
      </c>
      <c r="J1632" s="80">
        <f>+P1618+P1616+P1614+P1612+P1610</f>
        <v>0</v>
      </c>
      <c r="K1632" s="74">
        <f>+L1595</f>
        <v>396242481</v>
      </c>
      <c r="L1632" s="195">
        <f>+J1632+K1632</f>
        <v>396242481</v>
      </c>
      <c r="N1632" s="193" t="s">
        <v>289</v>
      </c>
      <c r="O1632" s="175"/>
    </row>
    <row r="1633" spans="9:16" ht="16.5" thickBot="1">
      <c r="I1633" s="164" t="s">
        <v>181</v>
      </c>
      <c r="J1633" s="165"/>
      <c r="K1633" s="74">
        <f>+L1596</f>
        <v>0</v>
      </c>
      <c r="L1633" s="196">
        <f>+J1633+K1633</f>
        <v>0</v>
      </c>
      <c r="N1633" s="52"/>
    </row>
    <row r="1634" spans="9:16" ht="16.5" thickBot="1">
      <c r="I1634" s="169"/>
      <c r="J1634" s="197">
        <f>SUM(J1629:J1633)</f>
        <v>260000</v>
      </c>
      <c r="K1634" s="197">
        <f>SUM(K1629:K1633)</f>
        <v>416150481</v>
      </c>
      <c r="L1634" s="198">
        <f>SUM(L1629:L1633)</f>
        <v>416410481</v>
      </c>
    </row>
    <row r="1635" spans="9:16" ht="16.5">
      <c r="I1635" s="49" t="s">
        <v>88</v>
      </c>
      <c r="J1635" s="50"/>
    </row>
    <row r="1636" spans="9:16">
      <c r="I1636" s="51" t="s">
        <v>89</v>
      </c>
    </row>
    <row r="1637" spans="9:16">
      <c r="I1637" s="51" t="s">
        <v>90</v>
      </c>
    </row>
    <row r="1638" spans="9:16">
      <c r="I1638" s="51" t="s">
        <v>91</v>
      </c>
    </row>
    <row r="1639" spans="9:16" ht="12" customHeight="1">
      <c r="I1639" s="50"/>
      <c r="J1639" s="50"/>
    </row>
    <row r="1640" spans="9:16" ht="15.75">
      <c r="I1640" s="260" t="s">
        <v>949</v>
      </c>
      <c r="O1640" s="52"/>
    </row>
    <row r="1641" spans="9:16" ht="15.75">
      <c r="I1641" s="53" t="s">
        <v>535</v>
      </c>
      <c r="O1641" s="53"/>
    </row>
    <row r="1642" spans="9:16" ht="16.5">
      <c r="I1642" s="894" t="s">
        <v>909</v>
      </c>
      <c r="J1642" s="894"/>
      <c r="K1642" s="894"/>
      <c r="L1642" s="894"/>
      <c r="M1642" s="894"/>
      <c r="N1642" s="894"/>
      <c r="O1642" s="894"/>
      <c r="P1642" s="894"/>
    </row>
    <row r="1643" spans="9:16" ht="15.75" thickBot="1"/>
    <row r="1644" spans="9:16">
      <c r="I1644" s="895" t="s">
        <v>94</v>
      </c>
      <c r="J1644" s="897" t="s">
        <v>95</v>
      </c>
      <c r="K1644" s="897" t="s">
        <v>96</v>
      </c>
      <c r="L1644" s="897" t="s">
        <v>3</v>
      </c>
      <c r="M1644" s="897" t="s">
        <v>97</v>
      </c>
      <c r="N1644" s="897" t="s">
        <v>98</v>
      </c>
      <c r="O1644" s="897" t="s">
        <v>99</v>
      </c>
      <c r="P1644" s="899"/>
    </row>
    <row r="1645" spans="9:16" ht="15.75" thickBot="1">
      <c r="I1645" s="896"/>
      <c r="J1645" s="898"/>
      <c r="K1645" s="898"/>
      <c r="L1645" s="898"/>
      <c r="M1645" s="898"/>
      <c r="N1645" s="898"/>
      <c r="O1645" s="240" t="s">
        <v>100</v>
      </c>
      <c r="P1645" s="182" t="s">
        <v>101</v>
      </c>
    </row>
    <row r="1646" spans="9:16" ht="15" customHeight="1">
      <c r="I1646" s="881">
        <v>199</v>
      </c>
      <c r="J1646" s="875">
        <v>42520</v>
      </c>
      <c r="K1646" s="877" t="s">
        <v>267</v>
      </c>
      <c r="L1646" s="879" t="s">
        <v>955</v>
      </c>
      <c r="M1646" s="881" t="s">
        <v>148</v>
      </c>
      <c r="N1646" s="883">
        <v>42000</v>
      </c>
      <c r="O1646" s="55">
        <v>719</v>
      </c>
      <c r="P1646" s="78">
        <v>30000</v>
      </c>
    </row>
    <row r="1647" spans="9:16" ht="15.75" customHeight="1" thickBot="1">
      <c r="I1647" s="882"/>
      <c r="J1647" s="876"/>
      <c r="K1647" s="878"/>
      <c r="L1647" s="880"/>
      <c r="M1647" s="882"/>
      <c r="N1647" s="884"/>
      <c r="O1647" s="56">
        <v>721</v>
      </c>
      <c r="P1647" s="79">
        <f>+N1646-P1646</f>
        <v>12000</v>
      </c>
    </row>
    <row r="1648" spans="9:16" ht="15" customHeight="1">
      <c r="I1648" s="881">
        <v>200</v>
      </c>
      <c r="J1648" s="875">
        <v>42520</v>
      </c>
      <c r="K1648" s="877" t="s">
        <v>28</v>
      </c>
      <c r="L1648" s="879" t="s">
        <v>956</v>
      </c>
      <c r="M1648" s="881" t="s">
        <v>148</v>
      </c>
      <c r="N1648" s="883">
        <v>224000</v>
      </c>
      <c r="O1648" s="55">
        <v>719</v>
      </c>
      <c r="P1648" s="78">
        <v>160000</v>
      </c>
    </row>
    <row r="1649" spans="9:16" ht="15.75" customHeight="1" thickBot="1">
      <c r="I1649" s="882"/>
      <c r="J1649" s="876"/>
      <c r="K1649" s="878"/>
      <c r="L1649" s="880"/>
      <c r="M1649" s="882"/>
      <c r="N1649" s="884"/>
      <c r="O1649" s="56">
        <v>721</v>
      </c>
      <c r="P1649" s="79">
        <f>+N1648-P1648</f>
        <v>64000</v>
      </c>
    </row>
    <row r="1650" spans="9:16" ht="15" customHeight="1">
      <c r="I1650" s="881">
        <v>201</v>
      </c>
      <c r="J1650" s="875">
        <v>42520</v>
      </c>
      <c r="K1650" s="877" t="s">
        <v>111</v>
      </c>
      <c r="L1650" s="879" t="s">
        <v>957</v>
      </c>
      <c r="M1650" s="881" t="s">
        <v>148</v>
      </c>
      <c r="N1650" s="883">
        <v>56000</v>
      </c>
      <c r="O1650" s="55">
        <v>719</v>
      </c>
      <c r="P1650" s="78">
        <v>40000</v>
      </c>
    </row>
    <row r="1651" spans="9:16" ht="15.75" customHeight="1" thickBot="1">
      <c r="I1651" s="882"/>
      <c r="J1651" s="876"/>
      <c r="K1651" s="878"/>
      <c r="L1651" s="880"/>
      <c r="M1651" s="882"/>
      <c r="N1651" s="884"/>
      <c r="O1651" s="56">
        <v>721</v>
      </c>
      <c r="P1651" s="79">
        <f>+N1650-P1650</f>
        <v>16000</v>
      </c>
    </row>
    <row r="1652" spans="9:16" ht="15" customHeight="1">
      <c r="I1652" s="881">
        <v>202</v>
      </c>
      <c r="J1652" s="875">
        <v>42520</v>
      </c>
      <c r="K1652" s="877" t="s">
        <v>272</v>
      </c>
      <c r="L1652" s="879" t="s">
        <v>956</v>
      </c>
      <c r="M1652" s="881" t="s">
        <v>148</v>
      </c>
      <c r="N1652" s="883">
        <v>546000</v>
      </c>
      <c r="O1652" s="55">
        <v>719</v>
      </c>
      <c r="P1652" s="78">
        <v>390000</v>
      </c>
    </row>
    <row r="1653" spans="9:16" ht="15.75" customHeight="1" thickBot="1">
      <c r="I1653" s="882"/>
      <c r="J1653" s="876"/>
      <c r="K1653" s="878"/>
      <c r="L1653" s="880"/>
      <c r="M1653" s="882"/>
      <c r="N1653" s="884"/>
      <c r="O1653" s="56">
        <v>721</v>
      </c>
      <c r="P1653" s="79">
        <f>+N1652-P1652</f>
        <v>156000</v>
      </c>
    </row>
    <row r="1654" spans="9:16">
      <c r="I1654" s="881"/>
      <c r="J1654" s="875"/>
      <c r="K1654" s="877"/>
      <c r="L1654" s="881"/>
      <c r="M1654" s="881"/>
      <c r="N1654" s="883"/>
      <c r="O1654" s="55">
        <v>719</v>
      </c>
      <c r="P1654" s="78"/>
    </row>
    <row r="1655" spans="9:16" ht="15.75" thickBot="1">
      <c r="I1655" s="882"/>
      <c r="J1655" s="876"/>
      <c r="K1655" s="878"/>
      <c r="L1655" s="882"/>
      <c r="M1655" s="882"/>
      <c r="N1655" s="884"/>
      <c r="O1655" s="56">
        <v>721</v>
      </c>
      <c r="P1655" s="79">
        <f>+N1654-P1654</f>
        <v>0</v>
      </c>
    </row>
    <row r="1656" spans="9:16" ht="16.5" thickBot="1">
      <c r="I1656" s="901" t="s">
        <v>102</v>
      </c>
      <c r="J1656" s="902"/>
      <c r="K1656" s="902"/>
      <c r="L1656" s="902"/>
      <c r="M1656" s="903"/>
      <c r="N1656" s="81">
        <f>SUM(N1646:N1655)</f>
        <v>868000</v>
      </c>
    </row>
    <row r="1657" spans="9:16" ht="16.5" thickBot="1">
      <c r="I1657" s="885" t="s">
        <v>103</v>
      </c>
      <c r="J1657" s="886"/>
      <c r="K1657" s="886"/>
      <c r="L1657" s="886"/>
      <c r="M1657" s="887"/>
      <c r="N1657" s="69">
        <f>+N1621</f>
        <v>416410481</v>
      </c>
      <c r="O1657" s="241" t="s">
        <v>561</v>
      </c>
      <c r="P1657" s="242">
        <f>941+20+470+17</f>
        <v>1448</v>
      </c>
    </row>
    <row r="1658" spans="9:16" ht="16.5" thickBot="1">
      <c r="I1658" s="888" t="s">
        <v>104</v>
      </c>
      <c r="J1658" s="889"/>
      <c r="K1658" s="889"/>
      <c r="L1658" s="889"/>
      <c r="M1658" s="890"/>
      <c r="N1658" s="183">
        <f>SUM(N1656:N1657)</f>
        <v>417278481</v>
      </c>
    </row>
    <row r="1659" spans="9:16">
      <c r="I1659" s="61"/>
      <c r="J1659" s="61"/>
      <c r="K1659" s="61"/>
      <c r="L1659" s="61"/>
      <c r="M1659" s="61"/>
    </row>
    <row r="1660" spans="9:16">
      <c r="I1660" s="51" t="s">
        <v>962</v>
      </c>
    </row>
    <row r="1661" spans="9:16" ht="11.25" customHeight="1">
      <c r="N1661" s="139"/>
    </row>
    <row r="1662" spans="9:16">
      <c r="I1662" s="50" t="s">
        <v>105</v>
      </c>
      <c r="L1662" s="146"/>
      <c r="N1662" s="139"/>
    </row>
    <row r="1663" spans="9:16" ht="13.5" customHeight="1" thickBot="1"/>
    <row r="1664" spans="9:16" ht="15.75" thickBot="1">
      <c r="I1664" s="891" t="s">
        <v>106</v>
      </c>
      <c r="J1664" s="892"/>
      <c r="K1664" s="892"/>
      <c r="L1664" s="893"/>
      <c r="N1664" s="50" t="s">
        <v>288</v>
      </c>
    </row>
    <row r="1665" spans="9:16" ht="30.75" thickBot="1">
      <c r="I1665" s="57" t="s">
        <v>100</v>
      </c>
      <c r="J1665" s="58" t="s">
        <v>108</v>
      </c>
      <c r="K1665" s="287" t="s">
        <v>109</v>
      </c>
      <c r="L1665" s="60" t="s">
        <v>110</v>
      </c>
    </row>
    <row r="1666" spans="9:16">
      <c r="I1666" s="71">
        <v>719</v>
      </c>
      <c r="J1666" s="73">
        <f>+P1646+P1648+P1650+P1652+P1654</f>
        <v>620000</v>
      </c>
      <c r="K1666" s="74">
        <f>+L1629</f>
        <v>15380000</v>
      </c>
      <c r="L1666" s="195">
        <f>+J1666+K1666</f>
        <v>16000000</v>
      </c>
    </row>
    <row r="1667" spans="9:16">
      <c r="I1667" s="72">
        <v>721</v>
      </c>
      <c r="J1667" s="80">
        <f>+P1647+P1649+P1651+P1653</f>
        <v>248000</v>
      </c>
      <c r="K1667" s="74">
        <f>+L1630</f>
        <v>4788000</v>
      </c>
      <c r="L1667" s="195">
        <f>+J1667+K1667</f>
        <v>5036000</v>
      </c>
    </row>
    <row r="1668" spans="9:16">
      <c r="I1668" s="72">
        <v>722</v>
      </c>
      <c r="J1668" s="80"/>
      <c r="K1668" s="74">
        <f>+L1631</f>
        <v>0</v>
      </c>
      <c r="L1668" s="195">
        <f>+J1668+K1668</f>
        <v>0</v>
      </c>
    </row>
    <row r="1669" spans="9:16" ht="15.75">
      <c r="I1669" s="72">
        <v>723</v>
      </c>
      <c r="J1669" s="80"/>
      <c r="K1669" s="74">
        <f>+L1632</f>
        <v>396242481</v>
      </c>
      <c r="L1669" s="195">
        <f>+J1669+K1669</f>
        <v>396242481</v>
      </c>
      <c r="N1669" s="193" t="s">
        <v>289</v>
      </c>
      <c r="O1669" s="175"/>
    </row>
    <row r="1670" spans="9:16" ht="16.5" thickBot="1">
      <c r="I1670" s="164" t="s">
        <v>181</v>
      </c>
      <c r="J1670" s="165"/>
      <c r="K1670" s="74">
        <f>+L1633</f>
        <v>0</v>
      </c>
      <c r="L1670" s="196">
        <f>+J1670+K1670</f>
        <v>0</v>
      </c>
      <c r="N1670" s="52"/>
    </row>
    <row r="1671" spans="9:16" ht="16.5" thickBot="1">
      <c r="I1671" s="169"/>
      <c r="J1671" s="197">
        <f>SUM(J1666:J1670)</f>
        <v>868000</v>
      </c>
      <c r="K1671" s="197">
        <f>SUM(K1666:K1670)</f>
        <v>416410481</v>
      </c>
      <c r="L1671" s="198">
        <f>SUM(L1666:L1670)</f>
        <v>417278481</v>
      </c>
    </row>
    <row r="1672" spans="9:16" ht="16.5">
      <c r="I1672" s="49" t="s">
        <v>88</v>
      </c>
      <c r="J1672" s="50"/>
    </row>
    <row r="1673" spans="9:16">
      <c r="I1673" s="51" t="s">
        <v>89</v>
      </c>
    </row>
    <row r="1674" spans="9:16">
      <c r="I1674" s="51" t="s">
        <v>90</v>
      </c>
    </row>
    <row r="1675" spans="9:16">
      <c r="I1675" s="51" t="s">
        <v>91</v>
      </c>
    </row>
    <row r="1676" spans="9:16" ht="12.75" customHeight="1">
      <c r="I1676" s="50"/>
      <c r="J1676" s="50"/>
    </row>
    <row r="1677" spans="9:16" ht="15.75">
      <c r="I1677" s="260" t="s">
        <v>950</v>
      </c>
      <c r="O1677" s="52"/>
    </row>
    <row r="1678" spans="9:16" ht="15.75">
      <c r="I1678" s="53" t="s">
        <v>535</v>
      </c>
      <c r="O1678" s="53"/>
    </row>
    <row r="1679" spans="9:16" ht="16.5">
      <c r="I1679" s="894" t="s">
        <v>909</v>
      </c>
      <c r="J1679" s="894"/>
      <c r="K1679" s="894"/>
      <c r="L1679" s="894"/>
      <c r="M1679" s="894"/>
      <c r="N1679" s="894"/>
      <c r="O1679" s="894"/>
      <c r="P1679" s="894"/>
    </row>
    <row r="1680" spans="9:16" ht="15.75" thickBot="1"/>
    <row r="1681" spans="9:16">
      <c r="I1681" s="895" t="s">
        <v>94</v>
      </c>
      <c r="J1681" s="897" t="s">
        <v>95</v>
      </c>
      <c r="K1681" s="897" t="s">
        <v>96</v>
      </c>
      <c r="L1681" s="897" t="s">
        <v>3</v>
      </c>
      <c r="M1681" s="897" t="s">
        <v>97</v>
      </c>
      <c r="N1681" s="897" t="s">
        <v>98</v>
      </c>
      <c r="O1681" s="897" t="s">
        <v>99</v>
      </c>
      <c r="P1681" s="899"/>
    </row>
    <row r="1682" spans="9:16" ht="15.75" thickBot="1">
      <c r="I1682" s="896"/>
      <c r="J1682" s="898"/>
      <c r="K1682" s="898"/>
      <c r="L1682" s="898"/>
      <c r="M1682" s="898"/>
      <c r="N1682" s="898"/>
      <c r="O1682" s="240" t="s">
        <v>100</v>
      </c>
      <c r="P1682" s="182" t="s">
        <v>101</v>
      </c>
    </row>
    <row r="1683" spans="9:16" ht="15" customHeight="1">
      <c r="I1683" s="881">
        <v>203</v>
      </c>
      <c r="J1683" s="875">
        <v>42520</v>
      </c>
      <c r="K1683" s="877" t="s">
        <v>267</v>
      </c>
      <c r="L1683" s="879" t="s">
        <v>958</v>
      </c>
      <c r="M1683" s="881" t="s">
        <v>148</v>
      </c>
      <c r="N1683" s="883">
        <v>28000</v>
      </c>
      <c r="O1683" s="55">
        <v>719</v>
      </c>
      <c r="P1683" s="78">
        <v>20000</v>
      </c>
    </row>
    <row r="1684" spans="9:16" ht="15.75" customHeight="1" thickBot="1">
      <c r="I1684" s="882"/>
      <c r="J1684" s="876"/>
      <c r="K1684" s="878"/>
      <c r="L1684" s="880"/>
      <c r="M1684" s="882"/>
      <c r="N1684" s="884"/>
      <c r="O1684" s="56">
        <v>721</v>
      </c>
      <c r="P1684" s="79">
        <f>+N1683-P1683</f>
        <v>8000</v>
      </c>
    </row>
    <row r="1685" spans="9:16" ht="15" customHeight="1">
      <c r="I1685" s="881">
        <v>204</v>
      </c>
      <c r="J1685" s="875">
        <v>42520</v>
      </c>
      <c r="K1685" s="877" t="s">
        <v>28</v>
      </c>
      <c r="L1685" s="879" t="s">
        <v>959</v>
      </c>
      <c r="M1685" s="881" t="s">
        <v>148</v>
      </c>
      <c r="N1685" s="883">
        <v>238000</v>
      </c>
      <c r="O1685" s="55">
        <v>719</v>
      </c>
      <c r="P1685" s="78">
        <v>170000</v>
      </c>
    </row>
    <row r="1686" spans="9:16" ht="15.75" customHeight="1" thickBot="1">
      <c r="I1686" s="882"/>
      <c r="J1686" s="876"/>
      <c r="K1686" s="878"/>
      <c r="L1686" s="880"/>
      <c r="M1686" s="882"/>
      <c r="N1686" s="884"/>
      <c r="O1686" s="56">
        <v>721</v>
      </c>
      <c r="P1686" s="79">
        <f>+N1685-P1685</f>
        <v>68000</v>
      </c>
    </row>
    <row r="1687" spans="9:16" ht="15" customHeight="1">
      <c r="I1687" s="881">
        <v>205</v>
      </c>
      <c r="J1687" s="875">
        <v>42520</v>
      </c>
      <c r="K1687" s="877" t="s">
        <v>111</v>
      </c>
      <c r="L1687" s="879" t="s">
        <v>960</v>
      </c>
      <c r="M1687" s="881" t="s">
        <v>148</v>
      </c>
      <c r="N1687" s="883">
        <v>84000</v>
      </c>
      <c r="O1687" s="55">
        <v>719</v>
      </c>
      <c r="P1687" s="78">
        <v>60000</v>
      </c>
    </row>
    <row r="1688" spans="9:16" ht="15.75" customHeight="1" thickBot="1">
      <c r="I1688" s="882"/>
      <c r="J1688" s="876"/>
      <c r="K1688" s="878"/>
      <c r="L1688" s="880"/>
      <c r="M1688" s="882"/>
      <c r="N1688" s="884"/>
      <c r="O1688" s="56">
        <v>721</v>
      </c>
      <c r="P1688" s="79">
        <f>+N1687-P1687</f>
        <v>24000</v>
      </c>
    </row>
    <row r="1689" spans="9:16" ht="15" customHeight="1">
      <c r="I1689" s="881">
        <v>206</v>
      </c>
      <c r="J1689" s="875">
        <v>42520</v>
      </c>
      <c r="K1689" s="877" t="s">
        <v>272</v>
      </c>
      <c r="L1689" s="879" t="s">
        <v>959</v>
      </c>
      <c r="M1689" s="881" t="s">
        <v>148</v>
      </c>
      <c r="N1689" s="883">
        <v>504000</v>
      </c>
      <c r="O1689" s="55">
        <v>719</v>
      </c>
      <c r="P1689" s="78">
        <v>360000</v>
      </c>
    </row>
    <row r="1690" spans="9:16" ht="15.75" customHeight="1" thickBot="1">
      <c r="I1690" s="882"/>
      <c r="J1690" s="876"/>
      <c r="K1690" s="878"/>
      <c r="L1690" s="880"/>
      <c r="M1690" s="882"/>
      <c r="N1690" s="884"/>
      <c r="O1690" s="56">
        <v>721</v>
      </c>
      <c r="P1690" s="79">
        <f>+N1689-P1689</f>
        <v>144000</v>
      </c>
    </row>
    <row r="1691" spans="9:16">
      <c r="I1691" s="881"/>
      <c r="J1691" s="875"/>
      <c r="K1691" s="877"/>
      <c r="L1691" s="881"/>
      <c r="M1691" s="881"/>
      <c r="N1691" s="883"/>
      <c r="O1691" s="55">
        <v>719</v>
      </c>
      <c r="P1691" s="78"/>
    </row>
    <row r="1692" spans="9:16" ht="15.75" thickBot="1">
      <c r="I1692" s="882"/>
      <c r="J1692" s="876"/>
      <c r="K1692" s="878"/>
      <c r="L1692" s="882"/>
      <c r="M1692" s="882"/>
      <c r="N1692" s="884"/>
      <c r="O1692" s="56">
        <v>721</v>
      </c>
      <c r="P1692" s="79">
        <f>+N1691-P1691</f>
        <v>0</v>
      </c>
    </row>
    <row r="1693" spans="9:16" ht="16.5" thickBot="1">
      <c r="I1693" s="901" t="s">
        <v>102</v>
      </c>
      <c r="J1693" s="902"/>
      <c r="K1693" s="902"/>
      <c r="L1693" s="902"/>
      <c r="M1693" s="903"/>
      <c r="N1693" s="81">
        <f>SUM(N1683:N1692)</f>
        <v>854000</v>
      </c>
    </row>
    <row r="1694" spans="9:16" ht="16.5" thickBot="1">
      <c r="I1694" s="885" t="s">
        <v>103</v>
      </c>
      <c r="J1694" s="886"/>
      <c r="K1694" s="886"/>
      <c r="L1694" s="886"/>
      <c r="M1694" s="887"/>
      <c r="N1694" s="69">
        <f>+N1658</f>
        <v>417278481</v>
      </c>
      <c r="O1694" s="241" t="s">
        <v>561</v>
      </c>
      <c r="P1694" s="242">
        <f>746+26+428+20</f>
        <v>1220</v>
      </c>
    </row>
    <row r="1695" spans="9:16" ht="16.5" thickBot="1">
      <c r="I1695" s="888" t="s">
        <v>104</v>
      </c>
      <c r="J1695" s="889"/>
      <c r="K1695" s="889"/>
      <c r="L1695" s="889"/>
      <c r="M1695" s="890"/>
      <c r="N1695" s="183">
        <f>SUM(N1693:N1694)</f>
        <v>418132481</v>
      </c>
    </row>
    <row r="1696" spans="9:16">
      <c r="I1696" s="61"/>
      <c r="J1696" s="61"/>
      <c r="K1696" s="61"/>
      <c r="L1696" s="61"/>
      <c r="M1696" s="61"/>
    </row>
    <row r="1697" spans="9:15">
      <c r="I1697" s="51" t="s">
        <v>961</v>
      </c>
    </row>
    <row r="1698" spans="9:15" ht="12" customHeight="1">
      <c r="N1698" s="139"/>
    </row>
    <row r="1699" spans="9:15">
      <c r="I1699" s="50" t="s">
        <v>105</v>
      </c>
      <c r="L1699" s="146"/>
      <c r="N1699" s="139"/>
    </row>
    <row r="1700" spans="9:15" ht="11.25" customHeight="1" thickBot="1"/>
    <row r="1701" spans="9:15" ht="15.75" thickBot="1">
      <c r="I1701" s="891" t="s">
        <v>106</v>
      </c>
      <c r="J1701" s="892"/>
      <c r="K1701" s="892"/>
      <c r="L1701" s="893"/>
      <c r="N1701" s="50" t="s">
        <v>288</v>
      </c>
    </row>
    <row r="1702" spans="9:15" ht="30.75" thickBot="1">
      <c r="I1702" s="57" t="s">
        <v>100</v>
      </c>
      <c r="J1702" s="58" t="s">
        <v>108</v>
      </c>
      <c r="K1702" s="287" t="s">
        <v>109</v>
      </c>
      <c r="L1702" s="60" t="s">
        <v>110</v>
      </c>
    </row>
    <row r="1703" spans="9:15">
      <c r="I1703" s="71">
        <v>719</v>
      </c>
      <c r="J1703" s="73">
        <f>+P1683+P1685+P1687+P1689+P1691</f>
        <v>610000</v>
      </c>
      <c r="K1703" s="74">
        <f>+L1666</f>
        <v>16000000</v>
      </c>
      <c r="L1703" s="195">
        <f>+J1703+K1703</f>
        <v>16610000</v>
      </c>
    </row>
    <row r="1704" spans="9:15">
      <c r="I1704" s="72">
        <v>721</v>
      </c>
      <c r="J1704" s="80">
        <f>+P1684+P1686+P1688+P1690</f>
        <v>244000</v>
      </c>
      <c r="K1704" s="74">
        <f>+L1667</f>
        <v>5036000</v>
      </c>
      <c r="L1704" s="195">
        <f>+J1704+K1704</f>
        <v>5280000</v>
      </c>
    </row>
    <row r="1705" spans="9:15">
      <c r="I1705" s="72">
        <v>722</v>
      </c>
      <c r="J1705" s="80"/>
      <c r="K1705" s="74">
        <f>+L1668</f>
        <v>0</v>
      </c>
      <c r="L1705" s="195">
        <f>+J1705+K1705</f>
        <v>0</v>
      </c>
    </row>
    <row r="1706" spans="9:15" ht="15.75">
      <c r="I1706" s="72">
        <v>723</v>
      </c>
      <c r="J1706" s="80"/>
      <c r="K1706" s="74">
        <f>+L1669</f>
        <v>396242481</v>
      </c>
      <c r="L1706" s="195">
        <f>+J1706+K1706</f>
        <v>396242481</v>
      </c>
      <c r="N1706" s="193" t="s">
        <v>289</v>
      </c>
      <c r="O1706" s="175"/>
    </row>
    <row r="1707" spans="9:15" ht="16.5" thickBot="1">
      <c r="I1707" s="164" t="s">
        <v>181</v>
      </c>
      <c r="J1707" s="165"/>
      <c r="K1707" s="74">
        <f>+L1670</f>
        <v>0</v>
      </c>
      <c r="L1707" s="196">
        <f>+J1707+K1707</f>
        <v>0</v>
      </c>
      <c r="N1707" s="52"/>
    </row>
    <row r="1708" spans="9:15" ht="16.5" thickBot="1">
      <c r="I1708" s="169"/>
      <c r="J1708" s="197">
        <f>SUM(J1703:J1707)</f>
        <v>854000</v>
      </c>
      <c r="K1708" s="197">
        <f>SUM(K1703:K1707)</f>
        <v>417278481</v>
      </c>
      <c r="L1708" s="198">
        <f>SUM(L1703:L1707)</f>
        <v>418132481</v>
      </c>
    </row>
    <row r="1709" spans="9:15" ht="16.5">
      <c r="I1709" s="49" t="s">
        <v>88</v>
      </c>
      <c r="J1709" s="50"/>
    </row>
    <row r="1710" spans="9:15">
      <c r="I1710" s="51" t="s">
        <v>89</v>
      </c>
    </row>
    <row r="1711" spans="9:15">
      <c r="I1711" s="51" t="s">
        <v>90</v>
      </c>
    </row>
    <row r="1712" spans="9:15">
      <c r="I1712" s="51" t="s">
        <v>91</v>
      </c>
    </row>
    <row r="1713" spans="9:16" ht="12.75" customHeight="1">
      <c r="I1713" s="50"/>
      <c r="J1713" s="50"/>
    </row>
    <row r="1714" spans="9:16" ht="15.75">
      <c r="I1714" s="260" t="s">
        <v>976</v>
      </c>
      <c r="O1714" s="52"/>
    </row>
    <row r="1715" spans="9:16" ht="15.75">
      <c r="I1715" s="53" t="s">
        <v>535</v>
      </c>
      <c r="O1715" s="53"/>
    </row>
    <row r="1716" spans="9:16" ht="16.5">
      <c r="I1716" s="894" t="s">
        <v>967</v>
      </c>
      <c r="J1716" s="894"/>
      <c r="K1716" s="894"/>
      <c r="L1716" s="894"/>
      <c r="M1716" s="894"/>
      <c r="N1716" s="894"/>
      <c r="O1716" s="894"/>
      <c r="P1716" s="894"/>
    </row>
    <row r="1717" spans="9:16" ht="15.75" thickBot="1"/>
    <row r="1718" spans="9:16">
      <c r="I1718" s="916" t="s">
        <v>968</v>
      </c>
      <c r="J1718" s="912" t="s">
        <v>95</v>
      </c>
      <c r="K1718" s="912" t="s">
        <v>96</v>
      </c>
      <c r="L1718" s="912" t="s">
        <v>3</v>
      </c>
      <c r="M1718" s="912" t="s">
        <v>97</v>
      </c>
      <c r="N1718" s="912" t="s">
        <v>98</v>
      </c>
      <c r="O1718" s="914" t="s">
        <v>99</v>
      </c>
      <c r="P1718" s="915"/>
    </row>
    <row r="1719" spans="9:16" ht="15.75" thickBot="1">
      <c r="I1719" s="917"/>
      <c r="J1719" s="913"/>
      <c r="K1719" s="913"/>
      <c r="L1719" s="913"/>
      <c r="M1719" s="913"/>
      <c r="N1719" s="913"/>
      <c r="O1719" s="240" t="s">
        <v>100</v>
      </c>
      <c r="P1719" s="182" t="s">
        <v>101</v>
      </c>
    </row>
    <row r="1720" spans="9:16" ht="12" customHeight="1">
      <c r="I1720" s="873" t="s">
        <v>545</v>
      </c>
      <c r="J1720" s="875">
        <v>42520</v>
      </c>
      <c r="K1720" s="910" t="s">
        <v>695</v>
      </c>
      <c r="L1720" s="879" t="s">
        <v>556</v>
      </c>
      <c r="M1720" s="881" t="s">
        <v>148</v>
      </c>
      <c r="N1720" s="883"/>
      <c r="O1720" s="55">
        <v>719</v>
      </c>
      <c r="P1720" s="78"/>
    </row>
    <row r="1721" spans="9:16" ht="12.75" customHeight="1" thickBot="1">
      <c r="I1721" s="874"/>
      <c r="J1721" s="876"/>
      <c r="K1721" s="911"/>
      <c r="L1721" s="880"/>
      <c r="M1721" s="882"/>
      <c r="N1721" s="884"/>
      <c r="O1721" s="56">
        <v>723</v>
      </c>
      <c r="P1721" s="79">
        <f>+N1720-P1720</f>
        <v>0</v>
      </c>
    </row>
    <row r="1722" spans="9:16" ht="12.75" customHeight="1">
      <c r="I1722" s="873" t="s">
        <v>547</v>
      </c>
      <c r="J1722" s="875">
        <v>42520</v>
      </c>
      <c r="K1722" s="910" t="s">
        <v>695</v>
      </c>
      <c r="L1722" s="879" t="s">
        <v>556</v>
      </c>
      <c r="M1722" s="881" t="s">
        <v>115</v>
      </c>
      <c r="N1722" s="883"/>
      <c r="O1722" s="55">
        <v>719</v>
      </c>
      <c r="P1722" s="78"/>
    </row>
    <row r="1723" spans="9:16" ht="13.5" customHeight="1" thickBot="1">
      <c r="I1723" s="874"/>
      <c r="J1723" s="876"/>
      <c r="K1723" s="911"/>
      <c r="L1723" s="880"/>
      <c r="M1723" s="882"/>
      <c r="N1723" s="884"/>
      <c r="O1723" s="56">
        <v>723</v>
      </c>
      <c r="P1723" s="79">
        <f>+N1722-P1722</f>
        <v>0</v>
      </c>
    </row>
    <row r="1724" spans="9:16" ht="11.25" customHeight="1">
      <c r="I1724" s="873" t="s">
        <v>548</v>
      </c>
      <c r="J1724" s="875">
        <v>42520</v>
      </c>
      <c r="K1724" s="877" t="s">
        <v>701</v>
      </c>
      <c r="L1724" s="879" t="s">
        <v>556</v>
      </c>
      <c r="M1724" s="881" t="s">
        <v>148</v>
      </c>
      <c r="N1724" s="883"/>
      <c r="O1724" s="55">
        <v>719</v>
      </c>
      <c r="P1724" s="78"/>
    </row>
    <row r="1725" spans="9:16" ht="13.5" customHeight="1" thickBot="1">
      <c r="I1725" s="874"/>
      <c r="J1725" s="876"/>
      <c r="K1725" s="878"/>
      <c r="L1725" s="880"/>
      <c r="M1725" s="882"/>
      <c r="N1725" s="884"/>
      <c r="O1725" s="56">
        <v>723</v>
      </c>
      <c r="P1725" s="79">
        <f>+N1724-P1724</f>
        <v>0</v>
      </c>
    </row>
    <row r="1726" spans="9:16" ht="12.75" customHeight="1">
      <c r="I1726" s="873" t="s">
        <v>549</v>
      </c>
      <c r="J1726" s="875">
        <v>42520</v>
      </c>
      <c r="K1726" s="877" t="s">
        <v>673</v>
      </c>
      <c r="L1726" s="879" t="s">
        <v>556</v>
      </c>
      <c r="M1726" s="881" t="s">
        <v>148</v>
      </c>
      <c r="N1726" s="883"/>
      <c r="O1726" s="55">
        <v>719</v>
      </c>
      <c r="P1726" s="78"/>
    </row>
    <row r="1727" spans="9:16" ht="14.25" customHeight="1" thickBot="1">
      <c r="I1727" s="874"/>
      <c r="J1727" s="876"/>
      <c r="K1727" s="878"/>
      <c r="L1727" s="880"/>
      <c r="M1727" s="882"/>
      <c r="N1727" s="884"/>
      <c r="O1727" s="56">
        <v>723</v>
      </c>
      <c r="P1727" s="79">
        <f>+N1726-P1726</f>
        <v>0</v>
      </c>
    </row>
    <row r="1728" spans="9:16" ht="12" customHeight="1">
      <c r="I1728" s="873" t="s">
        <v>550</v>
      </c>
      <c r="J1728" s="875">
        <v>42520</v>
      </c>
      <c r="K1728" s="877" t="s">
        <v>729</v>
      </c>
      <c r="L1728" s="879" t="s">
        <v>556</v>
      </c>
      <c r="M1728" s="881" t="s">
        <v>148</v>
      </c>
      <c r="N1728" s="883"/>
      <c r="O1728" s="55">
        <v>719</v>
      </c>
      <c r="P1728" s="78"/>
    </row>
    <row r="1729" spans="9:19" ht="12.75" customHeight="1" thickBot="1">
      <c r="I1729" s="874"/>
      <c r="J1729" s="876"/>
      <c r="K1729" s="878"/>
      <c r="L1729" s="880"/>
      <c r="M1729" s="882"/>
      <c r="N1729" s="884"/>
      <c r="O1729" s="56">
        <v>723</v>
      </c>
      <c r="P1729" s="79">
        <f>+N1728-P1728</f>
        <v>0</v>
      </c>
    </row>
    <row r="1730" spans="9:19" ht="12.75" customHeight="1">
      <c r="I1730" s="873" t="s">
        <v>551</v>
      </c>
      <c r="J1730" s="875">
        <v>42520</v>
      </c>
      <c r="K1730" s="877" t="s">
        <v>694</v>
      </c>
      <c r="L1730" s="879" t="s">
        <v>556</v>
      </c>
      <c r="M1730" s="881" t="s">
        <v>148</v>
      </c>
      <c r="N1730" s="883"/>
      <c r="O1730" s="55">
        <v>719</v>
      </c>
      <c r="P1730" s="78"/>
    </row>
    <row r="1731" spans="9:19" ht="13.5" customHeight="1" thickBot="1">
      <c r="I1731" s="874"/>
      <c r="J1731" s="876"/>
      <c r="K1731" s="878"/>
      <c r="L1731" s="880"/>
      <c r="M1731" s="882"/>
      <c r="N1731" s="884"/>
      <c r="O1731" s="56">
        <v>723</v>
      </c>
      <c r="P1731" s="79">
        <f>+N1730-P1730</f>
        <v>0</v>
      </c>
    </row>
    <row r="1732" spans="9:19" ht="16.5" thickBot="1">
      <c r="I1732" s="888" t="s">
        <v>102</v>
      </c>
      <c r="J1732" s="889"/>
      <c r="K1732" s="889"/>
      <c r="L1732" s="889"/>
      <c r="M1732" s="890"/>
      <c r="N1732" s="81">
        <f>SUM(N1720:N1731)</f>
        <v>0</v>
      </c>
    </row>
    <row r="1733" spans="9:19" ht="16.5" thickBot="1">
      <c r="I1733" s="885" t="s">
        <v>103</v>
      </c>
      <c r="J1733" s="886"/>
      <c r="K1733" s="886"/>
      <c r="L1733" s="886"/>
      <c r="M1733" s="887"/>
      <c r="N1733" s="69">
        <f>+N1695</f>
        <v>418132481</v>
      </c>
      <c r="O1733" s="241" t="s">
        <v>561</v>
      </c>
      <c r="P1733" s="242"/>
    </row>
    <row r="1734" spans="9:19" ht="16.5" thickBot="1">
      <c r="I1734" s="888" t="s">
        <v>104</v>
      </c>
      <c r="J1734" s="889"/>
      <c r="K1734" s="889"/>
      <c r="L1734" s="889"/>
      <c r="M1734" s="890"/>
      <c r="N1734" s="183">
        <f>SUM(N1732:N1733)</f>
        <v>418132481</v>
      </c>
      <c r="S1734" s="51">
        <f>1945*1.05^4.5</f>
        <v>2422.5427600461721</v>
      </c>
    </row>
    <row r="1735" spans="9:19" ht="13.5" customHeight="1">
      <c r="I1735" s="61"/>
      <c r="J1735" s="61"/>
      <c r="K1735" s="61"/>
      <c r="L1735" s="61"/>
      <c r="M1735" s="61"/>
    </row>
    <row r="1736" spans="9:19">
      <c r="I1736" s="51" t="s">
        <v>966</v>
      </c>
    </row>
    <row r="1737" spans="9:19" ht="12.75" customHeight="1">
      <c r="N1737" s="139"/>
    </row>
    <row r="1738" spans="9:19">
      <c r="I1738" s="50" t="s">
        <v>105</v>
      </c>
      <c r="L1738" s="146"/>
      <c r="N1738" s="139"/>
    </row>
    <row r="1739" spans="9:19" ht="13.5" customHeight="1" thickBot="1"/>
    <row r="1740" spans="9:19" ht="15.75" thickBot="1">
      <c r="I1740" s="891" t="s">
        <v>106</v>
      </c>
      <c r="J1740" s="892"/>
      <c r="K1740" s="892"/>
      <c r="L1740" s="893"/>
      <c r="N1740" s="50" t="s">
        <v>288</v>
      </c>
    </row>
    <row r="1741" spans="9:19" ht="30.75" thickBot="1">
      <c r="I1741" s="57" t="s">
        <v>100</v>
      </c>
      <c r="J1741" s="58" t="s">
        <v>108</v>
      </c>
      <c r="K1741" s="287" t="s">
        <v>109</v>
      </c>
      <c r="L1741" s="60" t="s">
        <v>110</v>
      </c>
    </row>
    <row r="1742" spans="9:19">
      <c r="I1742" s="71">
        <v>719</v>
      </c>
      <c r="J1742" s="73">
        <f>+P1720+P1722+P1726+P1728+P1730</f>
        <v>0</v>
      </c>
      <c r="K1742" s="74">
        <f>+L1703</f>
        <v>16610000</v>
      </c>
      <c r="L1742" s="195">
        <f>+J1742+K1742</f>
        <v>16610000</v>
      </c>
    </row>
    <row r="1743" spans="9:19">
      <c r="I1743" s="72">
        <v>721</v>
      </c>
      <c r="J1743" s="80">
        <v>0</v>
      </c>
      <c r="K1743" s="74">
        <f>+L1704</f>
        <v>5280000</v>
      </c>
      <c r="L1743" s="195">
        <f>+J1743+K1743</f>
        <v>5280000</v>
      </c>
    </row>
    <row r="1744" spans="9:19">
      <c r="I1744" s="72">
        <v>722</v>
      </c>
      <c r="J1744" s="80"/>
      <c r="K1744" s="74">
        <f>+L1705</f>
        <v>0</v>
      </c>
      <c r="L1744" s="195">
        <f>+J1744+K1744</f>
        <v>0</v>
      </c>
    </row>
    <row r="1745" spans="9:16" ht="15.75">
      <c r="I1745" s="72">
        <v>723</v>
      </c>
      <c r="J1745" s="80">
        <f>+P1731+P1729+P1727+P1723+P1721+P1725</f>
        <v>0</v>
      </c>
      <c r="K1745" s="74">
        <f>+L1706</f>
        <v>396242481</v>
      </c>
      <c r="L1745" s="195">
        <f>+J1745+K1745</f>
        <v>396242481</v>
      </c>
      <c r="N1745" s="193" t="s">
        <v>289</v>
      </c>
      <c r="O1745" s="175"/>
    </row>
    <row r="1746" spans="9:16" ht="16.5" thickBot="1">
      <c r="I1746" s="164" t="s">
        <v>181</v>
      </c>
      <c r="J1746" s="165"/>
      <c r="K1746" s="74">
        <f>+L1707</f>
        <v>0</v>
      </c>
      <c r="L1746" s="196">
        <f>+J1746+K1746</f>
        <v>0</v>
      </c>
      <c r="N1746" s="52"/>
    </row>
    <row r="1747" spans="9:16" ht="16.5" thickBot="1">
      <c r="I1747" s="169"/>
      <c r="J1747" s="197">
        <f>SUM(J1742:J1746)</f>
        <v>0</v>
      </c>
      <c r="K1747" s="197">
        <f>SUM(K1742:K1746)</f>
        <v>418132481</v>
      </c>
      <c r="L1747" s="198">
        <f>SUM(L1742:L1746)</f>
        <v>418132481</v>
      </c>
    </row>
    <row r="1748" spans="9:16" ht="16.5">
      <c r="I1748" s="49" t="s">
        <v>88</v>
      </c>
      <c r="J1748" s="50"/>
    </row>
    <row r="1749" spans="9:16">
      <c r="I1749" s="51" t="s">
        <v>89</v>
      </c>
    </row>
    <row r="1750" spans="9:16">
      <c r="I1750" s="51" t="s">
        <v>90</v>
      </c>
    </row>
    <row r="1751" spans="9:16">
      <c r="I1751" s="51" t="s">
        <v>91</v>
      </c>
    </row>
    <row r="1752" spans="9:16" ht="9" customHeight="1">
      <c r="I1752" s="50"/>
      <c r="J1752" s="50"/>
    </row>
    <row r="1753" spans="9:16" ht="15.75">
      <c r="I1753" s="260" t="s">
        <v>964</v>
      </c>
      <c r="O1753" s="52"/>
    </row>
    <row r="1754" spans="9:16" ht="15.75">
      <c r="I1754" s="53" t="s">
        <v>535</v>
      </c>
      <c r="O1754" s="53"/>
    </row>
    <row r="1755" spans="9:16" ht="16.5">
      <c r="I1755" s="894" t="s">
        <v>909</v>
      </c>
      <c r="J1755" s="894"/>
      <c r="K1755" s="894"/>
      <c r="L1755" s="894"/>
      <c r="M1755" s="894"/>
      <c r="N1755" s="894"/>
      <c r="O1755" s="894"/>
      <c r="P1755" s="894"/>
    </row>
    <row r="1756" spans="9:16" ht="15.75" thickBot="1"/>
    <row r="1757" spans="9:16">
      <c r="I1757" s="895" t="s">
        <v>94</v>
      </c>
      <c r="J1757" s="897" t="s">
        <v>95</v>
      </c>
      <c r="K1757" s="897" t="s">
        <v>96</v>
      </c>
      <c r="L1757" s="897" t="s">
        <v>3</v>
      </c>
      <c r="M1757" s="897" t="s">
        <v>97</v>
      </c>
      <c r="N1757" s="897" t="s">
        <v>98</v>
      </c>
      <c r="O1757" s="897" t="s">
        <v>99</v>
      </c>
      <c r="P1757" s="899"/>
    </row>
    <row r="1758" spans="9:16" ht="15.75" thickBot="1">
      <c r="I1758" s="896"/>
      <c r="J1758" s="898"/>
      <c r="K1758" s="898"/>
      <c r="L1758" s="898"/>
      <c r="M1758" s="898"/>
      <c r="N1758" s="898"/>
      <c r="O1758" s="240" t="s">
        <v>100</v>
      </c>
      <c r="P1758" s="182" t="s">
        <v>101</v>
      </c>
    </row>
    <row r="1759" spans="9:16">
      <c r="I1759" s="881">
        <v>207</v>
      </c>
      <c r="J1759" s="875">
        <v>42521</v>
      </c>
      <c r="K1759" s="877" t="s">
        <v>267</v>
      </c>
      <c r="L1759" s="879" t="s">
        <v>971</v>
      </c>
      <c r="M1759" s="881" t="s">
        <v>148</v>
      </c>
      <c r="N1759" s="883">
        <v>28000</v>
      </c>
      <c r="O1759" s="55">
        <v>719</v>
      </c>
      <c r="P1759" s="78">
        <v>20000</v>
      </c>
    </row>
    <row r="1760" spans="9:16" ht="15.75" thickBot="1">
      <c r="I1760" s="882"/>
      <c r="J1760" s="876"/>
      <c r="K1760" s="878"/>
      <c r="L1760" s="880"/>
      <c r="M1760" s="882"/>
      <c r="N1760" s="884"/>
      <c r="O1760" s="56">
        <v>721</v>
      </c>
      <c r="P1760" s="79">
        <f>+N1759-P1759</f>
        <v>8000</v>
      </c>
    </row>
    <row r="1761" spans="9:16">
      <c r="I1761" s="881">
        <v>208</v>
      </c>
      <c r="J1761" s="875">
        <v>42521</v>
      </c>
      <c r="K1761" s="877" t="s">
        <v>28</v>
      </c>
      <c r="L1761" s="879" t="s">
        <v>970</v>
      </c>
      <c r="M1761" s="881" t="s">
        <v>148</v>
      </c>
      <c r="N1761" s="883">
        <v>294000</v>
      </c>
      <c r="O1761" s="55">
        <v>719</v>
      </c>
      <c r="P1761" s="78">
        <v>210000</v>
      </c>
    </row>
    <row r="1762" spans="9:16" ht="15.75" thickBot="1">
      <c r="I1762" s="882"/>
      <c r="J1762" s="876"/>
      <c r="K1762" s="878"/>
      <c r="L1762" s="880"/>
      <c r="M1762" s="882"/>
      <c r="N1762" s="884"/>
      <c r="O1762" s="56">
        <v>721</v>
      </c>
      <c r="P1762" s="79">
        <f>+N1761-P1761</f>
        <v>84000</v>
      </c>
    </row>
    <row r="1763" spans="9:16">
      <c r="I1763" s="881">
        <v>209</v>
      </c>
      <c r="J1763" s="875">
        <v>42521</v>
      </c>
      <c r="K1763" s="877" t="s">
        <v>111</v>
      </c>
      <c r="L1763" s="879" t="s">
        <v>951</v>
      </c>
      <c r="M1763" s="881" t="s">
        <v>148</v>
      </c>
      <c r="N1763" s="883">
        <v>56000</v>
      </c>
      <c r="O1763" s="55">
        <v>719</v>
      </c>
      <c r="P1763" s="78">
        <v>40000</v>
      </c>
    </row>
    <row r="1764" spans="9:16" ht="15.75" thickBot="1">
      <c r="I1764" s="882"/>
      <c r="J1764" s="876"/>
      <c r="K1764" s="878"/>
      <c r="L1764" s="880"/>
      <c r="M1764" s="882"/>
      <c r="N1764" s="884"/>
      <c r="O1764" s="56">
        <v>721</v>
      </c>
      <c r="P1764" s="79">
        <f>+N1763-P1763</f>
        <v>16000</v>
      </c>
    </row>
    <row r="1765" spans="9:16">
      <c r="I1765" s="881">
        <v>210</v>
      </c>
      <c r="J1765" s="875">
        <v>42521</v>
      </c>
      <c r="K1765" s="877" t="s">
        <v>272</v>
      </c>
      <c r="L1765" s="879" t="s">
        <v>970</v>
      </c>
      <c r="M1765" s="881" t="s">
        <v>148</v>
      </c>
      <c r="N1765" s="883">
        <v>672000</v>
      </c>
      <c r="O1765" s="55">
        <v>719</v>
      </c>
      <c r="P1765" s="78">
        <v>480000</v>
      </c>
    </row>
    <row r="1766" spans="9:16" ht="15.75" thickBot="1">
      <c r="I1766" s="882"/>
      <c r="J1766" s="876"/>
      <c r="K1766" s="878"/>
      <c r="L1766" s="880"/>
      <c r="M1766" s="882"/>
      <c r="N1766" s="884"/>
      <c r="O1766" s="56">
        <v>721</v>
      </c>
      <c r="P1766" s="79">
        <f>+N1765-P1765</f>
        <v>192000</v>
      </c>
    </row>
    <row r="1767" spans="9:16" ht="12.75" customHeight="1">
      <c r="I1767" s="881"/>
      <c r="J1767" s="875"/>
      <c r="K1767" s="877"/>
      <c r="L1767" s="881"/>
      <c r="M1767" s="881"/>
      <c r="N1767" s="883"/>
      <c r="O1767" s="55">
        <v>719</v>
      </c>
      <c r="P1767" s="78"/>
    </row>
    <row r="1768" spans="9:16" ht="13.5" customHeight="1" thickBot="1">
      <c r="I1768" s="882"/>
      <c r="J1768" s="876"/>
      <c r="K1768" s="878"/>
      <c r="L1768" s="882"/>
      <c r="M1768" s="882"/>
      <c r="N1768" s="884"/>
      <c r="O1768" s="56">
        <v>721</v>
      </c>
      <c r="P1768" s="79">
        <f>+N1767-P1767</f>
        <v>0</v>
      </c>
    </row>
    <row r="1769" spans="9:16" ht="16.5" thickBot="1">
      <c r="I1769" s="901" t="s">
        <v>102</v>
      </c>
      <c r="J1769" s="902"/>
      <c r="K1769" s="902"/>
      <c r="L1769" s="902"/>
      <c r="M1769" s="903"/>
      <c r="N1769" s="81">
        <f>SUM(N1759:N1768)</f>
        <v>1050000</v>
      </c>
    </row>
    <row r="1770" spans="9:16" ht="16.5" thickBot="1">
      <c r="I1770" s="885" t="s">
        <v>103</v>
      </c>
      <c r="J1770" s="886"/>
      <c r="K1770" s="886"/>
      <c r="L1770" s="886"/>
      <c r="M1770" s="887"/>
      <c r="N1770" s="69">
        <f>+N1734</f>
        <v>418132481</v>
      </c>
      <c r="O1770" s="241" t="s">
        <v>561</v>
      </c>
      <c r="P1770" s="242">
        <f>22+651+13+1233</f>
        <v>1919</v>
      </c>
    </row>
    <row r="1771" spans="9:16" ht="16.5" thickBot="1">
      <c r="I1771" s="888" t="s">
        <v>104</v>
      </c>
      <c r="J1771" s="889"/>
      <c r="K1771" s="889"/>
      <c r="L1771" s="889"/>
      <c r="M1771" s="890"/>
      <c r="N1771" s="183">
        <f>SUM(N1769:N1770)</f>
        <v>419182481</v>
      </c>
    </row>
    <row r="1772" spans="9:16">
      <c r="I1772" s="61"/>
      <c r="J1772" s="61"/>
      <c r="K1772" s="61"/>
      <c r="L1772" s="61"/>
      <c r="M1772" s="61"/>
    </row>
    <row r="1773" spans="9:16">
      <c r="I1773" s="51" t="s">
        <v>972</v>
      </c>
    </row>
    <row r="1774" spans="9:16" ht="12" customHeight="1">
      <c r="N1774" s="139"/>
    </row>
    <row r="1775" spans="9:16">
      <c r="I1775" s="50" t="s">
        <v>105</v>
      </c>
      <c r="L1775" s="146"/>
      <c r="N1775" s="139"/>
    </row>
    <row r="1776" spans="9:16" ht="15.75" thickBot="1"/>
    <row r="1777" spans="9:16" ht="15.75" thickBot="1">
      <c r="I1777" s="891" t="s">
        <v>106</v>
      </c>
      <c r="J1777" s="892"/>
      <c r="K1777" s="892"/>
      <c r="L1777" s="893"/>
      <c r="N1777" s="50" t="s">
        <v>288</v>
      </c>
    </row>
    <row r="1778" spans="9:16" ht="30.75" thickBot="1">
      <c r="I1778" s="57" t="s">
        <v>100</v>
      </c>
      <c r="J1778" s="58" t="s">
        <v>108</v>
      </c>
      <c r="K1778" s="287" t="s">
        <v>109</v>
      </c>
      <c r="L1778" s="60" t="s">
        <v>110</v>
      </c>
    </row>
    <row r="1779" spans="9:16">
      <c r="I1779" s="71">
        <v>719</v>
      </c>
      <c r="J1779" s="73">
        <f>+P1759+P1761+P1763+P1765+P1767</f>
        <v>750000</v>
      </c>
      <c r="K1779" s="74">
        <f>+L1742</f>
        <v>16610000</v>
      </c>
      <c r="L1779" s="195">
        <f>+J1779+K1779</f>
        <v>17360000</v>
      </c>
    </row>
    <row r="1780" spans="9:16">
      <c r="I1780" s="72">
        <v>721</v>
      </c>
      <c r="J1780" s="80">
        <f>+P1760+P1762+P1764+P1766</f>
        <v>300000</v>
      </c>
      <c r="K1780" s="74">
        <f>+L1743</f>
        <v>5280000</v>
      </c>
      <c r="L1780" s="195">
        <f>+J1780+K1780</f>
        <v>5580000</v>
      </c>
    </row>
    <row r="1781" spans="9:16">
      <c r="I1781" s="72">
        <v>722</v>
      </c>
      <c r="J1781" s="80"/>
      <c r="K1781" s="74">
        <f>+L1744</f>
        <v>0</v>
      </c>
      <c r="L1781" s="195">
        <f>+J1781+K1781</f>
        <v>0</v>
      </c>
    </row>
    <row r="1782" spans="9:16" ht="15.75">
      <c r="I1782" s="72">
        <v>723</v>
      </c>
      <c r="J1782" s="80"/>
      <c r="K1782" s="74">
        <f>+L1745</f>
        <v>396242481</v>
      </c>
      <c r="L1782" s="195">
        <f>+J1782+K1782</f>
        <v>396242481</v>
      </c>
      <c r="N1782" s="193" t="s">
        <v>289</v>
      </c>
      <c r="O1782" s="175"/>
    </row>
    <row r="1783" spans="9:16" ht="16.5" thickBot="1">
      <c r="I1783" s="164" t="s">
        <v>181</v>
      </c>
      <c r="J1783" s="165"/>
      <c r="K1783" s="74">
        <f>+L1746</f>
        <v>0</v>
      </c>
      <c r="L1783" s="196">
        <f>+J1783+K1783</f>
        <v>0</v>
      </c>
      <c r="N1783" s="52"/>
    </row>
    <row r="1784" spans="9:16" ht="16.5" thickBot="1">
      <c r="I1784" s="169"/>
      <c r="J1784" s="197">
        <f>SUM(J1779:J1783)</f>
        <v>1050000</v>
      </c>
      <c r="K1784" s="197">
        <f>SUM(K1779:K1783)</f>
        <v>418132481</v>
      </c>
      <c r="L1784" s="198">
        <f>SUM(L1779:L1783)</f>
        <v>419182481</v>
      </c>
    </row>
    <row r="1785" spans="9:16" ht="16.5">
      <c r="I1785" s="49" t="s">
        <v>88</v>
      </c>
      <c r="J1785" s="50"/>
    </row>
    <row r="1786" spans="9:16">
      <c r="I1786" s="51" t="s">
        <v>89</v>
      </c>
    </row>
    <row r="1787" spans="9:16">
      <c r="I1787" s="51" t="s">
        <v>90</v>
      </c>
    </row>
    <row r="1788" spans="9:16">
      <c r="I1788" s="51" t="s">
        <v>91</v>
      </c>
    </row>
    <row r="1789" spans="9:16" ht="12" customHeight="1">
      <c r="I1789" s="50"/>
      <c r="J1789" s="50"/>
    </row>
    <row r="1790" spans="9:16" ht="15.75">
      <c r="I1790" s="260" t="s">
        <v>969</v>
      </c>
      <c r="O1790" s="52"/>
    </row>
    <row r="1791" spans="9:16" ht="15.75">
      <c r="I1791" s="53" t="s">
        <v>535</v>
      </c>
      <c r="O1791" s="53"/>
    </row>
    <row r="1792" spans="9:16" ht="16.5">
      <c r="I1792" s="894" t="s">
        <v>979</v>
      </c>
      <c r="J1792" s="894"/>
      <c r="K1792" s="894"/>
      <c r="L1792" s="894"/>
      <c r="M1792" s="894"/>
      <c r="N1792" s="894"/>
      <c r="O1792" s="894"/>
      <c r="P1792" s="894"/>
    </row>
    <row r="1793" spans="9:16" ht="15.75" thickBot="1"/>
    <row r="1794" spans="9:16">
      <c r="I1794" s="895" t="s">
        <v>94</v>
      </c>
      <c r="J1794" s="897" t="s">
        <v>95</v>
      </c>
      <c r="K1794" s="897" t="s">
        <v>96</v>
      </c>
      <c r="L1794" s="897" t="s">
        <v>3</v>
      </c>
      <c r="M1794" s="897" t="s">
        <v>97</v>
      </c>
      <c r="N1794" s="897" t="s">
        <v>98</v>
      </c>
      <c r="O1794" s="897" t="s">
        <v>99</v>
      </c>
      <c r="P1794" s="899"/>
    </row>
    <row r="1795" spans="9:16" ht="15.75" thickBot="1">
      <c r="I1795" s="896"/>
      <c r="J1795" s="898"/>
      <c r="K1795" s="898"/>
      <c r="L1795" s="898"/>
      <c r="M1795" s="898"/>
      <c r="N1795" s="898"/>
      <c r="O1795" s="240" t="s">
        <v>100</v>
      </c>
      <c r="P1795" s="182" t="s">
        <v>101</v>
      </c>
    </row>
    <row r="1796" spans="9:16">
      <c r="I1796" s="881">
        <v>211</v>
      </c>
      <c r="J1796" s="875">
        <v>42521</v>
      </c>
      <c r="K1796" s="910" t="s">
        <v>974</v>
      </c>
      <c r="L1796" s="879" t="s">
        <v>556</v>
      </c>
      <c r="M1796" s="881" t="s">
        <v>145</v>
      </c>
      <c r="N1796" s="883">
        <v>2941578</v>
      </c>
      <c r="O1796" s="55">
        <v>719</v>
      </c>
      <c r="P1796" s="78">
        <v>0</v>
      </c>
    </row>
    <row r="1797" spans="9:16" ht="15.75" thickBot="1">
      <c r="I1797" s="882"/>
      <c r="J1797" s="876"/>
      <c r="K1797" s="911"/>
      <c r="L1797" s="880"/>
      <c r="M1797" s="882"/>
      <c r="N1797" s="884"/>
      <c r="O1797" s="56">
        <v>721</v>
      </c>
      <c r="P1797" s="79">
        <f>+N1796-P1796</f>
        <v>2941578</v>
      </c>
    </row>
    <row r="1798" spans="9:16">
      <c r="I1798" s="881"/>
      <c r="J1798" s="875"/>
      <c r="K1798" s="910"/>
      <c r="L1798" s="879"/>
      <c r="M1798" s="881"/>
      <c r="N1798" s="883"/>
      <c r="O1798" s="55">
        <v>719</v>
      </c>
      <c r="P1798" s="78">
        <v>0</v>
      </c>
    </row>
    <row r="1799" spans="9:16" ht="15.75" thickBot="1">
      <c r="I1799" s="882"/>
      <c r="J1799" s="876"/>
      <c r="K1799" s="911"/>
      <c r="L1799" s="880"/>
      <c r="M1799" s="882"/>
      <c r="N1799" s="884"/>
      <c r="O1799" s="56">
        <v>723</v>
      </c>
      <c r="P1799" s="79">
        <f>+N1798-P1798</f>
        <v>0</v>
      </c>
    </row>
    <row r="1800" spans="9:16">
      <c r="I1800" s="881"/>
      <c r="J1800" s="875"/>
      <c r="K1800" s="877"/>
      <c r="L1800" s="879"/>
      <c r="M1800" s="881"/>
      <c r="N1800" s="883"/>
      <c r="O1800" s="55">
        <v>719</v>
      </c>
      <c r="P1800" s="78"/>
    </row>
    <row r="1801" spans="9:16" ht="15.75" thickBot="1">
      <c r="I1801" s="882"/>
      <c r="J1801" s="876"/>
      <c r="K1801" s="878"/>
      <c r="L1801" s="880"/>
      <c r="M1801" s="882"/>
      <c r="N1801" s="884"/>
      <c r="O1801" s="56">
        <v>721</v>
      </c>
      <c r="P1801" s="79">
        <f>+N1800-P1800</f>
        <v>0</v>
      </c>
    </row>
    <row r="1802" spans="9:16" ht="12.75" customHeight="1">
      <c r="I1802" s="881"/>
      <c r="J1802" s="875"/>
      <c r="K1802" s="877"/>
      <c r="L1802" s="879"/>
      <c r="M1802" s="881"/>
      <c r="N1802" s="883"/>
      <c r="O1802" s="55">
        <v>719</v>
      </c>
      <c r="P1802" s="78"/>
    </row>
    <row r="1803" spans="9:16" ht="15.75" thickBot="1">
      <c r="I1803" s="882"/>
      <c r="J1803" s="876"/>
      <c r="K1803" s="878"/>
      <c r="L1803" s="880"/>
      <c r="M1803" s="882"/>
      <c r="N1803" s="884"/>
      <c r="O1803" s="56">
        <v>721</v>
      </c>
      <c r="P1803" s="79">
        <f>+N1802-P1802</f>
        <v>0</v>
      </c>
    </row>
    <row r="1804" spans="9:16">
      <c r="I1804" s="881"/>
      <c r="J1804" s="875"/>
      <c r="K1804" s="877"/>
      <c r="L1804" s="881"/>
      <c r="M1804" s="881"/>
      <c r="N1804" s="883"/>
      <c r="O1804" s="55">
        <v>719</v>
      </c>
      <c r="P1804" s="78"/>
    </row>
    <row r="1805" spans="9:16" ht="14.25" customHeight="1" thickBot="1">
      <c r="I1805" s="882"/>
      <c r="J1805" s="876"/>
      <c r="K1805" s="878"/>
      <c r="L1805" s="882"/>
      <c r="M1805" s="882"/>
      <c r="N1805" s="884"/>
      <c r="O1805" s="56">
        <v>721</v>
      </c>
      <c r="P1805" s="79">
        <f>+N1804-P1804</f>
        <v>0</v>
      </c>
    </row>
    <row r="1806" spans="9:16" ht="16.5" thickBot="1">
      <c r="I1806" s="901" t="s">
        <v>102</v>
      </c>
      <c r="J1806" s="902"/>
      <c r="K1806" s="902"/>
      <c r="L1806" s="902"/>
      <c r="M1806" s="903"/>
      <c r="N1806" s="81">
        <f>SUM(N1796:N1805)</f>
        <v>2941578</v>
      </c>
    </row>
    <row r="1807" spans="9:16" ht="16.5" thickBot="1">
      <c r="I1807" s="885" t="s">
        <v>103</v>
      </c>
      <c r="J1807" s="886"/>
      <c r="K1807" s="886"/>
      <c r="L1807" s="886"/>
      <c r="M1807" s="887"/>
      <c r="N1807" s="69">
        <f>+N1771</f>
        <v>419182481</v>
      </c>
      <c r="O1807" s="241" t="s">
        <v>561</v>
      </c>
      <c r="P1807" s="242"/>
    </row>
    <row r="1808" spans="9:16" ht="16.5" thickBot="1">
      <c r="I1808" s="888" t="s">
        <v>104</v>
      </c>
      <c r="J1808" s="889"/>
      <c r="K1808" s="889"/>
      <c r="L1808" s="889"/>
      <c r="M1808" s="890"/>
      <c r="N1808" s="183">
        <f>SUM(N1806:N1807)</f>
        <v>422124059</v>
      </c>
    </row>
    <row r="1809" spans="9:15">
      <c r="I1809" s="61"/>
      <c r="J1809" s="61"/>
      <c r="K1809" s="61"/>
      <c r="L1809" s="61"/>
      <c r="M1809" s="61"/>
    </row>
    <row r="1810" spans="9:15">
      <c r="I1810" s="51" t="s">
        <v>975</v>
      </c>
    </row>
    <row r="1811" spans="9:15">
      <c r="N1811" s="139"/>
    </row>
    <row r="1812" spans="9:15">
      <c r="I1812" s="50" t="s">
        <v>105</v>
      </c>
      <c r="L1812" s="146"/>
      <c r="N1812" s="139"/>
    </row>
    <row r="1813" spans="9:15" ht="12" customHeight="1" thickBot="1"/>
    <row r="1814" spans="9:15" ht="15.75" thickBot="1">
      <c r="I1814" s="891" t="s">
        <v>106</v>
      </c>
      <c r="J1814" s="892"/>
      <c r="K1814" s="892"/>
      <c r="L1814" s="893"/>
      <c r="N1814" s="50" t="s">
        <v>288</v>
      </c>
    </row>
    <row r="1815" spans="9:15" ht="30.75" thickBot="1">
      <c r="I1815" s="57" t="s">
        <v>100</v>
      </c>
      <c r="J1815" s="58" t="s">
        <v>108</v>
      </c>
      <c r="K1815" s="287" t="s">
        <v>109</v>
      </c>
      <c r="L1815" s="60" t="s">
        <v>110</v>
      </c>
    </row>
    <row r="1816" spans="9:15">
      <c r="I1816" s="71">
        <v>719</v>
      </c>
      <c r="J1816" s="73">
        <f>+P1796+P1798+P1800+P1802+P1804</f>
        <v>0</v>
      </c>
      <c r="K1816" s="74">
        <f>+L1779</f>
        <v>17360000</v>
      </c>
      <c r="L1816" s="195">
        <f>+J1816+K1816</f>
        <v>17360000</v>
      </c>
    </row>
    <row r="1817" spans="9:15">
      <c r="I1817" s="72">
        <v>721</v>
      </c>
      <c r="J1817" s="80">
        <f>+P1797</f>
        <v>2941578</v>
      </c>
      <c r="K1817" s="74">
        <f>+L1780</f>
        <v>5580000</v>
      </c>
      <c r="L1817" s="195">
        <f>+J1817+K1817</f>
        <v>8521578</v>
      </c>
    </row>
    <row r="1818" spans="9:15">
      <c r="I1818" s="72">
        <v>722</v>
      </c>
      <c r="J1818" s="80"/>
      <c r="K1818" s="74">
        <f>+L1781</f>
        <v>0</v>
      </c>
      <c r="L1818" s="195">
        <f>+J1818+K1818</f>
        <v>0</v>
      </c>
    </row>
    <row r="1819" spans="9:15" ht="15.75">
      <c r="I1819" s="72">
        <v>723</v>
      </c>
      <c r="J1819" s="80"/>
      <c r="K1819" s="74">
        <f>+L1782</f>
        <v>396242481</v>
      </c>
      <c r="L1819" s="195">
        <f>+J1819+K1819</f>
        <v>396242481</v>
      </c>
      <c r="N1819" s="193" t="s">
        <v>289</v>
      </c>
      <c r="O1819" s="175"/>
    </row>
    <row r="1820" spans="9:15" ht="16.5" thickBot="1">
      <c r="I1820" s="164" t="s">
        <v>181</v>
      </c>
      <c r="J1820" s="165"/>
      <c r="K1820" s="74">
        <f>+L1783</f>
        <v>0</v>
      </c>
      <c r="L1820" s="196">
        <f>+J1820+K1820</f>
        <v>0</v>
      </c>
      <c r="N1820" s="52"/>
    </row>
    <row r="1821" spans="9:15" ht="16.5" thickBot="1">
      <c r="I1821" s="169"/>
      <c r="J1821" s="197">
        <f>SUM(J1816:J1820)</f>
        <v>2941578</v>
      </c>
      <c r="K1821" s="197">
        <f>SUM(K1816:K1820)</f>
        <v>419182481</v>
      </c>
      <c r="L1821" s="198">
        <f>SUM(L1816:L1820)</f>
        <v>422124059</v>
      </c>
    </row>
    <row r="1822" spans="9:15" ht="16.5">
      <c r="I1822" s="49" t="s">
        <v>88</v>
      </c>
      <c r="J1822" s="50"/>
    </row>
    <row r="1823" spans="9:15">
      <c r="I1823" s="51" t="s">
        <v>89</v>
      </c>
    </row>
    <row r="1824" spans="9:15">
      <c r="I1824" s="51" t="s">
        <v>90</v>
      </c>
    </row>
    <row r="1825" spans="9:16">
      <c r="I1825" s="51" t="s">
        <v>91</v>
      </c>
    </row>
    <row r="1826" spans="9:16" ht="12" customHeight="1">
      <c r="I1826" s="50"/>
      <c r="J1826" s="50"/>
    </row>
    <row r="1827" spans="9:16" ht="15.75">
      <c r="I1827" s="260" t="s">
        <v>973</v>
      </c>
      <c r="O1827" s="52"/>
    </row>
    <row r="1828" spans="9:16" ht="15.75">
      <c r="I1828" s="53" t="s">
        <v>535</v>
      </c>
      <c r="O1828" s="53"/>
    </row>
    <row r="1829" spans="9:16" ht="16.5">
      <c r="I1829" s="894" t="s">
        <v>967</v>
      </c>
      <c r="J1829" s="894"/>
      <c r="K1829" s="894"/>
      <c r="L1829" s="894"/>
      <c r="M1829" s="894"/>
      <c r="N1829" s="894"/>
      <c r="O1829" s="894"/>
      <c r="P1829" s="894"/>
    </row>
    <row r="1830" spans="9:16" ht="15.75" thickBot="1"/>
    <row r="1831" spans="9:16">
      <c r="I1831" s="895" t="s">
        <v>968</v>
      </c>
      <c r="J1831" s="897" t="s">
        <v>95</v>
      </c>
      <c r="K1831" s="897" t="s">
        <v>96</v>
      </c>
      <c r="L1831" s="897" t="s">
        <v>3</v>
      </c>
      <c r="M1831" s="897" t="s">
        <v>97</v>
      </c>
      <c r="N1831" s="897" t="s">
        <v>98</v>
      </c>
      <c r="O1831" s="897" t="s">
        <v>99</v>
      </c>
      <c r="P1831" s="899"/>
    </row>
    <row r="1832" spans="9:16" ht="15.75" thickBot="1">
      <c r="I1832" s="896"/>
      <c r="J1832" s="898"/>
      <c r="K1832" s="898"/>
      <c r="L1832" s="898"/>
      <c r="M1832" s="898"/>
      <c r="N1832" s="898"/>
      <c r="O1832" s="240" t="s">
        <v>100</v>
      </c>
      <c r="P1832" s="182" t="s">
        <v>101</v>
      </c>
    </row>
    <row r="1833" spans="9:16">
      <c r="I1833" s="873" t="s">
        <v>545</v>
      </c>
      <c r="J1833" s="875">
        <v>42520</v>
      </c>
      <c r="K1833" s="910" t="s">
        <v>695</v>
      </c>
      <c r="L1833" s="879" t="s">
        <v>556</v>
      </c>
      <c r="M1833" s="881" t="s">
        <v>148</v>
      </c>
      <c r="N1833" s="883">
        <v>-241240</v>
      </c>
      <c r="O1833" s="55">
        <v>719</v>
      </c>
      <c r="P1833" s="78"/>
    </row>
    <row r="1834" spans="9:16" ht="15.75" thickBot="1">
      <c r="I1834" s="874"/>
      <c r="J1834" s="876"/>
      <c r="K1834" s="911"/>
      <c r="L1834" s="880"/>
      <c r="M1834" s="882"/>
      <c r="N1834" s="884"/>
      <c r="O1834" s="56">
        <v>723</v>
      </c>
      <c r="P1834" s="79">
        <f>+N1833-P1833</f>
        <v>-241240</v>
      </c>
    </row>
    <row r="1835" spans="9:16">
      <c r="I1835" s="873" t="s">
        <v>547</v>
      </c>
      <c r="J1835" s="875">
        <v>42520</v>
      </c>
      <c r="K1835" s="910" t="s">
        <v>695</v>
      </c>
      <c r="L1835" s="879" t="s">
        <v>556</v>
      </c>
      <c r="M1835" s="881" t="s">
        <v>115</v>
      </c>
      <c r="N1835" s="883">
        <v>-525000</v>
      </c>
      <c r="O1835" s="55">
        <v>719</v>
      </c>
      <c r="P1835" s="78"/>
    </row>
    <row r="1836" spans="9:16" ht="15.75" thickBot="1">
      <c r="I1836" s="874"/>
      <c r="J1836" s="876"/>
      <c r="K1836" s="911"/>
      <c r="L1836" s="880"/>
      <c r="M1836" s="882"/>
      <c r="N1836" s="884"/>
      <c r="O1836" s="56">
        <v>723</v>
      </c>
      <c r="P1836" s="79">
        <f>+N1835-P1835</f>
        <v>-525000</v>
      </c>
    </row>
    <row r="1837" spans="9:16" ht="12.75" customHeight="1">
      <c r="I1837" s="873"/>
      <c r="J1837" s="875"/>
      <c r="K1837" s="877"/>
      <c r="L1837" s="879"/>
      <c r="M1837" s="881"/>
      <c r="N1837" s="883"/>
      <c r="O1837" s="55">
        <v>719</v>
      </c>
      <c r="P1837" s="78"/>
    </row>
    <row r="1838" spans="9:16" ht="14.25" customHeight="1" thickBot="1">
      <c r="I1838" s="874"/>
      <c r="J1838" s="876"/>
      <c r="K1838" s="878"/>
      <c r="L1838" s="880"/>
      <c r="M1838" s="882"/>
      <c r="N1838" s="884"/>
      <c r="O1838" s="56">
        <v>723</v>
      </c>
      <c r="P1838" s="79">
        <f>+N1837-P1837</f>
        <v>0</v>
      </c>
    </row>
    <row r="1839" spans="9:16">
      <c r="I1839" s="873"/>
      <c r="J1839" s="875"/>
      <c r="K1839" s="877"/>
      <c r="L1839" s="879"/>
      <c r="M1839" s="881"/>
      <c r="N1839" s="883"/>
      <c r="O1839" s="55">
        <v>719</v>
      </c>
      <c r="P1839" s="78"/>
    </row>
    <row r="1840" spans="9:16" ht="15.75" thickBot="1">
      <c r="I1840" s="874"/>
      <c r="J1840" s="876"/>
      <c r="K1840" s="878"/>
      <c r="L1840" s="880"/>
      <c r="M1840" s="882"/>
      <c r="N1840" s="884"/>
      <c r="O1840" s="56">
        <v>723</v>
      </c>
      <c r="P1840" s="79">
        <f>+N1839-P1839</f>
        <v>0</v>
      </c>
    </row>
    <row r="1841" spans="9:16" ht="12.75" customHeight="1">
      <c r="I1841" s="873"/>
      <c r="J1841" s="875"/>
      <c r="K1841" s="877"/>
      <c r="L1841" s="879"/>
      <c r="M1841" s="881"/>
      <c r="N1841" s="883"/>
      <c r="O1841" s="55">
        <v>719</v>
      </c>
      <c r="P1841" s="78"/>
    </row>
    <row r="1842" spans="9:16" ht="15.75" thickBot="1">
      <c r="I1842" s="874"/>
      <c r="J1842" s="876"/>
      <c r="K1842" s="878"/>
      <c r="L1842" s="880"/>
      <c r="M1842" s="882"/>
      <c r="N1842" s="884"/>
      <c r="O1842" s="56">
        <v>723</v>
      </c>
      <c r="P1842" s="79">
        <f>+N1841-P1841</f>
        <v>0</v>
      </c>
    </row>
    <row r="1843" spans="9:16" ht="16.5" thickBot="1">
      <c r="I1843" s="901" t="s">
        <v>102</v>
      </c>
      <c r="J1843" s="902"/>
      <c r="K1843" s="902"/>
      <c r="L1843" s="902"/>
      <c r="M1843" s="903"/>
      <c r="N1843" s="81">
        <f>SUM(N1833:N1842)</f>
        <v>-766240</v>
      </c>
    </row>
    <row r="1844" spans="9:16" ht="16.5" thickBot="1">
      <c r="I1844" s="885" t="s">
        <v>103</v>
      </c>
      <c r="J1844" s="886"/>
      <c r="K1844" s="886"/>
      <c r="L1844" s="886"/>
      <c r="M1844" s="887"/>
      <c r="N1844" s="69">
        <f>+N1808</f>
        <v>422124059</v>
      </c>
      <c r="O1844" s="241" t="s">
        <v>561</v>
      </c>
      <c r="P1844" s="242"/>
    </row>
    <row r="1845" spans="9:16" ht="16.5" thickBot="1">
      <c r="I1845" s="888" t="s">
        <v>104</v>
      </c>
      <c r="J1845" s="889"/>
      <c r="K1845" s="889"/>
      <c r="L1845" s="889"/>
      <c r="M1845" s="890"/>
      <c r="N1845" s="183">
        <f>SUM(N1843:N1844)</f>
        <v>421357819</v>
      </c>
    </row>
    <row r="1846" spans="9:16">
      <c r="I1846" s="61"/>
      <c r="J1846" s="61"/>
      <c r="K1846" s="61"/>
      <c r="L1846" s="61"/>
      <c r="M1846" s="61"/>
    </row>
    <row r="1847" spans="9:16">
      <c r="I1847" s="51" t="s">
        <v>978</v>
      </c>
    </row>
    <row r="1848" spans="9:16" ht="12" customHeight="1">
      <c r="N1848" s="139"/>
    </row>
    <row r="1849" spans="9:16">
      <c r="I1849" s="50" t="s">
        <v>105</v>
      </c>
      <c r="L1849" s="146"/>
      <c r="N1849" s="139"/>
    </row>
    <row r="1850" spans="9:16" ht="12" customHeight="1" thickBot="1"/>
    <row r="1851" spans="9:16" ht="15.75" thickBot="1">
      <c r="I1851" s="891" t="s">
        <v>106</v>
      </c>
      <c r="J1851" s="892"/>
      <c r="K1851" s="892"/>
      <c r="L1851" s="893"/>
      <c r="N1851" s="50" t="s">
        <v>288</v>
      </c>
    </row>
    <row r="1852" spans="9:16" ht="30.75" thickBot="1">
      <c r="I1852" s="57" t="s">
        <v>100</v>
      </c>
      <c r="J1852" s="58" t="s">
        <v>108</v>
      </c>
      <c r="K1852" s="287" t="s">
        <v>109</v>
      </c>
      <c r="L1852" s="60" t="s">
        <v>110</v>
      </c>
    </row>
    <row r="1853" spans="9:16">
      <c r="I1853" s="71">
        <v>719</v>
      </c>
      <c r="J1853" s="73">
        <f>+P1833+P1835+P1837+P1839+P1841</f>
        <v>0</v>
      </c>
      <c r="K1853" s="74">
        <f>+L1816</f>
        <v>17360000</v>
      </c>
      <c r="L1853" s="195">
        <f>+J1853+K1853</f>
        <v>17360000</v>
      </c>
    </row>
    <row r="1854" spans="9:16">
      <c r="I1854" s="72">
        <v>721</v>
      </c>
      <c r="J1854" s="80">
        <v>0</v>
      </c>
      <c r="K1854" s="74">
        <f>+L1817</f>
        <v>8521578</v>
      </c>
      <c r="L1854" s="195">
        <f>+J1854+K1854</f>
        <v>8521578</v>
      </c>
    </row>
    <row r="1855" spans="9:16">
      <c r="I1855" s="72">
        <v>722</v>
      </c>
      <c r="J1855" s="80"/>
      <c r="K1855" s="74">
        <f>+L1818</f>
        <v>0</v>
      </c>
      <c r="L1855" s="195">
        <f>+J1855+K1855</f>
        <v>0</v>
      </c>
    </row>
    <row r="1856" spans="9:16" ht="15.75">
      <c r="I1856" s="72">
        <v>723</v>
      </c>
      <c r="J1856" s="80">
        <f>+P1842+P1840+P1838+P1836+P1834</f>
        <v>-766240</v>
      </c>
      <c r="K1856" s="74">
        <f>+L1819</f>
        <v>396242481</v>
      </c>
      <c r="L1856" s="195">
        <f>+J1856+K1856</f>
        <v>395476241</v>
      </c>
      <c r="N1856" s="193" t="s">
        <v>289</v>
      </c>
      <c r="O1856" s="175"/>
    </row>
    <row r="1857" spans="9:16" ht="16.5" thickBot="1">
      <c r="I1857" s="164" t="s">
        <v>181</v>
      </c>
      <c r="J1857" s="165"/>
      <c r="K1857" s="74">
        <f>+L1820</f>
        <v>0</v>
      </c>
      <c r="L1857" s="196">
        <f>+J1857+K1857</f>
        <v>0</v>
      </c>
      <c r="N1857" s="52"/>
    </row>
    <row r="1858" spans="9:16" ht="16.5" thickBot="1">
      <c r="I1858" s="169"/>
      <c r="J1858" s="197">
        <f>SUM(J1853:J1857)</f>
        <v>-766240</v>
      </c>
      <c r="K1858" s="197">
        <f>SUM(K1853:K1857)</f>
        <v>422124059</v>
      </c>
      <c r="L1858" s="198">
        <f>SUM(L1853:L1857)</f>
        <v>421357819</v>
      </c>
    </row>
    <row r="1859" spans="9:16" ht="16.5">
      <c r="I1859" s="49" t="s">
        <v>88</v>
      </c>
      <c r="J1859" s="50"/>
    </row>
    <row r="1860" spans="9:16">
      <c r="I1860" s="51" t="s">
        <v>89</v>
      </c>
    </row>
    <row r="1861" spans="9:16">
      <c r="I1861" s="51" t="s">
        <v>90</v>
      </c>
    </row>
    <row r="1862" spans="9:16">
      <c r="I1862" s="51" t="s">
        <v>91</v>
      </c>
    </row>
    <row r="1863" spans="9:16">
      <c r="I1863" s="50"/>
      <c r="J1863" s="50"/>
    </row>
    <row r="1864" spans="9:16" ht="15.75">
      <c r="I1864" s="260" t="s">
        <v>977</v>
      </c>
      <c r="O1864" s="52"/>
    </row>
    <row r="1865" spans="9:16" ht="15.75">
      <c r="I1865" s="53" t="s">
        <v>535</v>
      </c>
      <c r="O1865" s="53"/>
    </row>
    <row r="1866" spans="9:16" ht="16.5">
      <c r="I1866" s="894" t="s">
        <v>967</v>
      </c>
      <c r="J1866" s="894"/>
      <c r="K1866" s="894"/>
      <c r="L1866" s="894"/>
      <c r="M1866" s="894"/>
      <c r="N1866" s="894"/>
      <c r="O1866" s="894"/>
      <c r="P1866" s="894"/>
    </row>
    <row r="1867" spans="9:16" ht="15.75" thickBot="1"/>
    <row r="1868" spans="9:16">
      <c r="I1868" s="895" t="s">
        <v>968</v>
      </c>
      <c r="J1868" s="897" t="s">
        <v>95</v>
      </c>
      <c r="K1868" s="897" t="s">
        <v>96</v>
      </c>
      <c r="L1868" s="897" t="s">
        <v>3</v>
      </c>
      <c r="M1868" s="897" t="s">
        <v>97</v>
      </c>
      <c r="N1868" s="897" t="s">
        <v>98</v>
      </c>
      <c r="O1868" s="897" t="s">
        <v>99</v>
      </c>
      <c r="P1868" s="899"/>
    </row>
    <row r="1869" spans="9:16" ht="15.75" thickBot="1">
      <c r="I1869" s="896"/>
      <c r="J1869" s="898"/>
      <c r="K1869" s="898"/>
      <c r="L1869" s="898"/>
      <c r="M1869" s="898"/>
      <c r="N1869" s="898"/>
      <c r="O1869" s="240" t="s">
        <v>100</v>
      </c>
      <c r="P1869" s="182" t="s">
        <v>101</v>
      </c>
    </row>
    <row r="1870" spans="9:16" ht="13.5" customHeight="1">
      <c r="I1870" s="873" t="s">
        <v>548</v>
      </c>
      <c r="J1870" s="875">
        <v>42520</v>
      </c>
      <c r="K1870" s="877" t="s">
        <v>701</v>
      </c>
      <c r="L1870" s="879" t="s">
        <v>556</v>
      </c>
      <c r="M1870" s="881" t="s">
        <v>148</v>
      </c>
      <c r="N1870" s="883">
        <v>-630000</v>
      </c>
      <c r="O1870" s="55">
        <v>719</v>
      </c>
      <c r="P1870" s="78"/>
    </row>
    <row r="1871" spans="9:16" ht="15.75" customHeight="1" thickBot="1">
      <c r="I1871" s="874"/>
      <c r="J1871" s="876"/>
      <c r="K1871" s="878"/>
      <c r="L1871" s="880"/>
      <c r="M1871" s="882"/>
      <c r="N1871" s="884"/>
      <c r="O1871" s="56">
        <v>723</v>
      </c>
      <c r="P1871" s="79">
        <f>+N1870-P1870</f>
        <v>-630000</v>
      </c>
    </row>
    <row r="1872" spans="9:16" ht="15" customHeight="1">
      <c r="I1872" s="873" t="s">
        <v>549</v>
      </c>
      <c r="J1872" s="875">
        <v>42520</v>
      </c>
      <c r="K1872" s="877" t="s">
        <v>673</v>
      </c>
      <c r="L1872" s="879" t="s">
        <v>556</v>
      </c>
      <c r="M1872" s="881" t="s">
        <v>148</v>
      </c>
      <c r="N1872" s="883">
        <v>-630000</v>
      </c>
      <c r="O1872" s="55">
        <v>719</v>
      </c>
      <c r="P1872" s="78"/>
    </row>
    <row r="1873" spans="9:16" ht="13.5" customHeight="1" thickBot="1">
      <c r="I1873" s="874"/>
      <c r="J1873" s="876"/>
      <c r="K1873" s="878"/>
      <c r="L1873" s="880"/>
      <c r="M1873" s="882"/>
      <c r="N1873" s="884"/>
      <c r="O1873" s="56">
        <v>723</v>
      </c>
      <c r="P1873" s="79">
        <f>+N1872-P1872</f>
        <v>-630000</v>
      </c>
    </row>
    <row r="1874" spans="9:16" ht="15" customHeight="1">
      <c r="I1874" s="873" t="s">
        <v>550</v>
      </c>
      <c r="J1874" s="875">
        <v>42520</v>
      </c>
      <c r="K1874" s="877" t="s">
        <v>729</v>
      </c>
      <c r="L1874" s="879" t="s">
        <v>556</v>
      </c>
      <c r="M1874" s="881" t="s">
        <v>148</v>
      </c>
      <c r="N1874" s="883">
        <v>-945000</v>
      </c>
      <c r="O1874" s="55">
        <v>719</v>
      </c>
      <c r="P1874" s="78"/>
    </row>
    <row r="1875" spans="9:16" ht="15.75" customHeight="1" thickBot="1">
      <c r="I1875" s="874"/>
      <c r="J1875" s="876"/>
      <c r="K1875" s="878"/>
      <c r="L1875" s="880"/>
      <c r="M1875" s="882"/>
      <c r="N1875" s="884"/>
      <c r="O1875" s="56">
        <v>723</v>
      </c>
      <c r="P1875" s="79">
        <f>+N1874-P1874</f>
        <v>-945000</v>
      </c>
    </row>
    <row r="1876" spans="9:16" ht="15" customHeight="1">
      <c r="I1876" s="873" t="s">
        <v>551</v>
      </c>
      <c r="J1876" s="875">
        <v>42520</v>
      </c>
      <c r="K1876" s="877" t="s">
        <v>694</v>
      </c>
      <c r="L1876" s="879" t="s">
        <v>556</v>
      </c>
      <c r="M1876" s="881" t="s">
        <v>148</v>
      </c>
      <c r="N1876" s="883">
        <v>-25611697</v>
      </c>
      <c r="O1876" s="55">
        <v>719</v>
      </c>
      <c r="P1876" s="78"/>
    </row>
    <row r="1877" spans="9:16" ht="15.75" customHeight="1" thickBot="1">
      <c r="I1877" s="874"/>
      <c r="J1877" s="876"/>
      <c r="K1877" s="878"/>
      <c r="L1877" s="880"/>
      <c r="M1877" s="882"/>
      <c r="N1877" s="884"/>
      <c r="O1877" s="56">
        <v>723</v>
      </c>
      <c r="P1877" s="79">
        <f>+N1876-P1876</f>
        <v>-25611697</v>
      </c>
    </row>
    <row r="1878" spans="9:16" ht="12" customHeight="1">
      <c r="I1878" s="873"/>
      <c r="J1878" s="875"/>
      <c r="K1878" s="877"/>
      <c r="L1878" s="879"/>
      <c r="M1878" s="881"/>
      <c r="N1878" s="883"/>
      <c r="O1878" s="55">
        <v>719</v>
      </c>
      <c r="P1878" s="78"/>
    </row>
    <row r="1879" spans="9:16" ht="12" customHeight="1" thickBot="1">
      <c r="I1879" s="874"/>
      <c r="J1879" s="876"/>
      <c r="K1879" s="878"/>
      <c r="L1879" s="880"/>
      <c r="M1879" s="882"/>
      <c r="N1879" s="884"/>
      <c r="O1879" s="56">
        <v>723</v>
      </c>
      <c r="P1879" s="79">
        <f>+N1878-P1878</f>
        <v>0</v>
      </c>
    </row>
    <row r="1880" spans="9:16" ht="16.5" thickBot="1">
      <c r="I1880" s="901" t="s">
        <v>102</v>
      </c>
      <c r="J1880" s="902"/>
      <c r="K1880" s="902"/>
      <c r="L1880" s="902"/>
      <c r="M1880" s="903"/>
      <c r="N1880" s="81">
        <f>SUM(N1870:N1879)</f>
        <v>-27816697</v>
      </c>
    </row>
    <row r="1881" spans="9:16" ht="16.5" thickBot="1">
      <c r="I1881" s="885" t="s">
        <v>103</v>
      </c>
      <c r="J1881" s="886"/>
      <c r="K1881" s="886"/>
      <c r="L1881" s="886"/>
      <c r="M1881" s="887"/>
      <c r="N1881" s="69">
        <f>+N1845</f>
        <v>421357819</v>
      </c>
      <c r="O1881" s="241" t="s">
        <v>561</v>
      </c>
      <c r="P1881" s="242"/>
    </row>
    <row r="1882" spans="9:16" ht="16.5" thickBot="1">
      <c r="I1882" s="888" t="s">
        <v>104</v>
      </c>
      <c r="J1882" s="889"/>
      <c r="K1882" s="889"/>
      <c r="L1882" s="889"/>
      <c r="M1882" s="890"/>
      <c r="N1882" s="183">
        <f>SUM(N1880:N1881)</f>
        <v>393541122</v>
      </c>
    </row>
    <row r="1883" spans="9:16">
      <c r="I1883" s="61"/>
      <c r="J1883" s="61"/>
      <c r="K1883" s="61"/>
      <c r="L1883" s="61"/>
      <c r="M1883" s="61"/>
    </row>
    <row r="1884" spans="9:16">
      <c r="I1884" s="51" t="s">
        <v>989</v>
      </c>
    </row>
    <row r="1885" spans="9:16">
      <c r="N1885" s="139"/>
    </row>
    <row r="1886" spans="9:16">
      <c r="I1886" s="50" t="s">
        <v>105</v>
      </c>
      <c r="L1886" s="146"/>
      <c r="N1886" s="139"/>
    </row>
    <row r="1887" spans="9:16" ht="15.75" thickBot="1"/>
    <row r="1888" spans="9:16" ht="15.75" thickBot="1">
      <c r="I1888" s="891" t="s">
        <v>106</v>
      </c>
      <c r="J1888" s="892"/>
      <c r="K1888" s="892"/>
      <c r="L1888" s="893"/>
      <c r="N1888" s="50" t="s">
        <v>288</v>
      </c>
    </row>
    <row r="1889" spans="9:16" ht="30.75" thickBot="1">
      <c r="I1889" s="57" t="s">
        <v>100</v>
      </c>
      <c r="J1889" s="58" t="s">
        <v>108</v>
      </c>
      <c r="K1889" s="287" t="s">
        <v>109</v>
      </c>
      <c r="L1889" s="60" t="s">
        <v>110</v>
      </c>
    </row>
    <row r="1890" spans="9:16">
      <c r="I1890" s="71">
        <v>719</v>
      </c>
      <c r="J1890" s="73">
        <f>+P1870+P1872+P1876</f>
        <v>0</v>
      </c>
      <c r="K1890" s="74">
        <f>+L1853</f>
        <v>17360000</v>
      </c>
      <c r="L1890" s="195">
        <f>+J1890+K1890</f>
        <v>17360000</v>
      </c>
    </row>
    <row r="1891" spans="9:16">
      <c r="I1891" s="72">
        <v>721</v>
      </c>
      <c r="J1891" s="80">
        <v>0</v>
      </c>
      <c r="K1891" s="74">
        <f>+L1854</f>
        <v>8521578</v>
      </c>
      <c r="L1891" s="195">
        <f>+J1891+K1891</f>
        <v>8521578</v>
      </c>
    </row>
    <row r="1892" spans="9:16">
      <c r="I1892" s="72">
        <v>722</v>
      </c>
      <c r="J1892" s="80"/>
      <c r="K1892" s="74">
        <f>+L1855</f>
        <v>0</v>
      </c>
      <c r="L1892" s="195">
        <f>+J1892+K1892</f>
        <v>0</v>
      </c>
    </row>
    <row r="1893" spans="9:16" ht="15.75">
      <c r="I1893" s="72">
        <v>723</v>
      </c>
      <c r="J1893" s="80">
        <f>+P1877+P1873+P1871+P1875</f>
        <v>-27816697</v>
      </c>
      <c r="K1893" s="74">
        <f>+L1856</f>
        <v>395476241</v>
      </c>
      <c r="L1893" s="195">
        <f>+J1893+K1893</f>
        <v>367659544</v>
      </c>
      <c r="N1893" s="193" t="s">
        <v>289</v>
      </c>
      <c r="O1893" s="175"/>
    </row>
    <row r="1894" spans="9:16" ht="16.5" thickBot="1">
      <c r="I1894" s="164" t="s">
        <v>181</v>
      </c>
      <c r="J1894" s="165"/>
      <c r="K1894" s="74">
        <f>+L1857</f>
        <v>0</v>
      </c>
      <c r="L1894" s="196">
        <f>+J1894+K1894</f>
        <v>0</v>
      </c>
      <c r="N1894" s="52"/>
    </row>
    <row r="1895" spans="9:16" ht="16.5" thickBot="1">
      <c r="I1895" s="169"/>
      <c r="J1895" s="197">
        <f>SUM(J1890:J1894)</f>
        <v>-27816697</v>
      </c>
      <c r="K1895" s="197">
        <f>SUM(K1890:K1894)</f>
        <v>421357819</v>
      </c>
      <c r="L1895" s="198">
        <f>SUM(L1890:L1894)</f>
        <v>393541122</v>
      </c>
    </row>
    <row r="1896" spans="9:16" ht="16.5">
      <c r="I1896" s="49" t="s">
        <v>88</v>
      </c>
      <c r="J1896" s="50"/>
    </row>
    <row r="1897" spans="9:16">
      <c r="I1897" s="51" t="s">
        <v>89</v>
      </c>
    </row>
    <row r="1898" spans="9:16">
      <c r="I1898" s="51" t="s">
        <v>90</v>
      </c>
    </row>
    <row r="1899" spans="9:16">
      <c r="I1899" s="51" t="s">
        <v>91</v>
      </c>
    </row>
    <row r="1900" spans="9:16">
      <c r="I1900" s="50"/>
      <c r="J1900" s="50"/>
    </row>
    <row r="1901" spans="9:16" ht="15.75">
      <c r="I1901" s="260" t="s">
        <v>980</v>
      </c>
      <c r="O1901" s="52"/>
    </row>
    <row r="1902" spans="9:16" ht="15.75">
      <c r="I1902" s="53" t="s">
        <v>535</v>
      </c>
      <c r="O1902" s="53"/>
    </row>
    <row r="1903" spans="9:16" ht="16.5">
      <c r="I1903" s="894" t="s">
        <v>909</v>
      </c>
      <c r="J1903" s="894"/>
      <c r="K1903" s="894"/>
      <c r="L1903" s="894"/>
      <c r="M1903" s="894"/>
      <c r="N1903" s="894"/>
      <c r="O1903" s="894"/>
      <c r="P1903" s="894"/>
    </row>
    <row r="1904" spans="9:16" ht="15.75" thickBot="1"/>
    <row r="1905" spans="9:16">
      <c r="I1905" s="895" t="s">
        <v>94</v>
      </c>
      <c r="J1905" s="897" t="s">
        <v>95</v>
      </c>
      <c r="K1905" s="897" t="s">
        <v>96</v>
      </c>
      <c r="L1905" s="897" t="s">
        <v>3</v>
      </c>
      <c r="M1905" s="897" t="s">
        <v>97</v>
      </c>
      <c r="N1905" s="897" t="s">
        <v>98</v>
      </c>
      <c r="O1905" s="897" t="s">
        <v>99</v>
      </c>
      <c r="P1905" s="899"/>
    </row>
    <row r="1906" spans="9:16" ht="15.75" thickBot="1">
      <c r="I1906" s="896"/>
      <c r="J1906" s="898"/>
      <c r="K1906" s="898"/>
      <c r="L1906" s="898"/>
      <c r="M1906" s="898"/>
      <c r="N1906" s="898"/>
      <c r="O1906" s="240" t="s">
        <v>100</v>
      </c>
      <c r="P1906" s="182" t="s">
        <v>101</v>
      </c>
    </row>
    <row r="1907" spans="9:16">
      <c r="I1907" s="881">
        <v>212</v>
      </c>
      <c r="J1907" s="875">
        <v>42549</v>
      </c>
      <c r="K1907" s="877" t="s">
        <v>272</v>
      </c>
      <c r="L1907" s="879" t="s">
        <v>983</v>
      </c>
      <c r="M1907" s="881" t="s">
        <v>115</v>
      </c>
      <c r="N1907" s="883">
        <v>140000</v>
      </c>
      <c r="O1907" s="55">
        <v>719</v>
      </c>
      <c r="P1907" s="78">
        <v>140000</v>
      </c>
    </row>
    <row r="1908" spans="9:16" ht="15.75" thickBot="1">
      <c r="I1908" s="882"/>
      <c r="J1908" s="876"/>
      <c r="K1908" s="878"/>
      <c r="L1908" s="880"/>
      <c r="M1908" s="882"/>
      <c r="N1908" s="884"/>
      <c r="O1908" s="56">
        <v>721</v>
      </c>
      <c r="P1908" s="79">
        <f>+N1907-P1907</f>
        <v>0</v>
      </c>
    </row>
    <row r="1909" spans="9:16" ht="15" customHeight="1">
      <c r="I1909" s="881">
        <v>213</v>
      </c>
      <c r="J1909" s="875">
        <v>42549</v>
      </c>
      <c r="K1909" s="877" t="s">
        <v>28</v>
      </c>
      <c r="L1909" s="879" t="s">
        <v>982</v>
      </c>
      <c r="M1909" s="881" t="s">
        <v>115</v>
      </c>
      <c r="N1909" s="883">
        <v>40000</v>
      </c>
      <c r="O1909" s="55">
        <v>719</v>
      </c>
      <c r="P1909" s="78">
        <v>40000</v>
      </c>
    </row>
    <row r="1910" spans="9:16" ht="15.75" customHeight="1" thickBot="1">
      <c r="I1910" s="882"/>
      <c r="J1910" s="876"/>
      <c r="K1910" s="878"/>
      <c r="L1910" s="880"/>
      <c r="M1910" s="882"/>
      <c r="N1910" s="884"/>
      <c r="O1910" s="56">
        <v>721</v>
      </c>
      <c r="P1910" s="79">
        <f>+N1909-P1909</f>
        <v>0</v>
      </c>
    </row>
    <row r="1911" spans="9:16" ht="15" customHeight="1">
      <c r="I1911" s="881">
        <v>214</v>
      </c>
      <c r="J1911" s="875">
        <v>42549</v>
      </c>
      <c r="K1911" s="877" t="s">
        <v>120</v>
      </c>
      <c r="L1911" s="879" t="s">
        <v>984</v>
      </c>
      <c r="M1911" s="881" t="s">
        <v>115</v>
      </c>
      <c r="N1911" s="883">
        <v>30000</v>
      </c>
      <c r="O1911" s="55">
        <v>719</v>
      </c>
      <c r="P1911" s="78">
        <v>30000</v>
      </c>
    </row>
    <row r="1912" spans="9:16" ht="15.75" customHeight="1" thickBot="1">
      <c r="I1912" s="882"/>
      <c r="J1912" s="876"/>
      <c r="K1912" s="878"/>
      <c r="L1912" s="880"/>
      <c r="M1912" s="882"/>
      <c r="N1912" s="884"/>
      <c r="O1912" s="56">
        <v>721</v>
      </c>
      <c r="P1912" s="79">
        <f>+N1911-P1911</f>
        <v>0</v>
      </c>
    </row>
    <row r="1913" spans="9:16" ht="15" customHeight="1">
      <c r="I1913" s="881">
        <v>215</v>
      </c>
      <c r="J1913" s="875">
        <v>42549</v>
      </c>
      <c r="K1913" s="877" t="s">
        <v>272</v>
      </c>
      <c r="L1913" s="879" t="s">
        <v>985</v>
      </c>
      <c r="M1913" s="881" t="s">
        <v>115</v>
      </c>
      <c r="N1913" s="883">
        <v>200000</v>
      </c>
      <c r="O1913" s="55">
        <v>719</v>
      </c>
      <c r="P1913" s="78">
        <v>200000</v>
      </c>
    </row>
    <row r="1914" spans="9:16" ht="15.75" customHeight="1" thickBot="1">
      <c r="I1914" s="882"/>
      <c r="J1914" s="876"/>
      <c r="K1914" s="878"/>
      <c r="L1914" s="880"/>
      <c r="M1914" s="882"/>
      <c r="N1914" s="884"/>
      <c r="O1914" s="56">
        <v>721</v>
      </c>
      <c r="P1914" s="79">
        <f>+N1913-P1913</f>
        <v>0</v>
      </c>
    </row>
    <row r="1915" spans="9:16" ht="15" customHeight="1">
      <c r="I1915" s="881"/>
      <c r="J1915" s="875"/>
      <c r="K1915" s="877"/>
      <c r="L1915" s="881"/>
      <c r="M1915" s="881"/>
      <c r="N1915" s="883"/>
      <c r="O1915" s="55">
        <v>719</v>
      </c>
      <c r="P1915" s="78"/>
    </row>
    <row r="1916" spans="9:16" ht="12" customHeight="1" thickBot="1">
      <c r="I1916" s="882"/>
      <c r="J1916" s="876"/>
      <c r="K1916" s="878"/>
      <c r="L1916" s="882"/>
      <c r="M1916" s="882"/>
      <c r="N1916" s="884"/>
      <c r="O1916" s="56">
        <v>721</v>
      </c>
      <c r="P1916" s="79">
        <f>+N1915-P1915</f>
        <v>0</v>
      </c>
    </row>
    <row r="1917" spans="9:16" ht="16.5" thickBot="1">
      <c r="I1917" s="901" t="s">
        <v>102</v>
      </c>
      <c r="J1917" s="902"/>
      <c r="K1917" s="902"/>
      <c r="L1917" s="902"/>
      <c r="M1917" s="903"/>
      <c r="N1917" s="81">
        <f>SUM(N1907:N1916)</f>
        <v>410000</v>
      </c>
    </row>
    <row r="1918" spans="9:16" ht="16.5" thickBot="1">
      <c r="I1918" s="885" t="s">
        <v>103</v>
      </c>
      <c r="J1918" s="886"/>
      <c r="K1918" s="886"/>
      <c r="L1918" s="886"/>
      <c r="M1918" s="887"/>
      <c r="N1918" s="69">
        <f>+N1882</f>
        <v>393541122</v>
      </c>
      <c r="O1918" s="241" t="s">
        <v>561</v>
      </c>
      <c r="P1918" s="242">
        <f>649+441+67+12</f>
        <v>1169</v>
      </c>
    </row>
    <row r="1919" spans="9:16" ht="16.5" thickBot="1">
      <c r="I1919" s="888" t="s">
        <v>104</v>
      </c>
      <c r="J1919" s="889"/>
      <c r="K1919" s="889"/>
      <c r="L1919" s="889"/>
      <c r="M1919" s="890"/>
      <c r="N1919" s="183">
        <f>SUM(N1917:N1918)</f>
        <v>393951122</v>
      </c>
    </row>
    <row r="1920" spans="9:16">
      <c r="I1920" s="61"/>
      <c r="J1920" s="61"/>
      <c r="K1920" s="61"/>
      <c r="L1920" s="61"/>
      <c r="M1920" s="61"/>
    </row>
    <row r="1921" spans="9:15">
      <c r="I1921" s="51" t="s">
        <v>990</v>
      </c>
    </row>
    <row r="1922" spans="9:15" ht="12" customHeight="1">
      <c r="N1922" s="139"/>
    </row>
    <row r="1923" spans="9:15">
      <c r="I1923" s="50" t="s">
        <v>105</v>
      </c>
      <c r="L1923" s="146"/>
      <c r="N1923" s="139"/>
    </row>
    <row r="1924" spans="9:15" ht="12.75" customHeight="1" thickBot="1"/>
    <row r="1925" spans="9:15" ht="15.75" thickBot="1">
      <c r="I1925" s="891" t="s">
        <v>106</v>
      </c>
      <c r="J1925" s="892"/>
      <c r="K1925" s="892"/>
      <c r="L1925" s="893"/>
      <c r="N1925" s="50" t="s">
        <v>288</v>
      </c>
    </row>
    <row r="1926" spans="9:15" ht="30.75" thickBot="1">
      <c r="I1926" s="57" t="s">
        <v>100</v>
      </c>
      <c r="J1926" s="58" t="s">
        <v>108</v>
      </c>
      <c r="K1926" s="287" t="s">
        <v>109</v>
      </c>
      <c r="L1926" s="60" t="s">
        <v>110</v>
      </c>
    </row>
    <row r="1927" spans="9:15">
      <c r="I1927" s="71">
        <v>719</v>
      </c>
      <c r="J1927" s="73">
        <f>+P1907+P1909+P1911+P1913+P1915</f>
        <v>410000</v>
      </c>
      <c r="K1927" s="74">
        <f>+L1890</f>
        <v>17360000</v>
      </c>
      <c r="L1927" s="195">
        <f>+J1927+K1927</f>
        <v>17770000</v>
      </c>
    </row>
    <row r="1928" spans="9:15">
      <c r="I1928" s="72">
        <v>721</v>
      </c>
      <c r="J1928" s="80">
        <f>+P1908+P1910+P1912+P1914</f>
        <v>0</v>
      </c>
      <c r="K1928" s="74">
        <f>+L1891</f>
        <v>8521578</v>
      </c>
      <c r="L1928" s="195">
        <f>+J1928+K1928</f>
        <v>8521578</v>
      </c>
    </row>
    <row r="1929" spans="9:15">
      <c r="I1929" s="72">
        <v>722</v>
      </c>
      <c r="J1929" s="80"/>
      <c r="K1929" s="74">
        <f>+L1892</f>
        <v>0</v>
      </c>
      <c r="L1929" s="195">
        <f>+J1929+K1929</f>
        <v>0</v>
      </c>
    </row>
    <row r="1930" spans="9:15" ht="15.75">
      <c r="I1930" s="72">
        <v>723</v>
      </c>
      <c r="J1930" s="80"/>
      <c r="K1930" s="74">
        <f>+L1893</f>
        <v>367659544</v>
      </c>
      <c r="L1930" s="195">
        <f>+J1930+K1930</f>
        <v>367659544</v>
      </c>
      <c r="N1930" s="193" t="s">
        <v>289</v>
      </c>
      <c r="O1930" s="175"/>
    </row>
    <row r="1931" spans="9:15" ht="16.5" thickBot="1">
      <c r="I1931" s="164" t="s">
        <v>181</v>
      </c>
      <c r="J1931" s="165"/>
      <c r="K1931" s="74">
        <f>+L1894</f>
        <v>0</v>
      </c>
      <c r="L1931" s="196">
        <f>+J1931+K1931</f>
        <v>0</v>
      </c>
      <c r="N1931" s="52"/>
    </row>
    <row r="1932" spans="9:15" ht="16.5" thickBot="1">
      <c r="I1932" s="169"/>
      <c r="J1932" s="197">
        <f>SUM(J1927:J1931)</f>
        <v>410000</v>
      </c>
      <c r="K1932" s="197">
        <f>SUM(K1927:K1931)</f>
        <v>393541122</v>
      </c>
      <c r="L1932" s="198">
        <f>SUM(L1927:L1931)</f>
        <v>393951122</v>
      </c>
    </row>
    <row r="1933" spans="9:15" ht="16.5">
      <c r="I1933" s="49" t="s">
        <v>88</v>
      </c>
      <c r="J1933" s="50"/>
    </row>
    <row r="1934" spans="9:15">
      <c r="I1934" s="51" t="s">
        <v>89</v>
      </c>
    </row>
    <row r="1935" spans="9:15">
      <c r="I1935" s="51" t="s">
        <v>90</v>
      </c>
    </row>
    <row r="1936" spans="9:15">
      <c r="I1936" s="51" t="s">
        <v>91</v>
      </c>
    </row>
    <row r="1937" spans="9:16" ht="11.25" customHeight="1">
      <c r="I1937" s="50"/>
      <c r="J1937" s="50"/>
    </row>
    <row r="1938" spans="9:16" ht="15.75">
      <c r="I1938" s="260" t="s">
        <v>981</v>
      </c>
      <c r="O1938" s="52"/>
    </row>
    <row r="1939" spans="9:16" ht="15.75">
      <c r="I1939" s="53" t="s">
        <v>535</v>
      </c>
      <c r="O1939" s="53"/>
    </row>
    <row r="1940" spans="9:16" ht="16.5">
      <c r="I1940" s="894" t="s">
        <v>909</v>
      </c>
      <c r="J1940" s="894"/>
      <c r="K1940" s="894"/>
      <c r="L1940" s="894"/>
      <c r="M1940" s="894"/>
      <c r="N1940" s="894"/>
      <c r="O1940" s="894"/>
      <c r="P1940" s="894"/>
    </row>
    <row r="1941" spans="9:16" ht="15.75" thickBot="1"/>
    <row r="1942" spans="9:16">
      <c r="I1942" s="895" t="s">
        <v>94</v>
      </c>
      <c r="J1942" s="897" t="s">
        <v>95</v>
      </c>
      <c r="K1942" s="897" t="s">
        <v>96</v>
      </c>
      <c r="L1942" s="897" t="s">
        <v>3</v>
      </c>
      <c r="M1942" s="897" t="s">
        <v>97</v>
      </c>
      <c r="N1942" s="897" t="s">
        <v>98</v>
      </c>
      <c r="O1942" s="897" t="s">
        <v>99</v>
      </c>
      <c r="P1942" s="899"/>
    </row>
    <row r="1943" spans="9:16" ht="15.75" thickBot="1">
      <c r="I1943" s="896"/>
      <c r="J1943" s="898"/>
      <c r="K1943" s="898"/>
      <c r="L1943" s="898"/>
      <c r="M1943" s="898"/>
      <c r="N1943" s="898"/>
      <c r="O1943" s="240" t="s">
        <v>100</v>
      </c>
      <c r="P1943" s="182" t="s">
        <v>101</v>
      </c>
    </row>
    <row r="1944" spans="9:16" ht="15" customHeight="1">
      <c r="I1944" s="881">
        <v>216</v>
      </c>
      <c r="J1944" s="875">
        <v>42549</v>
      </c>
      <c r="K1944" s="877" t="s">
        <v>272</v>
      </c>
      <c r="L1944" s="879" t="s">
        <v>986</v>
      </c>
      <c r="M1944" s="881" t="s">
        <v>115</v>
      </c>
      <c r="N1944" s="883">
        <v>60000</v>
      </c>
      <c r="O1944" s="55">
        <v>719</v>
      </c>
      <c r="P1944" s="78">
        <v>60000</v>
      </c>
    </row>
    <row r="1945" spans="9:16" ht="15.75" customHeight="1" thickBot="1">
      <c r="I1945" s="882"/>
      <c r="J1945" s="876"/>
      <c r="K1945" s="878"/>
      <c r="L1945" s="880"/>
      <c r="M1945" s="882"/>
      <c r="N1945" s="884"/>
      <c r="O1945" s="56">
        <v>721</v>
      </c>
      <c r="P1945" s="79">
        <f>+N1944-P1944</f>
        <v>0</v>
      </c>
    </row>
    <row r="1946" spans="9:16" ht="15" customHeight="1">
      <c r="I1946" s="881">
        <v>217</v>
      </c>
      <c r="J1946" s="875">
        <v>42549</v>
      </c>
      <c r="K1946" s="877" t="s">
        <v>28</v>
      </c>
      <c r="L1946" s="879" t="s">
        <v>987</v>
      </c>
      <c r="M1946" s="881" t="s">
        <v>115</v>
      </c>
      <c r="N1946" s="883">
        <v>50000</v>
      </c>
      <c r="O1946" s="55">
        <v>719</v>
      </c>
      <c r="P1946" s="78">
        <v>50000</v>
      </c>
    </row>
    <row r="1947" spans="9:16" ht="15.75" customHeight="1" thickBot="1">
      <c r="I1947" s="882"/>
      <c r="J1947" s="876"/>
      <c r="K1947" s="878"/>
      <c r="L1947" s="880"/>
      <c r="M1947" s="882"/>
      <c r="N1947" s="884"/>
      <c r="O1947" s="56">
        <v>721</v>
      </c>
      <c r="P1947" s="79">
        <f>+N1946-P1946</f>
        <v>0</v>
      </c>
    </row>
    <row r="1948" spans="9:16" ht="15" customHeight="1">
      <c r="I1948" s="881">
        <v>218</v>
      </c>
      <c r="J1948" s="875">
        <v>42549</v>
      </c>
      <c r="K1948" s="877" t="s">
        <v>28</v>
      </c>
      <c r="L1948" s="879" t="s">
        <v>988</v>
      </c>
      <c r="M1948" s="881" t="s">
        <v>115</v>
      </c>
      <c r="N1948" s="883">
        <v>40000</v>
      </c>
      <c r="O1948" s="55">
        <v>719</v>
      </c>
      <c r="P1948" s="78">
        <v>40000</v>
      </c>
    </row>
    <row r="1949" spans="9:16" ht="15.75" customHeight="1" thickBot="1">
      <c r="I1949" s="882"/>
      <c r="J1949" s="876"/>
      <c r="K1949" s="878"/>
      <c r="L1949" s="880"/>
      <c r="M1949" s="882"/>
      <c r="N1949" s="884"/>
      <c r="O1949" s="56">
        <v>721</v>
      </c>
      <c r="P1949" s="79">
        <f>+N1948-P1948</f>
        <v>0</v>
      </c>
    </row>
    <row r="1950" spans="9:16" ht="15" customHeight="1">
      <c r="I1950" s="881"/>
      <c r="J1950" s="875"/>
      <c r="K1950" s="877"/>
      <c r="L1950" s="879"/>
      <c r="M1950" s="881"/>
      <c r="N1950" s="883"/>
      <c r="O1950" s="55">
        <v>719</v>
      </c>
      <c r="P1950" s="78">
        <v>0</v>
      </c>
    </row>
    <row r="1951" spans="9:16" ht="15.75" customHeight="1" thickBot="1">
      <c r="I1951" s="882"/>
      <c r="J1951" s="876"/>
      <c r="K1951" s="878"/>
      <c r="L1951" s="880"/>
      <c r="M1951" s="882"/>
      <c r="N1951" s="884"/>
      <c r="O1951" s="56">
        <v>721</v>
      </c>
      <c r="P1951" s="79">
        <f>+N1950-P1950</f>
        <v>0</v>
      </c>
    </row>
    <row r="1952" spans="9:16">
      <c r="I1952" s="881"/>
      <c r="J1952" s="875"/>
      <c r="K1952" s="877"/>
      <c r="L1952" s="881"/>
      <c r="M1952" s="881"/>
      <c r="N1952" s="883"/>
      <c r="O1952" s="55">
        <v>719</v>
      </c>
      <c r="P1952" s="78"/>
    </row>
    <row r="1953" spans="9:16" ht="15.75" thickBot="1">
      <c r="I1953" s="882"/>
      <c r="J1953" s="876"/>
      <c r="K1953" s="878"/>
      <c r="L1953" s="882"/>
      <c r="M1953" s="882"/>
      <c r="N1953" s="884"/>
      <c r="O1953" s="56">
        <v>721</v>
      </c>
      <c r="P1953" s="79">
        <f>+N1952-P1952</f>
        <v>0</v>
      </c>
    </row>
    <row r="1954" spans="9:16" ht="16.5" thickBot="1">
      <c r="I1954" s="901" t="s">
        <v>102</v>
      </c>
      <c r="J1954" s="902"/>
      <c r="K1954" s="902"/>
      <c r="L1954" s="902"/>
      <c r="M1954" s="903"/>
      <c r="N1954" s="81">
        <f>SUM(N1944:N1953)</f>
        <v>150000</v>
      </c>
    </row>
    <row r="1955" spans="9:16" ht="16.5" thickBot="1">
      <c r="I1955" s="885" t="s">
        <v>103</v>
      </c>
      <c r="J1955" s="886"/>
      <c r="K1955" s="886"/>
      <c r="L1955" s="886"/>
      <c r="M1955" s="887"/>
      <c r="N1955" s="69">
        <f>+N1919</f>
        <v>393951122</v>
      </c>
      <c r="O1955" s="241" t="s">
        <v>561</v>
      </c>
      <c r="P1955" s="242">
        <f>314+120+93</f>
        <v>527</v>
      </c>
    </row>
    <row r="1956" spans="9:16" ht="16.5" thickBot="1">
      <c r="I1956" s="888" t="s">
        <v>104</v>
      </c>
      <c r="J1956" s="889"/>
      <c r="K1956" s="889"/>
      <c r="L1956" s="889"/>
      <c r="M1956" s="890"/>
      <c r="N1956" s="183">
        <f>SUM(N1954:N1955)</f>
        <v>394101122</v>
      </c>
    </row>
    <row r="1957" spans="9:16" ht="14.25" customHeight="1">
      <c r="I1957" s="61"/>
      <c r="J1957" s="61"/>
      <c r="K1957" s="61"/>
      <c r="L1957" s="61"/>
      <c r="M1957" s="61"/>
    </row>
    <row r="1958" spans="9:16">
      <c r="I1958" s="51" t="s">
        <v>991</v>
      </c>
    </row>
    <row r="1959" spans="9:16" ht="11.25" customHeight="1">
      <c r="N1959" s="139"/>
    </row>
    <row r="1960" spans="9:16">
      <c r="I1960" s="50" t="s">
        <v>105</v>
      </c>
      <c r="L1960" s="146"/>
      <c r="N1960" s="139"/>
    </row>
    <row r="1961" spans="9:16" ht="12" customHeight="1" thickBot="1"/>
    <row r="1962" spans="9:16" ht="15.75" thickBot="1">
      <c r="I1962" s="891" t="s">
        <v>106</v>
      </c>
      <c r="J1962" s="892"/>
      <c r="K1962" s="892"/>
      <c r="L1962" s="893"/>
      <c r="N1962" s="50" t="s">
        <v>288</v>
      </c>
    </row>
    <row r="1963" spans="9:16" ht="30.75" thickBot="1">
      <c r="I1963" s="57" t="s">
        <v>100</v>
      </c>
      <c r="J1963" s="58" t="s">
        <v>108</v>
      </c>
      <c r="K1963" s="287" t="s">
        <v>109</v>
      </c>
      <c r="L1963" s="60" t="s">
        <v>110</v>
      </c>
    </row>
    <row r="1964" spans="9:16">
      <c r="I1964" s="71">
        <v>719</v>
      </c>
      <c r="J1964" s="73">
        <f>+P1944+P1946+P1948+P1950+P1952</f>
        <v>150000</v>
      </c>
      <c r="K1964" s="74">
        <f>+L1927</f>
        <v>17770000</v>
      </c>
      <c r="L1964" s="195">
        <f>+J1964+K1964</f>
        <v>17920000</v>
      </c>
    </row>
    <row r="1965" spans="9:16">
      <c r="I1965" s="72">
        <v>721</v>
      </c>
      <c r="J1965" s="80">
        <f>+P1945+P1947+P1949+P1951</f>
        <v>0</v>
      </c>
      <c r="K1965" s="74">
        <f>+L1928</f>
        <v>8521578</v>
      </c>
      <c r="L1965" s="195">
        <f>+J1965+K1965</f>
        <v>8521578</v>
      </c>
    </row>
    <row r="1966" spans="9:16">
      <c r="I1966" s="72">
        <v>722</v>
      </c>
      <c r="J1966" s="80"/>
      <c r="K1966" s="74">
        <f>+L1929</f>
        <v>0</v>
      </c>
      <c r="L1966" s="195">
        <f>+J1966+K1966</f>
        <v>0</v>
      </c>
    </row>
    <row r="1967" spans="9:16" ht="15.75">
      <c r="I1967" s="72">
        <v>723</v>
      </c>
      <c r="J1967" s="80"/>
      <c r="K1967" s="74">
        <f>+L1930</f>
        <v>367659544</v>
      </c>
      <c r="L1967" s="195">
        <f>+J1967+K1967</f>
        <v>367659544</v>
      </c>
      <c r="N1967" s="193" t="s">
        <v>289</v>
      </c>
      <c r="O1967" s="175"/>
    </row>
    <row r="1968" spans="9:16" ht="16.5" thickBot="1">
      <c r="I1968" s="164" t="s">
        <v>181</v>
      </c>
      <c r="J1968" s="165"/>
      <c r="K1968" s="74">
        <f>+L1931</f>
        <v>0</v>
      </c>
      <c r="L1968" s="196">
        <f>+J1968+K1968</f>
        <v>0</v>
      </c>
      <c r="N1968" s="52"/>
    </row>
    <row r="1969" spans="9:16" ht="16.5" thickBot="1">
      <c r="I1969" s="169"/>
      <c r="J1969" s="197">
        <f>SUM(J1964:J1968)</f>
        <v>150000</v>
      </c>
      <c r="K1969" s="197">
        <f>SUM(K1964:K1968)</f>
        <v>393951122</v>
      </c>
      <c r="L1969" s="198">
        <f>SUM(L1964:L1968)</f>
        <v>394101122</v>
      </c>
    </row>
    <row r="1970" spans="9:16" ht="16.5">
      <c r="I1970" s="49" t="s">
        <v>88</v>
      </c>
      <c r="J1970" s="50"/>
    </row>
    <row r="1971" spans="9:16">
      <c r="I1971" s="51" t="s">
        <v>89</v>
      </c>
    </row>
    <row r="1972" spans="9:16">
      <c r="I1972" s="51" t="s">
        <v>90</v>
      </c>
    </row>
    <row r="1973" spans="9:16">
      <c r="I1973" s="51" t="s">
        <v>91</v>
      </c>
    </row>
    <row r="1974" spans="9:16" ht="11.25" customHeight="1">
      <c r="I1974" s="50"/>
      <c r="J1974" s="50"/>
    </row>
    <row r="1975" spans="9:16" ht="15.75">
      <c r="I1975" s="260" t="s">
        <v>992</v>
      </c>
      <c r="O1975" s="52"/>
    </row>
    <row r="1976" spans="9:16" ht="15.75">
      <c r="I1976" s="53" t="s">
        <v>535</v>
      </c>
      <c r="O1976" s="53"/>
    </row>
    <row r="1977" spans="9:16" ht="16.5">
      <c r="I1977" s="894" t="s">
        <v>909</v>
      </c>
      <c r="J1977" s="894"/>
      <c r="K1977" s="894"/>
      <c r="L1977" s="894"/>
      <c r="M1977" s="894"/>
      <c r="N1977" s="894"/>
      <c r="O1977" s="894"/>
      <c r="P1977" s="894"/>
    </row>
    <row r="1978" spans="9:16" ht="15.75" thickBot="1"/>
    <row r="1979" spans="9:16">
      <c r="I1979" s="895" t="s">
        <v>94</v>
      </c>
      <c r="J1979" s="897" t="s">
        <v>95</v>
      </c>
      <c r="K1979" s="897" t="s">
        <v>96</v>
      </c>
      <c r="L1979" s="897" t="s">
        <v>3</v>
      </c>
      <c r="M1979" s="897" t="s">
        <v>97</v>
      </c>
      <c r="N1979" s="897" t="s">
        <v>98</v>
      </c>
      <c r="O1979" s="897" t="s">
        <v>99</v>
      </c>
      <c r="P1979" s="899"/>
    </row>
    <row r="1980" spans="9:16" ht="15.75" thickBot="1">
      <c r="I1980" s="896"/>
      <c r="J1980" s="898"/>
      <c r="K1980" s="898"/>
      <c r="L1980" s="898"/>
      <c r="M1980" s="898"/>
      <c r="N1980" s="898"/>
      <c r="O1980" s="240" t="s">
        <v>100</v>
      </c>
      <c r="P1980" s="182" t="s">
        <v>101</v>
      </c>
    </row>
    <row r="1981" spans="9:16">
      <c r="I1981" s="881">
        <v>219</v>
      </c>
      <c r="J1981" s="875">
        <v>42549</v>
      </c>
      <c r="K1981" s="877" t="s">
        <v>272</v>
      </c>
      <c r="L1981" s="879" t="s">
        <v>996</v>
      </c>
      <c r="M1981" s="881" t="s">
        <v>115</v>
      </c>
      <c r="N1981" s="883">
        <v>190000</v>
      </c>
      <c r="O1981" s="55">
        <v>719</v>
      </c>
      <c r="P1981" s="78">
        <v>190000</v>
      </c>
    </row>
    <row r="1982" spans="9:16" ht="15.75" thickBot="1">
      <c r="I1982" s="882"/>
      <c r="J1982" s="876"/>
      <c r="K1982" s="878"/>
      <c r="L1982" s="880"/>
      <c r="M1982" s="882"/>
      <c r="N1982" s="884"/>
      <c r="O1982" s="56">
        <v>721</v>
      </c>
      <c r="P1982" s="79">
        <f>+N1981-P1981</f>
        <v>0</v>
      </c>
    </row>
    <row r="1983" spans="9:16">
      <c r="I1983" s="881">
        <v>220</v>
      </c>
      <c r="J1983" s="875">
        <v>42549</v>
      </c>
      <c r="K1983" s="877" t="s">
        <v>28</v>
      </c>
      <c r="L1983" s="879" t="s">
        <v>993</v>
      </c>
      <c r="M1983" s="881" t="s">
        <v>115</v>
      </c>
      <c r="N1983" s="883">
        <v>60000</v>
      </c>
      <c r="O1983" s="55">
        <v>719</v>
      </c>
      <c r="P1983" s="78">
        <v>60000</v>
      </c>
    </row>
    <row r="1984" spans="9:16" ht="15.75" thickBot="1">
      <c r="I1984" s="882"/>
      <c r="J1984" s="876"/>
      <c r="K1984" s="878"/>
      <c r="L1984" s="880"/>
      <c r="M1984" s="882"/>
      <c r="N1984" s="884"/>
      <c r="O1984" s="56">
        <v>721</v>
      </c>
      <c r="P1984" s="79">
        <f>+N1983-P1983</f>
        <v>0</v>
      </c>
    </row>
    <row r="1985" spans="9:16">
      <c r="I1985" s="881">
        <v>221</v>
      </c>
      <c r="J1985" s="875">
        <v>42549</v>
      </c>
      <c r="K1985" s="877" t="s">
        <v>120</v>
      </c>
      <c r="L1985" s="879" t="s">
        <v>994</v>
      </c>
      <c r="M1985" s="881" t="s">
        <v>115</v>
      </c>
      <c r="N1985" s="883">
        <v>50000</v>
      </c>
      <c r="O1985" s="55">
        <v>719</v>
      </c>
      <c r="P1985" s="78">
        <v>50000</v>
      </c>
    </row>
    <row r="1986" spans="9:16" ht="15.75" thickBot="1">
      <c r="I1986" s="882"/>
      <c r="J1986" s="876"/>
      <c r="K1986" s="878"/>
      <c r="L1986" s="880"/>
      <c r="M1986" s="882"/>
      <c r="N1986" s="884"/>
      <c r="O1986" s="56">
        <v>721</v>
      </c>
      <c r="P1986" s="79">
        <f>+N1985-P1985</f>
        <v>0</v>
      </c>
    </row>
    <row r="1987" spans="9:16">
      <c r="I1987" s="881"/>
      <c r="J1987" s="875"/>
      <c r="K1987" s="877"/>
      <c r="L1987" s="879"/>
      <c r="M1987" s="881"/>
      <c r="N1987" s="883"/>
      <c r="O1987" s="55">
        <v>719</v>
      </c>
      <c r="P1987" s="78">
        <v>0</v>
      </c>
    </row>
    <row r="1988" spans="9:16" ht="13.5" customHeight="1" thickBot="1">
      <c r="I1988" s="882"/>
      <c r="J1988" s="876"/>
      <c r="K1988" s="878"/>
      <c r="L1988" s="880"/>
      <c r="M1988" s="882"/>
      <c r="N1988" s="884"/>
      <c r="O1988" s="56">
        <v>721</v>
      </c>
      <c r="P1988" s="79">
        <f>+N1987-P1987</f>
        <v>0</v>
      </c>
    </row>
    <row r="1989" spans="9:16">
      <c r="I1989" s="881"/>
      <c r="J1989" s="875"/>
      <c r="K1989" s="877"/>
      <c r="L1989" s="881"/>
      <c r="M1989" s="881"/>
      <c r="N1989" s="883"/>
      <c r="O1989" s="55">
        <v>719</v>
      </c>
      <c r="P1989" s="78"/>
    </row>
    <row r="1990" spans="9:16" ht="12" customHeight="1" thickBot="1">
      <c r="I1990" s="882"/>
      <c r="J1990" s="876"/>
      <c r="K1990" s="878"/>
      <c r="L1990" s="882"/>
      <c r="M1990" s="882"/>
      <c r="N1990" s="884"/>
      <c r="O1990" s="56">
        <v>721</v>
      </c>
      <c r="P1990" s="79">
        <f>+N1989-P1989</f>
        <v>0</v>
      </c>
    </row>
    <row r="1991" spans="9:16" ht="16.5" thickBot="1">
      <c r="I1991" s="901" t="s">
        <v>102</v>
      </c>
      <c r="J1991" s="902"/>
      <c r="K1991" s="902"/>
      <c r="L1991" s="902"/>
      <c r="M1991" s="903"/>
      <c r="N1991" s="81">
        <f>SUM(N1981:N1990)</f>
        <v>300000</v>
      </c>
    </row>
    <row r="1992" spans="9:16" ht="16.5" thickBot="1">
      <c r="I1992" s="885" t="s">
        <v>103</v>
      </c>
      <c r="J1992" s="886"/>
      <c r="K1992" s="886"/>
      <c r="L1992" s="886"/>
      <c r="M1992" s="887"/>
      <c r="N1992" s="69">
        <f>+N1956</f>
        <v>394101122</v>
      </c>
      <c r="O1992" s="241" t="s">
        <v>561</v>
      </c>
      <c r="P1992" s="242">
        <f>50+174+606</f>
        <v>830</v>
      </c>
    </row>
    <row r="1993" spans="9:16" ht="16.5" thickBot="1">
      <c r="I1993" s="888" t="s">
        <v>104</v>
      </c>
      <c r="J1993" s="889"/>
      <c r="K1993" s="889"/>
      <c r="L1993" s="889"/>
      <c r="M1993" s="890"/>
      <c r="N1993" s="183">
        <f>SUM(N1991:N1992)</f>
        <v>394401122</v>
      </c>
    </row>
    <row r="1994" spans="9:16">
      <c r="I1994" s="61"/>
      <c r="J1994" s="61"/>
      <c r="K1994" s="61"/>
      <c r="L1994" s="61"/>
      <c r="M1994" s="61"/>
    </row>
    <row r="1995" spans="9:16">
      <c r="I1995" s="51" t="s">
        <v>995</v>
      </c>
    </row>
    <row r="1996" spans="9:16">
      <c r="N1996" s="139"/>
    </row>
    <row r="1997" spans="9:16">
      <c r="I1997" s="50" t="s">
        <v>105</v>
      </c>
      <c r="L1997" s="146"/>
      <c r="N1997" s="139"/>
    </row>
    <row r="1998" spans="9:16" ht="12.75" customHeight="1" thickBot="1"/>
    <row r="1999" spans="9:16" ht="15.75" thickBot="1">
      <c r="I1999" s="891" t="s">
        <v>106</v>
      </c>
      <c r="J1999" s="892"/>
      <c r="K1999" s="892"/>
      <c r="L1999" s="893"/>
      <c r="N1999" s="50" t="s">
        <v>288</v>
      </c>
    </row>
    <row r="2000" spans="9:16" ht="30.75" thickBot="1">
      <c r="I2000" s="57" t="s">
        <v>100</v>
      </c>
      <c r="J2000" s="58" t="s">
        <v>108</v>
      </c>
      <c r="K2000" s="287" t="s">
        <v>109</v>
      </c>
      <c r="L2000" s="60" t="s">
        <v>110</v>
      </c>
    </row>
    <row r="2001" spans="9:16">
      <c r="I2001" s="71">
        <v>719</v>
      </c>
      <c r="J2001" s="73">
        <f>+P1981+P1983+P1985+P1987+P1989</f>
        <v>300000</v>
      </c>
      <c r="K2001" s="74">
        <f>+L1964</f>
        <v>17920000</v>
      </c>
      <c r="L2001" s="195">
        <f>+J2001+K2001</f>
        <v>18220000</v>
      </c>
    </row>
    <row r="2002" spans="9:16">
      <c r="I2002" s="72">
        <v>721</v>
      </c>
      <c r="J2002" s="80">
        <f>+P1982+P1984+P1986+P1988</f>
        <v>0</v>
      </c>
      <c r="K2002" s="74">
        <f>+L1965</f>
        <v>8521578</v>
      </c>
      <c r="L2002" s="195">
        <f>+J2002+K2002</f>
        <v>8521578</v>
      </c>
    </row>
    <row r="2003" spans="9:16">
      <c r="I2003" s="72">
        <v>722</v>
      </c>
      <c r="J2003" s="80"/>
      <c r="K2003" s="74">
        <f>+L1966</f>
        <v>0</v>
      </c>
      <c r="L2003" s="195">
        <f>+J2003+K2003</f>
        <v>0</v>
      </c>
    </row>
    <row r="2004" spans="9:16" ht="15.75">
      <c r="I2004" s="72">
        <v>723</v>
      </c>
      <c r="J2004" s="80"/>
      <c r="K2004" s="74">
        <f>+L1967</f>
        <v>367659544</v>
      </c>
      <c r="L2004" s="195">
        <f>+J2004+K2004</f>
        <v>367659544</v>
      </c>
      <c r="N2004" s="193" t="s">
        <v>289</v>
      </c>
      <c r="O2004" s="175"/>
    </row>
    <row r="2005" spans="9:16" ht="16.5" thickBot="1">
      <c r="I2005" s="164" t="s">
        <v>181</v>
      </c>
      <c r="J2005" s="165"/>
      <c r="K2005" s="74">
        <f>+L1968</f>
        <v>0</v>
      </c>
      <c r="L2005" s="196">
        <f>+J2005+K2005</f>
        <v>0</v>
      </c>
      <c r="N2005" s="52"/>
    </row>
    <row r="2006" spans="9:16" ht="16.5" thickBot="1">
      <c r="I2006" s="169"/>
      <c r="J2006" s="197">
        <f>SUM(J2001:J2005)</f>
        <v>300000</v>
      </c>
      <c r="K2006" s="197">
        <f>SUM(K2001:K2005)</f>
        <v>394101122</v>
      </c>
      <c r="L2006" s="198">
        <f>SUM(L2001:L2005)</f>
        <v>394401122</v>
      </c>
    </row>
    <row r="2007" spans="9:16" ht="16.5">
      <c r="I2007" s="49" t="s">
        <v>88</v>
      </c>
      <c r="J2007" s="50"/>
    </row>
    <row r="2008" spans="9:16">
      <c r="I2008" s="51" t="s">
        <v>89</v>
      </c>
    </row>
    <row r="2009" spans="9:16">
      <c r="I2009" s="51" t="s">
        <v>90</v>
      </c>
    </row>
    <row r="2010" spans="9:16">
      <c r="I2010" s="51" t="s">
        <v>91</v>
      </c>
    </row>
    <row r="2011" spans="9:16" ht="12.75" customHeight="1">
      <c r="I2011" s="50"/>
      <c r="J2011" s="50"/>
    </row>
    <row r="2012" spans="9:16" ht="15.75">
      <c r="I2012" s="260" t="s">
        <v>997</v>
      </c>
      <c r="O2012" s="52"/>
    </row>
    <row r="2013" spans="9:16" ht="15.75">
      <c r="I2013" s="53" t="s">
        <v>535</v>
      </c>
      <c r="O2013" s="53"/>
    </row>
    <row r="2014" spans="9:16" ht="16.5">
      <c r="I2014" s="894" t="s">
        <v>909</v>
      </c>
      <c r="J2014" s="894"/>
      <c r="K2014" s="894"/>
      <c r="L2014" s="894"/>
      <c r="M2014" s="894"/>
      <c r="N2014" s="894"/>
      <c r="O2014" s="894"/>
      <c r="P2014" s="894"/>
    </row>
    <row r="2015" spans="9:16" ht="15.75" thickBot="1"/>
    <row r="2016" spans="9:16">
      <c r="I2016" s="895" t="s">
        <v>94</v>
      </c>
      <c r="J2016" s="897" t="s">
        <v>95</v>
      </c>
      <c r="K2016" s="897" t="s">
        <v>96</v>
      </c>
      <c r="L2016" s="897" t="s">
        <v>3</v>
      </c>
      <c r="M2016" s="897" t="s">
        <v>97</v>
      </c>
      <c r="N2016" s="897" t="s">
        <v>98</v>
      </c>
      <c r="O2016" s="897" t="s">
        <v>99</v>
      </c>
      <c r="P2016" s="899"/>
    </row>
    <row r="2017" spans="9:16" ht="15.75" thickBot="1">
      <c r="I2017" s="896"/>
      <c r="J2017" s="898"/>
      <c r="K2017" s="898"/>
      <c r="L2017" s="898"/>
      <c r="M2017" s="898"/>
      <c r="N2017" s="898"/>
      <c r="O2017" s="240" t="s">
        <v>100</v>
      </c>
      <c r="P2017" s="182" t="s">
        <v>101</v>
      </c>
    </row>
    <row r="2018" spans="9:16">
      <c r="I2018" s="881">
        <v>222</v>
      </c>
      <c r="J2018" s="875">
        <v>42551</v>
      </c>
      <c r="K2018" s="877" t="s">
        <v>40</v>
      </c>
      <c r="L2018" s="879" t="s">
        <v>999</v>
      </c>
      <c r="M2018" s="881" t="s">
        <v>148</v>
      </c>
      <c r="N2018" s="883">
        <v>28000</v>
      </c>
      <c r="O2018" s="55">
        <v>719</v>
      </c>
      <c r="P2018" s="78">
        <v>20000</v>
      </c>
    </row>
    <row r="2019" spans="9:16" ht="15.75" thickBot="1">
      <c r="I2019" s="882"/>
      <c r="J2019" s="876"/>
      <c r="K2019" s="878"/>
      <c r="L2019" s="880"/>
      <c r="M2019" s="882"/>
      <c r="N2019" s="884"/>
      <c r="O2019" s="56">
        <v>721</v>
      </c>
      <c r="P2019" s="79">
        <f>+N2018-P2018</f>
        <v>8000</v>
      </c>
    </row>
    <row r="2020" spans="9:16" ht="15" customHeight="1">
      <c r="I2020" s="881">
        <v>223</v>
      </c>
      <c r="J2020" s="875">
        <v>42551</v>
      </c>
      <c r="K2020" s="877" t="s">
        <v>28</v>
      </c>
      <c r="L2020" s="879" t="s">
        <v>983</v>
      </c>
      <c r="M2020" s="881" t="s">
        <v>148</v>
      </c>
      <c r="N2020" s="883">
        <v>294000</v>
      </c>
      <c r="O2020" s="55">
        <v>719</v>
      </c>
      <c r="P2020" s="78">
        <v>210000</v>
      </c>
    </row>
    <row r="2021" spans="9:16" ht="15.75" customHeight="1" thickBot="1">
      <c r="I2021" s="882"/>
      <c r="J2021" s="876"/>
      <c r="K2021" s="878"/>
      <c r="L2021" s="880"/>
      <c r="M2021" s="882"/>
      <c r="N2021" s="884"/>
      <c r="O2021" s="56">
        <v>721</v>
      </c>
      <c r="P2021" s="79">
        <f>+N2020-P2020</f>
        <v>84000</v>
      </c>
    </row>
    <row r="2022" spans="9:16" ht="15" customHeight="1">
      <c r="I2022" s="881">
        <v>224</v>
      </c>
      <c r="J2022" s="875">
        <v>42551</v>
      </c>
      <c r="K2022" s="877" t="s">
        <v>111</v>
      </c>
      <c r="L2022" s="879" t="s">
        <v>1000</v>
      </c>
      <c r="M2022" s="881" t="s">
        <v>148</v>
      </c>
      <c r="N2022" s="883">
        <v>84000</v>
      </c>
      <c r="O2022" s="55">
        <v>719</v>
      </c>
      <c r="P2022" s="78">
        <v>60000</v>
      </c>
    </row>
    <row r="2023" spans="9:16" ht="15.75" customHeight="1" thickBot="1">
      <c r="I2023" s="882"/>
      <c r="J2023" s="876"/>
      <c r="K2023" s="878"/>
      <c r="L2023" s="880"/>
      <c r="M2023" s="882"/>
      <c r="N2023" s="884"/>
      <c r="O2023" s="56">
        <v>721</v>
      </c>
      <c r="P2023" s="79">
        <f>+N2022-P2022</f>
        <v>24000</v>
      </c>
    </row>
    <row r="2024" spans="9:16" ht="15" customHeight="1">
      <c r="I2024" s="881">
        <v>225</v>
      </c>
      <c r="J2024" s="875">
        <v>42551</v>
      </c>
      <c r="K2024" s="877" t="s">
        <v>272</v>
      </c>
      <c r="L2024" s="879" t="s">
        <v>983</v>
      </c>
      <c r="M2024" s="881" t="s">
        <v>148</v>
      </c>
      <c r="N2024" s="883">
        <v>672000</v>
      </c>
      <c r="O2024" s="55">
        <v>719</v>
      </c>
      <c r="P2024" s="78">
        <v>480000</v>
      </c>
    </row>
    <row r="2025" spans="9:16" ht="15.75" customHeight="1" thickBot="1">
      <c r="I2025" s="882"/>
      <c r="J2025" s="876"/>
      <c r="K2025" s="878"/>
      <c r="L2025" s="880"/>
      <c r="M2025" s="882"/>
      <c r="N2025" s="884"/>
      <c r="O2025" s="56">
        <v>721</v>
      </c>
      <c r="P2025" s="79">
        <f>+N2024-P2024</f>
        <v>192000</v>
      </c>
    </row>
    <row r="2026" spans="9:16" ht="14.25" customHeight="1">
      <c r="I2026" s="881"/>
      <c r="J2026" s="875"/>
      <c r="K2026" s="877"/>
      <c r="L2026" s="881"/>
      <c r="M2026" s="881"/>
      <c r="N2026" s="883"/>
      <c r="O2026" s="55">
        <v>719</v>
      </c>
      <c r="P2026" s="78"/>
    </row>
    <row r="2027" spans="9:16" ht="12.75" customHeight="1" thickBot="1">
      <c r="I2027" s="882"/>
      <c r="J2027" s="876"/>
      <c r="K2027" s="878"/>
      <c r="L2027" s="882"/>
      <c r="M2027" s="882"/>
      <c r="N2027" s="884"/>
      <c r="O2027" s="56">
        <v>721</v>
      </c>
      <c r="P2027" s="79">
        <f>+N2026-P2026</f>
        <v>0</v>
      </c>
    </row>
    <row r="2028" spans="9:16" ht="16.5" thickBot="1">
      <c r="I2028" s="901" t="s">
        <v>102</v>
      </c>
      <c r="J2028" s="902"/>
      <c r="K2028" s="902"/>
      <c r="L2028" s="902"/>
      <c r="M2028" s="903"/>
      <c r="N2028" s="81">
        <f>SUM(N2018:N2027)</f>
        <v>1078000</v>
      </c>
    </row>
    <row r="2029" spans="9:16" ht="16.5" thickBot="1">
      <c r="I2029" s="885" t="s">
        <v>103</v>
      </c>
      <c r="J2029" s="886"/>
      <c r="K2029" s="886"/>
      <c r="L2029" s="886"/>
      <c r="M2029" s="887"/>
      <c r="N2029" s="69">
        <f>+N1993</f>
        <v>394401122</v>
      </c>
      <c r="O2029" s="241" t="s">
        <v>561</v>
      </c>
      <c r="P2029" s="242">
        <f>22+571+21+917</f>
        <v>1531</v>
      </c>
    </row>
    <row r="2030" spans="9:16" ht="16.5" thickBot="1">
      <c r="I2030" s="888" t="s">
        <v>104</v>
      </c>
      <c r="J2030" s="889"/>
      <c r="K2030" s="889"/>
      <c r="L2030" s="889"/>
      <c r="M2030" s="890"/>
      <c r="N2030" s="183">
        <f>SUM(N2028:N2029)</f>
        <v>395479122</v>
      </c>
    </row>
    <row r="2031" spans="9:16">
      <c r="I2031" s="61"/>
      <c r="J2031" s="61"/>
      <c r="K2031" s="61"/>
      <c r="L2031" s="61"/>
      <c r="M2031" s="61"/>
    </row>
    <row r="2032" spans="9:16">
      <c r="I2032" s="51" t="s">
        <v>1006</v>
      </c>
    </row>
    <row r="2033" spans="9:15" ht="12.75" customHeight="1">
      <c r="N2033" s="139"/>
    </row>
    <row r="2034" spans="9:15">
      <c r="I2034" s="50" t="s">
        <v>105</v>
      </c>
      <c r="L2034" s="146"/>
      <c r="N2034" s="139"/>
    </row>
    <row r="2035" spans="9:15" ht="15.75" thickBot="1"/>
    <row r="2036" spans="9:15" ht="15.75" thickBot="1">
      <c r="I2036" s="891" t="s">
        <v>106</v>
      </c>
      <c r="J2036" s="892"/>
      <c r="K2036" s="892"/>
      <c r="L2036" s="893"/>
      <c r="N2036" s="50" t="s">
        <v>288</v>
      </c>
    </row>
    <row r="2037" spans="9:15" ht="30.75" thickBot="1">
      <c r="I2037" s="57" t="s">
        <v>100</v>
      </c>
      <c r="J2037" s="58" t="s">
        <v>108</v>
      </c>
      <c r="K2037" s="287" t="s">
        <v>109</v>
      </c>
      <c r="L2037" s="60" t="s">
        <v>110</v>
      </c>
    </row>
    <row r="2038" spans="9:15">
      <c r="I2038" s="71">
        <v>719</v>
      </c>
      <c r="J2038" s="73">
        <f>+P2018+P2020+P2022+P2024+P2026</f>
        <v>770000</v>
      </c>
      <c r="K2038" s="74">
        <f>+L2001</f>
        <v>18220000</v>
      </c>
      <c r="L2038" s="195">
        <f>+J2038+K2038</f>
        <v>18990000</v>
      </c>
    </row>
    <row r="2039" spans="9:15">
      <c r="I2039" s="72">
        <v>721</v>
      </c>
      <c r="J2039" s="80">
        <f>+P2019+P2021+P2023+P2025</f>
        <v>308000</v>
      </c>
      <c r="K2039" s="74">
        <f>+L2002</f>
        <v>8521578</v>
      </c>
      <c r="L2039" s="195">
        <f>+J2039+K2039</f>
        <v>8829578</v>
      </c>
    </row>
    <row r="2040" spans="9:15">
      <c r="I2040" s="72">
        <v>722</v>
      </c>
      <c r="J2040" s="80"/>
      <c r="K2040" s="74">
        <f>+L2003</f>
        <v>0</v>
      </c>
      <c r="L2040" s="195">
        <f>+J2040+K2040</f>
        <v>0</v>
      </c>
    </row>
    <row r="2041" spans="9:15" ht="15.75">
      <c r="I2041" s="72">
        <v>723</v>
      </c>
      <c r="J2041" s="80"/>
      <c r="K2041" s="74">
        <f>+L2004</f>
        <v>367659544</v>
      </c>
      <c r="L2041" s="195">
        <f>+J2041+K2041</f>
        <v>367659544</v>
      </c>
      <c r="N2041" s="193" t="s">
        <v>289</v>
      </c>
      <c r="O2041" s="175"/>
    </row>
    <row r="2042" spans="9:15" ht="16.5" thickBot="1">
      <c r="I2042" s="164" t="s">
        <v>181</v>
      </c>
      <c r="J2042" s="165"/>
      <c r="K2042" s="74">
        <f>+L2005</f>
        <v>0</v>
      </c>
      <c r="L2042" s="196">
        <f>+J2042+K2042</f>
        <v>0</v>
      </c>
      <c r="N2042" s="52"/>
    </row>
    <row r="2043" spans="9:15" ht="16.5" thickBot="1">
      <c r="I2043" s="169"/>
      <c r="J2043" s="197">
        <f>SUM(J2038:J2042)</f>
        <v>1078000</v>
      </c>
      <c r="K2043" s="197">
        <f>SUM(K2038:K2042)</f>
        <v>394401122</v>
      </c>
      <c r="L2043" s="198">
        <f>SUM(L2038:L2042)</f>
        <v>395479122</v>
      </c>
    </row>
    <row r="2044" spans="9:15" ht="16.5">
      <c r="I2044" s="49" t="s">
        <v>88</v>
      </c>
      <c r="J2044" s="50"/>
    </row>
    <row r="2045" spans="9:15">
      <c r="I2045" s="51" t="s">
        <v>89</v>
      </c>
    </row>
    <row r="2046" spans="9:15">
      <c r="I2046" s="51" t="s">
        <v>90</v>
      </c>
    </row>
    <row r="2047" spans="9:15">
      <c r="I2047" s="51" t="s">
        <v>91</v>
      </c>
    </row>
    <row r="2048" spans="9:15" ht="12.75" customHeight="1">
      <c r="I2048" s="50"/>
      <c r="J2048" s="50"/>
    </row>
    <row r="2049" spans="9:16" ht="15.75">
      <c r="I2049" s="260" t="s">
        <v>998</v>
      </c>
      <c r="O2049" s="52"/>
    </row>
    <row r="2050" spans="9:16" ht="15.75">
      <c r="I2050" s="53" t="s">
        <v>535</v>
      </c>
      <c r="O2050" s="53"/>
    </row>
    <row r="2051" spans="9:16" ht="16.5">
      <c r="I2051" s="894" t="s">
        <v>909</v>
      </c>
      <c r="J2051" s="894"/>
      <c r="K2051" s="894"/>
      <c r="L2051" s="894"/>
      <c r="M2051" s="894"/>
      <c r="N2051" s="894"/>
      <c r="O2051" s="894"/>
      <c r="P2051" s="894"/>
    </row>
    <row r="2052" spans="9:16" ht="15.75" thickBot="1"/>
    <row r="2053" spans="9:16">
      <c r="I2053" s="895" t="s">
        <v>94</v>
      </c>
      <c r="J2053" s="897" t="s">
        <v>95</v>
      </c>
      <c r="K2053" s="897" t="s">
        <v>96</v>
      </c>
      <c r="L2053" s="897" t="s">
        <v>3</v>
      </c>
      <c r="M2053" s="897" t="s">
        <v>97</v>
      </c>
      <c r="N2053" s="897" t="s">
        <v>98</v>
      </c>
      <c r="O2053" s="897" t="s">
        <v>99</v>
      </c>
      <c r="P2053" s="899"/>
    </row>
    <row r="2054" spans="9:16" ht="15.75" thickBot="1">
      <c r="I2054" s="896"/>
      <c r="J2054" s="898"/>
      <c r="K2054" s="898"/>
      <c r="L2054" s="898"/>
      <c r="M2054" s="898"/>
      <c r="N2054" s="898"/>
      <c r="O2054" s="240" t="s">
        <v>100</v>
      </c>
      <c r="P2054" s="182" t="s">
        <v>101</v>
      </c>
    </row>
    <row r="2055" spans="9:16" ht="15" customHeight="1">
      <c r="I2055" s="881">
        <v>226</v>
      </c>
      <c r="J2055" s="875">
        <v>42551</v>
      </c>
      <c r="K2055" s="877" t="s">
        <v>40</v>
      </c>
      <c r="L2055" s="879" t="s">
        <v>1001</v>
      </c>
      <c r="M2055" s="881" t="s">
        <v>148</v>
      </c>
      <c r="N2055" s="883">
        <v>140000</v>
      </c>
      <c r="O2055" s="55">
        <v>719</v>
      </c>
      <c r="P2055" s="78">
        <v>100000</v>
      </c>
    </row>
    <row r="2056" spans="9:16" ht="15.75" customHeight="1" thickBot="1">
      <c r="I2056" s="882"/>
      <c r="J2056" s="876"/>
      <c r="K2056" s="878"/>
      <c r="L2056" s="880"/>
      <c r="M2056" s="882"/>
      <c r="N2056" s="884"/>
      <c r="O2056" s="56">
        <v>721</v>
      </c>
      <c r="P2056" s="79">
        <f>+N2055-P2055</f>
        <v>40000</v>
      </c>
    </row>
    <row r="2057" spans="9:16" ht="15" customHeight="1">
      <c r="I2057" s="881">
        <v>227</v>
      </c>
      <c r="J2057" s="875">
        <v>42551</v>
      </c>
      <c r="K2057" s="877" t="s">
        <v>28</v>
      </c>
      <c r="L2057" s="879" t="s">
        <v>1002</v>
      </c>
      <c r="M2057" s="881" t="s">
        <v>148</v>
      </c>
      <c r="N2057" s="883">
        <v>966000</v>
      </c>
      <c r="O2057" s="55">
        <v>719</v>
      </c>
      <c r="P2057" s="78">
        <v>690000</v>
      </c>
    </row>
    <row r="2058" spans="9:16" ht="15.75" customHeight="1" thickBot="1">
      <c r="I2058" s="882"/>
      <c r="J2058" s="876"/>
      <c r="K2058" s="878"/>
      <c r="L2058" s="880"/>
      <c r="M2058" s="882"/>
      <c r="N2058" s="884"/>
      <c r="O2058" s="56">
        <v>721</v>
      </c>
      <c r="P2058" s="79">
        <f>+N2057-P2057</f>
        <v>276000</v>
      </c>
    </row>
    <row r="2059" spans="9:16" ht="15" customHeight="1">
      <c r="I2059" s="881">
        <v>228</v>
      </c>
      <c r="J2059" s="875">
        <v>42551</v>
      </c>
      <c r="K2059" s="877" t="s">
        <v>111</v>
      </c>
      <c r="L2059" s="879" t="s">
        <v>1003</v>
      </c>
      <c r="M2059" s="881" t="s">
        <v>148</v>
      </c>
      <c r="N2059" s="883">
        <v>252000</v>
      </c>
      <c r="O2059" s="55">
        <v>719</v>
      </c>
      <c r="P2059" s="78">
        <v>180000</v>
      </c>
    </row>
    <row r="2060" spans="9:16" ht="15.75" customHeight="1" thickBot="1">
      <c r="I2060" s="882"/>
      <c r="J2060" s="876"/>
      <c r="K2060" s="878"/>
      <c r="L2060" s="880"/>
      <c r="M2060" s="882"/>
      <c r="N2060" s="884"/>
      <c r="O2060" s="56">
        <v>721</v>
      </c>
      <c r="P2060" s="79">
        <f>+N2059-P2059</f>
        <v>72000</v>
      </c>
    </row>
    <row r="2061" spans="9:16" ht="15" customHeight="1">
      <c r="I2061" s="881">
        <v>229</v>
      </c>
      <c r="J2061" s="875">
        <v>42551</v>
      </c>
      <c r="K2061" s="877" t="s">
        <v>272</v>
      </c>
      <c r="L2061" s="879" t="s">
        <v>1004</v>
      </c>
      <c r="M2061" s="881" t="s">
        <v>148</v>
      </c>
      <c r="N2061" s="883">
        <v>1946000</v>
      </c>
      <c r="O2061" s="55">
        <v>719</v>
      </c>
      <c r="P2061" s="78">
        <v>1390000</v>
      </c>
    </row>
    <row r="2062" spans="9:16" ht="15.75" customHeight="1" thickBot="1">
      <c r="I2062" s="882"/>
      <c r="J2062" s="876"/>
      <c r="K2062" s="878"/>
      <c r="L2062" s="880"/>
      <c r="M2062" s="882"/>
      <c r="N2062" s="884"/>
      <c r="O2062" s="56">
        <v>721</v>
      </c>
      <c r="P2062" s="79">
        <f>+N2061-P2061</f>
        <v>556000</v>
      </c>
    </row>
    <row r="2063" spans="9:16">
      <c r="I2063" s="881"/>
      <c r="J2063" s="875"/>
      <c r="K2063" s="877"/>
      <c r="L2063" s="881"/>
      <c r="M2063" s="881"/>
      <c r="N2063" s="883"/>
      <c r="O2063" s="55">
        <v>719</v>
      </c>
      <c r="P2063" s="78"/>
    </row>
    <row r="2064" spans="9:16" ht="12" customHeight="1" thickBot="1">
      <c r="I2064" s="882"/>
      <c r="J2064" s="876"/>
      <c r="K2064" s="878"/>
      <c r="L2064" s="882"/>
      <c r="M2064" s="882"/>
      <c r="N2064" s="884"/>
      <c r="O2064" s="56">
        <v>721</v>
      </c>
      <c r="P2064" s="79">
        <f>+N2063-P2063</f>
        <v>0</v>
      </c>
    </row>
    <row r="2065" spans="9:16" ht="16.5" thickBot="1">
      <c r="I2065" s="901" t="s">
        <v>102</v>
      </c>
      <c r="J2065" s="902"/>
      <c r="K2065" s="902"/>
      <c r="L2065" s="902"/>
      <c r="M2065" s="903"/>
      <c r="N2065" s="81">
        <f>SUM(N2055:N2064)</f>
        <v>3304000</v>
      </c>
    </row>
    <row r="2066" spans="9:16" ht="16.5" thickBot="1">
      <c r="I2066" s="885" t="s">
        <v>103</v>
      </c>
      <c r="J2066" s="886"/>
      <c r="K2066" s="886"/>
      <c r="L2066" s="886"/>
      <c r="M2066" s="887"/>
      <c r="N2066" s="69">
        <f>+N2030</f>
        <v>395479122</v>
      </c>
      <c r="O2066" s="241" t="s">
        <v>561</v>
      </c>
      <c r="P2066" s="242">
        <f>89+1849+70+3374</f>
        <v>5382</v>
      </c>
    </row>
    <row r="2067" spans="9:16" ht="16.5" thickBot="1">
      <c r="I2067" s="888" t="s">
        <v>104</v>
      </c>
      <c r="J2067" s="889"/>
      <c r="K2067" s="889"/>
      <c r="L2067" s="889"/>
      <c r="M2067" s="890"/>
      <c r="N2067" s="183">
        <f>SUM(N2065:N2066)</f>
        <v>398783122</v>
      </c>
    </row>
    <row r="2068" spans="9:16">
      <c r="I2068" s="61"/>
      <c r="J2068" s="61"/>
      <c r="K2068" s="61"/>
      <c r="L2068" s="61"/>
      <c r="M2068" s="61"/>
    </row>
    <row r="2069" spans="9:16">
      <c r="I2069" s="51" t="s">
        <v>1005</v>
      </c>
    </row>
    <row r="2070" spans="9:16" ht="12.75" customHeight="1">
      <c r="N2070" s="139"/>
    </row>
    <row r="2071" spans="9:16">
      <c r="I2071" s="50" t="s">
        <v>105</v>
      </c>
      <c r="L2071" s="146"/>
      <c r="N2071" s="139"/>
    </row>
    <row r="2072" spans="9:16" ht="15.75" thickBot="1"/>
    <row r="2073" spans="9:16" ht="15.75" thickBot="1">
      <c r="I2073" s="891" t="s">
        <v>106</v>
      </c>
      <c r="J2073" s="892"/>
      <c r="K2073" s="892"/>
      <c r="L2073" s="893"/>
      <c r="N2073" s="50" t="s">
        <v>288</v>
      </c>
    </row>
    <row r="2074" spans="9:16" ht="30.75" thickBot="1">
      <c r="I2074" s="57" t="s">
        <v>100</v>
      </c>
      <c r="J2074" s="58" t="s">
        <v>108</v>
      </c>
      <c r="K2074" s="287" t="s">
        <v>109</v>
      </c>
      <c r="L2074" s="60" t="s">
        <v>110</v>
      </c>
    </row>
    <row r="2075" spans="9:16">
      <c r="I2075" s="71">
        <v>719</v>
      </c>
      <c r="J2075" s="73">
        <f>+P2055+P2057+P2059+P2061+P2063</f>
        <v>2360000</v>
      </c>
      <c r="K2075" s="74">
        <f>+L2038</f>
        <v>18990000</v>
      </c>
      <c r="L2075" s="195">
        <f>+J2075+K2075</f>
        <v>21350000</v>
      </c>
    </row>
    <row r="2076" spans="9:16">
      <c r="I2076" s="72">
        <v>721</v>
      </c>
      <c r="J2076" s="80">
        <f>+P2056+P2058+P2060+P2062</f>
        <v>944000</v>
      </c>
      <c r="K2076" s="74">
        <f>+L2039</f>
        <v>8829578</v>
      </c>
      <c r="L2076" s="195">
        <f>+J2076+K2076</f>
        <v>9773578</v>
      </c>
    </row>
    <row r="2077" spans="9:16">
      <c r="I2077" s="72">
        <v>722</v>
      </c>
      <c r="J2077" s="80"/>
      <c r="K2077" s="74">
        <f>+L2040</f>
        <v>0</v>
      </c>
      <c r="L2077" s="195">
        <f>+J2077+K2077</f>
        <v>0</v>
      </c>
    </row>
    <row r="2078" spans="9:16" ht="15.75">
      <c r="I2078" s="72">
        <v>723</v>
      </c>
      <c r="J2078" s="80"/>
      <c r="K2078" s="74">
        <f>+L2041</f>
        <v>367659544</v>
      </c>
      <c r="L2078" s="195">
        <f>+J2078+K2078</f>
        <v>367659544</v>
      </c>
      <c r="N2078" s="193" t="s">
        <v>289</v>
      </c>
      <c r="O2078" s="175"/>
    </row>
    <row r="2079" spans="9:16" ht="16.5" thickBot="1">
      <c r="I2079" s="164" t="s">
        <v>181</v>
      </c>
      <c r="J2079" s="165"/>
      <c r="K2079" s="74">
        <f>+L2042</f>
        <v>0</v>
      </c>
      <c r="L2079" s="196">
        <f>+J2079+K2079</f>
        <v>0</v>
      </c>
      <c r="N2079" s="52"/>
    </row>
    <row r="2080" spans="9:16" ht="16.5" thickBot="1">
      <c r="I2080" s="169"/>
      <c r="J2080" s="197">
        <f>SUM(J2075:J2079)</f>
        <v>3304000</v>
      </c>
      <c r="K2080" s="197">
        <f>SUM(K2075:K2079)</f>
        <v>395479122</v>
      </c>
      <c r="L2080" s="198">
        <f>SUM(L2075:L2079)</f>
        <v>398783122</v>
      </c>
    </row>
    <row r="2081" spans="9:16" ht="16.5">
      <c r="I2081" s="49" t="s">
        <v>88</v>
      </c>
      <c r="J2081" s="50"/>
    </row>
    <row r="2082" spans="9:16">
      <c r="I2082" s="51" t="s">
        <v>89</v>
      </c>
    </row>
    <row r="2083" spans="9:16">
      <c r="I2083" s="51" t="s">
        <v>90</v>
      </c>
    </row>
    <row r="2084" spans="9:16">
      <c r="I2084" s="51" t="s">
        <v>91</v>
      </c>
    </row>
    <row r="2085" spans="9:16" ht="12.75" customHeight="1">
      <c r="I2085" s="50"/>
      <c r="J2085" s="50"/>
    </row>
    <row r="2086" spans="9:16" ht="15.75">
      <c r="I2086" s="260" t="s">
        <v>1007</v>
      </c>
      <c r="O2086" s="52"/>
    </row>
    <row r="2087" spans="9:16" ht="15.75">
      <c r="I2087" s="53" t="s">
        <v>535</v>
      </c>
      <c r="O2087" s="53"/>
    </row>
    <row r="2088" spans="9:16" ht="16.5">
      <c r="I2088" s="894" t="s">
        <v>1011</v>
      </c>
      <c r="J2088" s="894"/>
      <c r="K2088" s="894"/>
      <c r="L2088" s="894"/>
      <c r="M2088" s="894"/>
      <c r="N2088" s="894"/>
      <c r="O2088" s="894"/>
      <c r="P2088" s="894"/>
    </row>
    <row r="2089" spans="9:16" ht="15.75" thickBot="1"/>
    <row r="2090" spans="9:16">
      <c r="I2090" s="895" t="s">
        <v>94</v>
      </c>
      <c r="J2090" s="897" t="s">
        <v>95</v>
      </c>
      <c r="K2090" s="897" t="s">
        <v>96</v>
      </c>
      <c r="L2090" s="897" t="s">
        <v>3</v>
      </c>
      <c r="M2090" s="897" t="s">
        <v>97</v>
      </c>
      <c r="N2090" s="897" t="s">
        <v>98</v>
      </c>
      <c r="O2090" s="897" t="s">
        <v>99</v>
      </c>
      <c r="P2090" s="899"/>
    </row>
    <row r="2091" spans="9:16" ht="15.75" thickBot="1">
      <c r="I2091" s="896"/>
      <c r="J2091" s="898"/>
      <c r="K2091" s="898"/>
      <c r="L2091" s="898"/>
      <c r="M2091" s="898"/>
      <c r="N2091" s="898"/>
      <c r="O2091" s="240" t="s">
        <v>100</v>
      </c>
      <c r="P2091" s="182" t="s">
        <v>101</v>
      </c>
    </row>
    <row r="2092" spans="9:16">
      <c r="I2092" s="881">
        <v>230</v>
      </c>
      <c r="J2092" s="875">
        <v>42551</v>
      </c>
      <c r="K2092" s="877" t="s">
        <v>1008</v>
      </c>
      <c r="L2092" s="879" t="s">
        <v>1010</v>
      </c>
      <c r="M2092" s="881" t="s">
        <v>145</v>
      </c>
      <c r="N2092" s="883">
        <v>100000</v>
      </c>
      <c r="O2092" s="55">
        <v>719</v>
      </c>
      <c r="P2092" s="78">
        <v>0</v>
      </c>
    </row>
    <row r="2093" spans="9:16" ht="15.75" thickBot="1">
      <c r="I2093" s="882"/>
      <c r="J2093" s="876"/>
      <c r="K2093" s="878"/>
      <c r="L2093" s="880"/>
      <c r="M2093" s="882"/>
      <c r="N2093" s="884"/>
      <c r="O2093" s="56">
        <v>721</v>
      </c>
      <c r="P2093" s="79">
        <v>100000</v>
      </c>
    </row>
    <row r="2094" spans="9:16" ht="15" customHeight="1">
      <c r="I2094" s="881">
        <v>231</v>
      </c>
      <c r="J2094" s="875">
        <v>42551</v>
      </c>
      <c r="K2094" s="877" t="s">
        <v>1009</v>
      </c>
      <c r="L2094" s="879" t="s">
        <v>1010</v>
      </c>
      <c r="M2094" s="881" t="s">
        <v>145</v>
      </c>
      <c r="N2094" s="883">
        <v>100000</v>
      </c>
      <c r="O2094" s="55">
        <v>719</v>
      </c>
      <c r="P2094" s="78">
        <v>0</v>
      </c>
    </row>
    <row r="2095" spans="9:16" ht="15.75" customHeight="1" thickBot="1">
      <c r="I2095" s="882"/>
      <c r="J2095" s="876"/>
      <c r="K2095" s="878"/>
      <c r="L2095" s="880"/>
      <c r="M2095" s="882"/>
      <c r="N2095" s="884"/>
      <c r="O2095" s="56">
        <v>721</v>
      </c>
      <c r="P2095" s="79">
        <v>100000</v>
      </c>
    </row>
    <row r="2096" spans="9:16">
      <c r="I2096" s="881"/>
      <c r="J2096" s="875"/>
      <c r="K2096" s="877"/>
      <c r="L2096" s="879"/>
      <c r="M2096" s="881"/>
      <c r="N2096" s="883"/>
      <c r="O2096" s="55">
        <v>719</v>
      </c>
      <c r="P2096" s="78">
        <v>0</v>
      </c>
    </row>
    <row r="2097" spans="9:16" ht="14.25" customHeight="1" thickBot="1">
      <c r="I2097" s="882"/>
      <c r="J2097" s="876"/>
      <c r="K2097" s="878"/>
      <c r="L2097" s="880"/>
      <c r="M2097" s="882"/>
      <c r="N2097" s="884"/>
      <c r="O2097" s="56">
        <v>721</v>
      </c>
      <c r="P2097" s="79">
        <f>+N2096-P2096</f>
        <v>0</v>
      </c>
    </row>
    <row r="2098" spans="9:16" ht="15" customHeight="1">
      <c r="I2098" s="881"/>
      <c r="J2098" s="875"/>
      <c r="K2098" s="877"/>
      <c r="L2098" s="879"/>
      <c r="M2098" s="881"/>
      <c r="N2098" s="883"/>
      <c r="O2098" s="55">
        <v>719</v>
      </c>
      <c r="P2098" s="78">
        <v>0</v>
      </c>
    </row>
    <row r="2099" spans="9:16" ht="15.75" customHeight="1" thickBot="1">
      <c r="I2099" s="882"/>
      <c r="J2099" s="876"/>
      <c r="K2099" s="878"/>
      <c r="L2099" s="880"/>
      <c r="M2099" s="882"/>
      <c r="N2099" s="884"/>
      <c r="O2099" s="56">
        <v>721</v>
      </c>
      <c r="P2099" s="79">
        <f>+N2098-P2098</f>
        <v>0</v>
      </c>
    </row>
    <row r="2100" spans="9:16" ht="10.5" customHeight="1">
      <c r="I2100" s="881"/>
      <c r="J2100" s="875"/>
      <c r="K2100" s="877"/>
      <c r="L2100" s="881"/>
      <c r="M2100" s="881"/>
      <c r="N2100" s="883"/>
      <c r="O2100" s="55">
        <v>719</v>
      </c>
      <c r="P2100" s="78"/>
    </row>
    <row r="2101" spans="9:16" ht="14.25" customHeight="1" thickBot="1">
      <c r="I2101" s="882"/>
      <c r="J2101" s="876"/>
      <c r="K2101" s="878"/>
      <c r="L2101" s="882"/>
      <c r="M2101" s="882"/>
      <c r="N2101" s="884"/>
      <c r="O2101" s="56">
        <v>721</v>
      </c>
      <c r="P2101" s="79">
        <f>+N2100-P2100</f>
        <v>0</v>
      </c>
    </row>
    <row r="2102" spans="9:16" ht="16.5" customHeight="1" thickBot="1">
      <c r="I2102" s="901" t="s">
        <v>102</v>
      </c>
      <c r="J2102" s="902"/>
      <c r="K2102" s="902"/>
      <c r="L2102" s="902"/>
      <c r="M2102" s="903"/>
      <c r="N2102" s="81">
        <f>SUM(N2092:N2101)</f>
        <v>200000</v>
      </c>
    </row>
    <row r="2103" spans="9:16" ht="16.5" customHeight="1" thickBot="1">
      <c r="I2103" s="885" t="s">
        <v>103</v>
      </c>
      <c r="J2103" s="886"/>
      <c r="K2103" s="886"/>
      <c r="L2103" s="886"/>
      <c r="M2103" s="887"/>
      <c r="N2103" s="69">
        <f>+N2067</f>
        <v>398783122</v>
      </c>
      <c r="O2103" s="241" t="s">
        <v>561</v>
      </c>
      <c r="P2103" s="242"/>
    </row>
    <row r="2104" spans="9:16" ht="16.5" customHeight="1" thickBot="1">
      <c r="I2104" s="888" t="s">
        <v>104</v>
      </c>
      <c r="J2104" s="889"/>
      <c r="K2104" s="889"/>
      <c r="L2104" s="889"/>
      <c r="M2104" s="890"/>
      <c r="N2104" s="183">
        <f>SUM(N2102:N2103)</f>
        <v>398983122</v>
      </c>
    </row>
    <row r="2105" spans="9:16" ht="15.75" customHeight="1">
      <c r="I2105" s="61"/>
      <c r="J2105" s="61"/>
      <c r="K2105" s="61"/>
      <c r="L2105" s="61"/>
      <c r="M2105" s="61"/>
    </row>
    <row r="2106" spans="9:16" ht="15" customHeight="1">
      <c r="I2106" s="51" t="s">
        <v>1012</v>
      </c>
    </row>
    <row r="2107" spans="9:16" ht="14.25" customHeight="1">
      <c r="N2107" s="139"/>
    </row>
    <row r="2108" spans="9:16">
      <c r="I2108" s="50" t="s">
        <v>105</v>
      </c>
      <c r="L2108" s="146"/>
      <c r="N2108" s="139"/>
    </row>
    <row r="2109" spans="9:16" ht="14.25" customHeight="1" thickBot="1"/>
    <row r="2110" spans="9:16" ht="15.75" thickBot="1">
      <c r="I2110" s="891" t="s">
        <v>106</v>
      </c>
      <c r="J2110" s="892"/>
      <c r="K2110" s="892"/>
      <c r="L2110" s="893"/>
      <c r="N2110" s="50" t="s">
        <v>288</v>
      </c>
    </row>
    <row r="2111" spans="9:16" ht="30.75" thickBot="1">
      <c r="I2111" s="57" t="s">
        <v>100</v>
      </c>
      <c r="J2111" s="58" t="s">
        <v>108</v>
      </c>
      <c r="K2111" s="287" t="s">
        <v>109</v>
      </c>
      <c r="L2111" s="60" t="s">
        <v>110</v>
      </c>
    </row>
    <row r="2112" spans="9:16">
      <c r="I2112" s="71">
        <v>719</v>
      </c>
      <c r="J2112" s="73">
        <f>+P2092+P2094+P2096+P2098+P2100</f>
        <v>0</v>
      </c>
      <c r="K2112" s="74">
        <f>+L2075</f>
        <v>21350000</v>
      </c>
      <c r="L2112" s="195">
        <f>+J2112+K2112</f>
        <v>21350000</v>
      </c>
    </row>
    <row r="2113" spans="9:18">
      <c r="I2113" s="72">
        <v>721</v>
      </c>
      <c r="J2113" s="80">
        <f>+P2093+P2095+P2097+P2099</f>
        <v>200000</v>
      </c>
      <c r="K2113" s="74">
        <f>+L2076</f>
        <v>9773578</v>
      </c>
      <c r="L2113" s="195">
        <f>+J2113+K2113</f>
        <v>9973578</v>
      </c>
    </row>
    <row r="2114" spans="9:18">
      <c r="I2114" s="72">
        <v>722</v>
      </c>
      <c r="J2114" s="80"/>
      <c r="K2114" s="74">
        <f>+L2077</f>
        <v>0</v>
      </c>
      <c r="L2114" s="195">
        <f>+J2114+K2114</f>
        <v>0</v>
      </c>
    </row>
    <row r="2115" spans="9:18" ht="15.75">
      <c r="I2115" s="72">
        <v>723</v>
      </c>
      <c r="J2115" s="80"/>
      <c r="K2115" s="74">
        <f>+L2078</f>
        <v>367659544</v>
      </c>
      <c r="L2115" s="195">
        <f>+J2115+K2115</f>
        <v>367659544</v>
      </c>
      <c r="N2115" s="193" t="s">
        <v>289</v>
      </c>
      <c r="O2115" s="175"/>
    </row>
    <row r="2116" spans="9:18" ht="16.5" thickBot="1">
      <c r="I2116" s="164" t="s">
        <v>181</v>
      </c>
      <c r="J2116" s="165"/>
      <c r="K2116" s="74">
        <f>+L2079</f>
        <v>0</v>
      </c>
      <c r="L2116" s="196">
        <f>+J2116+K2116</f>
        <v>0</v>
      </c>
      <c r="N2116" s="52"/>
    </row>
    <row r="2117" spans="9:18" ht="16.5" thickBot="1">
      <c r="I2117" s="169"/>
      <c r="J2117" s="197">
        <f>SUM(J2112:J2116)</f>
        <v>200000</v>
      </c>
      <c r="K2117" s="197">
        <f>SUM(K2112:K2116)</f>
        <v>398783122</v>
      </c>
      <c r="L2117" s="198">
        <f>SUM(L2112:L2116)</f>
        <v>398983122</v>
      </c>
    </row>
    <row r="2118" spans="9:18" ht="16.5">
      <c r="I2118" s="49" t="s">
        <v>88</v>
      </c>
      <c r="J2118" s="50"/>
    </row>
    <row r="2119" spans="9:18">
      <c r="I2119" s="51" t="s">
        <v>89</v>
      </c>
    </row>
    <row r="2120" spans="9:18">
      <c r="I2120" s="51" t="s">
        <v>90</v>
      </c>
    </row>
    <row r="2121" spans="9:18">
      <c r="I2121" s="51" t="s">
        <v>91</v>
      </c>
    </row>
    <row r="2122" spans="9:18">
      <c r="I2122" s="50"/>
      <c r="J2122" s="50"/>
    </row>
    <row r="2123" spans="9:18" ht="15.75">
      <c r="I2123" s="260" t="s">
        <v>1013</v>
      </c>
      <c r="O2123" s="52"/>
    </row>
    <row r="2124" spans="9:18" ht="15.75">
      <c r="I2124" s="53" t="s">
        <v>535</v>
      </c>
      <c r="O2124" s="53"/>
    </row>
    <row r="2125" spans="9:18" ht="16.5">
      <c r="I2125" s="894" t="s">
        <v>1011</v>
      </c>
      <c r="J2125" s="894"/>
      <c r="K2125" s="894"/>
      <c r="L2125" s="894"/>
      <c r="M2125" s="894"/>
      <c r="N2125" s="894"/>
      <c r="O2125" s="894"/>
      <c r="P2125" s="894"/>
    </row>
    <row r="2126" spans="9:18" ht="15.75" thickBot="1"/>
    <row r="2127" spans="9:18">
      <c r="I2127" s="895" t="s">
        <v>94</v>
      </c>
      <c r="J2127" s="897" t="s">
        <v>95</v>
      </c>
      <c r="K2127" s="897" t="s">
        <v>96</v>
      </c>
      <c r="L2127" s="897" t="s">
        <v>3</v>
      </c>
      <c r="M2127" s="897" t="s">
        <v>97</v>
      </c>
      <c r="N2127" s="897" t="s">
        <v>98</v>
      </c>
      <c r="O2127" s="897" t="s">
        <v>99</v>
      </c>
      <c r="P2127" s="899"/>
    </row>
    <row r="2128" spans="9:18" ht="15.75" thickBot="1">
      <c r="I2128" s="896"/>
      <c r="J2128" s="898"/>
      <c r="K2128" s="898"/>
      <c r="L2128" s="898"/>
      <c r="M2128" s="898"/>
      <c r="N2128" s="898"/>
      <c r="O2128" s="240" t="s">
        <v>100</v>
      </c>
      <c r="P2128" s="182" t="s">
        <v>101</v>
      </c>
      <c r="R2128" s="51" t="s">
        <v>631</v>
      </c>
    </row>
    <row r="2129" spans="9:16">
      <c r="I2129" s="881">
        <v>232</v>
      </c>
      <c r="J2129" s="875">
        <v>42556</v>
      </c>
      <c r="K2129" s="877" t="s">
        <v>1014</v>
      </c>
      <c r="L2129" s="879" t="s">
        <v>1010</v>
      </c>
      <c r="M2129" s="881" t="s">
        <v>115</v>
      </c>
      <c r="N2129" s="883">
        <v>50000</v>
      </c>
      <c r="O2129" s="55">
        <v>719</v>
      </c>
      <c r="P2129" s="78">
        <v>50000</v>
      </c>
    </row>
    <row r="2130" spans="9:16" ht="15.75" thickBot="1">
      <c r="I2130" s="882"/>
      <c r="J2130" s="876"/>
      <c r="K2130" s="878"/>
      <c r="L2130" s="880"/>
      <c r="M2130" s="882"/>
      <c r="N2130" s="884"/>
      <c r="O2130" s="56">
        <v>721</v>
      </c>
      <c r="P2130" s="79"/>
    </row>
    <row r="2131" spans="9:16">
      <c r="I2131" s="881">
        <v>233</v>
      </c>
      <c r="J2131" s="875">
        <v>42556</v>
      </c>
      <c r="K2131" s="877" t="s">
        <v>120</v>
      </c>
      <c r="L2131" s="879" t="s">
        <v>1015</v>
      </c>
      <c r="M2131" s="881" t="s">
        <v>115</v>
      </c>
      <c r="N2131" s="883">
        <v>10000</v>
      </c>
      <c r="O2131" s="55">
        <v>719</v>
      </c>
      <c r="P2131" s="78">
        <v>10000</v>
      </c>
    </row>
    <row r="2132" spans="9:16" ht="15.75" thickBot="1">
      <c r="I2132" s="882"/>
      <c r="J2132" s="876"/>
      <c r="K2132" s="878"/>
      <c r="L2132" s="880"/>
      <c r="M2132" s="882"/>
      <c r="N2132" s="884"/>
      <c r="O2132" s="56">
        <v>721</v>
      </c>
      <c r="P2132" s="79"/>
    </row>
    <row r="2133" spans="9:16">
      <c r="I2133" s="881"/>
      <c r="J2133" s="875"/>
      <c r="K2133" s="877"/>
      <c r="L2133" s="879"/>
      <c r="M2133" s="881"/>
      <c r="N2133" s="883"/>
      <c r="O2133" s="55">
        <v>719</v>
      </c>
      <c r="P2133" s="78">
        <v>0</v>
      </c>
    </row>
    <row r="2134" spans="9:16" ht="12.75" customHeight="1" thickBot="1">
      <c r="I2134" s="882"/>
      <c r="J2134" s="876"/>
      <c r="K2134" s="878"/>
      <c r="L2134" s="880"/>
      <c r="M2134" s="882"/>
      <c r="N2134" s="884"/>
      <c r="O2134" s="56">
        <v>721</v>
      </c>
      <c r="P2134" s="79">
        <f>+N2133-P2133</f>
        <v>0</v>
      </c>
    </row>
    <row r="2135" spans="9:16">
      <c r="I2135" s="881"/>
      <c r="J2135" s="875"/>
      <c r="K2135" s="877"/>
      <c r="L2135" s="879"/>
      <c r="M2135" s="881"/>
      <c r="N2135" s="883"/>
      <c r="O2135" s="55">
        <v>719</v>
      </c>
      <c r="P2135" s="78">
        <v>0</v>
      </c>
    </row>
    <row r="2136" spans="9:16" ht="12.75" customHeight="1" thickBot="1">
      <c r="I2136" s="882"/>
      <c r="J2136" s="876"/>
      <c r="K2136" s="878"/>
      <c r="L2136" s="880"/>
      <c r="M2136" s="882"/>
      <c r="N2136" s="884"/>
      <c r="O2136" s="56">
        <v>721</v>
      </c>
      <c r="P2136" s="79">
        <f>+N2135-P2135</f>
        <v>0</v>
      </c>
    </row>
    <row r="2137" spans="9:16">
      <c r="I2137" s="881"/>
      <c r="J2137" s="875"/>
      <c r="K2137" s="877"/>
      <c r="L2137" s="881"/>
      <c r="M2137" s="881"/>
      <c r="N2137" s="883"/>
      <c r="O2137" s="55">
        <v>719</v>
      </c>
      <c r="P2137" s="78"/>
    </row>
    <row r="2138" spans="9:16" ht="12.75" customHeight="1" thickBot="1">
      <c r="I2138" s="882"/>
      <c r="J2138" s="876"/>
      <c r="K2138" s="878"/>
      <c r="L2138" s="882"/>
      <c r="M2138" s="882"/>
      <c r="N2138" s="884"/>
      <c r="O2138" s="56">
        <v>721</v>
      </c>
      <c r="P2138" s="79">
        <f>+N2137-P2137</f>
        <v>0</v>
      </c>
    </row>
    <row r="2139" spans="9:16" ht="16.5" thickBot="1">
      <c r="I2139" s="901" t="s">
        <v>102</v>
      </c>
      <c r="J2139" s="902"/>
      <c r="K2139" s="902"/>
      <c r="L2139" s="902"/>
      <c r="M2139" s="903"/>
      <c r="N2139" s="81">
        <f>SUM(N2129:N2138)</f>
        <v>60000</v>
      </c>
    </row>
    <row r="2140" spans="9:16" ht="16.5" thickBot="1">
      <c r="I2140" s="885" t="s">
        <v>103</v>
      </c>
      <c r="J2140" s="886"/>
      <c r="K2140" s="886"/>
      <c r="L2140" s="886"/>
      <c r="M2140" s="887"/>
      <c r="N2140" s="69">
        <f>+N2104</f>
        <v>398983122</v>
      </c>
      <c r="O2140" s="241" t="s">
        <v>561</v>
      </c>
      <c r="P2140" s="242">
        <v>161</v>
      </c>
    </row>
    <row r="2141" spans="9:16" ht="16.5" thickBot="1">
      <c r="I2141" s="888" t="s">
        <v>104</v>
      </c>
      <c r="J2141" s="889"/>
      <c r="K2141" s="889"/>
      <c r="L2141" s="889"/>
      <c r="M2141" s="890"/>
      <c r="N2141" s="183">
        <f>SUM(N2139:N2140)</f>
        <v>399043122</v>
      </c>
    </row>
    <row r="2142" spans="9:16">
      <c r="I2142" s="61"/>
      <c r="J2142" s="61"/>
      <c r="K2142" s="61"/>
      <c r="L2142" s="61"/>
      <c r="M2142" s="61"/>
    </row>
    <row r="2143" spans="9:16">
      <c r="I2143" s="51" t="s">
        <v>1016</v>
      </c>
    </row>
    <row r="2144" spans="9:16">
      <c r="N2144" s="139"/>
    </row>
    <row r="2145" spans="9:15">
      <c r="I2145" s="50" t="s">
        <v>105</v>
      </c>
      <c r="L2145" s="146"/>
      <c r="N2145" s="139"/>
    </row>
    <row r="2146" spans="9:15" ht="15.75" thickBot="1"/>
    <row r="2147" spans="9:15" ht="15.75" thickBot="1">
      <c r="I2147" s="891" t="s">
        <v>106</v>
      </c>
      <c r="J2147" s="892"/>
      <c r="K2147" s="892"/>
      <c r="L2147" s="893"/>
      <c r="N2147" s="50" t="s">
        <v>288</v>
      </c>
    </row>
    <row r="2148" spans="9:15" ht="30.75" thickBot="1">
      <c r="I2148" s="57" t="s">
        <v>100</v>
      </c>
      <c r="J2148" s="58" t="s">
        <v>108</v>
      </c>
      <c r="K2148" s="287" t="s">
        <v>109</v>
      </c>
      <c r="L2148" s="60" t="s">
        <v>110</v>
      </c>
    </row>
    <row r="2149" spans="9:15">
      <c r="I2149" s="71">
        <v>719</v>
      </c>
      <c r="J2149" s="73">
        <f>+P2129+P2131+P2133+P2135+P2137</f>
        <v>60000</v>
      </c>
      <c r="K2149" s="74">
        <f>+L2112</f>
        <v>21350000</v>
      </c>
      <c r="L2149" s="195">
        <f>+J2149+K2149</f>
        <v>21410000</v>
      </c>
    </row>
    <row r="2150" spans="9:15">
      <c r="I2150" s="72">
        <v>721</v>
      </c>
      <c r="J2150" s="80">
        <f>+P2130+P2132+P2134+P2136</f>
        <v>0</v>
      </c>
      <c r="K2150" s="74">
        <f>+L2113</f>
        <v>9973578</v>
      </c>
      <c r="L2150" s="195">
        <f>+J2150+K2150</f>
        <v>9973578</v>
      </c>
    </row>
    <row r="2151" spans="9:15">
      <c r="I2151" s="72">
        <v>722</v>
      </c>
      <c r="J2151" s="80"/>
      <c r="K2151" s="74">
        <f>+L2114</f>
        <v>0</v>
      </c>
      <c r="L2151" s="195">
        <f>+J2151+K2151</f>
        <v>0</v>
      </c>
    </row>
    <row r="2152" spans="9:15" ht="15.75">
      <c r="I2152" s="72">
        <v>723</v>
      </c>
      <c r="J2152" s="80"/>
      <c r="K2152" s="74">
        <f>+L2115</f>
        <v>367659544</v>
      </c>
      <c r="L2152" s="195">
        <f>+J2152+K2152</f>
        <v>367659544</v>
      </c>
      <c r="N2152" s="193" t="s">
        <v>289</v>
      </c>
      <c r="O2152" s="175"/>
    </row>
    <row r="2153" spans="9:15" ht="16.5" thickBot="1">
      <c r="I2153" s="164" t="s">
        <v>181</v>
      </c>
      <c r="J2153" s="165"/>
      <c r="K2153" s="74">
        <f>+L2116</f>
        <v>0</v>
      </c>
      <c r="L2153" s="196">
        <f>+J2153+K2153</f>
        <v>0</v>
      </c>
      <c r="N2153" s="52"/>
    </row>
    <row r="2154" spans="9:15" ht="16.5" thickBot="1">
      <c r="I2154" s="169"/>
      <c r="J2154" s="197">
        <f>SUM(J2149:J2153)</f>
        <v>60000</v>
      </c>
      <c r="K2154" s="197">
        <f>SUM(K2149:K2153)</f>
        <v>398983122</v>
      </c>
      <c r="L2154" s="198">
        <f>SUM(L2149:L2153)</f>
        <v>399043122</v>
      </c>
    </row>
    <row r="2155" spans="9:15" ht="16.5">
      <c r="I2155" s="49" t="s">
        <v>88</v>
      </c>
      <c r="J2155" s="50"/>
    </row>
    <row r="2156" spans="9:15">
      <c r="I2156" s="51" t="s">
        <v>89</v>
      </c>
    </row>
    <row r="2157" spans="9:15">
      <c r="I2157" s="51" t="s">
        <v>90</v>
      </c>
    </row>
    <row r="2158" spans="9:15">
      <c r="I2158" s="51" t="s">
        <v>91</v>
      </c>
    </row>
    <row r="2159" spans="9:15" ht="10.5" customHeight="1">
      <c r="I2159" s="50"/>
      <c r="J2159" s="50"/>
    </row>
    <row r="2160" spans="9:15" ht="15.75">
      <c r="I2160" s="260" t="s">
        <v>1017</v>
      </c>
      <c r="O2160" s="52"/>
    </row>
    <row r="2161" spans="9:16" ht="15.75">
      <c r="I2161" s="53" t="s">
        <v>535</v>
      </c>
      <c r="O2161" s="53"/>
    </row>
    <row r="2162" spans="9:16" ht="15.75" customHeight="1">
      <c r="I2162" s="894" t="s">
        <v>909</v>
      </c>
      <c r="J2162" s="894"/>
      <c r="K2162" s="894"/>
      <c r="L2162" s="894"/>
      <c r="M2162" s="894"/>
      <c r="N2162" s="894"/>
      <c r="O2162" s="894"/>
      <c r="P2162" s="894"/>
    </row>
    <row r="2163" spans="9:16" ht="12.75" customHeight="1" thickBot="1"/>
    <row r="2164" spans="9:16">
      <c r="I2164" s="895" t="s">
        <v>94</v>
      </c>
      <c r="J2164" s="897" t="s">
        <v>95</v>
      </c>
      <c r="K2164" s="897" t="s">
        <v>96</v>
      </c>
      <c r="L2164" s="897" t="s">
        <v>3</v>
      </c>
      <c r="M2164" s="897" t="s">
        <v>97</v>
      </c>
      <c r="N2164" s="897" t="s">
        <v>98</v>
      </c>
      <c r="O2164" s="897" t="s">
        <v>99</v>
      </c>
      <c r="P2164" s="899"/>
    </row>
    <row r="2165" spans="9:16" ht="15.75" thickBot="1">
      <c r="I2165" s="896"/>
      <c r="J2165" s="898"/>
      <c r="K2165" s="898"/>
      <c r="L2165" s="898"/>
      <c r="M2165" s="898"/>
      <c r="N2165" s="898"/>
      <c r="O2165" s="240" t="s">
        <v>100</v>
      </c>
      <c r="P2165" s="182" t="s">
        <v>101</v>
      </c>
    </row>
    <row r="2166" spans="9:16">
      <c r="I2166" s="881">
        <v>234</v>
      </c>
      <c r="J2166" s="875">
        <v>42573</v>
      </c>
      <c r="K2166" s="877" t="s">
        <v>1014</v>
      </c>
      <c r="L2166" s="879" t="s">
        <v>1018</v>
      </c>
      <c r="M2166" s="881" t="s">
        <v>115</v>
      </c>
      <c r="N2166" s="883">
        <v>100000</v>
      </c>
      <c r="O2166" s="55">
        <v>719</v>
      </c>
      <c r="P2166" s="78">
        <v>100000</v>
      </c>
    </row>
    <row r="2167" spans="9:16" ht="11.25" customHeight="1" thickBot="1">
      <c r="I2167" s="882"/>
      <c r="J2167" s="876"/>
      <c r="K2167" s="878"/>
      <c r="L2167" s="880"/>
      <c r="M2167" s="882"/>
      <c r="N2167" s="884"/>
      <c r="O2167" s="56">
        <v>721</v>
      </c>
      <c r="P2167" s="79"/>
    </row>
    <row r="2168" spans="9:16" ht="15" customHeight="1">
      <c r="I2168" s="881">
        <v>235</v>
      </c>
      <c r="J2168" s="875">
        <v>42573</v>
      </c>
      <c r="K2168" s="877" t="s">
        <v>28</v>
      </c>
      <c r="L2168" s="879" t="s">
        <v>1019</v>
      </c>
      <c r="M2168" s="881" t="s">
        <v>115</v>
      </c>
      <c r="N2168" s="883">
        <v>10000</v>
      </c>
      <c r="O2168" s="55">
        <v>719</v>
      </c>
      <c r="P2168" s="78">
        <v>10000</v>
      </c>
    </row>
    <row r="2169" spans="9:16" ht="12.75" customHeight="1" thickBot="1">
      <c r="I2169" s="882"/>
      <c r="J2169" s="876"/>
      <c r="K2169" s="878"/>
      <c r="L2169" s="880"/>
      <c r="M2169" s="882"/>
      <c r="N2169" s="884"/>
      <c r="O2169" s="56">
        <v>721</v>
      </c>
      <c r="P2169" s="79"/>
    </row>
    <row r="2170" spans="9:16" ht="15" customHeight="1">
      <c r="I2170" s="881">
        <v>236</v>
      </c>
      <c r="J2170" s="875">
        <v>42573</v>
      </c>
      <c r="K2170" s="877" t="s">
        <v>1014</v>
      </c>
      <c r="L2170" s="879" t="s">
        <v>1020</v>
      </c>
      <c r="M2170" s="881" t="s">
        <v>115</v>
      </c>
      <c r="N2170" s="883">
        <v>140000</v>
      </c>
      <c r="O2170" s="55">
        <v>719</v>
      </c>
      <c r="P2170" s="78">
        <v>140000</v>
      </c>
    </row>
    <row r="2171" spans="9:16" ht="12.75" customHeight="1" thickBot="1">
      <c r="I2171" s="882"/>
      <c r="J2171" s="876"/>
      <c r="K2171" s="878"/>
      <c r="L2171" s="880"/>
      <c r="M2171" s="882"/>
      <c r="N2171" s="884"/>
      <c r="O2171" s="56">
        <v>721</v>
      </c>
      <c r="P2171" s="79">
        <f>+N2170-P2170</f>
        <v>0</v>
      </c>
    </row>
    <row r="2172" spans="9:16">
      <c r="I2172" s="881">
        <v>237</v>
      </c>
      <c r="J2172" s="875">
        <v>42573</v>
      </c>
      <c r="K2172" s="877" t="s">
        <v>28</v>
      </c>
      <c r="L2172" s="879" t="s">
        <v>1022</v>
      </c>
      <c r="M2172" s="881" t="s">
        <v>115</v>
      </c>
      <c r="N2172" s="883">
        <v>60000</v>
      </c>
      <c r="O2172" s="55">
        <v>719</v>
      </c>
      <c r="P2172" s="78">
        <v>60000</v>
      </c>
    </row>
    <row r="2173" spans="9:16" ht="13.5" customHeight="1" thickBot="1">
      <c r="I2173" s="882"/>
      <c r="J2173" s="876"/>
      <c r="K2173" s="878"/>
      <c r="L2173" s="880"/>
      <c r="M2173" s="882"/>
      <c r="N2173" s="884"/>
      <c r="O2173" s="56">
        <v>721</v>
      </c>
      <c r="P2173" s="79">
        <f>+N2172-P2172</f>
        <v>0</v>
      </c>
    </row>
    <row r="2174" spans="9:16" ht="15" customHeight="1">
      <c r="I2174" s="881">
        <v>238</v>
      </c>
      <c r="J2174" s="875">
        <v>42573</v>
      </c>
      <c r="K2174" s="877" t="s">
        <v>28</v>
      </c>
      <c r="L2174" s="879" t="s">
        <v>1021</v>
      </c>
      <c r="M2174" s="881" t="s">
        <v>115</v>
      </c>
      <c r="N2174" s="883">
        <v>40000</v>
      </c>
      <c r="O2174" s="55">
        <v>719</v>
      </c>
      <c r="P2174" s="78">
        <v>40000</v>
      </c>
    </row>
    <row r="2175" spans="9:16" ht="12" customHeight="1" thickBot="1">
      <c r="I2175" s="882"/>
      <c r="J2175" s="876"/>
      <c r="K2175" s="878"/>
      <c r="L2175" s="880"/>
      <c r="M2175" s="882"/>
      <c r="N2175" s="884"/>
      <c r="O2175" s="56">
        <v>721</v>
      </c>
      <c r="P2175" s="79">
        <f>+N2174-P2174</f>
        <v>0</v>
      </c>
    </row>
    <row r="2176" spans="9:16" ht="15" customHeight="1">
      <c r="I2176" s="881">
        <v>239</v>
      </c>
      <c r="J2176" s="875">
        <v>42573</v>
      </c>
      <c r="K2176" s="877" t="s">
        <v>120</v>
      </c>
      <c r="L2176" s="879" t="s">
        <v>1010</v>
      </c>
      <c r="M2176" s="881" t="s">
        <v>115</v>
      </c>
      <c r="N2176" s="883">
        <v>1259900</v>
      </c>
      <c r="O2176" s="55">
        <v>719</v>
      </c>
      <c r="P2176" s="78"/>
    </row>
    <row r="2177" spans="9:16" ht="12.75" customHeight="1" thickBot="1">
      <c r="I2177" s="882"/>
      <c r="J2177" s="876"/>
      <c r="K2177" s="878"/>
      <c r="L2177" s="880"/>
      <c r="M2177" s="882"/>
      <c r="N2177" s="884"/>
      <c r="O2177" s="56">
        <v>723</v>
      </c>
      <c r="P2177" s="79">
        <f>+N2176-P2176</f>
        <v>1259900</v>
      </c>
    </row>
    <row r="2178" spans="9:16" ht="16.5" thickBot="1">
      <c r="I2178" s="901" t="s">
        <v>102</v>
      </c>
      <c r="J2178" s="902"/>
      <c r="K2178" s="902"/>
      <c r="L2178" s="902"/>
      <c r="M2178" s="903"/>
      <c r="N2178" s="81">
        <f>SUM(N2166:N2177)</f>
        <v>1609900</v>
      </c>
    </row>
    <row r="2179" spans="9:16" ht="16.5" thickBot="1">
      <c r="I2179" s="885" t="s">
        <v>103</v>
      </c>
      <c r="J2179" s="886"/>
      <c r="K2179" s="886"/>
      <c r="L2179" s="886"/>
      <c r="M2179" s="887"/>
      <c r="N2179" s="69">
        <f>+N2141</f>
        <v>399043122</v>
      </c>
      <c r="O2179" s="241" t="s">
        <v>561</v>
      </c>
      <c r="P2179" s="242">
        <f>28+324+91+533+198</f>
        <v>1174</v>
      </c>
    </row>
    <row r="2180" spans="9:16" ht="16.5" thickBot="1">
      <c r="I2180" s="888" t="s">
        <v>104</v>
      </c>
      <c r="J2180" s="889"/>
      <c r="K2180" s="889"/>
      <c r="L2180" s="889"/>
      <c r="M2180" s="890"/>
      <c r="N2180" s="183">
        <f>SUM(N2178:N2179)</f>
        <v>400653022</v>
      </c>
    </row>
    <row r="2181" spans="9:16" ht="12.75" customHeight="1">
      <c r="I2181" s="61"/>
      <c r="J2181" s="61"/>
      <c r="K2181" s="61"/>
      <c r="L2181" s="61"/>
      <c r="M2181" s="61"/>
    </row>
    <row r="2182" spans="9:16">
      <c r="I2182" s="51" t="s">
        <v>1023</v>
      </c>
    </row>
    <row r="2183" spans="9:16" ht="12" customHeight="1">
      <c r="N2183" s="139"/>
    </row>
    <row r="2184" spans="9:16">
      <c r="I2184" s="50" t="s">
        <v>105</v>
      </c>
      <c r="L2184" s="146"/>
      <c r="N2184" s="139"/>
    </row>
    <row r="2185" spans="9:16" ht="12.75" customHeight="1" thickBot="1"/>
    <row r="2186" spans="9:16" ht="15.75" thickBot="1">
      <c r="I2186" s="891" t="s">
        <v>106</v>
      </c>
      <c r="J2186" s="892"/>
      <c r="K2186" s="892"/>
      <c r="L2186" s="893"/>
      <c r="N2186" s="50" t="s">
        <v>288</v>
      </c>
    </row>
    <row r="2187" spans="9:16" ht="30.75" thickBot="1">
      <c r="I2187" s="57" t="s">
        <v>100</v>
      </c>
      <c r="J2187" s="58" t="s">
        <v>108</v>
      </c>
      <c r="K2187" s="287" t="s">
        <v>109</v>
      </c>
      <c r="L2187" s="60" t="s">
        <v>110</v>
      </c>
    </row>
    <row r="2188" spans="9:16">
      <c r="I2188" s="71">
        <v>719</v>
      </c>
      <c r="J2188" s="73">
        <f>+P2166+P2168+P2170+P2174+P2176+P2172</f>
        <v>350000</v>
      </c>
      <c r="K2188" s="74">
        <f>+L2149</f>
        <v>21410000</v>
      </c>
      <c r="L2188" s="195">
        <f>+J2188+K2188</f>
        <v>21760000</v>
      </c>
    </row>
    <row r="2189" spans="9:16" ht="13.5" customHeight="1">
      <c r="I2189" s="72">
        <v>721</v>
      </c>
      <c r="J2189" s="80">
        <f>+P2167+P2169+P2171+P2175+P2173</f>
        <v>0</v>
      </c>
      <c r="K2189" s="74">
        <f>+L2150</f>
        <v>9973578</v>
      </c>
      <c r="L2189" s="195">
        <f>+J2189+K2189</f>
        <v>9973578</v>
      </c>
    </row>
    <row r="2190" spans="9:16">
      <c r="I2190" s="72">
        <v>722</v>
      </c>
      <c r="J2190" s="80"/>
      <c r="K2190" s="74">
        <f>+L2151</f>
        <v>0</v>
      </c>
      <c r="L2190" s="195">
        <f>+J2190+K2190</f>
        <v>0</v>
      </c>
    </row>
    <row r="2191" spans="9:16" ht="15" customHeight="1">
      <c r="I2191" s="72">
        <v>723</v>
      </c>
      <c r="J2191" s="80">
        <f>+P2177</f>
        <v>1259900</v>
      </c>
      <c r="K2191" s="74">
        <f>+L2152</f>
        <v>367659544</v>
      </c>
      <c r="L2191" s="195">
        <f>+J2191+K2191</f>
        <v>368919444</v>
      </c>
      <c r="N2191" s="193" t="s">
        <v>289</v>
      </c>
      <c r="O2191" s="175"/>
    </row>
    <row r="2192" spans="9:16" ht="13.5" customHeight="1" thickBot="1">
      <c r="I2192" s="164" t="s">
        <v>181</v>
      </c>
      <c r="J2192" s="165"/>
      <c r="K2192" s="74">
        <f>+L2153</f>
        <v>0</v>
      </c>
      <c r="L2192" s="196">
        <f>+J2192+K2192</f>
        <v>0</v>
      </c>
      <c r="N2192" s="52"/>
    </row>
    <row r="2193" spans="9:16" ht="16.5" thickBot="1">
      <c r="I2193" s="169"/>
      <c r="J2193" s="197">
        <f>SUM(J2188:J2192)</f>
        <v>1609900</v>
      </c>
      <c r="K2193" s="197">
        <f>SUM(K2188:K2192)</f>
        <v>399043122</v>
      </c>
      <c r="L2193" s="198">
        <f>SUM(L2188:L2192)</f>
        <v>400653022</v>
      </c>
    </row>
    <row r="2194" spans="9:16" ht="16.5">
      <c r="I2194" s="49" t="s">
        <v>88</v>
      </c>
      <c r="J2194" s="50"/>
    </row>
    <row r="2195" spans="9:16">
      <c r="I2195" s="51" t="s">
        <v>89</v>
      </c>
    </row>
    <row r="2196" spans="9:16">
      <c r="I2196" s="51" t="s">
        <v>90</v>
      </c>
    </row>
    <row r="2197" spans="9:16">
      <c r="I2197" s="51" t="s">
        <v>91</v>
      </c>
    </row>
    <row r="2198" spans="9:16" ht="10.5" customHeight="1">
      <c r="I2198" s="50"/>
      <c r="J2198" s="50"/>
    </row>
    <row r="2199" spans="9:16" ht="15.75">
      <c r="I2199" s="260" t="s">
        <v>1024</v>
      </c>
      <c r="O2199" s="52"/>
    </row>
    <row r="2200" spans="9:16" ht="15.75">
      <c r="I2200" s="53" t="s">
        <v>535</v>
      </c>
      <c r="O2200" s="53"/>
    </row>
    <row r="2201" spans="9:16" ht="16.5">
      <c r="I2201" s="894" t="s">
        <v>909</v>
      </c>
      <c r="J2201" s="894"/>
      <c r="K2201" s="894"/>
      <c r="L2201" s="894"/>
      <c r="M2201" s="894"/>
      <c r="N2201" s="894"/>
      <c r="O2201" s="894"/>
      <c r="P2201" s="894"/>
    </row>
    <row r="2202" spans="9:16" ht="15.75" thickBot="1"/>
    <row r="2203" spans="9:16">
      <c r="I2203" s="895" t="s">
        <v>94</v>
      </c>
      <c r="J2203" s="897" t="s">
        <v>95</v>
      </c>
      <c r="K2203" s="897" t="s">
        <v>96</v>
      </c>
      <c r="L2203" s="897" t="s">
        <v>3</v>
      </c>
      <c r="M2203" s="897" t="s">
        <v>97</v>
      </c>
      <c r="N2203" s="897" t="s">
        <v>98</v>
      </c>
      <c r="O2203" s="897" t="s">
        <v>99</v>
      </c>
      <c r="P2203" s="899"/>
    </row>
    <row r="2204" spans="9:16" ht="15.75" thickBot="1">
      <c r="I2204" s="896"/>
      <c r="J2204" s="898"/>
      <c r="K2204" s="898"/>
      <c r="L2204" s="898"/>
      <c r="M2204" s="898"/>
      <c r="N2204" s="898"/>
      <c r="O2204" s="240" t="s">
        <v>100</v>
      </c>
      <c r="P2204" s="182" t="s">
        <v>101</v>
      </c>
    </row>
    <row r="2205" spans="9:16">
      <c r="I2205" s="881">
        <v>240</v>
      </c>
      <c r="J2205" s="875">
        <v>42592</v>
      </c>
      <c r="K2205" s="877" t="s">
        <v>1014</v>
      </c>
      <c r="L2205" s="879" t="s">
        <v>1025</v>
      </c>
      <c r="M2205" s="881" t="s">
        <v>115</v>
      </c>
      <c r="N2205" s="883">
        <v>110000</v>
      </c>
      <c r="O2205" s="55">
        <v>719</v>
      </c>
      <c r="P2205" s="78">
        <f>+N2205</f>
        <v>110000</v>
      </c>
    </row>
    <row r="2206" spans="9:16" ht="15.75" thickBot="1">
      <c r="I2206" s="882"/>
      <c r="J2206" s="876"/>
      <c r="K2206" s="878"/>
      <c r="L2206" s="880"/>
      <c r="M2206" s="882"/>
      <c r="N2206" s="884"/>
      <c r="O2206" s="56">
        <v>721</v>
      </c>
      <c r="P2206" s="79"/>
    </row>
    <row r="2207" spans="9:16" ht="15" customHeight="1">
      <c r="I2207" s="881">
        <v>241</v>
      </c>
      <c r="J2207" s="875">
        <v>42592</v>
      </c>
      <c r="K2207" s="877" t="s">
        <v>28</v>
      </c>
      <c r="L2207" s="879" t="s">
        <v>1026</v>
      </c>
      <c r="M2207" s="881" t="s">
        <v>115</v>
      </c>
      <c r="N2207" s="883">
        <v>70000</v>
      </c>
      <c r="O2207" s="55">
        <v>719</v>
      </c>
      <c r="P2207" s="78">
        <f>+N2207</f>
        <v>70000</v>
      </c>
    </row>
    <row r="2208" spans="9:16" ht="15.75" customHeight="1" thickBot="1">
      <c r="I2208" s="882"/>
      <c r="J2208" s="876"/>
      <c r="K2208" s="878"/>
      <c r="L2208" s="880"/>
      <c r="M2208" s="882"/>
      <c r="N2208" s="884"/>
      <c r="O2208" s="56">
        <v>721</v>
      </c>
      <c r="P2208" s="79"/>
    </row>
    <row r="2209" spans="9:16" ht="15" customHeight="1">
      <c r="I2209" s="881">
        <v>242</v>
      </c>
      <c r="J2209" s="875">
        <v>42592</v>
      </c>
      <c r="K2209" s="877" t="s">
        <v>1014</v>
      </c>
      <c r="L2209" s="879" t="s">
        <v>1027</v>
      </c>
      <c r="M2209" s="881" t="s">
        <v>115</v>
      </c>
      <c r="N2209" s="883">
        <v>260000</v>
      </c>
      <c r="O2209" s="55">
        <v>719</v>
      </c>
      <c r="P2209" s="78">
        <v>260000</v>
      </c>
    </row>
    <row r="2210" spans="9:16" ht="15.75" customHeight="1" thickBot="1">
      <c r="I2210" s="882"/>
      <c r="J2210" s="876"/>
      <c r="K2210" s="878"/>
      <c r="L2210" s="880"/>
      <c r="M2210" s="882"/>
      <c r="N2210" s="884"/>
      <c r="O2210" s="56">
        <v>721</v>
      </c>
      <c r="P2210" s="79">
        <f>+N2209-P2209</f>
        <v>0</v>
      </c>
    </row>
    <row r="2211" spans="9:16" ht="15" customHeight="1">
      <c r="I2211" s="881"/>
      <c r="J2211" s="875"/>
      <c r="K2211" s="877"/>
      <c r="L2211" s="879"/>
      <c r="M2211" s="881"/>
      <c r="N2211" s="883"/>
      <c r="O2211" s="55">
        <v>719</v>
      </c>
      <c r="P2211" s="78">
        <v>0</v>
      </c>
    </row>
    <row r="2212" spans="9:16" ht="15.75" customHeight="1" thickBot="1">
      <c r="I2212" s="882"/>
      <c r="J2212" s="876"/>
      <c r="K2212" s="878"/>
      <c r="L2212" s="880"/>
      <c r="M2212" s="882"/>
      <c r="N2212" s="884"/>
      <c r="O2212" s="56">
        <v>721</v>
      </c>
      <c r="P2212" s="79">
        <f>+N2211-P2211</f>
        <v>0</v>
      </c>
    </row>
    <row r="2213" spans="9:16">
      <c r="I2213" s="881"/>
      <c r="J2213" s="875"/>
      <c r="K2213" s="877"/>
      <c r="L2213" s="879"/>
      <c r="M2213" s="881"/>
      <c r="N2213" s="883"/>
      <c r="O2213" s="55">
        <v>719</v>
      </c>
      <c r="P2213" s="78"/>
    </row>
    <row r="2214" spans="9:16" ht="15.75" thickBot="1">
      <c r="I2214" s="882"/>
      <c r="J2214" s="876"/>
      <c r="K2214" s="878"/>
      <c r="L2214" s="880"/>
      <c r="M2214" s="882"/>
      <c r="N2214" s="884"/>
      <c r="O2214" s="56">
        <v>723</v>
      </c>
      <c r="P2214" s="79">
        <f>+N2213-P2213</f>
        <v>0</v>
      </c>
    </row>
    <row r="2215" spans="9:16" ht="16.5" thickBot="1">
      <c r="I2215" s="901" t="s">
        <v>102</v>
      </c>
      <c r="J2215" s="902"/>
      <c r="K2215" s="902"/>
      <c r="L2215" s="902"/>
      <c r="M2215" s="903"/>
      <c r="N2215" s="81">
        <f>SUM(N2205:N2214)</f>
        <v>440000</v>
      </c>
    </row>
    <row r="2216" spans="9:16" ht="16.5" thickBot="1">
      <c r="I2216" s="885" t="s">
        <v>103</v>
      </c>
      <c r="J2216" s="886"/>
      <c r="K2216" s="886"/>
      <c r="L2216" s="886"/>
      <c r="M2216" s="887"/>
      <c r="N2216" s="69">
        <f>+N2180</f>
        <v>400653022</v>
      </c>
      <c r="O2216" s="241" t="s">
        <v>561</v>
      </c>
      <c r="P2216" s="242">
        <f>742+165+273</f>
        <v>1180</v>
      </c>
    </row>
    <row r="2217" spans="9:16" ht="16.5" thickBot="1">
      <c r="I2217" s="888" t="s">
        <v>104</v>
      </c>
      <c r="J2217" s="889"/>
      <c r="K2217" s="889"/>
      <c r="L2217" s="889"/>
      <c r="M2217" s="890"/>
      <c r="N2217" s="183">
        <f>SUM(N2215:N2216)</f>
        <v>401093022</v>
      </c>
    </row>
    <row r="2218" spans="9:16">
      <c r="I2218" s="61"/>
      <c r="J2218" s="61"/>
      <c r="K2218" s="61"/>
      <c r="L2218" s="61"/>
      <c r="M2218" s="61"/>
    </row>
    <row r="2219" spans="9:16">
      <c r="I2219" s="51" t="s">
        <v>1029</v>
      </c>
    </row>
    <row r="2220" spans="9:16" ht="12.75" customHeight="1">
      <c r="N2220" s="139"/>
    </row>
    <row r="2221" spans="9:16">
      <c r="I2221" s="50" t="s">
        <v>105</v>
      </c>
      <c r="L2221" s="146"/>
      <c r="N2221" s="139"/>
    </row>
    <row r="2222" spans="9:16" ht="12.75" customHeight="1" thickBot="1"/>
    <row r="2223" spans="9:16" ht="15.75" thickBot="1">
      <c r="I2223" s="891" t="s">
        <v>106</v>
      </c>
      <c r="J2223" s="892"/>
      <c r="K2223" s="892"/>
      <c r="L2223" s="893"/>
      <c r="N2223" s="50" t="s">
        <v>270</v>
      </c>
    </row>
    <row r="2224" spans="9:16" ht="30.75" thickBot="1">
      <c r="I2224" s="57" t="s">
        <v>100</v>
      </c>
      <c r="J2224" s="58" t="s">
        <v>108</v>
      </c>
      <c r="K2224" s="287" t="s">
        <v>109</v>
      </c>
      <c r="L2224" s="60" t="s">
        <v>110</v>
      </c>
    </row>
    <row r="2225" spans="9:16">
      <c r="I2225" s="71">
        <v>719</v>
      </c>
      <c r="J2225" s="73">
        <f>+P2205+P2207+P2209+P2211+P2213</f>
        <v>440000</v>
      </c>
      <c r="K2225" s="74">
        <f>+L2188</f>
        <v>21760000</v>
      </c>
      <c r="L2225" s="195">
        <f>+J2225+K2225</f>
        <v>22200000</v>
      </c>
    </row>
    <row r="2226" spans="9:16">
      <c r="I2226" s="72">
        <v>721</v>
      </c>
      <c r="J2226" s="80">
        <f>+P2206+P2208+P2210+P2212</f>
        <v>0</v>
      </c>
      <c r="K2226" s="74">
        <f>+L2189</f>
        <v>9973578</v>
      </c>
      <c r="L2226" s="195">
        <f>+J2226+K2226</f>
        <v>9973578</v>
      </c>
    </row>
    <row r="2227" spans="9:16">
      <c r="I2227" s="72">
        <v>722</v>
      </c>
      <c r="J2227" s="80"/>
      <c r="K2227" s="74">
        <f>+L2190</f>
        <v>0</v>
      </c>
      <c r="L2227" s="195">
        <f>+J2227+K2227</f>
        <v>0</v>
      </c>
    </row>
    <row r="2228" spans="9:16" ht="15.75">
      <c r="I2228" s="72">
        <v>723</v>
      </c>
      <c r="J2228" s="80">
        <f>+P2214</f>
        <v>0</v>
      </c>
      <c r="K2228" s="74">
        <f>+L2191</f>
        <v>368919444</v>
      </c>
      <c r="L2228" s="195">
        <f>+J2228+K2228</f>
        <v>368919444</v>
      </c>
      <c r="N2228" s="193" t="s">
        <v>1028</v>
      </c>
      <c r="O2228" s="175"/>
    </row>
    <row r="2229" spans="9:16" ht="16.5" thickBot="1">
      <c r="I2229" s="164" t="s">
        <v>181</v>
      </c>
      <c r="J2229" s="165"/>
      <c r="K2229" s="74">
        <f>+L2192</f>
        <v>0</v>
      </c>
      <c r="L2229" s="196">
        <f>+J2229+K2229</f>
        <v>0</v>
      </c>
      <c r="N2229" s="52"/>
    </row>
    <row r="2230" spans="9:16" ht="16.5" thickBot="1">
      <c r="I2230" s="169"/>
      <c r="J2230" s="197">
        <f>SUM(J2225:J2229)</f>
        <v>440000</v>
      </c>
      <c r="K2230" s="197">
        <f>SUM(K2225:K2229)</f>
        <v>400653022</v>
      </c>
      <c r="L2230" s="198">
        <f>SUM(L2225:L2229)</f>
        <v>401093022</v>
      </c>
    </row>
    <row r="2231" spans="9:16" ht="16.5">
      <c r="I2231" s="49" t="s">
        <v>88</v>
      </c>
      <c r="J2231" s="50"/>
    </row>
    <row r="2232" spans="9:16">
      <c r="I2232" s="51" t="s">
        <v>89</v>
      </c>
    </row>
    <row r="2233" spans="9:16">
      <c r="I2233" s="51" t="s">
        <v>90</v>
      </c>
    </row>
    <row r="2234" spans="9:16">
      <c r="I2234" s="51" t="s">
        <v>91</v>
      </c>
    </row>
    <row r="2235" spans="9:16" ht="10.5" customHeight="1">
      <c r="I2235" s="50"/>
      <c r="J2235" s="50"/>
    </row>
    <row r="2236" spans="9:16" ht="15.75">
      <c r="I2236" s="260" t="s">
        <v>1030</v>
      </c>
      <c r="O2236" s="52"/>
    </row>
    <row r="2237" spans="9:16" ht="15.75">
      <c r="I2237" s="53" t="s">
        <v>535</v>
      </c>
      <c r="O2237" s="53"/>
    </row>
    <row r="2238" spans="9:16" ht="16.5">
      <c r="I2238" s="894" t="s">
        <v>909</v>
      </c>
      <c r="J2238" s="894"/>
      <c r="K2238" s="894"/>
      <c r="L2238" s="894"/>
      <c r="M2238" s="894"/>
      <c r="N2238" s="894"/>
      <c r="O2238" s="894"/>
      <c r="P2238" s="894"/>
    </row>
    <row r="2239" spans="9:16" ht="12" customHeight="1" thickBot="1"/>
    <row r="2240" spans="9:16">
      <c r="I2240" s="895" t="s">
        <v>94</v>
      </c>
      <c r="J2240" s="897" t="s">
        <v>95</v>
      </c>
      <c r="K2240" s="897" t="s">
        <v>96</v>
      </c>
      <c r="L2240" s="897" t="s">
        <v>3</v>
      </c>
      <c r="M2240" s="897" t="s">
        <v>97</v>
      </c>
      <c r="N2240" s="897" t="s">
        <v>98</v>
      </c>
      <c r="O2240" s="897" t="s">
        <v>99</v>
      </c>
      <c r="P2240" s="899"/>
    </row>
    <row r="2241" spans="9:16" ht="15.75" thickBot="1">
      <c r="I2241" s="896"/>
      <c r="J2241" s="898"/>
      <c r="K2241" s="898"/>
      <c r="L2241" s="898"/>
      <c r="M2241" s="898"/>
      <c r="N2241" s="898"/>
      <c r="O2241" s="240" t="s">
        <v>100</v>
      </c>
      <c r="P2241" s="182" t="s">
        <v>101</v>
      </c>
    </row>
    <row r="2242" spans="9:16">
      <c r="I2242" s="881">
        <v>243</v>
      </c>
      <c r="J2242" s="875">
        <v>42621</v>
      </c>
      <c r="K2242" s="877" t="s">
        <v>1014</v>
      </c>
      <c r="L2242" s="879" t="s">
        <v>1033</v>
      </c>
      <c r="M2242" s="881" t="s">
        <v>115</v>
      </c>
      <c r="N2242" s="883">
        <v>190000</v>
      </c>
      <c r="O2242" s="55">
        <v>719</v>
      </c>
      <c r="P2242" s="78">
        <f>+N2242</f>
        <v>190000</v>
      </c>
    </row>
    <row r="2243" spans="9:16" ht="15.75" thickBot="1">
      <c r="I2243" s="882"/>
      <c r="J2243" s="876"/>
      <c r="K2243" s="878"/>
      <c r="L2243" s="880"/>
      <c r="M2243" s="882"/>
      <c r="N2243" s="884"/>
      <c r="O2243" s="56">
        <v>721</v>
      </c>
      <c r="P2243" s="79"/>
    </row>
    <row r="2244" spans="9:16" ht="15" customHeight="1">
      <c r="I2244" s="881">
        <v>244</v>
      </c>
      <c r="J2244" s="875">
        <v>42621</v>
      </c>
      <c r="K2244" s="877" t="s">
        <v>28</v>
      </c>
      <c r="L2244" s="879" t="s">
        <v>1033</v>
      </c>
      <c r="M2244" s="881" t="s">
        <v>115</v>
      </c>
      <c r="N2244" s="883">
        <v>60000</v>
      </c>
      <c r="O2244" s="55">
        <v>719</v>
      </c>
      <c r="P2244" s="78">
        <f>+N2244</f>
        <v>60000</v>
      </c>
    </row>
    <row r="2245" spans="9:16" ht="15.75" customHeight="1" thickBot="1">
      <c r="I2245" s="882"/>
      <c r="J2245" s="876"/>
      <c r="K2245" s="878"/>
      <c r="L2245" s="880"/>
      <c r="M2245" s="882"/>
      <c r="N2245" s="884"/>
      <c r="O2245" s="56">
        <v>721</v>
      </c>
      <c r="P2245" s="79"/>
    </row>
    <row r="2246" spans="9:16" ht="15" customHeight="1">
      <c r="I2246" s="881">
        <v>245</v>
      </c>
      <c r="J2246" s="875">
        <v>42621</v>
      </c>
      <c r="K2246" s="877" t="s">
        <v>1014</v>
      </c>
      <c r="L2246" s="879" t="s">
        <v>1034</v>
      </c>
      <c r="M2246" s="881" t="s">
        <v>115</v>
      </c>
      <c r="N2246" s="883">
        <v>560000</v>
      </c>
      <c r="O2246" s="55">
        <v>719</v>
      </c>
      <c r="P2246" s="78">
        <v>560000</v>
      </c>
    </row>
    <row r="2247" spans="9:16" ht="15.75" customHeight="1" thickBot="1">
      <c r="I2247" s="882"/>
      <c r="J2247" s="876"/>
      <c r="K2247" s="878"/>
      <c r="L2247" s="880"/>
      <c r="M2247" s="882"/>
      <c r="N2247" s="884"/>
      <c r="O2247" s="56">
        <v>721</v>
      </c>
      <c r="P2247" s="79">
        <f>+N2246-P2246</f>
        <v>0</v>
      </c>
    </row>
    <row r="2248" spans="9:16" ht="15" customHeight="1">
      <c r="I2248" s="881">
        <v>246</v>
      </c>
      <c r="J2248" s="875">
        <v>42621</v>
      </c>
      <c r="K2248" s="877" t="s">
        <v>28</v>
      </c>
      <c r="L2248" s="879" t="s">
        <v>1035</v>
      </c>
      <c r="M2248" s="881" t="s">
        <v>115</v>
      </c>
      <c r="N2248" s="883">
        <v>70000</v>
      </c>
      <c r="O2248" s="55">
        <v>719</v>
      </c>
      <c r="P2248" s="78">
        <v>70000</v>
      </c>
    </row>
    <row r="2249" spans="9:16" ht="15.75" customHeight="1" thickBot="1">
      <c r="I2249" s="882"/>
      <c r="J2249" s="876"/>
      <c r="K2249" s="878"/>
      <c r="L2249" s="880"/>
      <c r="M2249" s="882"/>
      <c r="N2249" s="884"/>
      <c r="O2249" s="56">
        <v>721</v>
      </c>
      <c r="P2249" s="79">
        <f>+N2248-P2248</f>
        <v>0</v>
      </c>
    </row>
    <row r="2250" spans="9:16" ht="15" customHeight="1">
      <c r="I2250" s="881"/>
      <c r="J2250" s="875"/>
      <c r="K2250" s="877"/>
      <c r="L2250" s="879"/>
      <c r="M2250" s="881"/>
      <c r="N2250" s="883"/>
      <c r="O2250" s="55">
        <v>719</v>
      </c>
      <c r="P2250" s="78"/>
    </row>
    <row r="2251" spans="9:16" ht="15.75" customHeight="1" thickBot="1">
      <c r="I2251" s="882"/>
      <c r="J2251" s="876"/>
      <c r="K2251" s="878"/>
      <c r="L2251" s="880"/>
      <c r="M2251" s="882"/>
      <c r="N2251" s="884"/>
      <c r="O2251" s="56">
        <v>723</v>
      </c>
      <c r="P2251" s="79">
        <f>+N2250-P2250</f>
        <v>0</v>
      </c>
    </row>
    <row r="2252" spans="9:16" ht="16.5" thickBot="1">
      <c r="I2252" s="901" t="s">
        <v>102</v>
      </c>
      <c r="J2252" s="902"/>
      <c r="K2252" s="902"/>
      <c r="L2252" s="902"/>
      <c r="M2252" s="903"/>
      <c r="N2252" s="81">
        <f>SUM(N2242:N2251)</f>
        <v>880000</v>
      </c>
    </row>
    <row r="2253" spans="9:16" ht="16.5" thickBot="1">
      <c r="I2253" s="885" t="s">
        <v>103</v>
      </c>
      <c r="J2253" s="886"/>
      <c r="K2253" s="886"/>
      <c r="L2253" s="886"/>
      <c r="M2253" s="887"/>
      <c r="N2253" s="69">
        <f>+N2217</f>
        <v>401093022</v>
      </c>
      <c r="O2253" s="241" t="s">
        <v>561</v>
      </c>
      <c r="P2253" s="242">
        <f>86+1021+143+512</f>
        <v>1762</v>
      </c>
    </row>
    <row r="2254" spans="9:16" ht="16.5" thickBot="1">
      <c r="I2254" s="888" t="s">
        <v>104</v>
      </c>
      <c r="J2254" s="889"/>
      <c r="K2254" s="889"/>
      <c r="L2254" s="889"/>
      <c r="M2254" s="890"/>
      <c r="N2254" s="183">
        <f>SUM(N2252:N2253)</f>
        <v>401973022</v>
      </c>
    </row>
    <row r="2255" spans="9:16">
      <c r="I2255" s="61"/>
      <c r="J2255" s="61"/>
      <c r="K2255" s="61"/>
      <c r="L2255" s="61"/>
      <c r="M2255" s="61"/>
    </row>
    <row r="2256" spans="9:16">
      <c r="I2256" s="51" t="s">
        <v>1036</v>
      </c>
    </row>
    <row r="2257" spans="9:15" ht="12.75" customHeight="1">
      <c r="N2257" s="139"/>
    </row>
    <row r="2258" spans="9:15">
      <c r="I2258" s="50" t="s">
        <v>105</v>
      </c>
      <c r="L2258" s="146"/>
      <c r="N2258" s="139"/>
    </row>
    <row r="2259" spans="9:15" ht="13.5" customHeight="1" thickBot="1"/>
    <row r="2260" spans="9:15" ht="15.75" thickBot="1">
      <c r="I2260" s="891" t="s">
        <v>106</v>
      </c>
      <c r="J2260" s="892"/>
      <c r="K2260" s="892"/>
      <c r="L2260" s="893"/>
      <c r="N2260" s="50" t="s">
        <v>288</v>
      </c>
    </row>
    <row r="2261" spans="9:15" ht="30.75" thickBot="1">
      <c r="I2261" s="57" t="s">
        <v>100</v>
      </c>
      <c r="J2261" s="58" t="s">
        <v>108</v>
      </c>
      <c r="K2261" s="287" t="s">
        <v>109</v>
      </c>
      <c r="L2261" s="60" t="s">
        <v>110</v>
      </c>
    </row>
    <row r="2262" spans="9:15">
      <c r="I2262" s="71">
        <v>719</v>
      </c>
      <c r="J2262" s="73">
        <f>+P2242+P2244+P2246+P2248+P2250</f>
        <v>880000</v>
      </c>
      <c r="K2262" s="74">
        <f>+L2225</f>
        <v>22200000</v>
      </c>
      <c r="L2262" s="195">
        <f>+J2262+K2262</f>
        <v>23080000</v>
      </c>
    </row>
    <row r="2263" spans="9:15">
      <c r="I2263" s="72">
        <v>721</v>
      </c>
      <c r="J2263" s="80">
        <f>+P2243+P2245+P2247+P2249</f>
        <v>0</v>
      </c>
      <c r="K2263" s="74">
        <f>+L2226</f>
        <v>9973578</v>
      </c>
      <c r="L2263" s="195">
        <f>+J2263+K2263</f>
        <v>9973578</v>
      </c>
    </row>
    <row r="2264" spans="9:15">
      <c r="I2264" s="72">
        <v>722</v>
      </c>
      <c r="J2264" s="80"/>
      <c r="K2264" s="74">
        <f>+L2227</f>
        <v>0</v>
      </c>
      <c r="L2264" s="195">
        <f>+J2264+K2264</f>
        <v>0</v>
      </c>
    </row>
    <row r="2265" spans="9:15" ht="15.75">
      <c r="I2265" s="72">
        <v>723</v>
      </c>
      <c r="J2265" s="80">
        <f>+P2251</f>
        <v>0</v>
      </c>
      <c r="K2265" s="74">
        <f>+L2228</f>
        <v>368919444</v>
      </c>
      <c r="L2265" s="195">
        <f>+J2265+K2265</f>
        <v>368919444</v>
      </c>
      <c r="N2265" s="193" t="s">
        <v>289</v>
      </c>
      <c r="O2265" s="175"/>
    </row>
    <row r="2266" spans="9:15" ht="16.5" thickBot="1">
      <c r="I2266" s="164" t="s">
        <v>181</v>
      </c>
      <c r="J2266" s="165"/>
      <c r="K2266" s="74">
        <f>+L2229</f>
        <v>0</v>
      </c>
      <c r="L2266" s="196">
        <f>+J2266+K2266</f>
        <v>0</v>
      </c>
      <c r="N2266" s="52"/>
    </row>
    <row r="2267" spans="9:15" ht="16.5" thickBot="1">
      <c r="I2267" s="169"/>
      <c r="J2267" s="197">
        <f>SUM(J2262:J2266)</f>
        <v>880000</v>
      </c>
      <c r="K2267" s="197">
        <f>SUM(K2262:K2266)</f>
        <v>401093022</v>
      </c>
      <c r="L2267" s="198">
        <f>SUM(L2262:L2266)</f>
        <v>401973022</v>
      </c>
    </row>
    <row r="2268" spans="9:15" ht="16.5">
      <c r="I2268" s="49" t="s">
        <v>88</v>
      </c>
      <c r="J2268" s="50"/>
    </row>
    <row r="2269" spans="9:15">
      <c r="I2269" s="51" t="s">
        <v>89</v>
      </c>
    </row>
    <row r="2270" spans="9:15">
      <c r="I2270" s="51" t="s">
        <v>90</v>
      </c>
    </row>
    <row r="2271" spans="9:15">
      <c r="I2271" s="51" t="s">
        <v>91</v>
      </c>
    </row>
    <row r="2272" spans="9:15" ht="11.25" customHeight="1">
      <c r="I2272" s="50"/>
      <c r="J2272" s="50"/>
    </row>
    <row r="2273" spans="9:16" ht="15.75">
      <c r="I2273" s="260" t="s">
        <v>1031</v>
      </c>
      <c r="O2273" s="52"/>
    </row>
    <row r="2274" spans="9:16" ht="15.75">
      <c r="I2274" s="53" t="s">
        <v>535</v>
      </c>
      <c r="O2274" s="53"/>
    </row>
    <row r="2275" spans="9:16" ht="16.5">
      <c r="I2275" s="894" t="s">
        <v>909</v>
      </c>
      <c r="J2275" s="894"/>
      <c r="K2275" s="894"/>
      <c r="L2275" s="894"/>
      <c r="M2275" s="894"/>
      <c r="N2275" s="894"/>
      <c r="O2275" s="894"/>
      <c r="P2275" s="894"/>
    </row>
    <row r="2276" spans="9:16" ht="15.75" thickBot="1"/>
    <row r="2277" spans="9:16">
      <c r="I2277" s="895" t="s">
        <v>94</v>
      </c>
      <c r="J2277" s="897" t="s">
        <v>95</v>
      </c>
      <c r="K2277" s="897" t="s">
        <v>96</v>
      </c>
      <c r="L2277" s="897" t="s">
        <v>3</v>
      </c>
      <c r="M2277" s="897" t="s">
        <v>97</v>
      </c>
      <c r="N2277" s="897" t="s">
        <v>98</v>
      </c>
      <c r="O2277" s="897" t="s">
        <v>99</v>
      </c>
      <c r="P2277" s="899"/>
    </row>
    <row r="2278" spans="9:16" ht="15.75" thickBot="1">
      <c r="I2278" s="896"/>
      <c r="J2278" s="898"/>
      <c r="K2278" s="898"/>
      <c r="L2278" s="898"/>
      <c r="M2278" s="898"/>
      <c r="N2278" s="898"/>
      <c r="O2278" s="240" t="s">
        <v>100</v>
      </c>
      <c r="P2278" s="182" t="s">
        <v>101</v>
      </c>
    </row>
    <row r="2279" spans="9:16">
      <c r="I2279" s="881">
        <v>247</v>
      </c>
      <c r="J2279" s="875">
        <v>42623</v>
      </c>
      <c r="K2279" s="877" t="s">
        <v>40</v>
      </c>
      <c r="L2279" s="879" t="s">
        <v>1037</v>
      </c>
      <c r="M2279" s="881" t="s">
        <v>148</v>
      </c>
      <c r="N2279" s="883">
        <v>140000</v>
      </c>
      <c r="O2279" s="55">
        <v>719</v>
      </c>
      <c r="P2279" s="78">
        <v>100000</v>
      </c>
    </row>
    <row r="2280" spans="9:16" ht="15.75" thickBot="1">
      <c r="I2280" s="882"/>
      <c r="J2280" s="876"/>
      <c r="K2280" s="878"/>
      <c r="L2280" s="880"/>
      <c r="M2280" s="882"/>
      <c r="N2280" s="884"/>
      <c r="O2280" s="56">
        <v>721</v>
      </c>
      <c r="P2280" s="79">
        <f>+N2279-P2279</f>
        <v>40000</v>
      </c>
    </row>
    <row r="2281" spans="9:16">
      <c r="I2281" s="881">
        <v>248</v>
      </c>
      <c r="J2281" s="875">
        <v>42623</v>
      </c>
      <c r="K2281" s="877" t="s">
        <v>28</v>
      </c>
      <c r="L2281" s="879" t="s">
        <v>1038</v>
      </c>
      <c r="M2281" s="881" t="s">
        <v>148</v>
      </c>
      <c r="N2281" s="883">
        <v>714000</v>
      </c>
      <c r="O2281" s="55">
        <v>719</v>
      </c>
      <c r="P2281" s="78">
        <f>+N2281-P2282</f>
        <v>510000</v>
      </c>
    </row>
    <row r="2282" spans="9:16" ht="15.75" thickBot="1">
      <c r="I2282" s="882"/>
      <c r="J2282" s="876"/>
      <c r="K2282" s="878"/>
      <c r="L2282" s="880"/>
      <c r="M2282" s="882"/>
      <c r="N2282" s="884"/>
      <c r="O2282" s="56">
        <v>721</v>
      </c>
      <c r="P2282" s="79">
        <v>204000</v>
      </c>
    </row>
    <row r="2283" spans="9:16">
      <c r="I2283" s="881">
        <v>249</v>
      </c>
      <c r="J2283" s="875">
        <v>42623</v>
      </c>
      <c r="K2283" s="877" t="s">
        <v>111</v>
      </c>
      <c r="L2283" s="879" t="s">
        <v>1039</v>
      </c>
      <c r="M2283" s="881" t="s">
        <v>148</v>
      </c>
      <c r="N2283" s="883">
        <v>252000</v>
      </c>
      <c r="O2283" s="55">
        <v>719</v>
      </c>
      <c r="P2283" s="78">
        <v>180000</v>
      </c>
    </row>
    <row r="2284" spans="9:16" ht="15.75" thickBot="1">
      <c r="I2284" s="882"/>
      <c r="J2284" s="876"/>
      <c r="K2284" s="878"/>
      <c r="L2284" s="880"/>
      <c r="M2284" s="882"/>
      <c r="N2284" s="884"/>
      <c r="O2284" s="56">
        <v>721</v>
      </c>
      <c r="P2284" s="79">
        <f>+N2283-P2283</f>
        <v>72000</v>
      </c>
    </row>
    <row r="2285" spans="9:16">
      <c r="I2285" s="881">
        <v>250</v>
      </c>
      <c r="J2285" s="875">
        <v>42623</v>
      </c>
      <c r="K2285" s="877" t="s">
        <v>40</v>
      </c>
      <c r="L2285" s="879" t="s">
        <v>1040</v>
      </c>
      <c r="M2285" s="881" t="s">
        <v>148</v>
      </c>
      <c r="N2285" s="883">
        <v>112000</v>
      </c>
      <c r="O2285" s="55">
        <v>719</v>
      </c>
      <c r="P2285" s="78">
        <v>80000</v>
      </c>
    </row>
    <row r="2286" spans="9:16" ht="15.75" thickBot="1">
      <c r="I2286" s="882"/>
      <c r="J2286" s="876"/>
      <c r="K2286" s="878"/>
      <c r="L2286" s="880"/>
      <c r="M2286" s="882"/>
      <c r="N2286" s="884"/>
      <c r="O2286" s="56">
        <v>721</v>
      </c>
      <c r="P2286" s="79">
        <f>+N2285-P2285</f>
        <v>32000</v>
      </c>
    </row>
    <row r="2287" spans="9:16">
      <c r="I2287" s="881">
        <v>251</v>
      </c>
      <c r="J2287" s="875">
        <v>42623</v>
      </c>
      <c r="K2287" s="877" t="s">
        <v>28</v>
      </c>
      <c r="L2287" s="879" t="s">
        <v>1041</v>
      </c>
      <c r="M2287" s="881" t="s">
        <v>148</v>
      </c>
      <c r="N2287" s="883">
        <v>504000</v>
      </c>
      <c r="O2287" s="55">
        <v>719</v>
      </c>
      <c r="P2287" s="78">
        <v>360000</v>
      </c>
    </row>
    <row r="2288" spans="9:16" ht="15.75" thickBot="1">
      <c r="I2288" s="882"/>
      <c r="J2288" s="876"/>
      <c r="K2288" s="878"/>
      <c r="L2288" s="880"/>
      <c r="M2288" s="882"/>
      <c r="N2288" s="884"/>
      <c r="O2288" s="56">
        <v>723</v>
      </c>
      <c r="P2288" s="79">
        <f>+N2287-P2287</f>
        <v>144000</v>
      </c>
    </row>
    <row r="2289" spans="9:16" ht="16.5" thickBot="1">
      <c r="I2289" s="901" t="s">
        <v>102</v>
      </c>
      <c r="J2289" s="902"/>
      <c r="K2289" s="902"/>
      <c r="L2289" s="902"/>
      <c r="M2289" s="903"/>
      <c r="N2289" s="81">
        <f>SUM(N2279:N2288)</f>
        <v>1722000</v>
      </c>
    </row>
    <row r="2290" spans="9:16" ht="16.5" thickBot="1">
      <c r="I2290" s="885" t="s">
        <v>103</v>
      </c>
      <c r="J2290" s="886"/>
      <c r="K2290" s="886"/>
      <c r="L2290" s="886"/>
      <c r="M2290" s="887"/>
      <c r="N2290" s="69">
        <f>+N2254</f>
        <v>401973022</v>
      </c>
      <c r="O2290" s="241" t="s">
        <v>561</v>
      </c>
      <c r="P2290" s="242">
        <f>875+40+72+1421+61</f>
        <v>2469</v>
      </c>
    </row>
    <row r="2291" spans="9:16" ht="16.5" thickBot="1">
      <c r="I2291" s="888" t="s">
        <v>104</v>
      </c>
      <c r="J2291" s="889"/>
      <c r="K2291" s="889"/>
      <c r="L2291" s="889"/>
      <c r="M2291" s="890"/>
      <c r="N2291" s="183">
        <f>SUM(N2289:N2290)</f>
        <v>403695022</v>
      </c>
    </row>
    <row r="2292" spans="9:16">
      <c r="I2292" s="61"/>
      <c r="J2292" s="61"/>
      <c r="K2292" s="61"/>
      <c r="L2292" s="61"/>
      <c r="M2292" s="61"/>
    </row>
    <row r="2293" spans="9:16">
      <c r="I2293" s="51" t="s">
        <v>1042</v>
      </c>
    </row>
    <row r="2294" spans="9:16" ht="12.75" customHeight="1">
      <c r="N2294" s="139"/>
    </row>
    <row r="2295" spans="9:16">
      <c r="I2295" s="50" t="s">
        <v>105</v>
      </c>
      <c r="L2295" s="146"/>
      <c r="N2295" s="139"/>
    </row>
    <row r="2296" spans="9:16" ht="13.5" customHeight="1" thickBot="1"/>
    <row r="2297" spans="9:16" ht="15.75" thickBot="1">
      <c r="I2297" s="891" t="s">
        <v>106</v>
      </c>
      <c r="J2297" s="892"/>
      <c r="K2297" s="892"/>
      <c r="L2297" s="893"/>
      <c r="N2297" s="50" t="s">
        <v>288</v>
      </c>
    </row>
    <row r="2298" spans="9:16" ht="30.75" thickBot="1">
      <c r="I2298" s="57" t="s">
        <v>100</v>
      </c>
      <c r="J2298" s="58" t="s">
        <v>108</v>
      </c>
      <c r="K2298" s="287" t="s">
        <v>109</v>
      </c>
      <c r="L2298" s="60" t="s">
        <v>110</v>
      </c>
    </row>
    <row r="2299" spans="9:16">
      <c r="I2299" s="71">
        <v>719</v>
      </c>
      <c r="J2299" s="73">
        <f>+P2279+P2281+P2283+P2285+P2287</f>
        <v>1230000</v>
      </c>
      <c r="K2299" s="74">
        <f>+L2262</f>
        <v>23080000</v>
      </c>
      <c r="L2299" s="195">
        <f>+J2299+K2299</f>
        <v>24310000</v>
      </c>
    </row>
    <row r="2300" spans="9:16">
      <c r="I2300" s="72">
        <v>721</v>
      </c>
      <c r="J2300" s="80">
        <f>+P2280+P2282+P2284+P2286+P2288</f>
        <v>492000</v>
      </c>
      <c r="K2300" s="74">
        <f>+L2263</f>
        <v>9973578</v>
      </c>
      <c r="L2300" s="195">
        <f>+J2300+K2300</f>
        <v>10465578</v>
      </c>
    </row>
    <row r="2301" spans="9:16">
      <c r="I2301" s="72">
        <v>722</v>
      </c>
      <c r="J2301" s="80"/>
      <c r="K2301" s="74">
        <f>+L2264</f>
        <v>0</v>
      </c>
      <c r="L2301" s="195">
        <f>+J2301+K2301</f>
        <v>0</v>
      </c>
    </row>
    <row r="2302" spans="9:16" ht="15.75">
      <c r="I2302" s="72">
        <v>723</v>
      </c>
      <c r="J2302" s="80"/>
      <c r="K2302" s="74">
        <f>+L2265</f>
        <v>368919444</v>
      </c>
      <c r="L2302" s="195">
        <f>+J2302+K2302</f>
        <v>368919444</v>
      </c>
      <c r="N2302" s="193" t="s">
        <v>289</v>
      </c>
      <c r="O2302" s="175"/>
    </row>
    <row r="2303" spans="9:16" ht="16.5" thickBot="1">
      <c r="I2303" s="164" t="s">
        <v>181</v>
      </c>
      <c r="J2303" s="165"/>
      <c r="K2303" s="74">
        <f>+L2266</f>
        <v>0</v>
      </c>
      <c r="L2303" s="196">
        <f>+J2303+K2303</f>
        <v>0</v>
      </c>
      <c r="N2303" s="52"/>
    </row>
    <row r="2304" spans="9:16" ht="16.5" thickBot="1">
      <c r="I2304" s="169"/>
      <c r="J2304" s="197">
        <f>SUM(J2299:J2303)</f>
        <v>1722000</v>
      </c>
      <c r="K2304" s="197">
        <f>SUM(K2299:K2303)</f>
        <v>401973022</v>
      </c>
      <c r="L2304" s="198">
        <f>SUM(L2299:L2303)</f>
        <v>403695022</v>
      </c>
    </row>
    <row r="2305" spans="9:16" ht="16.5">
      <c r="I2305" s="49" t="s">
        <v>88</v>
      </c>
      <c r="J2305" s="50"/>
    </row>
    <row r="2306" spans="9:16">
      <c r="I2306" s="51" t="s">
        <v>89</v>
      </c>
    </row>
    <row r="2307" spans="9:16">
      <c r="I2307" s="51" t="s">
        <v>90</v>
      </c>
    </row>
    <row r="2308" spans="9:16">
      <c r="I2308" s="51" t="s">
        <v>91</v>
      </c>
    </row>
    <row r="2309" spans="9:16" ht="12.75" customHeight="1">
      <c r="I2309" s="50"/>
      <c r="J2309" s="50"/>
    </row>
    <row r="2310" spans="9:16" ht="15.75">
      <c r="I2310" s="260" t="s">
        <v>1032</v>
      </c>
      <c r="O2310" s="52"/>
    </row>
    <row r="2311" spans="9:16" ht="15.75">
      <c r="I2311" s="53" t="s">
        <v>535</v>
      </c>
      <c r="O2311" s="53"/>
    </row>
    <row r="2312" spans="9:16" ht="16.5">
      <c r="I2312" s="894" t="s">
        <v>909</v>
      </c>
      <c r="J2312" s="894"/>
      <c r="K2312" s="894"/>
      <c r="L2312" s="894"/>
      <c r="M2312" s="894"/>
      <c r="N2312" s="894"/>
      <c r="O2312" s="894"/>
      <c r="P2312" s="894"/>
    </row>
    <row r="2313" spans="9:16" ht="15.75" thickBot="1"/>
    <row r="2314" spans="9:16">
      <c r="I2314" s="895" t="s">
        <v>94</v>
      </c>
      <c r="J2314" s="897" t="s">
        <v>95</v>
      </c>
      <c r="K2314" s="897" t="s">
        <v>96</v>
      </c>
      <c r="L2314" s="897" t="s">
        <v>3</v>
      </c>
      <c r="M2314" s="897" t="s">
        <v>97</v>
      </c>
      <c r="N2314" s="897" t="s">
        <v>98</v>
      </c>
      <c r="O2314" s="897" t="s">
        <v>99</v>
      </c>
      <c r="P2314" s="899"/>
    </row>
    <row r="2315" spans="9:16" ht="15.75" thickBot="1">
      <c r="I2315" s="896"/>
      <c r="J2315" s="898"/>
      <c r="K2315" s="898"/>
      <c r="L2315" s="898"/>
      <c r="M2315" s="898"/>
      <c r="N2315" s="898"/>
      <c r="O2315" s="240" t="s">
        <v>100</v>
      </c>
      <c r="P2315" s="182" t="s">
        <v>101</v>
      </c>
    </row>
    <row r="2316" spans="9:16" ht="15" customHeight="1">
      <c r="I2316" s="881">
        <v>252</v>
      </c>
      <c r="J2316" s="875">
        <v>42621</v>
      </c>
      <c r="K2316" s="877" t="s">
        <v>40</v>
      </c>
      <c r="L2316" s="879" t="s">
        <v>1043</v>
      </c>
      <c r="M2316" s="881" t="s">
        <v>148</v>
      </c>
      <c r="N2316" s="883">
        <v>56000</v>
      </c>
      <c r="O2316" s="55">
        <v>719</v>
      </c>
      <c r="P2316" s="78">
        <v>40000</v>
      </c>
    </row>
    <row r="2317" spans="9:16" ht="15.75" customHeight="1" thickBot="1">
      <c r="I2317" s="882"/>
      <c r="J2317" s="876"/>
      <c r="K2317" s="878"/>
      <c r="L2317" s="880"/>
      <c r="M2317" s="882"/>
      <c r="N2317" s="884"/>
      <c r="O2317" s="56">
        <v>721</v>
      </c>
      <c r="P2317" s="79">
        <f>+N2316-P2316</f>
        <v>16000</v>
      </c>
    </row>
    <row r="2318" spans="9:16" ht="15" customHeight="1">
      <c r="I2318" s="881">
        <v>253</v>
      </c>
      <c r="J2318" s="875">
        <v>42621</v>
      </c>
      <c r="K2318" s="877" t="s">
        <v>28</v>
      </c>
      <c r="L2318" s="879" t="s">
        <v>1044</v>
      </c>
      <c r="M2318" s="881" t="s">
        <v>148</v>
      </c>
      <c r="N2318" s="883">
        <v>252000</v>
      </c>
      <c r="O2318" s="55">
        <v>719</v>
      </c>
      <c r="P2318" s="78">
        <v>180000</v>
      </c>
    </row>
    <row r="2319" spans="9:16" ht="15.75" customHeight="1" thickBot="1">
      <c r="I2319" s="882"/>
      <c r="J2319" s="876"/>
      <c r="K2319" s="878"/>
      <c r="L2319" s="880"/>
      <c r="M2319" s="882"/>
      <c r="N2319" s="884"/>
      <c r="O2319" s="56">
        <v>721</v>
      </c>
      <c r="P2319" s="79">
        <f>+N2318-P2318</f>
        <v>72000</v>
      </c>
    </row>
    <row r="2320" spans="9:16" ht="15" customHeight="1">
      <c r="I2320" s="881">
        <v>254</v>
      </c>
      <c r="J2320" s="875">
        <v>42621</v>
      </c>
      <c r="K2320" s="877" t="s">
        <v>111</v>
      </c>
      <c r="L2320" s="879" t="s">
        <v>1045</v>
      </c>
      <c r="M2320" s="881" t="s">
        <v>148</v>
      </c>
      <c r="N2320" s="883">
        <v>112000</v>
      </c>
      <c r="O2320" s="55">
        <v>719</v>
      </c>
      <c r="P2320" s="78">
        <v>80000</v>
      </c>
    </row>
    <row r="2321" spans="9:16" ht="15.75" customHeight="1" thickBot="1">
      <c r="I2321" s="882"/>
      <c r="J2321" s="876"/>
      <c r="K2321" s="878"/>
      <c r="L2321" s="880"/>
      <c r="M2321" s="882"/>
      <c r="N2321" s="884"/>
      <c r="O2321" s="56">
        <v>721</v>
      </c>
      <c r="P2321" s="79">
        <f>+N2320-P2320</f>
        <v>32000</v>
      </c>
    </row>
    <row r="2322" spans="9:16" ht="15" customHeight="1">
      <c r="I2322" s="881">
        <v>255</v>
      </c>
      <c r="J2322" s="875">
        <v>42621</v>
      </c>
      <c r="K2322" s="877" t="s">
        <v>111</v>
      </c>
      <c r="L2322" s="879" t="s">
        <v>1044</v>
      </c>
      <c r="M2322" s="881" t="s">
        <v>148</v>
      </c>
      <c r="N2322" s="883">
        <v>56000</v>
      </c>
      <c r="O2322" s="55">
        <v>719</v>
      </c>
      <c r="P2322" s="78">
        <v>40000</v>
      </c>
    </row>
    <row r="2323" spans="9:16" ht="15.75" customHeight="1" thickBot="1">
      <c r="I2323" s="882"/>
      <c r="J2323" s="876"/>
      <c r="K2323" s="878"/>
      <c r="L2323" s="880"/>
      <c r="M2323" s="882"/>
      <c r="N2323" s="884"/>
      <c r="O2323" s="56">
        <v>721</v>
      </c>
      <c r="P2323" s="79">
        <f>+N2322-P2322</f>
        <v>16000</v>
      </c>
    </row>
    <row r="2324" spans="9:16">
      <c r="I2324" s="881"/>
      <c r="J2324" s="875"/>
      <c r="K2324" s="877"/>
      <c r="L2324" s="879"/>
      <c r="M2324" s="881"/>
      <c r="N2324" s="883"/>
      <c r="O2324" s="55">
        <v>719</v>
      </c>
      <c r="P2324" s="78"/>
    </row>
    <row r="2325" spans="9:16" ht="15.75" thickBot="1">
      <c r="I2325" s="882"/>
      <c r="J2325" s="876"/>
      <c r="K2325" s="878"/>
      <c r="L2325" s="880"/>
      <c r="M2325" s="882"/>
      <c r="N2325" s="884"/>
      <c r="O2325" s="56">
        <v>723</v>
      </c>
      <c r="P2325" s="79">
        <f>+N2324-P2324</f>
        <v>0</v>
      </c>
    </row>
    <row r="2326" spans="9:16" ht="16.5" thickBot="1">
      <c r="I2326" s="901" t="s">
        <v>102</v>
      </c>
      <c r="J2326" s="902"/>
      <c r="K2326" s="902"/>
      <c r="L2326" s="902"/>
      <c r="M2326" s="903"/>
      <c r="N2326" s="81">
        <f>SUM(N2316:N2325)</f>
        <v>476000</v>
      </c>
    </row>
    <row r="2327" spans="9:16" ht="16.5" thickBot="1">
      <c r="I2327" s="885" t="s">
        <v>103</v>
      </c>
      <c r="J2327" s="886"/>
      <c r="K2327" s="886"/>
      <c r="L2327" s="886"/>
      <c r="M2327" s="887"/>
      <c r="N2327" s="69">
        <f>+N2291</f>
        <v>403695022</v>
      </c>
      <c r="O2327" s="241" t="s">
        <v>561</v>
      </c>
      <c r="P2327" s="242">
        <f>451+25+37+18</f>
        <v>531</v>
      </c>
    </row>
    <row r="2328" spans="9:16" ht="16.5" thickBot="1">
      <c r="I2328" s="888" t="s">
        <v>104</v>
      </c>
      <c r="J2328" s="889"/>
      <c r="K2328" s="889"/>
      <c r="L2328" s="889"/>
      <c r="M2328" s="890"/>
      <c r="N2328" s="183">
        <f>SUM(N2326:N2327)</f>
        <v>404171022</v>
      </c>
    </row>
    <row r="2329" spans="9:16">
      <c r="I2329" s="61"/>
      <c r="J2329" s="61"/>
      <c r="K2329" s="61"/>
      <c r="L2329" s="61"/>
      <c r="M2329" s="61"/>
    </row>
    <row r="2330" spans="9:16">
      <c r="I2330" s="51" t="s">
        <v>1065</v>
      </c>
    </row>
    <row r="2331" spans="9:16" ht="12" customHeight="1">
      <c r="N2331" s="139"/>
    </row>
    <row r="2332" spans="9:16">
      <c r="I2332" s="50" t="s">
        <v>105</v>
      </c>
      <c r="L2332" s="146"/>
      <c r="N2332" s="139"/>
    </row>
    <row r="2333" spans="9:16" ht="12.75" customHeight="1" thickBot="1"/>
    <row r="2334" spans="9:16" ht="15.75" thickBot="1">
      <c r="I2334" s="891" t="s">
        <v>106</v>
      </c>
      <c r="J2334" s="892"/>
      <c r="K2334" s="892"/>
      <c r="L2334" s="893"/>
      <c r="N2334" s="50" t="s">
        <v>288</v>
      </c>
    </row>
    <row r="2335" spans="9:16" ht="30.75" thickBot="1">
      <c r="I2335" s="57" t="s">
        <v>100</v>
      </c>
      <c r="J2335" s="58" t="s">
        <v>108</v>
      </c>
      <c r="K2335" s="287" t="s">
        <v>109</v>
      </c>
      <c r="L2335" s="60" t="s">
        <v>110</v>
      </c>
    </row>
    <row r="2336" spans="9:16">
      <c r="I2336" s="71">
        <v>719</v>
      </c>
      <c r="J2336" s="73">
        <f>+P2316+P2318+P2320+P2322+P2324</f>
        <v>340000</v>
      </c>
      <c r="K2336" s="74">
        <f>+L2299</f>
        <v>24310000</v>
      </c>
      <c r="L2336" s="195">
        <f>+J2336+K2336</f>
        <v>24650000</v>
      </c>
    </row>
    <row r="2337" spans="9:16">
      <c r="I2337" s="72">
        <v>721</v>
      </c>
      <c r="J2337" s="80">
        <f>+P2317+P2319+P2321+P2323+P2325</f>
        <v>136000</v>
      </c>
      <c r="K2337" s="74">
        <f>+L2300</f>
        <v>10465578</v>
      </c>
      <c r="L2337" s="195">
        <f>+J2337+K2337</f>
        <v>10601578</v>
      </c>
    </row>
    <row r="2338" spans="9:16">
      <c r="I2338" s="72">
        <v>722</v>
      </c>
      <c r="J2338" s="80"/>
      <c r="K2338" s="74">
        <f>+L2301</f>
        <v>0</v>
      </c>
      <c r="L2338" s="195">
        <f>+J2338+K2338</f>
        <v>0</v>
      </c>
    </row>
    <row r="2339" spans="9:16" ht="15.75">
      <c r="I2339" s="72">
        <v>723</v>
      </c>
      <c r="J2339" s="80"/>
      <c r="K2339" s="74">
        <f>+L2302</f>
        <v>368919444</v>
      </c>
      <c r="L2339" s="195">
        <f>+J2339+K2339</f>
        <v>368919444</v>
      </c>
      <c r="N2339" s="193" t="s">
        <v>289</v>
      </c>
      <c r="O2339" s="175"/>
    </row>
    <row r="2340" spans="9:16" ht="16.5" thickBot="1">
      <c r="I2340" s="164" t="s">
        <v>181</v>
      </c>
      <c r="J2340" s="165"/>
      <c r="K2340" s="74">
        <f>+L2303</f>
        <v>0</v>
      </c>
      <c r="L2340" s="196">
        <f>+J2340+K2340</f>
        <v>0</v>
      </c>
      <c r="N2340" s="52"/>
    </row>
    <row r="2341" spans="9:16" ht="16.5" thickBot="1">
      <c r="I2341" s="169"/>
      <c r="J2341" s="197">
        <f>SUM(J2336:J2340)</f>
        <v>476000</v>
      </c>
      <c r="K2341" s="197">
        <f>SUM(K2336:K2340)</f>
        <v>403695022</v>
      </c>
      <c r="L2341" s="198">
        <f>SUM(L2336:L2340)</f>
        <v>404171022</v>
      </c>
    </row>
    <row r="2342" spans="9:16" ht="16.5">
      <c r="I2342" s="49" t="s">
        <v>88</v>
      </c>
      <c r="J2342" s="50"/>
    </row>
    <row r="2343" spans="9:16">
      <c r="I2343" s="51" t="s">
        <v>89</v>
      </c>
    </row>
    <row r="2344" spans="9:16">
      <c r="I2344" s="51" t="s">
        <v>90</v>
      </c>
    </row>
    <row r="2345" spans="9:16">
      <c r="I2345" s="51" t="s">
        <v>91</v>
      </c>
    </row>
    <row r="2346" spans="9:16" ht="12" customHeight="1">
      <c r="I2346" s="50"/>
      <c r="J2346" s="50"/>
    </row>
    <row r="2347" spans="9:16" ht="15.75">
      <c r="I2347" s="260" t="s">
        <v>1059</v>
      </c>
      <c r="O2347" s="52"/>
    </row>
    <row r="2348" spans="9:16" ht="15.75">
      <c r="I2348" s="53" t="s">
        <v>535</v>
      </c>
      <c r="O2348" s="53"/>
    </row>
    <row r="2349" spans="9:16" ht="16.5">
      <c r="I2349" s="894" t="s">
        <v>1063</v>
      </c>
      <c r="J2349" s="894"/>
      <c r="K2349" s="894"/>
      <c r="L2349" s="894"/>
      <c r="M2349" s="894"/>
      <c r="N2349" s="894"/>
      <c r="O2349" s="894"/>
      <c r="P2349" s="894"/>
    </row>
    <row r="2350" spans="9:16" ht="15.75" thickBot="1"/>
    <row r="2351" spans="9:16">
      <c r="I2351" s="895" t="s">
        <v>94</v>
      </c>
      <c r="J2351" s="897" t="s">
        <v>95</v>
      </c>
      <c r="K2351" s="897" t="s">
        <v>96</v>
      </c>
      <c r="L2351" s="897" t="s">
        <v>3</v>
      </c>
      <c r="M2351" s="897" t="s">
        <v>97</v>
      </c>
      <c r="N2351" s="897" t="s">
        <v>98</v>
      </c>
      <c r="O2351" s="897" t="s">
        <v>99</v>
      </c>
      <c r="P2351" s="899"/>
    </row>
    <row r="2352" spans="9:16" ht="15.75" thickBot="1">
      <c r="I2352" s="896"/>
      <c r="J2352" s="898"/>
      <c r="K2352" s="898"/>
      <c r="L2352" s="898"/>
      <c r="M2352" s="898"/>
      <c r="N2352" s="898"/>
      <c r="O2352" s="240" t="s">
        <v>100</v>
      </c>
      <c r="P2352" s="182" t="s">
        <v>101</v>
      </c>
    </row>
    <row r="2353" spans="9:16">
      <c r="I2353" s="881">
        <v>256</v>
      </c>
      <c r="J2353" s="875">
        <v>42622</v>
      </c>
      <c r="K2353" s="877" t="s">
        <v>1060</v>
      </c>
      <c r="L2353" s="879" t="s">
        <v>1061</v>
      </c>
      <c r="M2353" s="881" t="s">
        <v>148</v>
      </c>
      <c r="N2353" s="883">
        <v>2000000</v>
      </c>
      <c r="O2353" s="55">
        <v>722</v>
      </c>
      <c r="P2353" s="78">
        <v>2000000</v>
      </c>
    </row>
    <row r="2354" spans="9:16" ht="15.75" thickBot="1">
      <c r="I2354" s="882"/>
      <c r="J2354" s="876"/>
      <c r="K2354" s="878"/>
      <c r="L2354" s="880"/>
      <c r="M2354" s="882"/>
      <c r="N2354" s="884"/>
      <c r="O2354" s="56">
        <v>721</v>
      </c>
      <c r="P2354" s="79">
        <f>+N2353-P2353</f>
        <v>0</v>
      </c>
    </row>
    <row r="2355" spans="9:16">
      <c r="I2355" s="881"/>
      <c r="J2355" s="875"/>
      <c r="K2355" s="877"/>
      <c r="L2355" s="879"/>
      <c r="M2355" s="881"/>
      <c r="N2355" s="883"/>
      <c r="O2355" s="55">
        <v>719</v>
      </c>
      <c r="P2355" s="78"/>
    </row>
    <row r="2356" spans="9:16" ht="15.75" thickBot="1">
      <c r="I2356" s="882"/>
      <c r="J2356" s="876"/>
      <c r="K2356" s="878"/>
      <c r="L2356" s="880"/>
      <c r="M2356" s="882"/>
      <c r="N2356" s="884"/>
      <c r="O2356" s="56">
        <v>721</v>
      </c>
      <c r="P2356" s="79">
        <f>+N2355-P2355</f>
        <v>0</v>
      </c>
    </row>
    <row r="2357" spans="9:16">
      <c r="I2357" s="881"/>
      <c r="J2357" s="875"/>
      <c r="K2357" s="877"/>
      <c r="L2357" s="879"/>
      <c r="M2357" s="881"/>
      <c r="N2357" s="883"/>
      <c r="O2357" s="55">
        <v>719</v>
      </c>
      <c r="P2357" s="78"/>
    </row>
    <row r="2358" spans="9:16" ht="13.5" customHeight="1" thickBot="1">
      <c r="I2358" s="882"/>
      <c r="J2358" s="876"/>
      <c r="K2358" s="878"/>
      <c r="L2358" s="880"/>
      <c r="M2358" s="882"/>
      <c r="N2358" s="884"/>
      <c r="O2358" s="56">
        <v>721</v>
      </c>
      <c r="P2358" s="79">
        <f>+N2357-P2357</f>
        <v>0</v>
      </c>
    </row>
    <row r="2359" spans="9:16">
      <c r="I2359" s="881"/>
      <c r="J2359" s="875"/>
      <c r="K2359" s="877"/>
      <c r="L2359" s="879"/>
      <c r="M2359" s="881"/>
      <c r="N2359" s="883"/>
      <c r="O2359" s="55">
        <v>719</v>
      </c>
      <c r="P2359" s="78"/>
    </row>
    <row r="2360" spans="9:16" ht="15.75" thickBot="1">
      <c r="I2360" s="882"/>
      <c r="J2360" s="876"/>
      <c r="K2360" s="878"/>
      <c r="L2360" s="880"/>
      <c r="M2360" s="882"/>
      <c r="N2360" s="884"/>
      <c r="O2360" s="56">
        <v>721</v>
      </c>
      <c r="P2360" s="79">
        <f>+N2359-P2359</f>
        <v>0</v>
      </c>
    </row>
    <row r="2361" spans="9:16">
      <c r="I2361" s="881"/>
      <c r="J2361" s="875"/>
      <c r="K2361" s="877"/>
      <c r="L2361" s="879"/>
      <c r="M2361" s="881"/>
      <c r="N2361" s="883"/>
      <c r="O2361" s="55">
        <v>719</v>
      </c>
      <c r="P2361" s="78"/>
    </row>
    <row r="2362" spans="9:16" ht="12" customHeight="1" thickBot="1">
      <c r="I2362" s="882"/>
      <c r="J2362" s="876"/>
      <c r="K2362" s="878"/>
      <c r="L2362" s="880"/>
      <c r="M2362" s="882"/>
      <c r="N2362" s="884"/>
      <c r="O2362" s="56">
        <v>723</v>
      </c>
      <c r="P2362" s="79">
        <f>+N2361-P2361</f>
        <v>0</v>
      </c>
    </row>
    <row r="2363" spans="9:16" ht="16.5" thickBot="1">
      <c r="I2363" s="901" t="s">
        <v>102</v>
      </c>
      <c r="J2363" s="902"/>
      <c r="K2363" s="902"/>
      <c r="L2363" s="902"/>
      <c r="M2363" s="903"/>
      <c r="N2363" s="81">
        <f>SUM(N2353:N2362)</f>
        <v>2000000</v>
      </c>
    </row>
    <row r="2364" spans="9:16" ht="16.5" thickBot="1">
      <c r="I2364" s="885" t="s">
        <v>103</v>
      </c>
      <c r="J2364" s="886"/>
      <c r="K2364" s="886"/>
      <c r="L2364" s="886"/>
      <c r="M2364" s="887"/>
      <c r="N2364" s="69">
        <f>+N2328</f>
        <v>404171022</v>
      </c>
      <c r="O2364" s="241" t="s">
        <v>561</v>
      </c>
      <c r="P2364" s="242">
        <v>0</v>
      </c>
    </row>
    <row r="2365" spans="9:16" ht="16.5" thickBot="1">
      <c r="I2365" s="888" t="s">
        <v>104</v>
      </c>
      <c r="J2365" s="889"/>
      <c r="K2365" s="889"/>
      <c r="L2365" s="889"/>
      <c r="M2365" s="890"/>
      <c r="N2365" s="183">
        <f>SUM(N2363:N2364)</f>
        <v>406171022</v>
      </c>
    </row>
    <row r="2366" spans="9:16">
      <c r="I2366" s="61"/>
      <c r="J2366" s="61"/>
      <c r="K2366" s="61"/>
      <c r="L2366" s="61"/>
      <c r="M2366" s="61"/>
    </row>
    <row r="2367" spans="9:16">
      <c r="I2367" s="51" t="s">
        <v>1062</v>
      </c>
    </row>
    <row r="2368" spans="9:16" ht="12" customHeight="1">
      <c r="N2368" s="139"/>
    </row>
    <row r="2369" spans="9:15">
      <c r="I2369" s="50" t="s">
        <v>105</v>
      </c>
      <c r="L2369" s="146"/>
      <c r="N2369" s="139"/>
    </row>
    <row r="2370" spans="9:15" ht="15.75" thickBot="1"/>
    <row r="2371" spans="9:15" ht="15.75" thickBot="1">
      <c r="I2371" s="891" t="s">
        <v>106</v>
      </c>
      <c r="J2371" s="892"/>
      <c r="K2371" s="892"/>
      <c r="L2371" s="893"/>
      <c r="N2371" s="50" t="s">
        <v>288</v>
      </c>
    </row>
    <row r="2372" spans="9:15" ht="30.75" thickBot="1">
      <c r="I2372" s="57" t="s">
        <v>100</v>
      </c>
      <c r="J2372" s="58" t="s">
        <v>108</v>
      </c>
      <c r="K2372" s="287" t="s">
        <v>109</v>
      </c>
      <c r="L2372" s="60" t="s">
        <v>110</v>
      </c>
    </row>
    <row r="2373" spans="9:15">
      <c r="I2373" s="71">
        <v>719</v>
      </c>
      <c r="J2373" s="73"/>
      <c r="K2373" s="74">
        <f>+L2336</f>
        <v>24650000</v>
      </c>
      <c r="L2373" s="195">
        <f>+J2373+K2373</f>
        <v>24650000</v>
      </c>
    </row>
    <row r="2374" spans="9:15">
      <c r="I2374" s="72">
        <v>721</v>
      </c>
      <c r="J2374" s="80">
        <f>+P2354+P2356+P2358+P2360+P2362</f>
        <v>0</v>
      </c>
      <c r="K2374" s="74">
        <f>+L2337</f>
        <v>10601578</v>
      </c>
      <c r="L2374" s="195">
        <f>+J2374+K2374</f>
        <v>10601578</v>
      </c>
    </row>
    <row r="2375" spans="9:15">
      <c r="I2375" s="72">
        <v>722</v>
      </c>
      <c r="J2375" s="80">
        <f>+P2353</f>
        <v>2000000</v>
      </c>
      <c r="K2375" s="74">
        <f>+L2338</f>
        <v>0</v>
      </c>
      <c r="L2375" s="195">
        <f>+J2375+K2375</f>
        <v>2000000</v>
      </c>
    </row>
    <row r="2376" spans="9:15" ht="15.75">
      <c r="I2376" s="72">
        <v>723</v>
      </c>
      <c r="J2376" s="80"/>
      <c r="K2376" s="74">
        <f>+L2339</f>
        <v>368919444</v>
      </c>
      <c r="L2376" s="195">
        <f>+J2376+K2376</f>
        <v>368919444</v>
      </c>
      <c r="N2376" s="193" t="s">
        <v>289</v>
      </c>
      <c r="O2376" s="175"/>
    </row>
    <row r="2377" spans="9:15" ht="16.5" thickBot="1">
      <c r="I2377" s="164" t="s">
        <v>181</v>
      </c>
      <c r="J2377" s="165"/>
      <c r="K2377" s="74">
        <f>+L2340</f>
        <v>0</v>
      </c>
      <c r="L2377" s="196">
        <f>+J2377+K2377</f>
        <v>0</v>
      </c>
      <c r="N2377" s="52"/>
    </row>
    <row r="2378" spans="9:15" ht="16.5" thickBot="1">
      <c r="I2378" s="169"/>
      <c r="J2378" s="197">
        <f>SUM(J2373:J2377)</f>
        <v>2000000</v>
      </c>
      <c r="K2378" s="197">
        <f>SUM(K2373:K2377)</f>
        <v>404171022</v>
      </c>
      <c r="L2378" s="198">
        <f>SUM(L2373:L2377)</f>
        <v>406171022</v>
      </c>
    </row>
    <row r="2379" spans="9:15" ht="16.5">
      <c r="I2379" s="49" t="s">
        <v>88</v>
      </c>
      <c r="J2379" s="50"/>
    </row>
    <row r="2380" spans="9:15">
      <c r="I2380" s="51" t="s">
        <v>89</v>
      </c>
    </row>
    <row r="2381" spans="9:15">
      <c r="I2381" s="51" t="s">
        <v>90</v>
      </c>
    </row>
    <row r="2382" spans="9:15">
      <c r="I2382" s="51" t="s">
        <v>91</v>
      </c>
    </row>
    <row r="2383" spans="9:15" ht="12" customHeight="1">
      <c r="I2383" s="50"/>
      <c r="J2383" s="50"/>
    </row>
    <row r="2384" spans="9:15" ht="15.75">
      <c r="I2384" s="260" t="s">
        <v>1066</v>
      </c>
      <c r="O2384" s="52"/>
    </row>
    <row r="2385" spans="9:16" ht="15.75">
      <c r="I2385" s="53" t="s">
        <v>535</v>
      </c>
      <c r="O2385" s="53"/>
    </row>
    <row r="2386" spans="9:16" ht="16.5">
      <c r="I2386" s="894" t="s">
        <v>909</v>
      </c>
      <c r="J2386" s="894"/>
      <c r="K2386" s="894"/>
      <c r="L2386" s="894"/>
      <c r="M2386" s="894"/>
      <c r="N2386" s="894"/>
      <c r="O2386" s="894"/>
      <c r="P2386" s="894"/>
    </row>
    <row r="2387" spans="9:16" ht="15.75" thickBot="1"/>
    <row r="2388" spans="9:16">
      <c r="I2388" s="895" t="s">
        <v>94</v>
      </c>
      <c r="J2388" s="897" t="s">
        <v>95</v>
      </c>
      <c r="K2388" s="897" t="s">
        <v>96</v>
      </c>
      <c r="L2388" s="897" t="s">
        <v>3</v>
      </c>
      <c r="M2388" s="897" t="s">
        <v>97</v>
      </c>
      <c r="N2388" s="897" t="s">
        <v>98</v>
      </c>
      <c r="O2388" s="897" t="s">
        <v>99</v>
      </c>
      <c r="P2388" s="899"/>
    </row>
    <row r="2389" spans="9:16" ht="15.75" thickBot="1">
      <c r="I2389" s="896"/>
      <c r="J2389" s="898"/>
      <c r="K2389" s="898"/>
      <c r="L2389" s="898"/>
      <c r="M2389" s="898"/>
      <c r="N2389" s="898"/>
      <c r="O2389" s="240" t="s">
        <v>100</v>
      </c>
      <c r="P2389" s="182" t="s">
        <v>101</v>
      </c>
    </row>
    <row r="2390" spans="9:16" ht="15" customHeight="1">
      <c r="I2390" s="881">
        <v>257</v>
      </c>
      <c r="J2390" s="875">
        <v>42622</v>
      </c>
      <c r="K2390" s="877" t="s">
        <v>1014</v>
      </c>
      <c r="L2390" s="879" t="s">
        <v>1067</v>
      </c>
      <c r="M2390" s="881" t="s">
        <v>115</v>
      </c>
      <c r="N2390" s="883">
        <v>60000</v>
      </c>
      <c r="O2390" s="55">
        <v>719</v>
      </c>
      <c r="P2390" s="78">
        <v>60000</v>
      </c>
    </row>
    <row r="2391" spans="9:16" ht="15.75" customHeight="1" thickBot="1">
      <c r="I2391" s="882"/>
      <c r="J2391" s="876"/>
      <c r="K2391" s="878"/>
      <c r="L2391" s="880"/>
      <c r="M2391" s="882"/>
      <c r="N2391" s="884"/>
      <c r="O2391" s="56">
        <v>721</v>
      </c>
      <c r="P2391" s="79">
        <f>+N2390-P2390</f>
        <v>0</v>
      </c>
    </row>
    <row r="2392" spans="9:16" ht="15" customHeight="1">
      <c r="I2392" s="881">
        <v>258</v>
      </c>
      <c r="J2392" s="875">
        <v>42622</v>
      </c>
      <c r="K2392" s="877" t="s">
        <v>28</v>
      </c>
      <c r="L2392" s="879" t="s">
        <v>1069</v>
      </c>
      <c r="M2392" s="881" t="s">
        <v>115</v>
      </c>
      <c r="N2392" s="883">
        <v>50000</v>
      </c>
      <c r="O2392" s="55">
        <v>719</v>
      </c>
      <c r="P2392" s="78">
        <v>50000</v>
      </c>
    </row>
    <row r="2393" spans="9:16" ht="15.75" customHeight="1" thickBot="1">
      <c r="I2393" s="882"/>
      <c r="J2393" s="876"/>
      <c r="K2393" s="878"/>
      <c r="L2393" s="880"/>
      <c r="M2393" s="882"/>
      <c r="N2393" s="884"/>
      <c r="O2393" s="56">
        <v>721</v>
      </c>
      <c r="P2393" s="79">
        <f>+N2392-P2392</f>
        <v>0</v>
      </c>
    </row>
    <row r="2394" spans="9:16">
      <c r="I2394" s="881"/>
      <c r="J2394" s="875"/>
      <c r="K2394" s="877"/>
      <c r="L2394" s="879"/>
      <c r="M2394" s="881"/>
      <c r="N2394" s="883"/>
      <c r="O2394" s="55">
        <v>719</v>
      </c>
      <c r="P2394" s="78"/>
    </row>
    <row r="2395" spans="9:16" ht="15.75" thickBot="1">
      <c r="I2395" s="882"/>
      <c r="J2395" s="876"/>
      <c r="K2395" s="878"/>
      <c r="L2395" s="880"/>
      <c r="M2395" s="882"/>
      <c r="N2395" s="884"/>
      <c r="O2395" s="56">
        <v>721</v>
      </c>
      <c r="P2395" s="79">
        <f>+N2394-P2394</f>
        <v>0</v>
      </c>
    </row>
    <row r="2396" spans="9:16">
      <c r="I2396" s="881"/>
      <c r="J2396" s="875"/>
      <c r="K2396" s="877"/>
      <c r="L2396" s="879"/>
      <c r="M2396" s="881"/>
      <c r="N2396" s="883"/>
      <c r="O2396" s="55">
        <v>719</v>
      </c>
      <c r="P2396" s="78"/>
    </row>
    <row r="2397" spans="9:16" ht="15.75" thickBot="1">
      <c r="I2397" s="882"/>
      <c r="J2397" s="876"/>
      <c r="K2397" s="878"/>
      <c r="L2397" s="880"/>
      <c r="M2397" s="882"/>
      <c r="N2397" s="884"/>
      <c r="O2397" s="56">
        <v>721</v>
      </c>
      <c r="P2397" s="79">
        <f>+N2396-P2396</f>
        <v>0</v>
      </c>
    </row>
    <row r="2398" spans="9:16">
      <c r="I2398" s="881"/>
      <c r="J2398" s="875"/>
      <c r="K2398" s="877"/>
      <c r="L2398" s="879"/>
      <c r="M2398" s="881"/>
      <c r="N2398" s="883"/>
      <c r="O2398" s="55">
        <v>719</v>
      </c>
      <c r="P2398" s="78"/>
    </row>
    <row r="2399" spans="9:16" ht="15.75" thickBot="1">
      <c r="I2399" s="882"/>
      <c r="J2399" s="876"/>
      <c r="K2399" s="878"/>
      <c r="L2399" s="880"/>
      <c r="M2399" s="882"/>
      <c r="N2399" s="884"/>
      <c r="O2399" s="56">
        <v>723</v>
      </c>
      <c r="P2399" s="79">
        <f>+N2398-P2398</f>
        <v>0</v>
      </c>
    </row>
    <row r="2400" spans="9:16" ht="16.5" thickBot="1">
      <c r="I2400" s="901" t="s">
        <v>102</v>
      </c>
      <c r="J2400" s="902"/>
      <c r="K2400" s="902"/>
      <c r="L2400" s="902"/>
      <c r="M2400" s="903"/>
      <c r="N2400" s="81">
        <f>SUM(N2390:N2399)</f>
        <v>110000</v>
      </c>
    </row>
    <row r="2401" spans="9:16" ht="16.5" thickBot="1">
      <c r="I2401" s="885" t="s">
        <v>103</v>
      </c>
      <c r="J2401" s="886"/>
      <c r="K2401" s="886"/>
      <c r="L2401" s="886"/>
      <c r="M2401" s="887"/>
      <c r="N2401" s="69">
        <f>+N2365</f>
        <v>406171022</v>
      </c>
      <c r="O2401" s="241" t="s">
        <v>561</v>
      </c>
      <c r="P2401" s="242">
        <f>123+195</f>
        <v>318</v>
      </c>
    </row>
    <row r="2402" spans="9:16" ht="16.5" thickBot="1">
      <c r="I2402" s="888" t="s">
        <v>104</v>
      </c>
      <c r="J2402" s="889"/>
      <c r="K2402" s="889"/>
      <c r="L2402" s="889"/>
      <c r="M2402" s="890"/>
      <c r="N2402" s="183">
        <f>SUM(N2400:N2401)</f>
        <v>406281022</v>
      </c>
    </row>
    <row r="2403" spans="9:16">
      <c r="I2403" s="61"/>
      <c r="J2403" s="61"/>
      <c r="K2403" s="61"/>
      <c r="L2403" s="61"/>
      <c r="M2403" s="61"/>
    </row>
    <row r="2404" spans="9:16">
      <c r="I2404" s="51" t="s">
        <v>1068</v>
      </c>
    </row>
    <row r="2405" spans="9:16" ht="12" customHeight="1">
      <c r="N2405" s="139"/>
    </row>
    <row r="2406" spans="9:16">
      <c r="I2406" s="50" t="s">
        <v>105</v>
      </c>
      <c r="L2406" s="146"/>
      <c r="N2406" s="139"/>
    </row>
    <row r="2407" spans="9:16" ht="12.75" customHeight="1" thickBot="1"/>
    <row r="2408" spans="9:16" ht="15.75" thickBot="1">
      <c r="I2408" s="891" t="s">
        <v>106</v>
      </c>
      <c r="J2408" s="892"/>
      <c r="K2408" s="892"/>
      <c r="L2408" s="893"/>
      <c r="N2408" s="50" t="s">
        <v>288</v>
      </c>
    </row>
    <row r="2409" spans="9:16" ht="30.75" thickBot="1">
      <c r="I2409" s="57" t="s">
        <v>100</v>
      </c>
      <c r="J2409" s="58" t="s">
        <v>108</v>
      </c>
      <c r="K2409" s="287" t="s">
        <v>109</v>
      </c>
      <c r="L2409" s="60" t="s">
        <v>110</v>
      </c>
    </row>
    <row r="2410" spans="9:16">
      <c r="I2410" s="71">
        <v>719</v>
      </c>
      <c r="J2410" s="73">
        <f>+P2390+P2392</f>
        <v>110000</v>
      </c>
      <c r="K2410" s="74">
        <f>+L2373</f>
        <v>24650000</v>
      </c>
      <c r="L2410" s="195">
        <f>+J2410+K2410</f>
        <v>24760000</v>
      </c>
    </row>
    <row r="2411" spans="9:16">
      <c r="I2411" s="72">
        <v>721</v>
      </c>
      <c r="J2411" s="80">
        <f>+P2391+P2393+P2395+P2397+P2399</f>
        <v>0</v>
      </c>
      <c r="K2411" s="74">
        <f>+L2374</f>
        <v>10601578</v>
      </c>
      <c r="L2411" s="195">
        <f>+J2411+K2411</f>
        <v>10601578</v>
      </c>
    </row>
    <row r="2412" spans="9:16">
      <c r="I2412" s="72">
        <v>722</v>
      </c>
      <c r="J2412" s="80"/>
      <c r="K2412" s="74">
        <f>+L2375</f>
        <v>2000000</v>
      </c>
      <c r="L2412" s="195">
        <f>+J2412+K2412</f>
        <v>2000000</v>
      </c>
    </row>
    <row r="2413" spans="9:16" ht="15.75">
      <c r="I2413" s="72">
        <v>723</v>
      </c>
      <c r="J2413" s="80"/>
      <c r="K2413" s="74">
        <f>+L2376</f>
        <v>368919444</v>
      </c>
      <c r="L2413" s="195">
        <f>+J2413+K2413</f>
        <v>368919444</v>
      </c>
      <c r="N2413" s="193" t="s">
        <v>289</v>
      </c>
      <c r="O2413" s="175"/>
    </row>
    <row r="2414" spans="9:16" ht="16.5" thickBot="1">
      <c r="I2414" s="164" t="s">
        <v>181</v>
      </c>
      <c r="J2414" s="165"/>
      <c r="K2414" s="74">
        <f>+L2377</f>
        <v>0</v>
      </c>
      <c r="L2414" s="196">
        <f>+J2414+K2414</f>
        <v>0</v>
      </c>
      <c r="N2414" s="52"/>
    </row>
    <row r="2415" spans="9:16" ht="16.5" thickBot="1">
      <c r="I2415" s="169"/>
      <c r="J2415" s="197">
        <f>SUM(J2410:J2414)</f>
        <v>110000</v>
      </c>
      <c r="K2415" s="197">
        <f>SUM(K2410:K2414)</f>
        <v>406171022</v>
      </c>
      <c r="L2415" s="198">
        <f>SUM(L2410:L2414)</f>
        <v>406281022</v>
      </c>
    </row>
    <row r="2416" spans="9:16" ht="16.5">
      <c r="I2416" s="49" t="s">
        <v>88</v>
      </c>
      <c r="J2416" s="50"/>
    </row>
    <row r="2417" spans="9:16">
      <c r="I2417" s="51" t="s">
        <v>89</v>
      </c>
    </row>
    <row r="2418" spans="9:16">
      <c r="I2418" s="51" t="s">
        <v>90</v>
      </c>
    </row>
    <row r="2419" spans="9:16">
      <c r="I2419" s="51" t="s">
        <v>91</v>
      </c>
    </row>
    <row r="2420" spans="9:16" ht="11.25" customHeight="1">
      <c r="I2420" s="50"/>
      <c r="J2420" s="50"/>
    </row>
    <row r="2421" spans="9:16" ht="15.75">
      <c r="I2421" s="260" t="s">
        <v>1070</v>
      </c>
      <c r="O2421" s="52"/>
    </row>
    <row r="2422" spans="9:16" ht="15.75">
      <c r="I2422" s="53" t="s">
        <v>535</v>
      </c>
      <c r="O2422" s="53"/>
    </row>
    <row r="2423" spans="9:16" ht="16.5">
      <c r="I2423" s="894" t="s">
        <v>909</v>
      </c>
      <c r="J2423" s="894"/>
      <c r="K2423" s="894"/>
      <c r="L2423" s="894"/>
      <c r="M2423" s="894"/>
      <c r="N2423" s="894"/>
      <c r="O2423" s="894"/>
      <c r="P2423" s="894"/>
    </row>
    <row r="2424" spans="9:16" ht="15.75" thickBot="1"/>
    <row r="2425" spans="9:16">
      <c r="I2425" s="895" t="s">
        <v>94</v>
      </c>
      <c r="J2425" s="897" t="s">
        <v>95</v>
      </c>
      <c r="K2425" s="897" t="s">
        <v>96</v>
      </c>
      <c r="L2425" s="897" t="s">
        <v>3</v>
      </c>
      <c r="M2425" s="897" t="s">
        <v>97</v>
      </c>
      <c r="N2425" s="897" t="s">
        <v>98</v>
      </c>
      <c r="O2425" s="897" t="s">
        <v>99</v>
      </c>
      <c r="P2425" s="899"/>
    </row>
    <row r="2426" spans="9:16" ht="15.75" thickBot="1">
      <c r="I2426" s="896"/>
      <c r="J2426" s="898"/>
      <c r="K2426" s="898"/>
      <c r="L2426" s="898"/>
      <c r="M2426" s="898"/>
      <c r="N2426" s="898"/>
      <c r="O2426" s="240" t="s">
        <v>100</v>
      </c>
      <c r="P2426" s="182" t="s">
        <v>101</v>
      </c>
    </row>
    <row r="2427" spans="9:16">
      <c r="I2427" s="881">
        <v>259</v>
      </c>
      <c r="J2427" s="875">
        <v>42632</v>
      </c>
      <c r="K2427" s="877" t="s">
        <v>1014</v>
      </c>
      <c r="L2427" s="879" t="s">
        <v>1072</v>
      </c>
      <c r="M2427" s="881" t="s">
        <v>115</v>
      </c>
      <c r="N2427" s="883">
        <v>150000</v>
      </c>
      <c r="O2427" s="55">
        <v>719</v>
      </c>
      <c r="P2427" s="78">
        <v>150000</v>
      </c>
    </row>
    <row r="2428" spans="9:16" ht="15.75" thickBot="1">
      <c r="I2428" s="882"/>
      <c r="J2428" s="876"/>
      <c r="K2428" s="878"/>
      <c r="L2428" s="880"/>
      <c r="M2428" s="882"/>
      <c r="N2428" s="884"/>
      <c r="O2428" s="56">
        <v>721</v>
      </c>
      <c r="P2428" s="79">
        <f>+N2427-P2427</f>
        <v>0</v>
      </c>
    </row>
    <row r="2429" spans="9:16">
      <c r="I2429" s="881">
        <v>260</v>
      </c>
      <c r="J2429" s="875">
        <v>42632</v>
      </c>
      <c r="K2429" s="877" t="s">
        <v>120</v>
      </c>
      <c r="L2429" s="879" t="s">
        <v>1071</v>
      </c>
      <c r="M2429" s="881" t="s">
        <v>115</v>
      </c>
      <c r="N2429" s="883">
        <v>110000</v>
      </c>
      <c r="O2429" s="55">
        <v>719</v>
      </c>
      <c r="P2429" s="78">
        <v>110000</v>
      </c>
    </row>
    <row r="2430" spans="9:16" ht="15.75" thickBot="1">
      <c r="I2430" s="882"/>
      <c r="J2430" s="876"/>
      <c r="K2430" s="878"/>
      <c r="L2430" s="880"/>
      <c r="M2430" s="882"/>
      <c r="N2430" s="884"/>
      <c r="O2430" s="56">
        <v>721</v>
      </c>
      <c r="P2430" s="79">
        <f>+N2429-P2429</f>
        <v>0</v>
      </c>
    </row>
    <row r="2431" spans="9:16">
      <c r="I2431" s="881"/>
      <c r="J2431" s="875"/>
      <c r="K2431" s="877"/>
      <c r="L2431" s="879"/>
      <c r="M2431" s="881"/>
      <c r="N2431" s="883"/>
      <c r="O2431" s="55">
        <v>719</v>
      </c>
      <c r="P2431" s="78"/>
    </row>
    <row r="2432" spans="9:16" ht="14.25" customHeight="1" thickBot="1">
      <c r="I2432" s="882"/>
      <c r="J2432" s="876"/>
      <c r="K2432" s="878"/>
      <c r="L2432" s="880"/>
      <c r="M2432" s="882"/>
      <c r="N2432" s="884"/>
      <c r="O2432" s="56">
        <v>721</v>
      </c>
      <c r="P2432" s="79">
        <f>+N2431-P2431</f>
        <v>0</v>
      </c>
    </row>
    <row r="2433" spans="9:16">
      <c r="I2433" s="881"/>
      <c r="J2433" s="875"/>
      <c r="K2433" s="877"/>
      <c r="L2433" s="879"/>
      <c r="M2433" s="881"/>
      <c r="N2433" s="883"/>
      <c r="O2433" s="55">
        <v>719</v>
      </c>
      <c r="P2433" s="78"/>
    </row>
    <row r="2434" spans="9:16" ht="13.5" customHeight="1" thickBot="1">
      <c r="I2434" s="882"/>
      <c r="J2434" s="876"/>
      <c r="K2434" s="878"/>
      <c r="L2434" s="880"/>
      <c r="M2434" s="882"/>
      <c r="N2434" s="884"/>
      <c r="O2434" s="56">
        <v>721</v>
      </c>
      <c r="P2434" s="79">
        <f>+N2433-P2433</f>
        <v>0</v>
      </c>
    </row>
    <row r="2435" spans="9:16">
      <c r="I2435" s="881"/>
      <c r="J2435" s="875"/>
      <c r="K2435" s="877"/>
      <c r="L2435" s="879"/>
      <c r="M2435" s="881"/>
      <c r="N2435" s="883"/>
      <c r="O2435" s="55">
        <v>719</v>
      </c>
      <c r="P2435" s="78"/>
    </row>
    <row r="2436" spans="9:16" ht="14.25" customHeight="1" thickBot="1">
      <c r="I2436" s="882"/>
      <c r="J2436" s="876"/>
      <c r="K2436" s="878"/>
      <c r="L2436" s="880"/>
      <c r="M2436" s="882"/>
      <c r="N2436" s="884"/>
      <c r="O2436" s="56">
        <v>723</v>
      </c>
      <c r="P2436" s="79">
        <f>+N2435-P2435</f>
        <v>0</v>
      </c>
    </row>
    <row r="2437" spans="9:16" ht="16.5" thickBot="1">
      <c r="I2437" s="901" t="s">
        <v>102</v>
      </c>
      <c r="J2437" s="902"/>
      <c r="K2437" s="902"/>
      <c r="L2437" s="902"/>
      <c r="M2437" s="903"/>
      <c r="N2437" s="81">
        <f>SUM(N2427:N2436)</f>
        <v>260000</v>
      </c>
    </row>
    <row r="2438" spans="9:16" ht="16.5" thickBot="1">
      <c r="I2438" s="885" t="s">
        <v>103</v>
      </c>
      <c r="J2438" s="886"/>
      <c r="K2438" s="886"/>
      <c r="L2438" s="886"/>
      <c r="M2438" s="887"/>
      <c r="N2438" s="69">
        <f>+N2402</f>
        <v>406281022</v>
      </c>
      <c r="O2438" s="241" t="s">
        <v>561</v>
      </c>
      <c r="P2438" s="242">
        <f>528+24</f>
        <v>552</v>
      </c>
    </row>
    <row r="2439" spans="9:16" ht="16.5" thickBot="1">
      <c r="I2439" s="888" t="s">
        <v>104</v>
      </c>
      <c r="J2439" s="889"/>
      <c r="K2439" s="889"/>
      <c r="L2439" s="889"/>
      <c r="M2439" s="890"/>
      <c r="N2439" s="183">
        <f>SUM(N2437:N2438)</f>
        <v>406541022</v>
      </c>
    </row>
    <row r="2440" spans="9:16">
      <c r="I2440" s="61"/>
      <c r="J2440" s="61"/>
      <c r="K2440" s="61"/>
      <c r="L2440" s="61"/>
      <c r="M2440" s="61"/>
    </row>
    <row r="2441" spans="9:16">
      <c r="I2441" s="51" t="s">
        <v>1073</v>
      </c>
    </row>
    <row r="2442" spans="9:16">
      <c r="N2442" s="139"/>
    </row>
    <row r="2443" spans="9:16">
      <c r="I2443" s="50" t="s">
        <v>105</v>
      </c>
      <c r="L2443" s="146"/>
      <c r="N2443" s="139"/>
    </row>
    <row r="2444" spans="9:16" ht="15.75" thickBot="1"/>
    <row r="2445" spans="9:16" ht="15.75" thickBot="1">
      <c r="I2445" s="891" t="s">
        <v>106</v>
      </c>
      <c r="J2445" s="892"/>
      <c r="K2445" s="892"/>
      <c r="L2445" s="893"/>
      <c r="N2445" s="50" t="s">
        <v>288</v>
      </c>
    </row>
    <row r="2446" spans="9:16" ht="30.75" thickBot="1">
      <c r="I2446" s="57" t="s">
        <v>100</v>
      </c>
      <c r="J2446" s="58" t="s">
        <v>108</v>
      </c>
      <c r="K2446" s="287" t="s">
        <v>109</v>
      </c>
      <c r="L2446" s="60" t="s">
        <v>110</v>
      </c>
    </row>
    <row r="2447" spans="9:16">
      <c r="I2447" s="71">
        <v>719</v>
      </c>
      <c r="J2447" s="73">
        <f>+P2427+P2429</f>
        <v>260000</v>
      </c>
      <c r="K2447" s="74">
        <f>+L2410</f>
        <v>24760000</v>
      </c>
      <c r="L2447" s="195">
        <f>+J2447+K2447</f>
        <v>25020000</v>
      </c>
    </row>
    <row r="2448" spans="9:16">
      <c r="I2448" s="72">
        <v>721</v>
      </c>
      <c r="J2448" s="80">
        <f>+P2428+P2430+P2432+P2434+P2436</f>
        <v>0</v>
      </c>
      <c r="K2448" s="74">
        <f>+L2411</f>
        <v>10601578</v>
      </c>
      <c r="L2448" s="195">
        <f>+J2448+K2448</f>
        <v>10601578</v>
      </c>
    </row>
    <row r="2449" spans="9:16">
      <c r="I2449" s="72">
        <v>722</v>
      </c>
      <c r="J2449" s="80"/>
      <c r="K2449" s="74">
        <f>+L2412</f>
        <v>2000000</v>
      </c>
      <c r="L2449" s="195">
        <f>+J2449+K2449</f>
        <v>2000000</v>
      </c>
    </row>
    <row r="2450" spans="9:16" ht="15.75">
      <c r="I2450" s="72">
        <v>723</v>
      </c>
      <c r="J2450" s="80"/>
      <c r="K2450" s="74">
        <f>+L2413</f>
        <v>368919444</v>
      </c>
      <c r="L2450" s="195">
        <f>+J2450+K2450</f>
        <v>368919444</v>
      </c>
      <c r="N2450" s="193" t="s">
        <v>289</v>
      </c>
      <c r="O2450" s="175"/>
    </row>
    <row r="2451" spans="9:16" ht="16.5" thickBot="1">
      <c r="I2451" s="164" t="s">
        <v>181</v>
      </c>
      <c r="J2451" s="165"/>
      <c r="K2451" s="74">
        <f>+L2414</f>
        <v>0</v>
      </c>
      <c r="L2451" s="196">
        <f>+J2451+K2451</f>
        <v>0</v>
      </c>
      <c r="N2451" s="52"/>
    </row>
    <row r="2452" spans="9:16" ht="16.5" thickBot="1">
      <c r="I2452" s="169"/>
      <c r="J2452" s="197">
        <f>SUM(J2447:J2451)</f>
        <v>260000</v>
      </c>
      <c r="K2452" s="197">
        <f>SUM(K2447:K2451)</f>
        <v>406281022</v>
      </c>
      <c r="L2452" s="198">
        <f>SUM(L2447:L2451)</f>
        <v>406541022</v>
      </c>
    </row>
    <row r="2453" spans="9:16" ht="16.5">
      <c r="I2453" s="49" t="s">
        <v>88</v>
      </c>
      <c r="J2453" s="50"/>
    </row>
    <row r="2454" spans="9:16">
      <c r="I2454" s="51" t="s">
        <v>89</v>
      </c>
    </row>
    <row r="2455" spans="9:16">
      <c r="I2455" s="51" t="s">
        <v>90</v>
      </c>
    </row>
    <row r="2456" spans="9:16">
      <c r="I2456" s="51" t="s">
        <v>91</v>
      </c>
    </row>
    <row r="2457" spans="9:16" ht="6.75" customHeight="1">
      <c r="I2457" s="50"/>
      <c r="J2457" s="50"/>
    </row>
    <row r="2458" spans="9:16" ht="15.75">
      <c r="I2458" s="260" t="s">
        <v>1074</v>
      </c>
      <c r="O2458" s="52"/>
    </row>
    <row r="2459" spans="9:16" ht="15.75">
      <c r="I2459" s="53" t="s">
        <v>535</v>
      </c>
      <c r="O2459" s="53"/>
    </row>
    <row r="2460" spans="9:16" ht="15.75" customHeight="1">
      <c r="I2460" s="894" t="s">
        <v>1078</v>
      </c>
      <c r="J2460" s="894"/>
      <c r="K2460" s="894"/>
      <c r="L2460" s="894"/>
      <c r="M2460" s="894"/>
      <c r="N2460" s="894"/>
      <c r="O2460" s="894"/>
      <c r="P2460" s="894"/>
    </row>
    <row r="2461" spans="9:16" ht="15.75" thickBot="1"/>
    <row r="2462" spans="9:16">
      <c r="I2462" s="895" t="s">
        <v>94</v>
      </c>
      <c r="J2462" s="897" t="s">
        <v>95</v>
      </c>
      <c r="K2462" s="897" t="s">
        <v>96</v>
      </c>
      <c r="L2462" s="897" t="s">
        <v>3</v>
      </c>
      <c r="M2462" s="897" t="s">
        <v>97</v>
      </c>
      <c r="N2462" s="897" t="s">
        <v>98</v>
      </c>
      <c r="O2462" s="897" t="s">
        <v>99</v>
      </c>
      <c r="P2462" s="899"/>
    </row>
    <row r="2463" spans="9:16" ht="15.75" thickBot="1">
      <c r="I2463" s="896"/>
      <c r="J2463" s="898"/>
      <c r="K2463" s="898"/>
      <c r="L2463" s="898"/>
      <c r="M2463" s="898"/>
      <c r="N2463" s="898"/>
      <c r="O2463" s="240" t="s">
        <v>100</v>
      </c>
      <c r="P2463" s="182" t="s">
        <v>101</v>
      </c>
    </row>
    <row r="2464" spans="9:16" ht="15" customHeight="1">
      <c r="I2464" s="881">
        <v>261</v>
      </c>
      <c r="J2464" s="875">
        <v>42641</v>
      </c>
      <c r="K2464" s="877" t="s">
        <v>1079</v>
      </c>
      <c r="L2464" s="879" t="s">
        <v>1080</v>
      </c>
      <c r="M2464" s="881" t="s">
        <v>783</v>
      </c>
      <c r="N2464" s="883">
        <v>145000</v>
      </c>
      <c r="O2464" s="55">
        <v>719</v>
      </c>
      <c r="P2464" s="78">
        <v>145000</v>
      </c>
    </row>
    <row r="2465" spans="9:16" ht="12.75" customHeight="1" thickBot="1">
      <c r="I2465" s="882"/>
      <c r="J2465" s="876"/>
      <c r="K2465" s="878"/>
      <c r="L2465" s="880"/>
      <c r="M2465" s="882"/>
      <c r="N2465" s="884"/>
      <c r="O2465" s="56">
        <v>721</v>
      </c>
      <c r="P2465" s="79">
        <f>+N2464-P2464</f>
        <v>0</v>
      </c>
    </row>
    <row r="2466" spans="9:16" ht="15" customHeight="1">
      <c r="I2466" s="881">
        <v>262</v>
      </c>
      <c r="J2466" s="875">
        <v>42641</v>
      </c>
      <c r="K2466" s="877" t="s">
        <v>1079</v>
      </c>
      <c r="L2466" s="879" t="s">
        <v>1081</v>
      </c>
      <c r="M2466" s="881" t="s">
        <v>783</v>
      </c>
      <c r="N2466" s="883">
        <v>72500</v>
      </c>
      <c r="O2466" s="55">
        <v>719</v>
      </c>
      <c r="P2466" s="78">
        <v>72500</v>
      </c>
    </row>
    <row r="2467" spans="9:16" ht="13.5" customHeight="1" thickBot="1">
      <c r="I2467" s="882"/>
      <c r="J2467" s="876"/>
      <c r="K2467" s="878"/>
      <c r="L2467" s="880"/>
      <c r="M2467" s="882"/>
      <c r="N2467" s="884"/>
      <c r="O2467" s="56">
        <v>721</v>
      </c>
      <c r="P2467" s="79">
        <f>+N2466-P2466</f>
        <v>0</v>
      </c>
    </row>
    <row r="2468" spans="9:16" ht="15" customHeight="1">
      <c r="I2468" s="881">
        <v>263</v>
      </c>
      <c r="J2468" s="875">
        <v>42641</v>
      </c>
      <c r="K2468" s="877" t="s">
        <v>1079</v>
      </c>
      <c r="L2468" s="879" t="s">
        <v>1082</v>
      </c>
      <c r="M2468" s="881" t="s">
        <v>783</v>
      </c>
      <c r="N2468" s="883">
        <v>72500</v>
      </c>
      <c r="O2468" s="55">
        <v>719</v>
      </c>
      <c r="P2468" s="78">
        <v>72500</v>
      </c>
    </row>
    <row r="2469" spans="9:16" ht="14.25" customHeight="1" thickBot="1">
      <c r="I2469" s="882"/>
      <c r="J2469" s="876"/>
      <c r="K2469" s="878"/>
      <c r="L2469" s="880"/>
      <c r="M2469" s="882"/>
      <c r="N2469" s="884"/>
      <c r="O2469" s="56">
        <v>721</v>
      </c>
      <c r="P2469" s="79">
        <f>+N2468-P2468</f>
        <v>0</v>
      </c>
    </row>
    <row r="2470" spans="9:16" ht="15" customHeight="1">
      <c r="I2470" s="881">
        <v>264</v>
      </c>
      <c r="J2470" s="875">
        <v>42641</v>
      </c>
      <c r="K2470" s="877" t="s">
        <v>1079</v>
      </c>
      <c r="L2470" s="879" t="s">
        <v>1084</v>
      </c>
      <c r="M2470" s="881" t="s">
        <v>783</v>
      </c>
      <c r="N2470" s="883">
        <v>217500</v>
      </c>
      <c r="O2470" s="55">
        <v>719</v>
      </c>
      <c r="P2470" s="78">
        <v>217500</v>
      </c>
    </row>
    <row r="2471" spans="9:16" ht="13.5" customHeight="1" thickBot="1">
      <c r="I2471" s="882"/>
      <c r="J2471" s="876"/>
      <c r="K2471" s="878"/>
      <c r="L2471" s="880"/>
      <c r="M2471" s="882"/>
      <c r="N2471" s="884"/>
      <c r="O2471" s="56">
        <v>721</v>
      </c>
      <c r="P2471" s="79">
        <f>+N2470-P2470</f>
        <v>0</v>
      </c>
    </row>
    <row r="2472" spans="9:16" ht="15.75" customHeight="1">
      <c r="I2472" s="881">
        <v>265</v>
      </c>
      <c r="J2472" s="875">
        <v>42641</v>
      </c>
      <c r="K2472" s="877" t="s">
        <v>1079</v>
      </c>
      <c r="L2472" s="879" t="s">
        <v>1095</v>
      </c>
      <c r="M2472" s="881" t="s">
        <v>783</v>
      </c>
      <c r="N2472" s="883">
        <f>72500*2</f>
        <v>145000</v>
      </c>
      <c r="O2472" s="55">
        <v>719</v>
      </c>
      <c r="P2472" s="78">
        <v>145000</v>
      </c>
    </row>
    <row r="2473" spans="9:16" ht="13.5" customHeight="1" thickBot="1">
      <c r="I2473" s="882"/>
      <c r="J2473" s="876"/>
      <c r="K2473" s="878"/>
      <c r="L2473" s="880"/>
      <c r="M2473" s="882"/>
      <c r="N2473" s="884"/>
      <c r="O2473" s="56">
        <v>721</v>
      </c>
      <c r="P2473" s="79">
        <f>+N2472-P2472</f>
        <v>0</v>
      </c>
    </row>
    <row r="2474" spans="9:16" ht="15" customHeight="1">
      <c r="I2474" s="881">
        <v>266</v>
      </c>
      <c r="J2474" s="875">
        <v>42641</v>
      </c>
      <c r="K2474" s="877" t="s">
        <v>1079</v>
      </c>
      <c r="L2474" s="879" t="s">
        <v>1086</v>
      </c>
      <c r="M2474" s="881" t="s">
        <v>783</v>
      </c>
      <c r="N2474" s="883">
        <v>145000</v>
      </c>
      <c r="O2474" s="55">
        <v>719</v>
      </c>
      <c r="P2474" s="78">
        <v>145000</v>
      </c>
    </row>
    <row r="2475" spans="9:16" ht="13.5" customHeight="1" thickBot="1">
      <c r="I2475" s="882"/>
      <c r="J2475" s="876"/>
      <c r="K2475" s="878"/>
      <c r="L2475" s="880"/>
      <c r="M2475" s="882"/>
      <c r="N2475" s="884"/>
      <c r="O2475" s="56">
        <v>721</v>
      </c>
      <c r="P2475" s="79">
        <f>+N2474-P2474</f>
        <v>0</v>
      </c>
    </row>
    <row r="2476" spans="9:16" ht="16.5" thickBot="1">
      <c r="I2476" s="901" t="s">
        <v>102</v>
      </c>
      <c r="J2476" s="902"/>
      <c r="K2476" s="902"/>
      <c r="L2476" s="902"/>
      <c r="M2476" s="903"/>
      <c r="N2476" s="81">
        <f>SUM(N2464:N2475)</f>
        <v>797500</v>
      </c>
    </row>
    <row r="2477" spans="9:16" ht="16.5" thickBot="1">
      <c r="I2477" s="885" t="s">
        <v>103</v>
      </c>
      <c r="J2477" s="886"/>
      <c r="K2477" s="886"/>
      <c r="L2477" s="886"/>
      <c r="M2477" s="887"/>
      <c r="N2477" s="69">
        <f>+N2439</f>
        <v>406541022</v>
      </c>
      <c r="O2477" s="241" t="s">
        <v>561</v>
      </c>
      <c r="P2477" s="242"/>
    </row>
    <row r="2478" spans="9:16" ht="16.5" thickBot="1">
      <c r="I2478" s="888" t="s">
        <v>104</v>
      </c>
      <c r="J2478" s="889"/>
      <c r="K2478" s="889"/>
      <c r="L2478" s="889"/>
      <c r="M2478" s="890"/>
      <c r="N2478" s="183">
        <f>SUM(N2476:N2477)</f>
        <v>407338522</v>
      </c>
    </row>
    <row r="2479" spans="9:16" ht="9.75" customHeight="1">
      <c r="I2479" s="61"/>
      <c r="J2479" s="61"/>
      <c r="K2479" s="61"/>
      <c r="L2479" s="61"/>
      <c r="M2479" s="61"/>
    </row>
    <row r="2480" spans="9:16">
      <c r="I2480" s="51" t="s">
        <v>1101</v>
      </c>
    </row>
    <row r="2481" spans="9:15" ht="9.75" customHeight="1">
      <c r="N2481" s="139"/>
    </row>
    <row r="2482" spans="9:15">
      <c r="I2482" s="50" t="s">
        <v>105</v>
      </c>
      <c r="L2482" s="146"/>
      <c r="N2482" s="139"/>
    </row>
    <row r="2483" spans="9:15" ht="12" customHeight="1" thickBot="1"/>
    <row r="2484" spans="9:15" ht="15.75" thickBot="1">
      <c r="I2484" s="891" t="s">
        <v>106</v>
      </c>
      <c r="J2484" s="892"/>
      <c r="K2484" s="892"/>
      <c r="L2484" s="893"/>
      <c r="N2484" s="50" t="s">
        <v>288</v>
      </c>
    </row>
    <row r="2485" spans="9:15" ht="28.5" customHeight="1" thickBot="1">
      <c r="I2485" s="57" t="s">
        <v>100</v>
      </c>
      <c r="J2485" s="58" t="s">
        <v>108</v>
      </c>
      <c r="K2485" s="287" t="s">
        <v>109</v>
      </c>
      <c r="L2485" s="60" t="s">
        <v>110</v>
      </c>
    </row>
    <row r="2486" spans="9:15">
      <c r="I2486" s="71">
        <v>719</v>
      </c>
      <c r="J2486" s="73"/>
      <c r="K2486" s="74">
        <f>+L2447</f>
        <v>25020000</v>
      </c>
      <c r="L2486" s="195">
        <f>+J2486+K2486</f>
        <v>25020000</v>
      </c>
    </row>
    <row r="2487" spans="9:15">
      <c r="I2487" s="72">
        <v>721</v>
      </c>
      <c r="J2487" s="80"/>
      <c r="K2487" s="74">
        <f>+L2448</f>
        <v>10601578</v>
      </c>
      <c r="L2487" s="195">
        <f>+J2487+K2487</f>
        <v>10601578</v>
      </c>
    </row>
    <row r="2488" spans="9:15">
      <c r="I2488" s="72">
        <v>722</v>
      </c>
      <c r="J2488" s="80"/>
      <c r="K2488" s="74">
        <f>+L2449</f>
        <v>2000000</v>
      </c>
      <c r="L2488" s="195">
        <f>+J2488+K2488</f>
        <v>2000000</v>
      </c>
    </row>
    <row r="2489" spans="9:15" ht="15" customHeight="1">
      <c r="I2489" s="72">
        <v>723</v>
      </c>
      <c r="J2489" s="80"/>
      <c r="K2489" s="74">
        <f>+L2450</f>
        <v>368919444</v>
      </c>
      <c r="L2489" s="195">
        <f>+J2489+K2489</f>
        <v>368919444</v>
      </c>
      <c r="N2489" s="193" t="s">
        <v>289</v>
      </c>
      <c r="O2489" s="175"/>
    </row>
    <row r="2490" spans="9:15" ht="16.5" thickBot="1">
      <c r="I2490" s="164" t="s">
        <v>1077</v>
      </c>
      <c r="J2490" s="165">
        <f>+P2464+P2466+P2468+P2470+P2474+P2472</f>
        <v>797500</v>
      </c>
      <c r="K2490" s="74">
        <f>+L2451</f>
        <v>0</v>
      </c>
      <c r="L2490" s="196">
        <f>+J2490+K2490</f>
        <v>797500</v>
      </c>
      <c r="N2490" s="52"/>
    </row>
    <row r="2491" spans="9:15" ht="16.5" thickBot="1">
      <c r="I2491" s="316" t="s">
        <v>147</v>
      </c>
      <c r="J2491" s="197">
        <f>SUM(J2486:J2490)</f>
        <v>797500</v>
      </c>
      <c r="K2491" s="197">
        <f>SUM(K2486:K2490)</f>
        <v>406541022</v>
      </c>
      <c r="L2491" s="198">
        <f>SUM(L2486:L2490)</f>
        <v>407338522</v>
      </c>
    </row>
    <row r="2492" spans="9:15" ht="16.5">
      <c r="I2492" s="49" t="s">
        <v>88</v>
      </c>
      <c r="J2492" s="50"/>
    </row>
    <row r="2493" spans="9:15">
      <c r="I2493" s="51" t="s">
        <v>89</v>
      </c>
    </row>
    <row r="2494" spans="9:15">
      <c r="I2494" s="51" t="s">
        <v>90</v>
      </c>
    </row>
    <row r="2495" spans="9:15">
      <c r="I2495" s="51" t="s">
        <v>91</v>
      </c>
    </row>
    <row r="2496" spans="9:15" ht="12.75" customHeight="1">
      <c r="I2496" s="50"/>
      <c r="J2496" s="50"/>
    </row>
    <row r="2497" spans="9:16" ht="15.75">
      <c r="I2497" s="260" t="s">
        <v>1075</v>
      </c>
      <c r="O2497" s="52"/>
    </row>
    <row r="2498" spans="9:16" ht="15.75">
      <c r="I2498" s="53" t="s">
        <v>535</v>
      </c>
      <c r="O2498" s="53"/>
    </row>
    <row r="2499" spans="9:16" ht="16.5">
      <c r="I2499" s="894" t="s">
        <v>1098</v>
      </c>
      <c r="J2499" s="894"/>
      <c r="K2499" s="894"/>
      <c r="L2499" s="894"/>
      <c r="M2499" s="894"/>
      <c r="N2499" s="894"/>
      <c r="O2499" s="894"/>
      <c r="P2499" s="894"/>
    </row>
    <row r="2500" spans="9:16" ht="15.75" thickBot="1"/>
    <row r="2501" spans="9:16">
      <c r="I2501" s="895" t="s">
        <v>94</v>
      </c>
      <c r="J2501" s="897" t="s">
        <v>95</v>
      </c>
      <c r="K2501" s="897" t="s">
        <v>96</v>
      </c>
      <c r="L2501" s="897" t="s">
        <v>3</v>
      </c>
      <c r="M2501" s="897" t="s">
        <v>97</v>
      </c>
      <c r="N2501" s="897" t="s">
        <v>98</v>
      </c>
      <c r="O2501" s="897" t="s">
        <v>99</v>
      </c>
      <c r="P2501" s="899"/>
    </row>
    <row r="2502" spans="9:16" ht="15.75" thickBot="1">
      <c r="I2502" s="896"/>
      <c r="J2502" s="898"/>
      <c r="K2502" s="898"/>
      <c r="L2502" s="898"/>
      <c r="M2502" s="898"/>
      <c r="N2502" s="898"/>
      <c r="O2502" s="240" t="s">
        <v>100</v>
      </c>
      <c r="P2502" s="182" t="s">
        <v>101</v>
      </c>
    </row>
    <row r="2503" spans="9:16" ht="15" customHeight="1">
      <c r="I2503" s="881">
        <v>267</v>
      </c>
      <c r="J2503" s="875">
        <v>42641</v>
      </c>
      <c r="K2503" s="877" t="s">
        <v>738</v>
      </c>
      <c r="L2503" s="879" t="s">
        <v>1097</v>
      </c>
      <c r="M2503" s="881" t="s">
        <v>148</v>
      </c>
      <c r="N2503" s="883">
        <v>2672700</v>
      </c>
      <c r="O2503" s="55">
        <v>719</v>
      </c>
      <c r="P2503" s="78"/>
    </row>
    <row r="2504" spans="9:16" ht="15.75" customHeight="1" thickBot="1">
      <c r="I2504" s="882"/>
      <c r="J2504" s="876"/>
      <c r="K2504" s="878"/>
      <c r="L2504" s="880"/>
      <c r="M2504" s="882"/>
      <c r="N2504" s="884"/>
      <c r="O2504" s="56">
        <v>721</v>
      </c>
      <c r="P2504" s="79">
        <f>+N2503</f>
        <v>2672700</v>
      </c>
    </row>
    <row r="2505" spans="9:16" ht="15" customHeight="1">
      <c r="I2505" s="881">
        <v>268</v>
      </c>
      <c r="J2505" s="875">
        <v>42641</v>
      </c>
      <c r="K2505" s="877" t="s">
        <v>738</v>
      </c>
      <c r="L2505" s="879" t="s">
        <v>1099</v>
      </c>
      <c r="M2505" s="881" t="s">
        <v>148</v>
      </c>
      <c r="N2505" s="883">
        <v>773675</v>
      </c>
      <c r="O2505" s="55">
        <v>719</v>
      </c>
      <c r="P2505" s="78"/>
    </row>
    <row r="2506" spans="9:16" ht="15.75" customHeight="1" thickBot="1">
      <c r="I2506" s="882"/>
      <c r="J2506" s="876"/>
      <c r="K2506" s="878"/>
      <c r="L2506" s="880"/>
      <c r="M2506" s="882"/>
      <c r="N2506" s="884"/>
      <c r="O2506" s="56">
        <v>721</v>
      </c>
      <c r="P2506" s="79">
        <f>+N2505-P2505</f>
        <v>773675</v>
      </c>
    </row>
    <row r="2507" spans="9:16" ht="15" customHeight="1">
      <c r="I2507" s="881">
        <v>269</v>
      </c>
      <c r="J2507" s="875">
        <v>42641</v>
      </c>
      <c r="K2507" s="877" t="s">
        <v>738</v>
      </c>
      <c r="L2507" s="879" t="s">
        <v>1100</v>
      </c>
      <c r="M2507" s="881" t="s">
        <v>148</v>
      </c>
      <c r="N2507" s="883">
        <v>2672700</v>
      </c>
      <c r="O2507" s="55">
        <v>719</v>
      </c>
      <c r="P2507" s="78"/>
    </row>
    <row r="2508" spans="9:16" ht="14.25" customHeight="1" thickBot="1">
      <c r="I2508" s="882"/>
      <c r="J2508" s="876"/>
      <c r="K2508" s="878"/>
      <c r="L2508" s="880"/>
      <c r="M2508" s="882"/>
      <c r="N2508" s="884"/>
      <c r="O2508" s="56">
        <v>721</v>
      </c>
      <c r="P2508" s="79">
        <f>+N2507-P2507</f>
        <v>2672700</v>
      </c>
    </row>
    <row r="2509" spans="9:16" ht="14.25" customHeight="1">
      <c r="I2509" s="881"/>
      <c r="J2509" s="875"/>
      <c r="K2509" s="877"/>
      <c r="L2509" s="879"/>
      <c r="M2509" s="881"/>
      <c r="N2509" s="883"/>
      <c r="O2509" s="55">
        <v>719</v>
      </c>
      <c r="P2509" s="78"/>
    </row>
    <row r="2510" spans="9:16" ht="14.25" customHeight="1" thickBot="1">
      <c r="I2510" s="882"/>
      <c r="J2510" s="876"/>
      <c r="K2510" s="878"/>
      <c r="L2510" s="880"/>
      <c r="M2510" s="882"/>
      <c r="N2510" s="884"/>
      <c r="O2510" s="56">
        <v>721</v>
      </c>
      <c r="P2510" s="79">
        <f>+N2509-P2509</f>
        <v>0</v>
      </c>
    </row>
    <row r="2511" spans="9:16" ht="15" customHeight="1">
      <c r="I2511" s="881"/>
      <c r="J2511" s="875"/>
      <c r="K2511" s="877"/>
      <c r="L2511" s="879"/>
      <c r="M2511" s="881"/>
      <c r="N2511" s="883"/>
      <c r="O2511" s="55">
        <v>719</v>
      </c>
      <c r="P2511" s="78"/>
    </row>
    <row r="2512" spans="9:16" ht="11.25" customHeight="1" thickBot="1">
      <c r="I2512" s="882"/>
      <c r="J2512" s="876"/>
      <c r="K2512" s="878"/>
      <c r="L2512" s="880"/>
      <c r="M2512" s="882"/>
      <c r="N2512" s="884"/>
      <c r="O2512" s="56">
        <v>723</v>
      </c>
      <c r="P2512" s="79">
        <f>+N2511-P2511</f>
        <v>0</v>
      </c>
    </row>
    <row r="2513" spans="9:16" ht="16.5" thickBot="1">
      <c r="I2513" s="901" t="s">
        <v>102</v>
      </c>
      <c r="J2513" s="902"/>
      <c r="K2513" s="902"/>
      <c r="L2513" s="902"/>
      <c r="M2513" s="903"/>
      <c r="N2513" s="81">
        <f>SUM(N2503:N2512)</f>
        <v>6119075</v>
      </c>
    </row>
    <row r="2514" spans="9:16" ht="16.5" thickBot="1">
      <c r="I2514" s="885" t="s">
        <v>103</v>
      </c>
      <c r="J2514" s="886"/>
      <c r="K2514" s="886"/>
      <c r="L2514" s="886"/>
      <c r="M2514" s="887"/>
      <c r="N2514" s="69">
        <f>+N2478</f>
        <v>407338522</v>
      </c>
      <c r="O2514" s="241" t="s">
        <v>561</v>
      </c>
      <c r="P2514" s="242"/>
    </row>
    <row r="2515" spans="9:16" ht="16.5" thickBot="1">
      <c r="I2515" s="888" t="s">
        <v>104</v>
      </c>
      <c r="J2515" s="889"/>
      <c r="K2515" s="889"/>
      <c r="L2515" s="889"/>
      <c r="M2515" s="890"/>
      <c r="N2515" s="183">
        <f>SUM(N2513:N2514)</f>
        <v>413457597</v>
      </c>
    </row>
    <row r="2516" spans="9:16">
      <c r="I2516" s="61"/>
      <c r="J2516" s="61"/>
      <c r="K2516" s="61"/>
      <c r="L2516" s="61"/>
      <c r="M2516" s="61"/>
    </row>
    <row r="2517" spans="9:16">
      <c r="I2517" s="51" t="s">
        <v>1110</v>
      </c>
    </row>
    <row r="2518" spans="9:16" ht="12.75" customHeight="1">
      <c r="N2518" s="139"/>
    </row>
    <row r="2519" spans="9:16">
      <c r="I2519" s="50" t="s">
        <v>105</v>
      </c>
      <c r="L2519" s="146"/>
      <c r="N2519" s="139"/>
    </row>
    <row r="2520" spans="9:16" ht="14.25" customHeight="1" thickBot="1"/>
    <row r="2521" spans="9:16" ht="15.75" thickBot="1">
      <c r="I2521" s="891" t="s">
        <v>106</v>
      </c>
      <c r="J2521" s="892"/>
      <c r="K2521" s="892"/>
      <c r="L2521" s="893"/>
      <c r="N2521" s="50" t="s">
        <v>288</v>
      </c>
    </row>
    <row r="2522" spans="9:16" ht="30.75" thickBot="1">
      <c r="I2522" s="57" t="s">
        <v>100</v>
      </c>
      <c r="J2522" s="58" t="s">
        <v>108</v>
      </c>
      <c r="K2522" s="287" t="s">
        <v>109</v>
      </c>
      <c r="L2522" s="60" t="s">
        <v>110</v>
      </c>
    </row>
    <row r="2523" spans="9:16">
      <c r="I2523" s="71">
        <v>719</v>
      </c>
      <c r="J2523" s="73">
        <v>0</v>
      </c>
      <c r="K2523" s="74">
        <f>+L2486</f>
        <v>25020000</v>
      </c>
      <c r="L2523" s="195">
        <f>+J2523+K2523</f>
        <v>25020000</v>
      </c>
    </row>
    <row r="2524" spans="9:16">
      <c r="I2524" s="72">
        <v>721</v>
      </c>
      <c r="J2524" s="80">
        <f>+P2504+P2506+P2508+P2510+P2512</f>
        <v>6119075</v>
      </c>
      <c r="K2524" s="74">
        <f>+L2487</f>
        <v>10601578</v>
      </c>
      <c r="L2524" s="195">
        <f>+J2524+K2524</f>
        <v>16720653</v>
      </c>
    </row>
    <row r="2525" spans="9:16">
      <c r="I2525" s="72">
        <v>722</v>
      </c>
      <c r="J2525" s="80"/>
      <c r="K2525" s="74">
        <f>+L2488</f>
        <v>2000000</v>
      </c>
      <c r="L2525" s="195">
        <f>+J2525+K2525</f>
        <v>2000000</v>
      </c>
    </row>
    <row r="2526" spans="9:16" ht="15.75">
      <c r="I2526" s="72">
        <v>723</v>
      </c>
      <c r="J2526" s="80"/>
      <c r="K2526" s="74">
        <f>+L2489</f>
        <v>368919444</v>
      </c>
      <c r="L2526" s="195">
        <f>+J2526+K2526</f>
        <v>368919444</v>
      </c>
      <c r="N2526" s="193" t="s">
        <v>289</v>
      </c>
      <c r="O2526" s="175"/>
    </row>
    <row r="2527" spans="9:16" ht="16.5" thickBot="1">
      <c r="I2527" s="164" t="s">
        <v>1077</v>
      </c>
      <c r="J2527" s="165">
        <f>+P2503+P2505+P2507</f>
        <v>0</v>
      </c>
      <c r="K2527" s="74">
        <f>+L2490</f>
        <v>797500</v>
      </c>
      <c r="L2527" s="196">
        <f>+J2527+K2527</f>
        <v>797500</v>
      </c>
      <c r="N2527" s="52"/>
    </row>
    <row r="2528" spans="9:16" ht="16.5" thickBot="1">
      <c r="I2528" s="169"/>
      <c r="J2528" s="197">
        <f>SUM(J2523:J2527)</f>
        <v>6119075</v>
      </c>
      <c r="K2528" s="197">
        <f>SUM(K2523:K2527)</f>
        <v>407338522</v>
      </c>
      <c r="L2528" s="198">
        <f>SUM(L2523:L2527)</f>
        <v>413457597</v>
      </c>
    </row>
    <row r="2529" spans="9:16" ht="16.5">
      <c r="I2529" s="49" t="s">
        <v>88</v>
      </c>
      <c r="J2529" s="50"/>
    </row>
    <row r="2530" spans="9:16">
      <c r="I2530" s="51" t="s">
        <v>89</v>
      </c>
    </row>
    <row r="2531" spans="9:16">
      <c r="I2531" s="51" t="s">
        <v>90</v>
      </c>
    </row>
    <row r="2532" spans="9:16">
      <c r="I2532" s="51" t="s">
        <v>91</v>
      </c>
    </row>
    <row r="2533" spans="9:16" ht="11.25" customHeight="1">
      <c r="I2533" s="50"/>
      <c r="J2533" s="50"/>
    </row>
    <row r="2534" spans="9:16" ht="15.75">
      <c r="I2534" s="260" t="s">
        <v>1076</v>
      </c>
      <c r="O2534" s="52"/>
    </row>
    <row r="2535" spans="9:16" ht="15.75">
      <c r="I2535" s="53" t="s">
        <v>535</v>
      </c>
      <c r="O2535" s="53"/>
    </row>
    <row r="2536" spans="9:16" ht="16.5">
      <c r="I2536" s="894" t="s">
        <v>1121</v>
      </c>
      <c r="J2536" s="894"/>
      <c r="K2536" s="894"/>
      <c r="L2536" s="894"/>
      <c r="M2536" s="894"/>
      <c r="N2536" s="894"/>
      <c r="O2536" s="894"/>
      <c r="P2536" s="894"/>
    </row>
    <row r="2537" spans="9:16" ht="15.75" thickBot="1"/>
    <row r="2538" spans="9:16">
      <c r="I2538" s="895" t="s">
        <v>94</v>
      </c>
      <c r="J2538" s="897" t="s">
        <v>95</v>
      </c>
      <c r="K2538" s="897" t="s">
        <v>96</v>
      </c>
      <c r="L2538" s="897" t="s">
        <v>3</v>
      </c>
      <c r="M2538" s="897" t="s">
        <v>97</v>
      </c>
      <c r="N2538" s="897" t="s">
        <v>98</v>
      </c>
      <c r="O2538" s="897" t="s">
        <v>99</v>
      </c>
      <c r="P2538" s="899"/>
    </row>
    <row r="2539" spans="9:16" ht="15.75" thickBot="1">
      <c r="I2539" s="896"/>
      <c r="J2539" s="898"/>
      <c r="K2539" s="898"/>
      <c r="L2539" s="898"/>
      <c r="M2539" s="898"/>
      <c r="N2539" s="898"/>
      <c r="O2539" s="240" t="s">
        <v>100</v>
      </c>
      <c r="P2539" s="182" t="s">
        <v>101</v>
      </c>
    </row>
    <row r="2540" spans="9:16" ht="15" customHeight="1">
      <c r="I2540" s="881">
        <v>270</v>
      </c>
      <c r="J2540" s="875">
        <v>42641</v>
      </c>
      <c r="K2540" s="877" t="s">
        <v>1014</v>
      </c>
      <c r="L2540" s="879" t="s">
        <v>1120</v>
      </c>
      <c r="M2540" s="881" t="s">
        <v>115</v>
      </c>
      <c r="N2540" s="883">
        <v>90000</v>
      </c>
      <c r="O2540" s="55">
        <v>719</v>
      </c>
      <c r="P2540" s="78">
        <v>90000</v>
      </c>
    </row>
    <row r="2541" spans="9:16" ht="15.75" customHeight="1" thickBot="1">
      <c r="I2541" s="882"/>
      <c r="J2541" s="876"/>
      <c r="K2541" s="878"/>
      <c r="L2541" s="880"/>
      <c r="M2541" s="882"/>
      <c r="N2541" s="884"/>
      <c r="O2541" s="56">
        <v>721</v>
      </c>
      <c r="P2541" s="79">
        <f>+N2540-P2540</f>
        <v>0</v>
      </c>
    </row>
    <row r="2542" spans="9:16" ht="15" customHeight="1">
      <c r="I2542" s="881">
        <v>271</v>
      </c>
      <c r="J2542" s="875">
        <v>42641</v>
      </c>
      <c r="K2542" s="877" t="s">
        <v>28</v>
      </c>
      <c r="L2542" s="879" t="s">
        <v>1119</v>
      </c>
      <c r="M2542" s="881" t="s">
        <v>115</v>
      </c>
      <c r="N2542" s="883">
        <v>80000</v>
      </c>
      <c r="O2542" s="55">
        <v>719</v>
      </c>
      <c r="P2542" s="78">
        <v>80000</v>
      </c>
    </row>
    <row r="2543" spans="9:16" ht="15.75" customHeight="1" thickBot="1">
      <c r="I2543" s="882"/>
      <c r="J2543" s="876"/>
      <c r="K2543" s="878"/>
      <c r="L2543" s="880"/>
      <c r="M2543" s="882"/>
      <c r="N2543" s="884"/>
      <c r="O2543" s="56">
        <v>721</v>
      </c>
      <c r="P2543" s="79">
        <f>+N2542-P2542</f>
        <v>0</v>
      </c>
    </row>
    <row r="2544" spans="9:16" ht="13.5" customHeight="1">
      <c r="I2544" s="881">
        <v>272</v>
      </c>
      <c r="J2544" s="875">
        <v>42641</v>
      </c>
      <c r="K2544" s="877" t="s">
        <v>1116</v>
      </c>
      <c r="L2544" s="879" t="s">
        <v>1118</v>
      </c>
      <c r="M2544" s="881" t="s">
        <v>115</v>
      </c>
      <c r="N2544" s="883">
        <v>80000</v>
      </c>
      <c r="O2544" s="55">
        <v>719</v>
      </c>
      <c r="P2544" s="78">
        <v>80000</v>
      </c>
    </row>
    <row r="2545" spans="9:16" ht="14.25" customHeight="1" thickBot="1">
      <c r="I2545" s="882"/>
      <c r="J2545" s="876"/>
      <c r="K2545" s="878"/>
      <c r="L2545" s="880"/>
      <c r="M2545" s="882"/>
      <c r="N2545" s="884"/>
      <c r="O2545" s="56">
        <v>721</v>
      </c>
      <c r="P2545" s="79">
        <f>+N2544-P2544</f>
        <v>0</v>
      </c>
    </row>
    <row r="2546" spans="9:16" ht="14.25" customHeight="1">
      <c r="I2546" s="881"/>
      <c r="J2546" s="875"/>
      <c r="K2546" s="875"/>
      <c r="L2546" s="877"/>
      <c r="M2546" s="879"/>
      <c r="N2546" s="883"/>
      <c r="O2546" s="55">
        <v>719</v>
      </c>
      <c r="P2546" s="78"/>
    </row>
    <row r="2547" spans="9:16" ht="13.5" customHeight="1" thickBot="1">
      <c r="I2547" s="882"/>
      <c r="J2547" s="876"/>
      <c r="K2547" s="876"/>
      <c r="L2547" s="878"/>
      <c r="M2547" s="880"/>
      <c r="N2547" s="884"/>
      <c r="O2547" s="56">
        <v>721</v>
      </c>
      <c r="P2547" s="79">
        <f>+N2546-P2546</f>
        <v>0</v>
      </c>
    </row>
    <row r="2548" spans="9:16" ht="14.25" customHeight="1">
      <c r="I2548" s="881"/>
      <c r="J2548" s="875"/>
      <c r="K2548" s="877"/>
      <c r="L2548" s="879"/>
      <c r="M2548" s="881"/>
      <c r="N2548" s="883"/>
      <c r="O2548" s="55">
        <v>719</v>
      </c>
      <c r="P2548" s="78"/>
    </row>
    <row r="2549" spans="9:16" ht="13.5" customHeight="1" thickBot="1">
      <c r="I2549" s="882"/>
      <c r="J2549" s="876"/>
      <c r="K2549" s="878"/>
      <c r="L2549" s="880"/>
      <c r="M2549" s="882"/>
      <c r="N2549" s="884"/>
      <c r="O2549" s="56">
        <v>723</v>
      </c>
      <c r="P2549" s="79">
        <f>+N2548-P2548</f>
        <v>0</v>
      </c>
    </row>
    <row r="2550" spans="9:16" ht="16.5" thickBot="1">
      <c r="I2550" s="901" t="s">
        <v>102</v>
      </c>
      <c r="J2550" s="902"/>
      <c r="K2550" s="902"/>
      <c r="L2550" s="902"/>
      <c r="M2550" s="903"/>
      <c r="N2550" s="81">
        <f>SUM(N2540:N2549)</f>
        <v>250000</v>
      </c>
    </row>
    <row r="2551" spans="9:16" ht="16.5" thickBot="1">
      <c r="I2551" s="885" t="s">
        <v>103</v>
      </c>
      <c r="J2551" s="886"/>
      <c r="K2551" s="886"/>
      <c r="L2551" s="886"/>
      <c r="M2551" s="887"/>
      <c r="N2551" s="69">
        <f>+N2515</f>
        <v>413457597</v>
      </c>
      <c r="O2551" s="241" t="s">
        <v>561</v>
      </c>
      <c r="P2551" s="242">
        <f>325+46+159</f>
        <v>530</v>
      </c>
    </row>
    <row r="2552" spans="9:16" ht="16.5" thickBot="1">
      <c r="I2552" s="888" t="s">
        <v>104</v>
      </c>
      <c r="J2552" s="889"/>
      <c r="K2552" s="889"/>
      <c r="L2552" s="889"/>
      <c r="M2552" s="890"/>
      <c r="N2552" s="183">
        <f>SUM(N2550:N2551)</f>
        <v>413707597</v>
      </c>
    </row>
    <row r="2553" spans="9:16">
      <c r="I2553" s="61"/>
      <c r="J2553" s="61"/>
      <c r="K2553" s="61"/>
      <c r="L2553" s="61"/>
      <c r="M2553" s="61"/>
    </row>
    <row r="2554" spans="9:16">
      <c r="I2554" s="51" t="s">
        <v>1117</v>
      </c>
    </row>
    <row r="2555" spans="9:16" ht="12.75" customHeight="1">
      <c r="N2555" s="139"/>
    </row>
    <row r="2556" spans="9:16">
      <c r="I2556" s="50" t="s">
        <v>105</v>
      </c>
      <c r="L2556" s="146"/>
      <c r="N2556" s="139"/>
    </row>
    <row r="2557" spans="9:16" ht="14.25" customHeight="1" thickBot="1"/>
    <row r="2558" spans="9:16" ht="15.75" thickBot="1">
      <c r="I2558" s="891" t="s">
        <v>106</v>
      </c>
      <c r="J2558" s="892"/>
      <c r="K2558" s="892"/>
      <c r="L2558" s="893"/>
      <c r="N2558" s="50" t="s">
        <v>288</v>
      </c>
    </row>
    <row r="2559" spans="9:16" ht="30.75" thickBot="1">
      <c r="I2559" s="57" t="s">
        <v>100</v>
      </c>
      <c r="J2559" s="58" t="s">
        <v>108</v>
      </c>
      <c r="K2559" s="287" t="s">
        <v>109</v>
      </c>
      <c r="L2559" s="60" t="s">
        <v>110</v>
      </c>
    </row>
    <row r="2560" spans="9:16">
      <c r="I2560" s="71">
        <v>719</v>
      </c>
      <c r="J2560" s="73">
        <f>+P2540+P2542+P2544</f>
        <v>250000</v>
      </c>
      <c r="K2560" s="74">
        <f>+L2523</f>
        <v>25020000</v>
      </c>
      <c r="L2560" s="195">
        <f>+J2560+K2560</f>
        <v>25270000</v>
      </c>
    </row>
    <row r="2561" spans="9:16">
      <c r="I2561" s="72">
        <v>721</v>
      </c>
      <c r="J2561" s="80">
        <f>+P2541+P2543+P2545+P2547+P2549</f>
        <v>0</v>
      </c>
      <c r="K2561" s="74">
        <f>+L2524</f>
        <v>16720653</v>
      </c>
      <c r="L2561" s="195">
        <f>+J2561+K2561</f>
        <v>16720653</v>
      </c>
    </row>
    <row r="2562" spans="9:16">
      <c r="I2562" s="72">
        <v>722</v>
      </c>
      <c r="J2562" s="80"/>
      <c r="K2562" s="74">
        <f>+L2525</f>
        <v>2000000</v>
      </c>
      <c r="L2562" s="195">
        <f>+J2562+K2562</f>
        <v>2000000</v>
      </c>
    </row>
    <row r="2563" spans="9:16" ht="15.75">
      <c r="I2563" s="72">
        <v>723</v>
      </c>
      <c r="J2563" s="80"/>
      <c r="K2563" s="74">
        <f>+L2526</f>
        <v>368919444</v>
      </c>
      <c r="L2563" s="195">
        <f>+J2563+K2563</f>
        <v>368919444</v>
      </c>
      <c r="N2563" s="193" t="s">
        <v>289</v>
      </c>
      <c r="O2563" s="175"/>
    </row>
    <row r="2564" spans="9:16" ht="16.5" thickBot="1">
      <c r="I2564" s="164" t="s">
        <v>1077</v>
      </c>
      <c r="J2564" s="165"/>
      <c r="K2564" s="74">
        <f>+L2527</f>
        <v>797500</v>
      </c>
      <c r="L2564" s="196">
        <f>+J2564+K2564</f>
        <v>797500</v>
      </c>
      <c r="N2564" s="52"/>
    </row>
    <row r="2565" spans="9:16" ht="16.5" thickBot="1">
      <c r="I2565" s="169"/>
      <c r="J2565" s="197">
        <f>SUM(J2560:J2564)</f>
        <v>250000</v>
      </c>
      <c r="K2565" s="197">
        <f>SUM(K2560:K2564)</f>
        <v>413457597</v>
      </c>
      <c r="L2565" s="198">
        <f>SUM(L2560:L2564)</f>
        <v>413707597</v>
      </c>
    </row>
    <row r="2566" spans="9:16" ht="16.5">
      <c r="I2566" s="49" t="s">
        <v>88</v>
      </c>
      <c r="J2566" s="50"/>
    </row>
    <row r="2567" spans="9:16">
      <c r="I2567" s="51" t="s">
        <v>89</v>
      </c>
    </row>
    <row r="2568" spans="9:16">
      <c r="I2568" s="51" t="s">
        <v>90</v>
      </c>
    </row>
    <row r="2569" spans="9:16">
      <c r="I2569" s="51" t="s">
        <v>91</v>
      </c>
    </row>
    <row r="2570" spans="9:16" ht="14.25" customHeight="1">
      <c r="I2570" s="50"/>
      <c r="J2570" s="50"/>
    </row>
    <row r="2571" spans="9:16" ht="15.75">
      <c r="I2571" s="260" t="s">
        <v>1083</v>
      </c>
      <c r="O2571" s="52"/>
    </row>
    <row r="2572" spans="9:16" ht="15.75">
      <c r="I2572" s="53" t="s">
        <v>535</v>
      </c>
      <c r="O2572" s="53"/>
    </row>
    <row r="2573" spans="9:16" ht="16.5">
      <c r="I2573" s="894" t="s">
        <v>1121</v>
      </c>
      <c r="J2573" s="894"/>
      <c r="K2573" s="894"/>
      <c r="L2573" s="894"/>
      <c r="M2573" s="894"/>
      <c r="N2573" s="894"/>
      <c r="O2573" s="894"/>
      <c r="P2573" s="894"/>
    </row>
    <row r="2574" spans="9:16" ht="12.75" customHeight="1" thickBot="1"/>
    <row r="2575" spans="9:16">
      <c r="I2575" s="895" t="s">
        <v>94</v>
      </c>
      <c r="J2575" s="897" t="s">
        <v>95</v>
      </c>
      <c r="K2575" s="897" t="s">
        <v>96</v>
      </c>
      <c r="L2575" s="897" t="s">
        <v>3</v>
      </c>
      <c r="M2575" s="897" t="s">
        <v>97</v>
      </c>
      <c r="N2575" s="897" t="s">
        <v>98</v>
      </c>
      <c r="O2575" s="897" t="s">
        <v>99</v>
      </c>
      <c r="P2575" s="899"/>
    </row>
    <row r="2576" spans="9:16" ht="15.75" thickBot="1">
      <c r="I2576" s="896"/>
      <c r="J2576" s="898"/>
      <c r="K2576" s="898"/>
      <c r="L2576" s="898"/>
      <c r="M2576" s="898"/>
      <c r="N2576" s="898"/>
      <c r="O2576" s="240" t="s">
        <v>100</v>
      </c>
      <c r="P2576" s="182" t="s">
        <v>101</v>
      </c>
    </row>
    <row r="2577" spans="9:16" ht="15" customHeight="1">
      <c r="I2577" s="881">
        <v>273</v>
      </c>
      <c r="J2577" s="875">
        <v>42648</v>
      </c>
      <c r="K2577" s="877" t="s">
        <v>1014</v>
      </c>
      <c r="L2577" s="879" t="s">
        <v>1122</v>
      </c>
      <c r="M2577" s="881" t="s">
        <v>115</v>
      </c>
      <c r="N2577" s="883">
        <v>60000</v>
      </c>
      <c r="O2577" s="55">
        <v>719</v>
      </c>
      <c r="P2577" s="78">
        <v>60000</v>
      </c>
    </row>
    <row r="2578" spans="9:16" ht="15.75" customHeight="1" thickBot="1">
      <c r="I2578" s="882"/>
      <c r="J2578" s="876"/>
      <c r="K2578" s="878"/>
      <c r="L2578" s="880"/>
      <c r="M2578" s="882"/>
      <c r="N2578" s="884"/>
      <c r="O2578" s="56">
        <v>721</v>
      </c>
      <c r="P2578" s="79">
        <f>+N2577-P2577</f>
        <v>0</v>
      </c>
    </row>
    <row r="2579" spans="9:16" ht="15" customHeight="1">
      <c r="I2579" s="881">
        <v>274</v>
      </c>
      <c r="J2579" s="875">
        <v>42648</v>
      </c>
      <c r="K2579" s="877" t="s">
        <v>28</v>
      </c>
      <c r="L2579" s="879" t="s">
        <v>1123</v>
      </c>
      <c r="M2579" s="881" t="s">
        <v>115</v>
      </c>
      <c r="N2579" s="883">
        <v>40000</v>
      </c>
      <c r="O2579" s="55">
        <v>719</v>
      </c>
      <c r="P2579" s="78">
        <v>40000</v>
      </c>
    </row>
    <row r="2580" spans="9:16" ht="15.75" customHeight="1" thickBot="1">
      <c r="I2580" s="882"/>
      <c r="J2580" s="876"/>
      <c r="K2580" s="878"/>
      <c r="L2580" s="880"/>
      <c r="M2580" s="882"/>
      <c r="N2580" s="884"/>
      <c r="O2580" s="56">
        <v>721</v>
      </c>
      <c r="P2580" s="79">
        <f>+N2579-P2579</f>
        <v>0</v>
      </c>
    </row>
    <row r="2581" spans="9:16" ht="15" customHeight="1">
      <c r="I2581" s="881">
        <v>275</v>
      </c>
      <c r="J2581" s="875">
        <v>42648</v>
      </c>
      <c r="K2581" s="877" t="s">
        <v>120</v>
      </c>
      <c r="L2581" s="879" t="s">
        <v>1122</v>
      </c>
      <c r="M2581" s="881" t="s">
        <v>115</v>
      </c>
      <c r="N2581" s="883">
        <v>100000</v>
      </c>
      <c r="O2581" s="55">
        <v>719</v>
      </c>
      <c r="P2581" s="78">
        <v>100000</v>
      </c>
    </row>
    <row r="2582" spans="9:16" ht="15.75" customHeight="1" thickBot="1">
      <c r="I2582" s="882"/>
      <c r="J2582" s="876"/>
      <c r="K2582" s="878"/>
      <c r="L2582" s="880"/>
      <c r="M2582" s="882"/>
      <c r="N2582" s="884"/>
      <c r="O2582" s="56">
        <v>721</v>
      </c>
      <c r="P2582" s="79">
        <f>+N2581-P2581</f>
        <v>0</v>
      </c>
    </row>
    <row r="2583" spans="9:16" ht="15" customHeight="1">
      <c r="I2583" s="881"/>
      <c r="J2583" s="875"/>
      <c r="K2583" s="877"/>
      <c r="L2583" s="879"/>
      <c r="M2583" s="881"/>
      <c r="N2583" s="883"/>
      <c r="O2583" s="55">
        <v>719</v>
      </c>
      <c r="P2583" s="78">
        <v>0</v>
      </c>
    </row>
    <row r="2584" spans="9:16" ht="15.75" customHeight="1" thickBot="1">
      <c r="I2584" s="882"/>
      <c r="J2584" s="876"/>
      <c r="K2584" s="878"/>
      <c r="L2584" s="880"/>
      <c r="M2584" s="882"/>
      <c r="N2584" s="884"/>
      <c r="O2584" s="56">
        <v>721</v>
      </c>
      <c r="P2584" s="79">
        <f>+N2583-P2583</f>
        <v>0</v>
      </c>
    </row>
    <row r="2585" spans="9:16" ht="15" customHeight="1">
      <c r="I2585" s="881"/>
      <c r="J2585" s="875"/>
      <c r="K2585" s="877"/>
      <c r="L2585" s="879"/>
      <c r="M2585" s="881"/>
      <c r="N2585" s="883"/>
      <c r="O2585" s="55">
        <v>719</v>
      </c>
      <c r="P2585" s="78"/>
    </row>
    <row r="2586" spans="9:16" ht="15.75" customHeight="1" thickBot="1">
      <c r="I2586" s="882"/>
      <c r="J2586" s="876"/>
      <c r="K2586" s="878"/>
      <c r="L2586" s="880"/>
      <c r="M2586" s="882"/>
      <c r="N2586" s="884"/>
      <c r="O2586" s="56">
        <v>723</v>
      </c>
      <c r="P2586" s="79">
        <f>+N2585-P2585</f>
        <v>0</v>
      </c>
    </row>
    <row r="2587" spans="9:16" ht="16.5" thickBot="1">
      <c r="I2587" s="901" t="s">
        <v>102</v>
      </c>
      <c r="J2587" s="902"/>
      <c r="K2587" s="902"/>
      <c r="L2587" s="902"/>
      <c r="M2587" s="903"/>
      <c r="N2587" s="81">
        <f>SUM(N2577:N2586)</f>
        <v>200000</v>
      </c>
    </row>
    <row r="2588" spans="9:16" ht="16.5" thickBot="1">
      <c r="I2588" s="885" t="s">
        <v>103</v>
      </c>
      <c r="J2588" s="886"/>
      <c r="K2588" s="886"/>
      <c r="L2588" s="886"/>
      <c r="M2588" s="887"/>
      <c r="N2588" s="69">
        <f>+N2552</f>
        <v>413707597</v>
      </c>
      <c r="O2588" s="241" t="s">
        <v>561</v>
      </c>
      <c r="P2588" s="242"/>
    </row>
    <row r="2589" spans="9:16" ht="16.5" thickBot="1">
      <c r="I2589" s="888" t="s">
        <v>104</v>
      </c>
      <c r="J2589" s="889"/>
      <c r="K2589" s="889"/>
      <c r="L2589" s="889"/>
      <c r="M2589" s="890"/>
      <c r="N2589" s="183">
        <f>SUM(N2587:N2588)</f>
        <v>413907597</v>
      </c>
    </row>
    <row r="2590" spans="9:16">
      <c r="I2590" s="61"/>
      <c r="J2590" s="61"/>
      <c r="K2590" s="61"/>
      <c r="L2590" s="61"/>
      <c r="M2590" s="61"/>
    </row>
    <row r="2591" spans="9:16">
      <c r="I2591" s="51" t="s">
        <v>1124</v>
      </c>
    </row>
    <row r="2592" spans="9:16" ht="12.75" customHeight="1">
      <c r="N2592" s="139"/>
    </row>
    <row r="2593" spans="9:16">
      <c r="I2593" s="50" t="s">
        <v>105</v>
      </c>
      <c r="L2593" s="146"/>
      <c r="N2593" s="139"/>
    </row>
    <row r="2594" spans="9:16" ht="13.5" customHeight="1" thickBot="1"/>
    <row r="2595" spans="9:16" ht="15.75" thickBot="1">
      <c r="I2595" s="891" t="s">
        <v>106</v>
      </c>
      <c r="J2595" s="892"/>
      <c r="K2595" s="892"/>
      <c r="L2595" s="893"/>
      <c r="N2595" s="908" t="s">
        <v>1126</v>
      </c>
      <c r="O2595" s="908"/>
      <c r="P2595" s="908"/>
    </row>
    <row r="2596" spans="9:16" ht="30.75" thickBot="1">
      <c r="I2596" s="57" t="s">
        <v>100</v>
      </c>
      <c r="J2596" s="58" t="s">
        <v>108</v>
      </c>
      <c r="K2596" s="287" t="s">
        <v>109</v>
      </c>
      <c r="L2596" s="60" t="s">
        <v>110</v>
      </c>
    </row>
    <row r="2597" spans="9:16">
      <c r="I2597" s="71">
        <v>719</v>
      </c>
      <c r="J2597" s="73">
        <f>+P2585+P2583+P2581+P2579+P2577</f>
        <v>200000</v>
      </c>
      <c r="K2597" s="74">
        <f>+L2560</f>
        <v>25270000</v>
      </c>
      <c r="L2597" s="195">
        <f>+J2597+K2597</f>
        <v>25470000</v>
      </c>
    </row>
    <row r="2598" spans="9:16">
      <c r="I2598" s="72">
        <v>721</v>
      </c>
      <c r="J2598" s="80"/>
      <c r="K2598" s="74">
        <f>+L2561</f>
        <v>16720653</v>
      </c>
      <c r="L2598" s="195">
        <f>+J2598+K2598</f>
        <v>16720653</v>
      </c>
    </row>
    <row r="2599" spans="9:16">
      <c r="I2599" s="72">
        <v>722</v>
      </c>
      <c r="J2599" s="80"/>
      <c r="K2599" s="74">
        <f>+L2562</f>
        <v>2000000</v>
      </c>
      <c r="L2599" s="195">
        <f>+J2599+K2599</f>
        <v>2000000</v>
      </c>
    </row>
    <row r="2600" spans="9:16" ht="15.75">
      <c r="I2600" s="72">
        <v>723</v>
      </c>
      <c r="J2600" s="80"/>
      <c r="K2600" s="74">
        <f>+L2563</f>
        <v>368919444</v>
      </c>
      <c r="L2600" s="195">
        <f>+J2600+K2600</f>
        <v>368919444</v>
      </c>
      <c r="N2600" s="909" t="s">
        <v>1125</v>
      </c>
      <c r="O2600" s="909"/>
      <c r="P2600" s="909"/>
    </row>
    <row r="2601" spans="9:16" ht="16.5" thickBot="1">
      <c r="I2601" s="164" t="s">
        <v>1077</v>
      </c>
      <c r="J2601" s="165"/>
      <c r="K2601" s="74">
        <f>+L2564</f>
        <v>797500</v>
      </c>
      <c r="L2601" s="196">
        <f>+J2601+K2601</f>
        <v>797500</v>
      </c>
      <c r="N2601" s="52"/>
    </row>
    <row r="2602" spans="9:16" ht="16.5" thickBot="1">
      <c r="I2602" s="169"/>
      <c r="J2602" s="197">
        <f>SUM(J2597:J2601)</f>
        <v>200000</v>
      </c>
      <c r="K2602" s="197">
        <f>SUM(K2597:K2601)</f>
        <v>413707597</v>
      </c>
      <c r="L2602" s="198">
        <f>SUM(L2597:L2601)</f>
        <v>413907597</v>
      </c>
    </row>
    <row r="2603" spans="9:16" ht="16.5">
      <c r="I2603" s="49" t="s">
        <v>88</v>
      </c>
      <c r="J2603" s="50"/>
    </row>
    <row r="2604" spans="9:16">
      <c r="I2604" s="51" t="s">
        <v>89</v>
      </c>
    </row>
    <row r="2605" spans="9:16">
      <c r="I2605" s="51" t="s">
        <v>90</v>
      </c>
    </row>
    <row r="2606" spans="9:16">
      <c r="I2606" s="51" t="s">
        <v>91</v>
      </c>
    </row>
    <row r="2607" spans="9:16" ht="12" customHeight="1">
      <c r="I2607" s="50"/>
      <c r="J2607" s="50"/>
    </row>
    <row r="2608" spans="9:16" ht="15.75">
      <c r="I2608" s="260" t="s">
        <v>1085</v>
      </c>
      <c r="O2608" s="52"/>
    </row>
    <row r="2609" spans="9:16" ht="15.75">
      <c r="I2609" s="53" t="s">
        <v>535</v>
      </c>
      <c r="O2609" s="53"/>
    </row>
    <row r="2610" spans="9:16" ht="15" customHeight="1">
      <c r="I2610" s="894" t="s">
        <v>1078</v>
      </c>
      <c r="J2610" s="894"/>
      <c r="K2610" s="894"/>
      <c r="L2610" s="894"/>
      <c r="M2610" s="894"/>
      <c r="N2610" s="894"/>
      <c r="O2610" s="894"/>
      <c r="P2610" s="894"/>
    </row>
    <row r="2611" spans="9:16" ht="13.5" customHeight="1" thickBot="1"/>
    <row r="2612" spans="9:16">
      <c r="I2612" s="895" t="s">
        <v>94</v>
      </c>
      <c r="J2612" s="897" t="s">
        <v>95</v>
      </c>
      <c r="K2612" s="897" t="s">
        <v>96</v>
      </c>
      <c r="L2612" s="897" t="s">
        <v>3</v>
      </c>
      <c r="M2612" s="897" t="s">
        <v>97</v>
      </c>
      <c r="N2612" s="897" t="s">
        <v>98</v>
      </c>
      <c r="O2612" s="897" t="s">
        <v>99</v>
      </c>
      <c r="P2612" s="899"/>
    </row>
    <row r="2613" spans="9:16" ht="15.75" thickBot="1">
      <c r="I2613" s="896"/>
      <c r="J2613" s="898"/>
      <c r="K2613" s="898"/>
      <c r="L2613" s="898"/>
      <c r="M2613" s="898"/>
      <c r="N2613" s="898"/>
      <c r="O2613" s="240" t="s">
        <v>100</v>
      </c>
      <c r="P2613" s="182" t="s">
        <v>101</v>
      </c>
    </row>
    <row r="2614" spans="9:16" ht="12.75" customHeight="1">
      <c r="I2614" s="881">
        <v>276</v>
      </c>
      <c r="J2614" s="875">
        <v>42650</v>
      </c>
      <c r="K2614" s="877" t="s">
        <v>350</v>
      </c>
      <c r="L2614" s="879" t="s">
        <v>1127</v>
      </c>
      <c r="M2614" s="881" t="s">
        <v>148</v>
      </c>
      <c r="N2614" s="883">
        <v>598000</v>
      </c>
      <c r="O2614" s="55">
        <v>719</v>
      </c>
      <c r="P2614" s="78">
        <v>460000</v>
      </c>
    </row>
    <row r="2615" spans="9:16" ht="12" customHeight="1" thickBot="1">
      <c r="I2615" s="882"/>
      <c r="J2615" s="876"/>
      <c r="K2615" s="878"/>
      <c r="L2615" s="880"/>
      <c r="M2615" s="882"/>
      <c r="N2615" s="884"/>
      <c r="O2615" s="56">
        <v>721</v>
      </c>
      <c r="P2615" s="351">
        <f>+N2614-P2614</f>
        <v>138000</v>
      </c>
    </row>
    <row r="2616" spans="9:16" ht="12.75" customHeight="1">
      <c r="I2616" s="881">
        <v>277</v>
      </c>
      <c r="J2616" s="875">
        <v>42650</v>
      </c>
      <c r="K2616" s="877" t="s">
        <v>350</v>
      </c>
      <c r="L2616" s="879" t="s">
        <v>1038</v>
      </c>
      <c r="M2616" s="881" t="s">
        <v>148</v>
      </c>
      <c r="N2616" s="883">
        <v>1521000</v>
      </c>
      <c r="O2616" s="55">
        <v>719</v>
      </c>
      <c r="P2616" s="78">
        <v>1170000</v>
      </c>
    </row>
    <row r="2617" spans="9:16" ht="12" customHeight="1" thickBot="1">
      <c r="I2617" s="882"/>
      <c r="J2617" s="876"/>
      <c r="K2617" s="878"/>
      <c r="L2617" s="880"/>
      <c r="M2617" s="882"/>
      <c r="N2617" s="884"/>
      <c r="O2617" s="56">
        <v>721</v>
      </c>
      <c r="P2617" s="352">
        <f>+N2616-P2616</f>
        <v>351000</v>
      </c>
    </row>
    <row r="2618" spans="9:16" ht="15" customHeight="1">
      <c r="I2618" s="881">
        <v>278</v>
      </c>
      <c r="J2618" s="875">
        <v>42650</v>
      </c>
      <c r="K2618" s="877" t="s">
        <v>350</v>
      </c>
      <c r="L2618" s="879" t="s">
        <v>1122</v>
      </c>
      <c r="M2618" s="881" t="s">
        <v>148</v>
      </c>
      <c r="N2618" s="883">
        <v>923000</v>
      </c>
      <c r="O2618" s="55">
        <v>719</v>
      </c>
      <c r="P2618" s="78">
        <v>710000</v>
      </c>
    </row>
    <row r="2619" spans="9:16" ht="12" customHeight="1" thickBot="1">
      <c r="I2619" s="882"/>
      <c r="J2619" s="876"/>
      <c r="K2619" s="878"/>
      <c r="L2619" s="880"/>
      <c r="M2619" s="882"/>
      <c r="N2619" s="884"/>
      <c r="O2619" s="56">
        <v>721</v>
      </c>
      <c r="P2619" s="352">
        <f>+N2618-P2618</f>
        <v>213000</v>
      </c>
    </row>
    <row r="2620" spans="9:16" ht="15" customHeight="1">
      <c r="I2620" s="881">
        <v>279</v>
      </c>
      <c r="J2620" s="875">
        <v>42650</v>
      </c>
      <c r="K2620" s="877" t="s">
        <v>350</v>
      </c>
      <c r="L2620" s="879" t="s">
        <v>1122</v>
      </c>
      <c r="M2620" s="881" t="s">
        <v>148</v>
      </c>
      <c r="N2620" s="883">
        <v>715000</v>
      </c>
      <c r="O2620" s="55">
        <v>719</v>
      </c>
      <c r="P2620" s="78">
        <v>550000</v>
      </c>
    </row>
    <row r="2621" spans="9:16" ht="13.5" customHeight="1" thickBot="1">
      <c r="I2621" s="882"/>
      <c r="J2621" s="876"/>
      <c r="K2621" s="878"/>
      <c r="L2621" s="880"/>
      <c r="M2621" s="882"/>
      <c r="N2621" s="884"/>
      <c r="O2621" s="56">
        <v>721</v>
      </c>
      <c r="P2621" s="79">
        <f>+N2620-P2620</f>
        <v>165000</v>
      </c>
    </row>
    <row r="2622" spans="9:16" ht="15" customHeight="1">
      <c r="I2622" s="881">
        <v>280</v>
      </c>
      <c r="J2622" s="875">
        <v>42650</v>
      </c>
      <c r="K2622" s="877" t="s">
        <v>350</v>
      </c>
      <c r="L2622" s="879" t="s">
        <v>1122</v>
      </c>
      <c r="M2622" s="881" t="s">
        <v>148</v>
      </c>
      <c r="N2622" s="883">
        <v>879000</v>
      </c>
      <c r="O2622" s="55">
        <v>719</v>
      </c>
      <c r="P2622" s="78">
        <v>720000</v>
      </c>
    </row>
    <row r="2623" spans="9:16" ht="15" customHeight="1" thickBot="1">
      <c r="I2623" s="882"/>
      <c r="J2623" s="876"/>
      <c r="K2623" s="878"/>
      <c r="L2623" s="880"/>
      <c r="M2623" s="882"/>
      <c r="N2623" s="884"/>
      <c r="O2623" s="56">
        <v>721</v>
      </c>
      <c r="P2623" s="79">
        <f>+N2622-P2622</f>
        <v>159000</v>
      </c>
    </row>
    <row r="2624" spans="9:16" ht="12.75" customHeight="1">
      <c r="I2624" s="881">
        <v>281</v>
      </c>
      <c r="J2624" s="875">
        <v>42650</v>
      </c>
      <c r="K2624" s="877" t="s">
        <v>350</v>
      </c>
      <c r="L2624" s="879" t="s">
        <v>1122</v>
      </c>
      <c r="M2624" s="881" t="s">
        <v>148</v>
      </c>
      <c r="N2624" s="883">
        <v>300000</v>
      </c>
      <c r="O2624" s="55">
        <v>719</v>
      </c>
      <c r="P2624" s="78">
        <v>300000</v>
      </c>
    </row>
    <row r="2625" spans="9:16" ht="13.5" customHeight="1" thickBot="1">
      <c r="I2625" s="882"/>
      <c r="J2625" s="876"/>
      <c r="K2625" s="878"/>
      <c r="L2625" s="880"/>
      <c r="M2625" s="882"/>
      <c r="N2625" s="884"/>
      <c r="O2625" s="56">
        <v>723</v>
      </c>
      <c r="P2625" s="79">
        <f>+N2624-P2624</f>
        <v>0</v>
      </c>
    </row>
    <row r="2626" spans="9:16" ht="16.5" thickBot="1">
      <c r="I2626" s="901" t="s">
        <v>102</v>
      </c>
      <c r="J2626" s="902"/>
      <c r="K2626" s="902"/>
      <c r="L2626" s="902"/>
      <c r="M2626" s="903"/>
      <c r="N2626" s="81">
        <f>SUM(N2614:N2625)</f>
        <v>4936000</v>
      </c>
    </row>
    <row r="2627" spans="9:16" ht="16.5" thickBot="1">
      <c r="I2627" s="885" t="s">
        <v>103</v>
      </c>
      <c r="J2627" s="886"/>
      <c r="K2627" s="886"/>
      <c r="L2627" s="886"/>
      <c r="M2627" s="887"/>
      <c r="N2627" s="69">
        <f>+N2589</f>
        <v>413907597</v>
      </c>
      <c r="O2627" s="241" t="s">
        <v>561</v>
      </c>
      <c r="P2627" s="242">
        <v>6648</v>
      </c>
    </row>
    <row r="2628" spans="9:16" ht="16.5" thickBot="1">
      <c r="I2628" s="888" t="s">
        <v>104</v>
      </c>
      <c r="J2628" s="889"/>
      <c r="K2628" s="889"/>
      <c r="L2628" s="889"/>
      <c r="M2628" s="890"/>
      <c r="N2628" s="183">
        <f>SUM(N2626:N2627)</f>
        <v>418843597</v>
      </c>
    </row>
    <row r="2629" spans="9:16" ht="13.5" customHeight="1">
      <c r="I2629" s="61"/>
      <c r="J2629" s="61"/>
      <c r="K2629" s="61"/>
      <c r="L2629" s="61"/>
      <c r="M2629" s="61"/>
    </row>
    <row r="2630" spans="9:16">
      <c r="I2630" s="51" t="s">
        <v>1158</v>
      </c>
    </row>
    <row r="2631" spans="9:16" ht="10.5" customHeight="1">
      <c r="N2631" s="139"/>
    </row>
    <row r="2632" spans="9:16">
      <c r="I2632" s="50" t="s">
        <v>105</v>
      </c>
      <c r="L2632" s="146"/>
      <c r="N2632" s="139"/>
    </row>
    <row r="2633" spans="9:16" ht="10.5" customHeight="1" thickBot="1"/>
    <row r="2634" spans="9:16" ht="15.75" thickBot="1">
      <c r="I2634" s="891" t="s">
        <v>106</v>
      </c>
      <c r="J2634" s="892"/>
      <c r="K2634" s="892"/>
      <c r="L2634" s="893"/>
      <c r="N2634" s="50" t="s">
        <v>288</v>
      </c>
    </row>
    <row r="2635" spans="9:16" ht="30.75" thickBot="1">
      <c r="I2635" s="57" t="s">
        <v>100</v>
      </c>
      <c r="J2635" s="58" t="s">
        <v>108</v>
      </c>
      <c r="K2635" s="287" t="s">
        <v>109</v>
      </c>
      <c r="L2635" s="60" t="s">
        <v>110</v>
      </c>
    </row>
    <row r="2636" spans="9:16">
      <c r="I2636" s="71">
        <v>719</v>
      </c>
      <c r="J2636" s="73">
        <f>+P2614+P2616+P2618+P2620+P2622+P2624</f>
        <v>3910000</v>
      </c>
      <c r="K2636" s="74">
        <f>+L2597</f>
        <v>25470000</v>
      </c>
      <c r="L2636" s="195">
        <f>+J2636+K2636</f>
        <v>29380000</v>
      </c>
    </row>
    <row r="2637" spans="9:16">
      <c r="I2637" s="72">
        <v>721</v>
      </c>
      <c r="J2637" s="80">
        <f>+P2615+P2617+P2619+P2621+P2625+P2623</f>
        <v>1026000</v>
      </c>
      <c r="K2637" s="74">
        <f>+L2598</f>
        <v>16720653</v>
      </c>
      <c r="L2637" s="195">
        <f>+J2637+K2637</f>
        <v>17746653</v>
      </c>
    </row>
    <row r="2638" spans="9:16">
      <c r="I2638" s="72">
        <v>722</v>
      </c>
      <c r="J2638" s="80"/>
      <c r="K2638" s="74">
        <f>+L2599</f>
        <v>2000000</v>
      </c>
      <c r="L2638" s="195">
        <f>+J2638+K2638</f>
        <v>2000000</v>
      </c>
    </row>
    <row r="2639" spans="9:16" ht="15.75">
      <c r="I2639" s="72">
        <v>723</v>
      </c>
      <c r="J2639" s="80"/>
      <c r="K2639" s="74">
        <f>+L2600</f>
        <v>368919444</v>
      </c>
      <c r="L2639" s="195">
        <f>+J2639+K2639</f>
        <v>368919444</v>
      </c>
      <c r="N2639" s="193" t="s">
        <v>289</v>
      </c>
      <c r="O2639" s="175"/>
    </row>
    <row r="2640" spans="9:16" ht="16.5" thickBot="1">
      <c r="I2640" s="164" t="s">
        <v>1077</v>
      </c>
      <c r="J2640" s="165"/>
      <c r="K2640" s="74">
        <f>+L2601</f>
        <v>797500</v>
      </c>
      <c r="L2640" s="196">
        <f>+J2640+K2640</f>
        <v>797500</v>
      </c>
      <c r="N2640" s="52"/>
    </row>
    <row r="2641" spans="9:16" ht="16.5" thickBot="1">
      <c r="I2641" s="169"/>
      <c r="J2641" s="197">
        <f>SUM(J2636:J2640)</f>
        <v>4936000</v>
      </c>
      <c r="K2641" s="197">
        <f>SUM(K2636:K2640)</f>
        <v>413907597</v>
      </c>
      <c r="L2641" s="198">
        <f>SUM(L2636:L2640)</f>
        <v>418843597</v>
      </c>
    </row>
    <row r="2642" spans="9:16" ht="16.5">
      <c r="I2642" s="49" t="s">
        <v>88</v>
      </c>
      <c r="J2642" s="50"/>
    </row>
    <row r="2643" spans="9:16">
      <c r="I2643" s="51" t="s">
        <v>89</v>
      </c>
    </row>
    <row r="2644" spans="9:16">
      <c r="I2644" s="51" t="s">
        <v>90</v>
      </c>
    </row>
    <row r="2645" spans="9:16">
      <c r="I2645" s="51" t="s">
        <v>91</v>
      </c>
    </row>
    <row r="2646" spans="9:16" ht="14.25" customHeight="1">
      <c r="I2646" s="50"/>
      <c r="J2646" s="50"/>
    </row>
    <row r="2647" spans="9:16" ht="15.75">
      <c r="I2647" s="260" t="s">
        <v>1087</v>
      </c>
      <c r="O2647" s="52"/>
    </row>
    <row r="2648" spans="9:16" ht="15.75">
      <c r="I2648" s="53" t="s">
        <v>535</v>
      </c>
      <c r="O2648" s="53"/>
    </row>
    <row r="2649" spans="9:16" ht="16.5">
      <c r="I2649" s="894" t="s">
        <v>1078</v>
      </c>
      <c r="J2649" s="894"/>
      <c r="K2649" s="894"/>
      <c r="L2649" s="894"/>
      <c r="M2649" s="894"/>
      <c r="N2649" s="894"/>
      <c r="O2649" s="894"/>
      <c r="P2649" s="894"/>
    </row>
    <row r="2650" spans="9:16" ht="15.75" thickBot="1"/>
    <row r="2651" spans="9:16">
      <c r="I2651" s="895" t="s">
        <v>94</v>
      </c>
      <c r="J2651" s="897" t="s">
        <v>95</v>
      </c>
      <c r="K2651" s="897" t="s">
        <v>96</v>
      </c>
      <c r="L2651" s="897" t="s">
        <v>3</v>
      </c>
      <c r="M2651" s="897" t="s">
        <v>97</v>
      </c>
      <c r="N2651" s="897" t="s">
        <v>98</v>
      </c>
      <c r="O2651" s="897" t="s">
        <v>99</v>
      </c>
      <c r="P2651" s="899"/>
    </row>
    <row r="2652" spans="9:16" ht="15.75" thickBot="1">
      <c r="I2652" s="896"/>
      <c r="J2652" s="898"/>
      <c r="K2652" s="898"/>
      <c r="L2652" s="898"/>
      <c r="M2652" s="898"/>
      <c r="N2652" s="898"/>
      <c r="O2652" s="240" t="s">
        <v>100</v>
      </c>
      <c r="P2652" s="182" t="s">
        <v>101</v>
      </c>
    </row>
    <row r="2653" spans="9:16" ht="15" customHeight="1">
      <c r="I2653" s="881">
        <v>282</v>
      </c>
      <c r="J2653" s="875">
        <v>42655</v>
      </c>
      <c r="K2653" s="877" t="s">
        <v>267</v>
      </c>
      <c r="L2653" s="879" t="s">
        <v>1129</v>
      </c>
      <c r="M2653" s="881" t="s">
        <v>148</v>
      </c>
      <c r="N2653" s="883">
        <v>26000</v>
      </c>
      <c r="O2653" s="55">
        <v>719</v>
      </c>
      <c r="P2653" s="78">
        <v>20000</v>
      </c>
    </row>
    <row r="2654" spans="9:16" ht="15.75" customHeight="1" thickBot="1">
      <c r="I2654" s="882"/>
      <c r="J2654" s="876"/>
      <c r="K2654" s="878"/>
      <c r="L2654" s="880"/>
      <c r="M2654" s="882"/>
      <c r="N2654" s="884"/>
      <c r="O2654" s="56">
        <v>721</v>
      </c>
      <c r="P2654" s="79">
        <f>+N2653-P2653</f>
        <v>6000</v>
      </c>
    </row>
    <row r="2655" spans="9:16" ht="15" customHeight="1">
      <c r="I2655" s="881">
        <v>283</v>
      </c>
      <c r="J2655" s="875">
        <v>42655</v>
      </c>
      <c r="K2655" s="877" t="s">
        <v>267</v>
      </c>
      <c r="L2655" s="879" t="s">
        <v>1130</v>
      </c>
      <c r="M2655" s="881" t="s">
        <v>148</v>
      </c>
      <c r="N2655" s="883">
        <v>130000</v>
      </c>
      <c r="O2655" s="55">
        <v>719</v>
      </c>
      <c r="P2655" s="78">
        <v>100000</v>
      </c>
    </row>
    <row r="2656" spans="9:16" ht="15.75" customHeight="1" thickBot="1">
      <c r="I2656" s="882"/>
      <c r="J2656" s="876"/>
      <c r="K2656" s="878"/>
      <c r="L2656" s="880"/>
      <c r="M2656" s="882"/>
      <c r="N2656" s="884"/>
      <c r="O2656" s="56">
        <v>721</v>
      </c>
      <c r="P2656" s="79">
        <f>+N2655-P2655</f>
        <v>30000</v>
      </c>
    </row>
    <row r="2657" spans="9:16" ht="15" customHeight="1">
      <c r="I2657" s="881">
        <v>284</v>
      </c>
      <c r="J2657" s="875">
        <v>42655</v>
      </c>
      <c r="K2657" s="877" t="s">
        <v>267</v>
      </c>
      <c r="L2657" s="879" t="s">
        <v>1131</v>
      </c>
      <c r="M2657" s="881" t="s">
        <v>148</v>
      </c>
      <c r="N2657" s="883">
        <v>130000</v>
      </c>
      <c r="O2657" s="55">
        <v>719</v>
      </c>
      <c r="P2657" s="78">
        <v>100000</v>
      </c>
    </row>
    <row r="2658" spans="9:16" ht="15.75" customHeight="1" thickBot="1">
      <c r="I2658" s="882"/>
      <c r="J2658" s="876"/>
      <c r="K2658" s="878"/>
      <c r="L2658" s="880"/>
      <c r="M2658" s="882"/>
      <c r="N2658" s="884"/>
      <c r="O2658" s="56">
        <v>721</v>
      </c>
      <c r="P2658" s="79">
        <f>+N2657-P2657</f>
        <v>30000</v>
      </c>
    </row>
    <row r="2659" spans="9:16" ht="15" customHeight="1">
      <c r="I2659" s="881">
        <v>285</v>
      </c>
      <c r="J2659" s="875">
        <v>42655</v>
      </c>
      <c r="K2659" s="877" t="s">
        <v>267</v>
      </c>
      <c r="L2659" s="879" t="s">
        <v>1132</v>
      </c>
      <c r="M2659" s="881" t="s">
        <v>148</v>
      </c>
      <c r="N2659" s="883">
        <v>30000</v>
      </c>
      <c r="O2659" s="55">
        <v>719</v>
      </c>
      <c r="P2659" s="78">
        <v>30000</v>
      </c>
    </row>
    <row r="2660" spans="9:16" ht="15.75" customHeight="1" thickBot="1">
      <c r="I2660" s="882"/>
      <c r="J2660" s="876"/>
      <c r="K2660" s="878"/>
      <c r="L2660" s="880"/>
      <c r="M2660" s="882"/>
      <c r="N2660" s="884"/>
      <c r="O2660" s="56">
        <v>721</v>
      </c>
      <c r="P2660" s="79">
        <f>+N2659-P2659</f>
        <v>0</v>
      </c>
    </row>
    <row r="2661" spans="9:16" ht="13.5" customHeight="1">
      <c r="I2661" s="881"/>
      <c r="J2661" s="875"/>
      <c r="K2661" s="877"/>
      <c r="L2661" s="879"/>
      <c r="M2661" s="881"/>
      <c r="N2661" s="883"/>
      <c r="O2661" s="55">
        <v>719</v>
      </c>
      <c r="P2661" s="78"/>
    </row>
    <row r="2662" spans="9:16" ht="13.5" customHeight="1" thickBot="1">
      <c r="I2662" s="882"/>
      <c r="J2662" s="876"/>
      <c r="K2662" s="878"/>
      <c r="L2662" s="880"/>
      <c r="M2662" s="882"/>
      <c r="N2662" s="884"/>
      <c r="O2662" s="56">
        <v>723</v>
      </c>
      <c r="P2662" s="79">
        <f>+N2661-P2661</f>
        <v>0</v>
      </c>
    </row>
    <row r="2663" spans="9:16" ht="16.5" thickBot="1">
      <c r="I2663" s="901" t="s">
        <v>102</v>
      </c>
      <c r="J2663" s="902"/>
      <c r="K2663" s="902"/>
      <c r="L2663" s="902"/>
      <c r="M2663" s="903"/>
      <c r="N2663" s="81">
        <f>SUM(N2653:N2662)</f>
        <v>316000</v>
      </c>
    </row>
    <row r="2664" spans="9:16" ht="16.5" thickBot="1">
      <c r="I2664" s="885" t="s">
        <v>103</v>
      </c>
      <c r="J2664" s="886"/>
      <c r="K2664" s="886"/>
      <c r="L2664" s="886"/>
      <c r="M2664" s="887"/>
      <c r="N2664" s="69">
        <f>+N2628</f>
        <v>418843597</v>
      </c>
      <c r="O2664" s="241" t="s">
        <v>561</v>
      </c>
      <c r="P2664" s="242"/>
    </row>
    <row r="2665" spans="9:16" ht="16.5" thickBot="1">
      <c r="I2665" s="888" t="s">
        <v>104</v>
      </c>
      <c r="J2665" s="889"/>
      <c r="K2665" s="889"/>
      <c r="L2665" s="889"/>
      <c r="M2665" s="890"/>
      <c r="N2665" s="183">
        <f>SUM(N2663:N2664)</f>
        <v>419159597</v>
      </c>
    </row>
    <row r="2666" spans="9:16">
      <c r="I2666" s="61"/>
      <c r="J2666" s="61"/>
      <c r="K2666" s="61"/>
      <c r="L2666" s="61"/>
      <c r="M2666" s="61"/>
    </row>
    <row r="2667" spans="9:16">
      <c r="I2667" s="51" t="s">
        <v>1159</v>
      </c>
    </row>
    <row r="2668" spans="9:16" ht="12.75" customHeight="1">
      <c r="N2668" s="139"/>
    </row>
    <row r="2669" spans="9:16">
      <c r="I2669" s="50" t="s">
        <v>105</v>
      </c>
      <c r="L2669" s="146"/>
      <c r="N2669" s="139"/>
    </row>
    <row r="2670" spans="9:16" ht="13.5" customHeight="1" thickBot="1"/>
    <row r="2671" spans="9:16" ht="15.75" thickBot="1">
      <c r="I2671" s="891" t="s">
        <v>106</v>
      </c>
      <c r="J2671" s="892"/>
      <c r="K2671" s="892"/>
      <c r="L2671" s="893"/>
      <c r="N2671" s="50" t="s">
        <v>288</v>
      </c>
    </row>
    <row r="2672" spans="9:16" ht="30.75" thickBot="1">
      <c r="I2672" s="57" t="s">
        <v>100</v>
      </c>
      <c r="J2672" s="58" t="s">
        <v>108</v>
      </c>
      <c r="K2672" s="287" t="s">
        <v>109</v>
      </c>
      <c r="L2672" s="60" t="s">
        <v>110</v>
      </c>
    </row>
    <row r="2673" spans="9:16">
      <c r="I2673" s="71">
        <v>719</v>
      </c>
      <c r="J2673" s="73">
        <f>+P2653+P2655+P2657+P2659</f>
        <v>250000</v>
      </c>
      <c r="K2673" s="74">
        <f>+L2636</f>
        <v>29380000</v>
      </c>
      <c r="L2673" s="195">
        <f>+J2673+K2673</f>
        <v>29630000</v>
      </c>
    </row>
    <row r="2674" spans="9:16">
      <c r="I2674" s="72">
        <v>721</v>
      </c>
      <c r="J2674" s="80">
        <f>+P2654+P2656+P2658+P2660+P2662</f>
        <v>66000</v>
      </c>
      <c r="K2674" s="74">
        <f>+L2637</f>
        <v>17746653</v>
      </c>
      <c r="L2674" s="195">
        <f>+J2674+K2674</f>
        <v>17812653</v>
      </c>
    </row>
    <row r="2675" spans="9:16">
      <c r="I2675" s="72">
        <v>722</v>
      </c>
      <c r="J2675" s="80"/>
      <c r="K2675" s="74">
        <f>+L2638</f>
        <v>2000000</v>
      </c>
      <c r="L2675" s="195">
        <f>+J2675+K2675</f>
        <v>2000000</v>
      </c>
    </row>
    <row r="2676" spans="9:16" ht="15.75">
      <c r="I2676" s="72">
        <v>723</v>
      </c>
      <c r="J2676" s="80"/>
      <c r="K2676" s="74">
        <f>+L2639</f>
        <v>368919444</v>
      </c>
      <c r="L2676" s="195">
        <f>+J2676+K2676</f>
        <v>368919444</v>
      </c>
      <c r="N2676" s="193" t="s">
        <v>289</v>
      </c>
      <c r="O2676" s="175"/>
    </row>
    <row r="2677" spans="9:16" ht="16.5" thickBot="1">
      <c r="I2677" s="164" t="s">
        <v>1077</v>
      </c>
      <c r="J2677" s="165"/>
      <c r="K2677" s="74">
        <f>+L2640</f>
        <v>797500</v>
      </c>
      <c r="L2677" s="196">
        <f>+J2677+K2677</f>
        <v>797500</v>
      </c>
      <c r="N2677" s="52"/>
    </row>
    <row r="2678" spans="9:16" ht="16.5" thickBot="1">
      <c r="I2678" s="169"/>
      <c r="J2678" s="197">
        <f>SUM(J2673:J2677)</f>
        <v>316000</v>
      </c>
      <c r="K2678" s="197">
        <f>SUM(K2673:K2677)</f>
        <v>418843597</v>
      </c>
      <c r="L2678" s="198">
        <f>SUM(L2673:L2677)</f>
        <v>419159597</v>
      </c>
    </row>
    <row r="2679" spans="9:16" ht="16.5">
      <c r="I2679" s="49" t="s">
        <v>88</v>
      </c>
      <c r="J2679" s="50"/>
    </row>
    <row r="2680" spans="9:16">
      <c r="I2680" s="51" t="s">
        <v>89</v>
      </c>
    </row>
    <row r="2681" spans="9:16">
      <c r="I2681" s="51" t="s">
        <v>90</v>
      </c>
    </row>
    <row r="2682" spans="9:16">
      <c r="I2682" s="51" t="s">
        <v>91</v>
      </c>
    </row>
    <row r="2683" spans="9:16" ht="10.5" customHeight="1">
      <c r="I2683" s="50"/>
      <c r="J2683" s="50"/>
    </row>
    <row r="2684" spans="9:16" ht="15.75">
      <c r="I2684" s="260" t="s">
        <v>1157</v>
      </c>
      <c r="O2684" s="52"/>
    </row>
    <row r="2685" spans="9:16" ht="15.75">
      <c r="I2685" s="53" t="s">
        <v>535</v>
      </c>
      <c r="O2685" s="53"/>
    </row>
    <row r="2686" spans="9:16" ht="16.5">
      <c r="I2686" s="894" t="s">
        <v>1078</v>
      </c>
      <c r="J2686" s="894"/>
      <c r="K2686" s="894"/>
      <c r="L2686" s="894"/>
      <c r="M2686" s="894"/>
      <c r="N2686" s="894"/>
      <c r="O2686" s="894"/>
      <c r="P2686" s="894"/>
    </row>
    <row r="2687" spans="9:16" ht="15.75" thickBot="1"/>
    <row r="2688" spans="9:16">
      <c r="I2688" s="895" t="s">
        <v>94</v>
      </c>
      <c r="J2688" s="897" t="s">
        <v>95</v>
      </c>
      <c r="K2688" s="897" t="s">
        <v>96</v>
      </c>
      <c r="L2688" s="897" t="s">
        <v>3</v>
      </c>
      <c r="M2688" s="897" t="s">
        <v>97</v>
      </c>
      <c r="N2688" s="897" t="s">
        <v>98</v>
      </c>
      <c r="O2688" s="897" t="s">
        <v>99</v>
      </c>
      <c r="P2688" s="899"/>
    </row>
    <row r="2689" spans="9:16" ht="15.75" thickBot="1">
      <c r="I2689" s="896"/>
      <c r="J2689" s="898"/>
      <c r="K2689" s="898"/>
      <c r="L2689" s="898"/>
      <c r="M2689" s="898"/>
      <c r="N2689" s="898"/>
      <c r="O2689" s="240" t="s">
        <v>100</v>
      </c>
      <c r="P2689" s="182" t="s">
        <v>101</v>
      </c>
    </row>
    <row r="2690" spans="9:16">
      <c r="I2690" s="881">
        <v>286</v>
      </c>
      <c r="J2690" s="875">
        <v>42655</v>
      </c>
      <c r="K2690" s="877" t="s">
        <v>472</v>
      </c>
      <c r="L2690" s="879" t="s">
        <v>1160</v>
      </c>
      <c r="M2690" s="881" t="s">
        <v>148</v>
      </c>
      <c r="N2690" s="883">
        <v>208000</v>
      </c>
      <c r="O2690" s="55">
        <v>719</v>
      </c>
      <c r="P2690" s="78">
        <v>160000</v>
      </c>
    </row>
    <row r="2691" spans="9:16" ht="15.75" thickBot="1">
      <c r="I2691" s="882"/>
      <c r="J2691" s="876"/>
      <c r="K2691" s="878"/>
      <c r="L2691" s="880"/>
      <c r="M2691" s="882"/>
      <c r="N2691" s="884"/>
      <c r="O2691" s="56">
        <v>721</v>
      </c>
      <c r="P2691" s="79">
        <f>+N2690-P2690</f>
        <v>48000</v>
      </c>
    </row>
    <row r="2692" spans="9:16">
      <c r="I2692" s="881">
        <v>287</v>
      </c>
      <c r="J2692" s="875">
        <v>42655</v>
      </c>
      <c r="K2692" s="877" t="s">
        <v>472</v>
      </c>
      <c r="L2692" s="879" t="s">
        <v>1133</v>
      </c>
      <c r="M2692" s="881" t="s">
        <v>148</v>
      </c>
      <c r="N2692" s="883">
        <v>390000</v>
      </c>
      <c r="O2692" s="55">
        <v>719</v>
      </c>
      <c r="P2692" s="78">
        <v>300000</v>
      </c>
    </row>
    <row r="2693" spans="9:16" ht="15.75" thickBot="1">
      <c r="I2693" s="882"/>
      <c r="J2693" s="876"/>
      <c r="K2693" s="878"/>
      <c r="L2693" s="880"/>
      <c r="M2693" s="882"/>
      <c r="N2693" s="884"/>
      <c r="O2693" s="56">
        <v>721</v>
      </c>
      <c r="P2693" s="79">
        <f>+N2692-P2692</f>
        <v>90000</v>
      </c>
    </row>
    <row r="2694" spans="9:16">
      <c r="I2694" s="881">
        <v>288</v>
      </c>
      <c r="J2694" s="875">
        <v>42655</v>
      </c>
      <c r="K2694" s="877" t="s">
        <v>472</v>
      </c>
      <c r="L2694" s="879" t="s">
        <v>1135</v>
      </c>
      <c r="M2694" s="881" t="s">
        <v>148</v>
      </c>
      <c r="N2694" s="883">
        <v>286000</v>
      </c>
      <c r="O2694" s="55">
        <v>719</v>
      </c>
      <c r="P2694" s="78">
        <v>220000</v>
      </c>
    </row>
    <row r="2695" spans="9:16" ht="15.75" thickBot="1">
      <c r="I2695" s="882"/>
      <c r="J2695" s="876"/>
      <c r="K2695" s="878"/>
      <c r="L2695" s="880"/>
      <c r="M2695" s="882"/>
      <c r="N2695" s="884"/>
      <c r="O2695" s="56">
        <v>721</v>
      </c>
      <c r="P2695" s="79">
        <f>+N2694-P2694</f>
        <v>66000</v>
      </c>
    </row>
    <row r="2696" spans="9:16">
      <c r="I2696" s="881">
        <v>289</v>
      </c>
      <c r="J2696" s="875">
        <v>42655</v>
      </c>
      <c r="K2696" s="877" t="s">
        <v>472</v>
      </c>
      <c r="L2696" s="879" t="s">
        <v>1128</v>
      </c>
      <c r="M2696" s="881" t="s">
        <v>148</v>
      </c>
      <c r="N2696" s="883">
        <v>100000</v>
      </c>
      <c r="O2696" s="55">
        <v>719</v>
      </c>
      <c r="P2696" s="78">
        <v>100000</v>
      </c>
    </row>
    <row r="2697" spans="9:16" ht="15.75" thickBot="1">
      <c r="I2697" s="882"/>
      <c r="J2697" s="876"/>
      <c r="K2697" s="878"/>
      <c r="L2697" s="880"/>
      <c r="M2697" s="882"/>
      <c r="N2697" s="884"/>
      <c r="O2697" s="56">
        <v>721</v>
      </c>
      <c r="P2697" s="79">
        <f>+N2696-P2696</f>
        <v>0</v>
      </c>
    </row>
    <row r="2698" spans="9:16">
      <c r="I2698" s="881"/>
      <c r="J2698" s="875"/>
      <c r="K2698" s="877"/>
      <c r="L2698" s="879"/>
      <c r="M2698" s="881"/>
      <c r="N2698" s="883"/>
      <c r="O2698" s="55">
        <v>719</v>
      </c>
      <c r="P2698" s="78"/>
    </row>
    <row r="2699" spans="9:16" ht="15.75" thickBot="1">
      <c r="I2699" s="882"/>
      <c r="J2699" s="876"/>
      <c r="K2699" s="878"/>
      <c r="L2699" s="880"/>
      <c r="M2699" s="882"/>
      <c r="N2699" s="884"/>
      <c r="O2699" s="56">
        <v>721</v>
      </c>
      <c r="P2699" s="79">
        <f>+N2698-P2698</f>
        <v>0</v>
      </c>
    </row>
    <row r="2700" spans="9:16" ht="16.5" thickBot="1">
      <c r="I2700" s="901" t="s">
        <v>102</v>
      </c>
      <c r="J2700" s="902"/>
      <c r="K2700" s="902"/>
      <c r="L2700" s="902"/>
      <c r="M2700" s="903"/>
      <c r="N2700" s="81">
        <f>SUM(N2690:N2699)</f>
        <v>984000</v>
      </c>
    </row>
    <row r="2701" spans="9:16" ht="16.5" thickBot="1">
      <c r="I2701" s="885" t="s">
        <v>103</v>
      </c>
      <c r="J2701" s="886"/>
      <c r="K2701" s="886"/>
      <c r="L2701" s="886"/>
      <c r="M2701" s="887"/>
      <c r="N2701" s="69">
        <f>+N2665</f>
        <v>419159597</v>
      </c>
      <c r="O2701" s="241" t="s">
        <v>561</v>
      </c>
      <c r="P2701" s="242">
        <f>183+395+650+498</f>
        <v>1726</v>
      </c>
    </row>
    <row r="2702" spans="9:16" ht="16.5" thickBot="1">
      <c r="I2702" s="888" t="s">
        <v>104</v>
      </c>
      <c r="J2702" s="889"/>
      <c r="K2702" s="889"/>
      <c r="L2702" s="889"/>
      <c r="M2702" s="890"/>
      <c r="N2702" s="183">
        <f>SUM(N2700:N2701)</f>
        <v>420143597</v>
      </c>
    </row>
    <row r="2703" spans="9:16">
      <c r="I2703" s="61"/>
      <c r="J2703" s="61"/>
      <c r="K2703" s="61"/>
      <c r="L2703" s="61"/>
      <c r="M2703" s="61"/>
    </row>
    <row r="2704" spans="9:16">
      <c r="I2704" s="51" t="s">
        <v>1161</v>
      </c>
    </row>
    <row r="2705" spans="9:15" ht="12.75" customHeight="1">
      <c r="N2705" s="139"/>
    </row>
    <row r="2706" spans="9:15">
      <c r="I2706" s="50" t="s">
        <v>105</v>
      </c>
      <c r="L2706" s="146"/>
      <c r="N2706" s="139"/>
    </row>
    <row r="2707" spans="9:15" ht="14.25" customHeight="1" thickBot="1"/>
    <row r="2708" spans="9:15" ht="15.75" thickBot="1">
      <c r="I2708" s="891" t="s">
        <v>106</v>
      </c>
      <c r="J2708" s="892"/>
      <c r="K2708" s="892"/>
      <c r="L2708" s="893"/>
      <c r="N2708" s="50" t="s">
        <v>288</v>
      </c>
    </row>
    <row r="2709" spans="9:15" ht="30.75" thickBot="1">
      <c r="I2709" s="57" t="s">
        <v>100</v>
      </c>
      <c r="J2709" s="58" t="s">
        <v>108</v>
      </c>
      <c r="K2709" s="287" t="s">
        <v>109</v>
      </c>
      <c r="L2709" s="60" t="s">
        <v>110</v>
      </c>
    </row>
    <row r="2710" spans="9:15">
      <c r="I2710" s="71">
        <v>719</v>
      </c>
      <c r="J2710" s="73">
        <f>+P2690+P2692+P2694+P2696</f>
        <v>780000</v>
      </c>
      <c r="K2710" s="74">
        <f>+L2673</f>
        <v>29630000</v>
      </c>
      <c r="L2710" s="195">
        <f>+J2710+K2710</f>
        <v>30410000</v>
      </c>
    </row>
    <row r="2711" spans="9:15">
      <c r="I2711" s="72">
        <v>721</v>
      </c>
      <c r="J2711" s="80">
        <f>+P2691+P2693+P2695+P2697+P2699</f>
        <v>204000</v>
      </c>
      <c r="K2711" s="74">
        <f>+L2674</f>
        <v>17812653</v>
      </c>
      <c r="L2711" s="195">
        <f>+J2711+K2711</f>
        <v>18016653</v>
      </c>
    </row>
    <row r="2712" spans="9:15">
      <c r="I2712" s="72">
        <v>722</v>
      </c>
      <c r="J2712" s="80"/>
      <c r="K2712" s="74">
        <f>+L2675</f>
        <v>2000000</v>
      </c>
      <c r="L2712" s="195">
        <f>+J2712+K2712</f>
        <v>2000000</v>
      </c>
    </row>
    <row r="2713" spans="9:15" ht="15.75">
      <c r="I2713" s="72">
        <v>723</v>
      </c>
      <c r="J2713" s="80"/>
      <c r="K2713" s="74">
        <f>+L2676</f>
        <v>368919444</v>
      </c>
      <c r="L2713" s="195">
        <f>+J2713+K2713</f>
        <v>368919444</v>
      </c>
      <c r="N2713" s="193" t="s">
        <v>289</v>
      </c>
      <c r="O2713" s="175"/>
    </row>
    <row r="2714" spans="9:15" ht="16.5" thickBot="1">
      <c r="I2714" s="164" t="s">
        <v>1077</v>
      </c>
      <c r="J2714" s="165"/>
      <c r="K2714" s="74">
        <f>+L2677</f>
        <v>797500</v>
      </c>
      <c r="L2714" s="196">
        <f>+J2714+K2714</f>
        <v>797500</v>
      </c>
      <c r="N2714" s="52"/>
    </row>
    <row r="2715" spans="9:15" ht="16.5" thickBot="1">
      <c r="I2715" s="169"/>
      <c r="J2715" s="197">
        <f>SUM(J2710:J2714)</f>
        <v>984000</v>
      </c>
      <c r="K2715" s="197">
        <f>SUM(K2710:K2714)</f>
        <v>419159597</v>
      </c>
      <c r="L2715" s="198">
        <f>SUM(L2710:L2714)</f>
        <v>420143597</v>
      </c>
    </row>
    <row r="2716" spans="9:15" ht="16.5">
      <c r="I2716" s="49" t="s">
        <v>88</v>
      </c>
      <c r="J2716" s="50"/>
    </row>
    <row r="2717" spans="9:15">
      <c r="I2717" s="51" t="s">
        <v>89</v>
      </c>
    </row>
    <row r="2718" spans="9:15">
      <c r="I2718" s="51" t="s">
        <v>90</v>
      </c>
    </row>
    <row r="2719" spans="9:15">
      <c r="I2719" s="51" t="s">
        <v>91</v>
      </c>
    </row>
    <row r="2720" spans="9:15" ht="11.25" customHeight="1">
      <c r="I2720" s="50"/>
      <c r="J2720" s="50"/>
    </row>
    <row r="2721" spans="9:16" ht="15.75">
      <c r="I2721" s="260" t="s">
        <v>1162</v>
      </c>
      <c r="O2721" s="52"/>
    </row>
    <row r="2722" spans="9:16" ht="15.75">
      <c r="I2722" s="53" t="s">
        <v>535</v>
      </c>
      <c r="O2722" s="53"/>
    </row>
    <row r="2723" spans="9:16" ht="16.5">
      <c r="I2723" s="894" t="s">
        <v>1078</v>
      </c>
      <c r="J2723" s="894"/>
      <c r="K2723" s="894"/>
      <c r="L2723" s="894"/>
      <c r="M2723" s="894"/>
      <c r="N2723" s="894"/>
      <c r="O2723" s="894"/>
      <c r="P2723" s="894"/>
    </row>
    <row r="2724" spans="9:16" ht="13.5" customHeight="1" thickBot="1"/>
    <row r="2725" spans="9:16">
      <c r="I2725" s="895" t="s">
        <v>94</v>
      </c>
      <c r="J2725" s="897" t="s">
        <v>95</v>
      </c>
      <c r="K2725" s="897" t="s">
        <v>96</v>
      </c>
      <c r="L2725" s="897" t="s">
        <v>3</v>
      </c>
      <c r="M2725" s="897" t="s">
        <v>97</v>
      </c>
      <c r="N2725" s="897" t="s">
        <v>98</v>
      </c>
      <c r="O2725" s="897" t="s">
        <v>99</v>
      </c>
      <c r="P2725" s="899"/>
    </row>
    <row r="2726" spans="9:16" ht="15.75" thickBot="1">
      <c r="I2726" s="896"/>
      <c r="J2726" s="898"/>
      <c r="K2726" s="898"/>
      <c r="L2726" s="898"/>
      <c r="M2726" s="898"/>
      <c r="N2726" s="898"/>
      <c r="O2726" s="240" t="s">
        <v>100</v>
      </c>
      <c r="P2726" s="182" t="s">
        <v>101</v>
      </c>
    </row>
    <row r="2727" spans="9:16">
      <c r="I2727" s="881">
        <v>290</v>
      </c>
      <c r="J2727" s="875">
        <v>42655</v>
      </c>
      <c r="K2727" s="877" t="s">
        <v>1139</v>
      </c>
      <c r="L2727" s="879" t="s">
        <v>1146</v>
      </c>
      <c r="M2727" s="881" t="s">
        <v>148</v>
      </c>
      <c r="N2727" s="883">
        <v>52000</v>
      </c>
      <c r="O2727" s="55">
        <v>719</v>
      </c>
      <c r="P2727" s="78">
        <v>40000</v>
      </c>
    </row>
    <row r="2728" spans="9:16" ht="13.5" customHeight="1" thickBot="1">
      <c r="I2728" s="882"/>
      <c r="J2728" s="876"/>
      <c r="K2728" s="878"/>
      <c r="L2728" s="880"/>
      <c r="M2728" s="882"/>
      <c r="N2728" s="884"/>
      <c r="O2728" s="56">
        <v>721</v>
      </c>
      <c r="P2728" s="79">
        <f>+N2727-P2727</f>
        <v>12000</v>
      </c>
    </row>
    <row r="2729" spans="9:16">
      <c r="I2729" s="881">
        <v>291</v>
      </c>
      <c r="J2729" s="875">
        <v>42655</v>
      </c>
      <c r="K2729" s="877" t="s">
        <v>1139</v>
      </c>
      <c r="L2729" s="879" t="s">
        <v>1150</v>
      </c>
      <c r="M2729" s="881" t="s">
        <v>148</v>
      </c>
      <c r="N2729" s="883">
        <v>78000</v>
      </c>
      <c r="O2729" s="55">
        <v>719</v>
      </c>
      <c r="P2729" s="78">
        <v>60000</v>
      </c>
    </row>
    <row r="2730" spans="9:16" ht="15.75" thickBot="1">
      <c r="I2730" s="882"/>
      <c r="J2730" s="876"/>
      <c r="K2730" s="878"/>
      <c r="L2730" s="880"/>
      <c r="M2730" s="882"/>
      <c r="N2730" s="884"/>
      <c r="O2730" s="56">
        <v>721</v>
      </c>
      <c r="P2730" s="79">
        <f>+N2729-P2729</f>
        <v>18000</v>
      </c>
    </row>
    <row r="2731" spans="9:16" ht="14.25" customHeight="1">
      <c r="I2731" s="881">
        <v>292</v>
      </c>
      <c r="J2731" s="875">
        <v>42655</v>
      </c>
      <c r="K2731" s="877" t="s">
        <v>1139</v>
      </c>
      <c r="L2731" s="879" t="s">
        <v>1141</v>
      </c>
      <c r="M2731" s="881" t="s">
        <v>148</v>
      </c>
      <c r="N2731" s="883">
        <v>46000</v>
      </c>
      <c r="O2731" s="55">
        <v>719</v>
      </c>
      <c r="P2731" s="78">
        <v>40000</v>
      </c>
    </row>
    <row r="2732" spans="9:16" ht="14.25" customHeight="1" thickBot="1">
      <c r="I2732" s="882"/>
      <c r="J2732" s="876"/>
      <c r="K2732" s="878"/>
      <c r="L2732" s="880"/>
      <c r="M2732" s="882"/>
      <c r="N2732" s="884"/>
      <c r="O2732" s="56">
        <v>721</v>
      </c>
      <c r="P2732" s="79">
        <f>+N2731-P2731</f>
        <v>6000</v>
      </c>
    </row>
    <row r="2733" spans="9:16">
      <c r="I2733" s="881">
        <v>293</v>
      </c>
      <c r="J2733" s="875">
        <v>42655</v>
      </c>
      <c r="K2733" s="877" t="s">
        <v>31</v>
      </c>
      <c r="L2733" s="879" t="s">
        <v>1155</v>
      </c>
      <c r="M2733" s="881" t="s">
        <v>148</v>
      </c>
      <c r="N2733" s="883">
        <v>1326000</v>
      </c>
      <c r="O2733" s="55">
        <v>719</v>
      </c>
      <c r="P2733" s="78">
        <v>1020000</v>
      </c>
    </row>
    <row r="2734" spans="9:16" ht="15.75" thickBot="1">
      <c r="I2734" s="882"/>
      <c r="J2734" s="876"/>
      <c r="K2734" s="878"/>
      <c r="L2734" s="880"/>
      <c r="M2734" s="882"/>
      <c r="N2734" s="884"/>
      <c r="O2734" s="56">
        <v>721</v>
      </c>
      <c r="P2734" s="79">
        <f>+N2733-P2733</f>
        <v>306000</v>
      </c>
    </row>
    <row r="2735" spans="9:16" ht="13.5" customHeight="1">
      <c r="I2735" s="881"/>
      <c r="J2735" s="875"/>
      <c r="K2735" s="877"/>
      <c r="L2735" s="879"/>
      <c r="M2735" s="881"/>
      <c r="N2735" s="883"/>
      <c r="O2735" s="55">
        <v>719</v>
      </c>
      <c r="P2735" s="78"/>
    </row>
    <row r="2736" spans="9:16" ht="13.5" customHeight="1" thickBot="1">
      <c r="I2736" s="882"/>
      <c r="J2736" s="876"/>
      <c r="K2736" s="878"/>
      <c r="L2736" s="880"/>
      <c r="M2736" s="882"/>
      <c r="N2736" s="884"/>
      <c r="O2736" s="56">
        <v>721</v>
      </c>
      <c r="P2736" s="79">
        <f>+N2735-P2735</f>
        <v>0</v>
      </c>
    </row>
    <row r="2737" spans="9:16" ht="16.5" thickBot="1">
      <c r="I2737" s="901" t="s">
        <v>102</v>
      </c>
      <c r="J2737" s="902"/>
      <c r="K2737" s="902"/>
      <c r="L2737" s="902"/>
      <c r="M2737" s="903"/>
      <c r="N2737" s="81">
        <f>SUM(N2727:N2736)</f>
        <v>1502000</v>
      </c>
    </row>
    <row r="2738" spans="9:16" ht="16.5" thickBot="1">
      <c r="I2738" s="885" t="s">
        <v>103</v>
      </c>
      <c r="J2738" s="886"/>
      <c r="K2738" s="886"/>
      <c r="L2738" s="886"/>
      <c r="M2738" s="887"/>
      <c r="N2738" s="69">
        <f>+N2702</f>
        <v>420143597</v>
      </c>
      <c r="O2738" s="241" t="s">
        <v>561</v>
      </c>
      <c r="P2738" s="242">
        <v>1556</v>
      </c>
    </row>
    <row r="2739" spans="9:16" ht="16.5" thickBot="1">
      <c r="I2739" s="888" t="s">
        <v>104</v>
      </c>
      <c r="J2739" s="889"/>
      <c r="K2739" s="889"/>
      <c r="L2739" s="889"/>
      <c r="M2739" s="890"/>
      <c r="N2739" s="183">
        <f>SUM(N2737:N2738)</f>
        <v>421645597</v>
      </c>
    </row>
    <row r="2740" spans="9:16" ht="12.75" customHeight="1">
      <c r="I2740" s="61"/>
      <c r="J2740" s="61"/>
      <c r="K2740" s="61"/>
      <c r="L2740" s="61"/>
      <c r="M2740" s="61"/>
    </row>
    <row r="2741" spans="9:16">
      <c r="I2741" s="51" t="s">
        <v>1163</v>
      </c>
    </row>
    <row r="2742" spans="9:16" ht="14.25" customHeight="1">
      <c r="N2742" s="139"/>
    </row>
    <row r="2743" spans="9:16">
      <c r="I2743" s="50" t="s">
        <v>105</v>
      </c>
      <c r="L2743" s="146"/>
      <c r="N2743" s="139"/>
    </row>
    <row r="2744" spans="9:16" ht="13.5" customHeight="1" thickBot="1"/>
    <row r="2745" spans="9:16" ht="15.75" thickBot="1">
      <c r="I2745" s="891" t="s">
        <v>106</v>
      </c>
      <c r="J2745" s="892"/>
      <c r="K2745" s="892"/>
      <c r="L2745" s="893"/>
      <c r="N2745" s="50" t="s">
        <v>288</v>
      </c>
    </row>
    <row r="2746" spans="9:16" ht="30.75" thickBot="1">
      <c r="I2746" s="57" t="s">
        <v>100</v>
      </c>
      <c r="J2746" s="58" t="s">
        <v>108</v>
      </c>
      <c r="K2746" s="287" t="s">
        <v>109</v>
      </c>
      <c r="L2746" s="60" t="s">
        <v>110</v>
      </c>
    </row>
    <row r="2747" spans="9:16">
      <c r="I2747" s="71">
        <v>719</v>
      </c>
      <c r="J2747" s="73">
        <f>+P2727+P2729+P2731+P2733</f>
        <v>1160000</v>
      </c>
      <c r="K2747" s="74">
        <f>+L2710</f>
        <v>30410000</v>
      </c>
      <c r="L2747" s="195">
        <f>+J2747+K2747</f>
        <v>31570000</v>
      </c>
    </row>
    <row r="2748" spans="9:16">
      <c r="I2748" s="72">
        <v>721</v>
      </c>
      <c r="J2748" s="80">
        <f>+P2728+P2730+P2732+P2734+P2736</f>
        <v>342000</v>
      </c>
      <c r="K2748" s="74">
        <f>+L2711</f>
        <v>18016653</v>
      </c>
      <c r="L2748" s="195">
        <f>+J2748+K2748</f>
        <v>18358653</v>
      </c>
    </row>
    <row r="2749" spans="9:16">
      <c r="I2749" s="72">
        <v>722</v>
      </c>
      <c r="J2749" s="80"/>
      <c r="K2749" s="74">
        <f>+L2712</f>
        <v>2000000</v>
      </c>
      <c r="L2749" s="195">
        <f>+J2749+K2749</f>
        <v>2000000</v>
      </c>
    </row>
    <row r="2750" spans="9:16" ht="15.75">
      <c r="I2750" s="72">
        <v>723</v>
      </c>
      <c r="J2750" s="80"/>
      <c r="K2750" s="74">
        <f>+L2713</f>
        <v>368919444</v>
      </c>
      <c r="L2750" s="195">
        <f>+J2750+K2750</f>
        <v>368919444</v>
      </c>
      <c r="N2750" s="193" t="s">
        <v>289</v>
      </c>
      <c r="O2750" s="175"/>
    </row>
    <row r="2751" spans="9:16" ht="16.5" thickBot="1">
      <c r="I2751" s="164" t="s">
        <v>1077</v>
      </c>
      <c r="J2751" s="165"/>
      <c r="K2751" s="74">
        <f>+L2714</f>
        <v>797500</v>
      </c>
      <c r="L2751" s="196">
        <f>+J2751+K2751</f>
        <v>797500</v>
      </c>
      <c r="N2751" s="52"/>
    </row>
    <row r="2752" spans="9:16" ht="16.5" thickBot="1">
      <c r="I2752" s="169"/>
      <c r="J2752" s="197">
        <f>SUM(J2747:J2751)</f>
        <v>1502000</v>
      </c>
      <c r="K2752" s="197">
        <f>SUM(K2747:K2751)</f>
        <v>420143597</v>
      </c>
      <c r="L2752" s="198">
        <f>SUM(L2747:L2751)</f>
        <v>421645597</v>
      </c>
    </row>
    <row r="2753" spans="9:16" ht="16.5">
      <c r="I2753" s="49" t="s">
        <v>88</v>
      </c>
      <c r="J2753" s="50"/>
    </row>
    <row r="2754" spans="9:16">
      <c r="I2754" s="51" t="s">
        <v>89</v>
      </c>
    </row>
    <row r="2755" spans="9:16">
      <c r="I2755" s="51" t="s">
        <v>90</v>
      </c>
    </row>
    <row r="2756" spans="9:16">
      <c r="I2756" s="51" t="s">
        <v>91</v>
      </c>
    </row>
    <row r="2757" spans="9:16" ht="11.25" customHeight="1">
      <c r="I2757" s="50"/>
      <c r="J2757" s="50"/>
    </row>
    <row r="2758" spans="9:16" ht="15.75">
      <c r="I2758" s="260" t="s">
        <v>1164</v>
      </c>
      <c r="O2758" s="52"/>
    </row>
    <row r="2759" spans="9:16" ht="15.75">
      <c r="I2759" s="53" t="s">
        <v>535</v>
      </c>
      <c r="O2759" s="53"/>
    </row>
    <row r="2760" spans="9:16" ht="16.5">
      <c r="I2760" s="894" t="s">
        <v>1078</v>
      </c>
      <c r="J2760" s="894"/>
      <c r="K2760" s="894"/>
      <c r="L2760" s="894"/>
      <c r="M2760" s="894"/>
      <c r="N2760" s="894"/>
      <c r="O2760" s="894"/>
      <c r="P2760" s="894"/>
    </row>
    <row r="2761" spans="9:16" ht="15.75" thickBot="1"/>
    <row r="2762" spans="9:16">
      <c r="I2762" s="895" t="s">
        <v>94</v>
      </c>
      <c r="J2762" s="897" t="s">
        <v>95</v>
      </c>
      <c r="K2762" s="897" t="s">
        <v>96</v>
      </c>
      <c r="L2762" s="897" t="s">
        <v>3</v>
      </c>
      <c r="M2762" s="897" t="s">
        <v>97</v>
      </c>
      <c r="N2762" s="897" t="s">
        <v>98</v>
      </c>
      <c r="O2762" s="897" t="s">
        <v>99</v>
      </c>
      <c r="P2762" s="899"/>
    </row>
    <row r="2763" spans="9:16" ht="15.75" thickBot="1">
      <c r="I2763" s="896"/>
      <c r="J2763" s="898"/>
      <c r="K2763" s="898"/>
      <c r="L2763" s="898"/>
      <c r="M2763" s="898"/>
      <c r="N2763" s="898"/>
      <c r="O2763" s="240" t="s">
        <v>100</v>
      </c>
      <c r="P2763" s="182" t="s">
        <v>101</v>
      </c>
    </row>
    <row r="2764" spans="9:16">
      <c r="I2764" s="881">
        <v>294</v>
      </c>
      <c r="J2764" s="875">
        <v>42657</v>
      </c>
      <c r="K2764" s="877" t="s">
        <v>1014</v>
      </c>
      <c r="L2764" s="879" t="s">
        <v>1167</v>
      </c>
      <c r="M2764" s="881" t="s">
        <v>115</v>
      </c>
      <c r="N2764" s="883">
        <v>110000</v>
      </c>
      <c r="O2764" s="55">
        <v>719</v>
      </c>
      <c r="P2764" s="78">
        <v>110000</v>
      </c>
    </row>
    <row r="2765" spans="9:16" ht="15.75" thickBot="1">
      <c r="I2765" s="882"/>
      <c r="J2765" s="876"/>
      <c r="K2765" s="878"/>
      <c r="L2765" s="880"/>
      <c r="M2765" s="882"/>
      <c r="N2765" s="884"/>
      <c r="O2765" s="56">
        <v>721</v>
      </c>
      <c r="P2765" s="79">
        <f>+N2764-P2764</f>
        <v>0</v>
      </c>
    </row>
    <row r="2766" spans="9:16" ht="15" customHeight="1">
      <c r="I2766" s="881">
        <v>295</v>
      </c>
      <c r="J2766" s="875">
        <v>42657</v>
      </c>
      <c r="K2766" s="877" t="s">
        <v>28</v>
      </c>
      <c r="L2766" s="879" t="s">
        <v>1166</v>
      </c>
      <c r="M2766" s="881" t="s">
        <v>115</v>
      </c>
      <c r="N2766" s="883">
        <v>70000</v>
      </c>
      <c r="O2766" s="55">
        <v>719</v>
      </c>
      <c r="P2766" s="78">
        <v>70000</v>
      </c>
    </row>
    <row r="2767" spans="9:16" ht="14.25" customHeight="1" thickBot="1">
      <c r="I2767" s="882"/>
      <c r="J2767" s="876"/>
      <c r="K2767" s="878"/>
      <c r="L2767" s="880"/>
      <c r="M2767" s="882"/>
      <c r="N2767" s="884"/>
      <c r="O2767" s="56">
        <v>721</v>
      </c>
      <c r="P2767" s="79">
        <f>+N2766-P2766</f>
        <v>0</v>
      </c>
    </row>
    <row r="2768" spans="9:16" ht="14.25" customHeight="1">
      <c r="I2768" s="881">
        <v>296</v>
      </c>
      <c r="J2768" s="875">
        <v>42657</v>
      </c>
      <c r="K2768" s="877" t="s">
        <v>120</v>
      </c>
      <c r="L2768" s="879" t="s">
        <v>1165</v>
      </c>
      <c r="M2768" s="881" t="s">
        <v>115</v>
      </c>
      <c r="N2768" s="883">
        <v>200000</v>
      </c>
      <c r="O2768" s="55">
        <v>719</v>
      </c>
      <c r="P2768" s="78">
        <v>200000</v>
      </c>
    </row>
    <row r="2769" spans="9:16" ht="15.75" customHeight="1" thickBot="1">
      <c r="I2769" s="882"/>
      <c r="J2769" s="876"/>
      <c r="K2769" s="878"/>
      <c r="L2769" s="880"/>
      <c r="M2769" s="882"/>
      <c r="N2769" s="884"/>
      <c r="O2769" s="56">
        <v>721</v>
      </c>
      <c r="P2769" s="79">
        <f>+N2768-P2768</f>
        <v>0</v>
      </c>
    </row>
    <row r="2770" spans="9:16">
      <c r="I2770" s="881"/>
      <c r="J2770" s="875"/>
      <c r="K2770" s="877"/>
      <c r="L2770" s="879"/>
      <c r="M2770" s="881"/>
      <c r="N2770" s="883"/>
      <c r="O2770" s="55">
        <v>719</v>
      </c>
      <c r="P2770" s="78">
        <v>0</v>
      </c>
    </row>
    <row r="2771" spans="9:16" ht="13.5" customHeight="1" thickBot="1">
      <c r="I2771" s="882"/>
      <c r="J2771" s="876"/>
      <c r="K2771" s="878"/>
      <c r="L2771" s="880"/>
      <c r="M2771" s="882"/>
      <c r="N2771" s="884"/>
      <c r="O2771" s="56">
        <v>721</v>
      </c>
      <c r="P2771" s="79">
        <f>+N2770-P2770</f>
        <v>0</v>
      </c>
    </row>
    <row r="2772" spans="9:16">
      <c r="I2772" s="881"/>
      <c r="J2772" s="875"/>
      <c r="K2772" s="877"/>
      <c r="L2772" s="879"/>
      <c r="M2772" s="881"/>
      <c r="N2772" s="883"/>
      <c r="O2772" s="55">
        <v>719</v>
      </c>
      <c r="P2772" s="78"/>
    </row>
    <row r="2773" spans="9:16" ht="14.25" customHeight="1" thickBot="1">
      <c r="I2773" s="882"/>
      <c r="J2773" s="876"/>
      <c r="K2773" s="878"/>
      <c r="L2773" s="880"/>
      <c r="M2773" s="882"/>
      <c r="N2773" s="884"/>
      <c r="O2773" s="56">
        <v>721</v>
      </c>
      <c r="P2773" s="79">
        <f>+N2772-P2772</f>
        <v>0</v>
      </c>
    </row>
    <row r="2774" spans="9:16" ht="16.5" thickBot="1">
      <c r="I2774" s="901" t="s">
        <v>102</v>
      </c>
      <c r="J2774" s="902"/>
      <c r="K2774" s="902"/>
      <c r="L2774" s="902"/>
      <c r="M2774" s="903"/>
      <c r="N2774" s="81">
        <f>SUM(N2764:N2773)</f>
        <v>380000</v>
      </c>
    </row>
    <row r="2775" spans="9:16" ht="16.5" thickBot="1">
      <c r="I2775" s="885" t="s">
        <v>103</v>
      </c>
      <c r="J2775" s="886"/>
      <c r="K2775" s="886"/>
      <c r="L2775" s="886"/>
      <c r="M2775" s="887"/>
      <c r="N2775" s="69">
        <f>+N2739</f>
        <v>421645597</v>
      </c>
      <c r="O2775" s="241" t="s">
        <v>561</v>
      </c>
      <c r="P2775" s="242">
        <f>328+189+267</f>
        <v>784</v>
      </c>
    </row>
    <row r="2776" spans="9:16" ht="16.5" thickBot="1">
      <c r="I2776" s="888" t="s">
        <v>104</v>
      </c>
      <c r="J2776" s="889"/>
      <c r="K2776" s="889"/>
      <c r="L2776" s="889"/>
      <c r="M2776" s="890"/>
      <c r="N2776" s="183">
        <f>SUM(N2774:N2775)</f>
        <v>422025597</v>
      </c>
    </row>
    <row r="2777" spans="9:16">
      <c r="I2777" s="61"/>
      <c r="J2777" s="61"/>
      <c r="K2777" s="61"/>
      <c r="L2777" s="61"/>
      <c r="M2777" s="61"/>
    </row>
    <row r="2778" spans="9:16">
      <c r="I2778" s="51" t="s">
        <v>1168</v>
      </c>
    </row>
    <row r="2779" spans="9:16" ht="12.75" customHeight="1">
      <c r="N2779" s="139"/>
    </row>
    <row r="2780" spans="9:16">
      <c r="I2780" s="50" t="s">
        <v>105</v>
      </c>
      <c r="L2780" s="146"/>
      <c r="N2780" s="139"/>
    </row>
    <row r="2781" spans="9:16" ht="13.5" customHeight="1" thickBot="1"/>
    <row r="2782" spans="9:16" ht="15.75" thickBot="1">
      <c r="I2782" s="891" t="s">
        <v>106</v>
      </c>
      <c r="J2782" s="892"/>
      <c r="K2782" s="892"/>
      <c r="L2782" s="893"/>
      <c r="N2782" s="50" t="s">
        <v>288</v>
      </c>
    </row>
    <row r="2783" spans="9:16" ht="30.75" thickBot="1">
      <c r="I2783" s="57" t="s">
        <v>100</v>
      </c>
      <c r="J2783" s="58" t="s">
        <v>108</v>
      </c>
      <c r="K2783" s="287" t="s">
        <v>109</v>
      </c>
      <c r="L2783" s="60" t="s">
        <v>110</v>
      </c>
    </row>
    <row r="2784" spans="9:16">
      <c r="I2784" s="71">
        <v>719</v>
      </c>
      <c r="J2784" s="73">
        <f>+P2764+P2766+P2768+P2770</f>
        <v>380000</v>
      </c>
      <c r="K2784" s="74">
        <f>+L2747</f>
        <v>31570000</v>
      </c>
      <c r="L2784" s="195">
        <f>+J2784+K2784</f>
        <v>31950000</v>
      </c>
    </row>
    <row r="2785" spans="9:16">
      <c r="I2785" s="72">
        <v>721</v>
      </c>
      <c r="J2785" s="80">
        <f>+P2765+P2767+P2769+P2771+P2773</f>
        <v>0</v>
      </c>
      <c r="K2785" s="74">
        <f>+L2748</f>
        <v>18358653</v>
      </c>
      <c r="L2785" s="195">
        <f>+J2785+K2785</f>
        <v>18358653</v>
      </c>
    </row>
    <row r="2786" spans="9:16">
      <c r="I2786" s="72">
        <v>722</v>
      </c>
      <c r="J2786" s="80"/>
      <c r="K2786" s="74">
        <f>+L2749</f>
        <v>2000000</v>
      </c>
      <c r="L2786" s="195">
        <f>+J2786+K2786</f>
        <v>2000000</v>
      </c>
    </row>
    <row r="2787" spans="9:16" ht="15.75">
      <c r="I2787" s="72">
        <v>723</v>
      </c>
      <c r="J2787" s="80"/>
      <c r="K2787" s="74">
        <f>+L2750</f>
        <v>368919444</v>
      </c>
      <c r="L2787" s="195">
        <f>+J2787+K2787</f>
        <v>368919444</v>
      </c>
      <c r="N2787" s="193" t="s">
        <v>289</v>
      </c>
      <c r="O2787" s="175"/>
    </row>
    <row r="2788" spans="9:16" ht="16.5" thickBot="1">
      <c r="I2788" s="164" t="s">
        <v>1077</v>
      </c>
      <c r="J2788" s="165"/>
      <c r="K2788" s="74">
        <f>+L2751</f>
        <v>797500</v>
      </c>
      <c r="L2788" s="196">
        <f>+J2788+K2788</f>
        <v>797500</v>
      </c>
      <c r="N2788" s="52"/>
    </row>
    <row r="2789" spans="9:16" ht="16.5" thickBot="1">
      <c r="I2789" s="169"/>
      <c r="J2789" s="197">
        <f>SUM(J2784:J2788)</f>
        <v>380000</v>
      </c>
      <c r="K2789" s="197">
        <f>SUM(K2784:K2788)</f>
        <v>421645597</v>
      </c>
      <c r="L2789" s="198">
        <f>SUM(L2784:L2788)</f>
        <v>422025597</v>
      </c>
    </row>
    <row r="2790" spans="9:16" ht="16.5">
      <c r="I2790" s="49" t="s">
        <v>88</v>
      </c>
      <c r="J2790" s="50"/>
    </row>
    <row r="2791" spans="9:16">
      <c r="I2791" s="51" t="s">
        <v>89</v>
      </c>
    </row>
    <row r="2792" spans="9:16">
      <c r="I2792" s="51" t="s">
        <v>90</v>
      </c>
    </row>
    <row r="2793" spans="9:16">
      <c r="I2793" s="51" t="s">
        <v>91</v>
      </c>
    </row>
    <row r="2794" spans="9:16" ht="10.5" customHeight="1">
      <c r="I2794" s="50"/>
      <c r="J2794" s="50"/>
    </row>
    <row r="2795" spans="9:16" ht="15.75">
      <c r="I2795" s="260" t="s">
        <v>1169</v>
      </c>
      <c r="O2795" s="52"/>
    </row>
    <row r="2796" spans="9:16" ht="15.75">
      <c r="I2796" s="53" t="s">
        <v>535</v>
      </c>
      <c r="O2796" s="53"/>
    </row>
    <row r="2797" spans="9:16" ht="16.5">
      <c r="I2797" s="894" t="s">
        <v>1205</v>
      </c>
      <c r="J2797" s="894"/>
      <c r="K2797" s="894"/>
      <c r="L2797" s="894"/>
      <c r="M2797" s="894"/>
      <c r="N2797" s="894"/>
      <c r="O2797" s="894"/>
      <c r="P2797" s="894"/>
    </row>
    <row r="2798" spans="9:16" ht="15.75" thickBot="1"/>
    <row r="2799" spans="9:16">
      <c r="I2799" s="895" t="s">
        <v>94</v>
      </c>
      <c r="J2799" s="897" t="s">
        <v>95</v>
      </c>
      <c r="K2799" s="897" t="s">
        <v>96</v>
      </c>
      <c r="L2799" s="897" t="s">
        <v>3</v>
      </c>
      <c r="M2799" s="897" t="s">
        <v>97</v>
      </c>
      <c r="N2799" s="897" t="s">
        <v>98</v>
      </c>
      <c r="O2799" s="897" t="s">
        <v>99</v>
      </c>
      <c r="P2799" s="899"/>
    </row>
    <row r="2800" spans="9:16" ht="15.75" thickBot="1">
      <c r="I2800" s="896"/>
      <c r="J2800" s="898"/>
      <c r="K2800" s="898"/>
      <c r="L2800" s="898"/>
      <c r="M2800" s="898"/>
      <c r="N2800" s="898"/>
      <c r="O2800" s="240" t="s">
        <v>100</v>
      </c>
      <c r="P2800" s="182" t="s">
        <v>101</v>
      </c>
    </row>
    <row r="2801" spans="9:16" ht="14.25" customHeight="1">
      <c r="I2801" s="881">
        <v>297</v>
      </c>
      <c r="J2801" s="875">
        <v>42660</v>
      </c>
      <c r="K2801" s="877" t="s">
        <v>350</v>
      </c>
      <c r="L2801" s="879" t="s">
        <v>921</v>
      </c>
      <c r="M2801" s="881" t="s">
        <v>148</v>
      </c>
      <c r="N2801" s="883">
        <v>260000</v>
      </c>
      <c r="O2801" s="55">
        <v>722</v>
      </c>
      <c r="P2801" s="78">
        <v>260000</v>
      </c>
    </row>
    <row r="2802" spans="9:16" ht="14.25" customHeight="1" thickBot="1">
      <c r="I2802" s="882"/>
      <c r="J2802" s="876"/>
      <c r="K2802" s="878"/>
      <c r="L2802" s="880"/>
      <c r="M2802" s="882"/>
      <c r="N2802" s="884"/>
      <c r="O2802" s="56">
        <v>721</v>
      </c>
      <c r="P2802" s="351">
        <f>+N2801-P2801</f>
        <v>0</v>
      </c>
    </row>
    <row r="2803" spans="9:16" ht="14.25" customHeight="1">
      <c r="I2803" s="881">
        <v>298</v>
      </c>
      <c r="J2803" s="875">
        <v>42660</v>
      </c>
      <c r="K2803" s="877" t="s">
        <v>1091</v>
      </c>
      <c r="L2803" s="879" t="s">
        <v>921</v>
      </c>
      <c r="M2803" s="881" t="s">
        <v>148</v>
      </c>
      <c r="N2803" s="883">
        <v>600000</v>
      </c>
      <c r="O2803" s="55">
        <v>722</v>
      </c>
      <c r="P2803" s="78">
        <v>600000</v>
      </c>
    </row>
    <row r="2804" spans="9:16" ht="13.5" customHeight="1" thickBot="1">
      <c r="I2804" s="882"/>
      <c r="J2804" s="876"/>
      <c r="K2804" s="878"/>
      <c r="L2804" s="880"/>
      <c r="M2804" s="882"/>
      <c r="N2804" s="884"/>
      <c r="O2804" s="56">
        <v>721</v>
      </c>
      <c r="P2804" s="352">
        <f>+N2803-P2803</f>
        <v>0</v>
      </c>
    </row>
    <row r="2805" spans="9:16" ht="15" customHeight="1">
      <c r="I2805" s="881">
        <v>299</v>
      </c>
      <c r="J2805" s="875">
        <v>42660</v>
      </c>
      <c r="K2805" s="877" t="s">
        <v>120</v>
      </c>
      <c r="L2805" s="879" t="s">
        <v>921</v>
      </c>
      <c r="M2805" s="881" t="s">
        <v>148</v>
      </c>
      <c r="N2805" s="883">
        <v>560000</v>
      </c>
      <c r="O2805" s="55">
        <v>722</v>
      </c>
      <c r="P2805" s="78">
        <v>560000</v>
      </c>
    </row>
    <row r="2806" spans="9:16" ht="13.5" customHeight="1" thickBot="1">
      <c r="I2806" s="882"/>
      <c r="J2806" s="876"/>
      <c r="K2806" s="878"/>
      <c r="L2806" s="880"/>
      <c r="M2806" s="882"/>
      <c r="N2806" s="884"/>
      <c r="O2806" s="56">
        <v>721</v>
      </c>
      <c r="P2806" s="352">
        <f>+N2805-P2805</f>
        <v>0</v>
      </c>
    </row>
    <row r="2807" spans="9:16" ht="15" customHeight="1">
      <c r="I2807" s="881">
        <v>300</v>
      </c>
      <c r="J2807" s="875">
        <v>42660</v>
      </c>
      <c r="K2807" s="877" t="s">
        <v>1171</v>
      </c>
      <c r="L2807" s="879" t="s">
        <v>921</v>
      </c>
      <c r="M2807" s="881" t="s">
        <v>148</v>
      </c>
      <c r="N2807" s="883">
        <v>1000000</v>
      </c>
      <c r="O2807" s="55">
        <v>722</v>
      </c>
      <c r="P2807" s="78">
        <v>1000000</v>
      </c>
    </row>
    <row r="2808" spans="9:16" ht="13.5" customHeight="1" thickBot="1">
      <c r="I2808" s="882"/>
      <c r="J2808" s="876"/>
      <c r="K2808" s="878"/>
      <c r="L2808" s="880"/>
      <c r="M2808" s="882"/>
      <c r="N2808" s="884"/>
      <c r="O2808" s="56">
        <v>721</v>
      </c>
      <c r="P2808" s="79">
        <f>+N2807-P2807</f>
        <v>0</v>
      </c>
    </row>
    <row r="2809" spans="9:16" ht="15" customHeight="1">
      <c r="I2809" s="881">
        <v>301</v>
      </c>
      <c r="J2809" s="875">
        <v>42660</v>
      </c>
      <c r="K2809" s="877" t="s">
        <v>40</v>
      </c>
      <c r="L2809" s="879" t="s">
        <v>921</v>
      </c>
      <c r="M2809" s="881" t="s">
        <v>148</v>
      </c>
      <c r="N2809" s="883">
        <v>200000</v>
      </c>
      <c r="O2809" s="55">
        <v>722</v>
      </c>
      <c r="P2809" s="78">
        <v>200000</v>
      </c>
    </row>
    <row r="2810" spans="9:16" ht="13.5" customHeight="1" thickBot="1">
      <c r="I2810" s="882"/>
      <c r="J2810" s="876"/>
      <c r="K2810" s="878"/>
      <c r="L2810" s="880"/>
      <c r="M2810" s="882"/>
      <c r="N2810" s="884"/>
      <c r="O2810" s="56">
        <v>721</v>
      </c>
      <c r="P2810" s="79">
        <f>+N2809-P2809</f>
        <v>0</v>
      </c>
    </row>
    <row r="2811" spans="9:16" ht="15" customHeight="1">
      <c r="I2811" s="881">
        <v>302</v>
      </c>
      <c r="J2811" s="875">
        <v>42660</v>
      </c>
      <c r="K2811" s="877" t="s">
        <v>1172</v>
      </c>
      <c r="L2811" s="879" t="s">
        <v>921</v>
      </c>
      <c r="M2811" s="881" t="s">
        <v>148</v>
      </c>
      <c r="N2811" s="883">
        <v>220000</v>
      </c>
      <c r="O2811" s="55">
        <v>722</v>
      </c>
      <c r="P2811" s="78">
        <v>220000</v>
      </c>
    </row>
    <row r="2812" spans="9:16" ht="13.5" customHeight="1" thickBot="1">
      <c r="I2812" s="882"/>
      <c r="J2812" s="876"/>
      <c r="K2812" s="878"/>
      <c r="L2812" s="880"/>
      <c r="M2812" s="882"/>
      <c r="N2812" s="884"/>
      <c r="O2812" s="56">
        <v>721</v>
      </c>
      <c r="P2812" s="79">
        <f>+N2811-P2811</f>
        <v>0</v>
      </c>
    </row>
    <row r="2813" spans="9:16" ht="15" customHeight="1" thickBot="1">
      <c r="I2813" s="901" t="s">
        <v>102</v>
      </c>
      <c r="J2813" s="902"/>
      <c r="K2813" s="902"/>
      <c r="L2813" s="902"/>
      <c r="M2813" s="903"/>
      <c r="N2813" s="81">
        <f>SUM(N2801:N2812)</f>
        <v>2840000</v>
      </c>
    </row>
    <row r="2814" spans="9:16" ht="16.5" thickBot="1">
      <c r="I2814" s="885" t="s">
        <v>103</v>
      </c>
      <c r="J2814" s="886"/>
      <c r="K2814" s="886"/>
      <c r="L2814" s="886"/>
      <c r="M2814" s="887"/>
      <c r="N2814" s="69">
        <f>+N2776</f>
        <v>422025597</v>
      </c>
      <c r="O2814" s="241" t="s">
        <v>561</v>
      </c>
      <c r="P2814" s="242"/>
    </row>
    <row r="2815" spans="9:16" ht="16.5" thickBot="1">
      <c r="I2815" s="888" t="s">
        <v>104</v>
      </c>
      <c r="J2815" s="889"/>
      <c r="K2815" s="889"/>
      <c r="L2815" s="889"/>
      <c r="M2815" s="890"/>
      <c r="N2815" s="183">
        <f>SUM(N2813:N2814)</f>
        <v>424865597</v>
      </c>
    </row>
    <row r="2816" spans="9:16" ht="12.75" customHeight="1">
      <c r="I2816" s="61"/>
      <c r="J2816" s="61"/>
      <c r="K2816" s="61"/>
      <c r="L2816" s="61"/>
      <c r="M2816" s="61"/>
    </row>
    <row r="2817" spans="9:15">
      <c r="I2817" s="51" t="s">
        <v>1173</v>
      </c>
    </row>
    <row r="2818" spans="9:15" ht="10.5" customHeight="1">
      <c r="N2818" s="139"/>
    </row>
    <row r="2819" spans="9:15">
      <c r="I2819" s="50" t="s">
        <v>105</v>
      </c>
      <c r="L2819" s="146"/>
      <c r="N2819" s="139"/>
    </row>
    <row r="2820" spans="9:15" ht="9" customHeight="1" thickBot="1"/>
    <row r="2821" spans="9:15" ht="15.75" thickBot="1">
      <c r="I2821" s="891" t="s">
        <v>106</v>
      </c>
      <c r="J2821" s="892"/>
      <c r="K2821" s="892"/>
      <c r="L2821" s="893"/>
      <c r="N2821" s="50" t="s">
        <v>288</v>
      </c>
    </row>
    <row r="2822" spans="9:15" ht="29.25" customHeight="1" thickBot="1">
      <c r="I2822" s="57" t="s">
        <v>100</v>
      </c>
      <c r="J2822" s="58" t="s">
        <v>108</v>
      </c>
      <c r="K2822" s="287" t="s">
        <v>109</v>
      </c>
      <c r="L2822" s="60" t="s">
        <v>110</v>
      </c>
    </row>
    <row r="2823" spans="9:15" ht="14.25" customHeight="1">
      <c r="I2823" s="71">
        <v>719</v>
      </c>
      <c r="J2823" s="73"/>
      <c r="K2823" s="74">
        <f>+L2784</f>
        <v>31950000</v>
      </c>
      <c r="L2823" s="195">
        <f>+J2823+K2823</f>
        <v>31950000</v>
      </c>
    </row>
    <row r="2824" spans="9:15">
      <c r="I2824" s="72">
        <v>721</v>
      </c>
      <c r="J2824" s="80">
        <f>+P2802+P2804+P2806+P2808+P2812+P2810</f>
        <v>0</v>
      </c>
      <c r="K2824" s="74">
        <f>+L2785</f>
        <v>18358653</v>
      </c>
      <c r="L2824" s="195">
        <f>+J2824+K2824</f>
        <v>18358653</v>
      </c>
    </row>
    <row r="2825" spans="9:15">
      <c r="I2825" s="72">
        <v>722</v>
      </c>
      <c r="J2825" s="80">
        <f>+P2801+P2803+P2805+P2807+P2809+P2811</f>
        <v>2840000</v>
      </c>
      <c r="K2825" s="74">
        <f>+L2786</f>
        <v>2000000</v>
      </c>
      <c r="L2825" s="195">
        <f>+J2825+K2825</f>
        <v>4840000</v>
      </c>
    </row>
    <row r="2826" spans="9:15" ht="15" customHeight="1">
      <c r="I2826" s="72">
        <v>723</v>
      </c>
      <c r="J2826" s="80"/>
      <c r="K2826" s="74">
        <f>+L2787</f>
        <v>368919444</v>
      </c>
      <c r="L2826" s="195">
        <f>+J2826+K2826</f>
        <v>368919444</v>
      </c>
      <c r="N2826" s="193" t="s">
        <v>289</v>
      </c>
      <c r="O2826" s="175"/>
    </row>
    <row r="2827" spans="9:15" ht="14.25" customHeight="1" thickBot="1">
      <c r="I2827" s="164" t="s">
        <v>1077</v>
      </c>
      <c r="J2827" s="165"/>
      <c r="K2827" s="74">
        <f>+L2788</f>
        <v>797500</v>
      </c>
      <c r="L2827" s="196">
        <f>+J2827+K2827</f>
        <v>797500</v>
      </c>
      <c r="N2827" s="52"/>
    </row>
    <row r="2828" spans="9:15" ht="16.5" thickBot="1">
      <c r="I2828" s="169"/>
      <c r="J2828" s="197">
        <f>SUM(J2823:J2827)</f>
        <v>2840000</v>
      </c>
      <c r="K2828" s="197">
        <f>SUM(K2823:K2827)</f>
        <v>422025597</v>
      </c>
      <c r="L2828" s="198">
        <f>SUM(L2823:L2827)</f>
        <v>424865597</v>
      </c>
    </row>
    <row r="2829" spans="9:15" ht="16.5">
      <c r="I2829" s="49" t="s">
        <v>88</v>
      </c>
      <c r="J2829" s="50"/>
    </row>
    <row r="2830" spans="9:15">
      <c r="I2830" s="51" t="s">
        <v>89</v>
      </c>
    </row>
    <row r="2831" spans="9:15">
      <c r="I2831" s="51" t="s">
        <v>90</v>
      </c>
    </row>
    <row r="2832" spans="9:15">
      <c r="I2832" s="51" t="s">
        <v>91</v>
      </c>
    </row>
    <row r="2833" spans="9:16" ht="10.5" customHeight="1">
      <c r="I2833" s="50"/>
      <c r="J2833" s="50"/>
    </row>
    <row r="2834" spans="9:16" ht="15.75">
      <c r="I2834" s="260" t="s">
        <v>1170</v>
      </c>
      <c r="O2834" s="52"/>
    </row>
    <row r="2835" spans="9:16" ht="15.75">
      <c r="I2835" s="53" t="s">
        <v>535</v>
      </c>
      <c r="O2835" s="53"/>
    </row>
    <row r="2836" spans="9:16" ht="16.5">
      <c r="I2836" s="894" t="s">
        <v>1205</v>
      </c>
      <c r="J2836" s="894"/>
      <c r="K2836" s="894"/>
      <c r="L2836" s="894"/>
      <c r="M2836" s="894"/>
      <c r="N2836" s="894"/>
      <c r="O2836" s="894"/>
      <c r="P2836" s="894"/>
    </row>
    <row r="2837" spans="9:16" ht="12.75" customHeight="1" thickBot="1"/>
    <row r="2838" spans="9:16">
      <c r="I2838" s="895" t="s">
        <v>94</v>
      </c>
      <c r="J2838" s="897" t="s">
        <v>95</v>
      </c>
      <c r="K2838" s="897" t="s">
        <v>96</v>
      </c>
      <c r="L2838" s="897" t="s">
        <v>3</v>
      </c>
      <c r="M2838" s="897" t="s">
        <v>97</v>
      </c>
      <c r="N2838" s="897" t="s">
        <v>98</v>
      </c>
      <c r="O2838" s="897" t="s">
        <v>99</v>
      </c>
      <c r="P2838" s="899"/>
    </row>
    <row r="2839" spans="9:16" ht="15.75" thickBot="1">
      <c r="I2839" s="896"/>
      <c r="J2839" s="898"/>
      <c r="K2839" s="898"/>
      <c r="L2839" s="898"/>
      <c r="M2839" s="898"/>
      <c r="N2839" s="898"/>
      <c r="O2839" s="240" t="s">
        <v>100</v>
      </c>
      <c r="P2839" s="182" t="s">
        <v>101</v>
      </c>
    </row>
    <row r="2840" spans="9:16" ht="14.25" customHeight="1">
      <c r="I2840" s="881">
        <v>303</v>
      </c>
      <c r="J2840" s="875">
        <v>42660</v>
      </c>
      <c r="K2840" s="877" t="s">
        <v>1174</v>
      </c>
      <c r="L2840" s="879" t="s">
        <v>921</v>
      </c>
      <c r="M2840" s="881" t="s">
        <v>148</v>
      </c>
      <c r="N2840" s="883">
        <v>180000</v>
      </c>
      <c r="O2840" s="55">
        <v>722</v>
      </c>
      <c r="P2840" s="78">
        <v>180000</v>
      </c>
    </row>
    <row r="2841" spans="9:16" ht="12.75" customHeight="1" thickBot="1">
      <c r="I2841" s="882"/>
      <c r="J2841" s="876"/>
      <c r="K2841" s="878"/>
      <c r="L2841" s="880"/>
      <c r="M2841" s="882"/>
      <c r="N2841" s="884"/>
      <c r="O2841" s="56">
        <v>721</v>
      </c>
      <c r="P2841" s="351">
        <f>+N2840-P2840</f>
        <v>0</v>
      </c>
    </row>
    <row r="2842" spans="9:16">
      <c r="I2842" s="881">
        <v>304</v>
      </c>
      <c r="J2842" s="875">
        <v>42660</v>
      </c>
      <c r="K2842" s="877" t="s">
        <v>1175</v>
      </c>
      <c r="L2842" s="879" t="s">
        <v>921</v>
      </c>
      <c r="M2842" s="881" t="s">
        <v>148</v>
      </c>
      <c r="N2842" s="883">
        <v>160000</v>
      </c>
      <c r="O2842" s="55">
        <v>722</v>
      </c>
      <c r="P2842" s="78">
        <v>160000</v>
      </c>
    </row>
    <row r="2843" spans="9:16" ht="13.5" customHeight="1" thickBot="1">
      <c r="I2843" s="882"/>
      <c r="J2843" s="876"/>
      <c r="K2843" s="878"/>
      <c r="L2843" s="880"/>
      <c r="M2843" s="882"/>
      <c r="N2843" s="884"/>
      <c r="O2843" s="56">
        <v>721</v>
      </c>
      <c r="P2843" s="352">
        <f>+N2842-P2842</f>
        <v>0</v>
      </c>
    </row>
    <row r="2844" spans="9:16" ht="13.5" customHeight="1">
      <c r="I2844" s="881">
        <v>305</v>
      </c>
      <c r="J2844" s="875">
        <v>42660</v>
      </c>
      <c r="K2844" s="877" t="s">
        <v>1177</v>
      </c>
      <c r="L2844" s="879" t="s">
        <v>921</v>
      </c>
      <c r="M2844" s="881" t="s">
        <v>148</v>
      </c>
      <c r="N2844" s="883">
        <v>220000</v>
      </c>
      <c r="O2844" s="55">
        <v>722</v>
      </c>
      <c r="P2844" s="78">
        <v>220000</v>
      </c>
    </row>
    <row r="2845" spans="9:16" ht="12.75" customHeight="1" thickBot="1">
      <c r="I2845" s="882"/>
      <c r="J2845" s="876"/>
      <c r="K2845" s="878"/>
      <c r="L2845" s="880"/>
      <c r="M2845" s="882"/>
      <c r="N2845" s="884"/>
      <c r="O2845" s="56">
        <v>721</v>
      </c>
      <c r="P2845" s="352">
        <f>+N2844-P2844</f>
        <v>0</v>
      </c>
    </row>
    <row r="2846" spans="9:16">
      <c r="I2846" s="881">
        <v>306</v>
      </c>
      <c r="J2846" s="875">
        <v>42660</v>
      </c>
      <c r="K2846" s="877" t="s">
        <v>1176</v>
      </c>
      <c r="L2846" s="879" t="s">
        <v>921</v>
      </c>
      <c r="M2846" s="881" t="s">
        <v>148</v>
      </c>
      <c r="N2846" s="883">
        <v>40000</v>
      </c>
      <c r="O2846" s="55">
        <v>722</v>
      </c>
      <c r="P2846" s="78">
        <v>40000</v>
      </c>
    </row>
    <row r="2847" spans="9:16" ht="12" customHeight="1" thickBot="1">
      <c r="I2847" s="882"/>
      <c r="J2847" s="876"/>
      <c r="K2847" s="878"/>
      <c r="L2847" s="880"/>
      <c r="M2847" s="882"/>
      <c r="N2847" s="884"/>
      <c r="O2847" s="56">
        <v>721</v>
      </c>
      <c r="P2847" s="79">
        <f>+N2846-P2846</f>
        <v>0</v>
      </c>
    </row>
    <row r="2848" spans="9:16">
      <c r="I2848" s="881">
        <v>307</v>
      </c>
      <c r="J2848" s="875">
        <v>42660</v>
      </c>
      <c r="K2848" s="877" t="s">
        <v>738</v>
      </c>
      <c r="L2848" s="879" t="s">
        <v>921</v>
      </c>
      <c r="M2848" s="881" t="s">
        <v>148</v>
      </c>
      <c r="N2848" s="883">
        <v>20000</v>
      </c>
      <c r="O2848" s="55">
        <v>722</v>
      </c>
      <c r="P2848" s="78">
        <v>20000</v>
      </c>
    </row>
    <row r="2849" spans="9:16" ht="14.25" customHeight="1" thickBot="1">
      <c r="I2849" s="882"/>
      <c r="J2849" s="876"/>
      <c r="K2849" s="878"/>
      <c r="L2849" s="880"/>
      <c r="M2849" s="882"/>
      <c r="N2849" s="884"/>
      <c r="O2849" s="56">
        <v>721</v>
      </c>
      <c r="P2849" s="79">
        <f>+N2848-P2848</f>
        <v>0</v>
      </c>
    </row>
    <row r="2850" spans="9:16" ht="14.25" customHeight="1">
      <c r="I2850" s="881">
        <v>308</v>
      </c>
      <c r="J2850" s="875">
        <v>42660</v>
      </c>
      <c r="K2850" s="877" t="s">
        <v>1178</v>
      </c>
      <c r="L2850" s="879" t="s">
        <v>921</v>
      </c>
      <c r="M2850" s="881" t="s">
        <v>148</v>
      </c>
      <c r="N2850" s="883">
        <v>120000</v>
      </c>
      <c r="O2850" s="55">
        <v>722</v>
      </c>
      <c r="P2850" s="78">
        <v>120000</v>
      </c>
    </row>
    <row r="2851" spans="9:16" ht="13.5" customHeight="1" thickBot="1">
      <c r="I2851" s="882"/>
      <c r="J2851" s="876"/>
      <c r="K2851" s="878"/>
      <c r="L2851" s="880"/>
      <c r="M2851" s="882"/>
      <c r="N2851" s="884"/>
      <c r="O2851" s="56">
        <v>721</v>
      </c>
      <c r="P2851" s="79">
        <f>+N2850-P2850</f>
        <v>0</v>
      </c>
    </row>
    <row r="2852" spans="9:16" ht="16.5" thickBot="1">
      <c r="I2852" s="901" t="s">
        <v>102</v>
      </c>
      <c r="J2852" s="902"/>
      <c r="K2852" s="902"/>
      <c r="L2852" s="902"/>
      <c r="M2852" s="903"/>
      <c r="N2852" s="81">
        <f>SUM(N2840:N2851)</f>
        <v>740000</v>
      </c>
    </row>
    <row r="2853" spans="9:16" ht="16.5" thickBot="1">
      <c r="I2853" s="885" t="s">
        <v>103</v>
      </c>
      <c r="J2853" s="886"/>
      <c r="K2853" s="886"/>
      <c r="L2853" s="886"/>
      <c r="M2853" s="887"/>
      <c r="N2853" s="69">
        <f>+N2815</f>
        <v>424865597</v>
      </c>
      <c r="O2853" s="241" t="s">
        <v>561</v>
      </c>
      <c r="P2853" s="242"/>
    </row>
    <row r="2854" spans="9:16" ht="14.25" customHeight="1" thickBot="1">
      <c r="I2854" s="888" t="s">
        <v>104</v>
      </c>
      <c r="J2854" s="889"/>
      <c r="K2854" s="889"/>
      <c r="L2854" s="889"/>
      <c r="M2854" s="890"/>
      <c r="N2854" s="183">
        <f>SUM(N2852:N2853)</f>
        <v>425605597</v>
      </c>
    </row>
    <row r="2855" spans="9:16" ht="12.75" customHeight="1">
      <c r="I2855" s="61"/>
      <c r="J2855" s="61"/>
      <c r="K2855" s="61"/>
      <c r="L2855" s="61"/>
      <c r="M2855" s="61"/>
    </row>
    <row r="2856" spans="9:16">
      <c r="I2856" s="51" t="s">
        <v>1179</v>
      </c>
    </row>
    <row r="2857" spans="9:16" ht="10.5" customHeight="1">
      <c r="N2857" s="139"/>
    </row>
    <row r="2858" spans="9:16">
      <c r="I2858" s="50" t="s">
        <v>105</v>
      </c>
      <c r="L2858" s="146"/>
      <c r="N2858" s="139"/>
    </row>
    <row r="2859" spans="9:16" ht="12" customHeight="1" thickBot="1"/>
    <row r="2860" spans="9:16" ht="15.75" thickBot="1">
      <c r="I2860" s="891" t="s">
        <v>106</v>
      </c>
      <c r="J2860" s="892"/>
      <c r="K2860" s="892"/>
      <c r="L2860" s="893"/>
      <c r="N2860" s="50" t="s">
        <v>288</v>
      </c>
    </row>
    <row r="2861" spans="9:16" ht="30.75" thickBot="1">
      <c r="I2861" s="57" t="s">
        <v>100</v>
      </c>
      <c r="J2861" s="58" t="s">
        <v>108</v>
      </c>
      <c r="K2861" s="287" t="s">
        <v>109</v>
      </c>
      <c r="L2861" s="60" t="s">
        <v>110</v>
      </c>
    </row>
    <row r="2862" spans="9:16">
      <c r="I2862" s="71">
        <v>719</v>
      </c>
      <c r="J2862" s="73"/>
      <c r="K2862" s="74">
        <f>+L2823</f>
        <v>31950000</v>
      </c>
      <c r="L2862" s="195">
        <f>+J2862+K2862</f>
        <v>31950000</v>
      </c>
    </row>
    <row r="2863" spans="9:16">
      <c r="I2863" s="72">
        <v>721</v>
      </c>
      <c r="J2863" s="80">
        <f>+P2841+P2843+P2845+P2847+P2851+P2849</f>
        <v>0</v>
      </c>
      <c r="K2863" s="74">
        <f>+L2824</f>
        <v>18358653</v>
      </c>
      <c r="L2863" s="195">
        <f>+J2863+K2863</f>
        <v>18358653</v>
      </c>
    </row>
    <row r="2864" spans="9:16">
      <c r="I2864" s="72">
        <v>722</v>
      </c>
      <c r="J2864" s="80">
        <f>+P2840+P2842+P2844+P2846+P2848+P2850</f>
        <v>740000</v>
      </c>
      <c r="K2864" s="74">
        <f>+L2825</f>
        <v>4840000</v>
      </c>
      <c r="L2864" s="195">
        <f>+J2864+K2864</f>
        <v>5580000</v>
      </c>
    </row>
    <row r="2865" spans="9:16" ht="15.75">
      <c r="I2865" s="72">
        <v>723</v>
      </c>
      <c r="J2865" s="80"/>
      <c r="K2865" s="74">
        <f>+L2826</f>
        <v>368919444</v>
      </c>
      <c r="L2865" s="195">
        <f>+J2865+K2865</f>
        <v>368919444</v>
      </c>
      <c r="N2865" s="193" t="s">
        <v>289</v>
      </c>
      <c r="O2865" s="175"/>
    </row>
    <row r="2866" spans="9:16" ht="16.5" thickBot="1">
      <c r="I2866" s="164" t="s">
        <v>1077</v>
      </c>
      <c r="J2866" s="165"/>
      <c r="K2866" s="74">
        <f>+L2827</f>
        <v>797500</v>
      </c>
      <c r="L2866" s="196">
        <f>+J2866+K2866</f>
        <v>797500</v>
      </c>
      <c r="N2866" s="52"/>
    </row>
    <row r="2867" spans="9:16" ht="16.5" thickBot="1">
      <c r="I2867" s="169"/>
      <c r="J2867" s="197">
        <f>SUM(J2862:J2866)</f>
        <v>740000</v>
      </c>
      <c r="K2867" s="197">
        <f>SUM(K2862:K2866)</f>
        <v>424865597</v>
      </c>
      <c r="L2867" s="198">
        <f>SUM(L2862:L2866)</f>
        <v>425605597</v>
      </c>
    </row>
    <row r="2868" spans="9:16" ht="16.5">
      <c r="I2868" s="49" t="s">
        <v>88</v>
      </c>
      <c r="J2868" s="50"/>
    </row>
    <row r="2869" spans="9:16">
      <c r="I2869" s="51" t="s">
        <v>89</v>
      </c>
    </row>
    <row r="2870" spans="9:16">
      <c r="I2870" s="51" t="s">
        <v>90</v>
      </c>
    </row>
    <row r="2871" spans="9:16">
      <c r="I2871" s="51" t="s">
        <v>91</v>
      </c>
    </row>
    <row r="2872" spans="9:16" ht="9.75" customHeight="1">
      <c r="I2872" s="50"/>
      <c r="J2872" s="50"/>
    </row>
    <row r="2873" spans="9:16" ht="15.75">
      <c r="I2873" s="260" t="s">
        <v>1186</v>
      </c>
      <c r="O2873" s="52"/>
    </row>
    <row r="2874" spans="9:16" ht="15.75">
      <c r="I2874" s="53" t="s">
        <v>535</v>
      </c>
      <c r="O2874" s="53"/>
    </row>
    <row r="2875" spans="9:16" ht="16.5">
      <c r="I2875" s="894" t="s">
        <v>1190</v>
      </c>
      <c r="J2875" s="894"/>
      <c r="K2875" s="894"/>
      <c r="L2875" s="894"/>
      <c r="M2875" s="894"/>
      <c r="N2875" s="894"/>
      <c r="O2875" s="894"/>
      <c r="P2875" s="894"/>
    </row>
    <row r="2876" spans="9:16" ht="15.75" thickBot="1"/>
    <row r="2877" spans="9:16">
      <c r="I2877" s="895" t="s">
        <v>94</v>
      </c>
      <c r="J2877" s="897" t="s">
        <v>95</v>
      </c>
      <c r="K2877" s="897" t="s">
        <v>96</v>
      </c>
      <c r="L2877" s="897" t="s">
        <v>3</v>
      </c>
      <c r="M2877" s="897" t="s">
        <v>97</v>
      </c>
      <c r="N2877" s="897" t="s">
        <v>98</v>
      </c>
      <c r="O2877" s="897" t="s">
        <v>99</v>
      </c>
      <c r="P2877" s="899"/>
    </row>
    <row r="2878" spans="9:16" ht="15.75" thickBot="1">
      <c r="I2878" s="896"/>
      <c r="J2878" s="898"/>
      <c r="K2878" s="898"/>
      <c r="L2878" s="898"/>
      <c r="M2878" s="898"/>
      <c r="N2878" s="898"/>
      <c r="O2878" s="240" t="s">
        <v>100</v>
      </c>
      <c r="P2878" s="182" t="s">
        <v>101</v>
      </c>
    </row>
    <row r="2879" spans="9:16">
      <c r="I2879" s="881">
        <v>309</v>
      </c>
      <c r="J2879" s="875">
        <v>42674</v>
      </c>
      <c r="K2879" s="877" t="s">
        <v>738</v>
      </c>
      <c r="L2879" s="879" t="s">
        <v>1184</v>
      </c>
      <c r="M2879" s="881" t="s">
        <v>148</v>
      </c>
      <c r="N2879" s="883">
        <v>2672700</v>
      </c>
      <c r="O2879" s="55">
        <v>722</v>
      </c>
      <c r="P2879" s="78">
        <v>0</v>
      </c>
    </row>
    <row r="2880" spans="9:16" ht="15.75" thickBot="1">
      <c r="I2880" s="882"/>
      <c r="J2880" s="876"/>
      <c r="K2880" s="878"/>
      <c r="L2880" s="880"/>
      <c r="M2880" s="882"/>
      <c r="N2880" s="884"/>
      <c r="O2880" s="56">
        <v>721</v>
      </c>
      <c r="P2880" s="351">
        <f>+N2879-P2879</f>
        <v>2672700</v>
      </c>
    </row>
    <row r="2881" spans="9:16" ht="15" customHeight="1">
      <c r="I2881" s="881">
        <v>310</v>
      </c>
      <c r="J2881" s="875">
        <v>42674</v>
      </c>
      <c r="K2881" s="877" t="s">
        <v>738</v>
      </c>
      <c r="L2881" s="879" t="s">
        <v>1185</v>
      </c>
      <c r="M2881" s="881" t="s">
        <v>148</v>
      </c>
      <c r="N2881" s="883">
        <v>28216212</v>
      </c>
      <c r="O2881" s="55">
        <v>722</v>
      </c>
      <c r="P2881" s="78"/>
    </row>
    <row r="2882" spans="9:16" ht="15.75" customHeight="1" thickBot="1">
      <c r="I2882" s="882"/>
      <c r="J2882" s="876"/>
      <c r="K2882" s="878"/>
      <c r="L2882" s="880"/>
      <c r="M2882" s="882"/>
      <c r="N2882" s="884"/>
      <c r="O2882" s="56">
        <v>721</v>
      </c>
      <c r="P2882" s="352">
        <f>+N2881-P2881</f>
        <v>28216212</v>
      </c>
    </row>
    <row r="2883" spans="9:16" ht="15" customHeight="1">
      <c r="I2883" s="881">
        <v>311</v>
      </c>
      <c r="J2883" s="875">
        <v>42674</v>
      </c>
      <c r="K2883" s="877" t="s">
        <v>738</v>
      </c>
      <c r="L2883" s="879" t="s">
        <v>1187</v>
      </c>
      <c r="M2883" s="881" t="s">
        <v>148</v>
      </c>
      <c r="N2883" s="883">
        <v>16677173</v>
      </c>
      <c r="O2883" s="55">
        <v>722</v>
      </c>
      <c r="P2883" s="78"/>
    </row>
    <row r="2884" spans="9:16" ht="15.75" customHeight="1" thickBot="1">
      <c r="I2884" s="882"/>
      <c r="J2884" s="876"/>
      <c r="K2884" s="878"/>
      <c r="L2884" s="880"/>
      <c r="M2884" s="882"/>
      <c r="N2884" s="884"/>
      <c r="O2884" s="56">
        <v>721</v>
      </c>
      <c r="P2884" s="352">
        <f>+N2883-P2883</f>
        <v>16677173</v>
      </c>
    </row>
    <row r="2885" spans="9:16" ht="15" customHeight="1">
      <c r="I2885" s="881">
        <v>312</v>
      </c>
      <c r="J2885" s="875">
        <v>42675</v>
      </c>
      <c r="K2885" s="877" t="s">
        <v>738</v>
      </c>
      <c r="L2885" s="879" t="s">
        <v>1188</v>
      </c>
      <c r="M2885" s="881" t="s">
        <v>148</v>
      </c>
      <c r="N2885" s="883">
        <v>24662327</v>
      </c>
      <c r="O2885" s="55">
        <v>722</v>
      </c>
      <c r="P2885" s="78"/>
    </row>
    <row r="2886" spans="9:16" ht="13.5" customHeight="1" thickBot="1">
      <c r="I2886" s="882"/>
      <c r="J2886" s="876"/>
      <c r="K2886" s="878"/>
      <c r="L2886" s="880"/>
      <c r="M2886" s="882"/>
      <c r="N2886" s="884"/>
      <c r="O2886" s="56">
        <v>721</v>
      </c>
      <c r="P2886" s="79">
        <f>+N2885-P2885</f>
        <v>24662327</v>
      </c>
    </row>
    <row r="2887" spans="9:16">
      <c r="I2887" s="881"/>
      <c r="J2887" s="875"/>
      <c r="K2887" s="877"/>
      <c r="L2887" s="879"/>
      <c r="M2887" s="881"/>
      <c r="N2887" s="883"/>
      <c r="O2887" s="55">
        <v>722</v>
      </c>
      <c r="P2887" s="78"/>
    </row>
    <row r="2888" spans="9:16" ht="13.5" customHeight="1" thickBot="1">
      <c r="I2888" s="882"/>
      <c r="J2888" s="876"/>
      <c r="K2888" s="878"/>
      <c r="L2888" s="880"/>
      <c r="M2888" s="882"/>
      <c r="N2888" s="884"/>
      <c r="O2888" s="56">
        <v>721</v>
      </c>
      <c r="P2888" s="79">
        <f>+N2887-P2887</f>
        <v>0</v>
      </c>
    </row>
    <row r="2889" spans="9:16" ht="16.5" thickBot="1">
      <c r="I2889" s="901" t="s">
        <v>102</v>
      </c>
      <c r="J2889" s="902"/>
      <c r="K2889" s="902"/>
      <c r="L2889" s="902"/>
      <c r="M2889" s="903"/>
      <c r="N2889" s="81">
        <f>SUM(N2879:N2888)</f>
        <v>72228412</v>
      </c>
    </row>
    <row r="2890" spans="9:16" ht="16.5" thickBot="1">
      <c r="I2890" s="885" t="s">
        <v>103</v>
      </c>
      <c r="J2890" s="886"/>
      <c r="K2890" s="886"/>
      <c r="L2890" s="886"/>
      <c r="M2890" s="887"/>
      <c r="N2890" s="69">
        <f>+N2854</f>
        <v>425605597</v>
      </c>
      <c r="O2890" s="241" t="s">
        <v>561</v>
      </c>
      <c r="P2890" s="242"/>
    </row>
    <row r="2891" spans="9:16" ht="16.5" thickBot="1">
      <c r="I2891" s="888" t="s">
        <v>104</v>
      </c>
      <c r="J2891" s="889"/>
      <c r="K2891" s="889"/>
      <c r="L2891" s="889"/>
      <c r="M2891" s="890"/>
      <c r="N2891" s="183">
        <f>SUM(N2889:N2890)</f>
        <v>497834009</v>
      </c>
    </row>
    <row r="2892" spans="9:16">
      <c r="I2892" s="61"/>
      <c r="J2892" s="61"/>
      <c r="K2892" s="61"/>
      <c r="L2892" s="61"/>
      <c r="M2892" s="61"/>
    </row>
    <row r="2893" spans="9:16">
      <c r="I2893" s="51" t="s">
        <v>1189</v>
      </c>
    </row>
    <row r="2894" spans="9:16">
      <c r="N2894" s="139"/>
    </row>
    <row r="2895" spans="9:16">
      <c r="I2895" s="50" t="s">
        <v>105</v>
      </c>
      <c r="L2895" s="146"/>
      <c r="N2895" s="139"/>
    </row>
    <row r="2896" spans="9:16" ht="13.5" customHeight="1" thickBot="1"/>
    <row r="2897" spans="9:16" ht="15.75" thickBot="1">
      <c r="I2897" s="891" t="s">
        <v>106</v>
      </c>
      <c r="J2897" s="892"/>
      <c r="K2897" s="892"/>
      <c r="L2897" s="893"/>
      <c r="N2897" s="50" t="s">
        <v>1126</v>
      </c>
    </row>
    <row r="2898" spans="9:16" ht="30.75" thickBot="1">
      <c r="I2898" s="57" t="s">
        <v>100</v>
      </c>
      <c r="J2898" s="58" t="s">
        <v>108</v>
      </c>
      <c r="K2898" s="287" t="s">
        <v>109</v>
      </c>
      <c r="L2898" s="60" t="s">
        <v>110</v>
      </c>
    </row>
    <row r="2899" spans="9:16">
      <c r="I2899" s="71">
        <v>719</v>
      </c>
      <c r="J2899" s="73"/>
      <c r="K2899" s="74">
        <f>+L2862</f>
        <v>31950000</v>
      </c>
      <c r="L2899" s="195">
        <f>+J2899+K2899</f>
        <v>31950000</v>
      </c>
    </row>
    <row r="2900" spans="9:16">
      <c r="I2900" s="72">
        <v>721</v>
      </c>
      <c r="J2900" s="80">
        <f>+P2880+P2882+P2884+P2886+P2888</f>
        <v>72228412</v>
      </c>
      <c r="K2900" s="74">
        <f>+L2863</f>
        <v>18358653</v>
      </c>
      <c r="L2900" s="195">
        <f>+J2900+K2900</f>
        <v>90587065</v>
      </c>
    </row>
    <row r="2901" spans="9:16">
      <c r="I2901" s="72">
        <v>722</v>
      </c>
      <c r="J2901" s="80">
        <f>+P2879+P2881+P2883+P2885+P2887</f>
        <v>0</v>
      </c>
      <c r="K2901" s="74">
        <f>+L2864</f>
        <v>5580000</v>
      </c>
      <c r="L2901" s="195">
        <f>+J2901+K2901</f>
        <v>5580000</v>
      </c>
    </row>
    <row r="2902" spans="9:16" ht="15.75">
      <c r="I2902" s="72">
        <v>723</v>
      </c>
      <c r="J2902" s="80"/>
      <c r="K2902" s="74">
        <f>+L2865</f>
        <v>368919444</v>
      </c>
      <c r="L2902" s="195">
        <f>+J2902+K2902</f>
        <v>368919444</v>
      </c>
      <c r="N2902" s="193" t="s">
        <v>1028</v>
      </c>
      <c r="O2902" s="175"/>
    </row>
    <row r="2903" spans="9:16" ht="16.5" thickBot="1">
      <c r="I2903" s="164" t="s">
        <v>1077</v>
      </c>
      <c r="J2903" s="165"/>
      <c r="K2903" s="74">
        <f>+L2866</f>
        <v>797500</v>
      </c>
      <c r="L2903" s="196">
        <f>+J2903+K2903</f>
        <v>797500</v>
      </c>
      <c r="N2903" s="52"/>
    </row>
    <row r="2904" spans="9:16" ht="16.5" thickBot="1">
      <c r="I2904" s="169"/>
      <c r="J2904" s="197">
        <f>SUM(J2899:J2903)</f>
        <v>72228412</v>
      </c>
      <c r="K2904" s="197">
        <f>SUM(K2899:K2903)</f>
        <v>425605597</v>
      </c>
      <c r="L2904" s="198">
        <f>SUM(L2899:L2903)</f>
        <v>497834009</v>
      </c>
    </row>
    <row r="2905" spans="9:16" ht="16.5">
      <c r="I2905" s="49" t="s">
        <v>88</v>
      </c>
      <c r="J2905" s="50"/>
    </row>
    <row r="2906" spans="9:16">
      <c r="I2906" s="51" t="s">
        <v>89</v>
      </c>
    </row>
    <row r="2907" spans="9:16">
      <c r="I2907" s="51" t="s">
        <v>90</v>
      </c>
    </row>
    <row r="2908" spans="9:16">
      <c r="I2908" s="51" t="s">
        <v>91</v>
      </c>
    </row>
    <row r="2909" spans="9:16" ht="10.5" customHeight="1">
      <c r="I2909" s="50"/>
      <c r="J2909" s="50"/>
    </row>
    <row r="2910" spans="9:16" ht="15.75">
      <c r="I2910" s="260" t="s">
        <v>1191</v>
      </c>
      <c r="O2910" s="52"/>
    </row>
    <row r="2911" spans="9:16" ht="15.75">
      <c r="I2911" s="53" t="s">
        <v>535</v>
      </c>
      <c r="O2911" s="53"/>
    </row>
    <row r="2912" spans="9:16" ht="16.5">
      <c r="I2912" s="894" t="s">
        <v>909</v>
      </c>
      <c r="J2912" s="894"/>
      <c r="K2912" s="894"/>
      <c r="L2912" s="894"/>
      <c r="M2912" s="894"/>
      <c r="N2912" s="894"/>
      <c r="O2912" s="894"/>
      <c r="P2912" s="894"/>
    </row>
    <row r="2913" spans="9:16" ht="15.75" thickBot="1"/>
    <row r="2914" spans="9:16">
      <c r="I2914" s="895" t="s">
        <v>94</v>
      </c>
      <c r="J2914" s="897" t="s">
        <v>95</v>
      </c>
      <c r="K2914" s="897" t="s">
        <v>96</v>
      </c>
      <c r="L2914" s="897" t="s">
        <v>3</v>
      </c>
      <c r="M2914" s="897" t="s">
        <v>97</v>
      </c>
      <c r="N2914" s="897" t="s">
        <v>98</v>
      </c>
      <c r="O2914" s="897" t="s">
        <v>99</v>
      </c>
      <c r="P2914" s="899"/>
    </row>
    <row r="2915" spans="9:16" ht="15.75" thickBot="1">
      <c r="I2915" s="896"/>
      <c r="J2915" s="898"/>
      <c r="K2915" s="898"/>
      <c r="L2915" s="898"/>
      <c r="M2915" s="898"/>
      <c r="N2915" s="898"/>
      <c r="O2915" s="240" t="s">
        <v>100</v>
      </c>
      <c r="P2915" s="182" t="s">
        <v>101</v>
      </c>
    </row>
    <row r="2916" spans="9:16">
      <c r="I2916" s="881">
        <v>313</v>
      </c>
      <c r="J2916" s="875">
        <v>42657</v>
      </c>
      <c r="K2916" s="877" t="s">
        <v>1014</v>
      </c>
      <c r="L2916" s="879" t="s">
        <v>1192</v>
      </c>
      <c r="M2916" s="881" t="s">
        <v>115</v>
      </c>
      <c r="N2916" s="883">
        <v>70000</v>
      </c>
      <c r="O2916" s="55">
        <v>719</v>
      </c>
      <c r="P2916" s="78">
        <v>70000</v>
      </c>
    </row>
    <row r="2917" spans="9:16" ht="15.75" thickBot="1">
      <c r="I2917" s="882"/>
      <c r="J2917" s="876"/>
      <c r="K2917" s="878"/>
      <c r="L2917" s="880"/>
      <c r="M2917" s="882"/>
      <c r="N2917" s="884"/>
      <c r="O2917" s="56">
        <v>721</v>
      </c>
      <c r="P2917" s="79">
        <f>+N2916-P2916</f>
        <v>0</v>
      </c>
    </row>
    <row r="2918" spans="9:16">
      <c r="I2918" s="881">
        <v>314</v>
      </c>
      <c r="J2918" s="875">
        <v>42657</v>
      </c>
      <c r="K2918" s="877" t="s">
        <v>28</v>
      </c>
      <c r="L2918" s="879" t="s">
        <v>1193</v>
      </c>
      <c r="M2918" s="881" t="s">
        <v>115</v>
      </c>
      <c r="N2918" s="883">
        <v>30000</v>
      </c>
      <c r="O2918" s="55">
        <v>719</v>
      </c>
      <c r="P2918" s="78">
        <v>30000</v>
      </c>
    </row>
    <row r="2919" spans="9:16" ht="15.75" thickBot="1">
      <c r="I2919" s="882"/>
      <c r="J2919" s="876"/>
      <c r="K2919" s="878"/>
      <c r="L2919" s="880"/>
      <c r="M2919" s="882"/>
      <c r="N2919" s="884"/>
      <c r="O2919" s="56">
        <v>721</v>
      </c>
      <c r="P2919" s="79">
        <f>+N2918-P2918</f>
        <v>0</v>
      </c>
    </row>
    <row r="2920" spans="9:16">
      <c r="I2920" s="881">
        <v>315</v>
      </c>
      <c r="J2920" s="875">
        <v>42657</v>
      </c>
      <c r="K2920" s="877" t="s">
        <v>120</v>
      </c>
      <c r="L2920" s="879" t="s">
        <v>1165</v>
      </c>
      <c r="M2920" s="881" t="s">
        <v>115</v>
      </c>
      <c r="N2920" s="883">
        <v>50000</v>
      </c>
      <c r="O2920" s="55">
        <v>719</v>
      </c>
      <c r="P2920" s="78">
        <v>50000</v>
      </c>
    </row>
    <row r="2921" spans="9:16" ht="15.75" thickBot="1">
      <c r="I2921" s="882"/>
      <c r="J2921" s="876"/>
      <c r="K2921" s="878"/>
      <c r="L2921" s="880"/>
      <c r="M2921" s="882"/>
      <c r="N2921" s="884"/>
      <c r="O2921" s="56">
        <v>721</v>
      </c>
      <c r="P2921" s="79">
        <f>+N2920-P2920</f>
        <v>0</v>
      </c>
    </row>
    <row r="2922" spans="9:16">
      <c r="I2922" s="881"/>
      <c r="J2922" s="875"/>
      <c r="K2922" s="877"/>
      <c r="L2922" s="879"/>
      <c r="M2922" s="881"/>
      <c r="N2922" s="883"/>
      <c r="O2922" s="55">
        <v>719</v>
      </c>
      <c r="P2922" s="78">
        <v>0</v>
      </c>
    </row>
    <row r="2923" spans="9:16" ht="14.25" customHeight="1" thickBot="1">
      <c r="I2923" s="882"/>
      <c r="J2923" s="876"/>
      <c r="K2923" s="878"/>
      <c r="L2923" s="880"/>
      <c r="M2923" s="882"/>
      <c r="N2923" s="884"/>
      <c r="O2923" s="56">
        <v>721</v>
      </c>
      <c r="P2923" s="79">
        <f>+N2922-P2922</f>
        <v>0</v>
      </c>
    </row>
    <row r="2924" spans="9:16" ht="13.5" customHeight="1">
      <c r="I2924" s="881"/>
      <c r="J2924" s="875"/>
      <c r="K2924" s="877"/>
      <c r="L2924" s="879"/>
      <c r="M2924" s="881"/>
      <c r="N2924" s="883"/>
      <c r="O2924" s="55">
        <v>719</v>
      </c>
      <c r="P2924" s="78"/>
    </row>
    <row r="2925" spans="9:16" ht="12.75" customHeight="1" thickBot="1">
      <c r="I2925" s="882"/>
      <c r="J2925" s="876"/>
      <c r="K2925" s="878"/>
      <c r="L2925" s="880"/>
      <c r="M2925" s="882"/>
      <c r="N2925" s="884"/>
      <c r="O2925" s="56">
        <v>721</v>
      </c>
      <c r="P2925" s="79">
        <f>+N2924-P2924</f>
        <v>0</v>
      </c>
    </row>
    <row r="2926" spans="9:16" ht="16.5" thickBot="1">
      <c r="I2926" s="901" t="s">
        <v>102</v>
      </c>
      <c r="J2926" s="902"/>
      <c r="K2926" s="902"/>
      <c r="L2926" s="902"/>
      <c r="M2926" s="903"/>
      <c r="N2926" s="81">
        <f>SUM(N2916:N2925)</f>
        <v>150000</v>
      </c>
    </row>
    <row r="2927" spans="9:16" ht="16.5" thickBot="1">
      <c r="I2927" s="885" t="s">
        <v>103</v>
      </c>
      <c r="J2927" s="886"/>
      <c r="K2927" s="886"/>
      <c r="L2927" s="886"/>
      <c r="M2927" s="887"/>
      <c r="N2927" s="69">
        <f>+N2891</f>
        <v>497834009</v>
      </c>
      <c r="O2927" s="241" t="s">
        <v>561</v>
      </c>
      <c r="P2927" s="242">
        <f>76+80+291</f>
        <v>447</v>
      </c>
    </row>
    <row r="2928" spans="9:16" ht="16.5" thickBot="1">
      <c r="I2928" s="888" t="s">
        <v>104</v>
      </c>
      <c r="J2928" s="889"/>
      <c r="K2928" s="889"/>
      <c r="L2928" s="889"/>
      <c r="M2928" s="890"/>
      <c r="N2928" s="183">
        <f>SUM(N2926:N2927)</f>
        <v>497984009</v>
      </c>
    </row>
    <row r="2929" spans="9:15">
      <c r="I2929" s="61"/>
      <c r="J2929" s="61"/>
      <c r="K2929" s="61"/>
      <c r="L2929" s="61"/>
      <c r="M2929" s="61"/>
    </row>
    <row r="2930" spans="9:15">
      <c r="I2930" s="51" t="s">
        <v>1194</v>
      </c>
    </row>
    <row r="2931" spans="9:15">
      <c r="N2931" s="139"/>
    </row>
    <row r="2932" spans="9:15">
      <c r="I2932" s="50" t="s">
        <v>105</v>
      </c>
      <c r="L2932" s="146"/>
      <c r="N2932" s="139"/>
    </row>
    <row r="2933" spans="9:15" ht="12.75" customHeight="1" thickBot="1"/>
    <row r="2934" spans="9:15" ht="15.75" thickBot="1">
      <c r="I2934" s="891" t="s">
        <v>106</v>
      </c>
      <c r="J2934" s="892"/>
      <c r="K2934" s="892"/>
      <c r="L2934" s="893"/>
      <c r="N2934" s="50" t="s">
        <v>1126</v>
      </c>
    </row>
    <row r="2935" spans="9:15" ht="30.75" thickBot="1">
      <c r="I2935" s="57" t="s">
        <v>100</v>
      </c>
      <c r="J2935" s="58" t="s">
        <v>108</v>
      </c>
      <c r="K2935" s="287" t="s">
        <v>109</v>
      </c>
      <c r="L2935" s="60" t="s">
        <v>110</v>
      </c>
    </row>
    <row r="2936" spans="9:15">
      <c r="I2936" s="71">
        <v>719</v>
      </c>
      <c r="J2936" s="73">
        <f>+P2916+P2918+P2920+P2922</f>
        <v>150000</v>
      </c>
      <c r="K2936" s="74">
        <f>+L2899</f>
        <v>31950000</v>
      </c>
      <c r="L2936" s="195">
        <f>+J2936+K2936</f>
        <v>32100000</v>
      </c>
    </row>
    <row r="2937" spans="9:15">
      <c r="I2937" s="72">
        <v>721</v>
      </c>
      <c r="J2937" s="80">
        <f>+P2917+P2919+P2921+P2923+P2925</f>
        <v>0</v>
      </c>
      <c r="K2937" s="74">
        <f>+L2900</f>
        <v>90587065</v>
      </c>
      <c r="L2937" s="195">
        <f>+J2937+K2937</f>
        <v>90587065</v>
      </c>
    </row>
    <row r="2938" spans="9:15">
      <c r="I2938" s="72">
        <v>722</v>
      </c>
      <c r="J2938" s="80"/>
      <c r="K2938" s="74">
        <f>+L2901</f>
        <v>5580000</v>
      </c>
      <c r="L2938" s="195">
        <f>+J2938+K2938</f>
        <v>5580000</v>
      </c>
    </row>
    <row r="2939" spans="9:15" ht="15.75">
      <c r="I2939" s="72">
        <v>723</v>
      </c>
      <c r="J2939" s="80"/>
      <c r="K2939" s="74">
        <f>+L2902</f>
        <v>368919444</v>
      </c>
      <c r="L2939" s="195">
        <f>+J2939+K2939</f>
        <v>368919444</v>
      </c>
      <c r="N2939" s="193" t="s">
        <v>1028</v>
      </c>
      <c r="O2939" s="175"/>
    </row>
    <row r="2940" spans="9:15" ht="16.5" thickBot="1">
      <c r="I2940" s="164" t="s">
        <v>1077</v>
      </c>
      <c r="J2940" s="165"/>
      <c r="K2940" s="74">
        <f>+L2903</f>
        <v>797500</v>
      </c>
      <c r="L2940" s="196">
        <f>+J2940+K2940</f>
        <v>797500</v>
      </c>
      <c r="N2940" s="52"/>
    </row>
    <row r="2941" spans="9:15" ht="16.5" thickBot="1">
      <c r="I2941" s="169"/>
      <c r="J2941" s="197">
        <f>SUM(J2936:J2940)</f>
        <v>150000</v>
      </c>
      <c r="K2941" s="197">
        <f>SUM(K2936:K2940)</f>
        <v>497834009</v>
      </c>
      <c r="L2941" s="198">
        <f>SUM(L2936:L2940)</f>
        <v>497984009</v>
      </c>
    </row>
    <row r="2942" spans="9:15" ht="16.5">
      <c r="I2942" s="49" t="s">
        <v>88</v>
      </c>
      <c r="J2942" s="50"/>
    </row>
    <row r="2943" spans="9:15">
      <c r="I2943" s="51" t="s">
        <v>89</v>
      </c>
    </row>
    <row r="2944" spans="9:15">
      <c r="I2944" s="51" t="s">
        <v>90</v>
      </c>
    </row>
    <row r="2945" spans="9:16">
      <c r="I2945" s="51" t="s">
        <v>91</v>
      </c>
    </row>
    <row r="2946" spans="9:16" ht="9.75" customHeight="1">
      <c r="I2946" s="50"/>
      <c r="J2946" s="50"/>
    </row>
    <row r="2947" spans="9:16" ht="15.75">
      <c r="I2947" s="260" t="s">
        <v>1197</v>
      </c>
      <c r="O2947" s="52"/>
    </row>
    <row r="2948" spans="9:16" ht="15.75">
      <c r="I2948" s="53" t="s">
        <v>535</v>
      </c>
      <c r="O2948" s="53"/>
    </row>
    <row r="2949" spans="9:16" ht="16.5">
      <c r="I2949" s="894" t="s">
        <v>909</v>
      </c>
      <c r="J2949" s="894"/>
      <c r="K2949" s="894"/>
      <c r="L2949" s="894"/>
      <c r="M2949" s="894"/>
      <c r="N2949" s="894"/>
      <c r="O2949" s="894"/>
      <c r="P2949" s="894"/>
    </row>
    <row r="2950" spans="9:16" ht="15.75" thickBot="1"/>
    <row r="2951" spans="9:16">
      <c r="I2951" s="895" t="s">
        <v>94</v>
      </c>
      <c r="J2951" s="897" t="s">
        <v>95</v>
      </c>
      <c r="K2951" s="897" t="s">
        <v>96</v>
      </c>
      <c r="L2951" s="897" t="s">
        <v>3</v>
      </c>
      <c r="M2951" s="897" t="s">
        <v>97</v>
      </c>
      <c r="N2951" s="897" t="s">
        <v>98</v>
      </c>
      <c r="O2951" s="897" t="s">
        <v>99</v>
      </c>
      <c r="P2951" s="899"/>
    </row>
    <row r="2952" spans="9:16" ht="15.75" thickBot="1">
      <c r="I2952" s="896"/>
      <c r="J2952" s="898"/>
      <c r="K2952" s="898"/>
      <c r="L2952" s="898"/>
      <c r="M2952" s="898"/>
      <c r="N2952" s="898"/>
      <c r="O2952" s="240" t="s">
        <v>100</v>
      </c>
      <c r="P2952" s="182" t="s">
        <v>101</v>
      </c>
    </row>
    <row r="2953" spans="9:16">
      <c r="I2953" s="881">
        <v>316</v>
      </c>
      <c r="J2953" s="875">
        <v>42684</v>
      </c>
      <c r="K2953" s="877" t="s">
        <v>267</v>
      </c>
      <c r="L2953" s="879" t="s">
        <v>1195</v>
      </c>
      <c r="M2953" s="881" t="s">
        <v>148</v>
      </c>
      <c r="N2953" s="883">
        <v>130000</v>
      </c>
      <c r="O2953" s="55">
        <v>719</v>
      </c>
      <c r="P2953" s="78">
        <v>100000</v>
      </c>
    </row>
    <row r="2954" spans="9:16" ht="15.75" thickBot="1">
      <c r="I2954" s="882"/>
      <c r="J2954" s="876"/>
      <c r="K2954" s="878"/>
      <c r="L2954" s="880"/>
      <c r="M2954" s="882"/>
      <c r="N2954" s="884"/>
      <c r="O2954" s="56">
        <v>721</v>
      </c>
      <c r="P2954" s="79">
        <f>+N2953-P2953</f>
        <v>30000</v>
      </c>
    </row>
    <row r="2955" spans="9:16" ht="15" customHeight="1">
      <c r="I2955" s="881">
        <v>317</v>
      </c>
      <c r="J2955" s="875">
        <v>42684</v>
      </c>
      <c r="K2955" s="877" t="s">
        <v>28</v>
      </c>
      <c r="L2955" s="879" t="s">
        <v>1196</v>
      </c>
      <c r="M2955" s="881" t="s">
        <v>148</v>
      </c>
      <c r="N2955" s="883">
        <v>559000</v>
      </c>
      <c r="O2955" s="55">
        <v>719</v>
      </c>
      <c r="P2955" s="78">
        <v>430000</v>
      </c>
    </row>
    <row r="2956" spans="9:16" ht="15.75" customHeight="1" thickBot="1">
      <c r="I2956" s="882"/>
      <c r="J2956" s="876"/>
      <c r="K2956" s="878"/>
      <c r="L2956" s="880"/>
      <c r="M2956" s="882"/>
      <c r="N2956" s="884"/>
      <c r="O2956" s="56">
        <v>721</v>
      </c>
      <c r="P2956" s="79">
        <f>+N2955-P2955</f>
        <v>129000</v>
      </c>
    </row>
    <row r="2957" spans="9:16" ht="15" customHeight="1">
      <c r="I2957" s="881">
        <v>318</v>
      </c>
      <c r="J2957" s="875">
        <v>42684</v>
      </c>
      <c r="K2957" s="877" t="s">
        <v>111</v>
      </c>
      <c r="L2957" s="879" t="s">
        <v>1198</v>
      </c>
      <c r="M2957" s="881" t="s">
        <v>148</v>
      </c>
      <c r="N2957" s="883">
        <v>104000</v>
      </c>
      <c r="O2957" s="55">
        <v>719</v>
      </c>
      <c r="P2957" s="78">
        <v>80000</v>
      </c>
    </row>
    <row r="2958" spans="9:16" ht="15.75" customHeight="1" thickBot="1">
      <c r="I2958" s="882"/>
      <c r="J2958" s="876"/>
      <c r="K2958" s="878"/>
      <c r="L2958" s="880"/>
      <c r="M2958" s="882"/>
      <c r="N2958" s="884"/>
      <c r="O2958" s="56">
        <v>721</v>
      </c>
      <c r="P2958" s="79">
        <f>+N2957-P2957</f>
        <v>24000</v>
      </c>
    </row>
    <row r="2959" spans="9:16" ht="15" customHeight="1">
      <c r="I2959" s="881">
        <v>319</v>
      </c>
      <c r="J2959" s="875">
        <v>42684</v>
      </c>
      <c r="K2959" s="877" t="s">
        <v>1014</v>
      </c>
      <c r="L2959" s="879" t="s">
        <v>1196</v>
      </c>
      <c r="M2959" s="881" t="s">
        <v>148</v>
      </c>
      <c r="N2959" s="883">
        <v>1105000</v>
      </c>
      <c r="O2959" s="55">
        <v>719</v>
      </c>
      <c r="P2959" s="78">
        <v>850000</v>
      </c>
    </row>
    <row r="2960" spans="9:16" ht="15.75" customHeight="1" thickBot="1">
      <c r="I2960" s="882"/>
      <c r="J2960" s="876"/>
      <c r="K2960" s="878"/>
      <c r="L2960" s="880"/>
      <c r="M2960" s="882"/>
      <c r="N2960" s="884"/>
      <c r="O2960" s="56">
        <v>721</v>
      </c>
      <c r="P2960" s="79">
        <f>+N2959-P2959</f>
        <v>255000</v>
      </c>
    </row>
    <row r="2961" spans="9:16">
      <c r="I2961" s="881"/>
      <c r="J2961" s="875"/>
      <c r="K2961" s="877"/>
      <c r="L2961" s="879"/>
      <c r="M2961" s="881"/>
      <c r="N2961" s="883"/>
      <c r="O2961" s="55">
        <v>719</v>
      </c>
      <c r="P2961" s="78"/>
    </row>
    <row r="2962" spans="9:16" ht="15.75" thickBot="1">
      <c r="I2962" s="882"/>
      <c r="J2962" s="876"/>
      <c r="K2962" s="878"/>
      <c r="L2962" s="880"/>
      <c r="M2962" s="882"/>
      <c r="N2962" s="884"/>
      <c r="O2962" s="56">
        <v>721</v>
      </c>
      <c r="P2962" s="79">
        <f>+N2961-P2961</f>
        <v>0</v>
      </c>
    </row>
    <row r="2963" spans="9:16" ht="16.5" thickBot="1">
      <c r="I2963" s="901" t="s">
        <v>102</v>
      </c>
      <c r="J2963" s="902"/>
      <c r="K2963" s="902"/>
      <c r="L2963" s="902"/>
      <c r="M2963" s="903"/>
      <c r="N2963" s="81">
        <f>SUM(N2953:N2962)</f>
        <v>1898000</v>
      </c>
    </row>
    <row r="2964" spans="9:16" ht="16.5" thickBot="1">
      <c r="I2964" s="885" t="s">
        <v>103</v>
      </c>
      <c r="J2964" s="886"/>
      <c r="K2964" s="886"/>
      <c r="L2964" s="886"/>
      <c r="M2964" s="887"/>
      <c r="N2964" s="69">
        <f>+N2928</f>
        <v>497984009</v>
      </c>
      <c r="O2964" s="241" t="s">
        <v>561</v>
      </c>
      <c r="P2964" s="242">
        <f>1061+35+841+56</f>
        <v>1993</v>
      </c>
    </row>
    <row r="2965" spans="9:16" ht="16.5" thickBot="1">
      <c r="I2965" s="888" t="s">
        <v>104</v>
      </c>
      <c r="J2965" s="889"/>
      <c r="K2965" s="889"/>
      <c r="L2965" s="889"/>
      <c r="M2965" s="890"/>
      <c r="N2965" s="183">
        <f>SUM(N2963:N2964)</f>
        <v>499882009</v>
      </c>
    </row>
    <row r="2966" spans="9:16">
      <c r="I2966" s="61"/>
      <c r="J2966" s="61"/>
      <c r="K2966" s="61"/>
      <c r="L2966" s="61"/>
      <c r="M2966" s="61"/>
    </row>
    <row r="2967" spans="9:16">
      <c r="I2967" s="51" t="s">
        <v>1199</v>
      </c>
    </row>
    <row r="2968" spans="9:16">
      <c r="N2968" s="139"/>
    </row>
    <row r="2969" spans="9:16">
      <c r="I2969" s="50" t="s">
        <v>105</v>
      </c>
      <c r="L2969" s="146"/>
      <c r="N2969" s="139"/>
    </row>
    <row r="2970" spans="9:16" ht="10.5" customHeight="1" thickBot="1"/>
    <row r="2971" spans="9:16" ht="15.75" thickBot="1">
      <c r="I2971" s="891" t="s">
        <v>106</v>
      </c>
      <c r="J2971" s="892"/>
      <c r="K2971" s="892"/>
      <c r="L2971" s="893"/>
      <c r="N2971" s="50" t="s">
        <v>1126</v>
      </c>
    </row>
    <row r="2972" spans="9:16" ht="30.75" thickBot="1">
      <c r="I2972" s="57" t="s">
        <v>100</v>
      </c>
      <c r="J2972" s="58" t="s">
        <v>108</v>
      </c>
      <c r="K2972" s="287" t="s">
        <v>109</v>
      </c>
      <c r="L2972" s="60" t="s">
        <v>110</v>
      </c>
    </row>
    <row r="2973" spans="9:16">
      <c r="I2973" s="71">
        <v>719</v>
      </c>
      <c r="J2973" s="73">
        <f>+P2953+P2955+P2957+P2959</f>
        <v>1460000</v>
      </c>
      <c r="K2973" s="74">
        <f>+L2936</f>
        <v>32100000</v>
      </c>
      <c r="L2973" s="195">
        <f>+J2973+K2973</f>
        <v>33560000</v>
      </c>
    </row>
    <row r="2974" spans="9:16">
      <c r="I2974" s="72">
        <v>721</v>
      </c>
      <c r="J2974" s="80">
        <f>+P2954+P2956+P2958+P2960+P2962</f>
        <v>438000</v>
      </c>
      <c r="K2974" s="74">
        <f>+L2937</f>
        <v>90587065</v>
      </c>
      <c r="L2974" s="195">
        <f>+J2974+K2974</f>
        <v>91025065</v>
      </c>
    </row>
    <row r="2975" spans="9:16">
      <c r="I2975" s="72">
        <v>722</v>
      </c>
      <c r="J2975" s="80"/>
      <c r="K2975" s="74">
        <f>+L2938</f>
        <v>5580000</v>
      </c>
      <c r="L2975" s="195">
        <f>+J2975+K2975</f>
        <v>5580000</v>
      </c>
    </row>
    <row r="2976" spans="9:16" ht="15.75">
      <c r="I2976" s="72">
        <v>723</v>
      </c>
      <c r="J2976" s="80"/>
      <c r="K2976" s="74">
        <f>+L2939</f>
        <v>368919444</v>
      </c>
      <c r="L2976" s="195">
        <f>+J2976+K2976</f>
        <v>368919444</v>
      </c>
      <c r="N2976" s="193" t="s">
        <v>1028</v>
      </c>
      <c r="O2976" s="175"/>
    </row>
    <row r="2977" spans="9:16" ht="16.5" thickBot="1">
      <c r="I2977" s="164" t="s">
        <v>1077</v>
      </c>
      <c r="J2977" s="165"/>
      <c r="K2977" s="74">
        <f>+L2940</f>
        <v>797500</v>
      </c>
      <c r="L2977" s="196">
        <f>+J2977+K2977</f>
        <v>797500</v>
      </c>
      <c r="N2977" s="52"/>
    </row>
    <row r="2978" spans="9:16" ht="16.5" thickBot="1">
      <c r="I2978" s="169"/>
      <c r="J2978" s="197">
        <f>SUM(J2973:J2977)</f>
        <v>1898000</v>
      </c>
      <c r="K2978" s="197">
        <f>SUM(K2973:K2977)</f>
        <v>497984009</v>
      </c>
      <c r="L2978" s="198">
        <f>SUM(L2973:L2977)</f>
        <v>499882009</v>
      </c>
    </row>
    <row r="2979" spans="9:16" ht="16.5">
      <c r="I2979" s="49" t="s">
        <v>88</v>
      </c>
      <c r="J2979" s="50"/>
    </row>
    <row r="2980" spans="9:16">
      <c r="I2980" s="51" t="s">
        <v>89</v>
      </c>
    </row>
    <row r="2981" spans="9:16">
      <c r="I2981" s="51" t="s">
        <v>90</v>
      </c>
    </row>
    <row r="2982" spans="9:16">
      <c r="I2982" s="51" t="s">
        <v>91</v>
      </c>
    </row>
    <row r="2983" spans="9:16" ht="12" customHeight="1">
      <c r="I2983" s="50"/>
      <c r="J2983" s="50"/>
    </row>
    <row r="2984" spans="9:16" ht="15.75">
      <c r="I2984" s="260" t="s">
        <v>1200</v>
      </c>
      <c r="O2984" s="52"/>
    </row>
    <row r="2985" spans="9:16" ht="15.75">
      <c r="I2985" s="53" t="s">
        <v>535</v>
      </c>
      <c r="O2985" s="53"/>
    </row>
    <row r="2986" spans="9:16" ht="16.5">
      <c r="I2986" s="894" t="s">
        <v>909</v>
      </c>
      <c r="J2986" s="894"/>
      <c r="K2986" s="894"/>
      <c r="L2986" s="894"/>
      <c r="M2986" s="894"/>
      <c r="N2986" s="894"/>
      <c r="O2986" s="894"/>
      <c r="P2986" s="894"/>
    </row>
    <row r="2987" spans="9:16" ht="15.75" thickBot="1"/>
    <row r="2988" spans="9:16">
      <c r="I2988" s="895" t="s">
        <v>94</v>
      </c>
      <c r="J2988" s="897" t="s">
        <v>95</v>
      </c>
      <c r="K2988" s="897" t="s">
        <v>96</v>
      </c>
      <c r="L2988" s="897" t="s">
        <v>3</v>
      </c>
      <c r="M2988" s="897" t="s">
        <v>97</v>
      </c>
      <c r="N2988" s="897" t="s">
        <v>98</v>
      </c>
      <c r="O2988" s="897" t="s">
        <v>99</v>
      </c>
      <c r="P2988" s="899"/>
    </row>
    <row r="2989" spans="9:16" ht="15.75" thickBot="1">
      <c r="I2989" s="896"/>
      <c r="J2989" s="898"/>
      <c r="K2989" s="898"/>
      <c r="L2989" s="898"/>
      <c r="M2989" s="898"/>
      <c r="N2989" s="898"/>
      <c r="O2989" s="240" t="s">
        <v>100</v>
      </c>
      <c r="P2989" s="182" t="s">
        <v>101</v>
      </c>
    </row>
    <row r="2990" spans="9:16">
      <c r="I2990" s="881">
        <v>320</v>
      </c>
      <c r="J2990" s="875">
        <v>42684</v>
      </c>
      <c r="K2990" s="877" t="s">
        <v>267</v>
      </c>
      <c r="L2990" s="879" t="s">
        <v>1201</v>
      </c>
      <c r="M2990" s="881" t="s">
        <v>148</v>
      </c>
      <c r="N2990" s="883">
        <v>52000</v>
      </c>
      <c r="O2990" s="55">
        <v>719</v>
      </c>
      <c r="P2990" s="78">
        <v>40000</v>
      </c>
    </row>
    <row r="2991" spans="9:16" ht="15.75" thickBot="1">
      <c r="I2991" s="882"/>
      <c r="J2991" s="876"/>
      <c r="K2991" s="878"/>
      <c r="L2991" s="880"/>
      <c r="M2991" s="882"/>
      <c r="N2991" s="884"/>
      <c r="O2991" s="56">
        <v>721</v>
      </c>
      <c r="P2991" s="79">
        <f>+N2990-P2990</f>
        <v>12000</v>
      </c>
    </row>
    <row r="2992" spans="9:16">
      <c r="I2992" s="881">
        <v>321</v>
      </c>
      <c r="J2992" s="875">
        <v>42684</v>
      </c>
      <c r="K2992" s="877" t="s">
        <v>28</v>
      </c>
      <c r="L2992" s="879" t="s">
        <v>1202</v>
      </c>
      <c r="M2992" s="881" t="s">
        <v>148</v>
      </c>
      <c r="N2992" s="883">
        <v>442000</v>
      </c>
      <c r="O2992" s="55">
        <v>719</v>
      </c>
      <c r="P2992" s="78">
        <v>340000</v>
      </c>
    </row>
    <row r="2993" spans="9:16" ht="15.75" thickBot="1">
      <c r="I2993" s="882"/>
      <c r="J2993" s="876"/>
      <c r="K2993" s="878"/>
      <c r="L2993" s="880"/>
      <c r="M2993" s="882"/>
      <c r="N2993" s="884"/>
      <c r="O2993" s="56">
        <v>721</v>
      </c>
      <c r="P2993" s="79">
        <f>+N2992-P2992</f>
        <v>102000</v>
      </c>
    </row>
    <row r="2994" spans="9:16">
      <c r="I2994" s="881">
        <v>322</v>
      </c>
      <c r="J2994" s="875">
        <v>42684</v>
      </c>
      <c r="K2994" s="877" t="s">
        <v>111</v>
      </c>
      <c r="L2994" s="879" t="s">
        <v>1203</v>
      </c>
      <c r="M2994" s="881" t="s">
        <v>148</v>
      </c>
      <c r="N2994" s="883">
        <v>104000</v>
      </c>
      <c r="O2994" s="55">
        <v>719</v>
      </c>
      <c r="P2994" s="78">
        <v>80000</v>
      </c>
    </row>
    <row r="2995" spans="9:16" ht="15.75" thickBot="1">
      <c r="I2995" s="882"/>
      <c r="J2995" s="876"/>
      <c r="K2995" s="878"/>
      <c r="L2995" s="880"/>
      <c r="M2995" s="882"/>
      <c r="N2995" s="884"/>
      <c r="O2995" s="56">
        <v>721</v>
      </c>
      <c r="P2995" s="79">
        <f>+N2994-P2994</f>
        <v>24000</v>
      </c>
    </row>
    <row r="2996" spans="9:16">
      <c r="I2996" s="881">
        <v>323</v>
      </c>
      <c r="J2996" s="875">
        <v>42684</v>
      </c>
      <c r="K2996" s="877" t="s">
        <v>1014</v>
      </c>
      <c r="L2996" s="879" t="s">
        <v>1202</v>
      </c>
      <c r="M2996" s="881" t="s">
        <v>148</v>
      </c>
      <c r="N2996" s="883">
        <v>1053000</v>
      </c>
      <c r="O2996" s="55">
        <v>719</v>
      </c>
      <c r="P2996" s="78">
        <v>810000</v>
      </c>
    </row>
    <row r="2997" spans="9:16" ht="15.75" thickBot="1">
      <c r="I2997" s="882"/>
      <c r="J2997" s="876"/>
      <c r="K2997" s="878"/>
      <c r="L2997" s="880"/>
      <c r="M2997" s="882"/>
      <c r="N2997" s="884"/>
      <c r="O2997" s="56">
        <v>721</v>
      </c>
      <c r="P2997" s="79">
        <f>+N2996-P2996</f>
        <v>243000</v>
      </c>
    </row>
    <row r="2998" spans="9:16">
      <c r="I2998" s="881"/>
      <c r="J2998" s="875"/>
      <c r="K2998" s="877"/>
      <c r="L2998" s="879"/>
      <c r="M2998" s="881"/>
      <c r="N2998" s="883"/>
      <c r="O2998" s="55">
        <v>719</v>
      </c>
      <c r="P2998" s="78"/>
    </row>
    <row r="2999" spans="9:16" ht="15.75" thickBot="1">
      <c r="I2999" s="882"/>
      <c r="J2999" s="876"/>
      <c r="K2999" s="878"/>
      <c r="L2999" s="880"/>
      <c r="M2999" s="882"/>
      <c r="N2999" s="884"/>
      <c r="O2999" s="56">
        <v>721</v>
      </c>
      <c r="P2999" s="79">
        <f>+N2998-P2998</f>
        <v>0</v>
      </c>
    </row>
    <row r="3000" spans="9:16" ht="16.5" thickBot="1">
      <c r="I3000" s="901" t="s">
        <v>102</v>
      </c>
      <c r="J3000" s="902"/>
      <c r="K3000" s="902"/>
      <c r="L3000" s="902"/>
      <c r="M3000" s="903"/>
      <c r="N3000" s="81">
        <f>SUM(N2990:N2999)</f>
        <v>1651000</v>
      </c>
    </row>
    <row r="3001" spans="9:16" ht="16.5" thickBot="1">
      <c r="I3001" s="885" t="s">
        <v>103</v>
      </c>
      <c r="J3001" s="886"/>
      <c r="K3001" s="886"/>
      <c r="L3001" s="886"/>
      <c r="M3001" s="887"/>
      <c r="N3001" s="69">
        <f>+N2965</f>
        <v>499882009</v>
      </c>
      <c r="O3001" s="241" t="s">
        <v>561</v>
      </c>
      <c r="P3001" s="242">
        <f>1174+29+720+29</f>
        <v>1952</v>
      </c>
    </row>
    <row r="3002" spans="9:16" ht="16.5" thickBot="1">
      <c r="I3002" s="888" t="s">
        <v>104</v>
      </c>
      <c r="J3002" s="889"/>
      <c r="K3002" s="889"/>
      <c r="L3002" s="889"/>
      <c r="M3002" s="890"/>
      <c r="N3002" s="183">
        <f>SUM(N3000:N3001)</f>
        <v>501533009</v>
      </c>
    </row>
    <row r="3003" spans="9:16" ht="11.25" customHeight="1">
      <c r="I3003" s="61"/>
      <c r="J3003" s="61"/>
      <c r="K3003" s="61"/>
      <c r="L3003" s="61"/>
      <c r="M3003" s="61"/>
    </row>
    <row r="3004" spans="9:16">
      <c r="I3004" s="51" t="s">
        <v>1204</v>
      </c>
    </row>
    <row r="3005" spans="9:16">
      <c r="N3005" s="139"/>
    </row>
    <row r="3006" spans="9:16">
      <c r="I3006" s="50" t="s">
        <v>105</v>
      </c>
      <c r="L3006" s="146"/>
      <c r="N3006" s="139"/>
    </row>
    <row r="3007" spans="9:16" ht="14.25" customHeight="1" thickBot="1"/>
    <row r="3008" spans="9:16" ht="15.75" thickBot="1">
      <c r="I3008" s="891" t="s">
        <v>106</v>
      </c>
      <c r="J3008" s="892"/>
      <c r="K3008" s="892"/>
      <c r="L3008" s="893"/>
      <c r="N3008" s="50" t="s">
        <v>1126</v>
      </c>
    </row>
    <row r="3009" spans="9:16" ht="30.75" thickBot="1">
      <c r="I3009" s="57" t="s">
        <v>100</v>
      </c>
      <c r="J3009" s="58" t="s">
        <v>108</v>
      </c>
      <c r="K3009" s="287" t="s">
        <v>109</v>
      </c>
      <c r="L3009" s="60" t="s">
        <v>110</v>
      </c>
    </row>
    <row r="3010" spans="9:16">
      <c r="I3010" s="71">
        <v>719</v>
      </c>
      <c r="J3010" s="73">
        <f>+P2990+P2992+P2994+P2996</f>
        <v>1270000</v>
      </c>
      <c r="K3010" s="74">
        <f>+L2973</f>
        <v>33560000</v>
      </c>
      <c r="L3010" s="195">
        <f>+J3010+K3010</f>
        <v>34830000</v>
      </c>
    </row>
    <row r="3011" spans="9:16">
      <c r="I3011" s="72">
        <v>721</v>
      </c>
      <c r="J3011" s="80">
        <f>+P2991+P2993+P2995+P2997+P2999</f>
        <v>381000</v>
      </c>
      <c r="K3011" s="74">
        <f>+L2974</f>
        <v>91025065</v>
      </c>
      <c r="L3011" s="195">
        <f>+J3011+K3011</f>
        <v>91406065</v>
      </c>
    </row>
    <row r="3012" spans="9:16">
      <c r="I3012" s="72">
        <v>722</v>
      </c>
      <c r="J3012" s="80"/>
      <c r="K3012" s="74">
        <f>+L2975</f>
        <v>5580000</v>
      </c>
      <c r="L3012" s="195">
        <f>+J3012+K3012</f>
        <v>5580000</v>
      </c>
    </row>
    <row r="3013" spans="9:16" ht="15.75">
      <c r="I3013" s="72">
        <v>723</v>
      </c>
      <c r="J3013" s="80"/>
      <c r="K3013" s="74">
        <f>+L2976</f>
        <v>368919444</v>
      </c>
      <c r="L3013" s="195">
        <f>+J3013+K3013</f>
        <v>368919444</v>
      </c>
      <c r="N3013" s="193" t="s">
        <v>1028</v>
      </c>
      <c r="O3013" s="175"/>
    </row>
    <row r="3014" spans="9:16" ht="16.5" thickBot="1">
      <c r="I3014" s="164" t="s">
        <v>1077</v>
      </c>
      <c r="J3014" s="165"/>
      <c r="K3014" s="74">
        <f>+L2977</f>
        <v>797500</v>
      </c>
      <c r="L3014" s="196">
        <f>+J3014+K3014</f>
        <v>797500</v>
      </c>
      <c r="N3014" s="52"/>
    </row>
    <row r="3015" spans="9:16" ht="16.5" thickBot="1">
      <c r="I3015" s="169"/>
      <c r="J3015" s="197">
        <f>SUM(J3010:J3014)</f>
        <v>1651000</v>
      </c>
      <c r="K3015" s="197">
        <f>SUM(K3010:K3014)</f>
        <v>499882009</v>
      </c>
      <c r="L3015" s="198">
        <f>SUM(L3010:L3014)</f>
        <v>501533009</v>
      </c>
    </row>
    <row r="3016" spans="9:16" ht="16.5">
      <c r="I3016" s="49" t="s">
        <v>88</v>
      </c>
      <c r="J3016" s="50"/>
    </row>
    <row r="3017" spans="9:16">
      <c r="I3017" s="51" t="s">
        <v>89</v>
      </c>
    </row>
    <row r="3018" spans="9:16">
      <c r="I3018" s="51" t="s">
        <v>90</v>
      </c>
    </row>
    <row r="3019" spans="9:16">
      <c r="I3019" s="51" t="s">
        <v>91</v>
      </c>
    </row>
    <row r="3020" spans="9:16" ht="12" customHeight="1">
      <c r="I3020" s="50"/>
      <c r="J3020" s="50"/>
    </row>
    <row r="3021" spans="9:16" ht="15.75">
      <c r="I3021" s="260" t="s">
        <v>1206</v>
      </c>
      <c r="O3021" s="52"/>
    </row>
    <row r="3022" spans="9:16" ht="15.75">
      <c r="I3022" s="53" t="s">
        <v>535</v>
      </c>
      <c r="O3022" s="53"/>
    </row>
    <row r="3023" spans="9:16" ht="16.5">
      <c r="I3023" s="894" t="s">
        <v>909</v>
      </c>
      <c r="J3023" s="894"/>
      <c r="K3023" s="894"/>
      <c r="L3023" s="894"/>
      <c r="M3023" s="894"/>
      <c r="N3023" s="894"/>
      <c r="O3023" s="894"/>
      <c r="P3023" s="894"/>
    </row>
    <row r="3024" spans="9:16" ht="15.75" thickBot="1"/>
    <row r="3025" spans="9:16">
      <c r="I3025" s="895" t="s">
        <v>94</v>
      </c>
      <c r="J3025" s="897" t="s">
        <v>95</v>
      </c>
      <c r="K3025" s="897" t="s">
        <v>96</v>
      </c>
      <c r="L3025" s="897" t="s">
        <v>3</v>
      </c>
      <c r="M3025" s="897" t="s">
        <v>97</v>
      </c>
      <c r="N3025" s="897" t="s">
        <v>98</v>
      </c>
      <c r="O3025" s="897" t="s">
        <v>99</v>
      </c>
      <c r="P3025" s="899"/>
    </row>
    <row r="3026" spans="9:16" ht="15.75" thickBot="1">
      <c r="I3026" s="896"/>
      <c r="J3026" s="898"/>
      <c r="K3026" s="898"/>
      <c r="L3026" s="898"/>
      <c r="M3026" s="898"/>
      <c r="N3026" s="898"/>
      <c r="O3026" s="240" t="s">
        <v>100</v>
      </c>
      <c r="P3026" s="182" t="s">
        <v>101</v>
      </c>
    </row>
    <row r="3027" spans="9:16">
      <c r="I3027" s="881">
        <v>324</v>
      </c>
      <c r="J3027" s="875">
        <v>42692</v>
      </c>
      <c r="K3027" s="877" t="s">
        <v>1014</v>
      </c>
      <c r="L3027" s="879" t="s">
        <v>1207</v>
      </c>
      <c r="M3027" s="881" t="s">
        <v>115</v>
      </c>
      <c r="N3027" s="883">
        <v>70000</v>
      </c>
      <c r="O3027" s="55">
        <v>719</v>
      </c>
      <c r="P3027" s="78">
        <v>70000</v>
      </c>
    </row>
    <row r="3028" spans="9:16" ht="15.75" thickBot="1">
      <c r="I3028" s="882"/>
      <c r="J3028" s="876"/>
      <c r="K3028" s="878"/>
      <c r="L3028" s="880"/>
      <c r="M3028" s="882"/>
      <c r="N3028" s="884"/>
      <c r="O3028" s="56">
        <v>721</v>
      </c>
      <c r="P3028" s="79">
        <f>+N3027-P3027</f>
        <v>0</v>
      </c>
    </row>
    <row r="3029" spans="9:16" ht="15" customHeight="1">
      <c r="I3029" s="881">
        <v>325</v>
      </c>
      <c r="J3029" s="875">
        <v>42692</v>
      </c>
      <c r="K3029" s="877" t="s">
        <v>28</v>
      </c>
      <c r="L3029" s="879" t="s">
        <v>1208</v>
      </c>
      <c r="M3029" s="881" t="s">
        <v>115</v>
      </c>
      <c r="N3029" s="883">
        <v>80000</v>
      </c>
      <c r="O3029" s="55">
        <v>719</v>
      </c>
      <c r="P3029" s="78">
        <v>80000</v>
      </c>
    </row>
    <row r="3030" spans="9:16" ht="15.75" customHeight="1" thickBot="1">
      <c r="I3030" s="882"/>
      <c r="J3030" s="876"/>
      <c r="K3030" s="878"/>
      <c r="L3030" s="880"/>
      <c r="M3030" s="882"/>
      <c r="N3030" s="884"/>
      <c r="O3030" s="56">
        <v>721</v>
      </c>
      <c r="P3030" s="79">
        <f>+N3029-P3029</f>
        <v>0</v>
      </c>
    </row>
    <row r="3031" spans="9:16" ht="15" customHeight="1">
      <c r="I3031" s="881">
        <v>326</v>
      </c>
      <c r="J3031" s="875">
        <v>42692</v>
      </c>
      <c r="K3031" s="877" t="s">
        <v>120</v>
      </c>
      <c r="L3031" s="879" t="s">
        <v>1209</v>
      </c>
      <c r="M3031" s="881" t="s">
        <v>115</v>
      </c>
      <c r="N3031" s="883">
        <v>110000</v>
      </c>
      <c r="O3031" s="55">
        <v>719</v>
      </c>
      <c r="P3031" s="78">
        <v>110000</v>
      </c>
    </row>
    <row r="3032" spans="9:16" ht="15.75" customHeight="1" thickBot="1">
      <c r="I3032" s="882"/>
      <c r="J3032" s="876"/>
      <c r="K3032" s="878"/>
      <c r="L3032" s="880"/>
      <c r="M3032" s="882"/>
      <c r="N3032" s="884"/>
      <c r="O3032" s="56">
        <v>721</v>
      </c>
      <c r="P3032" s="79">
        <f>+N3031-P3031</f>
        <v>0</v>
      </c>
    </row>
    <row r="3033" spans="9:16">
      <c r="I3033" s="881"/>
      <c r="J3033" s="875"/>
      <c r="K3033" s="877"/>
      <c r="L3033" s="879"/>
      <c r="M3033" s="881"/>
      <c r="N3033" s="883"/>
      <c r="O3033" s="55">
        <v>719</v>
      </c>
      <c r="P3033" s="78">
        <v>0</v>
      </c>
    </row>
    <row r="3034" spans="9:16" ht="15.75" thickBot="1">
      <c r="I3034" s="882"/>
      <c r="J3034" s="876"/>
      <c r="K3034" s="878"/>
      <c r="L3034" s="880"/>
      <c r="M3034" s="882"/>
      <c r="N3034" s="884"/>
      <c r="O3034" s="56">
        <v>721</v>
      </c>
      <c r="P3034" s="79">
        <f>+N3033-P3033</f>
        <v>0</v>
      </c>
    </row>
    <row r="3035" spans="9:16">
      <c r="I3035" s="881"/>
      <c r="J3035" s="875"/>
      <c r="K3035" s="877"/>
      <c r="L3035" s="879"/>
      <c r="M3035" s="881"/>
      <c r="N3035" s="883"/>
      <c r="O3035" s="55">
        <v>719</v>
      </c>
      <c r="P3035" s="78"/>
    </row>
    <row r="3036" spans="9:16" ht="15.75" thickBot="1">
      <c r="I3036" s="882"/>
      <c r="J3036" s="876"/>
      <c r="K3036" s="878"/>
      <c r="L3036" s="880"/>
      <c r="M3036" s="882"/>
      <c r="N3036" s="884"/>
      <c r="O3036" s="56">
        <v>721</v>
      </c>
      <c r="P3036" s="79">
        <f>+N3035-P3035</f>
        <v>0</v>
      </c>
    </row>
    <row r="3037" spans="9:16" ht="16.5" thickBot="1">
      <c r="I3037" s="901" t="s">
        <v>102</v>
      </c>
      <c r="J3037" s="902"/>
      <c r="K3037" s="902"/>
      <c r="L3037" s="902"/>
      <c r="M3037" s="903"/>
      <c r="N3037" s="81">
        <f>SUM(N3027:N3036)</f>
        <v>260000</v>
      </c>
    </row>
    <row r="3038" spans="9:16" ht="16.5" thickBot="1">
      <c r="I3038" s="885" t="s">
        <v>103</v>
      </c>
      <c r="J3038" s="886"/>
      <c r="K3038" s="886"/>
      <c r="L3038" s="886"/>
      <c r="M3038" s="887"/>
      <c r="N3038" s="69">
        <f>+N3002</f>
        <v>501533009</v>
      </c>
      <c r="O3038" s="241" t="s">
        <v>561</v>
      </c>
      <c r="P3038" s="242">
        <f>235+115+352</f>
        <v>702</v>
      </c>
    </row>
    <row r="3039" spans="9:16" ht="16.5" thickBot="1">
      <c r="I3039" s="888" t="s">
        <v>104</v>
      </c>
      <c r="J3039" s="889"/>
      <c r="K3039" s="889"/>
      <c r="L3039" s="889"/>
      <c r="M3039" s="890"/>
      <c r="N3039" s="183">
        <f>SUM(N3037:N3038)</f>
        <v>501793009</v>
      </c>
    </row>
    <row r="3040" spans="9:16">
      <c r="I3040" s="61"/>
      <c r="J3040" s="61"/>
      <c r="K3040" s="61"/>
      <c r="L3040" s="61"/>
      <c r="M3040" s="61"/>
    </row>
    <row r="3041" spans="9:15">
      <c r="I3041" s="51" t="s">
        <v>1210</v>
      </c>
    </row>
    <row r="3042" spans="9:15" ht="11.25" customHeight="1">
      <c r="N3042" s="139"/>
    </row>
    <row r="3043" spans="9:15">
      <c r="I3043" s="50" t="s">
        <v>105</v>
      </c>
      <c r="L3043" s="146"/>
      <c r="N3043" s="139"/>
    </row>
    <row r="3044" spans="9:15" ht="13.5" customHeight="1" thickBot="1"/>
    <row r="3045" spans="9:15" ht="15.75" thickBot="1">
      <c r="I3045" s="891" t="s">
        <v>106</v>
      </c>
      <c r="J3045" s="892"/>
      <c r="K3045" s="892"/>
      <c r="L3045" s="893"/>
      <c r="N3045" s="50" t="s">
        <v>1126</v>
      </c>
    </row>
    <row r="3046" spans="9:15" ht="30.75" thickBot="1">
      <c r="I3046" s="57" t="s">
        <v>100</v>
      </c>
      <c r="J3046" s="58" t="s">
        <v>108</v>
      </c>
      <c r="K3046" s="287" t="s">
        <v>109</v>
      </c>
      <c r="L3046" s="60" t="s">
        <v>110</v>
      </c>
    </row>
    <row r="3047" spans="9:15">
      <c r="I3047" s="71">
        <v>719</v>
      </c>
      <c r="J3047" s="73">
        <f>+P3027+P3029+P3031+P3033</f>
        <v>260000</v>
      </c>
      <c r="K3047" s="74">
        <f>+L3010</f>
        <v>34830000</v>
      </c>
      <c r="L3047" s="195">
        <f>+J3047+K3047</f>
        <v>35090000</v>
      </c>
    </row>
    <row r="3048" spans="9:15">
      <c r="I3048" s="72">
        <v>721</v>
      </c>
      <c r="J3048" s="80">
        <f>+P3028+P3030+P3032+P3034+P3036</f>
        <v>0</v>
      </c>
      <c r="K3048" s="74">
        <f>+L3011</f>
        <v>91406065</v>
      </c>
      <c r="L3048" s="195">
        <f>+J3048+K3048</f>
        <v>91406065</v>
      </c>
    </row>
    <row r="3049" spans="9:15">
      <c r="I3049" s="72">
        <v>722</v>
      </c>
      <c r="J3049" s="80"/>
      <c r="K3049" s="74">
        <f>+L3012</f>
        <v>5580000</v>
      </c>
      <c r="L3049" s="195">
        <f>+J3049+K3049</f>
        <v>5580000</v>
      </c>
    </row>
    <row r="3050" spans="9:15" ht="15.75">
      <c r="I3050" s="72">
        <v>723</v>
      </c>
      <c r="J3050" s="80"/>
      <c r="K3050" s="74">
        <f>+L3013</f>
        <v>368919444</v>
      </c>
      <c r="L3050" s="195">
        <f>+J3050+K3050</f>
        <v>368919444</v>
      </c>
      <c r="N3050" s="193" t="s">
        <v>1028</v>
      </c>
      <c r="O3050" s="175"/>
    </row>
    <row r="3051" spans="9:15" ht="16.5" thickBot="1">
      <c r="I3051" s="164" t="s">
        <v>1077</v>
      </c>
      <c r="J3051" s="165"/>
      <c r="K3051" s="74">
        <f>+L3014</f>
        <v>797500</v>
      </c>
      <c r="L3051" s="196">
        <f>+J3051+K3051</f>
        <v>797500</v>
      </c>
      <c r="N3051" s="52"/>
    </row>
    <row r="3052" spans="9:15" ht="16.5" thickBot="1">
      <c r="I3052" s="169"/>
      <c r="J3052" s="197">
        <f>SUM(J3047:J3051)</f>
        <v>260000</v>
      </c>
      <c r="K3052" s="197">
        <f>SUM(K3047:K3051)</f>
        <v>501533009</v>
      </c>
      <c r="L3052" s="198">
        <f>SUM(L3047:L3051)</f>
        <v>501793009</v>
      </c>
    </row>
    <row r="3053" spans="9:15" ht="16.5">
      <c r="I3053" s="49" t="s">
        <v>88</v>
      </c>
      <c r="J3053" s="50"/>
    </row>
    <row r="3054" spans="9:15">
      <c r="I3054" s="51" t="s">
        <v>89</v>
      </c>
    </row>
    <row r="3055" spans="9:15">
      <c r="I3055" s="51" t="s">
        <v>90</v>
      </c>
    </row>
    <row r="3056" spans="9:15">
      <c r="I3056" s="51" t="s">
        <v>91</v>
      </c>
    </row>
    <row r="3057" spans="9:16" ht="11.25" customHeight="1">
      <c r="I3057" s="50"/>
      <c r="J3057" s="50"/>
    </row>
    <row r="3058" spans="9:16" ht="15.75">
      <c r="I3058" s="260" t="s">
        <v>1217</v>
      </c>
      <c r="O3058" s="52"/>
    </row>
    <row r="3059" spans="9:16" ht="15.75">
      <c r="I3059" s="53" t="s">
        <v>535</v>
      </c>
      <c r="O3059" s="53"/>
    </row>
    <row r="3060" spans="9:16" ht="16.5">
      <c r="I3060" s="894" t="s">
        <v>909</v>
      </c>
      <c r="J3060" s="894"/>
      <c r="K3060" s="894"/>
      <c r="L3060" s="894"/>
      <c r="M3060" s="894"/>
      <c r="N3060" s="894"/>
      <c r="O3060" s="894"/>
      <c r="P3060" s="894"/>
    </row>
    <row r="3061" spans="9:16" ht="15.75" thickBot="1"/>
    <row r="3062" spans="9:16">
      <c r="I3062" s="895" t="s">
        <v>94</v>
      </c>
      <c r="J3062" s="897" t="s">
        <v>95</v>
      </c>
      <c r="K3062" s="897" t="s">
        <v>96</v>
      </c>
      <c r="L3062" s="897" t="s">
        <v>3</v>
      </c>
      <c r="M3062" s="897" t="s">
        <v>97</v>
      </c>
      <c r="N3062" s="897" t="s">
        <v>98</v>
      </c>
      <c r="O3062" s="897" t="s">
        <v>99</v>
      </c>
      <c r="P3062" s="899"/>
    </row>
    <row r="3063" spans="9:16" ht="15.75" thickBot="1">
      <c r="I3063" s="896"/>
      <c r="J3063" s="898"/>
      <c r="K3063" s="898"/>
      <c r="L3063" s="898"/>
      <c r="M3063" s="898"/>
      <c r="N3063" s="898"/>
      <c r="O3063" s="240" t="s">
        <v>100</v>
      </c>
      <c r="P3063" s="182" t="s">
        <v>101</v>
      </c>
    </row>
    <row r="3064" spans="9:16">
      <c r="I3064" s="881">
        <v>327</v>
      </c>
      <c r="J3064" s="875">
        <v>42703</v>
      </c>
      <c r="K3064" s="877" t="s">
        <v>1014</v>
      </c>
      <c r="L3064" s="879" t="s">
        <v>1218</v>
      </c>
      <c r="M3064" s="881" t="s">
        <v>115</v>
      </c>
      <c r="N3064" s="883">
        <v>50000</v>
      </c>
      <c r="O3064" s="55">
        <v>719</v>
      </c>
      <c r="P3064" s="78">
        <v>50000</v>
      </c>
    </row>
    <row r="3065" spans="9:16" ht="15.75" thickBot="1">
      <c r="I3065" s="882"/>
      <c r="J3065" s="876"/>
      <c r="K3065" s="878"/>
      <c r="L3065" s="880"/>
      <c r="M3065" s="882"/>
      <c r="N3065" s="884"/>
      <c r="O3065" s="56">
        <v>721</v>
      </c>
      <c r="P3065" s="79">
        <f>+N3064-P3064</f>
        <v>0</v>
      </c>
    </row>
    <row r="3066" spans="9:16" ht="15" customHeight="1">
      <c r="I3066" s="881">
        <v>328</v>
      </c>
      <c r="J3066" s="875">
        <v>42703</v>
      </c>
      <c r="K3066" s="877" t="s">
        <v>28</v>
      </c>
      <c r="L3066" s="879" t="s">
        <v>1218</v>
      </c>
      <c r="M3066" s="881" t="s">
        <v>115</v>
      </c>
      <c r="N3066" s="883">
        <v>50000</v>
      </c>
      <c r="O3066" s="55">
        <v>719</v>
      </c>
      <c r="P3066" s="78">
        <v>50000</v>
      </c>
    </row>
    <row r="3067" spans="9:16" ht="15.75" customHeight="1" thickBot="1">
      <c r="I3067" s="882"/>
      <c r="J3067" s="876"/>
      <c r="K3067" s="878"/>
      <c r="L3067" s="880"/>
      <c r="M3067" s="882"/>
      <c r="N3067" s="884"/>
      <c r="O3067" s="56">
        <v>721</v>
      </c>
      <c r="P3067" s="79">
        <f>+N3066-P3066</f>
        <v>0</v>
      </c>
    </row>
    <row r="3068" spans="9:16" ht="15" customHeight="1">
      <c r="I3068" s="881">
        <v>329</v>
      </c>
      <c r="J3068" s="875">
        <v>42703</v>
      </c>
      <c r="K3068" s="877" t="s">
        <v>120</v>
      </c>
      <c r="L3068" s="879" t="s">
        <v>1219</v>
      </c>
      <c r="M3068" s="881" t="s">
        <v>115</v>
      </c>
      <c r="N3068" s="883">
        <v>30000</v>
      </c>
      <c r="O3068" s="55">
        <v>719</v>
      </c>
      <c r="P3068" s="78">
        <v>30000</v>
      </c>
    </row>
    <row r="3069" spans="9:16" ht="15.75" customHeight="1" thickBot="1">
      <c r="I3069" s="882"/>
      <c r="J3069" s="876"/>
      <c r="K3069" s="878"/>
      <c r="L3069" s="880"/>
      <c r="M3069" s="882"/>
      <c r="N3069" s="884"/>
      <c r="O3069" s="56">
        <v>721</v>
      </c>
      <c r="P3069" s="79">
        <f>+N3068-P3068</f>
        <v>0</v>
      </c>
    </row>
    <row r="3070" spans="9:16">
      <c r="I3070" s="881">
        <v>330</v>
      </c>
      <c r="J3070" s="875">
        <v>42703</v>
      </c>
      <c r="K3070" s="877" t="s">
        <v>674</v>
      </c>
      <c r="L3070" s="879" t="s">
        <v>1221</v>
      </c>
      <c r="M3070" s="881" t="s">
        <v>148</v>
      </c>
      <c r="N3070" s="883">
        <v>1350000</v>
      </c>
      <c r="O3070" s="55">
        <v>719</v>
      </c>
      <c r="P3070" s="78">
        <v>0</v>
      </c>
    </row>
    <row r="3071" spans="9:16" ht="15.75" thickBot="1">
      <c r="I3071" s="882"/>
      <c r="J3071" s="876"/>
      <c r="K3071" s="878"/>
      <c r="L3071" s="880"/>
      <c r="M3071" s="882"/>
      <c r="N3071" s="884"/>
      <c r="O3071" s="56">
        <v>723</v>
      </c>
      <c r="P3071" s="79">
        <f>+N3070-P3070</f>
        <v>1350000</v>
      </c>
    </row>
    <row r="3072" spans="9:16">
      <c r="I3072" s="881"/>
      <c r="J3072" s="875"/>
      <c r="K3072" s="877"/>
      <c r="L3072" s="879"/>
      <c r="M3072" s="881"/>
      <c r="N3072" s="883"/>
      <c r="O3072" s="55">
        <v>719</v>
      </c>
      <c r="P3072" s="78"/>
    </row>
    <row r="3073" spans="9:16" ht="15.75" thickBot="1">
      <c r="I3073" s="882"/>
      <c r="J3073" s="876"/>
      <c r="K3073" s="878"/>
      <c r="L3073" s="880"/>
      <c r="M3073" s="882"/>
      <c r="N3073" s="884"/>
      <c r="O3073" s="56">
        <v>721</v>
      </c>
      <c r="P3073" s="79">
        <f>+N3072-P3072</f>
        <v>0</v>
      </c>
    </row>
    <row r="3074" spans="9:16" ht="16.5" thickBot="1">
      <c r="I3074" s="901" t="s">
        <v>102</v>
      </c>
      <c r="J3074" s="902"/>
      <c r="K3074" s="902"/>
      <c r="L3074" s="902"/>
      <c r="M3074" s="903"/>
      <c r="N3074" s="81">
        <f>SUM(N3064:N3073)</f>
        <v>1480000</v>
      </c>
    </row>
    <row r="3075" spans="9:16" ht="16.5" thickBot="1">
      <c r="I3075" s="885" t="s">
        <v>103</v>
      </c>
      <c r="J3075" s="886"/>
      <c r="K3075" s="886"/>
      <c r="L3075" s="886"/>
      <c r="M3075" s="887"/>
      <c r="N3075" s="69">
        <f>+N3039</f>
        <v>501793009</v>
      </c>
      <c r="O3075" s="241" t="s">
        <v>561</v>
      </c>
      <c r="P3075" s="242">
        <f>48+92+184</f>
        <v>324</v>
      </c>
    </row>
    <row r="3076" spans="9:16" ht="16.5" thickBot="1">
      <c r="I3076" s="888" t="s">
        <v>104</v>
      </c>
      <c r="J3076" s="889"/>
      <c r="K3076" s="889"/>
      <c r="L3076" s="889"/>
      <c r="M3076" s="890"/>
      <c r="N3076" s="183">
        <f>SUM(N3074:N3075)</f>
        <v>503273009</v>
      </c>
    </row>
    <row r="3077" spans="9:16" ht="12" customHeight="1">
      <c r="I3077" s="61"/>
      <c r="J3077" s="61"/>
      <c r="K3077" s="61"/>
      <c r="L3077" s="61"/>
      <c r="M3077" s="61"/>
    </row>
    <row r="3078" spans="9:16">
      <c r="I3078" s="51" t="s">
        <v>1220</v>
      </c>
    </row>
    <row r="3079" spans="9:16" ht="12" customHeight="1">
      <c r="N3079" s="139"/>
    </row>
    <row r="3080" spans="9:16">
      <c r="I3080" s="50" t="s">
        <v>105</v>
      </c>
      <c r="L3080" s="146"/>
      <c r="N3080" s="139"/>
    </row>
    <row r="3081" spans="9:16" ht="12.75" customHeight="1" thickBot="1"/>
    <row r="3082" spans="9:16" ht="15.75" thickBot="1">
      <c r="I3082" s="891" t="s">
        <v>106</v>
      </c>
      <c r="J3082" s="892"/>
      <c r="K3082" s="892"/>
      <c r="L3082" s="893"/>
      <c r="N3082" s="50" t="s">
        <v>288</v>
      </c>
    </row>
    <row r="3083" spans="9:16" ht="30.75" thickBot="1">
      <c r="I3083" s="57" t="s">
        <v>100</v>
      </c>
      <c r="J3083" s="58" t="s">
        <v>108</v>
      </c>
      <c r="K3083" s="287" t="s">
        <v>109</v>
      </c>
      <c r="L3083" s="60" t="s">
        <v>110</v>
      </c>
    </row>
    <row r="3084" spans="9:16">
      <c r="I3084" s="71">
        <v>719</v>
      </c>
      <c r="J3084" s="73">
        <f>+P3064+P3066+P3068+P3070</f>
        <v>130000</v>
      </c>
      <c r="K3084" s="74">
        <f>+L3047</f>
        <v>35090000</v>
      </c>
      <c r="L3084" s="195">
        <f>+J3084+K3084</f>
        <v>35220000</v>
      </c>
    </row>
    <row r="3085" spans="9:16">
      <c r="I3085" s="72">
        <v>721</v>
      </c>
      <c r="J3085" s="80"/>
      <c r="K3085" s="74">
        <f>+L3048</f>
        <v>91406065</v>
      </c>
      <c r="L3085" s="195">
        <f>+J3085+K3085</f>
        <v>91406065</v>
      </c>
    </row>
    <row r="3086" spans="9:16">
      <c r="I3086" s="72">
        <v>722</v>
      </c>
      <c r="J3086" s="80"/>
      <c r="K3086" s="74">
        <f>+L3049</f>
        <v>5580000</v>
      </c>
      <c r="L3086" s="195">
        <f>+J3086+K3086</f>
        <v>5580000</v>
      </c>
    </row>
    <row r="3087" spans="9:16" ht="15.75">
      <c r="I3087" s="72">
        <v>723</v>
      </c>
      <c r="J3087" s="80">
        <f>+P3071</f>
        <v>1350000</v>
      </c>
      <c r="K3087" s="74">
        <f>+L3050</f>
        <v>368919444</v>
      </c>
      <c r="L3087" s="195">
        <f>+J3087+K3087</f>
        <v>370269444</v>
      </c>
      <c r="N3087" s="193" t="s">
        <v>289</v>
      </c>
      <c r="O3087" s="175"/>
    </row>
    <row r="3088" spans="9:16" ht="16.5" thickBot="1">
      <c r="I3088" s="164" t="s">
        <v>1077</v>
      </c>
      <c r="J3088" s="165"/>
      <c r="K3088" s="74">
        <f>+L3051</f>
        <v>797500</v>
      </c>
      <c r="L3088" s="196">
        <f>+J3088+K3088</f>
        <v>797500</v>
      </c>
      <c r="N3088" s="52"/>
    </row>
    <row r="3089" spans="9:16" ht="16.5" thickBot="1">
      <c r="I3089" s="169"/>
      <c r="J3089" s="197">
        <f>SUM(J3084:J3088)</f>
        <v>1480000</v>
      </c>
      <c r="K3089" s="197">
        <f>SUM(K3084:K3088)</f>
        <v>501793009</v>
      </c>
      <c r="L3089" s="198">
        <f>SUM(L3084:L3088)</f>
        <v>503273009</v>
      </c>
    </row>
    <row r="3090" spans="9:16" ht="16.5">
      <c r="I3090" s="49" t="s">
        <v>88</v>
      </c>
      <c r="J3090" s="50"/>
    </row>
    <row r="3091" spans="9:16">
      <c r="I3091" s="51" t="s">
        <v>89</v>
      </c>
    </row>
    <row r="3092" spans="9:16">
      <c r="I3092" s="51" t="s">
        <v>90</v>
      </c>
    </row>
    <row r="3093" spans="9:16">
      <c r="I3093" s="51" t="s">
        <v>91</v>
      </c>
    </row>
    <row r="3094" spans="9:16" ht="12" customHeight="1">
      <c r="I3094" s="50"/>
      <c r="J3094" s="50"/>
    </row>
    <row r="3095" spans="9:16" ht="15.75">
      <c r="I3095" s="260" t="s">
        <v>1222</v>
      </c>
      <c r="O3095" s="52"/>
    </row>
    <row r="3096" spans="9:16" ht="15.75">
      <c r="I3096" s="53" t="s">
        <v>535</v>
      </c>
      <c r="O3096" s="53"/>
    </row>
    <row r="3097" spans="9:16" ht="16.5">
      <c r="I3097" s="894" t="s">
        <v>170</v>
      </c>
      <c r="J3097" s="894"/>
      <c r="K3097" s="894"/>
      <c r="L3097" s="894"/>
      <c r="M3097" s="894"/>
      <c r="N3097" s="894"/>
      <c r="O3097" s="894"/>
      <c r="P3097" s="894"/>
    </row>
    <row r="3098" spans="9:16" ht="15.75" thickBot="1"/>
    <row r="3099" spans="9:16">
      <c r="I3099" s="895" t="s">
        <v>94</v>
      </c>
      <c r="J3099" s="897" t="s">
        <v>95</v>
      </c>
      <c r="K3099" s="897" t="s">
        <v>96</v>
      </c>
      <c r="L3099" s="897" t="s">
        <v>3</v>
      </c>
      <c r="M3099" s="897" t="s">
        <v>97</v>
      </c>
      <c r="N3099" s="897" t="s">
        <v>98</v>
      </c>
      <c r="O3099" s="897" t="s">
        <v>99</v>
      </c>
      <c r="P3099" s="899"/>
    </row>
    <row r="3100" spans="9:16" ht="15.75" thickBot="1">
      <c r="I3100" s="896"/>
      <c r="J3100" s="898"/>
      <c r="K3100" s="898"/>
      <c r="L3100" s="898"/>
      <c r="M3100" s="898"/>
      <c r="N3100" s="898"/>
      <c r="O3100" s="240" t="s">
        <v>100</v>
      </c>
      <c r="P3100" s="182" t="s">
        <v>101</v>
      </c>
    </row>
    <row r="3101" spans="9:16">
      <c r="I3101" s="881">
        <v>331</v>
      </c>
      <c r="J3101" s="875">
        <v>42704</v>
      </c>
      <c r="K3101" s="877" t="s">
        <v>1014</v>
      </c>
      <c r="L3101" s="879" t="s">
        <v>1224</v>
      </c>
      <c r="M3101" s="881" t="s">
        <v>115</v>
      </c>
      <c r="N3101" s="883">
        <v>70000</v>
      </c>
      <c r="O3101" s="55">
        <v>719</v>
      </c>
      <c r="P3101" s="78">
        <v>70000</v>
      </c>
    </row>
    <row r="3102" spans="9:16" ht="15.75" thickBot="1">
      <c r="I3102" s="882"/>
      <c r="J3102" s="876"/>
      <c r="K3102" s="878"/>
      <c r="L3102" s="880"/>
      <c r="M3102" s="882"/>
      <c r="N3102" s="884"/>
      <c r="O3102" s="56">
        <v>721</v>
      </c>
      <c r="P3102" s="79">
        <f>+N3101-P3101</f>
        <v>0</v>
      </c>
    </row>
    <row r="3103" spans="9:16" ht="15" customHeight="1">
      <c r="I3103" s="881">
        <v>332</v>
      </c>
      <c r="J3103" s="875">
        <v>42704</v>
      </c>
      <c r="K3103" s="877" t="s">
        <v>28</v>
      </c>
      <c r="L3103" s="879" t="s">
        <v>1224</v>
      </c>
      <c r="M3103" s="881" t="s">
        <v>115</v>
      </c>
      <c r="N3103" s="883">
        <v>70000</v>
      </c>
      <c r="O3103" s="55">
        <v>719</v>
      </c>
      <c r="P3103" s="78">
        <v>70000</v>
      </c>
    </row>
    <row r="3104" spans="9:16" ht="15.75" customHeight="1" thickBot="1">
      <c r="I3104" s="882"/>
      <c r="J3104" s="876"/>
      <c r="K3104" s="878"/>
      <c r="L3104" s="880"/>
      <c r="M3104" s="882"/>
      <c r="N3104" s="884"/>
      <c r="O3104" s="56">
        <v>721</v>
      </c>
      <c r="P3104" s="79">
        <f>+N3103-P3103</f>
        <v>0</v>
      </c>
    </row>
    <row r="3105" spans="9:16" ht="15" customHeight="1">
      <c r="I3105" s="881">
        <v>333</v>
      </c>
      <c r="J3105" s="875">
        <v>42704</v>
      </c>
      <c r="K3105" s="877" t="s">
        <v>120</v>
      </c>
      <c r="L3105" s="879" t="s">
        <v>1224</v>
      </c>
      <c r="M3105" s="881" t="s">
        <v>115</v>
      </c>
      <c r="N3105" s="883">
        <v>110000</v>
      </c>
      <c r="O3105" s="55">
        <v>719</v>
      </c>
      <c r="P3105" s="78">
        <v>110000</v>
      </c>
    </row>
    <row r="3106" spans="9:16" ht="15.75" customHeight="1" thickBot="1">
      <c r="I3106" s="882"/>
      <c r="J3106" s="876"/>
      <c r="K3106" s="878"/>
      <c r="L3106" s="880"/>
      <c r="M3106" s="882"/>
      <c r="N3106" s="884"/>
      <c r="O3106" s="56">
        <v>721</v>
      </c>
      <c r="P3106" s="79">
        <f>+N3105-P3105</f>
        <v>0</v>
      </c>
    </row>
    <row r="3107" spans="9:16" ht="15" customHeight="1">
      <c r="I3107" s="881"/>
      <c r="J3107" s="875"/>
      <c r="K3107" s="877"/>
      <c r="L3107" s="879"/>
      <c r="M3107" s="881"/>
      <c r="N3107" s="883"/>
      <c r="O3107" s="55"/>
      <c r="P3107" s="78"/>
    </row>
    <row r="3108" spans="9:16" ht="15.75" customHeight="1" thickBot="1">
      <c r="I3108" s="882"/>
      <c r="J3108" s="876"/>
      <c r="K3108" s="878"/>
      <c r="L3108" s="880"/>
      <c r="M3108" s="882"/>
      <c r="N3108" s="884"/>
      <c r="O3108" s="56"/>
      <c r="P3108" s="79"/>
    </row>
    <row r="3109" spans="9:16" ht="14.25" customHeight="1">
      <c r="I3109" s="881"/>
      <c r="J3109" s="875"/>
      <c r="K3109" s="877"/>
      <c r="L3109" s="879"/>
      <c r="M3109" s="881"/>
      <c r="N3109" s="883"/>
      <c r="O3109" s="55">
        <v>719</v>
      </c>
      <c r="P3109" s="78"/>
    </row>
    <row r="3110" spans="9:16" ht="13.5" customHeight="1" thickBot="1">
      <c r="I3110" s="882"/>
      <c r="J3110" s="876"/>
      <c r="K3110" s="878"/>
      <c r="L3110" s="880"/>
      <c r="M3110" s="882"/>
      <c r="N3110" s="884"/>
      <c r="O3110" s="56">
        <v>721</v>
      </c>
      <c r="P3110" s="79">
        <f>+N3109-P3109</f>
        <v>0</v>
      </c>
    </row>
    <row r="3111" spans="9:16" ht="16.5" thickBot="1">
      <c r="I3111" s="901" t="s">
        <v>102</v>
      </c>
      <c r="J3111" s="902"/>
      <c r="K3111" s="902"/>
      <c r="L3111" s="902"/>
      <c r="M3111" s="903"/>
      <c r="N3111" s="81">
        <f>SUM(N3101:N3110)</f>
        <v>250000</v>
      </c>
    </row>
    <row r="3112" spans="9:16" ht="16.5" thickBot="1">
      <c r="I3112" s="885" t="s">
        <v>103</v>
      </c>
      <c r="J3112" s="886"/>
      <c r="K3112" s="886"/>
      <c r="L3112" s="886"/>
      <c r="M3112" s="887"/>
      <c r="N3112" s="69">
        <f>+N3076</f>
        <v>503273009</v>
      </c>
      <c r="O3112" s="241" t="s">
        <v>561</v>
      </c>
      <c r="P3112" s="242">
        <f>158+308+108</f>
        <v>574</v>
      </c>
    </row>
    <row r="3113" spans="9:16" ht="16.5" thickBot="1">
      <c r="I3113" s="888" t="s">
        <v>104</v>
      </c>
      <c r="J3113" s="889"/>
      <c r="K3113" s="889"/>
      <c r="L3113" s="889"/>
      <c r="M3113" s="890"/>
      <c r="N3113" s="183">
        <f>SUM(N3111:N3112)</f>
        <v>503523009</v>
      </c>
    </row>
    <row r="3114" spans="9:16">
      <c r="I3114" s="61"/>
      <c r="J3114" s="61"/>
      <c r="K3114" s="61"/>
      <c r="L3114" s="61"/>
      <c r="M3114" s="61"/>
    </row>
    <row r="3115" spans="9:16">
      <c r="I3115" s="51" t="s">
        <v>1228</v>
      </c>
    </row>
    <row r="3116" spans="9:16" ht="12.75" customHeight="1">
      <c r="N3116" s="139"/>
    </row>
    <row r="3117" spans="9:16">
      <c r="I3117" s="50" t="s">
        <v>105</v>
      </c>
      <c r="L3117" s="146"/>
      <c r="N3117" s="139"/>
    </row>
    <row r="3118" spans="9:16" ht="12.75" customHeight="1" thickBot="1"/>
    <row r="3119" spans="9:16" ht="15.75" thickBot="1">
      <c r="I3119" s="891" t="s">
        <v>106</v>
      </c>
      <c r="J3119" s="892"/>
      <c r="K3119" s="892"/>
      <c r="L3119" s="893"/>
      <c r="N3119" s="50" t="s">
        <v>288</v>
      </c>
    </row>
    <row r="3120" spans="9:16" ht="30.75" thickBot="1">
      <c r="I3120" s="57" t="s">
        <v>100</v>
      </c>
      <c r="J3120" s="58" t="s">
        <v>108</v>
      </c>
      <c r="K3120" s="287" t="s">
        <v>109</v>
      </c>
      <c r="L3120" s="60" t="s">
        <v>110</v>
      </c>
    </row>
    <row r="3121" spans="9:16">
      <c r="I3121" s="71">
        <v>719</v>
      </c>
      <c r="J3121" s="73">
        <f>+P3101+P3103+P3105+P3107</f>
        <v>250000</v>
      </c>
      <c r="K3121" s="74">
        <f>+L3084</f>
        <v>35220000</v>
      </c>
      <c r="L3121" s="195">
        <f>+J3121+K3121</f>
        <v>35470000</v>
      </c>
    </row>
    <row r="3122" spans="9:16">
      <c r="I3122" s="72">
        <v>721</v>
      </c>
      <c r="J3122" s="80"/>
      <c r="K3122" s="74">
        <f>+L3085</f>
        <v>91406065</v>
      </c>
      <c r="L3122" s="195">
        <f>+J3122+K3122</f>
        <v>91406065</v>
      </c>
    </row>
    <row r="3123" spans="9:16">
      <c r="I3123" s="72">
        <v>722</v>
      </c>
      <c r="J3123" s="80"/>
      <c r="K3123" s="74">
        <f>+L3086</f>
        <v>5580000</v>
      </c>
      <c r="L3123" s="195">
        <f>+J3123+K3123</f>
        <v>5580000</v>
      </c>
    </row>
    <row r="3124" spans="9:16" ht="15.75">
      <c r="I3124" s="72">
        <v>723</v>
      </c>
      <c r="J3124" s="80">
        <f>+P3108</f>
        <v>0</v>
      </c>
      <c r="K3124" s="74">
        <f>+L3087</f>
        <v>370269444</v>
      </c>
      <c r="L3124" s="195">
        <f>+J3124+K3124</f>
        <v>370269444</v>
      </c>
      <c r="N3124" s="193" t="s">
        <v>289</v>
      </c>
      <c r="O3124" s="175"/>
    </row>
    <row r="3125" spans="9:16" ht="16.5" thickBot="1">
      <c r="I3125" s="164" t="s">
        <v>1077</v>
      </c>
      <c r="J3125" s="165"/>
      <c r="K3125" s="74">
        <f>+L3088</f>
        <v>797500</v>
      </c>
      <c r="L3125" s="196">
        <f>+J3125+K3125</f>
        <v>797500</v>
      </c>
      <c r="N3125" s="52"/>
    </row>
    <row r="3126" spans="9:16" ht="16.5" thickBot="1">
      <c r="I3126" s="169"/>
      <c r="J3126" s="197">
        <f>SUM(J3121:J3125)</f>
        <v>250000</v>
      </c>
      <c r="K3126" s="197">
        <f>SUM(K3121:K3125)</f>
        <v>503273009</v>
      </c>
      <c r="L3126" s="198">
        <f>SUM(L3121:L3125)</f>
        <v>503523009</v>
      </c>
    </row>
    <row r="3127" spans="9:16" ht="16.5">
      <c r="I3127" s="49" t="s">
        <v>88</v>
      </c>
      <c r="J3127" s="50"/>
    </row>
    <row r="3128" spans="9:16">
      <c r="I3128" s="51" t="s">
        <v>89</v>
      </c>
    </row>
    <row r="3129" spans="9:16">
      <c r="I3129" s="51" t="s">
        <v>90</v>
      </c>
    </row>
    <row r="3130" spans="9:16">
      <c r="I3130" s="51" t="s">
        <v>91</v>
      </c>
    </row>
    <row r="3131" spans="9:16" ht="12" customHeight="1">
      <c r="I3131" s="50"/>
      <c r="J3131" s="50"/>
    </row>
    <row r="3132" spans="9:16" ht="15.75">
      <c r="I3132" s="260" t="s">
        <v>1227</v>
      </c>
      <c r="O3132" s="52"/>
    </row>
    <row r="3133" spans="9:16" ht="15.75">
      <c r="I3133" s="53" t="s">
        <v>535</v>
      </c>
      <c r="O3133" s="53"/>
    </row>
    <row r="3134" spans="9:16" ht="16.5">
      <c r="I3134" s="894" t="s">
        <v>1226</v>
      </c>
      <c r="J3134" s="894"/>
      <c r="K3134" s="894"/>
      <c r="L3134" s="894"/>
      <c r="M3134" s="894"/>
      <c r="N3134" s="894"/>
      <c r="O3134" s="894"/>
      <c r="P3134" s="894"/>
    </row>
    <row r="3135" spans="9:16" ht="15.75" thickBot="1"/>
    <row r="3136" spans="9:16">
      <c r="I3136" s="895" t="s">
        <v>94</v>
      </c>
      <c r="J3136" s="897" t="s">
        <v>95</v>
      </c>
      <c r="K3136" s="897" t="s">
        <v>96</v>
      </c>
      <c r="L3136" s="897" t="s">
        <v>3</v>
      </c>
      <c r="M3136" s="897" t="s">
        <v>97</v>
      </c>
      <c r="N3136" s="897" t="s">
        <v>98</v>
      </c>
      <c r="O3136" s="897" t="s">
        <v>99</v>
      </c>
      <c r="P3136" s="899"/>
    </row>
    <row r="3137" spans="9:16" ht="15.75" thickBot="1">
      <c r="I3137" s="896"/>
      <c r="J3137" s="898"/>
      <c r="K3137" s="898"/>
      <c r="L3137" s="898"/>
      <c r="M3137" s="898"/>
      <c r="N3137" s="898"/>
      <c r="O3137" s="240" t="s">
        <v>100</v>
      </c>
      <c r="P3137" s="182" t="s">
        <v>101</v>
      </c>
    </row>
    <row r="3138" spans="9:16">
      <c r="I3138" s="881">
        <v>334</v>
      </c>
      <c r="J3138" s="875">
        <v>42704</v>
      </c>
      <c r="K3138" s="877" t="s">
        <v>267</v>
      </c>
      <c r="L3138" s="879" t="s">
        <v>1233</v>
      </c>
      <c r="M3138" s="881" t="s">
        <v>148</v>
      </c>
      <c r="N3138" s="883">
        <v>65000</v>
      </c>
      <c r="O3138" s="55">
        <v>719</v>
      </c>
      <c r="P3138" s="78">
        <v>50000</v>
      </c>
    </row>
    <row r="3139" spans="9:16" ht="15.75" thickBot="1">
      <c r="I3139" s="882"/>
      <c r="J3139" s="876"/>
      <c r="K3139" s="878"/>
      <c r="L3139" s="880"/>
      <c r="M3139" s="882"/>
      <c r="N3139" s="884"/>
      <c r="O3139" s="56">
        <v>721</v>
      </c>
      <c r="P3139" s="79">
        <f>+N3138-P3138</f>
        <v>15000</v>
      </c>
    </row>
    <row r="3140" spans="9:16" ht="15" customHeight="1">
      <c r="I3140" s="881">
        <v>335</v>
      </c>
      <c r="J3140" s="875">
        <v>42704</v>
      </c>
      <c r="K3140" s="877" t="s">
        <v>28</v>
      </c>
      <c r="L3140" s="879" t="s">
        <v>1234</v>
      </c>
      <c r="M3140" s="881" t="s">
        <v>148</v>
      </c>
      <c r="N3140" s="883">
        <v>390000</v>
      </c>
      <c r="O3140" s="55">
        <v>719</v>
      </c>
      <c r="P3140" s="78">
        <v>300000</v>
      </c>
    </row>
    <row r="3141" spans="9:16" ht="15.75" customHeight="1" thickBot="1">
      <c r="I3141" s="882"/>
      <c r="J3141" s="876"/>
      <c r="K3141" s="878"/>
      <c r="L3141" s="880"/>
      <c r="M3141" s="882"/>
      <c r="N3141" s="884"/>
      <c r="O3141" s="56">
        <v>721</v>
      </c>
      <c r="P3141" s="79">
        <f>+N3140-P3140</f>
        <v>90000</v>
      </c>
    </row>
    <row r="3142" spans="9:16" ht="15" customHeight="1">
      <c r="I3142" s="881">
        <v>336</v>
      </c>
      <c r="J3142" s="875">
        <v>42704</v>
      </c>
      <c r="K3142" s="877" t="s">
        <v>111</v>
      </c>
      <c r="L3142" s="879" t="s">
        <v>1232</v>
      </c>
      <c r="M3142" s="881" t="s">
        <v>148</v>
      </c>
      <c r="N3142" s="883">
        <v>104000</v>
      </c>
      <c r="O3142" s="55">
        <v>719</v>
      </c>
      <c r="P3142" s="78">
        <v>80000</v>
      </c>
    </row>
    <row r="3143" spans="9:16" ht="15.75" customHeight="1" thickBot="1">
      <c r="I3143" s="882"/>
      <c r="J3143" s="876"/>
      <c r="K3143" s="878"/>
      <c r="L3143" s="880"/>
      <c r="M3143" s="882"/>
      <c r="N3143" s="884"/>
      <c r="O3143" s="56">
        <v>721</v>
      </c>
      <c r="P3143" s="79">
        <f>+N3142-P3142</f>
        <v>24000</v>
      </c>
    </row>
    <row r="3144" spans="9:16" ht="15" customHeight="1">
      <c r="I3144" s="881">
        <v>337</v>
      </c>
      <c r="J3144" s="875">
        <v>42704</v>
      </c>
      <c r="K3144" s="877" t="s">
        <v>1014</v>
      </c>
      <c r="L3144" s="879" t="s">
        <v>1231</v>
      </c>
      <c r="M3144" s="881" t="s">
        <v>148</v>
      </c>
      <c r="N3144" s="883">
        <v>676000</v>
      </c>
      <c r="O3144" s="55">
        <v>719</v>
      </c>
      <c r="P3144" s="78">
        <v>520000</v>
      </c>
    </row>
    <row r="3145" spans="9:16" ht="15.75" customHeight="1" thickBot="1">
      <c r="I3145" s="882"/>
      <c r="J3145" s="876"/>
      <c r="K3145" s="878"/>
      <c r="L3145" s="880"/>
      <c r="M3145" s="882"/>
      <c r="N3145" s="884"/>
      <c r="O3145" s="56">
        <v>721</v>
      </c>
      <c r="P3145" s="79">
        <f>+N3144-P3144</f>
        <v>156000</v>
      </c>
    </row>
    <row r="3146" spans="9:16" ht="15" customHeight="1">
      <c r="I3146" s="881">
        <v>338</v>
      </c>
      <c r="J3146" s="875">
        <v>42704</v>
      </c>
      <c r="K3146" s="877" t="s">
        <v>1223</v>
      </c>
      <c r="L3146" s="879" t="s">
        <v>1225</v>
      </c>
      <c r="M3146" s="881" t="s">
        <v>148</v>
      </c>
      <c r="N3146" s="883">
        <v>6240000</v>
      </c>
      <c r="O3146" s="55">
        <v>719</v>
      </c>
      <c r="P3146" s="78">
        <v>0</v>
      </c>
    </row>
    <row r="3147" spans="9:16" ht="15.75" customHeight="1" thickBot="1">
      <c r="I3147" s="882"/>
      <c r="J3147" s="876"/>
      <c r="K3147" s="878"/>
      <c r="L3147" s="880"/>
      <c r="M3147" s="882"/>
      <c r="N3147" s="884"/>
      <c r="O3147" s="56">
        <v>723</v>
      </c>
      <c r="P3147" s="79">
        <f>+N3146-P3146</f>
        <v>6240000</v>
      </c>
    </row>
    <row r="3148" spans="9:16" ht="16.5" thickBot="1">
      <c r="I3148" s="901" t="s">
        <v>102</v>
      </c>
      <c r="J3148" s="902"/>
      <c r="K3148" s="902"/>
      <c r="L3148" s="902"/>
      <c r="M3148" s="903"/>
      <c r="N3148" s="81">
        <f>SUM(N3138:N3147)</f>
        <v>7475000</v>
      </c>
    </row>
    <row r="3149" spans="9:16" ht="16.5" thickBot="1">
      <c r="I3149" s="885" t="s">
        <v>103</v>
      </c>
      <c r="J3149" s="886"/>
      <c r="K3149" s="886"/>
      <c r="L3149" s="886"/>
      <c r="M3149" s="887"/>
      <c r="N3149" s="69">
        <f>+N3113</f>
        <v>503523009</v>
      </c>
      <c r="O3149" s="241" t="s">
        <v>561</v>
      </c>
      <c r="P3149" s="242">
        <f>33+37+514+915</f>
        <v>1499</v>
      </c>
    </row>
    <row r="3150" spans="9:16" ht="16.5" thickBot="1">
      <c r="I3150" s="888" t="s">
        <v>104</v>
      </c>
      <c r="J3150" s="889"/>
      <c r="K3150" s="889"/>
      <c r="L3150" s="889"/>
      <c r="M3150" s="890"/>
      <c r="N3150" s="183">
        <f>SUM(N3148:N3149)</f>
        <v>510998009</v>
      </c>
    </row>
    <row r="3151" spans="9:16" ht="12.75" customHeight="1">
      <c r="I3151" s="61"/>
      <c r="J3151" s="61"/>
      <c r="K3151" s="61"/>
      <c r="L3151" s="61"/>
      <c r="M3151" s="61"/>
    </row>
    <row r="3152" spans="9:16">
      <c r="I3152" s="51" t="s">
        <v>1230</v>
      </c>
    </row>
    <row r="3153" spans="9:15" ht="13.5" customHeight="1">
      <c r="N3153" s="139"/>
    </row>
    <row r="3154" spans="9:15">
      <c r="I3154" s="50" t="s">
        <v>105</v>
      </c>
      <c r="L3154" s="146"/>
      <c r="N3154" s="139"/>
    </row>
    <row r="3155" spans="9:15" ht="13.5" customHeight="1" thickBot="1"/>
    <row r="3156" spans="9:15" ht="15.75" thickBot="1">
      <c r="I3156" s="891" t="s">
        <v>106</v>
      </c>
      <c r="J3156" s="892"/>
      <c r="K3156" s="892"/>
      <c r="L3156" s="893"/>
      <c r="N3156" s="50" t="s">
        <v>288</v>
      </c>
    </row>
    <row r="3157" spans="9:15" ht="30.75" thickBot="1">
      <c r="I3157" s="57" t="s">
        <v>100</v>
      </c>
      <c r="J3157" s="58" t="s">
        <v>108</v>
      </c>
      <c r="K3157" s="287" t="s">
        <v>109</v>
      </c>
      <c r="L3157" s="60" t="s">
        <v>110</v>
      </c>
    </row>
    <row r="3158" spans="9:15">
      <c r="I3158" s="71">
        <v>719</v>
      </c>
      <c r="J3158" s="73">
        <f>+P3138+P3140+P3142+P3144</f>
        <v>950000</v>
      </c>
      <c r="K3158" s="74">
        <f>+L3121</f>
        <v>35470000</v>
      </c>
      <c r="L3158" s="195">
        <f>+J3158+K3158</f>
        <v>36420000</v>
      </c>
    </row>
    <row r="3159" spans="9:15">
      <c r="I3159" s="72">
        <v>721</v>
      </c>
      <c r="J3159" s="80">
        <f>+P3145+P3143+P3141+P3139</f>
        <v>285000</v>
      </c>
      <c r="K3159" s="74">
        <f>+L3122</f>
        <v>91406065</v>
      </c>
      <c r="L3159" s="195">
        <f>+J3159+K3159</f>
        <v>91691065</v>
      </c>
    </row>
    <row r="3160" spans="9:15">
      <c r="I3160" s="72">
        <v>722</v>
      </c>
      <c r="J3160" s="80"/>
      <c r="K3160" s="74">
        <f>+L3123</f>
        <v>5580000</v>
      </c>
      <c r="L3160" s="195">
        <f>+J3160+K3160</f>
        <v>5580000</v>
      </c>
    </row>
    <row r="3161" spans="9:15" ht="15.75">
      <c r="I3161" s="72">
        <v>723</v>
      </c>
      <c r="J3161" s="80">
        <f>+P3147</f>
        <v>6240000</v>
      </c>
      <c r="K3161" s="74">
        <f>+L3124</f>
        <v>370269444</v>
      </c>
      <c r="L3161" s="195">
        <f>+J3161+K3161</f>
        <v>376509444</v>
      </c>
      <c r="N3161" s="193" t="s">
        <v>289</v>
      </c>
      <c r="O3161" s="175"/>
    </row>
    <row r="3162" spans="9:15" ht="16.5" thickBot="1">
      <c r="I3162" s="164" t="s">
        <v>1077</v>
      </c>
      <c r="J3162" s="165"/>
      <c r="K3162" s="74">
        <f>+L3125</f>
        <v>797500</v>
      </c>
      <c r="L3162" s="196">
        <f>+J3162+K3162</f>
        <v>797500</v>
      </c>
      <c r="N3162" s="52"/>
    </row>
    <row r="3163" spans="9:15" ht="16.5" thickBot="1">
      <c r="I3163" s="169"/>
      <c r="J3163" s="197">
        <f>SUM(J3158:J3162)</f>
        <v>7475000</v>
      </c>
      <c r="K3163" s="197">
        <f>SUM(K3158:K3162)</f>
        <v>503523009</v>
      </c>
      <c r="L3163" s="198">
        <f>SUM(L3158:L3162)</f>
        <v>510998009</v>
      </c>
    </row>
    <row r="3164" spans="9:15" ht="16.5">
      <c r="I3164" s="49" t="s">
        <v>88</v>
      </c>
      <c r="J3164" s="50"/>
    </row>
    <row r="3165" spans="9:15">
      <c r="I3165" s="51" t="s">
        <v>89</v>
      </c>
      <c r="L3165" s="139"/>
    </row>
    <row r="3166" spans="9:15">
      <c r="I3166" s="51" t="s">
        <v>90</v>
      </c>
    </row>
    <row r="3167" spans="9:15">
      <c r="I3167" s="51" t="s">
        <v>91</v>
      </c>
    </row>
    <row r="3168" spans="9:15" ht="9.75" customHeight="1">
      <c r="I3168" s="50"/>
      <c r="J3168" s="50"/>
    </row>
    <row r="3169" spans="9:16" ht="15.75">
      <c r="I3169" s="260" t="s">
        <v>1238</v>
      </c>
      <c r="O3169" s="52"/>
    </row>
    <row r="3170" spans="9:16" ht="15.75">
      <c r="I3170" s="53" t="s">
        <v>535</v>
      </c>
      <c r="O3170" s="53"/>
    </row>
    <row r="3171" spans="9:16" ht="16.5">
      <c r="I3171" s="894" t="s">
        <v>1243</v>
      </c>
      <c r="J3171" s="894"/>
      <c r="K3171" s="894"/>
      <c r="L3171" s="894"/>
      <c r="M3171" s="894"/>
      <c r="N3171" s="894"/>
      <c r="O3171" s="894"/>
      <c r="P3171" s="894"/>
    </row>
    <row r="3172" spans="9:16" ht="13.5" customHeight="1" thickBot="1"/>
    <row r="3173" spans="9:16">
      <c r="I3173" s="895" t="s">
        <v>94</v>
      </c>
      <c r="J3173" s="897" t="s">
        <v>95</v>
      </c>
      <c r="K3173" s="897" t="s">
        <v>96</v>
      </c>
      <c r="L3173" s="897" t="s">
        <v>3</v>
      </c>
      <c r="M3173" s="897" t="s">
        <v>97</v>
      </c>
      <c r="N3173" s="897" t="s">
        <v>98</v>
      </c>
      <c r="O3173" s="897" t="s">
        <v>99</v>
      </c>
      <c r="P3173" s="899"/>
    </row>
    <row r="3174" spans="9:16" ht="15.75" thickBot="1">
      <c r="I3174" s="896"/>
      <c r="J3174" s="898"/>
      <c r="K3174" s="898"/>
      <c r="L3174" s="898"/>
      <c r="M3174" s="898"/>
      <c r="N3174" s="898"/>
      <c r="O3174" s="240" t="s">
        <v>100</v>
      </c>
      <c r="P3174" s="182" t="s">
        <v>101</v>
      </c>
    </row>
    <row r="3175" spans="9:16" ht="13.5" customHeight="1">
      <c r="I3175" s="881">
        <v>339</v>
      </c>
      <c r="J3175" s="875">
        <v>42712</v>
      </c>
      <c r="K3175" s="877" t="s">
        <v>1014</v>
      </c>
      <c r="L3175" s="879" t="s">
        <v>1239</v>
      </c>
      <c r="M3175" s="881" t="s">
        <v>115</v>
      </c>
      <c r="N3175" s="883">
        <v>80000</v>
      </c>
      <c r="O3175" s="55">
        <v>719</v>
      </c>
      <c r="P3175" s="78">
        <v>80000</v>
      </c>
    </row>
    <row r="3176" spans="9:16" ht="13.5" customHeight="1" thickBot="1">
      <c r="I3176" s="882"/>
      <c r="J3176" s="876"/>
      <c r="K3176" s="878"/>
      <c r="L3176" s="880"/>
      <c r="M3176" s="882"/>
      <c r="N3176" s="884"/>
      <c r="O3176" s="56">
        <v>721</v>
      </c>
      <c r="P3176" s="79">
        <f>+N3175-P3175</f>
        <v>0</v>
      </c>
    </row>
    <row r="3177" spans="9:16" ht="14.25" customHeight="1">
      <c r="I3177" s="881">
        <v>340</v>
      </c>
      <c r="J3177" s="875">
        <v>42712</v>
      </c>
      <c r="K3177" s="877" t="s">
        <v>120</v>
      </c>
      <c r="L3177" s="879" t="s">
        <v>1239</v>
      </c>
      <c r="M3177" s="881" t="s">
        <v>115</v>
      </c>
      <c r="N3177" s="883">
        <v>140000</v>
      </c>
      <c r="O3177" s="55">
        <v>719</v>
      </c>
      <c r="P3177" s="78">
        <v>140000</v>
      </c>
    </row>
    <row r="3178" spans="9:16" ht="14.25" customHeight="1" thickBot="1">
      <c r="I3178" s="882"/>
      <c r="J3178" s="876"/>
      <c r="K3178" s="878"/>
      <c r="L3178" s="880"/>
      <c r="M3178" s="882"/>
      <c r="N3178" s="884"/>
      <c r="O3178" s="56">
        <v>721</v>
      </c>
      <c r="P3178" s="79">
        <f>+N3177-P3177</f>
        <v>0</v>
      </c>
    </row>
    <row r="3179" spans="9:16" ht="12.75" customHeight="1">
      <c r="I3179" s="881">
        <v>341</v>
      </c>
      <c r="J3179" s="875">
        <v>42712</v>
      </c>
      <c r="K3179" s="877" t="s">
        <v>28</v>
      </c>
      <c r="L3179" s="879" t="s">
        <v>1239</v>
      </c>
      <c r="M3179" s="881" t="s">
        <v>115</v>
      </c>
      <c r="N3179" s="883">
        <v>60000</v>
      </c>
      <c r="O3179" s="55">
        <v>719</v>
      </c>
      <c r="P3179" s="78">
        <v>60000</v>
      </c>
    </row>
    <row r="3180" spans="9:16" ht="13.5" customHeight="1" thickBot="1">
      <c r="I3180" s="882"/>
      <c r="J3180" s="876"/>
      <c r="K3180" s="878"/>
      <c r="L3180" s="880"/>
      <c r="M3180" s="882"/>
      <c r="N3180" s="884"/>
      <c r="O3180" s="56">
        <v>721</v>
      </c>
      <c r="P3180" s="79">
        <f>+N3179-P3179</f>
        <v>0</v>
      </c>
    </row>
    <row r="3181" spans="9:16" ht="13.5" customHeight="1">
      <c r="I3181" s="881">
        <v>342</v>
      </c>
      <c r="J3181" s="875">
        <v>42712</v>
      </c>
      <c r="K3181" s="877" t="s">
        <v>1174</v>
      </c>
      <c r="L3181" s="879" t="s">
        <v>1240</v>
      </c>
      <c r="M3181" s="881" t="s">
        <v>148</v>
      </c>
      <c r="N3181" s="883">
        <v>6287553</v>
      </c>
      <c r="O3181" s="55">
        <v>719</v>
      </c>
      <c r="P3181" s="78"/>
    </row>
    <row r="3182" spans="9:16" ht="15.75" customHeight="1" thickBot="1">
      <c r="I3182" s="882"/>
      <c r="J3182" s="876"/>
      <c r="K3182" s="878"/>
      <c r="L3182" s="880"/>
      <c r="M3182" s="882"/>
      <c r="N3182" s="884"/>
      <c r="O3182" s="56">
        <v>723</v>
      </c>
      <c r="P3182" s="79">
        <f>+N3181-P3181</f>
        <v>6287553</v>
      </c>
    </row>
    <row r="3183" spans="9:16" ht="14.25" customHeight="1">
      <c r="I3183" s="881">
        <v>343</v>
      </c>
      <c r="J3183" s="875">
        <v>42712</v>
      </c>
      <c r="K3183" s="877" t="s">
        <v>738</v>
      </c>
      <c r="L3183" s="879" t="s">
        <v>1244</v>
      </c>
      <c r="M3183" s="881" t="s">
        <v>148</v>
      </c>
      <c r="N3183" s="883">
        <v>5345430</v>
      </c>
      <c r="O3183" s="55">
        <v>719</v>
      </c>
      <c r="P3183" s="78">
        <v>0</v>
      </c>
    </row>
    <row r="3184" spans="9:16" ht="14.25" customHeight="1" thickBot="1">
      <c r="I3184" s="882"/>
      <c r="J3184" s="876"/>
      <c r="K3184" s="878"/>
      <c r="L3184" s="880"/>
      <c r="M3184" s="882"/>
      <c r="N3184" s="884"/>
      <c r="O3184" s="56">
        <v>721</v>
      </c>
      <c r="P3184" s="351">
        <f>+N3183-P3183</f>
        <v>5345430</v>
      </c>
    </row>
    <row r="3185" spans="9:16" ht="13.5" customHeight="1">
      <c r="I3185" s="881">
        <v>344</v>
      </c>
      <c r="J3185" s="875">
        <v>42712</v>
      </c>
      <c r="K3185" s="877" t="s">
        <v>738</v>
      </c>
      <c r="L3185" s="879" t="s">
        <v>1245</v>
      </c>
      <c r="M3185" s="881" t="s">
        <v>148</v>
      </c>
      <c r="N3185" s="883">
        <v>64517844</v>
      </c>
      <c r="O3185" s="55">
        <v>719</v>
      </c>
      <c r="P3185" s="78">
        <v>0</v>
      </c>
    </row>
    <row r="3186" spans="9:16" ht="13.5" customHeight="1" thickBot="1">
      <c r="I3186" s="882"/>
      <c r="J3186" s="876"/>
      <c r="K3186" s="878"/>
      <c r="L3186" s="880"/>
      <c r="M3186" s="882"/>
      <c r="N3186" s="884"/>
      <c r="O3186" s="56">
        <v>721</v>
      </c>
      <c r="P3186" s="351">
        <f>+N3185-P3185</f>
        <v>64517844</v>
      </c>
    </row>
    <row r="3187" spans="9:16" ht="16.5" thickBot="1">
      <c r="I3187" s="901" t="s">
        <v>102</v>
      </c>
      <c r="J3187" s="902"/>
      <c r="K3187" s="902"/>
      <c r="L3187" s="902"/>
      <c r="M3187" s="903"/>
      <c r="N3187" s="81">
        <f>SUM(N3175:N3186)</f>
        <v>76430827</v>
      </c>
    </row>
    <row r="3188" spans="9:16" ht="16.5" thickBot="1">
      <c r="I3188" s="885" t="s">
        <v>103</v>
      </c>
      <c r="J3188" s="886"/>
      <c r="K3188" s="886"/>
      <c r="L3188" s="886"/>
      <c r="M3188" s="887"/>
      <c r="N3188" s="69">
        <f>+N3150</f>
        <v>510998009</v>
      </c>
      <c r="O3188" s="241" t="s">
        <v>561</v>
      </c>
      <c r="P3188" s="242">
        <f>95+174+227</f>
        <v>496</v>
      </c>
    </row>
    <row r="3189" spans="9:16" ht="16.5" thickBot="1">
      <c r="I3189" s="888" t="s">
        <v>104</v>
      </c>
      <c r="J3189" s="889"/>
      <c r="K3189" s="889"/>
      <c r="L3189" s="889"/>
      <c r="M3189" s="890"/>
      <c r="N3189" s="183">
        <f>SUM(N3187:N3188)</f>
        <v>587428836</v>
      </c>
    </row>
    <row r="3190" spans="9:16" ht="13.5" customHeight="1">
      <c r="I3190" s="61"/>
      <c r="J3190" s="61"/>
      <c r="K3190" s="61"/>
      <c r="L3190" s="61"/>
      <c r="M3190" s="61"/>
    </row>
    <row r="3191" spans="9:16">
      <c r="I3191" s="51" t="s">
        <v>1246</v>
      </c>
    </row>
    <row r="3192" spans="9:16" ht="11.25" customHeight="1">
      <c r="N3192" s="139"/>
    </row>
    <row r="3193" spans="9:16">
      <c r="I3193" s="50" t="s">
        <v>105</v>
      </c>
      <c r="L3193" s="146"/>
      <c r="N3193" s="139"/>
    </row>
    <row r="3194" spans="9:16" ht="11.25" customHeight="1" thickBot="1"/>
    <row r="3195" spans="9:16" ht="15.75" thickBot="1">
      <c r="I3195" s="891" t="s">
        <v>106</v>
      </c>
      <c r="J3195" s="892"/>
      <c r="K3195" s="892"/>
      <c r="L3195" s="893"/>
      <c r="N3195" s="50" t="s">
        <v>1126</v>
      </c>
    </row>
    <row r="3196" spans="9:16" ht="30.75" thickBot="1">
      <c r="I3196" s="57" t="s">
        <v>100</v>
      </c>
      <c r="J3196" s="58" t="s">
        <v>108</v>
      </c>
      <c r="K3196" s="287" t="s">
        <v>109</v>
      </c>
      <c r="L3196" s="60" t="s">
        <v>110</v>
      </c>
    </row>
    <row r="3197" spans="9:16">
      <c r="I3197" s="71">
        <v>719</v>
      </c>
      <c r="J3197" s="73">
        <f>+P3175+P3179+P3181+P3177</f>
        <v>280000</v>
      </c>
      <c r="K3197" s="74">
        <f>+L3158</f>
        <v>36420000</v>
      </c>
      <c r="L3197" s="195">
        <f>+J3197+K3197</f>
        <v>36700000</v>
      </c>
    </row>
    <row r="3198" spans="9:16">
      <c r="I3198" s="72">
        <v>721</v>
      </c>
      <c r="J3198" s="80">
        <f>+P3186</f>
        <v>64517844</v>
      </c>
      <c r="K3198" s="74">
        <f>+L3159</f>
        <v>91691065</v>
      </c>
      <c r="L3198" s="195">
        <f>+J3198+K3198</f>
        <v>156208909</v>
      </c>
    </row>
    <row r="3199" spans="9:16" ht="13.5" customHeight="1">
      <c r="I3199" s="72">
        <v>722</v>
      </c>
      <c r="J3199" s="80"/>
      <c r="K3199" s="74">
        <f>+L3160</f>
        <v>5580000</v>
      </c>
      <c r="L3199" s="195">
        <f>+J3199+K3199</f>
        <v>5580000</v>
      </c>
    </row>
    <row r="3200" spans="9:16" ht="14.25" customHeight="1">
      <c r="I3200" s="72">
        <v>723</v>
      </c>
      <c r="J3200" s="80">
        <f>+P3182+P3184</f>
        <v>11632983</v>
      </c>
      <c r="K3200" s="74">
        <f>+L3161</f>
        <v>376509444</v>
      </c>
      <c r="L3200" s="195">
        <f>+J3200+K3200</f>
        <v>388142427</v>
      </c>
      <c r="M3200" s="139"/>
      <c r="N3200" s="193" t="s">
        <v>1125</v>
      </c>
      <c r="O3200" s="175"/>
    </row>
    <row r="3201" spans="9:16" ht="15" customHeight="1" thickBot="1">
      <c r="I3201" s="164" t="s">
        <v>1077</v>
      </c>
      <c r="J3201" s="165"/>
      <c r="K3201" s="74">
        <f>+L3162</f>
        <v>797500</v>
      </c>
      <c r="L3201" s="196">
        <f>+J3201+K3201</f>
        <v>797500</v>
      </c>
      <c r="N3201" s="52"/>
    </row>
    <row r="3202" spans="9:16" ht="16.5" thickBot="1">
      <c r="I3202" s="169"/>
      <c r="J3202" s="197">
        <f>SUM(J3197:J3201)</f>
        <v>76430827</v>
      </c>
      <c r="K3202" s="197">
        <f>SUM(K3197:K3201)</f>
        <v>510998009</v>
      </c>
      <c r="L3202" s="198">
        <f>SUM(L3197:L3201)</f>
        <v>587428836</v>
      </c>
    </row>
    <row r="3203" spans="9:16" ht="16.5">
      <c r="I3203" s="49" t="s">
        <v>88</v>
      </c>
      <c r="J3203" s="50"/>
    </row>
    <row r="3204" spans="9:16">
      <c r="I3204" s="51" t="s">
        <v>89</v>
      </c>
    </row>
    <row r="3205" spans="9:16">
      <c r="I3205" s="51" t="s">
        <v>90</v>
      </c>
    </row>
    <row r="3206" spans="9:16">
      <c r="I3206" s="51" t="s">
        <v>91</v>
      </c>
    </row>
    <row r="3207" spans="9:16" ht="17.25" customHeight="1">
      <c r="I3207" s="50"/>
      <c r="J3207" s="50"/>
    </row>
    <row r="3208" spans="9:16" ht="15.75">
      <c r="I3208" s="260" t="s">
        <v>1242</v>
      </c>
      <c r="O3208" s="52"/>
    </row>
    <row r="3209" spans="9:16" ht="18" customHeight="1">
      <c r="I3209" s="53" t="s">
        <v>535</v>
      </c>
      <c r="O3209" s="53"/>
    </row>
    <row r="3210" spans="9:16" ht="16.5">
      <c r="I3210" s="894" t="s">
        <v>1278</v>
      </c>
      <c r="J3210" s="894"/>
      <c r="K3210" s="894"/>
      <c r="L3210" s="894"/>
      <c r="M3210" s="894"/>
      <c r="N3210" s="894"/>
      <c r="O3210" s="894"/>
      <c r="P3210" s="894"/>
    </row>
    <row r="3211" spans="9:16" ht="15.75" thickBot="1"/>
    <row r="3212" spans="9:16">
      <c r="I3212" s="895" t="s">
        <v>94</v>
      </c>
      <c r="J3212" s="897" t="s">
        <v>95</v>
      </c>
      <c r="K3212" s="897" t="s">
        <v>96</v>
      </c>
      <c r="L3212" s="897" t="s">
        <v>3</v>
      </c>
      <c r="M3212" s="897" t="s">
        <v>97</v>
      </c>
      <c r="N3212" s="897" t="s">
        <v>98</v>
      </c>
      <c r="O3212" s="897" t="s">
        <v>99</v>
      </c>
      <c r="P3212" s="899"/>
    </row>
    <row r="3213" spans="9:16" ht="15.75" thickBot="1">
      <c r="I3213" s="896"/>
      <c r="J3213" s="898"/>
      <c r="K3213" s="898"/>
      <c r="L3213" s="898"/>
      <c r="M3213" s="898"/>
      <c r="N3213" s="898"/>
      <c r="O3213" s="240" t="s">
        <v>100</v>
      </c>
      <c r="P3213" s="182" t="s">
        <v>101</v>
      </c>
    </row>
    <row r="3214" spans="9:16">
      <c r="I3214" s="881">
        <v>345</v>
      </c>
      <c r="J3214" s="875">
        <v>42725</v>
      </c>
      <c r="K3214" s="877" t="s">
        <v>1014</v>
      </c>
      <c r="L3214" s="879" t="s">
        <v>1260</v>
      </c>
      <c r="M3214" s="881" t="s">
        <v>115</v>
      </c>
      <c r="N3214" s="883">
        <v>160000</v>
      </c>
      <c r="O3214" s="55">
        <v>719</v>
      </c>
      <c r="P3214" s="78">
        <v>160000</v>
      </c>
    </row>
    <row r="3215" spans="9:16" ht="15.75" thickBot="1">
      <c r="I3215" s="882"/>
      <c r="J3215" s="876"/>
      <c r="K3215" s="878"/>
      <c r="L3215" s="880"/>
      <c r="M3215" s="882"/>
      <c r="N3215" s="884"/>
      <c r="O3215" s="56">
        <v>721</v>
      </c>
      <c r="P3215" s="351">
        <f>+N3214-P3214</f>
        <v>0</v>
      </c>
    </row>
    <row r="3216" spans="9:16" ht="15" customHeight="1">
      <c r="I3216" s="881">
        <f>+I3214+1</f>
        <v>346</v>
      </c>
      <c r="J3216" s="875">
        <v>42725</v>
      </c>
      <c r="K3216" s="877" t="s">
        <v>28</v>
      </c>
      <c r="L3216" s="879" t="s">
        <v>1276</v>
      </c>
      <c r="M3216" s="881" t="s">
        <v>115</v>
      </c>
      <c r="N3216" s="883">
        <v>60000</v>
      </c>
      <c r="O3216" s="55">
        <v>722</v>
      </c>
      <c r="P3216" s="78">
        <v>60000</v>
      </c>
    </row>
    <row r="3217" spans="9:18" ht="15.75" customHeight="1" thickBot="1">
      <c r="I3217" s="882"/>
      <c r="J3217" s="876"/>
      <c r="K3217" s="878"/>
      <c r="L3217" s="880"/>
      <c r="M3217" s="882"/>
      <c r="N3217" s="884"/>
      <c r="O3217" s="56">
        <v>721</v>
      </c>
      <c r="P3217" s="352">
        <f>+N3216-P3216</f>
        <v>0</v>
      </c>
    </row>
    <row r="3218" spans="9:18" ht="15" customHeight="1">
      <c r="I3218" s="881">
        <f>+I3216+1</f>
        <v>347</v>
      </c>
      <c r="J3218" s="875">
        <v>42725</v>
      </c>
      <c r="K3218" s="877" t="s">
        <v>120</v>
      </c>
      <c r="L3218" s="879" t="s">
        <v>1276</v>
      </c>
      <c r="M3218" s="881" t="s">
        <v>115</v>
      </c>
      <c r="N3218" s="883">
        <v>140000</v>
      </c>
      <c r="O3218" s="55">
        <v>722</v>
      </c>
      <c r="P3218" s="78">
        <v>140000</v>
      </c>
      <c r="R3218" s="875"/>
    </row>
    <row r="3219" spans="9:18" ht="15.75" customHeight="1" thickBot="1">
      <c r="I3219" s="882"/>
      <c r="J3219" s="876"/>
      <c r="K3219" s="878"/>
      <c r="L3219" s="880"/>
      <c r="M3219" s="882"/>
      <c r="N3219" s="884"/>
      <c r="O3219" s="56">
        <v>721</v>
      </c>
      <c r="P3219" s="352">
        <f>+N3218-P3218</f>
        <v>0</v>
      </c>
      <c r="R3219" s="876"/>
    </row>
    <row r="3220" spans="9:18" ht="15" customHeight="1">
      <c r="I3220" s="881"/>
      <c r="J3220" s="875"/>
      <c r="K3220" s="877"/>
      <c r="L3220" s="879"/>
      <c r="M3220" s="881"/>
      <c r="N3220" s="883"/>
      <c r="O3220" s="55">
        <v>722</v>
      </c>
      <c r="P3220" s="78"/>
    </row>
    <row r="3221" spans="9:18" ht="15.75" customHeight="1" thickBot="1">
      <c r="I3221" s="882"/>
      <c r="J3221" s="876"/>
      <c r="K3221" s="878"/>
      <c r="L3221" s="880"/>
      <c r="M3221" s="882"/>
      <c r="N3221" s="884"/>
      <c r="O3221" s="56">
        <v>721</v>
      </c>
      <c r="P3221" s="79">
        <f>+N3220-P3220</f>
        <v>0</v>
      </c>
    </row>
    <row r="3222" spans="9:18" ht="16.5" thickBot="1">
      <c r="I3222" s="901" t="s">
        <v>102</v>
      </c>
      <c r="J3222" s="902"/>
      <c r="K3222" s="902"/>
      <c r="L3222" s="902"/>
      <c r="M3222" s="903"/>
      <c r="N3222" s="81">
        <f>SUM(N3214:N3221)</f>
        <v>360000</v>
      </c>
    </row>
    <row r="3223" spans="9:18" ht="16.5" thickBot="1">
      <c r="I3223" s="885" t="s">
        <v>103</v>
      </c>
      <c r="J3223" s="886"/>
      <c r="K3223" s="886"/>
      <c r="L3223" s="886"/>
      <c r="M3223" s="887"/>
      <c r="N3223" s="69">
        <f>+N3189</f>
        <v>587428836</v>
      </c>
      <c r="O3223" s="241" t="s">
        <v>561</v>
      </c>
      <c r="P3223" s="242">
        <f>108+107+310</f>
        <v>525</v>
      </c>
    </row>
    <row r="3224" spans="9:18" ht="16.5" thickBot="1">
      <c r="I3224" s="888" t="s">
        <v>104</v>
      </c>
      <c r="J3224" s="889"/>
      <c r="K3224" s="889"/>
      <c r="L3224" s="889"/>
      <c r="M3224" s="890"/>
      <c r="N3224" s="183">
        <f>SUM(N3222:N3223)</f>
        <v>587788836</v>
      </c>
    </row>
    <row r="3225" spans="9:18">
      <c r="I3225" s="61"/>
      <c r="J3225" s="61"/>
      <c r="K3225" s="61"/>
      <c r="L3225" s="61"/>
      <c r="M3225" s="61"/>
    </row>
    <row r="3226" spans="9:18">
      <c r="I3226" s="51" t="s">
        <v>1261</v>
      </c>
    </row>
    <row r="3227" spans="9:18" ht="19.5" customHeight="1">
      <c r="N3227" s="139"/>
    </row>
    <row r="3228" spans="9:18">
      <c r="I3228" s="50" t="s">
        <v>105</v>
      </c>
      <c r="L3228" s="146"/>
      <c r="N3228" s="139"/>
    </row>
    <row r="3229" spans="9:18" ht="15.75" thickBot="1"/>
    <row r="3230" spans="9:18" ht="15.75" thickBot="1">
      <c r="I3230" s="891" t="s">
        <v>106</v>
      </c>
      <c r="J3230" s="892"/>
      <c r="K3230" s="892"/>
      <c r="L3230" s="893"/>
      <c r="N3230" s="50" t="s">
        <v>288</v>
      </c>
    </row>
    <row r="3231" spans="9:18" ht="30.75" thickBot="1">
      <c r="I3231" s="57" t="s">
        <v>100</v>
      </c>
      <c r="J3231" s="58" t="s">
        <v>108</v>
      </c>
      <c r="K3231" s="287" t="s">
        <v>109</v>
      </c>
      <c r="L3231" s="60" t="s">
        <v>110</v>
      </c>
    </row>
    <row r="3232" spans="9:18">
      <c r="I3232" s="71">
        <v>719</v>
      </c>
      <c r="J3232" s="73">
        <f>+P3214+P3216+P3218+P3220</f>
        <v>360000</v>
      </c>
      <c r="K3232" s="74">
        <f>+L3197</f>
        <v>36700000</v>
      </c>
      <c r="L3232" s="195">
        <f>+J3232+K3232</f>
        <v>37060000</v>
      </c>
    </row>
    <row r="3233" spans="9:16">
      <c r="I3233" s="72">
        <v>721</v>
      </c>
      <c r="J3233" s="80"/>
      <c r="K3233" s="74">
        <f>+L3198</f>
        <v>156208909</v>
      </c>
      <c r="L3233" s="195">
        <f>+J3233+K3233</f>
        <v>156208909</v>
      </c>
    </row>
    <row r="3234" spans="9:16">
      <c r="I3234" s="72">
        <v>722</v>
      </c>
      <c r="J3234" s="80"/>
      <c r="K3234" s="74">
        <f>+L3199</f>
        <v>5580000</v>
      </c>
      <c r="L3234" s="195">
        <f>+J3234+K3234</f>
        <v>5580000</v>
      </c>
    </row>
    <row r="3235" spans="9:16" ht="15.75">
      <c r="I3235" s="72">
        <v>723</v>
      </c>
      <c r="J3235" s="80"/>
      <c r="K3235" s="74">
        <f>+L3200</f>
        <v>388142427</v>
      </c>
      <c r="L3235" s="195">
        <f>+J3235+K3235</f>
        <v>388142427</v>
      </c>
      <c r="N3235" s="193" t="s">
        <v>289</v>
      </c>
      <c r="O3235" s="175"/>
    </row>
    <row r="3236" spans="9:16" ht="16.5" thickBot="1">
      <c r="I3236" s="164" t="s">
        <v>1077</v>
      </c>
      <c r="J3236" s="165"/>
      <c r="K3236" s="74">
        <f>+L3201</f>
        <v>797500</v>
      </c>
      <c r="L3236" s="196">
        <f>+J3236+K3236</f>
        <v>797500</v>
      </c>
      <c r="N3236" s="52"/>
    </row>
    <row r="3237" spans="9:16" ht="16.5" thickBot="1">
      <c r="I3237" s="169"/>
      <c r="J3237" s="197">
        <f>SUM(J3232:J3236)</f>
        <v>360000</v>
      </c>
      <c r="K3237" s="197">
        <f>SUM(K3232:K3236)</f>
        <v>587428836</v>
      </c>
      <c r="L3237" s="198">
        <f>SUM(L3232:L3236)</f>
        <v>587788836</v>
      </c>
    </row>
    <row r="3238" spans="9:16" ht="16.5">
      <c r="I3238" s="49" t="s">
        <v>88</v>
      </c>
      <c r="J3238" s="50"/>
    </row>
    <row r="3239" spans="9:16">
      <c r="I3239" s="51" t="s">
        <v>89</v>
      </c>
    </row>
    <row r="3240" spans="9:16">
      <c r="I3240" s="51" t="s">
        <v>90</v>
      </c>
    </row>
    <row r="3241" spans="9:16">
      <c r="I3241" s="51" t="s">
        <v>91</v>
      </c>
    </row>
    <row r="3242" spans="9:16" ht="14.25" customHeight="1">
      <c r="I3242" s="50"/>
      <c r="J3242" s="50"/>
    </row>
    <row r="3243" spans="9:16" ht="15.75">
      <c r="I3243" s="260" t="s">
        <v>1264</v>
      </c>
      <c r="O3243" s="52"/>
    </row>
    <row r="3244" spans="9:16" ht="15.75">
      <c r="I3244" s="53" t="s">
        <v>535</v>
      </c>
      <c r="O3244" s="53"/>
    </row>
    <row r="3245" spans="9:16" ht="16.5">
      <c r="I3245" s="894" t="s">
        <v>1278</v>
      </c>
      <c r="J3245" s="894"/>
      <c r="K3245" s="894"/>
      <c r="L3245" s="894"/>
      <c r="M3245" s="894"/>
      <c r="N3245" s="894"/>
      <c r="O3245" s="894"/>
      <c r="P3245" s="894"/>
    </row>
    <row r="3246" spans="9:16" ht="15.75" thickBot="1"/>
    <row r="3247" spans="9:16">
      <c r="I3247" s="895" t="s">
        <v>94</v>
      </c>
      <c r="J3247" s="897" t="s">
        <v>95</v>
      </c>
      <c r="K3247" s="897" t="s">
        <v>96</v>
      </c>
      <c r="L3247" s="897" t="s">
        <v>3</v>
      </c>
      <c r="M3247" s="897" t="s">
        <v>97</v>
      </c>
      <c r="N3247" s="897" t="s">
        <v>98</v>
      </c>
      <c r="O3247" s="897" t="s">
        <v>99</v>
      </c>
      <c r="P3247" s="899"/>
    </row>
    <row r="3248" spans="9:16" ht="15.75" thickBot="1">
      <c r="I3248" s="896"/>
      <c r="J3248" s="898"/>
      <c r="K3248" s="898"/>
      <c r="L3248" s="898"/>
      <c r="M3248" s="898"/>
      <c r="N3248" s="898"/>
      <c r="O3248" s="240" t="s">
        <v>100</v>
      </c>
      <c r="P3248" s="182" t="s">
        <v>101</v>
      </c>
    </row>
    <row r="3249" spans="9:16">
      <c r="I3249" s="881">
        <v>348</v>
      </c>
      <c r="J3249" s="875">
        <v>42725</v>
      </c>
      <c r="K3249" s="877" t="s">
        <v>1014</v>
      </c>
      <c r="L3249" s="879" t="s">
        <v>1263</v>
      </c>
      <c r="M3249" s="881" t="s">
        <v>115</v>
      </c>
      <c r="N3249" s="883">
        <v>140000</v>
      </c>
      <c r="O3249" s="55">
        <v>719</v>
      </c>
      <c r="P3249" s="78">
        <v>140000</v>
      </c>
    </row>
    <row r="3250" spans="9:16" ht="15.75" thickBot="1">
      <c r="I3250" s="882"/>
      <c r="J3250" s="876"/>
      <c r="K3250" s="878"/>
      <c r="L3250" s="880"/>
      <c r="M3250" s="882"/>
      <c r="N3250" s="884"/>
      <c r="O3250" s="56">
        <v>721</v>
      </c>
      <c r="P3250" s="351">
        <f>+N3249-P3249</f>
        <v>0</v>
      </c>
    </row>
    <row r="3251" spans="9:16">
      <c r="I3251" s="881">
        <f>+I3249+1</f>
        <v>349</v>
      </c>
      <c r="J3251" s="875">
        <v>42725</v>
      </c>
      <c r="K3251" s="877" t="s">
        <v>28</v>
      </c>
      <c r="L3251" s="879" t="s">
        <v>1266</v>
      </c>
      <c r="M3251" s="881" t="s">
        <v>115</v>
      </c>
      <c r="N3251" s="883">
        <v>50000</v>
      </c>
      <c r="O3251" s="55">
        <v>722</v>
      </c>
      <c r="P3251" s="78">
        <v>50000</v>
      </c>
    </row>
    <row r="3252" spans="9:16" ht="15.75" thickBot="1">
      <c r="I3252" s="882"/>
      <c r="J3252" s="876"/>
      <c r="K3252" s="878"/>
      <c r="L3252" s="880"/>
      <c r="M3252" s="882"/>
      <c r="N3252" s="884"/>
      <c r="O3252" s="56">
        <v>721</v>
      </c>
      <c r="P3252" s="352"/>
    </row>
    <row r="3253" spans="9:16">
      <c r="I3253" s="881">
        <f>+I3251+1</f>
        <v>350</v>
      </c>
      <c r="J3253" s="875">
        <v>42725</v>
      </c>
      <c r="K3253" s="877" t="s">
        <v>120</v>
      </c>
      <c r="L3253" s="879" t="s">
        <v>1262</v>
      </c>
      <c r="M3253" s="881" t="s">
        <v>115</v>
      </c>
      <c r="N3253" s="883">
        <v>140000</v>
      </c>
      <c r="O3253" s="55">
        <v>722</v>
      </c>
      <c r="P3253" s="78">
        <v>140000</v>
      </c>
    </row>
    <row r="3254" spans="9:16" ht="15.75" thickBot="1">
      <c r="I3254" s="882"/>
      <c r="J3254" s="876"/>
      <c r="K3254" s="878"/>
      <c r="L3254" s="880"/>
      <c r="M3254" s="882"/>
      <c r="N3254" s="884"/>
      <c r="O3254" s="56">
        <v>721</v>
      </c>
      <c r="P3254" s="352">
        <f>+N3253-P3253</f>
        <v>0</v>
      </c>
    </row>
    <row r="3255" spans="9:16">
      <c r="I3255" s="881"/>
      <c r="J3255" s="875"/>
      <c r="K3255" s="877"/>
      <c r="L3255" s="879"/>
      <c r="M3255" s="881"/>
      <c r="N3255" s="883"/>
      <c r="O3255" s="55">
        <v>722</v>
      </c>
      <c r="P3255" s="78"/>
    </row>
    <row r="3256" spans="9:16" ht="15.75" thickBot="1">
      <c r="I3256" s="882"/>
      <c r="J3256" s="876"/>
      <c r="K3256" s="878"/>
      <c r="L3256" s="880"/>
      <c r="M3256" s="882"/>
      <c r="N3256" s="884"/>
      <c r="O3256" s="56">
        <v>721</v>
      </c>
      <c r="P3256" s="79">
        <f>+N3255-P3255</f>
        <v>0</v>
      </c>
    </row>
    <row r="3257" spans="9:16" ht="16.5" thickBot="1">
      <c r="I3257" s="901" t="s">
        <v>102</v>
      </c>
      <c r="J3257" s="902"/>
      <c r="K3257" s="902"/>
      <c r="L3257" s="902"/>
      <c r="M3257" s="903"/>
      <c r="N3257" s="81">
        <f>SUM(N3249:N3256)</f>
        <v>330000</v>
      </c>
    </row>
    <row r="3258" spans="9:16" ht="16.5" thickBot="1">
      <c r="I3258" s="885" t="s">
        <v>103</v>
      </c>
      <c r="J3258" s="886"/>
      <c r="K3258" s="886"/>
      <c r="L3258" s="886"/>
      <c r="M3258" s="887"/>
      <c r="N3258" s="69">
        <f>+N3224</f>
        <v>587788836</v>
      </c>
      <c r="O3258" s="241" t="s">
        <v>561</v>
      </c>
      <c r="P3258" s="242">
        <f>404+83+122</f>
        <v>609</v>
      </c>
    </row>
    <row r="3259" spans="9:16" ht="16.5" thickBot="1">
      <c r="I3259" s="888" t="s">
        <v>104</v>
      </c>
      <c r="J3259" s="889"/>
      <c r="K3259" s="889"/>
      <c r="L3259" s="889"/>
      <c r="M3259" s="890"/>
      <c r="N3259" s="183">
        <f>SUM(N3257:N3258)</f>
        <v>588118836</v>
      </c>
    </row>
    <row r="3260" spans="9:16">
      <c r="I3260" s="61"/>
      <c r="J3260" s="61"/>
      <c r="K3260" s="61"/>
      <c r="L3260" s="61"/>
      <c r="M3260" s="61"/>
    </row>
    <row r="3261" spans="9:16">
      <c r="I3261" s="51" t="s">
        <v>1265</v>
      </c>
    </row>
    <row r="3262" spans="9:16">
      <c r="N3262" s="139"/>
    </row>
    <row r="3263" spans="9:16">
      <c r="I3263" s="50" t="s">
        <v>105</v>
      </c>
      <c r="L3263" s="146"/>
      <c r="N3263" s="139"/>
    </row>
    <row r="3264" spans="9:16" ht="15.75" thickBot="1"/>
    <row r="3265" spans="9:15" ht="15.75" thickBot="1">
      <c r="I3265" s="891" t="s">
        <v>106</v>
      </c>
      <c r="J3265" s="892"/>
      <c r="K3265" s="892"/>
      <c r="L3265" s="893"/>
      <c r="N3265" s="50" t="s">
        <v>288</v>
      </c>
    </row>
    <row r="3266" spans="9:15" ht="30.75" thickBot="1">
      <c r="I3266" s="57" t="s">
        <v>100</v>
      </c>
      <c r="J3266" s="58" t="s">
        <v>108</v>
      </c>
      <c r="K3266" s="287" t="s">
        <v>109</v>
      </c>
      <c r="L3266" s="60" t="s">
        <v>110</v>
      </c>
    </row>
    <row r="3267" spans="9:15">
      <c r="I3267" s="71">
        <v>719</v>
      </c>
      <c r="J3267" s="73">
        <f>+P3249+P3251+P3253+P3255</f>
        <v>330000</v>
      </c>
      <c r="K3267" s="74">
        <f>+L3232</f>
        <v>37060000</v>
      </c>
      <c r="L3267" s="195">
        <f>+J3267+K3267</f>
        <v>37390000</v>
      </c>
    </row>
    <row r="3268" spans="9:15">
      <c r="I3268" s="72">
        <v>721</v>
      </c>
      <c r="J3268" s="80"/>
      <c r="K3268" s="74">
        <f>+L3233</f>
        <v>156208909</v>
      </c>
      <c r="L3268" s="195">
        <f>+J3268+K3268</f>
        <v>156208909</v>
      </c>
    </row>
    <row r="3269" spans="9:15">
      <c r="I3269" s="72">
        <v>722</v>
      </c>
      <c r="J3269" s="80"/>
      <c r="K3269" s="74">
        <f>+L3234</f>
        <v>5580000</v>
      </c>
      <c r="L3269" s="195">
        <f>+J3269+K3269</f>
        <v>5580000</v>
      </c>
    </row>
    <row r="3270" spans="9:15" ht="15.75">
      <c r="I3270" s="72">
        <v>723</v>
      </c>
      <c r="J3270" s="80"/>
      <c r="K3270" s="74">
        <f>+L3235</f>
        <v>388142427</v>
      </c>
      <c r="L3270" s="195">
        <f>+J3270+K3270</f>
        <v>388142427</v>
      </c>
      <c r="N3270" s="193" t="s">
        <v>289</v>
      </c>
      <c r="O3270" s="175"/>
    </row>
    <row r="3271" spans="9:15" ht="16.5" thickBot="1">
      <c r="I3271" s="164" t="s">
        <v>1077</v>
      </c>
      <c r="J3271" s="165"/>
      <c r="K3271" s="74">
        <f>+L3236</f>
        <v>797500</v>
      </c>
      <c r="L3271" s="196">
        <f>+J3271+K3271</f>
        <v>797500</v>
      </c>
      <c r="N3271" s="52"/>
    </row>
    <row r="3272" spans="9:15" ht="16.5" thickBot="1">
      <c r="I3272" s="169"/>
      <c r="J3272" s="197">
        <f>SUM(J3267:J3271)</f>
        <v>330000</v>
      </c>
      <c r="K3272" s="197">
        <f>SUM(K3267:K3271)</f>
        <v>587788836</v>
      </c>
      <c r="L3272" s="198">
        <f>SUM(L3267:L3271)</f>
        <v>588118836</v>
      </c>
    </row>
    <row r="3274" spans="9:15" ht="16.5">
      <c r="I3274" s="49" t="s">
        <v>88</v>
      </c>
      <c r="J3274" s="50"/>
    </row>
    <row r="3275" spans="9:15">
      <c r="I3275" s="51" t="s">
        <v>89</v>
      </c>
    </row>
    <row r="3276" spans="9:15">
      <c r="I3276" s="51" t="s">
        <v>90</v>
      </c>
    </row>
    <row r="3277" spans="9:15">
      <c r="I3277" s="51" t="s">
        <v>91</v>
      </c>
    </row>
    <row r="3278" spans="9:15">
      <c r="I3278" s="50"/>
      <c r="J3278" s="50"/>
    </row>
    <row r="3279" spans="9:15" ht="15.75">
      <c r="I3279" s="260" t="s">
        <v>1272</v>
      </c>
      <c r="O3279" s="52"/>
    </row>
    <row r="3280" spans="9:15" ht="15.75">
      <c r="I3280" s="53" t="s">
        <v>535</v>
      </c>
      <c r="O3280" s="53"/>
    </row>
    <row r="3281" spans="9:16" ht="16.5">
      <c r="I3281" s="894" t="s">
        <v>1277</v>
      </c>
      <c r="J3281" s="894"/>
      <c r="K3281" s="894"/>
      <c r="L3281" s="894"/>
      <c r="M3281" s="894"/>
      <c r="N3281" s="894"/>
      <c r="O3281" s="894"/>
      <c r="P3281" s="894"/>
    </row>
    <row r="3282" spans="9:16" ht="15.75" thickBot="1"/>
    <row r="3283" spans="9:16">
      <c r="I3283" s="895" t="s">
        <v>94</v>
      </c>
      <c r="J3283" s="897" t="s">
        <v>95</v>
      </c>
      <c r="K3283" s="897" t="s">
        <v>96</v>
      </c>
      <c r="L3283" s="897" t="s">
        <v>3</v>
      </c>
      <c r="M3283" s="897" t="s">
        <v>97</v>
      </c>
      <c r="N3283" s="897" t="s">
        <v>98</v>
      </c>
      <c r="O3283" s="897" t="s">
        <v>99</v>
      </c>
      <c r="P3283" s="899"/>
    </row>
    <row r="3284" spans="9:16" ht="15.75" thickBot="1">
      <c r="I3284" s="896"/>
      <c r="J3284" s="898"/>
      <c r="K3284" s="898"/>
      <c r="L3284" s="898"/>
      <c r="M3284" s="898"/>
      <c r="N3284" s="898"/>
      <c r="O3284" s="240" t="s">
        <v>100</v>
      </c>
      <c r="P3284" s="182" t="s">
        <v>101</v>
      </c>
    </row>
    <row r="3285" spans="9:16" ht="15" customHeight="1">
      <c r="I3285" s="881">
        <v>351</v>
      </c>
      <c r="J3285" s="875">
        <v>42732</v>
      </c>
      <c r="K3285" s="877" t="s">
        <v>1267</v>
      </c>
      <c r="L3285" s="879" t="s">
        <v>1270</v>
      </c>
      <c r="M3285" s="881" t="s">
        <v>115</v>
      </c>
      <c r="N3285" s="883">
        <v>14718204</v>
      </c>
      <c r="O3285" s="55">
        <v>719</v>
      </c>
      <c r="P3285" s="78">
        <v>0</v>
      </c>
    </row>
    <row r="3286" spans="9:16" ht="15.75" thickBot="1">
      <c r="I3286" s="882"/>
      <c r="J3286" s="876"/>
      <c r="K3286" s="900"/>
      <c r="L3286" s="880"/>
      <c r="M3286" s="882"/>
      <c r="N3286" s="884"/>
      <c r="O3286" s="56">
        <v>721</v>
      </c>
      <c r="P3286" s="351">
        <f>+N3285-P3285</f>
        <v>14718204</v>
      </c>
    </row>
    <row r="3287" spans="9:16" ht="15" customHeight="1">
      <c r="I3287" s="881">
        <f>+I3285+1</f>
        <v>352</v>
      </c>
      <c r="J3287" s="875">
        <v>42732</v>
      </c>
      <c r="K3287" s="900"/>
      <c r="L3287" s="879" t="s">
        <v>1271</v>
      </c>
      <c r="M3287" s="881" t="s">
        <v>115</v>
      </c>
      <c r="N3287" s="883">
        <v>3962065</v>
      </c>
      <c r="O3287" s="55">
        <v>722</v>
      </c>
      <c r="P3287" s="78">
        <v>0</v>
      </c>
    </row>
    <row r="3288" spans="9:16" ht="15.75" customHeight="1" thickBot="1">
      <c r="I3288" s="882"/>
      <c r="J3288" s="876"/>
      <c r="K3288" s="878"/>
      <c r="L3288" s="880"/>
      <c r="M3288" s="882"/>
      <c r="N3288" s="884"/>
      <c r="O3288" s="56">
        <v>721</v>
      </c>
      <c r="P3288" s="352">
        <f>+N3287-P3287</f>
        <v>3962065</v>
      </c>
    </row>
    <row r="3289" spans="9:16" ht="15" customHeight="1">
      <c r="I3289" s="881">
        <f>+I3287+1</f>
        <v>353</v>
      </c>
      <c r="J3289" s="875">
        <v>42732</v>
      </c>
      <c r="K3289" s="877" t="s">
        <v>1014</v>
      </c>
      <c r="L3289" s="879" t="s">
        <v>1273</v>
      </c>
      <c r="M3289" s="881" t="s">
        <v>115</v>
      </c>
      <c r="N3289" s="883">
        <v>90000</v>
      </c>
      <c r="O3289" s="55">
        <v>722</v>
      </c>
      <c r="P3289" s="78">
        <v>90000</v>
      </c>
    </row>
    <row r="3290" spans="9:16" ht="15.75" customHeight="1" thickBot="1">
      <c r="I3290" s="882"/>
      <c r="J3290" s="876"/>
      <c r="K3290" s="878"/>
      <c r="L3290" s="880"/>
      <c r="M3290" s="882"/>
      <c r="N3290" s="884"/>
      <c r="O3290" s="56">
        <v>721</v>
      </c>
      <c r="P3290" s="352">
        <f>+N3289-P3289</f>
        <v>0</v>
      </c>
    </row>
    <row r="3291" spans="9:16" ht="15" customHeight="1">
      <c r="I3291" s="881">
        <f>+I3289+1</f>
        <v>354</v>
      </c>
      <c r="J3291" s="875">
        <v>42732</v>
      </c>
      <c r="K3291" s="877" t="s">
        <v>120</v>
      </c>
      <c r="L3291" s="879" t="s">
        <v>1274</v>
      </c>
      <c r="M3291" s="881" t="s">
        <v>115</v>
      </c>
      <c r="N3291" s="883">
        <v>60000</v>
      </c>
      <c r="O3291" s="55">
        <v>722</v>
      </c>
      <c r="P3291" s="78">
        <v>60000</v>
      </c>
    </row>
    <row r="3292" spans="9:16" ht="15.75" customHeight="1" thickBot="1">
      <c r="I3292" s="882"/>
      <c r="J3292" s="876"/>
      <c r="K3292" s="878"/>
      <c r="L3292" s="880"/>
      <c r="M3292" s="882"/>
      <c r="N3292" s="884"/>
      <c r="O3292" s="56">
        <v>721</v>
      </c>
      <c r="P3292" s="79">
        <f>+N3291-P3291</f>
        <v>0</v>
      </c>
    </row>
    <row r="3293" spans="9:16" ht="16.5" thickBot="1">
      <c r="I3293" s="901" t="s">
        <v>102</v>
      </c>
      <c r="J3293" s="902"/>
      <c r="K3293" s="902"/>
      <c r="L3293" s="902"/>
      <c r="M3293" s="903"/>
      <c r="N3293" s="81">
        <f>SUM(N3285:N3292)</f>
        <v>18830269</v>
      </c>
    </row>
    <row r="3294" spans="9:16" ht="16.5" thickBot="1">
      <c r="I3294" s="885" t="s">
        <v>103</v>
      </c>
      <c r="J3294" s="886"/>
      <c r="K3294" s="886"/>
      <c r="L3294" s="886"/>
      <c r="M3294" s="887"/>
      <c r="N3294" s="69">
        <f>+N3259</f>
        <v>588118836</v>
      </c>
      <c r="O3294" s="241" t="s">
        <v>561</v>
      </c>
      <c r="P3294" s="242">
        <f>38+294</f>
        <v>332</v>
      </c>
    </row>
    <row r="3295" spans="9:16" ht="16.5" thickBot="1">
      <c r="I3295" s="888" t="s">
        <v>104</v>
      </c>
      <c r="J3295" s="889"/>
      <c r="K3295" s="889"/>
      <c r="L3295" s="889"/>
      <c r="M3295" s="890"/>
      <c r="N3295" s="183">
        <f>SUM(N3293:N3294)</f>
        <v>606949105</v>
      </c>
    </row>
    <row r="3296" spans="9:16">
      <c r="I3296" s="61"/>
      <c r="J3296" s="61"/>
      <c r="K3296" s="61"/>
      <c r="L3296" s="61"/>
      <c r="M3296" s="61"/>
    </row>
    <row r="3297" spans="9:15">
      <c r="I3297" s="51" t="s">
        <v>1275</v>
      </c>
    </row>
    <row r="3298" spans="9:15">
      <c r="N3298" s="139"/>
    </row>
    <row r="3299" spans="9:15">
      <c r="I3299" s="50" t="s">
        <v>105</v>
      </c>
      <c r="L3299" s="146"/>
      <c r="N3299" s="139"/>
    </row>
    <row r="3300" spans="9:15" ht="15.75" thickBot="1"/>
    <row r="3301" spans="9:15" ht="15.75" thickBot="1">
      <c r="I3301" s="891" t="s">
        <v>106</v>
      </c>
      <c r="J3301" s="892"/>
      <c r="K3301" s="892"/>
      <c r="L3301" s="893"/>
      <c r="N3301" s="50" t="s">
        <v>288</v>
      </c>
    </row>
    <row r="3302" spans="9:15" ht="30.75" thickBot="1">
      <c r="I3302" s="57" t="s">
        <v>100</v>
      </c>
      <c r="J3302" s="58" t="s">
        <v>108</v>
      </c>
      <c r="K3302" s="287" t="s">
        <v>109</v>
      </c>
      <c r="L3302" s="60" t="s">
        <v>110</v>
      </c>
    </row>
    <row r="3303" spans="9:15">
      <c r="I3303" s="71">
        <v>719</v>
      </c>
      <c r="J3303" s="73">
        <f>+P3285+P3287+P3289+P3291</f>
        <v>150000</v>
      </c>
      <c r="K3303" s="74">
        <f>+L3267</f>
        <v>37390000</v>
      </c>
      <c r="L3303" s="195">
        <f>+J3303+K3303</f>
        <v>37540000</v>
      </c>
    </row>
    <row r="3304" spans="9:15">
      <c r="I3304" s="72">
        <v>721</v>
      </c>
      <c r="J3304" s="80">
        <f>+P3286+P3288</f>
        <v>18680269</v>
      </c>
      <c r="K3304" s="74">
        <f>+L3268</f>
        <v>156208909</v>
      </c>
      <c r="L3304" s="195">
        <f>+J3304+K3304</f>
        <v>174889178</v>
      </c>
    </row>
    <row r="3305" spans="9:15">
      <c r="I3305" s="72">
        <v>722</v>
      </c>
      <c r="J3305" s="80"/>
      <c r="K3305" s="74">
        <f>+L3269</f>
        <v>5580000</v>
      </c>
      <c r="L3305" s="195">
        <f>+J3305+K3305</f>
        <v>5580000</v>
      </c>
    </row>
    <row r="3306" spans="9:15" ht="15.75">
      <c r="I3306" s="72">
        <v>723</v>
      </c>
      <c r="J3306" s="80"/>
      <c r="K3306" s="74">
        <f>+L3270</f>
        <v>388142427</v>
      </c>
      <c r="L3306" s="195">
        <f>+J3306+K3306</f>
        <v>388142427</v>
      </c>
      <c r="N3306" s="193" t="s">
        <v>289</v>
      </c>
      <c r="O3306" s="175"/>
    </row>
    <row r="3307" spans="9:15" ht="16.5" thickBot="1">
      <c r="I3307" s="164" t="s">
        <v>1077</v>
      </c>
      <c r="J3307" s="165"/>
      <c r="K3307" s="74">
        <f>+L3271</f>
        <v>797500</v>
      </c>
      <c r="L3307" s="196">
        <f>+J3307+K3307</f>
        <v>797500</v>
      </c>
      <c r="N3307" s="52"/>
    </row>
    <row r="3308" spans="9:15" ht="16.5" thickBot="1">
      <c r="I3308" s="169"/>
      <c r="J3308" s="197">
        <f>SUM(J3303:J3307)</f>
        <v>18830269</v>
      </c>
      <c r="K3308" s="197">
        <f>SUM(K3303:K3307)</f>
        <v>588118836</v>
      </c>
      <c r="L3308" s="198">
        <f>SUM(L3303:L3307)</f>
        <v>606949105</v>
      </c>
    </row>
    <row r="3309" spans="9:15" ht="16.5">
      <c r="I3309" s="49" t="s">
        <v>88</v>
      </c>
      <c r="J3309" s="50"/>
    </row>
    <row r="3310" spans="9:15">
      <c r="I3310" s="51" t="s">
        <v>89</v>
      </c>
    </row>
    <row r="3311" spans="9:15">
      <c r="I3311" s="51" t="s">
        <v>90</v>
      </c>
    </row>
    <row r="3312" spans="9:15">
      <c r="I3312" s="51" t="s">
        <v>91</v>
      </c>
    </row>
    <row r="3313" spans="9:16" ht="12" customHeight="1">
      <c r="I3313" s="50"/>
      <c r="J3313" s="50"/>
    </row>
    <row r="3314" spans="9:16" ht="15.75">
      <c r="I3314" s="260" t="s">
        <v>1279</v>
      </c>
      <c r="O3314" s="52"/>
    </row>
    <row r="3315" spans="9:16" ht="15.75">
      <c r="I3315" s="53" t="s">
        <v>535</v>
      </c>
      <c r="O3315" s="53"/>
    </row>
    <row r="3316" spans="9:16" ht="14.25" customHeight="1">
      <c r="I3316" s="894" t="s">
        <v>1288</v>
      </c>
      <c r="J3316" s="894"/>
      <c r="K3316" s="894"/>
      <c r="L3316" s="894"/>
      <c r="M3316" s="894"/>
      <c r="N3316" s="894"/>
      <c r="O3316" s="894"/>
      <c r="P3316" s="894"/>
    </row>
    <row r="3317" spans="9:16" ht="12.75" customHeight="1" thickBot="1"/>
    <row r="3318" spans="9:16">
      <c r="I3318" s="895" t="s">
        <v>94</v>
      </c>
      <c r="J3318" s="897" t="s">
        <v>95</v>
      </c>
      <c r="K3318" s="897" t="s">
        <v>96</v>
      </c>
      <c r="L3318" s="897" t="s">
        <v>3</v>
      </c>
      <c r="M3318" s="897" t="s">
        <v>97</v>
      </c>
      <c r="N3318" s="897" t="s">
        <v>98</v>
      </c>
      <c r="O3318" s="897" t="s">
        <v>99</v>
      </c>
      <c r="P3318" s="899"/>
    </row>
    <row r="3319" spans="9:16" ht="15.75" thickBot="1">
      <c r="I3319" s="896"/>
      <c r="J3319" s="898"/>
      <c r="K3319" s="898"/>
      <c r="L3319" s="898"/>
      <c r="M3319" s="898"/>
      <c r="N3319" s="898"/>
      <c r="O3319" s="240" t="s">
        <v>100</v>
      </c>
      <c r="P3319" s="182" t="s">
        <v>101</v>
      </c>
    </row>
    <row r="3320" spans="9:16" ht="12.75" customHeight="1">
      <c r="I3320" s="881">
        <v>355</v>
      </c>
      <c r="J3320" s="875">
        <v>42734</v>
      </c>
      <c r="K3320" s="877" t="s">
        <v>1280</v>
      </c>
      <c r="L3320" s="904">
        <v>42569</v>
      </c>
      <c r="M3320" s="881" t="s">
        <v>148</v>
      </c>
      <c r="N3320" s="883">
        <v>100000</v>
      </c>
      <c r="O3320" s="55">
        <v>719</v>
      </c>
      <c r="P3320" s="78">
        <v>0</v>
      </c>
    </row>
    <row r="3321" spans="9:16" ht="15.75" thickBot="1">
      <c r="I3321" s="882"/>
      <c r="J3321" s="876"/>
      <c r="K3321" s="878"/>
      <c r="L3321" s="880"/>
      <c r="M3321" s="882"/>
      <c r="N3321" s="884"/>
      <c r="O3321" s="56">
        <v>722</v>
      </c>
      <c r="P3321" s="351">
        <f>+N3320-P3320</f>
        <v>100000</v>
      </c>
    </row>
    <row r="3322" spans="9:16" ht="12" customHeight="1">
      <c r="I3322" s="881">
        <f>+I3320+1</f>
        <v>356</v>
      </c>
      <c r="J3322" s="875">
        <v>42734</v>
      </c>
      <c r="K3322" s="877" t="s">
        <v>1281</v>
      </c>
      <c r="L3322" s="904">
        <v>42569</v>
      </c>
      <c r="M3322" s="881" t="s">
        <v>148</v>
      </c>
      <c r="N3322" s="883">
        <v>100000</v>
      </c>
      <c r="O3322" s="55">
        <v>719</v>
      </c>
      <c r="P3322" s="78">
        <v>0</v>
      </c>
    </row>
    <row r="3323" spans="9:16" ht="15.75" customHeight="1" thickBot="1">
      <c r="I3323" s="882"/>
      <c r="J3323" s="876"/>
      <c r="K3323" s="878"/>
      <c r="L3323" s="880"/>
      <c r="M3323" s="882"/>
      <c r="N3323" s="884"/>
      <c r="O3323" s="56">
        <v>722</v>
      </c>
      <c r="P3323" s="352">
        <f>+N3322-P3322</f>
        <v>100000</v>
      </c>
    </row>
    <row r="3324" spans="9:16" ht="12.75" customHeight="1">
      <c r="I3324" s="881">
        <f>+I3322+1</f>
        <v>357</v>
      </c>
      <c r="J3324" s="875">
        <v>42734</v>
      </c>
      <c r="K3324" s="877" t="s">
        <v>1282</v>
      </c>
      <c r="L3324" s="904">
        <v>42569</v>
      </c>
      <c r="M3324" s="881" t="s">
        <v>148</v>
      </c>
      <c r="N3324" s="883">
        <v>100000</v>
      </c>
      <c r="O3324" s="55">
        <v>719</v>
      </c>
      <c r="P3324" s="78"/>
    </row>
    <row r="3325" spans="9:16" ht="15.75" customHeight="1" thickBot="1">
      <c r="I3325" s="882"/>
      <c r="J3325" s="876"/>
      <c r="K3325" s="878"/>
      <c r="L3325" s="880"/>
      <c r="M3325" s="882"/>
      <c r="N3325" s="884"/>
      <c r="O3325" s="56">
        <v>722</v>
      </c>
      <c r="P3325" s="352">
        <f>+N3324-P3324</f>
        <v>100000</v>
      </c>
    </row>
    <row r="3326" spans="9:16" ht="16.5" customHeight="1">
      <c r="I3326" s="881">
        <f>+I3324+1</f>
        <v>358</v>
      </c>
      <c r="J3326" s="875">
        <v>42734</v>
      </c>
      <c r="K3326" s="877" t="s">
        <v>1284</v>
      </c>
      <c r="L3326" s="904">
        <v>42569</v>
      </c>
      <c r="M3326" s="881" t="s">
        <v>148</v>
      </c>
      <c r="N3326" s="883">
        <v>100000</v>
      </c>
      <c r="O3326" s="55">
        <v>719</v>
      </c>
      <c r="P3326" s="78"/>
    </row>
    <row r="3327" spans="9:16" ht="15" customHeight="1" thickBot="1">
      <c r="I3327" s="882"/>
      <c r="J3327" s="876"/>
      <c r="K3327" s="878"/>
      <c r="L3327" s="907"/>
      <c r="M3327" s="882"/>
      <c r="N3327" s="884"/>
      <c r="O3327" s="56">
        <v>722</v>
      </c>
      <c r="P3327" s="352">
        <f>+N3326-P3326</f>
        <v>100000</v>
      </c>
    </row>
    <row r="3328" spans="9:16" ht="12.75" customHeight="1">
      <c r="I3328" s="881">
        <f>+I3326+1</f>
        <v>359</v>
      </c>
      <c r="J3328" s="875">
        <v>42734</v>
      </c>
      <c r="K3328" s="905" t="s">
        <v>1285</v>
      </c>
      <c r="L3328" s="904">
        <v>42570</v>
      </c>
      <c r="M3328" s="881" t="s">
        <v>148</v>
      </c>
      <c r="N3328" s="883">
        <v>100000</v>
      </c>
      <c r="O3328" s="55">
        <v>719</v>
      </c>
      <c r="P3328" s="78"/>
    </row>
    <row r="3329" spans="9:16" ht="14.25" customHeight="1" thickBot="1">
      <c r="I3329" s="882"/>
      <c r="J3329" s="876"/>
      <c r="K3329" s="906"/>
      <c r="L3329" s="907"/>
      <c r="M3329" s="882"/>
      <c r="N3329" s="884"/>
      <c r="O3329" s="56">
        <v>722</v>
      </c>
      <c r="P3329" s="352">
        <f>+N3328-P3328</f>
        <v>100000</v>
      </c>
    </row>
    <row r="3330" spans="9:16" ht="15" customHeight="1">
      <c r="I3330" s="881">
        <f>+I3328+1</f>
        <v>360</v>
      </c>
      <c r="J3330" s="875">
        <v>42734</v>
      </c>
      <c r="K3330" s="905" t="s">
        <v>1285</v>
      </c>
      <c r="L3330" s="904">
        <v>42570</v>
      </c>
      <c r="M3330" s="881" t="s">
        <v>148</v>
      </c>
      <c r="N3330" s="883">
        <v>100000</v>
      </c>
      <c r="O3330" s="55">
        <v>719</v>
      </c>
      <c r="P3330" s="78"/>
    </row>
    <row r="3331" spans="9:16" ht="15.75" customHeight="1" thickBot="1">
      <c r="I3331" s="882"/>
      <c r="J3331" s="876"/>
      <c r="K3331" s="906"/>
      <c r="L3331" s="907"/>
      <c r="M3331" s="882"/>
      <c r="N3331" s="884"/>
      <c r="O3331" s="56">
        <v>722</v>
      </c>
      <c r="P3331" s="79">
        <f>+N3330-P3330</f>
        <v>100000</v>
      </c>
    </row>
    <row r="3332" spans="9:16" ht="16.5" thickBot="1">
      <c r="I3332" s="901" t="s">
        <v>102</v>
      </c>
      <c r="J3332" s="902"/>
      <c r="K3332" s="902"/>
      <c r="L3332" s="902"/>
      <c r="M3332" s="903"/>
      <c r="N3332" s="81">
        <f>SUM(N3320:N3331)</f>
        <v>600000</v>
      </c>
    </row>
    <row r="3333" spans="9:16" ht="16.5" thickBot="1">
      <c r="I3333" s="885" t="s">
        <v>103</v>
      </c>
      <c r="J3333" s="886"/>
      <c r="K3333" s="886"/>
      <c r="L3333" s="886"/>
      <c r="M3333" s="887"/>
      <c r="N3333" s="69">
        <f>+N3295</f>
        <v>606949105</v>
      </c>
      <c r="O3333" s="241" t="s">
        <v>561</v>
      </c>
      <c r="P3333" s="242"/>
    </row>
    <row r="3334" spans="9:16" ht="16.5" thickBot="1">
      <c r="I3334" s="888" t="s">
        <v>104</v>
      </c>
      <c r="J3334" s="889"/>
      <c r="K3334" s="889"/>
      <c r="L3334" s="889"/>
      <c r="M3334" s="890"/>
      <c r="N3334" s="183">
        <f>SUM(N3332:N3333)</f>
        <v>607549105</v>
      </c>
    </row>
    <row r="3335" spans="9:16">
      <c r="I3335" s="61"/>
      <c r="J3335" s="61"/>
      <c r="K3335" s="61"/>
      <c r="L3335" s="61"/>
      <c r="M3335" s="61"/>
    </row>
    <row r="3336" spans="9:16">
      <c r="I3336" s="51" t="s">
        <v>1286</v>
      </c>
    </row>
    <row r="3337" spans="9:16" ht="11.25" customHeight="1">
      <c r="N3337" s="139"/>
    </row>
    <row r="3338" spans="9:16">
      <c r="I3338" s="50" t="s">
        <v>105</v>
      </c>
      <c r="L3338" s="146"/>
      <c r="N3338" s="139"/>
    </row>
    <row r="3339" spans="9:16" ht="13.5" customHeight="1" thickBot="1"/>
    <row r="3340" spans="9:16" ht="15.75" thickBot="1">
      <c r="I3340" s="891" t="s">
        <v>106</v>
      </c>
      <c r="J3340" s="892"/>
      <c r="K3340" s="892"/>
      <c r="L3340" s="893"/>
      <c r="N3340" s="50" t="s">
        <v>288</v>
      </c>
    </row>
    <row r="3341" spans="9:16" ht="30.75" thickBot="1">
      <c r="I3341" s="57" t="s">
        <v>100</v>
      </c>
      <c r="J3341" s="58" t="s">
        <v>108</v>
      </c>
      <c r="K3341" s="287" t="s">
        <v>109</v>
      </c>
      <c r="L3341" s="60" t="s">
        <v>110</v>
      </c>
    </row>
    <row r="3342" spans="9:16">
      <c r="I3342" s="71">
        <v>719</v>
      </c>
      <c r="J3342" s="73">
        <f>+P3320+P3322+P3328+P3330</f>
        <v>0</v>
      </c>
      <c r="K3342" s="74">
        <f>+L3303</f>
        <v>37540000</v>
      </c>
      <c r="L3342" s="195">
        <f>+J3342+K3342</f>
        <v>37540000</v>
      </c>
    </row>
    <row r="3343" spans="9:16">
      <c r="I3343" s="72">
        <v>721</v>
      </c>
      <c r="J3343" s="80"/>
      <c r="K3343" s="74">
        <f>+L3304</f>
        <v>174889178</v>
      </c>
      <c r="L3343" s="195">
        <f>+J3343+K3343</f>
        <v>174889178</v>
      </c>
    </row>
    <row r="3344" spans="9:16">
      <c r="I3344" s="72">
        <v>722</v>
      </c>
      <c r="J3344" s="80">
        <f>+P3331+P3329+P3325+P3323+P3321+P3327</f>
        <v>600000</v>
      </c>
      <c r="K3344" s="74">
        <f>+L3305</f>
        <v>5580000</v>
      </c>
      <c r="L3344" s="195">
        <f>+J3344+K3344</f>
        <v>6180000</v>
      </c>
    </row>
    <row r="3345" spans="9:16" ht="15.75">
      <c r="I3345" s="72">
        <v>723</v>
      </c>
      <c r="J3345" s="80"/>
      <c r="K3345" s="74">
        <f>+L3306</f>
        <v>388142427</v>
      </c>
      <c r="L3345" s="195">
        <f>+J3345+K3345</f>
        <v>388142427</v>
      </c>
      <c r="N3345" s="193" t="s">
        <v>289</v>
      </c>
      <c r="O3345" s="175"/>
    </row>
    <row r="3346" spans="9:16" ht="16.5" thickBot="1">
      <c r="I3346" s="164" t="s">
        <v>1077</v>
      </c>
      <c r="J3346" s="165"/>
      <c r="K3346" s="74">
        <f>+L3307</f>
        <v>797500</v>
      </c>
      <c r="L3346" s="196">
        <f>+J3346+K3346</f>
        <v>797500</v>
      </c>
      <c r="N3346" s="52"/>
    </row>
    <row r="3347" spans="9:16" ht="16.5" thickBot="1">
      <c r="I3347" s="169"/>
      <c r="J3347" s="197">
        <f>SUM(J3342:J3346)</f>
        <v>600000</v>
      </c>
      <c r="K3347" s="197">
        <f>SUM(K3342:K3346)</f>
        <v>606949105</v>
      </c>
      <c r="L3347" s="198">
        <f>SUM(L3342:L3346)</f>
        <v>607549105</v>
      </c>
    </row>
    <row r="3348" spans="9:16" ht="16.5">
      <c r="I3348" s="49" t="s">
        <v>88</v>
      </c>
      <c r="J3348" s="50"/>
    </row>
    <row r="3349" spans="9:16">
      <c r="I3349" s="51" t="s">
        <v>89</v>
      </c>
    </row>
    <row r="3350" spans="9:16">
      <c r="I3350" s="51" t="s">
        <v>90</v>
      </c>
    </row>
    <row r="3351" spans="9:16">
      <c r="I3351" s="51" t="s">
        <v>91</v>
      </c>
    </row>
    <row r="3352" spans="9:16">
      <c r="I3352" s="50"/>
      <c r="J3352" s="50"/>
    </row>
    <row r="3353" spans="9:16" ht="15.75">
      <c r="I3353" s="260" t="s">
        <v>1283</v>
      </c>
      <c r="O3353" s="52"/>
    </row>
    <row r="3354" spans="9:16" ht="15.75">
      <c r="I3354" s="53" t="s">
        <v>535</v>
      </c>
      <c r="O3354" s="53"/>
    </row>
    <row r="3355" spans="9:16" ht="16.5">
      <c r="I3355" s="894" t="s">
        <v>1288</v>
      </c>
      <c r="J3355" s="894"/>
      <c r="K3355" s="894"/>
      <c r="L3355" s="894"/>
      <c r="M3355" s="894"/>
      <c r="N3355" s="894"/>
      <c r="O3355" s="894"/>
      <c r="P3355" s="894"/>
    </row>
    <row r="3356" spans="9:16" ht="15.75" thickBot="1"/>
    <row r="3357" spans="9:16">
      <c r="I3357" s="895" t="s">
        <v>94</v>
      </c>
      <c r="J3357" s="897" t="s">
        <v>95</v>
      </c>
      <c r="K3357" s="897" t="s">
        <v>96</v>
      </c>
      <c r="L3357" s="897" t="s">
        <v>3</v>
      </c>
      <c r="M3357" s="897" t="s">
        <v>97</v>
      </c>
      <c r="N3357" s="897" t="s">
        <v>98</v>
      </c>
      <c r="O3357" s="897" t="s">
        <v>99</v>
      </c>
      <c r="P3357" s="899"/>
    </row>
    <row r="3358" spans="9:16" ht="15.75" thickBot="1">
      <c r="I3358" s="896"/>
      <c r="J3358" s="898"/>
      <c r="K3358" s="898"/>
      <c r="L3358" s="898"/>
      <c r="M3358" s="898"/>
      <c r="N3358" s="898"/>
      <c r="O3358" s="240" t="s">
        <v>100</v>
      </c>
      <c r="P3358" s="182" t="s">
        <v>101</v>
      </c>
    </row>
    <row r="3359" spans="9:16" ht="15" customHeight="1">
      <c r="I3359" s="873" t="s">
        <v>552</v>
      </c>
      <c r="J3359" s="875">
        <v>42735</v>
      </c>
      <c r="K3359" s="877" t="s">
        <v>790</v>
      </c>
      <c r="L3359" s="879" t="s">
        <v>1293</v>
      </c>
      <c r="M3359" s="881" t="s">
        <v>165</v>
      </c>
      <c r="N3359" s="883">
        <v>-401330</v>
      </c>
      <c r="O3359" s="55">
        <v>719</v>
      </c>
      <c r="P3359" s="78"/>
    </row>
    <row r="3360" spans="9:16" ht="15.75" thickBot="1">
      <c r="I3360" s="874"/>
      <c r="J3360" s="876"/>
      <c r="K3360" s="878"/>
      <c r="L3360" s="880"/>
      <c r="M3360" s="882"/>
      <c r="N3360" s="884"/>
      <c r="O3360" s="56">
        <v>723</v>
      </c>
      <c r="P3360" s="351">
        <f>+N3359-P3359</f>
        <v>-401330</v>
      </c>
    </row>
    <row r="3361" spans="9:16" ht="15" customHeight="1">
      <c r="I3361" s="873" t="s">
        <v>553</v>
      </c>
      <c r="J3361" s="875">
        <v>42735</v>
      </c>
      <c r="K3361" s="877" t="s">
        <v>791</v>
      </c>
      <c r="L3361" s="879" t="s">
        <v>1294</v>
      </c>
      <c r="M3361" s="881" t="s">
        <v>165</v>
      </c>
      <c r="N3361" s="883">
        <v>-164000</v>
      </c>
      <c r="O3361" s="55">
        <v>719</v>
      </c>
      <c r="P3361" s="78"/>
    </row>
    <row r="3362" spans="9:16" ht="15.75" customHeight="1" thickBot="1">
      <c r="I3362" s="874"/>
      <c r="J3362" s="876"/>
      <c r="K3362" s="878"/>
      <c r="L3362" s="880"/>
      <c r="M3362" s="882"/>
      <c r="N3362" s="884"/>
      <c r="O3362" s="56">
        <v>723</v>
      </c>
      <c r="P3362" s="352">
        <f>+N3361-P3361</f>
        <v>-164000</v>
      </c>
    </row>
    <row r="3363" spans="9:16" ht="15" customHeight="1">
      <c r="I3363" s="873"/>
      <c r="J3363" s="875"/>
      <c r="K3363" s="877"/>
      <c r="L3363" s="879"/>
      <c r="M3363" s="881"/>
      <c r="N3363" s="883"/>
      <c r="O3363" s="55">
        <v>719</v>
      </c>
      <c r="P3363" s="78"/>
    </row>
    <row r="3364" spans="9:16" ht="15.75" customHeight="1" thickBot="1">
      <c r="I3364" s="874"/>
      <c r="J3364" s="876"/>
      <c r="K3364" s="878"/>
      <c r="L3364" s="880"/>
      <c r="M3364" s="882"/>
      <c r="N3364" s="884"/>
      <c r="O3364" s="56">
        <v>722</v>
      </c>
      <c r="P3364" s="352"/>
    </row>
    <row r="3365" spans="9:16" ht="15" customHeight="1">
      <c r="I3365" s="873"/>
      <c r="J3365" s="875"/>
      <c r="K3365" s="877"/>
      <c r="L3365" s="879"/>
      <c r="M3365" s="881"/>
      <c r="N3365" s="883"/>
      <c r="O3365" s="55">
        <v>719</v>
      </c>
      <c r="P3365" s="78"/>
    </row>
    <row r="3366" spans="9:16" ht="15.75" customHeight="1" thickBot="1">
      <c r="I3366" s="874"/>
      <c r="J3366" s="876"/>
      <c r="K3366" s="878"/>
      <c r="L3366" s="880"/>
      <c r="M3366" s="882"/>
      <c r="N3366" s="884"/>
      <c r="O3366" s="56">
        <v>722</v>
      </c>
      <c r="P3366" s="79">
        <f>+N3365-P3365</f>
        <v>0</v>
      </c>
    </row>
    <row r="3367" spans="9:16" ht="16.5" thickBot="1">
      <c r="I3367" s="901" t="s">
        <v>102</v>
      </c>
      <c r="J3367" s="902"/>
      <c r="K3367" s="902"/>
      <c r="L3367" s="902"/>
      <c r="M3367" s="903"/>
      <c r="N3367" s="81">
        <f>SUM(N3359:N3366)</f>
        <v>-565330</v>
      </c>
    </row>
    <row r="3368" spans="9:16" ht="16.5" thickBot="1">
      <c r="I3368" s="885" t="s">
        <v>103</v>
      </c>
      <c r="J3368" s="886"/>
      <c r="K3368" s="886"/>
      <c r="L3368" s="886"/>
      <c r="M3368" s="887"/>
      <c r="N3368" s="69">
        <f>+N3334</f>
        <v>607549105</v>
      </c>
      <c r="O3368" s="241" t="s">
        <v>561</v>
      </c>
      <c r="P3368" s="242"/>
    </row>
    <row r="3369" spans="9:16" ht="16.5" thickBot="1">
      <c r="I3369" s="888" t="s">
        <v>104</v>
      </c>
      <c r="J3369" s="889"/>
      <c r="K3369" s="889"/>
      <c r="L3369" s="889"/>
      <c r="M3369" s="890"/>
      <c r="N3369" s="183">
        <f>SUM(N3367:N3368)</f>
        <v>606983775</v>
      </c>
    </row>
    <row r="3370" spans="9:16">
      <c r="I3370" s="61"/>
      <c r="J3370" s="61"/>
      <c r="K3370" s="61"/>
      <c r="L3370" s="61"/>
      <c r="M3370" s="61"/>
    </row>
    <row r="3371" spans="9:16">
      <c r="I3371" s="51" t="s">
        <v>1287</v>
      </c>
    </row>
    <row r="3372" spans="9:16">
      <c r="N3372" s="139"/>
    </row>
    <row r="3373" spans="9:16">
      <c r="I3373" s="50" t="s">
        <v>105</v>
      </c>
      <c r="L3373" s="146"/>
      <c r="N3373" s="139"/>
    </row>
    <row r="3374" spans="9:16" ht="15.75" thickBot="1"/>
    <row r="3375" spans="9:16" ht="15.75" thickBot="1">
      <c r="I3375" s="891" t="s">
        <v>106</v>
      </c>
      <c r="J3375" s="892"/>
      <c r="K3375" s="892"/>
      <c r="L3375" s="893"/>
      <c r="N3375" s="50" t="s">
        <v>288</v>
      </c>
    </row>
    <row r="3376" spans="9:16" ht="30.75" thickBot="1">
      <c r="I3376" s="57" t="s">
        <v>100</v>
      </c>
      <c r="J3376" s="58" t="s">
        <v>108</v>
      </c>
      <c r="K3376" s="287" t="s">
        <v>109</v>
      </c>
      <c r="L3376" s="60" t="s">
        <v>110</v>
      </c>
    </row>
    <row r="3377" spans="9:16">
      <c r="I3377" s="71">
        <v>719</v>
      </c>
      <c r="J3377" s="73">
        <f>+P3359+P3361+P3365</f>
        <v>0</v>
      </c>
      <c r="K3377" s="74">
        <f>+L3342</f>
        <v>37540000</v>
      </c>
      <c r="L3377" s="195">
        <f>+J3377+K3377</f>
        <v>37540000</v>
      </c>
    </row>
    <row r="3378" spans="9:16">
      <c r="I3378" s="72">
        <v>721</v>
      </c>
      <c r="J3378" s="80"/>
      <c r="K3378" s="74">
        <f>+L3343</f>
        <v>174889178</v>
      </c>
      <c r="L3378" s="195">
        <f>+J3378+K3378</f>
        <v>174889178</v>
      </c>
    </row>
    <row r="3379" spans="9:16">
      <c r="I3379" s="72">
        <v>722</v>
      </c>
      <c r="J3379" s="80"/>
      <c r="K3379" s="74">
        <f>+L3344</f>
        <v>6180000</v>
      </c>
      <c r="L3379" s="195">
        <f>+J3379+K3379</f>
        <v>6180000</v>
      </c>
    </row>
    <row r="3380" spans="9:16" ht="15.75">
      <c r="I3380" s="72">
        <v>723</v>
      </c>
      <c r="J3380" s="80">
        <f>+P3362+P3360</f>
        <v>-565330</v>
      </c>
      <c r="K3380" s="74">
        <f>+L3345</f>
        <v>388142427</v>
      </c>
      <c r="L3380" s="195">
        <f>+J3380+K3380</f>
        <v>387577097</v>
      </c>
      <c r="N3380" s="193" t="s">
        <v>289</v>
      </c>
      <c r="O3380" s="175"/>
    </row>
    <row r="3381" spans="9:16" ht="16.5" thickBot="1">
      <c r="I3381" s="164" t="s">
        <v>1077</v>
      </c>
      <c r="J3381" s="165"/>
      <c r="K3381" s="74">
        <f>+L3346</f>
        <v>797500</v>
      </c>
      <c r="L3381" s="196">
        <f>+J3381+K3381</f>
        <v>797500</v>
      </c>
      <c r="N3381" s="52"/>
    </row>
    <row r="3382" spans="9:16" ht="16.5" thickBot="1">
      <c r="I3382" s="169"/>
      <c r="J3382" s="197">
        <f>SUM(J3377:J3381)</f>
        <v>-565330</v>
      </c>
      <c r="K3382" s="197">
        <f>SUM(K3377:K3381)</f>
        <v>607549105</v>
      </c>
      <c r="L3382" s="198">
        <f>SUM(L3377:L3381)</f>
        <v>606983775</v>
      </c>
    </row>
    <row r="3383" spans="9:16" ht="15.75">
      <c r="I3383" s="397"/>
      <c r="J3383" s="398"/>
      <c r="K3383" s="398"/>
      <c r="L3383" s="399"/>
    </row>
    <row r="3384" spans="9:16" ht="16.5">
      <c r="I3384" s="49" t="s">
        <v>88</v>
      </c>
      <c r="J3384" s="50"/>
    </row>
    <row r="3385" spans="9:16">
      <c r="I3385" s="51" t="s">
        <v>89</v>
      </c>
    </row>
    <row r="3386" spans="9:16">
      <c r="I3386" s="51" t="s">
        <v>90</v>
      </c>
    </row>
    <row r="3387" spans="9:16">
      <c r="I3387" s="51" t="s">
        <v>91</v>
      </c>
    </row>
    <row r="3388" spans="9:16" ht="14.25" customHeight="1">
      <c r="I3388" s="50"/>
      <c r="J3388" s="50"/>
    </row>
    <row r="3389" spans="9:16" ht="15.75">
      <c r="I3389" s="260" t="s">
        <v>1289</v>
      </c>
      <c r="O3389" s="52"/>
    </row>
    <row r="3390" spans="9:16" ht="15.75">
      <c r="I3390" s="53" t="s">
        <v>535</v>
      </c>
      <c r="O3390" s="53"/>
    </row>
    <row r="3391" spans="9:16" ht="16.5">
      <c r="I3391" s="894" t="s">
        <v>1278</v>
      </c>
      <c r="J3391" s="894"/>
      <c r="K3391" s="894"/>
      <c r="L3391" s="894"/>
      <c r="M3391" s="894"/>
      <c r="N3391" s="894"/>
      <c r="O3391" s="894"/>
      <c r="P3391" s="894"/>
    </row>
    <row r="3392" spans="9:16" ht="15.75" thickBot="1"/>
    <row r="3393" spans="9:16">
      <c r="I3393" s="895" t="s">
        <v>94</v>
      </c>
      <c r="J3393" s="897" t="s">
        <v>95</v>
      </c>
      <c r="K3393" s="897" t="s">
        <v>96</v>
      </c>
      <c r="L3393" s="897" t="s">
        <v>3</v>
      </c>
      <c r="M3393" s="897" t="s">
        <v>97</v>
      </c>
      <c r="N3393" s="897" t="s">
        <v>98</v>
      </c>
      <c r="O3393" s="897" t="s">
        <v>99</v>
      </c>
      <c r="P3393" s="899"/>
    </row>
    <row r="3394" spans="9:16" ht="15.75" thickBot="1">
      <c r="I3394" s="896"/>
      <c r="J3394" s="898"/>
      <c r="K3394" s="898"/>
      <c r="L3394" s="898"/>
      <c r="M3394" s="898"/>
      <c r="N3394" s="898"/>
      <c r="O3394" s="240" t="s">
        <v>100</v>
      </c>
      <c r="P3394" s="182" t="s">
        <v>101</v>
      </c>
    </row>
    <row r="3395" spans="9:16" ht="15" customHeight="1">
      <c r="I3395" s="873" t="s">
        <v>1290</v>
      </c>
      <c r="J3395" s="875">
        <v>42734</v>
      </c>
      <c r="K3395" s="877" t="s">
        <v>1014</v>
      </c>
      <c r="L3395" s="879" t="s">
        <v>1293</v>
      </c>
      <c r="M3395" s="881" t="s">
        <v>115</v>
      </c>
      <c r="N3395" s="883">
        <v>50000</v>
      </c>
      <c r="O3395" s="55">
        <v>719</v>
      </c>
      <c r="P3395" s="78">
        <v>50000</v>
      </c>
    </row>
    <row r="3396" spans="9:16" ht="15.75" customHeight="1" thickBot="1">
      <c r="I3396" s="874"/>
      <c r="J3396" s="876"/>
      <c r="K3396" s="878"/>
      <c r="L3396" s="880"/>
      <c r="M3396" s="882"/>
      <c r="N3396" s="884"/>
      <c r="O3396" s="56">
        <v>723</v>
      </c>
      <c r="P3396" s="351">
        <f>+N3395-P3395</f>
        <v>0</v>
      </c>
    </row>
    <row r="3397" spans="9:16" ht="15" customHeight="1">
      <c r="I3397" s="873" t="s">
        <v>1291</v>
      </c>
      <c r="J3397" s="875">
        <v>42734</v>
      </c>
      <c r="K3397" s="877" t="s">
        <v>28</v>
      </c>
      <c r="L3397" s="879" t="s">
        <v>1294</v>
      </c>
      <c r="M3397" s="881" t="s">
        <v>115</v>
      </c>
      <c r="N3397" s="883">
        <v>50000</v>
      </c>
      <c r="O3397" s="55">
        <v>719</v>
      </c>
      <c r="P3397" s="78">
        <v>50000</v>
      </c>
    </row>
    <row r="3398" spans="9:16" ht="15.75" customHeight="1" thickBot="1">
      <c r="I3398" s="874"/>
      <c r="J3398" s="876"/>
      <c r="K3398" s="878"/>
      <c r="L3398" s="880"/>
      <c r="M3398" s="882"/>
      <c r="N3398" s="884"/>
      <c r="O3398" s="56">
        <v>723</v>
      </c>
      <c r="P3398" s="352">
        <f>+N3397-P3397</f>
        <v>0</v>
      </c>
    </row>
    <row r="3399" spans="9:16" ht="15" customHeight="1">
      <c r="I3399" s="873" t="s">
        <v>1292</v>
      </c>
      <c r="J3399" s="875">
        <v>42734</v>
      </c>
      <c r="K3399" s="877" t="s">
        <v>120</v>
      </c>
      <c r="L3399" s="879" t="s">
        <v>1294</v>
      </c>
      <c r="M3399" s="881" t="s">
        <v>115</v>
      </c>
      <c r="N3399" s="883">
        <v>140000</v>
      </c>
      <c r="O3399" s="55">
        <v>719</v>
      </c>
      <c r="P3399" s="78">
        <v>140000</v>
      </c>
    </row>
    <row r="3400" spans="9:16" ht="15.75" customHeight="1" thickBot="1">
      <c r="I3400" s="874"/>
      <c r="J3400" s="876"/>
      <c r="K3400" s="878"/>
      <c r="L3400" s="880"/>
      <c r="M3400" s="882"/>
      <c r="N3400" s="884"/>
      <c r="O3400" s="56">
        <v>722</v>
      </c>
      <c r="P3400" s="352">
        <f>+N3399-P3399</f>
        <v>0</v>
      </c>
    </row>
    <row r="3401" spans="9:16">
      <c r="I3401" s="881"/>
      <c r="J3401" s="875"/>
      <c r="K3401" s="877"/>
      <c r="L3401" s="904"/>
      <c r="M3401" s="881"/>
      <c r="N3401" s="883"/>
      <c r="O3401" s="55">
        <v>719</v>
      </c>
      <c r="P3401" s="78"/>
    </row>
    <row r="3402" spans="9:16" ht="15.75" thickBot="1">
      <c r="I3402" s="882"/>
      <c r="J3402" s="876"/>
      <c r="K3402" s="878"/>
      <c r="L3402" s="880"/>
      <c r="M3402" s="882"/>
      <c r="N3402" s="884"/>
      <c r="O3402" s="56">
        <v>722</v>
      </c>
      <c r="P3402" s="79">
        <f>+N3401-P3401</f>
        <v>0</v>
      </c>
    </row>
    <row r="3403" spans="9:16" ht="16.5" thickBot="1">
      <c r="I3403" s="901" t="s">
        <v>102</v>
      </c>
      <c r="J3403" s="902"/>
      <c r="K3403" s="902"/>
      <c r="L3403" s="902"/>
      <c r="M3403" s="903"/>
      <c r="N3403" s="81">
        <f>SUM(N3395:N3402)</f>
        <v>240000</v>
      </c>
    </row>
    <row r="3404" spans="9:16" ht="16.5" thickBot="1">
      <c r="I3404" s="885" t="s">
        <v>103</v>
      </c>
      <c r="J3404" s="886"/>
      <c r="K3404" s="886"/>
      <c r="L3404" s="886"/>
      <c r="M3404" s="887"/>
      <c r="N3404" s="69">
        <f>+N3369</f>
        <v>606983775</v>
      </c>
      <c r="O3404" s="241" t="s">
        <v>561</v>
      </c>
      <c r="P3404" s="242">
        <v>349</v>
      </c>
    </row>
    <row r="3405" spans="9:16" ht="16.5" thickBot="1">
      <c r="I3405" s="888" t="s">
        <v>104</v>
      </c>
      <c r="J3405" s="889"/>
      <c r="K3405" s="889"/>
      <c r="L3405" s="889"/>
      <c r="M3405" s="890"/>
      <c r="N3405" s="183">
        <f>SUM(N3403:N3404)</f>
        <v>607223775</v>
      </c>
    </row>
    <row r="3406" spans="9:16">
      <c r="I3406" s="61"/>
      <c r="J3406" s="61"/>
      <c r="K3406" s="61"/>
      <c r="L3406" s="61"/>
      <c r="M3406" s="61"/>
    </row>
    <row r="3407" spans="9:16">
      <c r="I3407" s="51" t="s">
        <v>1295</v>
      </c>
    </row>
    <row r="3408" spans="9:16">
      <c r="N3408" s="139"/>
    </row>
    <row r="3409" spans="9:15" ht="19.5" customHeight="1">
      <c r="I3409" s="50" t="s">
        <v>105</v>
      </c>
      <c r="L3409" s="146"/>
      <c r="N3409" s="139"/>
    </row>
    <row r="3410" spans="9:15" ht="18" customHeight="1" thickBot="1"/>
    <row r="3411" spans="9:15" ht="15.75" thickBot="1">
      <c r="I3411" s="891" t="s">
        <v>106</v>
      </c>
      <c r="J3411" s="892"/>
      <c r="K3411" s="892"/>
      <c r="L3411" s="893"/>
      <c r="N3411" s="50" t="s">
        <v>288</v>
      </c>
    </row>
    <row r="3412" spans="9:15" ht="30.75" thickBot="1">
      <c r="I3412" s="57" t="s">
        <v>100</v>
      </c>
      <c r="J3412" s="58" t="s">
        <v>108</v>
      </c>
      <c r="K3412" s="287" t="s">
        <v>109</v>
      </c>
      <c r="L3412" s="60" t="s">
        <v>110</v>
      </c>
    </row>
    <row r="3413" spans="9:15">
      <c r="I3413" s="71">
        <v>719</v>
      </c>
      <c r="J3413" s="73">
        <f>+P3395+P3397+P3401+P3399</f>
        <v>240000</v>
      </c>
      <c r="K3413" s="74">
        <f>+L3377</f>
        <v>37540000</v>
      </c>
      <c r="L3413" s="195">
        <f>+J3413+K3413</f>
        <v>37780000</v>
      </c>
    </row>
    <row r="3414" spans="9:15">
      <c r="I3414" s="72">
        <v>721</v>
      </c>
      <c r="J3414" s="80"/>
      <c r="K3414" s="74">
        <f>+L3378</f>
        <v>174889178</v>
      </c>
      <c r="L3414" s="195">
        <f>+J3414+K3414</f>
        <v>174889178</v>
      </c>
    </row>
    <row r="3415" spans="9:15">
      <c r="I3415" s="72">
        <v>722</v>
      </c>
      <c r="J3415" s="80"/>
      <c r="K3415" s="74">
        <f>+L3379</f>
        <v>6180000</v>
      </c>
      <c r="L3415" s="195">
        <f>+J3415+K3415</f>
        <v>6180000</v>
      </c>
    </row>
    <row r="3416" spans="9:15" ht="15.75">
      <c r="I3416" s="72">
        <v>723</v>
      </c>
      <c r="J3416" s="80">
        <f>+P3398+P3396</f>
        <v>0</v>
      </c>
      <c r="K3416" s="74">
        <f>+L3380</f>
        <v>387577097</v>
      </c>
      <c r="L3416" s="195">
        <f>+J3416+K3416</f>
        <v>387577097</v>
      </c>
      <c r="N3416" s="193" t="s">
        <v>289</v>
      </c>
      <c r="O3416" s="175"/>
    </row>
    <row r="3417" spans="9:15" ht="16.5" thickBot="1">
      <c r="I3417" s="164" t="s">
        <v>1077</v>
      </c>
      <c r="J3417" s="165"/>
      <c r="K3417" s="74">
        <f>+L3381</f>
        <v>797500</v>
      </c>
      <c r="L3417" s="196">
        <f>+J3417+K3417</f>
        <v>797500</v>
      </c>
      <c r="N3417" s="52"/>
    </row>
    <row r="3418" spans="9:15" ht="16.5" thickBot="1">
      <c r="I3418" s="169"/>
      <c r="J3418" s="197">
        <f>SUM(J3413:J3417)</f>
        <v>240000</v>
      </c>
      <c r="K3418" s="197">
        <f>SUM(K3413:K3417)</f>
        <v>606983775</v>
      </c>
      <c r="L3418" s="198">
        <f>SUM(L3413:L3417)</f>
        <v>607223775</v>
      </c>
    </row>
    <row r="3419" spans="9:15" ht="15.75">
      <c r="I3419" s="397"/>
      <c r="J3419" s="398"/>
      <c r="K3419" s="398"/>
      <c r="L3419" s="399"/>
    </row>
    <row r="3420" spans="9:15" ht="16.5">
      <c r="I3420" s="49" t="s">
        <v>88</v>
      </c>
      <c r="J3420" s="50"/>
    </row>
    <row r="3421" spans="9:15">
      <c r="I3421" s="50" t="s">
        <v>89</v>
      </c>
    </row>
    <row r="3422" spans="9:15">
      <c r="I3422" s="51" t="s">
        <v>90</v>
      </c>
    </row>
    <row r="3423" spans="9:15">
      <c r="I3423" s="51" t="s">
        <v>91</v>
      </c>
    </row>
    <row r="3424" spans="9:15" ht="9" customHeight="1">
      <c r="I3424" s="50"/>
      <c r="J3424" s="50"/>
    </row>
    <row r="3425" spans="9:16" ht="15.75">
      <c r="I3425" s="260" t="s">
        <v>1296</v>
      </c>
      <c r="O3425" s="52"/>
    </row>
    <row r="3426" spans="9:16" ht="15.75">
      <c r="I3426" s="53" t="s">
        <v>535</v>
      </c>
      <c r="O3426" s="53"/>
    </row>
    <row r="3427" spans="9:16" ht="15.75" customHeight="1">
      <c r="I3427" s="894" t="s">
        <v>1302</v>
      </c>
      <c r="J3427" s="894"/>
      <c r="K3427" s="894"/>
      <c r="L3427" s="894"/>
      <c r="M3427" s="894"/>
      <c r="N3427" s="894"/>
      <c r="O3427" s="894"/>
      <c r="P3427" s="894"/>
    </row>
    <row r="3428" spans="9:16" ht="12.75" customHeight="1" thickBot="1"/>
    <row r="3429" spans="9:16">
      <c r="I3429" s="895" t="s">
        <v>94</v>
      </c>
      <c r="J3429" s="897" t="s">
        <v>95</v>
      </c>
      <c r="K3429" s="897" t="s">
        <v>96</v>
      </c>
      <c r="L3429" s="897" t="s">
        <v>3</v>
      </c>
      <c r="M3429" s="897" t="s">
        <v>97</v>
      </c>
      <c r="N3429" s="897" t="s">
        <v>98</v>
      </c>
      <c r="O3429" s="897" t="s">
        <v>99</v>
      </c>
      <c r="P3429" s="899"/>
    </row>
    <row r="3430" spans="9:16" ht="15.75" thickBot="1">
      <c r="I3430" s="896"/>
      <c r="J3430" s="898"/>
      <c r="K3430" s="898"/>
      <c r="L3430" s="898"/>
      <c r="M3430" s="898"/>
      <c r="N3430" s="898"/>
      <c r="O3430" s="240" t="s">
        <v>100</v>
      </c>
      <c r="P3430" s="182" t="s">
        <v>101</v>
      </c>
    </row>
    <row r="3431" spans="9:16" ht="13.5" customHeight="1">
      <c r="I3431" s="873" t="s">
        <v>1297</v>
      </c>
      <c r="J3431" s="875">
        <v>42734</v>
      </c>
      <c r="K3431" s="400" t="s">
        <v>1267</v>
      </c>
      <c r="L3431" s="879" t="s">
        <v>1221</v>
      </c>
      <c r="M3431" s="881" t="s">
        <v>145</v>
      </c>
      <c r="N3431" s="883">
        <v>14718204</v>
      </c>
      <c r="O3431" s="55">
        <v>719</v>
      </c>
      <c r="P3431" s="78">
        <v>0</v>
      </c>
    </row>
    <row r="3432" spans="9:16" ht="14.25" customHeight="1" thickBot="1">
      <c r="I3432" s="874"/>
      <c r="J3432" s="876"/>
      <c r="K3432" s="402"/>
      <c r="L3432" s="880"/>
      <c r="M3432" s="882"/>
      <c r="N3432" s="884"/>
      <c r="O3432" s="56">
        <v>721</v>
      </c>
      <c r="P3432" s="351">
        <f>+N3431-P3431</f>
        <v>14718204</v>
      </c>
    </row>
    <row r="3433" spans="9:16" ht="13.5" customHeight="1">
      <c r="I3433" s="873" t="s">
        <v>1298</v>
      </c>
      <c r="J3433" s="875">
        <v>42734</v>
      </c>
      <c r="K3433" s="402"/>
      <c r="L3433" s="879" t="s">
        <v>1304</v>
      </c>
      <c r="M3433" s="881" t="s">
        <v>145</v>
      </c>
      <c r="N3433" s="883">
        <v>4941638</v>
      </c>
      <c r="O3433" s="55">
        <v>719</v>
      </c>
      <c r="P3433" s="78">
        <v>0</v>
      </c>
    </row>
    <row r="3434" spans="9:16" ht="15" customHeight="1" thickBot="1">
      <c r="I3434" s="874"/>
      <c r="J3434" s="876"/>
      <c r="K3434" s="402"/>
      <c r="L3434" s="880"/>
      <c r="M3434" s="882"/>
      <c r="N3434" s="884"/>
      <c r="O3434" s="56">
        <v>721</v>
      </c>
      <c r="P3434" s="352">
        <f>+N3433-P3433</f>
        <v>4941638</v>
      </c>
    </row>
    <row r="3435" spans="9:16" ht="15" customHeight="1">
      <c r="I3435" s="873" t="s">
        <v>1299</v>
      </c>
      <c r="J3435" s="875">
        <v>42734</v>
      </c>
      <c r="K3435" s="402"/>
      <c r="L3435" s="879" t="s">
        <v>1305</v>
      </c>
      <c r="M3435" s="881" t="s">
        <v>145</v>
      </c>
      <c r="N3435" s="883">
        <v>3962065</v>
      </c>
      <c r="O3435" s="55">
        <v>719</v>
      </c>
      <c r="P3435" s="78">
        <v>0</v>
      </c>
    </row>
    <row r="3436" spans="9:16" ht="15.75" customHeight="1" thickBot="1">
      <c r="I3436" s="874"/>
      <c r="J3436" s="876"/>
      <c r="K3436" s="402"/>
      <c r="L3436" s="880"/>
      <c r="M3436" s="882"/>
      <c r="N3436" s="884"/>
      <c r="O3436" s="56">
        <v>721</v>
      </c>
      <c r="P3436" s="352">
        <f>+N3435-P3435</f>
        <v>3962065</v>
      </c>
    </row>
    <row r="3437" spans="9:16" ht="14.25" customHeight="1">
      <c r="I3437" s="873" t="s">
        <v>1300</v>
      </c>
      <c r="J3437" s="875">
        <v>42734</v>
      </c>
      <c r="K3437" s="402"/>
      <c r="L3437" s="879" t="s">
        <v>1303</v>
      </c>
      <c r="M3437" s="881" t="s">
        <v>145</v>
      </c>
      <c r="N3437" s="883">
        <v>2449488</v>
      </c>
      <c r="O3437" s="55">
        <v>719</v>
      </c>
      <c r="P3437" s="78">
        <v>0</v>
      </c>
    </row>
    <row r="3438" spans="9:16" ht="14.25" customHeight="1" thickBot="1">
      <c r="I3438" s="874"/>
      <c r="J3438" s="876"/>
      <c r="K3438" s="402"/>
      <c r="L3438" s="880"/>
      <c r="M3438" s="882"/>
      <c r="N3438" s="884"/>
      <c r="O3438" s="56">
        <v>721</v>
      </c>
      <c r="P3438" s="352">
        <f>+N3437-P3437</f>
        <v>2449488</v>
      </c>
    </row>
    <row r="3439" spans="9:16" ht="13.5" customHeight="1">
      <c r="I3439" s="873" t="s">
        <v>1308</v>
      </c>
      <c r="J3439" s="875">
        <v>42734</v>
      </c>
      <c r="K3439" s="402"/>
      <c r="L3439" s="879" t="s">
        <v>1306</v>
      </c>
      <c r="M3439" s="881" t="s">
        <v>145</v>
      </c>
      <c r="N3439" s="883">
        <v>4151192</v>
      </c>
      <c r="O3439" s="55">
        <v>719</v>
      </c>
      <c r="P3439" s="78">
        <v>0</v>
      </c>
    </row>
    <row r="3440" spans="9:16" ht="15.75" customHeight="1" thickBot="1">
      <c r="I3440" s="874"/>
      <c r="J3440" s="876"/>
      <c r="K3440" s="402"/>
      <c r="L3440" s="880"/>
      <c r="M3440" s="882"/>
      <c r="N3440" s="884"/>
      <c r="O3440" s="56">
        <v>721</v>
      </c>
      <c r="P3440" s="352">
        <f>+N3439-P3439</f>
        <v>4151192</v>
      </c>
    </row>
    <row r="3441" spans="9:16" ht="12.75" customHeight="1">
      <c r="I3441" s="873" t="s">
        <v>1309</v>
      </c>
      <c r="J3441" s="875">
        <v>42734</v>
      </c>
      <c r="K3441" s="402"/>
      <c r="L3441" s="879" t="s">
        <v>1307</v>
      </c>
      <c r="M3441" s="881" t="s">
        <v>145</v>
      </c>
      <c r="N3441" s="883">
        <v>1734563</v>
      </c>
      <c r="O3441" s="55">
        <v>719</v>
      </c>
      <c r="P3441" s="78"/>
    </row>
    <row r="3442" spans="9:16" ht="12.75" customHeight="1" thickBot="1">
      <c r="I3442" s="874"/>
      <c r="J3442" s="876"/>
      <c r="K3442" s="401"/>
      <c r="L3442" s="880"/>
      <c r="M3442" s="882"/>
      <c r="N3442" s="884"/>
      <c r="O3442" s="56">
        <v>721</v>
      </c>
      <c r="P3442" s="79">
        <f>+N3441-P3441</f>
        <v>1734563</v>
      </c>
    </row>
    <row r="3443" spans="9:16" ht="16.5" thickBot="1">
      <c r="I3443" s="901" t="s">
        <v>102</v>
      </c>
      <c r="J3443" s="902"/>
      <c r="K3443" s="902"/>
      <c r="L3443" s="902"/>
      <c r="M3443" s="903"/>
      <c r="N3443" s="81">
        <f>SUM(N3431:N3442)</f>
        <v>31957150</v>
      </c>
    </row>
    <row r="3444" spans="9:16" ht="16.5" thickBot="1">
      <c r="I3444" s="885" t="s">
        <v>103</v>
      </c>
      <c r="J3444" s="886"/>
      <c r="K3444" s="886"/>
      <c r="L3444" s="886"/>
      <c r="M3444" s="887"/>
      <c r="N3444" s="69">
        <f>+N3405</f>
        <v>607223775</v>
      </c>
      <c r="O3444" s="241" t="s">
        <v>561</v>
      </c>
      <c r="P3444" s="242"/>
    </row>
    <row r="3445" spans="9:16" ht="16.5" thickBot="1">
      <c r="I3445" s="888" t="s">
        <v>104</v>
      </c>
      <c r="J3445" s="889"/>
      <c r="K3445" s="889"/>
      <c r="L3445" s="889"/>
      <c r="M3445" s="890"/>
      <c r="N3445" s="183">
        <f>SUM(N3443:N3444)</f>
        <v>639180925</v>
      </c>
    </row>
    <row r="3446" spans="9:16" ht="12.75" customHeight="1">
      <c r="I3446" s="61"/>
      <c r="J3446" s="61"/>
      <c r="K3446" s="61"/>
      <c r="L3446" s="61"/>
      <c r="M3446" s="61"/>
    </row>
    <row r="3447" spans="9:16">
      <c r="I3447" s="51" t="s">
        <v>1310</v>
      </c>
    </row>
    <row r="3448" spans="9:16" ht="8.25" customHeight="1">
      <c r="N3448" s="139"/>
    </row>
    <row r="3449" spans="9:16">
      <c r="I3449" s="50" t="s">
        <v>105</v>
      </c>
      <c r="L3449" s="146"/>
      <c r="N3449" s="139"/>
    </row>
    <row r="3450" spans="9:16" ht="9" customHeight="1" thickBot="1"/>
    <row r="3451" spans="9:16" ht="15.75" thickBot="1">
      <c r="I3451" s="891" t="s">
        <v>106</v>
      </c>
      <c r="J3451" s="892"/>
      <c r="K3451" s="892"/>
      <c r="L3451" s="893"/>
      <c r="N3451" s="50" t="s">
        <v>1126</v>
      </c>
    </row>
    <row r="3452" spans="9:16" ht="30.75" thickBot="1">
      <c r="I3452" s="57" t="s">
        <v>100</v>
      </c>
      <c r="J3452" s="58" t="s">
        <v>108</v>
      </c>
      <c r="K3452" s="287" t="s">
        <v>109</v>
      </c>
      <c r="L3452" s="60" t="s">
        <v>110</v>
      </c>
    </row>
    <row r="3453" spans="9:16">
      <c r="I3453" s="71">
        <v>719</v>
      </c>
      <c r="J3453" s="73">
        <f>+P3435+P3437+P3441+P3439</f>
        <v>0</v>
      </c>
      <c r="K3453" s="74">
        <f>+L3413</f>
        <v>37780000</v>
      </c>
      <c r="L3453" s="195">
        <f>+J3453+K3453</f>
        <v>37780000</v>
      </c>
    </row>
    <row r="3454" spans="9:16">
      <c r="I3454" s="72">
        <v>721</v>
      </c>
      <c r="J3454" s="80">
        <f>+P3442+P3440+P3438+P3436+P3434+P3432</f>
        <v>31957150</v>
      </c>
      <c r="K3454" s="74">
        <f>+L3414</f>
        <v>174889178</v>
      </c>
      <c r="L3454" s="195">
        <f>+J3454+K3454</f>
        <v>206846328</v>
      </c>
    </row>
    <row r="3455" spans="9:16">
      <c r="I3455" s="72">
        <v>722</v>
      </c>
      <c r="J3455" s="80"/>
      <c r="K3455" s="74">
        <f>+L3415</f>
        <v>6180000</v>
      </c>
      <c r="L3455" s="195">
        <f>+J3455+K3455</f>
        <v>6180000</v>
      </c>
    </row>
    <row r="3456" spans="9:16" ht="15.75">
      <c r="I3456" s="72">
        <v>723</v>
      </c>
      <c r="J3456" s="80"/>
      <c r="K3456" s="74">
        <f>+L3416</f>
        <v>387577097</v>
      </c>
      <c r="L3456" s="195">
        <f>+J3456+K3456</f>
        <v>387577097</v>
      </c>
      <c r="N3456" s="193" t="s">
        <v>1125</v>
      </c>
      <c r="O3456" s="175"/>
    </row>
    <row r="3457" spans="9:16" ht="16.5" thickBot="1">
      <c r="I3457" s="164" t="s">
        <v>1077</v>
      </c>
      <c r="J3457" s="165"/>
      <c r="K3457" s="74">
        <f>+L3417</f>
        <v>797500</v>
      </c>
      <c r="L3457" s="196">
        <f>+J3457+K3457</f>
        <v>797500</v>
      </c>
      <c r="N3457" s="52"/>
    </row>
    <row r="3458" spans="9:16" ht="16.5" thickBot="1">
      <c r="I3458" s="169"/>
      <c r="J3458" s="197">
        <f>SUM(J3453:J3457)</f>
        <v>31957150</v>
      </c>
      <c r="K3458" s="197">
        <f>SUM(K3453:K3457)</f>
        <v>607223775</v>
      </c>
      <c r="L3458" s="198">
        <f>SUM(L3453:L3457)</f>
        <v>639180925</v>
      </c>
    </row>
    <row r="3459" spans="9:16" ht="16.5">
      <c r="I3459" s="49" t="s">
        <v>88</v>
      </c>
      <c r="J3459" s="50"/>
    </row>
    <row r="3460" spans="9:16">
      <c r="I3460" s="51" t="s">
        <v>89</v>
      </c>
    </row>
    <row r="3461" spans="9:16">
      <c r="I3461" s="51" t="s">
        <v>90</v>
      </c>
    </row>
    <row r="3462" spans="9:16">
      <c r="I3462" s="51" t="s">
        <v>91</v>
      </c>
    </row>
    <row r="3463" spans="9:16">
      <c r="I3463" s="50"/>
      <c r="J3463" s="50"/>
    </row>
    <row r="3464" spans="9:16" ht="15.75">
      <c r="I3464" s="260" t="s">
        <v>1312</v>
      </c>
      <c r="O3464" s="52"/>
    </row>
    <row r="3465" spans="9:16" ht="15.75">
      <c r="I3465" s="53" t="s">
        <v>535</v>
      </c>
      <c r="O3465" s="53"/>
    </row>
    <row r="3466" spans="9:16" ht="16.5">
      <c r="I3466" s="894" t="s">
        <v>1316</v>
      </c>
      <c r="J3466" s="894"/>
      <c r="K3466" s="894"/>
      <c r="L3466" s="894"/>
      <c r="M3466" s="894"/>
      <c r="N3466" s="894"/>
      <c r="O3466" s="894"/>
      <c r="P3466" s="894"/>
    </row>
    <row r="3467" spans="9:16" ht="15.75" thickBot="1"/>
    <row r="3468" spans="9:16">
      <c r="I3468" s="895" t="s">
        <v>94</v>
      </c>
      <c r="J3468" s="897" t="s">
        <v>95</v>
      </c>
      <c r="K3468" s="897" t="s">
        <v>96</v>
      </c>
      <c r="L3468" s="897" t="s">
        <v>3</v>
      </c>
      <c r="M3468" s="897" t="s">
        <v>97</v>
      </c>
      <c r="N3468" s="897" t="s">
        <v>98</v>
      </c>
      <c r="O3468" s="897" t="s">
        <v>99</v>
      </c>
      <c r="P3468" s="899"/>
    </row>
    <row r="3469" spans="9:16" ht="15.75" thickBot="1">
      <c r="I3469" s="896"/>
      <c r="J3469" s="898"/>
      <c r="K3469" s="898"/>
      <c r="L3469" s="898"/>
      <c r="M3469" s="898"/>
      <c r="N3469" s="898"/>
      <c r="O3469" s="240" t="s">
        <v>100</v>
      </c>
      <c r="P3469" s="182" t="s">
        <v>101</v>
      </c>
    </row>
    <row r="3470" spans="9:16">
      <c r="I3470" s="873" t="s">
        <v>1311</v>
      </c>
      <c r="J3470" s="875">
        <v>42734</v>
      </c>
      <c r="K3470" s="877" t="s">
        <v>1315</v>
      </c>
      <c r="L3470" s="879" t="s">
        <v>1301</v>
      </c>
      <c r="M3470" s="881" t="s">
        <v>148</v>
      </c>
      <c r="N3470" s="883">
        <v>1817700</v>
      </c>
      <c r="O3470" s="55">
        <v>719</v>
      </c>
      <c r="P3470" s="78"/>
    </row>
    <row r="3471" spans="9:16" ht="15.75" thickBot="1">
      <c r="I3471" s="874"/>
      <c r="J3471" s="876"/>
      <c r="K3471" s="878"/>
      <c r="L3471" s="880"/>
      <c r="M3471" s="882"/>
      <c r="N3471" s="884"/>
      <c r="O3471" s="56">
        <v>723</v>
      </c>
      <c r="P3471" s="351">
        <f>+N3470-P3470</f>
        <v>1817700</v>
      </c>
    </row>
    <row r="3472" spans="9:16">
      <c r="I3472" s="873"/>
      <c r="J3472" s="875"/>
      <c r="K3472" s="877"/>
      <c r="L3472" s="879"/>
      <c r="M3472" s="881"/>
      <c r="N3472" s="883"/>
      <c r="O3472" s="55">
        <v>719</v>
      </c>
      <c r="P3472" s="78"/>
    </row>
    <row r="3473" spans="9:16" ht="15.75" thickBot="1">
      <c r="I3473" s="874"/>
      <c r="J3473" s="876"/>
      <c r="K3473" s="878"/>
      <c r="L3473" s="880"/>
      <c r="M3473" s="882"/>
      <c r="N3473" s="884"/>
      <c r="O3473" s="56">
        <v>723</v>
      </c>
      <c r="P3473" s="352">
        <f>+N3472-P3472</f>
        <v>0</v>
      </c>
    </row>
    <row r="3474" spans="9:16">
      <c r="I3474" s="873"/>
      <c r="J3474" s="875"/>
      <c r="K3474" s="877"/>
      <c r="L3474" s="879"/>
      <c r="M3474" s="881"/>
      <c r="N3474" s="883"/>
      <c r="O3474" s="55">
        <v>719</v>
      </c>
      <c r="P3474" s="78"/>
    </row>
    <row r="3475" spans="9:16" ht="15.75" thickBot="1">
      <c r="I3475" s="874"/>
      <c r="J3475" s="876"/>
      <c r="K3475" s="878"/>
      <c r="L3475" s="880"/>
      <c r="M3475" s="882"/>
      <c r="N3475" s="884"/>
      <c r="O3475" s="56">
        <v>722</v>
      </c>
      <c r="P3475" s="352">
        <f>+N3474-P3474</f>
        <v>0</v>
      </c>
    </row>
    <row r="3476" spans="9:16">
      <c r="I3476" s="881"/>
      <c r="J3476" s="875"/>
      <c r="K3476" s="877"/>
      <c r="L3476" s="904"/>
      <c r="M3476" s="881"/>
      <c r="N3476" s="883"/>
      <c r="O3476" s="55">
        <v>719</v>
      </c>
      <c r="P3476" s="78"/>
    </row>
    <row r="3477" spans="9:16" ht="15.75" thickBot="1">
      <c r="I3477" s="882"/>
      <c r="J3477" s="876"/>
      <c r="K3477" s="878"/>
      <c r="L3477" s="880"/>
      <c r="M3477" s="882"/>
      <c r="N3477" s="884"/>
      <c r="O3477" s="56">
        <v>722</v>
      </c>
      <c r="P3477" s="79">
        <f>+N3476-P3476</f>
        <v>0</v>
      </c>
    </row>
    <row r="3478" spans="9:16" ht="16.5" thickBot="1">
      <c r="I3478" s="901" t="s">
        <v>102</v>
      </c>
      <c r="J3478" s="902"/>
      <c r="K3478" s="902"/>
      <c r="L3478" s="902"/>
      <c r="M3478" s="903"/>
      <c r="N3478" s="81">
        <f>SUM(N3470:N3477)</f>
        <v>1817700</v>
      </c>
    </row>
    <row r="3479" spans="9:16" ht="16.5" thickBot="1">
      <c r="I3479" s="885" t="s">
        <v>103</v>
      </c>
      <c r="J3479" s="886"/>
      <c r="K3479" s="886"/>
      <c r="L3479" s="886"/>
      <c r="M3479" s="887"/>
      <c r="N3479" s="69">
        <f>+N3445</f>
        <v>639180925</v>
      </c>
      <c r="O3479" s="241" t="s">
        <v>561</v>
      </c>
      <c r="P3479" s="242"/>
    </row>
    <row r="3480" spans="9:16" ht="16.5" thickBot="1">
      <c r="I3480" s="888" t="s">
        <v>104</v>
      </c>
      <c r="J3480" s="889"/>
      <c r="K3480" s="889"/>
      <c r="L3480" s="889"/>
      <c r="M3480" s="890"/>
      <c r="N3480" s="183">
        <f>SUM(N3478:N3479)</f>
        <v>640998625</v>
      </c>
    </row>
    <row r="3481" spans="9:16">
      <c r="I3481" s="61"/>
      <c r="J3481" s="61"/>
      <c r="K3481" s="61"/>
      <c r="L3481" s="61"/>
      <c r="M3481" s="61"/>
    </row>
    <row r="3482" spans="9:16">
      <c r="I3482" s="51" t="s">
        <v>1314</v>
      </c>
    </row>
    <row r="3483" spans="9:16">
      <c r="N3483" s="139"/>
    </row>
    <row r="3484" spans="9:16">
      <c r="I3484" s="50" t="s">
        <v>105</v>
      </c>
      <c r="L3484" s="146"/>
      <c r="N3484" s="139"/>
    </row>
    <row r="3485" spans="9:16" ht="15.75" thickBot="1"/>
    <row r="3486" spans="9:16" ht="15.75" thickBot="1">
      <c r="I3486" s="891" t="s">
        <v>106</v>
      </c>
      <c r="J3486" s="892"/>
      <c r="K3486" s="892"/>
      <c r="L3486" s="893"/>
      <c r="N3486" s="50" t="s">
        <v>1313</v>
      </c>
    </row>
    <row r="3487" spans="9:16" ht="30.75" thickBot="1">
      <c r="I3487" s="57" t="s">
        <v>100</v>
      </c>
      <c r="J3487" s="58" t="s">
        <v>108</v>
      </c>
      <c r="K3487" s="287" t="s">
        <v>109</v>
      </c>
      <c r="L3487" s="60" t="s">
        <v>110</v>
      </c>
    </row>
    <row r="3488" spans="9:16">
      <c r="I3488" s="71">
        <v>719</v>
      </c>
      <c r="J3488" s="73"/>
      <c r="K3488" s="74">
        <f>+L3453</f>
        <v>37780000</v>
      </c>
      <c r="L3488" s="195">
        <f>+J3488+K3488</f>
        <v>37780000</v>
      </c>
    </row>
    <row r="3489" spans="9:16">
      <c r="I3489" s="72">
        <v>721</v>
      </c>
      <c r="J3489" s="80"/>
      <c r="K3489" s="74">
        <f>+L3454</f>
        <v>206846328</v>
      </c>
      <c r="L3489" s="195">
        <f>+J3489+K3489</f>
        <v>206846328</v>
      </c>
    </row>
    <row r="3490" spans="9:16">
      <c r="I3490" s="72">
        <v>722</v>
      </c>
      <c r="J3490" s="80"/>
      <c r="K3490" s="74">
        <f>+L3455</f>
        <v>6180000</v>
      </c>
      <c r="L3490" s="195">
        <f>+J3490+K3490</f>
        <v>6180000</v>
      </c>
    </row>
    <row r="3491" spans="9:16" ht="15.75">
      <c r="I3491" s="72">
        <v>723</v>
      </c>
      <c r="J3491" s="80">
        <f>+P3471</f>
        <v>1817700</v>
      </c>
      <c r="K3491" s="74">
        <f>+L3456</f>
        <v>387577097</v>
      </c>
      <c r="L3491" s="195">
        <f>+J3491+K3491</f>
        <v>389394797</v>
      </c>
      <c r="N3491" s="193" t="s">
        <v>1125</v>
      </c>
      <c r="O3491" s="175"/>
    </row>
    <row r="3492" spans="9:16" ht="16.5" thickBot="1">
      <c r="I3492" s="164" t="s">
        <v>1077</v>
      </c>
      <c r="J3492" s="165"/>
      <c r="K3492" s="74">
        <f>+L3457</f>
        <v>797500</v>
      </c>
      <c r="L3492" s="196">
        <f>+J3492+K3492</f>
        <v>797500</v>
      </c>
      <c r="N3492" s="52"/>
    </row>
    <row r="3493" spans="9:16" ht="16.5" thickBot="1">
      <c r="I3493" s="169"/>
      <c r="J3493" s="197">
        <f>SUM(J3488:J3492)</f>
        <v>1817700</v>
      </c>
      <c r="K3493" s="197">
        <f>SUM(K3488:K3492)</f>
        <v>639180925</v>
      </c>
      <c r="L3493" s="198">
        <f>SUM(L3488:L3492)</f>
        <v>640998625</v>
      </c>
    </row>
    <row r="3494" spans="9:16" ht="15.75">
      <c r="I3494" s="397"/>
      <c r="J3494" s="398"/>
      <c r="K3494" s="398"/>
      <c r="L3494" s="399"/>
    </row>
    <row r="3495" spans="9:16" ht="16.5">
      <c r="I3495" s="49" t="s">
        <v>88</v>
      </c>
      <c r="J3495" s="50"/>
    </row>
    <row r="3496" spans="9:16">
      <c r="I3496" s="51" t="s">
        <v>89</v>
      </c>
    </row>
    <row r="3497" spans="9:16">
      <c r="I3497" s="51" t="s">
        <v>90</v>
      </c>
    </row>
    <row r="3498" spans="9:16">
      <c r="I3498" s="51" t="s">
        <v>91</v>
      </c>
    </row>
    <row r="3499" spans="9:16">
      <c r="I3499" s="50"/>
      <c r="J3499" s="50"/>
    </row>
    <row r="3500" spans="9:16" ht="15.75">
      <c r="I3500" s="260" t="s">
        <v>1320</v>
      </c>
      <c r="O3500" s="52"/>
    </row>
    <row r="3501" spans="9:16" ht="15.75">
      <c r="I3501" s="53" t="s">
        <v>535</v>
      </c>
      <c r="O3501" s="53"/>
    </row>
    <row r="3502" spans="9:16" ht="16.5">
      <c r="I3502" s="894" t="s">
        <v>1317</v>
      </c>
      <c r="J3502" s="894"/>
      <c r="K3502" s="894"/>
      <c r="L3502" s="894"/>
      <c r="M3502" s="894"/>
      <c r="N3502" s="894"/>
      <c r="O3502" s="894"/>
      <c r="P3502" s="894"/>
    </row>
    <row r="3503" spans="9:16" ht="15.75" thickBot="1"/>
    <row r="3504" spans="9:16">
      <c r="I3504" s="895" t="s">
        <v>94</v>
      </c>
      <c r="J3504" s="897" t="s">
        <v>95</v>
      </c>
      <c r="K3504" s="897" t="s">
        <v>96</v>
      </c>
      <c r="L3504" s="897" t="s">
        <v>3</v>
      </c>
      <c r="M3504" s="897" t="s">
        <v>97</v>
      </c>
      <c r="N3504" s="897" t="s">
        <v>98</v>
      </c>
      <c r="O3504" s="897" t="s">
        <v>99</v>
      </c>
      <c r="P3504" s="899"/>
    </row>
    <row r="3505" spans="9:16" ht="15.75" thickBot="1">
      <c r="I3505" s="896"/>
      <c r="J3505" s="898"/>
      <c r="K3505" s="898"/>
      <c r="L3505" s="898"/>
      <c r="M3505" s="898"/>
      <c r="N3505" s="898"/>
      <c r="O3505" s="240" t="s">
        <v>100</v>
      </c>
      <c r="P3505" s="182" t="s">
        <v>101</v>
      </c>
    </row>
    <row r="3506" spans="9:16" ht="15" customHeight="1">
      <c r="I3506" s="873" t="s">
        <v>554</v>
      </c>
      <c r="J3506" s="875">
        <v>42735</v>
      </c>
      <c r="K3506" s="877" t="s">
        <v>1267</v>
      </c>
      <c r="L3506" s="879" t="s">
        <v>1221</v>
      </c>
      <c r="M3506" s="881" t="s">
        <v>145</v>
      </c>
      <c r="N3506" s="883">
        <v>-14718204</v>
      </c>
      <c r="O3506" s="55">
        <v>719</v>
      </c>
      <c r="P3506" s="78"/>
    </row>
    <row r="3507" spans="9:16" ht="15.75" customHeight="1" thickBot="1">
      <c r="I3507" s="874"/>
      <c r="J3507" s="876"/>
      <c r="K3507" s="900"/>
      <c r="L3507" s="880"/>
      <c r="M3507" s="882"/>
      <c r="N3507" s="884"/>
      <c r="O3507" s="56">
        <v>721</v>
      </c>
      <c r="P3507" s="351">
        <f>+N3506-P3506</f>
        <v>-14718204</v>
      </c>
    </row>
    <row r="3508" spans="9:16" ht="15" customHeight="1">
      <c r="I3508" s="873" t="s">
        <v>1318</v>
      </c>
      <c r="J3508" s="875">
        <v>42735</v>
      </c>
      <c r="K3508" s="900"/>
      <c r="L3508" s="879" t="s">
        <v>1305</v>
      </c>
      <c r="M3508" s="881" t="s">
        <v>145</v>
      </c>
      <c r="N3508" s="883">
        <v>-3962065</v>
      </c>
      <c r="O3508" s="55">
        <v>719</v>
      </c>
      <c r="P3508" s="78"/>
    </row>
    <row r="3509" spans="9:16" ht="15.75" customHeight="1" thickBot="1">
      <c r="I3509" s="874"/>
      <c r="J3509" s="876"/>
      <c r="K3509" s="878"/>
      <c r="L3509" s="880"/>
      <c r="M3509" s="882"/>
      <c r="N3509" s="884"/>
      <c r="O3509" s="56">
        <v>721</v>
      </c>
      <c r="P3509" s="352">
        <f>+N3508-P3508</f>
        <v>-3962065</v>
      </c>
    </row>
    <row r="3510" spans="9:16">
      <c r="I3510" s="873"/>
      <c r="J3510" s="875"/>
      <c r="K3510" s="877"/>
      <c r="L3510" s="879"/>
      <c r="M3510" s="881"/>
      <c r="N3510" s="883"/>
      <c r="O3510" s="55">
        <v>719</v>
      </c>
      <c r="P3510" s="78"/>
    </row>
    <row r="3511" spans="9:16" ht="15.75" thickBot="1">
      <c r="I3511" s="874"/>
      <c r="J3511" s="876"/>
      <c r="K3511" s="878"/>
      <c r="L3511" s="880"/>
      <c r="M3511" s="882"/>
      <c r="N3511" s="884"/>
      <c r="O3511" s="56">
        <v>722</v>
      </c>
      <c r="P3511" s="352"/>
    </row>
    <row r="3512" spans="9:16">
      <c r="I3512" s="873"/>
      <c r="J3512" s="875"/>
      <c r="K3512" s="877"/>
      <c r="L3512" s="879"/>
      <c r="M3512" s="881"/>
      <c r="N3512" s="883"/>
      <c r="O3512" s="55">
        <v>719</v>
      </c>
      <c r="P3512" s="78"/>
    </row>
    <row r="3513" spans="9:16" ht="15.75" thickBot="1">
      <c r="I3513" s="874"/>
      <c r="J3513" s="876"/>
      <c r="K3513" s="878"/>
      <c r="L3513" s="880"/>
      <c r="M3513" s="882"/>
      <c r="N3513" s="884"/>
      <c r="O3513" s="56">
        <v>722</v>
      </c>
      <c r="P3513" s="79">
        <f>+N3512-P3512</f>
        <v>0</v>
      </c>
    </row>
    <row r="3514" spans="9:16" ht="16.5" thickBot="1">
      <c r="I3514" s="901" t="s">
        <v>102</v>
      </c>
      <c r="J3514" s="902"/>
      <c r="K3514" s="902"/>
      <c r="L3514" s="902"/>
      <c r="M3514" s="903"/>
      <c r="N3514" s="81">
        <f>SUM(N3506:N3513)</f>
        <v>-18680269</v>
      </c>
    </row>
    <row r="3515" spans="9:16" ht="16.5" thickBot="1">
      <c r="I3515" s="885" t="s">
        <v>103</v>
      </c>
      <c r="J3515" s="886"/>
      <c r="K3515" s="886"/>
      <c r="L3515" s="886"/>
      <c r="M3515" s="887"/>
      <c r="N3515" s="69">
        <f>+N3480</f>
        <v>640998625</v>
      </c>
      <c r="O3515" s="241" t="s">
        <v>561</v>
      </c>
      <c r="P3515" s="242"/>
    </row>
    <row r="3516" spans="9:16" ht="16.5" thickBot="1">
      <c r="I3516" s="888" t="s">
        <v>104</v>
      </c>
      <c r="J3516" s="889"/>
      <c r="K3516" s="889"/>
      <c r="L3516" s="889"/>
      <c r="M3516" s="890"/>
      <c r="N3516" s="183">
        <f>SUM(N3514:N3515)</f>
        <v>622318356</v>
      </c>
    </row>
    <row r="3517" spans="9:16">
      <c r="I3517" s="61"/>
      <c r="J3517" s="61"/>
      <c r="K3517" s="61"/>
      <c r="L3517" s="61"/>
      <c r="M3517" s="61"/>
    </row>
    <row r="3518" spans="9:16">
      <c r="I3518" s="51" t="s">
        <v>1319</v>
      </c>
    </row>
    <row r="3519" spans="9:16">
      <c r="N3519" s="139"/>
    </row>
    <row r="3520" spans="9:16">
      <c r="I3520" s="50" t="s">
        <v>105</v>
      </c>
      <c r="L3520" s="146"/>
      <c r="N3520" s="139"/>
    </row>
    <row r="3521" spans="9:15" ht="15.75" thickBot="1"/>
    <row r="3522" spans="9:15" ht="15.75" thickBot="1">
      <c r="I3522" s="891" t="s">
        <v>106</v>
      </c>
      <c r="J3522" s="892"/>
      <c r="K3522" s="892"/>
      <c r="L3522" s="893"/>
      <c r="N3522" s="50" t="s">
        <v>288</v>
      </c>
    </row>
    <row r="3523" spans="9:15" ht="30.75" thickBot="1">
      <c r="I3523" s="57" t="s">
        <v>100</v>
      </c>
      <c r="J3523" s="58" t="s">
        <v>108</v>
      </c>
      <c r="K3523" s="287" t="s">
        <v>109</v>
      </c>
      <c r="L3523" s="60" t="s">
        <v>110</v>
      </c>
    </row>
    <row r="3524" spans="9:15">
      <c r="I3524" s="71">
        <v>719</v>
      </c>
      <c r="J3524" s="73">
        <f>+P3506+P3508+P3512</f>
        <v>0</v>
      </c>
      <c r="K3524" s="74">
        <f>+L3488</f>
        <v>37780000</v>
      </c>
      <c r="L3524" s="195">
        <f>+J3524+K3524</f>
        <v>37780000</v>
      </c>
    </row>
    <row r="3525" spans="9:15">
      <c r="I3525" s="72">
        <v>721</v>
      </c>
      <c r="J3525" s="80">
        <f>+P3507+P3509</f>
        <v>-18680269</v>
      </c>
      <c r="K3525" s="74">
        <f>+L3489</f>
        <v>206846328</v>
      </c>
      <c r="L3525" s="195">
        <f>+J3525+K3525</f>
        <v>188166059</v>
      </c>
    </row>
    <row r="3526" spans="9:15" ht="15.75">
      <c r="I3526" s="72">
        <v>722</v>
      </c>
      <c r="J3526" s="80"/>
      <c r="K3526" s="74">
        <f>+L3490</f>
        <v>6180000</v>
      </c>
      <c r="L3526" s="195">
        <f>+J3526+K3526</f>
        <v>6180000</v>
      </c>
      <c r="N3526" s="193" t="s">
        <v>1125</v>
      </c>
    </row>
    <row r="3527" spans="9:15" ht="15.75">
      <c r="I3527" s="72">
        <v>723</v>
      </c>
      <c r="J3527" s="80"/>
      <c r="K3527" s="74">
        <f>+L3491</f>
        <v>389394797</v>
      </c>
      <c r="L3527" s="195">
        <f>+J3527+K3527</f>
        <v>389394797</v>
      </c>
      <c r="N3527" s="193"/>
      <c r="O3527" s="175"/>
    </row>
    <row r="3528" spans="9:15" ht="16.5" thickBot="1">
      <c r="I3528" s="164" t="s">
        <v>1077</v>
      </c>
      <c r="J3528" s="165"/>
      <c r="K3528" s="74">
        <f>+L3492</f>
        <v>797500</v>
      </c>
      <c r="L3528" s="196">
        <f>+J3528+K3528</f>
        <v>797500</v>
      </c>
      <c r="N3528" s="52"/>
    </row>
    <row r="3529" spans="9:15" ht="16.5" thickBot="1">
      <c r="I3529" s="169"/>
      <c r="J3529" s="197">
        <f>SUM(J3524:J3528)</f>
        <v>-18680269</v>
      </c>
      <c r="K3529" s="197">
        <f>SUM(K3524:K3528)</f>
        <v>640998625</v>
      </c>
      <c r="L3529" s="198">
        <f>SUM(L3524:L3528)</f>
        <v>622318356</v>
      </c>
    </row>
    <row r="3530" spans="9:15" ht="15.75">
      <c r="I3530" s="397"/>
      <c r="J3530" s="398"/>
      <c r="K3530" s="398"/>
      <c r="L3530" s="399"/>
    </row>
    <row r="3531" spans="9:15" ht="16.5">
      <c r="I3531" s="49" t="s">
        <v>88</v>
      </c>
      <c r="J3531" s="50"/>
    </row>
    <row r="3532" spans="9:15">
      <c r="I3532" s="51" t="s">
        <v>89</v>
      </c>
    </row>
    <row r="3533" spans="9:15">
      <c r="I3533" s="51" t="s">
        <v>90</v>
      </c>
    </row>
    <row r="3534" spans="9:15">
      <c r="I3534" s="51" t="s">
        <v>91</v>
      </c>
    </row>
    <row r="3535" spans="9:15">
      <c r="I3535" s="50"/>
      <c r="J3535" s="50"/>
    </row>
    <row r="3536" spans="9:15" ht="15.75">
      <c r="I3536" s="260" t="s">
        <v>1322</v>
      </c>
      <c r="O3536" s="52"/>
    </row>
    <row r="3537" spans="9:16" ht="15.75">
      <c r="I3537" s="53" t="s">
        <v>535</v>
      </c>
      <c r="O3537" s="53"/>
    </row>
    <row r="3538" spans="9:16" ht="16.5">
      <c r="I3538" s="894" t="s">
        <v>1328</v>
      </c>
      <c r="J3538" s="894"/>
      <c r="K3538" s="894"/>
      <c r="L3538" s="894"/>
      <c r="M3538" s="894"/>
      <c r="N3538" s="894"/>
      <c r="O3538" s="894"/>
      <c r="P3538" s="894"/>
    </row>
    <row r="3539" spans="9:16" ht="15.75" thickBot="1"/>
    <row r="3540" spans="9:16">
      <c r="I3540" s="895" t="s">
        <v>94</v>
      </c>
      <c r="J3540" s="897" t="s">
        <v>95</v>
      </c>
      <c r="K3540" s="897" t="s">
        <v>96</v>
      </c>
      <c r="L3540" s="897" t="s">
        <v>3</v>
      </c>
      <c r="M3540" s="897" t="s">
        <v>97</v>
      </c>
      <c r="N3540" s="897" t="s">
        <v>98</v>
      </c>
      <c r="O3540" s="897" t="s">
        <v>99</v>
      </c>
      <c r="P3540" s="899"/>
    </row>
    <row r="3541" spans="9:16" ht="15.75" thickBot="1">
      <c r="I3541" s="896"/>
      <c r="J3541" s="898"/>
      <c r="K3541" s="898"/>
      <c r="L3541" s="898"/>
      <c r="M3541" s="898"/>
      <c r="N3541" s="898"/>
      <c r="O3541" s="240" t="s">
        <v>100</v>
      </c>
      <c r="P3541" s="182" t="s">
        <v>101</v>
      </c>
    </row>
    <row r="3542" spans="9:16">
      <c r="I3542" s="873" t="s">
        <v>1323</v>
      </c>
      <c r="J3542" s="875">
        <v>42735</v>
      </c>
      <c r="K3542" s="877" t="s">
        <v>1267</v>
      </c>
      <c r="L3542" s="879" t="s">
        <v>1325</v>
      </c>
      <c r="M3542" s="881" t="s">
        <v>145</v>
      </c>
      <c r="N3542" s="883">
        <v>3379917</v>
      </c>
      <c r="O3542" s="55">
        <v>719</v>
      </c>
      <c r="P3542" s="78"/>
    </row>
    <row r="3543" spans="9:16" ht="15.75" thickBot="1">
      <c r="I3543" s="874"/>
      <c r="J3543" s="876"/>
      <c r="K3543" s="900"/>
      <c r="L3543" s="880"/>
      <c r="M3543" s="882"/>
      <c r="N3543" s="884"/>
      <c r="O3543" s="56">
        <v>721</v>
      </c>
      <c r="P3543" s="351">
        <f>+N3542-P3542</f>
        <v>3379917</v>
      </c>
    </row>
    <row r="3544" spans="9:16">
      <c r="I3544" s="873" t="s">
        <v>1324</v>
      </c>
      <c r="J3544" s="875">
        <v>42735</v>
      </c>
      <c r="K3544" s="900"/>
      <c r="L3544" s="879" t="s">
        <v>1326</v>
      </c>
      <c r="M3544" s="881" t="s">
        <v>145</v>
      </c>
      <c r="N3544" s="883">
        <v>1673382</v>
      </c>
      <c r="O3544" s="55">
        <v>719</v>
      </c>
      <c r="P3544" s="78"/>
    </row>
    <row r="3545" spans="9:16" ht="15.75" thickBot="1">
      <c r="I3545" s="874"/>
      <c r="J3545" s="876"/>
      <c r="K3545" s="878"/>
      <c r="L3545" s="880"/>
      <c r="M3545" s="882"/>
      <c r="N3545" s="884"/>
      <c r="O3545" s="56">
        <v>721</v>
      </c>
      <c r="P3545" s="352">
        <f>+N3544-P3544</f>
        <v>1673382</v>
      </c>
    </row>
    <row r="3546" spans="9:16">
      <c r="I3546" s="873"/>
      <c r="J3546" s="875"/>
      <c r="K3546" s="877"/>
      <c r="L3546" s="879"/>
      <c r="M3546" s="881"/>
      <c r="N3546" s="883"/>
      <c r="O3546" s="55">
        <v>719</v>
      </c>
      <c r="P3546" s="78"/>
    </row>
    <row r="3547" spans="9:16" ht="15.75" thickBot="1">
      <c r="I3547" s="874"/>
      <c r="J3547" s="876"/>
      <c r="K3547" s="878"/>
      <c r="L3547" s="880"/>
      <c r="M3547" s="882"/>
      <c r="N3547" s="884"/>
      <c r="O3547" s="56">
        <v>722</v>
      </c>
      <c r="P3547" s="352"/>
    </row>
    <row r="3548" spans="9:16">
      <c r="I3548" s="873"/>
      <c r="J3548" s="875"/>
      <c r="K3548" s="877"/>
      <c r="L3548" s="879"/>
      <c r="M3548" s="881"/>
      <c r="N3548" s="883"/>
      <c r="O3548" s="55">
        <v>719</v>
      </c>
      <c r="P3548" s="78"/>
    </row>
    <row r="3549" spans="9:16" ht="15.75" thickBot="1">
      <c r="I3549" s="874"/>
      <c r="J3549" s="876"/>
      <c r="K3549" s="878"/>
      <c r="L3549" s="880"/>
      <c r="M3549" s="882"/>
      <c r="N3549" s="884"/>
      <c r="O3549" s="56">
        <v>722</v>
      </c>
      <c r="P3549" s="79">
        <f>+N3548-P3548</f>
        <v>0</v>
      </c>
    </row>
    <row r="3550" spans="9:16" ht="16.5" thickBot="1">
      <c r="I3550" s="901" t="s">
        <v>102</v>
      </c>
      <c r="J3550" s="902"/>
      <c r="K3550" s="902"/>
      <c r="L3550" s="902"/>
      <c r="M3550" s="903"/>
      <c r="N3550" s="81">
        <f>SUM(N3542:N3549)</f>
        <v>5053299</v>
      </c>
    </row>
    <row r="3551" spans="9:16" ht="16.5" thickBot="1">
      <c r="I3551" s="885" t="s">
        <v>103</v>
      </c>
      <c r="J3551" s="886"/>
      <c r="K3551" s="886"/>
      <c r="L3551" s="886"/>
      <c r="M3551" s="887"/>
      <c r="N3551" s="69">
        <f>+N3516</f>
        <v>622318356</v>
      </c>
      <c r="O3551" s="241" t="s">
        <v>561</v>
      </c>
      <c r="P3551" s="242"/>
    </row>
    <row r="3552" spans="9:16" ht="16.5" thickBot="1">
      <c r="I3552" s="888" t="s">
        <v>104</v>
      </c>
      <c r="J3552" s="889"/>
      <c r="K3552" s="889"/>
      <c r="L3552" s="889"/>
      <c r="M3552" s="890"/>
      <c r="N3552" s="183">
        <f>SUM(N3550:N3551)</f>
        <v>627371655</v>
      </c>
    </row>
    <row r="3553" spans="9:15">
      <c r="I3553" s="61"/>
      <c r="J3553" s="61"/>
      <c r="K3553" s="61"/>
      <c r="L3553" s="61"/>
      <c r="M3553" s="61"/>
    </row>
    <row r="3554" spans="9:15">
      <c r="I3554" s="51" t="s">
        <v>1327</v>
      </c>
    </row>
    <row r="3555" spans="9:15">
      <c r="N3555" s="139"/>
    </row>
    <row r="3556" spans="9:15">
      <c r="I3556" s="50" t="s">
        <v>105</v>
      </c>
      <c r="L3556" s="146"/>
      <c r="N3556" s="139"/>
    </row>
    <row r="3557" spans="9:15" ht="15.75" thickBot="1"/>
    <row r="3558" spans="9:15" ht="15.75" thickBot="1">
      <c r="I3558" s="891" t="s">
        <v>106</v>
      </c>
      <c r="J3558" s="892"/>
      <c r="K3558" s="892"/>
      <c r="L3558" s="893"/>
      <c r="N3558" s="50" t="s">
        <v>288</v>
      </c>
    </row>
    <row r="3559" spans="9:15" ht="30.75" thickBot="1">
      <c r="I3559" s="57" t="s">
        <v>100</v>
      </c>
      <c r="J3559" s="58" t="s">
        <v>108</v>
      </c>
      <c r="K3559" s="287" t="s">
        <v>109</v>
      </c>
      <c r="L3559" s="60" t="s">
        <v>110</v>
      </c>
    </row>
    <row r="3560" spans="9:15">
      <c r="I3560" s="71">
        <v>719</v>
      </c>
      <c r="J3560" s="73">
        <f>+P3542+P3544+P3548</f>
        <v>0</v>
      </c>
      <c r="K3560" s="74">
        <f>+L3524</f>
        <v>37780000</v>
      </c>
      <c r="L3560" s="195">
        <f>+J3560+K3560</f>
        <v>37780000</v>
      </c>
    </row>
    <row r="3561" spans="9:15">
      <c r="I3561" s="72">
        <v>721</v>
      </c>
      <c r="J3561" s="80">
        <f>+P3543+P3545</f>
        <v>5053299</v>
      </c>
      <c r="K3561" s="74">
        <f>+L3525</f>
        <v>188166059</v>
      </c>
      <c r="L3561" s="195">
        <f>+J3561+K3561</f>
        <v>193219358</v>
      </c>
    </row>
    <row r="3562" spans="9:15" ht="15.75">
      <c r="I3562" s="72">
        <v>722</v>
      </c>
      <c r="J3562" s="80"/>
      <c r="K3562" s="74">
        <f>+L3526</f>
        <v>6180000</v>
      </c>
      <c r="L3562" s="195">
        <f>+J3562+K3562</f>
        <v>6180000</v>
      </c>
      <c r="N3562" s="193" t="s">
        <v>23</v>
      </c>
    </row>
    <row r="3563" spans="9:15" ht="15.75">
      <c r="I3563" s="72">
        <v>723</v>
      </c>
      <c r="J3563" s="80"/>
      <c r="K3563" s="74">
        <f>+L3527</f>
        <v>389394797</v>
      </c>
      <c r="L3563" s="195">
        <f>+J3563+K3563</f>
        <v>389394797</v>
      </c>
      <c r="N3563" s="193"/>
      <c r="O3563" s="175"/>
    </row>
    <row r="3564" spans="9:15" ht="16.5" thickBot="1">
      <c r="I3564" s="164" t="s">
        <v>1077</v>
      </c>
      <c r="J3564" s="165"/>
      <c r="K3564" s="74">
        <f>+L3528</f>
        <v>797500</v>
      </c>
      <c r="L3564" s="196">
        <f>+J3564+K3564</f>
        <v>797500</v>
      </c>
      <c r="N3564" s="52"/>
    </row>
    <row r="3565" spans="9:15" ht="16.5" thickBot="1">
      <c r="I3565" s="169"/>
      <c r="J3565" s="197">
        <f>SUM(J3560:J3564)</f>
        <v>5053299</v>
      </c>
      <c r="K3565" s="197">
        <f>SUM(K3560:K3564)</f>
        <v>622318356</v>
      </c>
      <c r="L3565" s="198">
        <f>SUM(L3560:L3564)</f>
        <v>627371655</v>
      </c>
    </row>
    <row r="3566" spans="9:15" ht="16.5">
      <c r="I3566" s="49" t="s">
        <v>88</v>
      </c>
      <c r="J3566" s="50"/>
    </row>
    <row r="3567" spans="9:15">
      <c r="I3567" s="51" t="s">
        <v>89</v>
      </c>
    </row>
    <row r="3568" spans="9:15">
      <c r="I3568" s="51" t="s">
        <v>90</v>
      </c>
    </row>
    <row r="3569" spans="9:16">
      <c r="I3569" s="51" t="s">
        <v>91</v>
      </c>
    </row>
    <row r="3570" spans="9:16">
      <c r="I3570" s="50"/>
      <c r="J3570" s="50"/>
    </row>
    <row r="3571" spans="9:16" ht="15.75">
      <c r="I3571" s="260" t="s">
        <v>1329</v>
      </c>
      <c r="O3571" s="52"/>
    </row>
    <row r="3572" spans="9:16" ht="15.75">
      <c r="I3572" s="53" t="s">
        <v>535</v>
      </c>
      <c r="O3572" s="53"/>
    </row>
    <row r="3573" spans="9:16" ht="16.5">
      <c r="I3573" s="894" t="s">
        <v>1328</v>
      </c>
      <c r="J3573" s="894"/>
      <c r="K3573" s="894"/>
      <c r="L3573" s="894"/>
      <c r="M3573" s="894"/>
      <c r="N3573" s="894"/>
      <c r="O3573" s="894"/>
      <c r="P3573" s="894"/>
    </row>
    <row r="3574" spans="9:16" ht="15.75" thickBot="1"/>
    <row r="3575" spans="9:16">
      <c r="I3575" s="895" t="s">
        <v>94</v>
      </c>
      <c r="J3575" s="897" t="s">
        <v>95</v>
      </c>
      <c r="K3575" s="897" t="s">
        <v>96</v>
      </c>
      <c r="L3575" s="897" t="s">
        <v>3</v>
      </c>
      <c r="M3575" s="897" t="s">
        <v>97</v>
      </c>
      <c r="N3575" s="897" t="s">
        <v>98</v>
      </c>
      <c r="O3575" s="897" t="s">
        <v>99</v>
      </c>
      <c r="P3575" s="899"/>
    </row>
    <row r="3576" spans="9:16" ht="15.75" thickBot="1">
      <c r="I3576" s="896"/>
      <c r="J3576" s="898"/>
      <c r="K3576" s="898"/>
      <c r="L3576" s="898"/>
      <c r="M3576" s="898"/>
      <c r="N3576" s="898"/>
      <c r="O3576" s="240" t="s">
        <v>100</v>
      </c>
      <c r="P3576" s="182" t="s">
        <v>101</v>
      </c>
    </row>
    <row r="3577" spans="9:16">
      <c r="I3577" s="873" t="s">
        <v>1323</v>
      </c>
      <c r="J3577" s="875">
        <v>42735</v>
      </c>
      <c r="K3577" s="877" t="s">
        <v>1267</v>
      </c>
      <c r="L3577" s="879" t="s">
        <v>1325</v>
      </c>
      <c r="M3577" s="881" t="s">
        <v>145</v>
      </c>
      <c r="N3577" s="883">
        <v>3379917</v>
      </c>
      <c r="O3577" s="55">
        <v>719</v>
      </c>
      <c r="P3577" s="78"/>
    </row>
    <row r="3578" spans="9:16" ht="15.75" thickBot="1">
      <c r="I3578" s="874"/>
      <c r="J3578" s="876"/>
      <c r="K3578" s="900"/>
      <c r="L3578" s="880"/>
      <c r="M3578" s="882"/>
      <c r="N3578" s="884"/>
      <c r="O3578" s="56">
        <v>721</v>
      </c>
      <c r="P3578" s="351">
        <f>+N3577-P3577</f>
        <v>3379917</v>
      </c>
    </row>
    <row r="3579" spans="9:16">
      <c r="I3579" s="873" t="s">
        <v>1324</v>
      </c>
      <c r="J3579" s="875">
        <v>42735</v>
      </c>
      <c r="K3579" s="900"/>
      <c r="L3579" s="879" t="s">
        <v>1326</v>
      </c>
      <c r="M3579" s="881" t="s">
        <v>145</v>
      </c>
      <c r="N3579" s="883">
        <v>1673382</v>
      </c>
      <c r="O3579" s="55">
        <v>719</v>
      </c>
      <c r="P3579" s="78"/>
    </row>
    <row r="3580" spans="9:16" ht="15.75" thickBot="1">
      <c r="I3580" s="874"/>
      <c r="J3580" s="876"/>
      <c r="K3580" s="878"/>
      <c r="L3580" s="880"/>
      <c r="M3580" s="882"/>
      <c r="N3580" s="884"/>
      <c r="O3580" s="56">
        <v>721</v>
      </c>
      <c r="P3580" s="352">
        <f>+N3579-P3579</f>
        <v>1673382</v>
      </c>
    </row>
    <row r="3581" spans="9:16">
      <c r="I3581" s="873"/>
      <c r="J3581" s="875"/>
      <c r="K3581" s="877"/>
      <c r="L3581" s="879"/>
      <c r="M3581" s="881"/>
      <c r="N3581" s="883"/>
      <c r="O3581" s="55">
        <v>719</v>
      </c>
      <c r="P3581" s="78"/>
    </row>
    <row r="3582" spans="9:16" ht="15.75" thickBot="1">
      <c r="I3582" s="874"/>
      <c r="J3582" s="876"/>
      <c r="K3582" s="878"/>
      <c r="L3582" s="880"/>
      <c r="M3582" s="882"/>
      <c r="N3582" s="884"/>
      <c r="O3582" s="56">
        <v>722</v>
      </c>
      <c r="P3582" s="352"/>
    </row>
    <row r="3583" spans="9:16">
      <c r="I3583" s="873"/>
      <c r="J3583" s="875"/>
      <c r="K3583" s="877"/>
      <c r="L3583" s="879"/>
      <c r="M3583" s="881"/>
      <c r="N3583" s="883"/>
      <c r="O3583" s="55">
        <v>719</v>
      </c>
      <c r="P3583" s="78"/>
    </row>
    <row r="3584" spans="9:16" ht="15.75" thickBot="1">
      <c r="I3584" s="874"/>
      <c r="J3584" s="876"/>
      <c r="K3584" s="878"/>
      <c r="L3584" s="880"/>
      <c r="M3584" s="882"/>
      <c r="N3584" s="884"/>
      <c r="O3584" s="56">
        <v>722</v>
      </c>
      <c r="P3584" s="79">
        <f>+N3583-P3583</f>
        <v>0</v>
      </c>
    </row>
    <row r="3585" spans="9:16" ht="16.5" thickBot="1">
      <c r="I3585" s="901" t="s">
        <v>102</v>
      </c>
      <c r="J3585" s="902"/>
      <c r="K3585" s="902"/>
      <c r="L3585" s="902"/>
      <c r="M3585" s="903"/>
      <c r="N3585" s="81">
        <f>SUM(N3577:N3584)</f>
        <v>5053299</v>
      </c>
    </row>
    <row r="3586" spans="9:16" ht="16.5" thickBot="1">
      <c r="I3586" s="885" t="s">
        <v>103</v>
      </c>
      <c r="J3586" s="886"/>
      <c r="K3586" s="886"/>
      <c r="L3586" s="886"/>
      <c r="M3586" s="887"/>
      <c r="N3586" s="69">
        <f>+N3551</f>
        <v>622318356</v>
      </c>
      <c r="O3586" s="241" t="s">
        <v>561</v>
      </c>
      <c r="P3586" s="242"/>
    </row>
    <row r="3587" spans="9:16" ht="16.5" thickBot="1">
      <c r="I3587" s="888" t="s">
        <v>104</v>
      </c>
      <c r="J3587" s="889"/>
      <c r="K3587" s="889"/>
      <c r="L3587" s="889"/>
      <c r="M3587" s="890"/>
      <c r="N3587" s="183">
        <f>SUM(N3585:N3586)</f>
        <v>627371655</v>
      </c>
    </row>
    <row r="3588" spans="9:16">
      <c r="I3588" s="61"/>
      <c r="J3588" s="61"/>
      <c r="K3588" s="61"/>
      <c r="L3588" s="61"/>
      <c r="M3588" s="61"/>
    </row>
    <row r="3589" spans="9:16">
      <c r="I3589" s="51" t="s">
        <v>1327</v>
      </c>
    </row>
    <row r="3590" spans="9:16">
      <c r="N3590" s="139"/>
    </row>
    <row r="3591" spans="9:16">
      <c r="I3591" s="50" t="s">
        <v>105</v>
      </c>
      <c r="L3591" s="146"/>
      <c r="N3591" s="139"/>
    </row>
    <row r="3592" spans="9:16" ht="15.75" thickBot="1"/>
    <row r="3593" spans="9:16" ht="15.75" thickBot="1">
      <c r="I3593" s="891" t="s">
        <v>106</v>
      </c>
      <c r="J3593" s="892"/>
      <c r="K3593" s="892"/>
      <c r="L3593" s="893"/>
      <c r="N3593" s="50" t="s">
        <v>288</v>
      </c>
    </row>
    <row r="3594" spans="9:16" ht="30.75" thickBot="1">
      <c r="I3594" s="57" t="s">
        <v>100</v>
      </c>
      <c r="J3594" s="58" t="s">
        <v>108</v>
      </c>
      <c r="K3594" s="287" t="s">
        <v>109</v>
      </c>
      <c r="L3594" s="60" t="s">
        <v>110</v>
      </c>
    </row>
    <row r="3595" spans="9:16">
      <c r="I3595" s="71">
        <v>719</v>
      </c>
      <c r="J3595" s="73">
        <f>+P3577+P3579+P3583</f>
        <v>0</v>
      </c>
      <c r="K3595" s="74" t="str">
        <f>+L3559</f>
        <v>Cumul</v>
      </c>
      <c r="L3595" s="195" t="e">
        <f>+J3595+K3595</f>
        <v>#VALUE!</v>
      </c>
    </row>
    <row r="3596" spans="9:16">
      <c r="I3596" s="72">
        <v>721</v>
      </c>
      <c r="J3596" s="80">
        <f>+P3578+P3580</f>
        <v>5053299</v>
      </c>
      <c r="K3596" s="74">
        <f>+L3560</f>
        <v>37780000</v>
      </c>
      <c r="L3596" s="195">
        <f>+J3596+K3596</f>
        <v>42833299</v>
      </c>
    </row>
    <row r="3597" spans="9:16" ht="15.75">
      <c r="I3597" s="72">
        <v>722</v>
      </c>
      <c r="J3597" s="80"/>
      <c r="K3597" s="74">
        <f>+L3561</f>
        <v>193219358</v>
      </c>
      <c r="L3597" s="195">
        <f>+J3597+K3597</f>
        <v>193219358</v>
      </c>
      <c r="N3597" s="193" t="s">
        <v>23</v>
      </c>
    </row>
    <row r="3598" spans="9:16" ht="15.75">
      <c r="I3598" s="72">
        <v>723</v>
      </c>
      <c r="J3598" s="80"/>
      <c r="K3598" s="74">
        <f>+L3562</f>
        <v>6180000</v>
      </c>
      <c r="L3598" s="195">
        <f>+J3598+K3598</f>
        <v>6180000</v>
      </c>
      <c r="N3598" s="193"/>
      <c r="O3598" s="175"/>
    </row>
    <row r="3599" spans="9:16" ht="16.5" thickBot="1">
      <c r="I3599" s="164" t="s">
        <v>1077</v>
      </c>
      <c r="J3599" s="165"/>
      <c r="K3599" s="74">
        <f>+L3563</f>
        <v>389394797</v>
      </c>
      <c r="L3599" s="196">
        <f>+J3599+K3599</f>
        <v>389394797</v>
      </c>
      <c r="N3599" s="52"/>
    </row>
    <row r="3600" spans="9:16" ht="16.5" thickBot="1">
      <c r="I3600" s="169"/>
      <c r="J3600" s="197">
        <f>SUM(J3595:J3599)</f>
        <v>5053299</v>
      </c>
      <c r="K3600" s="197">
        <f>SUM(K3595:K3599)</f>
        <v>626574155</v>
      </c>
      <c r="L3600" s="198" t="e">
        <f>SUM(L3595:L3599)</f>
        <v>#VALUE!</v>
      </c>
    </row>
  </sheetData>
  <mergeCells count="5787">
    <mergeCell ref="I3546:I3547"/>
    <mergeCell ref="J3546:J3547"/>
    <mergeCell ref="K3546:K3547"/>
    <mergeCell ref="L3546:L3547"/>
    <mergeCell ref="M3546:M3547"/>
    <mergeCell ref="N3546:N3547"/>
    <mergeCell ref="I3548:I3549"/>
    <mergeCell ref="J3548:J3549"/>
    <mergeCell ref="K3548:K3549"/>
    <mergeCell ref="L3548:L3549"/>
    <mergeCell ref="M3548:M3549"/>
    <mergeCell ref="N3548:N3549"/>
    <mergeCell ref="I3550:M3550"/>
    <mergeCell ref="I3551:M3551"/>
    <mergeCell ref="I3552:M3552"/>
    <mergeCell ref="I3558:L3558"/>
    <mergeCell ref="I3538:P3538"/>
    <mergeCell ref="I3540:I3541"/>
    <mergeCell ref="J3540:J3541"/>
    <mergeCell ref="K3540:K3541"/>
    <mergeCell ref="L3540:L3541"/>
    <mergeCell ref="M3540:M3541"/>
    <mergeCell ref="N3540:N3541"/>
    <mergeCell ref="O3540:P3540"/>
    <mergeCell ref="I3542:I3543"/>
    <mergeCell ref="J3542:J3543"/>
    <mergeCell ref="K3542:K3545"/>
    <mergeCell ref="L3542:L3543"/>
    <mergeCell ref="M3542:M3543"/>
    <mergeCell ref="N3542:N3543"/>
    <mergeCell ref="I3544:I3545"/>
    <mergeCell ref="J3544:J3545"/>
    <mergeCell ref="L3544:L3545"/>
    <mergeCell ref="M3544:M3545"/>
    <mergeCell ref="N3544:N3545"/>
    <mergeCell ref="I3510:I3511"/>
    <mergeCell ref="J3510:J3511"/>
    <mergeCell ref="K3510:K3511"/>
    <mergeCell ref="L3510:L3511"/>
    <mergeCell ref="M3510:M3511"/>
    <mergeCell ref="N3510:N3511"/>
    <mergeCell ref="I3512:I3513"/>
    <mergeCell ref="J3512:J3513"/>
    <mergeCell ref="K3512:K3513"/>
    <mergeCell ref="L3512:L3513"/>
    <mergeCell ref="M3512:M3513"/>
    <mergeCell ref="N3512:N3513"/>
    <mergeCell ref="I3514:M3514"/>
    <mergeCell ref="I3515:M3515"/>
    <mergeCell ref="I3516:M3516"/>
    <mergeCell ref="I3522:L3522"/>
    <mergeCell ref="K3506:K3509"/>
    <mergeCell ref="I3504:I3505"/>
    <mergeCell ref="J3504:J3505"/>
    <mergeCell ref="K3504:K3505"/>
    <mergeCell ref="L3504:L3505"/>
    <mergeCell ref="M3504:M3505"/>
    <mergeCell ref="N3504:N3505"/>
    <mergeCell ref="O3504:P3504"/>
    <mergeCell ref="I3506:I3507"/>
    <mergeCell ref="J3506:J3507"/>
    <mergeCell ref="L3506:L3507"/>
    <mergeCell ref="M3506:M3507"/>
    <mergeCell ref="N3506:N3507"/>
    <mergeCell ref="I3508:I3509"/>
    <mergeCell ref="J3508:J3509"/>
    <mergeCell ref="L3508:L3509"/>
    <mergeCell ref="M3508:M3509"/>
    <mergeCell ref="N3508:N3509"/>
    <mergeCell ref="I3474:I3475"/>
    <mergeCell ref="J3474:J3475"/>
    <mergeCell ref="K3474:K3475"/>
    <mergeCell ref="L3474:L3475"/>
    <mergeCell ref="M3474:M3475"/>
    <mergeCell ref="N3474:N3475"/>
    <mergeCell ref="I3476:I3477"/>
    <mergeCell ref="J3476:J3477"/>
    <mergeCell ref="K3476:K3477"/>
    <mergeCell ref="L3476:L3477"/>
    <mergeCell ref="M3476:M3477"/>
    <mergeCell ref="N3476:N3477"/>
    <mergeCell ref="I3478:M3478"/>
    <mergeCell ref="I3479:M3479"/>
    <mergeCell ref="I3480:M3480"/>
    <mergeCell ref="I3486:L3486"/>
    <mergeCell ref="I3502:P3502"/>
    <mergeCell ref="I3466:P3466"/>
    <mergeCell ref="I3468:I3469"/>
    <mergeCell ref="J3468:J3469"/>
    <mergeCell ref="K3468:K3469"/>
    <mergeCell ref="L3468:L3469"/>
    <mergeCell ref="M3468:M3469"/>
    <mergeCell ref="N3468:N3469"/>
    <mergeCell ref="O3468:P3468"/>
    <mergeCell ref="I3470:I3471"/>
    <mergeCell ref="J3470:J3471"/>
    <mergeCell ref="K3470:K3471"/>
    <mergeCell ref="L3470:L3471"/>
    <mergeCell ref="M3470:M3471"/>
    <mergeCell ref="N3470:N3471"/>
    <mergeCell ref="I3472:I3473"/>
    <mergeCell ref="J3472:J3473"/>
    <mergeCell ref="K3472:K3473"/>
    <mergeCell ref="L3472:L3473"/>
    <mergeCell ref="M3472:M3473"/>
    <mergeCell ref="N3472:N3473"/>
    <mergeCell ref="I3435:I3436"/>
    <mergeCell ref="J3435:J3436"/>
    <mergeCell ref="L3435:L3436"/>
    <mergeCell ref="M3435:M3436"/>
    <mergeCell ref="N3435:N3436"/>
    <mergeCell ref="I3441:I3442"/>
    <mergeCell ref="J3441:J3442"/>
    <mergeCell ref="L3441:L3442"/>
    <mergeCell ref="M3441:M3442"/>
    <mergeCell ref="N3441:N3442"/>
    <mergeCell ref="I3443:M3443"/>
    <mergeCell ref="I3444:M3444"/>
    <mergeCell ref="I3445:M3445"/>
    <mergeCell ref="I3451:L3451"/>
    <mergeCell ref="I3439:I3440"/>
    <mergeCell ref="J3439:J3440"/>
    <mergeCell ref="L3439:L3440"/>
    <mergeCell ref="M3439:M3440"/>
    <mergeCell ref="N3439:N3440"/>
    <mergeCell ref="I3437:I3438"/>
    <mergeCell ref="J3437:J3438"/>
    <mergeCell ref="L3437:L3438"/>
    <mergeCell ref="M3437:M3438"/>
    <mergeCell ref="N3437:N3438"/>
    <mergeCell ref="I3427:P3427"/>
    <mergeCell ref="I3429:I3430"/>
    <mergeCell ref="J3429:J3430"/>
    <mergeCell ref="K3429:K3430"/>
    <mergeCell ref="L3429:L3430"/>
    <mergeCell ref="M3429:M3430"/>
    <mergeCell ref="N3429:N3430"/>
    <mergeCell ref="O3429:P3429"/>
    <mergeCell ref="I3431:I3432"/>
    <mergeCell ref="J3431:J3432"/>
    <mergeCell ref="L3431:L3432"/>
    <mergeCell ref="M3431:M3432"/>
    <mergeCell ref="N3431:N3432"/>
    <mergeCell ref="I3433:I3434"/>
    <mergeCell ref="J3433:J3434"/>
    <mergeCell ref="L3433:L3434"/>
    <mergeCell ref="M3433:M3434"/>
    <mergeCell ref="N3433:N3434"/>
    <mergeCell ref="I3399:I3400"/>
    <mergeCell ref="J3399:J3400"/>
    <mergeCell ref="K3399:K3400"/>
    <mergeCell ref="L3399:L3400"/>
    <mergeCell ref="M3399:M3400"/>
    <mergeCell ref="N3399:N3400"/>
    <mergeCell ref="I3401:I3402"/>
    <mergeCell ref="J3401:J3402"/>
    <mergeCell ref="K3401:K3402"/>
    <mergeCell ref="L3401:L3402"/>
    <mergeCell ref="M3401:M3402"/>
    <mergeCell ref="N3401:N3402"/>
    <mergeCell ref="I3403:M3403"/>
    <mergeCell ref="I3404:M3404"/>
    <mergeCell ref="I3405:M3405"/>
    <mergeCell ref="I3411:L3411"/>
    <mergeCell ref="I3391:P3391"/>
    <mergeCell ref="I3393:I3394"/>
    <mergeCell ref="J3393:J3394"/>
    <mergeCell ref="K3393:K3394"/>
    <mergeCell ref="L3393:L3394"/>
    <mergeCell ref="M3393:M3394"/>
    <mergeCell ref="N3393:N3394"/>
    <mergeCell ref="O3393:P3393"/>
    <mergeCell ref="I3395:I3396"/>
    <mergeCell ref="J3395:J3396"/>
    <mergeCell ref="K3395:K3396"/>
    <mergeCell ref="L3395:L3396"/>
    <mergeCell ref="M3395:M3396"/>
    <mergeCell ref="N3395:N3396"/>
    <mergeCell ref="I3397:I3398"/>
    <mergeCell ref="J3397:J3398"/>
    <mergeCell ref="K3397:K3398"/>
    <mergeCell ref="L3397:L3398"/>
    <mergeCell ref="M3397:M3398"/>
    <mergeCell ref="N3397:N3398"/>
    <mergeCell ref="I3367:M3367"/>
    <mergeCell ref="I3368:M3368"/>
    <mergeCell ref="I3369:M3369"/>
    <mergeCell ref="I3375:L3375"/>
    <mergeCell ref="K3326:K3327"/>
    <mergeCell ref="L3326:L3327"/>
    <mergeCell ref="J3326:J3327"/>
    <mergeCell ref="I3326:I3327"/>
    <mergeCell ref="N3326:N3327"/>
    <mergeCell ref="M3326:M3327"/>
    <mergeCell ref="I3363:I3364"/>
    <mergeCell ref="J3363:J3364"/>
    <mergeCell ref="K3363:K3364"/>
    <mergeCell ref="L3363:L3364"/>
    <mergeCell ref="M3363:M3364"/>
    <mergeCell ref="N3363:N3364"/>
    <mergeCell ref="I3365:I3366"/>
    <mergeCell ref="J3365:J3366"/>
    <mergeCell ref="K3365:K3366"/>
    <mergeCell ref="L3365:L3366"/>
    <mergeCell ref="M3365:M3366"/>
    <mergeCell ref="N3365:N3366"/>
    <mergeCell ref="I3355:P3355"/>
    <mergeCell ref="I3357:I3358"/>
    <mergeCell ref="J3357:J3358"/>
    <mergeCell ref="K3357:K3358"/>
    <mergeCell ref="L3357:L3358"/>
    <mergeCell ref="M3357:M3358"/>
    <mergeCell ref="N3357:N3358"/>
    <mergeCell ref="O3357:P3357"/>
    <mergeCell ref="I3359:I3360"/>
    <mergeCell ref="J3359:J3360"/>
    <mergeCell ref="K3359:K3360"/>
    <mergeCell ref="L3359:L3360"/>
    <mergeCell ref="M3359:M3360"/>
    <mergeCell ref="N3359:N3360"/>
    <mergeCell ref="I3361:I3362"/>
    <mergeCell ref="J3361:J3362"/>
    <mergeCell ref="K3361:K3362"/>
    <mergeCell ref="L3361:L3362"/>
    <mergeCell ref="M3361:M3362"/>
    <mergeCell ref="N3361:N3362"/>
    <mergeCell ref="I3328:I3329"/>
    <mergeCell ref="J3328:J3329"/>
    <mergeCell ref="K3328:K3329"/>
    <mergeCell ref="L3328:L3329"/>
    <mergeCell ref="M3328:M3329"/>
    <mergeCell ref="N3328:N3329"/>
    <mergeCell ref="I3330:I3331"/>
    <mergeCell ref="J3330:J3331"/>
    <mergeCell ref="K3330:K3331"/>
    <mergeCell ref="L3330:L3331"/>
    <mergeCell ref="M3330:M3331"/>
    <mergeCell ref="N3330:N3331"/>
    <mergeCell ref="I3332:M3332"/>
    <mergeCell ref="I3333:M3333"/>
    <mergeCell ref="I3334:M3334"/>
    <mergeCell ref="I3340:L3340"/>
    <mergeCell ref="K3320:K3321"/>
    <mergeCell ref="K3322:K3323"/>
    <mergeCell ref="I3324:I3325"/>
    <mergeCell ref="J3324:J3325"/>
    <mergeCell ref="K3324:K3325"/>
    <mergeCell ref="L3324:L3325"/>
    <mergeCell ref="M3324:M3325"/>
    <mergeCell ref="N3324:N3325"/>
    <mergeCell ref="I3316:P3316"/>
    <mergeCell ref="I3318:I3319"/>
    <mergeCell ref="J3318:J3319"/>
    <mergeCell ref="K3318:K3319"/>
    <mergeCell ref="L3318:L3319"/>
    <mergeCell ref="M3318:M3319"/>
    <mergeCell ref="N3318:N3319"/>
    <mergeCell ref="O3318:P3318"/>
    <mergeCell ref="I3320:I3321"/>
    <mergeCell ref="J3320:J3321"/>
    <mergeCell ref="L3320:L3321"/>
    <mergeCell ref="M3320:M3321"/>
    <mergeCell ref="N3320:N3321"/>
    <mergeCell ref="I3322:I3323"/>
    <mergeCell ref="J3322:J3323"/>
    <mergeCell ref="L3322:L3323"/>
    <mergeCell ref="M3322:M3323"/>
    <mergeCell ref="N3322:N3323"/>
    <mergeCell ref="L3289:L3290"/>
    <mergeCell ref="M3289:M3290"/>
    <mergeCell ref="N3289:N3290"/>
    <mergeCell ref="I3291:I3292"/>
    <mergeCell ref="J3291:J3292"/>
    <mergeCell ref="K3291:K3292"/>
    <mergeCell ref="L3291:L3292"/>
    <mergeCell ref="M3291:M3292"/>
    <mergeCell ref="N3291:N3292"/>
    <mergeCell ref="I3295:M3295"/>
    <mergeCell ref="I3301:L3301"/>
    <mergeCell ref="K3285:K3288"/>
    <mergeCell ref="I3210:P3210"/>
    <mergeCell ref="I3293:M3293"/>
    <mergeCell ref="I3294:M3294"/>
    <mergeCell ref="I3281:P3281"/>
    <mergeCell ref="I3283:I3284"/>
    <mergeCell ref="J3283:J3284"/>
    <mergeCell ref="K3283:K3284"/>
    <mergeCell ref="L3283:L3284"/>
    <mergeCell ref="M3283:M3284"/>
    <mergeCell ref="N3283:N3284"/>
    <mergeCell ref="O3283:P3283"/>
    <mergeCell ref="I3285:I3286"/>
    <mergeCell ref="J3285:J3286"/>
    <mergeCell ref="L3285:L3286"/>
    <mergeCell ref="M3285:M3286"/>
    <mergeCell ref="N3285:N3286"/>
    <mergeCell ref="I3287:I3288"/>
    <mergeCell ref="M3175:M3176"/>
    <mergeCell ref="N3175:N3176"/>
    <mergeCell ref="I3179:I3180"/>
    <mergeCell ref="J3179:J3180"/>
    <mergeCell ref="K3179:K3180"/>
    <mergeCell ref="J3287:J3288"/>
    <mergeCell ref="L3287:L3288"/>
    <mergeCell ref="M3287:M3288"/>
    <mergeCell ref="N3287:N3288"/>
    <mergeCell ref="I3218:I3219"/>
    <mergeCell ref="J3218:J3219"/>
    <mergeCell ref="K3218:K3219"/>
    <mergeCell ref="L3218:L3219"/>
    <mergeCell ref="M3218:M3219"/>
    <mergeCell ref="N3218:N3219"/>
    <mergeCell ref="I3220:I3221"/>
    <mergeCell ref="J3220:J3221"/>
    <mergeCell ref="K3220:K3221"/>
    <mergeCell ref="L3220:L3221"/>
    <mergeCell ref="M3220:M3221"/>
    <mergeCell ref="N3220:N3221"/>
    <mergeCell ref="I3245:P3245"/>
    <mergeCell ref="K3251:K3252"/>
    <mergeCell ref="L3251:L3252"/>
    <mergeCell ref="M3251:M3252"/>
    <mergeCell ref="N3251:N3252"/>
    <mergeCell ref="I3230:L3230"/>
    <mergeCell ref="I3253:I3254"/>
    <mergeCell ref="J3253:J3254"/>
    <mergeCell ref="K3253:K3254"/>
    <mergeCell ref="L3253:L3254"/>
    <mergeCell ref="M3253:M3254"/>
    <mergeCell ref="I3146:I3147"/>
    <mergeCell ref="J3146:J3147"/>
    <mergeCell ref="K3146:K3147"/>
    <mergeCell ref="L3146:L3147"/>
    <mergeCell ref="M3146:M3147"/>
    <mergeCell ref="N3146:N3147"/>
    <mergeCell ref="I3148:M3148"/>
    <mergeCell ref="I3149:M3149"/>
    <mergeCell ref="I3150:M3150"/>
    <mergeCell ref="I3156:L3156"/>
    <mergeCell ref="I3171:P3171"/>
    <mergeCell ref="I3173:I3174"/>
    <mergeCell ref="J3173:J3174"/>
    <mergeCell ref="K3173:K3174"/>
    <mergeCell ref="L3173:L3174"/>
    <mergeCell ref="M3173:M3174"/>
    <mergeCell ref="N3173:N3174"/>
    <mergeCell ref="O3173:P3173"/>
    <mergeCell ref="I3140:I3141"/>
    <mergeCell ref="J3140:J3141"/>
    <mergeCell ref="K3140:K3141"/>
    <mergeCell ref="L3140:L3141"/>
    <mergeCell ref="M3140:M3141"/>
    <mergeCell ref="N3140:N3141"/>
    <mergeCell ref="I3142:I3143"/>
    <mergeCell ref="J3142:J3143"/>
    <mergeCell ref="K3142:K3143"/>
    <mergeCell ref="L3142:L3143"/>
    <mergeCell ref="M3142:M3143"/>
    <mergeCell ref="N3142:N3143"/>
    <mergeCell ref="I3144:I3145"/>
    <mergeCell ref="J3144:J3145"/>
    <mergeCell ref="K3144:K3145"/>
    <mergeCell ref="L3144:L3145"/>
    <mergeCell ref="M3144:M3145"/>
    <mergeCell ref="N3144:N3145"/>
    <mergeCell ref="I3111:M3111"/>
    <mergeCell ref="I3112:M3112"/>
    <mergeCell ref="I3113:M3113"/>
    <mergeCell ref="I3119:L3119"/>
    <mergeCell ref="I3134:P3134"/>
    <mergeCell ref="I3136:I3137"/>
    <mergeCell ref="J3136:J3137"/>
    <mergeCell ref="K3136:K3137"/>
    <mergeCell ref="L3136:L3137"/>
    <mergeCell ref="M3136:M3137"/>
    <mergeCell ref="N3136:N3137"/>
    <mergeCell ref="O3136:P3136"/>
    <mergeCell ref="I3138:I3139"/>
    <mergeCell ref="J3138:J3139"/>
    <mergeCell ref="K3138:K3139"/>
    <mergeCell ref="L3138:L3139"/>
    <mergeCell ref="M3138:M3139"/>
    <mergeCell ref="N3138:N3139"/>
    <mergeCell ref="I3105:I3106"/>
    <mergeCell ref="J3105:J3106"/>
    <mergeCell ref="K3105:K3106"/>
    <mergeCell ref="L3105:L3106"/>
    <mergeCell ref="M3105:M3106"/>
    <mergeCell ref="N3105:N3106"/>
    <mergeCell ref="I3107:I3108"/>
    <mergeCell ref="J3107:J3108"/>
    <mergeCell ref="K3107:K3108"/>
    <mergeCell ref="L3107:L3108"/>
    <mergeCell ref="M3107:M3108"/>
    <mergeCell ref="N3107:N3108"/>
    <mergeCell ref="I3109:I3110"/>
    <mergeCell ref="J3109:J3110"/>
    <mergeCell ref="K3109:K3110"/>
    <mergeCell ref="L3109:L3110"/>
    <mergeCell ref="M3109:M3110"/>
    <mergeCell ref="N3109:N3110"/>
    <mergeCell ref="I3097:P3097"/>
    <mergeCell ref="I3099:I3100"/>
    <mergeCell ref="J3099:J3100"/>
    <mergeCell ref="K3099:K3100"/>
    <mergeCell ref="L3099:L3100"/>
    <mergeCell ref="M3099:M3100"/>
    <mergeCell ref="N3099:N3100"/>
    <mergeCell ref="O3099:P3099"/>
    <mergeCell ref="I3101:I3102"/>
    <mergeCell ref="J3101:J3102"/>
    <mergeCell ref="K3101:K3102"/>
    <mergeCell ref="L3101:L3102"/>
    <mergeCell ref="M3101:M3102"/>
    <mergeCell ref="N3101:N3102"/>
    <mergeCell ref="I3103:I3104"/>
    <mergeCell ref="J3103:J3104"/>
    <mergeCell ref="K3103:K3104"/>
    <mergeCell ref="L3103:L3104"/>
    <mergeCell ref="M3103:M3104"/>
    <mergeCell ref="N3103:N3104"/>
    <mergeCell ref="I3037:M3037"/>
    <mergeCell ref="I3038:M3038"/>
    <mergeCell ref="I3039:M3039"/>
    <mergeCell ref="I3045:L3045"/>
    <mergeCell ref="I3031:I3032"/>
    <mergeCell ref="J3031:J3032"/>
    <mergeCell ref="K3031:K3032"/>
    <mergeCell ref="L3031:L3032"/>
    <mergeCell ref="M3031:M3032"/>
    <mergeCell ref="N3031:N3032"/>
    <mergeCell ref="I3033:I3034"/>
    <mergeCell ref="J3033:J3034"/>
    <mergeCell ref="K3033:K3034"/>
    <mergeCell ref="L3033:L3034"/>
    <mergeCell ref="M3033:M3034"/>
    <mergeCell ref="N3033:N3034"/>
    <mergeCell ref="I3035:I3036"/>
    <mergeCell ref="J3035:J3036"/>
    <mergeCell ref="K3035:K3036"/>
    <mergeCell ref="L3035:L3036"/>
    <mergeCell ref="M3035:M3036"/>
    <mergeCell ref="N3035:N3036"/>
    <mergeCell ref="I3023:P3023"/>
    <mergeCell ref="I3025:I3026"/>
    <mergeCell ref="J3025:J3026"/>
    <mergeCell ref="K3025:K3026"/>
    <mergeCell ref="L3025:L3026"/>
    <mergeCell ref="M3025:M3026"/>
    <mergeCell ref="N3025:N3026"/>
    <mergeCell ref="O3025:P3025"/>
    <mergeCell ref="I3027:I3028"/>
    <mergeCell ref="J3027:J3028"/>
    <mergeCell ref="K3027:K3028"/>
    <mergeCell ref="L3027:L3028"/>
    <mergeCell ref="M3027:M3028"/>
    <mergeCell ref="N3027:N3028"/>
    <mergeCell ref="I3029:I3030"/>
    <mergeCell ref="J3029:J3030"/>
    <mergeCell ref="K3029:K3030"/>
    <mergeCell ref="L3029:L3030"/>
    <mergeCell ref="M3029:M3030"/>
    <mergeCell ref="N3029:N3030"/>
    <mergeCell ref="I2926:M2926"/>
    <mergeCell ref="I2927:M2927"/>
    <mergeCell ref="I2928:M2928"/>
    <mergeCell ref="I2934:L2934"/>
    <mergeCell ref="I2920:I2921"/>
    <mergeCell ref="J2920:J2921"/>
    <mergeCell ref="K2920:K2921"/>
    <mergeCell ref="L2920:L2921"/>
    <mergeCell ref="M2920:M2921"/>
    <mergeCell ref="N2920:N2921"/>
    <mergeCell ref="I2922:I2923"/>
    <mergeCell ref="J2922:J2923"/>
    <mergeCell ref="K2922:K2923"/>
    <mergeCell ref="L2922:L2923"/>
    <mergeCell ref="M2922:M2923"/>
    <mergeCell ref="N2922:N2923"/>
    <mergeCell ref="I2924:I2925"/>
    <mergeCell ref="J2924:J2925"/>
    <mergeCell ref="K2924:K2925"/>
    <mergeCell ref="L2924:L2925"/>
    <mergeCell ref="M2924:M2925"/>
    <mergeCell ref="N2924:N2925"/>
    <mergeCell ref="I2912:P2912"/>
    <mergeCell ref="I2914:I2915"/>
    <mergeCell ref="J2914:J2915"/>
    <mergeCell ref="K2914:K2915"/>
    <mergeCell ref="L2914:L2915"/>
    <mergeCell ref="M2914:M2915"/>
    <mergeCell ref="N2914:N2915"/>
    <mergeCell ref="O2914:P2914"/>
    <mergeCell ref="I2916:I2917"/>
    <mergeCell ref="J2916:J2917"/>
    <mergeCell ref="K2916:K2917"/>
    <mergeCell ref="L2916:L2917"/>
    <mergeCell ref="M2916:M2917"/>
    <mergeCell ref="N2916:N2917"/>
    <mergeCell ref="I2918:I2919"/>
    <mergeCell ref="J2918:J2919"/>
    <mergeCell ref="K2918:K2919"/>
    <mergeCell ref="L2918:L2919"/>
    <mergeCell ref="M2918:M2919"/>
    <mergeCell ref="N2918:N2919"/>
    <mergeCell ref="I2852:M2852"/>
    <mergeCell ref="I2853:M2853"/>
    <mergeCell ref="I2854:M2854"/>
    <mergeCell ref="I2860:L2860"/>
    <mergeCell ref="I2846:I2847"/>
    <mergeCell ref="J2846:J2847"/>
    <mergeCell ref="K2846:K2847"/>
    <mergeCell ref="L2846:L2847"/>
    <mergeCell ref="M2846:M2847"/>
    <mergeCell ref="N2846:N2847"/>
    <mergeCell ref="I2848:I2849"/>
    <mergeCell ref="J2848:J2849"/>
    <mergeCell ref="K2848:K2849"/>
    <mergeCell ref="L2848:L2849"/>
    <mergeCell ref="M2848:M2849"/>
    <mergeCell ref="N2848:N2849"/>
    <mergeCell ref="I2850:I2851"/>
    <mergeCell ref="J2850:J2851"/>
    <mergeCell ref="K2850:K2851"/>
    <mergeCell ref="L2850:L2851"/>
    <mergeCell ref="M2850:M2851"/>
    <mergeCell ref="N2850:N2851"/>
    <mergeCell ref="I2840:I2841"/>
    <mergeCell ref="J2840:J2841"/>
    <mergeCell ref="K2840:K2841"/>
    <mergeCell ref="L2840:L2841"/>
    <mergeCell ref="M2840:M2841"/>
    <mergeCell ref="N2840:N2841"/>
    <mergeCell ref="I2842:I2843"/>
    <mergeCell ref="J2842:J2843"/>
    <mergeCell ref="K2842:K2843"/>
    <mergeCell ref="L2842:L2843"/>
    <mergeCell ref="M2842:M2843"/>
    <mergeCell ref="N2842:N2843"/>
    <mergeCell ref="I2844:I2845"/>
    <mergeCell ref="J2844:J2845"/>
    <mergeCell ref="K2844:K2845"/>
    <mergeCell ref="L2844:L2845"/>
    <mergeCell ref="M2844:M2845"/>
    <mergeCell ref="N2844:N2845"/>
    <mergeCell ref="I2811:I2812"/>
    <mergeCell ref="J2811:J2812"/>
    <mergeCell ref="K2811:K2812"/>
    <mergeCell ref="L2811:L2812"/>
    <mergeCell ref="M2811:M2812"/>
    <mergeCell ref="N2811:N2812"/>
    <mergeCell ref="I2813:M2813"/>
    <mergeCell ref="I2814:M2814"/>
    <mergeCell ref="I2815:M2815"/>
    <mergeCell ref="I2821:L2821"/>
    <mergeCell ref="I2836:P2836"/>
    <mergeCell ref="I2838:I2839"/>
    <mergeCell ref="J2838:J2839"/>
    <mergeCell ref="K2838:K2839"/>
    <mergeCell ref="L2838:L2839"/>
    <mergeCell ref="M2838:M2839"/>
    <mergeCell ref="N2838:N2839"/>
    <mergeCell ref="O2838:P2838"/>
    <mergeCell ref="I2805:I2806"/>
    <mergeCell ref="J2805:J2806"/>
    <mergeCell ref="K2805:K2806"/>
    <mergeCell ref="L2805:L2806"/>
    <mergeCell ref="M2805:M2806"/>
    <mergeCell ref="N2805:N2806"/>
    <mergeCell ref="I2807:I2808"/>
    <mergeCell ref="J2807:J2808"/>
    <mergeCell ref="K2807:K2808"/>
    <mergeCell ref="L2807:L2808"/>
    <mergeCell ref="M2807:M2808"/>
    <mergeCell ref="N2807:N2808"/>
    <mergeCell ref="I2809:I2810"/>
    <mergeCell ref="J2809:J2810"/>
    <mergeCell ref="K2809:K2810"/>
    <mergeCell ref="L2809:L2810"/>
    <mergeCell ref="M2809:M2810"/>
    <mergeCell ref="N2809:N2810"/>
    <mergeCell ref="I2799:I2800"/>
    <mergeCell ref="J2799:J2800"/>
    <mergeCell ref="K2799:K2800"/>
    <mergeCell ref="L2799:L2800"/>
    <mergeCell ref="M2799:M2800"/>
    <mergeCell ref="N2799:N2800"/>
    <mergeCell ref="O2799:P2799"/>
    <mergeCell ref="I2801:I2802"/>
    <mergeCell ref="J2801:J2802"/>
    <mergeCell ref="K2801:K2802"/>
    <mergeCell ref="L2801:L2802"/>
    <mergeCell ref="M2801:M2802"/>
    <mergeCell ref="N2801:N2802"/>
    <mergeCell ref="I2803:I2804"/>
    <mergeCell ref="J2803:J2804"/>
    <mergeCell ref="K2803:K2804"/>
    <mergeCell ref="L2803:L2804"/>
    <mergeCell ref="M2803:M2804"/>
    <mergeCell ref="N2803:N2804"/>
    <mergeCell ref="I2797:P2797"/>
    <mergeCell ref="I2386:P2386"/>
    <mergeCell ref="I2388:I2389"/>
    <mergeCell ref="J2388:J2389"/>
    <mergeCell ref="K2388:K2389"/>
    <mergeCell ref="I2363:M2363"/>
    <mergeCell ref="I2364:M2364"/>
    <mergeCell ref="I2365:M2365"/>
    <mergeCell ref="I2371:L2371"/>
    <mergeCell ref="I2357:I2358"/>
    <mergeCell ref="J2357:J2358"/>
    <mergeCell ref="K2357:K2358"/>
    <mergeCell ref="L2357:L2358"/>
    <mergeCell ref="M2357:M2358"/>
    <mergeCell ref="N2357:N2358"/>
    <mergeCell ref="I2359:I2360"/>
    <mergeCell ref="J2359:J2360"/>
    <mergeCell ref="K2359:K2360"/>
    <mergeCell ref="L2359:L2360"/>
    <mergeCell ref="M2359:M2360"/>
    <mergeCell ref="N2359:N2360"/>
    <mergeCell ref="I2361:I2362"/>
    <mergeCell ref="J2361:J2362"/>
    <mergeCell ref="K2361:K2362"/>
    <mergeCell ref="L2361:L2362"/>
    <mergeCell ref="M2361:M2362"/>
    <mergeCell ref="N2361:N2362"/>
    <mergeCell ref="L2388:L2389"/>
    <mergeCell ref="M2388:M2389"/>
    <mergeCell ref="N2388:N2389"/>
    <mergeCell ref="O2388:P2388"/>
    <mergeCell ref="I2390:I2391"/>
    <mergeCell ref="I2349:P2349"/>
    <mergeCell ref="I2351:I2352"/>
    <mergeCell ref="J2351:J2352"/>
    <mergeCell ref="K2351:K2352"/>
    <mergeCell ref="L2351:L2352"/>
    <mergeCell ref="M2351:M2352"/>
    <mergeCell ref="N2351:N2352"/>
    <mergeCell ref="O2351:P2351"/>
    <mergeCell ref="I2353:I2354"/>
    <mergeCell ref="J2353:J2354"/>
    <mergeCell ref="K2353:K2354"/>
    <mergeCell ref="L2353:L2354"/>
    <mergeCell ref="M2353:M2354"/>
    <mergeCell ref="N2353:N2354"/>
    <mergeCell ref="I2355:I2356"/>
    <mergeCell ref="J2355:J2356"/>
    <mergeCell ref="K2355:K2356"/>
    <mergeCell ref="L2355:L2356"/>
    <mergeCell ref="M2355:M2356"/>
    <mergeCell ref="N2355:N2356"/>
    <mergeCell ref="I2322:I2323"/>
    <mergeCell ref="J2322:J2323"/>
    <mergeCell ref="K2322:K2323"/>
    <mergeCell ref="L2322:L2323"/>
    <mergeCell ref="M2322:M2323"/>
    <mergeCell ref="N2322:N2323"/>
    <mergeCell ref="I2324:I2325"/>
    <mergeCell ref="J2324:J2325"/>
    <mergeCell ref="K2324:K2325"/>
    <mergeCell ref="L2324:L2325"/>
    <mergeCell ref="M2324:M2325"/>
    <mergeCell ref="N2324:N2325"/>
    <mergeCell ref="I2326:M2326"/>
    <mergeCell ref="I2327:M2327"/>
    <mergeCell ref="I2328:M2328"/>
    <mergeCell ref="I2334:L2334"/>
    <mergeCell ref="I2312:P2312"/>
    <mergeCell ref="I2314:I2315"/>
    <mergeCell ref="J2314:J2315"/>
    <mergeCell ref="K2314:K2315"/>
    <mergeCell ref="L2314:L2315"/>
    <mergeCell ref="M2314:M2315"/>
    <mergeCell ref="N2314:N2315"/>
    <mergeCell ref="O2314:P2314"/>
    <mergeCell ref="I2316:I2317"/>
    <mergeCell ref="J2316:J2317"/>
    <mergeCell ref="K2316:K2317"/>
    <mergeCell ref="L2316:L2317"/>
    <mergeCell ref="M2316:M2317"/>
    <mergeCell ref="N2316:N2317"/>
    <mergeCell ref="I2318:I2319"/>
    <mergeCell ref="J2318:J2319"/>
    <mergeCell ref="K2318:K2319"/>
    <mergeCell ref="L2318:L2319"/>
    <mergeCell ref="M2318:M2319"/>
    <mergeCell ref="N2318:N2319"/>
    <mergeCell ref="I2320:I2321"/>
    <mergeCell ref="J2320:J2321"/>
    <mergeCell ref="K2320:K2321"/>
    <mergeCell ref="L2320:L2321"/>
    <mergeCell ref="M2320:M2321"/>
    <mergeCell ref="N2320:N2321"/>
    <mergeCell ref="I2287:I2288"/>
    <mergeCell ref="J2287:J2288"/>
    <mergeCell ref="K2287:K2288"/>
    <mergeCell ref="L2287:L2288"/>
    <mergeCell ref="M2287:M2288"/>
    <mergeCell ref="N2287:N2288"/>
    <mergeCell ref="I2289:M2289"/>
    <mergeCell ref="I2290:M2290"/>
    <mergeCell ref="I2291:M2291"/>
    <mergeCell ref="I2297:L2297"/>
    <mergeCell ref="I2281:I2282"/>
    <mergeCell ref="J2281:J2282"/>
    <mergeCell ref="K2281:K2282"/>
    <mergeCell ref="L2281:L2282"/>
    <mergeCell ref="M2281:M2282"/>
    <mergeCell ref="N2281:N2282"/>
    <mergeCell ref="I2283:I2284"/>
    <mergeCell ref="J2283:J2284"/>
    <mergeCell ref="K2283:K2284"/>
    <mergeCell ref="L2283:L2284"/>
    <mergeCell ref="M2283:M2284"/>
    <mergeCell ref="N2283:N2284"/>
    <mergeCell ref="I2285:I2286"/>
    <mergeCell ref="J2285:J2286"/>
    <mergeCell ref="K2285:K2286"/>
    <mergeCell ref="L2285:L2286"/>
    <mergeCell ref="M2285:M2286"/>
    <mergeCell ref="N2285:N2286"/>
    <mergeCell ref="I2252:M2252"/>
    <mergeCell ref="I2253:M2253"/>
    <mergeCell ref="I2254:M2254"/>
    <mergeCell ref="I2260:L2260"/>
    <mergeCell ref="I2275:P2275"/>
    <mergeCell ref="I2277:I2278"/>
    <mergeCell ref="J2277:J2278"/>
    <mergeCell ref="K2277:K2278"/>
    <mergeCell ref="L2277:L2278"/>
    <mergeCell ref="M2277:M2278"/>
    <mergeCell ref="N2277:N2278"/>
    <mergeCell ref="O2277:P2277"/>
    <mergeCell ref="I2279:I2280"/>
    <mergeCell ref="J2279:J2280"/>
    <mergeCell ref="K2279:K2280"/>
    <mergeCell ref="L2279:L2280"/>
    <mergeCell ref="M2279:M2280"/>
    <mergeCell ref="N2279:N2280"/>
    <mergeCell ref="I2246:I2247"/>
    <mergeCell ref="J2246:J2247"/>
    <mergeCell ref="K2246:K2247"/>
    <mergeCell ref="L2246:L2247"/>
    <mergeCell ref="M2246:M2247"/>
    <mergeCell ref="N2246:N2247"/>
    <mergeCell ref="I2248:I2249"/>
    <mergeCell ref="J2248:J2249"/>
    <mergeCell ref="K2248:K2249"/>
    <mergeCell ref="L2248:L2249"/>
    <mergeCell ref="M2248:M2249"/>
    <mergeCell ref="N2248:N2249"/>
    <mergeCell ref="I2250:I2251"/>
    <mergeCell ref="J2250:J2251"/>
    <mergeCell ref="K2250:K2251"/>
    <mergeCell ref="L2250:L2251"/>
    <mergeCell ref="M2250:M2251"/>
    <mergeCell ref="N2250:N2251"/>
    <mergeCell ref="I2238:P2238"/>
    <mergeCell ref="I2240:I2241"/>
    <mergeCell ref="J2240:J2241"/>
    <mergeCell ref="K2240:K2241"/>
    <mergeCell ref="L2240:L2241"/>
    <mergeCell ref="M2240:M2241"/>
    <mergeCell ref="N2240:N2241"/>
    <mergeCell ref="O2240:P2240"/>
    <mergeCell ref="I2242:I2243"/>
    <mergeCell ref="J2242:J2243"/>
    <mergeCell ref="K2242:K2243"/>
    <mergeCell ref="L2242:L2243"/>
    <mergeCell ref="M2242:M2243"/>
    <mergeCell ref="N2242:N2243"/>
    <mergeCell ref="I2244:I2245"/>
    <mergeCell ref="J2244:J2245"/>
    <mergeCell ref="K2244:K2245"/>
    <mergeCell ref="L2244:L2245"/>
    <mergeCell ref="M2244:M2245"/>
    <mergeCell ref="N2244:N2245"/>
    <mergeCell ref="I2213:I2214"/>
    <mergeCell ref="J2213:J2214"/>
    <mergeCell ref="K2213:K2214"/>
    <mergeCell ref="L2213:L2214"/>
    <mergeCell ref="M2213:M2214"/>
    <mergeCell ref="N2213:N2214"/>
    <mergeCell ref="I2215:M2215"/>
    <mergeCell ref="I2216:M2216"/>
    <mergeCell ref="I2217:M2217"/>
    <mergeCell ref="I2223:L2223"/>
    <mergeCell ref="I2209:I2210"/>
    <mergeCell ref="J2209:J2210"/>
    <mergeCell ref="K2209:K2210"/>
    <mergeCell ref="L2209:L2210"/>
    <mergeCell ref="M2209:M2210"/>
    <mergeCell ref="N2209:N2210"/>
    <mergeCell ref="I2211:I2212"/>
    <mergeCell ref="J2211:J2212"/>
    <mergeCell ref="K2211:K2212"/>
    <mergeCell ref="L2211:L2212"/>
    <mergeCell ref="M2211:M2212"/>
    <mergeCell ref="N2211:N2212"/>
    <mergeCell ref="I2201:P2201"/>
    <mergeCell ref="I2203:I2204"/>
    <mergeCell ref="J2203:J2204"/>
    <mergeCell ref="K2203:K2204"/>
    <mergeCell ref="L2203:L2204"/>
    <mergeCell ref="M2203:M2204"/>
    <mergeCell ref="N2203:N2204"/>
    <mergeCell ref="O2203:P2203"/>
    <mergeCell ref="I2205:I2206"/>
    <mergeCell ref="J2205:J2206"/>
    <mergeCell ref="K2205:K2206"/>
    <mergeCell ref="L2205:L2206"/>
    <mergeCell ref="M2205:M2206"/>
    <mergeCell ref="N2205:N2206"/>
    <mergeCell ref="I2207:I2208"/>
    <mergeCell ref="J2207:J2208"/>
    <mergeCell ref="K2207:K2208"/>
    <mergeCell ref="L2207:L2208"/>
    <mergeCell ref="M2207:M2208"/>
    <mergeCell ref="N2207:N2208"/>
    <mergeCell ref="I2098:I2099"/>
    <mergeCell ref="J2098:J2099"/>
    <mergeCell ref="K2098:K2099"/>
    <mergeCell ref="L2098:L2099"/>
    <mergeCell ref="M2098:M2099"/>
    <mergeCell ref="N2098:N2099"/>
    <mergeCell ref="I2100:I2101"/>
    <mergeCell ref="J2100:J2101"/>
    <mergeCell ref="K2100:K2101"/>
    <mergeCell ref="L2100:L2101"/>
    <mergeCell ref="M2100:M2101"/>
    <mergeCell ref="N2100:N2101"/>
    <mergeCell ref="I2102:M2102"/>
    <mergeCell ref="I2103:M2103"/>
    <mergeCell ref="I2104:M2104"/>
    <mergeCell ref="I2110:L2110"/>
    <mergeCell ref="I2092:I2093"/>
    <mergeCell ref="J2092:J2093"/>
    <mergeCell ref="K2092:K2093"/>
    <mergeCell ref="L2092:L2093"/>
    <mergeCell ref="M2092:M2093"/>
    <mergeCell ref="N2092:N2093"/>
    <mergeCell ref="I2094:I2095"/>
    <mergeCell ref="J2094:J2095"/>
    <mergeCell ref="K2094:K2095"/>
    <mergeCell ref="L2094:L2095"/>
    <mergeCell ref="M2094:M2095"/>
    <mergeCell ref="N2094:N2095"/>
    <mergeCell ref="I2096:I2097"/>
    <mergeCell ref="J2096:J2097"/>
    <mergeCell ref="K2096:K2097"/>
    <mergeCell ref="L2096:L2097"/>
    <mergeCell ref="M2096:M2097"/>
    <mergeCell ref="N2096:N2097"/>
    <mergeCell ref="I2063:I2064"/>
    <mergeCell ref="J2063:J2064"/>
    <mergeCell ref="K2063:K2064"/>
    <mergeCell ref="L2063:L2064"/>
    <mergeCell ref="M2063:M2064"/>
    <mergeCell ref="N2063:N2064"/>
    <mergeCell ref="I2065:M2065"/>
    <mergeCell ref="I2066:M2066"/>
    <mergeCell ref="I2067:M2067"/>
    <mergeCell ref="I2073:L2073"/>
    <mergeCell ref="I2088:P2088"/>
    <mergeCell ref="I2090:I2091"/>
    <mergeCell ref="J2090:J2091"/>
    <mergeCell ref="K2090:K2091"/>
    <mergeCell ref="L2090:L2091"/>
    <mergeCell ref="M2090:M2091"/>
    <mergeCell ref="N2090:N2091"/>
    <mergeCell ref="O2090:P2090"/>
    <mergeCell ref="I2057:I2058"/>
    <mergeCell ref="J2057:J2058"/>
    <mergeCell ref="K2057:K2058"/>
    <mergeCell ref="L2057:L2058"/>
    <mergeCell ref="M2057:M2058"/>
    <mergeCell ref="N2057:N2058"/>
    <mergeCell ref="I2059:I2060"/>
    <mergeCell ref="J2059:J2060"/>
    <mergeCell ref="K2059:K2060"/>
    <mergeCell ref="L2059:L2060"/>
    <mergeCell ref="M2059:M2060"/>
    <mergeCell ref="N2059:N2060"/>
    <mergeCell ref="I2061:I2062"/>
    <mergeCell ref="J2061:J2062"/>
    <mergeCell ref="K2061:K2062"/>
    <mergeCell ref="L2061:L2062"/>
    <mergeCell ref="M2061:M2062"/>
    <mergeCell ref="N2061:N2062"/>
    <mergeCell ref="I2028:M2028"/>
    <mergeCell ref="I2029:M2029"/>
    <mergeCell ref="I2030:M2030"/>
    <mergeCell ref="I2036:L2036"/>
    <mergeCell ref="I2051:P2051"/>
    <mergeCell ref="I2053:I2054"/>
    <mergeCell ref="J2053:J2054"/>
    <mergeCell ref="K2053:K2054"/>
    <mergeCell ref="L2053:L2054"/>
    <mergeCell ref="M2053:M2054"/>
    <mergeCell ref="N2053:N2054"/>
    <mergeCell ref="O2053:P2053"/>
    <mergeCell ref="I2055:I2056"/>
    <mergeCell ref="J2055:J2056"/>
    <mergeCell ref="K2055:K2056"/>
    <mergeCell ref="L2055:L2056"/>
    <mergeCell ref="M2055:M2056"/>
    <mergeCell ref="N2055:N2056"/>
    <mergeCell ref="I2022:I2023"/>
    <mergeCell ref="J2022:J2023"/>
    <mergeCell ref="K2022:K2023"/>
    <mergeCell ref="L2022:L2023"/>
    <mergeCell ref="M2022:M2023"/>
    <mergeCell ref="N2022:N2023"/>
    <mergeCell ref="I2024:I2025"/>
    <mergeCell ref="J2024:J2025"/>
    <mergeCell ref="K2024:K2025"/>
    <mergeCell ref="L2024:L2025"/>
    <mergeCell ref="M2024:M2025"/>
    <mergeCell ref="N2024:N2025"/>
    <mergeCell ref="I2026:I2027"/>
    <mergeCell ref="J2026:J2027"/>
    <mergeCell ref="K2026:K2027"/>
    <mergeCell ref="L2026:L2027"/>
    <mergeCell ref="M2026:M2027"/>
    <mergeCell ref="N2026:N2027"/>
    <mergeCell ref="I2014:P2014"/>
    <mergeCell ref="I2016:I2017"/>
    <mergeCell ref="J2016:J2017"/>
    <mergeCell ref="K2016:K2017"/>
    <mergeCell ref="L2016:L2017"/>
    <mergeCell ref="M2016:M2017"/>
    <mergeCell ref="N2016:N2017"/>
    <mergeCell ref="O2016:P2016"/>
    <mergeCell ref="I2018:I2019"/>
    <mergeCell ref="J2018:J2019"/>
    <mergeCell ref="K2018:K2019"/>
    <mergeCell ref="L2018:L2019"/>
    <mergeCell ref="M2018:M2019"/>
    <mergeCell ref="N2018:N2019"/>
    <mergeCell ref="I2020:I2021"/>
    <mergeCell ref="J2020:J2021"/>
    <mergeCell ref="K2020:K2021"/>
    <mergeCell ref="L2020:L2021"/>
    <mergeCell ref="M2020:M2021"/>
    <mergeCell ref="N2020:N2021"/>
    <mergeCell ref="I1841:I1842"/>
    <mergeCell ref="J1841:J1842"/>
    <mergeCell ref="K1841:K1842"/>
    <mergeCell ref="L1841:L1842"/>
    <mergeCell ref="M1841:M1842"/>
    <mergeCell ref="N1841:N1842"/>
    <mergeCell ref="I1843:M1843"/>
    <mergeCell ref="I1844:M1844"/>
    <mergeCell ref="I1845:M1845"/>
    <mergeCell ref="I1851:L1851"/>
    <mergeCell ref="I1837:I1838"/>
    <mergeCell ref="J1837:J1838"/>
    <mergeCell ref="K1837:K1838"/>
    <mergeCell ref="L1837:L1838"/>
    <mergeCell ref="M1837:M1838"/>
    <mergeCell ref="N1837:N1838"/>
    <mergeCell ref="I1839:I1840"/>
    <mergeCell ref="J1839:J1840"/>
    <mergeCell ref="K1839:K1840"/>
    <mergeCell ref="L1839:L1840"/>
    <mergeCell ref="M1839:M1840"/>
    <mergeCell ref="N1839:N1840"/>
    <mergeCell ref="I1829:P1829"/>
    <mergeCell ref="I1831:I1832"/>
    <mergeCell ref="J1831:J1832"/>
    <mergeCell ref="K1831:K1832"/>
    <mergeCell ref="L1831:L1832"/>
    <mergeCell ref="M1831:M1832"/>
    <mergeCell ref="N1831:N1832"/>
    <mergeCell ref="O1831:P1831"/>
    <mergeCell ref="I1833:I1834"/>
    <mergeCell ref="J1833:J1834"/>
    <mergeCell ref="K1833:K1834"/>
    <mergeCell ref="L1833:L1834"/>
    <mergeCell ref="M1833:M1834"/>
    <mergeCell ref="N1833:N1834"/>
    <mergeCell ref="I1835:I1836"/>
    <mergeCell ref="J1835:J1836"/>
    <mergeCell ref="K1835:K1836"/>
    <mergeCell ref="L1835:L1836"/>
    <mergeCell ref="M1835:M1836"/>
    <mergeCell ref="N1835:N1836"/>
    <mergeCell ref="I1689:I1690"/>
    <mergeCell ref="J1689:J1690"/>
    <mergeCell ref="K1689:K1690"/>
    <mergeCell ref="L1689:L1690"/>
    <mergeCell ref="M1689:M1690"/>
    <mergeCell ref="N1689:N1690"/>
    <mergeCell ref="I1691:I1692"/>
    <mergeCell ref="J1691:J1692"/>
    <mergeCell ref="K1691:K1692"/>
    <mergeCell ref="L1691:L1692"/>
    <mergeCell ref="M1691:M1692"/>
    <mergeCell ref="N1691:N1692"/>
    <mergeCell ref="I1693:M1693"/>
    <mergeCell ref="I1694:M1694"/>
    <mergeCell ref="I1695:M1695"/>
    <mergeCell ref="I1701:L1701"/>
    <mergeCell ref="I1683:I1684"/>
    <mergeCell ref="J1683:J1684"/>
    <mergeCell ref="K1683:K1684"/>
    <mergeCell ref="L1683:L1684"/>
    <mergeCell ref="M1683:M1684"/>
    <mergeCell ref="N1683:N1684"/>
    <mergeCell ref="I1685:I1686"/>
    <mergeCell ref="J1685:J1686"/>
    <mergeCell ref="K1685:K1686"/>
    <mergeCell ref="L1685:L1686"/>
    <mergeCell ref="M1685:M1686"/>
    <mergeCell ref="N1685:N1686"/>
    <mergeCell ref="I1687:I1688"/>
    <mergeCell ref="J1687:J1688"/>
    <mergeCell ref="K1687:K1688"/>
    <mergeCell ref="L1687:L1688"/>
    <mergeCell ref="M1687:M1688"/>
    <mergeCell ref="N1687:N1688"/>
    <mergeCell ref="I1654:I1655"/>
    <mergeCell ref="J1654:J1655"/>
    <mergeCell ref="K1654:K1655"/>
    <mergeCell ref="L1654:L1655"/>
    <mergeCell ref="M1654:M1655"/>
    <mergeCell ref="N1654:N1655"/>
    <mergeCell ref="I1656:M1656"/>
    <mergeCell ref="I1657:M1657"/>
    <mergeCell ref="I1658:M1658"/>
    <mergeCell ref="I1664:L1664"/>
    <mergeCell ref="I1679:P1679"/>
    <mergeCell ref="I1681:I1682"/>
    <mergeCell ref="J1681:J1682"/>
    <mergeCell ref="K1681:K1682"/>
    <mergeCell ref="L1681:L1682"/>
    <mergeCell ref="M1681:M1682"/>
    <mergeCell ref="N1681:N1682"/>
    <mergeCell ref="O1681:P1681"/>
    <mergeCell ref="I1648:I1649"/>
    <mergeCell ref="J1648:J1649"/>
    <mergeCell ref="K1648:K1649"/>
    <mergeCell ref="L1648:L1649"/>
    <mergeCell ref="M1648:M1649"/>
    <mergeCell ref="N1648:N1649"/>
    <mergeCell ref="I1650:I1651"/>
    <mergeCell ref="J1650:J1651"/>
    <mergeCell ref="K1650:K1651"/>
    <mergeCell ref="L1650:L1651"/>
    <mergeCell ref="M1650:M1651"/>
    <mergeCell ref="N1650:N1651"/>
    <mergeCell ref="I1652:I1653"/>
    <mergeCell ref="J1652:J1653"/>
    <mergeCell ref="K1652:K1653"/>
    <mergeCell ref="L1652:L1653"/>
    <mergeCell ref="M1652:M1653"/>
    <mergeCell ref="N1652:N1653"/>
    <mergeCell ref="I1619:M1619"/>
    <mergeCell ref="I1620:M1620"/>
    <mergeCell ref="I1621:M1621"/>
    <mergeCell ref="I1627:L1627"/>
    <mergeCell ref="I1642:P1642"/>
    <mergeCell ref="I1644:I1645"/>
    <mergeCell ref="J1644:J1645"/>
    <mergeCell ref="K1644:K1645"/>
    <mergeCell ref="L1644:L1645"/>
    <mergeCell ref="M1644:M1645"/>
    <mergeCell ref="N1644:N1645"/>
    <mergeCell ref="O1644:P1644"/>
    <mergeCell ref="I1646:I1647"/>
    <mergeCell ref="J1646:J1647"/>
    <mergeCell ref="K1646:K1647"/>
    <mergeCell ref="L1646:L1647"/>
    <mergeCell ref="M1646:M1647"/>
    <mergeCell ref="N1646:N1647"/>
    <mergeCell ref="I1613:I1614"/>
    <mergeCell ref="J1613:J1614"/>
    <mergeCell ref="K1613:K1614"/>
    <mergeCell ref="L1613:L1614"/>
    <mergeCell ref="M1613:M1614"/>
    <mergeCell ref="N1613:N1614"/>
    <mergeCell ref="I1615:I1616"/>
    <mergeCell ref="J1615:J1616"/>
    <mergeCell ref="K1615:K1616"/>
    <mergeCell ref="L1615:L1616"/>
    <mergeCell ref="M1615:M1616"/>
    <mergeCell ref="N1615:N1616"/>
    <mergeCell ref="I1617:I1618"/>
    <mergeCell ref="J1617:J1618"/>
    <mergeCell ref="K1617:K1618"/>
    <mergeCell ref="L1617:L1618"/>
    <mergeCell ref="M1617:M1618"/>
    <mergeCell ref="N1617:N1618"/>
    <mergeCell ref="I1605:P1605"/>
    <mergeCell ref="I1607:I1608"/>
    <mergeCell ref="J1607:J1608"/>
    <mergeCell ref="K1607:K1608"/>
    <mergeCell ref="L1607:L1608"/>
    <mergeCell ref="M1607:M1608"/>
    <mergeCell ref="N1607:N1608"/>
    <mergeCell ref="O1607:P1607"/>
    <mergeCell ref="I1609:I1610"/>
    <mergeCell ref="J1609:J1610"/>
    <mergeCell ref="K1609:K1610"/>
    <mergeCell ref="L1609:L1610"/>
    <mergeCell ref="M1609:M1610"/>
    <mergeCell ref="N1609:N1610"/>
    <mergeCell ref="I1611:I1612"/>
    <mergeCell ref="J1611:J1612"/>
    <mergeCell ref="K1611:K1612"/>
    <mergeCell ref="L1611:L1612"/>
    <mergeCell ref="M1611:M1612"/>
    <mergeCell ref="N1611:N1612"/>
    <mergeCell ref="I1580:I1581"/>
    <mergeCell ref="J1580:J1581"/>
    <mergeCell ref="K1580:K1581"/>
    <mergeCell ref="L1580:L1581"/>
    <mergeCell ref="M1580:M1581"/>
    <mergeCell ref="N1580:N1581"/>
    <mergeCell ref="I1582:M1582"/>
    <mergeCell ref="I1583:M1583"/>
    <mergeCell ref="I1584:M1584"/>
    <mergeCell ref="I1590:L1590"/>
    <mergeCell ref="I1568:P1568"/>
    <mergeCell ref="I1570:I1571"/>
    <mergeCell ref="J1570:J1571"/>
    <mergeCell ref="K1570:K1571"/>
    <mergeCell ref="L1570:L1571"/>
    <mergeCell ref="M1570:M1571"/>
    <mergeCell ref="N1570:N1571"/>
    <mergeCell ref="O1570:P1570"/>
    <mergeCell ref="I1572:I1573"/>
    <mergeCell ref="J1572:J1573"/>
    <mergeCell ref="K1572:K1573"/>
    <mergeCell ref="L1572:L1573"/>
    <mergeCell ref="M1572:M1573"/>
    <mergeCell ref="N1572:N1573"/>
    <mergeCell ref="I1574:I1575"/>
    <mergeCell ref="J1574:J1575"/>
    <mergeCell ref="K1574:K1575"/>
    <mergeCell ref="L1574:L1575"/>
    <mergeCell ref="M1574:M1575"/>
    <mergeCell ref="N1574:N1575"/>
    <mergeCell ref="I1576:I1577"/>
    <mergeCell ref="J1576:J1577"/>
    <mergeCell ref="K1576:K1577"/>
    <mergeCell ref="L1576:L1577"/>
    <mergeCell ref="M1576:M1577"/>
    <mergeCell ref="N1576:N1577"/>
    <mergeCell ref="I1578:I1579"/>
    <mergeCell ref="J1578:J1579"/>
    <mergeCell ref="I1541:I1542"/>
    <mergeCell ref="J1541:J1542"/>
    <mergeCell ref="K1541:K1542"/>
    <mergeCell ref="L1541:L1542"/>
    <mergeCell ref="M1541:M1542"/>
    <mergeCell ref="N1541:N1542"/>
    <mergeCell ref="I1543:I1544"/>
    <mergeCell ref="J1543:J1544"/>
    <mergeCell ref="K1543:K1544"/>
    <mergeCell ref="L1543:L1544"/>
    <mergeCell ref="M1543:M1544"/>
    <mergeCell ref="N1543:N1544"/>
    <mergeCell ref="I1545:M1545"/>
    <mergeCell ref="I1546:M1546"/>
    <mergeCell ref="I1547:M1547"/>
    <mergeCell ref="I1553:L1553"/>
    <mergeCell ref="K1578:K1579"/>
    <mergeCell ref="L1578:L1579"/>
    <mergeCell ref="M1578:M1579"/>
    <mergeCell ref="N1578:N1579"/>
    <mergeCell ref="I1535:I1536"/>
    <mergeCell ref="J1535:J1536"/>
    <mergeCell ref="K1535:K1536"/>
    <mergeCell ref="L1535:L1536"/>
    <mergeCell ref="M1535:M1536"/>
    <mergeCell ref="N1535:N1536"/>
    <mergeCell ref="I1537:I1538"/>
    <mergeCell ref="J1537:J1538"/>
    <mergeCell ref="K1537:K1538"/>
    <mergeCell ref="L1537:L1538"/>
    <mergeCell ref="M1537:M1538"/>
    <mergeCell ref="N1537:N1538"/>
    <mergeCell ref="I1539:I1540"/>
    <mergeCell ref="J1539:J1540"/>
    <mergeCell ref="K1539:K1540"/>
    <mergeCell ref="L1539:L1540"/>
    <mergeCell ref="M1539:M1540"/>
    <mergeCell ref="N1539:N1540"/>
    <mergeCell ref="I1506:I1507"/>
    <mergeCell ref="J1506:J1507"/>
    <mergeCell ref="K1506:K1507"/>
    <mergeCell ref="L1506:L1507"/>
    <mergeCell ref="M1506:M1507"/>
    <mergeCell ref="N1506:N1507"/>
    <mergeCell ref="I1508:M1508"/>
    <mergeCell ref="I1509:M1509"/>
    <mergeCell ref="I1510:M1510"/>
    <mergeCell ref="I1516:L1516"/>
    <mergeCell ref="I1531:P1531"/>
    <mergeCell ref="I1533:I1534"/>
    <mergeCell ref="J1533:J1534"/>
    <mergeCell ref="K1533:K1534"/>
    <mergeCell ref="L1533:L1534"/>
    <mergeCell ref="M1533:M1534"/>
    <mergeCell ref="N1533:N1534"/>
    <mergeCell ref="O1533:P1533"/>
    <mergeCell ref="I1500:I1501"/>
    <mergeCell ref="J1500:J1501"/>
    <mergeCell ref="K1500:K1501"/>
    <mergeCell ref="L1500:L1501"/>
    <mergeCell ref="M1500:M1501"/>
    <mergeCell ref="N1500:N1501"/>
    <mergeCell ref="I1502:I1503"/>
    <mergeCell ref="J1502:J1503"/>
    <mergeCell ref="K1502:K1503"/>
    <mergeCell ref="L1502:L1503"/>
    <mergeCell ref="M1502:M1503"/>
    <mergeCell ref="N1502:N1503"/>
    <mergeCell ref="I1504:I1505"/>
    <mergeCell ref="J1504:J1505"/>
    <mergeCell ref="K1504:K1505"/>
    <mergeCell ref="L1504:L1505"/>
    <mergeCell ref="M1504:M1505"/>
    <mergeCell ref="N1504:N1505"/>
    <mergeCell ref="I1471:M1471"/>
    <mergeCell ref="I1472:M1472"/>
    <mergeCell ref="I1473:M1473"/>
    <mergeCell ref="I1479:L1479"/>
    <mergeCell ref="I1494:P1494"/>
    <mergeCell ref="I1496:I1497"/>
    <mergeCell ref="J1496:J1497"/>
    <mergeCell ref="K1496:K1497"/>
    <mergeCell ref="L1496:L1497"/>
    <mergeCell ref="M1496:M1497"/>
    <mergeCell ref="N1496:N1497"/>
    <mergeCell ref="O1496:P1496"/>
    <mergeCell ref="I1498:I1499"/>
    <mergeCell ref="J1498:J1499"/>
    <mergeCell ref="K1498:K1499"/>
    <mergeCell ref="L1498:L1499"/>
    <mergeCell ref="M1498:M1499"/>
    <mergeCell ref="N1498:N1499"/>
    <mergeCell ref="I1465:I1466"/>
    <mergeCell ref="J1465:J1466"/>
    <mergeCell ref="K1465:K1466"/>
    <mergeCell ref="L1465:L1466"/>
    <mergeCell ref="M1465:M1466"/>
    <mergeCell ref="N1465:N1466"/>
    <mergeCell ref="I1467:I1468"/>
    <mergeCell ref="J1467:J1468"/>
    <mergeCell ref="K1467:K1468"/>
    <mergeCell ref="L1467:L1468"/>
    <mergeCell ref="M1467:M1468"/>
    <mergeCell ref="N1467:N1468"/>
    <mergeCell ref="I1469:I1470"/>
    <mergeCell ref="J1469:J1470"/>
    <mergeCell ref="K1469:K1470"/>
    <mergeCell ref="L1469:L1470"/>
    <mergeCell ref="M1469:M1470"/>
    <mergeCell ref="N1469:N1470"/>
    <mergeCell ref="I1457:P1457"/>
    <mergeCell ref="I1459:I1460"/>
    <mergeCell ref="J1459:J1460"/>
    <mergeCell ref="K1459:K1460"/>
    <mergeCell ref="L1459:L1460"/>
    <mergeCell ref="M1459:M1460"/>
    <mergeCell ref="N1459:N1460"/>
    <mergeCell ref="O1459:P1459"/>
    <mergeCell ref="I1461:I1462"/>
    <mergeCell ref="J1461:J1462"/>
    <mergeCell ref="K1461:K1462"/>
    <mergeCell ref="L1461:L1462"/>
    <mergeCell ref="M1461:M1462"/>
    <mergeCell ref="N1461:N1462"/>
    <mergeCell ref="I1463:I1464"/>
    <mergeCell ref="J1463:J1464"/>
    <mergeCell ref="K1463:K1464"/>
    <mergeCell ref="L1463:L1464"/>
    <mergeCell ref="M1463:M1464"/>
    <mergeCell ref="N1463:N1464"/>
    <mergeCell ref="I1358:I1359"/>
    <mergeCell ref="J1358:J1359"/>
    <mergeCell ref="K1358:K1359"/>
    <mergeCell ref="L1358:L1359"/>
    <mergeCell ref="M1358:M1359"/>
    <mergeCell ref="N1358:N1359"/>
    <mergeCell ref="I1360:M1360"/>
    <mergeCell ref="I1361:M1361"/>
    <mergeCell ref="I1362:M1362"/>
    <mergeCell ref="I1368:L1368"/>
    <mergeCell ref="I1352:I1353"/>
    <mergeCell ref="J1352:J1353"/>
    <mergeCell ref="K1352:K1353"/>
    <mergeCell ref="L1352:L1353"/>
    <mergeCell ref="M1352:M1353"/>
    <mergeCell ref="N1352:N1353"/>
    <mergeCell ref="I1354:I1355"/>
    <mergeCell ref="J1354:J1355"/>
    <mergeCell ref="K1354:K1355"/>
    <mergeCell ref="L1354:L1355"/>
    <mergeCell ref="M1354:M1355"/>
    <mergeCell ref="N1354:N1355"/>
    <mergeCell ref="I1356:I1357"/>
    <mergeCell ref="J1356:J1357"/>
    <mergeCell ref="K1356:K1357"/>
    <mergeCell ref="L1356:L1357"/>
    <mergeCell ref="M1356:M1357"/>
    <mergeCell ref="N1356:N1357"/>
    <mergeCell ref="I1323:M1323"/>
    <mergeCell ref="I1324:M1324"/>
    <mergeCell ref="I1325:M1325"/>
    <mergeCell ref="I1331:L1331"/>
    <mergeCell ref="I1346:P1346"/>
    <mergeCell ref="I1348:I1349"/>
    <mergeCell ref="J1348:J1349"/>
    <mergeCell ref="K1348:K1349"/>
    <mergeCell ref="L1348:L1349"/>
    <mergeCell ref="M1348:M1349"/>
    <mergeCell ref="N1348:N1349"/>
    <mergeCell ref="O1348:P1348"/>
    <mergeCell ref="I1350:I1351"/>
    <mergeCell ref="J1350:J1351"/>
    <mergeCell ref="K1350:K1351"/>
    <mergeCell ref="L1350:L1351"/>
    <mergeCell ref="M1350:M1351"/>
    <mergeCell ref="N1350:N1351"/>
    <mergeCell ref="I1317:I1318"/>
    <mergeCell ref="J1317:J1318"/>
    <mergeCell ref="K1317:K1318"/>
    <mergeCell ref="L1317:L1318"/>
    <mergeCell ref="M1317:M1318"/>
    <mergeCell ref="N1317:N1318"/>
    <mergeCell ref="I1319:I1320"/>
    <mergeCell ref="J1319:J1320"/>
    <mergeCell ref="K1319:K1320"/>
    <mergeCell ref="L1319:L1320"/>
    <mergeCell ref="M1319:M1320"/>
    <mergeCell ref="N1319:N1320"/>
    <mergeCell ref="I1321:I1322"/>
    <mergeCell ref="J1321:J1322"/>
    <mergeCell ref="K1321:K1322"/>
    <mergeCell ref="L1321:L1322"/>
    <mergeCell ref="M1321:M1322"/>
    <mergeCell ref="N1321:N1322"/>
    <mergeCell ref="I1311:I1312"/>
    <mergeCell ref="J1311:J1312"/>
    <mergeCell ref="K1311:K1312"/>
    <mergeCell ref="L1311:L1312"/>
    <mergeCell ref="M1311:M1312"/>
    <mergeCell ref="N1311:N1312"/>
    <mergeCell ref="O1311:P1311"/>
    <mergeCell ref="I1313:I1314"/>
    <mergeCell ref="J1313:J1314"/>
    <mergeCell ref="K1313:K1314"/>
    <mergeCell ref="L1313:L1314"/>
    <mergeCell ref="M1313:M1314"/>
    <mergeCell ref="N1313:N1314"/>
    <mergeCell ref="I1315:I1316"/>
    <mergeCell ref="J1315:J1316"/>
    <mergeCell ref="K1315:K1316"/>
    <mergeCell ref="L1315:L1316"/>
    <mergeCell ref="M1315:M1316"/>
    <mergeCell ref="N1315:N1316"/>
    <mergeCell ref="I1282:I1283"/>
    <mergeCell ref="J1282:J1283"/>
    <mergeCell ref="K1282:K1283"/>
    <mergeCell ref="L1282:L1283"/>
    <mergeCell ref="M1282:M1283"/>
    <mergeCell ref="N1282:N1283"/>
    <mergeCell ref="I1284:I1285"/>
    <mergeCell ref="J1284:J1285"/>
    <mergeCell ref="K1284:K1285"/>
    <mergeCell ref="L1284:L1285"/>
    <mergeCell ref="M1284:M1285"/>
    <mergeCell ref="N1284:N1285"/>
    <mergeCell ref="I1286:M1286"/>
    <mergeCell ref="I1287:M1287"/>
    <mergeCell ref="I1288:M1288"/>
    <mergeCell ref="I1294:L1294"/>
    <mergeCell ref="I1309:P1309"/>
    <mergeCell ref="I1276:I1277"/>
    <mergeCell ref="J1276:J1277"/>
    <mergeCell ref="K1276:K1277"/>
    <mergeCell ref="L1276:L1277"/>
    <mergeCell ref="M1276:M1277"/>
    <mergeCell ref="N1276:N1277"/>
    <mergeCell ref="I1278:I1279"/>
    <mergeCell ref="J1278:J1279"/>
    <mergeCell ref="K1278:K1279"/>
    <mergeCell ref="L1278:L1279"/>
    <mergeCell ref="M1278:M1279"/>
    <mergeCell ref="N1278:N1279"/>
    <mergeCell ref="I1280:I1281"/>
    <mergeCell ref="J1280:J1281"/>
    <mergeCell ref="K1280:K1281"/>
    <mergeCell ref="L1280:L1281"/>
    <mergeCell ref="M1280:M1281"/>
    <mergeCell ref="N1280:N1281"/>
    <mergeCell ref="I1247:I1248"/>
    <mergeCell ref="J1247:J1248"/>
    <mergeCell ref="K1247:K1248"/>
    <mergeCell ref="L1247:L1248"/>
    <mergeCell ref="M1247:M1248"/>
    <mergeCell ref="N1247:N1248"/>
    <mergeCell ref="I1249:M1249"/>
    <mergeCell ref="I1250:M1250"/>
    <mergeCell ref="I1251:M1251"/>
    <mergeCell ref="I1257:L1257"/>
    <mergeCell ref="I1272:P1272"/>
    <mergeCell ref="I1274:I1275"/>
    <mergeCell ref="J1274:J1275"/>
    <mergeCell ref="K1274:K1275"/>
    <mergeCell ref="L1274:L1275"/>
    <mergeCell ref="M1274:M1275"/>
    <mergeCell ref="N1274:N1275"/>
    <mergeCell ref="O1274:P1274"/>
    <mergeCell ref="I1241:I1242"/>
    <mergeCell ref="J1241:J1242"/>
    <mergeCell ref="K1241:K1242"/>
    <mergeCell ref="L1241:L1242"/>
    <mergeCell ref="M1241:M1242"/>
    <mergeCell ref="N1241:N1242"/>
    <mergeCell ref="I1243:I1244"/>
    <mergeCell ref="J1243:J1244"/>
    <mergeCell ref="K1243:K1244"/>
    <mergeCell ref="L1243:L1244"/>
    <mergeCell ref="M1243:M1244"/>
    <mergeCell ref="N1243:N1244"/>
    <mergeCell ref="I1245:I1246"/>
    <mergeCell ref="J1245:J1246"/>
    <mergeCell ref="K1245:K1246"/>
    <mergeCell ref="L1245:L1246"/>
    <mergeCell ref="M1245:M1246"/>
    <mergeCell ref="N1245:N1246"/>
    <mergeCell ref="I1212:M1212"/>
    <mergeCell ref="I1213:M1213"/>
    <mergeCell ref="I1214:M1214"/>
    <mergeCell ref="I1220:L1220"/>
    <mergeCell ref="I1235:P1235"/>
    <mergeCell ref="I1237:I1238"/>
    <mergeCell ref="J1237:J1238"/>
    <mergeCell ref="K1237:K1238"/>
    <mergeCell ref="L1237:L1238"/>
    <mergeCell ref="M1237:M1238"/>
    <mergeCell ref="N1237:N1238"/>
    <mergeCell ref="O1237:P1237"/>
    <mergeCell ref="I1239:I1240"/>
    <mergeCell ref="J1239:J1240"/>
    <mergeCell ref="K1239:K1240"/>
    <mergeCell ref="L1239:L1240"/>
    <mergeCell ref="M1239:M1240"/>
    <mergeCell ref="N1239:N1240"/>
    <mergeCell ref="I1206:I1207"/>
    <mergeCell ref="J1206:J1207"/>
    <mergeCell ref="K1206:K1207"/>
    <mergeCell ref="L1206:L1207"/>
    <mergeCell ref="M1206:M1207"/>
    <mergeCell ref="N1206:N1207"/>
    <mergeCell ref="I1208:I1209"/>
    <mergeCell ref="J1208:J1209"/>
    <mergeCell ref="K1208:K1209"/>
    <mergeCell ref="L1208:L1209"/>
    <mergeCell ref="M1208:M1209"/>
    <mergeCell ref="N1208:N1209"/>
    <mergeCell ref="I1210:I1211"/>
    <mergeCell ref="J1210:J1211"/>
    <mergeCell ref="K1210:K1211"/>
    <mergeCell ref="L1210:L1211"/>
    <mergeCell ref="M1210:M1211"/>
    <mergeCell ref="N1210:N1211"/>
    <mergeCell ref="I1198:P1198"/>
    <mergeCell ref="I1200:I1201"/>
    <mergeCell ref="J1200:J1201"/>
    <mergeCell ref="K1200:K1201"/>
    <mergeCell ref="L1200:L1201"/>
    <mergeCell ref="M1200:M1201"/>
    <mergeCell ref="N1200:N1201"/>
    <mergeCell ref="O1200:P1200"/>
    <mergeCell ref="I1202:I1203"/>
    <mergeCell ref="J1202:J1203"/>
    <mergeCell ref="K1202:K1203"/>
    <mergeCell ref="L1202:L1203"/>
    <mergeCell ref="M1202:M1203"/>
    <mergeCell ref="N1202:N1203"/>
    <mergeCell ref="I1204:I1205"/>
    <mergeCell ref="J1204:J1205"/>
    <mergeCell ref="K1204:K1205"/>
    <mergeCell ref="L1204:L1205"/>
    <mergeCell ref="M1204:M1205"/>
    <mergeCell ref="N1204:N1205"/>
    <mergeCell ref="I1138:M1138"/>
    <mergeCell ref="I1139:M1139"/>
    <mergeCell ref="I1140:M1140"/>
    <mergeCell ref="I1146:L1146"/>
    <mergeCell ref="I1132:I1133"/>
    <mergeCell ref="J1132:J1133"/>
    <mergeCell ref="K1132:K1133"/>
    <mergeCell ref="L1132:L1133"/>
    <mergeCell ref="M1132:M1133"/>
    <mergeCell ref="N1132:N1133"/>
    <mergeCell ref="I1134:I1135"/>
    <mergeCell ref="J1134:J1135"/>
    <mergeCell ref="K1134:K1135"/>
    <mergeCell ref="L1134:L1135"/>
    <mergeCell ref="M1134:M1135"/>
    <mergeCell ref="N1134:N1135"/>
    <mergeCell ref="I1136:I1137"/>
    <mergeCell ref="J1136:J1137"/>
    <mergeCell ref="K1136:K1137"/>
    <mergeCell ref="L1136:L1137"/>
    <mergeCell ref="M1136:M1137"/>
    <mergeCell ref="N1136:N1137"/>
    <mergeCell ref="I1124:P1124"/>
    <mergeCell ref="I1126:I1127"/>
    <mergeCell ref="J1126:J1127"/>
    <mergeCell ref="K1126:K1127"/>
    <mergeCell ref="L1126:L1127"/>
    <mergeCell ref="M1126:M1127"/>
    <mergeCell ref="N1126:N1127"/>
    <mergeCell ref="O1126:P1126"/>
    <mergeCell ref="I1128:I1129"/>
    <mergeCell ref="J1128:J1129"/>
    <mergeCell ref="K1128:K1129"/>
    <mergeCell ref="L1128:L1129"/>
    <mergeCell ref="M1128:M1129"/>
    <mergeCell ref="N1128:N1129"/>
    <mergeCell ref="I1130:I1131"/>
    <mergeCell ref="J1130:J1131"/>
    <mergeCell ref="K1130:K1131"/>
    <mergeCell ref="L1130:L1131"/>
    <mergeCell ref="M1130:M1131"/>
    <mergeCell ref="N1130:N1131"/>
    <mergeCell ref="I1101:M1101"/>
    <mergeCell ref="I1102:M1102"/>
    <mergeCell ref="I1103:M1103"/>
    <mergeCell ref="I1109:L1109"/>
    <mergeCell ref="I1095:I1096"/>
    <mergeCell ref="J1095:J1096"/>
    <mergeCell ref="K1095:K1096"/>
    <mergeCell ref="L1095:L1096"/>
    <mergeCell ref="M1095:M1096"/>
    <mergeCell ref="N1095:N1096"/>
    <mergeCell ref="I1097:I1098"/>
    <mergeCell ref="J1097:J1098"/>
    <mergeCell ref="K1097:K1098"/>
    <mergeCell ref="L1097:L1098"/>
    <mergeCell ref="M1097:M1098"/>
    <mergeCell ref="N1097:N1098"/>
    <mergeCell ref="I1099:I1100"/>
    <mergeCell ref="J1099:J1100"/>
    <mergeCell ref="K1099:K1100"/>
    <mergeCell ref="L1099:L1100"/>
    <mergeCell ref="M1099:M1100"/>
    <mergeCell ref="N1099:N1100"/>
    <mergeCell ref="I1089:I1090"/>
    <mergeCell ref="J1089:J1090"/>
    <mergeCell ref="K1089:K1090"/>
    <mergeCell ref="L1089:L1090"/>
    <mergeCell ref="M1089:M1090"/>
    <mergeCell ref="N1089:N1090"/>
    <mergeCell ref="O1089:P1089"/>
    <mergeCell ref="I1091:I1092"/>
    <mergeCell ref="J1091:J1092"/>
    <mergeCell ref="K1091:K1092"/>
    <mergeCell ref="L1091:L1092"/>
    <mergeCell ref="M1091:M1092"/>
    <mergeCell ref="N1091:N1092"/>
    <mergeCell ref="I1093:I1094"/>
    <mergeCell ref="J1093:J1094"/>
    <mergeCell ref="K1093:K1094"/>
    <mergeCell ref="L1093:L1094"/>
    <mergeCell ref="M1093:M1094"/>
    <mergeCell ref="N1093:N1094"/>
    <mergeCell ref="I1060:I1061"/>
    <mergeCell ref="J1060:J1061"/>
    <mergeCell ref="K1060:K1061"/>
    <mergeCell ref="L1060:L1061"/>
    <mergeCell ref="M1060:M1061"/>
    <mergeCell ref="N1060:N1061"/>
    <mergeCell ref="I1062:I1063"/>
    <mergeCell ref="J1062:J1063"/>
    <mergeCell ref="K1062:K1063"/>
    <mergeCell ref="L1062:L1063"/>
    <mergeCell ref="M1062:M1063"/>
    <mergeCell ref="N1062:N1063"/>
    <mergeCell ref="I1064:M1064"/>
    <mergeCell ref="I1065:M1065"/>
    <mergeCell ref="I1066:M1066"/>
    <mergeCell ref="I1072:L1072"/>
    <mergeCell ref="I1087:P1087"/>
    <mergeCell ref="K1025:K1026"/>
    <mergeCell ref="L1025:L1026"/>
    <mergeCell ref="M1025:M1026"/>
    <mergeCell ref="N1025:N1026"/>
    <mergeCell ref="I1054:I1055"/>
    <mergeCell ref="J1054:J1055"/>
    <mergeCell ref="K1054:K1055"/>
    <mergeCell ref="L1054:L1055"/>
    <mergeCell ref="M1054:M1055"/>
    <mergeCell ref="N1054:N1055"/>
    <mergeCell ref="I1056:I1057"/>
    <mergeCell ref="J1056:J1057"/>
    <mergeCell ref="K1056:K1057"/>
    <mergeCell ref="L1056:L1057"/>
    <mergeCell ref="M1056:M1057"/>
    <mergeCell ref="N1056:N1057"/>
    <mergeCell ref="I1058:I1059"/>
    <mergeCell ref="J1058:J1059"/>
    <mergeCell ref="K1058:K1059"/>
    <mergeCell ref="L1058:L1059"/>
    <mergeCell ref="M1058:M1059"/>
    <mergeCell ref="N1058:N1059"/>
    <mergeCell ref="I1019:I1020"/>
    <mergeCell ref="J1019:J1020"/>
    <mergeCell ref="K1019:K1020"/>
    <mergeCell ref="L1019:L1020"/>
    <mergeCell ref="M1019:M1020"/>
    <mergeCell ref="N1019:N1020"/>
    <mergeCell ref="I1029:M1029"/>
    <mergeCell ref="I1027:M1027"/>
    <mergeCell ref="I1028:M1028"/>
    <mergeCell ref="I1035:L1035"/>
    <mergeCell ref="I1050:P1050"/>
    <mergeCell ref="I1052:I1053"/>
    <mergeCell ref="J1052:J1053"/>
    <mergeCell ref="K1052:K1053"/>
    <mergeCell ref="L1052:L1053"/>
    <mergeCell ref="M1052:M1053"/>
    <mergeCell ref="N1052:N1053"/>
    <mergeCell ref="O1052:P1052"/>
    <mergeCell ref="I1021:I1022"/>
    <mergeCell ref="J1021:J1022"/>
    <mergeCell ref="K1021:K1022"/>
    <mergeCell ref="L1021:L1022"/>
    <mergeCell ref="M1021:M1022"/>
    <mergeCell ref="N1021:N1022"/>
    <mergeCell ref="I1023:I1024"/>
    <mergeCell ref="J1023:J1024"/>
    <mergeCell ref="K1023:K1024"/>
    <mergeCell ref="L1023:L1024"/>
    <mergeCell ref="M1023:M1024"/>
    <mergeCell ref="N1023:N1024"/>
    <mergeCell ref="I1025:I1026"/>
    <mergeCell ref="J1025:J1026"/>
    <mergeCell ref="J988:J989"/>
    <mergeCell ref="K988:K989"/>
    <mergeCell ref="L988:L989"/>
    <mergeCell ref="M988:M989"/>
    <mergeCell ref="N988:N989"/>
    <mergeCell ref="I1015:I1016"/>
    <mergeCell ref="J1015:J1016"/>
    <mergeCell ref="K1015:K1016"/>
    <mergeCell ref="L1015:L1016"/>
    <mergeCell ref="M1015:M1016"/>
    <mergeCell ref="N1015:N1016"/>
    <mergeCell ref="O1015:P1015"/>
    <mergeCell ref="I1017:I1018"/>
    <mergeCell ref="J1017:J1018"/>
    <mergeCell ref="K1017:K1018"/>
    <mergeCell ref="L1017:L1018"/>
    <mergeCell ref="M1017:M1018"/>
    <mergeCell ref="N1017:N1018"/>
    <mergeCell ref="L947:L948"/>
    <mergeCell ref="M947:M948"/>
    <mergeCell ref="N947:N948"/>
    <mergeCell ref="I949:I950"/>
    <mergeCell ref="J949:J950"/>
    <mergeCell ref="K949:K950"/>
    <mergeCell ref="L949:L950"/>
    <mergeCell ref="M949:M950"/>
    <mergeCell ref="N949:N950"/>
    <mergeCell ref="I1013:P1013"/>
    <mergeCell ref="I990:M990"/>
    <mergeCell ref="I991:M991"/>
    <mergeCell ref="I992:M992"/>
    <mergeCell ref="I998:L998"/>
    <mergeCell ref="I980:I981"/>
    <mergeCell ref="J980:J981"/>
    <mergeCell ref="K980:K981"/>
    <mergeCell ref="L980:L981"/>
    <mergeCell ref="M980:M981"/>
    <mergeCell ref="N980:N981"/>
    <mergeCell ref="I982:I983"/>
    <mergeCell ref="J982:J983"/>
    <mergeCell ref="K982:K983"/>
    <mergeCell ref="L982:L983"/>
    <mergeCell ref="M982:M983"/>
    <mergeCell ref="N982:N983"/>
    <mergeCell ref="I986:I987"/>
    <mergeCell ref="J986:J987"/>
    <mergeCell ref="K986:K987"/>
    <mergeCell ref="L986:L987"/>
    <mergeCell ref="M986:M987"/>
    <mergeCell ref="I988:I989"/>
    <mergeCell ref="I945:I946"/>
    <mergeCell ref="J945:J946"/>
    <mergeCell ref="L945:L946"/>
    <mergeCell ref="M945:M946"/>
    <mergeCell ref="N945:N946"/>
    <mergeCell ref="K945:K946"/>
    <mergeCell ref="N986:N987"/>
    <mergeCell ref="I984:I985"/>
    <mergeCell ref="J984:J985"/>
    <mergeCell ref="K984:K985"/>
    <mergeCell ref="L984:L985"/>
    <mergeCell ref="M984:M985"/>
    <mergeCell ref="N984:N985"/>
    <mergeCell ref="I951:M951"/>
    <mergeCell ref="I952:M952"/>
    <mergeCell ref="I953:M953"/>
    <mergeCell ref="I959:L959"/>
    <mergeCell ref="K978:K979"/>
    <mergeCell ref="L978:L979"/>
    <mergeCell ref="M978:M979"/>
    <mergeCell ref="N978:N979"/>
    <mergeCell ref="I974:P974"/>
    <mergeCell ref="I976:I977"/>
    <mergeCell ref="J976:J977"/>
    <mergeCell ref="K976:K977"/>
    <mergeCell ref="L976:L977"/>
    <mergeCell ref="M976:M977"/>
    <mergeCell ref="N976:N977"/>
    <mergeCell ref="O976:P976"/>
    <mergeCell ref="I978:I979"/>
    <mergeCell ref="J978:J979"/>
    <mergeCell ref="K947:K948"/>
    <mergeCell ref="I935:P935"/>
    <mergeCell ref="I937:I938"/>
    <mergeCell ref="J937:J938"/>
    <mergeCell ref="K937:K938"/>
    <mergeCell ref="L937:L938"/>
    <mergeCell ref="M937:M938"/>
    <mergeCell ref="N937:N938"/>
    <mergeCell ref="O937:P937"/>
    <mergeCell ref="I939:I940"/>
    <mergeCell ref="J939:J940"/>
    <mergeCell ref="K939:K940"/>
    <mergeCell ref="L939:L940"/>
    <mergeCell ref="M939:M940"/>
    <mergeCell ref="N939:N940"/>
    <mergeCell ref="I941:I942"/>
    <mergeCell ref="J941:J942"/>
    <mergeCell ref="K941:K942"/>
    <mergeCell ref="L941:L942"/>
    <mergeCell ref="M941:M942"/>
    <mergeCell ref="N941:N942"/>
    <mergeCell ref="I943:I944"/>
    <mergeCell ref="J943:J944"/>
    <mergeCell ref="K943:K944"/>
    <mergeCell ref="L943:L944"/>
    <mergeCell ref="M943:M944"/>
    <mergeCell ref="N943:N944"/>
    <mergeCell ref="I947:I948"/>
    <mergeCell ref="J947:J948"/>
    <mergeCell ref="N851:P851"/>
    <mergeCell ref="N925:P925"/>
    <mergeCell ref="N888:P888"/>
    <mergeCell ref="N883:P883"/>
    <mergeCell ref="N920:P920"/>
    <mergeCell ref="N846:P846"/>
    <mergeCell ref="N809:P809"/>
    <mergeCell ref="N772:P772"/>
    <mergeCell ref="I910:I911"/>
    <mergeCell ref="J910:J911"/>
    <mergeCell ref="K910:K911"/>
    <mergeCell ref="L910:L911"/>
    <mergeCell ref="M910:M911"/>
    <mergeCell ref="N910:N911"/>
    <mergeCell ref="I912:M912"/>
    <mergeCell ref="I913:M913"/>
    <mergeCell ref="I914:M914"/>
    <mergeCell ref="I920:L920"/>
    <mergeCell ref="I904:I905"/>
    <mergeCell ref="J904:J905"/>
    <mergeCell ref="K904:K905"/>
    <mergeCell ref="L904:L905"/>
    <mergeCell ref="M904:M905"/>
    <mergeCell ref="N904:N905"/>
    <mergeCell ref="I906:I907"/>
    <mergeCell ref="J906:J907"/>
    <mergeCell ref="K906:K907"/>
    <mergeCell ref="L906:L907"/>
    <mergeCell ref="M906:M907"/>
    <mergeCell ref="N906:N907"/>
    <mergeCell ref="I908:I909"/>
    <mergeCell ref="J908:J909"/>
    <mergeCell ref="K908:K909"/>
    <mergeCell ref="L908:L909"/>
    <mergeCell ref="M908:M909"/>
    <mergeCell ref="N908:N909"/>
    <mergeCell ref="I875:M875"/>
    <mergeCell ref="I876:M876"/>
    <mergeCell ref="I877:M877"/>
    <mergeCell ref="I883:L883"/>
    <mergeCell ref="I898:P898"/>
    <mergeCell ref="I900:I901"/>
    <mergeCell ref="J900:J901"/>
    <mergeCell ref="K900:K901"/>
    <mergeCell ref="L900:L901"/>
    <mergeCell ref="M900:M901"/>
    <mergeCell ref="N900:N901"/>
    <mergeCell ref="O900:P900"/>
    <mergeCell ref="I902:I903"/>
    <mergeCell ref="J902:J903"/>
    <mergeCell ref="K902:K903"/>
    <mergeCell ref="L902:L903"/>
    <mergeCell ref="M902:M903"/>
    <mergeCell ref="N902:N903"/>
    <mergeCell ref="I869:I870"/>
    <mergeCell ref="J869:J870"/>
    <mergeCell ref="K869:K870"/>
    <mergeCell ref="L869:L870"/>
    <mergeCell ref="M869:M870"/>
    <mergeCell ref="N869:N870"/>
    <mergeCell ref="I871:I872"/>
    <mergeCell ref="J871:J872"/>
    <mergeCell ref="K871:K872"/>
    <mergeCell ref="L871:L872"/>
    <mergeCell ref="M871:M872"/>
    <mergeCell ref="N871:N872"/>
    <mergeCell ref="I873:I874"/>
    <mergeCell ref="J873:J874"/>
    <mergeCell ref="K873:K874"/>
    <mergeCell ref="L873:L874"/>
    <mergeCell ref="M873:M874"/>
    <mergeCell ref="N873:N874"/>
    <mergeCell ref="I861:P861"/>
    <mergeCell ref="I863:I864"/>
    <mergeCell ref="J863:J864"/>
    <mergeCell ref="K863:K864"/>
    <mergeCell ref="L863:L864"/>
    <mergeCell ref="M863:M864"/>
    <mergeCell ref="N863:N864"/>
    <mergeCell ref="O863:P863"/>
    <mergeCell ref="I865:I866"/>
    <mergeCell ref="J865:J866"/>
    <mergeCell ref="K865:K866"/>
    <mergeCell ref="L865:L866"/>
    <mergeCell ref="M865:M866"/>
    <mergeCell ref="N865:N866"/>
    <mergeCell ref="I867:I868"/>
    <mergeCell ref="J867:J868"/>
    <mergeCell ref="K867:K868"/>
    <mergeCell ref="L867:L868"/>
    <mergeCell ref="M867:M868"/>
    <mergeCell ref="N867:N868"/>
    <mergeCell ref="I834:I835"/>
    <mergeCell ref="J834:J835"/>
    <mergeCell ref="K834:K835"/>
    <mergeCell ref="L834:L835"/>
    <mergeCell ref="M834:M835"/>
    <mergeCell ref="N834:N835"/>
    <mergeCell ref="I836:I837"/>
    <mergeCell ref="J836:J837"/>
    <mergeCell ref="K836:K837"/>
    <mergeCell ref="L836:L837"/>
    <mergeCell ref="M836:M837"/>
    <mergeCell ref="N836:N837"/>
    <mergeCell ref="I838:M838"/>
    <mergeCell ref="I839:M839"/>
    <mergeCell ref="I840:M840"/>
    <mergeCell ref="I846:L846"/>
    <mergeCell ref="I828:I829"/>
    <mergeCell ref="J828:J829"/>
    <mergeCell ref="K828:K829"/>
    <mergeCell ref="L828:L829"/>
    <mergeCell ref="M828:M829"/>
    <mergeCell ref="N828:N829"/>
    <mergeCell ref="I830:I831"/>
    <mergeCell ref="J830:J831"/>
    <mergeCell ref="K830:K831"/>
    <mergeCell ref="L830:L831"/>
    <mergeCell ref="M830:M831"/>
    <mergeCell ref="N830:N831"/>
    <mergeCell ref="I832:I833"/>
    <mergeCell ref="J832:J833"/>
    <mergeCell ref="K832:K833"/>
    <mergeCell ref="L832:L833"/>
    <mergeCell ref="M832:M833"/>
    <mergeCell ref="N832:N833"/>
    <mergeCell ref="I799:I800"/>
    <mergeCell ref="J799:J800"/>
    <mergeCell ref="K799:K800"/>
    <mergeCell ref="L799:L800"/>
    <mergeCell ref="M799:M800"/>
    <mergeCell ref="N799:N800"/>
    <mergeCell ref="I801:M801"/>
    <mergeCell ref="I802:M802"/>
    <mergeCell ref="I803:M803"/>
    <mergeCell ref="I809:L809"/>
    <mergeCell ref="I824:P824"/>
    <mergeCell ref="I826:I827"/>
    <mergeCell ref="J826:J827"/>
    <mergeCell ref="K826:K827"/>
    <mergeCell ref="L826:L827"/>
    <mergeCell ref="M826:M827"/>
    <mergeCell ref="N826:N827"/>
    <mergeCell ref="O826:P826"/>
    <mergeCell ref="N814:P814"/>
    <mergeCell ref="I793:I794"/>
    <mergeCell ref="J793:J794"/>
    <mergeCell ref="K793:K794"/>
    <mergeCell ref="L793:L794"/>
    <mergeCell ref="M793:M794"/>
    <mergeCell ref="N793:N794"/>
    <mergeCell ref="I795:I796"/>
    <mergeCell ref="J795:J796"/>
    <mergeCell ref="K795:K796"/>
    <mergeCell ref="L795:L796"/>
    <mergeCell ref="M795:M796"/>
    <mergeCell ref="N795:N796"/>
    <mergeCell ref="I797:I798"/>
    <mergeCell ref="J797:J798"/>
    <mergeCell ref="K797:K798"/>
    <mergeCell ref="L797:L798"/>
    <mergeCell ref="M797:M798"/>
    <mergeCell ref="N797:N798"/>
    <mergeCell ref="I764:M764"/>
    <mergeCell ref="I765:M765"/>
    <mergeCell ref="I766:M766"/>
    <mergeCell ref="I772:L772"/>
    <mergeCell ref="I787:P787"/>
    <mergeCell ref="I789:I790"/>
    <mergeCell ref="J789:J790"/>
    <mergeCell ref="K789:K790"/>
    <mergeCell ref="L789:L790"/>
    <mergeCell ref="M789:M790"/>
    <mergeCell ref="N789:N790"/>
    <mergeCell ref="O789:P789"/>
    <mergeCell ref="I791:I792"/>
    <mergeCell ref="J791:J792"/>
    <mergeCell ref="K791:K792"/>
    <mergeCell ref="L791:L792"/>
    <mergeCell ref="M791:M792"/>
    <mergeCell ref="N791:N792"/>
    <mergeCell ref="N777:P777"/>
    <mergeCell ref="I758:I759"/>
    <mergeCell ref="J758:J759"/>
    <mergeCell ref="K758:K759"/>
    <mergeCell ref="L758:L759"/>
    <mergeCell ref="M758:M759"/>
    <mergeCell ref="N758:N759"/>
    <mergeCell ref="I760:I761"/>
    <mergeCell ref="J760:J761"/>
    <mergeCell ref="K760:K761"/>
    <mergeCell ref="L760:L761"/>
    <mergeCell ref="M760:M761"/>
    <mergeCell ref="N760:N761"/>
    <mergeCell ref="I762:I763"/>
    <mergeCell ref="J762:J763"/>
    <mergeCell ref="K762:K763"/>
    <mergeCell ref="L762:L763"/>
    <mergeCell ref="M762:M763"/>
    <mergeCell ref="N762:N763"/>
    <mergeCell ref="I750:P750"/>
    <mergeCell ref="I752:I753"/>
    <mergeCell ref="J752:J753"/>
    <mergeCell ref="K752:K753"/>
    <mergeCell ref="L752:L753"/>
    <mergeCell ref="M752:M753"/>
    <mergeCell ref="N752:N753"/>
    <mergeCell ref="O752:P752"/>
    <mergeCell ref="I754:I755"/>
    <mergeCell ref="J754:J755"/>
    <mergeCell ref="K754:K755"/>
    <mergeCell ref="L754:L755"/>
    <mergeCell ref="M754:M755"/>
    <mergeCell ref="N754:N755"/>
    <mergeCell ref="I756:I757"/>
    <mergeCell ref="J756:J757"/>
    <mergeCell ref="K756:K757"/>
    <mergeCell ref="L756:L757"/>
    <mergeCell ref="M756:M757"/>
    <mergeCell ref="N756:N757"/>
    <mergeCell ref="I723:I724"/>
    <mergeCell ref="J723:J724"/>
    <mergeCell ref="K723:K724"/>
    <mergeCell ref="L723:L724"/>
    <mergeCell ref="M723:M724"/>
    <mergeCell ref="N723:N724"/>
    <mergeCell ref="I725:I726"/>
    <mergeCell ref="J725:J726"/>
    <mergeCell ref="K725:K726"/>
    <mergeCell ref="L725:L726"/>
    <mergeCell ref="M725:M726"/>
    <mergeCell ref="N725:N726"/>
    <mergeCell ref="I727:M727"/>
    <mergeCell ref="I728:M728"/>
    <mergeCell ref="I729:M729"/>
    <mergeCell ref="I735:L735"/>
    <mergeCell ref="I717:I718"/>
    <mergeCell ref="J717:J718"/>
    <mergeCell ref="K717:K718"/>
    <mergeCell ref="L717:L718"/>
    <mergeCell ref="M717:M718"/>
    <mergeCell ref="N717:N718"/>
    <mergeCell ref="I719:I720"/>
    <mergeCell ref="J719:J720"/>
    <mergeCell ref="K719:K720"/>
    <mergeCell ref="L719:L720"/>
    <mergeCell ref="M719:M720"/>
    <mergeCell ref="N719:N720"/>
    <mergeCell ref="I721:I722"/>
    <mergeCell ref="J721:J722"/>
    <mergeCell ref="K721:K722"/>
    <mergeCell ref="L721:L722"/>
    <mergeCell ref="M721:M722"/>
    <mergeCell ref="N721:N722"/>
    <mergeCell ref="I690:M690"/>
    <mergeCell ref="I691:M691"/>
    <mergeCell ref="I692:M692"/>
    <mergeCell ref="I698:L698"/>
    <mergeCell ref="I686:I687"/>
    <mergeCell ref="J686:J687"/>
    <mergeCell ref="K686:K687"/>
    <mergeCell ref="L686:L687"/>
    <mergeCell ref="M686:M687"/>
    <mergeCell ref="N686:N687"/>
    <mergeCell ref="I713:P713"/>
    <mergeCell ref="I715:I716"/>
    <mergeCell ref="J715:J716"/>
    <mergeCell ref="K715:K716"/>
    <mergeCell ref="L715:L716"/>
    <mergeCell ref="M715:M716"/>
    <mergeCell ref="N715:N716"/>
    <mergeCell ref="O715:P715"/>
    <mergeCell ref="I682:I683"/>
    <mergeCell ref="J682:J683"/>
    <mergeCell ref="K682:K683"/>
    <mergeCell ref="L682:L683"/>
    <mergeCell ref="M682:M683"/>
    <mergeCell ref="N682:N683"/>
    <mergeCell ref="I684:I685"/>
    <mergeCell ref="J684:J685"/>
    <mergeCell ref="K684:K685"/>
    <mergeCell ref="L684:L685"/>
    <mergeCell ref="M684:M685"/>
    <mergeCell ref="N684:N685"/>
    <mergeCell ref="I688:I689"/>
    <mergeCell ref="J688:J689"/>
    <mergeCell ref="K688:K689"/>
    <mergeCell ref="L688:L689"/>
    <mergeCell ref="M688:M689"/>
    <mergeCell ref="N688:N689"/>
    <mergeCell ref="I674:P674"/>
    <mergeCell ref="I676:I677"/>
    <mergeCell ref="J676:J677"/>
    <mergeCell ref="K676:K677"/>
    <mergeCell ref="L676:L677"/>
    <mergeCell ref="M676:M677"/>
    <mergeCell ref="N676:N677"/>
    <mergeCell ref="O676:P676"/>
    <mergeCell ref="I678:I679"/>
    <mergeCell ref="J678:J679"/>
    <mergeCell ref="K678:K679"/>
    <mergeCell ref="L678:L679"/>
    <mergeCell ref="M678:M679"/>
    <mergeCell ref="N678:N679"/>
    <mergeCell ref="I680:I681"/>
    <mergeCell ref="J680:J681"/>
    <mergeCell ref="K680:K681"/>
    <mergeCell ref="L680:L681"/>
    <mergeCell ref="M680:M681"/>
    <mergeCell ref="N680:N681"/>
    <mergeCell ref="I170:M170"/>
    <mergeCell ref="I171:M171"/>
    <mergeCell ref="I172:M172"/>
    <mergeCell ref="I178:L178"/>
    <mergeCell ref="I164:I165"/>
    <mergeCell ref="J164:J165"/>
    <mergeCell ref="K164:K165"/>
    <mergeCell ref="L164:L165"/>
    <mergeCell ref="M164:M165"/>
    <mergeCell ref="N164:N165"/>
    <mergeCell ref="I166:I167"/>
    <mergeCell ref="J166:J167"/>
    <mergeCell ref="K166:K167"/>
    <mergeCell ref="L166:L167"/>
    <mergeCell ref="M166:M167"/>
    <mergeCell ref="N166:N167"/>
    <mergeCell ref="I168:I169"/>
    <mergeCell ref="J168:J169"/>
    <mergeCell ref="K168:K169"/>
    <mergeCell ref="L168:L169"/>
    <mergeCell ref="M168:M169"/>
    <mergeCell ref="N168:N169"/>
    <mergeCell ref="I156:P156"/>
    <mergeCell ref="I158:I159"/>
    <mergeCell ref="J158:J159"/>
    <mergeCell ref="K158:K159"/>
    <mergeCell ref="L158:L159"/>
    <mergeCell ref="M158:M159"/>
    <mergeCell ref="N158:N159"/>
    <mergeCell ref="O158:P158"/>
    <mergeCell ref="I160:I161"/>
    <mergeCell ref="J160:J161"/>
    <mergeCell ref="K160:K161"/>
    <mergeCell ref="L160:L161"/>
    <mergeCell ref="M160:M161"/>
    <mergeCell ref="N160:N161"/>
    <mergeCell ref="I162:I163"/>
    <mergeCell ref="J162:J163"/>
    <mergeCell ref="K162:K163"/>
    <mergeCell ref="L162:L163"/>
    <mergeCell ref="M162:M163"/>
    <mergeCell ref="N162:N163"/>
    <mergeCell ref="A1470:A1471"/>
    <mergeCell ref="B1470:B1471"/>
    <mergeCell ref="C1470:C1471"/>
    <mergeCell ref="D1470:D1471"/>
    <mergeCell ref="E1470:E1471"/>
    <mergeCell ref="F1470:F1471"/>
    <mergeCell ref="A1472:E1472"/>
    <mergeCell ref="A1473:E1473"/>
    <mergeCell ref="A1474:E1474"/>
    <mergeCell ref="A1480:D1480"/>
    <mergeCell ref="A1464:A1465"/>
    <mergeCell ref="B1464:B1465"/>
    <mergeCell ref="C1464:C1465"/>
    <mergeCell ref="D1464:D1465"/>
    <mergeCell ref="E1464:E1465"/>
    <mergeCell ref="F1464:F1465"/>
    <mergeCell ref="A1466:A1467"/>
    <mergeCell ref="B1466:B1467"/>
    <mergeCell ref="C1466:C1467"/>
    <mergeCell ref="D1466:D1467"/>
    <mergeCell ref="E1466:E1467"/>
    <mergeCell ref="F1466:F1467"/>
    <mergeCell ref="A1468:A1469"/>
    <mergeCell ref="B1468:B1469"/>
    <mergeCell ref="C1468:C1469"/>
    <mergeCell ref="D1468:D1469"/>
    <mergeCell ref="E1468:E1469"/>
    <mergeCell ref="F1468:F1469"/>
    <mergeCell ref="A1458:H1458"/>
    <mergeCell ref="A1460:A1461"/>
    <mergeCell ref="B1460:B1461"/>
    <mergeCell ref="C1460:C1461"/>
    <mergeCell ref="D1460:D1461"/>
    <mergeCell ref="E1460:E1461"/>
    <mergeCell ref="F1460:F1461"/>
    <mergeCell ref="G1460:H1460"/>
    <mergeCell ref="A1462:A1463"/>
    <mergeCell ref="B1462:B1463"/>
    <mergeCell ref="C1462:C1463"/>
    <mergeCell ref="D1462:D1463"/>
    <mergeCell ref="E1462:E1463"/>
    <mergeCell ref="F1462:F1463"/>
    <mergeCell ref="A1436:E1436"/>
    <mergeCell ref="A1437:E1437"/>
    <mergeCell ref="A1438:E1438"/>
    <mergeCell ref="A1444:D1444"/>
    <mergeCell ref="A1430:A1431"/>
    <mergeCell ref="B1430:B1431"/>
    <mergeCell ref="C1430:C1431"/>
    <mergeCell ref="D1430:D1431"/>
    <mergeCell ref="E1430:E1431"/>
    <mergeCell ref="F1430:F1431"/>
    <mergeCell ref="A1432:A1433"/>
    <mergeCell ref="B1432:B1433"/>
    <mergeCell ref="C1432:C1433"/>
    <mergeCell ref="D1432:D1433"/>
    <mergeCell ref="E1432:E1433"/>
    <mergeCell ref="F1432:F1433"/>
    <mergeCell ref="A1434:A1435"/>
    <mergeCell ref="B1434:B1435"/>
    <mergeCell ref="C1434:C1435"/>
    <mergeCell ref="D1434:D1435"/>
    <mergeCell ref="E1434:E1435"/>
    <mergeCell ref="F1434:F1435"/>
    <mergeCell ref="A1422:H1422"/>
    <mergeCell ref="A1424:A1425"/>
    <mergeCell ref="B1424:B1425"/>
    <mergeCell ref="C1424:C1425"/>
    <mergeCell ref="D1424:D1425"/>
    <mergeCell ref="E1424:E1425"/>
    <mergeCell ref="F1424:F1425"/>
    <mergeCell ref="G1424:H1424"/>
    <mergeCell ref="A1426:A1427"/>
    <mergeCell ref="B1426:B1427"/>
    <mergeCell ref="C1426:C1427"/>
    <mergeCell ref="D1426:D1427"/>
    <mergeCell ref="E1426:E1427"/>
    <mergeCell ref="F1426:F1427"/>
    <mergeCell ref="A1428:A1429"/>
    <mergeCell ref="B1428:B1429"/>
    <mergeCell ref="C1428:C1429"/>
    <mergeCell ref="D1428:D1429"/>
    <mergeCell ref="E1428:E1429"/>
    <mergeCell ref="F1428:F1429"/>
    <mergeCell ref="A1284:A1285"/>
    <mergeCell ref="B1284:B1285"/>
    <mergeCell ref="C1284:C1285"/>
    <mergeCell ref="D1284:D1285"/>
    <mergeCell ref="E1284:E1285"/>
    <mergeCell ref="F1284:F1285"/>
    <mergeCell ref="A1286:E1286"/>
    <mergeCell ref="A1287:E1287"/>
    <mergeCell ref="A1288:E1288"/>
    <mergeCell ref="A1294:D1294"/>
    <mergeCell ref="A1278:A1279"/>
    <mergeCell ref="B1278:B1279"/>
    <mergeCell ref="C1278:C1279"/>
    <mergeCell ref="D1278:D1279"/>
    <mergeCell ref="E1278:E1279"/>
    <mergeCell ref="F1278:F1279"/>
    <mergeCell ref="A1280:A1281"/>
    <mergeCell ref="B1280:B1281"/>
    <mergeCell ref="C1280:C1281"/>
    <mergeCell ref="D1280:D1281"/>
    <mergeCell ref="E1280:E1281"/>
    <mergeCell ref="F1280:F1281"/>
    <mergeCell ref="A1282:A1283"/>
    <mergeCell ref="B1282:B1283"/>
    <mergeCell ref="C1282:C1283"/>
    <mergeCell ref="D1282:D1283"/>
    <mergeCell ref="E1282:E1283"/>
    <mergeCell ref="F1282:F1283"/>
    <mergeCell ref="A1249:E1249"/>
    <mergeCell ref="A1250:E1250"/>
    <mergeCell ref="A1251:E1251"/>
    <mergeCell ref="A1257:D1257"/>
    <mergeCell ref="A1272:H1272"/>
    <mergeCell ref="A1274:A1275"/>
    <mergeCell ref="B1274:B1275"/>
    <mergeCell ref="C1274:C1275"/>
    <mergeCell ref="D1274:D1275"/>
    <mergeCell ref="E1274:E1275"/>
    <mergeCell ref="F1274:F1275"/>
    <mergeCell ref="G1274:H1274"/>
    <mergeCell ref="A1276:A1277"/>
    <mergeCell ref="B1276:B1277"/>
    <mergeCell ref="C1276:C1277"/>
    <mergeCell ref="D1276:D1277"/>
    <mergeCell ref="E1276:E1277"/>
    <mergeCell ref="F1276:F1277"/>
    <mergeCell ref="A1243:A1244"/>
    <mergeCell ref="B1243:B1244"/>
    <mergeCell ref="C1243:C1244"/>
    <mergeCell ref="D1243:D1244"/>
    <mergeCell ref="E1243:E1244"/>
    <mergeCell ref="F1243:F1244"/>
    <mergeCell ref="A1245:A1246"/>
    <mergeCell ref="B1245:B1246"/>
    <mergeCell ref="C1245:C1246"/>
    <mergeCell ref="D1245:D1246"/>
    <mergeCell ref="E1245:E1246"/>
    <mergeCell ref="F1245:F1246"/>
    <mergeCell ref="A1247:A1248"/>
    <mergeCell ref="B1247:B1248"/>
    <mergeCell ref="C1247:C1248"/>
    <mergeCell ref="D1247:D1248"/>
    <mergeCell ref="E1247:E1248"/>
    <mergeCell ref="F1247:F1248"/>
    <mergeCell ref="A1235:H1235"/>
    <mergeCell ref="A1237:A1238"/>
    <mergeCell ref="B1237:B1238"/>
    <mergeCell ref="C1237:C1238"/>
    <mergeCell ref="D1237:D1238"/>
    <mergeCell ref="E1237:E1238"/>
    <mergeCell ref="F1237:F1238"/>
    <mergeCell ref="G1237:H1237"/>
    <mergeCell ref="A1239:A1240"/>
    <mergeCell ref="B1239:B1240"/>
    <mergeCell ref="C1239:C1240"/>
    <mergeCell ref="D1239:D1240"/>
    <mergeCell ref="E1239:E1240"/>
    <mergeCell ref="F1239:F1240"/>
    <mergeCell ref="A1241:A1242"/>
    <mergeCell ref="B1241:B1242"/>
    <mergeCell ref="C1241:C1242"/>
    <mergeCell ref="D1241:D1242"/>
    <mergeCell ref="E1241:E1242"/>
    <mergeCell ref="F1241:F1242"/>
    <mergeCell ref="A1175:E1175"/>
    <mergeCell ref="A1176:E1176"/>
    <mergeCell ref="A1177:E1177"/>
    <mergeCell ref="A1183:D1183"/>
    <mergeCell ref="A1169:A1170"/>
    <mergeCell ref="B1169:B1170"/>
    <mergeCell ref="C1169:C1170"/>
    <mergeCell ref="D1169:D1170"/>
    <mergeCell ref="E1169:E1170"/>
    <mergeCell ref="F1169:F1170"/>
    <mergeCell ref="A1171:A1172"/>
    <mergeCell ref="B1171:B1172"/>
    <mergeCell ref="C1171:C1172"/>
    <mergeCell ref="D1171:D1172"/>
    <mergeCell ref="E1171:E1172"/>
    <mergeCell ref="F1171:F1172"/>
    <mergeCell ref="A1173:A1174"/>
    <mergeCell ref="B1173:B1174"/>
    <mergeCell ref="C1173:C1174"/>
    <mergeCell ref="D1173:D1174"/>
    <mergeCell ref="E1173:E1174"/>
    <mergeCell ref="F1173:F1174"/>
    <mergeCell ref="A1161:H1161"/>
    <mergeCell ref="A1163:A1164"/>
    <mergeCell ref="B1163:B1164"/>
    <mergeCell ref="C1163:C1164"/>
    <mergeCell ref="D1163:D1164"/>
    <mergeCell ref="E1163:E1164"/>
    <mergeCell ref="F1163:F1164"/>
    <mergeCell ref="G1163:H1163"/>
    <mergeCell ref="A1165:A1166"/>
    <mergeCell ref="B1165:B1166"/>
    <mergeCell ref="C1165:C1166"/>
    <mergeCell ref="D1165:D1166"/>
    <mergeCell ref="E1165:E1166"/>
    <mergeCell ref="F1165:F1166"/>
    <mergeCell ref="A1167:A1168"/>
    <mergeCell ref="B1167:B1168"/>
    <mergeCell ref="C1167:C1168"/>
    <mergeCell ref="D1167:D1168"/>
    <mergeCell ref="E1167:E1168"/>
    <mergeCell ref="F1167:F1168"/>
    <mergeCell ref="A1101:E1101"/>
    <mergeCell ref="A1102:E1102"/>
    <mergeCell ref="A1103:E1103"/>
    <mergeCell ref="A1109:D1109"/>
    <mergeCell ref="A1095:A1096"/>
    <mergeCell ref="B1095:B1096"/>
    <mergeCell ref="C1095:C1096"/>
    <mergeCell ref="D1095:D1096"/>
    <mergeCell ref="E1095:E1096"/>
    <mergeCell ref="F1095:F1096"/>
    <mergeCell ref="A1097:A1098"/>
    <mergeCell ref="B1097:B1098"/>
    <mergeCell ref="C1097:C1098"/>
    <mergeCell ref="D1097:D1098"/>
    <mergeCell ref="E1097:E1098"/>
    <mergeCell ref="F1097:F1098"/>
    <mergeCell ref="A1099:A1100"/>
    <mergeCell ref="B1099:B1100"/>
    <mergeCell ref="C1099:C1100"/>
    <mergeCell ref="D1099:D1100"/>
    <mergeCell ref="E1099:E1100"/>
    <mergeCell ref="F1099:F1100"/>
    <mergeCell ref="A1089:A1090"/>
    <mergeCell ref="B1089:B1090"/>
    <mergeCell ref="C1089:C1090"/>
    <mergeCell ref="D1089:D1090"/>
    <mergeCell ref="E1089:E1090"/>
    <mergeCell ref="F1089:F1090"/>
    <mergeCell ref="G1089:H1089"/>
    <mergeCell ref="A1091:A1092"/>
    <mergeCell ref="B1091:B1092"/>
    <mergeCell ref="C1091:C1092"/>
    <mergeCell ref="D1091:D1092"/>
    <mergeCell ref="E1091:E1092"/>
    <mergeCell ref="F1091:F1092"/>
    <mergeCell ref="A1093:A1094"/>
    <mergeCell ref="B1093:B1094"/>
    <mergeCell ref="C1093:C1094"/>
    <mergeCell ref="D1093:D1094"/>
    <mergeCell ref="E1093:E1094"/>
    <mergeCell ref="F1093:F1094"/>
    <mergeCell ref="A1062:A1063"/>
    <mergeCell ref="B1062:B1063"/>
    <mergeCell ref="C1062:C1063"/>
    <mergeCell ref="D1062:D1063"/>
    <mergeCell ref="E1062:E1063"/>
    <mergeCell ref="F1062:F1063"/>
    <mergeCell ref="A1064:E1064"/>
    <mergeCell ref="A1065:E1065"/>
    <mergeCell ref="A1066:E1066"/>
    <mergeCell ref="A1072:D1072"/>
    <mergeCell ref="C1027:C1028"/>
    <mergeCell ref="A1087:H1087"/>
    <mergeCell ref="A1056:A1057"/>
    <mergeCell ref="B1056:B1057"/>
    <mergeCell ref="C1056:C1057"/>
    <mergeCell ref="D1056:D1057"/>
    <mergeCell ref="E1056:E1057"/>
    <mergeCell ref="F1056:F1057"/>
    <mergeCell ref="A1058:A1059"/>
    <mergeCell ref="B1058:B1059"/>
    <mergeCell ref="C1058:C1059"/>
    <mergeCell ref="D1058:D1059"/>
    <mergeCell ref="E1058:E1059"/>
    <mergeCell ref="F1058:F1059"/>
    <mergeCell ref="A1060:A1061"/>
    <mergeCell ref="B1060:B1061"/>
    <mergeCell ref="C1060:C1061"/>
    <mergeCell ref="D1060:D1061"/>
    <mergeCell ref="E1060:E1061"/>
    <mergeCell ref="F1060:F1061"/>
    <mergeCell ref="A1029:E1029"/>
    <mergeCell ref="A1030:E1030"/>
    <mergeCell ref="A1031:E1031"/>
    <mergeCell ref="A1037:D1037"/>
    <mergeCell ref="A1050:H1050"/>
    <mergeCell ref="A1052:A1053"/>
    <mergeCell ref="B1052:B1053"/>
    <mergeCell ref="C1052:C1053"/>
    <mergeCell ref="D1052:D1053"/>
    <mergeCell ref="E1052:E1053"/>
    <mergeCell ref="F1052:F1053"/>
    <mergeCell ref="G1052:H1052"/>
    <mergeCell ref="A1054:A1055"/>
    <mergeCell ref="B1054:B1055"/>
    <mergeCell ref="C1054:C1055"/>
    <mergeCell ref="D1054:D1055"/>
    <mergeCell ref="E1054:E1055"/>
    <mergeCell ref="F1054:F1055"/>
    <mergeCell ref="A1023:A1024"/>
    <mergeCell ref="B1023:B1024"/>
    <mergeCell ref="C1023:C1024"/>
    <mergeCell ref="D1023:D1024"/>
    <mergeCell ref="E1023:E1024"/>
    <mergeCell ref="F1023:F1024"/>
    <mergeCell ref="A1025:A1026"/>
    <mergeCell ref="B1025:B1026"/>
    <mergeCell ref="C1025:C1026"/>
    <mergeCell ref="D1025:D1026"/>
    <mergeCell ref="E1025:E1026"/>
    <mergeCell ref="F1025:F1026"/>
    <mergeCell ref="A1027:A1028"/>
    <mergeCell ref="B1027:B1028"/>
    <mergeCell ref="D1027:D1028"/>
    <mergeCell ref="E1027:E1028"/>
    <mergeCell ref="F1027:F1028"/>
    <mergeCell ref="A1015:H1015"/>
    <mergeCell ref="A1017:A1018"/>
    <mergeCell ref="B1017:B1018"/>
    <mergeCell ref="C1017:C1018"/>
    <mergeCell ref="D1017:D1018"/>
    <mergeCell ref="E1017:E1018"/>
    <mergeCell ref="F1017:F1018"/>
    <mergeCell ref="G1017:H1017"/>
    <mergeCell ref="A1019:A1020"/>
    <mergeCell ref="B1019:B1020"/>
    <mergeCell ref="C1019:C1020"/>
    <mergeCell ref="D1019:D1020"/>
    <mergeCell ref="E1019:E1020"/>
    <mergeCell ref="F1019:F1020"/>
    <mergeCell ref="A1021:A1022"/>
    <mergeCell ref="B1021:B1022"/>
    <mergeCell ref="C1021:C1022"/>
    <mergeCell ref="D1021:D1022"/>
    <mergeCell ref="E1021:E1022"/>
    <mergeCell ref="F1021:F1022"/>
    <mergeCell ref="A992:E992"/>
    <mergeCell ref="A993:E993"/>
    <mergeCell ref="A994:E994"/>
    <mergeCell ref="A1000:D1000"/>
    <mergeCell ref="A986:A987"/>
    <mergeCell ref="B986:B987"/>
    <mergeCell ref="C986:C987"/>
    <mergeCell ref="D986:D987"/>
    <mergeCell ref="E986:E987"/>
    <mergeCell ref="F986:F987"/>
    <mergeCell ref="A988:A989"/>
    <mergeCell ref="B988:B989"/>
    <mergeCell ref="C988:C989"/>
    <mergeCell ref="D988:D989"/>
    <mergeCell ref="E988:E989"/>
    <mergeCell ref="F988:F989"/>
    <mergeCell ref="A990:A991"/>
    <mergeCell ref="B990:B991"/>
    <mergeCell ref="C990:C991"/>
    <mergeCell ref="D990:D991"/>
    <mergeCell ref="E990:E991"/>
    <mergeCell ref="F990:F991"/>
    <mergeCell ref="A976:H976"/>
    <mergeCell ref="A978:A979"/>
    <mergeCell ref="B978:B979"/>
    <mergeCell ref="C978:C979"/>
    <mergeCell ref="D978:D979"/>
    <mergeCell ref="E978:E979"/>
    <mergeCell ref="F978:F979"/>
    <mergeCell ref="G978:H978"/>
    <mergeCell ref="A980:A981"/>
    <mergeCell ref="B980:B981"/>
    <mergeCell ref="C980:C981"/>
    <mergeCell ref="D980:D981"/>
    <mergeCell ref="E980:E981"/>
    <mergeCell ref="F980:F981"/>
    <mergeCell ref="A982:A983"/>
    <mergeCell ref="B982:B983"/>
    <mergeCell ref="C982:C983"/>
    <mergeCell ref="D982:D983"/>
    <mergeCell ref="E982:E983"/>
    <mergeCell ref="F982:F983"/>
    <mergeCell ref="A875:A876"/>
    <mergeCell ref="B875:B876"/>
    <mergeCell ref="C875:C876"/>
    <mergeCell ref="D875:D876"/>
    <mergeCell ref="E875:E876"/>
    <mergeCell ref="F875:F876"/>
    <mergeCell ref="A877:E877"/>
    <mergeCell ref="A878:E878"/>
    <mergeCell ref="A879:E879"/>
    <mergeCell ref="A885:D885"/>
    <mergeCell ref="A869:A870"/>
    <mergeCell ref="B869:B870"/>
    <mergeCell ref="C869:C870"/>
    <mergeCell ref="D869:D870"/>
    <mergeCell ref="E869:E870"/>
    <mergeCell ref="F869:F870"/>
    <mergeCell ref="A871:A872"/>
    <mergeCell ref="B871:B872"/>
    <mergeCell ref="C871:C872"/>
    <mergeCell ref="D871:D872"/>
    <mergeCell ref="E871:E872"/>
    <mergeCell ref="F871:F872"/>
    <mergeCell ref="A873:A874"/>
    <mergeCell ref="B873:B874"/>
    <mergeCell ref="C873:C874"/>
    <mergeCell ref="D873:D874"/>
    <mergeCell ref="E873:E874"/>
    <mergeCell ref="F873:F874"/>
    <mergeCell ref="A840:E840"/>
    <mergeCell ref="A841:E841"/>
    <mergeCell ref="A842:E842"/>
    <mergeCell ref="A848:D848"/>
    <mergeCell ref="A863:H863"/>
    <mergeCell ref="A865:A866"/>
    <mergeCell ref="B865:B866"/>
    <mergeCell ref="C865:C866"/>
    <mergeCell ref="D865:D866"/>
    <mergeCell ref="E865:E866"/>
    <mergeCell ref="F865:F866"/>
    <mergeCell ref="G865:H865"/>
    <mergeCell ref="A867:A868"/>
    <mergeCell ref="B867:B868"/>
    <mergeCell ref="C867:C868"/>
    <mergeCell ref="D867:D868"/>
    <mergeCell ref="E867:E868"/>
    <mergeCell ref="F867:F868"/>
    <mergeCell ref="A834:A835"/>
    <mergeCell ref="B834:B835"/>
    <mergeCell ref="C834:C835"/>
    <mergeCell ref="D834:D835"/>
    <mergeCell ref="E834:E835"/>
    <mergeCell ref="F834:F835"/>
    <mergeCell ref="A836:A837"/>
    <mergeCell ref="B836:B837"/>
    <mergeCell ref="C836:C837"/>
    <mergeCell ref="D836:D837"/>
    <mergeCell ref="E836:E837"/>
    <mergeCell ref="F836:F837"/>
    <mergeCell ref="A838:A839"/>
    <mergeCell ref="B838:B839"/>
    <mergeCell ref="C838:C839"/>
    <mergeCell ref="D838:D839"/>
    <mergeCell ref="E838:E839"/>
    <mergeCell ref="F838:F839"/>
    <mergeCell ref="A826:H826"/>
    <mergeCell ref="A828:A829"/>
    <mergeCell ref="B828:B829"/>
    <mergeCell ref="C828:C829"/>
    <mergeCell ref="D828:D829"/>
    <mergeCell ref="E828:E829"/>
    <mergeCell ref="F828:F829"/>
    <mergeCell ref="G828:H828"/>
    <mergeCell ref="A830:A831"/>
    <mergeCell ref="B830:B831"/>
    <mergeCell ref="C830:C831"/>
    <mergeCell ref="D830:D831"/>
    <mergeCell ref="E830:E831"/>
    <mergeCell ref="F830:F831"/>
    <mergeCell ref="A832:A833"/>
    <mergeCell ref="B832:B833"/>
    <mergeCell ref="C832:C833"/>
    <mergeCell ref="D832:D833"/>
    <mergeCell ref="E832:E833"/>
    <mergeCell ref="F832:F833"/>
    <mergeCell ref="A803:E803"/>
    <mergeCell ref="A804:E804"/>
    <mergeCell ref="A805:E805"/>
    <mergeCell ref="A811:D811"/>
    <mergeCell ref="A801:A802"/>
    <mergeCell ref="B801:B802"/>
    <mergeCell ref="C801:C802"/>
    <mergeCell ref="D801:D802"/>
    <mergeCell ref="E801:E802"/>
    <mergeCell ref="F801:F802"/>
    <mergeCell ref="A797:A798"/>
    <mergeCell ref="B797:B798"/>
    <mergeCell ref="C797:C798"/>
    <mergeCell ref="D797:D798"/>
    <mergeCell ref="E797:E798"/>
    <mergeCell ref="F797:F798"/>
    <mergeCell ref="A799:A800"/>
    <mergeCell ref="B799:B800"/>
    <mergeCell ref="C799:C800"/>
    <mergeCell ref="D799:D800"/>
    <mergeCell ref="E799:E800"/>
    <mergeCell ref="F799:F800"/>
    <mergeCell ref="A793:A794"/>
    <mergeCell ref="B793:B794"/>
    <mergeCell ref="C793:C794"/>
    <mergeCell ref="D793:D794"/>
    <mergeCell ref="E793:E794"/>
    <mergeCell ref="F793:F794"/>
    <mergeCell ref="A795:A796"/>
    <mergeCell ref="B795:B796"/>
    <mergeCell ref="C795:C796"/>
    <mergeCell ref="D795:D796"/>
    <mergeCell ref="E795:E796"/>
    <mergeCell ref="F795:F796"/>
    <mergeCell ref="A774:D774"/>
    <mergeCell ref="A789:H789"/>
    <mergeCell ref="A791:A792"/>
    <mergeCell ref="B791:B792"/>
    <mergeCell ref="C791:C792"/>
    <mergeCell ref="D791:D792"/>
    <mergeCell ref="E791:E792"/>
    <mergeCell ref="F791:F792"/>
    <mergeCell ref="G791:H791"/>
    <mergeCell ref="A764:A765"/>
    <mergeCell ref="B764:B765"/>
    <mergeCell ref="C764:C765"/>
    <mergeCell ref="D764:D765"/>
    <mergeCell ref="E764:E765"/>
    <mergeCell ref="F764:F765"/>
    <mergeCell ref="A766:E766"/>
    <mergeCell ref="A767:E767"/>
    <mergeCell ref="A768:E768"/>
    <mergeCell ref="A762:A763"/>
    <mergeCell ref="B762:B763"/>
    <mergeCell ref="C762:C763"/>
    <mergeCell ref="D762:D763"/>
    <mergeCell ref="E762:E763"/>
    <mergeCell ref="F762:F763"/>
    <mergeCell ref="A758:A759"/>
    <mergeCell ref="B758:B759"/>
    <mergeCell ref="C758:C759"/>
    <mergeCell ref="D758:D759"/>
    <mergeCell ref="E758:E759"/>
    <mergeCell ref="F758:F759"/>
    <mergeCell ref="A760:A761"/>
    <mergeCell ref="B760:B761"/>
    <mergeCell ref="C760:C761"/>
    <mergeCell ref="D760:D761"/>
    <mergeCell ref="E760:E761"/>
    <mergeCell ref="F760:F761"/>
    <mergeCell ref="A752:H752"/>
    <mergeCell ref="A754:A755"/>
    <mergeCell ref="B754:B755"/>
    <mergeCell ref="C754:C755"/>
    <mergeCell ref="D754:D755"/>
    <mergeCell ref="E754:E755"/>
    <mergeCell ref="F754:F755"/>
    <mergeCell ref="G754:H754"/>
    <mergeCell ref="A756:A757"/>
    <mergeCell ref="B756:B757"/>
    <mergeCell ref="C756:C757"/>
    <mergeCell ref="D756:D757"/>
    <mergeCell ref="E756:E757"/>
    <mergeCell ref="F756:F757"/>
    <mergeCell ref="A737:D737"/>
    <mergeCell ref="A727:A728"/>
    <mergeCell ref="B727:B728"/>
    <mergeCell ref="C727:C728"/>
    <mergeCell ref="D727:D728"/>
    <mergeCell ref="E727:E728"/>
    <mergeCell ref="F727:F728"/>
    <mergeCell ref="A729:E729"/>
    <mergeCell ref="A730:E730"/>
    <mergeCell ref="A731:E731"/>
    <mergeCell ref="A721:A722"/>
    <mergeCell ref="B721:B722"/>
    <mergeCell ref="C721:C722"/>
    <mergeCell ref="D721:D722"/>
    <mergeCell ref="E721:E722"/>
    <mergeCell ref="F721:F722"/>
    <mergeCell ref="A723:A724"/>
    <mergeCell ref="B723:B724"/>
    <mergeCell ref="C723:C724"/>
    <mergeCell ref="D723:D724"/>
    <mergeCell ref="E723:E724"/>
    <mergeCell ref="F723:F724"/>
    <mergeCell ref="A717:A718"/>
    <mergeCell ref="B717:B718"/>
    <mergeCell ref="C717:C718"/>
    <mergeCell ref="D717:D718"/>
    <mergeCell ref="E717:E718"/>
    <mergeCell ref="F717:F718"/>
    <mergeCell ref="A719:A720"/>
    <mergeCell ref="B719:B720"/>
    <mergeCell ref="C719:C720"/>
    <mergeCell ref="D719:D720"/>
    <mergeCell ref="E719:E720"/>
    <mergeCell ref="F719:F720"/>
    <mergeCell ref="A690:E690"/>
    <mergeCell ref="A691:E691"/>
    <mergeCell ref="A692:E692"/>
    <mergeCell ref="A698:D698"/>
    <mergeCell ref="A713:H713"/>
    <mergeCell ref="A715:A716"/>
    <mergeCell ref="B715:B716"/>
    <mergeCell ref="C715:C716"/>
    <mergeCell ref="D715:D716"/>
    <mergeCell ref="E715:E716"/>
    <mergeCell ref="F715:F716"/>
    <mergeCell ref="G715:H715"/>
    <mergeCell ref="A684:A685"/>
    <mergeCell ref="B684:B685"/>
    <mergeCell ref="C684:C685"/>
    <mergeCell ref="D684:D685"/>
    <mergeCell ref="E684:E685"/>
    <mergeCell ref="F684:F685"/>
    <mergeCell ref="A688:A689"/>
    <mergeCell ref="B688:B689"/>
    <mergeCell ref="C688:C689"/>
    <mergeCell ref="D688:D689"/>
    <mergeCell ref="E688:E689"/>
    <mergeCell ref="F688:F689"/>
    <mergeCell ref="A674:H674"/>
    <mergeCell ref="A676:A677"/>
    <mergeCell ref="B676:B677"/>
    <mergeCell ref="C676:C677"/>
    <mergeCell ref="D676:D677"/>
    <mergeCell ref="E676:E677"/>
    <mergeCell ref="F676:F677"/>
    <mergeCell ref="G676:H676"/>
    <mergeCell ref="A678:A679"/>
    <mergeCell ref="B678:B679"/>
    <mergeCell ref="C678:C679"/>
    <mergeCell ref="D678:D679"/>
    <mergeCell ref="E678:E679"/>
    <mergeCell ref="F678:F679"/>
    <mergeCell ref="A680:A681"/>
    <mergeCell ref="B680:B681"/>
    <mergeCell ref="C680:C681"/>
    <mergeCell ref="D680:D681"/>
    <mergeCell ref="E680:E681"/>
    <mergeCell ref="F680:F681"/>
    <mergeCell ref="A682:A683"/>
    <mergeCell ref="B682:B683"/>
    <mergeCell ref="C682:C683"/>
    <mergeCell ref="D682:D683"/>
    <mergeCell ref="E682:E683"/>
    <mergeCell ref="F682:F683"/>
    <mergeCell ref="F645:F646"/>
    <mergeCell ref="A651:E651"/>
    <mergeCell ref="A652:E652"/>
    <mergeCell ref="A653:E653"/>
    <mergeCell ref="A659:D659"/>
    <mergeCell ref="A647:A648"/>
    <mergeCell ref="B647:B648"/>
    <mergeCell ref="C647:C648"/>
    <mergeCell ref="D647:D648"/>
    <mergeCell ref="E647:E648"/>
    <mergeCell ref="A641:A642"/>
    <mergeCell ref="B641:B642"/>
    <mergeCell ref="C641:C642"/>
    <mergeCell ref="D641:D642"/>
    <mergeCell ref="E641:E642"/>
    <mergeCell ref="F641:F642"/>
    <mergeCell ref="F647:F648"/>
    <mergeCell ref="A649:A650"/>
    <mergeCell ref="B649:B650"/>
    <mergeCell ref="C649:C650"/>
    <mergeCell ref="D649:D650"/>
    <mergeCell ref="E649:E650"/>
    <mergeCell ref="F649:F650"/>
    <mergeCell ref="A643:A644"/>
    <mergeCell ref="B643:B644"/>
    <mergeCell ref="C643:C644"/>
    <mergeCell ref="F643:F644"/>
    <mergeCell ref="A645:A646"/>
    <mergeCell ref="B645:B646"/>
    <mergeCell ref="C645:C646"/>
    <mergeCell ref="D645:D646"/>
    <mergeCell ref="E645:E646"/>
    <mergeCell ref="A429:E429"/>
    <mergeCell ref="A430:E430"/>
    <mergeCell ref="A431:E431"/>
    <mergeCell ref="A437:D437"/>
    <mergeCell ref="A425:A426"/>
    <mergeCell ref="B425:B426"/>
    <mergeCell ref="C425:C426"/>
    <mergeCell ref="D425:D426"/>
    <mergeCell ref="E425:E426"/>
    <mergeCell ref="F425:F426"/>
    <mergeCell ref="A427:A428"/>
    <mergeCell ref="B427:B428"/>
    <mergeCell ref="C427:C428"/>
    <mergeCell ref="D427:D428"/>
    <mergeCell ref="E427:E428"/>
    <mergeCell ref="F427:F428"/>
    <mergeCell ref="A452:H452"/>
    <mergeCell ref="A454:A455"/>
    <mergeCell ref="B454:B455"/>
    <mergeCell ref="C454:C455"/>
    <mergeCell ref="D454:D455"/>
    <mergeCell ref="E454:E455"/>
    <mergeCell ref="F454:F455"/>
    <mergeCell ref="G454:H454"/>
    <mergeCell ref="A456:A457"/>
    <mergeCell ref="B456:B457"/>
    <mergeCell ref="A421:A422"/>
    <mergeCell ref="B421:B422"/>
    <mergeCell ref="C421:C422"/>
    <mergeCell ref="D421:D422"/>
    <mergeCell ref="E421:E422"/>
    <mergeCell ref="F421:F422"/>
    <mergeCell ref="A423:A424"/>
    <mergeCell ref="B423:B424"/>
    <mergeCell ref="C423:C424"/>
    <mergeCell ref="D423:D424"/>
    <mergeCell ref="E423:E424"/>
    <mergeCell ref="F423:F424"/>
    <mergeCell ref="A415:H415"/>
    <mergeCell ref="A417:A418"/>
    <mergeCell ref="B417:B418"/>
    <mergeCell ref="C417:C418"/>
    <mergeCell ref="D417:D418"/>
    <mergeCell ref="E417:E418"/>
    <mergeCell ref="F417:F418"/>
    <mergeCell ref="G417:H417"/>
    <mergeCell ref="A419:A420"/>
    <mergeCell ref="B419:B420"/>
    <mergeCell ref="C419:C420"/>
    <mergeCell ref="D419:D420"/>
    <mergeCell ref="E419:E420"/>
    <mergeCell ref="F419:F420"/>
    <mergeCell ref="A392:E392"/>
    <mergeCell ref="A393:E393"/>
    <mergeCell ref="A394:E394"/>
    <mergeCell ref="A400:D400"/>
    <mergeCell ref="A388:A389"/>
    <mergeCell ref="B388:B389"/>
    <mergeCell ref="C388:C389"/>
    <mergeCell ref="D388:D389"/>
    <mergeCell ref="E388:E389"/>
    <mergeCell ref="F388:F389"/>
    <mergeCell ref="A390:A391"/>
    <mergeCell ref="B390:B391"/>
    <mergeCell ref="C390:C391"/>
    <mergeCell ref="D390:D391"/>
    <mergeCell ref="E390:E391"/>
    <mergeCell ref="F390:F391"/>
    <mergeCell ref="A384:A385"/>
    <mergeCell ref="B384:B385"/>
    <mergeCell ref="C384:C385"/>
    <mergeCell ref="D384:D385"/>
    <mergeCell ref="E384:E385"/>
    <mergeCell ref="F384:F385"/>
    <mergeCell ref="A386:A387"/>
    <mergeCell ref="B386:B387"/>
    <mergeCell ref="C386:C387"/>
    <mergeCell ref="D386:D387"/>
    <mergeCell ref="E386:E387"/>
    <mergeCell ref="F386:F387"/>
    <mergeCell ref="A378:H378"/>
    <mergeCell ref="A380:A381"/>
    <mergeCell ref="B380:B381"/>
    <mergeCell ref="C380:C381"/>
    <mergeCell ref="D380:D381"/>
    <mergeCell ref="E380:E381"/>
    <mergeCell ref="F380:F381"/>
    <mergeCell ref="G380:H380"/>
    <mergeCell ref="A382:A383"/>
    <mergeCell ref="B382:B383"/>
    <mergeCell ref="C382:C383"/>
    <mergeCell ref="D382:D383"/>
    <mergeCell ref="E382:E383"/>
    <mergeCell ref="F382:F383"/>
    <mergeCell ref="A355:E355"/>
    <mergeCell ref="A356:E356"/>
    <mergeCell ref="A357:E357"/>
    <mergeCell ref="A363:D363"/>
    <mergeCell ref="A351:A352"/>
    <mergeCell ref="B351:B352"/>
    <mergeCell ref="C351:C352"/>
    <mergeCell ref="D351:D352"/>
    <mergeCell ref="E351:E352"/>
    <mergeCell ref="F351:F352"/>
    <mergeCell ref="A353:A354"/>
    <mergeCell ref="B353:B354"/>
    <mergeCell ref="C353:C354"/>
    <mergeCell ref="D353:D354"/>
    <mergeCell ref="E353:E354"/>
    <mergeCell ref="F353:F354"/>
    <mergeCell ref="A347:A348"/>
    <mergeCell ref="B347:B348"/>
    <mergeCell ref="C347:C348"/>
    <mergeCell ref="D347:D348"/>
    <mergeCell ref="E347:E348"/>
    <mergeCell ref="F347:F348"/>
    <mergeCell ref="A349:A350"/>
    <mergeCell ref="B349:B350"/>
    <mergeCell ref="C349:C350"/>
    <mergeCell ref="D349:D350"/>
    <mergeCell ref="E349:E350"/>
    <mergeCell ref="F349:F350"/>
    <mergeCell ref="A341:H341"/>
    <mergeCell ref="A343:A344"/>
    <mergeCell ref="B343:B344"/>
    <mergeCell ref="C343:C344"/>
    <mergeCell ref="D343:D344"/>
    <mergeCell ref="E343:E344"/>
    <mergeCell ref="F343:F344"/>
    <mergeCell ref="G343:H343"/>
    <mergeCell ref="A345:A346"/>
    <mergeCell ref="B345:B346"/>
    <mergeCell ref="C345:C346"/>
    <mergeCell ref="D345:D346"/>
    <mergeCell ref="E345:E346"/>
    <mergeCell ref="F345:F346"/>
    <mergeCell ref="A318:E318"/>
    <mergeCell ref="A319:E319"/>
    <mergeCell ref="A320:E320"/>
    <mergeCell ref="A326:D326"/>
    <mergeCell ref="A314:A315"/>
    <mergeCell ref="B314:B315"/>
    <mergeCell ref="C314:C315"/>
    <mergeCell ref="D314:D315"/>
    <mergeCell ref="E314:E315"/>
    <mergeCell ref="F314:F315"/>
    <mergeCell ref="A316:A317"/>
    <mergeCell ref="B316:B317"/>
    <mergeCell ref="C316:C317"/>
    <mergeCell ref="D316:D317"/>
    <mergeCell ref="E316:E317"/>
    <mergeCell ref="F316:F317"/>
    <mergeCell ref="A310:A311"/>
    <mergeCell ref="B310:B311"/>
    <mergeCell ref="C310:C311"/>
    <mergeCell ref="D310:D311"/>
    <mergeCell ref="E310:E311"/>
    <mergeCell ref="F310:F311"/>
    <mergeCell ref="A312:A313"/>
    <mergeCell ref="B312:B313"/>
    <mergeCell ref="C312:C313"/>
    <mergeCell ref="D312:D313"/>
    <mergeCell ref="E312:E313"/>
    <mergeCell ref="F312:F313"/>
    <mergeCell ref="A304:H304"/>
    <mergeCell ref="A306:A307"/>
    <mergeCell ref="B306:B307"/>
    <mergeCell ref="C306:C307"/>
    <mergeCell ref="D306:D307"/>
    <mergeCell ref="E306:E307"/>
    <mergeCell ref="F306:F307"/>
    <mergeCell ref="G306:H306"/>
    <mergeCell ref="A308:A309"/>
    <mergeCell ref="B308:B309"/>
    <mergeCell ref="C308:C309"/>
    <mergeCell ref="D308:D309"/>
    <mergeCell ref="E308:E309"/>
    <mergeCell ref="F308:F309"/>
    <mergeCell ref="A281:E281"/>
    <mergeCell ref="A282:E282"/>
    <mergeCell ref="A283:E283"/>
    <mergeCell ref="A289:D289"/>
    <mergeCell ref="A277:A278"/>
    <mergeCell ref="B277:B278"/>
    <mergeCell ref="C277:C278"/>
    <mergeCell ref="D277:D278"/>
    <mergeCell ref="E277:E278"/>
    <mergeCell ref="F277:F278"/>
    <mergeCell ref="A279:A280"/>
    <mergeCell ref="B279:B280"/>
    <mergeCell ref="C279:C280"/>
    <mergeCell ref="D279:D280"/>
    <mergeCell ref="E279:E280"/>
    <mergeCell ref="F279:F280"/>
    <mergeCell ref="A273:A274"/>
    <mergeCell ref="B273:B274"/>
    <mergeCell ref="C273:C274"/>
    <mergeCell ref="D273:D274"/>
    <mergeCell ref="E273:E274"/>
    <mergeCell ref="F273:F274"/>
    <mergeCell ref="A275:A276"/>
    <mergeCell ref="B275:B276"/>
    <mergeCell ref="C275:C276"/>
    <mergeCell ref="D275:D276"/>
    <mergeCell ref="E275:E276"/>
    <mergeCell ref="F275:F276"/>
    <mergeCell ref="F238:F239"/>
    <mergeCell ref="A267:H267"/>
    <mergeCell ref="A269:A270"/>
    <mergeCell ref="B269:B270"/>
    <mergeCell ref="C269:C270"/>
    <mergeCell ref="D269:D270"/>
    <mergeCell ref="E269:E270"/>
    <mergeCell ref="F269:F270"/>
    <mergeCell ref="G269:H269"/>
    <mergeCell ref="A271:A272"/>
    <mergeCell ref="B271:B272"/>
    <mergeCell ref="C271:C272"/>
    <mergeCell ref="D271:D272"/>
    <mergeCell ref="E271:E272"/>
    <mergeCell ref="F271:F272"/>
    <mergeCell ref="A244:E244"/>
    <mergeCell ref="A245:E245"/>
    <mergeCell ref="A246:E246"/>
    <mergeCell ref="A252:D252"/>
    <mergeCell ref="B234:B235"/>
    <mergeCell ref="C234:C235"/>
    <mergeCell ref="D234:D235"/>
    <mergeCell ref="E234:E235"/>
    <mergeCell ref="F234:F235"/>
    <mergeCell ref="A207:E207"/>
    <mergeCell ref="A208:E208"/>
    <mergeCell ref="A209:E209"/>
    <mergeCell ref="A215:D215"/>
    <mergeCell ref="A240:A241"/>
    <mergeCell ref="B240:B241"/>
    <mergeCell ref="C240:C241"/>
    <mergeCell ref="D240:D241"/>
    <mergeCell ref="E240:E241"/>
    <mergeCell ref="F240:F241"/>
    <mergeCell ref="A242:A243"/>
    <mergeCell ref="B242:B243"/>
    <mergeCell ref="C242:C243"/>
    <mergeCell ref="D242:D243"/>
    <mergeCell ref="E242:E243"/>
    <mergeCell ref="F242:F243"/>
    <mergeCell ref="A236:A237"/>
    <mergeCell ref="B236:B237"/>
    <mergeCell ref="C236:C237"/>
    <mergeCell ref="D236:D237"/>
    <mergeCell ref="E236:E237"/>
    <mergeCell ref="F236:F237"/>
    <mergeCell ref="A238:A239"/>
    <mergeCell ref="B238:B239"/>
    <mergeCell ref="C238:C239"/>
    <mergeCell ref="D238:D239"/>
    <mergeCell ref="E238:E239"/>
    <mergeCell ref="F121:F122"/>
    <mergeCell ref="D123:D124"/>
    <mergeCell ref="A127:A128"/>
    <mergeCell ref="A203:A204"/>
    <mergeCell ref="B203:B204"/>
    <mergeCell ref="C203:C204"/>
    <mergeCell ref="D203:D204"/>
    <mergeCell ref="E203:E204"/>
    <mergeCell ref="F203:F204"/>
    <mergeCell ref="A205:A206"/>
    <mergeCell ref="B205:B206"/>
    <mergeCell ref="C205:C206"/>
    <mergeCell ref="D205:D206"/>
    <mergeCell ref="E205:E206"/>
    <mergeCell ref="F205:F206"/>
    <mergeCell ref="A199:A200"/>
    <mergeCell ref="B199:B200"/>
    <mergeCell ref="C199:C200"/>
    <mergeCell ref="D199:D200"/>
    <mergeCell ref="E199:E200"/>
    <mergeCell ref="F199:F200"/>
    <mergeCell ref="A201:A202"/>
    <mergeCell ref="B201:B202"/>
    <mergeCell ref="C201:C202"/>
    <mergeCell ref="D201:D202"/>
    <mergeCell ref="E201:E202"/>
    <mergeCell ref="F201:F202"/>
    <mergeCell ref="A121:A122"/>
    <mergeCell ref="B121:B122"/>
    <mergeCell ref="C121:C122"/>
    <mergeCell ref="D121:D122"/>
    <mergeCell ref="E121:E122"/>
    <mergeCell ref="A170:E170"/>
    <mergeCell ref="A171:E171"/>
    <mergeCell ref="A172:E172"/>
    <mergeCell ref="A178:D178"/>
    <mergeCell ref="A166:A167"/>
    <mergeCell ref="B166:B167"/>
    <mergeCell ref="C166:C167"/>
    <mergeCell ref="D166:D167"/>
    <mergeCell ref="E166:E167"/>
    <mergeCell ref="A162:A163"/>
    <mergeCell ref="B162:B163"/>
    <mergeCell ref="C162:C163"/>
    <mergeCell ref="D162:D163"/>
    <mergeCell ref="A168:A169"/>
    <mergeCell ref="B168:B169"/>
    <mergeCell ref="C168:C169"/>
    <mergeCell ref="D168:D169"/>
    <mergeCell ref="E168:E169"/>
    <mergeCell ref="A164:A165"/>
    <mergeCell ref="E57:E58"/>
    <mergeCell ref="F57:F58"/>
    <mergeCell ref="A59:E59"/>
    <mergeCell ref="A67:D67"/>
    <mergeCell ref="A57:A58"/>
    <mergeCell ref="A193:H193"/>
    <mergeCell ref="A195:A196"/>
    <mergeCell ref="B195:B196"/>
    <mergeCell ref="C195:C196"/>
    <mergeCell ref="D195:D196"/>
    <mergeCell ref="E195:E196"/>
    <mergeCell ref="F195:F196"/>
    <mergeCell ref="G195:H195"/>
    <mergeCell ref="A45:H45"/>
    <mergeCell ref="A47:A48"/>
    <mergeCell ref="B47:B48"/>
    <mergeCell ref="C47:C48"/>
    <mergeCell ref="D47:D48"/>
    <mergeCell ref="E47:E48"/>
    <mergeCell ref="F47:F48"/>
    <mergeCell ref="G47:H47"/>
    <mergeCell ref="A49:A50"/>
    <mergeCell ref="B49:B50"/>
    <mergeCell ref="C49:C50"/>
    <mergeCell ref="D49:D50"/>
    <mergeCell ref="E49:E50"/>
    <mergeCell ref="F49:F50"/>
    <mergeCell ref="E162:E163"/>
    <mergeCell ref="A123:A124"/>
    <mergeCell ref="B123:B124"/>
    <mergeCell ref="A158:A159"/>
    <mergeCell ref="B158:B159"/>
    <mergeCell ref="G121:H121"/>
    <mergeCell ref="G158:H158"/>
    <mergeCell ref="A133:E133"/>
    <mergeCell ref="A134:E134"/>
    <mergeCell ref="A131:A132"/>
    <mergeCell ref="B131:B132"/>
    <mergeCell ref="C131:C132"/>
    <mergeCell ref="A135:E135"/>
    <mergeCell ref="A141:D141"/>
    <mergeCell ref="B164:B165"/>
    <mergeCell ref="C164:C165"/>
    <mergeCell ref="D164:D165"/>
    <mergeCell ref="E164:E165"/>
    <mergeCell ref="F164:F165"/>
    <mergeCell ref="F162:F163"/>
    <mergeCell ref="D131:D132"/>
    <mergeCell ref="C158:C159"/>
    <mergeCell ref="D158:D159"/>
    <mergeCell ref="E158:E159"/>
    <mergeCell ref="F158:F159"/>
    <mergeCell ref="A156:H156"/>
    <mergeCell ref="A125:A126"/>
    <mergeCell ref="B125:B126"/>
    <mergeCell ref="C125:C126"/>
    <mergeCell ref="D125:D126"/>
    <mergeCell ref="E125:E126"/>
    <mergeCell ref="F125:F126"/>
    <mergeCell ref="B127:B128"/>
    <mergeCell ref="C127:C128"/>
    <mergeCell ref="D127:D128"/>
    <mergeCell ref="E127:E128"/>
    <mergeCell ref="F127:F128"/>
    <mergeCell ref="A119:H119"/>
    <mergeCell ref="C86:C87"/>
    <mergeCell ref="D86:D87"/>
    <mergeCell ref="E86:E87"/>
    <mergeCell ref="F86:F87"/>
    <mergeCell ref="F88:F89"/>
    <mergeCell ref="A96:E96"/>
    <mergeCell ref="D88:D89"/>
    <mergeCell ref="A88:A89"/>
    <mergeCell ref="B88:B89"/>
    <mergeCell ref="C88:C89"/>
    <mergeCell ref="E88:E89"/>
    <mergeCell ref="A90:A91"/>
    <mergeCell ref="B90:B91"/>
    <mergeCell ref="C90:C91"/>
    <mergeCell ref="D90:D91"/>
    <mergeCell ref="E90:E91"/>
    <mergeCell ref="F90:F91"/>
    <mergeCell ref="A86:A87"/>
    <mergeCell ref="B86:B87"/>
    <mergeCell ref="A23:E23"/>
    <mergeCell ref="A24:E24"/>
    <mergeCell ref="A30:D30"/>
    <mergeCell ref="A51:A52"/>
    <mergeCell ref="B51:B52"/>
    <mergeCell ref="C51:C52"/>
    <mergeCell ref="D51:D52"/>
    <mergeCell ref="E51:E52"/>
    <mergeCell ref="F51:F52"/>
    <mergeCell ref="A53:A54"/>
    <mergeCell ref="A84:A85"/>
    <mergeCell ref="B84:B85"/>
    <mergeCell ref="C84:C85"/>
    <mergeCell ref="D84:D85"/>
    <mergeCell ref="E84:E85"/>
    <mergeCell ref="F84:F85"/>
    <mergeCell ref="A104:D104"/>
    <mergeCell ref="B57:B58"/>
    <mergeCell ref="A60:E60"/>
    <mergeCell ref="A61:E61"/>
    <mergeCell ref="B53:B54"/>
    <mergeCell ref="C53:C54"/>
    <mergeCell ref="D53:D54"/>
    <mergeCell ref="E53:E54"/>
    <mergeCell ref="F53:F54"/>
    <mergeCell ref="A55:A56"/>
    <mergeCell ref="B55:B56"/>
    <mergeCell ref="C55:C56"/>
    <mergeCell ref="D55:D56"/>
    <mergeCell ref="E55:E56"/>
    <mergeCell ref="F55:F56"/>
    <mergeCell ref="D57:D58"/>
    <mergeCell ref="A12:A13"/>
    <mergeCell ref="B12:B13"/>
    <mergeCell ref="C12:C13"/>
    <mergeCell ref="D12:D13"/>
    <mergeCell ref="E12:E13"/>
    <mergeCell ref="A14:A15"/>
    <mergeCell ref="B14:B15"/>
    <mergeCell ref="C14:C15"/>
    <mergeCell ref="D14:D15"/>
    <mergeCell ref="A22:E22"/>
    <mergeCell ref="A16:A17"/>
    <mergeCell ref="B16:B17"/>
    <mergeCell ref="C16:C17"/>
    <mergeCell ref="D16:D17"/>
    <mergeCell ref="E16:E17"/>
    <mergeCell ref="C57:C58"/>
    <mergeCell ref="A8:H8"/>
    <mergeCell ref="A10:A11"/>
    <mergeCell ref="B10:B11"/>
    <mergeCell ref="C10:C11"/>
    <mergeCell ref="D10:D11"/>
    <mergeCell ref="E10:E11"/>
    <mergeCell ref="F10:F11"/>
    <mergeCell ref="G10:H10"/>
    <mergeCell ref="F12:F13"/>
    <mergeCell ref="F16:F17"/>
    <mergeCell ref="A18:A19"/>
    <mergeCell ref="A20:A21"/>
    <mergeCell ref="F20:F21"/>
    <mergeCell ref="F18:F19"/>
    <mergeCell ref="E14:E15"/>
    <mergeCell ref="B18:B19"/>
    <mergeCell ref="B20:B21"/>
    <mergeCell ref="C18:C19"/>
    <mergeCell ref="C20:C21"/>
    <mergeCell ref="D18:D19"/>
    <mergeCell ref="D20:D21"/>
    <mergeCell ref="E18:E19"/>
    <mergeCell ref="E20:E21"/>
    <mergeCell ref="F14:F15"/>
    <mergeCell ref="N10:N11"/>
    <mergeCell ref="O10:P10"/>
    <mergeCell ref="I12:I13"/>
    <mergeCell ref="J12:J13"/>
    <mergeCell ref="K12:K13"/>
    <mergeCell ref="L12:L13"/>
    <mergeCell ref="M12:M13"/>
    <mergeCell ref="N12:N13"/>
    <mergeCell ref="M18:M19"/>
    <mergeCell ref="N18:N19"/>
    <mergeCell ref="I20:I21"/>
    <mergeCell ref="J20:J21"/>
    <mergeCell ref="K20:K21"/>
    <mergeCell ref="L20:L21"/>
    <mergeCell ref="M20:M21"/>
    <mergeCell ref="N20:N21"/>
    <mergeCell ref="I18:I19"/>
    <mergeCell ref="J18:J19"/>
    <mergeCell ref="K18:K19"/>
    <mergeCell ref="L18:L19"/>
    <mergeCell ref="I8:P8"/>
    <mergeCell ref="I10:I11"/>
    <mergeCell ref="J10:J11"/>
    <mergeCell ref="K10:K11"/>
    <mergeCell ref="L10:L11"/>
    <mergeCell ref="M10:M11"/>
    <mergeCell ref="I14:I15"/>
    <mergeCell ref="J14:J15"/>
    <mergeCell ref="K14:K15"/>
    <mergeCell ref="L14:L15"/>
    <mergeCell ref="M14:M15"/>
    <mergeCell ref="N14:N15"/>
    <mergeCell ref="I16:I17"/>
    <mergeCell ref="J16:J17"/>
    <mergeCell ref="K16:K17"/>
    <mergeCell ref="L16:L17"/>
    <mergeCell ref="M16:M17"/>
    <mergeCell ref="N16:N17"/>
    <mergeCell ref="I45:P45"/>
    <mergeCell ref="N47:N48"/>
    <mergeCell ref="O47:P47"/>
    <mergeCell ref="K57:K58"/>
    <mergeCell ref="L57:L58"/>
    <mergeCell ref="M57:M58"/>
    <mergeCell ref="I59:M59"/>
    <mergeCell ref="I60:M60"/>
    <mergeCell ref="I61:M61"/>
    <mergeCell ref="I67:L67"/>
    <mergeCell ref="N49:N50"/>
    <mergeCell ref="I51:I52"/>
    <mergeCell ref="N55:N56"/>
    <mergeCell ref="N57:N58"/>
    <mergeCell ref="J51:J52"/>
    <mergeCell ref="K51:K52"/>
    <mergeCell ref="L51:L52"/>
    <mergeCell ref="M51:M52"/>
    <mergeCell ref="N51:N52"/>
    <mergeCell ref="I53:I54"/>
    <mergeCell ref="J53:J54"/>
    <mergeCell ref="I22:M22"/>
    <mergeCell ref="I23:M23"/>
    <mergeCell ref="I24:M24"/>
    <mergeCell ref="I30:L30"/>
    <mergeCell ref="I49:I50"/>
    <mergeCell ref="J49:J50"/>
    <mergeCell ref="K49:K50"/>
    <mergeCell ref="L49:L50"/>
    <mergeCell ref="M49:M50"/>
    <mergeCell ref="A82:H82"/>
    <mergeCell ref="G84:H84"/>
    <mergeCell ref="A94:A95"/>
    <mergeCell ref="B94:B95"/>
    <mergeCell ref="C94:C95"/>
    <mergeCell ref="D94:D95"/>
    <mergeCell ref="E94:E95"/>
    <mergeCell ref="F94:F95"/>
    <mergeCell ref="A92:A93"/>
    <mergeCell ref="B92:B93"/>
    <mergeCell ref="C92:C93"/>
    <mergeCell ref="D92:D93"/>
    <mergeCell ref="E92:E93"/>
    <mergeCell ref="F92:F93"/>
    <mergeCell ref="I86:I87"/>
    <mergeCell ref="I47:I48"/>
    <mergeCell ref="J47:J48"/>
    <mergeCell ref="K47:K48"/>
    <mergeCell ref="L47:L48"/>
    <mergeCell ref="M47:M48"/>
    <mergeCell ref="M55:M56"/>
    <mergeCell ref="I57:I58"/>
    <mergeCell ref="J57:J58"/>
    <mergeCell ref="I123:I124"/>
    <mergeCell ref="A129:A130"/>
    <mergeCell ref="B129:B130"/>
    <mergeCell ref="C129:C130"/>
    <mergeCell ref="D129:D130"/>
    <mergeCell ref="E129:E130"/>
    <mergeCell ref="F129:F130"/>
    <mergeCell ref="I82:P82"/>
    <mergeCell ref="O84:P84"/>
    <mergeCell ref="I88:I89"/>
    <mergeCell ref="J88:J89"/>
    <mergeCell ref="K88:K89"/>
    <mergeCell ref="L88:L89"/>
    <mergeCell ref="M88:M89"/>
    <mergeCell ref="N88:N89"/>
    <mergeCell ref="I90:I91"/>
    <mergeCell ref="J123:J124"/>
    <mergeCell ref="K123:K124"/>
    <mergeCell ref="L123:L124"/>
    <mergeCell ref="M123:M124"/>
    <mergeCell ref="N123:N124"/>
    <mergeCell ref="I125:I126"/>
    <mergeCell ref="J125:J126"/>
    <mergeCell ref="K125:K126"/>
    <mergeCell ref="L125:L126"/>
    <mergeCell ref="M125:M126"/>
    <mergeCell ref="N125:N126"/>
    <mergeCell ref="I127:I128"/>
    <mergeCell ref="J127:J128"/>
    <mergeCell ref="A97:E97"/>
    <mergeCell ref="A98:E98"/>
    <mergeCell ref="N86:N87"/>
    <mergeCell ref="C456:C457"/>
    <mergeCell ref="D456:D457"/>
    <mergeCell ref="E456:E457"/>
    <mergeCell ref="F456:F457"/>
    <mergeCell ref="F131:F132"/>
    <mergeCell ref="E123:E124"/>
    <mergeCell ref="F123:F124"/>
    <mergeCell ref="C123:C124"/>
    <mergeCell ref="A160:A161"/>
    <mergeCell ref="B160:B161"/>
    <mergeCell ref="C160:C161"/>
    <mergeCell ref="D160:D161"/>
    <mergeCell ref="E160:E161"/>
    <mergeCell ref="F160:F161"/>
    <mergeCell ref="E131:E132"/>
    <mergeCell ref="A197:A198"/>
    <mergeCell ref="B197:B198"/>
    <mergeCell ref="C197:C198"/>
    <mergeCell ref="D197:D198"/>
    <mergeCell ref="E197:E198"/>
    <mergeCell ref="F197:F198"/>
    <mergeCell ref="F166:F167"/>
    <mergeCell ref="F168:F169"/>
    <mergeCell ref="A230:H230"/>
    <mergeCell ref="A232:A233"/>
    <mergeCell ref="B232:B233"/>
    <mergeCell ref="C232:C233"/>
    <mergeCell ref="D232:D233"/>
    <mergeCell ref="E232:E233"/>
    <mergeCell ref="F232:F233"/>
    <mergeCell ref="G232:H232"/>
    <mergeCell ref="A234:A235"/>
    <mergeCell ref="A458:A459"/>
    <mergeCell ref="B458:B459"/>
    <mergeCell ref="C458:C459"/>
    <mergeCell ref="D458:D459"/>
    <mergeCell ref="E458:E459"/>
    <mergeCell ref="F458:F459"/>
    <mergeCell ref="A460:A461"/>
    <mergeCell ref="B460:B461"/>
    <mergeCell ref="C460:C461"/>
    <mergeCell ref="D460:D461"/>
    <mergeCell ref="E460:E461"/>
    <mergeCell ref="F460:F461"/>
    <mergeCell ref="A462:A463"/>
    <mergeCell ref="B462:B463"/>
    <mergeCell ref="C462:C463"/>
    <mergeCell ref="D462:D463"/>
    <mergeCell ref="E462:E463"/>
    <mergeCell ref="F462:F463"/>
    <mergeCell ref="A464:A465"/>
    <mergeCell ref="B464:B465"/>
    <mergeCell ref="C464:C465"/>
    <mergeCell ref="D464:D465"/>
    <mergeCell ref="E464:E465"/>
    <mergeCell ref="F464:F465"/>
    <mergeCell ref="A466:E466"/>
    <mergeCell ref="A467:E467"/>
    <mergeCell ref="A468:E468"/>
    <mergeCell ref="A474:D474"/>
    <mergeCell ref="A489:H489"/>
    <mergeCell ref="A491:A492"/>
    <mergeCell ref="B491:B492"/>
    <mergeCell ref="C491:C492"/>
    <mergeCell ref="D491:D492"/>
    <mergeCell ref="E491:E492"/>
    <mergeCell ref="F491:F492"/>
    <mergeCell ref="G491:H491"/>
    <mergeCell ref="A493:A494"/>
    <mergeCell ref="B493:B494"/>
    <mergeCell ref="C493:C494"/>
    <mergeCell ref="D493:D494"/>
    <mergeCell ref="E493:E494"/>
    <mergeCell ref="F493:F494"/>
    <mergeCell ref="A495:A496"/>
    <mergeCell ref="B495:B496"/>
    <mergeCell ref="C495:C496"/>
    <mergeCell ref="D495:D496"/>
    <mergeCell ref="E495:E496"/>
    <mergeCell ref="F495:F496"/>
    <mergeCell ref="A497:A498"/>
    <mergeCell ref="B497:B498"/>
    <mergeCell ref="C497:C498"/>
    <mergeCell ref="D497:D498"/>
    <mergeCell ref="E497:E498"/>
    <mergeCell ref="F497:F498"/>
    <mergeCell ref="A499:A500"/>
    <mergeCell ref="B499:B500"/>
    <mergeCell ref="C499:C500"/>
    <mergeCell ref="D499:D500"/>
    <mergeCell ref="E499:E500"/>
    <mergeCell ref="F499:F500"/>
    <mergeCell ref="A511:D511"/>
    <mergeCell ref="A501:A502"/>
    <mergeCell ref="B501:B502"/>
    <mergeCell ref="C501:C502"/>
    <mergeCell ref="D501:D502"/>
    <mergeCell ref="E501:E502"/>
    <mergeCell ref="F501:F502"/>
    <mergeCell ref="A503:E503"/>
    <mergeCell ref="A504:E504"/>
    <mergeCell ref="A505:E505"/>
    <mergeCell ref="A526:H526"/>
    <mergeCell ref="A528:A529"/>
    <mergeCell ref="B528:B529"/>
    <mergeCell ref="C528:C529"/>
    <mergeCell ref="D528:D529"/>
    <mergeCell ref="E528:E529"/>
    <mergeCell ref="F528:F529"/>
    <mergeCell ref="G528:H528"/>
    <mergeCell ref="A530:A531"/>
    <mergeCell ref="B530:B531"/>
    <mergeCell ref="C530:C531"/>
    <mergeCell ref="D530:D531"/>
    <mergeCell ref="E530:E531"/>
    <mergeCell ref="F530:F531"/>
    <mergeCell ref="A532:A533"/>
    <mergeCell ref="B532:B533"/>
    <mergeCell ref="C532:C533"/>
    <mergeCell ref="D532:D533"/>
    <mergeCell ref="E532:E533"/>
    <mergeCell ref="F532:F533"/>
    <mergeCell ref="A534:A535"/>
    <mergeCell ref="B534:B535"/>
    <mergeCell ref="C534:C535"/>
    <mergeCell ref="D534:D535"/>
    <mergeCell ref="E534:E535"/>
    <mergeCell ref="F534:F535"/>
    <mergeCell ref="A536:A537"/>
    <mergeCell ref="B536:B537"/>
    <mergeCell ref="C536:C537"/>
    <mergeCell ref="D536:D537"/>
    <mergeCell ref="E536:E537"/>
    <mergeCell ref="F536:F537"/>
    <mergeCell ref="A538:A539"/>
    <mergeCell ref="B538:B539"/>
    <mergeCell ref="C538:C539"/>
    <mergeCell ref="D538:D539"/>
    <mergeCell ref="E538:E539"/>
    <mergeCell ref="F538:F539"/>
    <mergeCell ref="A540:E540"/>
    <mergeCell ref="A541:E541"/>
    <mergeCell ref="A542:E542"/>
    <mergeCell ref="A548:D548"/>
    <mergeCell ref="A563:H563"/>
    <mergeCell ref="A565:A566"/>
    <mergeCell ref="B565:B566"/>
    <mergeCell ref="C565:C566"/>
    <mergeCell ref="D565:D566"/>
    <mergeCell ref="E565:E566"/>
    <mergeCell ref="F565:F566"/>
    <mergeCell ref="G565:H565"/>
    <mergeCell ref="A567:A568"/>
    <mergeCell ref="B567:B568"/>
    <mergeCell ref="C567:C568"/>
    <mergeCell ref="D567:D568"/>
    <mergeCell ref="E567:E568"/>
    <mergeCell ref="F567:F568"/>
    <mergeCell ref="A569:A570"/>
    <mergeCell ref="B569:B570"/>
    <mergeCell ref="C569:C570"/>
    <mergeCell ref="D569:D570"/>
    <mergeCell ref="E569:E570"/>
    <mergeCell ref="F569:F570"/>
    <mergeCell ref="A571:A572"/>
    <mergeCell ref="B571:B572"/>
    <mergeCell ref="C571:C572"/>
    <mergeCell ref="D571:D572"/>
    <mergeCell ref="E571:E572"/>
    <mergeCell ref="F571:F572"/>
    <mergeCell ref="A573:A574"/>
    <mergeCell ref="B573:B574"/>
    <mergeCell ref="C573:C574"/>
    <mergeCell ref="D573:D574"/>
    <mergeCell ref="E573:E574"/>
    <mergeCell ref="F573:F574"/>
    <mergeCell ref="A575:A576"/>
    <mergeCell ref="B575:B576"/>
    <mergeCell ref="C575:C576"/>
    <mergeCell ref="D575:D576"/>
    <mergeCell ref="E575:E576"/>
    <mergeCell ref="F575:F576"/>
    <mergeCell ref="A577:E577"/>
    <mergeCell ref="A578:E578"/>
    <mergeCell ref="A579:E579"/>
    <mergeCell ref="A585:D585"/>
    <mergeCell ref="A600:H600"/>
    <mergeCell ref="A602:A603"/>
    <mergeCell ref="B602:B603"/>
    <mergeCell ref="C602:C603"/>
    <mergeCell ref="D602:D603"/>
    <mergeCell ref="E602:E603"/>
    <mergeCell ref="F602:F603"/>
    <mergeCell ref="G602:H602"/>
    <mergeCell ref="A604:A605"/>
    <mergeCell ref="B604:B605"/>
    <mergeCell ref="C604:C605"/>
    <mergeCell ref="D604:D605"/>
    <mergeCell ref="E604:E605"/>
    <mergeCell ref="F604:F605"/>
    <mergeCell ref="A606:A607"/>
    <mergeCell ref="B606:B607"/>
    <mergeCell ref="C606:C607"/>
    <mergeCell ref="D606:D607"/>
    <mergeCell ref="E606:E607"/>
    <mergeCell ref="F606:F607"/>
    <mergeCell ref="A608:A609"/>
    <mergeCell ref="B608:B609"/>
    <mergeCell ref="C608:C609"/>
    <mergeCell ref="D608:D609"/>
    <mergeCell ref="E608:E609"/>
    <mergeCell ref="F608:F609"/>
    <mergeCell ref="A610:A611"/>
    <mergeCell ref="B610:B611"/>
    <mergeCell ref="C610:C611"/>
    <mergeCell ref="D610:D611"/>
    <mergeCell ref="E610:E611"/>
    <mergeCell ref="F610:F611"/>
    <mergeCell ref="A725:A726"/>
    <mergeCell ref="B725:B726"/>
    <mergeCell ref="C725:C726"/>
    <mergeCell ref="D725:D726"/>
    <mergeCell ref="E725:E726"/>
    <mergeCell ref="F725:F726"/>
    <mergeCell ref="A622:D622"/>
    <mergeCell ref="A612:A613"/>
    <mergeCell ref="B612:B613"/>
    <mergeCell ref="C612:C613"/>
    <mergeCell ref="D612:D613"/>
    <mergeCell ref="E612:E613"/>
    <mergeCell ref="F612:F613"/>
    <mergeCell ref="A614:E614"/>
    <mergeCell ref="A615:E615"/>
    <mergeCell ref="A616:E616"/>
    <mergeCell ref="A637:H637"/>
    <mergeCell ref="A639:A640"/>
    <mergeCell ref="B639:B640"/>
    <mergeCell ref="C639:C640"/>
    <mergeCell ref="D639:D640"/>
    <mergeCell ref="E639:E640"/>
    <mergeCell ref="F639:F640"/>
    <mergeCell ref="G639:H639"/>
    <mergeCell ref="D643:D644"/>
    <mergeCell ref="E643:E644"/>
    <mergeCell ref="A900:H900"/>
    <mergeCell ref="A902:A903"/>
    <mergeCell ref="B902:B903"/>
    <mergeCell ref="C902:C903"/>
    <mergeCell ref="D902:D903"/>
    <mergeCell ref="E902:E903"/>
    <mergeCell ref="F902:F903"/>
    <mergeCell ref="G902:H902"/>
    <mergeCell ref="A904:A905"/>
    <mergeCell ref="B904:B905"/>
    <mergeCell ref="C904:C905"/>
    <mergeCell ref="D904:D905"/>
    <mergeCell ref="E904:E905"/>
    <mergeCell ref="F904:F905"/>
    <mergeCell ref="A906:A907"/>
    <mergeCell ref="B906:B907"/>
    <mergeCell ref="C906:C907"/>
    <mergeCell ref="D906:D907"/>
    <mergeCell ref="E906:E907"/>
    <mergeCell ref="F906:F907"/>
    <mergeCell ref="A914:E914"/>
    <mergeCell ref="A915:E915"/>
    <mergeCell ref="A916:E916"/>
    <mergeCell ref="A922:D922"/>
    <mergeCell ref="A908:A909"/>
    <mergeCell ref="B908:B909"/>
    <mergeCell ref="C908:C909"/>
    <mergeCell ref="D908:D909"/>
    <mergeCell ref="E908:E909"/>
    <mergeCell ref="F908:F909"/>
    <mergeCell ref="A910:A911"/>
    <mergeCell ref="B910:B911"/>
    <mergeCell ref="C910:C911"/>
    <mergeCell ref="D910:D911"/>
    <mergeCell ref="E910:E911"/>
    <mergeCell ref="F910:F911"/>
    <mergeCell ref="A912:A913"/>
    <mergeCell ref="B912:B913"/>
    <mergeCell ref="C912:C913"/>
    <mergeCell ref="D912:D913"/>
    <mergeCell ref="E912:E913"/>
    <mergeCell ref="F912:F913"/>
    <mergeCell ref="A937:H937"/>
    <mergeCell ref="A939:A940"/>
    <mergeCell ref="B939:B940"/>
    <mergeCell ref="C939:C940"/>
    <mergeCell ref="D939:D940"/>
    <mergeCell ref="E939:E940"/>
    <mergeCell ref="F939:F940"/>
    <mergeCell ref="G939:H939"/>
    <mergeCell ref="A941:A942"/>
    <mergeCell ref="B941:B942"/>
    <mergeCell ref="C941:C942"/>
    <mergeCell ref="D941:D942"/>
    <mergeCell ref="E941:E942"/>
    <mergeCell ref="F941:F942"/>
    <mergeCell ref="A943:A944"/>
    <mergeCell ref="B943:B944"/>
    <mergeCell ref="C943:C944"/>
    <mergeCell ref="D943:D944"/>
    <mergeCell ref="E943:E944"/>
    <mergeCell ref="F943:F944"/>
    <mergeCell ref="A953:E953"/>
    <mergeCell ref="A954:E954"/>
    <mergeCell ref="A955:E955"/>
    <mergeCell ref="A961:D961"/>
    <mergeCell ref="A947:A948"/>
    <mergeCell ref="B947:B948"/>
    <mergeCell ref="C947:C948"/>
    <mergeCell ref="D947:D948"/>
    <mergeCell ref="E947:E948"/>
    <mergeCell ref="F947:F948"/>
    <mergeCell ref="A949:A950"/>
    <mergeCell ref="B949:B950"/>
    <mergeCell ref="C949:C950"/>
    <mergeCell ref="D949:D950"/>
    <mergeCell ref="E949:E950"/>
    <mergeCell ref="F949:F950"/>
    <mergeCell ref="A951:A952"/>
    <mergeCell ref="B951:B952"/>
    <mergeCell ref="C951:C952"/>
    <mergeCell ref="D951:D952"/>
    <mergeCell ref="E951:E952"/>
    <mergeCell ref="F951:F952"/>
    <mergeCell ref="A1124:H1124"/>
    <mergeCell ref="A1126:A1127"/>
    <mergeCell ref="B1126:B1127"/>
    <mergeCell ref="C1126:C1127"/>
    <mergeCell ref="D1126:D1127"/>
    <mergeCell ref="E1126:E1127"/>
    <mergeCell ref="F1126:F1127"/>
    <mergeCell ref="G1126:H1126"/>
    <mergeCell ref="A1128:A1129"/>
    <mergeCell ref="B1128:B1129"/>
    <mergeCell ref="C1128:C1129"/>
    <mergeCell ref="D1128:D1129"/>
    <mergeCell ref="E1128:E1129"/>
    <mergeCell ref="F1128:F1129"/>
    <mergeCell ref="A1130:A1131"/>
    <mergeCell ref="B1130:B1131"/>
    <mergeCell ref="C1130:C1131"/>
    <mergeCell ref="D1130:D1131"/>
    <mergeCell ref="E1130:E1131"/>
    <mergeCell ref="F1130:F1131"/>
    <mergeCell ref="A1138:E1138"/>
    <mergeCell ref="A1139:E1139"/>
    <mergeCell ref="A1140:E1140"/>
    <mergeCell ref="A1146:D1146"/>
    <mergeCell ref="A1132:A1133"/>
    <mergeCell ref="B1132:B1133"/>
    <mergeCell ref="C1132:C1133"/>
    <mergeCell ref="D1132:D1133"/>
    <mergeCell ref="E1132:E1133"/>
    <mergeCell ref="F1132:F1133"/>
    <mergeCell ref="A1134:A1135"/>
    <mergeCell ref="B1134:B1135"/>
    <mergeCell ref="C1134:C1135"/>
    <mergeCell ref="D1134:D1135"/>
    <mergeCell ref="E1134:E1135"/>
    <mergeCell ref="F1134:F1135"/>
    <mergeCell ref="A1136:A1137"/>
    <mergeCell ref="B1136:B1137"/>
    <mergeCell ref="C1136:C1137"/>
    <mergeCell ref="D1136:D1137"/>
    <mergeCell ref="E1136:E1137"/>
    <mergeCell ref="F1136:F1137"/>
    <mergeCell ref="A1198:H1198"/>
    <mergeCell ref="A1200:A1201"/>
    <mergeCell ref="B1200:B1201"/>
    <mergeCell ref="C1200:C1201"/>
    <mergeCell ref="D1200:D1201"/>
    <mergeCell ref="E1200:E1201"/>
    <mergeCell ref="F1200:F1201"/>
    <mergeCell ref="G1200:H1200"/>
    <mergeCell ref="A1202:A1203"/>
    <mergeCell ref="B1202:B1203"/>
    <mergeCell ref="C1202:C1203"/>
    <mergeCell ref="D1202:D1203"/>
    <mergeCell ref="E1202:E1203"/>
    <mergeCell ref="F1202:F1203"/>
    <mergeCell ref="A1204:A1205"/>
    <mergeCell ref="B1204:B1205"/>
    <mergeCell ref="C1204:C1205"/>
    <mergeCell ref="D1204:D1205"/>
    <mergeCell ref="E1204:E1205"/>
    <mergeCell ref="F1204:F1205"/>
    <mergeCell ref="A1212:E1212"/>
    <mergeCell ref="A1213:E1213"/>
    <mergeCell ref="A1214:E1214"/>
    <mergeCell ref="A1220:D1220"/>
    <mergeCell ref="A1206:A1207"/>
    <mergeCell ref="B1206:B1207"/>
    <mergeCell ref="C1206:C1207"/>
    <mergeCell ref="D1206:D1207"/>
    <mergeCell ref="E1206:E1207"/>
    <mergeCell ref="F1206:F1207"/>
    <mergeCell ref="A1208:A1209"/>
    <mergeCell ref="B1208:B1209"/>
    <mergeCell ref="C1208:C1209"/>
    <mergeCell ref="D1208:D1209"/>
    <mergeCell ref="E1208:E1209"/>
    <mergeCell ref="F1208:F1209"/>
    <mergeCell ref="A1210:A1211"/>
    <mergeCell ref="B1210:B1211"/>
    <mergeCell ref="C1210:C1211"/>
    <mergeCell ref="D1210:D1211"/>
    <mergeCell ref="E1210:E1211"/>
    <mergeCell ref="F1210:F1211"/>
    <mergeCell ref="A1309:H1309"/>
    <mergeCell ref="A1311:A1312"/>
    <mergeCell ref="B1311:B1312"/>
    <mergeCell ref="C1311:C1312"/>
    <mergeCell ref="D1311:D1312"/>
    <mergeCell ref="E1311:E1312"/>
    <mergeCell ref="F1311:F1312"/>
    <mergeCell ref="G1311:H1311"/>
    <mergeCell ref="A1313:A1314"/>
    <mergeCell ref="B1313:B1314"/>
    <mergeCell ref="C1313:C1314"/>
    <mergeCell ref="D1313:D1314"/>
    <mergeCell ref="E1313:E1314"/>
    <mergeCell ref="F1313:F1314"/>
    <mergeCell ref="A1315:A1316"/>
    <mergeCell ref="B1315:B1316"/>
    <mergeCell ref="C1315:C1316"/>
    <mergeCell ref="D1315:D1316"/>
    <mergeCell ref="E1315:E1316"/>
    <mergeCell ref="F1315:F1316"/>
    <mergeCell ref="A1317:A1318"/>
    <mergeCell ref="B1317:B1318"/>
    <mergeCell ref="C1317:C1318"/>
    <mergeCell ref="D1317:D1318"/>
    <mergeCell ref="E1317:E1318"/>
    <mergeCell ref="F1317:F1318"/>
    <mergeCell ref="A1319:A1320"/>
    <mergeCell ref="B1319:B1320"/>
    <mergeCell ref="C1319:C1320"/>
    <mergeCell ref="D1319:D1320"/>
    <mergeCell ref="E1319:E1320"/>
    <mergeCell ref="F1319:F1320"/>
    <mergeCell ref="A1321:A1322"/>
    <mergeCell ref="B1321:B1322"/>
    <mergeCell ref="C1321:C1322"/>
    <mergeCell ref="D1321:D1322"/>
    <mergeCell ref="E1321:E1322"/>
    <mergeCell ref="F1321:F1322"/>
    <mergeCell ref="E1356:E1357"/>
    <mergeCell ref="F1356:F1357"/>
    <mergeCell ref="A1323:E1323"/>
    <mergeCell ref="A1324:E1324"/>
    <mergeCell ref="A1325:E1325"/>
    <mergeCell ref="A1331:D1331"/>
    <mergeCell ref="A1346:H1346"/>
    <mergeCell ref="A1348:A1349"/>
    <mergeCell ref="B1348:B1349"/>
    <mergeCell ref="C1348:C1349"/>
    <mergeCell ref="D1348:D1349"/>
    <mergeCell ref="E1348:E1349"/>
    <mergeCell ref="F1348:F1349"/>
    <mergeCell ref="G1348:H1348"/>
    <mergeCell ref="A1350:A1351"/>
    <mergeCell ref="B1350:B1351"/>
    <mergeCell ref="C1350:C1351"/>
    <mergeCell ref="D1350:D1351"/>
    <mergeCell ref="E1350:E1351"/>
    <mergeCell ref="F1350:F1351"/>
    <mergeCell ref="A1360:A1361"/>
    <mergeCell ref="B1360:B1361"/>
    <mergeCell ref="C1360:C1361"/>
    <mergeCell ref="D1360:D1361"/>
    <mergeCell ref="E1360:E1361"/>
    <mergeCell ref="F1360:F1361"/>
    <mergeCell ref="A1362:E1362"/>
    <mergeCell ref="A1363:E1363"/>
    <mergeCell ref="A1364:E1364"/>
    <mergeCell ref="A1370:D1370"/>
    <mergeCell ref="A1358:A1359"/>
    <mergeCell ref="B1358:B1359"/>
    <mergeCell ref="C1358:C1359"/>
    <mergeCell ref="D1358:D1359"/>
    <mergeCell ref="E1358:E1359"/>
    <mergeCell ref="F1358:F1359"/>
    <mergeCell ref="A1352:A1353"/>
    <mergeCell ref="B1352:B1353"/>
    <mergeCell ref="C1352:C1353"/>
    <mergeCell ref="D1352:D1353"/>
    <mergeCell ref="E1352:E1353"/>
    <mergeCell ref="F1352:F1353"/>
    <mergeCell ref="A1354:A1355"/>
    <mergeCell ref="B1354:B1355"/>
    <mergeCell ref="C1354:C1355"/>
    <mergeCell ref="D1354:D1355"/>
    <mergeCell ref="E1354:E1355"/>
    <mergeCell ref="F1354:F1355"/>
    <mergeCell ref="A1356:A1357"/>
    <mergeCell ref="B1356:B1357"/>
    <mergeCell ref="C1356:C1357"/>
    <mergeCell ref="D1356:D1357"/>
    <mergeCell ref="A1385:H1385"/>
    <mergeCell ref="A1387:A1388"/>
    <mergeCell ref="B1387:B1388"/>
    <mergeCell ref="C1387:C1388"/>
    <mergeCell ref="D1387:D1388"/>
    <mergeCell ref="E1387:E1388"/>
    <mergeCell ref="F1387:F1388"/>
    <mergeCell ref="G1387:H1387"/>
    <mergeCell ref="A1389:A1390"/>
    <mergeCell ref="B1389:B1390"/>
    <mergeCell ref="C1389:C1390"/>
    <mergeCell ref="D1389:D1390"/>
    <mergeCell ref="E1389:E1390"/>
    <mergeCell ref="F1389:F1390"/>
    <mergeCell ref="A1391:A1392"/>
    <mergeCell ref="B1391:B1392"/>
    <mergeCell ref="C1391:C1392"/>
    <mergeCell ref="D1391:D1392"/>
    <mergeCell ref="E1391:E1392"/>
    <mergeCell ref="F1391:F1392"/>
    <mergeCell ref="A1401:E1401"/>
    <mergeCell ref="F1397:F1398"/>
    <mergeCell ref="E1397:E1398"/>
    <mergeCell ref="D1397:D1398"/>
    <mergeCell ref="C1397:C1398"/>
    <mergeCell ref="B1397:B1398"/>
    <mergeCell ref="A1397:A1398"/>
    <mergeCell ref="A1399:E1399"/>
    <mergeCell ref="A1400:E1400"/>
    <mergeCell ref="A1407:D1407"/>
    <mergeCell ref="A1393:A1394"/>
    <mergeCell ref="B1393:B1394"/>
    <mergeCell ref="C1393:C1394"/>
    <mergeCell ref="D1393:D1394"/>
    <mergeCell ref="E1393:E1394"/>
    <mergeCell ref="F1393:F1394"/>
    <mergeCell ref="A1395:A1396"/>
    <mergeCell ref="B1395:B1396"/>
    <mergeCell ref="C1395:C1396"/>
    <mergeCell ref="D1395:D1396"/>
    <mergeCell ref="E1395:E1396"/>
    <mergeCell ref="F1395:F1396"/>
    <mergeCell ref="J90:J91"/>
    <mergeCell ref="K90:K91"/>
    <mergeCell ref="L90:L91"/>
    <mergeCell ref="M90:M91"/>
    <mergeCell ref="N90:N91"/>
    <mergeCell ref="I92:I93"/>
    <mergeCell ref="J92:J93"/>
    <mergeCell ref="K92:K93"/>
    <mergeCell ref="L92:L93"/>
    <mergeCell ref="M92:M93"/>
    <mergeCell ref="N92:N93"/>
    <mergeCell ref="J86:J87"/>
    <mergeCell ref="K86:K87"/>
    <mergeCell ref="L86:L87"/>
    <mergeCell ref="K53:K54"/>
    <mergeCell ref="L53:L54"/>
    <mergeCell ref="M53:M54"/>
    <mergeCell ref="N53:N54"/>
    <mergeCell ref="I55:I56"/>
    <mergeCell ref="J55:J56"/>
    <mergeCell ref="K55:K56"/>
    <mergeCell ref="L55:L56"/>
    <mergeCell ref="I84:I85"/>
    <mergeCell ref="J84:J85"/>
    <mergeCell ref="K84:K85"/>
    <mergeCell ref="L84:L85"/>
    <mergeCell ref="M84:M85"/>
    <mergeCell ref="N84:N85"/>
    <mergeCell ref="M86:M87"/>
    <mergeCell ref="I94:I95"/>
    <mergeCell ref="J94:J95"/>
    <mergeCell ref="K94:K95"/>
    <mergeCell ref="L94:L95"/>
    <mergeCell ref="M94:M95"/>
    <mergeCell ref="N94:N95"/>
    <mergeCell ref="I96:M96"/>
    <mergeCell ref="I97:M97"/>
    <mergeCell ref="I98:M98"/>
    <mergeCell ref="I104:L104"/>
    <mergeCell ref="I119:P119"/>
    <mergeCell ref="I121:I122"/>
    <mergeCell ref="J121:J122"/>
    <mergeCell ref="K121:K122"/>
    <mergeCell ref="L121:L122"/>
    <mergeCell ref="M121:M122"/>
    <mergeCell ref="N121:N122"/>
    <mergeCell ref="O121:P121"/>
    <mergeCell ref="I134:M134"/>
    <mergeCell ref="I135:M135"/>
    <mergeCell ref="I141:L141"/>
    <mergeCell ref="K127:K128"/>
    <mergeCell ref="L127:L128"/>
    <mergeCell ref="M127:M128"/>
    <mergeCell ref="N127:N128"/>
    <mergeCell ref="I129:I130"/>
    <mergeCell ref="J129:J130"/>
    <mergeCell ref="K129:K130"/>
    <mergeCell ref="L129:L130"/>
    <mergeCell ref="M129:M130"/>
    <mergeCell ref="N129:N130"/>
    <mergeCell ref="I131:I132"/>
    <mergeCell ref="J131:J132"/>
    <mergeCell ref="K131:K132"/>
    <mergeCell ref="L131:L132"/>
    <mergeCell ref="M131:M132"/>
    <mergeCell ref="N131:N132"/>
    <mergeCell ref="I133:M133"/>
    <mergeCell ref="I193:P193"/>
    <mergeCell ref="I195:I196"/>
    <mergeCell ref="J195:J196"/>
    <mergeCell ref="K195:K196"/>
    <mergeCell ref="L195:L196"/>
    <mergeCell ref="M195:M196"/>
    <mergeCell ref="N195:N196"/>
    <mergeCell ref="O195:P195"/>
    <mergeCell ref="I197:I198"/>
    <mergeCell ref="J197:J198"/>
    <mergeCell ref="K197:K198"/>
    <mergeCell ref="L197:L198"/>
    <mergeCell ref="M197:M198"/>
    <mergeCell ref="N197:N198"/>
    <mergeCell ref="I199:I200"/>
    <mergeCell ref="J199:J200"/>
    <mergeCell ref="K199:K200"/>
    <mergeCell ref="L199:L200"/>
    <mergeCell ref="M199:M200"/>
    <mergeCell ref="N199:N200"/>
    <mergeCell ref="I201:I202"/>
    <mergeCell ref="J201:J202"/>
    <mergeCell ref="K201:K202"/>
    <mergeCell ref="L201:L202"/>
    <mergeCell ref="M201:M202"/>
    <mergeCell ref="N201:N202"/>
    <mergeCell ref="I203:I204"/>
    <mergeCell ref="J203:J204"/>
    <mergeCell ref="K203:K204"/>
    <mergeCell ref="L203:L204"/>
    <mergeCell ref="M203:M204"/>
    <mergeCell ref="N203:N204"/>
    <mergeCell ref="I205:I206"/>
    <mergeCell ref="J205:J206"/>
    <mergeCell ref="K205:K206"/>
    <mergeCell ref="L205:L206"/>
    <mergeCell ref="M205:M206"/>
    <mergeCell ref="N205:N206"/>
    <mergeCell ref="I207:M207"/>
    <mergeCell ref="I208:M208"/>
    <mergeCell ref="I209:M209"/>
    <mergeCell ref="I215:L215"/>
    <mergeCell ref="I230:P230"/>
    <mergeCell ref="I232:I233"/>
    <mergeCell ref="J232:J233"/>
    <mergeCell ref="K232:K233"/>
    <mergeCell ref="L232:L233"/>
    <mergeCell ref="M232:M233"/>
    <mergeCell ref="N232:N233"/>
    <mergeCell ref="O232:P232"/>
    <mergeCell ref="I234:I235"/>
    <mergeCell ref="J234:J235"/>
    <mergeCell ref="K234:K235"/>
    <mergeCell ref="L234:L235"/>
    <mergeCell ref="M234:M235"/>
    <mergeCell ref="N234:N235"/>
    <mergeCell ref="I236:I237"/>
    <mergeCell ref="J236:J237"/>
    <mergeCell ref="K236:K237"/>
    <mergeCell ref="L236:L237"/>
    <mergeCell ref="M236:M237"/>
    <mergeCell ref="N236:N237"/>
    <mergeCell ref="I238:I239"/>
    <mergeCell ref="J238:J239"/>
    <mergeCell ref="K238:K239"/>
    <mergeCell ref="L238:L239"/>
    <mergeCell ref="M238:M239"/>
    <mergeCell ref="N238:N239"/>
    <mergeCell ref="I240:I241"/>
    <mergeCell ref="J240:J241"/>
    <mergeCell ref="K240:K241"/>
    <mergeCell ref="L240:L241"/>
    <mergeCell ref="M240:M241"/>
    <mergeCell ref="N240:N241"/>
    <mergeCell ref="I242:I243"/>
    <mergeCell ref="J242:J243"/>
    <mergeCell ref="K242:K243"/>
    <mergeCell ref="L242:L243"/>
    <mergeCell ref="M242:M243"/>
    <mergeCell ref="N242:N243"/>
    <mergeCell ref="I244:M244"/>
    <mergeCell ref="I245:M245"/>
    <mergeCell ref="I246:M246"/>
    <mergeCell ref="I252:L252"/>
    <mergeCell ref="I267:P267"/>
    <mergeCell ref="I269:I270"/>
    <mergeCell ref="J269:J270"/>
    <mergeCell ref="K269:K270"/>
    <mergeCell ref="L269:L270"/>
    <mergeCell ref="M269:M270"/>
    <mergeCell ref="N269:N270"/>
    <mergeCell ref="O269:P269"/>
    <mergeCell ref="I271:I272"/>
    <mergeCell ref="J271:J272"/>
    <mergeCell ref="K271:K272"/>
    <mergeCell ref="L271:L272"/>
    <mergeCell ref="M271:M272"/>
    <mergeCell ref="N271:N272"/>
    <mergeCell ref="I273:I274"/>
    <mergeCell ref="J273:J274"/>
    <mergeCell ref="K273:K274"/>
    <mergeCell ref="L273:L274"/>
    <mergeCell ref="M273:M274"/>
    <mergeCell ref="N273:N274"/>
    <mergeCell ref="I275:I276"/>
    <mergeCell ref="J275:J276"/>
    <mergeCell ref="K275:K276"/>
    <mergeCell ref="L275:L276"/>
    <mergeCell ref="M275:M276"/>
    <mergeCell ref="N275:N276"/>
    <mergeCell ref="I277:I278"/>
    <mergeCell ref="J277:J278"/>
    <mergeCell ref="K277:K278"/>
    <mergeCell ref="L277:L278"/>
    <mergeCell ref="M277:M278"/>
    <mergeCell ref="N277:N278"/>
    <mergeCell ref="I279:I280"/>
    <mergeCell ref="J279:J280"/>
    <mergeCell ref="K279:K280"/>
    <mergeCell ref="L279:L280"/>
    <mergeCell ref="M279:M280"/>
    <mergeCell ref="N279:N280"/>
    <mergeCell ref="I281:M281"/>
    <mergeCell ref="I282:M282"/>
    <mergeCell ref="I283:M283"/>
    <mergeCell ref="I289:L289"/>
    <mergeCell ref="I304:P304"/>
    <mergeCell ref="I306:I307"/>
    <mergeCell ref="J306:J307"/>
    <mergeCell ref="K306:K307"/>
    <mergeCell ref="L306:L307"/>
    <mergeCell ref="M306:M307"/>
    <mergeCell ref="N306:N307"/>
    <mergeCell ref="O306:P306"/>
    <mergeCell ref="I308:I309"/>
    <mergeCell ref="J308:J309"/>
    <mergeCell ref="K308:K309"/>
    <mergeCell ref="L308:L309"/>
    <mergeCell ref="M308:M309"/>
    <mergeCell ref="N308:N309"/>
    <mergeCell ref="I310:I311"/>
    <mergeCell ref="J310:J311"/>
    <mergeCell ref="K310:K311"/>
    <mergeCell ref="L310:L311"/>
    <mergeCell ref="M310:M311"/>
    <mergeCell ref="N310:N311"/>
    <mergeCell ref="I312:I313"/>
    <mergeCell ref="J312:J313"/>
    <mergeCell ref="K312:K313"/>
    <mergeCell ref="L312:L313"/>
    <mergeCell ref="M312:M313"/>
    <mergeCell ref="N312:N313"/>
    <mergeCell ref="I314:I315"/>
    <mergeCell ref="J314:J315"/>
    <mergeCell ref="K314:K315"/>
    <mergeCell ref="L314:L315"/>
    <mergeCell ref="M314:M315"/>
    <mergeCell ref="N314:N315"/>
    <mergeCell ref="I316:I317"/>
    <mergeCell ref="J316:J317"/>
    <mergeCell ref="K316:K317"/>
    <mergeCell ref="L316:L317"/>
    <mergeCell ref="M316:M317"/>
    <mergeCell ref="N316:N317"/>
    <mergeCell ref="I318:M318"/>
    <mergeCell ref="I319:M319"/>
    <mergeCell ref="I320:M320"/>
    <mergeCell ref="I326:L326"/>
    <mergeCell ref="I341:P341"/>
    <mergeCell ref="I343:I344"/>
    <mergeCell ref="J343:J344"/>
    <mergeCell ref="K343:K344"/>
    <mergeCell ref="L343:L344"/>
    <mergeCell ref="M343:M344"/>
    <mergeCell ref="N343:N344"/>
    <mergeCell ref="O343:P343"/>
    <mergeCell ref="I345:I346"/>
    <mergeCell ref="J345:J346"/>
    <mergeCell ref="K345:K346"/>
    <mergeCell ref="L345:L346"/>
    <mergeCell ref="M345:M346"/>
    <mergeCell ref="N345:N346"/>
    <mergeCell ref="I347:I348"/>
    <mergeCell ref="J347:J348"/>
    <mergeCell ref="K347:K348"/>
    <mergeCell ref="L347:L348"/>
    <mergeCell ref="M347:M348"/>
    <mergeCell ref="N347:N348"/>
    <mergeCell ref="I349:I350"/>
    <mergeCell ref="J349:J350"/>
    <mergeCell ref="K349:K350"/>
    <mergeCell ref="L349:L350"/>
    <mergeCell ref="M349:M350"/>
    <mergeCell ref="N349:N350"/>
    <mergeCell ref="I351:I352"/>
    <mergeCell ref="J351:J352"/>
    <mergeCell ref="K351:K352"/>
    <mergeCell ref="L351:L352"/>
    <mergeCell ref="M351:M352"/>
    <mergeCell ref="N351:N352"/>
    <mergeCell ref="M386:M387"/>
    <mergeCell ref="N386:N387"/>
    <mergeCell ref="I353:I354"/>
    <mergeCell ref="J353:J354"/>
    <mergeCell ref="K353:K354"/>
    <mergeCell ref="L353:L354"/>
    <mergeCell ref="M353:M354"/>
    <mergeCell ref="N353:N354"/>
    <mergeCell ref="I355:M355"/>
    <mergeCell ref="I356:M356"/>
    <mergeCell ref="I357:M357"/>
    <mergeCell ref="I363:L363"/>
    <mergeCell ref="I378:P378"/>
    <mergeCell ref="I380:I381"/>
    <mergeCell ref="J380:J381"/>
    <mergeCell ref="K380:K381"/>
    <mergeCell ref="L380:L381"/>
    <mergeCell ref="M380:M381"/>
    <mergeCell ref="N380:N381"/>
    <mergeCell ref="O380:P380"/>
    <mergeCell ref="I388:I389"/>
    <mergeCell ref="J388:J389"/>
    <mergeCell ref="K388:K389"/>
    <mergeCell ref="L388:L389"/>
    <mergeCell ref="M388:M389"/>
    <mergeCell ref="N388:N389"/>
    <mergeCell ref="I390:I391"/>
    <mergeCell ref="J390:J391"/>
    <mergeCell ref="K390:K391"/>
    <mergeCell ref="L390:L391"/>
    <mergeCell ref="M390:M391"/>
    <mergeCell ref="N390:N391"/>
    <mergeCell ref="I392:M392"/>
    <mergeCell ref="I393:M393"/>
    <mergeCell ref="I394:M394"/>
    <mergeCell ref="I400:L400"/>
    <mergeCell ref="I382:I383"/>
    <mergeCell ref="J382:J383"/>
    <mergeCell ref="K382:K383"/>
    <mergeCell ref="L382:L383"/>
    <mergeCell ref="M382:M383"/>
    <mergeCell ref="N382:N383"/>
    <mergeCell ref="I384:I385"/>
    <mergeCell ref="J384:J385"/>
    <mergeCell ref="K384:K385"/>
    <mergeCell ref="L384:L385"/>
    <mergeCell ref="M384:M385"/>
    <mergeCell ref="N384:N385"/>
    <mergeCell ref="I386:I387"/>
    <mergeCell ref="J386:J387"/>
    <mergeCell ref="K386:K387"/>
    <mergeCell ref="L386:L387"/>
    <mergeCell ref="I415:P415"/>
    <mergeCell ref="I417:I418"/>
    <mergeCell ref="J417:J418"/>
    <mergeCell ref="K417:K418"/>
    <mergeCell ref="L417:L418"/>
    <mergeCell ref="M417:M418"/>
    <mergeCell ref="N417:N418"/>
    <mergeCell ref="O417:P417"/>
    <mergeCell ref="I419:I420"/>
    <mergeCell ref="J419:J420"/>
    <mergeCell ref="K419:K420"/>
    <mergeCell ref="L419:L420"/>
    <mergeCell ref="M419:M420"/>
    <mergeCell ref="N419:N420"/>
    <mergeCell ref="I421:I422"/>
    <mergeCell ref="J421:J422"/>
    <mergeCell ref="K421:K422"/>
    <mergeCell ref="L421:L422"/>
    <mergeCell ref="M421:M422"/>
    <mergeCell ref="N421:N422"/>
    <mergeCell ref="I423:I424"/>
    <mergeCell ref="J423:J424"/>
    <mergeCell ref="K423:K424"/>
    <mergeCell ref="L423:L424"/>
    <mergeCell ref="M423:M424"/>
    <mergeCell ref="N423:N424"/>
    <mergeCell ref="I425:I426"/>
    <mergeCell ref="J425:J426"/>
    <mergeCell ref="K425:K426"/>
    <mergeCell ref="L425:L426"/>
    <mergeCell ref="M425:M426"/>
    <mergeCell ref="N425:N426"/>
    <mergeCell ref="I427:I428"/>
    <mergeCell ref="J427:J428"/>
    <mergeCell ref="K427:K428"/>
    <mergeCell ref="L427:L428"/>
    <mergeCell ref="M427:M428"/>
    <mergeCell ref="N427:N428"/>
    <mergeCell ref="I429:M429"/>
    <mergeCell ref="I430:M430"/>
    <mergeCell ref="I431:M431"/>
    <mergeCell ref="I437:L437"/>
    <mergeCell ref="I452:P452"/>
    <mergeCell ref="I454:I455"/>
    <mergeCell ref="J454:J455"/>
    <mergeCell ref="K454:K455"/>
    <mergeCell ref="L454:L455"/>
    <mergeCell ref="M454:M455"/>
    <mergeCell ref="N454:N455"/>
    <mergeCell ref="O454:P454"/>
    <mergeCell ref="I456:I457"/>
    <mergeCell ref="J456:J457"/>
    <mergeCell ref="K456:K457"/>
    <mergeCell ref="L456:L457"/>
    <mergeCell ref="M456:M457"/>
    <mergeCell ref="N456:N457"/>
    <mergeCell ref="I458:I459"/>
    <mergeCell ref="J458:J459"/>
    <mergeCell ref="K458:K459"/>
    <mergeCell ref="L458:L459"/>
    <mergeCell ref="M458:M459"/>
    <mergeCell ref="N458:N459"/>
    <mergeCell ref="I460:I461"/>
    <mergeCell ref="J460:J461"/>
    <mergeCell ref="K460:K461"/>
    <mergeCell ref="L460:L461"/>
    <mergeCell ref="M460:M461"/>
    <mergeCell ref="N460:N461"/>
    <mergeCell ref="I462:I463"/>
    <mergeCell ref="J462:J463"/>
    <mergeCell ref="K462:K463"/>
    <mergeCell ref="L462:L463"/>
    <mergeCell ref="M462:M463"/>
    <mergeCell ref="N462:N463"/>
    <mergeCell ref="I464:I465"/>
    <mergeCell ref="J464:J465"/>
    <mergeCell ref="K464:K465"/>
    <mergeCell ref="L464:L465"/>
    <mergeCell ref="M464:M465"/>
    <mergeCell ref="N464:N465"/>
    <mergeCell ref="I466:M466"/>
    <mergeCell ref="I467:M467"/>
    <mergeCell ref="I468:M468"/>
    <mergeCell ref="I474:L474"/>
    <mergeCell ref="I489:P489"/>
    <mergeCell ref="I491:I492"/>
    <mergeCell ref="J491:J492"/>
    <mergeCell ref="K491:K492"/>
    <mergeCell ref="L491:L492"/>
    <mergeCell ref="M491:M492"/>
    <mergeCell ref="N491:N492"/>
    <mergeCell ref="O491:P491"/>
    <mergeCell ref="I493:I494"/>
    <mergeCell ref="J493:J494"/>
    <mergeCell ref="K493:K494"/>
    <mergeCell ref="L493:L494"/>
    <mergeCell ref="M493:M494"/>
    <mergeCell ref="N493:N494"/>
    <mergeCell ref="I495:I496"/>
    <mergeCell ref="J495:J496"/>
    <mergeCell ref="K495:K496"/>
    <mergeCell ref="L495:L496"/>
    <mergeCell ref="M495:M496"/>
    <mergeCell ref="N495:N496"/>
    <mergeCell ref="I497:I498"/>
    <mergeCell ref="J497:J498"/>
    <mergeCell ref="K497:K498"/>
    <mergeCell ref="L497:L498"/>
    <mergeCell ref="M497:M498"/>
    <mergeCell ref="N497:N498"/>
    <mergeCell ref="I499:I500"/>
    <mergeCell ref="J499:J500"/>
    <mergeCell ref="K499:K500"/>
    <mergeCell ref="L499:L500"/>
    <mergeCell ref="M499:M500"/>
    <mergeCell ref="N499:N500"/>
    <mergeCell ref="I501:I502"/>
    <mergeCell ref="J501:J502"/>
    <mergeCell ref="K501:K502"/>
    <mergeCell ref="L501:L502"/>
    <mergeCell ref="M501:M502"/>
    <mergeCell ref="N501:N502"/>
    <mergeCell ref="I503:M503"/>
    <mergeCell ref="I504:M504"/>
    <mergeCell ref="I505:M505"/>
    <mergeCell ref="I511:L511"/>
    <mergeCell ref="I526:P526"/>
    <mergeCell ref="I528:I529"/>
    <mergeCell ref="J528:J529"/>
    <mergeCell ref="K528:K529"/>
    <mergeCell ref="L528:L529"/>
    <mergeCell ref="M528:M529"/>
    <mergeCell ref="N528:N529"/>
    <mergeCell ref="O528:P528"/>
    <mergeCell ref="I530:I531"/>
    <mergeCell ref="J530:J531"/>
    <mergeCell ref="K530:K531"/>
    <mergeCell ref="L530:L531"/>
    <mergeCell ref="M530:M531"/>
    <mergeCell ref="N530:N531"/>
    <mergeCell ref="I532:I533"/>
    <mergeCell ref="J532:J533"/>
    <mergeCell ref="K532:K533"/>
    <mergeCell ref="L532:L533"/>
    <mergeCell ref="M532:M533"/>
    <mergeCell ref="N532:N533"/>
    <mergeCell ref="I534:I535"/>
    <mergeCell ref="J534:J535"/>
    <mergeCell ref="K534:K535"/>
    <mergeCell ref="L534:L535"/>
    <mergeCell ref="M534:M535"/>
    <mergeCell ref="N534:N535"/>
    <mergeCell ref="I536:I537"/>
    <mergeCell ref="J536:J537"/>
    <mergeCell ref="K536:K537"/>
    <mergeCell ref="L536:L537"/>
    <mergeCell ref="M536:M537"/>
    <mergeCell ref="N536:N537"/>
    <mergeCell ref="I538:I539"/>
    <mergeCell ref="J538:J539"/>
    <mergeCell ref="K538:K539"/>
    <mergeCell ref="L538:L539"/>
    <mergeCell ref="M538:M539"/>
    <mergeCell ref="N538:N539"/>
    <mergeCell ref="I540:M540"/>
    <mergeCell ref="I541:M541"/>
    <mergeCell ref="I542:M542"/>
    <mergeCell ref="I548:L548"/>
    <mergeCell ref="I563:P563"/>
    <mergeCell ref="I565:I566"/>
    <mergeCell ref="J565:J566"/>
    <mergeCell ref="K565:K566"/>
    <mergeCell ref="L565:L566"/>
    <mergeCell ref="M565:M566"/>
    <mergeCell ref="N565:N566"/>
    <mergeCell ref="O565:P565"/>
    <mergeCell ref="I567:I568"/>
    <mergeCell ref="J567:J568"/>
    <mergeCell ref="K567:K568"/>
    <mergeCell ref="L567:L568"/>
    <mergeCell ref="M567:M568"/>
    <mergeCell ref="N567:N568"/>
    <mergeCell ref="I569:I570"/>
    <mergeCell ref="J569:J570"/>
    <mergeCell ref="K569:K570"/>
    <mergeCell ref="L569:L570"/>
    <mergeCell ref="M569:M570"/>
    <mergeCell ref="N569:N570"/>
    <mergeCell ref="I571:I572"/>
    <mergeCell ref="J571:J572"/>
    <mergeCell ref="K571:K572"/>
    <mergeCell ref="L571:L572"/>
    <mergeCell ref="M571:M572"/>
    <mergeCell ref="N571:N572"/>
    <mergeCell ref="I573:I574"/>
    <mergeCell ref="J573:J574"/>
    <mergeCell ref="K573:K574"/>
    <mergeCell ref="L573:L574"/>
    <mergeCell ref="M573:M574"/>
    <mergeCell ref="N573:N574"/>
    <mergeCell ref="I575:I576"/>
    <mergeCell ref="J575:J576"/>
    <mergeCell ref="K575:K576"/>
    <mergeCell ref="L575:L576"/>
    <mergeCell ref="M575:M576"/>
    <mergeCell ref="N575:N576"/>
    <mergeCell ref="I577:M577"/>
    <mergeCell ref="I578:M578"/>
    <mergeCell ref="I579:M579"/>
    <mergeCell ref="I585:L585"/>
    <mergeCell ref="I600:P600"/>
    <mergeCell ref="I602:I603"/>
    <mergeCell ref="J602:J603"/>
    <mergeCell ref="K602:K603"/>
    <mergeCell ref="L602:L603"/>
    <mergeCell ref="M602:M603"/>
    <mergeCell ref="N602:N603"/>
    <mergeCell ref="O602:P602"/>
    <mergeCell ref="I604:I605"/>
    <mergeCell ref="J604:J605"/>
    <mergeCell ref="K604:K605"/>
    <mergeCell ref="L604:L605"/>
    <mergeCell ref="M604:M605"/>
    <mergeCell ref="N604:N605"/>
    <mergeCell ref="I606:I607"/>
    <mergeCell ref="J606:J607"/>
    <mergeCell ref="K606:K607"/>
    <mergeCell ref="L606:L607"/>
    <mergeCell ref="M606:M607"/>
    <mergeCell ref="N606:N607"/>
    <mergeCell ref="I608:I609"/>
    <mergeCell ref="J608:J609"/>
    <mergeCell ref="K608:K609"/>
    <mergeCell ref="L608:L609"/>
    <mergeCell ref="M608:M609"/>
    <mergeCell ref="N608:N609"/>
    <mergeCell ref="I610:I611"/>
    <mergeCell ref="J610:J611"/>
    <mergeCell ref="K610:K611"/>
    <mergeCell ref="L610:L611"/>
    <mergeCell ref="M610:M611"/>
    <mergeCell ref="N610:N611"/>
    <mergeCell ref="I612:I613"/>
    <mergeCell ref="J612:J613"/>
    <mergeCell ref="K612:K613"/>
    <mergeCell ref="L612:L613"/>
    <mergeCell ref="M612:M613"/>
    <mergeCell ref="N612:N613"/>
    <mergeCell ref="I614:M614"/>
    <mergeCell ref="I615:M615"/>
    <mergeCell ref="I616:M616"/>
    <mergeCell ref="I622:L622"/>
    <mergeCell ref="I637:P637"/>
    <mergeCell ref="I639:I640"/>
    <mergeCell ref="J639:J640"/>
    <mergeCell ref="K639:K640"/>
    <mergeCell ref="L639:L640"/>
    <mergeCell ref="M639:M640"/>
    <mergeCell ref="N639:N640"/>
    <mergeCell ref="O639:P639"/>
    <mergeCell ref="I641:I642"/>
    <mergeCell ref="J641:J642"/>
    <mergeCell ref="K641:K642"/>
    <mergeCell ref="L641:L642"/>
    <mergeCell ref="M641:M642"/>
    <mergeCell ref="N641:N642"/>
    <mergeCell ref="I643:I644"/>
    <mergeCell ref="J643:J644"/>
    <mergeCell ref="K643:K644"/>
    <mergeCell ref="L643:L644"/>
    <mergeCell ref="M643:M644"/>
    <mergeCell ref="N643:N644"/>
    <mergeCell ref="I651:M651"/>
    <mergeCell ref="I652:M652"/>
    <mergeCell ref="I653:M653"/>
    <mergeCell ref="I659:L659"/>
    <mergeCell ref="I645:I646"/>
    <mergeCell ref="J645:J646"/>
    <mergeCell ref="K645:K646"/>
    <mergeCell ref="L645:L646"/>
    <mergeCell ref="M645:M646"/>
    <mergeCell ref="N645:N646"/>
    <mergeCell ref="I647:I648"/>
    <mergeCell ref="J647:J648"/>
    <mergeCell ref="K647:K648"/>
    <mergeCell ref="L647:L648"/>
    <mergeCell ref="M647:M648"/>
    <mergeCell ref="N647:N648"/>
    <mergeCell ref="I649:I650"/>
    <mergeCell ref="J649:J650"/>
    <mergeCell ref="K649:K650"/>
    <mergeCell ref="L649:L650"/>
    <mergeCell ref="M649:M650"/>
    <mergeCell ref="N649:N650"/>
    <mergeCell ref="I1161:P1161"/>
    <mergeCell ref="I1163:I1164"/>
    <mergeCell ref="J1163:J1164"/>
    <mergeCell ref="K1163:K1164"/>
    <mergeCell ref="L1163:L1164"/>
    <mergeCell ref="M1163:M1164"/>
    <mergeCell ref="N1163:N1164"/>
    <mergeCell ref="O1163:P1163"/>
    <mergeCell ref="I1165:I1166"/>
    <mergeCell ref="J1165:J1166"/>
    <mergeCell ref="K1165:K1166"/>
    <mergeCell ref="L1165:L1166"/>
    <mergeCell ref="M1165:M1166"/>
    <mergeCell ref="N1165:N1166"/>
    <mergeCell ref="I1167:I1168"/>
    <mergeCell ref="J1167:J1168"/>
    <mergeCell ref="K1167:K1168"/>
    <mergeCell ref="L1167:L1168"/>
    <mergeCell ref="M1167:M1168"/>
    <mergeCell ref="N1167:N1168"/>
    <mergeCell ref="I1175:M1175"/>
    <mergeCell ref="I1176:M1176"/>
    <mergeCell ref="I1177:M1177"/>
    <mergeCell ref="I1183:L1183"/>
    <mergeCell ref="I1169:I1170"/>
    <mergeCell ref="J1169:J1170"/>
    <mergeCell ref="K1169:K1170"/>
    <mergeCell ref="L1169:L1170"/>
    <mergeCell ref="M1169:M1170"/>
    <mergeCell ref="N1169:N1170"/>
    <mergeCell ref="I1171:I1172"/>
    <mergeCell ref="J1171:J1172"/>
    <mergeCell ref="K1171:K1172"/>
    <mergeCell ref="L1171:L1172"/>
    <mergeCell ref="M1171:M1172"/>
    <mergeCell ref="N1171:N1172"/>
    <mergeCell ref="I1173:I1174"/>
    <mergeCell ref="J1173:J1174"/>
    <mergeCell ref="K1173:K1174"/>
    <mergeCell ref="L1173:L1174"/>
    <mergeCell ref="M1173:M1174"/>
    <mergeCell ref="N1173:N1174"/>
    <mergeCell ref="I1383:P1383"/>
    <mergeCell ref="I1385:I1386"/>
    <mergeCell ref="J1385:J1386"/>
    <mergeCell ref="K1385:K1386"/>
    <mergeCell ref="L1385:L1386"/>
    <mergeCell ref="M1385:M1386"/>
    <mergeCell ref="N1385:N1386"/>
    <mergeCell ref="O1385:P1385"/>
    <mergeCell ref="I1387:I1388"/>
    <mergeCell ref="J1387:J1388"/>
    <mergeCell ref="K1387:K1388"/>
    <mergeCell ref="L1387:L1388"/>
    <mergeCell ref="M1387:M1388"/>
    <mergeCell ref="N1387:N1388"/>
    <mergeCell ref="I1389:I1390"/>
    <mergeCell ref="J1389:J1390"/>
    <mergeCell ref="K1389:K1390"/>
    <mergeCell ref="L1389:L1390"/>
    <mergeCell ref="M1389:M1390"/>
    <mergeCell ref="N1389:N1390"/>
    <mergeCell ref="I1397:M1397"/>
    <mergeCell ref="I1398:M1398"/>
    <mergeCell ref="I1399:M1399"/>
    <mergeCell ref="I1405:L1405"/>
    <mergeCell ref="I1391:I1392"/>
    <mergeCell ref="J1391:J1392"/>
    <mergeCell ref="K1391:K1392"/>
    <mergeCell ref="L1391:L1392"/>
    <mergeCell ref="M1391:M1392"/>
    <mergeCell ref="N1391:N1392"/>
    <mergeCell ref="I1393:I1394"/>
    <mergeCell ref="J1393:J1394"/>
    <mergeCell ref="K1393:K1394"/>
    <mergeCell ref="L1393:L1394"/>
    <mergeCell ref="M1393:M1394"/>
    <mergeCell ref="N1393:N1394"/>
    <mergeCell ref="I1395:I1396"/>
    <mergeCell ref="J1395:J1396"/>
    <mergeCell ref="K1395:K1396"/>
    <mergeCell ref="L1395:L1396"/>
    <mergeCell ref="M1395:M1396"/>
    <mergeCell ref="N1395:N1396"/>
    <mergeCell ref="I1420:P1420"/>
    <mergeCell ref="I1422:I1423"/>
    <mergeCell ref="J1422:J1423"/>
    <mergeCell ref="K1422:K1423"/>
    <mergeCell ref="L1422:L1423"/>
    <mergeCell ref="M1422:M1423"/>
    <mergeCell ref="N1422:N1423"/>
    <mergeCell ref="O1422:P1422"/>
    <mergeCell ref="I1424:I1425"/>
    <mergeCell ref="J1424:J1425"/>
    <mergeCell ref="K1424:K1425"/>
    <mergeCell ref="L1424:L1425"/>
    <mergeCell ref="M1424:M1425"/>
    <mergeCell ref="N1424:N1425"/>
    <mergeCell ref="I1426:I1427"/>
    <mergeCell ref="J1426:J1427"/>
    <mergeCell ref="K1426:K1427"/>
    <mergeCell ref="L1426:L1427"/>
    <mergeCell ref="M1426:M1427"/>
    <mergeCell ref="N1426:N1427"/>
    <mergeCell ref="I1434:M1434"/>
    <mergeCell ref="I1435:M1435"/>
    <mergeCell ref="I1436:M1436"/>
    <mergeCell ref="I1442:L1442"/>
    <mergeCell ref="I1428:I1429"/>
    <mergeCell ref="J1428:J1429"/>
    <mergeCell ref="K1428:K1429"/>
    <mergeCell ref="L1428:L1429"/>
    <mergeCell ref="M1428:M1429"/>
    <mergeCell ref="N1428:N1429"/>
    <mergeCell ref="I1430:I1431"/>
    <mergeCell ref="J1430:J1431"/>
    <mergeCell ref="K1430:K1431"/>
    <mergeCell ref="L1430:L1431"/>
    <mergeCell ref="M1430:M1431"/>
    <mergeCell ref="N1430:N1431"/>
    <mergeCell ref="I1432:I1433"/>
    <mergeCell ref="J1432:J1433"/>
    <mergeCell ref="K1432:K1433"/>
    <mergeCell ref="L1432:L1433"/>
    <mergeCell ref="M1432:M1433"/>
    <mergeCell ref="N1432:N1433"/>
    <mergeCell ref="K1730:K1731"/>
    <mergeCell ref="L1730:L1731"/>
    <mergeCell ref="M1730:M1731"/>
    <mergeCell ref="N1730:N1731"/>
    <mergeCell ref="I1716:P1716"/>
    <mergeCell ref="I1718:I1719"/>
    <mergeCell ref="J1718:J1719"/>
    <mergeCell ref="K1718:K1719"/>
    <mergeCell ref="L1718:L1719"/>
    <mergeCell ref="M1718:M1719"/>
    <mergeCell ref="N1718:N1719"/>
    <mergeCell ref="O1718:P1718"/>
    <mergeCell ref="I1720:I1721"/>
    <mergeCell ref="J1720:J1721"/>
    <mergeCell ref="K1720:K1721"/>
    <mergeCell ref="L1720:L1721"/>
    <mergeCell ref="M1720:M1721"/>
    <mergeCell ref="N1720:N1721"/>
    <mergeCell ref="I1722:I1723"/>
    <mergeCell ref="J1722:J1723"/>
    <mergeCell ref="K1722:K1723"/>
    <mergeCell ref="L1722:L1723"/>
    <mergeCell ref="M1722:M1723"/>
    <mergeCell ref="N1722:N1723"/>
    <mergeCell ref="I1732:M1732"/>
    <mergeCell ref="I1733:M1733"/>
    <mergeCell ref="I1734:M1734"/>
    <mergeCell ref="I1740:L1740"/>
    <mergeCell ref="I1724:I1725"/>
    <mergeCell ref="J1724:J1725"/>
    <mergeCell ref="K1724:K1725"/>
    <mergeCell ref="L1724:L1725"/>
    <mergeCell ref="M1724:M1725"/>
    <mergeCell ref="N1724:N1725"/>
    <mergeCell ref="I1755:P1755"/>
    <mergeCell ref="I1757:I1758"/>
    <mergeCell ref="J1757:J1758"/>
    <mergeCell ref="K1757:K1758"/>
    <mergeCell ref="L1757:L1758"/>
    <mergeCell ref="M1757:M1758"/>
    <mergeCell ref="N1757:N1758"/>
    <mergeCell ref="O1757:P1757"/>
    <mergeCell ref="I1726:I1727"/>
    <mergeCell ref="J1726:J1727"/>
    <mergeCell ref="K1726:K1727"/>
    <mergeCell ref="L1726:L1727"/>
    <mergeCell ref="M1726:M1727"/>
    <mergeCell ref="N1726:N1727"/>
    <mergeCell ref="I1728:I1729"/>
    <mergeCell ref="J1728:J1729"/>
    <mergeCell ref="K1728:K1729"/>
    <mergeCell ref="L1728:L1729"/>
    <mergeCell ref="M1728:M1729"/>
    <mergeCell ref="N1728:N1729"/>
    <mergeCell ref="I1730:I1731"/>
    <mergeCell ref="J1730:J1731"/>
    <mergeCell ref="I1759:I1760"/>
    <mergeCell ref="J1759:J1760"/>
    <mergeCell ref="K1759:K1760"/>
    <mergeCell ref="L1759:L1760"/>
    <mergeCell ref="M1759:M1760"/>
    <mergeCell ref="N1759:N1760"/>
    <mergeCell ref="I1761:I1762"/>
    <mergeCell ref="J1761:J1762"/>
    <mergeCell ref="K1761:K1762"/>
    <mergeCell ref="L1761:L1762"/>
    <mergeCell ref="M1761:M1762"/>
    <mergeCell ref="N1761:N1762"/>
    <mergeCell ref="I1763:I1764"/>
    <mergeCell ref="J1763:J1764"/>
    <mergeCell ref="K1763:K1764"/>
    <mergeCell ref="L1763:L1764"/>
    <mergeCell ref="M1763:M1764"/>
    <mergeCell ref="N1763:N1764"/>
    <mergeCell ref="I1765:I1766"/>
    <mergeCell ref="J1765:J1766"/>
    <mergeCell ref="K1765:K1766"/>
    <mergeCell ref="L1765:L1766"/>
    <mergeCell ref="M1765:M1766"/>
    <mergeCell ref="N1765:N1766"/>
    <mergeCell ref="I1767:I1768"/>
    <mergeCell ref="J1767:J1768"/>
    <mergeCell ref="K1767:K1768"/>
    <mergeCell ref="L1767:L1768"/>
    <mergeCell ref="M1767:M1768"/>
    <mergeCell ref="N1767:N1768"/>
    <mergeCell ref="I1769:M1769"/>
    <mergeCell ref="I1770:M1770"/>
    <mergeCell ref="I1771:M1771"/>
    <mergeCell ref="I1777:L1777"/>
    <mergeCell ref="I1792:P1792"/>
    <mergeCell ref="I1794:I1795"/>
    <mergeCell ref="J1794:J1795"/>
    <mergeCell ref="K1794:K1795"/>
    <mergeCell ref="L1794:L1795"/>
    <mergeCell ref="M1794:M1795"/>
    <mergeCell ref="N1794:N1795"/>
    <mergeCell ref="O1794:P1794"/>
    <mergeCell ref="I1796:I1797"/>
    <mergeCell ref="J1796:J1797"/>
    <mergeCell ref="K1796:K1797"/>
    <mergeCell ref="L1796:L1797"/>
    <mergeCell ref="M1796:M1797"/>
    <mergeCell ref="N1796:N1797"/>
    <mergeCell ref="I1798:I1799"/>
    <mergeCell ref="J1798:J1799"/>
    <mergeCell ref="K1798:K1799"/>
    <mergeCell ref="L1798:L1799"/>
    <mergeCell ref="M1798:M1799"/>
    <mergeCell ref="N1798:N1799"/>
    <mergeCell ref="I1806:M1806"/>
    <mergeCell ref="I1807:M1807"/>
    <mergeCell ref="I1808:M1808"/>
    <mergeCell ref="I1814:L1814"/>
    <mergeCell ref="I1800:I1801"/>
    <mergeCell ref="J1800:J1801"/>
    <mergeCell ref="K1800:K1801"/>
    <mergeCell ref="L1800:L1801"/>
    <mergeCell ref="M1800:M1801"/>
    <mergeCell ref="N1800:N1801"/>
    <mergeCell ref="I1802:I1803"/>
    <mergeCell ref="J1802:J1803"/>
    <mergeCell ref="K1802:K1803"/>
    <mergeCell ref="L1802:L1803"/>
    <mergeCell ref="M1802:M1803"/>
    <mergeCell ref="N1802:N1803"/>
    <mergeCell ref="I1804:I1805"/>
    <mergeCell ref="J1804:J1805"/>
    <mergeCell ref="K1804:K1805"/>
    <mergeCell ref="L1804:L1805"/>
    <mergeCell ref="M1804:M1805"/>
    <mergeCell ref="N1804:N1805"/>
    <mergeCell ref="I1866:P1866"/>
    <mergeCell ref="I1868:I1869"/>
    <mergeCell ref="J1868:J1869"/>
    <mergeCell ref="K1868:K1869"/>
    <mergeCell ref="L1868:L1869"/>
    <mergeCell ref="M1868:M1869"/>
    <mergeCell ref="N1868:N1869"/>
    <mergeCell ref="O1868:P1868"/>
    <mergeCell ref="I1870:I1871"/>
    <mergeCell ref="J1870:J1871"/>
    <mergeCell ref="K1870:K1871"/>
    <mergeCell ref="L1870:L1871"/>
    <mergeCell ref="M1870:M1871"/>
    <mergeCell ref="N1870:N1871"/>
    <mergeCell ref="I1872:I1873"/>
    <mergeCell ref="J1872:J1873"/>
    <mergeCell ref="K1872:K1873"/>
    <mergeCell ref="L1872:L1873"/>
    <mergeCell ref="M1872:M1873"/>
    <mergeCell ref="N1872:N1873"/>
    <mergeCell ref="I1878:I1879"/>
    <mergeCell ref="J1878:J1879"/>
    <mergeCell ref="K1878:K1879"/>
    <mergeCell ref="L1878:L1879"/>
    <mergeCell ref="M1878:M1879"/>
    <mergeCell ref="N1878:N1879"/>
    <mergeCell ref="I1880:M1880"/>
    <mergeCell ref="I1881:M1881"/>
    <mergeCell ref="I1882:M1882"/>
    <mergeCell ref="I1888:L1888"/>
    <mergeCell ref="I1874:I1875"/>
    <mergeCell ref="J1874:J1875"/>
    <mergeCell ref="K1874:K1875"/>
    <mergeCell ref="L1874:L1875"/>
    <mergeCell ref="M1874:M1875"/>
    <mergeCell ref="N1874:N1875"/>
    <mergeCell ref="I1876:I1877"/>
    <mergeCell ref="J1876:J1877"/>
    <mergeCell ref="K1876:K1877"/>
    <mergeCell ref="L1876:L1877"/>
    <mergeCell ref="M1876:M1877"/>
    <mergeCell ref="N1876:N1877"/>
    <mergeCell ref="I1903:P1903"/>
    <mergeCell ref="I1905:I1906"/>
    <mergeCell ref="J1905:J1906"/>
    <mergeCell ref="K1905:K1906"/>
    <mergeCell ref="L1905:L1906"/>
    <mergeCell ref="M1905:M1906"/>
    <mergeCell ref="N1905:N1906"/>
    <mergeCell ref="O1905:P1905"/>
    <mergeCell ref="I1907:I1908"/>
    <mergeCell ref="J1907:J1908"/>
    <mergeCell ref="K1907:K1908"/>
    <mergeCell ref="L1907:L1908"/>
    <mergeCell ref="M1907:M1908"/>
    <mergeCell ref="N1907:N1908"/>
    <mergeCell ref="I1909:I1910"/>
    <mergeCell ref="J1909:J1910"/>
    <mergeCell ref="K1909:K1910"/>
    <mergeCell ref="L1909:L1910"/>
    <mergeCell ref="M1909:M1910"/>
    <mergeCell ref="N1909:N1910"/>
    <mergeCell ref="I1911:I1912"/>
    <mergeCell ref="J1911:J1912"/>
    <mergeCell ref="K1911:K1912"/>
    <mergeCell ref="L1911:L1912"/>
    <mergeCell ref="M1911:M1912"/>
    <mergeCell ref="N1911:N1912"/>
    <mergeCell ref="I1913:I1914"/>
    <mergeCell ref="J1913:J1914"/>
    <mergeCell ref="K1913:K1914"/>
    <mergeCell ref="L1913:L1914"/>
    <mergeCell ref="M1913:M1914"/>
    <mergeCell ref="N1913:N1914"/>
    <mergeCell ref="I1915:I1916"/>
    <mergeCell ref="J1915:J1916"/>
    <mergeCell ref="K1915:K1916"/>
    <mergeCell ref="L1915:L1916"/>
    <mergeCell ref="M1915:M1916"/>
    <mergeCell ref="N1915:N1916"/>
    <mergeCell ref="I1917:M1917"/>
    <mergeCell ref="I1918:M1918"/>
    <mergeCell ref="I1919:M1919"/>
    <mergeCell ref="I1925:L1925"/>
    <mergeCell ref="I1940:P1940"/>
    <mergeCell ref="I1942:I1943"/>
    <mergeCell ref="J1942:J1943"/>
    <mergeCell ref="K1942:K1943"/>
    <mergeCell ref="L1942:L1943"/>
    <mergeCell ref="M1942:M1943"/>
    <mergeCell ref="N1942:N1943"/>
    <mergeCell ref="O1942:P1942"/>
    <mergeCell ref="I1944:I1945"/>
    <mergeCell ref="J1944:J1945"/>
    <mergeCell ref="K1944:K1945"/>
    <mergeCell ref="L1944:L1945"/>
    <mergeCell ref="M1944:M1945"/>
    <mergeCell ref="N1944:N1945"/>
    <mergeCell ref="I1952:I1953"/>
    <mergeCell ref="J1952:J1953"/>
    <mergeCell ref="K1952:K1953"/>
    <mergeCell ref="L1952:L1953"/>
    <mergeCell ref="M1952:M1953"/>
    <mergeCell ref="N1952:N1953"/>
    <mergeCell ref="I1954:M1954"/>
    <mergeCell ref="I1955:M1955"/>
    <mergeCell ref="I1956:M1956"/>
    <mergeCell ref="I1962:L1962"/>
    <mergeCell ref="I1946:I1947"/>
    <mergeCell ref="J1946:J1947"/>
    <mergeCell ref="K1946:K1947"/>
    <mergeCell ref="L1946:L1947"/>
    <mergeCell ref="M1946:M1947"/>
    <mergeCell ref="N1946:N1947"/>
    <mergeCell ref="I1948:I1949"/>
    <mergeCell ref="J1948:J1949"/>
    <mergeCell ref="K1948:K1949"/>
    <mergeCell ref="L1948:L1949"/>
    <mergeCell ref="M1948:M1949"/>
    <mergeCell ref="N1948:N1949"/>
    <mergeCell ref="I1950:I1951"/>
    <mergeCell ref="J1950:J1951"/>
    <mergeCell ref="K1950:K1951"/>
    <mergeCell ref="L1950:L1951"/>
    <mergeCell ref="M1950:M1951"/>
    <mergeCell ref="N1950:N1951"/>
    <mergeCell ref="I1977:P1977"/>
    <mergeCell ref="I1979:I1980"/>
    <mergeCell ref="J1979:J1980"/>
    <mergeCell ref="K1979:K1980"/>
    <mergeCell ref="L1979:L1980"/>
    <mergeCell ref="M1979:M1980"/>
    <mergeCell ref="N1979:N1980"/>
    <mergeCell ref="O1979:P1979"/>
    <mergeCell ref="I1981:I1982"/>
    <mergeCell ref="J1981:J1982"/>
    <mergeCell ref="K1981:K1982"/>
    <mergeCell ref="L1981:L1982"/>
    <mergeCell ref="M1981:M1982"/>
    <mergeCell ref="N1981:N1982"/>
    <mergeCell ref="I1983:I1984"/>
    <mergeCell ref="J1983:J1984"/>
    <mergeCell ref="K1983:K1984"/>
    <mergeCell ref="L1983:L1984"/>
    <mergeCell ref="M1983:M1984"/>
    <mergeCell ref="N1983:N1984"/>
    <mergeCell ref="I1991:M1991"/>
    <mergeCell ref="I1992:M1992"/>
    <mergeCell ref="I1993:M1993"/>
    <mergeCell ref="I1999:L1999"/>
    <mergeCell ref="I1985:I1986"/>
    <mergeCell ref="J1985:J1986"/>
    <mergeCell ref="K1985:K1986"/>
    <mergeCell ref="L1985:L1986"/>
    <mergeCell ref="M1985:M1986"/>
    <mergeCell ref="N1985:N1986"/>
    <mergeCell ref="I1987:I1988"/>
    <mergeCell ref="J1987:J1988"/>
    <mergeCell ref="K1987:K1988"/>
    <mergeCell ref="L1987:L1988"/>
    <mergeCell ref="M1987:M1988"/>
    <mergeCell ref="N1987:N1988"/>
    <mergeCell ref="I1989:I1990"/>
    <mergeCell ref="J1989:J1990"/>
    <mergeCell ref="K1989:K1990"/>
    <mergeCell ref="L1989:L1990"/>
    <mergeCell ref="M1989:M1990"/>
    <mergeCell ref="N1989:N1990"/>
    <mergeCell ref="I2125:P2125"/>
    <mergeCell ref="I2127:I2128"/>
    <mergeCell ref="J2127:J2128"/>
    <mergeCell ref="K2127:K2128"/>
    <mergeCell ref="L2127:L2128"/>
    <mergeCell ref="M2127:M2128"/>
    <mergeCell ref="N2127:N2128"/>
    <mergeCell ref="O2127:P2127"/>
    <mergeCell ref="I2129:I2130"/>
    <mergeCell ref="J2129:J2130"/>
    <mergeCell ref="K2129:K2130"/>
    <mergeCell ref="L2129:L2130"/>
    <mergeCell ref="M2129:M2130"/>
    <mergeCell ref="N2129:N2130"/>
    <mergeCell ref="I2131:I2132"/>
    <mergeCell ref="J2131:J2132"/>
    <mergeCell ref="K2131:K2132"/>
    <mergeCell ref="L2131:L2132"/>
    <mergeCell ref="M2131:M2132"/>
    <mergeCell ref="N2131:N2132"/>
    <mergeCell ref="I2139:M2139"/>
    <mergeCell ref="I2140:M2140"/>
    <mergeCell ref="I2141:M2141"/>
    <mergeCell ref="I2147:L2147"/>
    <mergeCell ref="I2133:I2134"/>
    <mergeCell ref="J2133:J2134"/>
    <mergeCell ref="K2133:K2134"/>
    <mergeCell ref="L2133:L2134"/>
    <mergeCell ref="M2133:M2134"/>
    <mergeCell ref="N2133:N2134"/>
    <mergeCell ref="I2135:I2136"/>
    <mergeCell ref="J2135:J2136"/>
    <mergeCell ref="K2135:K2136"/>
    <mergeCell ref="L2135:L2136"/>
    <mergeCell ref="M2135:M2136"/>
    <mergeCell ref="N2135:N2136"/>
    <mergeCell ref="I2137:I2138"/>
    <mergeCell ref="J2137:J2138"/>
    <mergeCell ref="K2137:K2138"/>
    <mergeCell ref="L2137:L2138"/>
    <mergeCell ref="M2137:M2138"/>
    <mergeCell ref="N2137:N2138"/>
    <mergeCell ref="I2162:P2162"/>
    <mergeCell ref="I2164:I2165"/>
    <mergeCell ref="J2164:J2165"/>
    <mergeCell ref="K2164:K2165"/>
    <mergeCell ref="L2164:L2165"/>
    <mergeCell ref="M2164:M2165"/>
    <mergeCell ref="N2164:N2165"/>
    <mergeCell ref="O2164:P2164"/>
    <mergeCell ref="I2166:I2167"/>
    <mergeCell ref="J2166:J2167"/>
    <mergeCell ref="K2166:K2167"/>
    <mergeCell ref="L2166:L2167"/>
    <mergeCell ref="M2166:M2167"/>
    <mergeCell ref="N2166:N2167"/>
    <mergeCell ref="I2168:I2169"/>
    <mergeCell ref="J2168:J2169"/>
    <mergeCell ref="K2168:K2169"/>
    <mergeCell ref="L2168:L2169"/>
    <mergeCell ref="M2168:M2169"/>
    <mergeCell ref="N2168:N2169"/>
    <mergeCell ref="I2178:M2178"/>
    <mergeCell ref="I2179:M2179"/>
    <mergeCell ref="I2180:M2180"/>
    <mergeCell ref="I2186:L2186"/>
    <mergeCell ref="J2172:J2173"/>
    <mergeCell ref="I2172:I2173"/>
    <mergeCell ref="K2172:K2173"/>
    <mergeCell ref="L2172:L2173"/>
    <mergeCell ref="M2172:M2173"/>
    <mergeCell ref="N2172:N2173"/>
    <mergeCell ref="I2170:I2171"/>
    <mergeCell ref="J2170:J2171"/>
    <mergeCell ref="K2170:K2171"/>
    <mergeCell ref="L2170:L2171"/>
    <mergeCell ref="M2170:M2171"/>
    <mergeCell ref="N2170:N2171"/>
    <mergeCell ref="I2174:I2175"/>
    <mergeCell ref="J2174:J2175"/>
    <mergeCell ref="K2174:K2175"/>
    <mergeCell ref="L2174:L2175"/>
    <mergeCell ref="M2174:M2175"/>
    <mergeCell ref="N2174:N2175"/>
    <mergeCell ref="I2176:I2177"/>
    <mergeCell ref="J2176:J2177"/>
    <mergeCell ref="K2176:K2177"/>
    <mergeCell ref="L2176:L2177"/>
    <mergeCell ref="M2176:M2177"/>
    <mergeCell ref="N2176:N2177"/>
    <mergeCell ref="J2390:J2391"/>
    <mergeCell ref="K2390:K2391"/>
    <mergeCell ref="L2390:L2391"/>
    <mergeCell ref="M2390:M2391"/>
    <mergeCell ref="N2390:N2391"/>
    <mergeCell ref="I2392:I2393"/>
    <mergeCell ref="J2392:J2393"/>
    <mergeCell ref="K2392:K2393"/>
    <mergeCell ref="L2392:L2393"/>
    <mergeCell ref="M2392:M2393"/>
    <mergeCell ref="N2392:N2393"/>
    <mergeCell ref="I2400:M2400"/>
    <mergeCell ref="I2401:M2401"/>
    <mergeCell ref="I2402:M2402"/>
    <mergeCell ref="I2408:L2408"/>
    <mergeCell ref="I2394:I2395"/>
    <mergeCell ref="J2394:J2395"/>
    <mergeCell ref="K2394:K2395"/>
    <mergeCell ref="L2394:L2395"/>
    <mergeCell ref="M2394:M2395"/>
    <mergeCell ref="N2394:N2395"/>
    <mergeCell ref="I2396:I2397"/>
    <mergeCell ref="J2396:J2397"/>
    <mergeCell ref="K2396:K2397"/>
    <mergeCell ref="L2396:L2397"/>
    <mergeCell ref="M2396:M2397"/>
    <mergeCell ref="N2396:N2397"/>
    <mergeCell ref="I2398:I2399"/>
    <mergeCell ref="J2398:J2399"/>
    <mergeCell ref="K2398:K2399"/>
    <mergeCell ref="L2398:L2399"/>
    <mergeCell ref="M2398:M2399"/>
    <mergeCell ref="N2398:N2399"/>
    <mergeCell ref="I2423:P2423"/>
    <mergeCell ref="I2425:I2426"/>
    <mergeCell ref="J2425:J2426"/>
    <mergeCell ref="K2425:K2426"/>
    <mergeCell ref="L2425:L2426"/>
    <mergeCell ref="M2425:M2426"/>
    <mergeCell ref="N2425:N2426"/>
    <mergeCell ref="O2425:P2425"/>
    <mergeCell ref="I2427:I2428"/>
    <mergeCell ref="J2427:J2428"/>
    <mergeCell ref="K2427:K2428"/>
    <mergeCell ref="L2427:L2428"/>
    <mergeCell ref="M2427:M2428"/>
    <mergeCell ref="N2427:N2428"/>
    <mergeCell ref="I2429:I2430"/>
    <mergeCell ref="J2429:J2430"/>
    <mergeCell ref="K2429:K2430"/>
    <mergeCell ref="L2429:L2430"/>
    <mergeCell ref="M2429:M2430"/>
    <mergeCell ref="N2429:N2430"/>
    <mergeCell ref="I2437:M2437"/>
    <mergeCell ref="I2438:M2438"/>
    <mergeCell ref="I2439:M2439"/>
    <mergeCell ref="I2445:L2445"/>
    <mergeCell ref="I2431:I2432"/>
    <mergeCell ref="J2431:J2432"/>
    <mergeCell ref="K2431:K2432"/>
    <mergeCell ref="L2431:L2432"/>
    <mergeCell ref="M2431:M2432"/>
    <mergeCell ref="N2431:N2432"/>
    <mergeCell ref="I2433:I2434"/>
    <mergeCell ref="J2433:J2434"/>
    <mergeCell ref="K2433:K2434"/>
    <mergeCell ref="L2433:L2434"/>
    <mergeCell ref="M2433:M2434"/>
    <mergeCell ref="N2433:N2434"/>
    <mergeCell ref="I2435:I2436"/>
    <mergeCell ref="J2435:J2436"/>
    <mergeCell ref="K2435:K2436"/>
    <mergeCell ref="L2435:L2436"/>
    <mergeCell ref="M2435:M2436"/>
    <mergeCell ref="N2435:N2436"/>
    <mergeCell ref="M2474:M2475"/>
    <mergeCell ref="N2474:N2475"/>
    <mergeCell ref="I2472:I2473"/>
    <mergeCell ref="J2472:J2473"/>
    <mergeCell ref="K2472:K2473"/>
    <mergeCell ref="L2472:L2473"/>
    <mergeCell ref="M2472:M2473"/>
    <mergeCell ref="N2472:N2473"/>
    <mergeCell ref="I2460:P2460"/>
    <mergeCell ref="I2462:I2463"/>
    <mergeCell ref="J2462:J2463"/>
    <mergeCell ref="K2462:K2463"/>
    <mergeCell ref="L2462:L2463"/>
    <mergeCell ref="M2462:M2463"/>
    <mergeCell ref="N2462:N2463"/>
    <mergeCell ref="O2462:P2462"/>
    <mergeCell ref="I2464:I2465"/>
    <mergeCell ref="J2464:J2465"/>
    <mergeCell ref="K2464:K2465"/>
    <mergeCell ref="L2464:L2465"/>
    <mergeCell ref="M2464:M2465"/>
    <mergeCell ref="N2464:N2465"/>
    <mergeCell ref="I2466:I2467"/>
    <mergeCell ref="J2466:J2467"/>
    <mergeCell ref="I2468:I2469"/>
    <mergeCell ref="J2468:J2469"/>
    <mergeCell ref="K2468:K2469"/>
    <mergeCell ref="L2468:L2469"/>
    <mergeCell ref="M2468:M2469"/>
    <mergeCell ref="N2468:N2469"/>
    <mergeCell ref="I2476:M2476"/>
    <mergeCell ref="I2477:M2477"/>
    <mergeCell ref="I2478:M2478"/>
    <mergeCell ref="I2484:L2484"/>
    <mergeCell ref="I2499:P2499"/>
    <mergeCell ref="I2501:I2502"/>
    <mergeCell ref="J2501:J2502"/>
    <mergeCell ref="K2501:K2502"/>
    <mergeCell ref="L2501:L2502"/>
    <mergeCell ref="M2501:M2502"/>
    <mergeCell ref="N2501:N2502"/>
    <mergeCell ref="O2501:P2501"/>
    <mergeCell ref="I2503:I2504"/>
    <mergeCell ref="J2503:J2504"/>
    <mergeCell ref="K2466:K2467"/>
    <mergeCell ref="L2466:L2467"/>
    <mergeCell ref="M2466:M2467"/>
    <mergeCell ref="N2466:N2467"/>
    <mergeCell ref="K2503:K2504"/>
    <mergeCell ref="L2503:L2504"/>
    <mergeCell ref="M2503:M2504"/>
    <mergeCell ref="N2503:N2504"/>
    <mergeCell ref="I2470:I2471"/>
    <mergeCell ref="J2470:J2471"/>
    <mergeCell ref="K2470:K2471"/>
    <mergeCell ref="L2470:L2471"/>
    <mergeCell ref="M2470:M2471"/>
    <mergeCell ref="N2470:N2471"/>
    <mergeCell ref="I2474:I2475"/>
    <mergeCell ref="J2474:J2475"/>
    <mergeCell ref="K2474:K2475"/>
    <mergeCell ref="L2474:L2475"/>
    <mergeCell ref="I2505:I2506"/>
    <mergeCell ref="J2505:J2506"/>
    <mergeCell ref="K2505:K2506"/>
    <mergeCell ref="L2505:L2506"/>
    <mergeCell ref="M2505:M2506"/>
    <mergeCell ref="N2505:N2506"/>
    <mergeCell ref="I2507:I2508"/>
    <mergeCell ref="J2507:J2508"/>
    <mergeCell ref="K2507:K2508"/>
    <mergeCell ref="L2507:L2508"/>
    <mergeCell ref="M2507:M2508"/>
    <mergeCell ref="N2507:N2508"/>
    <mergeCell ref="I2511:I2512"/>
    <mergeCell ref="J2511:J2512"/>
    <mergeCell ref="K2511:K2512"/>
    <mergeCell ref="L2511:L2512"/>
    <mergeCell ref="M2511:M2512"/>
    <mergeCell ref="N2511:N2512"/>
    <mergeCell ref="N2509:N2510"/>
    <mergeCell ref="M2509:M2510"/>
    <mergeCell ref="L2509:L2510"/>
    <mergeCell ref="K2509:K2510"/>
    <mergeCell ref="J2509:J2510"/>
    <mergeCell ref="I2509:I2510"/>
    <mergeCell ref="I2513:M2513"/>
    <mergeCell ref="I2514:M2514"/>
    <mergeCell ref="I2515:M2515"/>
    <mergeCell ref="I2521:L2521"/>
    <mergeCell ref="I2536:P2536"/>
    <mergeCell ref="I2538:I2539"/>
    <mergeCell ref="J2538:J2539"/>
    <mergeCell ref="K2538:K2539"/>
    <mergeCell ref="L2538:L2539"/>
    <mergeCell ref="M2538:M2539"/>
    <mergeCell ref="N2538:N2539"/>
    <mergeCell ref="O2538:P2538"/>
    <mergeCell ref="I2540:I2541"/>
    <mergeCell ref="J2540:J2541"/>
    <mergeCell ref="K2540:K2541"/>
    <mergeCell ref="L2540:L2541"/>
    <mergeCell ref="M2540:M2541"/>
    <mergeCell ref="N2540:N2541"/>
    <mergeCell ref="I2542:I2543"/>
    <mergeCell ref="J2542:J2543"/>
    <mergeCell ref="K2542:K2543"/>
    <mergeCell ref="L2542:L2543"/>
    <mergeCell ref="M2542:M2543"/>
    <mergeCell ref="N2542:N2543"/>
    <mergeCell ref="I2544:I2545"/>
    <mergeCell ref="J2544:J2545"/>
    <mergeCell ref="K2544:K2545"/>
    <mergeCell ref="L2544:L2545"/>
    <mergeCell ref="M2544:M2545"/>
    <mergeCell ref="N2544:N2545"/>
    <mergeCell ref="I2546:I2547"/>
    <mergeCell ref="J2546:J2547"/>
    <mergeCell ref="K2546:K2547"/>
    <mergeCell ref="L2546:L2547"/>
    <mergeCell ref="M2546:M2547"/>
    <mergeCell ref="N2546:N2547"/>
    <mergeCell ref="I2548:I2549"/>
    <mergeCell ref="J2548:J2549"/>
    <mergeCell ref="K2548:K2549"/>
    <mergeCell ref="L2548:L2549"/>
    <mergeCell ref="M2548:M2549"/>
    <mergeCell ref="N2548:N2549"/>
    <mergeCell ref="I2550:M2550"/>
    <mergeCell ref="I2551:M2551"/>
    <mergeCell ref="I2552:M2552"/>
    <mergeCell ref="I2558:L2558"/>
    <mergeCell ref="I2573:P2573"/>
    <mergeCell ref="I2575:I2576"/>
    <mergeCell ref="J2575:J2576"/>
    <mergeCell ref="K2575:K2576"/>
    <mergeCell ref="L2575:L2576"/>
    <mergeCell ref="M2575:M2576"/>
    <mergeCell ref="N2575:N2576"/>
    <mergeCell ref="O2575:P2575"/>
    <mergeCell ref="I2577:I2578"/>
    <mergeCell ref="J2577:J2578"/>
    <mergeCell ref="K2577:K2578"/>
    <mergeCell ref="L2577:L2578"/>
    <mergeCell ref="M2577:M2578"/>
    <mergeCell ref="N2577:N2578"/>
    <mergeCell ref="I2579:I2580"/>
    <mergeCell ref="J2579:J2580"/>
    <mergeCell ref="K2579:K2580"/>
    <mergeCell ref="L2579:L2580"/>
    <mergeCell ref="M2579:M2580"/>
    <mergeCell ref="N2579:N2580"/>
    <mergeCell ref="I2581:I2582"/>
    <mergeCell ref="J2581:J2582"/>
    <mergeCell ref="K2581:K2582"/>
    <mergeCell ref="L2581:L2582"/>
    <mergeCell ref="M2581:M2582"/>
    <mergeCell ref="N2581:N2582"/>
    <mergeCell ref="I2583:I2584"/>
    <mergeCell ref="J2583:J2584"/>
    <mergeCell ref="K2583:K2584"/>
    <mergeCell ref="L2583:L2584"/>
    <mergeCell ref="M2583:M2584"/>
    <mergeCell ref="N2583:N2584"/>
    <mergeCell ref="I2585:I2586"/>
    <mergeCell ref="J2585:J2586"/>
    <mergeCell ref="K2585:K2586"/>
    <mergeCell ref="L2585:L2586"/>
    <mergeCell ref="M2585:M2586"/>
    <mergeCell ref="N2585:N2586"/>
    <mergeCell ref="I2587:M2587"/>
    <mergeCell ref="I2588:M2588"/>
    <mergeCell ref="I2589:M2589"/>
    <mergeCell ref="I2595:L2595"/>
    <mergeCell ref="I2610:P2610"/>
    <mergeCell ref="N2595:P2595"/>
    <mergeCell ref="N2600:P2600"/>
    <mergeCell ref="I2612:I2613"/>
    <mergeCell ref="J2612:J2613"/>
    <mergeCell ref="K2612:K2613"/>
    <mergeCell ref="L2612:L2613"/>
    <mergeCell ref="M2612:M2613"/>
    <mergeCell ref="N2612:N2613"/>
    <mergeCell ref="O2612:P2612"/>
    <mergeCell ref="I2614:I2615"/>
    <mergeCell ref="J2614:J2615"/>
    <mergeCell ref="K2614:K2615"/>
    <mergeCell ref="L2614:L2615"/>
    <mergeCell ref="M2614:M2615"/>
    <mergeCell ref="N2614:N2615"/>
    <mergeCell ref="I2616:I2617"/>
    <mergeCell ref="J2616:J2617"/>
    <mergeCell ref="K2616:K2617"/>
    <mergeCell ref="L2616:L2617"/>
    <mergeCell ref="M2616:M2617"/>
    <mergeCell ref="N2616:N2617"/>
    <mergeCell ref="I2618:I2619"/>
    <mergeCell ref="J2618:J2619"/>
    <mergeCell ref="K2618:K2619"/>
    <mergeCell ref="L2618:L2619"/>
    <mergeCell ref="M2618:M2619"/>
    <mergeCell ref="N2618:N2619"/>
    <mergeCell ref="I2620:I2621"/>
    <mergeCell ref="J2620:J2621"/>
    <mergeCell ref="K2620:K2621"/>
    <mergeCell ref="L2620:L2621"/>
    <mergeCell ref="M2620:M2621"/>
    <mergeCell ref="N2620:N2621"/>
    <mergeCell ref="I2624:I2625"/>
    <mergeCell ref="J2624:J2625"/>
    <mergeCell ref="K2624:K2625"/>
    <mergeCell ref="L2624:L2625"/>
    <mergeCell ref="M2624:M2625"/>
    <mergeCell ref="N2624:N2625"/>
    <mergeCell ref="I2628:M2628"/>
    <mergeCell ref="I2634:L2634"/>
    <mergeCell ref="N2622:N2623"/>
    <mergeCell ref="I2622:I2623"/>
    <mergeCell ref="J2622:J2623"/>
    <mergeCell ref="K2622:K2623"/>
    <mergeCell ref="L2622:L2623"/>
    <mergeCell ref="M2622:M2623"/>
    <mergeCell ref="I2649:P2649"/>
    <mergeCell ref="I2651:I2652"/>
    <mergeCell ref="J2651:J2652"/>
    <mergeCell ref="K2651:K2652"/>
    <mergeCell ref="L2651:L2652"/>
    <mergeCell ref="M2651:M2652"/>
    <mergeCell ref="N2651:N2652"/>
    <mergeCell ref="O2651:P2651"/>
    <mergeCell ref="I2663:M2663"/>
    <mergeCell ref="I2653:I2654"/>
    <mergeCell ref="J2653:J2654"/>
    <mergeCell ref="K2653:K2654"/>
    <mergeCell ref="L2653:L2654"/>
    <mergeCell ref="M2653:M2654"/>
    <mergeCell ref="N2653:N2654"/>
    <mergeCell ref="I2655:I2656"/>
    <mergeCell ref="J2655:J2656"/>
    <mergeCell ref="K2655:K2656"/>
    <mergeCell ref="L2655:L2656"/>
    <mergeCell ref="M2655:M2656"/>
    <mergeCell ref="N2655:N2656"/>
    <mergeCell ref="I2626:M2626"/>
    <mergeCell ref="I2627:M2627"/>
    <mergeCell ref="I2664:M2664"/>
    <mergeCell ref="I2665:M2665"/>
    <mergeCell ref="I2671:L2671"/>
    <mergeCell ref="I2657:I2658"/>
    <mergeCell ref="J2657:J2658"/>
    <mergeCell ref="K2657:K2658"/>
    <mergeCell ref="L2657:L2658"/>
    <mergeCell ref="M2657:M2658"/>
    <mergeCell ref="N2657:N2658"/>
    <mergeCell ref="I2659:I2660"/>
    <mergeCell ref="J2659:J2660"/>
    <mergeCell ref="K2659:K2660"/>
    <mergeCell ref="L2659:L2660"/>
    <mergeCell ref="M2659:M2660"/>
    <mergeCell ref="N2659:N2660"/>
    <mergeCell ref="I2661:I2662"/>
    <mergeCell ref="J2661:J2662"/>
    <mergeCell ref="K2661:K2662"/>
    <mergeCell ref="L2661:L2662"/>
    <mergeCell ref="M2661:M2662"/>
    <mergeCell ref="N2661:N2662"/>
    <mergeCell ref="I2686:P2686"/>
    <mergeCell ref="I2688:I2689"/>
    <mergeCell ref="J2688:J2689"/>
    <mergeCell ref="K2688:K2689"/>
    <mergeCell ref="L2688:L2689"/>
    <mergeCell ref="M2688:M2689"/>
    <mergeCell ref="N2688:N2689"/>
    <mergeCell ref="O2688:P2688"/>
    <mergeCell ref="I2690:I2691"/>
    <mergeCell ref="J2690:J2691"/>
    <mergeCell ref="K2690:K2691"/>
    <mergeCell ref="L2690:L2691"/>
    <mergeCell ref="M2690:M2691"/>
    <mergeCell ref="N2690:N2691"/>
    <mergeCell ref="I2692:I2693"/>
    <mergeCell ref="J2692:J2693"/>
    <mergeCell ref="K2692:K2693"/>
    <mergeCell ref="L2692:L2693"/>
    <mergeCell ref="M2692:M2693"/>
    <mergeCell ref="N2692:N2693"/>
    <mergeCell ref="I2694:I2695"/>
    <mergeCell ref="J2694:J2695"/>
    <mergeCell ref="K2694:K2695"/>
    <mergeCell ref="L2694:L2695"/>
    <mergeCell ref="M2694:M2695"/>
    <mergeCell ref="N2694:N2695"/>
    <mergeCell ref="I2696:I2697"/>
    <mergeCell ref="J2696:J2697"/>
    <mergeCell ref="K2696:K2697"/>
    <mergeCell ref="L2696:L2697"/>
    <mergeCell ref="M2696:M2697"/>
    <mergeCell ref="N2696:N2697"/>
    <mergeCell ref="I2698:I2699"/>
    <mergeCell ref="J2698:J2699"/>
    <mergeCell ref="K2698:K2699"/>
    <mergeCell ref="L2698:L2699"/>
    <mergeCell ref="M2698:M2699"/>
    <mergeCell ref="N2698:N2699"/>
    <mergeCell ref="I2700:M2700"/>
    <mergeCell ref="I2701:M2701"/>
    <mergeCell ref="I2702:M2702"/>
    <mergeCell ref="I2708:L2708"/>
    <mergeCell ref="I2723:P2723"/>
    <mergeCell ref="I2725:I2726"/>
    <mergeCell ref="J2725:J2726"/>
    <mergeCell ref="K2725:K2726"/>
    <mergeCell ref="L2725:L2726"/>
    <mergeCell ref="M2725:M2726"/>
    <mergeCell ref="N2725:N2726"/>
    <mergeCell ref="O2725:P2725"/>
    <mergeCell ref="I2727:I2728"/>
    <mergeCell ref="J2727:J2728"/>
    <mergeCell ref="K2727:K2728"/>
    <mergeCell ref="L2727:L2728"/>
    <mergeCell ref="M2727:M2728"/>
    <mergeCell ref="N2727:N2728"/>
    <mergeCell ref="I2735:I2736"/>
    <mergeCell ref="J2735:J2736"/>
    <mergeCell ref="K2735:K2736"/>
    <mergeCell ref="L2735:L2736"/>
    <mergeCell ref="M2735:M2736"/>
    <mergeCell ref="N2735:N2736"/>
    <mergeCell ref="I2737:M2737"/>
    <mergeCell ref="I2738:M2738"/>
    <mergeCell ref="I2739:M2739"/>
    <mergeCell ref="I2745:L2745"/>
    <mergeCell ref="I2729:I2730"/>
    <mergeCell ref="J2729:J2730"/>
    <mergeCell ref="K2729:K2730"/>
    <mergeCell ref="L2729:L2730"/>
    <mergeCell ref="M2729:M2730"/>
    <mergeCell ref="N2729:N2730"/>
    <mergeCell ref="I2731:I2732"/>
    <mergeCell ref="J2731:J2732"/>
    <mergeCell ref="K2731:K2732"/>
    <mergeCell ref="L2731:L2732"/>
    <mergeCell ref="M2731:M2732"/>
    <mergeCell ref="N2731:N2732"/>
    <mergeCell ref="I2733:I2734"/>
    <mergeCell ref="J2733:J2734"/>
    <mergeCell ref="K2733:K2734"/>
    <mergeCell ref="L2733:L2734"/>
    <mergeCell ref="M2733:M2734"/>
    <mergeCell ref="N2733:N2734"/>
    <mergeCell ref="I2760:P2760"/>
    <mergeCell ref="I2762:I2763"/>
    <mergeCell ref="J2762:J2763"/>
    <mergeCell ref="K2762:K2763"/>
    <mergeCell ref="L2762:L2763"/>
    <mergeCell ref="M2762:M2763"/>
    <mergeCell ref="N2762:N2763"/>
    <mergeCell ref="O2762:P2762"/>
    <mergeCell ref="I2764:I2765"/>
    <mergeCell ref="J2764:J2765"/>
    <mergeCell ref="K2764:K2765"/>
    <mergeCell ref="L2764:L2765"/>
    <mergeCell ref="M2764:M2765"/>
    <mergeCell ref="N2764:N2765"/>
    <mergeCell ref="I2766:I2767"/>
    <mergeCell ref="J2766:J2767"/>
    <mergeCell ref="K2766:K2767"/>
    <mergeCell ref="L2766:L2767"/>
    <mergeCell ref="M2766:M2767"/>
    <mergeCell ref="N2766:N2767"/>
    <mergeCell ref="I2774:M2774"/>
    <mergeCell ref="I2775:M2775"/>
    <mergeCell ref="I2776:M2776"/>
    <mergeCell ref="I2782:L2782"/>
    <mergeCell ref="I2768:I2769"/>
    <mergeCell ref="J2768:J2769"/>
    <mergeCell ref="K2768:K2769"/>
    <mergeCell ref="L2768:L2769"/>
    <mergeCell ref="M2768:M2769"/>
    <mergeCell ref="N2768:N2769"/>
    <mergeCell ref="I2770:I2771"/>
    <mergeCell ref="J2770:J2771"/>
    <mergeCell ref="K2770:K2771"/>
    <mergeCell ref="L2770:L2771"/>
    <mergeCell ref="M2770:M2771"/>
    <mergeCell ref="N2770:N2771"/>
    <mergeCell ref="I2772:I2773"/>
    <mergeCell ref="J2772:J2773"/>
    <mergeCell ref="K2772:K2773"/>
    <mergeCell ref="L2772:L2773"/>
    <mergeCell ref="M2772:M2773"/>
    <mergeCell ref="N2772:N2773"/>
    <mergeCell ref="I2875:P2875"/>
    <mergeCell ref="I2877:I2878"/>
    <mergeCell ref="J2877:J2878"/>
    <mergeCell ref="K2877:K2878"/>
    <mergeCell ref="L2877:L2878"/>
    <mergeCell ref="M2877:M2878"/>
    <mergeCell ref="N2877:N2878"/>
    <mergeCell ref="O2877:P2877"/>
    <mergeCell ref="I2879:I2880"/>
    <mergeCell ref="J2879:J2880"/>
    <mergeCell ref="K2879:K2880"/>
    <mergeCell ref="L2879:L2880"/>
    <mergeCell ref="M2879:M2880"/>
    <mergeCell ref="N2879:N2880"/>
    <mergeCell ref="I2881:I2882"/>
    <mergeCell ref="J2881:J2882"/>
    <mergeCell ref="K2881:K2882"/>
    <mergeCell ref="L2881:L2882"/>
    <mergeCell ref="M2881:M2882"/>
    <mergeCell ref="N2881:N2882"/>
    <mergeCell ref="I2887:I2888"/>
    <mergeCell ref="J2887:J2888"/>
    <mergeCell ref="K2887:K2888"/>
    <mergeCell ref="L2887:L2888"/>
    <mergeCell ref="M2887:M2888"/>
    <mergeCell ref="N2887:N2888"/>
    <mergeCell ref="I2889:M2889"/>
    <mergeCell ref="I2890:M2890"/>
    <mergeCell ref="I2891:M2891"/>
    <mergeCell ref="I2897:L2897"/>
    <mergeCell ref="I2883:I2884"/>
    <mergeCell ref="J2883:J2884"/>
    <mergeCell ref="K2883:K2884"/>
    <mergeCell ref="L2883:L2884"/>
    <mergeCell ref="M2883:M2884"/>
    <mergeCell ref="N2883:N2884"/>
    <mergeCell ref="I2885:I2886"/>
    <mergeCell ref="J2885:J2886"/>
    <mergeCell ref="K2885:K2886"/>
    <mergeCell ref="L2885:L2886"/>
    <mergeCell ref="M2885:M2886"/>
    <mergeCell ref="N2885:N2886"/>
    <mergeCell ref="I2949:P2949"/>
    <mergeCell ref="I2951:I2952"/>
    <mergeCell ref="J2951:J2952"/>
    <mergeCell ref="K2951:K2952"/>
    <mergeCell ref="L2951:L2952"/>
    <mergeCell ref="M2951:M2952"/>
    <mergeCell ref="N2951:N2952"/>
    <mergeCell ref="O2951:P2951"/>
    <mergeCell ref="I2953:I2954"/>
    <mergeCell ref="J2953:J2954"/>
    <mergeCell ref="K2953:K2954"/>
    <mergeCell ref="L2953:L2954"/>
    <mergeCell ref="M2953:M2954"/>
    <mergeCell ref="N2953:N2954"/>
    <mergeCell ref="I2955:I2956"/>
    <mergeCell ref="J2955:J2956"/>
    <mergeCell ref="K2955:K2956"/>
    <mergeCell ref="L2955:L2956"/>
    <mergeCell ref="M2955:M2956"/>
    <mergeCell ref="N2955:N2956"/>
    <mergeCell ref="I2957:I2958"/>
    <mergeCell ref="J2957:J2958"/>
    <mergeCell ref="K2957:K2958"/>
    <mergeCell ref="L2957:L2958"/>
    <mergeCell ref="M2957:M2958"/>
    <mergeCell ref="N2957:N2958"/>
    <mergeCell ref="I2959:I2960"/>
    <mergeCell ref="J2959:J2960"/>
    <mergeCell ref="K2959:K2960"/>
    <mergeCell ref="L2959:L2960"/>
    <mergeCell ref="M2959:M2960"/>
    <mergeCell ref="N2959:N2960"/>
    <mergeCell ref="I2961:I2962"/>
    <mergeCell ref="J2961:J2962"/>
    <mergeCell ref="K2961:K2962"/>
    <mergeCell ref="L2961:L2962"/>
    <mergeCell ref="M2961:M2962"/>
    <mergeCell ref="N2961:N2962"/>
    <mergeCell ref="I2963:M2963"/>
    <mergeCell ref="I2964:M2964"/>
    <mergeCell ref="I2965:M2965"/>
    <mergeCell ref="I2971:L2971"/>
    <mergeCell ref="I2986:P2986"/>
    <mergeCell ref="I2988:I2989"/>
    <mergeCell ref="J2988:J2989"/>
    <mergeCell ref="K2988:K2989"/>
    <mergeCell ref="L2988:L2989"/>
    <mergeCell ref="M2988:M2989"/>
    <mergeCell ref="N2988:N2989"/>
    <mergeCell ref="O2988:P2988"/>
    <mergeCell ref="I2990:I2991"/>
    <mergeCell ref="J2990:J2991"/>
    <mergeCell ref="K2990:K2991"/>
    <mergeCell ref="L2990:L2991"/>
    <mergeCell ref="M2990:M2991"/>
    <mergeCell ref="N2990:N2991"/>
    <mergeCell ref="I2998:I2999"/>
    <mergeCell ref="J2998:J2999"/>
    <mergeCell ref="K2998:K2999"/>
    <mergeCell ref="L2998:L2999"/>
    <mergeCell ref="M2998:M2999"/>
    <mergeCell ref="N2998:N2999"/>
    <mergeCell ref="I3000:M3000"/>
    <mergeCell ref="I3001:M3001"/>
    <mergeCell ref="I3002:M3002"/>
    <mergeCell ref="I3008:L3008"/>
    <mergeCell ref="I2992:I2993"/>
    <mergeCell ref="J2992:J2993"/>
    <mergeCell ref="K2992:K2993"/>
    <mergeCell ref="L2992:L2993"/>
    <mergeCell ref="M2992:M2993"/>
    <mergeCell ref="N2992:N2993"/>
    <mergeCell ref="I2994:I2995"/>
    <mergeCell ref="J2994:J2995"/>
    <mergeCell ref="K2994:K2995"/>
    <mergeCell ref="L2994:L2995"/>
    <mergeCell ref="M2994:M2995"/>
    <mergeCell ref="N2994:N2995"/>
    <mergeCell ref="I2996:I2997"/>
    <mergeCell ref="J2996:J2997"/>
    <mergeCell ref="K2996:K2997"/>
    <mergeCell ref="L2996:L2997"/>
    <mergeCell ref="M2996:M2997"/>
    <mergeCell ref="N2996:N2997"/>
    <mergeCell ref="I3060:P3060"/>
    <mergeCell ref="I3062:I3063"/>
    <mergeCell ref="J3062:J3063"/>
    <mergeCell ref="K3062:K3063"/>
    <mergeCell ref="L3062:L3063"/>
    <mergeCell ref="M3062:M3063"/>
    <mergeCell ref="N3062:N3063"/>
    <mergeCell ref="O3062:P3062"/>
    <mergeCell ref="I3064:I3065"/>
    <mergeCell ref="J3064:J3065"/>
    <mergeCell ref="K3064:K3065"/>
    <mergeCell ref="L3064:L3065"/>
    <mergeCell ref="M3064:M3065"/>
    <mergeCell ref="N3064:N3065"/>
    <mergeCell ref="I3066:I3067"/>
    <mergeCell ref="J3066:J3067"/>
    <mergeCell ref="K3066:K3067"/>
    <mergeCell ref="L3066:L3067"/>
    <mergeCell ref="M3066:M3067"/>
    <mergeCell ref="N3066:N3067"/>
    <mergeCell ref="I3074:M3074"/>
    <mergeCell ref="I3075:M3075"/>
    <mergeCell ref="I3076:M3076"/>
    <mergeCell ref="I3082:L3082"/>
    <mergeCell ref="I3068:I3069"/>
    <mergeCell ref="J3068:J3069"/>
    <mergeCell ref="K3068:K3069"/>
    <mergeCell ref="L3068:L3069"/>
    <mergeCell ref="M3068:M3069"/>
    <mergeCell ref="N3068:N3069"/>
    <mergeCell ref="I3070:I3071"/>
    <mergeCell ref="J3070:J3071"/>
    <mergeCell ref="K3070:K3071"/>
    <mergeCell ref="L3070:L3071"/>
    <mergeCell ref="M3070:M3071"/>
    <mergeCell ref="N3070:N3071"/>
    <mergeCell ref="I3072:I3073"/>
    <mergeCell ref="J3072:J3073"/>
    <mergeCell ref="K3072:K3073"/>
    <mergeCell ref="L3072:L3073"/>
    <mergeCell ref="M3072:M3073"/>
    <mergeCell ref="N3072:N3073"/>
    <mergeCell ref="L3179:L3180"/>
    <mergeCell ref="M3179:M3180"/>
    <mergeCell ref="N3179:N3180"/>
    <mergeCell ref="I3177:I3178"/>
    <mergeCell ref="J3177:J3178"/>
    <mergeCell ref="K3177:K3178"/>
    <mergeCell ref="L3177:L3178"/>
    <mergeCell ref="M3177:M3178"/>
    <mergeCell ref="N3177:N3178"/>
    <mergeCell ref="I3187:M3187"/>
    <mergeCell ref="I3188:M3188"/>
    <mergeCell ref="I3189:M3189"/>
    <mergeCell ref="I3175:I3176"/>
    <mergeCell ref="J3175:J3176"/>
    <mergeCell ref="K3175:K3176"/>
    <mergeCell ref="L3175:L3176"/>
    <mergeCell ref="I3183:I3184"/>
    <mergeCell ref="J3183:J3184"/>
    <mergeCell ref="K3183:K3184"/>
    <mergeCell ref="L3183:L3184"/>
    <mergeCell ref="M3183:M3184"/>
    <mergeCell ref="N3183:N3184"/>
    <mergeCell ref="I3181:I3182"/>
    <mergeCell ref="J3181:J3182"/>
    <mergeCell ref="K3181:K3182"/>
    <mergeCell ref="L3181:L3182"/>
    <mergeCell ref="M3181:M3182"/>
    <mergeCell ref="N3181:N3182"/>
    <mergeCell ref="I3185:I3186"/>
    <mergeCell ref="J3185:J3186"/>
    <mergeCell ref="K3185:K3186"/>
    <mergeCell ref="L3185:L3186"/>
    <mergeCell ref="M3185:M3186"/>
    <mergeCell ref="N3185:N3186"/>
    <mergeCell ref="R3218:R3219"/>
    <mergeCell ref="K3214:K3215"/>
    <mergeCell ref="L3214:L3215"/>
    <mergeCell ref="M3214:M3215"/>
    <mergeCell ref="N3214:N3215"/>
    <mergeCell ref="I3216:I3217"/>
    <mergeCell ref="J3216:J3217"/>
    <mergeCell ref="K3216:K3217"/>
    <mergeCell ref="L3216:L3217"/>
    <mergeCell ref="M3216:M3217"/>
    <mergeCell ref="N3216:N3217"/>
    <mergeCell ref="I3195:L3195"/>
    <mergeCell ref="I3222:M3222"/>
    <mergeCell ref="I3223:M3223"/>
    <mergeCell ref="I3224:M3224"/>
    <mergeCell ref="I3212:I3213"/>
    <mergeCell ref="J3212:J3213"/>
    <mergeCell ref="K3212:K3213"/>
    <mergeCell ref="L3212:L3213"/>
    <mergeCell ref="M3212:M3213"/>
    <mergeCell ref="N3212:N3213"/>
    <mergeCell ref="O3212:P3212"/>
    <mergeCell ref="I3214:I3215"/>
    <mergeCell ref="J3214:J3215"/>
    <mergeCell ref="L3579:L3580"/>
    <mergeCell ref="M3579:M3580"/>
    <mergeCell ref="N3579:N3580"/>
    <mergeCell ref="M3255:M3256"/>
    <mergeCell ref="N3255:N3256"/>
    <mergeCell ref="I3257:M3257"/>
    <mergeCell ref="I3258:M3258"/>
    <mergeCell ref="I3259:M3259"/>
    <mergeCell ref="I3265:L3265"/>
    <mergeCell ref="I3247:I3248"/>
    <mergeCell ref="J3247:J3248"/>
    <mergeCell ref="K3247:K3248"/>
    <mergeCell ref="L3247:L3248"/>
    <mergeCell ref="M3247:M3248"/>
    <mergeCell ref="N3247:N3248"/>
    <mergeCell ref="O3247:P3247"/>
    <mergeCell ref="I3249:I3250"/>
    <mergeCell ref="J3249:J3250"/>
    <mergeCell ref="K3249:K3250"/>
    <mergeCell ref="L3249:L3250"/>
    <mergeCell ref="M3249:M3250"/>
    <mergeCell ref="N3249:N3250"/>
    <mergeCell ref="I3251:I3252"/>
    <mergeCell ref="J3251:J3252"/>
    <mergeCell ref="N3253:N3254"/>
    <mergeCell ref="I3255:I3256"/>
    <mergeCell ref="J3255:J3256"/>
    <mergeCell ref="K3255:K3256"/>
    <mergeCell ref="L3255:L3256"/>
    <mergeCell ref="I3289:I3290"/>
    <mergeCell ref="J3289:J3290"/>
    <mergeCell ref="K3289:K3290"/>
    <mergeCell ref="I3581:I3582"/>
    <mergeCell ref="J3581:J3582"/>
    <mergeCell ref="K3581:K3582"/>
    <mergeCell ref="L3581:L3582"/>
    <mergeCell ref="M3581:M3582"/>
    <mergeCell ref="N3581:N3582"/>
    <mergeCell ref="I3583:I3584"/>
    <mergeCell ref="J3583:J3584"/>
    <mergeCell ref="K3583:K3584"/>
    <mergeCell ref="L3583:L3584"/>
    <mergeCell ref="M3583:M3584"/>
    <mergeCell ref="N3583:N3584"/>
    <mergeCell ref="I3585:M3585"/>
    <mergeCell ref="I3586:M3586"/>
    <mergeCell ref="I3587:M3587"/>
    <mergeCell ref="I3593:L3593"/>
    <mergeCell ref="I3573:P3573"/>
    <mergeCell ref="I3575:I3576"/>
    <mergeCell ref="J3575:J3576"/>
    <mergeCell ref="K3575:K3576"/>
    <mergeCell ref="L3575:L3576"/>
    <mergeCell ref="M3575:M3576"/>
    <mergeCell ref="N3575:N3576"/>
    <mergeCell ref="O3575:P3575"/>
    <mergeCell ref="I3577:I3578"/>
    <mergeCell ref="J3577:J3578"/>
    <mergeCell ref="K3577:K3580"/>
    <mergeCell ref="L3577:L3578"/>
    <mergeCell ref="M3577:M3578"/>
    <mergeCell ref="N3577:N3578"/>
    <mergeCell ref="I3579:I3580"/>
    <mergeCell ref="J3579:J3580"/>
  </mergeCells>
  <pageMargins left="0.55000000000000004" right="0.22" top="0.23" bottom="0.2" header="0.2" footer="0.26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showGridLines="0" workbookViewId="0">
      <selection activeCell="F25" sqref="F25"/>
    </sheetView>
  </sheetViews>
  <sheetFormatPr baseColWidth="10" defaultRowHeight="16.5"/>
  <cols>
    <col min="1" max="1" width="11.42578125" style="12"/>
    <col min="2" max="2" width="5.85546875" style="12" customWidth="1"/>
    <col min="3" max="6" width="11.42578125" style="12"/>
    <col min="7" max="7" width="12.7109375" style="12" customWidth="1"/>
    <col min="8" max="9" width="11.42578125" style="12"/>
    <col min="10" max="10" width="9.140625" style="12" customWidth="1"/>
    <col min="11" max="11" width="13.140625" style="12" customWidth="1"/>
    <col min="12" max="13" width="14.42578125" style="12" customWidth="1"/>
    <col min="14" max="14" width="17.7109375" style="12" customWidth="1"/>
    <col min="15" max="16" width="11.42578125" style="12"/>
    <col min="17" max="17" width="14.85546875" style="12" bestFit="1" customWidth="1"/>
    <col min="18" max="16384" width="11.42578125" style="12"/>
  </cols>
  <sheetData>
    <row r="1" spans="1:17">
      <c r="B1" s="30" t="s">
        <v>923</v>
      </c>
      <c r="C1" s="30"/>
      <c r="D1" s="30"/>
      <c r="E1" s="30"/>
      <c r="F1" s="30"/>
      <c r="G1" s="30"/>
    </row>
    <row r="2" spans="1:17">
      <c r="B2" s="30" t="s">
        <v>924</v>
      </c>
      <c r="C2" s="30"/>
      <c r="D2" s="30"/>
    </row>
    <row r="3" spans="1:17">
      <c r="B3" s="12" t="s">
        <v>925</v>
      </c>
    </row>
    <row r="4" spans="1:17">
      <c r="B4" s="203" t="s">
        <v>326</v>
      </c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</row>
    <row r="5" spans="1:17"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</row>
    <row r="6" spans="1:17" ht="17.25" thickBot="1">
      <c r="B6" s="204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</row>
    <row r="7" spans="1:17" ht="17.25" thickTop="1">
      <c r="B7" s="973" t="s">
        <v>865</v>
      </c>
      <c r="C7" s="974"/>
      <c r="D7" s="974"/>
      <c r="E7" s="974"/>
      <c r="F7" s="974"/>
      <c r="G7" s="974"/>
      <c r="H7" s="974"/>
      <c r="I7" s="974"/>
      <c r="J7" s="974"/>
      <c r="K7" s="974"/>
      <c r="L7" s="974"/>
      <c r="M7" s="974"/>
      <c r="N7" s="975"/>
    </row>
    <row r="8" spans="1:17">
      <c r="B8" s="976"/>
      <c r="C8" s="977"/>
      <c r="D8" s="977"/>
      <c r="E8" s="977"/>
      <c r="F8" s="977"/>
      <c r="G8" s="977"/>
      <c r="H8" s="977"/>
      <c r="I8" s="977"/>
      <c r="J8" s="977"/>
      <c r="K8" s="977"/>
      <c r="L8" s="977"/>
      <c r="M8" s="977"/>
      <c r="N8" s="978"/>
    </row>
    <row r="9" spans="1:17" ht="17.25" thickBot="1">
      <c r="B9" s="979"/>
      <c r="C9" s="980"/>
      <c r="D9" s="980"/>
      <c r="E9" s="980"/>
      <c r="F9" s="980"/>
      <c r="G9" s="980"/>
      <c r="H9" s="980"/>
      <c r="I9" s="980"/>
      <c r="J9" s="980"/>
      <c r="K9" s="980"/>
      <c r="L9" s="980"/>
      <c r="M9" s="980"/>
      <c r="N9" s="981"/>
    </row>
    <row r="10" spans="1:17" ht="17.25" thickTop="1"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</row>
    <row r="11" spans="1:17" ht="17.25" thickBot="1"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</row>
    <row r="12" spans="1:17" ht="60">
      <c r="A12" s="202"/>
      <c r="B12" s="205" t="s">
        <v>146</v>
      </c>
      <c r="C12" s="206" t="s">
        <v>327</v>
      </c>
      <c r="D12" s="206" t="s">
        <v>328</v>
      </c>
      <c r="E12" s="206" t="s">
        <v>329</v>
      </c>
      <c r="F12" s="207" t="s">
        <v>330</v>
      </c>
      <c r="G12" s="207" t="s">
        <v>331</v>
      </c>
      <c r="H12" s="206" t="s">
        <v>332</v>
      </c>
      <c r="I12" s="206" t="s">
        <v>335</v>
      </c>
      <c r="J12" s="206" t="s">
        <v>333</v>
      </c>
      <c r="K12" s="206" t="s">
        <v>334</v>
      </c>
      <c r="L12" s="207" t="s">
        <v>867</v>
      </c>
      <c r="M12" s="207" t="s">
        <v>868</v>
      </c>
      <c r="N12" s="208" t="s">
        <v>336</v>
      </c>
    </row>
    <row r="13" spans="1:17" ht="28.5">
      <c r="B13" s="213">
        <v>1</v>
      </c>
      <c r="C13" s="214">
        <v>50298</v>
      </c>
      <c r="D13" s="215" t="s">
        <v>337</v>
      </c>
      <c r="E13" s="214" t="s">
        <v>338</v>
      </c>
      <c r="F13" s="216">
        <v>21493</v>
      </c>
      <c r="G13" s="216">
        <v>30804</v>
      </c>
      <c r="H13" s="214">
        <v>651</v>
      </c>
      <c r="I13" s="214" t="s">
        <v>339</v>
      </c>
      <c r="J13" s="214">
        <v>14</v>
      </c>
      <c r="K13" s="214" t="s">
        <v>340</v>
      </c>
      <c r="L13" s="220">
        <f>4084950+4007263+4025025+4025025</f>
        <v>16142263</v>
      </c>
      <c r="M13" s="220">
        <v>16142263</v>
      </c>
      <c r="N13" s="221">
        <f>+L13</f>
        <v>16142263</v>
      </c>
    </row>
    <row r="14" spans="1:17" ht="17.25" thickBot="1">
      <c r="B14" s="209"/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7"/>
      <c r="N14" s="211"/>
    </row>
    <row r="15" spans="1:17" ht="27.75" customHeight="1" thickBot="1">
      <c r="B15" s="982" t="s">
        <v>139</v>
      </c>
      <c r="C15" s="983"/>
      <c r="D15" s="983"/>
      <c r="E15" s="983"/>
      <c r="F15" s="983"/>
      <c r="G15" s="983"/>
      <c r="H15" s="983"/>
      <c r="I15" s="983"/>
      <c r="J15" s="983"/>
      <c r="K15" s="984"/>
      <c r="L15" s="212">
        <f>+L13</f>
        <v>16142263</v>
      </c>
      <c r="M15" s="218">
        <f>+M13</f>
        <v>16142263</v>
      </c>
      <c r="N15" s="219">
        <f>+N13</f>
        <v>16142263</v>
      </c>
      <c r="Q15" s="226"/>
    </row>
    <row r="17" spans="3:15">
      <c r="C17" s="30" t="s">
        <v>866</v>
      </c>
      <c r="M17" s="12" t="s">
        <v>864</v>
      </c>
    </row>
    <row r="18" spans="3:15">
      <c r="C18" s="30" t="s">
        <v>341</v>
      </c>
    </row>
    <row r="19" spans="3:15">
      <c r="C19" s="30" t="s">
        <v>342</v>
      </c>
      <c r="L19" s="30" t="s">
        <v>252</v>
      </c>
    </row>
    <row r="20" spans="3:15">
      <c r="C20" s="30"/>
      <c r="L20" s="30" t="s">
        <v>151</v>
      </c>
    </row>
    <row r="21" spans="3:15">
      <c r="M21" s="30" t="s">
        <v>152</v>
      </c>
    </row>
    <row r="23" spans="3:15">
      <c r="L23" s="189"/>
      <c r="M23" s="222"/>
      <c r="N23" s="189"/>
      <c r="O23" s="189"/>
    </row>
    <row r="24" spans="3:15">
      <c r="M24" s="222" t="s">
        <v>343</v>
      </c>
    </row>
  </sheetData>
  <mergeCells count="2">
    <mergeCell ref="B7:N9"/>
    <mergeCell ref="B15:K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89"/>
  <sheetViews>
    <sheetView topLeftCell="A166" workbookViewId="0">
      <selection activeCell="J94" sqref="J94"/>
    </sheetView>
  </sheetViews>
  <sheetFormatPr baseColWidth="10" defaultRowHeight="15"/>
  <cols>
    <col min="1" max="1" width="13.7109375" customWidth="1"/>
    <col min="2" max="2" width="21.140625" customWidth="1"/>
    <col min="3" max="3" width="19.7109375" customWidth="1"/>
    <col min="4" max="4" width="18.28515625" customWidth="1"/>
    <col min="5" max="5" width="16.85546875" customWidth="1"/>
    <col min="6" max="6" width="22.140625" customWidth="1"/>
    <col min="7" max="7" width="7.140625" customWidth="1"/>
    <col min="8" max="8" width="14.42578125" customWidth="1"/>
  </cols>
  <sheetData>
    <row r="1" spans="1:8" ht="16.5">
      <c r="A1" s="49" t="s">
        <v>88</v>
      </c>
      <c r="B1" s="50"/>
      <c r="C1" s="51"/>
      <c r="D1" s="51"/>
      <c r="E1" s="51"/>
      <c r="F1" s="51"/>
      <c r="G1" s="51"/>
      <c r="H1" s="51"/>
    </row>
    <row r="2" spans="1:8">
      <c r="A2" s="51" t="s">
        <v>89</v>
      </c>
      <c r="B2" s="51"/>
      <c r="C2" s="51"/>
      <c r="D2" s="51"/>
      <c r="E2" s="51"/>
      <c r="F2" s="51"/>
      <c r="G2" s="51"/>
      <c r="H2" s="51"/>
    </row>
    <row r="3" spans="1:8">
      <c r="A3" s="51" t="s">
        <v>90</v>
      </c>
      <c r="B3" s="51"/>
      <c r="C3" s="51"/>
      <c r="D3" s="51"/>
      <c r="E3" s="51"/>
      <c r="F3" s="51"/>
      <c r="G3" s="51"/>
      <c r="H3" s="51"/>
    </row>
    <row r="4" spans="1:8">
      <c r="A4" s="51" t="s">
        <v>91</v>
      </c>
      <c r="B4" s="51"/>
      <c r="C4" s="51"/>
      <c r="D4" s="51"/>
      <c r="E4" s="51"/>
      <c r="F4" s="51"/>
      <c r="G4" s="51"/>
      <c r="H4" s="51"/>
    </row>
    <row r="5" spans="1:8">
      <c r="A5" s="50"/>
      <c r="B5" s="50"/>
      <c r="C5" s="51"/>
      <c r="D5" s="51"/>
      <c r="E5" s="51"/>
      <c r="F5" s="51"/>
      <c r="G5" s="51"/>
      <c r="H5" s="51"/>
    </row>
    <row r="6" spans="1:8" ht="16.5">
      <c r="A6" s="52" t="s">
        <v>180</v>
      </c>
      <c r="B6" s="51"/>
      <c r="C6" s="51"/>
      <c r="D6" s="51"/>
      <c r="E6" s="51"/>
      <c r="F6" s="51"/>
      <c r="G6" s="52"/>
      <c r="H6" s="51"/>
    </row>
    <row r="7" spans="1:8" ht="15.75">
      <c r="A7" s="53" t="s">
        <v>164</v>
      </c>
      <c r="B7" s="51"/>
      <c r="C7" s="51"/>
      <c r="D7" s="51"/>
      <c r="E7" s="51"/>
      <c r="F7" s="51"/>
      <c r="G7" s="53"/>
      <c r="H7" s="51"/>
    </row>
    <row r="8" spans="1:8" ht="16.5">
      <c r="A8" s="894" t="s">
        <v>170</v>
      </c>
      <c r="B8" s="894"/>
      <c r="C8" s="894"/>
      <c r="D8" s="894"/>
      <c r="E8" s="894"/>
      <c r="F8" s="894"/>
      <c r="G8" s="894"/>
      <c r="H8" s="894"/>
    </row>
    <row r="9" spans="1:8" ht="15.75" thickBot="1">
      <c r="A9" s="51"/>
      <c r="B9" s="51"/>
      <c r="C9" s="51"/>
      <c r="D9" s="51"/>
      <c r="E9" s="51"/>
      <c r="F9" s="51"/>
      <c r="G9" s="51"/>
      <c r="H9" s="51"/>
    </row>
    <row r="10" spans="1:8">
      <c r="A10" s="988" t="s">
        <v>94</v>
      </c>
      <c r="B10" s="985" t="s">
        <v>95</v>
      </c>
      <c r="C10" s="985" t="s">
        <v>96</v>
      </c>
      <c r="D10" s="985" t="s">
        <v>3</v>
      </c>
      <c r="E10" s="985" t="s">
        <v>97</v>
      </c>
      <c r="F10" s="985" t="s">
        <v>98</v>
      </c>
      <c r="G10" s="985" t="s">
        <v>99</v>
      </c>
      <c r="H10" s="987"/>
    </row>
    <row r="11" spans="1:8" ht="15.75" thickBot="1">
      <c r="A11" s="989"/>
      <c r="B11" s="986"/>
      <c r="C11" s="986"/>
      <c r="D11" s="986"/>
      <c r="E11" s="986"/>
      <c r="F11" s="986"/>
      <c r="G11" s="179" t="s">
        <v>100</v>
      </c>
      <c r="H11" s="54" t="s">
        <v>101</v>
      </c>
    </row>
    <row r="12" spans="1:8">
      <c r="A12" s="881">
        <v>177</v>
      </c>
      <c r="B12" s="875">
        <v>41815</v>
      </c>
      <c r="C12" s="935" t="s">
        <v>28</v>
      </c>
      <c r="D12" s="881" t="s">
        <v>182</v>
      </c>
      <c r="E12" s="881" t="s">
        <v>115</v>
      </c>
      <c r="F12" s="883">
        <v>20000</v>
      </c>
      <c r="G12" s="55">
        <v>719</v>
      </c>
      <c r="H12" s="78">
        <v>20000</v>
      </c>
    </row>
    <row r="13" spans="1:8" ht="15.75" thickBot="1">
      <c r="A13" s="882"/>
      <c r="B13" s="934"/>
      <c r="C13" s="936"/>
      <c r="D13" s="882"/>
      <c r="E13" s="882"/>
      <c r="F13" s="884"/>
      <c r="G13" s="56">
        <v>721</v>
      </c>
      <c r="H13" s="79">
        <f>+F12-H12</f>
        <v>0</v>
      </c>
    </row>
    <row r="14" spans="1:8" ht="15" customHeight="1">
      <c r="A14" s="881">
        <f>+A12+1</f>
        <v>178</v>
      </c>
      <c r="B14" s="875">
        <v>41815</v>
      </c>
      <c r="C14" s="935" t="s">
        <v>31</v>
      </c>
      <c r="D14" s="881" t="s">
        <v>183</v>
      </c>
      <c r="E14" s="881" t="s">
        <v>115</v>
      </c>
      <c r="F14" s="883">
        <v>70000</v>
      </c>
      <c r="G14" s="55">
        <v>719</v>
      </c>
      <c r="H14" s="78">
        <v>70000</v>
      </c>
    </row>
    <row r="15" spans="1:8" ht="15.75" customHeight="1" thickBot="1">
      <c r="A15" s="882"/>
      <c r="B15" s="934"/>
      <c r="C15" s="936"/>
      <c r="D15" s="882"/>
      <c r="E15" s="882"/>
      <c r="F15" s="884"/>
      <c r="G15" s="56">
        <v>721</v>
      </c>
      <c r="H15" s="79">
        <f>+F14-H14</f>
        <v>0</v>
      </c>
    </row>
    <row r="16" spans="1:8" ht="15" customHeight="1">
      <c r="A16" s="881">
        <f>+A14+1</f>
        <v>179</v>
      </c>
      <c r="B16" s="875">
        <v>41815</v>
      </c>
      <c r="C16" s="935" t="s">
        <v>32</v>
      </c>
      <c r="D16" s="881" t="s">
        <v>184</v>
      </c>
      <c r="E16" s="881" t="s">
        <v>115</v>
      </c>
      <c r="F16" s="883">
        <v>50000</v>
      </c>
      <c r="G16" s="55">
        <v>719</v>
      </c>
      <c r="H16" s="78">
        <v>50000</v>
      </c>
    </row>
    <row r="17" spans="1:8" ht="15.75" customHeight="1" thickBot="1">
      <c r="A17" s="882"/>
      <c r="B17" s="934"/>
      <c r="C17" s="936"/>
      <c r="D17" s="882"/>
      <c r="E17" s="882"/>
      <c r="F17" s="884"/>
      <c r="G17" s="56">
        <v>721</v>
      </c>
      <c r="H17" s="79">
        <f>+F16-H16</f>
        <v>0</v>
      </c>
    </row>
    <row r="18" spans="1:8" ht="15" customHeight="1">
      <c r="A18" s="881"/>
      <c r="B18" s="875"/>
      <c r="C18" s="942"/>
      <c r="D18" s="881"/>
      <c r="E18" s="881"/>
      <c r="F18" s="883"/>
      <c r="G18" s="55">
        <v>719</v>
      </c>
      <c r="H18" s="78"/>
    </row>
    <row r="19" spans="1:8" ht="15.75" customHeight="1" thickBot="1">
      <c r="A19" s="882"/>
      <c r="B19" s="934"/>
      <c r="C19" s="943"/>
      <c r="D19" s="882"/>
      <c r="E19" s="882"/>
      <c r="F19" s="884"/>
      <c r="G19" s="56">
        <v>721</v>
      </c>
      <c r="H19" s="79">
        <f>+F18-H18</f>
        <v>0</v>
      </c>
    </row>
    <row r="20" spans="1:8" ht="15" customHeight="1">
      <c r="A20" s="881"/>
      <c r="B20" s="875"/>
      <c r="C20" s="942"/>
      <c r="D20" s="881"/>
      <c r="E20" s="881"/>
      <c r="F20" s="883"/>
      <c r="G20" s="55">
        <v>719</v>
      </c>
      <c r="H20" s="78">
        <v>410000</v>
      </c>
    </row>
    <row r="21" spans="1:8" ht="15.75" customHeight="1" thickBot="1">
      <c r="A21" s="882"/>
      <c r="B21" s="934"/>
      <c r="C21" s="943"/>
      <c r="D21" s="882"/>
      <c r="E21" s="882"/>
      <c r="F21" s="884"/>
      <c r="G21" s="56">
        <v>721</v>
      </c>
      <c r="H21" s="79">
        <f>+F20-H20</f>
        <v>-410000</v>
      </c>
    </row>
    <row r="22" spans="1:8" ht="16.5" thickBot="1">
      <c r="A22" s="901" t="s">
        <v>102</v>
      </c>
      <c r="B22" s="902"/>
      <c r="C22" s="902"/>
      <c r="D22" s="902"/>
      <c r="E22" s="903"/>
      <c r="F22" s="81">
        <f>SUM(F12:F21)</f>
        <v>140000</v>
      </c>
      <c r="G22" s="51"/>
      <c r="H22" s="51"/>
    </row>
    <row r="23" spans="1:8" ht="16.5" thickBot="1">
      <c r="A23" s="885" t="s">
        <v>103</v>
      </c>
      <c r="B23" s="886"/>
      <c r="C23" s="886"/>
      <c r="D23" s="886"/>
      <c r="E23" s="887"/>
      <c r="F23" s="69">
        <f>+C37</f>
        <v>569390549</v>
      </c>
      <c r="G23" s="51"/>
      <c r="H23" s="51"/>
    </row>
    <row r="24" spans="1:8" ht="16.5" thickBot="1">
      <c r="A24" s="888" t="s">
        <v>104</v>
      </c>
      <c r="B24" s="889"/>
      <c r="C24" s="889"/>
      <c r="D24" s="889"/>
      <c r="E24" s="890"/>
      <c r="F24" s="70">
        <f>SUM(F22:F23)</f>
        <v>569530549</v>
      </c>
      <c r="G24" s="51"/>
      <c r="H24" s="51"/>
    </row>
    <row r="25" spans="1:8">
      <c r="A25" s="61"/>
      <c r="B25" s="61"/>
      <c r="C25" s="61"/>
      <c r="D25" s="61"/>
      <c r="E25" s="61"/>
      <c r="F25" s="51"/>
      <c r="G25" s="51"/>
      <c r="H25" s="51"/>
    </row>
    <row r="26" spans="1:8">
      <c r="A26" s="51" t="s">
        <v>191</v>
      </c>
      <c r="B26" s="51"/>
      <c r="C26" s="51"/>
      <c r="D26" s="51"/>
      <c r="E26" s="51"/>
      <c r="F26" s="51"/>
      <c r="G26" s="51"/>
      <c r="H26" s="51"/>
    </row>
    <row r="27" spans="1:8">
      <c r="A27" s="51"/>
      <c r="B27" s="51"/>
      <c r="C27" s="51"/>
      <c r="D27" s="51"/>
      <c r="E27" s="51"/>
      <c r="F27" s="139"/>
      <c r="G27" s="51"/>
      <c r="H27" s="51"/>
    </row>
    <row r="28" spans="1:8">
      <c r="A28" s="50" t="s">
        <v>105</v>
      </c>
      <c r="B28" s="51"/>
      <c r="C28" s="51"/>
      <c r="D28" s="146"/>
      <c r="E28" s="51"/>
      <c r="F28" s="51"/>
      <c r="G28" s="51"/>
      <c r="H28" s="51"/>
    </row>
    <row r="29" spans="1:8" ht="15.75" thickBot="1">
      <c r="A29" s="51"/>
      <c r="B29" s="51"/>
      <c r="C29" s="51"/>
      <c r="D29" s="51"/>
      <c r="E29" s="51"/>
      <c r="F29" s="51"/>
      <c r="G29" s="51"/>
      <c r="H29" s="51"/>
    </row>
    <row r="30" spans="1:8" ht="15.75" thickBot="1">
      <c r="A30" s="891" t="s">
        <v>106</v>
      </c>
      <c r="B30" s="892"/>
      <c r="C30" s="892"/>
      <c r="D30" s="893"/>
      <c r="E30" s="51"/>
      <c r="F30" s="50" t="s">
        <v>107</v>
      </c>
      <c r="G30" s="51"/>
      <c r="H30" s="51"/>
    </row>
    <row r="31" spans="1:8" ht="30.75" thickBot="1">
      <c r="A31" s="57" t="s">
        <v>100</v>
      </c>
      <c r="B31" s="58" t="s">
        <v>108</v>
      </c>
      <c r="C31" s="59" t="s">
        <v>109</v>
      </c>
      <c r="D31" s="60" t="s">
        <v>110</v>
      </c>
      <c r="E31" s="51"/>
      <c r="F31" s="51"/>
      <c r="G31" s="51"/>
      <c r="H31" s="51"/>
    </row>
    <row r="32" spans="1:8">
      <c r="A32" s="71">
        <v>719</v>
      </c>
      <c r="B32" s="73">
        <v>140000</v>
      </c>
      <c r="C32" s="76">
        <v>18660000</v>
      </c>
      <c r="D32" s="76">
        <f>+B32+C32</f>
        <v>18800000</v>
      </c>
      <c r="E32" s="51"/>
      <c r="F32" s="51"/>
      <c r="G32" s="51"/>
      <c r="H32" s="51"/>
    </row>
    <row r="33" spans="1:8">
      <c r="A33" s="72">
        <v>721</v>
      </c>
      <c r="B33" s="80"/>
      <c r="C33" s="76">
        <v>7044000</v>
      </c>
      <c r="D33" s="76">
        <f>+B33+C33</f>
        <v>7044000</v>
      </c>
      <c r="E33" s="51"/>
      <c r="F33" s="51"/>
      <c r="G33" s="51"/>
      <c r="H33" s="51"/>
    </row>
    <row r="34" spans="1:8">
      <c r="A34" s="72">
        <v>722</v>
      </c>
      <c r="B34" s="80"/>
      <c r="C34" s="76">
        <v>224787287</v>
      </c>
      <c r="D34" s="76">
        <f>+B34+C34</f>
        <v>224787287</v>
      </c>
      <c r="E34" s="51"/>
      <c r="F34" s="51"/>
      <c r="G34" s="51"/>
      <c r="H34" s="51"/>
    </row>
    <row r="35" spans="1:8" ht="15.75">
      <c r="A35" s="72">
        <v>723</v>
      </c>
      <c r="B35" s="80"/>
      <c r="C35" s="76">
        <v>316933637</v>
      </c>
      <c r="D35" s="76">
        <f>+B35+C35</f>
        <v>316933637</v>
      </c>
      <c r="E35" s="51"/>
      <c r="F35" s="174" t="s">
        <v>23</v>
      </c>
      <c r="G35" s="51"/>
      <c r="H35" s="51"/>
    </row>
    <row r="36" spans="1:8" ht="16.5" thickBot="1">
      <c r="A36" s="164" t="s">
        <v>181</v>
      </c>
      <c r="B36" s="165"/>
      <c r="C36" s="168">
        <v>1965625</v>
      </c>
      <c r="D36" s="168">
        <f>+B36+C36</f>
        <v>1965625</v>
      </c>
      <c r="E36" s="51"/>
      <c r="F36" s="52"/>
      <c r="G36" s="51"/>
      <c r="H36" s="51"/>
    </row>
    <row r="37" spans="1:8" ht="16.5" thickBot="1">
      <c r="A37" s="169"/>
      <c r="B37" s="170">
        <f>SUM(B32:B36)</f>
        <v>140000</v>
      </c>
      <c r="C37" s="171">
        <f>SUM(C32:C36)</f>
        <v>569390549</v>
      </c>
      <c r="D37" s="172">
        <f>SUM(D32:D36)</f>
        <v>569530549</v>
      </c>
      <c r="E37" s="51"/>
      <c r="F37" s="51"/>
      <c r="G37" s="51"/>
      <c r="H37" s="51"/>
    </row>
    <row r="38" spans="1:8" ht="16.5">
      <c r="A38" s="49" t="s">
        <v>88</v>
      </c>
      <c r="B38" s="50"/>
      <c r="C38" s="51"/>
      <c r="D38" s="51"/>
      <c r="E38" s="51"/>
      <c r="F38" s="51"/>
      <c r="G38" s="51"/>
      <c r="H38" s="51"/>
    </row>
    <row r="39" spans="1:8">
      <c r="A39" s="51" t="s">
        <v>89</v>
      </c>
      <c r="B39" s="51"/>
      <c r="C39" s="51"/>
      <c r="D39" s="51"/>
      <c r="E39" s="51"/>
      <c r="F39" s="51"/>
      <c r="G39" s="51"/>
      <c r="H39" s="51"/>
    </row>
    <row r="40" spans="1:8">
      <c r="A40" s="51" t="s">
        <v>90</v>
      </c>
      <c r="B40" s="51"/>
      <c r="C40" s="51"/>
      <c r="D40" s="51"/>
      <c r="E40" s="51"/>
      <c r="F40" s="51"/>
      <c r="G40" s="51"/>
      <c r="H40" s="51"/>
    </row>
    <row r="41" spans="1:8">
      <c r="A41" s="51" t="s">
        <v>91</v>
      </c>
      <c r="B41" s="51"/>
      <c r="C41" s="51"/>
      <c r="D41" s="51"/>
      <c r="E41" s="51"/>
      <c r="F41" s="51"/>
      <c r="G41" s="51"/>
      <c r="H41" s="51"/>
    </row>
    <row r="42" spans="1:8">
      <c r="A42" s="50"/>
      <c r="B42" s="50"/>
      <c r="C42" s="51"/>
      <c r="D42" s="51"/>
      <c r="E42" s="51"/>
      <c r="F42" s="51"/>
      <c r="G42" s="51"/>
      <c r="H42" s="51"/>
    </row>
    <row r="43" spans="1:8" ht="16.5">
      <c r="A43" s="52" t="s">
        <v>185</v>
      </c>
      <c r="B43" s="51"/>
      <c r="C43" s="51"/>
      <c r="D43" s="51"/>
      <c r="E43" s="51"/>
      <c r="F43" s="51"/>
    </row>
    <row r="44" spans="1:8" ht="15.75">
      <c r="A44" s="53" t="s">
        <v>92</v>
      </c>
      <c r="B44" s="51"/>
      <c r="C44" s="51"/>
      <c r="D44" s="51"/>
      <c r="E44" s="51"/>
      <c r="F44" s="51"/>
    </row>
    <row r="45" spans="1:8" ht="16.5">
      <c r="A45" s="894" t="s">
        <v>93</v>
      </c>
      <c r="B45" s="894"/>
      <c r="C45" s="894"/>
      <c r="D45" s="894"/>
      <c r="E45" s="894"/>
      <c r="F45" s="894"/>
      <c r="G45" s="894"/>
      <c r="H45" s="894"/>
    </row>
    <row r="46" spans="1:8" ht="15.75" thickBot="1">
      <c r="A46" s="51"/>
      <c r="B46" s="51"/>
      <c r="C46" s="51"/>
      <c r="D46" s="51"/>
      <c r="E46" s="51"/>
      <c r="F46" s="51"/>
      <c r="G46" s="51"/>
      <c r="H46" s="51"/>
    </row>
    <row r="47" spans="1:8">
      <c r="A47" s="988" t="s">
        <v>94</v>
      </c>
      <c r="B47" s="985" t="s">
        <v>95</v>
      </c>
      <c r="C47" s="985" t="s">
        <v>96</v>
      </c>
      <c r="D47" s="985" t="s">
        <v>3</v>
      </c>
      <c r="E47" s="985" t="s">
        <v>97</v>
      </c>
      <c r="F47" s="985" t="s">
        <v>98</v>
      </c>
      <c r="G47" s="985" t="s">
        <v>99</v>
      </c>
      <c r="H47" s="987"/>
    </row>
    <row r="48" spans="1:8" ht="15.75" thickBot="1">
      <c r="A48" s="989"/>
      <c r="B48" s="986"/>
      <c r="C48" s="986"/>
      <c r="D48" s="986"/>
      <c r="E48" s="986"/>
      <c r="F48" s="986"/>
      <c r="G48" s="179" t="s">
        <v>100</v>
      </c>
      <c r="H48" s="54" t="s">
        <v>101</v>
      </c>
    </row>
    <row r="49" spans="1:8">
      <c r="A49" s="881">
        <v>180</v>
      </c>
      <c r="B49" s="875">
        <v>42181</v>
      </c>
      <c r="C49" s="942" t="s">
        <v>32</v>
      </c>
      <c r="D49" s="881" t="s">
        <v>186</v>
      </c>
      <c r="E49" s="881" t="s">
        <v>148</v>
      </c>
      <c r="F49" s="883">
        <v>84000</v>
      </c>
      <c r="G49" s="55">
        <v>719</v>
      </c>
      <c r="H49" s="78">
        <v>60000</v>
      </c>
    </row>
    <row r="50" spans="1:8" ht="15.75" thickBot="1">
      <c r="A50" s="882"/>
      <c r="B50" s="934"/>
      <c r="C50" s="943"/>
      <c r="D50" s="882"/>
      <c r="E50" s="882"/>
      <c r="F50" s="884"/>
      <c r="G50" s="56">
        <v>721</v>
      </c>
      <c r="H50" s="79">
        <f>+F49-H49</f>
        <v>24000</v>
      </c>
    </row>
    <row r="51" spans="1:8" ht="15" customHeight="1">
      <c r="A51" s="881">
        <f>+A49+1</f>
        <v>181</v>
      </c>
      <c r="B51" s="875">
        <v>42181</v>
      </c>
      <c r="C51" s="935" t="s">
        <v>28</v>
      </c>
      <c r="D51" s="881" t="s">
        <v>187</v>
      </c>
      <c r="E51" s="881" t="s">
        <v>148</v>
      </c>
      <c r="F51" s="883">
        <v>378000</v>
      </c>
      <c r="G51" s="55">
        <v>719</v>
      </c>
      <c r="H51" s="78">
        <v>270000</v>
      </c>
    </row>
    <row r="52" spans="1:8" ht="15.75" customHeight="1" thickBot="1">
      <c r="A52" s="882"/>
      <c r="B52" s="934"/>
      <c r="C52" s="936"/>
      <c r="D52" s="882"/>
      <c r="E52" s="882"/>
      <c r="F52" s="884"/>
      <c r="G52" s="56">
        <v>721</v>
      </c>
      <c r="H52" s="79">
        <f>+F51-H51</f>
        <v>108000</v>
      </c>
    </row>
    <row r="53" spans="1:8" ht="15" customHeight="1">
      <c r="A53" s="881">
        <f>+A51+1</f>
        <v>182</v>
      </c>
      <c r="B53" s="875">
        <v>42181</v>
      </c>
      <c r="C53" s="942" t="s">
        <v>32</v>
      </c>
      <c r="D53" s="881" t="s">
        <v>188</v>
      </c>
      <c r="E53" s="881" t="s">
        <v>148</v>
      </c>
      <c r="F53" s="883">
        <v>154000</v>
      </c>
      <c r="G53" s="55">
        <v>719</v>
      </c>
      <c r="H53" s="78">
        <v>110000</v>
      </c>
    </row>
    <row r="54" spans="1:8" ht="15.75" customHeight="1" thickBot="1">
      <c r="A54" s="882"/>
      <c r="B54" s="934"/>
      <c r="C54" s="943"/>
      <c r="D54" s="882"/>
      <c r="E54" s="882"/>
      <c r="F54" s="884"/>
      <c r="G54" s="56">
        <v>721</v>
      </c>
      <c r="H54" s="79">
        <f>+F53-H53</f>
        <v>44000</v>
      </c>
    </row>
    <row r="55" spans="1:8" ht="15" customHeight="1">
      <c r="A55" s="881">
        <f>+A53+1</f>
        <v>183</v>
      </c>
      <c r="B55" s="875">
        <v>42181</v>
      </c>
      <c r="C55" s="935" t="s">
        <v>40</v>
      </c>
      <c r="D55" s="881" t="s">
        <v>187</v>
      </c>
      <c r="E55" s="881" t="s">
        <v>148</v>
      </c>
      <c r="F55" s="883">
        <v>392000</v>
      </c>
      <c r="G55" s="55">
        <v>719</v>
      </c>
      <c r="H55" s="78">
        <v>280000</v>
      </c>
    </row>
    <row r="56" spans="1:8" ht="15.75" customHeight="1" thickBot="1">
      <c r="A56" s="882"/>
      <c r="B56" s="934"/>
      <c r="C56" s="936"/>
      <c r="D56" s="882"/>
      <c r="E56" s="882"/>
      <c r="F56" s="884"/>
      <c r="G56" s="56">
        <v>721</v>
      </c>
      <c r="H56" s="79">
        <f>+F55-H55</f>
        <v>112000</v>
      </c>
    </row>
    <row r="57" spans="1:8" ht="15" customHeight="1">
      <c r="A57" s="881">
        <f>+A55+1</f>
        <v>184</v>
      </c>
      <c r="B57" s="875">
        <v>42181</v>
      </c>
      <c r="C57" s="935" t="s">
        <v>169</v>
      </c>
      <c r="D57" s="881" t="s">
        <v>189</v>
      </c>
      <c r="E57" s="881" t="s">
        <v>148</v>
      </c>
      <c r="F57" s="883">
        <v>140000</v>
      </c>
      <c r="G57" s="55">
        <v>719</v>
      </c>
      <c r="H57" s="78">
        <v>100000</v>
      </c>
    </row>
    <row r="58" spans="1:8" ht="15.75" customHeight="1" thickBot="1">
      <c r="A58" s="882"/>
      <c r="B58" s="934"/>
      <c r="C58" s="936"/>
      <c r="D58" s="882"/>
      <c r="E58" s="882"/>
      <c r="F58" s="884"/>
      <c r="G58" s="56">
        <v>721</v>
      </c>
      <c r="H58" s="79">
        <f>+F57-H57</f>
        <v>40000</v>
      </c>
    </row>
    <row r="59" spans="1:8" ht="16.5" thickBot="1">
      <c r="A59" s="901" t="s">
        <v>102</v>
      </c>
      <c r="B59" s="902"/>
      <c r="C59" s="902"/>
      <c r="D59" s="902"/>
      <c r="E59" s="903"/>
      <c r="F59" s="81">
        <f>SUM(F49:F58)</f>
        <v>1148000</v>
      </c>
      <c r="G59" s="51"/>
      <c r="H59" s="51"/>
    </row>
    <row r="60" spans="1:8" ht="16.5" thickBot="1">
      <c r="A60" s="885" t="s">
        <v>103</v>
      </c>
      <c r="B60" s="886"/>
      <c r="C60" s="886"/>
      <c r="D60" s="886"/>
      <c r="E60" s="887"/>
      <c r="F60" s="69">
        <f>+C74</f>
        <v>569530549</v>
      </c>
      <c r="G60" s="51"/>
      <c r="H60" s="51"/>
    </row>
    <row r="61" spans="1:8" ht="16.5" thickBot="1">
      <c r="A61" s="888" t="s">
        <v>104</v>
      </c>
      <c r="B61" s="889"/>
      <c r="C61" s="889"/>
      <c r="D61" s="889"/>
      <c r="E61" s="890"/>
      <c r="F61" s="70">
        <f>SUM(F59:F60)</f>
        <v>570678549</v>
      </c>
      <c r="G61" s="51"/>
      <c r="H61" s="51"/>
    </row>
    <row r="62" spans="1:8">
      <c r="A62" s="61"/>
      <c r="B62" s="61"/>
      <c r="C62" s="61"/>
      <c r="D62" s="61"/>
      <c r="E62" s="61"/>
      <c r="F62" s="51"/>
      <c r="G62" s="51"/>
      <c r="H62" s="51"/>
    </row>
    <row r="63" spans="1:8">
      <c r="A63" s="51" t="s">
        <v>192</v>
      </c>
      <c r="B63" s="51"/>
      <c r="C63" s="51"/>
      <c r="D63" s="51"/>
      <c r="E63" s="51"/>
      <c r="F63" s="51"/>
      <c r="G63" s="51"/>
      <c r="H63" s="51"/>
    </row>
    <row r="64" spans="1:8">
      <c r="A64" s="51"/>
      <c r="B64" s="51"/>
      <c r="C64" s="51"/>
      <c r="D64" s="51"/>
      <c r="E64" s="51"/>
      <c r="F64" s="139"/>
      <c r="G64" s="51"/>
      <c r="H64" s="51"/>
    </row>
    <row r="65" spans="1:8">
      <c r="A65" s="50" t="s">
        <v>105</v>
      </c>
      <c r="B65" s="51"/>
      <c r="C65" s="51"/>
      <c r="D65" s="146"/>
      <c r="E65" s="51"/>
      <c r="F65" s="139"/>
      <c r="G65" s="51"/>
      <c r="H65" s="51"/>
    </row>
    <row r="66" spans="1:8" ht="15.75" thickBot="1">
      <c r="A66" s="51"/>
      <c r="B66" s="51"/>
      <c r="C66" s="51"/>
      <c r="D66" s="51"/>
      <c r="E66" s="51"/>
      <c r="F66" s="51"/>
      <c r="G66" s="51"/>
      <c r="H66" s="51"/>
    </row>
    <row r="67" spans="1:8" ht="15.75" thickBot="1">
      <c r="A67" s="891" t="s">
        <v>106</v>
      </c>
      <c r="B67" s="892"/>
      <c r="C67" s="892"/>
      <c r="D67" s="893"/>
      <c r="E67" s="51"/>
      <c r="F67" s="50" t="s">
        <v>107</v>
      </c>
      <c r="G67" s="51"/>
      <c r="H67" s="51"/>
    </row>
    <row r="68" spans="1:8" ht="30.75" thickBot="1">
      <c r="A68" s="57" t="s">
        <v>100</v>
      </c>
      <c r="B68" s="58" t="s">
        <v>108</v>
      </c>
      <c r="C68" s="59" t="s">
        <v>109</v>
      </c>
      <c r="D68" s="60" t="s">
        <v>110</v>
      </c>
      <c r="E68" s="51"/>
      <c r="F68" s="51"/>
      <c r="G68" s="51"/>
      <c r="H68" s="51"/>
    </row>
    <row r="69" spans="1:8">
      <c r="A69" s="71">
        <v>719</v>
      </c>
      <c r="B69" s="73">
        <f>+H49+H51+H53+H55+H57</f>
        <v>820000</v>
      </c>
      <c r="C69" s="74">
        <f>+D32</f>
        <v>18800000</v>
      </c>
      <c r="D69" s="76">
        <f>+B69+C69</f>
        <v>19620000</v>
      </c>
      <c r="E69" s="51"/>
      <c r="F69" s="51"/>
      <c r="G69" s="51"/>
      <c r="H69" s="51"/>
    </row>
    <row r="70" spans="1:8">
      <c r="A70" s="72">
        <v>721</v>
      </c>
      <c r="B70" s="80">
        <f>+H50+H52+H54+H56+H58</f>
        <v>328000</v>
      </c>
      <c r="C70" s="74">
        <f>+D33</f>
        <v>7044000</v>
      </c>
      <c r="D70" s="76">
        <f>+B70+C70</f>
        <v>7372000</v>
      </c>
      <c r="E70" s="51"/>
      <c r="F70" s="51"/>
      <c r="G70" s="51"/>
      <c r="H70" s="51"/>
    </row>
    <row r="71" spans="1:8">
      <c r="A71" s="72">
        <v>722</v>
      </c>
      <c r="B71" s="80"/>
      <c r="C71" s="74">
        <f>+D34</f>
        <v>224787287</v>
      </c>
      <c r="D71" s="76">
        <f>+B71+C71</f>
        <v>224787287</v>
      </c>
      <c r="E71" s="51"/>
      <c r="F71" s="51"/>
      <c r="G71" s="51"/>
      <c r="H71" s="51"/>
    </row>
    <row r="72" spans="1:8" ht="15.75">
      <c r="A72" s="72">
        <v>723</v>
      </c>
      <c r="B72" s="80"/>
      <c r="C72" s="74">
        <f>+D35</f>
        <v>316933637</v>
      </c>
      <c r="D72" s="76">
        <f>+B72+C72</f>
        <v>316933637</v>
      </c>
      <c r="E72" s="51"/>
      <c r="F72" s="174" t="s">
        <v>23</v>
      </c>
      <c r="G72" s="175"/>
      <c r="H72" s="51"/>
    </row>
    <row r="73" spans="1:8" ht="16.5" thickBot="1">
      <c r="A73" s="164" t="s">
        <v>181</v>
      </c>
      <c r="B73" s="165"/>
      <c r="C73" s="74">
        <f>+D36</f>
        <v>1965625</v>
      </c>
      <c r="D73" s="168">
        <f>+B73+C73</f>
        <v>1965625</v>
      </c>
      <c r="E73" s="51"/>
      <c r="F73" s="52"/>
      <c r="G73" s="51"/>
      <c r="H73" s="51"/>
    </row>
    <row r="74" spans="1:8" ht="16.5" thickBot="1">
      <c r="A74" s="169"/>
      <c r="B74" s="170">
        <f>SUM(B69:B73)</f>
        <v>1148000</v>
      </c>
      <c r="C74" s="171">
        <f>SUM(C69:C73)</f>
        <v>569530549</v>
      </c>
      <c r="D74" s="172">
        <f>SUM(D69:D73)</f>
        <v>570678549</v>
      </c>
      <c r="E74" s="51"/>
      <c r="F74" s="51"/>
      <c r="G74" s="51"/>
      <c r="H74" s="51"/>
    </row>
    <row r="75" spans="1:8" ht="16.5">
      <c r="A75" s="49" t="s">
        <v>88</v>
      </c>
      <c r="B75" s="50"/>
      <c r="C75" s="51"/>
      <c r="D75" s="51"/>
      <c r="E75" s="51"/>
      <c r="F75" s="51"/>
      <c r="G75" s="51"/>
      <c r="H75" s="51"/>
    </row>
    <row r="76" spans="1:8">
      <c r="A76" s="51" t="s">
        <v>89</v>
      </c>
      <c r="B76" s="51"/>
      <c r="C76" s="51"/>
      <c r="D76" s="51"/>
      <c r="E76" s="51"/>
      <c r="F76" s="51"/>
      <c r="G76" s="51"/>
      <c r="H76" s="51"/>
    </row>
    <row r="77" spans="1:8">
      <c r="A77" s="51" t="s">
        <v>90</v>
      </c>
      <c r="B77" s="51"/>
      <c r="C77" s="51"/>
      <c r="D77" s="51"/>
      <c r="E77" s="51"/>
      <c r="F77" s="51"/>
      <c r="G77" s="51"/>
      <c r="H77" s="51"/>
    </row>
    <row r="78" spans="1:8">
      <c r="A78" s="51" t="s">
        <v>91</v>
      </c>
      <c r="B78" s="51"/>
      <c r="C78" s="51"/>
      <c r="D78" s="51"/>
      <c r="E78" s="51"/>
      <c r="F78" s="51"/>
      <c r="G78" s="51"/>
      <c r="H78" s="51"/>
    </row>
    <row r="79" spans="1:8" ht="12" customHeight="1">
      <c r="A79" s="50"/>
      <c r="B79" s="50"/>
      <c r="C79" s="51"/>
      <c r="D79" s="51"/>
      <c r="E79" s="51"/>
      <c r="F79" s="51"/>
      <c r="G79" s="51"/>
      <c r="H79" s="51"/>
    </row>
    <row r="80" spans="1:8" ht="16.5">
      <c r="A80" s="52" t="s">
        <v>190</v>
      </c>
      <c r="B80" s="180"/>
      <c r="C80" s="51"/>
      <c r="D80" s="51"/>
      <c r="E80" s="51"/>
      <c r="F80" s="51"/>
      <c r="G80" s="52"/>
      <c r="H80" s="51"/>
    </row>
    <row r="81" spans="1:8" ht="15.75">
      <c r="A81" s="53" t="s">
        <v>164</v>
      </c>
      <c r="B81" s="51"/>
      <c r="C81" s="51"/>
      <c r="D81" s="51"/>
      <c r="E81" s="51"/>
      <c r="F81" s="51"/>
      <c r="G81" s="53"/>
      <c r="H81" s="51"/>
    </row>
    <row r="82" spans="1:8" ht="16.5">
      <c r="A82" s="894" t="s">
        <v>193</v>
      </c>
      <c r="B82" s="894"/>
      <c r="C82" s="894"/>
      <c r="D82" s="894"/>
      <c r="E82" s="894"/>
      <c r="F82" s="894"/>
      <c r="G82" s="894"/>
      <c r="H82" s="894"/>
    </row>
    <row r="83" spans="1:8" ht="12" customHeight="1" thickBot="1">
      <c r="A83" s="51"/>
      <c r="B83" s="51"/>
      <c r="C83" s="51"/>
      <c r="D83" s="51"/>
      <c r="E83" s="51"/>
      <c r="F83" s="51"/>
      <c r="G83" s="51"/>
      <c r="H83" s="51"/>
    </row>
    <row r="84" spans="1:8">
      <c r="A84" s="988" t="s">
        <v>94</v>
      </c>
      <c r="B84" s="985" t="s">
        <v>95</v>
      </c>
      <c r="C84" s="985" t="s">
        <v>96</v>
      </c>
      <c r="D84" s="985" t="s">
        <v>3</v>
      </c>
      <c r="E84" s="985" t="s">
        <v>97</v>
      </c>
      <c r="F84" s="985" t="s">
        <v>98</v>
      </c>
      <c r="G84" s="985" t="s">
        <v>99</v>
      </c>
      <c r="H84" s="987"/>
    </row>
    <row r="85" spans="1:8" ht="15.75" thickBot="1">
      <c r="A85" s="989"/>
      <c r="B85" s="986"/>
      <c r="C85" s="986"/>
      <c r="D85" s="986"/>
      <c r="E85" s="986"/>
      <c r="F85" s="986"/>
      <c r="G85" s="179" t="s">
        <v>100</v>
      </c>
      <c r="H85" s="54" t="s">
        <v>101</v>
      </c>
    </row>
    <row r="86" spans="1:8">
      <c r="A86" s="881">
        <f>+A57+1</f>
        <v>185</v>
      </c>
      <c r="B86" s="875">
        <v>42181</v>
      </c>
      <c r="C86" s="942" t="s">
        <v>31</v>
      </c>
      <c r="D86" s="881" t="s">
        <v>195</v>
      </c>
      <c r="E86" s="881" t="s">
        <v>148</v>
      </c>
      <c r="F86" s="883">
        <v>490000</v>
      </c>
      <c r="G86" s="55">
        <v>719</v>
      </c>
      <c r="H86" s="78">
        <v>350000</v>
      </c>
    </row>
    <row r="87" spans="1:8" ht="15.75" thickBot="1">
      <c r="A87" s="882"/>
      <c r="B87" s="934"/>
      <c r="C87" s="943"/>
      <c r="D87" s="882"/>
      <c r="E87" s="882"/>
      <c r="F87" s="884"/>
      <c r="G87" s="56">
        <v>721</v>
      </c>
      <c r="H87" s="79">
        <f>+F86-H86</f>
        <v>140000</v>
      </c>
    </row>
    <row r="88" spans="1:8" ht="15" customHeight="1">
      <c r="A88" s="881">
        <f>+A86+1</f>
        <v>186</v>
      </c>
      <c r="B88" s="875">
        <v>42181</v>
      </c>
      <c r="C88" s="935" t="s">
        <v>28</v>
      </c>
      <c r="D88" s="881" t="s">
        <v>187</v>
      </c>
      <c r="E88" s="881" t="s">
        <v>148</v>
      </c>
      <c r="F88" s="883">
        <v>266000</v>
      </c>
      <c r="G88" s="55">
        <v>719</v>
      </c>
      <c r="H88" s="78">
        <v>190000</v>
      </c>
    </row>
    <row r="89" spans="1:8" ht="15.75" customHeight="1" thickBot="1">
      <c r="A89" s="882"/>
      <c r="B89" s="934"/>
      <c r="C89" s="936"/>
      <c r="D89" s="882"/>
      <c r="E89" s="882"/>
      <c r="F89" s="884"/>
      <c r="G89" s="56">
        <v>721</v>
      </c>
      <c r="H89" s="79">
        <f>+F88-H88</f>
        <v>76000</v>
      </c>
    </row>
    <row r="90" spans="1:8" ht="15" customHeight="1">
      <c r="A90" s="881">
        <f>+A88+1</f>
        <v>187</v>
      </c>
      <c r="B90" s="875">
        <v>42181</v>
      </c>
      <c r="C90" s="942" t="s">
        <v>31</v>
      </c>
      <c r="D90" s="881" t="s">
        <v>197</v>
      </c>
      <c r="E90" s="881" t="s">
        <v>148</v>
      </c>
      <c r="F90" s="883">
        <v>784000</v>
      </c>
      <c r="G90" s="55">
        <v>719</v>
      </c>
      <c r="H90" s="78">
        <v>560000</v>
      </c>
    </row>
    <row r="91" spans="1:8" ht="15.75" customHeight="1" thickBot="1">
      <c r="A91" s="882"/>
      <c r="B91" s="934"/>
      <c r="C91" s="943"/>
      <c r="D91" s="882"/>
      <c r="E91" s="882"/>
      <c r="F91" s="884"/>
      <c r="G91" s="56">
        <v>721</v>
      </c>
      <c r="H91" s="79">
        <f>+F90-H90</f>
        <v>224000</v>
      </c>
    </row>
    <row r="92" spans="1:8" ht="15" customHeight="1">
      <c r="A92" s="881">
        <f>+A90+1</f>
        <v>188</v>
      </c>
      <c r="B92" s="875">
        <v>42181</v>
      </c>
      <c r="C92" s="942" t="s">
        <v>40</v>
      </c>
      <c r="D92" s="877" t="s">
        <v>196</v>
      </c>
      <c r="E92" s="881" t="s">
        <v>148</v>
      </c>
      <c r="F92" s="883">
        <v>252000</v>
      </c>
      <c r="G92" s="55">
        <v>719</v>
      </c>
      <c r="H92" s="78">
        <v>180000</v>
      </c>
    </row>
    <row r="93" spans="1:8" ht="15.75" customHeight="1" thickBot="1">
      <c r="A93" s="882"/>
      <c r="B93" s="934"/>
      <c r="C93" s="943"/>
      <c r="D93" s="878"/>
      <c r="E93" s="882"/>
      <c r="F93" s="884"/>
      <c r="G93" s="56">
        <v>721</v>
      </c>
      <c r="H93" s="79">
        <f>+F92-H92</f>
        <v>72000</v>
      </c>
    </row>
    <row r="94" spans="1:8" ht="15" customHeight="1">
      <c r="A94" s="881">
        <f>+A92+1</f>
        <v>189</v>
      </c>
      <c r="B94" s="875">
        <v>42181</v>
      </c>
      <c r="C94" s="942" t="s">
        <v>169</v>
      </c>
      <c r="D94" s="881" t="s">
        <v>198</v>
      </c>
      <c r="E94" s="881" t="s">
        <v>148</v>
      </c>
      <c r="F94" s="883">
        <v>84000</v>
      </c>
      <c r="G94" s="55">
        <v>719</v>
      </c>
      <c r="H94" s="78">
        <v>60000</v>
      </c>
    </row>
    <row r="95" spans="1:8" ht="15.75" customHeight="1" thickBot="1">
      <c r="A95" s="882"/>
      <c r="B95" s="934"/>
      <c r="C95" s="943"/>
      <c r="D95" s="882"/>
      <c r="E95" s="882"/>
      <c r="F95" s="884"/>
      <c r="G95" s="56">
        <v>721</v>
      </c>
      <c r="H95" s="79">
        <f>+F94-H94</f>
        <v>24000</v>
      </c>
    </row>
    <row r="96" spans="1:8" ht="16.5" thickBot="1">
      <c r="A96" s="901" t="s">
        <v>102</v>
      </c>
      <c r="B96" s="902"/>
      <c r="C96" s="902"/>
      <c r="D96" s="902"/>
      <c r="E96" s="903"/>
      <c r="F96" s="81">
        <f>SUM(F86:F95)</f>
        <v>1876000</v>
      </c>
      <c r="G96" s="51"/>
      <c r="H96" s="51"/>
    </row>
    <row r="97" spans="1:8" ht="16.5" thickBot="1">
      <c r="A97" s="885" t="s">
        <v>103</v>
      </c>
      <c r="B97" s="886"/>
      <c r="C97" s="886"/>
      <c r="D97" s="886"/>
      <c r="E97" s="887"/>
      <c r="F97" s="69">
        <f>+F61</f>
        <v>570678549</v>
      </c>
      <c r="G97" s="51"/>
      <c r="H97" s="51"/>
    </row>
    <row r="98" spans="1:8" ht="16.5" thickBot="1">
      <c r="A98" s="176"/>
      <c r="B98" s="177"/>
      <c r="C98" s="177"/>
      <c r="D98" s="177"/>
      <c r="E98" s="178" t="s">
        <v>194</v>
      </c>
      <c r="F98" s="69">
        <v>635200</v>
      </c>
      <c r="G98" s="51"/>
      <c r="H98" s="51"/>
    </row>
    <row r="99" spans="1:8" ht="16.5" thickBot="1">
      <c r="A99" s="888" t="s">
        <v>104</v>
      </c>
      <c r="B99" s="889"/>
      <c r="C99" s="889"/>
      <c r="D99" s="889"/>
      <c r="E99" s="890"/>
      <c r="F99" s="70">
        <f>SUM(F96:F98)</f>
        <v>573189749</v>
      </c>
      <c r="G99" s="51"/>
      <c r="H99" s="51"/>
    </row>
    <row r="100" spans="1:8">
      <c r="A100" s="61"/>
      <c r="B100" s="61"/>
      <c r="C100" s="61"/>
      <c r="D100" s="61"/>
      <c r="E100" s="61"/>
      <c r="F100" s="51"/>
      <c r="G100" s="51"/>
      <c r="H100" s="51"/>
    </row>
    <row r="101" spans="1:8">
      <c r="A101" s="51" t="s">
        <v>199</v>
      </c>
      <c r="B101" s="51"/>
      <c r="C101" s="51"/>
      <c r="D101" s="51"/>
      <c r="E101" s="51"/>
      <c r="F101" s="51"/>
      <c r="G101" s="51"/>
      <c r="H101" s="51"/>
    </row>
    <row r="102" spans="1:8" ht="12" customHeight="1">
      <c r="A102" s="51"/>
      <c r="B102" s="51"/>
      <c r="C102" s="51"/>
      <c r="D102" s="51"/>
      <c r="E102" s="51"/>
      <c r="F102" s="139"/>
      <c r="G102" s="51"/>
      <c r="H102" s="51"/>
    </row>
    <row r="103" spans="1:8">
      <c r="A103" s="50" t="s">
        <v>105</v>
      </c>
      <c r="B103" s="51"/>
      <c r="C103" s="51"/>
      <c r="D103" s="146"/>
      <c r="E103" s="51"/>
      <c r="F103" s="51"/>
      <c r="G103" s="51"/>
      <c r="H103" s="51"/>
    </row>
    <row r="104" spans="1:8" ht="11.25" customHeight="1" thickBot="1">
      <c r="A104" s="51"/>
      <c r="B104" s="51"/>
      <c r="C104" s="51"/>
      <c r="D104" s="51"/>
      <c r="E104" s="51"/>
      <c r="F104" s="51"/>
      <c r="G104" s="51"/>
      <c r="H104" s="51"/>
    </row>
    <row r="105" spans="1:8" ht="15.75" thickBot="1">
      <c r="A105" s="891" t="s">
        <v>106</v>
      </c>
      <c r="B105" s="892"/>
      <c r="C105" s="892"/>
      <c r="D105" s="893"/>
      <c r="E105" s="51"/>
      <c r="F105" s="50" t="s">
        <v>107</v>
      </c>
      <c r="G105" s="51"/>
      <c r="H105" s="51"/>
    </row>
    <row r="106" spans="1:8" ht="30.75" thickBot="1">
      <c r="A106" s="57" t="s">
        <v>100</v>
      </c>
      <c r="B106" s="58" t="s">
        <v>108</v>
      </c>
      <c r="C106" s="59" t="s">
        <v>109</v>
      </c>
      <c r="D106" s="60" t="s">
        <v>110</v>
      </c>
      <c r="E106" s="51"/>
      <c r="F106" s="51"/>
      <c r="G106" s="51"/>
      <c r="H106" s="51"/>
    </row>
    <row r="107" spans="1:8">
      <c r="A107" s="71">
        <v>719</v>
      </c>
      <c r="B107" s="73">
        <f>+H86+H88+H90+H92+H94</f>
        <v>1340000</v>
      </c>
      <c r="C107" s="76">
        <f>+D69</f>
        <v>19620000</v>
      </c>
      <c r="D107" s="76">
        <f>+B107+C107</f>
        <v>20960000</v>
      </c>
      <c r="E107" s="51"/>
      <c r="F107" s="51"/>
      <c r="G107" s="51"/>
      <c r="H107" s="51"/>
    </row>
    <row r="108" spans="1:8">
      <c r="A108" s="72">
        <v>721</v>
      </c>
      <c r="B108" s="80">
        <f>+H95+H93+H91+H89+H87</f>
        <v>536000</v>
      </c>
      <c r="C108" s="76">
        <f>+D70</f>
        <v>7372000</v>
      </c>
      <c r="D108" s="76">
        <f>+B108+C108</f>
        <v>7908000</v>
      </c>
      <c r="E108" s="51"/>
      <c r="F108" s="51"/>
      <c r="G108" s="51"/>
      <c r="H108" s="51"/>
    </row>
    <row r="109" spans="1:8">
      <c r="A109" s="72">
        <v>722</v>
      </c>
      <c r="B109" s="80"/>
      <c r="C109" s="76">
        <f>+D71</f>
        <v>224787287</v>
      </c>
      <c r="D109" s="76">
        <f>+B109+C109</f>
        <v>224787287</v>
      </c>
      <c r="E109" s="51"/>
      <c r="F109" s="51"/>
      <c r="G109" s="51"/>
      <c r="H109" s="51"/>
    </row>
    <row r="110" spans="1:8" ht="15.75">
      <c r="A110" s="72">
        <v>723</v>
      </c>
      <c r="B110" s="80">
        <f>+F98</f>
        <v>635200</v>
      </c>
      <c r="C110" s="76">
        <f>+D72</f>
        <v>316933637</v>
      </c>
      <c r="D110" s="76">
        <f>+B110+C110</f>
        <v>317568837</v>
      </c>
      <c r="E110" s="51"/>
      <c r="F110" s="174" t="s">
        <v>23</v>
      </c>
      <c r="G110" s="51"/>
      <c r="H110" s="51"/>
    </row>
    <row r="111" spans="1:8" ht="16.5" thickBot="1">
      <c r="A111" s="164" t="s">
        <v>161</v>
      </c>
      <c r="B111" s="165"/>
      <c r="C111" s="76">
        <f>+D73</f>
        <v>1965625</v>
      </c>
      <c r="D111" s="168">
        <f>+B111+C111</f>
        <v>1965625</v>
      </c>
      <c r="E111" s="51"/>
      <c r="F111" s="52"/>
      <c r="G111" s="51"/>
      <c r="H111" s="51"/>
    </row>
    <row r="112" spans="1:8" ht="16.5" thickBot="1">
      <c r="A112" s="169"/>
      <c r="B112" s="170">
        <f>SUM(B107:B111)</f>
        <v>2511200</v>
      </c>
      <c r="C112" s="171">
        <f>SUM(C107:C111)</f>
        <v>570678549</v>
      </c>
      <c r="D112" s="172">
        <f>SUM(D107:D111)</f>
        <v>573189749</v>
      </c>
      <c r="E112" s="51"/>
      <c r="F112" s="51"/>
      <c r="G112" s="51"/>
      <c r="H112" s="51"/>
    </row>
    <row r="113" spans="1:8" ht="16.5">
      <c r="A113" s="49" t="s">
        <v>88</v>
      </c>
      <c r="B113" s="50"/>
      <c r="C113" s="51"/>
      <c r="D113" s="51"/>
      <c r="E113" s="51"/>
      <c r="F113" s="51"/>
      <c r="G113" s="51"/>
      <c r="H113" s="51"/>
    </row>
    <row r="114" spans="1:8">
      <c r="A114" s="51" t="s">
        <v>89</v>
      </c>
      <c r="B114" s="51"/>
      <c r="C114" s="51"/>
      <c r="D114" s="51"/>
      <c r="E114" s="51"/>
      <c r="F114" s="51"/>
      <c r="G114" s="51"/>
      <c r="H114" s="51"/>
    </row>
    <row r="115" spans="1:8">
      <c r="A115" s="51" t="s">
        <v>90</v>
      </c>
      <c r="B115" s="51"/>
      <c r="C115" s="51"/>
      <c r="D115" s="51"/>
      <c r="E115" s="51"/>
      <c r="F115" s="51"/>
      <c r="G115" s="51"/>
      <c r="H115" s="51"/>
    </row>
    <row r="116" spans="1:8">
      <c r="A116" s="51" t="s">
        <v>91</v>
      </c>
      <c r="B116" s="51"/>
      <c r="C116" s="51"/>
      <c r="D116" s="51"/>
      <c r="E116" s="51"/>
      <c r="F116" s="51"/>
      <c r="G116" s="51"/>
      <c r="H116" s="51"/>
    </row>
    <row r="117" spans="1:8">
      <c r="A117" s="50"/>
      <c r="B117" s="50"/>
      <c r="C117" s="51"/>
      <c r="D117" s="51"/>
      <c r="E117" s="51"/>
      <c r="F117" s="51"/>
      <c r="G117" s="51"/>
      <c r="H117" s="51"/>
    </row>
    <row r="118" spans="1:8" ht="16.5">
      <c r="A118" s="52" t="s">
        <v>200</v>
      </c>
      <c r="B118" s="180"/>
      <c r="C118" s="51"/>
      <c r="D118" s="51"/>
      <c r="E118" s="51"/>
      <c r="F118" s="51"/>
      <c r="G118" s="52"/>
      <c r="H118" s="51"/>
    </row>
    <row r="119" spans="1:8" ht="15.75">
      <c r="A119" s="53" t="s">
        <v>92</v>
      </c>
      <c r="B119" s="51"/>
      <c r="C119" s="51"/>
      <c r="D119" s="51"/>
      <c r="E119" s="51"/>
      <c r="F119" s="51"/>
      <c r="G119" s="53"/>
      <c r="H119" s="51"/>
    </row>
    <row r="120" spans="1:8" ht="16.5">
      <c r="A120" s="894" t="s">
        <v>93</v>
      </c>
      <c r="B120" s="894"/>
      <c r="C120" s="894"/>
      <c r="D120" s="894"/>
      <c r="E120" s="894"/>
      <c r="F120" s="894"/>
      <c r="G120" s="894"/>
      <c r="H120" s="894"/>
    </row>
    <row r="121" spans="1:8" ht="15.75" thickBot="1">
      <c r="A121" s="51"/>
      <c r="B121" s="51"/>
      <c r="C121" s="51"/>
      <c r="D121" s="51"/>
      <c r="E121" s="51"/>
      <c r="F121" s="51"/>
      <c r="G121" s="51"/>
      <c r="H121" s="51"/>
    </row>
    <row r="122" spans="1:8">
      <c r="A122" s="988" t="s">
        <v>94</v>
      </c>
      <c r="B122" s="985" t="s">
        <v>95</v>
      </c>
      <c r="C122" s="985" t="s">
        <v>96</v>
      </c>
      <c r="D122" s="985" t="s">
        <v>3</v>
      </c>
      <c r="E122" s="985" t="s">
        <v>97</v>
      </c>
      <c r="F122" s="985" t="s">
        <v>98</v>
      </c>
      <c r="G122" s="985" t="s">
        <v>99</v>
      </c>
      <c r="H122" s="987"/>
    </row>
    <row r="123" spans="1:8" ht="15.75" thickBot="1">
      <c r="A123" s="989"/>
      <c r="B123" s="986"/>
      <c r="C123" s="986"/>
      <c r="D123" s="986"/>
      <c r="E123" s="986"/>
      <c r="F123" s="986"/>
      <c r="G123" s="179" t="s">
        <v>100</v>
      </c>
      <c r="H123" s="54" t="s">
        <v>101</v>
      </c>
    </row>
    <row r="124" spans="1:8">
      <c r="A124" s="881">
        <f>+A94+1</f>
        <v>190</v>
      </c>
      <c r="B124" s="875">
        <v>42198</v>
      </c>
      <c r="C124" s="942" t="s">
        <v>31</v>
      </c>
      <c r="D124" s="881" t="s">
        <v>202</v>
      </c>
      <c r="E124" s="881" t="s">
        <v>115</v>
      </c>
      <c r="F124" s="883">
        <v>120000</v>
      </c>
      <c r="G124" s="55">
        <v>719</v>
      </c>
      <c r="H124" s="78">
        <v>120000</v>
      </c>
    </row>
    <row r="125" spans="1:8" ht="15.75" thickBot="1">
      <c r="A125" s="882"/>
      <c r="B125" s="934"/>
      <c r="C125" s="943"/>
      <c r="D125" s="882"/>
      <c r="E125" s="882"/>
      <c r="F125" s="884"/>
      <c r="G125" s="56">
        <v>721</v>
      </c>
      <c r="H125" s="79">
        <f>+F124-H124</f>
        <v>0</v>
      </c>
    </row>
    <row r="126" spans="1:8" ht="15" customHeight="1">
      <c r="A126" s="881">
        <f>+A124+1</f>
        <v>191</v>
      </c>
      <c r="B126" s="875">
        <v>42198</v>
      </c>
      <c r="C126" s="935" t="s">
        <v>32</v>
      </c>
      <c r="D126" s="881" t="s">
        <v>203</v>
      </c>
      <c r="E126" s="881" t="s">
        <v>115</v>
      </c>
      <c r="F126" s="883">
        <v>30000</v>
      </c>
      <c r="G126" s="55">
        <v>719</v>
      </c>
      <c r="H126" s="78">
        <f>+F126</f>
        <v>30000</v>
      </c>
    </row>
    <row r="127" spans="1:8" ht="15.75" customHeight="1" thickBot="1">
      <c r="A127" s="882"/>
      <c r="B127" s="934"/>
      <c r="C127" s="936"/>
      <c r="D127" s="882"/>
      <c r="E127" s="882"/>
      <c r="F127" s="884"/>
      <c r="G127" s="56">
        <v>721</v>
      </c>
      <c r="H127" s="79"/>
    </row>
    <row r="128" spans="1:8" ht="15" customHeight="1">
      <c r="A128" s="881">
        <f>+A126+1</f>
        <v>192</v>
      </c>
      <c r="B128" s="875">
        <v>42198</v>
      </c>
      <c r="C128" s="935" t="s">
        <v>28</v>
      </c>
      <c r="D128" s="881" t="s">
        <v>203</v>
      </c>
      <c r="E128" s="881" t="s">
        <v>115</v>
      </c>
      <c r="F128" s="883">
        <v>40000</v>
      </c>
      <c r="G128" s="55">
        <v>719</v>
      </c>
      <c r="H128" s="78">
        <f>+F128</f>
        <v>40000</v>
      </c>
    </row>
    <row r="129" spans="1:8" ht="15.75" customHeight="1" thickBot="1">
      <c r="A129" s="882"/>
      <c r="B129" s="934"/>
      <c r="C129" s="936"/>
      <c r="D129" s="882"/>
      <c r="E129" s="882"/>
      <c r="F129" s="884"/>
      <c r="G129" s="56">
        <v>721</v>
      </c>
      <c r="H129" s="79">
        <f>+F128-H128</f>
        <v>0</v>
      </c>
    </row>
    <row r="130" spans="1:8" ht="15" customHeight="1">
      <c r="A130" s="881">
        <v>203</v>
      </c>
      <c r="B130" s="875">
        <v>42198</v>
      </c>
      <c r="C130" s="935" t="s">
        <v>28</v>
      </c>
      <c r="D130" s="881" t="s">
        <v>204</v>
      </c>
      <c r="E130" s="881" t="s">
        <v>115</v>
      </c>
      <c r="F130" s="883">
        <v>100000</v>
      </c>
      <c r="G130" s="55">
        <v>719</v>
      </c>
      <c r="H130" s="78">
        <f>+F130</f>
        <v>100000</v>
      </c>
    </row>
    <row r="131" spans="1:8" ht="15.75" customHeight="1" thickBot="1">
      <c r="A131" s="882"/>
      <c r="B131" s="934"/>
      <c r="C131" s="936"/>
      <c r="D131" s="882"/>
      <c r="E131" s="882"/>
      <c r="F131" s="884"/>
      <c r="G131" s="56">
        <v>721</v>
      </c>
      <c r="H131" s="79">
        <f>+F130-H130</f>
        <v>0</v>
      </c>
    </row>
    <row r="132" spans="1:8" ht="15" customHeight="1">
      <c r="A132" s="881">
        <f>+A130+1</f>
        <v>204</v>
      </c>
      <c r="B132" s="875">
        <v>42198</v>
      </c>
      <c r="C132" s="935" t="s">
        <v>31</v>
      </c>
      <c r="D132" s="881" t="s">
        <v>205</v>
      </c>
      <c r="E132" s="881" t="s">
        <v>115</v>
      </c>
      <c r="F132" s="883">
        <v>130000</v>
      </c>
      <c r="G132" s="55">
        <v>719</v>
      </c>
      <c r="H132" s="78">
        <f>+F132</f>
        <v>130000</v>
      </c>
    </row>
    <row r="133" spans="1:8" ht="15.75" customHeight="1" thickBot="1">
      <c r="A133" s="882"/>
      <c r="B133" s="934"/>
      <c r="C133" s="936"/>
      <c r="D133" s="882"/>
      <c r="E133" s="882"/>
      <c r="F133" s="884"/>
      <c r="G133" s="56">
        <v>721</v>
      </c>
      <c r="H133" s="79">
        <f>+F132-H132</f>
        <v>0</v>
      </c>
    </row>
    <row r="134" spans="1:8" ht="16.5" thickBot="1">
      <c r="A134" s="901" t="s">
        <v>102</v>
      </c>
      <c r="B134" s="902"/>
      <c r="C134" s="902"/>
      <c r="D134" s="902"/>
      <c r="E134" s="903"/>
      <c r="F134" s="81">
        <f>SUM(F124:F133)</f>
        <v>420000</v>
      </c>
      <c r="G134" s="51"/>
      <c r="H134" s="51"/>
    </row>
    <row r="135" spans="1:8" ht="16.5" thickBot="1">
      <c r="A135" s="885" t="s">
        <v>103</v>
      </c>
      <c r="B135" s="886"/>
      <c r="C135" s="886"/>
      <c r="D135" s="886"/>
      <c r="E135" s="887"/>
      <c r="F135" s="69">
        <f>+F99</f>
        <v>573189749</v>
      </c>
      <c r="G135" s="51"/>
      <c r="H135" s="51"/>
    </row>
    <row r="136" spans="1:8" ht="16.5" thickBot="1">
      <c r="A136" s="888" t="s">
        <v>104</v>
      </c>
      <c r="B136" s="889"/>
      <c r="C136" s="889"/>
      <c r="D136" s="889"/>
      <c r="E136" s="890"/>
      <c r="F136" s="70">
        <f>SUM(F134:F135)</f>
        <v>573609749</v>
      </c>
      <c r="G136" s="51"/>
      <c r="H136" s="51"/>
    </row>
    <row r="137" spans="1:8">
      <c r="A137" s="61"/>
      <c r="B137" s="61"/>
      <c r="C137" s="61"/>
      <c r="D137" s="61"/>
      <c r="E137" s="61"/>
      <c r="F137" s="51"/>
      <c r="G137" s="51"/>
      <c r="H137" s="51"/>
    </row>
    <row r="138" spans="1:8">
      <c r="A138" s="51" t="s">
        <v>206</v>
      </c>
      <c r="B138" s="51"/>
      <c r="C138" s="51"/>
      <c r="D138" s="51"/>
      <c r="E138" s="51"/>
      <c r="F138" s="51"/>
      <c r="G138" s="51"/>
      <c r="H138" s="51"/>
    </row>
    <row r="139" spans="1:8">
      <c r="A139" s="51"/>
      <c r="B139" s="51"/>
      <c r="C139" s="51"/>
      <c r="D139" s="51"/>
      <c r="E139" s="51"/>
      <c r="F139" s="139"/>
      <c r="G139" s="51"/>
      <c r="H139" s="51"/>
    </row>
    <row r="140" spans="1:8">
      <c r="A140" s="50" t="s">
        <v>105</v>
      </c>
      <c r="B140" s="51"/>
      <c r="C140" s="51"/>
      <c r="D140" s="146"/>
      <c r="E140" s="51"/>
      <c r="F140" s="139"/>
      <c r="G140" s="51"/>
      <c r="H140" s="51"/>
    </row>
    <row r="141" spans="1:8" ht="15.75" thickBot="1">
      <c r="A141" s="51"/>
      <c r="B141" s="51"/>
      <c r="C141" s="51"/>
      <c r="D141" s="51"/>
      <c r="E141" s="51"/>
      <c r="F141" s="51"/>
      <c r="G141" s="51"/>
      <c r="H141" s="51"/>
    </row>
    <row r="142" spans="1:8" ht="15.75" thickBot="1">
      <c r="A142" s="891" t="s">
        <v>106</v>
      </c>
      <c r="B142" s="892"/>
      <c r="C142" s="892"/>
      <c r="D142" s="893"/>
      <c r="E142" s="51"/>
      <c r="F142" s="50" t="s">
        <v>107</v>
      </c>
      <c r="G142" s="51"/>
      <c r="H142" s="51"/>
    </row>
    <row r="143" spans="1:8" ht="30.75" thickBot="1">
      <c r="A143" s="57" t="s">
        <v>100</v>
      </c>
      <c r="B143" s="58" t="s">
        <v>108</v>
      </c>
      <c r="C143" s="59" t="s">
        <v>109</v>
      </c>
      <c r="D143" s="60" t="s">
        <v>110</v>
      </c>
      <c r="E143" s="51"/>
      <c r="F143" s="51"/>
      <c r="G143" s="51"/>
      <c r="H143" s="51"/>
    </row>
    <row r="144" spans="1:8">
      <c r="A144" s="71">
        <v>719</v>
      </c>
      <c r="B144" s="73">
        <f>+H132+H130+H128+H126+H124</f>
        <v>420000</v>
      </c>
      <c r="C144" s="74">
        <f>+D107</f>
        <v>20960000</v>
      </c>
      <c r="D144" s="76">
        <f>+B144+C144</f>
        <v>21380000</v>
      </c>
      <c r="E144" s="51"/>
      <c r="F144" s="51"/>
      <c r="G144" s="51"/>
      <c r="H144" s="51"/>
    </row>
    <row r="145" spans="1:8">
      <c r="A145" s="72">
        <v>721</v>
      </c>
      <c r="B145" s="80"/>
      <c r="C145" s="74">
        <f>+D108</f>
        <v>7908000</v>
      </c>
      <c r="D145" s="76">
        <f>+B145+C145</f>
        <v>7908000</v>
      </c>
      <c r="E145" s="51"/>
      <c r="F145" s="51"/>
      <c r="G145" s="51"/>
      <c r="H145" s="51"/>
    </row>
    <row r="146" spans="1:8">
      <c r="A146" s="72">
        <v>722</v>
      </c>
      <c r="B146" s="80"/>
      <c r="C146" s="74">
        <f>+D109</f>
        <v>224787287</v>
      </c>
      <c r="D146" s="76">
        <f>+B146+C146</f>
        <v>224787287</v>
      </c>
      <c r="E146" s="51"/>
      <c r="F146" s="51"/>
      <c r="G146" s="51"/>
      <c r="H146" s="51"/>
    </row>
    <row r="147" spans="1:8" ht="15.75">
      <c r="A147" s="72">
        <v>723</v>
      </c>
      <c r="B147" s="80"/>
      <c r="C147" s="74">
        <f>+D110</f>
        <v>317568837</v>
      </c>
      <c r="D147" s="76">
        <f>+B147+C147</f>
        <v>317568837</v>
      </c>
      <c r="E147" s="51"/>
      <c r="F147" s="174" t="s">
        <v>23</v>
      </c>
      <c r="G147" s="175"/>
      <c r="H147" s="51"/>
    </row>
    <row r="148" spans="1:8" ht="16.5" thickBot="1">
      <c r="A148" s="164" t="s">
        <v>181</v>
      </c>
      <c r="B148" s="165"/>
      <c r="C148" s="74">
        <f>+D111</f>
        <v>1965625</v>
      </c>
      <c r="D148" s="168">
        <f>+B148+C148</f>
        <v>1965625</v>
      </c>
      <c r="E148" s="51"/>
      <c r="F148" s="52"/>
      <c r="G148" s="51"/>
      <c r="H148" s="51"/>
    </row>
    <row r="149" spans="1:8" ht="16.5" thickBot="1">
      <c r="A149" s="169"/>
      <c r="B149" s="170">
        <f>SUM(B144:B148)</f>
        <v>420000</v>
      </c>
      <c r="C149" s="171">
        <f>SUM(C144:C148)</f>
        <v>573189749</v>
      </c>
      <c r="D149" s="172">
        <f>SUM(D144:D148)</f>
        <v>573609749</v>
      </c>
      <c r="E149" s="51"/>
      <c r="F149" s="51"/>
      <c r="G149" s="51"/>
      <c r="H149" s="51"/>
    </row>
    <row r="150" spans="1:8" ht="16.5">
      <c r="A150" s="49" t="s">
        <v>88</v>
      </c>
      <c r="B150" s="50"/>
      <c r="C150" s="51"/>
      <c r="D150" s="51"/>
      <c r="E150" s="51"/>
      <c r="F150" s="51"/>
      <c r="G150" s="51"/>
      <c r="H150" s="51"/>
    </row>
    <row r="151" spans="1:8">
      <c r="A151" s="51" t="s">
        <v>89</v>
      </c>
      <c r="B151" s="51"/>
      <c r="C151" s="51"/>
      <c r="D151" s="51"/>
      <c r="E151" s="51"/>
      <c r="F151" s="51"/>
      <c r="G151" s="51"/>
      <c r="H151" s="51"/>
    </row>
    <row r="152" spans="1:8">
      <c r="A152" s="51" t="s">
        <v>90</v>
      </c>
      <c r="B152" s="51"/>
      <c r="C152" s="51"/>
      <c r="D152" s="51"/>
      <c r="E152" s="51"/>
      <c r="F152" s="51"/>
      <c r="G152" s="51"/>
      <c r="H152" s="51"/>
    </row>
    <row r="153" spans="1:8">
      <c r="A153" s="51" t="s">
        <v>91</v>
      </c>
      <c r="B153" s="51"/>
      <c r="C153" s="51"/>
      <c r="D153" s="51"/>
      <c r="E153" s="51"/>
      <c r="F153" s="51"/>
      <c r="G153" s="51"/>
      <c r="H153" s="51"/>
    </row>
    <row r="154" spans="1:8">
      <c r="A154" s="50"/>
      <c r="B154" s="50"/>
      <c r="C154" s="51"/>
      <c r="D154" s="51"/>
      <c r="E154" s="51"/>
      <c r="F154" s="51"/>
      <c r="G154" s="51"/>
      <c r="H154" s="51"/>
    </row>
    <row r="155" spans="1:8" ht="16.5">
      <c r="A155" s="52" t="s">
        <v>207</v>
      </c>
      <c r="B155" s="180"/>
      <c r="C155" s="51"/>
      <c r="D155" s="51"/>
      <c r="E155" s="51"/>
      <c r="F155" s="51"/>
      <c r="G155" s="52"/>
      <c r="H155" s="51"/>
    </row>
    <row r="156" spans="1:8" ht="15.75">
      <c r="A156" s="53" t="s">
        <v>164</v>
      </c>
      <c r="B156" s="51"/>
      <c r="C156" s="51"/>
      <c r="D156" s="51"/>
      <c r="E156" s="51"/>
      <c r="F156" s="51"/>
      <c r="G156" s="53"/>
      <c r="H156" s="51"/>
    </row>
    <row r="157" spans="1:8" ht="16.5">
      <c r="A157" s="894" t="s">
        <v>170</v>
      </c>
      <c r="B157" s="894"/>
      <c r="C157" s="894"/>
      <c r="D157" s="894"/>
      <c r="E157" s="894"/>
      <c r="F157" s="894"/>
      <c r="G157" s="894"/>
      <c r="H157" s="894"/>
    </row>
    <row r="158" spans="1:8" ht="15.75" thickBot="1">
      <c r="A158" s="51"/>
      <c r="B158" s="51"/>
      <c r="C158" s="51"/>
      <c r="D158" s="51"/>
      <c r="E158" s="51"/>
      <c r="F158" s="51"/>
      <c r="G158" s="51"/>
      <c r="H158" s="51"/>
    </row>
    <row r="159" spans="1:8">
      <c r="A159" s="988" t="s">
        <v>94</v>
      </c>
      <c r="B159" s="985" t="s">
        <v>95</v>
      </c>
      <c r="C159" s="985" t="s">
        <v>96</v>
      </c>
      <c r="D159" s="985" t="s">
        <v>3</v>
      </c>
      <c r="E159" s="985" t="s">
        <v>97</v>
      </c>
      <c r="F159" s="985" t="s">
        <v>98</v>
      </c>
      <c r="G159" s="985" t="s">
        <v>99</v>
      </c>
      <c r="H159" s="987"/>
    </row>
    <row r="160" spans="1:8" ht="15.75" thickBot="1">
      <c r="A160" s="989"/>
      <c r="B160" s="986"/>
      <c r="C160" s="986"/>
      <c r="D160" s="986"/>
      <c r="E160" s="986"/>
      <c r="F160" s="986"/>
      <c r="G160" s="179" t="s">
        <v>100</v>
      </c>
      <c r="H160" s="54" t="s">
        <v>101</v>
      </c>
    </row>
    <row r="161" spans="1:8" ht="15" customHeight="1">
      <c r="A161" s="881">
        <v>193</v>
      </c>
      <c r="B161" s="875">
        <v>42198</v>
      </c>
      <c r="C161" s="942" t="s">
        <v>40</v>
      </c>
      <c r="D161" s="881" t="s">
        <v>177</v>
      </c>
      <c r="E161" s="881" t="s">
        <v>148</v>
      </c>
      <c r="F161" s="883">
        <v>280000</v>
      </c>
      <c r="G161" s="55">
        <v>719</v>
      </c>
      <c r="H161" s="78">
        <v>200000</v>
      </c>
    </row>
    <row r="162" spans="1:8" ht="15.75" customHeight="1" thickBot="1">
      <c r="A162" s="882"/>
      <c r="B162" s="934"/>
      <c r="C162" s="943"/>
      <c r="D162" s="882"/>
      <c r="E162" s="882"/>
      <c r="F162" s="884"/>
      <c r="G162" s="56">
        <v>721</v>
      </c>
      <c r="H162" s="79">
        <f>+F161-H161</f>
        <v>80000</v>
      </c>
    </row>
    <row r="163" spans="1:8" ht="15" customHeight="1">
      <c r="A163" s="881">
        <f>+A161+1</f>
        <v>194</v>
      </c>
      <c r="B163" s="875">
        <v>42198</v>
      </c>
      <c r="C163" s="935" t="s">
        <v>28</v>
      </c>
      <c r="D163" s="881" t="s">
        <v>177</v>
      </c>
      <c r="E163" s="881" t="s">
        <v>148</v>
      </c>
      <c r="F163" s="883">
        <v>266000</v>
      </c>
      <c r="G163" s="55">
        <v>719</v>
      </c>
      <c r="H163" s="78">
        <v>190000</v>
      </c>
    </row>
    <row r="164" spans="1:8" ht="15.75" customHeight="1" thickBot="1">
      <c r="A164" s="882"/>
      <c r="B164" s="934"/>
      <c r="C164" s="936"/>
      <c r="D164" s="882"/>
      <c r="E164" s="882"/>
      <c r="F164" s="884"/>
      <c r="G164" s="56">
        <v>721</v>
      </c>
      <c r="H164" s="79">
        <f>+F163-H163</f>
        <v>76000</v>
      </c>
    </row>
    <row r="165" spans="1:8" ht="15" customHeight="1">
      <c r="A165" s="881">
        <f>+A163+1</f>
        <v>195</v>
      </c>
      <c r="B165" s="875">
        <v>42198</v>
      </c>
      <c r="C165" s="935" t="s">
        <v>32</v>
      </c>
      <c r="D165" s="881" t="s">
        <v>178</v>
      </c>
      <c r="E165" s="881" t="s">
        <v>148</v>
      </c>
      <c r="F165" s="883">
        <v>70000</v>
      </c>
      <c r="G165" s="55">
        <v>719</v>
      </c>
      <c r="H165" s="78">
        <v>50000</v>
      </c>
    </row>
    <row r="166" spans="1:8" ht="15.75" customHeight="1" thickBot="1">
      <c r="A166" s="882"/>
      <c r="B166" s="934"/>
      <c r="C166" s="936"/>
      <c r="D166" s="882"/>
      <c r="E166" s="882"/>
      <c r="F166" s="884"/>
      <c r="G166" s="56">
        <v>721</v>
      </c>
      <c r="H166" s="79">
        <f>+F165-H165</f>
        <v>20000</v>
      </c>
    </row>
    <row r="167" spans="1:8" ht="15" customHeight="1">
      <c r="A167" s="881">
        <f>+A165+1</f>
        <v>196</v>
      </c>
      <c r="B167" s="875">
        <v>42198</v>
      </c>
      <c r="C167" s="942" t="s">
        <v>169</v>
      </c>
      <c r="D167" s="881" t="s">
        <v>179</v>
      </c>
      <c r="E167" s="881" t="s">
        <v>148</v>
      </c>
      <c r="F167" s="883">
        <v>56000</v>
      </c>
      <c r="G167" s="55">
        <v>719</v>
      </c>
      <c r="H167" s="78">
        <v>40000</v>
      </c>
    </row>
    <row r="168" spans="1:8" ht="15.75" customHeight="1" thickBot="1">
      <c r="A168" s="882"/>
      <c r="B168" s="934"/>
      <c r="C168" s="943"/>
      <c r="D168" s="882"/>
      <c r="E168" s="882"/>
      <c r="F168" s="884"/>
      <c r="G168" s="56">
        <v>721</v>
      </c>
      <c r="H168" s="79">
        <f>+F167-H167</f>
        <v>16000</v>
      </c>
    </row>
    <row r="169" spans="1:8" ht="15" customHeight="1">
      <c r="A169" s="881">
        <f>+A167+1</f>
        <v>197</v>
      </c>
      <c r="B169" s="875">
        <v>42198</v>
      </c>
      <c r="C169" s="942" t="s">
        <v>31</v>
      </c>
      <c r="D169" s="881" t="s">
        <v>177</v>
      </c>
      <c r="E169" s="881" t="s">
        <v>148</v>
      </c>
      <c r="F169" s="883">
        <v>574000</v>
      </c>
      <c r="G169" s="55">
        <v>719</v>
      </c>
      <c r="H169" s="78">
        <v>410000</v>
      </c>
    </row>
    <row r="170" spans="1:8" ht="15.75" customHeight="1" thickBot="1">
      <c r="A170" s="882"/>
      <c r="B170" s="934"/>
      <c r="C170" s="943"/>
      <c r="D170" s="882"/>
      <c r="E170" s="882"/>
      <c r="F170" s="884"/>
      <c r="G170" s="56">
        <v>721</v>
      </c>
      <c r="H170" s="79">
        <f>+F169-H169</f>
        <v>164000</v>
      </c>
    </row>
    <row r="171" spans="1:8" ht="16.5" thickBot="1">
      <c r="A171" s="901" t="s">
        <v>102</v>
      </c>
      <c r="B171" s="902"/>
      <c r="C171" s="902"/>
      <c r="D171" s="902"/>
      <c r="E171" s="903"/>
      <c r="F171" s="81">
        <f>SUM(F161:F170)</f>
        <v>1246000</v>
      </c>
      <c r="G171" s="51"/>
      <c r="H171" s="51"/>
    </row>
    <row r="172" spans="1:8" ht="16.5" thickBot="1">
      <c r="A172" s="885" t="s">
        <v>103</v>
      </c>
      <c r="B172" s="886"/>
      <c r="C172" s="886"/>
      <c r="D172" s="886"/>
      <c r="E172" s="887"/>
      <c r="F172" s="69">
        <f>+F136</f>
        <v>573609749</v>
      </c>
      <c r="G172" s="51"/>
      <c r="H172" s="51"/>
    </row>
    <row r="173" spans="1:8" ht="16.5" thickBot="1">
      <c r="A173" s="888" t="s">
        <v>104</v>
      </c>
      <c r="B173" s="889"/>
      <c r="C173" s="889"/>
      <c r="D173" s="889"/>
      <c r="E173" s="890"/>
      <c r="F173" s="70">
        <f>SUM(F171:F172)</f>
        <v>574855749</v>
      </c>
      <c r="G173" s="51"/>
      <c r="H173" s="51"/>
    </row>
    <row r="174" spans="1:8">
      <c r="A174" s="61"/>
      <c r="B174" s="61"/>
      <c r="C174" s="61"/>
      <c r="D174" s="61"/>
      <c r="E174" s="61"/>
      <c r="F174" s="51"/>
      <c r="G174" s="51"/>
      <c r="H174" s="51"/>
    </row>
    <row r="175" spans="1:8">
      <c r="A175" s="51" t="s">
        <v>208</v>
      </c>
      <c r="B175" s="51"/>
      <c r="C175" s="51"/>
      <c r="D175" s="51"/>
      <c r="E175" s="51"/>
      <c r="F175" s="51"/>
      <c r="G175" s="51"/>
      <c r="H175" s="51"/>
    </row>
    <row r="176" spans="1:8">
      <c r="A176" s="51"/>
      <c r="B176" s="51"/>
      <c r="C176" s="51"/>
      <c r="D176" s="51"/>
      <c r="E176" s="51"/>
      <c r="F176" s="139"/>
      <c r="G176" s="51"/>
      <c r="H176" s="51"/>
    </row>
    <row r="177" spans="1:8">
      <c r="A177" s="50" t="s">
        <v>105</v>
      </c>
      <c r="B177" s="51"/>
      <c r="C177" s="51"/>
      <c r="D177" s="146"/>
      <c r="E177" s="51"/>
      <c r="F177" s="51"/>
      <c r="G177" s="51"/>
      <c r="H177" s="51"/>
    </row>
    <row r="178" spans="1:8" ht="15.75" thickBot="1">
      <c r="A178" s="51"/>
      <c r="B178" s="51"/>
      <c r="C178" s="51"/>
      <c r="D178" s="51"/>
      <c r="E178" s="51"/>
      <c r="F178" s="51"/>
      <c r="G178" s="51"/>
      <c r="H178" s="51"/>
    </row>
    <row r="179" spans="1:8" ht="15.75" thickBot="1">
      <c r="A179" s="891" t="s">
        <v>106</v>
      </c>
      <c r="B179" s="892"/>
      <c r="C179" s="892"/>
      <c r="D179" s="893"/>
      <c r="E179" s="51"/>
      <c r="F179" s="50" t="s">
        <v>107</v>
      </c>
      <c r="G179" s="51"/>
      <c r="H179" s="51"/>
    </row>
    <row r="180" spans="1:8" ht="30.75" thickBot="1">
      <c r="A180" s="57" t="s">
        <v>100</v>
      </c>
      <c r="B180" s="58" t="s">
        <v>108</v>
      </c>
      <c r="C180" s="59" t="s">
        <v>109</v>
      </c>
      <c r="D180" s="60" t="s">
        <v>110</v>
      </c>
      <c r="E180" s="51"/>
      <c r="F180" s="51"/>
      <c r="G180" s="51"/>
      <c r="H180" s="51"/>
    </row>
    <row r="181" spans="1:8">
      <c r="A181" s="71">
        <v>719</v>
      </c>
      <c r="B181" s="73">
        <f>+H161+H163+H165+H167+H169</f>
        <v>890000</v>
      </c>
      <c r="C181" s="76">
        <f>+D144</f>
        <v>21380000</v>
      </c>
      <c r="D181" s="76">
        <f>+B181+C181</f>
        <v>22270000</v>
      </c>
      <c r="E181" s="51"/>
      <c r="F181" s="51"/>
      <c r="G181" s="51"/>
      <c r="H181" s="51"/>
    </row>
    <row r="182" spans="1:8">
      <c r="A182" s="72">
        <v>721</v>
      </c>
      <c r="B182" s="80">
        <f>+H170+H168+H166+H164+H162</f>
        <v>356000</v>
      </c>
      <c r="C182" s="76">
        <f>+D145</f>
        <v>7908000</v>
      </c>
      <c r="D182" s="76">
        <f>+B182+C182</f>
        <v>8264000</v>
      </c>
      <c r="E182" s="51"/>
      <c r="F182" s="51"/>
      <c r="G182" s="51"/>
      <c r="H182" s="51"/>
    </row>
    <row r="183" spans="1:8">
      <c r="A183" s="72">
        <v>722</v>
      </c>
      <c r="B183" s="80"/>
      <c r="C183" s="76">
        <f>+D146</f>
        <v>224787287</v>
      </c>
      <c r="D183" s="76">
        <f>+B183+C183</f>
        <v>224787287</v>
      </c>
      <c r="E183" s="51"/>
      <c r="F183" s="51"/>
      <c r="G183" s="51"/>
      <c r="H183" s="51"/>
    </row>
    <row r="184" spans="1:8" ht="15.75">
      <c r="A184" s="72">
        <v>723</v>
      </c>
      <c r="B184" s="80"/>
      <c r="C184" s="76">
        <f>+D147</f>
        <v>317568837</v>
      </c>
      <c r="D184" s="76">
        <f>+B184+C184</f>
        <v>317568837</v>
      </c>
      <c r="E184" s="51"/>
      <c r="F184" s="174" t="s">
        <v>23</v>
      </c>
      <c r="G184" s="51"/>
      <c r="H184" s="51"/>
    </row>
    <row r="185" spans="1:8" ht="16.5" thickBot="1">
      <c r="A185" s="164" t="s">
        <v>181</v>
      </c>
      <c r="B185" s="165"/>
      <c r="C185" s="76">
        <f>+D148</f>
        <v>1965625</v>
      </c>
      <c r="D185" s="168">
        <f>+B185+C185</f>
        <v>1965625</v>
      </c>
      <c r="E185" s="51"/>
      <c r="F185" s="52"/>
      <c r="G185" s="51"/>
      <c r="H185" s="51"/>
    </row>
    <row r="186" spans="1:8" ht="16.5" thickBot="1">
      <c r="A186" s="169"/>
      <c r="B186" s="170">
        <f>SUM(B181:B185)</f>
        <v>1246000</v>
      </c>
      <c r="C186" s="171">
        <f>SUM(C181:C185)</f>
        <v>573609749</v>
      </c>
      <c r="D186" s="172">
        <f>SUM(D181:D185)</f>
        <v>574855749</v>
      </c>
      <c r="E186" s="51"/>
      <c r="F186" s="51"/>
      <c r="G186" s="51"/>
      <c r="H186" s="51"/>
    </row>
    <row r="187" spans="1:8" ht="16.5">
      <c r="A187" s="49" t="s">
        <v>88</v>
      </c>
      <c r="B187" s="50"/>
      <c r="C187" s="51"/>
      <c r="D187" s="51"/>
      <c r="E187" s="51"/>
      <c r="F187" s="51"/>
      <c r="G187" s="51"/>
      <c r="H187" s="51"/>
    </row>
    <row r="188" spans="1:8">
      <c r="A188" s="51" t="s">
        <v>89</v>
      </c>
      <c r="B188" s="51"/>
      <c r="C188" s="51"/>
      <c r="D188" s="51"/>
      <c r="E188" s="51"/>
      <c r="F188" s="51"/>
      <c r="G188" s="51"/>
      <c r="H188" s="51"/>
    </row>
    <row r="189" spans="1:8">
      <c r="A189" s="51" t="s">
        <v>90</v>
      </c>
      <c r="B189" s="51"/>
      <c r="C189" s="51"/>
      <c r="D189" s="51"/>
      <c r="E189" s="51"/>
      <c r="F189" s="51"/>
      <c r="G189" s="51"/>
      <c r="H189" s="51"/>
    </row>
    <row r="190" spans="1:8">
      <c r="A190" s="51" t="s">
        <v>91</v>
      </c>
      <c r="B190" s="51"/>
      <c r="C190" s="51"/>
      <c r="D190" s="51"/>
      <c r="E190" s="51"/>
      <c r="F190" s="51"/>
      <c r="G190" s="51"/>
      <c r="H190" s="51"/>
    </row>
    <row r="191" spans="1:8">
      <c r="A191" s="50"/>
      <c r="B191" s="50"/>
      <c r="C191" s="51"/>
      <c r="D191" s="51"/>
      <c r="E191" s="51"/>
      <c r="F191" s="51"/>
      <c r="G191" s="51"/>
      <c r="H191" s="51"/>
    </row>
    <row r="192" spans="1:8" ht="16.5">
      <c r="A192" s="181" t="s">
        <v>209</v>
      </c>
      <c r="B192" s="51"/>
      <c r="C192" s="51"/>
      <c r="D192" s="51"/>
      <c r="E192" s="51"/>
      <c r="F192" s="51"/>
    </row>
    <row r="193" spans="1:8" ht="15.75">
      <c r="A193" s="53" t="s">
        <v>92</v>
      </c>
      <c r="B193" s="51"/>
      <c r="C193" s="51"/>
      <c r="D193" s="51"/>
      <c r="E193" s="51"/>
      <c r="F193" s="51"/>
    </row>
    <row r="194" spans="1:8" ht="16.5">
      <c r="A194" s="894" t="s">
        <v>93</v>
      </c>
      <c r="B194" s="894"/>
      <c r="C194" s="894"/>
      <c r="D194" s="894"/>
      <c r="E194" s="894"/>
      <c r="F194" s="894"/>
      <c r="G194" s="894"/>
      <c r="H194" s="894"/>
    </row>
    <row r="195" spans="1:8" ht="15.75" thickBot="1">
      <c r="A195" s="51"/>
      <c r="B195" s="51"/>
      <c r="C195" s="51"/>
      <c r="D195" s="51"/>
      <c r="E195" s="51"/>
      <c r="F195" s="51"/>
      <c r="G195" s="51"/>
      <c r="H195" s="51"/>
    </row>
    <row r="196" spans="1:8">
      <c r="A196" s="988" t="s">
        <v>94</v>
      </c>
      <c r="B196" s="985" t="s">
        <v>95</v>
      </c>
      <c r="C196" s="985" t="s">
        <v>96</v>
      </c>
      <c r="D196" s="985" t="s">
        <v>3</v>
      </c>
      <c r="E196" s="985" t="s">
        <v>97</v>
      </c>
      <c r="F196" s="985" t="s">
        <v>98</v>
      </c>
      <c r="G196" s="985" t="s">
        <v>99</v>
      </c>
      <c r="H196" s="987"/>
    </row>
    <row r="197" spans="1:8" ht="15.75" thickBot="1">
      <c r="A197" s="989"/>
      <c r="B197" s="986"/>
      <c r="C197" s="986"/>
      <c r="D197" s="986"/>
      <c r="E197" s="986"/>
      <c r="F197" s="986"/>
      <c r="G197" s="179" t="s">
        <v>100</v>
      </c>
      <c r="H197" s="54" t="s">
        <v>101</v>
      </c>
    </row>
    <row r="198" spans="1:8" ht="15" customHeight="1">
      <c r="A198" s="881">
        <f>+A169+1</f>
        <v>198</v>
      </c>
      <c r="B198" s="875">
        <v>42198</v>
      </c>
      <c r="C198" s="935" t="s">
        <v>28</v>
      </c>
      <c r="D198" s="881" t="s">
        <v>157</v>
      </c>
      <c r="E198" s="881" t="s">
        <v>148</v>
      </c>
      <c r="F198" s="883">
        <v>252000</v>
      </c>
      <c r="G198" s="55">
        <v>719</v>
      </c>
      <c r="H198" s="78">
        <v>180000</v>
      </c>
    </row>
    <row r="199" spans="1:8" ht="15.75" customHeight="1" thickBot="1">
      <c r="A199" s="882"/>
      <c r="B199" s="934"/>
      <c r="C199" s="936"/>
      <c r="D199" s="882"/>
      <c r="E199" s="882"/>
      <c r="F199" s="884"/>
      <c r="G199" s="56">
        <v>721</v>
      </c>
      <c r="H199" s="79">
        <f>+F198-H198</f>
        <v>72000</v>
      </c>
    </row>
    <row r="200" spans="1:8" ht="15" customHeight="1">
      <c r="A200" s="881">
        <f>+A198+1</f>
        <v>199</v>
      </c>
      <c r="B200" s="875">
        <v>42198</v>
      </c>
      <c r="C200" s="935" t="s">
        <v>32</v>
      </c>
      <c r="D200" s="881" t="s">
        <v>158</v>
      </c>
      <c r="E200" s="881" t="s">
        <v>148</v>
      </c>
      <c r="F200" s="883">
        <v>70000</v>
      </c>
      <c r="G200" s="55">
        <v>719</v>
      </c>
      <c r="H200" s="78">
        <v>50000</v>
      </c>
    </row>
    <row r="201" spans="1:8" ht="15.75" customHeight="1" thickBot="1">
      <c r="A201" s="882"/>
      <c r="B201" s="934"/>
      <c r="C201" s="936"/>
      <c r="D201" s="882"/>
      <c r="E201" s="882"/>
      <c r="F201" s="884"/>
      <c r="G201" s="56">
        <v>721</v>
      </c>
      <c r="H201" s="79">
        <f>+F200-H200</f>
        <v>20000</v>
      </c>
    </row>
    <row r="202" spans="1:8" ht="15" customHeight="1">
      <c r="A202" s="881">
        <f>+A200+1</f>
        <v>200</v>
      </c>
      <c r="B202" s="875">
        <v>42198</v>
      </c>
      <c r="C202" s="935" t="s">
        <v>111</v>
      </c>
      <c r="D202" s="881" t="s">
        <v>159</v>
      </c>
      <c r="E202" s="881" t="s">
        <v>148</v>
      </c>
      <c r="F202" s="883">
        <v>56000</v>
      </c>
      <c r="G202" s="55">
        <v>719</v>
      </c>
      <c r="H202" s="78">
        <v>40000</v>
      </c>
    </row>
    <row r="203" spans="1:8" ht="15.75" customHeight="1" thickBot="1">
      <c r="A203" s="882"/>
      <c r="B203" s="934"/>
      <c r="C203" s="936"/>
      <c r="D203" s="882"/>
      <c r="E203" s="882"/>
      <c r="F203" s="884"/>
      <c r="G203" s="56">
        <v>721</v>
      </c>
      <c r="H203" s="79">
        <f>+F202-H202</f>
        <v>16000</v>
      </c>
    </row>
    <row r="204" spans="1:8" ht="15" customHeight="1">
      <c r="A204" s="881">
        <f>+A202+1</f>
        <v>201</v>
      </c>
      <c r="B204" s="875">
        <v>42198</v>
      </c>
      <c r="C204" s="942" t="s">
        <v>31</v>
      </c>
      <c r="D204" s="881" t="s">
        <v>157</v>
      </c>
      <c r="E204" s="881" t="s">
        <v>148</v>
      </c>
      <c r="F204" s="883">
        <v>504000</v>
      </c>
      <c r="G204" s="55">
        <v>719</v>
      </c>
      <c r="H204" s="78">
        <v>360000</v>
      </c>
    </row>
    <row r="205" spans="1:8" ht="15.75" customHeight="1" thickBot="1">
      <c r="A205" s="882"/>
      <c r="B205" s="934"/>
      <c r="C205" s="943"/>
      <c r="D205" s="882"/>
      <c r="E205" s="882"/>
      <c r="F205" s="884"/>
      <c r="G205" s="56">
        <v>721</v>
      </c>
      <c r="H205" s="79">
        <f>+F204-H204</f>
        <v>144000</v>
      </c>
    </row>
    <row r="206" spans="1:8" ht="15" customHeight="1">
      <c r="A206" s="881">
        <f>+A204+1</f>
        <v>202</v>
      </c>
      <c r="B206" s="875">
        <v>42198</v>
      </c>
      <c r="C206" s="935" t="s">
        <v>40</v>
      </c>
      <c r="D206" s="881" t="s">
        <v>157</v>
      </c>
      <c r="E206" s="881" t="s">
        <v>148</v>
      </c>
      <c r="F206" s="883">
        <v>168000</v>
      </c>
      <c r="G206" s="55">
        <v>719</v>
      </c>
      <c r="H206" s="78">
        <v>120000</v>
      </c>
    </row>
    <row r="207" spans="1:8" ht="15.75" customHeight="1" thickBot="1">
      <c r="A207" s="882"/>
      <c r="B207" s="934"/>
      <c r="C207" s="936"/>
      <c r="D207" s="882"/>
      <c r="E207" s="882"/>
      <c r="F207" s="884"/>
      <c r="G207" s="56">
        <v>721</v>
      </c>
      <c r="H207" s="79">
        <f>+F206-H206</f>
        <v>48000</v>
      </c>
    </row>
    <row r="208" spans="1:8" ht="16.5" thickBot="1">
      <c r="A208" s="901" t="s">
        <v>102</v>
      </c>
      <c r="B208" s="902"/>
      <c r="C208" s="902"/>
      <c r="D208" s="902"/>
      <c r="E208" s="903"/>
      <c r="F208" s="81">
        <f>SUM(F198:F207)</f>
        <v>1050000</v>
      </c>
      <c r="G208" s="51"/>
      <c r="H208" s="51"/>
    </row>
    <row r="209" spans="1:8" ht="16.5" thickBot="1">
      <c r="A209" s="885" t="s">
        <v>103</v>
      </c>
      <c r="B209" s="886"/>
      <c r="C209" s="886"/>
      <c r="D209" s="886"/>
      <c r="E209" s="887"/>
      <c r="F209" s="69">
        <f>+F173</f>
        <v>574855749</v>
      </c>
      <c r="G209" s="51"/>
      <c r="H209" s="51"/>
    </row>
    <row r="210" spans="1:8" ht="16.5" thickBot="1">
      <c r="A210" s="888" t="s">
        <v>104</v>
      </c>
      <c r="B210" s="889"/>
      <c r="C210" s="889"/>
      <c r="D210" s="889"/>
      <c r="E210" s="890"/>
      <c r="F210" s="70">
        <f>SUM(F208:F209)</f>
        <v>575905749</v>
      </c>
      <c r="G210" s="51"/>
      <c r="H210" s="51"/>
    </row>
    <row r="211" spans="1:8">
      <c r="A211" s="61"/>
      <c r="B211" s="61"/>
      <c r="C211" s="61"/>
      <c r="D211" s="61"/>
      <c r="E211" s="61"/>
      <c r="F211" s="51"/>
      <c r="G211" s="51"/>
      <c r="H211" s="51"/>
    </row>
    <row r="212" spans="1:8">
      <c r="A212" s="51" t="s">
        <v>210</v>
      </c>
      <c r="B212" s="51"/>
      <c r="C212" s="51"/>
      <c r="D212" s="51"/>
      <c r="E212" s="51"/>
      <c r="F212" s="51"/>
      <c r="G212" s="51"/>
      <c r="H212" s="51"/>
    </row>
    <row r="213" spans="1:8">
      <c r="A213" s="51"/>
      <c r="B213" s="51"/>
      <c r="C213" s="51"/>
      <c r="D213" s="51"/>
      <c r="E213" s="51"/>
      <c r="F213" s="139"/>
      <c r="G213" s="51"/>
      <c r="H213" s="51"/>
    </row>
    <row r="214" spans="1:8">
      <c r="A214" s="50" t="s">
        <v>105</v>
      </c>
      <c r="B214" s="51"/>
      <c r="C214" s="51"/>
      <c r="D214" s="146"/>
      <c r="E214" s="51"/>
      <c r="F214" s="139"/>
      <c r="G214" s="51"/>
      <c r="H214" s="51"/>
    </row>
    <row r="215" spans="1:8" ht="15.75" thickBot="1">
      <c r="A215" s="51"/>
      <c r="B215" s="51"/>
      <c r="C215" s="51"/>
      <c r="D215" s="51"/>
      <c r="E215" s="51"/>
      <c r="F215" s="51"/>
      <c r="G215" s="51"/>
      <c r="H215" s="51"/>
    </row>
    <row r="216" spans="1:8" ht="15.75" thickBot="1">
      <c r="A216" s="891" t="s">
        <v>106</v>
      </c>
      <c r="B216" s="892"/>
      <c r="C216" s="892"/>
      <c r="D216" s="893"/>
      <c r="E216" s="51"/>
      <c r="F216" s="50" t="s">
        <v>107</v>
      </c>
      <c r="G216" s="51"/>
      <c r="H216" s="51"/>
    </row>
    <row r="217" spans="1:8" ht="30.75" thickBot="1">
      <c r="A217" s="57" t="s">
        <v>100</v>
      </c>
      <c r="B217" s="58" t="s">
        <v>108</v>
      </c>
      <c r="C217" s="59" t="s">
        <v>109</v>
      </c>
      <c r="D217" s="60" t="s">
        <v>110</v>
      </c>
      <c r="E217" s="51"/>
      <c r="F217" s="51"/>
      <c r="G217" s="51"/>
      <c r="H217" s="51"/>
    </row>
    <row r="218" spans="1:8">
      <c r="A218" s="71">
        <v>719</v>
      </c>
      <c r="B218" s="73">
        <f>+H206+H204+H202+H200+H198</f>
        <v>750000</v>
      </c>
      <c r="C218" s="74">
        <f>+D181</f>
        <v>22270000</v>
      </c>
      <c r="D218" s="76">
        <f>+B218+C218</f>
        <v>23020000</v>
      </c>
      <c r="E218" s="51"/>
      <c r="F218" s="51"/>
      <c r="G218" s="51"/>
      <c r="H218" s="51"/>
    </row>
    <row r="219" spans="1:8">
      <c r="A219" s="72">
        <v>721</v>
      </c>
      <c r="B219" s="80">
        <f>+H207+H205+H203+H201+H199</f>
        <v>300000</v>
      </c>
      <c r="C219" s="74">
        <f>+D182</f>
        <v>8264000</v>
      </c>
      <c r="D219" s="76">
        <f>+B219+C219</f>
        <v>8564000</v>
      </c>
      <c r="E219" s="51"/>
      <c r="F219" s="51"/>
      <c r="G219" s="51"/>
      <c r="H219" s="51"/>
    </row>
    <row r="220" spans="1:8">
      <c r="A220" s="72">
        <v>722</v>
      </c>
      <c r="B220" s="80"/>
      <c r="C220" s="74">
        <f>+D183</f>
        <v>224787287</v>
      </c>
      <c r="D220" s="76">
        <f>+B220+C220</f>
        <v>224787287</v>
      </c>
      <c r="E220" s="51"/>
      <c r="F220" s="51"/>
      <c r="G220" s="51"/>
      <c r="H220" s="51"/>
    </row>
    <row r="221" spans="1:8" ht="15.75">
      <c r="A221" s="72">
        <v>723</v>
      </c>
      <c r="B221" s="80"/>
      <c r="C221" s="74">
        <f>+D184</f>
        <v>317568837</v>
      </c>
      <c r="D221" s="76">
        <f>+B221+C221</f>
        <v>317568837</v>
      </c>
      <c r="E221" s="51"/>
      <c r="F221" s="174" t="s">
        <v>23</v>
      </c>
      <c r="G221" s="175"/>
      <c r="H221" s="51"/>
    </row>
    <row r="222" spans="1:8" ht="16.5" thickBot="1">
      <c r="A222" s="164" t="s">
        <v>161</v>
      </c>
      <c r="B222" s="165"/>
      <c r="C222" s="74">
        <f>+D185</f>
        <v>1965625</v>
      </c>
      <c r="D222" s="168">
        <f>+B222+C222</f>
        <v>1965625</v>
      </c>
      <c r="E222" s="51"/>
      <c r="F222" s="52"/>
      <c r="G222" s="51"/>
      <c r="H222" s="51"/>
    </row>
    <row r="223" spans="1:8" ht="16.5" thickBot="1">
      <c r="A223" s="169"/>
      <c r="B223" s="170">
        <f>SUM(B218:B222)</f>
        <v>1050000</v>
      </c>
      <c r="C223" s="171">
        <f>SUM(C218:C222)</f>
        <v>574855749</v>
      </c>
      <c r="D223" s="172">
        <f>SUM(D218:D222)</f>
        <v>575905749</v>
      </c>
      <c r="E223" s="51"/>
      <c r="F223" s="51"/>
      <c r="G223" s="51"/>
      <c r="H223" s="51"/>
    </row>
    <row r="224" spans="1:8" ht="16.5">
      <c r="A224" s="49" t="s">
        <v>88</v>
      </c>
      <c r="B224" s="50"/>
      <c r="C224" s="51"/>
      <c r="D224" s="51"/>
      <c r="E224" s="51"/>
      <c r="F224" s="51"/>
      <c r="G224" s="51"/>
      <c r="H224" s="51"/>
    </row>
    <row r="225" spans="1:8">
      <c r="A225" s="51" t="s">
        <v>89</v>
      </c>
      <c r="B225" s="51"/>
      <c r="C225" s="51"/>
      <c r="D225" s="51"/>
      <c r="E225" s="51"/>
      <c r="F225" s="51"/>
      <c r="G225" s="51"/>
      <c r="H225" s="51"/>
    </row>
    <row r="226" spans="1:8">
      <c r="A226" s="51" t="s">
        <v>90</v>
      </c>
      <c r="B226" s="51"/>
      <c r="C226" s="51"/>
      <c r="D226" s="51"/>
      <c r="E226" s="51"/>
      <c r="F226" s="51"/>
      <c r="G226" s="51"/>
      <c r="H226" s="51"/>
    </row>
    <row r="227" spans="1:8">
      <c r="A227" s="51" t="s">
        <v>91</v>
      </c>
      <c r="B227" s="51"/>
      <c r="C227" s="51"/>
      <c r="D227" s="51"/>
      <c r="E227" s="51"/>
      <c r="F227" s="51"/>
      <c r="G227" s="51"/>
      <c r="H227" s="51"/>
    </row>
    <row r="228" spans="1:8">
      <c r="A228" s="50"/>
      <c r="B228" s="50"/>
      <c r="C228" s="51"/>
      <c r="D228" s="51"/>
      <c r="E228" s="51"/>
      <c r="F228" s="51"/>
      <c r="G228" s="51"/>
      <c r="H228" s="51"/>
    </row>
    <row r="229" spans="1:8" ht="16.5">
      <c r="A229" s="181" t="s">
        <v>211</v>
      </c>
      <c r="B229" s="51"/>
      <c r="C229" s="51"/>
      <c r="D229" s="51"/>
      <c r="E229" s="51"/>
      <c r="F229" s="51"/>
      <c r="G229" s="52"/>
      <c r="H229" s="51"/>
    </row>
    <row r="230" spans="1:8" ht="15.75">
      <c r="A230" s="53" t="s">
        <v>164</v>
      </c>
      <c r="B230" s="51"/>
      <c r="C230" s="51"/>
      <c r="D230" s="51"/>
      <c r="E230" s="51"/>
      <c r="F230" s="51"/>
      <c r="G230" s="53"/>
      <c r="H230" s="51"/>
    </row>
    <row r="231" spans="1:8" ht="16.5">
      <c r="A231" s="894" t="s">
        <v>212</v>
      </c>
      <c r="B231" s="894"/>
      <c r="C231" s="894"/>
      <c r="D231" s="894"/>
      <c r="E231" s="894"/>
      <c r="F231" s="894"/>
      <c r="G231" s="894"/>
      <c r="H231" s="894"/>
    </row>
    <row r="232" spans="1:8" ht="15.75" thickBot="1">
      <c r="A232" s="51"/>
      <c r="B232" s="51"/>
      <c r="C232" s="51"/>
      <c r="D232" s="51"/>
      <c r="E232" s="51"/>
      <c r="F232" s="51"/>
      <c r="G232" s="51"/>
      <c r="H232" s="51"/>
    </row>
    <row r="233" spans="1:8">
      <c r="A233" s="988" t="s">
        <v>94</v>
      </c>
      <c r="B233" s="985" t="s">
        <v>95</v>
      </c>
      <c r="C233" s="985" t="s">
        <v>96</v>
      </c>
      <c r="D233" s="985" t="s">
        <v>3</v>
      </c>
      <c r="E233" s="985" t="s">
        <v>97</v>
      </c>
      <c r="F233" s="985" t="s">
        <v>98</v>
      </c>
      <c r="G233" s="985" t="s">
        <v>99</v>
      </c>
      <c r="H233" s="987"/>
    </row>
    <row r="234" spans="1:8" ht="15.75" thickBot="1">
      <c r="A234" s="989"/>
      <c r="B234" s="986"/>
      <c r="C234" s="986"/>
      <c r="D234" s="986"/>
      <c r="E234" s="986"/>
      <c r="F234" s="986"/>
      <c r="G234" s="179" t="s">
        <v>100</v>
      </c>
      <c r="H234" s="54" t="s">
        <v>101</v>
      </c>
    </row>
    <row r="235" spans="1:8" ht="15" customHeight="1">
      <c r="A235" s="881">
        <f>204+1</f>
        <v>205</v>
      </c>
      <c r="B235" s="875">
        <v>42198</v>
      </c>
      <c r="C235" s="877" t="s">
        <v>156</v>
      </c>
      <c r="D235" s="881" t="s">
        <v>213</v>
      </c>
      <c r="E235" s="881" t="s">
        <v>214</v>
      </c>
      <c r="F235" s="883">
        <v>280000</v>
      </c>
      <c r="G235" s="55">
        <v>719</v>
      </c>
      <c r="H235" s="78"/>
    </row>
    <row r="236" spans="1:8" ht="15.75" thickBot="1">
      <c r="A236" s="882"/>
      <c r="B236" s="934"/>
      <c r="C236" s="878"/>
      <c r="D236" s="882"/>
      <c r="E236" s="882"/>
      <c r="F236" s="884"/>
      <c r="G236" s="56">
        <v>723</v>
      </c>
      <c r="H236" s="79">
        <f>+F235-H235</f>
        <v>280000</v>
      </c>
    </row>
    <row r="237" spans="1:8">
      <c r="A237" s="881">
        <f>+A235+1</f>
        <v>206</v>
      </c>
      <c r="B237" s="875">
        <v>42198</v>
      </c>
      <c r="C237" s="877" t="s">
        <v>160</v>
      </c>
      <c r="D237" s="881" t="s">
        <v>216</v>
      </c>
      <c r="E237" s="881" t="s">
        <v>215</v>
      </c>
      <c r="F237" s="883">
        <v>480000</v>
      </c>
      <c r="G237" s="55">
        <v>719</v>
      </c>
      <c r="H237" s="78"/>
    </row>
    <row r="238" spans="1:8" ht="15.75" thickBot="1">
      <c r="A238" s="882"/>
      <c r="B238" s="934"/>
      <c r="C238" s="878"/>
      <c r="D238" s="882"/>
      <c r="E238" s="882"/>
      <c r="F238" s="884"/>
      <c r="G238" s="56">
        <v>723</v>
      </c>
      <c r="H238" s="79">
        <f>+F237-H237</f>
        <v>480000</v>
      </c>
    </row>
    <row r="239" spans="1:8">
      <c r="A239" s="881"/>
      <c r="B239" s="875"/>
      <c r="C239" s="935"/>
      <c r="D239" s="881"/>
      <c r="E239" s="881"/>
      <c r="F239" s="883"/>
      <c r="G239" s="55">
        <v>719</v>
      </c>
      <c r="H239" s="78"/>
    </row>
    <row r="240" spans="1:8" ht="15.75" thickBot="1">
      <c r="A240" s="882"/>
      <c r="B240" s="934"/>
      <c r="C240" s="936"/>
      <c r="D240" s="882"/>
      <c r="E240" s="882"/>
      <c r="F240" s="884"/>
      <c r="G240" s="56">
        <v>721</v>
      </c>
      <c r="H240" s="79">
        <f>+F239-H239</f>
        <v>0</v>
      </c>
    </row>
    <row r="241" spans="1:8">
      <c r="A241" s="881"/>
      <c r="B241" s="875"/>
      <c r="C241" s="942"/>
      <c r="D241" s="877"/>
      <c r="E241" s="881"/>
      <c r="F241" s="883"/>
      <c r="G241" s="55">
        <v>719</v>
      </c>
      <c r="H241" s="78"/>
    </row>
    <row r="242" spans="1:8" ht="15.75" thickBot="1">
      <c r="A242" s="882"/>
      <c r="B242" s="934"/>
      <c r="C242" s="943"/>
      <c r="D242" s="878"/>
      <c r="E242" s="882"/>
      <c r="F242" s="884"/>
      <c r="G242" s="56">
        <v>721</v>
      </c>
      <c r="H242" s="79">
        <f>+F241-H241</f>
        <v>0</v>
      </c>
    </row>
    <row r="243" spans="1:8">
      <c r="A243" s="881"/>
      <c r="B243" s="875"/>
      <c r="C243" s="942"/>
      <c r="D243" s="881"/>
      <c r="E243" s="881"/>
      <c r="F243" s="883"/>
      <c r="G243" s="55">
        <v>719</v>
      </c>
      <c r="H243" s="78"/>
    </row>
    <row r="244" spans="1:8" ht="15.75" thickBot="1">
      <c r="A244" s="882"/>
      <c r="B244" s="934"/>
      <c r="C244" s="943"/>
      <c r="D244" s="882"/>
      <c r="E244" s="882"/>
      <c r="F244" s="884"/>
      <c r="G244" s="56">
        <v>721</v>
      </c>
      <c r="H244" s="79">
        <f>+F243-H243</f>
        <v>0</v>
      </c>
    </row>
    <row r="245" spans="1:8" ht="16.5" thickBot="1">
      <c r="A245" s="901" t="s">
        <v>102</v>
      </c>
      <c r="B245" s="902"/>
      <c r="C245" s="902"/>
      <c r="D245" s="902"/>
      <c r="E245" s="903"/>
      <c r="F245" s="81">
        <f>SUM(F235:F244)</f>
        <v>760000</v>
      </c>
      <c r="G245" s="51"/>
      <c r="H245" s="51"/>
    </row>
    <row r="246" spans="1:8" ht="16.5" thickBot="1">
      <c r="A246" s="885" t="s">
        <v>103</v>
      </c>
      <c r="B246" s="886"/>
      <c r="C246" s="886"/>
      <c r="D246" s="886"/>
      <c r="E246" s="887"/>
      <c r="F246" s="69">
        <f>+C260</f>
        <v>575905749</v>
      </c>
      <c r="G246" s="51"/>
      <c r="H246" s="51"/>
    </row>
    <row r="247" spans="1:8" ht="16.5" thickBot="1">
      <c r="A247" s="888" t="s">
        <v>104</v>
      </c>
      <c r="B247" s="889"/>
      <c r="C247" s="889"/>
      <c r="D247" s="889"/>
      <c r="E247" s="890"/>
      <c r="F247" s="70">
        <f>SUM(F245:F246)</f>
        <v>576665749</v>
      </c>
      <c r="G247" s="51"/>
      <c r="H247" s="51"/>
    </row>
    <row r="248" spans="1:8">
      <c r="A248" s="61"/>
      <c r="B248" s="61"/>
      <c r="C248" s="61"/>
      <c r="D248" s="61"/>
      <c r="E248" s="61"/>
      <c r="F248" s="51"/>
      <c r="G248" s="51"/>
      <c r="H248" s="51"/>
    </row>
    <row r="249" spans="1:8">
      <c r="A249" s="51" t="s">
        <v>217</v>
      </c>
      <c r="B249" s="51"/>
      <c r="C249" s="51"/>
      <c r="D249" s="51"/>
      <c r="E249" s="51"/>
      <c r="F249" s="51"/>
      <c r="G249" s="51"/>
      <c r="H249" s="51"/>
    </row>
    <row r="250" spans="1:8">
      <c r="A250" s="51"/>
      <c r="B250" s="51"/>
      <c r="C250" s="51"/>
      <c r="D250" s="51"/>
      <c r="E250" s="51"/>
      <c r="F250" s="139"/>
      <c r="G250" s="51"/>
      <c r="H250" s="51"/>
    </row>
    <row r="251" spans="1:8">
      <c r="A251" s="50" t="s">
        <v>105</v>
      </c>
      <c r="B251" s="51"/>
      <c r="C251" s="51"/>
      <c r="D251" s="146"/>
      <c r="E251" s="51"/>
      <c r="F251" s="51"/>
      <c r="G251" s="51"/>
      <c r="H251" s="51"/>
    </row>
    <row r="252" spans="1:8" ht="15.75" thickBot="1">
      <c r="A252" s="51"/>
      <c r="B252" s="51"/>
      <c r="C252" s="51"/>
      <c r="D252" s="51"/>
      <c r="E252" s="51"/>
      <c r="F252" s="51"/>
      <c r="G252" s="51"/>
      <c r="H252" s="51"/>
    </row>
    <row r="253" spans="1:8" ht="15.75" thickBot="1">
      <c r="A253" s="891" t="s">
        <v>106</v>
      </c>
      <c r="B253" s="892"/>
      <c r="C253" s="892"/>
      <c r="D253" s="893"/>
      <c r="E253" s="51"/>
      <c r="F253" s="50" t="s">
        <v>107</v>
      </c>
      <c r="G253" s="51"/>
      <c r="H253" s="51"/>
    </row>
    <row r="254" spans="1:8" ht="30.75" thickBot="1">
      <c r="A254" s="57" t="s">
        <v>100</v>
      </c>
      <c r="B254" s="58" t="s">
        <v>108</v>
      </c>
      <c r="C254" s="59" t="s">
        <v>109</v>
      </c>
      <c r="D254" s="60" t="s">
        <v>110</v>
      </c>
      <c r="E254" s="51"/>
      <c r="F254" s="51"/>
      <c r="G254" s="51"/>
      <c r="H254" s="51"/>
    </row>
    <row r="255" spans="1:8">
      <c r="A255" s="71">
        <v>719</v>
      </c>
      <c r="B255" s="73"/>
      <c r="C255" s="76">
        <f>+D218</f>
        <v>23020000</v>
      </c>
      <c r="D255" s="76">
        <f>+B255+C255</f>
        <v>23020000</v>
      </c>
      <c r="E255" s="51"/>
      <c r="F255" s="51"/>
      <c r="G255" s="51"/>
      <c r="H255" s="51"/>
    </row>
    <row r="256" spans="1:8">
      <c r="A256" s="72">
        <v>721</v>
      </c>
      <c r="B256" s="80"/>
      <c r="C256" s="76">
        <f>+D219</f>
        <v>8564000</v>
      </c>
      <c r="D256" s="76">
        <f>+B256+C256</f>
        <v>8564000</v>
      </c>
      <c r="E256" s="51"/>
      <c r="F256" s="51"/>
      <c r="G256" s="51"/>
      <c r="H256" s="51"/>
    </row>
    <row r="257" spans="1:8">
      <c r="A257" s="72">
        <v>722</v>
      </c>
      <c r="B257" s="80"/>
      <c r="C257" s="76">
        <f>+D220</f>
        <v>224787287</v>
      </c>
      <c r="D257" s="76">
        <f>+B257+C257</f>
        <v>224787287</v>
      </c>
      <c r="E257" s="51"/>
      <c r="F257" s="51"/>
      <c r="G257" s="51"/>
      <c r="H257" s="51"/>
    </row>
    <row r="258" spans="1:8" ht="15.75">
      <c r="A258" s="72">
        <v>723</v>
      </c>
      <c r="B258" s="80">
        <f>+F245</f>
        <v>760000</v>
      </c>
      <c r="C258" s="76">
        <f>+D221</f>
        <v>317568837</v>
      </c>
      <c r="D258" s="76">
        <f>+B258+C258</f>
        <v>318328837</v>
      </c>
      <c r="E258" s="51"/>
      <c r="F258" s="174" t="s">
        <v>23</v>
      </c>
      <c r="G258" s="51"/>
      <c r="H258" s="51"/>
    </row>
    <row r="259" spans="1:8" ht="16.5" thickBot="1">
      <c r="A259" s="164" t="s">
        <v>181</v>
      </c>
      <c r="B259" s="165"/>
      <c r="C259" s="76">
        <f>+D222</f>
        <v>1965625</v>
      </c>
      <c r="D259" s="168">
        <f>+B259+C259</f>
        <v>1965625</v>
      </c>
      <c r="E259" s="51"/>
      <c r="F259" s="52"/>
      <c r="G259" s="51"/>
      <c r="H259" s="51"/>
    </row>
    <row r="260" spans="1:8" ht="16.5" thickBot="1">
      <c r="A260" s="169"/>
      <c r="B260" s="170">
        <f>SUM(B255:B259)</f>
        <v>760000</v>
      </c>
      <c r="C260" s="171">
        <f>SUM(C255:C259)</f>
        <v>575905749</v>
      </c>
      <c r="D260" s="172">
        <f>SUM(D255:D259)</f>
        <v>576665749</v>
      </c>
      <c r="E260" s="51"/>
      <c r="F260" s="51"/>
      <c r="G260" s="51"/>
      <c r="H260" s="51"/>
    </row>
    <row r="261" spans="1:8" ht="16.5">
      <c r="A261" s="49" t="s">
        <v>88</v>
      </c>
      <c r="B261" s="50"/>
      <c r="C261" s="51"/>
      <c r="D261" s="51"/>
      <c r="E261" s="51"/>
      <c r="F261" s="51"/>
      <c r="G261" s="51"/>
      <c r="H261" s="51"/>
    </row>
    <row r="262" spans="1:8">
      <c r="A262" s="51" t="s">
        <v>89</v>
      </c>
      <c r="B262" s="51"/>
      <c r="C262" s="51"/>
      <c r="D262" s="51"/>
      <c r="E262" s="51"/>
      <c r="F262" s="51"/>
      <c r="G262" s="51"/>
      <c r="H262" s="51"/>
    </row>
    <row r="263" spans="1:8">
      <c r="A263" s="51" t="s">
        <v>90</v>
      </c>
      <c r="B263" s="51"/>
      <c r="C263" s="51"/>
      <c r="D263" s="51"/>
      <c r="E263" s="51"/>
      <c r="F263" s="51"/>
      <c r="G263" s="51"/>
      <c r="H263" s="51"/>
    </row>
    <row r="264" spans="1:8">
      <c r="A264" s="51" t="s">
        <v>91</v>
      </c>
      <c r="B264" s="51"/>
      <c r="C264" s="51"/>
      <c r="D264" s="51"/>
      <c r="E264" s="51"/>
      <c r="F264" s="51"/>
      <c r="G264" s="51"/>
      <c r="H264" s="51"/>
    </row>
    <row r="265" spans="1:8">
      <c r="A265" s="50"/>
      <c r="B265" s="50"/>
      <c r="C265" s="51"/>
      <c r="D265" s="51"/>
      <c r="E265" s="51"/>
      <c r="F265" s="51"/>
      <c r="G265" s="51"/>
      <c r="H265" s="51"/>
    </row>
    <row r="266" spans="1:8" ht="16.5">
      <c r="A266" s="52" t="s">
        <v>218</v>
      </c>
      <c r="B266" s="51"/>
      <c r="C266" s="51"/>
      <c r="D266" s="51"/>
      <c r="E266" s="51"/>
      <c r="F266" s="51"/>
      <c r="G266" s="52" t="s">
        <v>172</v>
      </c>
      <c r="H266" s="51"/>
    </row>
    <row r="267" spans="1:8" ht="15.75">
      <c r="A267" s="53" t="s">
        <v>92</v>
      </c>
      <c r="B267" s="51"/>
      <c r="C267" s="51"/>
      <c r="D267" s="51"/>
      <c r="E267" s="51"/>
      <c r="F267" s="51"/>
      <c r="G267" s="53" t="s">
        <v>92</v>
      </c>
      <c r="H267" s="51"/>
    </row>
    <row r="268" spans="1:8" ht="16.5">
      <c r="A268" s="894" t="s">
        <v>93</v>
      </c>
      <c r="B268" s="894"/>
      <c r="C268" s="894"/>
      <c r="D268" s="894"/>
      <c r="E268" s="894"/>
      <c r="F268" s="894"/>
      <c r="G268" s="894"/>
      <c r="H268" s="894"/>
    </row>
    <row r="269" spans="1:8" ht="15.75" thickBot="1">
      <c r="A269" s="51"/>
      <c r="B269" s="51"/>
      <c r="C269" s="51"/>
      <c r="D269" s="51"/>
      <c r="E269" s="51"/>
      <c r="F269" s="51"/>
      <c r="G269" s="51"/>
      <c r="H269" s="51"/>
    </row>
    <row r="270" spans="1:8">
      <c r="A270" s="988" t="s">
        <v>94</v>
      </c>
      <c r="B270" s="985" t="s">
        <v>95</v>
      </c>
      <c r="C270" s="985" t="s">
        <v>96</v>
      </c>
      <c r="D270" s="985" t="s">
        <v>3</v>
      </c>
      <c r="E270" s="985" t="s">
        <v>97</v>
      </c>
      <c r="F270" s="985" t="s">
        <v>98</v>
      </c>
      <c r="G270" s="985" t="s">
        <v>99</v>
      </c>
      <c r="H270" s="987"/>
    </row>
    <row r="271" spans="1:8" ht="15.75" thickBot="1">
      <c r="A271" s="989"/>
      <c r="B271" s="986"/>
      <c r="C271" s="986"/>
      <c r="D271" s="986"/>
      <c r="E271" s="986"/>
      <c r="F271" s="986"/>
      <c r="G271" s="179" t="s">
        <v>100</v>
      </c>
      <c r="H271" s="54" t="s">
        <v>101</v>
      </c>
    </row>
    <row r="272" spans="1:8">
      <c r="A272" s="881">
        <v>207</v>
      </c>
      <c r="B272" s="875">
        <v>42212</v>
      </c>
      <c r="C272" s="942" t="s">
        <v>40</v>
      </c>
      <c r="D272" s="881" t="s">
        <v>205</v>
      </c>
      <c r="E272" s="881" t="s">
        <v>148</v>
      </c>
      <c r="F272" s="883">
        <v>294000</v>
      </c>
      <c r="G272" s="55">
        <v>719</v>
      </c>
      <c r="H272" s="78">
        <v>210000</v>
      </c>
    </row>
    <row r="273" spans="1:8" ht="15.75" thickBot="1">
      <c r="A273" s="882"/>
      <c r="B273" s="934"/>
      <c r="C273" s="943"/>
      <c r="D273" s="882"/>
      <c r="E273" s="882"/>
      <c r="F273" s="884"/>
      <c r="G273" s="56">
        <v>721</v>
      </c>
      <c r="H273" s="79">
        <f>+F272-H272</f>
        <v>84000</v>
      </c>
    </row>
    <row r="274" spans="1:8" ht="15" customHeight="1">
      <c r="A274" s="881">
        <v>208</v>
      </c>
      <c r="B274" s="875">
        <v>42212</v>
      </c>
      <c r="C274" s="935" t="s">
        <v>28</v>
      </c>
      <c r="D274" s="881" t="s">
        <v>219</v>
      </c>
      <c r="E274" s="881" t="s">
        <v>148</v>
      </c>
      <c r="F274" s="883">
        <v>420000</v>
      </c>
      <c r="G274" s="55">
        <v>719</v>
      </c>
      <c r="H274" s="78">
        <v>90000</v>
      </c>
    </row>
    <row r="275" spans="1:8" ht="15.75" customHeight="1" thickBot="1">
      <c r="A275" s="882"/>
      <c r="B275" s="934"/>
      <c r="C275" s="936"/>
      <c r="D275" s="882"/>
      <c r="E275" s="882"/>
      <c r="F275" s="884"/>
      <c r="G275" s="56">
        <v>721</v>
      </c>
      <c r="H275" s="79"/>
    </row>
    <row r="276" spans="1:8" ht="15" customHeight="1">
      <c r="A276" s="881">
        <v>209</v>
      </c>
      <c r="B276" s="875">
        <v>42212</v>
      </c>
      <c r="C276" s="935" t="s">
        <v>169</v>
      </c>
      <c r="D276" s="881" t="s">
        <v>220</v>
      </c>
      <c r="E276" s="881" t="s">
        <v>148</v>
      </c>
      <c r="F276" s="883">
        <v>70000</v>
      </c>
      <c r="G276" s="55">
        <v>719</v>
      </c>
      <c r="H276" s="78">
        <v>70000</v>
      </c>
    </row>
    <row r="277" spans="1:8" ht="15.75" customHeight="1" thickBot="1">
      <c r="A277" s="882"/>
      <c r="B277" s="934"/>
      <c r="C277" s="936"/>
      <c r="D277" s="882"/>
      <c r="E277" s="882"/>
      <c r="F277" s="884"/>
      <c r="G277" s="56">
        <v>721</v>
      </c>
      <c r="H277" s="79">
        <f>+F276-H276</f>
        <v>0</v>
      </c>
    </row>
    <row r="278" spans="1:8" ht="15" customHeight="1">
      <c r="A278" s="881">
        <v>210</v>
      </c>
      <c r="B278" s="875">
        <v>42212</v>
      </c>
      <c r="C278" s="935" t="s">
        <v>32</v>
      </c>
      <c r="D278" s="881" t="s">
        <v>219</v>
      </c>
      <c r="E278" s="881" t="s">
        <v>148</v>
      </c>
      <c r="F278" s="883">
        <v>98000</v>
      </c>
      <c r="G278" s="55">
        <v>719</v>
      </c>
      <c r="H278" s="78">
        <v>80000</v>
      </c>
    </row>
    <row r="279" spans="1:8" ht="15.75" customHeight="1" thickBot="1">
      <c r="A279" s="882"/>
      <c r="B279" s="934"/>
      <c r="C279" s="936"/>
      <c r="D279" s="882"/>
      <c r="E279" s="882"/>
      <c r="F279" s="884"/>
      <c r="G279" s="56">
        <v>721</v>
      </c>
      <c r="H279" s="79">
        <f>+F278-H278</f>
        <v>18000</v>
      </c>
    </row>
    <row r="280" spans="1:8" ht="15" customHeight="1">
      <c r="A280" s="881">
        <v>211</v>
      </c>
      <c r="B280" s="875">
        <v>42212</v>
      </c>
      <c r="C280" s="935" t="s">
        <v>31</v>
      </c>
      <c r="D280" s="881" t="s">
        <v>221</v>
      </c>
      <c r="E280" s="881" t="s">
        <v>148</v>
      </c>
      <c r="F280" s="883">
        <v>798000</v>
      </c>
      <c r="G280" s="55">
        <v>719</v>
      </c>
      <c r="H280" s="78">
        <v>440000</v>
      </c>
    </row>
    <row r="281" spans="1:8" ht="15.75" customHeight="1" thickBot="1">
      <c r="A281" s="882"/>
      <c r="B281" s="934"/>
      <c r="C281" s="936"/>
      <c r="D281" s="882"/>
      <c r="E281" s="882"/>
      <c r="F281" s="884"/>
      <c r="G281" s="56">
        <v>721</v>
      </c>
      <c r="H281" s="79">
        <f>+F280-H280</f>
        <v>358000</v>
      </c>
    </row>
    <row r="282" spans="1:8" ht="16.5" thickBot="1">
      <c r="A282" s="901" t="s">
        <v>102</v>
      </c>
      <c r="B282" s="902"/>
      <c r="C282" s="902"/>
      <c r="D282" s="902"/>
      <c r="E282" s="903"/>
      <c r="F282" s="81">
        <f>SUM(F272:F281)</f>
        <v>1680000</v>
      </c>
      <c r="G282" s="51"/>
      <c r="H282" s="51"/>
    </row>
    <row r="283" spans="1:8" ht="16.5" thickBot="1">
      <c r="A283" s="885" t="s">
        <v>103</v>
      </c>
      <c r="B283" s="886"/>
      <c r="C283" s="886"/>
      <c r="D283" s="886"/>
      <c r="E283" s="887"/>
      <c r="F283" s="69">
        <f>+F247</f>
        <v>576665749</v>
      </c>
      <c r="G283" s="51"/>
      <c r="H283" s="51"/>
    </row>
    <row r="284" spans="1:8" ht="16.5" thickBot="1">
      <c r="A284" s="888" t="s">
        <v>104</v>
      </c>
      <c r="B284" s="889"/>
      <c r="C284" s="889"/>
      <c r="D284" s="889"/>
      <c r="E284" s="890"/>
      <c r="F284" s="70">
        <f>SUM(F282:F283)</f>
        <v>578345749</v>
      </c>
      <c r="G284" s="51"/>
      <c r="H284" s="51"/>
    </row>
    <row r="285" spans="1:8">
      <c r="A285" s="61"/>
      <c r="B285" s="61"/>
      <c r="C285" s="61"/>
      <c r="D285" s="61"/>
      <c r="E285" s="61"/>
      <c r="F285" s="51"/>
      <c r="G285" s="51"/>
      <c r="H285" s="51"/>
    </row>
    <row r="286" spans="1:8">
      <c r="A286" s="51" t="s">
        <v>201</v>
      </c>
      <c r="B286" s="51"/>
      <c r="C286" s="51"/>
      <c r="D286" s="51"/>
      <c r="E286" s="51"/>
      <c r="F286" s="51"/>
      <c r="G286" s="51"/>
      <c r="H286" s="51"/>
    </row>
    <row r="287" spans="1:8">
      <c r="A287" s="51"/>
      <c r="B287" s="51"/>
      <c r="C287" s="51"/>
      <c r="D287" s="51"/>
      <c r="E287" s="51"/>
      <c r="F287" s="139"/>
      <c r="G287" s="51"/>
      <c r="H287" s="51"/>
    </row>
    <row r="288" spans="1:8">
      <c r="A288" s="50" t="s">
        <v>105</v>
      </c>
      <c r="B288" s="51"/>
      <c r="C288" s="51"/>
      <c r="D288" s="146"/>
      <c r="E288" s="51"/>
      <c r="F288" s="139"/>
      <c r="G288" s="51"/>
      <c r="H288" s="51"/>
    </row>
    <row r="289" spans="1:8" ht="15.75" thickBot="1">
      <c r="A289" s="51"/>
      <c r="B289" s="51"/>
      <c r="C289" s="51"/>
      <c r="D289" s="51"/>
      <c r="E289" s="51"/>
      <c r="F289" s="51"/>
      <c r="G289" s="51"/>
      <c r="H289" s="51"/>
    </row>
    <row r="290" spans="1:8" ht="15.75" thickBot="1">
      <c r="A290" s="891" t="s">
        <v>106</v>
      </c>
      <c r="B290" s="892"/>
      <c r="C290" s="892"/>
      <c r="D290" s="893"/>
      <c r="E290" s="51"/>
      <c r="F290" s="50" t="s">
        <v>107</v>
      </c>
      <c r="G290" s="51"/>
      <c r="H290" s="51"/>
    </row>
    <row r="291" spans="1:8" ht="30.75" thickBot="1">
      <c r="A291" s="57" t="s">
        <v>100</v>
      </c>
      <c r="B291" s="58" t="s">
        <v>108</v>
      </c>
      <c r="C291" s="59" t="s">
        <v>109</v>
      </c>
      <c r="D291" s="60" t="s">
        <v>110</v>
      </c>
      <c r="E291" s="51"/>
      <c r="F291" s="51"/>
      <c r="G291" s="51"/>
      <c r="H291" s="51"/>
    </row>
    <row r="292" spans="1:8">
      <c r="A292" s="71">
        <v>719</v>
      </c>
      <c r="B292" s="73"/>
      <c r="C292" s="74">
        <f>+D255</f>
        <v>23020000</v>
      </c>
      <c r="D292" s="76">
        <f>+B292+C292</f>
        <v>23020000</v>
      </c>
      <c r="E292" s="51"/>
      <c r="F292" s="51"/>
      <c r="G292" s="51"/>
      <c r="H292" s="51"/>
    </row>
    <row r="293" spans="1:8">
      <c r="A293" s="72">
        <v>721</v>
      </c>
      <c r="B293" s="80"/>
      <c r="C293" s="74">
        <f>+D256</f>
        <v>8564000</v>
      </c>
      <c r="D293" s="76">
        <f>+B293+C293</f>
        <v>8564000</v>
      </c>
      <c r="E293" s="51"/>
      <c r="F293" s="51"/>
      <c r="G293" s="51"/>
      <c r="H293" s="51"/>
    </row>
    <row r="294" spans="1:8">
      <c r="A294" s="72">
        <v>722</v>
      </c>
      <c r="B294" s="80"/>
      <c r="C294" s="74">
        <f>+D257</f>
        <v>224787287</v>
      </c>
      <c r="D294" s="76">
        <f>+B294+C294</f>
        <v>224787287</v>
      </c>
      <c r="E294" s="51"/>
      <c r="F294" s="51"/>
      <c r="G294" s="51"/>
      <c r="H294" s="51"/>
    </row>
    <row r="295" spans="1:8" ht="15.75">
      <c r="A295" s="72">
        <v>723</v>
      </c>
      <c r="B295" s="80"/>
      <c r="C295" s="74">
        <f>+D258</f>
        <v>318328837</v>
      </c>
      <c r="D295" s="76">
        <f>+B295+C295</f>
        <v>318328837</v>
      </c>
      <c r="E295" s="51"/>
      <c r="F295" s="174" t="s">
        <v>23</v>
      </c>
      <c r="G295" s="175"/>
      <c r="H295" s="51"/>
    </row>
    <row r="296" spans="1:8" ht="16.5" thickBot="1">
      <c r="A296" s="164" t="s">
        <v>181</v>
      </c>
      <c r="B296" s="165"/>
      <c r="C296" s="74">
        <f>+D259</f>
        <v>1965625</v>
      </c>
      <c r="D296" s="168">
        <f>+B296+C296</f>
        <v>1965625</v>
      </c>
      <c r="E296" s="51"/>
      <c r="F296" s="52"/>
      <c r="G296" s="51"/>
      <c r="H296" s="51"/>
    </row>
    <row r="297" spans="1:8" ht="16.5" thickBot="1">
      <c r="A297" s="169"/>
      <c r="B297" s="170">
        <f>SUM(B292:B296)</f>
        <v>0</v>
      </c>
      <c r="C297" s="171">
        <f>SUM(C292:C296)</f>
        <v>576665749</v>
      </c>
      <c r="D297" s="172">
        <f>SUM(D292:D296)</f>
        <v>576665749</v>
      </c>
      <c r="E297" s="51"/>
      <c r="F297" s="51"/>
      <c r="G297" s="51"/>
      <c r="H297" s="51"/>
    </row>
    <row r="298" spans="1:8" ht="16.5">
      <c r="A298" s="49" t="s">
        <v>88</v>
      </c>
      <c r="B298" s="50"/>
      <c r="C298" s="51"/>
      <c r="D298" s="51"/>
      <c r="E298" s="51"/>
      <c r="F298" s="51"/>
      <c r="G298" s="51"/>
      <c r="H298" s="51"/>
    </row>
    <row r="299" spans="1:8">
      <c r="A299" s="51" t="s">
        <v>89</v>
      </c>
      <c r="B299" s="51"/>
      <c r="C299" s="51"/>
      <c r="D299" s="51"/>
      <c r="E299" s="51"/>
      <c r="F299" s="51"/>
      <c r="G299" s="51"/>
      <c r="H299" s="51"/>
    </row>
    <row r="300" spans="1:8">
      <c r="A300" s="51" t="s">
        <v>90</v>
      </c>
      <c r="B300" s="51"/>
      <c r="C300" s="51"/>
      <c r="D300" s="51"/>
      <c r="E300" s="51"/>
      <c r="F300" s="51"/>
      <c r="G300" s="51"/>
      <c r="H300" s="51"/>
    </row>
    <row r="301" spans="1:8">
      <c r="A301" s="51" t="s">
        <v>91</v>
      </c>
      <c r="B301" s="51"/>
      <c r="C301" s="51"/>
      <c r="D301" s="51"/>
      <c r="E301" s="51"/>
      <c r="F301" s="51"/>
      <c r="G301" s="51"/>
      <c r="H301" s="51"/>
    </row>
    <row r="302" spans="1:8">
      <c r="A302" s="50"/>
      <c r="B302" s="50"/>
      <c r="C302" s="51"/>
      <c r="D302" s="51"/>
      <c r="E302" s="51"/>
      <c r="F302" s="51"/>
      <c r="G302" s="51"/>
      <c r="H302" s="51"/>
    </row>
    <row r="303" spans="1:8" ht="16.5">
      <c r="A303" s="52"/>
      <c r="B303" s="50"/>
      <c r="C303" s="51"/>
      <c r="D303" s="51"/>
      <c r="E303" s="51"/>
      <c r="F303" s="51"/>
      <c r="G303" s="52" t="s">
        <v>173</v>
      </c>
      <c r="H303" s="51"/>
    </row>
    <row r="304" spans="1:8" ht="15.75">
      <c r="A304" s="53"/>
      <c r="B304" s="51"/>
      <c r="C304" s="51"/>
      <c r="D304" s="51"/>
      <c r="E304" s="51"/>
      <c r="F304" s="51"/>
      <c r="G304" s="53" t="s">
        <v>164</v>
      </c>
      <c r="H304" s="51"/>
    </row>
    <row r="305" spans="1:8" ht="16.5">
      <c r="A305" s="894" t="s">
        <v>170</v>
      </c>
      <c r="B305" s="894"/>
      <c r="C305" s="894"/>
      <c r="D305" s="894"/>
      <c r="E305" s="894"/>
      <c r="F305" s="894"/>
      <c r="G305" s="894"/>
      <c r="H305" s="894"/>
    </row>
    <row r="306" spans="1:8" ht="15.75" thickBot="1">
      <c r="A306" s="51"/>
      <c r="B306" s="51"/>
      <c r="C306" s="51"/>
      <c r="D306" s="51"/>
      <c r="E306" s="51"/>
      <c r="F306" s="51"/>
      <c r="G306" s="51"/>
      <c r="H306" s="51"/>
    </row>
    <row r="307" spans="1:8">
      <c r="A307" s="988" t="s">
        <v>94</v>
      </c>
      <c r="B307" s="985" t="s">
        <v>95</v>
      </c>
      <c r="C307" s="985" t="s">
        <v>96</v>
      </c>
      <c r="D307" s="985" t="s">
        <v>3</v>
      </c>
      <c r="E307" s="985" t="s">
        <v>97</v>
      </c>
      <c r="F307" s="985" t="s">
        <v>98</v>
      </c>
      <c r="G307" s="985" t="s">
        <v>99</v>
      </c>
      <c r="H307" s="987"/>
    </row>
    <row r="308" spans="1:8" ht="15.75" thickBot="1">
      <c r="A308" s="989"/>
      <c r="B308" s="986"/>
      <c r="C308" s="986"/>
      <c r="D308" s="986"/>
      <c r="E308" s="986"/>
      <c r="F308" s="986"/>
      <c r="G308" s="179" t="s">
        <v>100</v>
      </c>
      <c r="H308" s="54" t="s">
        <v>101</v>
      </c>
    </row>
    <row r="309" spans="1:8">
      <c r="A309" s="881">
        <v>232</v>
      </c>
      <c r="B309" s="875">
        <v>42228</v>
      </c>
      <c r="C309" s="942" t="s">
        <v>40</v>
      </c>
      <c r="D309" s="881" t="s">
        <v>168</v>
      </c>
      <c r="E309" s="881" t="s">
        <v>148</v>
      </c>
      <c r="F309" s="883">
        <v>252000</v>
      </c>
      <c r="G309" s="55">
        <v>719</v>
      </c>
      <c r="H309" s="78">
        <v>180000</v>
      </c>
    </row>
    <row r="310" spans="1:8" ht="15.75" thickBot="1">
      <c r="A310" s="882"/>
      <c r="B310" s="934"/>
      <c r="C310" s="943"/>
      <c r="D310" s="882"/>
      <c r="E310" s="882"/>
      <c r="F310" s="884"/>
      <c r="G310" s="56">
        <v>721</v>
      </c>
      <c r="H310" s="79">
        <f>+F309-H309</f>
        <v>72000</v>
      </c>
    </row>
    <row r="311" spans="1:8">
      <c r="A311" s="881">
        <f>+A309+1</f>
        <v>233</v>
      </c>
      <c r="B311" s="875">
        <v>42228</v>
      </c>
      <c r="C311" s="935" t="s">
        <v>28</v>
      </c>
      <c r="D311" s="881" t="s">
        <v>166</v>
      </c>
      <c r="E311" s="881" t="s">
        <v>148</v>
      </c>
      <c r="F311" s="883">
        <v>392000</v>
      </c>
      <c r="G311" s="55">
        <v>719</v>
      </c>
      <c r="H311" s="78">
        <v>280000</v>
      </c>
    </row>
    <row r="312" spans="1:8" ht="15.75" thickBot="1">
      <c r="A312" s="882"/>
      <c r="B312" s="934"/>
      <c r="C312" s="936"/>
      <c r="D312" s="882"/>
      <c r="E312" s="882"/>
      <c r="F312" s="884"/>
      <c r="G312" s="56">
        <v>721</v>
      </c>
      <c r="H312" s="79">
        <f>+F311-H311</f>
        <v>112000</v>
      </c>
    </row>
    <row r="313" spans="1:8">
      <c r="A313" s="881">
        <f>+A311+1</f>
        <v>234</v>
      </c>
      <c r="B313" s="875">
        <v>42228</v>
      </c>
      <c r="C313" s="935" t="s">
        <v>32</v>
      </c>
      <c r="D313" s="881" t="s">
        <v>166</v>
      </c>
      <c r="E313" s="881" t="s">
        <v>148</v>
      </c>
      <c r="F313" s="883">
        <v>126000</v>
      </c>
      <c r="G313" s="55">
        <v>719</v>
      </c>
      <c r="H313" s="78">
        <v>90000</v>
      </c>
    </row>
    <row r="314" spans="1:8" ht="15.75" thickBot="1">
      <c r="A314" s="882"/>
      <c r="B314" s="934"/>
      <c r="C314" s="936"/>
      <c r="D314" s="882"/>
      <c r="E314" s="882"/>
      <c r="F314" s="884"/>
      <c r="G314" s="56">
        <v>721</v>
      </c>
      <c r="H314" s="79">
        <f>+F313-H313</f>
        <v>36000</v>
      </c>
    </row>
    <row r="315" spans="1:8">
      <c r="A315" s="881">
        <f>+A313+1</f>
        <v>235</v>
      </c>
      <c r="B315" s="875">
        <v>42228</v>
      </c>
      <c r="C315" s="942" t="s">
        <v>169</v>
      </c>
      <c r="D315" s="877" t="s">
        <v>167</v>
      </c>
      <c r="E315" s="881" t="s">
        <v>148</v>
      </c>
      <c r="F315" s="883">
        <v>56000</v>
      </c>
      <c r="G315" s="55">
        <v>719</v>
      </c>
      <c r="H315" s="78">
        <v>40000</v>
      </c>
    </row>
    <row r="316" spans="1:8" ht="15.75" thickBot="1">
      <c r="A316" s="882"/>
      <c r="B316" s="934"/>
      <c r="C316" s="943"/>
      <c r="D316" s="878"/>
      <c r="E316" s="882"/>
      <c r="F316" s="884"/>
      <c r="G316" s="56">
        <v>721</v>
      </c>
      <c r="H316" s="79">
        <f>+F315-H315</f>
        <v>16000</v>
      </c>
    </row>
    <row r="317" spans="1:8">
      <c r="A317" s="881">
        <f>+A315+1</f>
        <v>236</v>
      </c>
      <c r="B317" s="875">
        <v>42228</v>
      </c>
      <c r="C317" s="942" t="s">
        <v>31</v>
      </c>
      <c r="D317" s="881" t="s">
        <v>166</v>
      </c>
      <c r="E317" s="881" t="s">
        <v>148</v>
      </c>
      <c r="F317" s="883">
        <v>882000</v>
      </c>
      <c r="G317" s="55">
        <v>719</v>
      </c>
      <c r="H317" s="78">
        <v>630000</v>
      </c>
    </row>
    <row r="318" spans="1:8" ht="15.75" thickBot="1">
      <c r="A318" s="882"/>
      <c r="B318" s="934"/>
      <c r="C318" s="943"/>
      <c r="D318" s="882"/>
      <c r="E318" s="882"/>
      <c r="F318" s="884"/>
      <c r="G318" s="56">
        <v>721</v>
      </c>
      <c r="H318" s="79">
        <f>+F317-H317</f>
        <v>252000</v>
      </c>
    </row>
    <row r="319" spans="1:8" ht="16.5" thickBot="1">
      <c r="A319" s="901" t="s">
        <v>102</v>
      </c>
      <c r="B319" s="902"/>
      <c r="C319" s="902"/>
      <c r="D319" s="902"/>
      <c r="E319" s="903"/>
      <c r="F319" s="81">
        <f>SUM(F309:F318)</f>
        <v>1708000</v>
      </c>
      <c r="G319" s="51"/>
      <c r="H319" s="51"/>
    </row>
    <row r="320" spans="1:8" ht="16.5" thickBot="1">
      <c r="A320" s="885" t="s">
        <v>103</v>
      </c>
      <c r="B320" s="886"/>
      <c r="C320" s="886"/>
      <c r="D320" s="886"/>
      <c r="E320" s="887"/>
      <c r="F320" s="69">
        <f>+C334</f>
        <v>609149841</v>
      </c>
      <c r="G320" s="51"/>
      <c r="H320" s="51"/>
    </row>
    <row r="321" spans="1:8" ht="16.5" thickBot="1">
      <c r="A321" s="888" t="s">
        <v>104</v>
      </c>
      <c r="B321" s="889"/>
      <c r="C321" s="889"/>
      <c r="D321" s="889"/>
      <c r="E321" s="890"/>
      <c r="F321" s="70">
        <f>SUM(F319:F320)</f>
        <v>610857841</v>
      </c>
      <c r="G321" s="51"/>
      <c r="H321" s="51"/>
    </row>
    <row r="322" spans="1:8">
      <c r="A322" s="61"/>
      <c r="B322" s="61"/>
      <c r="C322" s="61"/>
      <c r="D322" s="61"/>
      <c r="E322" s="61"/>
      <c r="F322" s="51"/>
      <c r="G322" s="51"/>
      <c r="H322" s="51"/>
    </row>
    <row r="323" spans="1:8">
      <c r="A323" s="51" t="s">
        <v>171</v>
      </c>
      <c r="B323" s="51"/>
      <c r="C323" s="51"/>
      <c r="D323" s="51"/>
      <c r="E323" s="51"/>
      <c r="F323" s="51"/>
      <c r="G323" s="51"/>
      <c r="H323" s="51"/>
    </row>
    <row r="324" spans="1:8">
      <c r="A324" s="51"/>
      <c r="B324" s="51"/>
      <c r="C324" s="51"/>
      <c r="D324" s="51"/>
      <c r="E324" s="51"/>
      <c r="F324" s="139"/>
      <c r="G324" s="51"/>
      <c r="H324" s="51"/>
    </row>
    <row r="325" spans="1:8">
      <c r="A325" s="50" t="s">
        <v>105</v>
      </c>
      <c r="B325" s="51"/>
      <c r="C325" s="51"/>
      <c r="D325" s="146"/>
      <c r="E325" s="51"/>
      <c r="F325" s="51"/>
      <c r="G325" s="51"/>
      <c r="H325" s="51"/>
    </row>
    <row r="326" spans="1:8" ht="15.75" thickBot="1">
      <c r="A326" s="51"/>
      <c r="B326" s="51"/>
      <c r="C326" s="51"/>
      <c r="D326" s="51"/>
      <c r="E326" s="51"/>
      <c r="F326" s="51"/>
      <c r="G326" s="51"/>
      <c r="H326" s="51"/>
    </row>
    <row r="327" spans="1:8" ht="15.75" thickBot="1">
      <c r="A327" s="891" t="s">
        <v>106</v>
      </c>
      <c r="B327" s="892"/>
      <c r="C327" s="892"/>
      <c r="D327" s="893"/>
      <c r="E327" s="51"/>
      <c r="F327" s="50" t="s">
        <v>107</v>
      </c>
      <c r="G327" s="51"/>
      <c r="H327" s="51"/>
    </row>
    <row r="328" spans="1:8" ht="30.75" thickBot="1">
      <c r="A328" s="57" t="s">
        <v>100</v>
      </c>
      <c r="B328" s="58" t="s">
        <v>108</v>
      </c>
      <c r="C328" s="59" t="s">
        <v>109</v>
      </c>
      <c r="D328" s="60" t="s">
        <v>110</v>
      </c>
      <c r="E328" s="51"/>
      <c r="F328" s="51"/>
      <c r="G328" s="51"/>
      <c r="H328" s="51"/>
    </row>
    <row r="329" spans="1:8">
      <c r="A329" s="71">
        <v>719</v>
      </c>
      <c r="B329" s="73">
        <v>1220000</v>
      </c>
      <c r="C329" s="76">
        <v>26900000</v>
      </c>
      <c r="D329" s="76">
        <f>+B329+C329</f>
        <v>28120000</v>
      </c>
      <c r="E329" s="51"/>
      <c r="F329" s="51"/>
      <c r="G329" s="51"/>
      <c r="H329" s="51"/>
    </row>
    <row r="330" spans="1:8">
      <c r="A330" s="72">
        <v>721</v>
      </c>
      <c r="B330" s="80">
        <v>488000</v>
      </c>
      <c r="C330" s="76">
        <v>35668092</v>
      </c>
      <c r="D330" s="76">
        <f>+B330+C330</f>
        <v>36156092</v>
      </c>
      <c r="E330" s="51"/>
      <c r="F330" s="51"/>
      <c r="G330" s="51"/>
      <c r="H330" s="51"/>
    </row>
    <row r="331" spans="1:8">
      <c r="A331" s="72">
        <v>722</v>
      </c>
      <c r="B331" s="80"/>
      <c r="C331" s="76">
        <v>224787287</v>
      </c>
      <c r="D331" s="76">
        <f>+B331+C331</f>
        <v>224787287</v>
      </c>
      <c r="E331" s="51"/>
      <c r="F331" s="51"/>
      <c r="G331" s="51"/>
      <c r="H331" s="51"/>
    </row>
    <row r="332" spans="1:8" ht="15.75">
      <c r="A332" s="72">
        <v>723</v>
      </c>
      <c r="B332" s="80"/>
      <c r="C332" s="76">
        <v>319828837</v>
      </c>
      <c r="D332" s="76">
        <f>+B332+C332</f>
        <v>319828837</v>
      </c>
      <c r="E332" s="51"/>
      <c r="F332" s="174" t="s">
        <v>23</v>
      </c>
      <c r="G332" s="51"/>
      <c r="H332" s="51"/>
    </row>
    <row r="333" spans="1:8" ht="16.5" thickBot="1">
      <c r="A333" s="164" t="s">
        <v>161</v>
      </c>
      <c r="B333" s="165"/>
      <c r="C333" s="168">
        <v>1965625</v>
      </c>
      <c r="D333" s="168">
        <f>+B333+C333</f>
        <v>1965625</v>
      </c>
      <c r="E333" s="51"/>
      <c r="F333" s="52"/>
      <c r="G333" s="51"/>
      <c r="H333" s="51"/>
    </row>
    <row r="334" spans="1:8" ht="16.5" thickBot="1">
      <c r="A334" s="169"/>
      <c r="B334" s="170">
        <f>SUM(B329:B333)</f>
        <v>1708000</v>
      </c>
      <c r="C334" s="171">
        <f>SUM(C329:C333)</f>
        <v>609149841</v>
      </c>
      <c r="D334" s="172">
        <f>SUM(D329:D333)</f>
        <v>610857841</v>
      </c>
      <c r="E334" s="51"/>
      <c r="F334" s="51"/>
      <c r="G334" s="51"/>
      <c r="H334" s="51"/>
    </row>
    <row r="335" spans="1:8" ht="16.5">
      <c r="A335" s="49" t="s">
        <v>88</v>
      </c>
      <c r="B335" s="50"/>
      <c r="C335" s="51"/>
      <c r="D335" s="51"/>
      <c r="E335" s="51"/>
      <c r="F335" s="51"/>
      <c r="G335" s="51"/>
      <c r="H335" s="51"/>
    </row>
    <row r="336" spans="1:8">
      <c r="A336" s="51" t="s">
        <v>89</v>
      </c>
      <c r="B336" s="51"/>
      <c r="C336" s="51"/>
      <c r="D336" s="51"/>
      <c r="E336" s="51"/>
      <c r="F336" s="51"/>
      <c r="G336" s="51"/>
      <c r="H336" s="51"/>
    </row>
    <row r="337" spans="1:8">
      <c r="A337" s="51" t="s">
        <v>90</v>
      </c>
      <c r="B337" s="51"/>
      <c r="C337" s="51"/>
      <c r="D337" s="51"/>
      <c r="E337" s="51"/>
      <c r="F337" s="51"/>
      <c r="G337" s="51"/>
      <c r="H337" s="51"/>
    </row>
    <row r="338" spans="1:8">
      <c r="A338" s="51" t="s">
        <v>91</v>
      </c>
      <c r="B338" s="51"/>
      <c r="C338" s="51"/>
      <c r="D338" s="51"/>
      <c r="E338" s="51"/>
      <c r="F338" s="51"/>
      <c r="G338" s="51"/>
      <c r="H338" s="51"/>
    </row>
    <row r="339" spans="1:8">
      <c r="A339" s="50"/>
      <c r="B339" s="50"/>
      <c r="C339" s="51"/>
      <c r="D339" s="51"/>
      <c r="E339" s="51"/>
      <c r="F339" s="51"/>
      <c r="G339" s="51"/>
      <c r="H339" s="51"/>
    </row>
    <row r="340" spans="1:8" ht="16.5">
      <c r="A340" s="52"/>
      <c r="B340" s="50"/>
      <c r="C340" s="51"/>
      <c r="D340" s="51"/>
      <c r="E340" s="51"/>
      <c r="F340" s="51"/>
      <c r="G340" s="52" t="s">
        <v>172</v>
      </c>
      <c r="H340" s="51"/>
    </row>
    <row r="341" spans="1:8" ht="15.75">
      <c r="A341" s="53"/>
      <c r="B341" s="51"/>
      <c r="C341" s="51"/>
      <c r="D341" s="51"/>
      <c r="E341" s="51"/>
      <c r="F341" s="51"/>
      <c r="G341" s="53" t="s">
        <v>92</v>
      </c>
      <c r="H341" s="51"/>
    </row>
    <row r="342" spans="1:8" ht="16.5">
      <c r="A342" s="894" t="s">
        <v>93</v>
      </c>
      <c r="B342" s="894"/>
      <c r="C342" s="894"/>
      <c r="D342" s="894"/>
      <c r="E342" s="894"/>
      <c r="F342" s="894"/>
      <c r="G342" s="894"/>
      <c r="H342" s="894"/>
    </row>
    <row r="343" spans="1:8" ht="15.75" thickBot="1">
      <c r="A343" s="51"/>
      <c r="B343" s="51"/>
      <c r="C343" s="51"/>
      <c r="D343" s="51"/>
      <c r="E343" s="51"/>
      <c r="F343" s="51"/>
      <c r="G343" s="51"/>
      <c r="H343" s="51"/>
    </row>
    <row r="344" spans="1:8">
      <c r="A344" s="988" t="s">
        <v>94</v>
      </c>
      <c r="B344" s="985" t="s">
        <v>95</v>
      </c>
      <c r="C344" s="985" t="s">
        <v>96</v>
      </c>
      <c r="D344" s="985" t="s">
        <v>3</v>
      </c>
      <c r="E344" s="985" t="s">
        <v>97</v>
      </c>
      <c r="F344" s="985" t="s">
        <v>98</v>
      </c>
      <c r="G344" s="985" t="s">
        <v>99</v>
      </c>
      <c r="H344" s="987"/>
    </row>
    <row r="345" spans="1:8" ht="15.75" thickBot="1">
      <c r="A345" s="989"/>
      <c r="B345" s="986"/>
      <c r="C345" s="986"/>
      <c r="D345" s="986"/>
      <c r="E345" s="986"/>
      <c r="F345" s="986"/>
      <c r="G345" s="179" t="s">
        <v>100</v>
      </c>
      <c r="H345" s="54" t="s">
        <v>101</v>
      </c>
    </row>
    <row r="346" spans="1:8">
      <c r="A346" s="881">
        <v>237</v>
      </c>
      <c r="B346" s="875">
        <v>42228</v>
      </c>
      <c r="C346" s="942" t="s">
        <v>31</v>
      </c>
      <c r="D346" s="881" t="s">
        <v>174</v>
      </c>
      <c r="E346" s="881" t="s">
        <v>115</v>
      </c>
      <c r="F346" s="883">
        <v>120000</v>
      </c>
      <c r="G346" s="55">
        <v>719</v>
      </c>
      <c r="H346" s="78">
        <v>120000</v>
      </c>
    </row>
    <row r="347" spans="1:8" ht="15.75" thickBot="1">
      <c r="A347" s="882"/>
      <c r="B347" s="934"/>
      <c r="C347" s="943"/>
      <c r="D347" s="882"/>
      <c r="E347" s="882"/>
      <c r="F347" s="884"/>
      <c r="G347" s="56">
        <v>721</v>
      </c>
      <c r="H347" s="79">
        <f>+F346-H346</f>
        <v>0</v>
      </c>
    </row>
    <row r="348" spans="1:8">
      <c r="A348" s="881">
        <f>+A346+1</f>
        <v>238</v>
      </c>
      <c r="B348" s="875">
        <v>42228</v>
      </c>
      <c r="C348" s="935" t="s">
        <v>28</v>
      </c>
      <c r="D348" s="881" t="s">
        <v>175</v>
      </c>
      <c r="E348" s="881" t="s">
        <v>115</v>
      </c>
      <c r="F348" s="883">
        <v>90000</v>
      </c>
      <c r="G348" s="55">
        <v>719</v>
      </c>
      <c r="H348" s="78">
        <v>90000</v>
      </c>
    </row>
    <row r="349" spans="1:8" ht="15.75" thickBot="1">
      <c r="A349" s="882"/>
      <c r="B349" s="934"/>
      <c r="C349" s="936"/>
      <c r="D349" s="882"/>
      <c r="E349" s="882"/>
      <c r="F349" s="884"/>
      <c r="G349" s="56">
        <v>721</v>
      </c>
      <c r="H349" s="79"/>
    </row>
    <row r="350" spans="1:8">
      <c r="A350" s="881"/>
      <c r="B350" s="875"/>
      <c r="C350" s="935"/>
      <c r="D350" s="881"/>
      <c r="E350" s="881"/>
      <c r="F350" s="883"/>
      <c r="G350" s="55">
        <v>719</v>
      </c>
      <c r="H350" s="78">
        <v>70000</v>
      </c>
    </row>
    <row r="351" spans="1:8" ht="15.75" thickBot="1">
      <c r="A351" s="882"/>
      <c r="B351" s="934"/>
      <c r="C351" s="936"/>
      <c r="D351" s="882"/>
      <c r="E351" s="882"/>
      <c r="F351" s="884"/>
      <c r="G351" s="56">
        <v>721</v>
      </c>
      <c r="H351" s="79">
        <f>+F350-H350</f>
        <v>-70000</v>
      </c>
    </row>
    <row r="352" spans="1:8">
      <c r="A352" s="881"/>
      <c r="B352" s="875"/>
      <c r="C352" s="935"/>
      <c r="D352" s="877"/>
      <c r="E352" s="881"/>
      <c r="F352" s="883"/>
      <c r="G352" s="55">
        <v>719</v>
      </c>
      <c r="H352" s="78">
        <v>80000</v>
      </c>
    </row>
    <row r="353" spans="1:8" ht="15.75" thickBot="1">
      <c r="A353" s="882"/>
      <c r="B353" s="934"/>
      <c r="C353" s="936"/>
      <c r="D353" s="878"/>
      <c r="E353" s="882"/>
      <c r="F353" s="884"/>
      <c r="G353" s="56">
        <v>721</v>
      </c>
      <c r="H353" s="79">
        <f>+F352-H352</f>
        <v>-80000</v>
      </c>
    </row>
    <row r="354" spans="1:8">
      <c r="A354" s="881"/>
      <c r="B354" s="875"/>
      <c r="C354" s="935"/>
      <c r="D354" s="877"/>
      <c r="E354" s="881"/>
      <c r="F354" s="883"/>
      <c r="G354" s="55">
        <v>719</v>
      </c>
      <c r="H354" s="78">
        <v>440000</v>
      </c>
    </row>
    <row r="355" spans="1:8" ht="15.75" thickBot="1">
      <c r="A355" s="882"/>
      <c r="B355" s="934"/>
      <c r="C355" s="936"/>
      <c r="D355" s="878"/>
      <c r="E355" s="882"/>
      <c r="F355" s="884"/>
      <c r="G355" s="56">
        <v>721</v>
      </c>
      <c r="H355" s="79">
        <f>+F354-H354</f>
        <v>-440000</v>
      </c>
    </row>
    <row r="356" spans="1:8" ht="16.5" thickBot="1">
      <c r="A356" s="901" t="s">
        <v>102</v>
      </c>
      <c r="B356" s="902"/>
      <c r="C356" s="902"/>
      <c r="D356" s="902"/>
      <c r="E356" s="903"/>
      <c r="F356" s="81">
        <f>SUM(F346:F355)</f>
        <v>210000</v>
      </c>
      <c r="G356" s="51"/>
      <c r="H356" s="51"/>
    </row>
    <row r="357" spans="1:8" ht="16.5" thickBot="1">
      <c r="A357" s="885" t="s">
        <v>103</v>
      </c>
      <c r="B357" s="886"/>
      <c r="C357" s="886"/>
      <c r="D357" s="886"/>
      <c r="E357" s="887"/>
      <c r="F357" s="69">
        <f>+C371</f>
        <v>610857841</v>
      </c>
      <c r="G357" s="51"/>
      <c r="H357" s="51"/>
    </row>
    <row r="358" spans="1:8" ht="16.5" thickBot="1">
      <c r="A358" s="888" t="s">
        <v>104</v>
      </c>
      <c r="B358" s="889"/>
      <c r="C358" s="889"/>
      <c r="D358" s="889"/>
      <c r="E358" s="890"/>
      <c r="F358" s="70">
        <f>SUM(F356:F357)</f>
        <v>611067841</v>
      </c>
      <c r="G358" s="51"/>
      <c r="H358" s="51"/>
    </row>
    <row r="359" spans="1:8">
      <c r="A359" s="61"/>
      <c r="B359" s="61"/>
      <c r="C359" s="61"/>
      <c r="D359" s="61"/>
      <c r="E359" s="61"/>
      <c r="F359" s="51"/>
      <c r="G359" s="51"/>
      <c r="H359" s="51"/>
    </row>
    <row r="360" spans="1:8">
      <c r="A360" s="51" t="s">
        <v>176</v>
      </c>
      <c r="B360" s="51"/>
      <c r="C360" s="51"/>
      <c r="D360" s="51"/>
      <c r="E360" s="51"/>
      <c r="F360" s="51"/>
      <c r="G360" s="51"/>
      <c r="H360" s="51"/>
    </row>
    <row r="361" spans="1:8">
      <c r="A361" s="51"/>
      <c r="B361" s="51"/>
      <c r="C361" s="51"/>
      <c r="D361" s="51"/>
      <c r="E361" s="51"/>
      <c r="F361" s="139"/>
      <c r="G361" s="51"/>
      <c r="H361" s="51"/>
    </row>
    <row r="362" spans="1:8">
      <c r="A362" s="50" t="s">
        <v>105</v>
      </c>
      <c r="B362" s="51"/>
      <c r="C362" s="51"/>
      <c r="D362" s="146"/>
      <c r="E362" s="51"/>
      <c r="F362" s="139"/>
      <c r="G362" s="51"/>
      <c r="H362" s="51"/>
    </row>
    <row r="363" spans="1:8" ht="15.75" thickBot="1">
      <c r="A363" s="51"/>
      <c r="B363" s="51"/>
      <c r="C363" s="51"/>
      <c r="D363" s="51"/>
      <c r="E363" s="51"/>
      <c r="F363" s="51"/>
      <c r="G363" s="51"/>
      <c r="H363" s="51"/>
    </row>
    <row r="364" spans="1:8" ht="15.75" thickBot="1">
      <c r="A364" s="891" t="s">
        <v>106</v>
      </c>
      <c r="B364" s="892"/>
      <c r="C364" s="892"/>
      <c r="D364" s="893"/>
      <c r="E364" s="51"/>
      <c r="F364" s="50" t="s">
        <v>107</v>
      </c>
      <c r="G364" s="51"/>
      <c r="H364" s="51"/>
    </row>
    <row r="365" spans="1:8" ht="30.75" thickBot="1">
      <c r="A365" s="57" t="s">
        <v>100</v>
      </c>
      <c r="B365" s="58" t="s">
        <v>108</v>
      </c>
      <c r="C365" s="59" t="s">
        <v>109</v>
      </c>
      <c r="D365" s="60" t="s">
        <v>110</v>
      </c>
      <c r="E365" s="51"/>
      <c r="F365" s="51"/>
      <c r="G365" s="51"/>
      <c r="H365" s="51"/>
    </row>
    <row r="366" spans="1:8">
      <c r="A366" s="71">
        <v>719</v>
      </c>
      <c r="B366" s="73">
        <v>210000</v>
      </c>
      <c r="C366" s="74">
        <v>28120000</v>
      </c>
      <c r="D366" s="76">
        <f>+B366+C366</f>
        <v>28330000</v>
      </c>
      <c r="E366" s="51"/>
      <c r="F366" s="51"/>
      <c r="G366" s="51"/>
      <c r="H366" s="51"/>
    </row>
    <row r="367" spans="1:8">
      <c r="A367" s="72">
        <v>721</v>
      </c>
      <c r="B367" s="80"/>
      <c r="C367" s="75">
        <v>36156092</v>
      </c>
      <c r="D367" s="76">
        <f>+B367+C367</f>
        <v>36156092</v>
      </c>
      <c r="E367" s="51"/>
      <c r="F367" s="51"/>
      <c r="G367" s="51"/>
      <c r="H367" s="51"/>
    </row>
    <row r="368" spans="1:8">
      <c r="A368" s="72">
        <v>722</v>
      </c>
      <c r="B368" s="80"/>
      <c r="C368" s="75">
        <v>224787287</v>
      </c>
      <c r="D368" s="76">
        <f>+B368+C368</f>
        <v>224787287</v>
      </c>
      <c r="E368" s="51"/>
      <c r="F368" s="51"/>
      <c r="G368" s="51"/>
      <c r="H368" s="51"/>
    </row>
    <row r="369" spans="1:8" ht="15.75">
      <c r="A369" s="72">
        <v>723</v>
      </c>
      <c r="B369" s="80"/>
      <c r="C369" s="75">
        <v>319828837</v>
      </c>
      <c r="D369" s="76">
        <f>+B369+C369</f>
        <v>319828837</v>
      </c>
      <c r="E369" s="51"/>
      <c r="F369" s="174" t="s">
        <v>23</v>
      </c>
      <c r="G369" s="175"/>
      <c r="H369" s="51"/>
    </row>
    <row r="370" spans="1:8" ht="16.5" thickBot="1">
      <c r="A370" s="164" t="s">
        <v>161</v>
      </c>
      <c r="B370" s="165"/>
      <c r="C370" s="166">
        <v>1965625</v>
      </c>
      <c r="D370" s="168">
        <f>+B370+C370</f>
        <v>1965625</v>
      </c>
      <c r="E370" s="51"/>
      <c r="F370" s="52"/>
      <c r="G370" s="51"/>
      <c r="H370" s="51"/>
    </row>
    <row r="371" spans="1:8" ht="16.5" thickBot="1">
      <c r="A371" s="169"/>
      <c r="B371" s="170">
        <f>SUM(B366:B370)</f>
        <v>210000</v>
      </c>
      <c r="C371" s="171">
        <f>SUM(C366:C370)</f>
        <v>610857841</v>
      </c>
      <c r="D371" s="172">
        <f>SUM(D366:D370)</f>
        <v>611067841</v>
      </c>
      <c r="E371" s="51"/>
      <c r="F371" s="51"/>
      <c r="G371" s="51"/>
      <c r="H371" s="51"/>
    </row>
    <row r="372" spans="1:8" ht="16.5">
      <c r="A372" s="49" t="s">
        <v>88</v>
      </c>
      <c r="B372" s="50"/>
      <c r="C372" s="51"/>
      <c r="D372" s="51"/>
      <c r="E372" s="51"/>
      <c r="F372" s="51"/>
      <c r="G372" s="51"/>
      <c r="H372" s="51"/>
    </row>
    <row r="373" spans="1:8">
      <c r="A373" s="51" t="s">
        <v>89</v>
      </c>
      <c r="B373" s="51"/>
      <c r="C373" s="51"/>
      <c r="D373" s="51"/>
      <c r="E373" s="51"/>
      <c r="F373" s="51"/>
      <c r="G373" s="51"/>
      <c r="H373" s="51"/>
    </row>
    <row r="374" spans="1:8">
      <c r="A374" s="51" t="s">
        <v>90</v>
      </c>
      <c r="B374" s="51"/>
      <c r="C374" s="51"/>
      <c r="D374" s="51"/>
      <c r="E374" s="51"/>
      <c r="F374" s="51"/>
      <c r="G374" s="51"/>
      <c r="H374" s="51"/>
    </row>
    <row r="375" spans="1:8">
      <c r="A375" s="51" t="s">
        <v>91</v>
      </c>
      <c r="B375" s="51"/>
      <c r="C375" s="51"/>
      <c r="D375" s="51"/>
      <c r="E375" s="51"/>
      <c r="F375" s="51"/>
      <c r="G375" s="51"/>
      <c r="H375" s="51"/>
    </row>
    <row r="376" spans="1:8">
      <c r="A376" s="50"/>
      <c r="B376" s="50"/>
      <c r="C376" s="51"/>
      <c r="D376" s="51"/>
      <c r="E376" s="51"/>
      <c r="F376" s="51"/>
      <c r="G376" s="51"/>
      <c r="H376" s="51"/>
    </row>
    <row r="377" spans="1:8" ht="16.5">
      <c r="A377" s="52"/>
      <c r="B377" s="50"/>
      <c r="C377" s="51"/>
      <c r="D377" s="51"/>
      <c r="E377" s="51"/>
      <c r="F377" s="51"/>
      <c r="G377" s="52" t="s">
        <v>173</v>
      </c>
      <c r="H377" s="51"/>
    </row>
    <row r="378" spans="1:8" ht="15.75">
      <c r="A378" s="53"/>
      <c r="B378" s="51"/>
      <c r="C378" s="51"/>
      <c r="D378" s="51"/>
      <c r="E378" s="51"/>
      <c r="F378" s="51"/>
      <c r="G378" s="53" t="s">
        <v>164</v>
      </c>
      <c r="H378" s="51"/>
    </row>
    <row r="379" spans="1:8" ht="16.5">
      <c r="A379" s="894" t="s">
        <v>170</v>
      </c>
      <c r="B379" s="894"/>
      <c r="C379" s="894"/>
      <c r="D379" s="894"/>
      <c r="E379" s="894"/>
      <c r="F379" s="894"/>
      <c r="G379" s="894"/>
      <c r="H379" s="894"/>
    </row>
    <row r="380" spans="1:8" ht="15.75" thickBot="1">
      <c r="A380" s="51"/>
      <c r="B380" s="51"/>
      <c r="C380" s="51"/>
      <c r="D380" s="51"/>
      <c r="E380" s="51"/>
      <c r="F380" s="51"/>
      <c r="G380" s="51"/>
      <c r="H380" s="51"/>
    </row>
    <row r="381" spans="1:8">
      <c r="A381" s="988" t="s">
        <v>94</v>
      </c>
      <c r="B381" s="985" t="s">
        <v>95</v>
      </c>
      <c r="C381" s="985" t="s">
        <v>96</v>
      </c>
      <c r="D381" s="985" t="s">
        <v>3</v>
      </c>
      <c r="E381" s="985" t="s">
        <v>97</v>
      </c>
      <c r="F381" s="985" t="s">
        <v>98</v>
      </c>
      <c r="G381" s="985" t="s">
        <v>99</v>
      </c>
      <c r="H381" s="987"/>
    </row>
    <row r="382" spans="1:8" ht="15.75" thickBot="1">
      <c r="A382" s="989"/>
      <c r="B382" s="986"/>
      <c r="C382" s="986"/>
      <c r="D382" s="986"/>
      <c r="E382" s="986"/>
      <c r="F382" s="986"/>
      <c r="G382" s="179" t="s">
        <v>100</v>
      </c>
      <c r="H382" s="54" t="s">
        <v>101</v>
      </c>
    </row>
    <row r="383" spans="1:8">
      <c r="A383" s="881">
        <v>232</v>
      </c>
      <c r="B383" s="875">
        <v>42228</v>
      </c>
      <c r="C383" s="942" t="s">
        <v>40</v>
      </c>
      <c r="D383" s="881" t="s">
        <v>168</v>
      </c>
      <c r="E383" s="881" t="s">
        <v>148</v>
      </c>
      <c r="F383" s="883">
        <v>252000</v>
      </c>
      <c r="G383" s="55">
        <v>719</v>
      </c>
      <c r="H383" s="78">
        <v>180000</v>
      </c>
    </row>
    <row r="384" spans="1:8" ht="15.75" thickBot="1">
      <c r="A384" s="882"/>
      <c r="B384" s="934"/>
      <c r="C384" s="943"/>
      <c r="D384" s="882"/>
      <c r="E384" s="882"/>
      <c r="F384" s="884"/>
      <c r="G384" s="56">
        <v>721</v>
      </c>
      <c r="H384" s="79">
        <f>+F383-H383</f>
        <v>72000</v>
      </c>
    </row>
    <row r="385" spans="1:8">
      <c r="A385" s="881">
        <f>+A383+1</f>
        <v>233</v>
      </c>
      <c r="B385" s="875">
        <v>42228</v>
      </c>
      <c r="C385" s="935" t="s">
        <v>28</v>
      </c>
      <c r="D385" s="881" t="s">
        <v>166</v>
      </c>
      <c r="E385" s="881" t="s">
        <v>148</v>
      </c>
      <c r="F385" s="883">
        <v>392000</v>
      </c>
      <c r="G385" s="55">
        <v>719</v>
      </c>
      <c r="H385" s="78">
        <v>280000</v>
      </c>
    </row>
    <row r="386" spans="1:8" ht="15.75" thickBot="1">
      <c r="A386" s="882"/>
      <c r="B386" s="934"/>
      <c r="C386" s="936"/>
      <c r="D386" s="882"/>
      <c r="E386" s="882"/>
      <c r="F386" s="884"/>
      <c r="G386" s="56">
        <v>721</v>
      </c>
      <c r="H386" s="79">
        <f>+F385-H385</f>
        <v>112000</v>
      </c>
    </row>
    <row r="387" spans="1:8">
      <c r="A387" s="881">
        <f>+A385+1</f>
        <v>234</v>
      </c>
      <c r="B387" s="875">
        <v>42228</v>
      </c>
      <c r="C387" s="935" t="s">
        <v>32</v>
      </c>
      <c r="D387" s="881" t="s">
        <v>166</v>
      </c>
      <c r="E387" s="881" t="s">
        <v>148</v>
      </c>
      <c r="F387" s="883">
        <v>126000</v>
      </c>
      <c r="G387" s="55">
        <v>719</v>
      </c>
      <c r="H387" s="78">
        <v>90000</v>
      </c>
    </row>
    <row r="388" spans="1:8" ht="15.75" thickBot="1">
      <c r="A388" s="882"/>
      <c r="B388" s="934"/>
      <c r="C388" s="936"/>
      <c r="D388" s="882"/>
      <c r="E388" s="882"/>
      <c r="F388" s="884"/>
      <c r="G388" s="56">
        <v>721</v>
      </c>
      <c r="H388" s="79">
        <f>+F387-H387</f>
        <v>36000</v>
      </c>
    </row>
    <row r="389" spans="1:8">
      <c r="A389" s="881">
        <f>+A387+1</f>
        <v>235</v>
      </c>
      <c r="B389" s="875">
        <v>42228</v>
      </c>
      <c r="C389" s="942" t="s">
        <v>169</v>
      </c>
      <c r="D389" s="877" t="s">
        <v>167</v>
      </c>
      <c r="E389" s="881" t="s">
        <v>148</v>
      </c>
      <c r="F389" s="883">
        <v>56000</v>
      </c>
      <c r="G389" s="55">
        <v>719</v>
      </c>
      <c r="H389" s="78">
        <v>40000</v>
      </c>
    </row>
    <row r="390" spans="1:8" ht="15.75" thickBot="1">
      <c r="A390" s="882"/>
      <c r="B390" s="934"/>
      <c r="C390" s="943"/>
      <c r="D390" s="878"/>
      <c r="E390" s="882"/>
      <c r="F390" s="884"/>
      <c r="G390" s="56">
        <v>721</v>
      </c>
      <c r="H390" s="79">
        <f>+F389-H389</f>
        <v>16000</v>
      </c>
    </row>
    <row r="391" spans="1:8">
      <c r="A391" s="881">
        <f>+A389+1</f>
        <v>236</v>
      </c>
      <c r="B391" s="875">
        <v>42228</v>
      </c>
      <c r="C391" s="942" t="s">
        <v>31</v>
      </c>
      <c r="D391" s="881" t="s">
        <v>166</v>
      </c>
      <c r="E391" s="881" t="s">
        <v>148</v>
      </c>
      <c r="F391" s="883">
        <v>882000</v>
      </c>
      <c r="G391" s="55">
        <v>719</v>
      </c>
      <c r="H391" s="78">
        <v>630000</v>
      </c>
    </row>
    <row r="392" spans="1:8" ht="15.75" thickBot="1">
      <c r="A392" s="882"/>
      <c r="B392" s="934"/>
      <c r="C392" s="943"/>
      <c r="D392" s="882"/>
      <c r="E392" s="882"/>
      <c r="F392" s="884"/>
      <c r="G392" s="56">
        <v>721</v>
      </c>
      <c r="H392" s="79">
        <f>+F391-H391</f>
        <v>252000</v>
      </c>
    </row>
    <row r="393" spans="1:8" ht="16.5" thickBot="1">
      <c r="A393" s="901" t="s">
        <v>102</v>
      </c>
      <c r="B393" s="902"/>
      <c r="C393" s="902"/>
      <c r="D393" s="902"/>
      <c r="E393" s="903"/>
      <c r="F393" s="81">
        <f>SUM(F383:F392)</f>
        <v>1708000</v>
      </c>
      <c r="G393" s="51"/>
      <c r="H393" s="51"/>
    </row>
    <row r="394" spans="1:8" ht="16.5" thickBot="1">
      <c r="A394" s="885" t="s">
        <v>103</v>
      </c>
      <c r="B394" s="886"/>
      <c r="C394" s="886"/>
      <c r="D394" s="886"/>
      <c r="E394" s="887"/>
      <c r="F394" s="69">
        <f>+C408</f>
        <v>609149841</v>
      </c>
      <c r="G394" s="51"/>
      <c r="H394" s="51"/>
    </row>
    <row r="395" spans="1:8" ht="16.5" thickBot="1">
      <c r="A395" s="888" t="s">
        <v>104</v>
      </c>
      <c r="B395" s="889"/>
      <c r="C395" s="889"/>
      <c r="D395" s="889"/>
      <c r="E395" s="890"/>
      <c r="F395" s="70">
        <f>SUM(F393:F394)</f>
        <v>610857841</v>
      </c>
      <c r="G395" s="51"/>
      <c r="H395" s="51"/>
    </row>
    <row r="396" spans="1:8">
      <c r="A396" s="61"/>
      <c r="B396" s="61"/>
      <c r="C396" s="61"/>
      <c r="D396" s="61"/>
      <c r="E396" s="61"/>
      <c r="F396" s="51"/>
      <c r="G396" s="51"/>
      <c r="H396" s="51"/>
    </row>
    <row r="397" spans="1:8">
      <c r="A397" s="51" t="s">
        <v>171</v>
      </c>
      <c r="B397" s="51"/>
      <c r="C397" s="51"/>
      <c r="D397" s="51"/>
      <c r="E397" s="51"/>
      <c r="F397" s="51"/>
      <c r="G397" s="51"/>
      <c r="H397" s="51"/>
    </row>
    <row r="398" spans="1:8">
      <c r="A398" s="51"/>
      <c r="B398" s="51"/>
      <c r="C398" s="51"/>
      <c r="D398" s="51"/>
      <c r="E398" s="51"/>
      <c r="F398" s="139"/>
      <c r="G398" s="51"/>
      <c r="H398" s="51"/>
    </row>
    <row r="399" spans="1:8">
      <c r="A399" s="50" t="s">
        <v>105</v>
      </c>
      <c r="B399" s="51"/>
      <c r="C399" s="51"/>
      <c r="D399" s="146"/>
      <c r="E399" s="51"/>
      <c r="F399" s="51"/>
      <c r="G399" s="51"/>
      <c r="H399" s="51"/>
    </row>
    <row r="400" spans="1:8" ht="15.75" thickBot="1">
      <c r="A400" s="51"/>
      <c r="B400" s="51"/>
      <c r="C400" s="51"/>
      <c r="D400" s="51"/>
      <c r="E400" s="51"/>
      <c r="F400" s="51"/>
      <c r="G400" s="51"/>
      <c r="H400" s="51"/>
    </row>
    <row r="401" spans="1:8" ht="15.75" thickBot="1">
      <c r="A401" s="891" t="s">
        <v>106</v>
      </c>
      <c r="B401" s="892"/>
      <c r="C401" s="892"/>
      <c r="D401" s="893"/>
      <c r="E401" s="51"/>
      <c r="F401" s="50" t="s">
        <v>107</v>
      </c>
      <c r="G401" s="51"/>
      <c r="H401" s="51"/>
    </row>
    <row r="402" spans="1:8" ht="30.75" thickBot="1">
      <c r="A402" s="57" t="s">
        <v>100</v>
      </c>
      <c r="B402" s="58" t="s">
        <v>108</v>
      </c>
      <c r="C402" s="59" t="s">
        <v>109</v>
      </c>
      <c r="D402" s="60" t="s">
        <v>110</v>
      </c>
      <c r="E402" s="51"/>
      <c r="F402" s="51"/>
      <c r="G402" s="51"/>
      <c r="H402" s="51"/>
    </row>
    <row r="403" spans="1:8">
      <c r="A403" s="71">
        <v>719</v>
      </c>
      <c r="B403" s="73">
        <v>1220000</v>
      </c>
      <c r="C403" s="76">
        <v>26900000</v>
      </c>
      <c r="D403" s="76">
        <f>+B403+C403</f>
        <v>28120000</v>
      </c>
      <c r="E403" s="51"/>
      <c r="F403" s="51"/>
      <c r="G403" s="51"/>
      <c r="H403" s="51"/>
    </row>
    <row r="404" spans="1:8">
      <c r="A404" s="72">
        <v>721</v>
      </c>
      <c r="B404" s="80">
        <v>488000</v>
      </c>
      <c r="C404" s="76">
        <v>35668092</v>
      </c>
      <c r="D404" s="76">
        <f>+B404+C404</f>
        <v>36156092</v>
      </c>
      <c r="E404" s="51"/>
      <c r="F404" s="51"/>
      <c r="G404" s="51"/>
      <c r="H404" s="51"/>
    </row>
    <row r="405" spans="1:8">
      <c r="A405" s="72">
        <v>722</v>
      </c>
      <c r="B405" s="80"/>
      <c r="C405" s="76">
        <v>224787287</v>
      </c>
      <c r="D405" s="76">
        <f>+B405+C405</f>
        <v>224787287</v>
      </c>
      <c r="E405" s="51"/>
      <c r="F405" s="51"/>
      <c r="G405" s="51"/>
      <c r="H405" s="51"/>
    </row>
    <row r="406" spans="1:8" ht="15.75">
      <c r="A406" s="72">
        <v>723</v>
      </c>
      <c r="B406" s="80"/>
      <c r="C406" s="76">
        <v>319828837</v>
      </c>
      <c r="D406" s="76">
        <f>+B406+C406</f>
        <v>319828837</v>
      </c>
      <c r="E406" s="51"/>
      <c r="F406" s="174" t="s">
        <v>23</v>
      </c>
      <c r="G406" s="51"/>
      <c r="H406" s="51"/>
    </row>
    <row r="407" spans="1:8" ht="16.5" thickBot="1">
      <c r="A407" s="164" t="s">
        <v>161</v>
      </c>
      <c r="B407" s="165"/>
      <c r="C407" s="168">
        <v>1965625</v>
      </c>
      <c r="D407" s="168">
        <f>+B407+C407</f>
        <v>1965625</v>
      </c>
      <c r="E407" s="51"/>
      <c r="F407" s="52"/>
      <c r="G407" s="51"/>
      <c r="H407" s="51"/>
    </row>
    <row r="408" spans="1:8" ht="16.5" thickBot="1">
      <c r="A408" s="169"/>
      <c r="B408" s="170">
        <f>SUM(B403:B407)</f>
        <v>1708000</v>
      </c>
      <c r="C408" s="171">
        <f>SUM(C403:C407)</f>
        <v>609149841</v>
      </c>
      <c r="D408" s="172">
        <f>SUM(D403:D407)</f>
        <v>610857841</v>
      </c>
      <c r="E408" s="51"/>
      <c r="F408" s="51"/>
      <c r="G408" s="51"/>
      <c r="H408" s="51"/>
    </row>
    <row r="409" spans="1:8" ht="16.5">
      <c r="A409" s="49" t="s">
        <v>88</v>
      </c>
      <c r="B409" s="50"/>
      <c r="C409" s="51"/>
      <c r="D409" s="51"/>
      <c r="E409" s="51"/>
      <c r="F409" s="51"/>
      <c r="G409" s="51"/>
      <c r="H409" s="51"/>
    </row>
    <row r="410" spans="1:8">
      <c r="A410" s="51" t="s">
        <v>89</v>
      </c>
      <c r="B410" s="51"/>
      <c r="C410" s="51"/>
      <c r="D410" s="51"/>
      <c r="E410" s="51"/>
      <c r="F410" s="51"/>
      <c r="G410" s="51"/>
      <c r="H410" s="51"/>
    </row>
    <row r="411" spans="1:8">
      <c r="A411" s="51" t="s">
        <v>90</v>
      </c>
      <c r="B411" s="51"/>
      <c r="C411" s="51"/>
      <c r="D411" s="51"/>
      <c r="E411" s="51"/>
      <c r="F411" s="51"/>
      <c r="G411" s="51"/>
      <c r="H411" s="51"/>
    </row>
    <row r="412" spans="1:8">
      <c r="A412" s="51" t="s">
        <v>91</v>
      </c>
      <c r="B412" s="51"/>
      <c r="C412" s="51"/>
      <c r="D412" s="51"/>
      <c r="E412" s="51"/>
      <c r="F412" s="51"/>
      <c r="G412" s="51"/>
      <c r="H412" s="51"/>
    </row>
    <row r="413" spans="1:8">
      <c r="A413" s="50"/>
      <c r="B413" s="50"/>
      <c r="C413" s="51"/>
      <c r="D413" s="51"/>
      <c r="E413" s="51"/>
      <c r="F413" s="51"/>
      <c r="G413" s="51"/>
      <c r="H413" s="51"/>
    </row>
    <row r="414" spans="1:8" ht="16.5">
      <c r="A414" s="52"/>
      <c r="B414" s="50"/>
      <c r="C414" s="51"/>
      <c r="D414" s="51"/>
      <c r="E414" s="51"/>
      <c r="F414" s="51"/>
      <c r="G414" s="52" t="s">
        <v>172</v>
      </c>
      <c r="H414" s="51"/>
    </row>
    <row r="415" spans="1:8" ht="15.75">
      <c r="A415" s="53"/>
      <c r="B415" s="51"/>
      <c r="C415" s="51"/>
      <c r="D415" s="51"/>
      <c r="E415" s="51"/>
      <c r="F415" s="51"/>
      <c r="G415" s="53" t="s">
        <v>92</v>
      </c>
      <c r="H415" s="51"/>
    </row>
    <row r="416" spans="1:8" ht="16.5">
      <c r="A416" s="894" t="s">
        <v>93</v>
      </c>
      <c r="B416" s="894"/>
      <c r="C416" s="894"/>
      <c r="D416" s="894"/>
      <c r="E416" s="894"/>
      <c r="F416" s="894"/>
      <c r="G416" s="894"/>
      <c r="H416" s="894"/>
    </row>
    <row r="417" spans="1:8" ht="15.75" thickBot="1">
      <c r="A417" s="51"/>
      <c r="B417" s="51"/>
      <c r="C417" s="51"/>
      <c r="D417" s="51"/>
      <c r="E417" s="51"/>
      <c r="F417" s="51"/>
      <c r="G417" s="51"/>
      <c r="H417" s="51"/>
    </row>
    <row r="418" spans="1:8">
      <c r="A418" s="988" t="s">
        <v>94</v>
      </c>
      <c r="B418" s="985" t="s">
        <v>95</v>
      </c>
      <c r="C418" s="985" t="s">
        <v>96</v>
      </c>
      <c r="D418" s="985" t="s">
        <v>3</v>
      </c>
      <c r="E418" s="985" t="s">
        <v>97</v>
      </c>
      <c r="F418" s="985" t="s">
        <v>98</v>
      </c>
      <c r="G418" s="985" t="s">
        <v>99</v>
      </c>
      <c r="H418" s="987"/>
    </row>
    <row r="419" spans="1:8" ht="15.75" thickBot="1">
      <c r="A419" s="989"/>
      <c r="B419" s="986"/>
      <c r="C419" s="986"/>
      <c r="D419" s="986"/>
      <c r="E419" s="986"/>
      <c r="F419" s="986"/>
      <c r="G419" s="179" t="s">
        <v>100</v>
      </c>
      <c r="H419" s="54" t="s">
        <v>101</v>
      </c>
    </row>
    <row r="420" spans="1:8">
      <c r="A420" s="881">
        <v>237</v>
      </c>
      <c r="B420" s="875">
        <v>42228</v>
      </c>
      <c r="C420" s="942" t="s">
        <v>31</v>
      </c>
      <c r="D420" s="881" t="s">
        <v>174</v>
      </c>
      <c r="E420" s="881" t="s">
        <v>115</v>
      </c>
      <c r="F420" s="883">
        <v>120000</v>
      </c>
      <c r="G420" s="55">
        <v>719</v>
      </c>
      <c r="H420" s="78">
        <v>120000</v>
      </c>
    </row>
    <row r="421" spans="1:8" ht="15.75" thickBot="1">
      <c r="A421" s="882"/>
      <c r="B421" s="934"/>
      <c r="C421" s="943"/>
      <c r="D421" s="882"/>
      <c r="E421" s="882"/>
      <c r="F421" s="884"/>
      <c r="G421" s="56">
        <v>721</v>
      </c>
      <c r="H421" s="79">
        <f>+F420-H420</f>
        <v>0</v>
      </c>
    </row>
    <row r="422" spans="1:8">
      <c r="A422" s="881">
        <f>+A420+1</f>
        <v>238</v>
      </c>
      <c r="B422" s="875">
        <v>42228</v>
      </c>
      <c r="C422" s="935" t="s">
        <v>28</v>
      </c>
      <c r="D422" s="881" t="s">
        <v>175</v>
      </c>
      <c r="E422" s="881" t="s">
        <v>115</v>
      </c>
      <c r="F422" s="883">
        <v>90000</v>
      </c>
      <c r="G422" s="55">
        <v>719</v>
      </c>
      <c r="H422" s="78">
        <v>90000</v>
      </c>
    </row>
    <row r="423" spans="1:8" ht="15.75" thickBot="1">
      <c r="A423" s="882"/>
      <c r="B423" s="934"/>
      <c r="C423" s="936"/>
      <c r="D423" s="882"/>
      <c r="E423" s="882"/>
      <c r="F423" s="884"/>
      <c r="G423" s="56">
        <v>721</v>
      </c>
      <c r="H423" s="79"/>
    </row>
    <row r="424" spans="1:8">
      <c r="A424" s="881"/>
      <c r="B424" s="875"/>
      <c r="C424" s="935"/>
      <c r="D424" s="881"/>
      <c r="E424" s="881"/>
      <c r="F424" s="883"/>
      <c r="G424" s="55">
        <v>719</v>
      </c>
      <c r="H424" s="78">
        <v>70000</v>
      </c>
    </row>
    <row r="425" spans="1:8" ht="15.75" thickBot="1">
      <c r="A425" s="882"/>
      <c r="B425" s="934"/>
      <c r="C425" s="936"/>
      <c r="D425" s="882"/>
      <c r="E425" s="882"/>
      <c r="F425" s="884"/>
      <c r="G425" s="56">
        <v>721</v>
      </c>
      <c r="H425" s="79">
        <f>+F424-H424</f>
        <v>-70000</v>
      </c>
    </row>
    <row r="426" spans="1:8">
      <c r="A426" s="881"/>
      <c r="B426" s="875"/>
      <c r="C426" s="935"/>
      <c r="D426" s="877"/>
      <c r="E426" s="881"/>
      <c r="F426" s="883"/>
      <c r="G426" s="55">
        <v>719</v>
      </c>
      <c r="H426" s="78">
        <v>80000</v>
      </c>
    </row>
    <row r="427" spans="1:8" ht="15.75" thickBot="1">
      <c r="A427" s="882"/>
      <c r="B427" s="934"/>
      <c r="C427" s="936"/>
      <c r="D427" s="878"/>
      <c r="E427" s="882"/>
      <c r="F427" s="884"/>
      <c r="G427" s="56">
        <v>721</v>
      </c>
      <c r="H427" s="79">
        <f>+F426-H426</f>
        <v>-80000</v>
      </c>
    </row>
    <row r="428" spans="1:8">
      <c r="A428" s="881"/>
      <c r="B428" s="875"/>
      <c r="C428" s="935"/>
      <c r="D428" s="877"/>
      <c r="E428" s="881"/>
      <c r="F428" s="883"/>
      <c r="G428" s="55">
        <v>719</v>
      </c>
      <c r="H428" s="78">
        <v>440000</v>
      </c>
    </row>
    <row r="429" spans="1:8" ht="15.75" thickBot="1">
      <c r="A429" s="882"/>
      <c r="B429" s="934"/>
      <c r="C429" s="936"/>
      <c r="D429" s="878"/>
      <c r="E429" s="882"/>
      <c r="F429" s="884"/>
      <c r="G429" s="56">
        <v>721</v>
      </c>
      <c r="H429" s="79">
        <f>+F428-H428</f>
        <v>-440000</v>
      </c>
    </row>
    <row r="430" spans="1:8" ht="16.5" thickBot="1">
      <c r="A430" s="901" t="s">
        <v>102</v>
      </c>
      <c r="B430" s="902"/>
      <c r="C430" s="902"/>
      <c r="D430" s="902"/>
      <c r="E430" s="903"/>
      <c r="F430" s="81">
        <f>SUM(F420:F429)</f>
        <v>210000</v>
      </c>
      <c r="G430" s="51"/>
      <c r="H430" s="51"/>
    </row>
    <row r="431" spans="1:8" ht="16.5" thickBot="1">
      <c r="A431" s="885" t="s">
        <v>103</v>
      </c>
      <c r="B431" s="886"/>
      <c r="C431" s="886"/>
      <c r="D431" s="886"/>
      <c r="E431" s="887"/>
      <c r="F431" s="69">
        <f>+C445</f>
        <v>610857841</v>
      </c>
      <c r="G431" s="51"/>
      <c r="H431" s="51"/>
    </row>
    <row r="432" spans="1:8" ht="16.5" thickBot="1">
      <c r="A432" s="888" t="s">
        <v>104</v>
      </c>
      <c r="B432" s="889"/>
      <c r="C432" s="889"/>
      <c r="D432" s="889"/>
      <c r="E432" s="890"/>
      <c r="F432" s="70">
        <f>SUM(F430:F431)</f>
        <v>611067841</v>
      </c>
      <c r="G432" s="51"/>
      <c r="H432" s="51"/>
    </row>
    <row r="433" spans="1:8">
      <c r="A433" s="61"/>
      <c r="B433" s="61"/>
      <c r="C433" s="61"/>
      <c r="D433" s="61"/>
      <c r="E433" s="61"/>
      <c r="F433" s="51"/>
      <c r="G433" s="51"/>
      <c r="H433" s="51"/>
    </row>
    <row r="434" spans="1:8">
      <c r="A434" s="51" t="s">
        <v>176</v>
      </c>
      <c r="B434" s="51"/>
      <c r="C434" s="51"/>
      <c r="D434" s="51"/>
      <c r="E434" s="51"/>
      <c r="F434" s="51"/>
      <c r="G434" s="51"/>
      <c r="H434" s="51"/>
    </row>
    <row r="435" spans="1:8">
      <c r="A435" s="51"/>
      <c r="B435" s="51"/>
      <c r="C435" s="51"/>
      <c r="D435" s="51"/>
      <c r="E435" s="51"/>
      <c r="F435" s="139"/>
      <c r="G435" s="51"/>
      <c r="H435" s="51"/>
    </row>
    <row r="436" spans="1:8">
      <c r="A436" s="50" t="s">
        <v>105</v>
      </c>
      <c r="B436" s="51"/>
      <c r="C436" s="51"/>
      <c r="D436" s="146"/>
      <c r="E436" s="51"/>
      <c r="F436" s="139"/>
      <c r="G436" s="51"/>
      <c r="H436" s="51"/>
    </row>
    <row r="437" spans="1:8" ht="15.75" thickBot="1">
      <c r="A437" s="51"/>
      <c r="B437" s="51"/>
      <c r="C437" s="51"/>
      <c r="D437" s="51"/>
      <c r="E437" s="51"/>
      <c r="F437" s="51"/>
      <c r="G437" s="51"/>
      <c r="H437" s="51"/>
    </row>
    <row r="438" spans="1:8" ht="15.75" thickBot="1">
      <c r="A438" s="891" t="s">
        <v>106</v>
      </c>
      <c r="B438" s="892"/>
      <c r="C438" s="892"/>
      <c r="D438" s="893"/>
      <c r="E438" s="51"/>
      <c r="F438" s="50" t="s">
        <v>107</v>
      </c>
      <c r="G438" s="51"/>
      <c r="H438" s="51"/>
    </row>
    <row r="439" spans="1:8" ht="30.75" thickBot="1">
      <c r="A439" s="57" t="s">
        <v>100</v>
      </c>
      <c r="B439" s="58" t="s">
        <v>108</v>
      </c>
      <c r="C439" s="59" t="s">
        <v>109</v>
      </c>
      <c r="D439" s="60" t="s">
        <v>110</v>
      </c>
      <c r="E439" s="51"/>
      <c r="F439" s="51"/>
      <c r="G439" s="51"/>
      <c r="H439" s="51"/>
    </row>
    <row r="440" spans="1:8">
      <c r="A440" s="71">
        <v>719</v>
      </c>
      <c r="B440" s="73">
        <v>210000</v>
      </c>
      <c r="C440" s="74">
        <v>28120000</v>
      </c>
      <c r="D440" s="76">
        <f>+B440+C440</f>
        <v>28330000</v>
      </c>
      <c r="E440" s="51"/>
      <c r="F440" s="51"/>
      <c r="G440" s="51"/>
      <c r="H440" s="51"/>
    </row>
    <row r="441" spans="1:8">
      <c r="A441" s="72">
        <v>721</v>
      </c>
      <c r="B441" s="80"/>
      <c r="C441" s="75">
        <v>36156092</v>
      </c>
      <c r="D441" s="76">
        <f>+B441+C441</f>
        <v>36156092</v>
      </c>
      <c r="E441" s="51"/>
      <c r="F441" s="51"/>
      <c r="G441" s="51"/>
      <c r="H441" s="51"/>
    </row>
    <row r="442" spans="1:8">
      <c r="A442" s="72">
        <v>722</v>
      </c>
      <c r="B442" s="80"/>
      <c r="C442" s="75">
        <v>224787287</v>
      </c>
      <c r="D442" s="76">
        <f>+B442+C442</f>
        <v>224787287</v>
      </c>
      <c r="E442" s="51"/>
      <c r="F442" s="51"/>
      <c r="G442" s="51"/>
      <c r="H442" s="51"/>
    </row>
    <row r="443" spans="1:8" ht="15.75">
      <c r="A443" s="72">
        <v>723</v>
      </c>
      <c r="B443" s="80"/>
      <c r="C443" s="75">
        <v>319828837</v>
      </c>
      <c r="D443" s="76">
        <f>+B443+C443</f>
        <v>319828837</v>
      </c>
      <c r="E443" s="51"/>
      <c r="F443" s="174" t="s">
        <v>23</v>
      </c>
      <c r="G443" s="175"/>
      <c r="H443" s="51"/>
    </row>
    <row r="444" spans="1:8" ht="16.5" thickBot="1">
      <c r="A444" s="164" t="s">
        <v>161</v>
      </c>
      <c r="B444" s="165"/>
      <c r="C444" s="166">
        <v>1965625</v>
      </c>
      <c r="D444" s="168">
        <f>+B444+C444</f>
        <v>1965625</v>
      </c>
      <c r="E444" s="51"/>
      <c r="F444" s="52"/>
      <c r="G444" s="51"/>
      <c r="H444" s="51"/>
    </row>
    <row r="445" spans="1:8" ht="16.5" thickBot="1">
      <c r="A445" s="169"/>
      <c r="B445" s="170">
        <f>SUM(B440:B444)</f>
        <v>210000</v>
      </c>
      <c r="C445" s="171">
        <f>SUM(C440:C444)</f>
        <v>610857841</v>
      </c>
      <c r="D445" s="172">
        <f>SUM(D440:D444)</f>
        <v>611067841</v>
      </c>
      <c r="E445" s="51"/>
      <c r="F445" s="51"/>
      <c r="G445" s="51"/>
      <c r="H445" s="51"/>
    </row>
    <row r="446" spans="1:8" ht="16.5">
      <c r="A446" s="49" t="s">
        <v>88</v>
      </c>
      <c r="B446" s="50"/>
      <c r="C446" s="51"/>
      <c r="D446" s="51"/>
      <c r="E446" s="51"/>
      <c r="F446" s="51"/>
      <c r="G446" s="51"/>
      <c r="H446" s="51"/>
    </row>
    <row r="447" spans="1:8">
      <c r="A447" s="51" t="s">
        <v>89</v>
      </c>
      <c r="B447" s="51"/>
      <c r="C447" s="51"/>
      <c r="D447" s="51"/>
      <c r="E447" s="51"/>
      <c r="F447" s="51"/>
      <c r="G447" s="51"/>
      <c r="H447" s="51"/>
    </row>
    <row r="448" spans="1:8">
      <c r="A448" s="51" t="s">
        <v>90</v>
      </c>
      <c r="B448" s="51"/>
      <c r="C448" s="51"/>
      <c r="D448" s="51"/>
      <c r="E448" s="51"/>
      <c r="F448" s="51"/>
      <c r="G448" s="51"/>
      <c r="H448" s="51"/>
    </row>
    <row r="449" spans="1:8">
      <c r="A449" s="51" t="s">
        <v>91</v>
      </c>
      <c r="B449" s="51"/>
      <c r="C449" s="51"/>
      <c r="D449" s="51"/>
      <c r="E449" s="51"/>
      <c r="F449" s="51"/>
      <c r="G449" s="51"/>
      <c r="H449" s="51"/>
    </row>
    <row r="450" spans="1:8">
      <c r="A450" s="50"/>
      <c r="B450" s="50"/>
      <c r="C450" s="51"/>
      <c r="D450" s="51"/>
      <c r="E450" s="51"/>
      <c r="F450" s="51"/>
      <c r="G450" s="51"/>
      <c r="H450" s="51"/>
    </row>
    <row r="451" spans="1:8" ht="16.5">
      <c r="A451" s="52"/>
      <c r="B451" s="50"/>
      <c r="C451" s="51"/>
      <c r="D451" s="51"/>
      <c r="E451" s="51"/>
      <c r="F451" s="51"/>
      <c r="G451" s="52" t="s">
        <v>173</v>
      </c>
      <c r="H451" s="51"/>
    </row>
    <row r="452" spans="1:8" ht="15.75">
      <c r="A452" s="53"/>
      <c r="B452" s="51"/>
      <c r="C452" s="51"/>
      <c r="D452" s="51"/>
      <c r="E452" s="51"/>
      <c r="F452" s="51"/>
      <c r="G452" s="53" t="s">
        <v>164</v>
      </c>
      <c r="H452" s="51"/>
    </row>
    <row r="453" spans="1:8" ht="16.5">
      <c r="A453" s="894" t="s">
        <v>170</v>
      </c>
      <c r="B453" s="894"/>
      <c r="C453" s="894"/>
      <c r="D453" s="894"/>
      <c r="E453" s="894"/>
      <c r="F453" s="894"/>
      <c r="G453" s="894"/>
      <c r="H453" s="894"/>
    </row>
    <row r="454" spans="1:8" ht="15.75" thickBot="1">
      <c r="A454" s="51"/>
      <c r="B454" s="51"/>
      <c r="C454" s="51"/>
      <c r="D454" s="51"/>
      <c r="E454" s="51"/>
      <c r="F454" s="51"/>
      <c r="G454" s="51"/>
      <c r="H454" s="51"/>
    </row>
    <row r="455" spans="1:8">
      <c r="A455" s="988" t="s">
        <v>94</v>
      </c>
      <c r="B455" s="985" t="s">
        <v>95</v>
      </c>
      <c r="C455" s="985" t="s">
        <v>96</v>
      </c>
      <c r="D455" s="985" t="s">
        <v>3</v>
      </c>
      <c r="E455" s="985" t="s">
        <v>97</v>
      </c>
      <c r="F455" s="985" t="s">
        <v>98</v>
      </c>
      <c r="G455" s="985" t="s">
        <v>99</v>
      </c>
      <c r="H455" s="987"/>
    </row>
    <row r="456" spans="1:8" ht="15.75" thickBot="1">
      <c r="A456" s="989"/>
      <c r="B456" s="986"/>
      <c r="C456" s="986"/>
      <c r="D456" s="986"/>
      <c r="E456" s="986"/>
      <c r="F456" s="986"/>
      <c r="G456" s="179" t="s">
        <v>100</v>
      </c>
      <c r="H456" s="54" t="s">
        <v>101</v>
      </c>
    </row>
    <row r="457" spans="1:8">
      <c r="A457" s="881">
        <v>232</v>
      </c>
      <c r="B457" s="875">
        <v>42228</v>
      </c>
      <c r="C457" s="942" t="s">
        <v>40</v>
      </c>
      <c r="D457" s="881" t="s">
        <v>168</v>
      </c>
      <c r="E457" s="881" t="s">
        <v>148</v>
      </c>
      <c r="F457" s="883">
        <v>252000</v>
      </c>
      <c r="G457" s="55">
        <v>719</v>
      </c>
      <c r="H457" s="78">
        <v>180000</v>
      </c>
    </row>
    <row r="458" spans="1:8" ht="15.75" thickBot="1">
      <c r="A458" s="882"/>
      <c r="B458" s="934"/>
      <c r="C458" s="943"/>
      <c r="D458" s="882"/>
      <c r="E458" s="882"/>
      <c r="F458" s="884"/>
      <c r="G458" s="56">
        <v>721</v>
      </c>
      <c r="H458" s="79">
        <f>+F457-H457</f>
        <v>72000</v>
      </c>
    </row>
    <row r="459" spans="1:8">
      <c r="A459" s="881">
        <f>+A457+1</f>
        <v>233</v>
      </c>
      <c r="B459" s="875">
        <v>42228</v>
      </c>
      <c r="C459" s="935" t="s">
        <v>28</v>
      </c>
      <c r="D459" s="881" t="s">
        <v>166</v>
      </c>
      <c r="E459" s="881" t="s">
        <v>148</v>
      </c>
      <c r="F459" s="883">
        <v>392000</v>
      </c>
      <c r="G459" s="55">
        <v>719</v>
      </c>
      <c r="H459" s="78">
        <v>280000</v>
      </c>
    </row>
    <row r="460" spans="1:8" ht="15.75" thickBot="1">
      <c r="A460" s="882"/>
      <c r="B460" s="934"/>
      <c r="C460" s="936"/>
      <c r="D460" s="882"/>
      <c r="E460" s="882"/>
      <c r="F460" s="884"/>
      <c r="G460" s="56">
        <v>721</v>
      </c>
      <c r="H460" s="79">
        <f>+F459-H459</f>
        <v>112000</v>
      </c>
    </row>
    <row r="461" spans="1:8">
      <c r="A461" s="881">
        <f>+A459+1</f>
        <v>234</v>
      </c>
      <c r="B461" s="875">
        <v>42228</v>
      </c>
      <c r="C461" s="935" t="s">
        <v>32</v>
      </c>
      <c r="D461" s="881" t="s">
        <v>166</v>
      </c>
      <c r="E461" s="881" t="s">
        <v>148</v>
      </c>
      <c r="F461" s="883">
        <v>126000</v>
      </c>
      <c r="G461" s="55">
        <v>719</v>
      </c>
      <c r="H461" s="78">
        <v>90000</v>
      </c>
    </row>
    <row r="462" spans="1:8" ht="15.75" thickBot="1">
      <c r="A462" s="882"/>
      <c r="B462" s="934"/>
      <c r="C462" s="936"/>
      <c r="D462" s="882"/>
      <c r="E462" s="882"/>
      <c r="F462" s="884"/>
      <c r="G462" s="56">
        <v>721</v>
      </c>
      <c r="H462" s="79">
        <f>+F461-H461</f>
        <v>36000</v>
      </c>
    </row>
    <row r="463" spans="1:8">
      <c r="A463" s="881">
        <f>+A461+1</f>
        <v>235</v>
      </c>
      <c r="B463" s="875">
        <v>42228</v>
      </c>
      <c r="C463" s="942" t="s">
        <v>169</v>
      </c>
      <c r="D463" s="877" t="s">
        <v>167</v>
      </c>
      <c r="E463" s="881" t="s">
        <v>148</v>
      </c>
      <c r="F463" s="883">
        <v>56000</v>
      </c>
      <c r="G463" s="55">
        <v>719</v>
      </c>
      <c r="H463" s="78">
        <v>40000</v>
      </c>
    </row>
    <row r="464" spans="1:8" ht="15.75" thickBot="1">
      <c r="A464" s="882"/>
      <c r="B464" s="934"/>
      <c r="C464" s="943"/>
      <c r="D464" s="878"/>
      <c r="E464" s="882"/>
      <c r="F464" s="884"/>
      <c r="G464" s="56">
        <v>721</v>
      </c>
      <c r="H464" s="79">
        <f>+F463-H463</f>
        <v>16000</v>
      </c>
    </row>
    <row r="465" spans="1:8">
      <c r="A465" s="881">
        <f>+A463+1</f>
        <v>236</v>
      </c>
      <c r="B465" s="875">
        <v>42228</v>
      </c>
      <c r="C465" s="942" t="s">
        <v>31</v>
      </c>
      <c r="D465" s="881" t="s">
        <v>166</v>
      </c>
      <c r="E465" s="881" t="s">
        <v>148</v>
      </c>
      <c r="F465" s="883">
        <v>882000</v>
      </c>
      <c r="G465" s="55">
        <v>719</v>
      </c>
      <c r="H465" s="78">
        <v>630000</v>
      </c>
    </row>
    <row r="466" spans="1:8" ht="15.75" thickBot="1">
      <c r="A466" s="882"/>
      <c r="B466" s="934"/>
      <c r="C466" s="943"/>
      <c r="D466" s="882"/>
      <c r="E466" s="882"/>
      <c r="F466" s="884"/>
      <c r="G466" s="56">
        <v>721</v>
      </c>
      <c r="H466" s="79">
        <f>+F465-H465</f>
        <v>252000</v>
      </c>
    </row>
    <row r="467" spans="1:8" ht="16.5" thickBot="1">
      <c r="A467" s="901" t="s">
        <v>102</v>
      </c>
      <c r="B467" s="902"/>
      <c r="C467" s="902"/>
      <c r="D467" s="902"/>
      <c r="E467" s="903"/>
      <c r="F467" s="81">
        <f>SUM(F457:F466)</f>
        <v>1708000</v>
      </c>
      <c r="G467" s="51"/>
      <c r="H467" s="51"/>
    </row>
    <row r="468" spans="1:8" ht="16.5" thickBot="1">
      <c r="A468" s="885" t="s">
        <v>103</v>
      </c>
      <c r="B468" s="886"/>
      <c r="C468" s="886"/>
      <c r="D468" s="886"/>
      <c r="E468" s="887"/>
      <c r="F468" s="69">
        <f>+C482</f>
        <v>609149841</v>
      </c>
      <c r="G468" s="51"/>
      <c r="H468" s="51"/>
    </row>
    <row r="469" spans="1:8" ht="16.5" thickBot="1">
      <c r="A469" s="888" t="s">
        <v>104</v>
      </c>
      <c r="B469" s="889"/>
      <c r="C469" s="889"/>
      <c r="D469" s="889"/>
      <c r="E469" s="890"/>
      <c r="F469" s="70">
        <f>SUM(F467:F468)</f>
        <v>610857841</v>
      </c>
      <c r="G469" s="51"/>
      <c r="H469" s="51"/>
    </row>
    <row r="470" spans="1:8">
      <c r="A470" s="61"/>
      <c r="B470" s="61"/>
      <c r="C470" s="61"/>
      <c r="D470" s="61"/>
      <c r="E470" s="61"/>
      <c r="F470" s="51"/>
      <c r="G470" s="51"/>
      <c r="H470" s="51"/>
    </row>
    <row r="471" spans="1:8">
      <c r="A471" s="51" t="s">
        <v>171</v>
      </c>
      <c r="B471" s="51"/>
      <c r="C471" s="51"/>
      <c r="D471" s="51"/>
      <c r="E471" s="51"/>
      <c r="F471" s="51"/>
      <c r="G471" s="51"/>
      <c r="H471" s="51"/>
    </row>
    <row r="472" spans="1:8">
      <c r="A472" s="51"/>
      <c r="B472" s="51"/>
      <c r="C472" s="51"/>
      <c r="D472" s="51"/>
      <c r="E472" s="51"/>
      <c r="F472" s="139"/>
      <c r="G472" s="51"/>
      <c r="H472" s="51"/>
    </row>
    <row r="473" spans="1:8">
      <c r="A473" s="50" t="s">
        <v>105</v>
      </c>
      <c r="B473" s="51"/>
      <c r="C473" s="51"/>
      <c r="D473" s="146"/>
      <c r="E473" s="51"/>
      <c r="F473" s="51"/>
      <c r="G473" s="51"/>
      <c r="H473" s="51"/>
    </row>
    <row r="474" spans="1:8" ht="15.75" thickBot="1">
      <c r="A474" s="51"/>
      <c r="B474" s="51"/>
      <c r="C474" s="51"/>
      <c r="D474" s="51"/>
      <c r="E474" s="51"/>
      <c r="F474" s="51"/>
      <c r="G474" s="51"/>
      <c r="H474" s="51"/>
    </row>
    <row r="475" spans="1:8" ht="15.75" thickBot="1">
      <c r="A475" s="891" t="s">
        <v>106</v>
      </c>
      <c r="B475" s="892"/>
      <c r="C475" s="892"/>
      <c r="D475" s="893"/>
      <c r="E475" s="51"/>
      <c r="F475" s="50" t="s">
        <v>107</v>
      </c>
      <c r="G475" s="51"/>
      <c r="H475" s="51"/>
    </row>
    <row r="476" spans="1:8" ht="30.75" thickBot="1">
      <c r="A476" s="57" t="s">
        <v>100</v>
      </c>
      <c r="B476" s="58" t="s">
        <v>108</v>
      </c>
      <c r="C476" s="59" t="s">
        <v>109</v>
      </c>
      <c r="D476" s="60" t="s">
        <v>110</v>
      </c>
      <c r="E476" s="51"/>
      <c r="F476" s="51"/>
      <c r="G476" s="51"/>
      <c r="H476" s="51"/>
    </row>
    <row r="477" spans="1:8">
      <c r="A477" s="71">
        <v>719</v>
      </c>
      <c r="B477" s="73">
        <v>1220000</v>
      </c>
      <c r="C477" s="76">
        <v>26900000</v>
      </c>
      <c r="D477" s="76">
        <f>+B477+C477</f>
        <v>28120000</v>
      </c>
      <c r="E477" s="51"/>
      <c r="F477" s="51"/>
      <c r="G477" s="51"/>
      <c r="H477" s="51"/>
    </row>
    <row r="478" spans="1:8">
      <c r="A478" s="72">
        <v>721</v>
      </c>
      <c r="B478" s="80">
        <v>488000</v>
      </c>
      <c r="C478" s="76">
        <v>35668092</v>
      </c>
      <c r="D478" s="76">
        <f>+B478+C478</f>
        <v>36156092</v>
      </c>
      <c r="E478" s="51"/>
      <c r="F478" s="51"/>
      <c r="G478" s="51"/>
      <c r="H478" s="51"/>
    </row>
    <row r="479" spans="1:8">
      <c r="A479" s="72">
        <v>722</v>
      </c>
      <c r="B479" s="80"/>
      <c r="C479" s="76">
        <v>224787287</v>
      </c>
      <c r="D479" s="76">
        <f>+B479+C479</f>
        <v>224787287</v>
      </c>
      <c r="E479" s="51"/>
      <c r="F479" s="51"/>
      <c r="G479" s="51"/>
      <c r="H479" s="51"/>
    </row>
    <row r="480" spans="1:8" ht="15.75">
      <c r="A480" s="72">
        <v>723</v>
      </c>
      <c r="B480" s="80"/>
      <c r="C480" s="76">
        <v>319828837</v>
      </c>
      <c r="D480" s="76">
        <f>+B480+C480</f>
        <v>319828837</v>
      </c>
      <c r="E480" s="51"/>
      <c r="F480" s="174" t="s">
        <v>23</v>
      </c>
      <c r="G480" s="51"/>
      <c r="H480" s="51"/>
    </row>
    <row r="481" spans="1:8" ht="16.5" thickBot="1">
      <c r="A481" s="164" t="s">
        <v>161</v>
      </c>
      <c r="B481" s="165"/>
      <c r="C481" s="168">
        <v>1965625</v>
      </c>
      <c r="D481" s="168">
        <f>+B481+C481</f>
        <v>1965625</v>
      </c>
      <c r="E481" s="51"/>
      <c r="F481" s="52"/>
      <c r="G481" s="51"/>
      <c r="H481" s="51"/>
    </row>
    <row r="482" spans="1:8" ht="16.5" thickBot="1">
      <c r="A482" s="169"/>
      <c r="B482" s="170">
        <f>SUM(B477:B481)</f>
        <v>1708000</v>
      </c>
      <c r="C482" s="171">
        <f>SUM(C477:C481)</f>
        <v>609149841</v>
      </c>
      <c r="D482" s="172">
        <f>SUM(D477:D481)</f>
        <v>610857841</v>
      </c>
      <c r="E482" s="51"/>
      <c r="F482" s="51"/>
      <c r="G482" s="51"/>
      <c r="H482" s="51"/>
    </row>
    <row r="483" spans="1:8" ht="16.5">
      <c r="A483" s="49" t="s">
        <v>88</v>
      </c>
      <c r="B483" s="50"/>
      <c r="C483" s="51"/>
      <c r="D483" s="51"/>
      <c r="E483" s="51"/>
      <c r="F483" s="51"/>
      <c r="G483" s="51"/>
      <c r="H483" s="51"/>
    </row>
    <row r="484" spans="1:8">
      <c r="A484" s="51" t="s">
        <v>89</v>
      </c>
      <c r="B484" s="51"/>
      <c r="C484" s="51"/>
      <c r="D484" s="51"/>
      <c r="E484" s="51"/>
      <c r="F484" s="51"/>
      <c r="G484" s="51"/>
      <c r="H484" s="51"/>
    </row>
    <row r="485" spans="1:8">
      <c r="A485" s="51" t="s">
        <v>90</v>
      </c>
      <c r="B485" s="51"/>
      <c r="C485" s="51"/>
      <c r="D485" s="51"/>
      <c r="E485" s="51"/>
      <c r="F485" s="51"/>
      <c r="G485" s="51"/>
      <c r="H485" s="51"/>
    </row>
    <row r="486" spans="1:8">
      <c r="A486" s="51" t="s">
        <v>91</v>
      </c>
      <c r="B486" s="51"/>
      <c r="C486" s="51"/>
      <c r="D486" s="51"/>
      <c r="E486" s="51"/>
      <c r="F486" s="51"/>
      <c r="G486" s="51"/>
      <c r="H486" s="51"/>
    </row>
    <row r="487" spans="1:8">
      <c r="A487" s="50"/>
      <c r="B487" s="50"/>
      <c r="C487" s="51"/>
      <c r="D487" s="51"/>
      <c r="E487" s="51"/>
      <c r="F487" s="51"/>
      <c r="G487" s="51"/>
      <c r="H487" s="51"/>
    </row>
    <row r="488" spans="1:8" ht="16.5">
      <c r="A488" s="52"/>
      <c r="B488" s="50"/>
      <c r="C488" s="51"/>
      <c r="D488" s="51"/>
      <c r="E488" s="51"/>
      <c r="F488" s="51"/>
      <c r="G488" s="52" t="s">
        <v>172</v>
      </c>
      <c r="H488" s="51"/>
    </row>
    <row r="489" spans="1:8" ht="15.75">
      <c r="A489" s="53"/>
      <c r="B489" s="51"/>
      <c r="C489" s="51"/>
      <c r="D489" s="51"/>
      <c r="E489" s="51"/>
      <c r="F489" s="51"/>
      <c r="G489" s="53" t="s">
        <v>92</v>
      </c>
      <c r="H489" s="51"/>
    </row>
    <row r="490" spans="1:8" ht="16.5">
      <c r="A490" s="894" t="s">
        <v>93</v>
      </c>
      <c r="B490" s="894"/>
      <c r="C490" s="894"/>
      <c r="D490" s="894"/>
      <c r="E490" s="894"/>
      <c r="F490" s="894"/>
      <c r="G490" s="894"/>
      <c r="H490" s="894"/>
    </row>
    <row r="491" spans="1:8" ht="15.75" thickBot="1">
      <c r="A491" s="51"/>
      <c r="B491" s="51"/>
      <c r="C491" s="51"/>
      <c r="D491" s="51"/>
      <c r="E491" s="51"/>
      <c r="F491" s="51"/>
      <c r="G491" s="51"/>
      <c r="H491" s="51"/>
    </row>
    <row r="492" spans="1:8">
      <c r="A492" s="988" t="s">
        <v>94</v>
      </c>
      <c r="B492" s="985" t="s">
        <v>95</v>
      </c>
      <c r="C492" s="985" t="s">
        <v>96</v>
      </c>
      <c r="D492" s="985" t="s">
        <v>3</v>
      </c>
      <c r="E492" s="985" t="s">
        <v>97</v>
      </c>
      <c r="F492" s="985" t="s">
        <v>98</v>
      </c>
      <c r="G492" s="985" t="s">
        <v>99</v>
      </c>
      <c r="H492" s="987"/>
    </row>
    <row r="493" spans="1:8" ht="15.75" thickBot="1">
      <c r="A493" s="989"/>
      <c r="B493" s="986"/>
      <c r="C493" s="986"/>
      <c r="D493" s="986"/>
      <c r="E493" s="986"/>
      <c r="F493" s="986"/>
      <c r="G493" s="179" t="s">
        <v>100</v>
      </c>
      <c r="H493" s="54" t="s">
        <v>101</v>
      </c>
    </row>
    <row r="494" spans="1:8">
      <c r="A494" s="881">
        <v>237</v>
      </c>
      <c r="B494" s="875">
        <v>42228</v>
      </c>
      <c r="C494" s="942" t="s">
        <v>31</v>
      </c>
      <c r="D494" s="881" t="s">
        <v>174</v>
      </c>
      <c r="E494" s="881" t="s">
        <v>115</v>
      </c>
      <c r="F494" s="883">
        <v>120000</v>
      </c>
      <c r="G494" s="55">
        <v>719</v>
      </c>
      <c r="H494" s="78">
        <v>120000</v>
      </c>
    </row>
    <row r="495" spans="1:8" ht="15.75" thickBot="1">
      <c r="A495" s="882"/>
      <c r="B495" s="934"/>
      <c r="C495" s="943"/>
      <c r="D495" s="882"/>
      <c r="E495" s="882"/>
      <c r="F495" s="884"/>
      <c r="G495" s="56">
        <v>721</v>
      </c>
      <c r="H495" s="79">
        <f>+F494-H494</f>
        <v>0</v>
      </c>
    </row>
    <row r="496" spans="1:8">
      <c r="A496" s="881">
        <f>+A494+1</f>
        <v>238</v>
      </c>
      <c r="B496" s="875">
        <v>42228</v>
      </c>
      <c r="C496" s="935" t="s">
        <v>28</v>
      </c>
      <c r="D496" s="881" t="s">
        <v>175</v>
      </c>
      <c r="E496" s="881" t="s">
        <v>115</v>
      </c>
      <c r="F496" s="883">
        <v>90000</v>
      </c>
      <c r="G496" s="55">
        <v>719</v>
      </c>
      <c r="H496" s="78">
        <v>90000</v>
      </c>
    </row>
    <row r="497" spans="1:8" ht="15.75" thickBot="1">
      <c r="A497" s="882"/>
      <c r="B497" s="934"/>
      <c r="C497" s="936"/>
      <c r="D497" s="882"/>
      <c r="E497" s="882"/>
      <c r="F497" s="884"/>
      <c r="G497" s="56">
        <v>721</v>
      </c>
      <c r="H497" s="79"/>
    </row>
    <row r="498" spans="1:8">
      <c r="A498" s="881"/>
      <c r="B498" s="875"/>
      <c r="C498" s="935"/>
      <c r="D498" s="881"/>
      <c r="E498" s="881"/>
      <c r="F498" s="883"/>
      <c r="G498" s="55">
        <v>719</v>
      </c>
      <c r="H498" s="78">
        <v>70000</v>
      </c>
    </row>
    <row r="499" spans="1:8" ht="15.75" thickBot="1">
      <c r="A499" s="882"/>
      <c r="B499" s="934"/>
      <c r="C499" s="936"/>
      <c r="D499" s="882"/>
      <c r="E499" s="882"/>
      <c r="F499" s="884"/>
      <c r="G499" s="56">
        <v>721</v>
      </c>
      <c r="H499" s="79">
        <f>+F498-H498</f>
        <v>-70000</v>
      </c>
    </row>
    <row r="500" spans="1:8">
      <c r="A500" s="881"/>
      <c r="B500" s="875"/>
      <c r="C500" s="935"/>
      <c r="D500" s="877"/>
      <c r="E500" s="881"/>
      <c r="F500" s="883"/>
      <c r="G500" s="55">
        <v>719</v>
      </c>
      <c r="H500" s="78">
        <v>80000</v>
      </c>
    </row>
    <row r="501" spans="1:8" ht="15.75" thickBot="1">
      <c r="A501" s="882"/>
      <c r="B501" s="934"/>
      <c r="C501" s="936"/>
      <c r="D501" s="878"/>
      <c r="E501" s="882"/>
      <c r="F501" s="884"/>
      <c r="G501" s="56">
        <v>721</v>
      </c>
      <c r="H501" s="79">
        <f>+F500-H500</f>
        <v>-80000</v>
      </c>
    </row>
    <row r="502" spans="1:8">
      <c r="A502" s="881"/>
      <c r="B502" s="875"/>
      <c r="C502" s="935"/>
      <c r="D502" s="877"/>
      <c r="E502" s="881"/>
      <c r="F502" s="883"/>
      <c r="G502" s="55">
        <v>719</v>
      </c>
      <c r="H502" s="78">
        <v>440000</v>
      </c>
    </row>
    <row r="503" spans="1:8" ht="15.75" thickBot="1">
      <c r="A503" s="882"/>
      <c r="B503" s="934"/>
      <c r="C503" s="936"/>
      <c r="D503" s="878"/>
      <c r="E503" s="882"/>
      <c r="F503" s="884"/>
      <c r="G503" s="56">
        <v>721</v>
      </c>
      <c r="H503" s="79">
        <f>+F502-H502</f>
        <v>-440000</v>
      </c>
    </row>
    <row r="504" spans="1:8" ht="16.5" thickBot="1">
      <c r="A504" s="901" t="s">
        <v>102</v>
      </c>
      <c r="B504" s="902"/>
      <c r="C504" s="902"/>
      <c r="D504" s="902"/>
      <c r="E504" s="903"/>
      <c r="F504" s="81">
        <f>SUM(F494:F503)</f>
        <v>210000</v>
      </c>
      <c r="G504" s="51"/>
      <c r="H504" s="51"/>
    </row>
    <row r="505" spans="1:8" ht="16.5" thickBot="1">
      <c r="A505" s="885" t="s">
        <v>103</v>
      </c>
      <c r="B505" s="886"/>
      <c r="C505" s="886"/>
      <c r="D505" s="886"/>
      <c r="E505" s="887"/>
      <c r="F505" s="69">
        <f>+C519</f>
        <v>610857841</v>
      </c>
      <c r="G505" s="51"/>
      <c r="H505" s="51"/>
    </row>
    <row r="506" spans="1:8" ht="16.5" thickBot="1">
      <c r="A506" s="888" t="s">
        <v>104</v>
      </c>
      <c r="B506" s="889"/>
      <c r="C506" s="889"/>
      <c r="D506" s="889"/>
      <c r="E506" s="890"/>
      <c r="F506" s="70">
        <f>SUM(F504:F505)</f>
        <v>611067841</v>
      </c>
      <c r="G506" s="51"/>
      <c r="H506" s="51"/>
    </row>
    <row r="507" spans="1:8">
      <c r="A507" s="61"/>
      <c r="B507" s="61"/>
      <c r="C507" s="61"/>
      <c r="D507" s="61"/>
      <c r="E507" s="61"/>
      <c r="F507" s="51"/>
      <c r="G507" s="51"/>
      <c r="H507" s="51"/>
    </row>
    <row r="508" spans="1:8">
      <c r="A508" s="51" t="s">
        <v>176</v>
      </c>
      <c r="B508" s="51"/>
      <c r="C508" s="51"/>
      <c r="D508" s="51"/>
      <c r="E508" s="51"/>
      <c r="F508" s="51"/>
      <c r="G508" s="51"/>
      <c r="H508" s="51"/>
    </row>
    <row r="509" spans="1:8">
      <c r="A509" s="51"/>
      <c r="B509" s="51"/>
      <c r="C509" s="51"/>
      <c r="D509" s="51"/>
      <c r="E509" s="51"/>
      <c r="F509" s="139"/>
      <c r="G509" s="51"/>
      <c r="H509" s="51"/>
    </row>
    <row r="510" spans="1:8">
      <c r="A510" s="50" t="s">
        <v>105</v>
      </c>
      <c r="B510" s="51"/>
      <c r="C510" s="51"/>
      <c r="D510" s="146"/>
      <c r="E510" s="51"/>
      <c r="F510" s="139"/>
      <c r="G510" s="51"/>
      <c r="H510" s="51"/>
    </row>
    <row r="511" spans="1:8" ht="15.75" thickBot="1">
      <c r="A511" s="51"/>
      <c r="B511" s="51"/>
      <c r="C511" s="51"/>
      <c r="D511" s="51"/>
      <c r="E511" s="51"/>
      <c r="F511" s="51"/>
      <c r="G511" s="51"/>
      <c r="H511" s="51"/>
    </row>
    <row r="512" spans="1:8" ht="15.75" thickBot="1">
      <c r="A512" s="891" t="s">
        <v>106</v>
      </c>
      <c r="B512" s="892"/>
      <c r="C512" s="892"/>
      <c r="D512" s="893"/>
      <c r="E512" s="51"/>
      <c r="F512" s="50" t="s">
        <v>107</v>
      </c>
      <c r="G512" s="51"/>
      <c r="H512" s="51"/>
    </row>
    <row r="513" spans="1:8" ht="30.75" thickBot="1">
      <c r="A513" s="57" t="s">
        <v>100</v>
      </c>
      <c r="B513" s="58" t="s">
        <v>108</v>
      </c>
      <c r="C513" s="59" t="s">
        <v>109</v>
      </c>
      <c r="D513" s="60" t="s">
        <v>110</v>
      </c>
      <c r="E513" s="51"/>
      <c r="F513" s="51"/>
      <c r="G513" s="51"/>
      <c r="H513" s="51"/>
    </row>
    <row r="514" spans="1:8">
      <c r="A514" s="71">
        <v>719</v>
      </c>
      <c r="B514" s="73">
        <v>210000</v>
      </c>
      <c r="C514" s="74">
        <v>28120000</v>
      </c>
      <c r="D514" s="76">
        <f>+B514+C514</f>
        <v>28330000</v>
      </c>
      <c r="E514" s="51"/>
      <c r="F514" s="51"/>
      <c r="G514" s="51"/>
      <c r="H514" s="51"/>
    </row>
    <row r="515" spans="1:8">
      <c r="A515" s="72">
        <v>721</v>
      </c>
      <c r="B515" s="80"/>
      <c r="C515" s="75">
        <v>36156092</v>
      </c>
      <c r="D515" s="76">
        <f>+B515+C515</f>
        <v>36156092</v>
      </c>
      <c r="E515" s="51"/>
      <c r="F515" s="51"/>
      <c r="G515" s="51"/>
      <c r="H515" s="51"/>
    </row>
    <row r="516" spans="1:8">
      <c r="A516" s="72">
        <v>722</v>
      </c>
      <c r="B516" s="80"/>
      <c r="C516" s="75">
        <v>224787287</v>
      </c>
      <c r="D516" s="76">
        <f>+B516+C516</f>
        <v>224787287</v>
      </c>
      <c r="E516" s="51"/>
      <c r="F516" s="51"/>
      <c r="G516" s="51"/>
      <c r="H516" s="51"/>
    </row>
    <row r="517" spans="1:8" ht="15.75">
      <c r="A517" s="72">
        <v>723</v>
      </c>
      <c r="B517" s="80"/>
      <c r="C517" s="75">
        <v>319828837</v>
      </c>
      <c r="D517" s="76">
        <f>+B517+C517</f>
        <v>319828837</v>
      </c>
      <c r="E517" s="51"/>
      <c r="F517" s="174" t="s">
        <v>23</v>
      </c>
      <c r="G517" s="175"/>
      <c r="H517" s="51"/>
    </row>
    <row r="518" spans="1:8" ht="16.5" thickBot="1">
      <c r="A518" s="164" t="s">
        <v>161</v>
      </c>
      <c r="B518" s="165"/>
      <c r="C518" s="166">
        <v>1965625</v>
      </c>
      <c r="D518" s="168">
        <f>+B518+C518</f>
        <v>1965625</v>
      </c>
      <c r="E518" s="51"/>
      <c r="F518" s="52"/>
      <c r="G518" s="51"/>
      <c r="H518" s="51"/>
    </row>
    <row r="519" spans="1:8" ht="16.5" thickBot="1">
      <c r="A519" s="169"/>
      <c r="B519" s="170">
        <f>SUM(B514:B518)</f>
        <v>210000</v>
      </c>
      <c r="C519" s="171">
        <f>SUM(C514:C518)</f>
        <v>610857841</v>
      </c>
      <c r="D519" s="172">
        <f>SUM(D514:D518)</f>
        <v>611067841</v>
      </c>
      <c r="E519" s="51"/>
      <c r="F519" s="51"/>
      <c r="G519" s="51"/>
      <c r="H519" s="51"/>
    </row>
    <row r="520" spans="1:8" ht="16.5">
      <c r="A520" s="49" t="s">
        <v>88</v>
      </c>
      <c r="B520" s="50"/>
      <c r="C520" s="51"/>
      <c r="D520" s="51"/>
      <c r="E520" s="51"/>
      <c r="F520" s="51"/>
      <c r="G520" s="51"/>
      <c r="H520" s="51"/>
    </row>
    <row r="521" spans="1:8">
      <c r="A521" s="51" t="s">
        <v>89</v>
      </c>
      <c r="B521" s="51"/>
      <c r="C521" s="51"/>
      <c r="D521" s="51"/>
      <c r="E521" s="51"/>
      <c r="F521" s="51"/>
      <c r="G521" s="51"/>
      <c r="H521" s="51"/>
    </row>
    <row r="522" spans="1:8">
      <c r="A522" s="51" t="s">
        <v>90</v>
      </c>
      <c r="B522" s="51"/>
      <c r="C522" s="51"/>
      <c r="D522" s="51"/>
      <c r="E522" s="51"/>
      <c r="F522" s="51"/>
      <c r="G522" s="51"/>
      <c r="H522" s="51"/>
    </row>
    <row r="523" spans="1:8">
      <c r="A523" s="51" t="s">
        <v>91</v>
      </c>
      <c r="B523" s="51"/>
      <c r="C523" s="51"/>
      <c r="D523" s="51"/>
      <c r="E523" s="51"/>
      <c r="F523" s="51"/>
      <c r="G523" s="51"/>
      <c r="H523" s="51"/>
    </row>
    <row r="524" spans="1:8">
      <c r="A524" s="50"/>
      <c r="B524" s="50"/>
      <c r="C524" s="51"/>
      <c r="D524" s="51"/>
      <c r="E524" s="51"/>
      <c r="F524" s="51"/>
      <c r="G524" s="51"/>
      <c r="H524" s="51"/>
    </row>
    <row r="525" spans="1:8" ht="16.5">
      <c r="A525" s="52"/>
      <c r="B525" s="50"/>
      <c r="C525" s="51"/>
      <c r="D525" s="51"/>
      <c r="E525" s="51"/>
      <c r="F525" s="51"/>
      <c r="G525" s="52" t="s">
        <v>173</v>
      </c>
      <c r="H525" s="51"/>
    </row>
    <row r="526" spans="1:8" ht="15.75">
      <c r="A526" s="53"/>
      <c r="B526" s="51"/>
      <c r="C526" s="51"/>
      <c r="D526" s="51"/>
      <c r="E526" s="51"/>
      <c r="F526" s="51"/>
      <c r="G526" s="53" t="s">
        <v>164</v>
      </c>
      <c r="H526" s="51"/>
    </row>
    <row r="527" spans="1:8" ht="16.5">
      <c r="A527" s="894" t="s">
        <v>170</v>
      </c>
      <c r="B527" s="894"/>
      <c r="C527" s="894"/>
      <c r="D527" s="894"/>
      <c r="E527" s="894"/>
      <c r="F527" s="894"/>
      <c r="G527" s="894"/>
      <c r="H527" s="894"/>
    </row>
    <row r="528" spans="1:8" ht="15.75" thickBot="1">
      <c r="A528" s="51"/>
      <c r="B528" s="51"/>
      <c r="C528" s="51"/>
      <c r="D528" s="51"/>
      <c r="E528" s="51"/>
      <c r="F528" s="51"/>
      <c r="G528" s="51"/>
      <c r="H528" s="51"/>
    </row>
    <row r="529" spans="1:8">
      <c r="A529" s="988" t="s">
        <v>94</v>
      </c>
      <c r="B529" s="985" t="s">
        <v>95</v>
      </c>
      <c r="C529" s="985" t="s">
        <v>96</v>
      </c>
      <c r="D529" s="985" t="s">
        <v>3</v>
      </c>
      <c r="E529" s="985" t="s">
        <v>97</v>
      </c>
      <c r="F529" s="985" t="s">
        <v>98</v>
      </c>
      <c r="G529" s="985" t="s">
        <v>99</v>
      </c>
      <c r="H529" s="987"/>
    </row>
    <row r="530" spans="1:8" ht="15.75" thickBot="1">
      <c r="A530" s="989"/>
      <c r="B530" s="986"/>
      <c r="C530" s="986"/>
      <c r="D530" s="986"/>
      <c r="E530" s="986"/>
      <c r="F530" s="986"/>
      <c r="G530" s="179" t="s">
        <v>100</v>
      </c>
      <c r="H530" s="54" t="s">
        <v>101</v>
      </c>
    </row>
    <row r="531" spans="1:8">
      <c r="A531" s="881">
        <v>232</v>
      </c>
      <c r="B531" s="875">
        <v>42228</v>
      </c>
      <c r="C531" s="942" t="s">
        <v>40</v>
      </c>
      <c r="D531" s="881" t="s">
        <v>168</v>
      </c>
      <c r="E531" s="881" t="s">
        <v>148</v>
      </c>
      <c r="F531" s="883">
        <v>252000</v>
      </c>
      <c r="G531" s="55">
        <v>719</v>
      </c>
      <c r="H531" s="78">
        <v>180000</v>
      </c>
    </row>
    <row r="532" spans="1:8" ht="15.75" thickBot="1">
      <c r="A532" s="882"/>
      <c r="B532" s="934"/>
      <c r="C532" s="943"/>
      <c r="D532" s="882"/>
      <c r="E532" s="882"/>
      <c r="F532" s="884"/>
      <c r="G532" s="56">
        <v>721</v>
      </c>
      <c r="H532" s="79">
        <f>+F531-H531</f>
        <v>72000</v>
      </c>
    </row>
    <row r="533" spans="1:8">
      <c r="A533" s="881">
        <f>+A531+1</f>
        <v>233</v>
      </c>
      <c r="B533" s="875">
        <v>42228</v>
      </c>
      <c r="C533" s="935" t="s">
        <v>28</v>
      </c>
      <c r="D533" s="881" t="s">
        <v>166</v>
      </c>
      <c r="E533" s="881" t="s">
        <v>148</v>
      </c>
      <c r="F533" s="883">
        <v>392000</v>
      </c>
      <c r="G533" s="55">
        <v>719</v>
      </c>
      <c r="H533" s="78">
        <v>280000</v>
      </c>
    </row>
    <row r="534" spans="1:8" ht="15.75" thickBot="1">
      <c r="A534" s="882"/>
      <c r="B534" s="934"/>
      <c r="C534" s="936"/>
      <c r="D534" s="882"/>
      <c r="E534" s="882"/>
      <c r="F534" s="884"/>
      <c r="G534" s="56">
        <v>721</v>
      </c>
      <c r="H534" s="79">
        <f>+F533-H533</f>
        <v>112000</v>
      </c>
    </row>
    <row r="535" spans="1:8">
      <c r="A535" s="881">
        <f>+A533+1</f>
        <v>234</v>
      </c>
      <c r="B535" s="875">
        <v>42228</v>
      </c>
      <c r="C535" s="935" t="s">
        <v>32</v>
      </c>
      <c r="D535" s="881" t="s">
        <v>166</v>
      </c>
      <c r="E535" s="881" t="s">
        <v>148</v>
      </c>
      <c r="F535" s="883">
        <v>126000</v>
      </c>
      <c r="G535" s="55">
        <v>719</v>
      </c>
      <c r="H535" s="78">
        <v>90000</v>
      </c>
    </row>
    <row r="536" spans="1:8" ht="15.75" thickBot="1">
      <c r="A536" s="882"/>
      <c r="B536" s="934"/>
      <c r="C536" s="936"/>
      <c r="D536" s="882"/>
      <c r="E536" s="882"/>
      <c r="F536" s="884"/>
      <c r="G536" s="56">
        <v>721</v>
      </c>
      <c r="H536" s="79">
        <f>+F535-H535</f>
        <v>36000</v>
      </c>
    </row>
    <row r="537" spans="1:8">
      <c r="A537" s="881">
        <f>+A535+1</f>
        <v>235</v>
      </c>
      <c r="B537" s="875">
        <v>42228</v>
      </c>
      <c r="C537" s="942" t="s">
        <v>169</v>
      </c>
      <c r="D537" s="877" t="s">
        <v>167</v>
      </c>
      <c r="E537" s="881" t="s">
        <v>148</v>
      </c>
      <c r="F537" s="883">
        <v>56000</v>
      </c>
      <c r="G537" s="55">
        <v>719</v>
      </c>
      <c r="H537" s="78">
        <v>40000</v>
      </c>
    </row>
    <row r="538" spans="1:8" ht="15.75" thickBot="1">
      <c r="A538" s="882"/>
      <c r="B538" s="934"/>
      <c r="C538" s="943"/>
      <c r="D538" s="878"/>
      <c r="E538" s="882"/>
      <c r="F538" s="884"/>
      <c r="G538" s="56">
        <v>721</v>
      </c>
      <c r="H538" s="79">
        <f>+F537-H537</f>
        <v>16000</v>
      </c>
    </row>
    <row r="539" spans="1:8">
      <c r="A539" s="881">
        <f>+A537+1</f>
        <v>236</v>
      </c>
      <c r="B539" s="875">
        <v>42228</v>
      </c>
      <c r="C539" s="942" t="s">
        <v>31</v>
      </c>
      <c r="D539" s="881" t="s">
        <v>166</v>
      </c>
      <c r="E539" s="881" t="s">
        <v>148</v>
      </c>
      <c r="F539" s="883">
        <v>882000</v>
      </c>
      <c r="G539" s="55">
        <v>719</v>
      </c>
      <c r="H539" s="78">
        <v>630000</v>
      </c>
    </row>
    <row r="540" spans="1:8" ht="15.75" thickBot="1">
      <c r="A540" s="882"/>
      <c r="B540" s="934"/>
      <c r="C540" s="943"/>
      <c r="D540" s="882"/>
      <c r="E540" s="882"/>
      <c r="F540" s="884"/>
      <c r="G540" s="56">
        <v>721</v>
      </c>
      <c r="H540" s="79">
        <f>+F539-H539</f>
        <v>252000</v>
      </c>
    </row>
    <row r="541" spans="1:8" ht="16.5" thickBot="1">
      <c r="A541" s="901" t="s">
        <v>102</v>
      </c>
      <c r="B541" s="902"/>
      <c r="C541" s="902"/>
      <c r="D541" s="902"/>
      <c r="E541" s="903"/>
      <c r="F541" s="81">
        <f>SUM(F531:F540)</f>
        <v>1708000</v>
      </c>
      <c r="G541" s="51"/>
      <c r="H541" s="51"/>
    </row>
    <row r="542" spans="1:8" ht="16.5" thickBot="1">
      <c r="A542" s="885" t="s">
        <v>103</v>
      </c>
      <c r="B542" s="886"/>
      <c r="C542" s="886"/>
      <c r="D542" s="886"/>
      <c r="E542" s="887"/>
      <c r="F542" s="69">
        <f>+C556</f>
        <v>609149841</v>
      </c>
      <c r="G542" s="51"/>
      <c r="H542" s="51"/>
    </row>
    <row r="543" spans="1:8" ht="16.5" thickBot="1">
      <c r="A543" s="888" t="s">
        <v>104</v>
      </c>
      <c r="B543" s="889"/>
      <c r="C543" s="889"/>
      <c r="D543" s="889"/>
      <c r="E543" s="890"/>
      <c r="F543" s="70">
        <f>SUM(F541:F542)</f>
        <v>610857841</v>
      </c>
      <c r="G543" s="51"/>
      <c r="H543" s="51"/>
    </row>
    <row r="544" spans="1:8">
      <c r="A544" s="61"/>
      <c r="B544" s="61"/>
      <c r="C544" s="61"/>
      <c r="D544" s="61"/>
      <c r="E544" s="61"/>
      <c r="F544" s="51"/>
      <c r="G544" s="51"/>
      <c r="H544" s="51"/>
    </row>
    <row r="545" spans="1:8">
      <c r="A545" s="51" t="s">
        <v>171</v>
      </c>
      <c r="B545" s="51"/>
      <c r="C545" s="51"/>
      <c r="D545" s="51"/>
      <c r="E545" s="51"/>
      <c r="F545" s="51"/>
      <c r="G545" s="51"/>
      <c r="H545" s="51"/>
    </row>
    <row r="546" spans="1:8">
      <c r="A546" s="51"/>
      <c r="B546" s="51"/>
      <c r="C546" s="51"/>
      <c r="D546" s="51"/>
      <c r="E546" s="51"/>
      <c r="F546" s="139"/>
      <c r="G546" s="51"/>
      <c r="H546" s="51"/>
    </row>
    <row r="547" spans="1:8">
      <c r="A547" s="50" t="s">
        <v>105</v>
      </c>
      <c r="B547" s="51"/>
      <c r="C547" s="51"/>
      <c r="D547" s="146"/>
      <c r="E547" s="51"/>
      <c r="F547" s="51"/>
      <c r="G547" s="51"/>
      <c r="H547" s="51"/>
    </row>
    <row r="548" spans="1:8" ht="15.75" thickBot="1">
      <c r="A548" s="51"/>
      <c r="B548" s="51"/>
      <c r="C548" s="51"/>
      <c r="D548" s="51"/>
      <c r="E548" s="51"/>
      <c r="F548" s="51"/>
      <c r="G548" s="51"/>
      <c r="H548" s="51"/>
    </row>
    <row r="549" spans="1:8" ht="15.75" thickBot="1">
      <c r="A549" s="891" t="s">
        <v>106</v>
      </c>
      <c r="B549" s="892"/>
      <c r="C549" s="892"/>
      <c r="D549" s="893"/>
      <c r="E549" s="51"/>
      <c r="F549" s="50" t="s">
        <v>107</v>
      </c>
      <c r="G549" s="51"/>
      <c r="H549" s="51"/>
    </row>
    <row r="550" spans="1:8" ht="30.75" thickBot="1">
      <c r="A550" s="57" t="s">
        <v>100</v>
      </c>
      <c r="B550" s="58" t="s">
        <v>108</v>
      </c>
      <c r="C550" s="59" t="s">
        <v>109</v>
      </c>
      <c r="D550" s="60" t="s">
        <v>110</v>
      </c>
      <c r="E550" s="51"/>
      <c r="F550" s="51"/>
      <c r="G550" s="51"/>
      <c r="H550" s="51"/>
    </row>
    <row r="551" spans="1:8">
      <c r="A551" s="71">
        <v>719</v>
      </c>
      <c r="B551" s="73">
        <v>1220000</v>
      </c>
      <c r="C551" s="76">
        <v>26900000</v>
      </c>
      <c r="D551" s="76">
        <f>+B551+C551</f>
        <v>28120000</v>
      </c>
      <c r="E551" s="51"/>
      <c r="F551" s="51"/>
      <c r="G551" s="51"/>
      <c r="H551" s="51"/>
    </row>
    <row r="552" spans="1:8">
      <c r="A552" s="72">
        <v>721</v>
      </c>
      <c r="B552" s="80">
        <v>488000</v>
      </c>
      <c r="C552" s="76">
        <v>35668092</v>
      </c>
      <c r="D552" s="76">
        <f>+B552+C552</f>
        <v>36156092</v>
      </c>
      <c r="E552" s="51"/>
      <c r="F552" s="51"/>
      <c r="G552" s="51"/>
      <c r="H552" s="51"/>
    </row>
    <row r="553" spans="1:8">
      <c r="A553" s="72">
        <v>722</v>
      </c>
      <c r="B553" s="80"/>
      <c r="C553" s="76">
        <v>224787287</v>
      </c>
      <c r="D553" s="76">
        <f>+B553+C553</f>
        <v>224787287</v>
      </c>
      <c r="E553" s="51"/>
      <c r="F553" s="51"/>
      <c r="G553" s="51"/>
      <c r="H553" s="51"/>
    </row>
    <row r="554" spans="1:8" ht="15.75">
      <c r="A554" s="72">
        <v>723</v>
      </c>
      <c r="B554" s="80"/>
      <c r="C554" s="76">
        <v>319828837</v>
      </c>
      <c r="D554" s="76">
        <f>+B554+C554</f>
        <v>319828837</v>
      </c>
      <c r="E554" s="51"/>
      <c r="F554" s="174" t="s">
        <v>23</v>
      </c>
      <c r="G554" s="51"/>
      <c r="H554" s="51"/>
    </row>
    <row r="555" spans="1:8" ht="16.5" thickBot="1">
      <c r="A555" s="164" t="s">
        <v>161</v>
      </c>
      <c r="B555" s="165"/>
      <c r="C555" s="168">
        <v>1965625</v>
      </c>
      <c r="D555" s="168">
        <f>+B555+C555</f>
        <v>1965625</v>
      </c>
      <c r="E555" s="51"/>
      <c r="F555" s="52"/>
      <c r="G555" s="51"/>
      <c r="H555" s="51"/>
    </row>
    <row r="556" spans="1:8" ht="16.5" thickBot="1">
      <c r="A556" s="169"/>
      <c r="B556" s="170">
        <f>SUM(B551:B555)</f>
        <v>1708000</v>
      </c>
      <c r="C556" s="171">
        <f>SUM(C551:C555)</f>
        <v>609149841</v>
      </c>
      <c r="D556" s="172">
        <f>SUM(D551:D555)</f>
        <v>610857841</v>
      </c>
      <c r="E556" s="51"/>
      <c r="F556" s="51"/>
      <c r="G556" s="51"/>
      <c r="H556" s="51"/>
    </row>
    <row r="557" spans="1:8" ht="16.5">
      <c r="A557" s="49" t="s">
        <v>88</v>
      </c>
      <c r="B557" s="50"/>
      <c r="C557" s="51"/>
      <c r="D557" s="51"/>
      <c r="E557" s="51"/>
      <c r="F557" s="51"/>
      <c r="G557" s="51"/>
      <c r="H557" s="51"/>
    </row>
    <row r="558" spans="1:8">
      <c r="A558" s="51" t="s">
        <v>89</v>
      </c>
      <c r="B558" s="51"/>
      <c r="C558" s="51"/>
      <c r="D558" s="51"/>
      <c r="E558" s="51"/>
      <c r="F558" s="51"/>
      <c r="G558" s="51"/>
      <c r="H558" s="51"/>
    </row>
    <row r="559" spans="1:8">
      <c r="A559" s="51" t="s">
        <v>90</v>
      </c>
      <c r="B559" s="51"/>
      <c r="C559" s="51"/>
      <c r="D559" s="51"/>
      <c r="E559" s="51"/>
      <c r="F559" s="51"/>
      <c r="G559" s="51"/>
      <c r="H559" s="51"/>
    </row>
    <row r="560" spans="1:8">
      <c r="A560" s="51" t="s">
        <v>91</v>
      </c>
      <c r="B560" s="51"/>
      <c r="C560" s="51"/>
      <c r="D560" s="51"/>
      <c r="E560" s="51"/>
      <c r="F560" s="51"/>
      <c r="G560" s="51"/>
      <c r="H560" s="51"/>
    </row>
    <row r="561" spans="1:8">
      <c r="A561" s="50"/>
      <c r="B561" s="50"/>
      <c r="C561" s="51"/>
      <c r="D561" s="51"/>
      <c r="E561" s="51"/>
      <c r="F561" s="51"/>
      <c r="G561" s="51"/>
      <c r="H561" s="51"/>
    </row>
    <row r="562" spans="1:8" ht="16.5">
      <c r="A562" s="52"/>
      <c r="B562" s="50"/>
      <c r="C562" s="51"/>
      <c r="D562" s="51"/>
      <c r="E562" s="51"/>
      <c r="F562" s="51"/>
      <c r="G562" s="52" t="s">
        <v>172</v>
      </c>
      <c r="H562" s="51"/>
    </row>
    <row r="563" spans="1:8" ht="15.75">
      <c r="A563" s="53"/>
      <c r="B563" s="51"/>
      <c r="C563" s="51"/>
      <c r="D563" s="51"/>
      <c r="E563" s="51"/>
      <c r="F563" s="51"/>
      <c r="G563" s="53" t="s">
        <v>92</v>
      </c>
      <c r="H563" s="51"/>
    </row>
    <row r="564" spans="1:8" ht="16.5">
      <c r="A564" s="894" t="s">
        <v>93</v>
      </c>
      <c r="B564" s="894"/>
      <c r="C564" s="894"/>
      <c r="D564" s="894"/>
      <c r="E564" s="894"/>
      <c r="F564" s="894"/>
      <c r="G564" s="894"/>
      <c r="H564" s="894"/>
    </row>
    <row r="565" spans="1:8" ht="15.75" thickBot="1">
      <c r="A565" s="51"/>
      <c r="B565" s="51"/>
      <c r="C565" s="51"/>
      <c r="D565" s="51"/>
      <c r="E565" s="51"/>
      <c r="F565" s="51"/>
      <c r="G565" s="51"/>
      <c r="H565" s="51"/>
    </row>
    <row r="566" spans="1:8">
      <c r="A566" s="988" t="s">
        <v>94</v>
      </c>
      <c r="B566" s="985" t="s">
        <v>95</v>
      </c>
      <c r="C566" s="985" t="s">
        <v>96</v>
      </c>
      <c r="D566" s="985" t="s">
        <v>3</v>
      </c>
      <c r="E566" s="985" t="s">
        <v>97</v>
      </c>
      <c r="F566" s="985" t="s">
        <v>98</v>
      </c>
      <c r="G566" s="985" t="s">
        <v>99</v>
      </c>
      <c r="H566" s="987"/>
    </row>
    <row r="567" spans="1:8" ht="15.75" thickBot="1">
      <c r="A567" s="989"/>
      <c r="B567" s="986"/>
      <c r="C567" s="986"/>
      <c r="D567" s="986"/>
      <c r="E567" s="986"/>
      <c r="F567" s="986"/>
      <c r="G567" s="179" t="s">
        <v>100</v>
      </c>
      <c r="H567" s="54" t="s">
        <v>101</v>
      </c>
    </row>
    <row r="568" spans="1:8">
      <c r="A568" s="881">
        <v>237</v>
      </c>
      <c r="B568" s="875">
        <v>42228</v>
      </c>
      <c r="C568" s="942" t="s">
        <v>31</v>
      </c>
      <c r="D568" s="881" t="s">
        <v>174</v>
      </c>
      <c r="E568" s="881" t="s">
        <v>115</v>
      </c>
      <c r="F568" s="883">
        <v>120000</v>
      </c>
      <c r="G568" s="55">
        <v>719</v>
      </c>
      <c r="H568" s="78">
        <v>120000</v>
      </c>
    </row>
    <row r="569" spans="1:8" ht="15.75" thickBot="1">
      <c r="A569" s="882"/>
      <c r="B569" s="934"/>
      <c r="C569" s="943"/>
      <c r="D569" s="882"/>
      <c r="E569" s="882"/>
      <c r="F569" s="884"/>
      <c r="G569" s="56">
        <v>721</v>
      </c>
      <c r="H569" s="79">
        <f>+F568-H568</f>
        <v>0</v>
      </c>
    </row>
    <row r="570" spans="1:8">
      <c r="A570" s="881">
        <f>+A568+1</f>
        <v>238</v>
      </c>
      <c r="B570" s="875">
        <v>42228</v>
      </c>
      <c r="C570" s="935" t="s">
        <v>28</v>
      </c>
      <c r="D570" s="881" t="s">
        <v>175</v>
      </c>
      <c r="E570" s="881" t="s">
        <v>115</v>
      </c>
      <c r="F570" s="883">
        <v>90000</v>
      </c>
      <c r="G570" s="55">
        <v>719</v>
      </c>
      <c r="H570" s="78">
        <v>90000</v>
      </c>
    </row>
    <row r="571" spans="1:8" ht="15.75" thickBot="1">
      <c r="A571" s="882"/>
      <c r="B571" s="934"/>
      <c r="C571" s="936"/>
      <c r="D571" s="882"/>
      <c r="E571" s="882"/>
      <c r="F571" s="884"/>
      <c r="G571" s="56">
        <v>721</v>
      </c>
      <c r="H571" s="79"/>
    </row>
    <row r="572" spans="1:8">
      <c r="A572" s="881"/>
      <c r="B572" s="875"/>
      <c r="C572" s="935"/>
      <c r="D572" s="881"/>
      <c r="E572" s="881"/>
      <c r="F572" s="883"/>
      <c r="G572" s="55">
        <v>719</v>
      </c>
      <c r="H572" s="78">
        <v>70000</v>
      </c>
    </row>
    <row r="573" spans="1:8" ht="15.75" thickBot="1">
      <c r="A573" s="882"/>
      <c r="B573" s="934"/>
      <c r="C573" s="936"/>
      <c r="D573" s="882"/>
      <c r="E573" s="882"/>
      <c r="F573" s="884"/>
      <c r="G573" s="56">
        <v>721</v>
      </c>
      <c r="H573" s="79">
        <f>+F572-H572</f>
        <v>-70000</v>
      </c>
    </row>
    <row r="574" spans="1:8">
      <c r="A574" s="881"/>
      <c r="B574" s="875"/>
      <c r="C574" s="935"/>
      <c r="D574" s="877"/>
      <c r="E574" s="881"/>
      <c r="F574" s="883"/>
      <c r="G574" s="55">
        <v>719</v>
      </c>
      <c r="H574" s="78">
        <v>80000</v>
      </c>
    </row>
    <row r="575" spans="1:8" ht="15.75" thickBot="1">
      <c r="A575" s="882"/>
      <c r="B575" s="934"/>
      <c r="C575" s="936"/>
      <c r="D575" s="878"/>
      <c r="E575" s="882"/>
      <c r="F575" s="884"/>
      <c r="G575" s="56">
        <v>721</v>
      </c>
      <c r="H575" s="79">
        <f>+F574-H574</f>
        <v>-80000</v>
      </c>
    </row>
    <row r="576" spans="1:8">
      <c r="A576" s="881"/>
      <c r="B576" s="875"/>
      <c r="C576" s="935"/>
      <c r="D576" s="877"/>
      <c r="E576" s="881"/>
      <c r="F576" s="883"/>
      <c r="G576" s="55">
        <v>719</v>
      </c>
      <c r="H576" s="78">
        <v>440000</v>
      </c>
    </row>
    <row r="577" spans="1:8" ht="15.75" thickBot="1">
      <c r="A577" s="882"/>
      <c r="B577" s="934"/>
      <c r="C577" s="936"/>
      <c r="D577" s="878"/>
      <c r="E577" s="882"/>
      <c r="F577" s="884"/>
      <c r="G577" s="56">
        <v>721</v>
      </c>
      <c r="H577" s="79">
        <f>+F576-H576</f>
        <v>-440000</v>
      </c>
    </row>
    <row r="578" spans="1:8" ht="16.5" thickBot="1">
      <c r="A578" s="901" t="s">
        <v>102</v>
      </c>
      <c r="B578" s="902"/>
      <c r="C578" s="902"/>
      <c r="D578" s="902"/>
      <c r="E578" s="903"/>
      <c r="F578" s="81">
        <f>SUM(F568:F577)</f>
        <v>210000</v>
      </c>
      <c r="G578" s="51"/>
      <c r="H578" s="51"/>
    </row>
    <row r="579" spans="1:8" ht="16.5" thickBot="1">
      <c r="A579" s="885" t="s">
        <v>103</v>
      </c>
      <c r="B579" s="886"/>
      <c r="C579" s="886"/>
      <c r="D579" s="886"/>
      <c r="E579" s="887"/>
      <c r="F579" s="69">
        <f>+C593</f>
        <v>610857841</v>
      </c>
      <c r="G579" s="51"/>
      <c r="H579" s="51"/>
    </row>
    <row r="580" spans="1:8" ht="16.5" thickBot="1">
      <c r="A580" s="888" t="s">
        <v>104</v>
      </c>
      <c r="B580" s="889"/>
      <c r="C580" s="889"/>
      <c r="D580" s="889"/>
      <c r="E580" s="890"/>
      <c r="F580" s="70">
        <f>SUM(F578:F579)</f>
        <v>611067841</v>
      </c>
      <c r="G580" s="51"/>
      <c r="H580" s="51"/>
    </row>
    <row r="581" spans="1:8">
      <c r="A581" s="61"/>
      <c r="B581" s="61"/>
      <c r="C581" s="61"/>
      <c r="D581" s="61"/>
      <c r="E581" s="61"/>
      <c r="F581" s="51"/>
      <c r="G581" s="51"/>
      <c r="H581" s="51"/>
    </row>
    <row r="582" spans="1:8">
      <c r="A582" s="51" t="s">
        <v>176</v>
      </c>
      <c r="B582" s="51"/>
      <c r="C582" s="51"/>
      <c r="D582" s="51"/>
      <c r="E582" s="51"/>
      <c r="F582" s="51"/>
      <c r="G582" s="51"/>
      <c r="H582" s="51"/>
    </row>
    <row r="583" spans="1:8">
      <c r="A583" s="51"/>
      <c r="B583" s="51"/>
      <c r="C583" s="51"/>
      <c r="D583" s="51"/>
      <c r="E583" s="51"/>
      <c r="F583" s="139"/>
      <c r="G583" s="51"/>
      <c r="H583" s="51"/>
    </row>
    <row r="584" spans="1:8">
      <c r="A584" s="50" t="s">
        <v>105</v>
      </c>
      <c r="B584" s="51"/>
      <c r="C584" s="51"/>
      <c r="D584" s="146"/>
      <c r="E584" s="51"/>
      <c r="F584" s="139"/>
      <c r="G584" s="51"/>
      <c r="H584" s="51"/>
    </row>
    <row r="585" spans="1:8" ht="15.75" thickBot="1">
      <c r="A585" s="51"/>
      <c r="B585" s="51"/>
      <c r="C585" s="51"/>
      <c r="D585" s="51"/>
      <c r="E585" s="51"/>
      <c r="F585" s="51"/>
      <c r="G585" s="51"/>
      <c r="H585" s="51"/>
    </row>
    <row r="586" spans="1:8" ht="15.75" thickBot="1">
      <c r="A586" s="891" t="s">
        <v>106</v>
      </c>
      <c r="B586" s="892"/>
      <c r="C586" s="892"/>
      <c r="D586" s="893"/>
      <c r="E586" s="51"/>
      <c r="F586" s="50" t="s">
        <v>107</v>
      </c>
      <c r="G586" s="51"/>
      <c r="H586" s="51"/>
    </row>
    <row r="587" spans="1:8" ht="30.75" thickBot="1">
      <c r="A587" s="57" t="s">
        <v>100</v>
      </c>
      <c r="B587" s="58" t="s">
        <v>108</v>
      </c>
      <c r="C587" s="59" t="s">
        <v>109</v>
      </c>
      <c r="D587" s="60" t="s">
        <v>110</v>
      </c>
      <c r="E587" s="51"/>
      <c r="F587" s="51"/>
      <c r="G587" s="51"/>
      <c r="H587" s="51"/>
    </row>
    <row r="588" spans="1:8">
      <c r="A588" s="71">
        <v>719</v>
      </c>
      <c r="B588" s="73">
        <v>210000</v>
      </c>
      <c r="C588" s="74">
        <v>28120000</v>
      </c>
      <c r="D588" s="76">
        <f>+B588+C588</f>
        <v>28330000</v>
      </c>
      <c r="E588" s="51"/>
      <c r="F588" s="51"/>
      <c r="G588" s="51"/>
      <c r="H588" s="51"/>
    </row>
    <row r="589" spans="1:8">
      <c r="A589" s="72">
        <v>721</v>
      </c>
      <c r="B589" s="80"/>
      <c r="C589" s="75">
        <v>36156092</v>
      </c>
      <c r="D589" s="76">
        <f>+B589+C589</f>
        <v>36156092</v>
      </c>
      <c r="E589" s="51"/>
      <c r="F589" s="51"/>
      <c r="G589" s="51"/>
      <c r="H589" s="51"/>
    </row>
    <row r="590" spans="1:8">
      <c r="A590" s="72">
        <v>722</v>
      </c>
      <c r="B590" s="80"/>
      <c r="C590" s="75">
        <v>224787287</v>
      </c>
      <c r="D590" s="76">
        <f>+B590+C590</f>
        <v>224787287</v>
      </c>
      <c r="E590" s="51"/>
      <c r="F590" s="51"/>
      <c r="G590" s="51"/>
      <c r="H590" s="51"/>
    </row>
    <row r="591" spans="1:8" ht="15.75">
      <c r="A591" s="72">
        <v>723</v>
      </c>
      <c r="B591" s="80"/>
      <c r="C591" s="75">
        <v>319828837</v>
      </c>
      <c r="D591" s="76">
        <f>+B591+C591</f>
        <v>319828837</v>
      </c>
      <c r="E591" s="51"/>
      <c r="F591" s="174" t="s">
        <v>23</v>
      </c>
      <c r="G591" s="175"/>
      <c r="H591" s="51"/>
    </row>
    <row r="592" spans="1:8" ht="16.5" thickBot="1">
      <c r="A592" s="164" t="s">
        <v>161</v>
      </c>
      <c r="B592" s="165"/>
      <c r="C592" s="166">
        <v>1965625</v>
      </c>
      <c r="D592" s="168">
        <f>+B592+C592</f>
        <v>1965625</v>
      </c>
      <c r="E592" s="51"/>
      <c r="F592" s="52"/>
      <c r="G592" s="51"/>
      <c r="H592" s="51"/>
    </row>
    <row r="593" spans="1:8" ht="16.5" thickBot="1">
      <c r="A593" s="169"/>
      <c r="B593" s="170">
        <f>SUM(B588:B592)</f>
        <v>210000</v>
      </c>
      <c r="C593" s="171">
        <f>SUM(C588:C592)</f>
        <v>610857841</v>
      </c>
      <c r="D593" s="172">
        <f>SUM(D588:D592)</f>
        <v>611067841</v>
      </c>
      <c r="E593" s="51"/>
      <c r="F593" s="51"/>
      <c r="G593" s="51"/>
      <c r="H593" s="51"/>
    </row>
    <row r="594" spans="1:8" ht="16.5">
      <c r="A594" s="49" t="s">
        <v>88</v>
      </c>
      <c r="B594" s="50"/>
      <c r="C594" s="51"/>
      <c r="D594" s="51"/>
      <c r="E594" s="51"/>
      <c r="F594" s="51"/>
      <c r="G594" s="51"/>
      <c r="H594" s="51"/>
    </row>
    <row r="595" spans="1:8">
      <c r="A595" s="51" t="s">
        <v>89</v>
      </c>
      <c r="B595" s="51"/>
      <c r="C595" s="51"/>
      <c r="D595" s="51"/>
      <c r="E595" s="51"/>
      <c r="F595" s="51"/>
      <c r="G595" s="51"/>
      <c r="H595" s="51"/>
    </row>
    <row r="596" spans="1:8">
      <c r="A596" s="51" t="s">
        <v>90</v>
      </c>
      <c r="B596" s="51"/>
      <c r="C596" s="51"/>
      <c r="D596" s="51"/>
      <c r="E596" s="51"/>
      <c r="F596" s="51"/>
      <c r="G596" s="51"/>
      <c r="H596" s="51"/>
    </row>
    <row r="597" spans="1:8">
      <c r="A597" s="51" t="s">
        <v>91</v>
      </c>
      <c r="B597" s="51"/>
      <c r="C597" s="51"/>
      <c r="D597" s="51"/>
      <c r="E597" s="51"/>
      <c r="F597" s="51"/>
      <c r="G597" s="51"/>
      <c r="H597" s="51"/>
    </row>
    <row r="598" spans="1:8">
      <c r="A598" s="50"/>
      <c r="B598" s="50"/>
      <c r="C598" s="51"/>
      <c r="D598" s="51"/>
      <c r="E598" s="51"/>
      <c r="F598" s="51"/>
      <c r="G598" s="51"/>
      <c r="H598" s="51"/>
    </row>
    <row r="599" spans="1:8" ht="16.5">
      <c r="A599" s="52"/>
      <c r="B599" s="50"/>
      <c r="C599" s="51"/>
      <c r="D599" s="51"/>
      <c r="E599" s="51"/>
      <c r="F599" s="51"/>
      <c r="G599" s="52" t="s">
        <v>173</v>
      </c>
      <c r="H599" s="51"/>
    </row>
    <row r="600" spans="1:8" ht="15.75">
      <c r="A600" s="53"/>
      <c r="B600" s="51"/>
      <c r="C600" s="51"/>
      <c r="D600" s="51"/>
      <c r="E600" s="51"/>
      <c r="F600" s="51"/>
      <c r="G600" s="53" t="s">
        <v>164</v>
      </c>
      <c r="H600" s="51"/>
    </row>
    <row r="601" spans="1:8" ht="16.5">
      <c r="A601" s="894" t="s">
        <v>170</v>
      </c>
      <c r="B601" s="894"/>
      <c r="C601" s="894"/>
      <c r="D601" s="894"/>
      <c r="E601" s="894"/>
      <c r="F601" s="894"/>
      <c r="G601" s="894"/>
      <c r="H601" s="894"/>
    </row>
    <row r="602" spans="1:8" ht="15.75" thickBot="1">
      <c r="A602" s="51"/>
      <c r="B602" s="51"/>
      <c r="C602" s="51"/>
      <c r="D602" s="51"/>
      <c r="E602" s="51"/>
      <c r="F602" s="51"/>
      <c r="G602" s="51"/>
      <c r="H602" s="51"/>
    </row>
    <row r="603" spans="1:8">
      <c r="A603" s="988" t="s">
        <v>94</v>
      </c>
      <c r="B603" s="985" t="s">
        <v>95</v>
      </c>
      <c r="C603" s="985" t="s">
        <v>96</v>
      </c>
      <c r="D603" s="985" t="s">
        <v>3</v>
      </c>
      <c r="E603" s="985" t="s">
        <v>97</v>
      </c>
      <c r="F603" s="985" t="s">
        <v>98</v>
      </c>
      <c r="G603" s="985" t="s">
        <v>99</v>
      </c>
      <c r="H603" s="987"/>
    </row>
    <row r="604" spans="1:8" ht="15.75" thickBot="1">
      <c r="A604" s="989"/>
      <c r="B604" s="986"/>
      <c r="C604" s="986"/>
      <c r="D604" s="986"/>
      <c r="E604" s="986"/>
      <c r="F604" s="986"/>
      <c r="G604" s="179" t="s">
        <v>100</v>
      </c>
      <c r="H604" s="54" t="s">
        <v>101</v>
      </c>
    </row>
    <row r="605" spans="1:8">
      <c r="A605" s="881">
        <v>232</v>
      </c>
      <c r="B605" s="875">
        <v>42228</v>
      </c>
      <c r="C605" s="942" t="s">
        <v>40</v>
      </c>
      <c r="D605" s="881" t="s">
        <v>168</v>
      </c>
      <c r="E605" s="881" t="s">
        <v>148</v>
      </c>
      <c r="F605" s="883">
        <v>252000</v>
      </c>
      <c r="G605" s="55">
        <v>719</v>
      </c>
      <c r="H605" s="78">
        <v>180000</v>
      </c>
    </row>
    <row r="606" spans="1:8" ht="15.75" thickBot="1">
      <c r="A606" s="882"/>
      <c r="B606" s="934"/>
      <c r="C606" s="943"/>
      <c r="D606" s="882"/>
      <c r="E606" s="882"/>
      <c r="F606" s="884"/>
      <c r="G606" s="56">
        <v>721</v>
      </c>
      <c r="H606" s="79">
        <f>+F605-H605</f>
        <v>72000</v>
      </c>
    </row>
    <row r="607" spans="1:8">
      <c r="A607" s="881">
        <f>+A605+1</f>
        <v>233</v>
      </c>
      <c r="B607" s="875">
        <v>42228</v>
      </c>
      <c r="C607" s="935" t="s">
        <v>28</v>
      </c>
      <c r="D607" s="881" t="s">
        <v>166</v>
      </c>
      <c r="E607" s="881" t="s">
        <v>148</v>
      </c>
      <c r="F607" s="883">
        <v>392000</v>
      </c>
      <c r="G607" s="55">
        <v>719</v>
      </c>
      <c r="H607" s="78">
        <v>280000</v>
      </c>
    </row>
    <row r="608" spans="1:8" ht="15.75" thickBot="1">
      <c r="A608" s="882"/>
      <c r="B608" s="934"/>
      <c r="C608" s="936"/>
      <c r="D608" s="882"/>
      <c r="E608" s="882"/>
      <c r="F608" s="884"/>
      <c r="G608" s="56">
        <v>721</v>
      </c>
      <c r="H608" s="79">
        <f>+F607-H607</f>
        <v>112000</v>
      </c>
    </row>
    <row r="609" spans="1:8">
      <c r="A609" s="881">
        <f>+A607+1</f>
        <v>234</v>
      </c>
      <c r="B609" s="875">
        <v>42228</v>
      </c>
      <c r="C609" s="935" t="s">
        <v>32</v>
      </c>
      <c r="D609" s="881" t="s">
        <v>166</v>
      </c>
      <c r="E609" s="881" t="s">
        <v>148</v>
      </c>
      <c r="F609" s="883">
        <v>126000</v>
      </c>
      <c r="G609" s="55">
        <v>719</v>
      </c>
      <c r="H609" s="78">
        <v>90000</v>
      </c>
    </row>
    <row r="610" spans="1:8" ht="15.75" thickBot="1">
      <c r="A610" s="882"/>
      <c r="B610" s="934"/>
      <c r="C610" s="936"/>
      <c r="D610" s="882"/>
      <c r="E610" s="882"/>
      <c r="F610" s="884"/>
      <c r="G610" s="56">
        <v>721</v>
      </c>
      <c r="H610" s="79">
        <f>+F609-H609</f>
        <v>36000</v>
      </c>
    </row>
    <row r="611" spans="1:8">
      <c r="A611" s="881">
        <f>+A609+1</f>
        <v>235</v>
      </c>
      <c r="B611" s="875">
        <v>42228</v>
      </c>
      <c r="C611" s="942" t="s">
        <v>169</v>
      </c>
      <c r="D611" s="877" t="s">
        <v>167</v>
      </c>
      <c r="E611" s="881" t="s">
        <v>148</v>
      </c>
      <c r="F611" s="883">
        <v>56000</v>
      </c>
      <c r="G611" s="55">
        <v>719</v>
      </c>
      <c r="H611" s="78">
        <v>40000</v>
      </c>
    </row>
    <row r="612" spans="1:8" ht="15.75" thickBot="1">
      <c r="A612" s="882"/>
      <c r="B612" s="934"/>
      <c r="C612" s="943"/>
      <c r="D612" s="878"/>
      <c r="E612" s="882"/>
      <c r="F612" s="884"/>
      <c r="G612" s="56">
        <v>721</v>
      </c>
      <c r="H612" s="79">
        <f>+F611-H611</f>
        <v>16000</v>
      </c>
    </row>
    <row r="613" spans="1:8">
      <c r="A613" s="881">
        <f>+A611+1</f>
        <v>236</v>
      </c>
      <c r="B613" s="875">
        <v>42228</v>
      </c>
      <c r="C613" s="942" t="s">
        <v>31</v>
      </c>
      <c r="D613" s="881" t="s">
        <v>166</v>
      </c>
      <c r="E613" s="881" t="s">
        <v>148</v>
      </c>
      <c r="F613" s="883">
        <v>882000</v>
      </c>
      <c r="G613" s="55">
        <v>719</v>
      </c>
      <c r="H613" s="78">
        <v>630000</v>
      </c>
    </row>
    <row r="614" spans="1:8" ht="15.75" thickBot="1">
      <c r="A614" s="882"/>
      <c r="B614" s="934"/>
      <c r="C614" s="943"/>
      <c r="D614" s="882"/>
      <c r="E614" s="882"/>
      <c r="F614" s="884"/>
      <c r="G614" s="56">
        <v>721</v>
      </c>
      <c r="H614" s="79">
        <f>+F613-H613</f>
        <v>252000</v>
      </c>
    </row>
    <row r="615" spans="1:8" ht="16.5" thickBot="1">
      <c r="A615" s="901" t="s">
        <v>102</v>
      </c>
      <c r="B615" s="902"/>
      <c r="C615" s="902"/>
      <c r="D615" s="902"/>
      <c r="E615" s="903"/>
      <c r="F615" s="81">
        <f>SUM(F605:F614)</f>
        <v>1708000</v>
      </c>
      <c r="G615" s="51"/>
      <c r="H615" s="51"/>
    </row>
    <row r="616" spans="1:8" ht="16.5" thickBot="1">
      <c r="A616" s="885" t="s">
        <v>103</v>
      </c>
      <c r="B616" s="886"/>
      <c r="C616" s="886"/>
      <c r="D616" s="886"/>
      <c r="E616" s="887"/>
      <c r="F616" s="69">
        <f>+C630</f>
        <v>609149841</v>
      </c>
      <c r="G616" s="51"/>
      <c r="H616" s="51"/>
    </row>
    <row r="617" spans="1:8" ht="16.5" thickBot="1">
      <c r="A617" s="888" t="s">
        <v>104</v>
      </c>
      <c r="B617" s="889"/>
      <c r="C617" s="889"/>
      <c r="D617" s="889"/>
      <c r="E617" s="890"/>
      <c r="F617" s="70">
        <f>SUM(F615:F616)</f>
        <v>610857841</v>
      </c>
      <c r="G617" s="51"/>
      <c r="H617" s="51"/>
    </row>
    <row r="618" spans="1:8">
      <c r="A618" s="61"/>
      <c r="B618" s="61"/>
      <c r="C618" s="61"/>
      <c r="D618" s="61"/>
      <c r="E618" s="61"/>
      <c r="F618" s="51"/>
      <c r="G618" s="51"/>
      <c r="H618" s="51"/>
    </row>
    <row r="619" spans="1:8">
      <c r="A619" s="51" t="s">
        <v>171</v>
      </c>
      <c r="B619" s="51"/>
      <c r="C619" s="51"/>
      <c r="D619" s="51"/>
      <c r="E619" s="51"/>
      <c r="F619" s="51"/>
      <c r="G619" s="51"/>
      <c r="H619" s="51"/>
    </row>
    <row r="620" spans="1:8">
      <c r="A620" s="51"/>
      <c r="B620" s="51"/>
      <c r="C620" s="51"/>
      <c r="D620" s="51"/>
      <c r="E620" s="51"/>
      <c r="F620" s="139"/>
      <c r="G620" s="51"/>
      <c r="H620" s="51"/>
    </row>
    <row r="621" spans="1:8">
      <c r="A621" s="50" t="s">
        <v>105</v>
      </c>
      <c r="B621" s="51"/>
      <c r="C621" s="51"/>
      <c r="D621" s="146"/>
      <c r="E621" s="51"/>
      <c r="F621" s="51"/>
      <c r="G621" s="51"/>
      <c r="H621" s="51"/>
    </row>
    <row r="622" spans="1:8" ht="15.75" thickBot="1">
      <c r="A622" s="51"/>
      <c r="B622" s="51"/>
      <c r="C622" s="51"/>
      <c r="D622" s="51"/>
      <c r="E622" s="51"/>
      <c r="F622" s="51"/>
      <c r="G622" s="51"/>
      <c r="H622" s="51"/>
    </row>
    <row r="623" spans="1:8" ht="15.75" thickBot="1">
      <c r="A623" s="891" t="s">
        <v>106</v>
      </c>
      <c r="B623" s="892"/>
      <c r="C623" s="892"/>
      <c r="D623" s="893"/>
      <c r="E623" s="51"/>
      <c r="F623" s="50" t="s">
        <v>107</v>
      </c>
      <c r="G623" s="51"/>
      <c r="H623" s="51"/>
    </row>
    <row r="624" spans="1:8" ht="30.75" thickBot="1">
      <c r="A624" s="57" t="s">
        <v>100</v>
      </c>
      <c r="B624" s="58" t="s">
        <v>108</v>
      </c>
      <c r="C624" s="59" t="s">
        <v>109</v>
      </c>
      <c r="D624" s="60" t="s">
        <v>110</v>
      </c>
      <c r="E624" s="51"/>
      <c r="F624" s="51"/>
      <c r="G624" s="51"/>
      <c r="H624" s="51"/>
    </row>
    <row r="625" spans="1:8">
      <c r="A625" s="71">
        <v>719</v>
      </c>
      <c r="B625" s="73">
        <v>1220000</v>
      </c>
      <c r="C625" s="76">
        <v>26900000</v>
      </c>
      <c r="D625" s="76">
        <f>+B625+C625</f>
        <v>28120000</v>
      </c>
      <c r="E625" s="51"/>
      <c r="F625" s="51"/>
      <c r="G625" s="51"/>
      <c r="H625" s="51"/>
    </row>
    <row r="626" spans="1:8">
      <c r="A626" s="72">
        <v>721</v>
      </c>
      <c r="B626" s="80">
        <v>488000</v>
      </c>
      <c r="C626" s="76">
        <v>35668092</v>
      </c>
      <c r="D626" s="76">
        <f>+B626+C626</f>
        <v>36156092</v>
      </c>
      <c r="E626" s="51"/>
      <c r="F626" s="51"/>
      <c r="G626" s="51"/>
      <c r="H626" s="51"/>
    </row>
    <row r="627" spans="1:8">
      <c r="A627" s="72">
        <v>722</v>
      </c>
      <c r="B627" s="80"/>
      <c r="C627" s="76">
        <v>224787287</v>
      </c>
      <c r="D627" s="76">
        <f>+B627+C627</f>
        <v>224787287</v>
      </c>
      <c r="E627" s="51"/>
      <c r="F627" s="51"/>
      <c r="G627" s="51"/>
      <c r="H627" s="51"/>
    </row>
    <row r="628" spans="1:8" ht="15.75">
      <c r="A628" s="72">
        <v>723</v>
      </c>
      <c r="B628" s="80"/>
      <c r="C628" s="76">
        <v>319828837</v>
      </c>
      <c r="D628" s="76">
        <f>+B628+C628</f>
        <v>319828837</v>
      </c>
      <c r="E628" s="51"/>
      <c r="F628" s="174" t="s">
        <v>23</v>
      </c>
      <c r="G628" s="51"/>
      <c r="H628" s="51"/>
    </row>
    <row r="629" spans="1:8" ht="16.5" thickBot="1">
      <c r="A629" s="164" t="s">
        <v>161</v>
      </c>
      <c r="B629" s="165"/>
      <c r="C629" s="168">
        <v>1965625</v>
      </c>
      <c r="D629" s="168">
        <f>+B629+C629</f>
        <v>1965625</v>
      </c>
      <c r="E629" s="51"/>
      <c r="F629" s="52"/>
      <c r="G629" s="51"/>
      <c r="H629" s="51"/>
    </row>
    <row r="630" spans="1:8" ht="16.5" thickBot="1">
      <c r="A630" s="169"/>
      <c r="B630" s="170">
        <f>SUM(B625:B629)</f>
        <v>1708000</v>
      </c>
      <c r="C630" s="171">
        <f>SUM(C625:C629)</f>
        <v>609149841</v>
      </c>
      <c r="D630" s="172">
        <f>SUM(D625:D629)</f>
        <v>610857841</v>
      </c>
      <c r="E630" s="51"/>
      <c r="F630" s="51"/>
      <c r="G630" s="51"/>
      <c r="H630" s="51"/>
    </row>
    <row r="631" spans="1:8" ht="16.5">
      <c r="A631" s="49" t="s">
        <v>88</v>
      </c>
      <c r="B631" s="50"/>
      <c r="C631" s="51"/>
      <c r="D631" s="51"/>
      <c r="E631" s="51"/>
      <c r="F631" s="51"/>
      <c r="G631" s="51"/>
      <c r="H631" s="51"/>
    </row>
    <row r="632" spans="1:8">
      <c r="A632" s="51" t="s">
        <v>89</v>
      </c>
      <c r="B632" s="51"/>
      <c r="C632" s="51"/>
      <c r="D632" s="51"/>
      <c r="E632" s="51"/>
      <c r="F632" s="51"/>
      <c r="G632" s="51"/>
      <c r="H632" s="51"/>
    </row>
    <row r="633" spans="1:8">
      <c r="A633" s="51" t="s">
        <v>90</v>
      </c>
      <c r="B633" s="51"/>
      <c r="C633" s="51"/>
      <c r="D633" s="51"/>
      <c r="E633" s="51"/>
      <c r="F633" s="51"/>
      <c r="G633" s="51"/>
      <c r="H633" s="51"/>
    </row>
    <row r="634" spans="1:8">
      <c r="A634" s="51" t="s">
        <v>91</v>
      </c>
      <c r="B634" s="51"/>
      <c r="C634" s="51"/>
      <c r="D634" s="51"/>
      <c r="E634" s="51"/>
      <c r="F634" s="51"/>
      <c r="G634" s="51"/>
      <c r="H634" s="51"/>
    </row>
    <row r="635" spans="1:8">
      <c r="A635" s="50"/>
      <c r="B635" s="50"/>
      <c r="C635" s="51"/>
      <c r="D635" s="51"/>
      <c r="E635" s="51"/>
      <c r="F635" s="51"/>
      <c r="G635" s="51"/>
      <c r="H635" s="51"/>
    </row>
    <row r="636" spans="1:8" ht="16.5">
      <c r="A636" s="52"/>
      <c r="B636" s="50"/>
      <c r="C636" s="51"/>
      <c r="D636" s="51"/>
      <c r="E636" s="51"/>
      <c r="F636" s="51"/>
      <c r="G636" s="52" t="s">
        <v>172</v>
      </c>
      <c r="H636" s="51"/>
    </row>
    <row r="637" spans="1:8" ht="15.75">
      <c r="A637" s="53"/>
      <c r="B637" s="51"/>
      <c r="C637" s="51"/>
      <c r="D637" s="51"/>
      <c r="E637" s="51"/>
      <c r="F637" s="51"/>
      <c r="G637" s="53" t="s">
        <v>92</v>
      </c>
      <c r="H637" s="51"/>
    </row>
    <row r="638" spans="1:8" ht="16.5">
      <c r="A638" s="894" t="s">
        <v>93</v>
      </c>
      <c r="B638" s="894"/>
      <c r="C638" s="894"/>
      <c r="D638" s="894"/>
      <c r="E638" s="894"/>
      <c r="F638" s="894"/>
      <c r="G638" s="894"/>
      <c r="H638" s="894"/>
    </row>
    <row r="639" spans="1:8" ht="15.75" thickBot="1">
      <c r="A639" s="51"/>
      <c r="B639" s="51"/>
      <c r="C639" s="51"/>
      <c r="D639" s="51"/>
      <c r="E639" s="51"/>
      <c r="F639" s="51"/>
      <c r="G639" s="51"/>
      <c r="H639" s="51"/>
    </row>
    <row r="640" spans="1:8">
      <c r="A640" s="988" t="s">
        <v>94</v>
      </c>
      <c r="B640" s="985" t="s">
        <v>95</v>
      </c>
      <c r="C640" s="985" t="s">
        <v>96</v>
      </c>
      <c r="D640" s="985" t="s">
        <v>3</v>
      </c>
      <c r="E640" s="985" t="s">
        <v>97</v>
      </c>
      <c r="F640" s="985" t="s">
        <v>98</v>
      </c>
      <c r="G640" s="985" t="s">
        <v>99</v>
      </c>
      <c r="H640" s="987"/>
    </row>
    <row r="641" spans="1:8" ht="15.75" thickBot="1">
      <c r="A641" s="989"/>
      <c r="B641" s="986"/>
      <c r="C641" s="986"/>
      <c r="D641" s="986"/>
      <c r="E641" s="986"/>
      <c r="F641" s="986"/>
      <c r="G641" s="179" t="s">
        <v>100</v>
      </c>
      <c r="H641" s="54" t="s">
        <v>101</v>
      </c>
    </row>
    <row r="642" spans="1:8">
      <c r="A642" s="881">
        <v>237</v>
      </c>
      <c r="B642" s="875">
        <v>42228</v>
      </c>
      <c r="C642" s="942" t="s">
        <v>31</v>
      </c>
      <c r="D642" s="881" t="s">
        <v>174</v>
      </c>
      <c r="E642" s="881" t="s">
        <v>115</v>
      </c>
      <c r="F642" s="883">
        <v>120000</v>
      </c>
      <c r="G642" s="55">
        <v>719</v>
      </c>
      <c r="H642" s="78">
        <v>120000</v>
      </c>
    </row>
    <row r="643" spans="1:8" ht="15.75" thickBot="1">
      <c r="A643" s="882"/>
      <c r="B643" s="934"/>
      <c r="C643" s="943"/>
      <c r="D643" s="882"/>
      <c r="E643" s="882"/>
      <c r="F643" s="884"/>
      <c r="G643" s="56">
        <v>721</v>
      </c>
      <c r="H643" s="79">
        <f>+F642-H642</f>
        <v>0</v>
      </c>
    </row>
    <row r="644" spans="1:8">
      <c r="A644" s="881">
        <f>+A642+1</f>
        <v>238</v>
      </c>
      <c r="B644" s="875">
        <v>42228</v>
      </c>
      <c r="C644" s="935" t="s">
        <v>28</v>
      </c>
      <c r="D644" s="881" t="s">
        <v>175</v>
      </c>
      <c r="E644" s="881" t="s">
        <v>115</v>
      </c>
      <c r="F644" s="883">
        <v>90000</v>
      </c>
      <c r="G644" s="55">
        <v>719</v>
      </c>
      <c r="H644" s="78">
        <v>90000</v>
      </c>
    </row>
    <row r="645" spans="1:8" ht="15.75" thickBot="1">
      <c r="A645" s="882"/>
      <c r="B645" s="934"/>
      <c r="C645" s="936"/>
      <c r="D645" s="882"/>
      <c r="E645" s="882"/>
      <c r="F645" s="884"/>
      <c r="G645" s="56">
        <v>721</v>
      </c>
      <c r="H645" s="79"/>
    </row>
    <row r="646" spans="1:8">
      <c r="A646" s="881"/>
      <c r="B646" s="875"/>
      <c r="C646" s="935"/>
      <c r="D646" s="881"/>
      <c r="E646" s="881"/>
      <c r="F646" s="883"/>
      <c r="G646" s="55">
        <v>719</v>
      </c>
      <c r="H646" s="78">
        <v>70000</v>
      </c>
    </row>
    <row r="647" spans="1:8" ht="15.75" thickBot="1">
      <c r="A647" s="882"/>
      <c r="B647" s="934"/>
      <c r="C647" s="936"/>
      <c r="D647" s="882"/>
      <c r="E647" s="882"/>
      <c r="F647" s="884"/>
      <c r="G647" s="56">
        <v>721</v>
      </c>
      <c r="H647" s="79">
        <f>+F646-H646</f>
        <v>-70000</v>
      </c>
    </row>
    <row r="648" spans="1:8">
      <c r="A648" s="881"/>
      <c r="B648" s="875"/>
      <c r="C648" s="935"/>
      <c r="D648" s="877"/>
      <c r="E648" s="881"/>
      <c r="F648" s="883"/>
      <c r="G648" s="55">
        <v>719</v>
      </c>
      <c r="H648" s="78">
        <v>80000</v>
      </c>
    </row>
    <row r="649" spans="1:8" ht="15.75" thickBot="1">
      <c r="A649" s="882"/>
      <c r="B649" s="934"/>
      <c r="C649" s="936"/>
      <c r="D649" s="878"/>
      <c r="E649" s="882"/>
      <c r="F649" s="884"/>
      <c r="G649" s="56">
        <v>721</v>
      </c>
      <c r="H649" s="79">
        <f>+F648-H648</f>
        <v>-80000</v>
      </c>
    </row>
    <row r="650" spans="1:8">
      <c r="A650" s="881"/>
      <c r="B650" s="875"/>
      <c r="C650" s="935"/>
      <c r="D650" s="877"/>
      <c r="E650" s="881"/>
      <c r="F650" s="883"/>
      <c r="G650" s="55">
        <v>719</v>
      </c>
      <c r="H650" s="78">
        <v>440000</v>
      </c>
    </row>
    <row r="651" spans="1:8" ht="15.75" thickBot="1">
      <c r="A651" s="882"/>
      <c r="B651" s="934"/>
      <c r="C651" s="936"/>
      <c r="D651" s="878"/>
      <c r="E651" s="882"/>
      <c r="F651" s="884"/>
      <c r="G651" s="56">
        <v>721</v>
      </c>
      <c r="H651" s="79">
        <f>+F650-H650</f>
        <v>-440000</v>
      </c>
    </row>
    <row r="652" spans="1:8" ht="16.5" thickBot="1">
      <c r="A652" s="901" t="s">
        <v>102</v>
      </c>
      <c r="B652" s="902"/>
      <c r="C652" s="902"/>
      <c r="D652" s="902"/>
      <c r="E652" s="903"/>
      <c r="F652" s="81">
        <f>SUM(F642:F651)</f>
        <v>210000</v>
      </c>
      <c r="G652" s="51"/>
      <c r="H652" s="51"/>
    </row>
    <row r="653" spans="1:8" ht="16.5" thickBot="1">
      <c r="A653" s="885" t="s">
        <v>103</v>
      </c>
      <c r="B653" s="886"/>
      <c r="C653" s="886"/>
      <c r="D653" s="886"/>
      <c r="E653" s="887"/>
      <c r="F653" s="69">
        <f>+C667</f>
        <v>610857841</v>
      </c>
      <c r="G653" s="51"/>
      <c r="H653" s="51"/>
    </row>
    <row r="654" spans="1:8" ht="16.5" thickBot="1">
      <c r="A654" s="888" t="s">
        <v>104</v>
      </c>
      <c r="B654" s="889"/>
      <c r="C654" s="889"/>
      <c r="D654" s="889"/>
      <c r="E654" s="890"/>
      <c r="F654" s="70">
        <f>SUM(F652:F653)</f>
        <v>611067841</v>
      </c>
      <c r="G654" s="51"/>
      <c r="H654" s="51"/>
    </row>
    <row r="655" spans="1:8">
      <c r="A655" s="61"/>
      <c r="B655" s="61"/>
      <c r="C655" s="61"/>
      <c r="D655" s="61"/>
      <c r="E655" s="61"/>
      <c r="F655" s="51"/>
      <c r="G655" s="51"/>
      <c r="H655" s="51"/>
    </row>
    <row r="656" spans="1:8">
      <c r="A656" s="51" t="s">
        <v>176</v>
      </c>
      <c r="B656" s="51"/>
      <c r="C656" s="51"/>
      <c r="D656" s="51"/>
      <c r="E656" s="51"/>
      <c r="F656" s="51"/>
      <c r="G656" s="51"/>
      <c r="H656" s="51"/>
    </row>
    <row r="657" spans="1:8">
      <c r="A657" s="51"/>
      <c r="B657" s="51"/>
      <c r="C657" s="51"/>
      <c r="D657" s="51"/>
      <c r="E657" s="51"/>
      <c r="F657" s="139"/>
      <c r="G657" s="51"/>
      <c r="H657" s="51"/>
    </row>
    <row r="658" spans="1:8">
      <c r="A658" s="50" t="s">
        <v>105</v>
      </c>
      <c r="B658" s="51"/>
      <c r="C658" s="51"/>
      <c r="D658" s="146"/>
      <c r="E658" s="51"/>
      <c r="F658" s="139"/>
      <c r="G658" s="51"/>
      <c r="H658" s="51"/>
    </row>
    <row r="659" spans="1:8" ht="15.75" thickBot="1">
      <c r="A659" s="51"/>
      <c r="B659" s="51"/>
      <c r="C659" s="51"/>
      <c r="D659" s="51"/>
      <c r="E659" s="51"/>
      <c r="F659" s="51"/>
      <c r="G659" s="51"/>
      <c r="H659" s="51"/>
    </row>
    <row r="660" spans="1:8" ht="15.75" thickBot="1">
      <c r="A660" s="891" t="s">
        <v>106</v>
      </c>
      <c r="B660" s="892"/>
      <c r="C660" s="892"/>
      <c r="D660" s="893"/>
      <c r="E660" s="51"/>
      <c r="F660" s="50" t="s">
        <v>107</v>
      </c>
      <c r="G660" s="51"/>
      <c r="H660" s="51"/>
    </row>
    <row r="661" spans="1:8" ht="30.75" thickBot="1">
      <c r="A661" s="57" t="s">
        <v>100</v>
      </c>
      <c r="B661" s="58" t="s">
        <v>108</v>
      </c>
      <c r="C661" s="59" t="s">
        <v>109</v>
      </c>
      <c r="D661" s="60" t="s">
        <v>110</v>
      </c>
      <c r="E661" s="51"/>
      <c r="F661" s="51"/>
      <c r="G661" s="51"/>
      <c r="H661" s="51"/>
    </row>
    <row r="662" spans="1:8">
      <c r="A662" s="71">
        <v>719</v>
      </c>
      <c r="B662" s="73">
        <v>210000</v>
      </c>
      <c r="C662" s="74">
        <v>28120000</v>
      </c>
      <c r="D662" s="76">
        <f>+B662+C662</f>
        <v>28330000</v>
      </c>
      <c r="E662" s="51"/>
      <c r="F662" s="51"/>
      <c r="G662" s="51"/>
      <c r="H662" s="51"/>
    </row>
    <row r="663" spans="1:8">
      <c r="A663" s="72">
        <v>721</v>
      </c>
      <c r="B663" s="80"/>
      <c r="C663" s="75">
        <v>36156092</v>
      </c>
      <c r="D663" s="76">
        <f>+B663+C663</f>
        <v>36156092</v>
      </c>
      <c r="E663" s="51"/>
      <c r="F663" s="51"/>
      <c r="G663" s="51"/>
      <c r="H663" s="51"/>
    </row>
    <row r="664" spans="1:8">
      <c r="A664" s="72">
        <v>722</v>
      </c>
      <c r="B664" s="80"/>
      <c r="C664" s="75">
        <v>224787287</v>
      </c>
      <c r="D664" s="76">
        <f>+B664+C664</f>
        <v>224787287</v>
      </c>
      <c r="E664" s="51"/>
      <c r="F664" s="51"/>
      <c r="G664" s="51"/>
      <c r="H664" s="51"/>
    </row>
    <row r="665" spans="1:8" ht="15.75">
      <c r="A665" s="72">
        <v>723</v>
      </c>
      <c r="B665" s="80"/>
      <c r="C665" s="75">
        <v>319828837</v>
      </c>
      <c r="D665" s="76">
        <f>+B665+C665</f>
        <v>319828837</v>
      </c>
      <c r="E665" s="51"/>
      <c r="F665" s="174" t="s">
        <v>23</v>
      </c>
      <c r="G665" s="175"/>
      <c r="H665" s="51"/>
    </row>
    <row r="666" spans="1:8" ht="16.5" thickBot="1">
      <c r="A666" s="164" t="s">
        <v>161</v>
      </c>
      <c r="B666" s="165"/>
      <c r="C666" s="166">
        <v>1965625</v>
      </c>
      <c r="D666" s="168">
        <f>+B666+C666</f>
        <v>1965625</v>
      </c>
      <c r="E666" s="51"/>
      <c r="F666" s="52"/>
      <c r="G666" s="51"/>
      <c r="H666" s="51"/>
    </row>
    <row r="667" spans="1:8" ht="16.5" thickBot="1">
      <c r="A667" s="169"/>
      <c r="B667" s="170">
        <f>SUM(B662:B666)</f>
        <v>210000</v>
      </c>
      <c r="C667" s="171">
        <f>SUM(C662:C666)</f>
        <v>610857841</v>
      </c>
      <c r="D667" s="172">
        <f>SUM(D662:D666)</f>
        <v>611067841</v>
      </c>
      <c r="E667" s="51"/>
      <c r="F667" s="51"/>
      <c r="G667" s="51"/>
      <c r="H667" s="51"/>
    </row>
    <row r="668" spans="1:8" ht="16.5">
      <c r="A668" s="49" t="s">
        <v>88</v>
      </c>
      <c r="B668" s="50"/>
      <c r="C668" s="51"/>
      <c r="D668" s="51"/>
      <c r="E668" s="51"/>
      <c r="F668" s="51"/>
      <c r="G668" s="51"/>
      <c r="H668" s="51"/>
    </row>
    <row r="669" spans="1:8">
      <c r="A669" s="51" t="s">
        <v>89</v>
      </c>
      <c r="B669" s="51"/>
      <c r="C669" s="51"/>
      <c r="D669" s="51"/>
      <c r="E669" s="51"/>
      <c r="F669" s="51"/>
      <c r="G669" s="51"/>
      <c r="H669" s="51"/>
    </row>
    <row r="670" spans="1:8">
      <c r="A670" s="51" t="s">
        <v>90</v>
      </c>
      <c r="B670" s="51"/>
      <c r="C670" s="51"/>
      <c r="D670" s="51"/>
      <c r="E670" s="51"/>
      <c r="F670" s="51"/>
      <c r="G670" s="51"/>
      <c r="H670" s="51"/>
    </row>
    <row r="671" spans="1:8">
      <c r="A671" s="51" t="s">
        <v>91</v>
      </c>
      <c r="B671" s="51"/>
      <c r="C671" s="51"/>
      <c r="D671" s="51"/>
      <c r="E671" s="51"/>
      <c r="F671" s="51"/>
      <c r="G671" s="51"/>
      <c r="H671" s="51"/>
    </row>
    <row r="672" spans="1:8">
      <c r="A672" s="50"/>
      <c r="B672" s="50"/>
      <c r="C672" s="51"/>
      <c r="D672" s="51"/>
      <c r="E672" s="51"/>
      <c r="F672" s="51"/>
      <c r="G672" s="51"/>
      <c r="H672" s="51"/>
    </row>
    <row r="673" spans="1:8" ht="16.5">
      <c r="A673" s="52"/>
      <c r="B673" s="50"/>
      <c r="C673" s="51"/>
      <c r="D673" s="51"/>
      <c r="E673" s="51"/>
      <c r="F673" s="51"/>
      <c r="G673" s="52" t="s">
        <v>173</v>
      </c>
      <c r="H673" s="51"/>
    </row>
    <row r="674" spans="1:8" ht="15.75">
      <c r="A674" s="53"/>
      <c r="B674" s="51"/>
      <c r="C674" s="51"/>
      <c r="D674" s="51"/>
      <c r="E674" s="51"/>
      <c r="F674" s="51"/>
      <c r="G674" s="53" t="s">
        <v>164</v>
      </c>
      <c r="H674" s="51"/>
    </row>
    <row r="675" spans="1:8" ht="16.5">
      <c r="A675" s="894" t="s">
        <v>170</v>
      </c>
      <c r="B675" s="894"/>
      <c r="C675" s="894"/>
      <c r="D675" s="894"/>
      <c r="E675" s="894"/>
      <c r="F675" s="894"/>
      <c r="G675" s="894"/>
      <c r="H675" s="894"/>
    </row>
    <row r="676" spans="1:8" ht="15.75" thickBot="1">
      <c r="A676" s="51"/>
      <c r="B676" s="51"/>
      <c r="C676" s="51"/>
      <c r="D676" s="51"/>
      <c r="E676" s="51"/>
      <c r="F676" s="51"/>
      <c r="G676" s="51"/>
      <c r="H676" s="51"/>
    </row>
    <row r="677" spans="1:8">
      <c r="A677" s="988" t="s">
        <v>94</v>
      </c>
      <c r="B677" s="985" t="s">
        <v>95</v>
      </c>
      <c r="C677" s="985" t="s">
        <v>96</v>
      </c>
      <c r="D677" s="985" t="s">
        <v>3</v>
      </c>
      <c r="E677" s="985" t="s">
        <v>97</v>
      </c>
      <c r="F677" s="985" t="s">
        <v>98</v>
      </c>
      <c r="G677" s="985" t="s">
        <v>99</v>
      </c>
      <c r="H677" s="987"/>
    </row>
    <row r="678" spans="1:8" ht="15.75" thickBot="1">
      <c r="A678" s="989"/>
      <c r="B678" s="986"/>
      <c r="C678" s="986"/>
      <c r="D678" s="986"/>
      <c r="E678" s="986"/>
      <c r="F678" s="986"/>
      <c r="G678" s="179" t="s">
        <v>100</v>
      </c>
      <c r="H678" s="54" t="s">
        <v>101</v>
      </c>
    </row>
    <row r="679" spans="1:8">
      <c r="A679" s="881">
        <v>232</v>
      </c>
      <c r="B679" s="875">
        <v>42228</v>
      </c>
      <c r="C679" s="942" t="s">
        <v>40</v>
      </c>
      <c r="D679" s="881" t="s">
        <v>168</v>
      </c>
      <c r="E679" s="881" t="s">
        <v>148</v>
      </c>
      <c r="F679" s="883">
        <v>252000</v>
      </c>
      <c r="G679" s="55">
        <v>719</v>
      </c>
      <c r="H679" s="78">
        <v>180000</v>
      </c>
    </row>
    <row r="680" spans="1:8" ht="15.75" thickBot="1">
      <c r="A680" s="882"/>
      <c r="B680" s="934"/>
      <c r="C680" s="943"/>
      <c r="D680" s="882"/>
      <c r="E680" s="882"/>
      <c r="F680" s="884"/>
      <c r="G680" s="56">
        <v>721</v>
      </c>
      <c r="H680" s="79">
        <f>+F679-H679</f>
        <v>72000</v>
      </c>
    </row>
    <row r="681" spans="1:8">
      <c r="A681" s="881">
        <f>+A679+1</f>
        <v>233</v>
      </c>
      <c r="B681" s="875">
        <v>42228</v>
      </c>
      <c r="C681" s="935" t="s">
        <v>28</v>
      </c>
      <c r="D681" s="881" t="s">
        <v>166</v>
      </c>
      <c r="E681" s="881" t="s">
        <v>148</v>
      </c>
      <c r="F681" s="883">
        <v>392000</v>
      </c>
      <c r="G681" s="55">
        <v>719</v>
      </c>
      <c r="H681" s="78">
        <v>280000</v>
      </c>
    </row>
    <row r="682" spans="1:8" ht="15.75" thickBot="1">
      <c r="A682" s="882"/>
      <c r="B682" s="934"/>
      <c r="C682" s="936"/>
      <c r="D682" s="882"/>
      <c r="E682" s="882"/>
      <c r="F682" s="884"/>
      <c r="G682" s="56">
        <v>721</v>
      </c>
      <c r="H682" s="79">
        <f>+F681-H681</f>
        <v>112000</v>
      </c>
    </row>
    <row r="683" spans="1:8">
      <c r="A683" s="881">
        <f>+A681+1</f>
        <v>234</v>
      </c>
      <c r="B683" s="875">
        <v>42228</v>
      </c>
      <c r="C683" s="935" t="s">
        <v>32</v>
      </c>
      <c r="D683" s="881" t="s">
        <v>166</v>
      </c>
      <c r="E683" s="881" t="s">
        <v>148</v>
      </c>
      <c r="F683" s="883">
        <v>126000</v>
      </c>
      <c r="G683" s="55">
        <v>719</v>
      </c>
      <c r="H683" s="78">
        <v>90000</v>
      </c>
    </row>
    <row r="684" spans="1:8" ht="15.75" thickBot="1">
      <c r="A684" s="882"/>
      <c r="B684" s="934"/>
      <c r="C684" s="936"/>
      <c r="D684" s="882"/>
      <c r="E684" s="882"/>
      <c r="F684" s="884"/>
      <c r="G684" s="56">
        <v>721</v>
      </c>
      <c r="H684" s="79">
        <f>+F683-H683</f>
        <v>36000</v>
      </c>
    </row>
    <row r="685" spans="1:8">
      <c r="A685" s="881">
        <f>+A683+1</f>
        <v>235</v>
      </c>
      <c r="B685" s="875">
        <v>42228</v>
      </c>
      <c r="C685" s="942" t="s">
        <v>169</v>
      </c>
      <c r="D685" s="877" t="s">
        <v>167</v>
      </c>
      <c r="E685" s="881" t="s">
        <v>148</v>
      </c>
      <c r="F685" s="883">
        <v>56000</v>
      </c>
      <c r="G685" s="55">
        <v>719</v>
      </c>
      <c r="H685" s="78">
        <v>40000</v>
      </c>
    </row>
    <row r="686" spans="1:8" ht="15.75" thickBot="1">
      <c r="A686" s="882"/>
      <c r="B686" s="934"/>
      <c r="C686" s="943"/>
      <c r="D686" s="878"/>
      <c r="E686" s="882"/>
      <c r="F686" s="884"/>
      <c r="G686" s="56">
        <v>721</v>
      </c>
      <c r="H686" s="79">
        <f>+F685-H685</f>
        <v>16000</v>
      </c>
    </row>
    <row r="687" spans="1:8">
      <c r="A687" s="881">
        <f>+A685+1</f>
        <v>236</v>
      </c>
      <c r="B687" s="875">
        <v>42228</v>
      </c>
      <c r="C687" s="942" t="s">
        <v>31</v>
      </c>
      <c r="D687" s="881" t="s">
        <v>166</v>
      </c>
      <c r="E687" s="881" t="s">
        <v>148</v>
      </c>
      <c r="F687" s="883">
        <v>882000</v>
      </c>
      <c r="G687" s="55">
        <v>719</v>
      </c>
      <c r="H687" s="78">
        <v>630000</v>
      </c>
    </row>
    <row r="688" spans="1:8" ht="15.75" thickBot="1">
      <c r="A688" s="882"/>
      <c r="B688" s="934"/>
      <c r="C688" s="943"/>
      <c r="D688" s="882"/>
      <c r="E688" s="882"/>
      <c r="F688" s="884"/>
      <c r="G688" s="56">
        <v>721</v>
      </c>
      <c r="H688" s="79">
        <f>+F687-H687</f>
        <v>252000</v>
      </c>
    </row>
    <row r="689" spans="1:8" ht="16.5" thickBot="1">
      <c r="A689" s="901" t="s">
        <v>102</v>
      </c>
      <c r="B689" s="902"/>
      <c r="C689" s="902"/>
      <c r="D689" s="902"/>
      <c r="E689" s="903"/>
      <c r="F689" s="81">
        <f>SUM(F679:F688)</f>
        <v>1708000</v>
      </c>
      <c r="G689" s="51"/>
      <c r="H689" s="51"/>
    </row>
    <row r="690" spans="1:8" ht="16.5" thickBot="1">
      <c r="A690" s="885" t="s">
        <v>103</v>
      </c>
      <c r="B690" s="886"/>
      <c r="C690" s="886"/>
      <c r="D690" s="886"/>
      <c r="E690" s="887"/>
      <c r="F690" s="69">
        <f>+C704</f>
        <v>609149841</v>
      </c>
      <c r="G690" s="51"/>
      <c r="H690" s="51"/>
    </row>
    <row r="691" spans="1:8" ht="16.5" thickBot="1">
      <c r="A691" s="888" t="s">
        <v>104</v>
      </c>
      <c r="B691" s="889"/>
      <c r="C691" s="889"/>
      <c r="D691" s="889"/>
      <c r="E691" s="890"/>
      <c r="F691" s="70">
        <f>SUM(F689:F690)</f>
        <v>610857841</v>
      </c>
      <c r="G691" s="51"/>
      <c r="H691" s="51"/>
    </row>
    <row r="692" spans="1:8">
      <c r="A692" s="61"/>
      <c r="B692" s="61"/>
      <c r="C692" s="61"/>
      <c r="D692" s="61"/>
      <c r="E692" s="61"/>
      <c r="F692" s="51"/>
      <c r="G692" s="51"/>
      <c r="H692" s="51"/>
    </row>
    <row r="693" spans="1:8">
      <c r="A693" s="51" t="s">
        <v>171</v>
      </c>
      <c r="B693" s="51"/>
      <c r="C693" s="51"/>
      <c r="D693" s="51"/>
      <c r="E693" s="51"/>
      <c r="F693" s="51"/>
      <c r="G693" s="51"/>
      <c r="H693" s="51"/>
    </row>
    <row r="694" spans="1:8">
      <c r="A694" s="51"/>
      <c r="B694" s="51"/>
      <c r="C694" s="51"/>
      <c r="D694" s="51"/>
      <c r="E694" s="51"/>
      <c r="F694" s="139"/>
      <c r="G694" s="51"/>
      <c r="H694" s="51"/>
    </row>
    <row r="695" spans="1:8">
      <c r="A695" s="50" t="s">
        <v>105</v>
      </c>
      <c r="B695" s="51"/>
      <c r="C695" s="51"/>
      <c r="D695" s="146"/>
      <c r="E695" s="51"/>
      <c r="F695" s="51"/>
      <c r="G695" s="51"/>
      <c r="H695" s="51"/>
    </row>
    <row r="696" spans="1:8" ht="15.75" thickBot="1">
      <c r="A696" s="51"/>
      <c r="B696" s="51"/>
      <c r="C696" s="51"/>
      <c r="D696" s="51"/>
      <c r="E696" s="51"/>
      <c r="F696" s="51"/>
      <c r="G696" s="51"/>
      <c r="H696" s="51"/>
    </row>
    <row r="697" spans="1:8" ht="15.75" thickBot="1">
      <c r="A697" s="891" t="s">
        <v>106</v>
      </c>
      <c r="B697" s="892"/>
      <c r="C697" s="892"/>
      <c r="D697" s="893"/>
      <c r="E697" s="51"/>
      <c r="F697" s="50" t="s">
        <v>107</v>
      </c>
      <c r="G697" s="51"/>
      <c r="H697" s="51"/>
    </row>
    <row r="698" spans="1:8" ht="30.75" thickBot="1">
      <c r="A698" s="57" t="s">
        <v>100</v>
      </c>
      <c r="B698" s="58" t="s">
        <v>108</v>
      </c>
      <c r="C698" s="59" t="s">
        <v>109</v>
      </c>
      <c r="D698" s="60" t="s">
        <v>110</v>
      </c>
      <c r="E698" s="51"/>
      <c r="F698" s="51"/>
      <c r="G698" s="51"/>
      <c r="H698" s="51"/>
    </row>
    <row r="699" spans="1:8">
      <c r="A699" s="71">
        <v>719</v>
      </c>
      <c r="B699" s="73">
        <v>1220000</v>
      </c>
      <c r="C699" s="76">
        <v>26900000</v>
      </c>
      <c r="D699" s="76">
        <f>+B699+C699</f>
        <v>28120000</v>
      </c>
      <c r="E699" s="51"/>
      <c r="F699" s="51"/>
      <c r="G699" s="51"/>
      <c r="H699" s="51"/>
    </row>
    <row r="700" spans="1:8">
      <c r="A700" s="72">
        <v>721</v>
      </c>
      <c r="B700" s="80">
        <v>488000</v>
      </c>
      <c r="C700" s="76">
        <v>35668092</v>
      </c>
      <c r="D700" s="76">
        <f>+B700+C700</f>
        <v>36156092</v>
      </c>
      <c r="E700" s="51"/>
      <c r="F700" s="51"/>
      <c r="G700" s="51"/>
      <c r="H700" s="51"/>
    </row>
    <row r="701" spans="1:8">
      <c r="A701" s="72">
        <v>722</v>
      </c>
      <c r="B701" s="80"/>
      <c r="C701" s="76">
        <v>224787287</v>
      </c>
      <c r="D701" s="76">
        <f>+B701+C701</f>
        <v>224787287</v>
      </c>
      <c r="E701" s="51"/>
      <c r="F701" s="51"/>
      <c r="G701" s="51"/>
      <c r="H701" s="51"/>
    </row>
    <row r="702" spans="1:8" ht="15.75">
      <c r="A702" s="72">
        <v>723</v>
      </c>
      <c r="B702" s="80"/>
      <c r="C702" s="76">
        <v>319828837</v>
      </c>
      <c r="D702" s="76">
        <f>+B702+C702</f>
        <v>319828837</v>
      </c>
      <c r="E702" s="51"/>
      <c r="F702" s="174" t="s">
        <v>23</v>
      </c>
      <c r="G702" s="51"/>
      <c r="H702" s="51"/>
    </row>
    <row r="703" spans="1:8" ht="16.5" thickBot="1">
      <c r="A703" s="164" t="s">
        <v>161</v>
      </c>
      <c r="B703" s="165"/>
      <c r="C703" s="168">
        <v>1965625</v>
      </c>
      <c r="D703" s="168">
        <f>+B703+C703</f>
        <v>1965625</v>
      </c>
      <c r="E703" s="51"/>
      <c r="F703" s="52"/>
      <c r="G703" s="51"/>
      <c r="H703" s="51"/>
    </row>
    <row r="704" spans="1:8" ht="16.5" thickBot="1">
      <c r="A704" s="169"/>
      <c r="B704" s="170">
        <f>SUM(B699:B703)</f>
        <v>1708000</v>
      </c>
      <c r="C704" s="171">
        <f>SUM(C699:C703)</f>
        <v>609149841</v>
      </c>
      <c r="D704" s="172">
        <f>SUM(D699:D703)</f>
        <v>610857841</v>
      </c>
      <c r="E704" s="51"/>
      <c r="F704" s="51"/>
      <c r="G704" s="51"/>
      <c r="H704" s="51"/>
    </row>
    <row r="705" spans="1:8" ht="16.5">
      <c r="A705" s="49" t="s">
        <v>88</v>
      </c>
      <c r="B705" s="50"/>
      <c r="C705" s="51"/>
      <c r="D705" s="51"/>
      <c r="E705" s="51"/>
      <c r="F705" s="51"/>
      <c r="G705" s="51"/>
      <c r="H705" s="51"/>
    </row>
    <row r="706" spans="1:8">
      <c r="A706" s="51" t="s">
        <v>89</v>
      </c>
      <c r="B706" s="51"/>
      <c r="C706" s="51"/>
      <c r="D706" s="51"/>
      <c r="E706" s="51"/>
      <c r="F706" s="51"/>
      <c r="G706" s="51"/>
      <c r="H706" s="51"/>
    </row>
    <row r="707" spans="1:8">
      <c r="A707" s="51" t="s">
        <v>90</v>
      </c>
      <c r="B707" s="51"/>
      <c r="C707" s="51"/>
      <c r="D707" s="51"/>
      <c r="E707" s="51"/>
      <c r="F707" s="51"/>
      <c r="G707" s="51"/>
      <c r="H707" s="51"/>
    </row>
    <row r="708" spans="1:8">
      <c r="A708" s="51" t="s">
        <v>91</v>
      </c>
      <c r="B708" s="51"/>
      <c r="C708" s="51"/>
      <c r="D708" s="51"/>
      <c r="E708" s="51"/>
      <c r="F708" s="51"/>
      <c r="G708" s="51"/>
      <c r="H708" s="51"/>
    </row>
    <row r="709" spans="1:8">
      <c r="A709" s="50"/>
      <c r="B709" s="50"/>
      <c r="C709" s="51"/>
      <c r="D709" s="51"/>
      <c r="E709" s="51"/>
      <c r="F709" s="51"/>
      <c r="G709" s="51"/>
      <c r="H709" s="51"/>
    </row>
    <row r="710" spans="1:8" ht="16.5">
      <c r="A710" s="52"/>
      <c r="B710" s="50"/>
      <c r="C710" s="51"/>
      <c r="D710" s="51"/>
      <c r="E710" s="51"/>
      <c r="F710" s="51"/>
      <c r="G710" s="52" t="s">
        <v>172</v>
      </c>
      <c r="H710" s="51"/>
    </row>
    <row r="711" spans="1:8" ht="15.75">
      <c r="A711" s="53"/>
      <c r="B711" s="51"/>
      <c r="C711" s="51"/>
      <c r="D711" s="51"/>
      <c r="E711" s="51"/>
      <c r="F711" s="51"/>
      <c r="G711" s="53" t="s">
        <v>92</v>
      </c>
      <c r="H711" s="51"/>
    </row>
    <row r="712" spans="1:8" ht="16.5">
      <c r="A712" s="894" t="s">
        <v>93</v>
      </c>
      <c r="B712" s="894"/>
      <c r="C712" s="894"/>
      <c r="D712" s="894"/>
      <c r="E712" s="894"/>
      <c r="F712" s="894"/>
      <c r="G712" s="894"/>
      <c r="H712" s="894"/>
    </row>
    <row r="713" spans="1:8" ht="15.75" thickBot="1">
      <c r="A713" s="51"/>
      <c r="B713" s="51"/>
      <c r="C713" s="51"/>
      <c r="D713" s="51"/>
      <c r="E713" s="51"/>
      <c r="F713" s="51"/>
      <c r="G713" s="51"/>
      <c r="H713" s="51"/>
    </row>
    <row r="714" spans="1:8">
      <c r="A714" s="988" t="s">
        <v>94</v>
      </c>
      <c r="B714" s="985" t="s">
        <v>95</v>
      </c>
      <c r="C714" s="985" t="s">
        <v>96</v>
      </c>
      <c r="D714" s="985" t="s">
        <v>3</v>
      </c>
      <c r="E714" s="985" t="s">
        <v>97</v>
      </c>
      <c r="F714" s="985" t="s">
        <v>98</v>
      </c>
      <c r="G714" s="985" t="s">
        <v>99</v>
      </c>
      <c r="H714" s="987"/>
    </row>
    <row r="715" spans="1:8" ht="15.75" thickBot="1">
      <c r="A715" s="989"/>
      <c r="B715" s="986"/>
      <c r="C715" s="986"/>
      <c r="D715" s="986"/>
      <c r="E715" s="986"/>
      <c r="F715" s="986"/>
      <c r="G715" s="179" t="s">
        <v>100</v>
      </c>
      <c r="H715" s="54" t="s">
        <v>101</v>
      </c>
    </row>
    <row r="716" spans="1:8">
      <c r="A716" s="881">
        <v>237</v>
      </c>
      <c r="B716" s="875">
        <v>42228</v>
      </c>
      <c r="C716" s="942" t="s">
        <v>31</v>
      </c>
      <c r="D716" s="881" t="s">
        <v>174</v>
      </c>
      <c r="E716" s="881" t="s">
        <v>115</v>
      </c>
      <c r="F716" s="883">
        <v>120000</v>
      </c>
      <c r="G716" s="55">
        <v>719</v>
      </c>
      <c r="H716" s="78">
        <v>120000</v>
      </c>
    </row>
    <row r="717" spans="1:8" ht="15.75" thickBot="1">
      <c r="A717" s="882"/>
      <c r="B717" s="934"/>
      <c r="C717" s="943"/>
      <c r="D717" s="882"/>
      <c r="E717" s="882"/>
      <c r="F717" s="884"/>
      <c r="G717" s="56">
        <v>721</v>
      </c>
      <c r="H717" s="79">
        <f>+F716-H716</f>
        <v>0</v>
      </c>
    </row>
    <row r="718" spans="1:8">
      <c r="A718" s="881">
        <f>+A716+1</f>
        <v>238</v>
      </c>
      <c r="B718" s="875">
        <v>42228</v>
      </c>
      <c r="C718" s="935" t="s">
        <v>28</v>
      </c>
      <c r="D718" s="881" t="s">
        <v>175</v>
      </c>
      <c r="E718" s="881" t="s">
        <v>115</v>
      </c>
      <c r="F718" s="883">
        <v>90000</v>
      </c>
      <c r="G718" s="55">
        <v>719</v>
      </c>
      <c r="H718" s="78">
        <v>90000</v>
      </c>
    </row>
    <row r="719" spans="1:8" ht="15.75" thickBot="1">
      <c r="A719" s="882"/>
      <c r="B719" s="934"/>
      <c r="C719" s="936"/>
      <c r="D719" s="882"/>
      <c r="E719" s="882"/>
      <c r="F719" s="884"/>
      <c r="G719" s="56">
        <v>721</v>
      </c>
      <c r="H719" s="79"/>
    </row>
    <row r="720" spans="1:8">
      <c r="A720" s="881"/>
      <c r="B720" s="875"/>
      <c r="C720" s="935"/>
      <c r="D720" s="881"/>
      <c r="E720" s="881"/>
      <c r="F720" s="883"/>
      <c r="G720" s="55">
        <v>719</v>
      </c>
      <c r="H720" s="78">
        <v>70000</v>
      </c>
    </row>
    <row r="721" spans="1:8" ht="15.75" thickBot="1">
      <c r="A721" s="882"/>
      <c r="B721" s="934"/>
      <c r="C721" s="936"/>
      <c r="D721" s="882"/>
      <c r="E721" s="882"/>
      <c r="F721" s="884"/>
      <c r="G721" s="56">
        <v>721</v>
      </c>
      <c r="H721" s="79">
        <f>+F720-H720</f>
        <v>-70000</v>
      </c>
    </row>
    <row r="722" spans="1:8">
      <c r="A722" s="881"/>
      <c r="B722" s="875"/>
      <c r="C722" s="935"/>
      <c r="D722" s="877"/>
      <c r="E722" s="881"/>
      <c r="F722" s="883"/>
      <c r="G722" s="55">
        <v>719</v>
      </c>
      <c r="H722" s="78">
        <v>80000</v>
      </c>
    </row>
    <row r="723" spans="1:8" ht="15.75" thickBot="1">
      <c r="A723" s="882"/>
      <c r="B723" s="934"/>
      <c r="C723" s="936"/>
      <c r="D723" s="878"/>
      <c r="E723" s="882"/>
      <c r="F723" s="884"/>
      <c r="G723" s="56">
        <v>721</v>
      </c>
      <c r="H723" s="79">
        <f>+F722-H722</f>
        <v>-80000</v>
      </c>
    </row>
    <row r="724" spans="1:8">
      <c r="A724" s="881"/>
      <c r="B724" s="875"/>
      <c r="C724" s="935"/>
      <c r="D724" s="877"/>
      <c r="E724" s="881"/>
      <c r="F724" s="883"/>
      <c r="G724" s="55">
        <v>719</v>
      </c>
      <c r="H724" s="78">
        <v>440000</v>
      </c>
    </row>
    <row r="725" spans="1:8" ht="15.75" thickBot="1">
      <c r="A725" s="882"/>
      <c r="B725" s="934"/>
      <c r="C725" s="936"/>
      <c r="D725" s="878"/>
      <c r="E725" s="882"/>
      <c r="F725" s="884"/>
      <c r="G725" s="56">
        <v>721</v>
      </c>
      <c r="H725" s="79">
        <f>+F724-H724</f>
        <v>-440000</v>
      </c>
    </row>
    <row r="726" spans="1:8" ht="16.5" thickBot="1">
      <c r="A726" s="901" t="s">
        <v>102</v>
      </c>
      <c r="B726" s="902"/>
      <c r="C726" s="902"/>
      <c r="D726" s="902"/>
      <c r="E726" s="903"/>
      <c r="F726" s="81">
        <f>SUM(F716:F725)</f>
        <v>210000</v>
      </c>
      <c r="G726" s="51"/>
      <c r="H726" s="51"/>
    </row>
    <row r="727" spans="1:8" ht="16.5" thickBot="1">
      <c r="A727" s="885" t="s">
        <v>103</v>
      </c>
      <c r="B727" s="886"/>
      <c r="C727" s="886"/>
      <c r="D727" s="886"/>
      <c r="E727" s="887"/>
      <c r="F727" s="69">
        <f>+C741</f>
        <v>610857841</v>
      </c>
      <c r="G727" s="51"/>
      <c r="H727" s="51"/>
    </row>
    <row r="728" spans="1:8" ht="16.5" thickBot="1">
      <c r="A728" s="888" t="s">
        <v>104</v>
      </c>
      <c r="B728" s="889"/>
      <c r="C728" s="889"/>
      <c r="D728" s="889"/>
      <c r="E728" s="890"/>
      <c r="F728" s="70">
        <f>SUM(F726:F727)</f>
        <v>611067841</v>
      </c>
      <c r="G728" s="51"/>
      <c r="H728" s="51"/>
    </row>
    <row r="729" spans="1:8">
      <c r="A729" s="61"/>
      <c r="B729" s="61"/>
      <c r="C729" s="61"/>
      <c r="D729" s="61"/>
      <c r="E729" s="61"/>
      <c r="F729" s="51"/>
      <c r="G729" s="51"/>
      <c r="H729" s="51"/>
    </row>
    <row r="730" spans="1:8">
      <c r="A730" s="51" t="s">
        <v>176</v>
      </c>
      <c r="B730" s="51"/>
      <c r="C730" s="51"/>
      <c r="D730" s="51"/>
      <c r="E730" s="51"/>
      <c r="F730" s="51"/>
      <c r="G730" s="51"/>
      <c r="H730" s="51"/>
    </row>
    <row r="731" spans="1:8">
      <c r="A731" s="51"/>
      <c r="B731" s="51"/>
      <c r="C731" s="51"/>
      <c r="D731" s="51"/>
      <c r="E731" s="51"/>
      <c r="F731" s="139"/>
      <c r="G731" s="51"/>
      <c r="H731" s="51"/>
    </row>
    <row r="732" spans="1:8">
      <c r="A732" s="50" t="s">
        <v>105</v>
      </c>
      <c r="B732" s="51"/>
      <c r="C732" s="51"/>
      <c r="D732" s="146"/>
      <c r="E732" s="51"/>
      <c r="F732" s="139"/>
      <c r="G732" s="51"/>
      <c r="H732" s="51"/>
    </row>
    <row r="733" spans="1:8" ht="15.75" thickBot="1">
      <c r="A733" s="51"/>
      <c r="B733" s="51"/>
      <c r="C733" s="51"/>
      <c r="D733" s="51"/>
      <c r="E733" s="51"/>
      <c r="F733" s="51"/>
      <c r="G733" s="51"/>
      <c r="H733" s="51"/>
    </row>
    <row r="734" spans="1:8" ht="15.75" thickBot="1">
      <c r="A734" s="891" t="s">
        <v>106</v>
      </c>
      <c r="B734" s="892"/>
      <c r="C734" s="892"/>
      <c r="D734" s="893"/>
      <c r="E734" s="51"/>
      <c r="F734" s="50" t="s">
        <v>107</v>
      </c>
      <c r="G734" s="51"/>
      <c r="H734" s="51"/>
    </row>
    <row r="735" spans="1:8" ht="30.75" thickBot="1">
      <c r="A735" s="57" t="s">
        <v>100</v>
      </c>
      <c r="B735" s="58" t="s">
        <v>108</v>
      </c>
      <c r="C735" s="59" t="s">
        <v>109</v>
      </c>
      <c r="D735" s="60" t="s">
        <v>110</v>
      </c>
      <c r="E735" s="51"/>
      <c r="F735" s="51"/>
      <c r="G735" s="51"/>
      <c r="H735" s="51"/>
    </row>
    <row r="736" spans="1:8">
      <c r="A736" s="71">
        <v>719</v>
      </c>
      <c r="B736" s="73">
        <v>210000</v>
      </c>
      <c r="C736" s="74">
        <v>28120000</v>
      </c>
      <c r="D736" s="76">
        <f>+B736+C736</f>
        <v>28330000</v>
      </c>
      <c r="E736" s="51"/>
      <c r="F736" s="51"/>
      <c r="G736" s="51"/>
      <c r="H736" s="51"/>
    </row>
    <row r="737" spans="1:8">
      <c r="A737" s="72">
        <v>721</v>
      </c>
      <c r="B737" s="80"/>
      <c r="C737" s="75">
        <v>36156092</v>
      </c>
      <c r="D737" s="76">
        <f>+B737+C737</f>
        <v>36156092</v>
      </c>
      <c r="E737" s="51"/>
      <c r="F737" s="51"/>
      <c r="G737" s="51"/>
      <c r="H737" s="51"/>
    </row>
    <row r="738" spans="1:8">
      <c r="A738" s="72">
        <v>722</v>
      </c>
      <c r="B738" s="80"/>
      <c r="C738" s="75">
        <v>224787287</v>
      </c>
      <c r="D738" s="76">
        <f>+B738+C738</f>
        <v>224787287</v>
      </c>
      <c r="E738" s="51"/>
      <c r="F738" s="51"/>
      <c r="G738" s="51"/>
      <c r="H738" s="51"/>
    </row>
    <row r="739" spans="1:8" ht="15.75">
      <c r="A739" s="72">
        <v>723</v>
      </c>
      <c r="B739" s="80"/>
      <c r="C739" s="75">
        <v>319828837</v>
      </c>
      <c r="D739" s="76">
        <f>+B739+C739</f>
        <v>319828837</v>
      </c>
      <c r="E739" s="51"/>
      <c r="F739" s="174" t="s">
        <v>23</v>
      </c>
      <c r="G739" s="175"/>
      <c r="H739" s="51"/>
    </row>
    <row r="740" spans="1:8" ht="16.5" thickBot="1">
      <c r="A740" s="164" t="s">
        <v>161</v>
      </c>
      <c r="B740" s="165"/>
      <c r="C740" s="166">
        <v>1965625</v>
      </c>
      <c r="D740" s="168">
        <f>+B740+C740</f>
        <v>1965625</v>
      </c>
      <c r="E740" s="51"/>
      <c r="F740" s="52"/>
      <c r="G740" s="51"/>
      <c r="H740" s="51"/>
    </row>
    <row r="741" spans="1:8" ht="16.5" thickBot="1">
      <c r="A741" s="169"/>
      <c r="B741" s="170">
        <f>SUM(B736:B740)</f>
        <v>210000</v>
      </c>
      <c r="C741" s="171">
        <f>SUM(C736:C740)</f>
        <v>610857841</v>
      </c>
      <c r="D741" s="172">
        <f>SUM(D736:D740)</f>
        <v>611067841</v>
      </c>
      <c r="E741" s="51"/>
      <c r="F741" s="51"/>
      <c r="G741" s="51"/>
      <c r="H741" s="51"/>
    </row>
    <row r="742" spans="1:8" ht="16.5">
      <c r="A742" s="49" t="s">
        <v>88</v>
      </c>
      <c r="B742" s="50"/>
      <c r="C742" s="51"/>
      <c r="D742" s="51"/>
      <c r="E742" s="51"/>
      <c r="F742" s="51"/>
      <c r="G742" s="51"/>
      <c r="H742" s="51"/>
    </row>
    <row r="743" spans="1:8">
      <c r="A743" s="51" t="s">
        <v>89</v>
      </c>
      <c r="B743" s="51"/>
      <c r="C743" s="51"/>
      <c r="D743" s="51"/>
      <c r="E743" s="51"/>
      <c r="F743" s="51"/>
      <c r="G743" s="51"/>
      <c r="H743" s="51"/>
    </row>
    <row r="744" spans="1:8">
      <c r="A744" s="51" t="s">
        <v>90</v>
      </c>
      <c r="B744" s="51"/>
      <c r="C744" s="51"/>
      <c r="D744" s="51"/>
      <c r="E744" s="51"/>
      <c r="F744" s="51"/>
      <c r="G744" s="51"/>
      <c r="H744" s="51"/>
    </row>
    <row r="745" spans="1:8">
      <c r="A745" s="51" t="s">
        <v>91</v>
      </c>
      <c r="B745" s="51"/>
      <c r="C745" s="51"/>
      <c r="D745" s="51"/>
      <c r="E745" s="51"/>
      <c r="F745" s="51"/>
      <c r="G745" s="51"/>
      <c r="H745" s="51"/>
    </row>
    <row r="746" spans="1:8">
      <c r="A746" s="50"/>
      <c r="B746" s="50"/>
      <c r="C746" s="51"/>
      <c r="D746" s="51"/>
      <c r="E746" s="51"/>
      <c r="F746" s="51"/>
      <c r="G746" s="51"/>
      <c r="H746" s="51"/>
    </row>
    <row r="747" spans="1:8" ht="16.5">
      <c r="A747" s="52"/>
      <c r="B747" s="50"/>
      <c r="C747" s="51"/>
      <c r="D747" s="51"/>
      <c r="E747" s="51"/>
      <c r="F747" s="51"/>
      <c r="G747" s="52" t="s">
        <v>173</v>
      </c>
      <c r="H747" s="51"/>
    </row>
    <row r="748" spans="1:8" ht="15.75">
      <c r="A748" s="53"/>
      <c r="B748" s="51"/>
      <c r="C748" s="51"/>
      <c r="D748" s="51"/>
      <c r="E748" s="51"/>
      <c r="F748" s="51"/>
      <c r="G748" s="53" t="s">
        <v>164</v>
      </c>
      <c r="H748" s="51"/>
    </row>
    <row r="749" spans="1:8" ht="16.5">
      <c r="A749" s="894" t="s">
        <v>170</v>
      </c>
      <c r="B749" s="894"/>
      <c r="C749" s="894"/>
      <c r="D749" s="894"/>
      <c r="E749" s="894"/>
      <c r="F749" s="894"/>
      <c r="G749" s="894"/>
      <c r="H749" s="894"/>
    </row>
    <row r="750" spans="1:8" ht="15.75" thickBot="1">
      <c r="A750" s="51"/>
      <c r="B750" s="51"/>
      <c r="C750" s="51"/>
      <c r="D750" s="51"/>
      <c r="E750" s="51"/>
      <c r="F750" s="51"/>
      <c r="G750" s="51"/>
      <c r="H750" s="51"/>
    </row>
    <row r="751" spans="1:8">
      <c r="A751" s="988" t="s">
        <v>94</v>
      </c>
      <c r="B751" s="985" t="s">
        <v>95</v>
      </c>
      <c r="C751" s="985" t="s">
        <v>96</v>
      </c>
      <c r="D751" s="985" t="s">
        <v>3</v>
      </c>
      <c r="E751" s="985" t="s">
        <v>97</v>
      </c>
      <c r="F751" s="985" t="s">
        <v>98</v>
      </c>
      <c r="G751" s="985" t="s">
        <v>99</v>
      </c>
      <c r="H751" s="987"/>
    </row>
    <row r="752" spans="1:8" ht="15.75" thickBot="1">
      <c r="A752" s="989"/>
      <c r="B752" s="986"/>
      <c r="C752" s="986"/>
      <c r="D752" s="986"/>
      <c r="E752" s="986"/>
      <c r="F752" s="986"/>
      <c r="G752" s="179" t="s">
        <v>100</v>
      </c>
      <c r="H752" s="54" t="s">
        <v>101</v>
      </c>
    </row>
    <row r="753" spans="1:8">
      <c r="A753" s="881">
        <v>232</v>
      </c>
      <c r="B753" s="875">
        <v>42228</v>
      </c>
      <c r="C753" s="942" t="s">
        <v>40</v>
      </c>
      <c r="D753" s="881" t="s">
        <v>168</v>
      </c>
      <c r="E753" s="881" t="s">
        <v>148</v>
      </c>
      <c r="F753" s="883">
        <v>252000</v>
      </c>
      <c r="G753" s="55">
        <v>719</v>
      </c>
      <c r="H753" s="78">
        <v>180000</v>
      </c>
    </row>
    <row r="754" spans="1:8" ht="15.75" thickBot="1">
      <c r="A754" s="882"/>
      <c r="B754" s="934"/>
      <c r="C754" s="943"/>
      <c r="D754" s="882"/>
      <c r="E754" s="882"/>
      <c r="F754" s="884"/>
      <c r="G754" s="56">
        <v>721</v>
      </c>
      <c r="H754" s="79">
        <f>+F753-H753</f>
        <v>72000</v>
      </c>
    </row>
    <row r="755" spans="1:8">
      <c r="A755" s="881">
        <f>+A753+1</f>
        <v>233</v>
      </c>
      <c r="B755" s="875">
        <v>42228</v>
      </c>
      <c r="C755" s="935" t="s">
        <v>28</v>
      </c>
      <c r="D755" s="881" t="s">
        <v>166</v>
      </c>
      <c r="E755" s="881" t="s">
        <v>148</v>
      </c>
      <c r="F755" s="883">
        <v>392000</v>
      </c>
      <c r="G755" s="55">
        <v>719</v>
      </c>
      <c r="H755" s="78">
        <v>280000</v>
      </c>
    </row>
    <row r="756" spans="1:8" ht="15.75" thickBot="1">
      <c r="A756" s="882"/>
      <c r="B756" s="934"/>
      <c r="C756" s="936"/>
      <c r="D756" s="882"/>
      <c r="E756" s="882"/>
      <c r="F756" s="884"/>
      <c r="G756" s="56">
        <v>721</v>
      </c>
      <c r="H756" s="79">
        <f>+F755-H755</f>
        <v>112000</v>
      </c>
    </row>
    <row r="757" spans="1:8">
      <c r="A757" s="881">
        <f>+A755+1</f>
        <v>234</v>
      </c>
      <c r="B757" s="875">
        <v>42228</v>
      </c>
      <c r="C757" s="935" t="s">
        <v>32</v>
      </c>
      <c r="D757" s="881" t="s">
        <v>166</v>
      </c>
      <c r="E757" s="881" t="s">
        <v>148</v>
      </c>
      <c r="F757" s="883">
        <v>126000</v>
      </c>
      <c r="G757" s="55">
        <v>719</v>
      </c>
      <c r="H757" s="78">
        <v>90000</v>
      </c>
    </row>
    <row r="758" spans="1:8" ht="15.75" thickBot="1">
      <c r="A758" s="882"/>
      <c r="B758" s="934"/>
      <c r="C758" s="936"/>
      <c r="D758" s="882"/>
      <c r="E758" s="882"/>
      <c r="F758" s="884"/>
      <c r="G758" s="56">
        <v>721</v>
      </c>
      <c r="H758" s="79">
        <f>+F757-H757</f>
        <v>36000</v>
      </c>
    </row>
    <row r="759" spans="1:8">
      <c r="A759" s="881">
        <f>+A757+1</f>
        <v>235</v>
      </c>
      <c r="B759" s="875">
        <v>42228</v>
      </c>
      <c r="C759" s="942" t="s">
        <v>169</v>
      </c>
      <c r="D759" s="877" t="s">
        <v>167</v>
      </c>
      <c r="E759" s="881" t="s">
        <v>148</v>
      </c>
      <c r="F759" s="883">
        <v>56000</v>
      </c>
      <c r="G759" s="55">
        <v>719</v>
      </c>
      <c r="H759" s="78">
        <v>40000</v>
      </c>
    </row>
    <row r="760" spans="1:8" ht="15.75" thickBot="1">
      <c r="A760" s="882"/>
      <c r="B760" s="934"/>
      <c r="C760" s="943"/>
      <c r="D760" s="878"/>
      <c r="E760" s="882"/>
      <c r="F760" s="884"/>
      <c r="G760" s="56">
        <v>721</v>
      </c>
      <c r="H760" s="79">
        <f>+F759-H759</f>
        <v>16000</v>
      </c>
    </row>
    <row r="761" spans="1:8">
      <c r="A761" s="881">
        <f>+A759+1</f>
        <v>236</v>
      </c>
      <c r="B761" s="875">
        <v>42228</v>
      </c>
      <c r="C761" s="942" t="s">
        <v>31</v>
      </c>
      <c r="D761" s="881" t="s">
        <v>166</v>
      </c>
      <c r="E761" s="881" t="s">
        <v>148</v>
      </c>
      <c r="F761" s="883">
        <v>882000</v>
      </c>
      <c r="G761" s="55">
        <v>719</v>
      </c>
      <c r="H761" s="78">
        <v>630000</v>
      </c>
    </row>
    <row r="762" spans="1:8" ht="15.75" thickBot="1">
      <c r="A762" s="882"/>
      <c r="B762" s="934"/>
      <c r="C762" s="943"/>
      <c r="D762" s="882"/>
      <c r="E762" s="882"/>
      <c r="F762" s="884"/>
      <c r="G762" s="56">
        <v>721</v>
      </c>
      <c r="H762" s="79">
        <f>+F761-H761</f>
        <v>252000</v>
      </c>
    </row>
    <row r="763" spans="1:8" ht="16.5" thickBot="1">
      <c r="A763" s="901" t="s">
        <v>102</v>
      </c>
      <c r="B763" s="902"/>
      <c r="C763" s="902"/>
      <c r="D763" s="902"/>
      <c r="E763" s="903"/>
      <c r="F763" s="81">
        <f>SUM(F753:F762)</f>
        <v>1708000</v>
      </c>
      <c r="G763" s="51"/>
      <c r="H763" s="51"/>
    </row>
    <row r="764" spans="1:8" ht="16.5" thickBot="1">
      <c r="A764" s="885" t="s">
        <v>103</v>
      </c>
      <c r="B764" s="886"/>
      <c r="C764" s="886"/>
      <c r="D764" s="886"/>
      <c r="E764" s="887"/>
      <c r="F764" s="69">
        <f>+C778</f>
        <v>609149841</v>
      </c>
      <c r="G764" s="51"/>
      <c r="H764" s="51"/>
    </row>
    <row r="765" spans="1:8" ht="16.5" thickBot="1">
      <c r="A765" s="888" t="s">
        <v>104</v>
      </c>
      <c r="B765" s="889"/>
      <c r="C765" s="889"/>
      <c r="D765" s="889"/>
      <c r="E765" s="890"/>
      <c r="F765" s="70">
        <f>SUM(F763:F764)</f>
        <v>610857841</v>
      </c>
      <c r="G765" s="51"/>
      <c r="H765" s="51"/>
    </row>
    <row r="766" spans="1:8">
      <c r="A766" s="61"/>
      <c r="B766" s="61"/>
      <c r="C766" s="61"/>
      <c r="D766" s="61"/>
      <c r="E766" s="61"/>
      <c r="F766" s="51"/>
      <c r="G766" s="51"/>
      <c r="H766" s="51"/>
    </row>
    <row r="767" spans="1:8">
      <c r="A767" s="51" t="s">
        <v>171</v>
      </c>
      <c r="B767" s="51"/>
      <c r="C767" s="51"/>
      <c r="D767" s="51"/>
      <c r="E767" s="51"/>
      <c r="F767" s="51"/>
      <c r="G767" s="51"/>
      <c r="H767" s="51"/>
    </row>
    <row r="768" spans="1:8">
      <c r="A768" s="51"/>
      <c r="B768" s="51"/>
      <c r="C768" s="51"/>
      <c r="D768" s="51"/>
      <c r="E768" s="51"/>
      <c r="F768" s="139"/>
      <c r="G768" s="51"/>
      <c r="H768" s="51"/>
    </row>
    <row r="769" spans="1:8">
      <c r="A769" s="50" t="s">
        <v>105</v>
      </c>
      <c r="B769" s="51"/>
      <c r="C769" s="51"/>
      <c r="D769" s="146"/>
      <c r="E769" s="51"/>
      <c r="F769" s="51"/>
      <c r="G769" s="51"/>
      <c r="H769" s="51"/>
    </row>
    <row r="770" spans="1:8" ht="15.75" thickBot="1">
      <c r="A770" s="51"/>
      <c r="B770" s="51"/>
      <c r="C770" s="51"/>
      <c r="D770" s="51"/>
      <c r="E770" s="51"/>
      <c r="F770" s="51"/>
      <c r="G770" s="51"/>
      <c r="H770" s="51"/>
    </row>
    <row r="771" spans="1:8" ht="15.75" thickBot="1">
      <c r="A771" s="891" t="s">
        <v>106</v>
      </c>
      <c r="B771" s="892"/>
      <c r="C771" s="892"/>
      <c r="D771" s="893"/>
      <c r="E771" s="51"/>
      <c r="F771" s="50" t="s">
        <v>107</v>
      </c>
      <c r="G771" s="51"/>
      <c r="H771" s="51"/>
    </row>
    <row r="772" spans="1:8" ht="30.75" thickBot="1">
      <c r="A772" s="57" t="s">
        <v>100</v>
      </c>
      <c r="B772" s="58" t="s">
        <v>108</v>
      </c>
      <c r="C772" s="59" t="s">
        <v>109</v>
      </c>
      <c r="D772" s="60" t="s">
        <v>110</v>
      </c>
      <c r="E772" s="51"/>
      <c r="F772" s="51"/>
      <c r="G772" s="51"/>
      <c r="H772" s="51"/>
    </row>
    <row r="773" spans="1:8">
      <c r="A773" s="71">
        <v>719</v>
      </c>
      <c r="B773" s="73">
        <v>1220000</v>
      </c>
      <c r="C773" s="76">
        <v>26900000</v>
      </c>
      <c r="D773" s="76">
        <f>+B773+C773</f>
        <v>28120000</v>
      </c>
      <c r="E773" s="51"/>
      <c r="F773" s="51"/>
      <c r="G773" s="51"/>
      <c r="H773" s="51"/>
    </row>
    <row r="774" spans="1:8">
      <c r="A774" s="72">
        <v>721</v>
      </c>
      <c r="B774" s="80">
        <v>488000</v>
      </c>
      <c r="C774" s="76">
        <v>35668092</v>
      </c>
      <c r="D774" s="76">
        <f>+B774+C774</f>
        <v>36156092</v>
      </c>
      <c r="E774" s="51"/>
      <c r="F774" s="51"/>
      <c r="G774" s="51"/>
      <c r="H774" s="51"/>
    </row>
    <row r="775" spans="1:8">
      <c r="A775" s="72">
        <v>722</v>
      </c>
      <c r="B775" s="80"/>
      <c r="C775" s="76">
        <v>224787287</v>
      </c>
      <c r="D775" s="76">
        <f>+B775+C775</f>
        <v>224787287</v>
      </c>
      <c r="E775" s="51"/>
      <c r="F775" s="51"/>
      <c r="G775" s="51"/>
      <c r="H775" s="51"/>
    </row>
    <row r="776" spans="1:8" ht="15.75">
      <c r="A776" s="72">
        <v>723</v>
      </c>
      <c r="B776" s="80"/>
      <c r="C776" s="76">
        <v>319828837</v>
      </c>
      <c r="D776" s="76">
        <f>+B776+C776</f>
        <v>319828837</v>
      </c>
      <c r="E776" s="51"/>
      <c r="F776" s="174" t="s">
        <v>23</v>
      </c>
      <c r="G776" s="51"/>
      <c r="H776" s="51"/>
    </row>
    <row r="777" spans="1:8" ht="16.5" thickBot="1">
      <c r="A777" s="164" t="s">
        <v>161</v>
      </c>
      <c r="B777" s="165"/>
      <c r="C777" s="168">
        <v>1965625</v>
      </c>
      <c r="D777" s="168">
        <f>+B777+C777</f>
        <v>1965625</v>
      </c>
      <c r="E777" s="51"/>
      <c r="F777" s="52"/>
      <c r="G777" s="51"/>
      <c r="H777" s="51"/>
    </row>
    <row r="778" spans="1:8" ht="16.5" thickBot="1">
      <c r="A778" s="169"/>
      <c r="B778" s="170">
        <f>SUM(B773:B777)</f>
        <v>1708000</v>
      </c>
      <c r="C778" s="171">
        <f>SUM(C773:C777)</f>
        <v>609149841</v>
      </c>
      <c r="D778" s="172">
        <f>SUM(D773:D777)</f>
        <v>610857841</v>
      </c>
      <c r="E778" s="51"/>
      <c r="F778" s="51"/>
      <c r="G778" s="51"/>
      <c r="H778" s="51"/>
    </row>
    <row r="779" spans="1:8" ht="16.5">
      <c r="A779" s="49" t="s">
        <v>88</v>
      </c>
      <c r="B779" s="50"/>
      <c r="C779" s="51"/>
      <c r="D779" s="51"/>
      <c r="E779" s="51"/>
      <c r="F779" s="51"/>
      <c r="G779" s="51"/>
      <c r="H779" s="51"/>
    </row>
    <row r="780" spans="1:8">
      <c r="A780" s="51" t="s">
        <v>89</v>
      </c>
      <c r="B780" s="51"/>
      <c r="C780" s="51"/>
      <c r="D780" s="51"/>
      <c r="E780" s="51"/>
      <c r="F780" s="51"/>
      <c r="G780" s="51"/>
      <c r="H780" s="51"/>
    </row>
    <row r="781" spans="1:8">
      <c r="A781" s="51" t="s">
        <v>90</v>
      </c>
      <c r="B781" s="51"/>
      <c r="C781" s="51"/>
      <c r="D781" s="51"/>
      <c r="E781" s="51"/>
      <c r="F781" s="51"/>
      <c r="G781" s="51"/>
      <c r="H781" s="51"/>
    </row>
    <row r="782" spans="1:8">
      <c r="A782" s="51" t="s">
        <v>91</v>
      </c>
      <c r="B782" s="51"/>
      <c r="C782" s="51"/>
      <c r="D782" s="51"/>
      <c r="E782" s="51"/>
      <c r="F782" s="51"/>
      <c r="G782" s="51"/>
      <c r="H782" s="51"/>
    </row>
    <row r="783" spans="1:8">
      <c r="A783" s="50"/>
      <c r="B783" s="50"/>
      <c r="C783" s="51"/>
      <c r="D783" s="51"/>
      <c r="E783" s="51"/>
      <c r="F783" s="51"/>
      <c r="G783" s="51"/>
      <c r="H783" s="51"/>
    </row>
    <row r="784" spans="1:8" ht="16.5">
      <c r="A784" s="52"/>
      <c r="B784" s="50"/>
      <c r="C784" s="51"/>
      <c r="D784" s="51"/>
      <c r="E784" s="51"/>
      <c r="F784" s="51"/>
      <c r="G784" s="52" t="s">
        <v>172</v>
      </c>
      <c r="H784" s="51"/>
    </row>
    <row r="785" spans="1:8" ht="15.75">
      <c r="A785" s="53"/>
      <c r="B785" s="51"/>
      <c r="C785" s="51"/>
      <c r="D785" s="51"/>
      <c r="E785" s="51"/>
      <c r="F785" s="51"/>
      <c r="G785" s="53" t="s">
        <v>92</v>
      </c>
      <c r="H785" s="51"/>
    </row>
    <row r="786" spans="1:8" ht="16.5">
      <c r="A786" s="894" t="s">
        <v>93</v>
      </c>
      <c r="B786" s="894"/>
      <c r="C786" s="894"/>
      <c r="D786" s="894"/>
      <c r="E786" s="894"/>
      <c r="F786" s="894"/>
      <c r="G786" s="894"/>
      <c r="H786" s="894"/>
    </row>
    <row r="787" spans="1:8" ht="15.75" thickBot="1">
      <c r="A787" s="51"/>
      <c r="B787" s="51"/>
      <c r="C787" s="51"/>
      <c r="D787" s="51"/>
      <c r="E787" s="51"/>
      <c r="F787" s="51"/>
      <c r="G787" s="51"/>
      <c r="H787" s="51"/>
    </row>
    <row r="788" spans="1:8">
      <c r="A788" s="988" t="s">
        <v>94</v>
      </c>
      <c r="B788" s="985" t="s">
        <v>95</v>
      </c>
      <c r="C788" s="985" t="s">
        <v>96</v>
      </c>
      <c r="D788" s="985" t="s">
        <v>3</v>
      </c>
      <c r="E788" s="985" t="s">
        <v>97</v>
      </c>
      <c r="F788" s="985" t="s">
        <v>98</v>
      </c>
      <c r="G788" s="985" t="s">
        <v>99</v>
      </c>
      <c r="H788" s="987"/>
    </row>
    <row r="789" spans="1:8" ht="15.75" thickBot="1">
      <c r="A789" s="989"/>
      <c r="B789" s="986"/>
      <c r="C789" s="986"/>
      <c r="D789" s="986"/>
      <c r="E789" s="986"/>
      <c r="F789" s="986"/>
      <c r="G789" s="179" t="s">
        <v>100</v>
      </c>
      <c r="H789" s="54" t="s">
        <v>101</v>
      </c>
    </row>
    <row r="790" spans="1:8">
      <c r="A790" s="881">
        <v>237</v>
      </c>
      <c r="B790" s="875">
        <v>42228</v>
      </c>
      <c r="C790" s="942" t="s">
        <v>31</v>
      </c>
      <c r="D790" s="881" t="s">
        <v>174</v>
      </c>
      <c r="E790" s="881" t="s">
        <v>115</v>
      </c>
      <c r="F790" s="883">
        <v>120000</v>
      </c>
      <c r="G790" s="55">
        <v>719</v>
      </c>
      <c r="H790" s="78">
        <v>120000</v>
      </c>
    </row>
    <row r="791" spans="1:8" ht="15.75" thickBot="1">
      <c r="A791" s="882"/>
      <c r="B791" s="934"/>
      <c r="C791" s="943"/>
      <c r="D791" s="882"/>
      <c r="E791" s="882"/>
      <c r="F791" s="884"/>
      <c r="G791" s="56">
        <v>721</v>
      </c>
      <c r="H791" s="79">
        <f>+F790-H790</f>
        <v>0</v>
      </c>
    </row>
    <row r="792" spans="1:8">
      <c r="A792" s="881">
        <f>+A790+1</f>
        <v>238</v>
      </c>
      <c r="B792" s="875">
        <v>42228</v>
      </c>
      <c r="C792" s="935" t="s">
        <v>28</v>
      </c>
      <c r="D792" s="881" t="s">
        <v>175</v>
      </c>
      <c r="E792" s="881" t="s">
        <v>115</v>
      </c>
      <c r="F792" s="883">
        <v>90000</v>
      </c>
      <c r="G792" s="55">
        <v>719</v>
      </c>
      <c r="H792" s="78">
        <v>90000</v>
      </c>
    </row>
    <row r="793" spans="1:8" ht="15.75" thickBot="1">
      <c r="A793" s="882"/>
      <c r="B793" s="934"/>
      <c r="C793" s="936"/>
      <c r="D793" s="882"/>
      <c r="E793" s="882"/>
      <c r="F793" s="884"/>
      <c r="G793" s="56">
        <v>721</v>
      </c>
      <c r="H793" s="79"/>
    </row>
    <row r="794" spans="1:8">
      <c r="A794" s="881"/>
      <c r="B794" s="875"/>
      <c r="C794" s="935"/>
      <c r="D794" s="881"/>
      <c r="E794" s="881"/>
      <c r="F794" s="883"/>
      <c r="G794" s="55">
        <v>719</v>
      </c>
      <c r="H794" s="78">
        <v>70000</v>
      </c>
    </row>
    <row r="795" spans="1:8" ht="15.75" thickBot="1">
      <c r="A795" s="882"/>
      <c r="B795" s="934"/>
      <c r="C795" s="936"/>
      <c r="D795" s="882"/>
      <c r="E795" s="882"/>
      <c r="F795" s="884"/>
      <c r="G795" s="56">
        <v>721</v>
      </c>
      <c r="H795" s="79">
        <f>+F794-H794</f>
        <v>-70000</v>
      </c>
    </row>
    <row r="796" spans="1:8">
      <c r="A796" s="881"/>
      <c r="B796" s="875"/>
      <c r="C796" s="935"/>
      <c r="D796" s="877"/>
      <c r="E796" s="881"/>
      <c r="F796" s="883"/>
      <c r="G796" s="55">
        <v>719</v>
      </c>
      <c r="H796" s="78">
        <v>80000</v>
      </c>
    </row>
    <row r="797" spans="1:8" ht="15.75" thickBot="1">
      <c r="A797" s="882"/>
      <c r="B797" s="934"/>
      <c r="C797" s="936"/>
      <c r="D797" s="878"/>
      <c r="E797" s="882"/>
      <c r="F797" s="884"/>
      <c r="G797" s="56">
        <v>721</v>
      </c>
      <c r="H797" s="79">
        <f>+F796-H796</f>
        <v>-80000</v>
      </c>
    </row>
    <row r="798" spans="1:8">
      <c r="A798" s="881"/>
      <c r="B798" s="875"/>
      <c r="C798" s="935"/>
      <c r="D798" s="877"/>
      <c r="E798" s="881"/>
      <c r="F798" s="883"/>
      <c r="G798" s="55">
        <v>719</v>
      </c>
      <c r="H798" s="78">
        <v>440000</v>
      </c>
    </row>
    <row r="799" spans="1:8" ht="15.75" thickBot="1">
      <c r="A799" s="882"/>
      <c r="B799" s="934"/>
      <c r="C799" s="936"/>
      <c r="D799" s="878"/>
      <c r="E799" s="882"/>
      <c r="F799" s="884"/>
      <c r="G799" s="56">
        <v>721</v>
      </c>
      <c r="H799" s="79">
        <f>+F798-H798</f>
        <v>-440000</v>
      </c>
    </row>
    <row r="800" spans="1:8" ht="16.5" thickBot="1">
      <c r="A800" s="901" t="s">
        <v>102</v>
      </c>
      <c r="B800" s="902"/>
      <c r="C800" s="902"/>
      <c r="D800" s="902"/>
      <c r="E800" s="903"/>
      <c r="F800" s="81">
        <f>SUM(F790:F799)</f>
        <v>210000</v>
      </c>
      <c r="G800" s="51"/>
      <c r="H800" s="51"/>
    </row>
    <row r="801" spans="1:8" ht="16.5" thickBot="1">
      <c r="A801" s="885" t="s">
        <v>103</v>
      </c>
      <c r="B801" s="886"/>
      <c r="C801" s="886"/>
      <c r="D801" s="886"/>
      <c r="E801" s="887"/>
      <c r="F801" s="69">
        <f>+C815</f>
        <v>610857841</v>
      </c>
      <c r="G801" s="51"/>
      <c r="H801" s="51"/>
    </row>
    <row r="802" spans="1:8" ht="16.5" thickBot="1">
      <c r="A802" s="888" t="s">
        <v>104</v>
      </c>
      <c r="B802" s="889"/>
      <c r="C802" s="889"/>
      <c r="D802" s="889"/>
      <c r="E802" s="890"/>
      <c r="F802" s="70">
        <f>SUM(F800:F801)</f>
        <v>611067841</v>
      </c>
      <c r="G802" s="51"/>
      <c r="H802" s="51"/>
    </row>
    <row r="803" spans="1:8">
      <c r="A803" s="61"/>
      <c r="B803" s="61"/>
      <c r="C803" s="61"/>
      <c r="D803" s="61"/>
      <c r="E803" s="61"/>
      <c r="F803" s="51"/>
      <c r="G803" s="51"/>
      <c r="H803" s="51"/>
    </row>
    <row r="804" spans="1:8">
      <c r="A804" s="51" t="s">
        <v>176</v>
      </c>
      <c r="B804" s="51"/>
      <c r="C804" s="51"/>
      <c r="D804" s="51"/>
      <c r="E804" s="51"/>
      <c r="F804" s="51"/>
      <c r="G804" s="51"/>
      <c r="H804" s="51"/>
    </row>
    <row r="805" spans="1:8">
      <c r="A805" s="51"/>
      <c r="B805" s="51"/>
      <c r="C805" s="51"/>
      <c r="D805" s="51"/>
      <c r="E805" s="51"/>
      <c r="F805" s="139"/>
      <c r="G805" s="51"/>
      <c r="H805" s="51"/>
    </row>
    <row r="806" spans="1:8">
      <c r="A806" s="50" t="s">
        <v>105</v>
      </c>
      <c r="B806" s="51"/>
      <c r="C806" s="51"/>
      <c r="D806" s="146"/>
      <c r="E806" s="51"/>
      <c r="F806" s="139"/>
      <c r="G806" s="51"/>
      <c r="H806" s="51"/>
    </row>
    <row r="807" spans="1:8" ht="15.75" thickBot="1">
      <c r="A807" s="51"/>
      <c r="B807" s="51"/>
      <c r="C807" s="51"/>
      <c r="D807" s="51"/>
      <c r="E807" s="51"/>
      <c r="F807" s="51"/>
      <c r="G807" s="51"/>
      <c r="H807" s="51"/>
    </row>
    <row r="808" spans="1:8" ht="15.75" thickBot="1">
      <c r="A808" s="891" t="s">
        <v>106</v>
      </c>
      <c r="B808" s="892"/>
      <c r="C808" s="892"/>
      <c r="D808" s="893"/>
      <c r="E808" s="51"/>
      <c r="F808" s="50" t="s">
        <v>107</v>
      </c>
      <c r="G808" s="51"/>
      <c r="H808" s="51"/>
    </row>
    <row r="809" spans="1:8" ht="30.75" thickBot="1">
      <c r="A809" s="57" t="s">
        <v>100</v>
      </c>
      <c r="B809" s="58" t="s">
        <v>108</v>
      </c>
      <c r="C809" s="59" t="s">
        <v>109</v>
      </c>
      <c r="D809" s="60" t="s">
        <v>110</v>
      </c>
      <c r="E809" s="51"/>
      <c r="F809" s="51"/>
      <c r="G809" s="51"/>
      <c r="H809" s="51"/>
    </row>
    <row r="810" spans="1:8">
      <c r="A810" s="71">
        <v>719</v>
      </c>
      <c r="B810" s="73">
        <v>210000</v>
      </c>
      <c r="C810" s="74">
        <v>28120000</v>
      </c>
      <c r="D810" s="76">
        <f>+B810+C810</f>
        <v>28330000</v>
      </c>
      <c r="E810" s="51"/>
      <c r="F810" s="51"/>
      <c r="G810" s="51"/>
      <c r="H810" s="51"/>
    </row>
    <row r="811" spans="1:8">
      <c r="A811" s="72">
        <v>721</v>
      </c>
      <c r="B811" s="80"/>
      <c r="C811" s="75">
        <v>36156092</v>
      </c>
      <c r="D811" s="76">
        <f>+B811+C811</f>
        <v>36156092</v>
      </c>
      <c r="E811" s="51"/>
      <c r="F811" s="51"/>
      <c r="G811" s="51"/>
      <c r="H811" s="51"/>
    </row>
    <row r="812" spans="1:8">
      <c r="A812" s="72">
        <v>722</v>
      </c>
      <c r="B812" s="80"/>
      <c r="C812" s="75">
        <v>224787287</v>
      </c>
      <c r="D812" s="76">
        <f>+B812+C812</f>
        <v>224787287</v>
      </c>
      <c r="E812" s="51"/>
      <c r="F812" s="51"/>
      <c r="G812" s="51"/>
      <c r="H812" s="51"/>
    </row>
    <row r="813" spans="1:8" ht="15.75">
      <c r="A813" s="72">
        <v>723</v>
      </c>
      <c r="B813" s="80"/>
      <c r="C813" s="75">
        <v>319828837</v>
      </c>
      <c r="D813" s="76">
        <f>+B813+C813</f>
        <v>319828837</v>
      </c>
      <c r="E813" s="51"/>
      <c r="F813" s="174" t="s">
        <v>23</v>
      </c>
      <c r="G813" s="175"/>
      <c r="H813" s="51"/>
    </row>
    <row r="814" spans="1:8" ht="16.5" thickBot="1">
      <c r="A814" s="164" t="s">
        <v>161</v>
      </c>
      <c r="B814" s="165"/>
      <c r="C814" s="166">
        <v>1965625</v>
      </c>
      <c r="D814" s="168">
        <f>+B814+C814</f>
        <v>1965625</v>
      </c>
      <c r="E814" s="51"/>
      <c r="F814" s="52"/>
      <c r="G814" s="51"/>
      <c r="H814" s="51"/>
    </row>
    <row r="815" spans="1:8" ht="16.5" thickBot="1">
      <c r="A815" s="169"/>
      <c r="B815" s="170">
        <f>SUM(B810:B814)</f>
        <v>210000</v>
      </c>
      <c r="C815" s="171">
        <f>SUM(C810:C814)</f>
        <v>610857841</v>
      </c>
      <c r="D815" s="172">
        <f>SUM(D810:D814)</f>
        <v>611067841</v>
      </c>
      <c r="E815" s="51"/>
      <c r="F815" s="51"/>
      <c r="G815" s="51"/>
      <c r="H815" s="51"/>
    </row>
    <row r="816" spans="1:8" ht="16.5">
      <c r="A816" s="49" t="s">
        <v>88</v>
      </c>
      <c r="B816" s="50"/>
      <c r="C816" s="51"/>
      <c r="D816" s="51"/>
      <c r="E816" s="51"/>
      <c r="F816" s="51"/>
      <c r="G816" s="51"/>
      <c r="H816" s="51"/>
    </row>
    <row r="817" spans="1:8">
      <c r="A817" s="51" t="s">
        <v>89</v>
      </c>
      <c r="B817" s="51"/>
      <c r="C817" s="51"/>
      <c r="D817" s="51"/>
      <c r="E817" s="51"/>
      <c r="F817" s="51"/>
      <c r="G817" s="51"/>
      <c r="H817" s="51"/>
    </row>
    <row r="818" spans="1:8">
      <c r="A818" s="51" t="s">
        <v>90</v>
      </c>
      <c r="B818" s="51"/>
      <c r="C818" s="51"/>
      <c r="D818" s="51"/>
      <c r="E818" s="51"/>
      <c r="F818" s="51"/>
      <c r="G818" s="51"/>
      <c r="H818" s="51"/>
    </row>
    <row r="819" spans="1:8">
      <c r="A819" s="51" t="s">
        <v>91</v>
      </c>
      <c r="B819" s="51"/>
      <c r="C819" s="51"/>
      <c r="D819" s="51"/>
      <c r="E819" s="51"/>
      <c r="F819" s="51"/>
      <c r="G819" s="51"/>
      <c r="H819" s="51"/>
    </row>
    <row r="820" spans="1:8">
      <c r="A820" s="50"/>
      <c r="B820" s="50"/>
      <c r="C820" s="51"/>
      <c r="D820" s="51"/>
      <c r="E820" s="51"/>
      <c r="F820" s="51"/>
      <c r="G820" s="51"/>
      <c r="H820" s="51"/>
    </row>
    <row r="821" spans="1:8" ht="16.5">
      <c r="A821" s="52"/>
      <c r="B821" s="50"/>
      <c r="C821" s="51"/>
      <c r="D821" s="51"/>
      <c r="E821" s="51"/>
      <c r="F821" s="51"/>
      <c r="G821" s="52" t="s">
        <v>173</v>
      </c>
      <c r="H821" s="51"/>
    </row>
    <row r="822" spans="1:8" ht="15.75">
      <c r="A822" s="53"/>
      <c r="B822" s="51"/>
      <c r="C822" s="51"/>
      <c r="D822" s="51"/>
      <c r="E822" s="51"/>
      <c r="F822" s="51"/>
      <c r="G822" s="53" t="s">
        <v>164</v>
      </c>
      <c r="H822" s="51"/>
    </row>
    <row r="823" spans="1:8" ht="16.5">
      <c r="A823" s="894" t="s">
        <v>170</v>
      </c>
      <c r="B823" s="894"/>
      <c r="C823" s="894"/>
      <c r="D823" s="894"/>
      <c r="E823" s="894"/>
      <c r="F823" s="894"/>
      <c r="G823" s="894"/>
      <c r="H823" s="894"/>
    </row>
    <row r="824" spans="1:8" ht="15.75" thickBot="1">
      <c r="A824" s="51"/>
      <c r="B824" s="51"/>
      <c r="C824" s="51"/>
      <c r="D824" s="51"/>
      <c r="E824" s="51"/>
      <c r="F824" s="51"/>
      <c r="G824" s="51"/>
      <c r="H824" s="51"/>
    </row>
    <row r="825" spans="1:8">
      <c r="A825" s="988" t="s">
        <v>94</v>
      </c>
      <c r="B825" s="985" t="s">
        <v>95</v>
      </c>
      <c r="C825" s="985" t="s">
        <v>96</v>
      </c>
      <c r="D825" s="985" t="s">
        <v>3</v>
      </c>
      <c r="E825" s="985" t="s">
        <v>97</v>
      </c>
      <c r="F825" s="985" t="s">
        <v>98</v>
      </c>
      <c r="G825" s="985" t="s">
        <v>99</v>
      </c>
      <c r="H825" s="987"/>
    </row>
    <row r="826" spans="1:8" ht="15.75" thickBot="1">
      <c r="A826" s="989"/>
      <c r="B826" s="986"/>
      <c r="C826" s="986"/>
      <c r="D826" s="986"/>
      <c r="E826" s="986"/>
      <c r="F826" s="986"/>
      <c r="G826" s="179" t="s">
        <v>100</v>
      </c>
      <c r="H826" s="54" t="s">
        <v>101</v>
      </c>
    </row>
    <row r="827" spans="1:8">
      <c r="A827" s="881">
        <v>232</v>
      </c>
      <c r="B827" s="875">
        <v>42228</v>
      </c>
      <c r="C827" s="942" t="s">
        <v>40</v>
      </c>
      <c r="D827" s="881" t="s">
        <v>168</v>
      </c>
      <c r="E827" s="881" t="s">
        <v>148</v>
      </c>
      <c r="F827" s="883">
        <v>252000</v>
      </c>
      <c r="G827" s="55">
        <v>719</v>
      </c>
      <c r="H827" s="78">
        <v>180000</v>
      </c>
    </row>
    <row r="828" spans="1:8" ht="15.75" thickBot="1">
      <c r="A828" s="882"/>
      <c r="B828" s="934"/>
      <c r="C828" s="943"/>
      <c r="D828" s="882"/>
      <c r="E828" s="882"/>
      <c r="F828" s="884"/>
      <c r="G828" s="56">
        <v>721</v>
      </c>
      <c r="H828" s="79">
        <f>+F827-H827</f>
        <v>72000</v>
      </c>
    </row>
    <row r="829" spans="1:8">
      <c r="A829" s="881">
        <f>+A827+1</f>
        <v>233</v>
      </c>
      <c r="B829" s="875">
        <v>42228</v>
      </c>
      <c r="C829" s="935" t="s">
        <v>28</v>
      </c>
      <c r="D829" s="881" t="s">
        <v>166</v>
      </c>
      <c r="E829" s="881" t="s">
        <v>148</v>
      </c>
      <c r="F829" s="883">
        <v>392000</v>
      </c>
      <c r="G829" s="55">
        <v>719</v>
      </c>
      <c r="H829" s="78">
        <v>280000</v>
      </c>
    </row>
    <row r="830" spans="1:8" ht="15.75" thickBot="1">
      <c r="A830" s="882"/>
      <c r="B830" s="934"/>
      <c r="C830" s="936"/>
      <c r="D830" s="882"/>
      <c r="E830" s="882"/>
      <c r="F830" s="884"/>
      <c r="G830" s="56">
        <v>721</v>
      </c>
      <c r="H830" s="79">
        <f>+F829-H829</f>
        <v>112000</v>
      </c>
    </row>
    <row r="831" spans="1:8">
      <c r="A831" s="881">
        <f>+A829+1</f>
        <v>234</v>
      </c>
      <c r="B831" s="875">
        <v>42228</v>
      </c>
      <c r="C831" s="935" t="s">
        <v>32</v>
      </c>
      <c r="D831" s="881" t="s">
        <v>166</v>
      </c>
      <c r="E831" s="881" t="s">
        <v>148</v>
      </c>
      <c r="F831" s="883">
        <v>126000</v>
      </c>
      <c r="G831" s="55">
        <v>719</v>
      </c>
      <c r="H831" s="78">
        <v>90000</v>
      </c>
    </row>
    <row r="832" spans="1:8" ht="15.75" thickBot="1">
      <c r="A832" s="882"/>
      <c r="B832" s="934"/>
      <c r="C832" s="936"/>
      <c r="D832" s="882"/>
      <c r="E832" s="882"/>
      <c r="F832" s="884"/>
      <c r="G832" s="56">
        <v>721</v>
      </c>
      <c r="H832" s="79">
        <f>+F831-H831</f>
        <v>36000</v>
      </c>
    </row>
    <row r="833" spans="1:8">
      <c r="A833" s="881">
        <f>+A831+1</f>
        <v>235</v>
      </c>
      <c r="B833" s="875">
        <v>42228</v>
      </c>
      <c r="C833" s="942" t="s">
        <v>169</v>
      </c>
      <c r="D833" s="877" t="s">
        <v>167</v>
      </c>
      <c r="E833" s="881" t="s">
        <v>148</v>
      </c>
      <c r="F833" s="883">
        <v>56000</v>
      </c>
      <c r="G833" s="55">
        <v>719</v>
      </c>
      <c r="H833" s="78">
        <v>40000</v>
      </c>
    </row>
    <row r="834" spans="1:8" ht="15.75" thickBot="1">
      <c r="A834" s="882"/>
      <c r="B834" s="934"/>
      <c r="C834" s="943"/>
      <c r="D834" s="878"/>
      <c r="E834" s="882"/>
      <c r="F834" s="884"/>
      <c r="G834" s="56">
        <v>721</v>
      </c>
      <c r="H834" s="79">
        <f>+F833-H833</f>
        <v>16000</v>
      </c>
    </row>
    <row r="835" spans="1:8">
      <c r="A835" s="881">
        <f>+A833+1</f>
        <v>236</v>
      </c>
      <c r="B835" s="875">
        <v>42228</v>
      </c>
      <c r="C835" s="942" t="s">
        <v>31</v>
      </c>
      <c r="D835" s="881" t="s">
        <v>166</v>
      </c>
      <c r="E835" s="881" t="s">
        <v>148</v>
      </c>
      <c r="F835" s="883">
        <v>882000</v>
      </c>
      <c r="G835" s="55">
        <v>719</v>
      </c>
      <c r="H835" s="78">
        <v>630000</v>
      </c>
    </row>
    <row r="836" spans="1:8" ht="15.75" thickBot="1">
      <c r="A836" s="882"/>
      <c r="B836" s="934"/>
      <c r="C836" s="943"/>
      <c r="D836" s="882"/>
      <c r="E836" s="882"/>
      <c r="F836" s="884"/>
      <c r="G836" s="56">
        <v>721</v>
      </c>
      <c r="H836" s="79">
        <f>+F835-H835</f>
        <v>252000</v>
      </c>
    </row>
    <row r="837" spans="1:8" ht="16.5" thickBot="1">
      <c r="A837" s="901" t="s">
        <v>102</v>
      </c>
      <c r="B837" s="902"/>
      <c r="C837" s="902"/>
      <c r="D837" s="902"/>
      <c r="E837" s="903"/>
      <c r="F837" s="81">
        <f>SUM(F827:F836)</f>
        <v>1708000</v>
      </c>
      <c r="G837" s="51"/>
      <c r="H837" s="51"/>
    </row>
    <row r="838" spans="1:8" ht="16.5" thickBot="1">
      <c r="A838" s="885" t="s">
        <v>103</v>
      </c>
      <c r="B838" s="886"/>
      <c r="C838" s="886"/>
      <c r="D838" s="886"/>
      <c r="E838" s="887"/>
      <c r="F838" s="69">
        <f>+C852</f>
        <v>609149841</v>
      </c>
      <c r="G838" s="51"/>
      <c r="H838" s="51"/>
    </row>
    <row r="839" spans="1:8" ht="16.5" thickBot="1">
      <c r="A839" s="888" t="s">
        <v>104</v>
      </c>
      <c r="B839" s="889"/>
      <c r="C839" s="889"/>
      <c r="D839" s="889"/>
      <c r="E839" s="890"/>
      <c r="F839" s="70">
        <f>SUM(F837:F838)</f>
        <v>610857841</v>
      </c>
      <c r="G839" s="51"/>
      <c r="H839" s="51"/>
    </row>
    <row r="840" spans="1:8">
      <c r="A840" s="61"/>
      <c r="B840" s="61"/>
      <c r="C840" s="61"/>
      <c r="D840" s="61"/>
      <c r="E840" s="61"/>
      <c r="F840" s="51"/>
      <c r="G840" s="51"/>
      <c r="H840" s="51"/>
    </row>
    <row r="841" spans="1:8">
      <c r="A841" s="51" t="s">
        <v>171</v>
      </c>
      <c r="B841" s="51"/>
      <c r="C841" s="51"/>
      <c r="D841" s="51"/>
      <c r="E841" s="51"/>
      <c r="F841" s="51"/>
      <c r="G841" s="51"/>
      <c r="H841" s="51"/>
    </row>
    <row r="842" spans="1:8">
      <c r="A842" s="51"/>
      <c r="B842" s="51"/>
      <c r="C842" s="51"/>
      <c r="D842" s="51"/>
      <c r="E842" s="51"/>
      <c r="F842" s="139"/>
      <c r="G842" s="51"/>
      <c r="H842" s="51"/>
    </row>
    <row r="843" spans="1:8">
      <c r="A843" s="50" t="s">
        <v>105</v>
      </c>
      <c r="B843" s="51"/>
      <c r="C843" s="51"/>
      <c r="D843" s="146"/>
      <c r="E843" s="51"/>
      <c r="F843" s="51"/>
      <c r="G843" s="51"/>
      <c r="H843" s="51"/>
    </row>
    <row r="844" spans="1:8" ht="15.75" thickBot="1">
      <c r="A844" s="51"/>
      <c r="B844" s="51"/>
      <c r="C844" s="51"/>
      <c r="D844" s="51"/>
      <c r="E844" s="51"/>
      <c r="F844" s="51"/>
      <c r="G844" s="51"/>
      <c r="H844" s="51"/>
    </row>
    <row r="845" spans="1:8" ht="15.75" thickBot="1">
      <c r="A845" s="891" t="s">
        <v>106</v>
      </c>
      <c r="B845" s="892"/>
      <c r="C845" s="892"/>
      <c r="D845" s="893"/>
      <c r="E845" s="51"/>
      <c r="F845" s="50" t="s">
        <v>107</v>
      </c>
      <c r="G845" s="51"/>
      <c r="H845" s="51"/>
    </row>
    <row r="846" spans="1:8" ht="30.75" thickBot="1">
      <c r="A846" s="57" t="s">
        <v>100</v>
      </c>
      <c r="B846" s="58" t="s">
        <v>108</v>
      </c>
      <c r="C846" s="59" t="s">
        <v>109</v>
      </c>
      <c r="D846" s="60" t="s">
        <v>110</v>
      </c>
      <c r="E846" s="51"/>
      <c r="F846" s="51"/>
      <c r="G846" s="51"/>
      <c r="H846" s="51"/>
    </row>
    <row r="847" spans="1:8">
      <c r="A847" s="71">
        <v>719</v>
      </c>
      <c r="B847" s="73">
        <v>1220000</v>
      </c>
      <c r="C847" s="76">
        <v>26900000</v>
      </c>
      <c r="D847" s="76">
        <f>+B847+C847</f>
        <v>28120000</v>
      </c>
      <c r="E847" s="51"/>
      <c r="F847" s="51"/>
      <c r="G847" s="51"/>
      <c r="H847" s="51"/>
    </row>
    <row r="848" spans="1:8">
      <c r="A848" s="72">
        <v>721</v>
      </c>
      <c r="B848" s="80">
        <v>488000</v>
      </c>
      <c r="C848" s="76">
        <v>35668092</v>
      </c>
      <c r="D848" s="76">
        <f>+B848+C848</f>
        <v>36156092</v>
      </c>
      <c r="E848" s="51"/>
      <c r="F848" s="51"/>
      <c r="G848" s="51"/>
      <c r="H848" s="51"/>
    </row>
    <row r="849" spans="1:8">
      <c r="A849" s="72">
        <v>722</v>
      </c>
      <c r="B849" s="80"/>
      <c r="C849" s="76">
        <v>224787287</v>
      </c>
      <c r="D849" s="76">
        <f>+B849+C849</f>
        <v>224787287</v>
      </c>
      <c r="E849" s="51"/>
      <c r="F849" s="51"/>
      <c r="G849" s="51"/>
      <c r="H849" s="51"/>
    </row>
    <row r="850" spans="1:8" ht="15.75">
      <c r="A850" s="72">
        <v>723</v>
      </c>
      <c r="B850" s="80"/>
      <c r="C850" s="76">
        <v>319828837</v>
      </c>
      <c r="D850" s="76">
        <f>+B850+C850</f>
        <v>319828837</v>
      </c>
      <c r="E850" s="51"/>
      <c r="F850" s="174" t="s">
        <v>23</v>
      </c>
      <c r="G850" s="51"/>
      <c r="H850" s="51"/>
    </row>
    <row r="851" spans="1:8" ht="16.5" thickBot="1">
      <c r="A851" s="164" t="s">
        <v>161</v>
      </c>
      <c r="B851" s="165"/>
      <c r="C851" s="168">
        <v>1965625</v>
      </c>
      <c r="D851" s="168">
        <f>+B851+C851</f>
        <v>1965625</v>
      </c>
      <c r="E851" s="51"/>
      <c r="F851" s="52"/>
      <c r="G851" s="51"/>
      <c r="H851" s="51"/>
    </row>
    <row r="852" spans="1:8" ht="16.5" thickBot="1">
      <c r="A852" s="169"/>
      <c r="B852" s="170">
        <f>SUM(B847:B851)</f>
        <v>1708000</v>
      </c>
      <c r="C852" s="171">
        <f>SUM(C847:C851)</f>
        <v>609149841</v>
      </c>
      <c r="D852" s="172">
        <f>SUM(D847:D851)</f>
        <v>610857841</v>
      </c>
      <c r="E852" s="51"/>
      <c r="F852" s="51"/>
      <c r="G852" s="51"/>
      <c r="H852" s="51"/>
    </row>
    <row r="853" spans="1:8" ht="16.5">
      <c r="A853" s="49" t="s">
        <v>88</v>
      </c>
      <c r="B853" s="50"/>
      <c r="C853" s="51"/>
      <c r="D853" s="51"/>
      <c r="E853" s="51"/>
      <c r="F853" s="51"/>
      <c r="G853" s="51"/>
      <c r="H853" s="51"/>
    </row>
    <row r="854" spans="1:8">
      <c r="A854" s="51" t="s">
        <v>89</v>
      </c>
      <c r="B854" s="51"/>
      <c r="C854" s="51"/>
      <c r="D854" s="51"/>
      <c r="E854" s="51"/>
      <c r="F854" s="51"/>
      <c r="G854" s="51"/>
      <c r="H854" s="51"/>
    </row>
    <row r="855" spans="1:8">
      <c r="A855" s="51" t="s">
        <v>90</v>
      </c>
      <c r="B855" s="51"/>
      <c r="C855" s="51"/>
      <c r="D855" s="51"/>
      <c r="E855" s="51"/>
      <c r="F855" s="51"/>
      <c r="G855" s="51"/>
      <c r="H855" s="51"/>
    </row>
    <row r="856" spans="1:8">
      <c r="A856" s="51" t="s">
        <v>91</v>
      </c>
      <c r="B856" s="51"/>
      <c r="C856" s="51"/>
      <c r="D856" s="51"/>
      <c r="E856" s="51"/>
      <c r="F856" s="51"/>
      <c r="G856" s="51"/>
      <c r="H856" s="51"/>
    </row>
    <row r="857" spans="1:8">
      <c r="A857" s="50"/>
      <c r="B857" s="50"/>
      <c r="C857" s="51"/>
      <c r="D857" s="51"/>
      <c r="E857" s="51"/>
      <c r="F857" s="51"/>
      <c r="G857" s="51"/>
      <c r="H857" s="51"/>
    </row>
    <row r="858" spans="1:8" ht="16.5">
      <c r="A858" s="52"/>
      <c r="B858" s="50"/>
      <c r="C858" s="51"/>
      <c r="D858" s="51"/>
      <c r="E858" s="51"/>
      <c r="F858" s="51"/>
      <c r="G858" s="52" t="s">
        <v>172</v>
      </c>
      <c r="H858" s="51"/>
    </row>
    <row r="859" spans="1:8" ht="15.75">
      <c r="A859" s="53"/>
      <c r="B859" s="51"/>
      <c r="C859" s="51"/>
      <c r="D859" s="51"/>
      <c r="E859" s="51"/>
      <c r="F859" s="51"/>
      <c r="G859" s="53" t="s">
        <v>92</v>
      </c>
      <c r="H859" s="51"/>
    </row>
    <row r="860" spans="1:8" ht="16.5">
      <c r="A860" s="894" t="s">
        <v>93</v>
      </c>
      <c r="B860" s="894"/>
      <c r="C860" s="894"/>
      <c r="D860" s="894"/>
      <c r="E860" s="894"/>
      <c r="F860" s="894"/>
      <c r="G860" s="894"/>
      <c r="H860" s="894"/>
    </row>
    <row r="861" spans="1:8" ht="15.75" thickBot="1">
      <c r="A861" s="51"/>
      <c r="B861" s="51"/>
      <c r="C861" s="51"/>
      <c r="D861" s="51"/>
      <c r="E861" s="51"/>
      <c r="F861" s="51"/>
      <c r="G861" s="51"/>
      <c r="H861" s="51"/>
    </row>
    <row r="862" spans="1:8">
      <c r="A862" s="988" t="s">
        <v>94</v>
      </c>
      <c r="B862" s="985" t="s">
        <v>95</v>
      </c>
      <c r="C862" s="985" t="s">
        <v>96</v>
      </c>
      <c r="D862" s="985" t="s">
        <v>3</v>
      </c>
      <c r="E862" s="985" t="s">
        <v>97</v>
      </c>
      <c r="F862" s="985" t="s">
        <v>98</v>
      </c>
      <c r="G862" s="985" t="s">
        <v>99</v>
      </c>
      <c r="H862" s="987"/>
    </row>
    <row r="863" spans="1:8" ht="15.75" thickBot="1">
      <c r="A863" s="989"/>
      <c r="B863" s="986"/>
      <c r="C863" s="986"/>
      <c r="D863" s="986"/>
      <c r="E863" s="986"/>
      <c r="F863" s="986"/>
      <c r="G863" s="179" t="s">
        <v>100</v>
      </c>
      <c r="H863" s="54" t="s">
        <v>101</v>
      </c>
    </row>
    <row r="864" spans="1:8">
      <c r="A864" s="881">
        <v>237</v>
      </c>
      <c r="B864" s="875">
        <v>42228</v>
      </c>
      <c r="C864" s="942" t="s">
        <v>31</v>
      </c>
      <c r="D864" s="881" t="s">
        <v>174</v>
      </c>
      <c r="E864" s="881" t="s">
        <v>115</v>
      </c>
      <c r="F864" s="883">
        <v>120000</v>
      </c>
      <c r="G864" s="55">
        <v>719</v>
      </c>
      <c r="H864" s="78">
        <v>120000</v>
      </c>
    </row>
    <row r="865" spans="1:8" ht="15.75" thickBot="1">
      <c r="A865" s="882"/>
      <c r="B865" s="934"/>
      <c r="C865" s="943"/>
      <c r="D865" s="882"/>
      <c r="E865" s="882"/>
      <c r="F865" s="884"/>
      <c r="G865" s="56">
        <v>721</v>
      </c>
      <c r="H865" s="79">
        <f>+F864-H864</f>
        <v>0</v>
      </c>
    </row>
    <row r="866" spans="1:8">
      <c r="A866" s="881">
        <f>+A864+1</f>
        <v>238</v>
      </c>
      <c r="B866" s="875">
        <v>42228</v>
      </c>
      <c r="C866" s="935" t="s">
        <v>28</v>
      </c>
      <c r="D866" s="881" t="s">
        <v>175</v>
      </c>
      <c r="E866" s="881" t="s">
        <v>115</v>
      </c>
      <c r="F866" s="883">
        <v>90000</v>
      </c>
      <c r="G866" s="55">
        <v>719</v>
      </c>
      <c r="H866" s="78">
        <v>90000</v>
      </c>
    </row>
    <row r="867" spans="1:8" ht="15.75" thickBot="1">
      <c r="A867" s="882"/>
      <c r="B867" s="934"/>
      <c r="C867" s="936"/>
      <c r="D867" s="882"/>
      <c r="E867" s="882"/>
      <c r="F867" s="884"/>
      <c r="G867" s="56">
        <v>721</v>
      </c>
      <c r="H867" s="79"/>
    </row>
    <row r="868" spans="1:8">
      <c r="A868" s="881"/>
      <c r="B868" s="875"/>
      <c r="C868" s="935"/>
      <c r="D868" s="881"/>
      <c r="E868" s="881"/>
      <c r="F868" s="883"/>
      <c r="G868" s="55">
        <v>719</v>
      </c>
      <c r="H868" s="78">
        <v>70000</v>
      </c>
    </row>
    <row r="869" spans="1:8" ht="15.75" thickBot="1">
      <c r="A869" s="882"/>
      <c r="B869" s="934"/>
      <c r="C869" s="936"/>
      <c r="D869" s="882"/>
      <c r="E869" s="882"/>
      <c r="F869" s="884"/>
      <c r="G869" s="56">
        <v>721</v>
      </c>
      <c r="H869" s="79">
        <f>+F868-H868</f>
        <v>-70000</v>
      </c>
    </row>
    <row r="870" spans="1:8">
      <c r="A870" s="881"/>
      <c r="B870" s="875"/>
      <c r="C870" s="935"/>
      <c r="D870" s="877"/>
      <c r="E870" s="881"/>
      <c r="F870" s="883"/>
      <c r="G870" s="55">
        <v>719</v>
      </c>
      <c r="H870" s="78">
        <v>80000</v>
      </c>
    </row>
    <row r="871" spans="1:8" ht="15.75" thickBot="1">
      <c r="A871" s="882"/>
      <c r="B871" s="934"/>
      <c r="C871" s="936"/>
      <c r="D871" s="878"/>
      <c r="E871" s="882"/>
      <c r="F871" s="884"/>
      <c r="G871" s="56">
        <v>721</v>
      </c>
      <c r="H871" s="79">
        <f>+F870-H870</f>
        <v>-80000</v>
      </c>
    </row>
    <row r="872" spans="1:8">
      <c r="A872" s="881"/>
      <c r="B872" s="875"/>
      <c r="C872" s="935"/>
      <c r="D872" s="877"/>
      <c r="E872" s="881"/>
      <c r="F872" s="883"/>
      <c r="G872" s="55">
        <v>719</v>
      </c>
      <c r="H872" s="78">
        <v>440000</v>
      </c>
    </row>
    <row r="873" spans="1:8" ht="15.75" thickBot="1">
      <c r="A873" s="882"/>
      <c r="B873" s="934"/>
      <c r="C873" s="936"/>
      <c r="D873" s="878"/>
      <c r="E873" s="882"/>
      <c r="F873" s="884"/>
      <c r="G873" s="56">
        <v>721</v>
      </c>
      <c r="H873" s="79">
        <f>+F872-H872</f>
        <v>-440000</v>
      </c>
    </row>
    <row r="874" spans="1:8" ht="16.5" thickBot="1">
      <c r="A874" s="901" t="s">
        <v>102</v>
      </c>
      <c r="B874" s="902"/>
      <c r="C874" s="902"/>
      <c r="D874" s="902"/>
      <c r="E874" s="903"/>
      <c r="F874" s="81">
        <f>SUM(F864:F873)</f>
        <v>210000</v>
      </c>
      <c r="G874" s="51"/>
      <c r="H874" s="51"/>
    </row>
    <row r="875" spans="1:8" ht="16.5" thickBot="1">
      <c r="A875" s="885" t="s">
        <v>103</v>
      </c>
      <c r="B875" s="886"/>
      <c r="C875" s="886"/>
      <c r="D875" s="886"/>
      <c r="E875" s="887"/>
      <c r="F875" s="69">
        <f>+C889</f>
        <v>610857841</v>
      </c>
      <c r="G875" s="51"/>
      <c r="H875" s="51"/>
    </row>
    <row r="876" spans="1:8" ht="16.5" thickBot="1">
      <c r="A876" s="888" t="s">
        <v>104</v>
      </c>
      <c r="B876" s="889"/>
      <c r="C876" s="889"/>
      <c r="D876" s="889"/>
      <c r="E876" s="890"/>
      <c r="F876" s="70">
        <f>SUM(F874:F875)</f>
        <v>611067841</v>
      </c>
      <c r="G876" s="51"/>
      <c r="H876" s="51"/>
    </row>
    <row r="877" spans="1:8">
      <c r="A877" s="61"/>
      <c r="B877" s="61"/>
      <c r="C877" s="61"/>
      <c r="D877" s="61"/>
      <c r="E877" s="61"/>
      <c r="F877" s="51"/>
      <c r="G877" s="51"/>
      <c r="H877" s="51"/>
    </row>
    <row r="878" spans="1:8">
      <c r="A878" s="51" t="s">
        <v>176</v>
      </c>
      <c r="B878" s="51"/>
      <c r="C878" s="51"/>
      <c r="D878" s="51"/>
      <c r="E878" s="51"/>
      <c r="F878" s="51"/>
      <c r="G878" s="51"/>
      <c r="H878" s="51"/>
    </row>
    <row r="879" spans="1:8">
      <c r="A879" s="51"/>
      <c r="B879" s="51"/>
      <c r="C879" s="51"/>
      <c r="D879" s="51"/>
      <c r="E879" s="51"/>
      <c r="F879" s="139"/>
      <c r="G879" s="51"/>
      <c r="H879" s="51"/>
    </row>
    <row r="880" spans="1:8">
      <c r="A880" s="50" t="s">
        <v>105</v>
      </c>
      <c r="B880" s="51"/>
      <c r="C880" s="51"/>
      <c r="D880" s="146"/>
      <c r="E880" s="51"/>
      <c r="F880" s="139"/>
      <c r="G880" s="51"/>
      <c r="H880" s="51"/>
    </row>
    <row r="881" spans="1:8" ht="15.75" thickBot="1">
      <c r="A881" s="51"/>
      <c r="B881" s="51"/>
      <c r="C881" s="51"/>
      <c r="D881" s="51"/>
      <c r="E881" s="51"/>
      <c r="F881" s="51"/>
      <c r="G881" s="51"/>
      <c r="H881" s="51"/>
    </row>
    <row r="882" spans="1:8" ht="15.75" thickBot="1">
      <c r="A882" s="891" t="s">
        <v>106</v>
      </c>
      <c r="B882" s="892"/>
      <c r="C882" s="892"/>
      <c r="D882" s="893"/>
      <c r="E882" s="51"/>
      <c r="F882" s="50" t="s">
        <v>107</v>
      </c>
      <c r="G882" s="51"/>
      <c r="H882" s="51"/>
    </row>
    <row r="883" spans="1:8" ht="30.75" thickBot="1">
      <c r="A883" s="57" t="s">
        <v>100</v>
      </c>
      <c r="B883" s="58" t="s">
        <v>108</v>
      </c>
      <c r="C883" s="59" t="s">
        <v>109</v>
      </c>
      <c r="D883" s="60" t="s">
        <v>110</v>
      </c>
      <c r="E883" s="51"/>
      <c r="F883" s="51"/>
      <c r="G883" s="51"/>
      <c r="H883" s="51"/>
    </row>
    <row r="884" spans="1:8">
      <c r="A884" s="71">
        <v>719</v>
      </c>
      <c r="B884" s="73">
        <v>210000</v>
      </c>
      <c r="C884" s="74">
        <v>28120000</v>
      </c>
      <c r="D884" s="76">
        <f>+B884+C884</f>
        <v>28330000</v>
      </c>
      <c r="E884" s="51"/>
      <c r="F884" s="51"/>
      <c r="G884" s="51"/>
      <c r="H884" s="51"/>
    </row>
    <row r="885" spans="1:8">
      <c r="A885" s="72">
        <v>721</v>
      </c>
      <c r="B885" s="80"/>
      <c r="C885" s="75">
        <v>36156092</v>
      </c>
      <c r="D885" s="76">
        <f>+B885+C885</f>
        <v>36156092</v>
      </c>
      <c r="E885" s="51"/>
      <c r="F885" s="51"/>
      <c r="G885" s="51"/>
      <c r="H885" s="51"/>
    </row>
    <row r="886" spans="1:8">
      <c r="A886" s="72">
        <v>722</v>
      </c>
      <c r="B886" s="80"/>
      <c r="C886" s="75">
        <v>224787287</v>
      </c>
      <c r="D886" s="76">
        <f>+B886+C886</f>
        <v>224787287</v>
      </c>
      <c r="E886" s="51"/>
      <c r="F886" s="51"/>
      <c r="G886" s="51"/>
      <c r="H886" s="51"/>
    </row>
    <row r="887" spans="1:8" ht="15.75">
      <c r="A887" s="72">
        <v>723</v>
      </c>
      <c r="B887" s="80"/>
      <c r="C887" s="75">
        <v>319828837</v>
      </c>
      <c r="D887" s="76">
        <f>+B887+C887</f>
        <v>319828837</v>
      </c>
      <c r="E887" s="51"/>
      <c r="F887" s="174" t="s">
        <v>23</v>
      </c>
      <c r="G887" s="175"/>
      <c r="H887" s="51"/>
    </row>
    <row r="888" spans="1:8" ht="16.5" thickBot="1">
      <c r="A888" s="164" t="s">
        <v>161</v>
      </c>
      <c r="B888" s="165"/>
      <c r="C888" s="166">
        <v>1965625</v>
      </c>
      <c r="D888" s="168">
        <f>+B888+C888</f>
        <v>1965625</v>
      </c>
      <c r="E888" s="51"/>
      <c r="F888" s="52"/>
      <c r="G888" s="51"/>
      <c r="H888" s="51"/>
    </row>
    <row r="889" spans="1:8" ht="16.5" thickBot="1">
      <c r="A889" s="169"/>
      <c r="B889" s="170">
        <f>SUM(B884:B888)</f>
        <v>210000</v>
      </c>
      <c r="C889" s="171">
        <f>SUM(C884:C888)</f>
        <v>610857841</v>
      </c>
      <c r="D889" s="172">
        <f>SUM(D884:D888)</f>
        <v>611067841</v>
      </c>
      <c r="E889" s="51"/>
      <c r="F889" s="51"/>
      <c r="G889" s="51"/>
      <c r="H889" s="51"/>
    </row>
  </sheetData>
  <mergeCells count="1008">
    <mergeCell ref="A14:A15"/>
    <mergeCell ref="B14:B15"/>
    <mergeCell ref="C14:C15"/>
    <mergeCell ref="D14:D15"/>
    <mergeCell ref="E14:E15"/>
    <mergeCell ref="F14:F15"/>
    <mergeCell ref="A12:A13"/>
    <mergeCell ref="B12:B13"/>
    <mergeCell ref="C12:C13"/>
    <mergeCell ref="D12:D13"/>
    <mergeCell ref="E12:E13"/>
    <mergeCell ref="F12:F13"/>
    <mergeCell ref="A8:H8"/>
    <mergeCell ref="A10:A11"/>
    <mergeCell ref="B10:B11"/>
    <mergeCell ref="C10:C11"/>
    <mergeCell ref="D10:D11"/>
    <mergeCell ref="E10:E11"/>
    <mergeCell ref="F10:F11"/>
    <mergeCell ref="G10:H10"/>
    <mergeCell ref="A20:A21"/>
    <mergeCell ref="B20:B21"/>
    <mergeCell ref="C20:C21"/>
    <mergeCell ref="D20:D21"/>
    <mergeCell ref="E20:E21"/>
    <mergeCell ref="F20:F21"/>
    <mergeCell ref="A18:A19"/>
    <mergeCell ref="B18:B19"/>
    <mergeCell ref="C18:C19"/>
    <mergeCell ref="D18:D19"/>
    <mergeCell ref="E18:E19"/>
    <mergeCell ref="F18:F19"/>
    <mergeCell ref="A16:A17"/>
    <mergeCell ref="B16:B17"/>
    <mergeCell ref="C16:C17"/>
    <mergeCell ref="D16:D17"/>
    <mergeCell ref="E16:E17"/>
    <mergeCell ref="F16:F17"/>
    <mergeCell ref="A51:A52"/>
    <mergeCell ref="B51:B52"/>
    <mergeCell ref="C51:C52"/>
    <mergeCell ref="D51:D52"/>
    <mergeCell ref="E51:E52"/>
    <mergeCell ref="F51:F52"/>
    <mergeCell ref="F47:F48"/>
    <mergeCell ref="G47:H47"/>
    <mergeCell ref="A49:A50"/>
    <mergeCell ref="B49:B50"/>
    <mergeCell ref="C49:C50"/>
    <mergeCell ref="D49:D50"/>
    <mergeCell ref="E49:E50"/>
    <mergeCell ref="F49:F50"/>
    <mergeCell ref="A22:E22"/>
    <mergeCell ref="A23:E23"/>
    <mergeCell ref="A24:E24"/>
    <mergeCell ref="A30:D30"/>
    <mergeCell ref="A45:H45"/>
    <mergeCell ref="A47:A48"/>
    <mergeCell ref="B47:B48"/>
    <mergeCell ref="C47:C48"/>
    <mergeCell ref="D47:D48"/>
    <mergeCell ref="E47:E48"/>
    <mergeCell ref="A57:A58"/>
    <mergeCell ref="B57:B58"/>
    <mergeCell ref="C57:C58"/>
    <mergeCell ref="D57:D58"/>
    <mergeCell ref="E57:E58"/>
    <mergeCell ref="F57:F58"/>
    <mergeCell ref="A55:A56"/>
    <mergeCell ref="B55:B56"/>
    <mergeCell ref="C55:C56"/>
    <mergeCell ref="D55:D56"/>
    <mergeCell ref="E55:E56"/>
    <mergeCell ref="F55:F56"/>
    <mergeCell ref="A53:A54"/>
    <mergeCell ref="B53:B54"/>
    <mergeCell ref="C53:C54"/>
    <mergeCell ref="D53:D54"/>
    <mergeCell ref="E53:E54"/>
    <mergeCell ref="F53:F54"/>
    <mergeCell ref="A88:A89"/>
    <mergeCell ref="B88:B89"/>
    <mergeCell ref="C88:C89"/>
    <mergeCell ref="D88:D89"/>
    <mergeCell ref="E88:E89"/>
    <mergeCell ref="F88:F89"/>
    <mergeCell ref="F84:F85"/>
    <mergeCell ref="G84:H84"/>
    <mergeCell ref="A86:A87"/>
    <mergeCell ref="B86:B87"/>
    <mergeCell ref="C86:C87"/>
    <mergeCell ref="D86:D87"/>
    <mergeCell ref="E86:E87"/>
    <mergeCell ref="F86:F87"/>
    <mergeCell ref="A59:E59"/>
    <mergeCell ref="A60:E60"/>
    <mergeCell ref="A61:E61"/>
    <mergeCell ref="A67:D67"/>
    <mergeCell ref="A82:H82"/>
    <mergeCell ref="A84:A85"/>
    <mergeCell ref="B84:B85"/>
    <mergeCell ref="C84:C85"/>
    <mergeCell ref="D84:D85"/>
    <mergeCell ref="E84:E85"/>
    <mergeCell ref="A94:A95"/>
    <mergeCell ref="B94:B95"/>
    <mergeCell ref="C94:C95"/>
    <mergeCell ref="D94:D95"/>
    <mergeCell ref="E94:E95"/>
    <mergeCell ref="F94:F95"/>
    <mergeCell ref="A92:A93"/>
    <mergeCell ref="B92:B93"/>
    <mergeCell ref="C92:C93"/>
    <mergeCell ref="D92:D93"/>
    <mergeCell ref="E92:E93"/>
    <mergeCell ref="F92:F93"/>
    <mergeCell ref="A90:A91"/>
    <mergeCell ref="B90:B91"/>
    <mergeCell ref="C90:C91"/>
    <mergeCell ref="D90:D91"/>
    <mergeCell ref="E90:E91"/>
    <mergeCell ref="F90:F91"/>
    <mergeCell ref="A126:A127"/>
    <mergeCell ref="B126:B127"/>
    <mergeCell ref="C126:C127"/>
    <mergeCell ref="D126:D127"/>
    <mergeCell ref="E126:E127"/>
    <mergeCell ref="F126:F127"/>
    <mergeCell ref="F122:F123"/>
    <mergeCell ref="G122:H122"/>
    <mergeCell ref="A124:A125"/>
    <mergeCell ref="B124:B125"/>
    <mergeCell ref="C124:C125"/>
    <mergeCell ref="D124:D125"/>
    <mergeCell ref="E124:E125"/>
    <mergeCell ref="F124:F125"/>
    <mergeCell ref="A96:E96"/>
    <mergeCell ref="A97:E97"/>
    <mergeCell ref="A99:E99"/>
    <mergeCell ref="A105:D105"/>
    <mergeCell ref="A120:H120"/>
    <mergeCell ref="A122:A123"/>
    <mergeCell ref="B122:B123"/>
    <mergeCell ref="C122:C123"/>
    <mergeCell ref="D122:D123"/>
    <mergeCell ref="E122:E123"/>
    <mergeCell ref="A132:A133"/>
    <mergeCell ref="B132:B133"/>
    <mergeCell ref="C132:C133"/>
    <mergeCell ref="D132:D133"/>
    <mergeCell ref="E132:E133"/>
    <mergeCell ref="F132:F133"/>
    <mergeCell ref="A130:A131"/>
    <mergeCell ref="B130:B131"/>
    <mergeCell ref="C130:C131"/>
    <mergeCell ref="D130:D131"/>
    <mergeCell ref="E130:E131"/>
    <mergeCell ref="F130:F131"/>
    <mergeCell ref="A128:A129"/>
    <mergeCell ref="B128:B129"/>
    <mergeCell ref="C128:C129"/>
    <mergeCell ref="D128:D129"/>
    <mergeCell ref="E128:E129"/>
    <mergeCell ref="F128:F129"/>
    <mergeCell ref="A163:A164"/>
    <mergeCell ref="B163:B164"/>
    <mergeCell ref="C163:C164"/>
    <mergeCell ref="D163:D164"/>
    <mergeCell ref="E163:E164"/>
    <mergeCell ref="F163:F164"/>
    <mergeCell ref="F159:F160"/>
    <mergeCell ref="G159:H159"/>
    <mergeCell ref="A161:A162"/>
    <mergeCell ref="B161:B162"/>
    <mergeCell ref="C161:C162"/>
    <mergeCell ref="D161:D162"/>
    <mergeCell ref="E161:E162"/>
    <mergeCell ref="F161:F162"/>
    <mergeCell ref="A134:E134"/>
    <mergeCell ref="A135:E135"/>
    <mergeCell ref="A136:E136"/>
    <mergeCell ref="A142:D142"/>
    <mergeCell ref="A157:H157"/>
    <mergeCell ref="A159:A160"/>
    <mergeCell ref="B159:B160"/>
    <mergeCell ref="C159:C160"/>
    <mergeCell ref="D159:D160"/>
    <mergeCell ref="E159:E160"/>
    <mergeCell ref="A169:A170"/>
    <mergeCell ref="B169:B170"/>
    <mergeCell ref="C169:C170"/>
    <mergeCell ref="D169:D170"/>
    <mergeCell ref="E169:E170"/>
    <mergeCell ref="F169:F170"/>
    <mergeCell ref="A167:A168"/>
    <mergeCell ref="B167:B168"/>
    <mergeCell ref="C167:C168"/>
    <mergeCell ref="D167:D168"/>
    <mergeCell ref="E167:E168"/>
    <mergeCell ref="F167:F168"/>
    <mergeCell ref="A165:A166"/>
    <mergeCell ref="B165:B166"/>
    <mergeCell ref="C165:C166"/>
    <mergeCell ref="D165:D166"/>
    <mergeCell ref="E165:E166"/>
    <mergeCell ref="F165:F166"/>
    <mergeCell ref="A200:A201"/>
    <mergeCell ref="B200:B201"/>
    <mergeCell ref="C200:C201"/>
    <mergeCell ref="D200:D201"/>
    <mergeCell ref="E200:E201"/>
    <mergeCell ref="F200:F201"/>
    <mergeCell ref="F196:F197"/>
    <mergeCell ref="G196:H196"/>
    <mergeCell ref="A198:A199"/>
    <mergeCell ref="B198:B199"/>
    <mergeCell ref="C198:C199"/>
    <mergeCell ref="D198:D199"/>
    <mergeCell ref="E198:E199"/>
    <mergeCell ref="F198:F199"/>
    <mergeCell ref="A171:E171"/>
    <mergeCell ref="A172:E172"/>
    <mergeCell ref="A173:E173"/>
    <mergeCell ref="A179:D179"/>
    <mergeCell ref="A194:H194"/>
    <mergeCell ref="A196:A197"/>
    <mergeCell ref="B196:B197"/>
    <mergeCell ref="C196:C197"/>
    <mergeCell ref="D196:D197"/>
    <mergeCell ref="E196:E197"/>
    <mergeCell ref="A206:A207"/>
    <mergeCell ref="B206:B207"/>
    <mergeCell ref="C206:C207"/>
    <mergeCell ref="D206:D207"/>
    <mergeCell ref="E206:E207"/>
    <mergeCell ref="F206:F207"/>
    <mergeCell ref="A204:A205"/>
    <mergeCell ref="B204:B205"/>
    <mergeCell ref="C204:C205"/>
    <mergeCell ref="D204:D205"/>
    <mergeCell ref="E204:E205"/>
    <mergeCell ref="F204:F205"/>
    <mergeCell ref="A202:A203"/>
    <mergeCell ref="B202:B203"/>
    <mergeCell ref="C202:C203"/>
    <mergeCell ref="D202:D203"/>
    <mergeCell ref="E202:E203"/>
    <mergeCell ref="F202:F203"/>
    <mergeCell ref="A237:A238"/>
    <mergeCell ref="B237:B238"/>
    <mergeCell ref="C237:C238"/>
    <mergeCell ref="D237:D238"/>
    <mergeCell ref="E237:E238"/>
    <mergeCell ref="F237:F238"/>
    <mergeCell ref="F233:F234"/>
    <mergeCell ref="G233:H233"/>
    <mergeCell ref="A235:A236"/>
    <mergeCell ref="B235:B236"/>
    <mergeCell ref="C235:C236"/>
    <mergeCell ref="D235:D236"/>
    <mergeCell ref="E235:E236"/>
    <mergeCell ref="F235:F236"/>
    <mergeCell ref="A208:E208"/>
    <mergeCell ref="A209:E209"/>
    <mergeCell ref="A210:E210"/>
    <mergeCell ref="A216:D216"/>
    <mergeCell ref="A231:H231"/>
    <mergeCell ref="A233:A234"/>
    <mergeCell ref="B233:B234"/>
    <mergeCell ref="C233:C234"/>
    <mergeCell ref="D233:D234"/>
    <mergeCell ref="E233:E234"/>
    <mergeCell ref="A243:A244"/>
    <mergeCell ref="B243:B244"/>
    <mergeCell ref="C243:C244"/>
    <mergeCell ref="D243:D244"/>
    <mergeCell ref="E243:E244"/>
    <mergeCell ref="F243:F244"/>
    <mergeCell ref="A241:A242"/>
    <mergeCell ref="B241:B242"/>
    <mergeCell ref="C241:C242"/>
    <mergeCell ref="D241:D242"/>
    <mergeCell ref="E241:E242"/>
    <mergeCell ref="F241:F242"/>
    <mergeCell ref="A239:A240"/>
    <mergeCell ref="B239:B240"/>
    <mergeCell ref="C239:C240"/>
    <mergeCell ref="D239:D240"/>
    <mergeCell ref="E239:E240"/>
    <mergeCell ref="F239:F240"/>
    <mergeCell ref="A274:A275"/>
    <mergeCell ref="B274:B275"/>
    <mergeCell ref="C274:C275"/>
    <mergeCell ref="D274:D275"/>
    <mergeCell ref="E274:E275"/>
    <mergeCell ref="F274:F275"/>
    <mergeCell ref="F270:F271"/>
    <mergeCell ref="G270:H270"/>
    <mergeCell ref="A272:A273"/>
    <mergeCell ref="B272:B273"/>
    <mergeCell ref="C272:C273"/>
    <mergeCell ref="D272:D273"/>
    <mergeCell ref="E272:E273"/>
    <mergeCell ref="F272:F273"/>
    <mergeCell ref="A245:E245"/>
    <mergeCell ref="A246:E246"/>
    <mergeCell ref="A247:E247"/>
    <mergeCell ref="A253:D253"/>
    <mergeCell ref="A268:H268"/>
    <mergeCell ref="A270:A271"/>
    <mergeCell ref="B270:B271"/>
    <mergeCell ref="C270:C271"/>
    <mergeCell ref="D270:D271"/>
    <mergeCell ref="E270:E271"/>
    <mergeCell ref="A280:A281"/>
    <mergeCell ref="B280:B281"/>
    <mergeCell ref="C280:C281"/>
    <mergeCell ref="D280:D281"/>
    <mergeCell ref="E280:E281"/>
    <mergeCell ref="F280:F281"/>
    <mergeCell ref="A278:A279"/>
    <mergeCell ref="B278:B279"/>
    <mergeCell ref="C278:C279"/>
    <mergeCell ref="D278:D279"/>
    <mergeCell ref="E278:E279"/>
    <mergeCell ref="F278:F279"/>
    <mergeCell ref="A276:A277"/>
    <mergeCell ref="B276:B277"/>
    <mergeCell ref="C276:C277"/>
    <mergeCell ref="D276:D277"/>
    <mergeCell ref="E276:E277"/>
    <mergeCell ref="F276:F277"/>
    <mergeCell ref="A311:A312"/>
    <mergeCell ref="B311:B312"/>
    <mergeCell ref="C311:C312"/>
    <mergeCell ref="D311:D312"/>
    <mergeCell ref="E311:E312"/>
    <mergeCell ref="F311:F312"/>
    <mergeCell ref="F307:F308"/>
    <mergeCell ref="G307:H307"/>
    <mergeCell ref="A309:A310"/>
    <mergeCell ref="B309:B310"/>
    <mergeCell ref="C309:C310"/>
    <mergeCell ref="D309:D310"/>
    <mergeCell ref="E309:E310"/>
    <mergeCell ref="F309:F310"/>
    <mergeCell ref="A282:E282"/>
    <mergeCell ref="A283:E283"/>
    <mergeCell ref="A284:E284"/>
    <mergeCell ref="A290:D290"/>
    <mergeCell ref="A305:H305"/>
    <mergeCell ref="A307:A308"/>
    <mergeCell ref="B307:B308"/>
    <mergeCell ref="C307:C308"/>
    <mergeCell ref="D307:D308"/>
    <mergeCell ref="E307:E308"/>
    <mergeCell ref="A317:A318"/>
    <mergeCell ref="B317:B318"/>
    <mergeCell ref="C317:C318"/>
    <mergeCell ref="D317:D318"/>
    <mergeCell ref="E317:E318"/>
    <mergeCell ref="F317:F318"/>
    <mergeCell ref="A315:A316"/>
    <mergeCell ref="B315:B316"/>
    <mergeCell ref="C315:C316"/>
    <mergeCell ref="D315:D316"/>
    <mergeCell ref="E315:E316"/>
    <mergeCell ref="F315:F316"/>
    <mergeCell ref="A313:A314"/>
    <mergeCell ref="B313:B314"/>
    <mergeCell ref="C313:C314"/>
    <mergeCell ref="D313:D314"/>
    <mergeCell ref="E313:E314"/>
    <mergeCell ref="F313:F314"/>
    <mergeCell ref="A348:A349"/>
    <mergeCell ref="B348:B349"/>
    <mergeCell ref="C348:C349"/>
    <mergeCell ref="D348:D349"/>
    <mergeCell ref="E348:E349"/>
    <mergeCell ref="F348:F349"/>
    <mergeCell ref="F344:F345"/>
    <mergeCell ref="G344:H344"/>
    <mergeCell ref="A346:A347"/>
    <mergeCell ref="B346:B347"/>
    <mergeCell ref="C346:C347"/>
    <mergeCell ref="D346:D347"/>
    <mergeCell ref="E346:E347"/>
    <mergeCell ref="F346:F347"/>
    <mergeCell ref="A319:E319"/>
    <mergeCell ref="A320:E320"/>
    <mergeCell ref="A321:E321"/>
    <mergeCell ref="A327:D327"/>
    <mergeCell ref="A342:H342"/>
    <mergeCell ref="A344:A345"/>
    <mergeCell ref="B344:B345"/>
    <mergeCell ref="C344:C345"/>
    <mergeCell ref="D344:D345"/>
    <mergeCell ref="E344:E345"/>
    <mergeCell ref="A354:A355"/>
    <mergeCell ref="B354:B355"/>
    <mergeCell ref="C354:C355"/>
    <mergeCell ref="D354:D355"/>
    <mergeCell ref="E354:E355"/>
    <mergeCell ref="F354:F355"/>
    <mergeCell ref="A352:A353"/>
    <mergeCell ref="B352:B353"/>
    <mergeCell ref="C352:C353"/>
    <mergeCell ref="D352:D353"/>
    <mergeCell ref="E352:E353"/>
    <mergeCell ref="F352:F353"/>
    <mergeCell ref="A350:A351"/>
    <mergeCell ref="B350:B351"/>
    <mergeCell ref="C350:C351"/>
    <mergeCell ref="D350:D351"/>
    <mergeCell ref="E350:E351"/>
    <mergeCell ref="F350:F351"/>
    <mergeCell ref="A385:A386"/>
    <mergeCell ref="B385:B386"/>
    <mergeCell ref="C385:C386"/>
    <mergeCell ref="D385:D386"/>
    <mergeCell ref="E385:E386"/>
    <mergeCell ref="F385:F386"/>
    <mergeCell ref="F381:F382"/>
    <mergeCell ref="G381:H381"/>
    <mergeCell ref="A383:A384"/>
    <mergeCell ref="B383:B384"/>
    <mergeCell ref="C383:C384"/>
    <mergeCell ref="D383:D384"/>
    <mergeCell ref="E383:E384"/>
    <mergeCell ref="F383:F384"/>
    <mergeCell ref="A356:E356"/>
    <mergeCell ref="A357:E357"/>
    <mergeCell ref="A358:E358"/>
    <mergeCell ref="A364:D364"/>
    <mergeCell ref="A379:H379"/>
    <mergeCell ref="A381:A382"/>
    <mergeCell ref="B381:B382"/>
    <mergeCell ref="C381:C382"/>
    <mergeCell ref="D381:D382"/>
    <mergeCell ref="E381:E382"/>
    <mergeCell ref="A391:A392"/>
    <mergeCell ref="B391:B392"/>
    <mergeCell ref="C391:C392"/>
    <mergeCell ref="D391:D392"/>
    <mergeCell ref="E391:E392"/>
    <mergeCell ref="F391:F392"/>
    <mergeCell ref="A389:A390"/>
    <mergeCell ref="B389:B390"/>
    <mergeCell ref="C389:C390"/>
    <mergeCell ref="D389:D390"/>
    <mergeCell ref="E389:E390"/>
    <mergeCell ref="F389:F390"/>
    <mergeCell ref="A387:A388"/>
    <mergeCell ref="B387:B388"/>
    <mergeCell ref="C387:C388"/>
    <mergeCell ref="D387:D388"/>
    <mergeCell ref="E387:E388"/>
    <mergeCell ref="F387:F388"/>
    <mergeCell ref="A422:A423"/>
    <mergeCell ref="B422:B423"/>
    <mergeCell ref="C422:C423"/>
    <mergeCell ref="D422:D423"/>
    <mergeCell ref="E422:E423"/>
    <mergeCell ref="F422:F423"/>
    <mergeCell ref="F418:F419"/>
    <mergeCell ref="G418:H418"/>
    <mergeCell ref="A420:A421"/>
    <mergeCell ref="B420:B421"/>
    <mergeCell ref="C420:C421"/>
    <mergeCell ref="D420:D421"/>
    <mergeCell ref="E420:E421"/>
    <mergeCell ref="F420:F421"/>
    <mergeCell ref="A393:E393"/>
    <mergeCell ref="A394:E394"/>
    <mergeCell ref="A395:E395"/>
    <mergeCell ref="A401:D401"/>
    <mergeCell ref="A416:H416"/>
    <mergeCell ref="A418:A419"/>
    <mergeCell ref="B418:B419"/>
    <mergeCell ref="C418:C419"/>
    <mergeCell ref="D418:D419"/>
    <mergeCell ref="E418:E419"/>
    <mergeCell ref="A428:A429"/>
    <mergeCell ref="B428:B429"/>
    <mergeCell ref="C428:C429"/>
    <mergeCell ref="D428:D429"/>
    <mergeCell ref="E428:E429"/>
    <mergeCell ref="F428:F429"/>
    <mergeCell ref="A426:A427"/>
    <mergeCell ref="B426:B427"/>
    <mergeCell ref="C426:C427"/>
    <mergeCell ref="D426:D427"/>
    <mergeCell ref="E426:E427"/>
    <mergeCell ref="F426:F427"/>
    <mergeCell ref="A424:A425"/>
    <mergeCell ref="B424:B425"/>
    <mergeCell ref="C424:C425"/>
    <mergeCell ref="D424:D425"/>
    <mergeCell ref="E424:E425"/>
    <mergeCell ref="F424:F425"/>
    <mergeCell ref="A459:A460"/>
    <mergeCell ref="B459:B460"/>
    <mergeCell ref="C459:C460"/>
    <mergeCell ref="D459:D460"/>
    <mergeCell ref="E459:E460"/>
    <mergeCell ref="F459:F460"/>
    <mergeCell ref="F455:F456"/>
    <mergeCell ref="G455:H455"/>
    <mergeCell ref="A457:A458"/>
    <mergeCell ref="B457:B458"/>
    <mergeCell ref="C457:C458"/>
    <mergeCell ref="D457:D458"/>
    <mergeCell ref="E457:E458"/>
    <mergeCell ref="F457:F458"/>
    <mergeCell ref="A430:E430"/>
    <mergeCell ref="A431:E431"/>
    <mergeCell ref="A432:E432"/>
    <mergeCell ref="A438:D438"/>
    <mergeCell ref="A453:H453"/>
    <mergeCell ref="A455:A456"/>
    <mergeCell ref="B455:B456"/>
    <mergeCell ref="C455:C456"/>
    <mergeCell ref="D455:D456"/>
    <mergeCell ref="E455:E456"/>
    <mergeCell ref="A465:A466"/>
    <mergeCell ref="B465:B466"/>
    <mergeCell ref="C465:C466"/>
    <mergeCell ref="D465:D466"/>
    <mergeCell ref="E465:E466"/>
    <mergeCell ref="F465:F466"/>
    <mergeCell ref="A463:A464"/>
    <mergeCell ref="B463:B464"/>
    <mergeCell ref="C463:C464"/>
    <mergeCell ref="D463:D464"/>
    <mergeCell ref="E463:E464"/>
    <mergeCell ref="F463:F464"/>
    <mergeCell ref="A461:A462"/>
    <mergeCell ref="B461:B462"/>
    <mergeCell ref="C461:C462"/>
    <mergeCell ref="D461:D462"/>
    <mergeCell ref="E461:E462"/>
    <mergeCell ref="F461:F462"/>
    <mergeCell ref="A496:A497"/>
    <mergeCell ref="B496:B497"/>
    <mergeCell ref="C496:C497"/>
    <mergeCell ref="D496:D497"/>
    <mergeCell ref="E496:E497"/>
    <mergeCell ref="F496:F497"/>
    <mergeCell ref="F492:F493"/>
    <mergeCell ref="G492:H492"/>
    <mergeCell ref="A494:A495"/>
    <mergeCell ref="B494:B495"/>
    <mergeCell ref="C494:C495"/>
    <mergeCell ref="D494:D495"/>
    <mergeCell ref="E494:E495"/>
    <mergeCell ref="F494:F495"/>
    <mergeCell ref="A467:E467"/>
    <mergeCell ref="A468:E468"/>
    <mergeCell ref="A469:E469"/>
    <mergeCell ref="A475:D475"/>
    <mergeCell ref="A490:H490"/>
    <mergeCell ref="A492:A493"/>
    <mergeCell ref="B492:B493"/>
    <mergeCell ref="C492:C493"/>
    <mergeCell ref="D492:D493"/>
    <mergeCell ref="E492:E493"/>
    <mergeCell ref="A502:A503"/>
    <mergeCell ref="B502:B503"/>
    <mergeCell ref="C502:C503"/>
    <mergeCell ref="D502:D503"/>
    <mergeCell ref="E502:E503"/>
    <mergeCell ref="F502:F503"/>
    <mergeCell ref="A500:A501"/>
    <mergeCell ref="B500:B501"/>
    <mergeCell ref="C500:C501"/>
    <mergeCell ref="D500:D501"/>
    <mergeCell ref="E500:E501"/>
    <mergeCell ref="F500:F501"/>
    <mergeCell ref="A498:A499"/>
    <mergeCell ref="B498:B499"/>
    <mergeCell ref="C498:C499"/>
    <mergeCell ref="D498:D499"/>
    <mergeCell ref="E498:E499"/>
    <mergeCell ref="F498:F499"/>
    <mergeCell ref="A533:A534"/>
    <mergeCell ref="B533:B534"/>
    <mergeCell ref="C533:C534"/>
    <mergeCell ref="D533:D534"/>
    <mergeCell ref="E533:E534"/>
    <mergeCell ref="F533:F534"/>
    <mergeCell ref="F529:F530"/>
    <mergeCell ref="G529:H529"/>
    <mergeCell ref="A531:A532"/>
    <mergeCell ref="B531:B532"/>
    <mergeCell ref="C531:C532"/>
    <mergeCell ref="D531:D532"/>
    <mergeCell ref="E531:E532"/>
    <mergeCell ref="F531:F532"/>
    <mergeCell ref="A504:E504"/>
    <mergeCell ref="A505:E505"/>
    <mergeCell ref="A506:E506"/>
    <mergeCell ref="A512:D512"/>
    <mergeCell ref="A527:H527"/>
    <mergeCell ref="A529:A530"/>
    <mergeCell ref="B529:B530"/>
    <mergeCell ref="C529:C530"/>
    <mergeCell ref="D529:D530"/>
    <mergeCell ref="E529:E530"/>
    <mergeCell ref="A539:A540"/>
    <mergeCell ref="B539:B540"/>
    <mergeCell ref="C539:C540"/>
    <mergeCell ref="D539:D540"/>
    <mergeCell ref="E539:E540"/>
    <mergeCell ref="F539:F540"/>
    <mergeCell ref="A537:A538"/>
    <mergeCell ref="B537:B538"/>
    <mergeCell ref="C537:C538"/>
    <mergeCell ref="D537:D538"/>
    <mergeCell ref="E537:E538"/>
    <mergeCell ref="F537:F538"/>
    <mergeCell ref="A535:A536"/>
    <mergeCell ref="B535:B536"/>
    <mergeCell ref="C535:C536"/>
    <mergeCell ref="D535:D536"/>
    <mergeCell ref="E535:E536"/>
    <mergeCell ref="F535:F536"/>
    <mergeCell ref="A570:A571"/>
    <mergeCell ref="B570:B571"/>
    <mergeCell ref="C570:C571"/>
    <mergeCell ref="D570:D571"/>
    <mergeCell ref="E570:E571"/>
    <mergeCell ref="F570:F571"/>
    <mergeCell ref="F566:F567"/>
    <mergeCell ref="G566:H566"/>
    <mergeCell ref="A568:A569"/>
    <mergeCell ref="B568:B569"/>
    <mergeCell ref="C568:C569"/>
    <mergeCell ref="D568:D569"/>
    <mergeCell ref="E568:E569"/>
    <mergeCell ref="F568:F569"/>
    <mergeCell ref="A541:E541"/>
    <mergeCell ref="A542:E542"/>
    <mergeCell ref="A543:E543"/>
    <mergeCell ref="A549:D549"/>
    <mergeCell ref="A564:H564"/>
    <mergeCell ref="A566:A567"/>
    <mergeCell ref="B566:B567"/>
    <mergeCell ref="C566:C567"/>
    <mergeCell ref="D566:D567"/>
    <mergeCell ref="E566:E567"/>
    <mergeCell ref="A576:A577"/>
    <mergeCell ref="B576:B577"/>
    <mergeCell ref="C576:C577"/>
    <mergeCell ref="D576:D577"/>
    <mergeCell ref="E576:E577"/>
    <mergeCell ref="F576:F577"/>
    <mergeCell ref="A574:A575"/>
    <mergeCell ref="B574:B575"/>
    <mergeCell ref="C574:C575"/>
    <mergeCell ref="D574:D575"/>
    <mergeCell ref="E574:E575"/>
    <mergeCell ref="F574:F575"/>
    <mergeCell ref="A572:A573"/>
    <mergeCell ref="B572:B573"/>
    <mergeCell ref="C572:C573"/>
    <mergeCell ref="D572:D573"/>
    <mergeCell ref="E572:E573"/>
    <mergeCell ref="F572:F573"/>
    <mergeCell ref="A607:A608"/>
    <mergeCell ref="B607:B608"/>
    <mergeCell ref="C607:C608"/>
    <mergeCell ref="D607:D608"/>
    <mergeCell ref="E607:E608"/>
    <mergeCell ref="F607:F608"/>
    <mergeCell ref="F603:F604"/>
    <mergeCell ref="G603:H603"/>
    <mergeCell ref="A605:A606"/>
    <mergeCell ref="B605:B606"/>
    <mergeCell ref="C605:C606"/>
    <mergeCell ref="D605:D606"/>
    <mergeCell ref="E605:E606"/>
    <mergeCell ref="F605:F606"/>
    <mergeCell ref="A578:E578"/>
    <mergeCell ref="A579:E579"/>
    <mergeCell ref="A580:E580"/>
    <mergeCell ref="A586:D586"/>
    <mergeCell ref="A601:H601"/>
    <mergeCell ref="A603:A604"/>
    <mergeCell ref="B603:B604"/>
    <mergeCell ref="C603:C604"/>
    <mergeCell ref="D603:D604"/>
    <mergeCell ref="E603:E604"/>
    <mergeCell ref="A613:A614"/>
    <mergeCell ref="B613:B614"/>
    <mergeCell ref="C613:C614"/>
    <mergeCell ref="D613:D614"/>
    <mergeCell ref="E613:E614"/>
    <mergeCell ref="F613:F614"/>
    <mergeCell ref="A611:A612"/>
    <mergeCell ref="B611:B612"/>
    <mergeCell ref="C611:C612"/>
    <mergeCell ref="D611:D612"/>
    <mergeCell ref="E611:E612"/>
    <mergeCell ref="F611:F612"/>
    <mergeCell ref="A609:A610"/>
    <mergeCell ref="B609:B610"/>
    <mergeCell ref="C609:C610"/>
    <mergeCell ref="D609:D610"/>
    <mergeCell ref="E609:E610"/>
    <mergeCell ref="F609:F610"/>
    <mergeCell ref="A644:A645"/>
    <mergeCell ref="B644:B645"/>
    <mergeCell ref="C644:C645"/>
    <mergeCell ref="D644:D645"/>
    <mergeCell ref="E644:E645"/>
    <mergeCell ref="F644:F645"/>
    <mergeCell ref="F640:F641"/>
    <mergeCell ref="G640:H640"/>
    <mergeCell ref="A642:A643"/>
    <mergeCell ref="B642:B643"/>
    <mergeCell ref="C642:C643"/>
    <mergeCell ref="D642:D643"/>
    <mergeCell ref="E642:E643"/>
    <mergeCell ref="F642:F643"/>
    <mergeCell ref="A615:E615"/>
    <mergeCell ref="A616:E616"/>
    <mergeCell ref="A617:E617"/>
    <mergeCell ref="A623:D623"/>
    <mergeCell ref="A638:H638"/>
    <mergeCell ref="A640:A641"/>
    <mergeCell ref="B640:B641"/>
    <mergeCell ref="C640:C641"/>
    <mergeCell ref="D640:D641"/>
    <mergeCell ref="E640:E641"/>
    <mergeCell ref="A650:A651"/>
    <mergeCell ref="B650:B651"/>
    <mergeCell ref="C650:C651"/>
    <mergeCell ref="D650:D651"/>
    <mergeCell ref="E650:E651"/>
    <mergeCell ref="F650:F651"/>
    <mergeCell ref="A648:A649"/>
    <mergeCell ref="B648:B649"/>
    <mergeCell ref="C648:C649"/>
    <mergeCell ref="D648:D649"/>
    <mergeCell ref="E648:E649"/>
    <mergeCell ref="F648:F649"/>
    <mergeCell ref="A646:A647"/>
    <mergeCell ref="B646:B647"/>
    <mergeCell ref="C646:C647"/>
    <mergeCell ref="D646:D647"/>
    <mergeCell ref="E646:E647"/>
    <mergeCell ref="F646:F647"/>
    <mergeCell ref="A681:A682"/>
    <mergeCell ref="B681:B682"/>
    <mergeCell ref="C681:C682"/>
    <mergeCell ref="D681:D682"/>
    <mergeCell ref="E681:E682"/>
    <mergeCell ref="F681:F682"/>
    <mergeCell ref="F677:F678"/>
    <mergeCell ref="G677:H677"/>
    <mergeCell ref="A679:A680"/>
    <mergeCell ref="B679:B680"/>
    <mergeCell ref="C679:C680"/>
    <mergeCell ref="D679:D680"/>
    <mergeCell ref="E679:E680"/>
    <mergeCell ref="F679:F680"/>
    <mergeCell ref="A652:E652"/>
    <mergeCell ref="A653:E653"/>
    <mergeCell ref="A654:E654"/>
    <mergeCell ref="A660:D660"/>
    <mergeCell ref="A675:H675"/>
    <mergeCell ref="A677:A678"/>
    <mergeCell ref="B677:B678"/>
    <mergeCell ref="C677:C678"/>
    <mergeCell ref="D677:D678"/>
    <mergeCell ref="E677:E678"/>
    <mergeCell ref="A687:A688"/>
    <mergeCell ref="B687:B688"/>
    <mergeCell ref="C687:C688"/>
    <mergeCell ref="D687:D688"/>
    <mergeCell ref="E687:E688"/>
    <mergeCell ref="F687:F688"/>
    <mergeCell ref="A685:A686"/>
    <mergeCell ref="B685:B686"/>
    <mergeCell ref="C685:C686"/>
    <mergeCell ref="D685:D686"/>
    <mergeCell ref="E685:E686"/>
    <mergeCell ref="F685:F686"/>
    <mergeCell ref="A683:A684"/>
    <mergeCell ref="B683:B684"/>
    <mergeCell ref="C683:C684"/>
    <mergeCell ref="D683:D684"/>
    <mergeCell ref="E683:E684"/>
    <mergeCell ref="F683:F684"/>
    <mergeCell ref="A718:A719"/>
    <mergeCell ref="B718:B719"/>
    <mergeCell ref="C718:C719"/>
    <mergeCell ref="D718:D719"/>
    <mergeCell ref="E718:E719"/>
    <mergeCell ref="F718:F719"/>
    <mergeCell ref="F714:F715"/>
    <mergeCell ref="G714:H714"/>
    <mergeCell ref="A716:A717"/>
    <mergeCell ref="B716:B717"/>
    <mergeCell ref="C716:C717"/>
    <mergeCell ref="D716:D717"/>
    <mergeCell ref="E716:E717"/>
    <mergeCell ref="F716:F717"/>
    <mergeCell ref="A689:E689"/>
    <mergeCell ref="A690:E690"/>
    <mergeCell ref="A691:E691"/>
    <mergeCell ref="A697:D697"/>
    <mergeCell ref="A712:H712"/>
    <mergeCell ref="A714:A715"/>
    <mergeCell ref="B714:B715"/>
    <mergeCell ref="C714:C715"/>
    <mergeCell ref="D714:D715"/>
    <mergeCell ref="E714:E715"/>
    <mergeCell ref="A724:A725"/>
    <mergeCell ref="B724:B725"/>
    <mergeCell ref="C724:C725"/>
    <mergeCell ref="D724:D725"/>
    <mergeCell ref="E724:E725"/>
    <mergeCell ref="F724:F725"/>
    <mergeCell ref="A722:A723"/>
    <mergeCell ref="B722:B723"/>
    <mergeCell ref="C722:C723"/>
    <mergeCell ref="D722:D723"/>
    <mergeCell ref="E722:E723"/>
    <mergeCell ref="F722:F723"/>
    <mergeCell ref="A720:A721"/>
    <mergeCell ref="B720:B721"/>
    <mergeCell ref="C720:C721"/>
    <mergeCell ref="D720:D721"/>
    <mergeCell ref="E720:E721"/>
    <mergeCell ref="F720:F721"/>
    <mergeCell ref="A755:A756"/>
    <mergeCell ref="B755:B756"/>
    <mergeCell ref="C755:C756"/>
    <mergeCell ref="D755:D756"/>
    <mergeCell ref="E755:E756"/>
    <mergeCell ref="F755:F756"/>
    <mergeCell ref="F751:F752"/>
    <mergeCell ref="G751:H751"/>
    <mergeCell ref="A753:A754"/>
    <mergeCell ref="B753:B754"/>
    <mergeCell ref="C753:C754"/>
    <mergeCell ref="D753:D754"/>
    <mergeCell ref="E753:E754"/>
    <mergeCell ref="F753:F754"/>
    <mergeCell ref="A726:E726"/>
    <mergeCell ref="A727:E727"/>
    <mergeCell ref="A728:E728"/>
    <mergeCell ref="A734:D734"/>
    <mergeCell ref="A749:H749"/>
    <mergeCell ref="A751:A752"/>
    <mergeCell ref="B751:B752"/>
    <mergeCell ref="C751:C752"/>
    <mergeCell ref="D751:D752"/>
    <mergeCell ref="E751:E752"/>
    <mergeCell ref="A761:A762"/>
    <mergeCell ref="B761:B762"/>
    <mergeCell ref="C761:C762"/>
    <mergeCell ref="D761:D762"/>
    <mergeCell ref="E761:E762"/>
    <mergeCell ref="F761:F762"/>
    <mergeCell ref="A759:A760"/>
    <mergeCell ref="B759:B760"/>
    <mergeCell ref="C759:C760"/>
    <mergeCell ref="D759:D760"/>
    <mergeCell ref="E759:E760"/>
    <mergeCell ref="F759:F760"/>
    <mergeCell ref="A757:A758"/>
    <mergeCell ref="B757:B758"/>
    <mergeCell ref="C757:C758"/>
    <mergeCell ref="D757:D758"/>
    <mergeCell ref="E757:E758"/>
    <mergeCell ref="F757:F758"/>
    <mergeCell ref="A792:A793"/>
    <mergeCell ref="B792:B793"/>
    <mergeCell ref="C792:C793"/>
    <mergeCell ref="D792:D793"/>
    <mergeCell ref="E792:E793"/>
    <mergeCell ref="F792:F793"/>
    <mergeCell ref="F788:F789"/>
    <mergeCell ref="G788:H788"/>
    <mergeCell ref="A790:A791"/>
    <mergeCell ref="B790:B791"/>
    <mergeCell ref="C790:C791"/>
    <mergeCell ref="D790:D791"/>
    <mergeCell ref="E790:E791"/>
    <mergeCell ref="F790:F791"/>
    <mergeCell ref="A763:E763"/>
    <mergeCell ref="A764:E764"/>
    <mergeCell ref="A765:E765"/>
    <mergeCell ref="A771:D771"/>
    <mergeCell ref="A786:H786"/>
    <mergeCell ref="A788:A789"/>
    <mergeCell ref="B788:B789"/>
    <mergeCell ref="C788:C789"/>
    <mergeCell ref="D788:D789"/>
    <mergeCell ref="E788:E789"/>
    <mergeCell ref="A798:A799"/>
    <mergeCell ref="B798:B799"/>
    <mergeCell ref="C798:C799"/>
    <mergeCell ref="D798:D799"/>
    <mergeCell ref="E798:E799"/>
    <mergeCell ref="F798:F799"/>
    <mergeCell ref="A796:A797"/>
    <mergeCell ref="B796:B797"/>
    <mergeCell ref="C796:C797"/>
    <mergeCell ref="D796:D797"/>
    <mergeCell ref="E796:E797"/>
    <mergeCell ref="F796:F797"/>
    <mergeCell ref="A794:A795"/>
    <mergeCell ref="B794:B795"/>
    <mergeCell ref="C794:C795"/>
    <mergeCell ref="D794:D795"/>
    <mergeCell ref="E794:E795"/>
    <mergeCell ref="F794:F795"/>
    <mergeCell ref="A829:A830"/>
    <mergeCell ref="B829:B830"/>
    <mergeCell ref="C829:C830"/>
    <mergeCell ref="D829:D830"/>
    <mergeCell ref="E829:E830"/>
    <mergeCell ref="F829:F830"/>
    <mergeCell ref="F825:F826"/>
    <mergeCell ref="G825:H825"/>
    <mergeCell ref="A827:A828"/>
    <mergeCell ref="B827:B828"/>
    <mergeCell ref="C827:C828"/>
    <mergeCell ref="D827:D828"/>
    <mergeCell ref="E827:E828"/>
    <mergeCell ref="F827:F828"/>
    <mergeCell ref="A800:E800"/>
    <mergeCell ref="A801:E801"/>
    <mergeCell ref="A802:E802"/>
    <mergeCell ref="A808:D808"/>
    <mergeCell ref="A823:H823"/>
    <mergeCell ref="A825:A826"/>
    <mergeCell ref="B825:B826"/>
    <mergeCell ref="C825:C826"/>
    <mergeCell ref="D825:D826"/>
    <mergeCell ref="E825:E826"/>
    <mergeCell ref="A835:A836"/>
    <mergeCell ref="B835:B836"/>
    <mergeCell ref="C835:C836"/>
    <mergeCell ref="D835:D836"/>
    <mergeCell ref="E835:E836"/>
    <mergeCell ref="F835:F836"/>
    <mergeCell ref="A833:A834"/>
    <mergeCell ref="B833:B834"/>
    <mergeCell ref="C833:C834"/>
    <mergeCell ref="D833:D834"/>
    <mergeCell ref="E833:E834"/>
    <mergeCell ref="F833:F834"/>
    <mergeCell ref="A831:A832"/>
    <mergeCell ref="B831:B832"/>
    <mergeCell ref="C831:C832"/>
    <mergeCell ref="D831:D832"/>
    <mergeCell ref="E831:E832"/>
    <mergeCell ref="F831:F832"/>
    <mergeCell ref="A866:A867"/>
    <mergeCell ref="B866:B867"/>
    <mergeCell ref="C866:C867"/>
    <mergeCell ref="D866:D867"/>
    <mergeCell ref="E866:E867"/>
    <mergeCell ref="F866:F867"/>
    <mergeCell ref="F862:F863"/>
    <mergeCell ref="G862:H862"/>
    <mergeCell ref="A864:A865"/>
    <mergeCell ref="B864:B865"/>
    <mergeCell ref="C864:C865"/>
    <mergeCell ref="D864:D865"/>
    <mergeCell ref="E864:E865"/>
    <mergeCell ref="F864:F865"/>
    <mergeCell ref="A837:E837"/>
    <mergeCell ref="A838:E838"/>
    <mergeCell ref="A839:E839"/>
    <mergeCell ref="A845:D845"/>
    <mergeCell ref="A860:H860"/>
    <mergeCell ref="A862:A863"/>
    <mergeCell ref="B862:B863"/>
    <mergeCell ref="C862:C863"/>
    <mergeCell ref="D862:D863"/>
    <mergeCell ref="E862:E863"/>
    <mergeCell ref="A874:E874"/>
    <mergeCell ref="A875:E875"/>
    <mergeCell ref="A876:E876"/>
    <mergeCell ref="A882:D882"/>
    <mergeCell ref="A872:A873"/>
    <mergeCell ref="B872:B873"/>
    <mergeCell ref="C872:C873"/>
    <mergeCell ref="D872:D873"/>
    <mergeCell ref="E872:E873"/>
    <mergeCell ref="F872:F873"/>
    <mergeCell ref="A870:A871"/>
    <mergeCell ref="B870:B871"/>
    <mergeCell ref="C870:C871"/>
    <mergeCell ref="D870:D871"/>
    <mergeCell ref="E870:E871"/>
    <mergeCell ref="F870:F871"/>
    <mergeCell ref="A868:A869"/>
    <mergeCell ref="B868:B869"/>
    <mergeCell ref="C868:C869"/>
    <mergeCell ref="D868:D869"/>
    <mergeCell ref="E868:E869"/>
    <mergeCell ref="F868:F869"/>
  </mergeCells>
  <pageMargins left="0.70866141732283472" right="0.70866141732283472" top="0.19685039370078741" bottom="0.11811023622047245" header="0.31496062992125984" footer="0.31496062992125984"/>
  <pageSetup paperSize="9" scale="9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1</vt:i4>
      </vt:variant>
    </vt:vector>
  </HeadingPairs>
  <TitlesOfParts>
    <vt:vector size="19" baseType="lpstr">
      <vt:lpstr>FVC</vt:lpstr>
      <vt:lpstr>POG</vt:lpstr>
      <vt:lpstr>AVOIR</vt:lpstr>
      <vt:lpstr>PROLON. OUVERT</vt:lpstr>
      <vt:lpstr>9CG</vt:lpstr>
      <vt:lpstr>VELOMID</vt:lpstr>
      <vt:lpstr>RECAP 2025</vt:lpstr>
      <vt:lpstr>RECAP 2024</vt:lpstr>
      <vt:lpstr>RECAP 2023</vt:lpstr>
      <vt:lpstr>RECAP 2022</vt:lpstr>
      <vt:lpstr>RECAP 2021</vt:lpstr>
      <vt:lpstr>RECAP 2020</vt:lpstr>
      <vt:lpstr>RECAP 2019</vt:lpstr>
      <vt:lpstr>RECAP 2018</vt:lpstr>
      <vt:lpstr>RECAP 2017</vt:lpstr>
      <vt:lpstr>RECAP 2016</vt:lpstr>
      <vt:lpstr>REMUNERATION DELEGUE</vt:lpstr>
      <vt:lpstr>revision </vt:lpstr>
      <vt:lpstr>AVOIR!Zone_d_impression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RESIDENCE BINGA</dc:creator>
  <cp:lastModifiedBy>xxx</cp:lastModifiedBy>
  <cp:lastPrinted>2025-12-04T09:57:34Z</cp:lastPrinted>
  <dcterms:created xsi:type="dcterms:W3CDTF">2015-05-04T20:53:01Z</dcterms:created>
  <dcterms:modified xsi:type="dcterms:W3CDTF">2025-12-15T09:22:08Z</dcterms:modified>
</cp:coreProperties>
</file>